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3.xml" ContentType="application/vnd.ms-excel.threadedcomments+xml"/>
  <Override PartName="/xl/drawings/drawing6.xml" ContentType="application/vnd.openxmlformats-officedocument.drawing+xml"/>
  <Override PartName="/xl/comments6.xml" ContentType="application/vnd.openxmlformats-officedocument.spreadsheetml.comments+xml"/>
  <Override PartName="/xl/threadedComments/threadedComment4.xml" ContentType="application/vnd.ms-excel.threadedcomments+xml"/>
  <Override PartName="/xl/drawings/drawing7.xml" ContentType="application/vnd.openxmlformats-officedocument.drawing+xml"/>
  <Override PartName="/xl/comments7.xml" ContentType="application/vnd.openxmlformats-officedocument.spreadsheetml.comments+xml"/>
  <Override PartName="/xl/threadedComments/threadedComment5.xml" ContentType="application/vnd.ms-excel.threadedcomments+xml"/>
  <Override PartName="/xl/drawings/drawing8.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1"/>
  <workbookPr filterPrivacy="1" updateLinks="always"/>
  <xr:revisionPtr revIDLastSave="2166" documentId="8_{1F4E8FC7-3868-4AE1-8E10-E89213284BD6}" xr6:coauthVersionLast="47" xr6:coauthVersionMax="47" xr10:uidLastSave="{A1D631DD-AC09-45CC-BE82-3BCF3EB98B97}"/>
  <bookViews>
    <workbookView xWindow="-120" yWindow="-120" windowWidth="29040" windowHeight="15720" firstSheet="1" activeTab="1" xr2:uid="{00890BCB-9D94-459B-8205-B5493B6C7490}"/>
  </bookViews>
  <sheets>
    <sheet name="ReadME" sheetId="14" r:id="rId1"/>
    <sheet name="Deemed Savings Tbl Revision Log" sheetId="1" r:id="rId2"/>
    <sheet name="BUS Deemed Savings Table" sheetId="2" r:id="rId3"/>
    <sheet name="Efficient Products Deemed Table" sheetId="16" r:id="rId4"/>
    <sheet name="Energy Effic. Kits Deemed Table" sheetId="5" r:id="rId5"/>
    <sheet name="HVAC Deemed Table" sheetId="6" r:id="rId6"/>
    <sheet name="Income Eligible Deemed Table" sheetId="7" r:id="rId7"/>
    <sheet name="PAYS Deemed Table" sheetId="22" r:id="rId8"/>
    <sheet name="Demand Response Deemed Table" sheetId="11" r:id="rId9"/>
    <sheet name=" Measure INDEX PY25" sheetId="15" r:id="rId10"/>
    <sheet name="Avoided Cost Benefits" sheetId="13" r:id="rId11"/>
    <sheet name="CP FACTORS" sheetId="12" r:id="rId12"/>
    <sheet name="End-Use Shapes Factors  2025+" sheetId="23" r:id="rId13"/>
  </sheets>
  <definedNames>
    <definedName name="_xlnm._FilterDatabase" localSheetId="9" hidden="1">' Measure INDEX PY25'!$A$8:$BN$736</definedName>
    <definedName name="_xlnm._FilterDatabase" localSheetId="10" hidden="1">'Avoided Cost Benefits'!$A$3:$G$865</definedName>
    <definedName name="_xlnm._FilterDatabase" localSheetId="2" hidden="1">'BUS Deemed Savings Table'!$A$1:$A$5141</definedName>
    <definedName name="_xlnm._FilterDatabase" localSheetId="11" hidden="1">'CP FACTORS'!$A$1:$A$38</definedName>
    <definedName name="_xlnm._FilterDatabase" localSheetId="3" hidden="1">'Efficient Products Deemed Table'!$A$1:$A$5406</definedName>
    <definedName name="_xlnm._FilterDatabase" localSheetId="4" hidden="1">'Energy Effic. Kits Deemed Table'!$A$1:$A$5115</definedName>
    <definedName name="_xlnm._FilterDatabase" localSheetId="6" hidden="1">'Income Eligible Deemed Table'!$A$5:$A$4991</definedName>
    <definedName name="_xlnm._FilterDatabase" localSheetId="7" hidden="1">'PAYS Deemed Table'!$A$4:$A$5137</definedName>
    <definedName name="_ftn1" localSheetId="2">'BUS Deemed Savings Table'!$H$926</definedName>
    <definedName name="_ftn1" localSheetId="3">'Efficient Products Deemed Table'!$C$270</definedName>
    <definedName name="_ftn10" localSheetId="2">'BUS Deemed Savings Table'!$H$937</definedName>
    <definedName name="_ftn11" localSheetId="2">'BUS Deemed Savings Table'!$H$938</definedName>
    <definedName name="_ftn12" localSheetId="2">'BUS Deemed Savings Table'!$H$939</definedName>
    <definedName name="_ftn2" localSheetId="2">'BUS Deemed Savings Table'!$H$927</definedName>
    <definedName name="_ftn2" localSheetId="3">'Efficient Products Deemed Table'!$C$271</definedName>
    <definedName name="_ftn3" localSheetId="2">'BUS Deemed Savings Table'!$H$928</definedName>
    <definedName name="_ftn4" localSheetId="2">'BUS Deemed Savings Table'!$H$929</definedName>
    <definedName name="_ftn5" localSheetId="2">'BUS Deemed Savings Table'!$H$930</definedName>
    <definedName name="_ftn6" localSheetId="2">'BUS Deemed Savings Table'!$H$931</definedName>
    <definedName name="_ftn7" localSheetId="2">'BUS Deemed Savings Table'!$H$932</definedName>
    <definedName name="_ftn8" localSheetId="2">'BUS Deemed Savings Table'!$H$933</definedName>
    <definedName name="_ftn9" localSheetId="2">'BUS Deemed Savings Table'!$H$934</definedName>
    <definedName name="_ftnref1" localSheetId="2">'BUS Deemed Savings Table'!$H$418</definedName>
    <definedName name="_ftnref1" localSheetId="3">'Efficient Products Deemed Table'!$D$259</definedName>
    <definedName name="_ftnref10" localSheetId="2">'BUS Deemed Savings Table'!$K$775</definedName>
    <definedName name="_ftnref11" localSheetId="2">'BUS Deemed Savings Table'!$H$865</definedName>
    <definedName name="_ftnref12" localSheetId="2">'BUS Deemed Savings Table'!#REF!</definedName>
    <definedName name="_ftnref2" localSheetId="3">'Efficient Products Deemed Table'!$C$267</definedName>
    <definedName name="_ftnref3" localSheetId="2">'BUS Deemed Savings Table'!$J$424</definedName>
    <definedName name="_ftnref4" localSheetId="2">'BUS Deemed Savings Table'!$H$435</definedName>
    <definedName name="_ftnref5" localSheetId="2">'BUS Deemed Savings Table'!$H$452</definedName>
    <definedName name="_ftnref6" localSheetId="2">'BUS Deemed Savings Table'!$K$516</definedName>
    <definedName name="_ftnref7" localSheetId="2">'BUS Deemed Savings Table'!$I$607</definedName>
    <definedName name="_ftnref8" localSheetId="2">'BUS Deemed Savings Table'!#REF!</definedName>
    <definedName name="_ftnref9" localSheetId="2">'BUS Deemed Savings Table'!$H$746</definedName>
    <definedName name="_Key1" hidden="1">#REF!</definedName>
    <definedName name="_key2" hidden="1">#REF!</definedName>
    <definedName name="_Order1" hidden="1">255</definedName>
    <definedName name="_Sort" hidden="1">#REF!</definedName>
    <definedName name="_Toc477945843" localSheetId="2">'BUS Deemed Savings Table'!$H$399</definedName>
    <definedName name="abase" localSheetId="1">#REF!</definedName>
    <definedName name="abase" localSheetId="8">#REF!</definedName>
    <definedName name="abase">#REF!</definedName>
    <definedName name="APPK_profile" localSheetId="1">#REF!</definedName>
    <definedName name="APPK_profile" localSheetId="8">#REF!</definedName>
    <definedName name="APPK_profile">#REF!</definedName>
    <definedName name="APPK_profilekW" localSheetId="1">#REF!</definedName>
    <definedName name="APPK_profilekW" localSheetId="8">#REF!</definedName>
    <definedName name="APPK_profilekW">#REF!</definedName>
    <definedName name="AVGcool" localSheetId="1">#REF!</definedName>
    <definedName name="AVGcool" localSheetId="8">#REF!</definedName>
    <definedName name="AVGcool">#REF!</definedName>
    <definedName name="AVGheat" localSheetId="1">#REF!</definedName>
    <definedName name="AVGheat" localSheetId="8">#REF!</definedName>
    <definedName name="AVGheat">#REF!</definedName>
    <definedName name="AvoidedCost" localSheetId="1">#REF!</definedName>
    <definedName name="AvoidedCost" localSheetId="8">#REF!</definedName>
    <definedName name="AvoidedCost">#REF!</definedName>
    <definedName name="awrap" localSheetId="1">#REF!</definedName>
    <definedName name="awrap" localSheetId="8">#REF!</definedName>
    <definedName name="awrap">#REF!</definedName>
    <definedName name="CF" localSheetId="1">#REF!</definedName>
    <definedName name="CF" localSheetId="8">#REF!</definedName>
    <definedName name="CF">#REF!</definedName>
    <definedName name="CFlighting" localSheetId="1">#REF!</definedName>
    <definedName name="CFlighting" localSheetId="8">#REF!</definedName>
    <definedName name="CFlighting">#REF!</definedName>
    <definedName name="Changing_Cell" localSheetId="1">#REF!</definedName>
    <definedName name="Changing_Cell" localSheetId="8">#REF!</definedName>
    <definedName name="Changing_Cell">#REF!</definedName>
    <definedName name="chart_title" localSheetId="1">#REF!</definedName>
    <definedName name="chart_title" localSheetId="8">#REF!</definedName>
    <definedName name="chart_title">#REF!</definedName>
    <definedName name="ConF" localSheetId="1">#REF!</definedName>
    <definedName name="ConF" localSheetId="8">#REF!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1">#REF!</definedName>
    <definedName name="Cp" localSheetId="8">#REF!</definedName>
    <definedName name="Cp">#REF!</definedName>
    <definedName name="CurrentYear">'Avoided Cost Benefits'!$K$8</definedName>
    <definedName name="DAYS" localSheetId="1">#REF!</definedName>
    <definedName name="DAYS" localSheetId="8">#REF!</definedName>
    <definedName name="DAYS">#REF!</definedName>
    <definedName name="DeltaGPM" localSheetId="1">#REF!</definedName>
    <definedName name="DeltaGPM" localSheetId="8">#REF!</definedName>
    <definedName name="DeltaGPM">#REF!</definedName>
    <definedName name="deltaT" localSheetId="1">#REF!</definedName>
    <definedName name="deltaT" localSheetId="8">#REF!</definedName>
    <definedName name="deltaT">#REF!</definedName>
    <definedName name="den" localSheetId="1">#REF!</definedName>
    <definedName name="den" localSheetId="8">#REF!</definedName>
    <definedName name="den">#REF!</definedName>
    <definedName name="DesignDetails" localSheetId="1">#REF!</definedName>
    <definedName name="DesignDetails" localSheetId="8">#REF!</definedName>
    <definedName name="DesignDetails">#REF!</definedName>
    <definedName name="Diameter" localSheetId="1">#REF!</definedName>
    <definedName name="Diameter" localSheetId="8">#REF!</definedName>
    <definedName name="Diameter">#REF!</definedName>
    <definedName name="DISCOUNT" localSheetId="7">#REF!</definedName>
    <definedName name="DISCOUNT">'Avoided Cost Benefits'!$K$2</definedName>
    <definedName name="DiscountRate">'Avoided Cost Benefits'!$K$6</definedName>
    <definedName name="DiscountYear">'Avoided Cost Benefits'!$K$4</definedName>
    <definedName name="ductRESULTS" localSheetId="1">#REF!</definedName>
    <definedName name="ductRESULTS" localSheetId="8">#REF!</definedName>
    <definedName name="ductRESULTS">#REF!</definedName>
    <definedName name="EDR" localSheetId="1">#REF!</definedName>
    <definedName name="EDR" localSheetId="8">#REF!</definedName>
    <definedName name="EDR">#REF!</definedName>
    <definedName name="EERafter" localSheetId="1">#REF!</definedName>
    <definedName name="EERafter" localSheetId="8">#REF!</definedName>
    <definedName name="EERafter">#REF!</definedName>
    <definedName name="EERBefore" localSheetId="1">#REF!</definedName>
    <definedName name="EERBefore" localSheetId="8">#REF!</definedName>
    <definedName name="EERBefore">#REF!</definedName>
    <definedName name="EFbase" localSheetId="1">#REF!</definedName>
    <definedName name="EFbase" localSheetId="8">#REF!</definedName>
    <definedName name="EFbase">#REF!</definedName>
    <definedName name="EndRef" localSheetId="1">#REF!</definedName>
    <definedName name="EndRef" localSheetId="8">#REF!</definedName>
    <definedName name="EndRef">#REF!</definedName>
    <definedName name="Endrow" localSheetId="1">#REF!</definedName>
    <definedName name="Endrow" localSheetId="8">#REF!</definedName>
    <definedName name="Endrow">#REF!</definedName>
    <definedName name="ESFcool" localSheetId="1">#REF!</definedName>
    <definedName name="ESFcool" localSheetId="8">#REF!</definedName>
    <definedName name="ESFcool">#REF!</definedName>
    <definedName name="ESFheat" localSheetId="1">#REF!</definedName>
    <definedName name="ESFheat" localSheetId="8">#REF!</definedName>
    <definedName name="ESFheat">#REF!</definedName>
    <definedName name="EUEx" localSheetId="1">#REF!</definedName>
    <definedName name="EUEx" localSheetId="8">#REF!</definedName>
    <definedName name="EUEx">#REF!</definedName>
    <definedName name="EUNew" localSheetId="1">#REF!</definedName>
    <definedName name="EUNew" localSheetId="8">#REF!</definedName>
    <definedName name="EUNew">#REF!</definedName>
    <definedName name="FAdays" localSheetId="1">#REF!</definedName>
    <definedName name="FAdays" localSheetId="8">#REF!</definedName>
    <definedName name="FAdays">#REF!</definedName>
    <definedName name="FAdeltaGPM" localSheetId="1">#REF!</definedName>
    <definedName name="FAdeltaGPM" localSheetId="8">#REF!</definedName>
    <definedName name="FAdeltaGPM">#REF!</definedName>
    <definedName name="FauCp" localSheetId="1">#REF!</definedName>
    <definedName name="FauCp" localSheetId="8">#REF!</definedName>
    <definedName name="FauCp">#REF!</definedName>
    <definedName name="FaucTime" localSheetId="1">#REF!</definedName>
    <definedName name="FaucTime" localSheetId="8">#REF!</definedName>
    <definedName name="FaucTime">#REF!</definedName>
    <definedName name="FauDen" localSheetId="1">#REF!</definedName>
    <definedName name="FauDen" localSheetId="8">#REF!</definedName>
    <definedName name="FauDen">#REF!</definedName>
    <definedName name="FauRE" localSheetId="1">#REF!</definedName>
    <definedName name="FauRE" localSheetId="8">#REF!</definedName>
    <definedName name="FauRE">#REF!</definedName>
    <definedName name="FauTin" localSheetId="1">#REF!</definedName>
    <definedName name="FauTin" localSheetId="8">#REF!</definedName>
    <definedName name="FauTin">#REF!</definedName>
    <definedName name="HCIFd" localSheetId="1">#REF!</definedName>
    <definedName name="HCIFd" localSheetId="8">#REF!</definedName>
    <definedName name="HCIFd">#REF!</definedName>
    <definedName name="HCIFe" localSheetId="1">#REF!</definedName>
    <definedName name="HCIFe" localSheetId="8">#REF!</definedName>
    <definedName name="HCIFe">#REF!</definedName>
    <definedName name="HDD" localSheetId="1">#REF!</definedName>
    <definedName name="HDD" localSheetId="8">#REF!</definedName>
    <definedName name="HDD">#REF!</definedName>
    <definedName name="Height" localSheetId="1">#REF!</definedName>
    <definedName name="Height" localSheetId="8">#REF!</definedName>
    <definedName name="Height">#REF!</definedName>
    <definedName name="HOURRES" localSheetId="1">#REF!</definedName>
    <definedName name="HOURRES" localSheetId="8">#REF!</definedName>
    <definedName name="HOURRES">#REF!</definedName>
    <definedName name="HOURSNRES" localSheetId="1">#REF!</definedName>
    <definedName name="HOURSNRES" localSheetId="8">#REF!</definedName>
    <definedName name="HOURSNRES">#REF!</definedName>
    <definedName name="HP" localSheetId="1">#REF!</definedName>
    <definedName name="HP" localSheetId="8">#REF!</definedName>
    <definedName name="HP">#REF!</definedName>
    <definedName name="HPfive" localSheetId="1">#REF!</definedName>
    <definedName name="HPfive" localSheetId="8">#REF!</definedName>
    <definedName name="HPfive">#REF!</definedName>
    <definedName name="HPfour" localSheetId="1">#REF!</definedName>
    <definedName name="HPfour" localSheetId="8">#REF!</definedName>
    <definedName name="HPfour">#REF!</definedName>
    <definedName name="HPfpur" localSheetId="1">#REF!</definedName>
    <definedName name="HPfpur" localSheetId="8">#REF!</definedName>
    <definedName name="HPfpur">#REF!</definedName>
    <definedName name="HPsix" localSheetId="1">#REF!</definedName>
    <definedName name="HPsix" localSheetId="8">#REF!</definedName>
    <definedName name="HPsix">#REF!</definedName>
    <definedName name="HPthree" localSheetId="1">#REF!</definedName>
    <definedName name="HPthree" localSheetId="8">#REF!</definedName>
    <definedName name="HPthree">#REF!</definedName>
    <definedName name="HPtwo" localSheetId="1">#REF!</definedName>
    <definedName name="HPtwo" localSheetId="8">#REF!</definedName>
    <definedName name="HPtwo">#REF!</definedName>
    <definedName name="Inflation">'Avoided Cost Benefits'!$N$2</definedName>
    <definedName name="ISR" localSheetId="1">#REF!</definedName>
    <definedName name="ISR" localSheetId="8">#REF!</definedName>
    <definedName name="ISR">#REF!</definedName>
    <definedName name="L" localSheetId="1">#REF!</definedName>
    <definedName name="L" localSheetId="8">#REF!</definedName>
    <definedName name="L">#REF!</definedName>
    <definedName name="Ldays" localSheetId="1">#REF!</definedName>
    <definedName name="Ldays" localSheetId="8">#REF!</definedName>
    <definedName name="Ldays">#REF!</definedName>
    <definedName name="LHours" localSheetId="1">#REF!</definedName>
    <definedName name="LHours" localSheetId="8">#REF!</definedName>
    <definedName name="LHours">#REF!</definedName>
    <definedName name="LKG" localSheetId="1">#REF!</definedName>
    <definedName name="LKG" localSheetId="8">#REF!</definedName>
    <definedName name="LKG">#REF!</definedName>
    <definedName name="Load_Shapes">#REF!</definedName>
    <definedName name="LWHF" localSheetId="1">#REF!</definedName>
    <definedName name="LWHF" localSheetId="8">#REF!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1">#REF!</definedName>
    <definedName name="MM_BldgType" localSheetId="8">#REF!</definedName>
    <definedName name="MM_BldgType">#REF!</definedName>
    <definedName name="MM_CompAirList" localSheetId="1">#REF!</definedName>
    <definedName name="MM_CompAirList" localSheetId="8">#REF!</definedName>
    <definedName name="MM_CompAirList">#REF!</definedName>
    <definedName name="MM_EMSList" localSheetId="1">#REF!</definedName>
    <definedName name="MM_EMSList" localSheetId="8">#REF!</definedName>
    <definedName name="MM_EMSList">#REF!</definedName>
    <definedName name="MM_EndUseList" localSheetId="1">#REF!</definedName>
    <definedName name="MM_EndUseList" localSheetId="8">#REF!</definedName>
    <definedName name="MM_EndUseList">#REF!</definedName>
    <definedName name="MM_EnvList" localSheetId="1">#REF!</definedName>
    <definedName name="MM_EnvList" localSheetId="8">#REF!</definedName>
    <definedName name="MM_EnvList">#REF!</definedName>
    <definedName name="MM_FoodServList" localSheetId="1">#REF!</definedName>
    <definedName name="MM_FoodServList" localSheetId="8">#REF!</definedName>
    <definedName name="MM_FoodServList">#REF!</definedName>
    <definedName name="MM_FuelList" localSheetId="1">#REF!</definedName>
    <definedName name="MM_FuelList" localSheetId="8">#REF!</definedName>
    <definedName name="MM_FuelList">#REF!</definedName>
    <definedName name="MM_HVACList" localSheetId="1">#REF!</definedName>
    <definedName name="MM_HVACList" localSheetId="8">#REF!</definedName>
    <definedName name="MM_HVACList">#REF!</definedName>
    <definedName name="MM_IncentChangeList" localSheetId="1">#REF!</definedName>
    <definedName name="MM_IncentChangeList" localSheetId="8">#REF!</definedName>
    <definedName name="MM_IncentChangeList">#REF!</definedName>
    <definedName name="MM_IncentiveDistribution" localSheetId="1">#REF!</definedName>
    <definedName name="MM_IncentiveDistribution" localSheetId="8">#REF!</definedName>
    <definedName name="MM_IncentiveDistribution">#REF!</definedName>
    <definedName name="MM_IncentList" localSheetId="1">#REF!</definedName>
    <definedName name="MM_IncentList" localSheetId="8">#REF!</definedName>
    <definedName name="MM_IncentList">#REF!</definedName>
    <definedName name="MM_LaudryList" localSheetId="1">#REF!</definedName>
    <definedName name="MM_LaudryList" localSheetId="8">#REF!</definedName>
    <definedName name="MM_LaudryList">#REF!</definedName>
    <definedName name="MM_LgtList" localSheetId="1">#REF!</definedName>
    <definedName name="MM_LgtList" localSheetId="8">#REF!</definedName>
    <definedName name="MM_LgtList">#REF!</definedName>
    <definedName name="MM_OtherList" localSheetId="1">#REF!</definedName>
    <definedName name="MM_OtherList" localSheetId="8">#REF!</definedName>
    <definedName name="MM_OtherList">#REF!</definedName>
    <definedName name="MM_ProcessList" localSheetId="1">#REF!</definedName>
    <definedName name="MM_ProcessList" localSheetId="8">#REF!</definedName>
    <definedName name="MM_ProcessList">#REF!</definedName>
    <definedName name="MM_ProgTypeList" localSheetId="1">#REF!</definedName>
    <definedName name="MM_ProgTypeList" localSheetId="8">#REF!</definedName>
    <definedName name="MM_ProgTypeList">#REF!</definedName>
    <definedName name="MM_RefList" localSheetId="1">#REF!</definedName>
    <definedName name="MM_RefList" localSheetId="8">#REF!</definedName>
    <definedName name="MM_RefList">#REF!</definedName>
    <definedName name="MM_ReplacementType" localSheetId="1">#REF!</definedName>
    <definedName name="MM_ReplacementType" localSheetId="8">#REF!</definedName>
    <definedName name="MM_ReplacementType">#REF!</definedName>
    <definedName name="MM_SysTypeList" localSheetId="1">#REF!</definedName>
    <definedName name="MM_SysTypeList" localSheetId="8">#REF!</definedName>
    <definedName name="MM_SysTypeList">#REF!</definedName>
    <definedName name="MM_TRMList" localSheetId="1">#REF!</definedName>
    <definedName name="MM_TRMList" localSheetId="8">#REF!</definedName>
    <definedName name="MM_TRMList">#REF!</definedName>
    <definedName name="MM_WHList" localSheetId="1">#REF!</definedName>
    <definedName name="MM_WHList" localSheetId="8">#REF!</definedName>
    <definedName name="MM_WHList">#REF!</definedName>
    <definedName name="MM_YesNoList" localSheetId="1">#REF!</definedName>
    <definedName name="MM_YesNoList" localSheetId="8">#REF!</definedName>
    <definedName name="MM_YesNoList">#REF!</definedName>
    <definedName name="Month" localSheetId="1">#REF!</definedName>
    <definedName name="Month" localSheetId="8">#REF!</definedName>
    <definedName name="Month">#REF!</definedName>
    <definedName name="NoFauc" localSheetId="1">#REF!</definedName>
    <definedName name="NoFauc" localSheetId="8">#REF!</definedName>
    <definedName name="NoFauc">#REF!</definedName>
    <definedName name="NonIncent_Elec" localSheetId="1">#REF!</definedName>
    <definedName name="NonIncent_Elec" localSheetId="8">#REF!</definedName>
    <definedName name="NonIncent_Elec">#REF!</definedName>
    <definedName name="NonIncent_Gas" localSheetId="1">#REF!</definedName>
    <definedName name="NonIncent_Gas" localSheetId="8">#REF!</definedName>
    <definedName name="NonIncent_Gas">#REF!</definedName>
    <definedName name="NoPpl">#REF!</definedName>
    <definedName name="P" localSheetId="1">#REF!</definedName>
    <definedName name="P" localSheetId="8">#REF!</definedName>
    <definedName name="P">#REF!</definedName>
    <definedName name="PerDays" localSheetId="1">#REF!</definedName>
    <definedName name="PerDays" localSheetId="8">#REF!</definedName>
    <definedName name="PerDays">#REF!</definedName>
    <definedName name="PonBase" localSheetId="1">#REF!</definedName>
    <definedName name="PonBase" localSheetId="8">#REF!</definedName>
    <definedName name="PonBase">#REF!</definedName>
    <definedName name="_xlnm.Print_Area" localSheetId="9">' Measure INDEX PY25'!$B$1:$BO$736</definedName>
    <definedName name="_xlnm.Print_Area" localSheetId="2">'BUS Deemed Savings Table'!$A$1:$R$935</definedName>
    <definedName name="_xlnm.Print_Area" localSheetId="1">'Deemed Savings Tbl Revision Log'!$B$1:$H$17</definedName>
    <definedName name="_xlnm.Print_Area" localSheetId="8">'Demand Response Deemed Table'!$A$1:$R$43</definedName>
    <definedName name="_xlnm.Print_Area" localSheetId="3">'Efficient Products Deemed Table'!$A$1:$R$348</definedName>
    <definedName name="_xlnm.Print_Area" localSheetId="4">'Energy Effic. Kits Deemed Table'!$A$1:$O$308</definedName>
    <definedName name="_xlnm.Print_Area" localSheetId="5">'HVAC Deemed Table'!$A$1:$R$4612</definedName>
    <definedName name="_xlnm.Print_Area" localSheetId="6">'Income Eligible Deemed Table'!$A$1:$S$1233</definedName>
    <definedName name="_xlnm.Print_Titles" localSheetId="9">' Measure INDEX PY25'!$1:$8</definedName>
    <definedName name="_xlnm.Print_Titles" localSheetId="2">'BUS Deemed Savings Table'!$1:$5</definedName>
    <definedName name="_xlnm.Print_Titles" localSheetId="8">'Demand Response Deemed Table'!$1:$1</definedName>
    <definedName name="_xlnm.Print_Titles" localSheetId="3">'Efficient Products Deemed Table'!$1:$1</definedName>
    <definedName name="_xlnm.Print_Titles" localSheetId="4">'Energy Effic. Kits Deemed Table'!$1:$1</definedName>
    <definedName name="_xlnm.Print_Titles" localSheetId="5">'HVAC Deemed Table'!$1:$1</definedName>
    <definedName name="_xlnm.Print_Titles" localSheetId="6">'Income Eligible Deemed Table'!$1:$1</definedName>
    <definedName name="PusePer" localSheetId="1">#REF!</definedName>
    <definedName name="PusePer" localSheetId="8">#REF!</definedName>
    <definedName name="PusePer">#REF!</definedName>
    <definedName name="qout" localSheetId="1">#REF!</definedName>
    <definedName name="qout" localSheetId="8">#REF!</definedName>
    <definedName name="qout">#REF!</definedName>
    <definedName name="Rair" localSheetId="1">#REF!</definedName>
    <definedName name="Rair" localSheetId="8">#REF!</definedName>
    <definedName name="Rair">#REF!</definedName>
    <definedName name="Rduct" localSheetId="1">#REF!</definedName>
    <definedName name="Rduct" localSheetId="8">#REF!</definedName>
    <definedName name="Rduct">#REF!</definedName>
    <definedName name="RE" localSheetId="1">#REF!</definedName>
    <definedName name="RE" localSheetId="8">#REF!</definedName>
    <definedName name="RE">#REF!</definedName>
    <definedName name="REbase" localSheetId="1">#REF!</definedName>
    <definedName name="REbase" localSheetId="8">#REF!</definedName>
    <definedName name="REbase">#REF!</definedName>
    <definedName name="RESPCT" localSheetId="1">#REF!</definedName>
    <definedName name="RESPCT" localSheetId="8">#REF!</definedName>
    <definedName name="RESPCT">#REF!</definedName>
    <definedName name="Rexist" localSheetId="1">#REF!</definedName>
    <definedName name="Rexist" localSheetId="8">#REF!</definedName>
    <definedName name="Rexist">#REF!</definedName>
    <definedName name="Rnew" localSheetId="1">#REF!</definedName>
    <definedName name="Rnew" localSheetId="8">#REF!</definedName>
    <definedName name="Rnew">#REF!</definedName>
    <definedName name="Rwrap" localSheetId="1">#REF!</definedName>
    <definedName name="Rwrap" localSheetId="8">#REF!</definedName>
    <definedName name="Rwrap">#REF!</definedName>
    <definedName name="SEER" localSheetId="1">#REF!</definedName>
    <definedName name="SEER" localSheetId="8">#REF!</definedName>
    <definedName name="SEER">#REF!</definedName>
    <definedName name="Set_Cell" localSheetId="1">#REF!</definedName>
    <definedName name="Set_Cell" localSheetId="8">#REF!</definedName>
    <definedName name="Set_Cell">#REF!</definedName>
    <definedName name="SHCp" localSheetId="1">#REF!</definedName>
    <definedName name="SHCp" localSheetId="8">#REF!</definedName>
    <definedName name="SHCp">#REF!</definedName>
    <definedName name="SHdays" localSheetId="1">#REF!</definedName>
    <definedName name="SHdays" localSheetId="8">#REF!</definedName>
    <definedName name="SHdays">#REF!</definedName>
    <definedName name="SHDen" localSheetId="1">#REF!</definedName>
    <definedName name="SHDen" localSheetId="8">#REF!</definedName>
    <definedName name="SHDen">#REF!</definedName>
    <definedName name="Showerheads" localSheetId="1">#REF!</definedName>
    <definedName name="Showerheads" localSheetId="8">#REF!</definedName>
    <definedName name="Showerheads">#REF!</definedName>
    <definedName name="SHRE" localSheetId="1">#REF!</definedName>
    <definedName name="SHRE" localSheetId="8">#REF!</definedName>
    <definedName name="SHRE">#REF!</definedName>
    <definedName name="SHtime" localSheetId="1">#REF!</definedName>
    <definedName name="SHtime" localSheetId="8">#REF!</definedName>
    <definedName name="SHtime">#REF!</definedName>
    <definedName name="SHTin" localSheetId="1">#REF!</definedName>
    <definedName name="SHTin" localSheetId="8">#REF!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2" hidden="1">1</definedName>
    <definedName name="solver_neg" localSheetId="2" hidden="1">1</definedName>
    <definedName name="solver_num" localSheetId="2" hidden="1">0</definedName>
    <definedName name="solver_opt" localSheetId="2" hidden="1">'BUS Deemed Savings Table'!$F$455</definedName>
    <definedName name="solver_typ" localSheetId="2" hidden="1">3</definedName>
    <definedName name="solver_val" localSheetId="2" hidden="1">411</definedName>
    <definedName name="solver_ver" localSheetId="2" hidden="1">3</definedName>
    <definedName name="Tamb" localSheetId="1">#REF!</definedName>
    <definedName name="Tamb" localSheetId="8">#REF!</definedName>
    <definedName name="Tamb">#REF!</definedName>
    <definedName name="TFauc" localSheetId="1">#REF!</definedName>
    <definedName name="TFauc" localSheetId="8">#REF!</definedName>
    <definedName name="TFauc">#REF!</definedName>
    <definedName name="Tin" localSheetId="1">#REF!</definedName>
    <definedName name="Tin" localSheetId="8">#REF!</definedName>
    <definedName name="Tin">#REF!</definedName>
    <definedName name="Tshower" localSheetId="1">#REF!</definedName>
    <definedName name="Tshower" localSheetId="8">#REF!</definedName>
    <definedName name="Tshower">#REF!</definedName>
    <definedName name="TTank" localSheetId="1">#REF!</definedName>
    <definedName name="TTank" localSheetId="8">#REF!</definedName>
    <definedName name="TTank">#REF!</definedName>
    <definedName name="TuneEFLHcool" localSheetId="1">#REF!</definedName>
    <definedName name="TuneEFLHcool" localSheetId="8">#REF!</definedName>
    <definedName name="TuneEFLHcool">#REF!</definedName>
    <definedName name="UABase" localSheetId="1">#REF!</definedName>
    <definedName name="UABase" localSheetId="8">#REF!</definedName>
    <definedName name="UABase">#REF!</definedName>
    <definedName name="ubase" localSheetId="1">#REF!</definedName>
    <definedName name="ubase" localSheetId="8">#REF!</definedName>
    <definedName name="ubase">#REF!</definedName>
    <definedName name="UnitTons" localSheetId="1">#REF!</definedName>
    <definedName name="UnitTons" localSheetId="8">#REF!</definedName>
    <definedName name="UnitTons">#REF!</definedName>
    <definedName name="usage" localSheetId="1">#REF!</definedName>
    <definedName name="usage" localSheetId="8">#REF!</definedName>
    <definedName name="usage">#REF!</definedName>
    <definedName name="Va" localSheetId="1">#REF!</definedName>
    <definedName name="Va" localSheetId="8">#REF!</definedName>
    <definedName name="Va">#REF!</definedName>
    <definedName name="Vs" localSheetId="1">#REF!</definedName>
    <definedName name="Vs" localSheetId="8">#REF!</definedName>
    <definedName name="Vs">#REF!</definedName>
    <definedName name="WB_10.5W" localSheetId="1">#REF!</definedName>
    <definedName name="WB_10.5W" localSheetId="8">#REF!</definedName>
    <definedName name="WB_10.5W">#REF!</definedName>
    <definedName name="WB_10W" localSheetId="1">#REF!</definedName>
    <definedName name="WB_10W" localSheetId="8">#REF!</definedName>
    <definedName name="WB_10W">#REF!</definedName>
    <definedName name="WB_12W" localSheetId="1">#REF!</definedName>
    <definedName name="WB_12W" localSheetId="8">#REF!</definedName>
    <definedName name="WB_12W">#REF!</definedName>
    <definedName name="WB_15W" localSheetId="1">#REF!</definedName>
    <definedName name="WB_15W" localSheetId="8">#REF!</definedName>
    <definedName name="WB_15W">#REF!</definedName>
    <definedName name="WB_15WFlood" localSheetId="1">#REF!</definedName>
    <definedName name="WB_15WFlood" localSheetId="8">#REF!</definedName>
    <definedName name="WB_15WFlood">#REF!</definedName>
    <definedName name="WB_18WFlood" localSheetId="1">#REF!</definedName>
    <definedName name="WB_18WFlood" localSheetId="8">#REF!</definedName>
    <definedName name="WB_18WFlood">#REF!</definedName>
    <definedName name="WB_20W" localSheetId="1">#REF!</definedName>
    <definedName name="WB_20W" localSheetId="8">#REF!</definedName>
    <definedName name="WB_20W">#REF!</definedName>
    <definedName name="WB_4W" localSheetId="1">#REF!</definedName>
    <definedName name="WB_4W" localSheetId="8">#REF!</definedName>
    <definedName name="WB_4W">#REF!</definedName>
    <definedName name="WB_8W" localSheetId="1">#REF!</definedName>
    <definedName name="WB_8W" localSheetId="8">#REF!</definedName>
    <definedName name="WB_8W">#REF!</definedName>
    <definedName name="Wcfl13" localSheetId="1">#REF!</definedName>
    <definedName name="Wcfl13" localSheetId="8">#REF!</definedName>
    <definedName name="Wcfl13">#REF!</definedName>
    <definedName name="Wcfl18" localSheetId="1">#REF!</definedName>
    <definedName name="Wcfl18" localSheetId="8">#REF!</definedName>
    <definedName name="Wcfl18">#REF!</definedName>
    <definedName name="Wcfl23" localSheetId="1">#REF!</definedName>
    <definedName name="Wcfl23" localSheetId="8">#REF!</definedName>
    <definedName name="Wcfl23">#REF!</definedName>
    <definedName name="WE_10.5W" localSheetId="1">#REF!</definedName>
    <definedName name="WE_10.5W" localSheetId="8">#REF!</definedName>
    <definedName name="WE_10.5W">#REF!</definedName>
    <definedName name="WE_10W" localSheetId="1">#REF!</definedName>
    <definedName name="WE_10W" localSheetId="8">#REF!</definedName>
    <definedName name="WE_10W">#REF!</definedName>
    <definedName name="WE_12W" localSheetId="1">#REF!</definedName>
    <definedName name="WE_12W" localSheetId="8">#REF!</definedName>
    <definedName name="WE_12W">#REF!</definedName>
    <definedName name="WE_15W" localSheetId="1">#REF!</definedName>
    <definedName name="WE_15W" localSheetId="8">#REF!</definedName>
    <definedName name="WE_15W">#REF!</definedName>
    <definedName name="WE_15WFlood" localSheetId="1">#REF!</definedName>
    <definedName name="WE_15WFlood" localSheetId="8">#REF!</definedName>
    <definedName name="WE_15WFlood">#REF!</definedName>
    <definedName name="WE_18WFlood" localSheetId="1">#REF!</definedName>
    <definedName name="WE_18WFlood" localSheetId="8">#REF!</definedName>
    <definedName name="WE_18WFlood">#REF!</definedName>
    <definedName name="WE_20W" localSheetId="1">#REF!</definedName>
    <definedName name="WE_20W" localSheetId="8">#REF!</definedName>
    <definedName name="WE_20W">#REF!</definedName>
    <definedName name="WE_4W" localSheetId="1">#REF!</definedName>
    <definedName name="WE_4W" localSheetId="8">#REF!</definedName>
    <definedName name="WE_4W">#REF!</definedName>
    <definedName name="WE_8W" localSheetId="1">#REF!</definedName>
    <definedName name="WE_8W" localSheetId="8">#REF!</definedName>
    <definedName name="WE_8W">#REF!</definedName>
    <definedName name="WHC" localSheetId="1">#REF!</definedName>
    <definedName name="WHC" localSheetId="8">#REF!</definedName>
    <definedName name="WHC">#REF!</definedName>
    <definedName name="WHFNRES" localSheetId="1">#REF!</definedName>
    <definedName name="WHFNRES" localSheetId="8">#REF!</definedName>
    <definedName name="WHFNRES">#REF!</definedName>
    <definedName name="WHFRES" localSheetId="1">#REF!</definedName>
    <definedName name="WHFRES" localSheetId="8">#REF!</definedName>
    <definedName name="WHFRES">#REF!</definedName>
    <definedName name="WHFRES_Coupon">#REF!</definedName>
    <definedName name="WHFRES_Markdown">#REF!</definedName>
    <definedName name="WHFRES_SMD">#REF!</definedName>
    <definedName name="Winc100" localSheetId="1">#REF!</definedName>
    <definedName name="Winc100" localSheetId="8">#REF!</definedName>
    <definedName name="Winc100">#REF!</definedName>
    <definedName name="Winc60" localSheetId="1">#REF!</definedName>
    <definedName name="Winc60" localSheetId="8">#REF!</definedName>
    <definedName name="Winc60">#REF!</definedName>
    <definedName name="Winc75" localSheetId="1">#REF!</definedName>
    <definedName name="Winc75" localSheetId="8">#REF!</definedName>
    <definedName name="Winc75">#REF!</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37" i="15" l="1"/>
  <c r="A737" i="15" s="1"/>
  <c r="C737" i="15"/>
  <c r="G737" i="15"/>
  <c r="H737" i="15"/>
  <c r="I737" i="15"/>
  <c r="O737" i="15"/>
  <c r="W737" i="15"/>
  <c r="V737" i="15" s="1"/>
  <c r="U737" i="15" s="1"/>
  <c r="X737" i="15"/>
  <c r="AI737" i="15"/>
  <c r="B738" i="15"/>
  <c r="A738" i="15" s="1"/>
  <c r="C738" i="15"/>
  <c r="G738" i="15"/>
  <c r="H738" i="15"/>
  <c r="I738" i="15"/>
  <c r="O738" i="15"/>
  <c r="W738" i="15"/>
  <c r="V738" i="15" s="1"/>
  <c r="U738" i="15" s="1"/>
  <c r="X738" i="15"/>
  <c r="AI738" i="15"/>
  <c r="B739" i="15"/>
  <c r="A739" i="15" s="1"/>
  <c r="C739" i="15"/>
  <c r="G739" i="15"/>
  <c r="H739" i="15"/>
  <c r="I739" i="15"/>
  <c r="O739" i="15"/>
  <c r="W739" i="15"/>
  <c r="V739" i="15" s="1"/>
  <c r="U739" i="15" s="1"/>
  <c r="X739" i="15"/>
  <c r="AI739" i="15"/>
  <c r="B740" i="15"/>
  <c r="A740" i="15" s="1"/>
  <c r="C740" i="15"/>
  <c r="G740" i="15"/>
  <c r="H740" i="15"/>
  <c r="I740" i="15"/>
  <c r="O740" i="15"/>
  <c r="W740" i="15"/>
  <c r="V740" i="15" s="1"/>
  <c r="U740" i="15" s="1"/>
  <c r="X740" i="15"/>
  <c r="AI740" i="15"/>
  <c r="B741" i="15"/>
  <c r="A741" i="15" s="1"/>
  <c r="C741" i="15"/>
  <c r="G741" i="15"/>
  <c r="H741" i="15"/>
  <c r="I741" i="15"/>
  <c r="O741" i="15"/>
  <c r="W741" i="15"/>
  <c r="V741" i="15" s="1"/>
  <c r="U741" i="15" s="1"/>
  <c r="X741" i="15"/>
  <c r="AI741" i="15"/>
  <c r="B742" i="15"/>
  <c r="A742" i="15" s="1"/>
  <c r="C742" i="15"/>
  <c r="G742" i="15"/>
  <c r="H742" i="15"/>
  <c r="I742" i="15"/>
  <c r="O742" i="15"/>
  <c r="W742" i="15"/>
  <c r="V742" i="15" s="1"/>
  <c r="U742" i="15" s="1"/>
  <c r="X742" i="15"/>
  <c r="AI742" i="15"/>
  <c r="B743" i="15"/>
  <c r="A743" i="15" s="1"/>
  <c r="C743" i="15"/>
  <c r="G743" i="15"/>
  <c r="H743" i="15"/>
  <c r="I743" i="15"/>
  <c r="O743" i="15"/>
  <c r="W743" i="15"/>
  <c r="V743" i="15" s="1"/>
  <c r="U743" i="15" s="1"/>
  <c r="X743" i="15"/>
  <c r="AI743" i="15"/>
  <c r="B744" i="15"/>
  <c r="A744" i="15" s="1"/>
  <c r="C744" i="15"/>
  <c r="G744" i="15"/>
  <c r="H744" i="15"/>
  <c r="I744" i="15"/>
  <c r="O744" i="15"/>
  <c r="W744" i="15"/>
  <c r="V744" i="15" s="1"/>
  <c r="U744" i="15" s="1"/>
  <c r="X744" i="15"/>
  <c r="AI744" i="15"/>
  <c r="B745" i="15"/>
  <c r="A745" i="15" s="1"/>
  <c r="C745" i="15"/>
  <c r="G745" i="15"/>
  <c r="H745" i="15"/>
  <c r="I745" i="15"/>
  <c r="O745" i="15"/>
  <c r="W745" i="15"/>
  <c r="V745" i="15" s="1"/>
  <c r="U745" i="15" s="1"/>
  <c r="X745" i="15"/>
  <c r="AI745" i="15"/>
  <c r="B746" i="15"/>
  <c r="A746" i="15" s="1"/>
  <c r="C746" i="15"/>
  <c r="G746" i="15"/>
  <c r="H746" i="15"/>
  <c r="I746" i="15"/>
  <c r="O746" i="15"/>
  <c r="W746" i="15"/>
  <c r="V746" i="15" s="1"/>
  <c r="U746" i="15" s="1"/>
  <c r="X746" i="15"/>
  <c r="AI746" i="15"/>
  <c r="DH934" i="2"/>
  <c r="B934" i="2"/>
  <c r="DH933" i="2"/>
  <c r="B933" i="2"/>
  <c r="DH932" i="2"/>
  <c r="B932" i="2"/>
  <c r="DH931" i="2"/>
  <c r="B931" i="2"/>
  <c r="DH930" i="2"/>
  <c r="B930" i="2"/>
  <c r="DH929" i="2"/>
  <c r="B929" i="2"/>
  <c r="DH928" i="2"/>
  <c r="B928" i="2"/>
  <c r="DH927" i="2"/>
  <c r="B927" i="2"/>
  <c r="DH926" i="2"/>
  <c r="B926" i="2"/>
  <c r="DH925" i="2"/>
  <c r="B925" i="2"/>
  <c r="G7" i="22"/>
  <c r="F200" i="2"/>
  <c r="F187" i="22"/>
  <c r="AF184" i="2"/>
  <c r="AF185" i="2"/>
  <c r="AF186" i="2"/>
  <c r="AF187" i="2"/>
  <c r="AF188" i="2"/>
  <c r="AF189" i="2"/>
  <c r="AF190" i="2"/>
  <c r="AF191" i="2"/>
  <c r="AF192" i="2"/>
  <c r="AF193" i="2"/>
  <c r="J3652" i="6" l="1"/>
  <c r="J3653" i="6"/>
  <c r="J3654" i="6"/>
  <c r="J3655" i="6"/>
  <c r="J3656" i="6"/>
  <c r="J3657" i="6"/>
  <c r="J3658" i="6"/>
  <c r="J3659" i="6"/>
  <c r="J3660" i="6"/>
  <c r="J3661" i="6"/>
  <c r="J3662" i="6"/>
  <c r="J3663" i="6"/>
  <c r="J3664" i="6"/>
  <c r="J3665" i="6"/>
  <c r="J3666" i="6"/>
  <c r="J3667" i="6"/>
  <c r="J3668" i="6"/>
  <c r="J3669" i="6"/>
  <c r="J3670" i="6"/>
  <c r="J3671" i="6"/>
  <c r="J3672" i="6"/>
  <c r="J3673" i="6"/>
  <c r="J3674" i="6"/>
  <c r="J3675" i="6"/>
  <c r="J3676" i="6"/>
  <c r="J3677" i="6"/>
  <c r="J3678" i="6"/>
  <c r="J3679" i="6"/>
  <c r="J3680" i="6"/>
  <c r="J3681" i="6"/>
  <c r="J3682" i="6"/>
  <c r="J3683" i="6"/>
  <c r="J3684" i="6"/>
  <c r="J3685" i="6"/>
  <c r="J3686" i="6"/>
  <c r="J3687" i="6"/>
  <c r="J3688" i="6"/>
  <c r="J3689" i="6"/>
  <c r="J3690" i="6"/>
  <c r="J3691" i="6"/>
  <c r="J3692" i="6"/>
  <c r="J3693" i="6"/>
  <c r="J3694" i="6"/>
  <c r="J3695" i="6"/>
  <c r="J3696" i="6"/>
  <c r="J3697" i="6"/>
  <c r="J3698" i="6"/>
  <c r="J3699" i="6"/>
  <c r="J3700" i="6"/>
  <c r="J3701" i="6"/>
  <c r="J3702" i="6"/>
  <c r="J3703" i="6"/>
  <c r="J3704" i="6"/>
  <c r="J3705" i="6"/>
  <c r="J3706" i="6"/>
  <c r="J3707" i="6"/>
  <c r="J3708" i="6"/>
  <c r="J3709" i="6"/>
  <c r="J3710" i="6"/>
  <c r="J3711" i="6"/>
  <c r="J3712" i="6"/>
  <c r="J3713" i="6"/>
  <c r="J3714" i="6"/>
  <c r="J3715" i="6"/>
  <c r="J3716" i="6"/>
  <c r="J3717" i="6"/>
  <c r="J3718" i="6"/>
  <c r="J3719" i="6"/>
  <c r="J3720" i="6"/>
  <c r="J3721" i="6"/>
  <c r="J3722" i="6"/>
  <c r="J3723" i="6"/>
  <c r="J3724" i="6"/>
  <c r="J3725" i="6"/>
  <c r="J3726" i="6"/>
  <c r="J3727" i="6"/>
  <c r="J3728" i="6"/>
  <c r="J3729" i="6"/>
  <c r="J3730" i="6"/>
  <c r="J3731" i="6"/>
  <c r="J3732" i="6"/>
  <c r="J3733" i="6"/>
  <c r="J3734" i="6"/>
  <c r="J3735" i="6"/>
  <c r="J3736" i="6"/>
  <c r="J3737" i="6"/>
  <c r="J3738" i="6"/>
  <c r="J3739" i="6"/>
  <c r="J3740" i="6"/>
  <c r="J3741" i="6"/>
  <c r="J3742" i="6"/>
  <c r="J3743" i="6"/>
  <c r="J3744" i="6"/>
  <c r="J3745" i="6"/>
  <c r="J3746" i="6"/>
  <c r="J3747" i="6"/>
  <c r="J3748" i="6"/>
  <c r="J3749" i="6"/>
  <c r="J3750" i="6"/>
  <c r="J3751" i="6"/>
  <c r="J3752" i="6"/>
  <c r="J3753" i="6"/>
  <c r="J3754" i="6"/>
  <c r="J3755" i="6"/>
  <c r="J3756" i="6"/>
  <c r="J3757" i="6"/>
  <c r="J3758" i="6"/>
  <c r="J3759" i="6"/>
  <c r="J3760" i="6"/>
  <c r="J3761" i="6"/>
  <c r="J3762" i="6"/>
  <c r="J3763" i="6"/>
  <c r="J3764" i="6"/>
  <c r="J3765" i="6"/>
  <c r="J3766" i="6"/>
  <c r="J3767" i="6"/>
  <c r="J3768" i="6"/>
  <c r="J3769" i="6"/>
  <c r="J3770" i="6"/>
  <c r="J3771" i="6"/>
  <c r="J3772" i="6"/>
  <c r="J3773" i="6"/>
  <c r="J3774" i="6"/>
  <c r="J3775" i="6"/>
  <c r="J3776" i="6"/>
  <c r="J3777" i="6"/>
  <c r="J3778" i="6"/>
  <c r="J3779" i="6"/>
  <c r="J3780" i="6"/>
  <c r="J3781" i="6"/>
  <c r="J3782" i="6"/>
  <c r="J3783" i="6"/>
  <c r="J3784" i="6"/>
  <c r="J3785" i="6"/>
  <c r="J3786" i="6"/>
  <c r="J3787" i="6"/>
  <c r="J3788" i="6"/>
  <c r="J3789" i="6"/>
  <c r="J3790" i="6"/>
  <c r="J3791" i="6"/>
  <c r="J3792" i="6"/>
  <c r="J3793" i="6"/>
  <c r="J3794" i="6"/>
  <c r="J3795" i="6"/>
  <c r="J3796" i="6"/>
  <c r="J3797" i="6"/>
  <c r="J3798" i="6"/>
  <c r="J3799" i="6"/>
  <c r="J3800" i="6"/>
  <c r="J3801" i="6"/>
  <c r="J3802" i="6"/>
  <c r="J3803" i="6"/>
  <c r="J3804" i="6"/>
  <c r="J3805" i="6"/>
  <c r="J3806" i="6"/>
  <c r="J3807" i="6"/>
  <c r="J3808" i="6"/>
  <c r="J3809" i="6"/>
  <c r="J3810" i="6"/>
  <c r="J3811" i="6"/>
  <c r="J3812" i="6"/>
  <c r="J3813" i="6"/>
  <c r="J3814" i="6"/>
  <c r="J3815" i="6"/>
  <c r="J3816" i="6"/>
  <c r="J3817" i="6"/>
  <c r="J3818" i="6"/>
  <c r="J3819" i="6"/>
  <c r="J3820" i="6"/>
  <c r="J3821" i="6"/>
  <c r="J3822" i="6"/>
  <c r="J3823" i="6"/>
  <c r="J3824" i="6"/>
  <c r="J3825" i="6"/>
  <c r="J3826" i="6"/>
  <c r="J3827" i="6"/>
  <c r="J3828" i="6"/>
  <c r="J3829" i="6"/>
  <c r="J3830" i="6"/>
  <c r="J3831" i="6"/>
  <c r="J3832" i="6"/>
  <c r="J3833" i="6"/>
  <c r="J3834" i="6"/>
  <c r="J3835" i="6"/>
  <c r="J3836" i="6"/>
  <c r="J3837" i="6"/>
  <c r="J3838" i="6"/>
  <c r="J3839" i="6"/>
  <c r="J3840" i="6"/>
  <c r="J3841" i="6"/>
  <c r="J3842" i="6"/>
  <c r="J3843" i="6"/>
  <c r="J3844" i="6"/>
  <c r="J3650" i="6"/>
  <c r="J3649" i="6"/>
  <c r="J3648" i="6"/>
  <c r="J3647" i="6"/>
  <c r="J3646" i="6"/>
  <c r="J3645" i="6"/>
  <c r="J3644" i="6"/>
  <c r="J3643" i="6"/>
  <c r="J3642" i="6"/>
  <c r="J3641" i="6"/>
  <c r="J3640" i="6"/>
  <c r="J3639" i="6"/>
  <c r="J3638" i="6"/>
  <c r="J3637" i="6"/>
  <c r="J3636" i="6"/>
  <c r="J3635" i="6"/>
  <c r="J3634" i="6"/>
  <c r="J3633" i="6"/>
  <c r="J3632" i="6"/>
  <c r="J3631" i="6"/>
  <c r="J3630" i="6"/>
  <c r="J3629" i="6"/>
  <c r="J3628" i="6"/>
  <c r="J3627" i="6"/>
  <c r="J3626" i="6"/>
  <c r="J3625" i="6"/>
  <c r="J3624" i="6"/>
  <c r="J3623" i="6"/>
  <c r="J3622" i="6"/>
  <c r="J3621" i="6"/>
  <c r="J3620" i="6"/>
  <c r="J3619" i="6"/>
  <c r="J3618" i="6"/>
  <c r="J3617" i="6"/>
  <c r="J3616" i="6"/>
  <c r="J3615" i="6"/>
  <c r="J3614" i="6"/>
  <c r="J3613" i="6"/>
  <c r="J3612" i="6"/>
  <c r="J3611" i="6"/>
  <c r="J3610" i="6"/>
  <c r="J3609" i="6"/>
  <c r="J3608" i="6"/>
  <c r="J3607" i="6"/>
  <c r="J3606" i="6"/>
  <c r="J3605" i="6"/>
  <c r="J3604" i="6"/>
  <c r="J3603" i="6"/>
  <c r="J3602" i="6"/>
  <c r="J3601" i="6"/>
  <c r="J3600" i="6"/>
  <c r="J3599" i="6"/>
  <c r="J3598" i="6"/>
  <c r="J3597" i="6"/>
  <c r="J3596" i="6"/>
  <c r="J3595" i="6"/>
  <c r="J3594" i="6"/>
  <c r="J3593" i="6"/>
  <c r="J3592" i="6"/>
  <c r="J3591" i="6"/>
  <c r="J3590" i="6"/>
  <c r="J3589" i="6"/>
  <c r="J3588" i="6"/>
  <c r="J3587" i="6"/>
  <c r="J3586" i="6"/>
  <c r="J3585" i="6"/>
  <c r="J3584" i="6"/>
  <c r="J3583" i="6"/>
  <c r="J3582" i="6"/>
  <c r="J3581" i="6"/>
  <c r="J3580" i="6"/>
  <c r="J3579" i="6"/>
  <c r="J3578" i="6"/>
  <c r="J3577" i="6"/>
  <c r="J3576" i="6"/>
  <c r="J3575" i="6"/>
  <c r="J3574" i="6"/>
  <c r="J3573" i="6"/>
  <c r="J3572" i="6"/>
  <c r="J3571" i="6"/>
  <c r="J3570" i="6"/>
  <c r="J3569" i="6"/>
  <c r="J3568" i="6"/>
  <c r="J3567" i="6"/>
  <c r="J3566" i="6"/>
  <c r="J3565" i="6"/>
  <c r="J3564" i="6"/>
  <c r="J3563" i="6"/>
  <c r="J3562" i="6"/>
  <c r="J3561" i="6"/>
  <c r="J3560" i="6"/>
  <c r="J3559" i="6"/>
  <c r="J3558" i="6"/>
  <c r="J3557" i="6"/>
  <c r="J3556" i="6"/>
  <c r="J3555" i="6"/>
  <c r="J3554" i="6"/>
  <c r="J3553" i="6"/>
  <c r="J3552" i="6"/>
  <c r="J3551" i="6"/>
  <c r="J3550" i="6"/>
  <c r="J3549" i="6"/>
  <c r="J3548" i="6"/>
  <c r="J3547" i="6"/>
  <c r="J3546" i="6"/>
  <c r="J3545" i="6"/>
  <c r="J3544" i="6"/>
  <c r="J3543" i="6"/>
  <c r="J3542" i="6"/>
  <c r="J3541" i="6"/>
  <c r="J3540" i="6"/>
  <c r="J3539" i="6"/>
  <c r="J3538" i="6"/>
  <c r="J3537" i="6"/>
  <c r="J3536" i="6"/>
  <c r="J3535" i="6"/>
  <c r="J3534" i="6"/>
  <c r="J3533" i="6"/>
  <c r="J3532" i="6"/>
  <c r="J3531" i="6"/>
  <c r="J3530" i="6"/>
  <c r="J3529" i="6"/>
  <c r="J3528" i="6"/>
  <c r="J3527" i="6"/>
  <c r="J3526" i="6"/>
  <c r="J3525" i="6"/>
  <c r="J3524" i="6"/>
  <c r="J3523" i="6"/>
  <c r="J3522" i="6"/>
  <c r="J3521" i="6"/>
  <c r="J3520" i="6"/>
  <c r="J3519" i="6"/>
  <c r="J3518" i="6"/>
  <c r="J3517" i="6"/>
  <c r="J3516" i="6"/>
  <c r="J3515" i="6"/>
  <c r="J3514" i="6"/>
  <c r="J3513" i="6"/>
  <c r="J3512" i="6"/>
  <c r="J3511" i="6"/>
  <c r="J3510" i="6"/>
  <c r="J3509" i="6"/>
  <c r="J3508" i="6"/>
  <c r="J3507" i="6"/>
  <c r="J3506" i="6"/>
  <c r="J3505" i="6"/>
  <c r="J3504" i="6"/>
  <c r="J3503" i="6"/>
  <c r="J3502" i="6"/>
  <c r="J3501" i="6"/>
  <c r="J3500" i="6"/>
  <c r="J3499" i="6"/>
  <c r="J3498" i="6"/>
  <c r="J3497" i="6"/>
  <c r="J3496" i="6"/>
  <c r="J3495" i="6"/>
  <c r="J3494" i="6"/>
  <c r="J3493" i="6"/>
  <c r="J3492" i="6"/>
  <c r="J3491" i="6"/>
  <c r="J3490" i="6"/>
  <c r="J3489" i="6"/>
  <c r="J3488" i="6"/>
  <c r="J3487" i="6"/>
  <c r="J3486" i="6"/>
  <c r="J3485" i="6"/>
  <c r="J3484" i="6"/>
  <c r="J3483" i="6"/>
  <c r="J3482" i="6"/>
  <c r="J3481" i="6"/>
  <c r="J3480" i="6"/>
  <c r="J3479" i="6"/>
  <c r="J3478" i="6"/>
  <c r="J3477" i="6"/>
  <c r="J3476" i="6"/>
  <c r="J3475" i="6"/>
  <c r="J3474" i="6"/>
  <c r="J3473" i="6"/>
  <c r="J3472" i="6"/>
  <c r="J3471" i="6"/>
  <c r="J3470" i="6"/>
  <c r="J3469" i="6"/>
  <c r="J3468" i="6"/>
  <c r="J3467" i="6"/>
  <c r="J3466" i="6"/>
  <c r="J3465" i="6"/>
  <c r="J3464" i="6"/>
  <c r="J3463" i="6"/>
  <c r="J3462" i="6"/>
  <c r="J3461" i="6"/>
  <c r="J3460" i="6"/>
  <c r="J3459" i="6"/>
  <c r="J3458" i="6"/>
  <c r="J3457" i="6"/>
  <c r="J3456" i="6"/>
  <c r="J3455" i="6"/>
  <c r="J3454" i="6"/>
  <c r="J3453" i="6"/>
  <c r="J3452" i="6"/>
  <c r="J3451" i="6"/>
  <c r="J3450" i="6"/>
  <c r="J3449" i="6"/>
  <c r="J3448" i="6"/>
  <c r="J3447" i="6"/>
  <c r="J3446" i="6"/>
  <c r="J3445" i="6"/>
  <c r="J3444" i="6"/>
  <c r="J3443" i="6"/>
  <c r="J3442" i="6"/>
  <c r="J3441" i="6"/>
  <c r="J3440" i="6"/>
  <c r="J3439" i="6"/>
  <c r="J3438" i="6"/>
  <c r="J3437" i="6"/>
  <c r="J3436" i="6"/>
  <c r="J3435" i="6"/>
  <c r="J3434" i="6"/>
  <c r="J3433" i="6"/>
  <c r="J3432" i="6"/>
  <c r="J3431" i="6"/>
  <c r="J3430" i="6"/>
  <c r="J3429" i="6"/>
  <c r="J3428" i="6"/>
  <c r="J3427" i="6"/>
  <c r="J3426" i="6"/>
  <c r="J3425" i="6"/>
  <c r="J3424" i="6"/>
  <c r="J3423" i="6"/>
  <c r="J3422" i="6"/>
  <c r="J3421" i="6"/>
  <c r="J3420" i="6"/>
  <c r="J3419" i="6"/>
  <c r="J3418" i="6"/>
  <c r="J3417" i="6"/>
  <c r="J3416" i="6"/>
  <c r="J3415" i="6"/>
  <c r="J3414" i="6"/>
  <c r="J3413" i="6"/>
  <c r="J3412" i="6"/>
  <c r="J3411" i="6"/>
  <c r="J3410" i="6"/>
  <c r="J3409" i="6"/>
  <c r="J3408" i="6"/>
  <c r="J3407" i="6"/>
  <c r="J3406" i="6"/>
  <c r="J3405" i="6"/>
  <c r="J3404" i="6"/>
  <c r="J3403" i="6"/>
  <c r="J3402" i="6"/>
  <c r="J3401" i="6"/>
  <c r="J3400" i="6"/>
  <c r="J3399" i="6"/>
  <c r="J3398" i="6"/>
  <c r="J3397" i="6"/>
  <c r="J3396" i="6"/>
  <c r="J3395" i="6"/>
  <c r="J3394" i="6"/>
  <c r="J3393" i="6"/>
  <c r="J3392" i="6"/>
  <c r="J3391" i="6"/>
  <c r="J3390" i="6"/>
  <c r="J3389" i="6"/>
  <c r="J3388" i="6"/>
  <c r="J3387" i="6"/>
  <c r="J3386" i="6"/>
  <c r="J3385" i="6"/>
  <c r="J3384" i="6"/>
  <c r="J3383" i="6"/>
  <c r="J3382" i="6"/>
  <c r="J3381" i="6"/>
  <c r="J3380" i="6"/>
  <c r="J3379" i="6"/>
  <c r="J3378" i="6"/>
  <c r="J3377" i="6"/>
  <c r="J3376" i="6"/>
  <c r="J3375" i="6"/>
  <c r="J3374" i="6"/>
  <c r="J3373" i="6"/>
  <c r="J3372" i="6"/>
  <c r="J3371" i="6"/>
  <c r="J3370" i="6"/>
  <c r="J3369" i="6"/>
  <c r="J3368" i="6"/>
  <c r="J3367" i="6"/>
  <c r="J3366" i="6"/>
  <c r="J3365" i="6"/>
  <c r="J3364" i="6"/>
  <c r="J3363" i="6"/>
  <c r="J3362" i="6"/>
  <c r="J3361" i="6"/>
  <c r="J3360" i="6"/>
  <c r="J3359" i="6"/>
  <c r="J3358" i="6"/>
  <c r="J3357" i="6"/>
  <c r="J3356" i="6"/>
  <c r="J3355" i="6"/>
  <c r="J3354" i="6"/>
  <c r="J3353" i="6"/>
  <c r="J3352" i="6"/>
  <c r="J3351" i="6"/>
  <c r="J3350" i="6"/>
  <c r="J3349" i="6"/>
  <c r="J3348" i="6"/>
  <c r="J3347" i="6"/>
  <c r="J3346" i="6"/>
  <c r="J3345" i="6"/>
  <c r="J3344" i="6"/>
  <c r="J3343" i="6"/>
  <c r="J3342" i="6"/>
  <c r="J3341" i="6"/>
  <c r="J3340" i="6"/>
  <c r="J3339" i="6"/>
  <c r="J3338" i="6"/>
  <c r="J3337" i="6"/>
  <c r="J3336" i="6"/>
  <c r="J3335" i="6"/>
  <c r="J3334" i="6"/>
  <c r="J3333" i="6"/>
  <c r="J3332" i="6"/>
  <c r="J3331" i="6"/>
  <c r="J3330" i="6"/>
  <c r="J3329" i="6"/>
  <c r="J3328" i="6"/>
  <c r="J3327" i="6"/>
  <c r="J3326" i="6"/>
  <c r="J3325" i="6"/>
  <c r="J3324" i="6"/>
  <c r="J3323" i="6"/>
  <c r="J3322" i="6"/>
  <c r="J3321" i="6"/>
  <c r="J3320" i="6"/>
  <c r="J3319" i="6"/>
  <c r="J3318" i="6"/>
  <c r="J3317" i="6"/>
  <c r="J3316" i="6"/>
  <c r="J3315" i="6"/>
  <c r="J3314" i="6"/>
  <c r="J3313" i="6"/>
  <c r="J3312" i="6"/>
  <c r="J3311" i="6"/>
  <c r="J3310" i="6"/>
  <c r="J3309" i="6"/>
  <c r="J3308" i="6"/>
  <c r="J3307" i="6"/>
  <c r="J3306" i="6"/>
  <c r="J3305" i="6"/>
  <c r="J3304" i="6"/>
  <c r="J3303" i="6"/>
  <c r="J3302" i="6"/>
  <c r="J3301" i="6"/>
  <c r="J3300" i="6"/>
  <c r="J3299" i="6"/>
  <c r="J3298" i="6"/>
  <c r="J3297" i="6"/>
  <c r="J3296" i="6"/>
  <c r="J3295" i="6"/>
  <c r="J3294" i="6"/>
  <c r="J3293" i="6"/>
  <c r="J3292" i="6"/>
  <c r="J3291" i="6"/>
  <c r="J3290" i="6"/>
  <c r="J3289" i="6"/>
  <c r="J3288" i="6"/>
  <c r="J3287" i="6"/>
  <c r="J3286" i="6"/>
  <c r="J3285" i="6"/>
  <c r="J3284" i="6"/>
  <c r="J3283" i="6"/>
  <c r="J3282" i="6"/>
  <c r="J3281" i="6"/>
  <c r="J3280" i="6"/>
  <c r="J3279" i="6"/>
  <c r="J3278" i="6"/>
  <c r="J3277" i="6"/>
  <c r="J3276" i="6"/>
  <c r="J3275" i="6"/>
  <c r="J3274" i="6"/>
  <c r="J3273" i="6"/>
  <c r="J3272" i="6"/>
  <c r="J3271" i="6"/>
  <c r="J3270" i="6"/>
  <c r="J3269" i="6"/>
  <c r="J3268" i="6"/>
  <c r="J3267" i="6"/>
  <c r="J3266" i="6"/>
  <c r="J3265" i="6"/>
  <c r="J3264" i="6"/>
  <c r="J3263" i="6"/>
  <c r="J3262" i="6"/>
  <c r="J3261" i="6"/>
  <c r="J3260" i="6"/>
  <c r="J3259" i="6"/>
  <c r="J3258" i="6"/>
  <c r="J3257" i="6"/>
  <c r="J3256" i="6"/>
  <c r="J3255" i="6"/>
  <c r="J3254" i="6"/>
  <c r="J3253" i="6"/>
  <c r="J3252" i="6"/>
  <c r="J3251" i="6"/>
  <c r="J3250" i="6"/>
  <c r="J3249" i="6"/>
  <c r="J3248" i="6"/>
  <c r="J3247" i="6"/>
  <c r="J3246" i="6"/>
  <c r="J3245" i="6"/>
  <c r="J3244" i="6"/>
  <c r="J3243" i="6"/>
  <c r="J3242" i="6"/>
  <c r="J3241" i="6"/>
  <c r="J3240" i="6"/>
  <c r="J3239" i="6"/>
  <c r="J3238" i="6"/>
  <c r="J3237" i="6"/>
  <c r="J3236" i="6"/>
  <c r="J3235" i="6"/>
  <c r="J3234" i="6"/>
  <c r="J3233" i="6"/>
  <c r="J3232" i="6"/>
  <c r="J3231" i="6"/>
  <c r="J3230" i="6"/>
  <c r="J3229" i="6"/>
  <c r="J3228" i="6"/>
  <c r="J3227" i="6"/>
  <c r="J3226" i="6"/>
  <c r="J3225" i="6"/>
  <c r="J3224" i="6"/>
  <c r="J3223" i="6"/>
  <c r="J3222" i="6"/>
  <c r="J3221" i="6"/>
  <c r="J3220" i="6"/>
  <c r="J3219" i="6"/>
  <c r="J3218" i="6"/>
  <c r="J3217" i="6"/>
  <c r="J3216" i="6"/>
  <c r="J3215" i="6"/>
  <c r="J3214" i="6"/>
  <c r="J3213" i="6"/>
  <c r="J3212" i="6"/>
  <c r="J3211" i="6"/>
  <c r="J3210" i="6"/>
  <c r="J3209" i="6"/>
  <c r="J3208" i="6"/>
  <c r="J3207" i="6"/>
  <c r="J3206" i="6"/>
  <c r="J3205" i="6"/>
  <c r="J3204" i="6"/>
  <c r="J3203" i="6"/>
  <c r="J3202" i="6"/>
  <c r="J3201" i="6"/>
  <c r="J3200" i="6"/>
  <c r="J3199" i="6"/>
  <c r="J3198" i="6"/>
  <c r="J3197" i="6"/>
  <c r="J3196" i="6"/>
  <c r="J3195" i="6"/>
  <c r="J3194" i="6"/>
  <c r="J3193" i="6"/>
  <c r="J3192" i="6"/>
  <c r="J3191" i="6"/>
  <c r="J3190" i="6"/>
  <c r="J3189" i="6"/>
  <c r="J3188" i="6"/>
  <c r="J3187" i="6"/>
  <c r="J3186" i="6"/>
  <c r="J3185" i="6"/>
  <c r="J3184" i="6"/>
  <c r="J3183" i="6"/>
  <c r="J3182" i="6"/>
  <c r="J3181" i="6"/>
  <c r="J3180" i="6"/>
  <c r="J3179" i="6"/>
  <c r="J3178" i="6"/>
  <c r="J3177" i="6"/>
  <c r="J3176" i="6"/>
  <c r="J3175" i="6"/>
  <c r="J3174" i="6"/>
  <c r="J3173" i="6"/>
  <c r="J3172" i="6"/>
  <c r="J3171" i="6"/>
  <c r="J3170" i="6"/>
  <c r="J3169" i="6"/>
  <c r="J3168" i="6"/>
  <c r="J3167" i="6"/>
  <c r="J3166" i="6"/>
  <c r="J3165" i="6"/>
  <c r="J3164" i="6"/>
  <c r="J3163" i="6"/>
  <c r="J3162" i="6"/>
  <c r="J3161" i="6"/>
  <c r="J3160" i="6"/>
  <c r="J3159" i="6"/>
  <c r="J3158" i="6"/>
  <c r="J3157" i="6"/>
  <c r="J3156" i="6"/>
  <c r="J3155" i="6"/>
  <c r="J3154" i="6"/>
  <c r="J3153" i="6"/>
  <c r="J3152" i="6"/>
  <c r="J3151" i="6"/>
  <c r="J3150" i="6"/>
  <c r="J3149" i="6"/>
  <c r="J3148" i="6"/>
  <c r="J3147" i="6"/>
  <c r="J3146" i="6"/>
  <c r="J3145" i="6"/>
  <c r="J3144" i="6"/>
  <c r="J3143" i="6"/>
  <c r="J3142" i="6"/>
  <c r="J3141" i="6"/>
  <c r="J3140" i="6"/>
  <c r="J3139" i="6"/>
  <c r="J3138" i="6"/>
  <c r="J3137" i="6"/>
  <c r="J3136" i="6"/>
  <c r="J3135" i="6"/>
  <c r="J3134" i="6"/>
  <c r="J3133" i="6"/>
  <c r="J3132" i="6"/>
  <c r="J3131" i="6"/>
  <c r="J3130" i="6"/>
  <c r="J3129" i="6"/>
  <c r="J3128" i="6"/>
  <c r="J3127" i="6"/>
  <c r="J3126" i="6"/>
  <c r="J3125" i="6"/>
  <c r="J3124" i="6"/>
  <c r="J3123" i="6"/>
  <c r="J3122" i="6"/>
  <c r="J3121" i="6"/>
  <c r="J3120" i="6"/>
  <c r="J3119" i="6"/>
  <c r="J3118" i="6"/>
  <c r="J3117" i="6"/>
  <c r="J3116" i="6"/>
  <c r="J3115" i="6"/>
  <c r="J3114" i="6"/>
  <c r="J3113" i="6"/>
  <c r="J3112" i="6"/>
  <c r="J3111" i="6"/>
  <c r="J3110" i="6"/>
  <c r="J3109" i="6"/>
  <c r="J3108" i="6"/>
  <c r="J3107" i="6"/>
  <c r="J3106" i="6"/>
  <c r="J3105" i="6"/>
  <c r="J3104" i="6"/>
  <c r="J3103" i="6"/>
  <c r="J3102" i="6"/>
  <c r="J3101" i="6"/>
  <c r="J3100" i="6"/>
  <c r="J3099" i="6"/>
  <c r="J3098" i="6"/>
  <c r="J3097" i="6"/>
  <c r="J3096" i="6"/>
  <c r="J3095" i="6"/>
  <c r="J3094" i="6"/>
  <c r="J3093" i="6"/>
  <c r="J3092" i="6"/>
  <c r="J3091" i="6"/>
  <c r="J3090" i="6"/>
  <c r="J3089" i="6"/>
  <c r="J3088" i="6"/>
  <c r="J3087" i="6"/>
  <c r="J3086" i="6"/>
  <c r="J3085" i="6"/>
  <c r="J3084" i="6"/>
  <c r="J3083" i="6"/>
  <c r="J3082" i="6"/>
  <c r="J3081" i="6"/>
  <c r="J3080" i="6"/>
  <c r="J3079" i="6"/>
  <c r="J3078" i="6"/>
  <c r="J3077" i="6"/>
  <c r="J3076" i="6"/>
  <c r="J3075" i="6"/>
  <c r="J3074" i="6"/>
  <c r="J3073" i="6"/>
  <c r="J3072" i="6"/>
  <c r="J3071" i="6"/>
  <c r="J3070" i="6"/>
  <c r="J3069" i="6"/>
  <c r="J3068" i="6"/>
  <c r="J3067" i="6"/>
  <c r="J3066" i="6"/>
  <c r="J3065" i="6"/>
  <c r="J3064" i="6"/>
  <c r="J3063" i="6"/>
  <c r="J3062" i="6"/>
  <c r="J3061" i="6"/>
  <c r="J3060" i="6"/>
  <c r="J3059" i="6"/>
  <c r="J3058" i="6"/>
  <c r="J3057" i="6"/>
  <c r="J3056" i="6"/>
  <c r="J3055" i="6"/>
  <c r="J3054" i="6"/>
  <c r="J3053" i="6"/>
  <c r="J3052" i="6"/>
  <c r="J3051" i="6"/>
  <c r="J3050" i="6"/>
  <c r="J3049" i="6"/>
  <c r="J3048" i="6"/>
  <c r="J3047" i="6"/>
  <c r="J3046" i="6"/>
  <c r="J3045" i="6"/>
  <c r="J3044" i="6"/>
  <c r="J3043" i="6"/>
  <c r="J3042" i="6"/>
  <c r="J3041" i="6"/>
  <c r="J3040" i="6"/>
  <c r="J3039" i="6"/>
  <c r="J3038" i="6"/>
  <c r="J3037" i="6"/>
  <c r="J3036" i="6"/>
  <c r="J3035" i="6"/>
  <c r="J3034" i="6"/>
  <c r="J3033" i="6"/>
  <c r="J3032" i="6"/>
  <c r="J3031" i="6"/>
  <c r="J3030" i="6"/>
  <c r="J3029" i="6"/>
  <c r="J3028" i="6"/>
  <c r="J3027" i="6"/>
  <c r="J3026" i="6"/>
  <c r="J3025" i="6"/>
  <c r="J3024" i="6"/>
  <c r="J3023" i="6"/>
  <c r="J3022" i="6"/>
  <c r="J3021" i="6"/>
  <c r="J3020" i="6"/>
  <c r="J3019" i="6"/>
  <c r="J3018" i="6"/>
  <c r="J3017" i="6"/>
  <c r="J3016" i="6"/>
  <c r="J3015" i="6"/>
  <c r="J3014" i="6"/>
  <c r="J3013" i="6"/>
  <c r="J3012" i="6"/>
  <c r="J3011" i="6"/>
  <c r="J3010" i="6"/>
  <c r="J3009" i="6"/>
  <c r="J3008" i="6"/>
  <c r="J3007" i="6"/>
  <c r="J3006" i="6"/>
  <c r="J3005" i="6"/>
  <c r="J3004" i="6"/>
  <c r="J3003" i="6"/>
  <c r="J3002" i="6"/>
  <c r="J3001" i="6"/>
  <c r="J3000" i="6"/>
  <c r="J2999" i="6"/>
  <c r="J2998" i="6"/>
  <c r="J2997" i="6"/>
  <c r="J2996" i="6"/>
  <c r="J2995" i="6"/>
  <c r="J2994" i="6"/>
  <c r="J2993" i="6"/>
  <c r="J2992" i="6"/>
  <c r="J2991" i="6"/>
  <c r="J2990" i="6"/>
  <c r="J2989" i="6"/>
  <c r="J2988" i="6"/>
  <c r="J2987" i="6"/>
  <c r="J2986" i="6"/>
  <c r="J2985" i="6"/>
  <c r="J2984" i="6"/>
  <c r="J2983" i="6"/>
  <c r="J2982" i="6"/>
  <c r="J2981" i="6"/>
  <c r="J2980" i="6"/>
  <c r="J2979" i="6"/>
  <c r="J2978" i="6"/>
  <c r="J2977" i="6"/>
  <c r="J2976" i="6"/>
  <c r="J2975" i="6"/>
  <c r="J2974" i="6"/>
  <c r="J2973" i="6"/>
  <c r="J2972" i="6"/>
  <c r="J2971" i="6"/>
  <c r="J2970" i="6"/>
  <c r="J2969" i="6"/>
  <c r="J2968" i="6"/>
  <c r="J2967" i="6"/>
  <c r="J2966" i="6"/>
  <c r="J2965" i="6"/>
  <c r="J2964" i="6"/>
  <c r="J2963" i="6"/>
  <c r="J2962" i="6"/>
  <c r="J2961" i="6"/>
  <c r="J2960" i="6"/>
  <c r="J2959" i="6"/>
  <c r="J2958" i="6"/>
  <c r="J2957" i="6"/>
  <c r="J2956" i="6"/>
  <c r="J2955" i="6"/>
  <c r="J2954" i="6"/>
  <c r="J2953" i="6"/>
  <c r="J2952" i="6"/>
  <c r="J2951" i="6"/>
  <c r="J2950" i="6"/>
  <c r="J2949" i="6"/>
  <c r="J2948" i="6"/>
  <c r="J2947" i="6"/>
  <c r="J2946" i="6"/>
  <c r="J2945" i="6"/>
  <c r="J2944" i="6"/>
  <c r="J2943" i="6"/>
  <c r="J2942" i="6"/>
  <c r="J2941" i="6"/>
  <c r="J2940" i="6"/>
  <c r="J2939" i="6"/>
  <c r="J2938" i="6"/>
  <c r="J2937" i="6"/>
  <c r="J2936" i="6"/>
  <c r="J2935" i="6"/>
  <c r="J2934" i="6"/>
  <c r="J2933" i="6"/>
  <c r="J2932" i="6"/>
  <c r="J2931" i="6"/>
  <c r="J2930" i="6"/>
  <c r="J2929" i="6"/>
  <c r="J2928" i="6"/>
  <c r="J2927" i="6"/>
  <c r="J2926" i="6"/>
  <c r="J2925" i="6"/>
  <c r="J2924" i="6"/>
  <c r="J2923" i="6"/>
  <c r="J2922" i="6"/>
  <c r="J2921" i="6"/>
  <c r="J2920" i="6"/>
  <c r="J2919" i="6"/>
  <c r="J2918" i="6"/>
  <c r="J2917" i="6"/>
  <c r="J2916" i="6"/>
  <c r="J2915" i="6"/>
  <c r="J2914" i="6"/>
  <c r="J2913" i="6"/>
  <c r="J2912" i="6"/>
  <c r="J2911" i="6"/>
  <c r="J2910" i="6"/>
  <c r="J2909" i="6"/>
  <c r="J2908" i="6"/>
  <c r="J2907" i="6"/>
  <c r="J2906" i="6"/>
  <c r="J2905" i="6"/>
  <c r="J2904" i="6"/>
  <c r="J2903" i="6"/>
  <c r="J2902" i="6"/>
  <c r="J2901" i="6"/>
  <c r="J2900" i="6"/>
  <c r="J2899" i="6"/>
  <c r="J2898" i="6"/>
  <c r="J2897" i="6"/>
  <c r="J2896" i="6"/>
  <c r="J2895" i="6"/>
  <c r="J2894" i="6"/>
  <c r="J2893" i="6"/>
  <c r="J2892" i="6"/>
  <c r="J2891" i="6"/>
  <c r="J2890" i="6"/>
  <c r="J2889" i="6"/>
  <c r="J2888" i="6"/>
  <c r="J2887" i="6"/>
  <c r="J2886" i="6"/>
  <c r="J2885" i="6"/>
  <c r="J2884" i="6"/>
  <c r="J2883" i="6"/>
  <c r="J2882" i="6"/>
  <c r="J2881" i="6"/>
  <c r="J2880" i="6"/>
  <c r="J2879" i="6"/>
  <c r="J2878" i="6"/>
  <c r="J2877" i="6"/>
  <c r="J2876" i="6"/>
  <c r="J2875" i="6"/>
  <c r="J2874" i="6"/>
  <c r="J2873" i="6"/>
  <c r="J2872" i="6"/>
  <c r="J2871" i="6"/>
  <c r="J2870" i="6"/>
  <c r="J2869" i="6"/>
  <c r="J2868" i="6"/>
  <c r="J2867" i="6"/>
  <c r="J2866" i="6"/>
  <c r="J2865" i="6"/>
  <c r="J2864" i="6"/>
  <c r="J2863" i="6"/>
  <c r="J2862" i="6"/>
  <c r="J2861" i="6"/>
  <c r="J2860" i="6"/>
  <c r="J2859" i="6"/>
  <c r="J2858" i="6"/>
  <c r="J2857" i="6"/>
  <c r="J2856" i="6"/>
  <c r="J2855" i="6"/>
  <c r="J2854" i="6"/>
  <c r="J2853" i="6"/>
  <c r="J2852" i="6"/>
  <c r="J2851" i="6"/>
  <c r="J2850" i="6"/>
  <c r="J2849" i="6"/>
  <c r="J2848" i="6"/>
  <c r="J2847" i="6"/>
  <c r="J2846" i="6"/>
  <c r="J2845" i="6"/>
  <c r="J2844" i="6"/>
  <c r="J2843" i="6"/>
  <c r="J2842" i="6"/>
  <c r="J2841" i="6"/>
  <c r="J2840" i="6"/>
  <c r="J2839" i="6"/>
  <c r="J2838" i="6"/>
  <c r="J2837" i="6"/>
  <c r="J2836" i="6"/>
  <c r="J2835" i="6"/>
  <c r="J2834" i="6"/>
  <c r="J2833" i="6"/>
  <c r="J2832" i="6"/>
  <c r="J2831" i="6"/>
  <c r="J2830" i="6"/>
  <c r="J2829" i="6"/>
  <c r="J2828" i="6"/>
  <c r="J2827" i="6"/>
  <c r="J2826" i="6"/>
  <c r="J2825" i="6"/>
  <c r="J2824" i="6"/>
  <c r="J2823" i="6"/>
  <c r="J2822" i="6"/>
  <c r="J2821" i="6"/>
  <c r="J2820" i="6"/>
  <c r="J2819" i="6"/>
  <c r="J2818" i="6"/>
  <c r="J2817" i="6"/>
  <c r="J2816" i="6"/>
  <c r="J2815" i="6"/>
  <c r="J2814" i="6"/>
  <c r="J2813" i="6"/>
  <c r="J2812" i="6"/>
  <c r="J2811" i="6"/>
  <c r="J2810" i="6"/>
  <c r="J2809" i="6"/>
  <c r="J2808" i="6"/>
  <c r="J2807" i="6"/>
  <c r="J2806" i="6"/>
  <c r="J2805" i="6"/>
  <c r="J2804" i="6"/>
  <c r="J2803" i="6"/>
  <c r="J2802" i="6"/>
  <c r="J2801" i="6"/>
  <c r="J2800" i="6"/>
  <c r="J2799" i="6"/>
  <c r="J2798" i="6"/>
  <c r="J2797" i="6"/>
  <c r="J2796" i="6"/>
  <c r="J2795" i="6"/>
  <c r="J2794" i="6"/>
  <c r="J2793" i="6"/>
  <c r="J2792" i="6"/>
  <c r="J2791" i="6"/>
  <c r="J2790" i="6"/>
  <c r="J2789" i="6"/>
  <c r="J2788" i="6"/>
  <c r="J2787" i="6"/>
  <c r="J2786" i="6"/>
  <c r="J2785" i="6"/>
  <c r="J2784" i="6"/>
  <c r="J2783" i="6"/>
  <c r="J2782" i="6"/>
  <c r="J2781" i="6"/>
  <c r="J2780" i="6"/>
  <c r="J2779" i="6"/>
  <c r="J2778" i="6"/>
  <c r="J2777" i="6"/>
  <c r="J2776" i="6"/>
  <c r="J2775" i="6"/>
  <c r="J2774" i="6"/>
  <c r="J2773" i="6"/>
  <c r="J2772" i="6"/>
  <c r="J2771" i="6"/>
  <c r="J2770" i="6"/>
  <c r="J2769" i="6"/>
  <c r="J2768" i="6"/>
  <c r="J2767" i="6"/>
  <c r="J2766" i="6"/>
  <c r="J2765" i="6"/>
  <c r="J2764" i="6"/>
  <c r="J2763" i="6"/>
  <c r="J2762" i="6"/>
  <c r="J2761" i="6"/>
  <c r="J2760" i="6"/>
  <c r="J2759" i="6"/>
  <c r="J2758" i="6"/>
  <c r="J2757" i="6"/>
  <c r="J2756" i="6"/>
  <c r="J2755" i="6"/>
  <c r="J2754" i="6"/>
  <c r="J2753" i="6"/>
  <c r="J2752" i="6"/>
  <c r="J2751" i="6"/>
  <c r="J2750" i="6"/>
  <c r="J2749" i="6"/>
  <c r="J2748" i="6"/>
  <c r="J2747" i="6"/>
  <c r="J2746" i="6"/>
  <c r="J2745" i="6"/>
  <c r="J2744" i="6"/>
  <c r="J2743" i="6"/>
  <c r="J2742" i="6"/>
  <c r="J2741" i="6"/>
  <c r="J2740" i="6"/>
  <c r="J2739" i="6"/>
  <c r="J2738" i="6"/>
  <c r="J2737" i="6"/>
  <c r="J2736" i="6"/>
  <c r="J2735" i="6"/>
  <c r="J2734" i="6"/>
  <c r="J2733" i="6"/>
  <c r="J2732" i="6"/>
  <c r="J2731" i="6"/>
  <c r="J2730" i="6"/>
  <c r="J2729" i="6"/>
  <c r="J2728" i="6"/>
  <c r="J2727" i="6"/>
  <c r="J2726" i="6"/>
  <c r="J2725" i="6"/>
  <c r="J2724" i="6"/>
  <c r="J2723" i="6"/>
  <c r="J2722" i="6"/>
  <c r="J2721" i="6"/>
  <c r="J2720" i="6"/>
  <c r="J2719" i="6"/>
  <c r="J2718" i="6"/>
  <c r="J2717" i="6"/>
  <c r="J2716" i="6"/>
  <c r="J2715" i="6"/>
  <c r="J2714" i="6"/>
  <c r="J2713" i="6"/>
  <c r="J2712" i="6"/>
  <c r="J2711" i="6"/>
  <c r="J2710" i="6"/>
  <c r="J2709" i="6"/>
  <c r="J2708" i="6"/>
  <c r="J2707" i="6"/>
  <c r="J2706" i="6"/>
  <c r="J2705" i="6"/>
  <c r="J2704" i="6"/>
  <c r="J2703" i="6"/>
  <c r="J2702" i="6"/>
  <c r="J2701" i="6"/>
  <c r="J2700" i="6"/>
  <c r="J2699" i="6"/>
  <c r="J2698" i="6"/>
  <c r="J2697" i="6"/>
  <c r="J2696" i="6"/>
  <c r="J2695" i="6"/>
  <c r="J2694" i="6"/>
  <c r="J2693" i="6"/>
  <c r="J2692" i="6"/>
  <c r="J2691" i="6"/>
  <c r="J2690" i="6"/>
  <c r="J2689" i="6"/>
  <c r="J2688" i="6"/>
  <c r="J2687" i="6"/>
  <c r="J2686" i="6"/>
  <c r="J2685" i="6"/>
  <c r="J2684" i="6"/>
  <c r="J2683" i="6"/>
  <c r="J2682" i="6"/>
  <c r="J2681" i="6"/>
  <c r="J2680" i="6"/>
  <c r="J2679" i="6"/>
  <c r="J2678" i="6"/>
  <c r="J2677" i="6"/>
  <c r="J2676" i="6"/>
  <c r="J2675" i="6"/>
  <c r="J2674" i="6"/>
  <c r="J2673" i="6"/>
  <c r="J2672" i="6"/>
  <c r="J2671" i="6"/>
  <c r="J2670" i="6"/>
  <c r="J2669" i="6"/>
  <c r="J2668" i="6"/>
  <c r="J2667" i="6"/>
  <c r="J2666" i="6"/>
  <c r="J2665" i="6"/>
  <c r="J2664" i="6"/>
  <c r="J2663" i="6"/>
  <c r="J2662" i="6"/>
  <c r="J2661" i="6"/>
  <c r="J2660" i="6"/>
  <c r="J2659" i="6"/>
  <c r="J2658" i="6"/>
  <c r="J2657" i="6"/>
  <c r="J2656" i="6"/>
  <c r="J2655" i="6"/>
  <c r="J2654" i="6"/>
  <c r="J2653" i="6"/>
  <c r="J2652" i="6"/>
  <c r="J2651" i="6"/>
  <c r="J2650" i="6"/>
  <c r="J2649" i="6"/>
  <c r="J2648" i="6"/>
  <c r="J2647" i="6"/>
  <c r="J2646" i="6"/>
  <c r="J2645" i="6"/>
  <c r="J2644" i="6"/>
  <c r="J2643" i="6"/>
  <c r="J2642" i="6"/>
  <c r="J2641" i="6"/>
  <c r="J2640" i="6"/>
  <c r="J2639" i="6"/>
  <c r="J2638" i="6"/>
  <c r="J2637" i="6"/>
  <c r="J2636" i="6"/>
  <c r="J2635" i="6"/>
  <c r="J2634" i="6"/>
  <c r="J2633" i="6"/>
  <c r="J2632" i="6"/>
  <c r="J2631" i="6"/>
  <c r="J2630" i="6"/>
  <c r="J2629" i="6"/>
  <c r="J2628" i="6"/>
  <c r="J2627" i="6"/>
  <c r="J2626" i="6"/>
  <c r="J2625" i="6"/>
  <c r="J2624" i="6"/>
  <c r="J2623" i="6"/>
  <c r="J2622" i="6"/>
  <c r="J2621" i="6"/>
  <c r="J2620" i="6"/>
  <c r="J2619" i="6"/>
  <c r="J2618" i="6"/>
  <c r="J2617" i="6"/>
  <c r="J2616" i="6"/>
  <c r="J2615" i="6"/>
  <c r="J2614" i="6"/>
  <c r="J2613" i="6"/>
  <c r="J2612" i="6"/>
  <c r="J2611" i="6"/>
  <c r="J2610" i="6"/>
  <c r="J2609" i="6"/>
  <c r="J2608" i="6"/>
  <c r="J2607" i="6"/>
  <c r="J2606" i="6"/>
  <c r="J2605" i="6"/>
  <c r="J2604" i="6"/>
  <c r="J2603" i="6"/>
  <c r="J2602" i="6"/>
  <c r="J2601" i="6"/>
  <c r="J2600" i="6"/>
  <c r="J2599" i="6"/>
  <c r="J2598" i="6"/>
  <c r="J2597" i="6"/>
  <c r="J2596" i="6"/>
  <c r="J2595" i="6"/>
  <c r="J2594" i="6"/>
  <c r="J2593" i="6"/>
  <c r="J2592" i="6"/>
  <c r="J2591" i="6"/>
  <c r="J2590" i="6"/>
  <c r="J2589" i="6"/>
  <c r="J2588" i="6"/>
  <c r="J2587" i="6"/>
  <c r="J2586" i="6"/>
  <c r="J2585" i="6"/>
  <c r="J2584" i="6"/>
  <c r="J2583" i="6"/>
  <c r="J2582" i="6"/>
  <c r="J2581" i="6"/>
  <c r="J2580" i="6"/>
  <c r="J2579" i="6"/>
  <c r="J2578" i="6"/>
  <c r="J2577" i="6"/>
  <c r="J2576" i="6"/>
  <c r="J2575" i="6"/>
  <c r="J2574" i="6"/>
  <c r="J2573" i="6"/>
  <c r="J2572" i="6"/>
  <c r="J2571" i="6"/>
  <c r="J2570" i="6"/>
  <c r="J2569" i="6"/>
  <c r="J2568" i="6"/>
  <c r="J2567" i="6"/>
  <c r="J2566" i="6"/>
  <c r="J2565" i="6"/>
  <c r="J2564" i="6"/>
  <c r="J2563" i="6"/>
  <c r="J2562" i="6"/>
  <c r="J2561" i="6"/>
  <c r="J2560" i="6"/>
  <c r="J2559" i="6"/>
  <c r="J2558" i="6"/>
  <c r="J2557" i="6"/>
  <c r="J2556" i="6"/>
  <c r="J2555" i="6"/>
  <c r="J2554" i="6"/>
  <c r="J2553" i="6"/>
  <c r="J2552" i="6"/>
  <c r="J2551" i="6"/>
  <c r="J2550" i="6"/>
  <c r="J2549" i="6"/>
  <c r="J2548" i="6"/>
  <c r="J2547" i="6"/>
  <c r="J2546" i="6"/>
  <c r="J2545" i="6"/>
  <c r="J2544" i="6"/>
  <c r="J2543" i="6"/>
  <c r="J2542" i="6"/>
  <c r="J2541" i="6"/>
  <c r="J2540" i="6"/>
  <c r="J2539" i="6"/>
  <c r="J2538" i="6"/>
  <c r="J2537" i="6"/>
  <c r="J2536" i="6"/>
  <c r="J2535" i="6"/>
  <c r="J2534" i="6"/>
  <c r="J2533" i="6"/>
  <c r="J2532" i="6"/>
  <c r="J2531" i="6"/>
  <c r="J2530" i="6"/>
  <c r="J2529" i="6"/>
  <c r="J2528" i="6"/>
  <c r="J2527" i="6"/>
  <c r="J2526" i="6"/>
  <c r="J2525" i="6"/>
  <c r="J2524" i="6"/>
  <c r="J2523" i="6"/>
  <c r="J2522" i="6"/>
  <c r="J2521" i="6"/>
  <c r="J2520" i="6"/>
  <c r="J2519" i="6"/>
  <c r="J2518" i="6"/>
  <c r="J2517" i="6"/>
  <c r="J2516" i="6"/>
  <c r="J2515" i="6"/>
  <c r="J2514" i="6"/>
  <c r="J2513" i="6"/>
  <c r="J2512" i="6"/>
  <c r="J2511" i="6"/>
  <c r="J2510" i="6"/>
  <c r="J2509" i="6"/>
  <c r="J2508" i="6"/>
  <c r="J2507" i="6"/>
  <c r="J2506" i="6"/>
  <c r="J2505" i="6"/>
  <c r="J2504" i="6"/>
  <c r="J2503" i="6"/>
  <c r="J2502" i="6"/>
  <c r="J2501" i="6"/>
  <c r="J2500" i="6"/>
  <c r="J2499" i="6"/>
  <c r="J2498" i="6"/>
  <c r="J2497" i="6"/>
  <c r="J2496" i="6"/>
  <c r="J2495" i="6"/>
  <c r="J2494" i="6"/>
  <c r="J2493" i="6"/>
  <c r="J2492" i="6"/>
  <c r="J2491" i="6"/>
  <c r="J2490" i="6"/>
  <c r="J2489" i="6"/>
  <c r="J2488" i="6"/>
  <c r="J2487" i="6"/>
  <c r="J2486" i="6"/>
  <c r="J2485" i="6"/>
  <c r="J2484" i="6"/>
  <c r="J2483" i="6"/>
  <c r="J2482" i="6"/>
  <c r="J2481" i="6"/>
  <c r="J2480" i="6"/>
  <c r="J2479" i="6"/>
  <c r="J2478" i="6"/>
  <c r="J2477" i="6"/>
  <c r="J2476" i="6"/>
  <c r="J2475" i="6"/>
  <c r="J2474" i="6"/>
  <c r="J2473" i="6"/>
  <c r="J2472" i="6"/>
  <c r="J2471" i="6"/>
  <c r="J2470" i="6"/>
  <c r="J2469" i="6"/>
  <c r="J2468" i="6"/>
  <c r="J2467" i="6"/>
  <c r="J2466" i="6"/>
  <c r="J2465" i="6"/>
  <c r="J2464" i="6"/>
  <c r="J2463" i="6"/>
  <c r="J2462" i="6"/>
  <c r="J2461" i="6"/>
  <c r="J2460" i="6"/>
  <c r="J2459" i="6"/>
  <c r="J2458" i="6"/>
  <c r="J2457" i="6"/>
  <c r="J2456" i="6"/>
  <c r="J2455" i="6"/>
  <c r="J2454" i="6"/>
  <c r="J2453" i="6"/>
  <c r="J2452" i="6"/>
  <c r="J2451" i="6"/>
  <c r="J2450" i="6"/>
  <c r="J2449" i="6"/>
  <c r="J2448" i="6"/>
  <c r="J2447" i="6"/>
  <c r="J2446" i="6"/>
  <c r="J2445" i="6"/>
  <c r="J2444" i="6"/>
  <c r="J2443" i="6"/>
  <c r="J2442" i="6"/>
  <c r="J2441" i="6"/>
  <c r="J2440" i="6"/>
  <c r="J2439" i="6"/>
  <c r="J2438" i="6"/>
  <c r="J2437" i="6"/>
  <c r="J2436" i="6"/>
  <c r="J2435" i="6"/>
  <c r="J2434" i="6"/>
  <c r="J2433" i="6"/>
  <c r="J2432" i="6"/>
  <c r="J2431" i="6"/>
  <c r="J2430" i="6"/>
  <c r="J2429" i="6"/>
  <c r="J2428" i="6"/>
  <c r="J2427" i="6"/>
  <c r="J2426" i="6"/>
  <c r="J2425" i="6"/>
  <c r="J2424" i="6"/>
  <c r="J2423" i="6"/>
  <c r="J2422" i="6"/>
  <c r="J2421" i="6"/>
  <c r="J2420" i="6"/>
  <c r="J2419" i="6"/>
  <c r="J2418" i="6"/>
  <c r="J2417" i="6"/>
  <c r="J2416" i="6"/>
  <c r="J2415" i="6"/>
  <c r="J2414" i="6"/>
  <c r="J2413" i="6"/>
  <c r="J2412" i="6"/>
  <c r="J2411" i="6"/>
  <c r="J2410" i="6"/>
  <c r="J2409" i="6"/>
  <c r="J2408" i="6"/>
  <c r="J2407" i="6"/>
  <c r="J2406" i="6"/>
  <c r="J2405" i="6"/>
  <c r="J2404" i="6"/>
  <c r="J2403" i="6"/>
  <c r="J2402" i="6"/>
  <c r="J2401" i="6"/>
  <c r="J2400" i="6"/>
  <c r="J2399" i="6"/>
  <c r="J2398" i="6"/>
  <c r="J2397" i="6"/>
  <c r="J2396" i="6"/>
  <c r="J2395" i="6"/>
  <c r="J2394" i="6"/>
  <c r="J2393" i="6"/>
  <c r="J2392" i="6"/>
  <c r="J2391" i="6"/>
  <c r="J2390" i="6"/>
  <c r="J2389" i="6"/>
  <c r="J2388" i="6"/>
  <c r="J2387" i="6"/>
  <c r="J2386" i="6"/>
  <c r="J2385" i="6"/>
  <c r="J2384" i="6"/>
  <c r="J2383" i="6"/>
  <c r="J2382" i="6"/>
  <c r="J2381" i="6"/>
  <c r="J2380" i="6"/>
  <c r="J2379" i="6"/>
  <c r="J2378" i="6"/>
  <c r="J2377" i="6"/>
  <c r="J2376" i="6"/>
  <c r="J2375" i="6"/>
  <c r="J2374" i="6"/>
  <c r="J2373" i="6"/>
  <c r="J2372" i="6"/>
  <c r="J2371" i="6"/>
  <c r="J2370" i="6"/>
  <c r="J2369" i="6"/>
  <c r="J2368" i="6"/>
  <c r="J2367" i="6"/>
  <c r="J2366" i="6"/>
  <c r="J2365" i="6"/>
  <c r="J2364" i="6"/>
  <c r="J2363" i="6"/>
  <c r="J2362" i="6"/>
  <c r="J2361" i="6"/>
  <c r="J2360" i="6"/>
  <c r="J2359" i="6"/>
  <c r="J2358" i="6"/>
  <c r="J2357" i="6"/>
  <c r="J2356" i="6"/>
  <c r="J2355" i="6"/>
  <c r="J2354" i="6"/>
  <c r="J2353" i="6"/>
  <c r="J2352" i="6"/>
  <c r="J2351" i="6"/>
  <c r="J2350" i="6"/>
  <c r="J2349" i="6"/>
  <c r="J2348" i="6"/>
  <c r="J2347" i="6"/>
  <c r="J2346" i="6"/>
  <c r="J2345" i="6"/>
  <c r="J2344" i="6"/>
  <c r="J2343" i="6"/>
  <c r="J2342" i="6"/>
  <c r="J2341" i="6"/>
  <c r="J2340" i="6"/>
  <c r="J2339" i="6"/>
  <c r="J2338" i="6"/>
  <c r="J2337" i="6"/>
  <c r="J2336" i="6"/>
  <c r="J2335" i="6"/>
  <c r="J2334" i="6"/>
  <c r="J2333" i="6"/>
  <c r="J2332" i="6"/>
  <c r="J2331" i="6"/>
  <c r="J2330" i="6"/>
  <c r="J2329" i="6"/>
  <c r="J2328" i="6"/>
  <c r="J2327" i="6"/>
  <c r="J2326" i="6"/>
  <c r="J2325" i="6"/>
  <c r="J2324" i="6"/>
  <c r="J2323" i="6"/>
  <c r="J2322" i="6"/>
  <c r="J2321" i="6"/>
  <c r="J2320" i="6"/>
  <c r="J2319" i="6"/>
  <c r="J2318" i="6"/>
  <c r="J2317" i="6"/>
  <c r="J2316" i="6"/>
  <c r="J2315" i="6"/>
  <c r="J2314" i="6"/>
  <c r="J2313" i="6"/>
  <c r="J2312" i="6"/>
  <c r="J2311" i="6"/>
  <c r="J2310" i="6"/>
  <c r="J2309" i="6"/>
  <c r="J2308" i="6"/>
  <c r="J2307" i="6"/>
  <c r="J2306" i="6"/>
  <c r="J2305" i="6"/>
  <c r="J2304" i="6"/>
  <c r="J2303" i="6"/>
  <c r="J2302" i="6"/>
  <c r="J2301" i="6"/>
  <c r="J2300" i="6"/>
  <c r="J2299" i="6"/>
  <c r="J2298" i="6"/>
  <c r="J2297" i="6"/>
  <c r="J2296" i="6"/>
  <c r="J2295" i="6"/>
  <c r="J2294" i="6"/>
  <c r="J2293" i="6"/>
  <c r="J2292" i="6"/>
  <c r="J2291" i="6"/>
  <c r="J2290" i="6"/>
  <c r="J2289" i="6"/>
  <c r="J2288" i="6"/>
  <c r="J2287" i="6"/>
  <c r="J2286" i="6"/>
  <c r="J2285" i="6"/>
  <c r="J2284" i="6"/>
  <c r="J2283" i="6"/>
  <c r="J2282" i="6"/>
  <c r="J2281" i="6"/>
  <c r="J2280" i="6"/>
  <c r="J2279" i="6"/>
  <c r="J2278" i="6"/>
  <c r="J2277" i="6"/>
  <c r="J2276" i="6"/>
  <c r="J2275" i="6"/>
  <c r="J2274" i="6"/>
  <c r="J2273" i="6"/>
  <c r="J2272" i="6"/>
  <c r="J2271" i="6"/>
  <c r="J2270" i="6"/>
  <c r="J2269" i="6"/>
  <c r="J2268" i="6"/>
  <c r="J2267" i="6"/>
  <c r="J2266" i="6"/>
  <c r="J2265" i="6"/>
  <c r="J2264" i="6"/>
  <c r="J2263" i="6"/>
  <c r="J2262" i="6"/>
  <c r="J2261" i="6"/>
  <c r="J2260" i="6"/>
  <c r="J2259" i="6"/>
  <c r="J2258" i="6"/>
  <c r="J2257" i="6"/>
  <c r="J2256" i="6"/>
  <c r="J2255" i="6"/>
  <c r="J2254" i="6"/>
  <c r="J2253" i="6"/>
  <c r="J2252" i="6"/>
  <c r="J2251" i="6"/>
  <c r="J2250" i="6"/>
  <c r="J2249" i="6"/>
  <c r="J2248" i="6"/>
  <c r="J2247" i="6"/>
  <c r="J2246" i="6"/>
  <c r="J2245" i="6"/>
  <c r="J2244" i="6"/>
  <c r="J2243" i="6"/>
  <c r="J2242" i="6"/>
  <c r="J2241" i="6"/>
  <c r="J2240" i="6"/>
  <c r="J2239" i="6"/>
  <c r="J2238" i="6"/>
  <c r="J2237" i="6"/>
  <c r="J2236" i="6"/>
  <c r="J2235" i="6"/>
  <c r="J2234" i="6"/>
  <c r="J2233" i="6"/>
  <c r="J2232" i="6"/>
  <c r="J2231" i="6"/>
  <c r="J2230" i="6"/>
  <c r="J2229" i="6"/>
  <c r="J2228" i="6"/>
  <c r="J2227" i="6"/>
  <c r="J2226" i="6"/>
  <c r="J2225" i="6"/>
  <c r="J2224" i="6"/>
  <c r="J2223" i="6"/>
  <c r="J2222" i="6"/>
  <c r="J2221" i="6"/>
  <c r="J2220" i="6"/>
  <c r="J2219" i="6"/>
  <c r="J2218" i="6"/>
  <c r="J2217" i="6"/>
  <c r="J2216" i="6"/>
  <c r="J2215" i="6"/>
  <c r="J2214" i="6"/>
  <c r="J2213" i="6"/>
  <c r="J2212" i="6"/>
  <c r="J2211" i="6"/>
  <c r="J2210" i="6"/>
  <c r="J2209" i="6"/>
  <c r="J2208" i="6"/>
  <c r="J2207" i="6"/>
  <c r="J2206" i="6"/>
  <c r="J2205" i="6"/>
  <c r="J2204" i="6"/>
  <c r="J2203" i="6"/>
  <c r="J2202" i="6"/>
  <c r="J2201" i="6"/>
  <c r="J2200" i="6"/>
  <c r="J2199" i="6"/>
  <c r="J2198" i="6"/>
  <c r="J2197" i="6"/>
  <c r="J2196" i="6"/>
  <c r="J2195" i="6"/>
  <c r="J2194" i="6"/>
  <c r="J2193" i="6"/>
  <c r="J2192" i="6"/>
  <c r="J2191" i="6"/>
  <c r="J2190" i="6"/>
  <c r="J2189" i="6"/>
  <c r="J2188" i="6"/>
  <c r="J2187" i="6"/>
  <c r="J2186" i="6"/>
  <c r="J2185" i="6"/>
  <c r="J2184" i="6"/>
  <c r="J2183" i="6"/>
  <c r="J2182" i="6"/>
  <c r="J2181" i="6"/>
  <c r="J2180" i="6"/>
  <c r="J2179" i="6"/>
  <c r="J2178" i="6"/>
  <c r="J2177" i="6"/>
  <c r="J2176" i="6"/>
  <c r="J2175" i="6"/>
  <c r="J2174" i="6"/>
  <c r="J2173" i="6"/>
  <c r="J2172" i="6"/>
  <c r="J2171" i="6"/>
  <c r="J2170" i="6"/>
  <c r="J2169" i="6"/>
  <c r="J2168" i="6"/>
  <c r="J2167" i="6"/>
  <c r="J2166" i="6"/>
  <c r="J2165" i="6"/>
  <c r="J2164" i="6"/>
  <c r="J2163" i="6"/>
  <c r="J2162" i="6"/>
  <c r="J2161" i="6"/>
  <c r="J2160" i="6"/>
  <c r="J2159" i="6"/>
  <c r="J2158" i="6"/>
  <c r="J2157" i="6"/>
  <c r="J2156" i="6"/>
  <c r="J2155" i="6"/>
  <c r="J2154" i="6"/>
  <c r="J2153" i="6"/>
  <c r="J2152" i="6"/>
  <c r="J2151" i="6"/>
  <c r="J2150" i="6"/>
  <c r="J2149" i="6"/>
  <c r="J2148" i="6"/>
  <c r="J2147" i="6"/>
  <c r="J2146" i="6"/>
  <c r="J2145" i="6"/>
  <c r="J2144" i="6"/>
  <c r="J2143" i="6"/>
  <c r="J2142" i="6"/>
  <c r="J2141" i="6"/>
  <c r="J2140" i="6"/>
  <c r="J2139" i="6"/>
  <c r="J2138" i="6"/>
  <c r="J2137" i="6"/>
  <c r="J2136" i="6"/>
  <c r="J2135" i="6"/>
  <c r="J2134" i="6"/>
  <c r="J2133" i="6"/>
  <c r="J2132" i="6"/>
  <c r="J2131" i="6"/>
  <c r="J2130" i="6"/>
  <c r="J2129" i="6"/>
  <c r="J2128" i="6"/>
  <c r="J2127" i="6"/>
  <c r="J2126" i="6"/>
  <c r="J2125" i="6"/>
  <c r="J2124" i="6"/>
  <c r="J2123" i="6"/>
  <c r="J2122" i="6"/>
  <c r="J2121" i="6"/>
  <c r="J2120" i="6"/>
  <c r="J2119" i="6"/>
  <c r="J2118" i="6"/>
  <c r="J2117" i="6"/>
  <c r="J2116" i="6"/>
  <c r="J2115" i="6"/>
  <c r="J2114" i="6"/>
  <c r="J2113" i="6"/>
  <c r="J2112" i="6"/>
  <c r="J2111" i="6"/>
  <c r="J2110" i="6"/>
  <c r="J2109" i="6"/>
  <c r="J2108" i="6"/>
  <c r="J2107" i="6"/>
  <c r="F1924" i="6"/>
  <c r="F1914" i="6"/>
  <c r="F1915" i="6"/>
  <c r="F1916" i="6"/>
  <c r="F1917" i="6"/>
  <c r="F1918" i="6"/>
  <c r="F1919" i="6"/>
  <c r="F1920" i="6"/>
  <c r="F1921" i="6"/>
  <c r="F1922" i="6"/>
  <c r="F1923" i="6"/>
  <c r="F1925" i="6"/>
  <c r="F1926" i="6"/>
  <c r="F1927" i="6"/>
  <c r="F1928" i="6"/>
  <c r="F1929" i="6"/>
  <c r="F1930" i="6"/>
  <c r="F1931" i="6"/>
  <c r="F1932" i="6"/>
  <c r="F1933" i="6"/>
  <c r="F1934" i="6"/>
  <c r="F1935" i="6"/>
  <c r="F1936" i="6"/>
  <c r="F1937" i="6"/>
  <c r="F1938" i="6"/>
  <c r="F1939" i="6"/>
  <c r="F1940" i="6"/>
  <c r="F1941" i="6"/>
  <c r="F1942" i="6"/>
  <c r="F1943" i="6"/>
  <c r="F1944" i="6"/>
  <c r="F1945" i="6"/>
  <c r="F1946" i="6"/>
  <c r="F1947" i="6"/>
  <c r="F1948" i="6"/>
  <c r="F1949" i="6"/>
  <c r="F1950" i="6"/>
  <c r="F1951" i="6"/>
  <c r="F1952" i="6"/>
  <c r="F1953" i="6"/>
  <c r="F1954" i="6"/>
  <c r="F1955" i="6"/>
  <c r="F1956" i="6"/>
  <c r="F1957" i="6"/>
  <c r="F1958" i="6"/>
  <c r="F1959" i="6"/>
  <c r="F1960" i="6"/>
  <c r="F1961" i="6"/>
  <c r="F1962" i="6"/>
  <c r="F1963" i="6"/>
  <c r="F1964" i="6"/>
  <c r="F1965" i="6"/>
  <c r="F1966" i="6"/>
  <c r="F1967" i="6"/>
  <c r="F1968" i="6"/>
  <c r="F1969" i="6"/>
  <c r="F1970" i="6"/>
  <c r="F1971" i="6"/>
  <c r="F1972" i="6"/>
  <c r="F1973" i="6"/>
  <c r="F1974" i="6"/>
  <c r="F1975" i="6"/>
  <c r="F1976" i="6"/>
  <c r="F1977" i="6"/>
  <c r="F1978" i="6"/>
  <c r="F1979" i="6"/>
  <c r="F1980" i="6"/>
  <c r="F1981" i="6"/>
  <c r="F1982" i="6"/>
  <c r="F1983" i="6"/>
  <c r="F1984" i="6"/>
  <c r="F1985" i="6"/>
  <c r="F1986" i="6"/>
  <c r="F1987" i="6"/>
  <c r="F1988" i="6"/>
  <c r="F1989" i="6"/>
  <c r="F1990" i="6"/>
  <c r="F1991" i="6"/>
  <c r="F1992" i="6"/>
  <c r="F1993" i="6"/>
  <c r="F1994" i="6"/>
  <c r="F1995" i="6"/>
  <c r="F1996" i="6"/>
  <c r="F1997" i="6"/>
  <c r="F1998" i="6"/>
  <c r="F1999" i="6"/>
  <c r="F2000" i="6"/>
  <c r="F2001" i="6"/>
  <c r="F2002" i="6"/>
  <c r="F2003" i="6"/>
  <c r="F2004" i="6"/>
  <c r="F2005" i="6"/>
  <c r="F2006" i="6"/>
  <c r="F2007" i="6"/>
  <c r="F2008" i="6"/>
  <c r="F2009" i="6"/>
  <c r="F2010" i="6"/>
  <c r="F2011" i="6"/>
  <c r="F2012" i="6"/>
  <c r="F2013" i="6"/>
  <c r="F2014" i="6"/>
  <c r="F2015" i="6"/>
  <c r="F2016" i="6"/>
  <c r="F2017" i="6"/>
  <c r="F2018" i="6"/>
  <c r="F2019" i="6"/>
  <c r="F2020" i="6"/>
  <c r="F2021" i="6"/>
  <c r="F2022" i="6"/>
  <c r="F2023" i="6"/>
  <c r="F2024" i="6"/>
  <c r="F2025" i="6"/>
  <c r="F2026" i="6"/>
  <c r="F2027" i="6"/>
  <c r="F2028" i="6"/>
  <c r="F2029" i="6"/>
  <c r="F2030" i="6"/>
  <c r="F2031" i="6"/>
  <c r="F2032" i="6"/>
  <c r="F2033" i="6"/>
  <c r="F2034" i="6"/>
  <c r="F2035" i="6"/>
  <c r="F2036" i="6"/>
  <c r="F2037" i="6"/>
  <c r="F2038" i="6"/>
  <c r="F2039" i="6"/>
  <c r="F2040" i="6"/>
  <c r="F2041" i="6"/>
  <c r="F2042" i="6"/>
  <c r="F2043" i="6"/>
  <c r="F2044" i="6"/>
  <c r="F2045" i="6"/>
  <c r="F2046" i="6"/>
  <c r="F2047" i="6"/>
  <c r="F2048" i="6"/>
  <c r="F2049" i="6"/>
  <c r="F2050" i="6"/>
  <c r="F2051" i="6"/>
  <c r="F2052" i="6"/>
  <c r="F2053" i="6"/>
  <c r="F2054" i="6"/>
  <c r="F2055" i="6"/>
  <c r="F2056" i="6"/>
  <c r="F2057" i="6"/>
  <c r="F2058" i="6"/>
  <c r="F2059" i="6"/>
  <c r="F2060" i="6"/>
  <c r="F2061" i="6"/>
  <c r="F2062" i="6"/>
  <c r="F2063" i="6"/>
  <c r="F2064" i="6"/>
  <c r="F2065" i="6"/>
  <c r="F2066" i="6"/>
  <c r="F2067" i="6"/>
  <c r="F2068" i="6"/>
  <c r="F2069" i="6"/>
  <c r="F2070" i="6"/>
  <c r="F2071" i="6"/>
  <c r="F2072" i="6"/>
  <c r="F2073" i="6"/>
  <c r="F2074" i="6"/>
  <c r="F2075" i="6"/>
  <c r="F2076" i="6"/>
  <c r="F2077" i="6"/>
  <c r="F2078" i="6"/>
  <c r="F2079" i="6"/>
  <c r="F2080" i="6"/>
  <c r="F2081" i="6"/>
  <c r="F2082" i="6"/>
  <c r="F2083" i="6"/>
  <c r="F2084" i="6"/>
  <c r="F2085" i="6"/>
  <c r="F2086" i="6"/>
  <c r="F2087" i="6"/>
  <c r="F2088" i="6"/>
  <c r="F2089" i="6"/>
  <c r="F2090" i="6"/>
  <c r="F2091" i="6"/>
  <c r="F2092" i="6"/>
  <c r="F2093" i="6"/>
  <c r="F2094" i="6"/>
  <c r="F2095" i="6"/>
  <c r="F2096" i="6"/>
  <c r="F2097" i="6"/>
  <c r="F2098" i="6"/>
  <c r="F2099" i="6"/>
  <c r="F2100" i="6"/>
  <c r="F2101" i="6"/>
  <c r="F2102" i="6"/>
  <c r="F2103" i="6"/>
  <c r="F2104" i="6"/>
  <c r="F2105" i="6"/>
  <c r="F2106" i="6"/>
  <c r="F2107" i="6"/>
  <c r="F2108" i="6"/>
  <c r="F2109" i="6"/>
  <c r="F2110" i="6"/>
  <c r="F2111" i="6"/>
  <c r="F2112" i="6"/>
  <c r="F2113" i="6"/>
  <c r="F2114" i="6"/>
  <c r="F2115" i="6"/>
  <c r="F2116" i="6"/>
  <c r="F2117" i="6"/>
  <c r="F2118" i="6"/>
  <c r="F2119" i="6"/>
  <c r="F2120" i="6"/>
  <c r="F2121" i="6"/>
  <c r="F2122" i="6"/>
  <c r="F2123" i="6"/>
  <c r="F2124" i="6"/>
  <c r="F2125" i="6"/>
  <c r="F2126" i="6"/>
  <c r="F2127" i="6"/>
  <c r="F2128" i="6"/>
  <c r="F2129" i="6"/>
  <c r="F2130" i="6"/>
  <c r="F2131" i="6"/>
  <c r="F2132" i="6"/>
  <c r="F2133" i="6"/>
  <c r="F2134" i="6"/>
  <c r="F2135" i="6"/>
  <c r="F2136" i="6"/>
  <c r="F2137" i="6"/>
  <c r="F2138" i="6"/>
  <c r="F2139" i="6"/>
  <c r="F2140" i="6"/>
  <c r="F2141" i="6"/>
  <c r="F2142" i="6"/>
  <c r="F2143" i="6"/>
  <c r="F2144" i="6"/>
  <c r="F2145" i="6"/>
  <c r="F2146" i="6"/>
  <c r="F2147" i="6"/>
  <c r="F2148" i="6"/>
  <c r="F2149" i="6"/>
  <c r="F2150" i="6"/>
  <c r="F2151" i="6"/>
  <c r="F2152" i="6"/>
  <c r="F2153" i="6"/>
  <c r="F2154" i="6"/>
  <c r="F2155" i="6"/>
  <c r="F2156" i="6"/>
  <c r="F2157" i="6"/>
  <c r="F2158" i="6"/>
  <c r="F2159" i="6"/>
  <c r="F2160" i="6"/>
  <c r="F2161" i="6"/>
  <c r="F2162" i="6"/>
  <c r="F2163" i="6"/>
  <c r="F2164" i="6"/>
  <c r="F2165" i="6"/>
  <c r="F2166" i="6"/>
  <c r="F2167" i="6"/>
  <c r="F2168" i="6"/>
  <c r="F2169" i="6"/>
  <c r="F2170" i="6"/>
  <c r="F2171" i="6"/>
  <c r="F2172" i="6"/>
  <c r="F2173" i="6"/>
  <c r="F2174" i="6"/>
  <c r="F2175" i="6"/>
  <c r="F2176" i="6"/>
  <c r="F2177" i="6"/>
  <c r="F2178" i="6"/>
  <c r="F2179" i="6"/>
  <c r="F2180" i="6"/>
  <c r="F2181" i="6"/>
  <c r="F2182" i="6"/>
  <c r="F2183" i="6"/>
  <c r="F2184" i="6"/>
  <c r="F2185" i="6"/>
  <c r="F2186" i="6"/>
  <c r="F2187" i="6"/>
  <c r="F2188" i="6"/>
  <c r="F2189" i="6"/>
  <c r="F2190" i="6"/>
  <c r="F2191" i="6"/>
  <c r="F2192" i="6"/>
  <c r="F2193" i="6"/>
  <c r="F2194" i="6"/>
  <c r="F2195" i="6"/>
  <c r="F2196" i="6"/>
  <c r="F2197" i="6"/>
  <c r="F2198" i="6"/>
  <c r="F2199" i="6"/>
  <c r="F2200" i="6"/>
  <c r="F2201" i="6"/>
  <c r="F2202" i="6"/>
  <c r="F2203" i="6"/>
  <c r="F2204" i="6"/>
  <c r="F2205" i="6"/>
  <c r="F2206" i="6"/>
  <c r="F2207" i="6"/>
  <c r="F2208" i="6"/>
  <c r="F2209" i="6"/>
  <c r="F2210" i="6"/>
  <c r="F2211" i="6"/>
  <c r="F2212" i="6"/>
  <c r="F2213" i="6"/>
  <c r="F2214" i="6"/>
  <c r="F2215" i="6"/>
  <c r="F2216" i="6"/>
  <c r="F2217" i="6"/>
  <c r="F2218" i="6"/>
  <c r="F2219" i="6"/>
  <c r="F2220" i="6"/>
  <c r="F2221" i="6"/>
  <c r="F2222" i="6"/>
  <c r="F2223" i="6"/>
  <c r="F2224" i="6"/>
  <c r="F2225" i="6"/>
  <c r="F2226" i="6"/>
  <c r="F2227" i="6"/>
  <c r="F2228" i="6"/>
  <c r="F2229" i="6"/>
  <c r="F2230" i="6"/>
  <c r="F2231" i="6"/>
  <c r="F2232" i="6"/>
  <c r="F2233" i="6"/>
  <c r="F2234" i="6"/>
  <c r="F2235" i="6"/>
  <c r="F2236" i="6"/>
  <c r="F2237" i="6"/>
  <c r="F2238" i="6"/>
  <c r="F2239" i="6"/>
  <c r="F2240" i="6"/>
  <c r="F2241" i="6"/>
  <c r="F2242" i="6"/>
  <c r="F2243" i="6"/>
  <c r="F2244" i="6"/>
  <c r="F2245" i="6"/>
  <c r="F2246" i="6"/>
  <c r="F2247" i="6"/>
  <c r="F2248" i="6"/>
  <c r="F2249" i="6"/>
  <c r="F2250" i="6"/>
  <c r="F2251" i="6"/>
  <c r="F2252" i="6"/>
  <c r="F2253" i="6"/>
  <c r="F2254" i="6"/>
  <c r="F2255" i="6"/>
  <c r="F2256" i="6"/>
  <c r="F2257" i="6"/>
  <c r="F2258" i="6"/>
  <c r="F2259" i="6"/>
  <c r="F2260" i="6"/>
  <c r="F2261" i="6"/>
  <c r="F2262" i="6"/>
  <c r="F2263" i="6"/>
  <c r="F2264" i="6"/>
  <c r="F2265" i="6"/>
  <c r="F2266" i="6"/>
  <c r="F2267" i="6"/>
  <c r="F2268" i="6"/>
  <c r="F2269" i="6"/>
  <c r="F2270" i="6"/>
  <c r="F2271" i="6"/>
  <c r="F2272" i="6"/>
  <c r="F2273" i="6"/>
  <c r="F2274" i="6"/>
  <c r="F2275" i="6"/>
  <c r="F2276" i="6"/>
  <c r="F2277" i="6"/>
  <c r="F2278" i="6"/>
  <c r="F2279" i="6"/>
  <c r="F2280" i="6"/>
  <c r="F2281" i="6"/>
  <c r="F2282" i="6"/>
  <c r="F2283" i="6"/>
  <c r="F2284" i="6"/>
  <c r="F2285" i="6"/>
  <c r="F2286" i="6"/>
  <c r="F2287" i="6"/>
  <c r="F2288" i="6"/>
  <c r="F2289" i="6"/>
  <c r="F2290" i="6"/>
  <c r="F2291" i="6"/>
  <c r="F2292" i="6"/>
  <c r="F2293" i="6"/>
  <c r="F2294" i="6"/>
  <c r="F2295" i="6"/>
  <c r="F2296" i="6"/>
  <c r="F2297" i="6"/>
  <c r="F2298" i="6"/>
  <c r="F2299" i="6"/>
  <c r="AF1083" i="7"/>
  <c r="AF1082" i="7"/>
  <c r="AF1081" i="7"/>
  <c r="AF1080" i="7"/>
  <c r="V1080" i="7"/>
  <c r="AF1079" i="7"/>
  <c r="AG1078" i="7"/>
  <c r="AE1078" i="7"/>
  <c r="AD1078" i="7"/>
  <c r="AC1078" i="7"/>
  <c r="AB1078" i="7"/>
  <c r="AA1078" i="7"/>
  <c r="Z1078" i="7"/>
  <c r="Y1078" i="7"/>
  <c r="X1078" i="7"/>
  <c r="W1052" i="7"/>
  <c r="X1052" i="7"/>
  <c r="Y1052" i="7"/>
  <c r="Z1052" i="7"/>
  <c r="AA1052" i="7"/>
  <c r="AB1052" i="7"/>
  <c r="AC1052" i="7"/>
  <c r="AD1052" i="7"/>
  <c r="AE1052" i="7"/>
  <c r="AG1052" i="7"/>
  <c r="AF1054" i="7"/>
  <c r="AF1055" i="7"/>
  <c r="AF1056" i="7"/>
  <c r="AF1057" i="7"/>
  <c r="AF1060" i="7"/>
  <c r="AF1061" i="7"/>
  <c r="AF1062" i="7"/>
  <c r="AF1063" i="7"/>
  <c r="AF1064" i="7"/>
  <c r="AF1065" i="7"/>
  <c r="V1066" i="7"/>
  <c r="AF1066" i="7"/>
  <c r="AF1067" i="7"/>
  <c r="AF1068" i="7"/>
  <c r="AF1070" i="7"/>
  <c r="K1043" i="7"/>
  <c r="K1042" i="7"/>
  <c r="J1043" i="7"/>
  <c r="J1042" i="7"/>
  <c r="F1043" i="7"/>
  <c r="F1042" i="7"/>
  <c r="DJ48" i="11"/>
  <c r="DJ38" i="11"/>
  <c r="DJ29" i="11"/>
  <c r="DJ28" i="11"/>
  <c r="DJ10" i="11"/>
  <c r="DJ9" i="11"/>
  <c r="DJ8" i="11"/>
  <c r="DJ7" i="11"/>
  <c r="DJ1233" i="7"/>
  <c r="DJ1231" i="7"/>
  <c r="DJ1229" i="7"/>
  <c r="DJ1227" i="7"/>
  <c r="DJ1225" i="7"/>
  <c r="DJ1223" i="7"/>
  <c r="DJ1221" i="7"/>
  <c r="DJ1219" i="7"/>
  <c r="DJ1093" i="7"/>
  <c r="DJ1091" i="7"/>
  <c r="DJ890" i="7"/>
  <c r="DJ888" i="7"/>
  <c r="DJ886" i="7"/>
  <c r="DJ884" i="7"/>
  <c r="DJ882" i="7"/>
  <c r="DJ880" i="7"/>
  <c r="DJ878" i="7"/>
  <c r="DJ876" i="7"/>
  <c r="DJ874" i="7"/>
  <c r="DJ872" i="7"/>
  <c r="DJ870" i="7"/>
  <c r="DJ868" i="7"/>
  <c r="DJ666" i="7"/>
  <c r="DJ664" i="7"/>
  <c r="DJ662" i="7"/>
  <c r="DJ660" i="7"/>
  <c r="DJ658" i="7"/>
  <c r="DJ656" i="7"/>
  <c r="DJ654" i="7"/>
  <c r="DJ652" i="7"/>
  <c r="DJ650" i="7"/>
  <c r="DJ648" i="7"/>
  <c r="DJ646" i="7"/>
  <c r="DJ644" i="7"/>
  <c r="DJ642" i="7"/>
  <c r="DJ640" i="7"/>
  <c r="DJ15" i="7"/>
  <c r="DJ4644" i="6"/>
  <c r="DJ4642" i="6"/>
  <c r="DJ4640" i="6"/>
  <c r="DJ4638" i="6"/>
  <c r="DJ4636" i="6"/>
  <c r="DJ4634" i="6"/>
  <c r="DJ4632" i="6"/>
  <c r="DJ4630" i="6"/>
  <c r="DJ4628" i="6"/>
  <c r="DJ4626" i="6"/>
  <c r="DJ4624" i="6"/>
  <c r="DJ4622" i="6"/>
  <c r="DJ4620" i="6"/>
  <c r="DJ4618" i="6"/>
  <c r="DJ4571" i="6"/>
  <c r="DJ4569" i="6"/>
  <c r="DJ4567" i="6"/>
  <c r="DJ4565" i="6"/>
  <c r="DJ4563" i="6"/>
  <c r="DJ4562" i="6"/>
  <c r="DJ4561" i="6"/>
  <c r="DJ4559" i="6"/>
  <c r="DJ4558" i="6"/>
  <c r="DJ4557" i="6"/>
  <c r="DJ4555" i="6"/>
  <c r="DJ4554" i="6"/>
  <c r="DJ4553" i="6"/>
  <c r="DJ4551" i="6"/>
  <c r="DJ4550" i="6"/>
  <c r="DJ4549" i="6"/>
  <c r="DJ4547" i="6"/>
  <c r="DJ4545" i="6"/>
  <c r="DJ4543" i="6"/>
  <c r="DJ4541" i="6"/>
  <c r="DJ4539" i="6"/>
  <c r="DJ4538" i="6"/>
  <c r="DJ4537" i="6"/>
  <c r="DJ4535" i="6"/>
  <c r="DJ4534" i="6"/>
  <c r="DJ4533" i="6"/>
  <c r="DJ4531" i="6"/>
  <c r="DJ4530" i="6"/>
  <c r="DJ4529" i="6"/>
  <c r="DJ4527" i="6"/>
  <c r="DJ4526" i="6"/>
  <c r="DJ4525" i="6"/>
  <c r="DJ4523" i="6"/>
  <c r="DJ4521" i="6"/>
  <c r="DJ4519" i="6"/>
  <c r="DJ4517" i="6"/>
  <c r="DJ4515" i="6"/>
  <c r="DJ4514" i="6"/>
  <c r="DJ4513" i="6"/>
  <c r="DJ4511" i="6"/>
  <c r="DJ4510" i="6"/>
  <c r="DJ4509" i="6"/>
  <c r="DJ4507" i="6"/>
  <c r="DJ4506" i="6"/>
  <c r="DJ4505" i="6"/>
  <c r="DJ4503" i="6"/>
  <c r="DJ4502" i="6"/>
  <c r="DJ4501" i="6"/>
  <c r="DJ4499" i="6"/>
  <c r="DJ4497" i="6"/>
  <c r="DJ4495" i="6"/>
  <c r="DJ4493" i="6"/>
  <c r="DJ4491" i="6"/>
  <c r="DJ4490" i="6"/>
  <c r="DJ4489" i="6"/>
  <c r="DJ4487" i="6"/>
  <c r="DJ4486" i="6"/>
  <c r="DJ4485" i="6"/>
  <c r="DJ4483" i="6"/>
  <c r="DJ4482" i="6"/>
  <c r="DJ4481" i="6"/>
  <c r="DJ4479" i="6"/>
  <c r="DJ4478" i="6"/>
  <c r="DJ4477" i="6"/>
  <c r="DJ1386" i="6"/>
  <c r="DJ1385" i="6"/>
  <c r="DJ1384" i="6"/>
  <c r="DJ1383" i="6"/>
  <c r="DJ1382" i="6"/>
  <c r="DJ1381" i="6"/>
  <c r="DJ1380" i="6"/>
  <c r="DJ1379" i="6"/>
  <c r="DJ1378" i="6"/>
  <c r="DJ1377" i="6"/>
  <c r="DJ1376" i="6"/>
  <c r="DJ1375" i="6"/>
  <c r="DJ1374" i="6"/>
  <c r="DJ1373" i="6"/>
  <c r="DJ1280" i="6"/>
  <c r="DJ1278" i="6"/>
  <c r="DJ1276" i="6"/>
  <c r="DJ1274" i="6"/>
  <c r="DJ1272" i="6"/>
  <c r="DJ1270" i="6"/>
  <c r="DJ99" i="6"/>
  <c r="DJ71" i="16"/>
  <c r="DJ69" i="16"/>
  <c r="DJ67" i="16"/>
  <c r="DJ65" i="16"/>
  <c r="DJ63" i="16"/>
  <c r="DJ61" i="16"/>
  <c r="DJ59" i="16"/>
  <c r="DJ57" i="16"/>
  <c r="DJ55" i="16"/>
  <c r="DJ53" i="16"/>
  <c r="DJ51" i="16"/>
  <c r="DJ49" i="16"/>
  <c r="DJ908" i="2"/>
  <c r="DJ907" i="2"/>
  <c r="DJ906" i="2"/>
  <c r="DJ905" i="2"/>
  <c r="DJ904" i="2"/>
  <c r="DJ888" i="2"/>
  <c r="DJ887" i="2"/>
  <c r="DJ870" i="2"/>
  <c r="DJ869" i="2"/>
  <c r="DJ852" i="2"/>
  <c r="DJ851" i="2"/>
  <c r="DJ835" i="2"/>
  <c r="DJ817" i="2"/>
  <c r="DJ816" i="2"/>
  <c r="DJ815" i="2"/>
  <c r="DJ799" i="2"/>
  <c r="DJ783" i="2"/>
  <c r="DJ767" i="2"/>
  <c r="DJ751" i="2"/>
  <c r="DJ734" i="2"/>
  <c r="DJ733" i="2"/>
  <c r="DJ717" i="2"/>
  <c r="DJ699" i="2"/>
  <c r="DJ698" i="2"/>
  <c r="DJ697" i="2"/>
  <c r="DJ680" i="2"/>
  <c r="DJ679" i="2"/>
  <c r="DJ657" i="2"/>
  <c r="DJ656" i="2"/>
  <c r="DJ633" i="2"/>
  <c r="DJ632" i="2"/>
  <c r="DJ631" i="2"/>
  <c r="DJ630" i="2"/>
  <c r="DJ629" i="2"/>
  <c r="DJ628" i="2"/>
  <c r="DJ627" i="2"/>
  <c r="DJ611" i="2"/>
  <c r="DJ610" i="2"/>
  <c r="DJ609" i="2"/>
  <c r="DJ589" i="2"/>
  <c r="DJ588" i="2"/>
  <c r="DJ587" i="2"/>
  <c r="DJ586" i="2"/>
  <c r="DJ585" i="2"/>
  <c r="DJ584" i="2"/>
  <c r="DJ583" i="2"/>
  <c r="DJ563" i="2"/>
  <c r="DJ562" i="2"/>
  <c r="DJ561" i="2"/>
  <c r="DJ560" i="2"/>
  <c r="DJ559" i="2"/>
  <c r="DJ558" i="2"/>
  <c r="DJ557" i="2"/>
  <c r="DJ539" i="2"/>
  <c r="DJ538" i="2"/>
  <c r="DJ537" i="2"/>
  <c r="DJ520" i="2"/>
  <c r="DJ519" i="2"/>
  <c r="DJ518" i="2"/>
  <c r="DJ517" i="2"/>
  <c r="DJ475" i="2"/>
  <c r="DJ474" i="2"/>
  <c r="DJ321" i="2"/>
  <c r="DJ320" i="2"/>
  <c r="DJ319" i="2"/>
  <c r="DJ298" i="2"/>
  <c r="DJ297" i="2"/>
  <c r="DJ296" i="2"/>
  <c r="DJ295" i="2"/>
  <c r="DJ294" i="2"/>
  <c r="DJ278" i="2"/>
  <c r="DJ247" i="2"/>
  <c r="DJ246" i="2"/>
  <c r="DJ224" i="2"/>
  <c r="DJ223" i="2"/>
  <c r="DJ222" i="2"/>
  <c r="DJ221" i="2"/>
  <c r="DJ220" i="2"/>
  <c r="DJ219" i="2"/>
  <c r="DJ218" i="2"/>
  <c r="DJ200" i="2"/>
  <c r="DJ199" i="2"/>
  <c r="DJ171" i="2"/>
  <c r="DJ170" i="2"/>
  <c r="DJ169" i="2"/>
  <c r="DJ168" i="2"/>
  <c r="DJ167" i="2"/>
  <c r="DJ166" i="2"/>
  <c r="DJ165" i="2"/>
  <c r="DJ164" i="2"/>
  <c r="DJ163" i="2"/>
  <c r="DJ162" i="2"/>
  <c r="DJ161" i="2"/>
  <c r="DJ160" i="2"/>
  <c r="DJ159" i="2"/>
  <c r="DJ158" i="2"/>
  <c r="DJ157" i="2"/>
  <c r="DJ156" i="2"/>
  <c r="DJ155" i="2"/>
  <c r="DJ154" i="2"/>
  <c r="DJ153" i="2"/>
  <c r="DJ131" i="2"/>
  <c r="DJ99" i="2"/>
  <c r="DJ98" i="2"/>
  <c r="DJ80" i="2"/>
  <c r="DJ34" i="2" l="1"/>
  <c r="DJ33" i="2"/>
  <c r="DJ32" i="2"/>
  <c r="DJ31" i="2"/>
  <c r="DJ30" i="2"/>
  <c r="DJ29" i="2"/>
  <c r="DJ28" i="2"/>
  <c r="DJ27" i="2"/>
  <c r="DJ26" i="2"/>
  <c r="DJ25" i="2"/>
  <c r="DJ24" i="2"/>
  <c r="DJ23" i="2"/>
  <c r="DJ22" i="2"/>
  <c r="DJ21" i="2"/>
  <c r="DJ20" i="2"/>
  <c r="DJ19" i="2"/>
  <c r="DJ18" i="2"/>
  <c r="DJ17" i="2"/>
  <c r="DJ16" i="2"/>
  <c r="DJ15" i="2"/>
  <c r="DJ14" i="2"/>
  <c r="DJ13" i="2"/>
  <c r="DJ12" i="2"/>
  <c r="DJ11" i="2"/>
  <c r="DJ10" i="2"/>
  <c r="DJ9" i="2"/>
  <c r="DJ47" i="16"/>
  <c r="DJ153" i="16"/>
  <c r="DJ178" i="16"/>
  <c r="DJ200" i="16"/>
  <c r="DJ251" i="16"/>
  <c r="DJ286" i="16"/>
  <c r="DJ312" i="16"/>
  <c r="DJ350" i="16"/>
  <c r="DJ369" i="16"/>
  <c r="DJ388" i="16"/>
  <c r="DJ407" i="16"/>
  <c r="DJ79" i="2"/>
  <c r="DJ97" i="2"/>
  <c r="DJ125" i="2"/>
  <c r="DJ152" i="2"/>
  <c r="DJ198" i="2"/>
  <c r="DJ217" i="2"/>
  <c r="DJ245" i="2"/>
  <c r="DJ263" i="2"/>
  <c r="DJ277" i="2"/>
  <c r="DJ293" i="2"/>
  <c r="DJ318" i="2"/>
  <c r="DJ338" i="2"/>
  <c r="DJ353" i="2"/>
  <c r="DJ373" i="2"/>
  <c r="DJ403" i="2"/>
  <c r="AI80" i="15"/>
  <c r="AI78" i="15"/>
  <c r="D80" i="2"/>
  <c r="F80" i="2"/>
  <c r="F287" i="16" l="1"/>
  <c r="I7" i="22"/>
  <c r="D888" i="2" l="1"/>
  <c r="D887" i="2"/>
  <c r="D870" i="2"/>
  <c r="D869" i="2"/>
  <c r="D852" i="2"/>
  <c r="D851" i="2"/>
  <c r="D799" i="2"/>
  <c r="D783" i="2"/>
  <c r="D767" i="2"/>
  <c r="D751" i="2"/>
  <c r="D734" i="2"/>
  <c r="D717" i="2"/>
  <c r="D699" i="2"/>
  <c r="D698" i="2"/>
  <c r="D697" i="2"/>
  <c r="D680" i="2"/>
  <c r="D679" i="2"/>
  <c r="D657" i="2"/>
  <c r="D656" i="2"/>
  <c r="D633" i="2"/>
  <c r="D632" i="2"/>
  <c r="D631" i="2"/>
  <c r="D630" i="2"/>
  <c r="D629" i="2"/>
  <c r="D628" i="2"/>
  <c r="D627" i="2"/>
  <c r="D539" i="2"/>
  <c r="D538" i="2"/>
  <c r="D537" i="2"/>
  <c r="D520" i="2"/>
  <c r="D519" i="2"/>
  <c r="D518" i="2"/>
  <c r="D517" i="2"/>
  <c r="D475" i="2"/>
  <c r="D474" i="2"/>
  <c r="D298" i="2"/>
  <c r="D278" i="2"/>
  <c r="D247" i="2"/>
  <c r="D246" i="2"/>
  <c r="D130" i="2"/>
  <c r="D129" i="2"/>
  <c r="D128" i="2"/>
  <c r="D127" i="2"/>
  <c r="D126" i="2"/>
  <c r="F889" i="7"/>
  <c r="F887" i="7"/>
  <c r="F885" i="7"/>
  <c r="F883" i="7"/>
  <c r="F881" i="7"/>
  <c r="F879" i="7"/>
  <c r="F877" i="7"/>
  <c r="F875" i="7"/>
  <c r="F873" i="7"/>
  <c r="F872" i="7"/>
  <c r="F871" i="7"/>
  <c r="F870" i="7"/>
  <c r="F869" i="7"/>
  <c r="F868" i="7"/>
  <c r="F867" i="7"/>
  <c r="F1232" i="7"/>
  <c r="F1230" i="7"/>
  <c r="F1228" i="7"/>
  <c r="F1226" i="7"/>
  <c r="F1224" i="7"/>
  <c r="F1222" i="7"/>
  <c r="F1220" i="7"/>
  <c r="F1218" i="7"/>
  <c r="F4643" i="6"/>
  <c r="F4641" i="6"/>
  <c r="F4639" i="6"/>
  <c r="F4637" i="6"/>
  <c r="F4635" i="6"/>
  <c r="F4633" i="6"/>
  <c r="F4631" i="6"/>
  <c r="F4629" i="6"/>
  <c r="F4627" i="6"/>
  <c r="F4625" i="6"/>
  <c r="F4623" i="6"/>
  <c r="F4621" i="6"/>
  <c r="F4619" i="6"/>
  <c r="F4617" i="6"/>
  <c r="F70" i="16" l="1"/>
  <c r="F68" i="16"/>
  <c r="F66" i="16"/>
  <c r="F64" i="16"/>
  <c r="F62" i="16"/>
  <c r="F60" i="16"/>
  <c r="F58" i="16"/>
  <c r="F56" i="16"/>
  <c r="F54" i="16"/>
  <c r="F52" i="16"/>
  <c r="F50" i="16"/>
  <c r="F48" i="16"/>
  <c r="G340" i="2"/>
  <c r="H339" i="2"/>
  <c r="G339" i="2"/>
  <c r="F799" i="2" l="1"/>
  <c r="F7" i="11"/>
  <c r="F30" i="6"/>
  <c r="X30" i="6"/>
  <c r="F31" i="6"/>
  <c r="X31" i="6"/>
  <c r="V189" i="16"/>
  <c r="F155" i="16" l="1"/>
  <c r="F154" i="16"/>
  <c r="Y167" i="15"/>
  <c r="E445" i="2"/>
  <c r="CC668" i="2"/>
  <c r="CB668" i="2"/>
  <c r="CA668" i="2"/>
  <c r="BY668" i="2"/>
  <c r="BX668" i="2"/>
  <c r="BW668" i="2"/>
  <c r="BV668" i="2"/>
  <c r="CO668" i="2"/>
  <c r="CN668" i="2"/>
  <c r="CM668" i="2"/>
  <c r="CK668" i="2"/>
  <c r="CJ668" i="2"/>
  <c r="CI668" i="2"/>
  <c r="CH668" i="2"/>
  <c r="DC689" i="2"/>
  <c r="DA689" i="2"/>
  <c r="CZ689" i="2"/>
  <c r="CY689" i="2"/>
  <c r="CW689" i="2"/>
  <c r="CV689" i="2"/>
  <c r="CU689" i="2"/>
  <c r="CT689" i="2"/>
  <c r="CS689" i="2"/>
  <c r="CO689" i="2"/>
  <c r="CN689" i="2"/>
  <c r="CM689" i="2"/>
  <c r="CK689" i="2"/>
  <c r="CJ689" i="2"/>
  <c r="CI689" i="2"/>
  <c r="CH689" i="2"/>
  <c r="CC689" i="2"/>
  <c r="CB689" i="2"/>
  <c r="CA689" i="2"/>
  <c r="BZ689" i="2"/>
  <c r="BY689" i="2"/>
  <c r="BX689" i="2"/>
  <c r="BW689" i="2"/>
  <c r="BV689" i="2"/>
  <c r="BR689" i="2"/>
  <c r="BP689" i="2"/>
  <c r="BO689" i="2"/>
  <c r="BN689" i="2"/>
  <c r="BL689" i="2"/>
  <c r="BK689" i="2"/>
  <c r="BJ689" i="2"/>
  <c r="BI689" i="2"/>
  <c r="BH689" i="2"/>
  <c r="BD689" i="2"/>
  <c r="BC689" i="2"/>
  <c r="BB689" i="2"/>
  <c r="AZ689" i="2"/>
  <c r="AY689" i="2"/>
  <c r="AX689" i="2"/>
  <c r="AW689" i="2"/>
  <c r="AR689" i="2"/>
  <c r="AQ689" i="2"/>
  <c r="AP689" i="2"/>
  <c r="AO689" i="2"/>
  <c r="AN689" i="2"/>
  <c r="AM689" i="2"/>
  <c r="AL689" i="2"/>
  <c r="AK689" i="2"/>
  <c r="AG689" i="2"/>
  <c r="AE689" i="2"/>
  <c r="AD689" i="2"/>
  <c r="AC689" i="2"/>
  <c r="AA689" i="2"/>
  <c r="Z689" i="2"/>
  <c r="Y689" i="2"/>
  <c r="X689" i="2"/>
  <c r="W689" i="2"/>
  <c r="AG726" i="2"/>
  <c r="AE726" i="2"/>
  <c r="AD726" i="2"/>
  <c r="AC726" i="2"/>
  <c r="AA726" i="2"/>
  <c r="Z726" i="2"/>
  <c r="Y726" i="2"/>
  <c r="X726" i="2"/>
  <c r="W726" i="2"/>
  <c r="CP711" i="2"/>
  <c r="CP710" i="2"/>
  <c r="CP709" i="2"/>
  <c r="D710" i="2"/>
  <c r="K84" i="5"/>
  <c r="DC708" i="2"/>
  <c r="DA708" i="2"/>
  <c r="CZ708" i="2"/>
  <c r="CY708" i="2"/>
  <c r="CW708" i="2"/>
  <c r="CV708" i="2"/>
  <c r="CU708" i="2"/>
  <c r="CT708" i="2"/>
  <c r="CS708" i="2"/>
  <c r="CO708" i="2"/>
  <c r="CN708" i="2"/>
  <c r="CM708" i="2"/>
  <c r="CK708" i="2"/>
  <c r="CJ708" i="2"/>
  <c r="CI708" i="2"/>
  <c r="CH708" i="2"/>
  <c r="CC708" i="2"/>
  <c r="CB708" i="2"/>
  <c r="CA708" i="2"/>
  <c r="BZ708" i="2"/>
  <c r="BY708" i="2"/>
  <c r="BX708" i="2"/>
  <c r="BW708" i="2"/>
  <c r="BV708" i="2"/>
  <c r="BR708" i="2"/>
  <c r="BP708" i="2"/>
  <c r="BO708" i="2"/>
  <c r="BN708" i="2"/>
  <c r="BL708" i="2"/>
  <c r="BK708" i="2"/>
  <c r="BJ708" i="2"/>
  <c r="BI708" i="2"/>
  <c r="BH708" i="2"/>
  <c r="BD708" i="2"/>
  <c r="BC708" i="2"/>
  <c r="BB708" i="2"/>
  <c r="AZ708" i="2"/>
  <c r="AY708" i="2"/>
  <c r="AX708" i="2"/>
  <c r="AW708" i="2"/>
  <c r="AR708" i="2"/>
  <c r="AQ708" i="2"/>
  <c r="AP708" i="2"/>
  <c r="AO708" i="2"/>
  <c r="AN708" i="2"/>
  <c r="AM708" i="2"/>
  <c r="AL708" i="2"/>
  <c r="AK708" i="2"/>
  <c r="AG708" i="2"/>
  <c r="AE708" i="2"/>
  <c r="AD708" i="2"/>
  <c r="AC708" i="2"/>
  <c r="AA708" i="2"/>
  <c r="Z708" i="2"/>
  <c r="Y708" i="2"/>
  <c r="X708" i="2"/>
  <c r="W708" i="2"/>
  <c r="BP760" i="2"/>
  <c r="BO760" i="2"/>
  <c r="BN760" i="2"/>
  <c r="BL760" i="2"/>
  <c r="BK760" i="2"/>
  <c r="BJ760" i="2"/>
  <c r="BI760" i="2"/>
  <c r="BD760" i="2"/>
  <c r="BC760" i="2"/>
  <c r="BB760" i="2"/>
  <c r="AZ760" i="2"/>
  <c r="AY760" i="2"/>
  <c r="AX760" i="2"/>
  <c r="AW760" i="2"/>
  <c r="AR760" i="2"/>
  <c r="AQ760" i="2"/>
  <c r="AP760" i="2"/>
  <c r="AO760" i="2"/>
  <c r="AN760" i="2"/>
  <c r="AM760" i="2"/>
  <c r="AL760" i="2"/>
  <c r="AK760" i="2"/>
  <c r="AG760" i="2"/>
  <c r="AE760" i="2"/>
  <c r="AD760" i="2"/>
  <c r="AC760" i="2"/>
  <c r="AA760" i="2"/>
  <c r="Z760" i="2"/>
  <c r="Y760" i="2"/>
  <c r="X760" i="2"/>
  <c r="W760" i="2"/>
  <c r="BP776" i="2"/>
  <c r="BO776" i="2"/>
  <c r="BN776" i="2"/>
  <c r="BL776" i="2"/>
  <c r="BK776" i="2"/>
  <c r="BJ776" i="2"/>
  <c r="BI776" i="2"/>
  <c r="BD776" i="2"/>
  <c r="BC776" i="2"/>
  <c r="BB776" i="2"/>
  <c r="AZ776" i="2"/>
  <c r="AY776" i="2"/>
  <c r="AX776" i="2"/>
  <c r="AW776" i="2"/>
  <c r="AR776" i="2"/>
  <c r="AQ776" i="2"/>
  <c r="AP776" i="2"/>
  <c r="AO776" i="2"/>
  <c r="AN776" i="2"/>
  <c r="AM776" i="2"/>
  <c r="AL776" i="2"/>
  <c r="AK776" i="2"/>
  <c r="AG776" i="2"/>
  <c r="AE776" i="2"/>
  <c r="AD776" i="2"/>
  <c r="AC776" i="2"/>
  <c r="AA776" i="2"/>
  <c r="Z776" i="2"/>
  <c r="Y776" i="2"/>
  <c r="X776" i="2"/>
  <c r="W776" i="2"/>
  <c r="DH905" i="2" l="1"/>
  <c r="BE887" i="2"/>
  <c r="BE870" i="2"/>
  <c r="BE869" i="2"/>
  <c r="BE817" i="2"/>
  <c r="BE816" i="2"/>
  <c r="BE815" i="2"/>
  <c r="BE799" i="2"/>
  <c r="AI730" i="15"/>
  <c r="AD730" i="15"/>
  <c r="AB730" i="15"/>
  <c r="X730" i="15"/>
  <c r="Z730" i="15" s="1"/>
  <c r="H730" i="15"/>
  <c r="G730" i="15"/>
  <c r="AX730" i="15" s="1"/>
  <c r="C730" i="15"/>
  <c r="B730" i="15"/>
  <c r="A730" i="15" s="1"/>
  <c r="AZ730" i="15" s="1"/>
  <c r="AI41" i="15"/>
  <c r="AI39" i="15"/>
  <c r="AI38" i="15"/>
  <c r="F888" i="2"/>
  <c r="I730" i="15" s="1"/>
  <c r="DH888" i="2"/>
  <c r="DI888" i="2" s="1"/>
  <c r="AE730" i="15" s="1"/>
  <c r="AC730" i="15" s="1"/>
  <c r="B888" i="2"/>
  <c r="H888" i="2"/>
  <c r="F851" i="2"/>
  <c r="I888" i="2" l="1"/>
  <c r="O730" i="15" s="1"/>
  <c r="W730" i="15"/>
  <c r="V730" i="15" s="1"/>
  <c r="U730" i="15" s="1"/>
  <c r="DG888" i="2"/>
  <c r="AA730" i="15" s="1"/>
  <c r="K129" i="2"/>
  <c r="DJ129" i="2" s="1"/>
  <c r="AI40" i="15"/>
  <c r="AI568" i="15"/>
  <c r="AB568" i="15"/>
  <c r="X568" i="15"/>
  <c r="Z568" i="15" s="1"/>
  <c r="W568" i="15" s="1"/>
  <c r="V568" i="15" s="1"/>
  <c r="O568" i="15"/>
  <c r="I568" i="15"/>
  <c r="H568" i="15"/>
  <c r="G568" i="15"/>
  <c r="AX568" i="15" s="1"/>
  <c r="C568" i="15"/>
  <c r="B568" i="15"/>
  <c r="A568" i="15" s="1"/>
  <c r="AZ568" i="15" s="1"/>
  <c r="AE568" i="15"/>
  <c r="AD568" i="15"/>
  <c r="AC568" i="15"/>
  <c r="AI566" i="15"/>
  <c r="AE566" i="15"/>
  <c r="AC566" i="15" s="1"/>
  <c r="AD566" i="15"/>
  <c r="AB566" i="15"/>
  <c r="X566" i="15"/>
  <c r="Z566" i="15" s="1"/>
  <c r="W566" i="15" s="1"/>
  <c r="V566" i="15" s="1"/>
  <c r="O566" i="15"/>
  <c r="I566" i="15"/>
  <c r="H566" i="15"/>
  <c r="G566" i="15"/>
  <c r="AX566" i="15" s="1"/>
  <c r="C566" i="15"/>
  <c r="B566" i="15"/>
  <c r="A566" i="15" s="1"/>
  <c r="AZ566" i="15" s="1"/>
  <c r="AI565" i="15"/>
  <c r="AB565" i="15"/>
  <c r="X565" i="15"/>
  <c r="Z565" i="15" s="1"/>
  <c r="W565" i="15" s="1"/>
  <c r="V565" i="15" s="1"/>
  <c r="O565" i="15"/>
  <c r="I565" i="15"/>
  <c r="H565" i="15"/>
  <c r="G565" i="15"/>
  <c r="AX565" i="15" s="1"/>
  <c r="C565" i="15"/>
  <c r="B565" i="15"/>
  <c r="A565" i="15" s="1"/>
  <c r="AZ565" i="15" s="1"/>
  <c r="AE565" i="15"/>
  <c r="AC565" i="15" s="1"/>
  <c r="AD565" i="15"/>
  <c r="C567" i="15"/>
  <c r="C564" i="15"/>
  <c r="C563" i="15"/>
  <c r="C562" i="15"/>
  <c r="C561" i="15"/>
  <c r="AI547" i="15"/>
  <c r="AD547" i="15"/>
  <c r="H547" i="15"/>
  <c r="G547" i="15"/>
  <c r="AX547" i="15" s="1"/>
  <c r="C547" i="15"/>
  <c r="B547" i="15"/>
  <c r="A547" i="15" s="1"/>
  <c r="AZ547" i="15" s="1"/>
  <c r="AI546" i="15"/>
  <c r="AD546" i="15"/>
  <c r="H546" i="15"/>
  <c r="G546" i="15"/>
  <c r="AX546" i="15" s="1"/>
  <c r="C546" i="15"/>
  <c r="B546" i="15"/>
  <c r="A546" i="15" s="1"/>
  <c r="AZ546" i="15" s="1"/>
  <c r="AI545" i="15"/>
  <c r="AD545" i="15"/>
  <c r="H545" i="15"/>
  <c r="G545" i="15"/>
  <c r="AX545" i="15" s="1"/>
  <c r="C545" i="15"/>
  <c r="B545" i="15"/>
  <c r="A545" i="15" s="1"/>
  <c r="AZ545" i="15" s="1"/>
  <c r="AI544" i="15"/>
  <c r="AD544" i="15"/>
  <c r="H544" i="15"/>
  <c r="G544" i="15"/>
  <c r="AX544" i="15" s="1"/>
  <c r="C544" i="15"/>
  <c r="B544" i="15"/>
  <c r="A544" i="15" s="1"/>
  <c r="AZ544" i="15" s="1"/>
  <c r="AI543" i="15"/>
  <c r="AD543" i="15"/>
  <c r="H543" i="15"/>
  <c r="G543" i="15"/>
  <c r="AX543" i="15" s="1"/>
  <c r="C543" i="15"/>
  <c r="B543" i="15"/>
  <c r="A543" i="15" s="1"/>
  <c r="AZ543" i="15" s="1"/>
  <c r="AI542" i="15"/>
  <c r="AD542" i="15"/>
  <c r="H542" i="15"/>
  <c r="G542" i="15"/>
  <c r="AX542" i="15" s="1"/>
  <c r="C542" i="15"/>
  <c r="B542" i="15"/>
  <c r="A542" i="15" s="1"/>
  <c r="AZ542" i="15" s="1"/>
  <c r="AI541" i="15"/>
  <c r="AD541" i="15"/>
  <c r="H541" i="15"/>
  <c r="G541" i="15"/>
  <c r="AX541" i="15" s="1"/>
  <c r="C541" i="15"/>
  <c r="B541" i="15"/>
  <c r="A541" i="15" s="1"/>
  <c r="AZ541" i="15" s="1"/>
  <c r="AI540" i="15"/>
  <c r="AD540" i="15"/>
  <c r="H540" i="15"/>
  <c r="G540" i="15"/>
  <c r="AX540" i="15" s="1"/>
  <c r="C540" i="15"/>
  <c r="B540" i="15"/>
  <c r="A540" i="15" s="1"/>
  <c r="AZ540" i="15" s="1"/>
  <c r="AI539" i="15"/>
  <c r="AD539" i="15"/>
  <c r="H539" i="15"/>
  <c r="G539" i="15"/>
  <c r="AX539" i="15" s="1"/>
  <c r="C539" i="15"/>
  <c r="B539" i="15"/>
  <c r="A539" i="15" s="1"/>
  <c r="AZ539" i="15" s="1"/>
  <c r="AI538" i="15"/>
  <c r="AD538" i="15"/>
  <c r="H538" i="15"/>
  <c r="G538" i="15"/>
  <c r="AX538" i="15" s="1"/>
  <c r="C538" i="15"/>
  <c r="B538" i="15"/>
  <c r="A538" i="15" s="1"/>
  <c r="AZ538" i="15" s="1"/>
  <c r="AI537" i="15"/>
  <c r="AD537" i="15"/>
  <c r="H537" i="15"/>
  <c r="G537" i="15"/>
  <c r="AX537" i="15" s="1"/>
  <c r="C537" i="15"/>
  <c r="B537" i="15"/>
  <c r="A537" i="15" s="1"/>
  <c r="AZ537" i="15" s="1"/>
  <c r="AI536" i="15"/>
  <c r="AD536" i="15"/>
  <c r="H536" i="15"/>
  <c r="G536" i="15"/>
  <c r="AX536" i="15" s="1"/>
  <c r="C536" i="15"/>
  <c r="B536" i="15"/>
  <c r="A536" i="15" s="1"/>
  <c r="AZ536" i="15" s="1"/>
  <c r="AI535" i="15"/>
  <c r="AD535" i="15"/>
  <c r="H535" i="15"/>
  <c r="G535" i="15"/>
  <c r="AX535" i="15" s="1"/>
  <c r="C535" i="15"/>
  <c r="B535" i="15"/>
  <c r="A535" i="15" s="1"/>
  <c r="AZ535" i="15" s="1"/>
  <c r="AI534" i="15"/>
  <c r="AD534" i="15"/>
  <c r="H534" i="15"/>
  <c r="G534" i="15"/>
  <c r="AX534" i="15" s="1"/>
  <c r="C534" i="15"/>
  <c r="B534" i="15"/>
  <c r="A534" i="15" s="1"/>
  <c r="AZ534" i="15" s="1"/>
  <c r="AI533" i="15"/>
  <c r="AD533" i="15"/>
  <c r="H533" i="15"/>
  <c r="G533" i="15"/>
  <c r="AX533" i="15" s="1"/>
  <c r="C533" i="15"/>
  <c r="B533" i="15"/>
  <c r="A533" i="15" s="1"/>
  <c r="AZ533" i="15" s="1"/>
  <c r="U568" i="15" l="1"/>
  <c r="U566" i="15"/>
  <c r="U565" i="15"/>
  <c r="H1309" i="7"/>
  <c r="AI532" i="15"/>
  <c r="H532" i="15"/>
  <c r="G532" i="15"/>
  <c r="AX532" i="15" s="1"/>
  <c r="C532" i="15"/>
  <c r="B532" i="15"/>
  <c r="A532" i="15" s="1"/>
  <c r="AZ532" i="15" s="1"/>
  <c r="AD532" i="15"/>
  <c r="AI485" i="15"/>
  <c r="AD485" i="15"/>
  <c r="X485" i="15"/>
  <c r="Z485" i="15" s="1"/>
  <c r="W485" i="15" s="1"/>
  <c r="H485" i="15"/>
  <c r="C485" i="15"/>
  <c r="B485" i="15"/>
  <c r="A485" i="15" s="1"/>
  <c r="AZ485" i="15" s="1"/>
  <c r="AI484" i="15"/>
  <c r="AD484" i="15"/>
  <c r="X484" i="15"/>
  <c r="Z484" i="15" s="1"/>
  <c r="W484" i="15" s="1"/>
  <c r="H484" i="15"/>
  <c r="C484" i="15"/>
  <c r="B484" i="15"/>
  <c r="A484" i="15" s="1"/>
  <c r="AZ484" i="15" s="1"/>
  <c r="P343" i="15"/>
  <c r="J343" i="15"/>
  <c r="H343" i="15"/>
  <c r="G343" i="15"/>
  <c r="AX343" i="15" s="1"/>
  <c r="D343" i="15"/>
  <c r="C343" i="15"/>
  <c r="B343" i="15"/>
  <c r="A343" i="15" s="1"/>
  <c r="AZ343" i="15" s="1"/>
  <c r="P342" i="15"/>
  <c r="J342" i="15"/>
  <c r="H342" i="15"/>
  <c r="G342" i="15"/>
  <c r="AX342" i="15" s="1"/>
  <c r="D342" i="15"/>
  <c r="C342" i="15"/>
  <c r="B342" i="15"/>
  <c r="A342" i="15" s="1"/>
  <c r="AZ342" i="15" s="1"/>
  <c r="P341" i="15"/>
  <c r="J341" i="15"/>
  <c r="H341" i="15"/>
  <c r="G341" i="15"/>
  <c r="AX341" i="15" s="1"/>
  <c r="D341" i="15"/>
  <c r="C341" i="15"/>
  <c r="B341" i="15"/>
  <c r="A341" i="15" s="1"/>
  <c r="AZ341" i="15" s="1"/>
  <c r="P340" i="15"/>
  <c r="J340" i="15"/>
  <c r="H340" i="15"/>
  <c r="G340" i="15"/>
  <c r="AX340" i="15" s="1"/>
  <c r="D340" i="15"/>
  <c r="C340" i="15"/>
  <c r="B340" i="15"/>
  <c r="A340" i="15" s="1"/>
  <c r="AZ340" i="15" s="1"/>
  <c r="P339" i="15"/>
  <c r="J339" i="15"/>
  <c r="H339" i="15"/>
  <c r="G339" i="15"/>
  <c r="AX339" i="15" s="1"/>
  <c r="D339" i="15"/>
  <c r="C339" i="15"/>
  <c r="B339" i="15"/>
  <c r="A339" i="15" s="1"/>
  <c r="AZ339" i="15" s="1"/>
  <c r="P338" i="15"/>
  <c r="J338" i="15"/>
  <c r="H338" i="15"/>
  <c r="G338" i="15"/>
  <c r="AX338" i="15" s="1"/>
  <c r="D338" i="15"/>
  <c r="C338" i="15"/>
  <c r="B338" i="15"/>
  <c r="A338" i="15" s="1"/>
  <c r="AZ338" i="15" s="1"/>
  <c r="P337" i="15"/>
  <c r="J337" i="15"/>
  <c r="H337" i="15"/>
  <c r="G337" i="15"/>
  <c r="AX337" i="15" s="1"/>
  <c r="D337" i="15"/>
  <c r="C337" i="15"/>
  <c r="B337" i="15"/>
  <c r="A337" i="15" s="1"/>
  <c r="AZ337" i="15" s="1"/>
  <c r="P336" i="15"/>
  <c r="J336" i="15"/>
  <c r="H336" i="15"/>
  <c r="G336" i="15"/>
  <c r="AX336" i="15" s="1"/>
  <c r="D336" i="15"/>
  <c r="C336" i="15"/>
  <c r="B336" i="15"/>
  <c r="A336" i="15" s="1"/>
  <c r="AZ336" i="15" s="1"/>
  <c r="P335" i="15"/>
  <c r="J335" i="15"/>
  <c r="H335" i="15"/>
  <c r="G335" i="15"/>
  <c r="AX335" i="15" s="1"/>
  <c r="D335" i="15"/>
  <c r="C335" i="15"/>
  <c r="B335" i="15"/>
  <c r="A335" i="15" s="1"/>
  <c r="AZ335" i="15" s="1"/>
  <c r="P334" i="15"/>
  <c r="J334" i="15"/>
  <c r="H334" i="15"/>
  <c r="G334" i="15"/>
  <c r="AX334" i="15" s="1"/>
  <c r="D334" i="15"/>
  <c r="C334" i="15"/>
  <c r="B334" i="15"/>
  <c r="A334" i="15" s="1"/>
  <c r="AZ334" i="15" s="1"/>
  <c r="P333" i="15"/>
  <c r="J333" i="15"/>
  <c r="H333" i="15"/>
  <c r="G333" i="15"/>
  <c r="AX333" i="15" s="1"/>
  <c r="D333" i="15"/>
  <c r="C333" i="15"/>
  <c r="B333" i="15"/>
  <c r="A333" i="15" s="1"/>
  <c r="AZ333" i="15" s="1"/>
  <c r="P332" i="15"/>
  <c r="J332" i="15"/>
  <c r="H332" i="15"/>
  <c r="G332" i="15"/>
  <c r="AX332" i="15" s="1"/>
  <c r="D332" i="15"/>
  <c r="C332" i="15"/>
  <c r="B332" i="15"/>
  <c r="A332" i="15" s="1"/>
  <c r="AZ332" i="15" s="1"/>
  <c r="P331" i="15"/>
  <c r="J331" i="15"/>
  <c r="H331" i="15"/>
  <c r="G331" i="15"/>
  <c r="AX331" i="15" s="1"/>
  <c r="D331" i="15"/>
  <c r="C331" i="15"/>
  <c r="B331" i="15"/>
  <c r="A331" i="15" s="1"/>
  <c r="AZ331" i="15" s="1"/>
  <c r="D330" i="15"/>
  <c r="C330" i="15"/>
  <c r="H330" i="15"/>
  <c r="G330" i="15"/>
  <c r="AX330" i="15" s="1"/>
  <c r="B330" i="15"/>
  <c r="A330" i="15" s="1"/>
  <c r="AZ330" i="15" s="1"/>
  <c r="P330" i="15"/>
  <c r="J330" i="15"/>
  <c r="AD167" i="15"/>
  <c r="X167" i="15"/>
  <c r="Z167" i="15" s="1"/>
  <c r="P167" i="15"/>
  <c r="J167" i="15"/>
  <c r="H167" i="15"/>
  <c r="G167" i="15"/>
  <c r="AX167" i="15" s="1"/>
  <c r="D167" i="15"/>
  <c r="C167" i="15"/>
  <c r="B167" i="15"/>
  <c r="A167" i="15" s="1"/>
  <c r="AZ167" i="15" s="1"/>
  <c r="AI77" i="15"/>
  <c r="H77" i="15"/>
  <c r="G77" i="15"/>
  <c r="AX77" i="15" s="1"/>
  <c r="C77" i="15"/>
  <c r="B77" i="15"/>
  <c r="A77" i="15" s="1"/>
  <c r="AZ77" i="15" s="1"/>
  <c r="AI76" i="15"/>
  <c r="H76" i="15"/>
  <c r="G76" i="15"/>
  <c r="AX76" i="15" s="1"/>
  <c r="C76" i="15"/>
  <c r="B76" i="15"/>
  <c r="A76" i="15" s="1"/>
  <c r="AZ76" i="15" s="1"/>
  <c r="AI75" i="15"/>
  <c r="H75" i="15"/>
  <c r="G75" i="15"/>
  <c r="AX75" i="15" s="1"/>
  <c r="C75" i="15"/>
  <c r="B75" i="15"/>
  <c r="A75" i="15" s="1"/>
  <c r="AZ75" i="15" s="1"/>
  <c r="AI51" i="15"/>
  <c r="H51" i="15"/>
  <c r="G51" i="15"/>
  <c r="AX51" i="15" s="1"/>
  <c r="C51" i="15"/>
  <c r="B51" i="15"/>
  <c r="A51" i="15" s="1"/>
  <c r="AZ51" i="15" s="1"/>
  <c r="AI50" i="15"/>
  <c r="H50" i="15"/>
  <c r="G50" i="15"/>
  <c r="AX50" i="15" s="1"/>
  <c r="C50" i="15"/>
  <c r="B50" i="15"/>
  <c r="A50" i="15" s="1"/>
  <c r="AZ50" i="15" s="1"/>
  <c r="AI49" i="15"/>
  <c r="H49" i="15"/>
  <c r="G49" i="15"/>
  <c r="AX49" i="15" s="1"/>
  <c r="C49" i="15"/>
  <c r="B49" i="15"/>
  <c r="A49" i="15" s="1"/>
  <c r="AZ49" i="15" s="1"/>
  <c r="AI48" i="15"/>
  <c r="H48" i="15"/>
  <c r="G48" i="15"/>
  <c r="AX48" i="15" s="1"/>
  <c r="C48" i="15"/>
  <c r="B48" i="15"/>
  <c r="A48" i="15" s="1"/>
  <c r="AZ48" i="15" s="1"/>
  <c r="AI47" i="15"/>
  <c r="H47" i="15"/>
  <c r="G47" i="15"/>
  <c r="AX47" i="15" s="1"/>
  <c r="C47" i="15"/>
  <c r="B47" i="15"/>
  <c r="A47" i="15" s="1"/>
  <c r="AZ47" i="15" s="1"/>
  <c r="H41" i="15"/>
  <c r="G41" i="15"/>
  <c r="AX41" i="15" s="1"/>
  <c r="C41" i="15"/>
  <c r="B41" i="15"/>
  <c r="A41" i="15" s="1"/>
  <c r="AZ41" i="15" s="1"/>
  <c r="H40" i="15"/>
  <c r="G40" i="15"/>
  <c r="AX40" i="15" s="1"/>
  <c r="C40" i="15"/>
  <c r="B40" i="15"/>
  <c r="A40" i="15" s="1"/>
  <c r="AZ40" i="15" s="1"/>
  <c r="H39" i="15"/>
  <c r="G39" i="15"/>
  <c r="AX39" i="15" s="1"/>
  <c r="C39" i="15"/>
  <c r="B39" i="15"/>
  <c r="A39" i="15" s="1"/>
  <c r="AZ39" i="15" s="1"/>
  <c r="H38" i="15"/>
  <c r="G38" i="15"/>
  <c r="AX38" i="15" s="1"/>
  <c r="C38" i="15"/>
  <c r="B38" i="15"/>
  <c r="A38" i="15" s="1"/>
  <c r="AZ38" i="15" s="1"/>
  <c r="AI27" i="15"/>
  <c r="H27" i="15"/>
  <c r="G27" i="15"/>
  <c r="AX27" i="15" s="1"/>
  <c r="C27" i="15"/>
  <c r="B27" i="15"/>
  <c r="A27" i="15" s="1"/>
  <c r="AZ27" i="15" s="1"/>
  <c r="AI26" i="15"/>
  <c r="H26" i="15"/>
  <c r="G26" i="15"/>
  <c r="AX26" i="15" s="1"/>
  <c r="C26" i="15"/>
  <c r="B26" i="15"/>
  <c r="A26" i="15" s="1"/>
  <c r="AZ26" i="15" s="1"/>
  <c r="AI731" i="15"/>
  <c r="AD731" i="15"/>
  <c r="AB731" i="15"/>
  <c r="X731" i="15"/>
  <c r="Z731" i="15" s="1"/>
  <c r="W731" i="15" s="1"/>
  <c r="H731" i="15"/>
  <c r="G731" i="15"/>
  <c r="AX731" i="15" s="1"/>
  <c r="C731" i="15"/>
  <c r="B731" i="15"/>
  <c r="A731" i="15" s="1"/>
  <c r="AZ731" i="15" s="1"/>
  <c r="AI732" i="15"/>
  <c r="AD732" i="15"/>
  <c r="AB732" i="15"/>
  <c r="X732" i="15"/>
  <c r="Z732" i="15" s="1"/>
  <c r="W732" i="15" s="1"/>
  <c r="H732" i="15"/>
  <c r="G732" i="15"/>
  <c r="AX732" i="15" s="1"/>
  <c r="C732" i="15"/>
  <c r="B732" i="15"/>
  <c r="A732" i="15" s="1"/>
  <c r="AZ732" i="15" s="1"/>
  <c r="AI712" i="15"/>
  <c r="AD712" i="15"/>
  <c r="AB712" i="15"/>
  <c r="X712" i="15"/>
  <c r="Z712" i="15" s="1"/>
  <c r="W712" i="15" s="1"/>
  <c r="H712" i="15"/>
  <c r="G712" i="15"/>
  <c r="AX712" i="15" s="1"/>
  <c r="C712" i="15"/>
  <c r="B712" i="15"/>
  <c r="A712" i="15" s="1"/>
  <c r="AZ712" i="15" s="1"/>
  <c r="D675" i="15"/>
  <c r="AI675" i="15"/>
  <c r="AD675" i="15"/>
  <c r="AB675" i="15"/>
  <c r="X675" i="15"/>
  <c r="Z675" i="15" s="1"/>
  <c r="P675" i="15"/>
  <c r="J675" i="15"/>
  <c r="H675" i="15"/>
  <c r="G675" i="15"/>
  <c r="AX675" i="15" s="1"/>
  <c r="C675" i="15"/>
  <c r="B675" i="15"/>
  <c r="A675" i="15" s="1"/>
  <c r="AZ675" i="15" s="1"/>
  <c r="AI674" i="15"/>
  <c r="AD674" i="15"/>
  <c r="AB674" i="15"/>
  <c r="X674" i="15"/>
  <c r="Z674" i="15" s="1"/>
  <c r="P674" i="15"/>
  <c r="J674" i="15"/>
  <c r="H674" i="15"/>
  <c r="G674" i="15"/>
  <c r="AX674" i="15" s="1"/>
  <c r="C674" i="15"/>
  <c r="B674" i="15"/>
  <c r="A674" i="15" s="1"/>
  <c r="AZ674" i="15" s="1"/>
  <c r="AI673" i="15"/>
  <c r="AD673" i="15"/>
  <c r="AB673" i="15"/>
  <c r="X673" i="15"/>
  <c r="Z673" i="15" s="1"/>
  <c r="P673" i="15"/>
  <c r="J673" i="15"/>
  <c r="H673" i="15"/>
  <c r="G673" i="15"/>
  <c r="AX673" i="15" s="1"/>
  <c r="C673" i="15"/>
  <c r="B673" i="15"/>
  <c r="A673" i="15" s="1"/>
  <c r="AZ673" i="15" s="1"/>
  <c r="D672" i="15"/>
  <c r="AI672" i="15"/>
  <c r="AD672" i="15"/>
  <c r="AB672" i="15"/>
  <c r="X672" i="15"/>
  <c r="Z672" i="15" s="1"/>
  <c r="P672" i="15"/>
  <c r="J672" i="15"/>
  <c r="H672" i="15"/>
  <c r="G672" i="15"/>
  <c r="AX672" i="15" s="1"/>
  <c r="C672" i="15"/>
  <c r="B672" i="15"/>
  <c r="A672" i="15" s="1"/>
  <c r="AZ672" i="15" s="1"/>
  <c r="AI671" i="15"/>
  <c r="AD671" i="15"/>
  <c r="AB671" i="15"/>
  <c r="X671" i="15"/>
  <c r="Z671" i="15" s="1"/>
  <c r="P671" i="15"/>
  <c r="J671" i="15"/>
  <c r="H671" i="15"/>
  <c r="G671" i="15"/>
  <c r="AX671" i="15" s="1"/>
  <c r="C671" i="15"/>
  <c r="B671" i="15"/>
  <c r="A671" i="15" s="1"/>
  <c r="AZ671" i="15" s="1"/>
  <c r="AI670" i="15"/>
  <c r="X670" i="15"/>
  <c r="Z670" i="15" s="1"/>
  <c r="C670" i="15"/>
  <c r="AB670" i="15"/>
  <c r="H670" i="15"/>
  <c r="G670" i="15"/>
  <c r="AX670" i="15" s="1"/>
  <c r="B670" i="15"/>
  <c r="A670" i="15" s="1"/>
  <c r="AZ670" i="15" s="1"/>
  <c r="AD670" i="15"/>
  <c r="P670" i="15"/>
  <c r="J670" i="15"/>
  <c r="AI661" i="15"/>
  <c r="AE661" i="15"/>
  <c r="AC661" i="15" s="1"/>
  <c r="AD661" i="15"/>
  <c r="AA661" i="15"/>
  <c r="X661" i="15"/>
  <c r="Z661" i="15" s="1"/>
  <c r="P661" i="15"/>
  <c r="J661" i="15"/>
  <c r="H661" i="15"/>
  <c r="G661" i="15"/>
  <c r="AX661" i="15" s="1"/>
  <c r="D661" i="15"/>
  <c r="C661" i="15"/>
  <c r="B661" i="15"/>
  <c r="A661" i="15" s="1"/>
  <c r="AZ661" i="15" s="1"/>
  <c r="AI660" i="15"/>
  <c r="AE660" i="15"/>
  <c r="AC660" i="15" s="1"/>
  <c r="AD660" i="15"/>
  <c r="AA660" i="15"/>
  <c r="X660" i="15"/>
  <c r="Z660" i="15" s="1"/>
  <c r="P660" i="15"/>
  <c r="J660" i="15"/>
  <c r="H660" i="15"/>
  <c r="G660" i="15"/>
  <c r="AX660" i="15" s="1"/>
  <c r="D660" i="15"/>
  <c r="C660" i="15"/>
  <c r="B660" i="15"/>
  <c r="A660" i="15" s="1"/>
  <c r="AZ660" i="15" s="1"/>
  <c r="AI647" i="15"/>
  <c r="AD647" i="15"/>
  <c r="X647" i="15"/>
  <c r="Z647" i="15" s="1"/>
  <c r="W647" i="15" s="1"/>
  <c r="V647" i="15" s="1"/>
  <c r="P647" i="15"/>
  <c r="L647" i="15"/>
  <c r="J647" i="15"/>
  <c r="H647" i="15"/>
  <c r="G647" i="15"/>
  <c r="AX647" i="15" s="1"/>
  <c r="D647" i="15"/>
  <c r="C647" i="15"/>
  <c r="B647" i="15"/>
  <c r="A647" i="15" s="1"/>
  <c r="AZ647" i="15" s="1"/>
  <c r="AI642" i="15"/>
  <c r="AD642" i="15"/>
  <c r="AB642" i="15"/>
  <c r="X642" i="15"/>
  <c r="Z642" i="15" s="1"/>
  <c r="W642" i="15" s="1"/>
  <c r="H642" i="15"/>
  <c r="G642" i="15"/>
  <c r="AX642" i="15" s="1"/>
  <c r="C642" i="15"/>
  <c r="B642" i="15"/>
  <c r="A642" i="15" s="1"/>
  <c r="AZ642" i="15" s="1"/>
  <c r="AI633" i="15"/>
  <c r="AD633" i="15"/>
  <c r="AB633" i="15"/>
  <c r="X633" i="15"/>
  <c r="Z633" i="15" s="1"/>
  <c r="H633" i="15"/>
  <c r="G633" i="15"/>
  <c r="AX633" i="15" s="1"/>
  <c r="C633" i="15"/>
  <c r="B633" i="15"/>
  <c r="A633" i="15" s="1"/>
  <c r="AZ633" i="15" s="1"/>
  <c r="AI632" i="15"/>
  <c r="AD632" i="15"/>
  <c r="AB632" i="15"/>
  <c r="X632" i="15"/>
  <c r="Z632" i="15" s="1"/>
  <c r="H632" i="15"/>
  <c r="G632" i="15"/>
  <c r="AX632" i="15" s="1"/>
  <c r="C632" i="15"/>
  <c r="B632" i="15"/>
  <c r="A632" i="15" s="1"/>
  <c r="AZ632" i="15" s="1"/>
  <c r="AI624" i="15"/>
  <c r="AD624" i="15"/>
  <c r="AB624" i="15"/>
  <c r="X624" i="15"/>
  <c r="Z624" i="15" s="1"/>
  <c r="W624" i="15" s="1"/>
  <c r="H624" i="15"/>
  <c r="G624" i="15"/>
  <c r="AX624" i="15" s="1"/>
  <c r="C624" i="15"/>
  <c r="B624" i="15"/>
  <c r="A624" i="15" s="1"/>
  <c r="AZ624" i="15" s="1"/>
  <c r="AI622" i="15"/>
  <c r="AD622" i="15"/>
  <c r="AB622" i="15"/>
  <c r="X622" i="15"/>
  <c r="Z622" i="15" s="1"/>
  <c r="W622" i="15" s="1"/>
  <c r="H622" i="15"/>
  <c r="G622" i="15"/>
  <c r="AX622" i="15" s="1"/>
  <c r="C622" i="15"/>
  <c r="B622" i="15"/>
  <c r="A622" i="15" s="1"/>
  <c r="AZ622" i="15" s="1"/>
  <c r="AI605" i="15"/>
  <c r="AD605" i="15"/>
  <c r="X605" i="15"/>
  <c r="Z605" i="15" s="1"/>
  <c r="H605" i="15"/>
  <c r="C605" i="15"/>
  <c r="B605" i="15"/>
  <c r="A605" i="15" s="1"/>
  <c r="AZ605" i="15" s="1"/>
  <c r="AI604" i="15"/>
  <c r="AD604" i="15"/>
  <c r="AB604" i="15"/>
  <c r="H604" i="15"/>
  <c r="C604" i="15"/>
  <c r="B604" i="15"/>
  <c r="A604" i="15" s="1"/>
  <c r="AZ604" i="15" s="1"/>
  <c r="AI603" i="15"/>
  <c r="AD603" i="15"/>
  <c r="H603" i="15"/>
  <c r="C603" i="15"/>
  <c r="B603" i="15"/>
  <c r="A603" i="15" s="1"/>
  <c r="AZ603" i="15" s="1"/>
  <c r="AI602" i="15"/>
  <c r="AD602" i="15"/>
  <c r="X602" i="15"/>
  <c r="Z602" i="15" s="1"/>
  <c r="H602" i="15"/>
  <c r="C602" i="15"/>
  <c r="B602" i="15"/>
  <c r="A602" i="15" s="1"/>
  <c r="AZ602" i="15" s="1"/>
  <c r="AI601" i="15"/>
  <c r="AD601" i="15"/>
  <c r="X601" i="15"/>
  <c r="Z601" i="15" s="1"/>
  <c r="H601" i="15"/>
  <c r="C601" i="15"/>
  <c r="B601" i="15"/>
  <c r="A601" i="15" s="1"/>
  <c r="AZ601" i="15" s="1"/>
  <c r="AI600" i="15"/>
  <c r="AD600" i="15"/>
  <c r="X600" i="15"/>
  <c r="Z600" i="15" s="1"/>
  <c r="H600" i="15"/>
  <c r="G600" i="15"/>
  <c r="AX600" i="15" s="1"/>
  <c r="C600" i="15"/>
  <c r="B600" i="15"/>
  <c r="A600" i="15" s="1"/>
  <c r="AZ600" i="15" s="1"/>
  <c r="AI599" i="15"/>
  <c r="AD599" i="15"/>
  <c r="X599" i="15"/>
  <c r="Z599" i="15" s="1"/>
  <c r="H599" i="15"/>
  <c r="G599" i="15"/>
  <c r="AX599" i="15" s="1"/>
  <c r="C599" i="15"/>
  <c r="B599" i="15"/>
  <c r="A599" i="15" s="1"/>
  <c r="AZ599" i="15" s="1"/>
  <c r="AI598" i="15"/>
  <c r="AD598" i="15"/>
  <c r="X598" i="15"/>
  <c r="Z598" i="15" s="1"/>
  <c r="H598" i="15"/>
  <c r="G598" i="15"/>
  <c r="AX598" i="15" s="1"/>
  <c r="C598" i="15"/>
  <c r="B598" i="15"/>
  <c r="A598" i="15" s="1"/>
  <c r="AZ598" i="15" s="1"/>
  <c r="DH102" i="2"/>
  <c r="DH101" i="2"/>
  <c r="DH100" i="2"/>
  <c r="F4424" i="6" l="1"/>
  <c r="D141" i="2"/>
  <c r="M673" i="2"/>
  <c r="M674" i="2"/>
  <c r="I674" i="2"/>
  <c r="I673" i="2"/>
  <c r="E669" i="2"/>
  <c r="BP668" i="2"/>
  <c r="BO668" i="2"/>
  <c r="BN668" i="2"/>
  <c r="BL668" i="2"/>
  <c r="BK668" i="2"/>
  <c r="BJ668" i="2"/>
  <c r="BI668" i="2"/>
  <c r="BD672" i="2"/>
  <c r="BC672" i="2"/>
  <c r="BB672" i="2"/>
  <c r="AZ672" i="2"/>
  <c r="AY672" i="2"/>
  <c r="AX672" i="2"/>
  <c r="AW672" i="2"/>
  <c r="AR672" i="2"/>
  <c r="AQ672" i="2"/>
  <c r="AP672" i="2"/>
  <c r="AO672" i="2"/>
  <c r="AN672" i="2"/>
  <c r="AM672" i="2"/>
  <c r="AL672" i="2"/>
  <c r="AK672" i="2"/>
  <c r="AG672" i="2"/>
  <c r="AE672" i="2"/>
  <c r="AD672" i="2"/>
  <c r="AC672" i="2"/>
  <c r="AA672" i="2"/>
  <c r="Z672" i="2"/>
  <c r="Y672" i="2"/>
  <c r="X672" i="2"/>
  <c r="W672" i="2"/>
  <c r="BD668" i="2"/>
  <c r="BC668" i="2"/>
  <c r="BB668" i="2"/>
  <c r="AZ668" i="2"/>
  <c r="AY668" i="2"/>
  <c r="AX668" i="2"/>
  <c r="AW668" i="2"/>
  <c r="AR668" i="2"/>
  <c r="AQ668" i="2"/>
  <c r="AP668" i="2"/>
  <c r="AO668" i="2"/>
  <c r="AN668" i="2"/>
  <c r="AM668" i="2"/>
  <c r="AL668" i="2"/>
  <c r="AK668" i="2"/>
  <c r="AG668" i="2"/>
  <c r="AE668" i="2"/>
  <c r="AD668" i="2"/>
  <c r="AC668" i="2"/>
  <c r="AA668" i="2"/>
  <c r="Z668" i="2"/>
  <c r="Y668" i="2"/>
  <c r="X668" i="2"/>
  <c r="W668" i="2"/>
  <c r="AG642" i="2"/>
  <c r="AE642" i="2"/>
  <c r="AD642" i="2"/>
  <c r="AC642" i="2"/>
  <c r="AA642" i="2"/>
  <c r="Z642" i="2"/>
  <c r="Y642" i="2"/>
  <c r="X642" i="2"/>
  <c r="W642" i="2"/>
  <c r="F538" i="2"/>
  <c r="F1324" i="7"/>
  <c r="I547" i="15" s="1"/>
  <c r="F1323" i="7"/>
  <c r="I546" i="15" s="1"/>
  <c r="F1322" i="7"/>
  <c r="I545" i="15" s="1"/>
  <c r="F1321" i="7"/>
  <c r="I544" i="15" s="1"/>
  <c r="F1320" i="7"/>
  <c r="I543" i="15" s="1"/>
  <c r="F1319" i="7"/>
  <c r="I542" i="15" s="1"/>
  <c r="F1318" i="7"/>
  <c r="I541" i="15" s="1"/>
  <c r="F1317" i="7"/>
  <c r="I540" i="15" s="1"/>
  <c r="F1316" i="7"/>
  <c r="I539" i="15" s="1"/>
  <c r="F1315" i="7"/>
  <c r="I538" i="15" s="1"/>
  <c r="F1314" i="7"/>
  <c r="I537" i="15" s="1"/>
  <c r="F1313" i="7"/>
  <c r="I536" i="15" s="1"/>
  <c r="F1312" i="7"/>
  <c r="I535" i="15" s="1"/>
  <c r="F1311" i="7"/>
  <c r="I534" i="15" s="1"/>
  <c r="F1310" i="7"/>
  <c r="I533" i="15" s="1"/>
  <c r="F1309" i="7"/>
  <c r="B698" i="2"/>
  <c r="DH698" i="2"/>
  <c r="DH489" i="2"/>
  <c r="DH490" i="2"/>
  <c r="DH491" i="2"/>
  <c r="DH492" i="2"/>
  <c r="DH493" i="2"/>
  <c r="DH488" i="2"/>
  <c r="V489" i="2"/>
  <c r="V490" i="2"/>
  <c r="V491" i="2"/>
  <c r="V492" i="2"/>
  <c r="V493" i="2"/>
  <c r="V488" i="2"/>
  <c r="AU493" i="2"/>
  <c r="AU492" i="2"/>
  <c r="AU491" i="2"/>
  <c r="AU490" i="2"/>
  <c r="AU489" i="2"/>
  <c r="W487" i="2"/>
  <c r="X487" i="2"/>
  <c r="Y487" i="2"/>
  <c r="Z487" i="2"/>
  <c r="AA487" i="2"/>
  <c r="AB487" i="2"/>
  <c r="AC487" i="2"/>
  <c r="AD487" i="2"/>
  <c r="AE487" i="2"/>
  <c r="AG487" i="2"/>
  <c r="AU488" i="2"/>
  <c r="AK487" i="2"/>
  <c r="AL487" i="2"/>
  <c r="AM487" i="2"/>
  <c r="AN487" i="2"/>
  <c r="AO487" i="2"/>
  <c r="AP487" i="2"/>
  <c r="AQ487" i="2"/>
  <c r="AR487" i="2"/>
  <c r="AW487" i="2"/>
  <c r="AX487" i="2"/>
  <c r="AY487" i="2"/>
  <c r="AZ487" i="2"/>
  <c r="BB487" i="2"/>
  <c r="BC487" i="2"/>
  <c r="BD487" i="2"/>
  <c r="DG487" i="2"/>
  <c r="DH487" i="2"/>
  <c r="DI487" i="2"/>
  <c r="DJ487" i="2"/>
  <c r="DH126" i="2"/>
  <c r="DH127" i="2"/>
  <c r="DH130" i="2"/>
  <c r="F406" i="2"/>
  <c r="AF406" i="2" s="1"/>
  <c r="B1317" i="7"/>
  <c r="B1318" i="7"/>
  <c r="B1319" i="7"/>
  <c r="B1320" i="7"/>
  <c r="B1321" i="7"/>
  <c r="B1322" i="7"/>
  <c r="B1323" i="7"/>
  <c r="B1324" i="7"/>
  <c r="E12" i="7"/>
  <c r="H599" i="2"/>
  <c r="BD598" i="2"/>
  <c r="BC598" i="2"/>
  <c r="BB598" i="2"/>
  <c r="AZ598" i="2"/>
  <c r="AY598" i="2"/>
  <c r="AX598" i="2"/>
  <c r="AW598" i="2"/>
  <c r="AR598" i="2"/>
  <c r="AQ598" i="2"/>
  <c r="AP598" i="2"/>
  <c r="AO598" i="2"/>
  <c r="AN598" i="2"/>
  <c r="AM598" i="2"/>
  <c r="AL598" i="2"/>
  <c r="AK598" i="2"/>
  <c r="AG598" i="2"/>
  <c r="AE598" i="2"/>
  <c r="AD598" i="2"/>
  <c r="AC598" i="2"/>
  <c r="AA598" i="2"/>
  <c r="Z598" i="2"/>
  <c r="Y598" i="2"/>
  <c r="X598" i="2"/>
  <c r="W598" i="2"/>
  <c r="BD548" i="2"/>
  <c r="BC548" i="2"/>
  <c r="BB548" i="2"/>
  <c r="AZ548" i="2"/>
  <c r="AY548" i="2"/>
  <c r="AX548" i="2"/>
  <c r="AW548" i="2"/>
  <c r="AR548" i="2"/>
  <c r="AQ548" i="2"/>
  <c r="AP548" i="2"/>
  <c r="AO548" i="2"/>
  <c r="AN548" i="2"/>
  <c r="AM548" i="2"/>
  <c r="AL548" i="2"/>
  <c r="AK548" i="2"/>
  <c r="AG548" i="2"/>
  <c r="AE548" i="2"/>
  <c r="AD548" i="2"/>
  <c r="AC548" i="2"/>
  <c r="AA548" i="2"/>
  <c r="Z548" i="2"/>
  <c r="Y548" i="2"/>
  <c r="X548" i="2"/>
  <c r="W548" i="2"/>
  <c r="F537" i="2"/>
  <c r="BD529" i="2"/>
  <c r="BC529" i="2"/>
  <c r="BB529" i="2"/>
  <c r="AZ529" i="2"/>
  <c r="AY529" i="2"/>
  <c r="AX529" i="2"/>
  <c r="AW529" i="2"/>
  <c r="AR529" i="2"/>
  <c r="AQ529" i="2"/>
  <c r="AP529" i="2"/>
  <c r="AO529" i="2"/>
  <c r="AN529" i="2"/>
  <c r="AM529" i="2"/>
  <c r="AL529" i="2"/>
  <c r="AK529" i="2"/>
  <c r="AG529" i="2"/>
  <c r="AE529" i="2"/>
  <c r="AD529" i="2"/>
  <c r="AC529" i="2"/>
  <c r="AB529" i="2"/>
  <c r="AA529" i="2"/>
  <c r="Z529" i="2"/>
  <c r="Y529" i="2"/>
  <c r="X529" i="2"/>
  <c r="W529" i="2"/>
  <c r="D506" i="2"/>
  <c r="D507" i="2"/>
  <c r="D508" i="2"/>
  <c r="D509" i="2"/>
  <c r="D510" i="2"/>
  <c r="B493" i="2"/>
  <c r="B492" i="2"/>
  <c r="B491" i="2"/>
  <c r="B490" i="2"/>
  <c r="B489" i="2"/>
  <c r="B488" i="2"/>
  <c r="V483" i="2"/>
  <c r="AG481" i="2"/>
  <c r="AE481" i="2"/>
  <c r="AD481" i="2"/>
  <c r="AC481" i="2"/>
  <c r="AB481" i="2"/>
  <c r="AA481" i="2"/>
  <c r="Z481" i="2"/>
  <c r="Y481" i="2"/>
  <c r="X481" i="2"/>
  <c r="W481" i="2"/>
  <c r="DM443" i="2"/>
  <c r="DL443" i="2"/>
  <c r="DK443" i="2"/>
  <c r="DI443" i="2"/>
  <c r="DH443" i="2"/>
  <c r="DG443" i="2"/>
  <c r="DF443" i="2"/>
  <c r="DA443" i="2"/>
  <c r="CZ443" i="2"/>
  <c r="CY443" i="2"/>
  <c r="CW443" i="2"/>
  <c r="CV443" i="2"/>
  <c r="CU443" i="2"/>
  <c r="CT443" i="2"/>
  <c r="CO443" i="2"/>
  <c r="CN443" i="2"/>
  <c r="CM443" i="2"/>
  <c r="CK443" i="2"/>
  <c r="CJ443" i="2"/>
  <c r="CI443" i="2"/>
  <c r="CH443" i="2"/>
  <c r="D445" i="2"/>
  <c r="D446" i="2"/>
  <c r="CC443" i="2"/>
  <c r="CB443" i="2"/>
  <c r="CA443" i="2"/>
  <c r="BY443" i="2"/>
  <c r="BX443" i="2"/>
  <c r="BW443" i="2"/>
  <c r="BV443" i="2"/>
  <c r="BP443" i="2"/>
  <c r="BO443" i="2"/>
  <c r="BN443" i="2"/>
  <c r="BL443" i="2"/>
  <c r="BK443" i="2"/>
  <c r="BJ443" i="2"/>
  <c r="BI443" i="2"/>
  <c r="BD443" i="2"/>
  <c r="BC443" i="2"/>
  <c r="BB443" i="2"/>
  <c r="AZ443" i="2"/>
  <c r="AY443" i="2"/>
  <c r="AX443" i="2"/>
  <c r="AW443" i="2"/>
  <c r="AR443" i="2"/>
  <c r="AQ443" i="2"/>
  <c r="AP443" i="2"/>
  <c r="AN443" i="2"/>
  <c r="AM443" i="2"/>
  <c r="AL443" i="2"/>
  <c r="AK443" i="2"/>
  <c r="AG443" i="2"/>
  <c r="AE443" i="2"/>
  <c r="AD443" i="2"/>
  <c r="AC443" i="2"/>
  <c r="AA443" i="2"/>
  <c r="Z443" i="2"/>
  <c r="Y443" i="2"/>
  <c r="X443" i="2"/>
  <c r="W443" i="2"/>
  <c r="B428" i="2"/>
  <c r="B429" i="2"/>
  <c r="D447" i="2"/>
  <c r="D448" i="2"/>
  <c r="D449" i="2"/>
  <c r="D450" i="2"/>
  <c r="D451" i="2"/>
  <c r="AI368" i="2"/>
  <c r="AI369" i="2" s="1"/>
  <c r="AI370" i="2" s="1"/>
  <c r="AT366" i="2"/>
  <c r="AR366" i="2"/>
  <c r="AQ366" i="2"/>
  <c r="AP366" i="2"/>
  <c r="AN366" i="2"/>
  <c r="AM366" i="2"/>
  <c r="AL366" i="2"/>
  <c r="AK366" i="2"/>
  <c r="AJ366" i="2"/>
  <c r="V368" i="2"/>
  <c r="V369" i="2" s="1"/>
  <c r="V370" i="2" s="1"/>
  <c r="AG366" i="2"/>
  <c r="AE366" i="2"/>
  <c r="AD366" i="2"/>
  <c r="AC366" i="2"/>
  <c r="AA366" i="2"/>
  <c r="Z366" i="2"/>
  <c r="Y366" i="2"/>
  <c r="X366" i="2"/>
  <c r="W366" i="2"/>
  <c r="K374" i="2"/>
  <c r="DJ374" i="2" s="1"/>
  <c r="B340" i="2"/>
  <c r="BD330" i="2"/>
  <c r="BC330" i="2"/>
  <c r="BB330" i="2"/>
  <c r="AZ330" i="2"/>
  <c r="AY330" i="2"/>
  <c r="AX330" i="2"/>
  <c r="AW330" i="2"/>
  <c r="AR330" i="2"/>
  <c r="AQ330" i="2"/>
  <c r="AP330" i="2"/>
  <c r="AO330" i="2"/>
  <c r="AN330" i="2"/>
  <c r="AM330" i="2"/>
  <c r="AL330" i="2"/>
  <c r="AK330" i="2"/>
  <c r="AG330" i="2"/>
  <c r="AE330" i="2"/>
  <c r="AD330" i="2"/>
  <c r="AC330" i="2"/>
  <c r="AA330" i="2"/>
  <c r="Z330" i="2"/>
  <c r="Y330" i="2"/>
  <c r="X330" i="2"/>
  <c r="W330" i="2"/>
  <c r="S303" i="2"/>
  <c r="F278" i="2"/>
  <c r="AF278" i="2" s="1"/>
  <c r="BP233" i="2"/>
  <c r="BO233" i="2"/>
  <c r="BN233" i="2"/>
  <c r="BL233" i="2"/>
  <c r="BK233" i="2"/>
  <c r="BJ233" i="2"/>
  <c r="BI233" i="2"/>
  <c r="BD233" i="2"/>
  <c r="BC233" i="2"/>
  <c r="BB233" i="2"/>
  <c r="AZ233" i="2"/>
  <c r="AY233" i="2"/>
  <c r="AX233" i="2"/>
  <c r="AW233" i="2"/>
  <c r="AR233" i="2"/>
  <c r="AQ233" i="2"/>
  <c r="AP233" i="2"/>
  <c r="AO233" i="2"/>
  <c r="AN233" i="2"/>
  <c r="AM233" i="2"/>
  <c r="AL233" i="2"/>
  <c r="AK233" i="2"/>
  <c r="AG233" i="2"/>
  <c r="AE233" i="2"/>
  <c r="AD233" i="2"/>
  <c r="AC233" i="2"/>
  <c r="AA233" i="2"/>
  <c r="Z233" i="2"/>
  <c r="Y233" i="2"/>
  <c r="X233" i="2"/>
  <c r="W233" i="2"/>
  <c r="J368" i="2"/>
  <c r="K355" i="2" s="1"/>
  <c r="DJ355" i="2" s="1"/>
  <c r="J369" i="2"/>
  <c r="K356" i="2" s="1"/>
  <c r="DJ356" i="2" s="1"/>
  <c r="J370" i="2"/>
  <c r="K357" i="2" s="1"/>
  <c r="DJ357" i="2" s="1"/>
  <c r="J367" i="2"/>
  <c r="K354" i="2" s="1"/>
  <c r="DJ354" i="2" s="1"/>
  <c r="CD350" i="2"/>
  <c r="BT350" i="2"/>
  <c r="CC349" i="2"/>
  <c r="CB349" i="2"/>
  <c r="CA349" i="2"/>
  <c r="BZ349" i="2"/>
  <c r="BY349" i="2"/>
  <c r="BX349" i="2"/>
  <c r="BW349" i="2"/>
  <c r="BV349" i="2"/>
  <c r="BP349" i="2"/>
  <c r="BO349" i="2"/>
  <c r="BN349" i="2"/>
  <c r="BL349" i="2"/>
  <c r="BK349" i="2"/>
  <c r="BJ349" i="2"/>
  <c r="BI349" i="2"/>
  <c r="BH349" i="2"/>
  <c r="BD349" i="2"/>
  <c r="BC349" i="2"/>
  <c r="BB349" i="2"/>
  <c r="AZ349" i="2"/>
  <c r="AY349" i="2"/>
  <c r="AX349" i="2"/>
  <c r="AW349" i="2"/>
  <c r="AV349" i="2"/>
  <c r="AR349" i="2"/>
  <c r="AQ349" i="2"/>
  <c r="AP349" i="2"/>
  <c r="AN349" i="2"/>
  <c r="AM349" i="2"/>
  <c r="AL349" i="2"/>
  <c r="AK349" i="2"/>
  <c r="AJ349" i="2"/>
  <c r="AG349" i="2"/>
  <c r="AE349" i="2"/>
  <c r="AD349" i="2"/>
  <c r="AC349" i="2"/>
  <c r="AA349" i="2"/>
  <c r="Z349" i="2"/>
  <c r="Y349" i="2"/>
  <c r="X349" i="2"/>
  <c r="W349" i="2"/>
  <c r="AF1309" i="7" l="1"/>
  <c r="I532" i="15"/>
  <c r="H331" i="2" l="1"/>
  <c r="I332" i="2"/>
  <c r="BD308" i="2"/>
  <c r="BC308" i="2"/>
  <c r="BB308" i="2"/>
  <c r="AZ308" i="2"/>
  <c r="AY308" i="2"/>
  <c r="AX308" i="2"/>
  <c r="AW308" i="2"/>
  <c r="AV308" i="2"/>
  <c r="AE308" i="2"/>
  <c r="AD308" i="2"/>
  <c r="AC308" i="2"/>
  <c r="AA308" i="2"/>
  <c r="Z308" i="2"/>
  <c r="Y308" i="2"/>
  <c r="X308" i="2"/>
  <c r="W308" i="2"/>
  <c r="D313" i="2"/>
  <c r="B298" i="2"/>
  <c r="B223" i="2"/>
  <c r="B224" i="2"/>
  <c r="B100" i="2"/>
  <c r="B101" i="2"/>
  <c r="B102" i="2"/>
  <c r="B170" i="2"/>
  <c r="B171" i="2"/>
  <c r="D142" i="2"/>
  <c r="D143" i="2"/>
  <c r="D144" i="2"/>
  <c r="D145" i="2"/>
  <c r="B126" i="2"/>
  <c r="B127" i="2"/>
  <c r="B128" i="2"/>
  <c r="B129" i="2"/>
  <c r="B130" i="2"/>
  <c r="F100" i="2"/>
  <c r="E915" i="2"/>
  <c r="E916" i="2"/>
  <c r="E917" i="2"/>
  <c r="E918" i="2"/>
  <c r="H904" i="2"/>
  <c r="F904" i="2"/>
  <c r="I731" i="15" s="1"/>
  <c r="H905" i="2"/>
  <c r="F905" i="2"/>
  <c r="G644" i="2"/>
  <c r="G645" i="2"/>
  <c r="G646" i="2"/>
  <c r="G647" i="2"/>
  <c r="G648" i="2"/>
  <c r="G649" i="2"/>
  <c r="G643" i="2"/>
  <c r="B905" i="2"/>
  <c r="E914" i="2"/>
  <c r="D914" i="2"/>
  <c r="D915" i="2"/>
  <c r="DH904" i="2"/>
  <c r="B904" i="2"/>
  <c r="H600" i="2"/>
  <c r="H601" i="2"/>
  <c r="H602" i="2"/>
  <c r="H603" i="2"/>
  <c r="H604" i="2"/>
  <c r="H605" i="2"/>
  <c r="F583" i="2"/>
  <c r="AF583" i="2" s="1"/>
  <c r="R727" i="2"/>
  <c r="L550" i="2"/>
  <c r="L551" i="2"/>
  <c r="L549" i="2"/>
  <c r="K550" i="2"/>
  <c r="K551" i="2"/>
  <c r="K549" i="2"/>
  <c r="BE99" i="2"/>
  <c r="BE98" i="2"/>
  <c r="M295" i="2"/>
  <c r="N295" i="2"/>
  <c r="O295" i="2"/>
  <c r="P295" i="2"/>
  <c r="M296" i="2"/>
  <c r="N296" i="2"/>
  <c r="O296" i="2"/>
  <c r="P296" i="2"/>
  <c r="M297" i="2"/>
  <c r="N297" i="2"/>
  <c r="O297" i="2"/>
  <c r="P297" i="2"/>
  <c r="M298" i="2"/>
  <c r="N298" i="2"/>
  <c r="O298" i="2"/>
  <c r="P298" i="2"/>
  <c r="P294" i="2"/>
  <c r="O294" i="2"/>
  <c r="N294" i="2"/>
  <c r="M294" i="2"/>
  <c r="E313" i="2"/>
  <c r="DH298" i="2"/>
  <c r="BE298" i="2"/>
  <c r="H298" i="2"/>
  <c r="F313" i="2"/>
  <c r="AF313" i="2" s="1"/>
  <c r="BE313" i="2" s="1"/>
  <c r="G313" i="2"/>
  <c r="L622" i="2"/>
  <c r="K610" i="2" s="1"/>
  <c r="BE610" i="2" s="1"/>
  <c r="L623" i="2"/>
  <c r="K611" i="2" s="1"/>
  <c r="BE611" i="2" s="1"/>
  <c r="L621" i="2"/>
  <c r="K609" i="2" s="1"/>
  <c r="T294" i="2" l="1"/>
  <c r="R303" i="2"/>
  <c r="I732" i="15"/>
  <c r="DI905" i="2"/>
  <c r="AF100" i="2"/>
  <c r="I598" i="15"/>
  <c r="DI100" i="2"/>
  <c r="S298" i="2"/>
  <c r="S294" i="2"/>
  <c r="U294" i="2" s="1"/>
  <c r="Q303" i="2"/>
  <c r="U303" i="2" s="1"/>
  <c r="U304" i="2" s="1"/>
  <c r="I905" i="2"/>
  <c r="O732" i="15" s="1"/>
  <c r="V732" i="15" s="1"/>
  <c r="U732" i="15" s="1"/>
  <c r="I904" i="2"/>
  <c r="O731" i="15" s="1"/>
  <c r="V731" i="15" s="1"/>
  <c r="U731" i="15" s="1"/>
  <c r="F298" i="2"/>
  <c r="T297" i="2"/>
  <c r="T298" i="2"/>
  <c r="S297" i="2"/>
  <c r="T296" i="2"/>
  <c r="S296" i="2"/>
  <c r="T295" i="2"/>
  <c r="S295" i="2"/>
  <c r="BE609" i="2"/>
  <c r="AU610" i="2"/>
  <c r="AU611" i="2"/>
  <c r="N427" i="2"/>
  <c r="DJ427" i="2" s="1"/>
  <c r="N428" i="2"/>
  <c r="N429" i="2"/>
  <c r="N432" i="2"/>
  <c r="DJ432" i="2" s="1"/>
  <c r="N426" i="2"/>
  <c r="DJ426" i="2" s="1"/>
  <c r="R448" i="2"/>
  <c r="N430" i="2" s="1"/>
  <c r="DJ430" i="2" s="1"/>
  <c r="R449" i="2"/>
  <c r="N431" i="2" s="1"/>
  <c r="DJ431" i="2" s="1"/>
  <c r="R451" i="2"/>
  <c r="N433" i="2" s="1"/>
  <c r="DJ433" i="2" s="1"/>
  <c r="M451" i="2"/>
  <c r="O451" i="2" s="1"/>
  <c r="G427" i="2"/>
  <c r="AS427" i="2" s="1"/>
  <c r="H427" i="2"/>
  <c r="BE427" i="2" s="1"/>
  <c r="G428" i="2"/>
  <c r="H428" i="2"/>
  <c r="G429" i="2"/>
  <c r="H429" i="2"/>
  <c r="L444" i="2"/>
  <c r="N444" i="2" s="1"/>
  <c r="L451" i="2"/>
  <c r="N451" i="2" s="1"/>
  <c r="O444" i="2"/>
  <c r="F405" i="2"/>
  <c r="AF405" i="2" s="1"/>
  <c r="F407" i="2"/>
  <c r="AF407" i="2" s="1"/>
  <c r="F408" i="2"/>
  <c r="AF408" i="2" s="1"/>
  <c r="F404" i="2"/>
  <c r="AF404" i="2" s="1"/>
  <c r="J419" i="2"/>
  <c r="K405" i="2" s="1"/>
  <c r="DJ405" i="2" s="1"/>
  <c r="J420" i="2"/>
  <c r="K406" i="2" s="1"/>
  <c r="DJ406" i="2" s="1"/>
  <c r="J421" i="2"/>
  <c r="K407" i="2" s="1"/>
  <c r="DJ407" i="2" s="1"/>
  <c r="J422" i="2"/>
  <c r="K408" i="2" s="1"/>
  <c r="DJ408" i="2" s="1"/>
  <c r="J418" i="2"/>
  <c r="K404" i="2" s="1"/>
  <c r="DJ404" i="2" s="1"/>
  <c r="V339" i="2"/>
  <c r="V340" i="2" s="1"/>
  <c r="K647" i="15"/>
  <c r="I647" i="15" s="1"/>
  <c r="BE320" i="2"/>
  <c r="BE321" i="2"/>
  <c r="BE319" i="2"/>
  <c r="H332" i="2"/>
  <c r="H333" i="2"/>
  <c r="F160" i="2"/>
  <c r="AF160" i="2" s="1"/>
  <c r="DG905" i="2" l="1"/>
  <c r="AA732" i="15" s="1"/>
  <c r="AE732" i="15"/>
  <c r="AC732" i="15" s="1"/>
  <c r="U296" i="2"/>
  <c r="U298" i="2"/>
  <c r="BE429" i="2"/>
  <c r="L661" i="15"/>
  <c r="BE428" i="2"/>
  <c r="L660" i="15"/>
  <c r="AF298" i="2"/>
  <c r="I642" i="15"/>
  <c r="AS429" i="2"/>
  <c r="K661" i="15"/>
  <c r="AS428" i="2"/>
  <c r="K660" i="15"/>
  <c r="CD429" i="2"/>
  <c r="AB661" i="15"/>
  <c r="CD428" i="2"/>
  <c r="AB660" i="15"/>
  <c r="AE598" i="15"/>
  <c r="AC598" i="15" s="1"/>
  <c r="CD432" i="2"/>
  <c r="CD427" i="2"/>
  <c r="U297" i="2"/>
  <c r="CD426" i="2"/>
  <c r="CD433" i="2"/>
  <c r="I298" i="2"/>
  <c r="O642" i="15" s="1"/>
  <c r="V642" i="15" s="1"/>
  <c r="U642" i="15" s="1"/>
  <c r="CD431" i="2"/>
  <c r="CD430" i="2"/>
  <c r="T299" i="2"/>
  <c r="U295" i="2"/>
  <c r="S299" i="2"/>
  <c r="H433" i="2"/>
  <c r="BE433" i="2" s="1"/>
  <c r="F428" i="2"/>
  <c r="AF428" i="2" s="1"/>
  <c r="F429" i="2"/>
  <c r="AF429" i="2" s="1"/>
  <c r="L429" i="2"/>
  <c r="Q661" i="15" s="1"/>
  <c r="O661" i="15" s="1"/>
  <c r="W661" i="15" s="1"/>
  <c r="V661" i="15" s="1"/>
  <c r="U661" i="15" s="1"/>
  <c r="L428" i="2"/>
  <c r="Q660" i="15" s="1"/>
  <c r="O660" i="15" s="1"/>
  <c r="W660" i="15" s="1"/>
  <c r="V660" i="15" s="1"/>
  <c r="U660" i="15" s="1"/>
  <c r="I660" i="15" l="1"/>
  <c r="I661" i="15"/>
  <c r="U299" i="2"/>
  <c r="E446" i="2"/>
  <c r="E447" i="2"/>
  <c r="E448" i="2"/>
  <c r="E449" i="2"/>
  <c r="E450" i="2"/>
  <c r="E451" i="2"/>
  <c r="BE405" i="2"/>
  <c r="BE406" i="2"/>
  <c r="BE407" i="2"/>
  <c r="BE408" i="2"/>
  <c r="BE404" i="2"/>
  <c r="E422" i="2"/>
  <c r="BE355" i="2"/>
  <c r="BE356" i="2"/>
  <c r="BE357" i="2"/>
  <c r="BE354" i="2"/>
  <c r="BQ340" i="2"/>
  <c r="BQ339" i="2"/>
  <c r="BE340" i="2"/>
  <c r="N340" i="2"/>
  <c r="DJ340" i="2" s="1"/>
  <c r="N339" i="2"/>
  <c r="DJ339" i="2" s="1"/>
  <c r="BE339" i="2"/>
  <c r="F340" i="2"/>
  <c r="AF340" i="2" s="1"/>
  <c r="DH340" i="2"/>
  <c r="F311" i="2"/>
  <c r="AF311" i="2" s="1"/>
  <c r="BE311" i="2" s="1"/>
  <c r="F312" i="2"/>
  <c r="AF312" i="2" s="1"/>
  <c r="BE312" i="2" s="1"/>
  <c r="AB647" i="15" l="1"/>
  <c r="AS339" i="2"/>
  <c r="F339" i="2"/>
  <c r="AF339" i="2" s="1"/>
  <c r="AS340" i="2"/>
  <c r="CD340" i="2"/>
  <c r="CD339" i="2"/>
  <c r="L340" i="2"/>
  <c r="Q647" i="15" s="1"/>
  <c r="O647" i="15" s="1"/>
  <c r="U647" i="15" s="1"/>
  <c r="BE295" i="2" l="1"/>
  <c r="BE296" i="2"/>
  <c r="BE297" i="2"/>
  <c r="BE294" i="2"/>
  <c r="O235" i="2"/>
  <c r="O236" i="2"/>
  <c r="O237" i="2"/>
  <c r="O238" i="2"/>
  <c r="O239" i="2"/>
  <c r="O240" i="2"/>
  <c r="O234" i="2"/>
  <c r="H240" i="2"/>
  <c r="N240" i="2" s="1"/>
  <c r="E240" i="2"/>
  <c r="D240" i="2"/>
  <c r="H239" i="2"/>
  <c r="E239" i="2"/>
  <c r="D239" i="2"/>
  <c r="DH224" i="2"/>
  <c r="H224" i="2"/>
  <c r="DH223" i="2"/>
  <c r="H223" i="2"/>
  <c r="F171" i="2"/>
  <c r="F170" i="2"/>
  <c r="AF170" i="2" s="1"/>
  <c r="F169" i="2"/>
  <c r="DH169" i="2"/>
  <c r="BE169" i="2"/>
  <c r="H169" i="2"/>
  <c r="B169" i="2"/>
  <c r="DH171" i="2"/>
  <c r="BE171" i="2"/>
  <c r="H171" i="2"/>
  <c r="F153" i="2"/>
  <c r="AF153" i="2" s="1"/>
  <c r="AF169" i="2" l="1"/>
  <c r="I622" i="15"/>
  <c r="AF171" i="2"/>
  <c r="I624" i="15"/>
  <c r="M239" i="2"/>
  <c r="N239" i="2"/>
  <c r="M240" i="2"/>
  <c r="F224" i="2" s="1"/>
  <c r="I169" i="2"/>
  <c r="O622" i="15" s="1"/>
  <c r="V622" i="15" s="1"/>
  <c r="U622" i="15" s="1"/>
  <c r="I171" i="2"/>
  <c r="O624" i="15" s="1"/>
  <c r="V624" i="15" s="1"/>
  <c r="U624" i="15" s="1"/>
  <c r="AF224" i="2" l="1"/>
  <c r="I633" i="15"/>
  <c r="F223" i="2"/>
  <c r="I224" i="2"/>
  <c r="O633" i="15" s="1"/>
  <c r="W633" i="15" s="1"/>
  <c r="V633" i="15" s="1"/>
  <c r="U633" i="15" s="1"/>
  <c r="AF223" i="2" l="1"/>
  <c r="I632" i="15"/>
  <c r="I223" i="2"/>
  <c r="O632" i="15" s="1"/>
  <c r="W632" i="15" s="1"/>
  <c r="V632" i="15" s="1"/>
  <c r="U632" i="15" s="1"/>
  <c r="BE159" i="2"/>
  <c r="BE160" i="2"/>
  <c r="BE161" i="2"/>
  <c r="BE162" i="2"/>
  <c r="BE163" i="2"/>
  <c r="BE164" i="2"/>
  <c r="BE165" i="2"/>
  <c r="BE166" i="2"/>
  <c r="BE167" i="2"/>
  <c r="BE168" i="2"/>
  <c r="BE170" i="2"/>
  <c r="BE154" i="2"/>
  <c r="BE155" i="2"/>
  <c r="BE156" i="2"/>
  <c r="BE157" i="2"/>
  <c r="BE158" i="2"/>
  <c r="BE153" i="2"/>
  <c r="F128" i="2"/>
  <c r="F129" i="2"/>
  <c r="F130" i="2"/>
  <c r="I605" i="15" s="1"/>
  <c r="F127" i="2"/>
  <c r="I602" i="15" s="1"/>
  <c r="F126" i="2"/>
  <c r="I601" i="15" s="1"/>
  <c r="CO142" i="2"/>
  <c r="CO143" i="2"/>
  <c r="CO144" i="2"/>
  <c r="CO145" i="2"/>
  <c r="CO141" i="2"/>
  <c r="CC142" i="2"/>
  <c r="CC143" i="2"/>
  <c r="CC144" i="2"/>
  <c r="CC145" i="2"/>
  <c r="CC141" i="2"/>
  <c r="BQ142" i="2"/>
  <c r="BQ143" i="2"/>
  <c r="BQ144" i="2"/>
  <c r="BQ145" i="2"/>
  <c r="BQ141" i="2"/>
  <c r="BE142" i="2"/>
  <c r="BE143" i="2"/>
  <c r="BE144" i="2"/>
  <c r="BE145" i="2"/>
  <c r="BE141" i="2"/>
  <c r="AS142" i="2"/>
  <c r="AS143" i="2"/>
  <c r="AS144" i="2"/>
  <c r="AS145" i="2"/>
  <c r="AS141" i="2"/>
  <c r="AF142" i="2"/>
  <c r="AF143" i="2"/>
  <c r="AF144" i="2"/>
  <c r="AF145" i="2"/>
  <c r="AF141" i="2"/>
  <c r="J129" i="2"/>
  <c r="J128" i="2"/>
  <c r="K127" i="2"/>
  <c r="DJ127" i="2" s="1"/>
  <c r="K128" i="2"/>
  <c r="DJ128" i="2" s="1"/>
  <c r="K130" i="2"/>
  <c r="DJ130" i="2" s="1"/>
  <c r="K126" i="2"/>
  <c r="DJ126" i="2" s="1"/>
  <c r="H126" i="2"/>
  <c r="H127" i="2"/>
  <c r="H128" i="2"/>
  <c r="H129" i="2"/>
  <c r="H130" i="2"/>
  <c r="E127" i="2"/>
  <c r="G602" i="15" s="1"/>
  <c r="AX602" i="15" s="1"/>
  <c r="E128" i="2"/>
  <c r="G603" i="15" s="1"/>
  <c r="AX603" i="15" s="1"/>
  <c r="E129" i="2"/>
  <c r="G604" i="15" s="1"/>
  <c r="AX604" i="15" s="1"/>
  <c r="E130" i="2"/>
  <c r="G605" i="15" s="1"/>
  <c r="AX605" i="15" s="1"/>
  <c r="E126" i="2"/>
  <c r="G601" i="15" s="1"/>
  <c r="AX601" i="15" s="1"/>
  <c r="DH128" i="2" l="1"/>
  <c r="DI128" i="2" s="1"/>
  <c r="X603" i="15"/>
  <c r="Z603" i="15" s="1"/>
  <c r="W603" i="15" s="1"/>
  <c r="V603" i="15" s="1"/>
  <c r="DH129" i="2"/>
  <c r="DI129" i="2" s="1"/>
  <c r="X604" i="15"/>
  <c r="Z604" i="15" s="1"/>
  <c r="W604" i="15" s="1"/>
  <c r="AB603" i="15"/>
  <c r="AB601" i="15"/>
  <c r="AF128" i="2"/>
  <c r="I603" i="15"/>
  <c r="AB602" i="15"/>
  <c r="AF129" i="2"/>
  <c r="I604" i="15"/>
  <c r="AB605" i="15"/>
  <c r="AF127" i="2"/>
  <c r="DI127" i="2"/>
  <c r="AF126" i="2"/>
  <c r="DI126" i="2"/>
  <c r="AF130" i="2"/>
  <c r="DI130" i="2"/>
  <c r="I126" i="2"/>
  <c r="O601" i="15" s="1"/>
  <c r="W601" i="15" s="1"/>
  <c r="V601" i="15" s="1"/>
  <c r="U601" i="15" s="1"/>
  <c r="I130" i="2"/>
  <c r="O605" i="15" s="1"/>
  <c r="W605" i="15" s="1"/>
  <c r="V605" i="15" s="1"/>
  <c r="U605" i="15" s="1"/>
  <c r="I127" i="2"/>
  <c r="O602" i="15" s="1"/>
  <c r="W602" i="15" s="1"/>
  <c r="V602" i="15" s="1"/>
  <c r="U602" i="15" s="1"/>
  <c r="I129" i="2"/>
  <c r="O604" i="15" s="1"/>
  <c r="I128" i="2"/>
  <c r="O603" i="15" s="1"/>
  <c r="V604" i="15" l="1"/>
  <c r="U604" i="15" s="1"/>
  <c r="U603" i="15"/>
  <c r="DG126" i="2"/>
  <c r="AA601" i="15" s="1"/>
  <c r="AE601" i="15"/>
  <c r="AC601" i="15" s="1"/>
  <c r="DG127" i="2"/>
  <c r="AA602" i="15" s="1"/>
  <c r="AE602" i="15"/>
  <c r="AC602" i="15" s="1"/>
  <c r="DG130" i="2"/>
  <c r="AA605" i="15" s="1"/>
  <c r="AE605" i="15"/>
  <c r="AC605" i="15" s="1"/>
  <c r="DG129" i="2"/>
  <c r="AA604" i="15" s="1"/>
  <c r="AE604" i="15"/>
  <c r="AC604" i="15" s="1"/>
  <c r="DG128" i="2"/>
  <c r="AA603" i="15" s="1"/>
  <c r="AE603" i="15"/>
  <c r="AC603" i="15" s="1"/>
  <c r="F717" i="2"/>
  <c r="AF717" i="2" s="1"/>
  <c r="BE698" i="2"/>
  <c r="BE699" i="2"/>
  <c r="BE697" i="2"/>
  <c r="P711" i="2"/>
  <c r="F699" i="2" s="1"/>
  <c r="AF699" i="2" s="1"/>
  <c r="P710" i="2"/>
  <c r="F698" i="2" s="1"/>
  <c r="I712" i="15" s="1"/>
  <c r="P709" i="2"/>
  <c r="F697" i="2" s="1"/>
  <c r="AF697" i="2" s="1"/>
  <c r="H698" i="2"/>
  <c r="F680" i="2"/>
  <c r="F679" i="2"/>
  <c r="AF698" i="2" l="1"/>
  <c r="DI698" i="2"/>
  <c r="I698" i="2"/>
  <c r="O712" i="15" s="1"/>
  <c r="V712" i="15" s="1"/>
  <c r="U712" i="15" s="1"/>
  <c r="DG698" i="2" l="1"/>
  <c r="AE712" i="15"/>
  <c r="AC712" i="15" s="1"/>
  <c r="F1269" i="6"/>
  <c r="F1866" i="6"/>
  <c r="K1302" i="6"/>
  <c r="K1329" i="6"/>
  <c r="AF1331" i="7"/>
  <c r="AF1332" i="7"/>
  <c r="AF1333" i="7"/>
  <c r="AF1334" i="7"/>
  <c r="AF1335" i="7"/>
  <c r="AF1336" i="7"/>
  <c r="AF1337" i="7"/>
  <c r="AF1338" i="7"/>
  <c r="AF1339" i="7"/>
  <c r="AF1340" i="7"/>
  <c r="AF1341" i="7"/>
  <c r="AF1342" i="7"/>
  <c r="V1338" i="7"/>
  <c r="AF1324" i="7"/>
  <c r="AF1317" i="7"/>
  <c r="AF1318" i="7"/>
  <c r="AF1319" i="7"/>
  <c r="AF1320" i="7"/>
  <c r="AF1321" i="7"/>
  <c r="AF1322" i="7"/>
  <c r="AF1323" i="7"/>
  <c r="H1317" i="7"/>
  <c r="I1317" i="7" s="1"/>
  <c r="O540" i="15" s="1"/>
  <c r="J1317" i="7"/>
  <c r="K1317" i="7"/>
  <c r="DJ1317" i="7" s="1"/>
  <c r="H1318" i="7"/>
  <c r="I1318" i="7" s="1"/>
  <c r="O541" i="15" s="1"/>
  <c r="J1318" i="7"/>
  <c r="K1318" i="7"/>
  <c r="DJ1318" i="7" s="1"/>
  <c r="H1319" i="7"/>
  <c r="I1319" i="7" s="1"/>
  <c r="O542" i="15" s="1"/>
  <c r="J1319" i="7"/>
  <c r="K1319" i="7"/>
  <c r="DJ1319" i="7" s="1"/>
  <c r="H1320" i="7"/>
  <c r="I1320" i="7" s="1"/>
  <c r="O543" i="15" s="1"/>
  <c r="J1320" i="7"/>
  <c r="K1320" i="7"/>
  <c r="DJ1320" i="7" s="1"/>
  <c r="H1321" i="7"/>
  <c r="I1321" i="7" s="1"/>
  <c r="O544" i="15" s="1"/>
  <c r="J1321" i="7"/>
  <c r="K1321" i="7"/>
  <c r="DJ1321" i="7" s="1"/>
  <c r="H1322" i="7"/>
  <c r="I1322" i="7" s="1"/>
  <c r="O545" i="15" s="1"/>
  <c r="J1322" i="7"/>
  <c r="K1322" i="7"/>
  <c r="DJ1322" i="7" s="1"/>
  <c r="H1323" i="7"/>
  <c r="I1323" i="7" s="1"/>
  <c r="O546" i="15" s="1"/>
  <c r="J1323" i="7"/>
  <c r="K1323" i="7"/>
  <c r="DJ1323" i="7" s="1"/>
  <c r="H1324" i="7"/>
  <c r="I1324" i="7" s="1"/>
  <c r="O547" i="15" s="1"/>
  <c r="J1324" i="7"/>
  <c r="K1324" i="7"/>
  <c r="DJ1324" i="7" s="1"/>
  <c r="S184" i="6"/>
  <c r="T175" i="6" s="1"/>
  <c r="S1926" i="6"/>
  <c r="S1924" i="6"/>
  <c r="S1421" i="6"/>
  <c r="S1419" i="6"/>
  <c r="S1313" i="6"/>
  <c r="S1311" i="6"/>
  <c r="S840" i="6"/>
  <c r="S837" i="6"/>
  <c r="AB542" i="15" l="1"/>
  <c r="DH1319" i="7"/>
  <c r="DI1319" i="7" s="1"/>
  <c r="AE542" i="15" s="1"/>
  <c r="AC542" i="15" s="1"/>
  <c r="X542" i="15"/>
  <c r="Z542" i="15" s="1"/>
  <c r="W542" i="15" s="1"/>
  <c r="V542" i="15" s="1"/>
  <c r="U542" i="15" s="1"/>
  <c r="AB547" i="15"/>
  <c r="AB541" i="15"/>
  <c r="DH1324" i="7"/>
  <c r="DI1324" i="7" s="1"/>
  <c r="AE547" i="15" s="1"/>
  <c r="AC547" i="15" s="1"/>
  <c r="X547" i="15"/>
  <c r="Z547" i="15" s="1"/>
  <c r="W547" i="15" s="1"/>
  <c r="V547" i="15" s="1"/>
  <c r="U547" i="15" s="1"/>
  <c r="DH1318" i="7"/>
  <c r="DI1318" i="7" s="1"/>
  <c r="AE541" i="15" s="1"/>
  <c r="AC541" i="15" s="1"/>
  <c r="X541" i="15"/>
  <c r="Z541" i="15" s="1"/>
  <c r="W541" i="15" s="1"/>
  <c r="V541" i="15" s="1"/>
  <c r="U541" i="15" s="1"/>
  <c r="AB546" i="15"/>
  <c r="AB540" i="15"/>
  <c r="DH1323" i="7"/>
  <c r="DI1323" i="7" s="1"/>
  <c r="AE546" i="15" s="1"/>
  <c r="AC546" i="15" s="1"/>
  <c r="X546" i="15"/>
  <c r="Z546" i="15" s="1"/>
  <c r="W546" i="15" s="1"/>
  <c r="V546" i="15" s="1"/>
  <c r="U546" i="15" s="1"/>
  <c r="AB545" i="15"/>
  <c r="AB543" i="15"/>
  <c r="DH1320" i="7"/>
  <c r="DI1320" i="7" s="1"/>
  <c r="AE543" i="15" s="1"/>
  <c r="AC543" i="15" s="1"/>
  <c r="X543" i="15"/>
  <c r="Z543" i="15" s="1"/>
  <c r="W543" i="15" s="1"/>
  <c r="V543" i="15" s="1"/>
  <c r="U543" i="15" s="1"/>
  <c r="DH1322" i="7"/>
  <c r="DI1322" i="7" s="1"/>
  <c r="AE545" i="15" s="1"/>
  <c r="AC545" i="15" s="1"/>
  <c r="X545" i="15"/>
  <c r="Z545" i="15" s="1"/>
  <c r="W545" i="15" s="1"/>
  <c r="V545" i="15" s="1"/>
  <c r="U545" i="15" s="1"/>
  <c r="DH1317" i="7"/>
  <c r="DI1317" i="7" s="1"/>
  <c r="AE540" i="15" s="1"/>
  <c r="AC540" i="15" s="1"/>
  <c r="X540" i="15"/>
  <c r="Z540" i="15" s="1"/>
  <c r="W540" i="15" s="1"/>
  <c r="V540" i="15" s="1"/>
  <c r="U540" i="15" s="1"/>
  <c r="AB544" i="15"/>
  <c r="DH1321" i="7"/>
  <c r="DI1321" i="7" s="1"/>
  <c r="AE544" i="15" s="1"/>
  <c r="AC544" i="15" s="1"/>
  <c r="X544" i="15"/>
  <c r="Z544" i="15" s="1"/>
  <c r="W544" i="15" s="1"/>
  <c r="V544" i="15" s="1"/>
  <c r="U544" i="15" s="1"/>
  <c r="T168" i="6"/>
  <c r="T167" i="6"/>
  <c r="T169" i="6"/>
  <c r="T176" i="6"/>
  <c r="T170" i="6"/>
  <c r="T173" i="6"/>
  <c r="T174" i="6"/>
  <c r="T171" i="6"/>
  <c r="T172" i="6"/>
  <c r="DG1322" i="7" l="1"/>
  <c r="AA545" i="15" s="1"/>
  <c r="DG1318" i="7"/>
  <c r="AA541" i="15" s="1"/>
  <c r="DG1319" i="7"/>
  <c r="AA542" i="15" s="1"/>
  <c r="DG1320" i="7"/>
  <c r="AA543" i="15" s="1"/>
  <c r="DG1324" i="7"/>
  <c r="AA547" i="15" s="1"/>
  <c r="DG1317" i="7"/>
  <c r="AA540" i="15" s="1"/>
  <c r="DG1321" i="7"/>
  <c r="AA544" i="15" s="1"/>
  <c r="DG1323" i="7"/>
  <c r="AA546" i="15" s="1"/>
  <c r="L1259" i="6"/>
  <c r="AR308" i="2" l="1"/>
  <c r="AQ308" i="2"/>
  <c r="AP308" i="2"/>
  <c r="AN308" i="2"/>
  <c r="AM308" i="2"/>
  <c r="AL308" i="2"/>
  <c r="AK308" i="2"/>
  <c r="AJ308" i="2"/>
  <c r="AG256" i="2"/>
  <c r="AE256" i="2"/>
  <c r="AD256" i="2"/>
  <c r="AC256" i="2"/>
  <c r="AA256" i="2"/>
  <c r="Z256" i="2"/>
  <c r="Y256" i="2"/>
  <c r="X256" i="2"/>
  <c r="W256" i="2"/>
  <c r="AG181" i="2"/>
  <c r="AE181" i="2"/>
  <c r="AD181" i="2"/>
  <c r="AC181" i="2"/>
  <c r="AA181" i="2"/>
  <c r="Z181" i="2"/>
  <c r="Y181" i="2"/>
  <c r="X181" i="2"/>
  <c r="W181" i="2"/>
  <c r="V196" i="2"/>
  <c r="F162" i="2"/>
  <c r="AF162" i="2" s="1"/>
  <c r="F163" i="2"/>
  <c r="AF163" i="2" s="1"/>
  <c r="F164" i="2"/>
  <c r="AF164" i="2" s="1"/>
  <c r="F165" i="2"/>
  <c r="AF165" i="2" s="1"/>
  <c r="F166" i="2"/>
  <c r="AF166" i="2" s="1"/>
  <c r="F167" i="2"/>
  <c r="AF167" i="2" s="1"/>
  <c r="F168" i="2"/>
  <c r="AF168" i="2" s="1"/>
  <c r="F161" i="2"/>
  <c r="AF161" i="2" s="1"/>
  <c r="F154" i="2"/>
  <c r="AF154" i="2" s="1"/>
  <c r="F155" i="2"/>
  <c r="AF155" i="2" s="1"/>
  <c r="F156" i="2"/>
  <c r="AF156" i="2" s="1"/>
  <c r="F157" i="2"/>
  <c r="AF157" i="2" s="1"/>
  <c r="F158" i="2"/>
  <c r="AF158" i="2" s="1"/>
  <c r="F159" i="2"/>
  <c r="AF159" i="2" s="1"/>
  <c r="S845" i="6"/>
  <c r="K124" i="6"/>
  <c r="DJ124" i="6" s="1"/>
  <c r="K102" i="2"/>
  <c r="DJ102" i="2" s="1"/>
  <c r="K101" i="2"/>
  <c r="DJ101" i="2" s="1"/>
  <c r="K100" i="2"/>
  <c r="DJ100" i="2" s="1"/>
  <c r="F101" i="2"/>
  <c r="F102" i="2"/>
  <c r="D117" i="2"/>
  <c r="E117" i="2"/>
  <c r="D118" i="2"/>
  <c r="E118" i="2"/>
  <c r="D119" i="2"/>
  <c r="E119" i="2"/>
  <c r="H100" i="2"/>
  <c r="H101" i="2"/>
  <c r="H102" i="2"/>
  <c r="AF101" i="2" l="1"/>
  <c r="I599" i="15"/>
  <c r="DI101" i="2"/>
  <c r="BE101" i="2"/>
  <c r="AB599" i="15"/>
  <c r="AF102" i="2"/>
  <c r="I600" i="15"/>
  <c r="DI102" i="2"/>
  <c r="BE100" i="2"/>
  <c r="AB598" i="15"/>
  <c r="DG100" i="2"/>
  <c r="AA598" i="15" s="1"/>
  <c r="BE102" i="2"/>
  <c r="AB600" i="15"/>
  <c r="I100" i="2"/>
  <c r="O598" i="15" s="1"/>
  <c r="W598" i="15" s="1"/>
  <c r="V598" i="15" s="1"/>
  <c r="U598" i="15" s="1"/>
  <c r="I102" i="2"/>
  <c r="O600" i="15" s="1"/>
  <c r="W600" i="15" s="1"/>
  <c r="V600" i="15" s="1"/>
  <c r="U600" i="15" s="1"/>
  <c r="I101" i="2"/>
  <c r="O599" i="15" s="1"/>
  <c r="W599" i="15" s="1"/>
  <c r="V599" i="15" s="1"/>
  <c r="U599" i="15" s="1"/>
  <c r="DG101" i="2" l="1"/>
  <c r="AA599" i="15" s="1"/>
  <c r="AE599" i="15"/>
  <c r="AC599" i="15" s="1"/>
  <c r="DG102" i="2"/>
  <c r="AA600" i="15" s="1"/>
  <c r="AE600" i="15"/>
  <c r="AC600" i="15" s="1"/>
  <c r="AF80" i="2"/>
  <c r="N492" i="2"/>
  <c r="DJ492" i="2" s="1"/>
  <c r="N493" i="2"/>
  <c r="DJ493" i="2" s="1"/>
  <c r="N491" i="2"/>
  <c r="DJ491" i="2" s="1"/>
  <c r="N489" i="2"/>
  <c r="DJ489" i="2" s="1"/>
  <c r="N490" i="2"/>
  <c r="DJ490" i="2" s="1"/>
  <c r="N488" i="2"/>
  <c r="DJ488" i="2" s="1"/>
  <c r="H493" i="2"/>
  <c r="H490" i="2"/>
  <c r="G493" i="2"/>
  <c r="L493" i="2" s="1"/>
  <c r="Q675" i="15" s="1"/>
  <c r="O675" i="15" s="1"/>
  <c r="W675" i="15" s="1"/>
  <c r="V675" i="15" s="1"/>
  <c r="U675" i="15" s="1"/>
  <c r="G490" i="2"/>
  <c r="L490" i="2" s="1"/>
  <c r="Q672" i="15" s="1"/>
  <c r="O672" i="15" s="1"/>
  <c r="W672" i="15" s="1"/>
  <c r="V672" i="15" s="1"/>
  <c r="U672" i="15" s="1"/>
  <c r="G492" i="2"/>
  <c r="L492" i="2" s="1"/>
  <c r="Q674" i="15" s="1"/>
  <c r="O674" i="15" s="1"/>
  <c r="W674" i="15" s="1"/>
  <c r="V674" i="15" s="1"/>
  <c r="U674" i="15" s="1"/>
  <c r="G491" i="2"/>
  <c r="L491" i="2" s="1"/>
  <c r="Q673" i="15" s="1"/>
  <c r="O673" i="15" s="1"/>
  <c r="W673" i="15" s="1"/>
  <c r="V673" i="15" s="1"/>
  <c r="U673" i="15" s="1"/>
  <c r="G489" i="2"/>
  <c r="F489" i="2" s="1"/>
  <c r="K671" i="15" s="1"/>
  <c r="I671" i="15" s="1"/>
  <c r="G488" i="2"/>
  <c r="L488" i="2" s="1"/>
  <c r="Q670" i="15" s="1"/>
  <c r="O670" i="15" s="1"/>
  <c r="W670" i="15" s="1"/>
  <c r="V670" i="15" s="1"/>
  <c r="U670" i="15" s="1"/>
  <c r="E506" i="2"/>
  <c r="E507" i="2"/>
  <c r="E508" i="2"/>
  <c r="E509" i="2"/>
  <c r="E510" i="2"/>
  <c r="E505" i="2"/>
  <c r="D505" i="2"/>
  <c r="BE488" i="2" l="1"/>
  <c r="BE489" i="2"/>
  <c r="BE491" i="2"/>
  <c r="AF489" i="2"/>
  <c r="DI489" i="2"/>
  <c r="BE492" i="2"/>
  <c r="BE490" i="2"/>
  <c r="BE493" i="2"/>
  <c r="F488" i="2"/>
  <c r="K670" i="15" s="1"/>
  <c r="I670" i="15" s="1"/>
  <c r="F490" i="2"/>
  <c r="K672" i="15" s="1"/>
  <c r="I672" i="15" s="1"/>
  <c r="F492" i="2"/>
  <c r="K674" i="15" s="1"/>
  <c r="I674" i="15" s="1"/>
  <c r="L489" i="2"/>
  <c r="Q671" i="15" s="1"/>
  <c r="O671" i="15" s="1"/>
  <c r="W671" i="15" s="1"/>
  <c r="V671" i="15" s="1"/>
  <c r="U671" i="15" s="1"/>
  <c r="F491" i="2"/>
  <c r="K673" i="15" s="1"/>
  <c r="I673" i="15" s="1"/>
  <c r="F493" i="2"/>
  <c r="K675" i="15" s="1"/>
  <c r="I675" i="15" s="1"/>
  <c r="J408" i="16"/>
  <c r="K408" i="16"/>
  <c r="F408" i="16"/>
  <c r="V416" i="16"/>
  <c r="V417" i="16"/>
  <c r="V418" i="16"/>
  <c r="V419" i="16"/>
  <c r="V420" i="16"/>
  <c r="V421" i="16"/>
  <c r="V422" i="16"/>
  <c r="V423" i="16"/>
  <c r="V415" i="16"/>
  <c r="AF423" i="16"/>
  <c r="AF422" i="16"/>
  <c r="AF421" i="16"/>
  <c r="AF420" i="16"/>
  <c r="AF419" i="16"/>
  <c r="AF418" i="16"/>
  <c r="AF417" i="16"/>
  <c r="AF416" i="16"/>
  <c r="AF415" i="16"/>
  <c r="AG414" i="16"/>
  <c r="AE414" i="16"/>
  <c r="AD414" i="16"/>
  <c r="AC414" i="16"/>
  <c r="AB414" i="16"/>
  <c r="AA414" i="16"/>
  <c r="Z414" i="16"/>
  <c r="Y414" i="16"/>
  <c r="X414" i="16"/>
  <c r="W414" i="16"/>
  <c r="H408" i="16"/>
  <c r="B408" i="16"/>
  <c r="DI407" i="16"/>
  <c r="DH407" i="16"/>
  <c r="DG407" i="16"/>
  <c r="AG407" i="16"/>
  <c r="AE407" i="16"/>
  <c r="AD407" i="16"/>
  <c r="AC407" i="16"/>
  <c r="AB407" i="16"/>
  <c r="AA407" i="16"/>
  <c r="Z407" i="16"/>
  <c r="Y407" i="16"/>
  <c r="X407" i="16"/>
  <c r="W407" i="16"/>
  <c r="V405" i="16"/>
  <c r="J46" i="5"/>
  <c r="X50" i="15" s="1"/>
  <c r="Z50" i="15" s="1"/>
  <c r="J45" i="5"/>
  <c r="X49" i="15" s="1"/>
  <c r="Z49" i="15" s="1"/>
  <c r="W49" i="15" s="1"/>
  <c r="V49" i="15" s="1"/>
  <c r="J44" i="5"/>
  <c r="J43" i="5"/>
  <c r="K44" i="5"/>
  <c r="DJ44" i="5" s="1"/>
  <c r="K43" i="5"/>
  <c r="DJ43" i="5" s="1"/>
  <c r="AF54" i="5"/>
  <c r="AF55" i="5"/>
  <c r="AF56" i="5"/>
  <c r="AF57" i="5"/>
  <c r="AF58" i="5"/>
  <c r="AF59" i="5"/>
  <c r="AF60" i="5"/>
  <c r="AF61" i="5"/>
  <c r="AF63" i="5"/>
  <c r="AF64" i="5"/>
  <c r="AF65" i="5"/>
  <c r="AF66" i="5"/>
  <c r="AF67" i="5"/>
  <c r="AF68" i="5"/>
  <c r="AF69" i="5"/>
  <c r="AF70" i="5"/>
  <c r="AF71" i="5"/>
  <c r="AF72" i="5"/>
  <c r="AF73" i="5"/>
  <c r="AF74" i="5"/>
  <c r="AF75" i="5"/>
  <c r="AF76" i="5"/>
  <c r="AF77" i="5"/>
  <c r="AF78" i="5"/>
  <c r="F74" i="5"/>
  <c r="F59" i="5"/>
  <c r="F58" i="5"/>
  <c r="F55" i="5"/>
  <c r="F54" i="5"/>
  <c r="H44" i="5"/>
  <c r="H43" i="5"/>
  <c r="B43" i="5"/>
  <c r="B44" i="5"/>
  <c r="B45" i="5"/>
  <c r="AB41" i="15" l="1"/>
  <c r="DJ408" i="16"/>
  <c r="DG489" i="2"/>
  <c r="AA671" i="15" s="1"/>
  <c r="AE671" i="15"/>
  <c r="AC671" i="15" s="1"/>
  <c r="DH43" i="5"/>
  <c r="X47" i="15"/>
  <c r="Z47" i="15" s="1"/>
  <c r="W47" i="15" s="1"/>
  <c r="V47" i="15" s="1"/>
  <c r="AB47" i="15"/>
  <c r="AB48" i="15"/>
  <c r="DH44" i="5"/>
  <c r="X48" i="15"/>
  <c r="Z48" i="15" s="1"/>
  <c r="W48" i="15" s="1"/>
  <c r="V48" i="15" s="1"/>
  <c r="AF408" i="16"/>
  <c r="I41" i="15"/>
  <c r="X41" i="15"/>
  <c r="Z41" i="15" s="1"/>
  <c r="W41" i="15" s="1"/>
  <c r="V41" i="15" s="1"/>
  <c r="DH408" i="16"/>
  <c r="O41" i="15"/>
  <c r="AF492" i="2"/>
  <c r="DI492" i="2"/>
  <c r="AF493" i="2"/>
  <c r="DI493" i="2"/>
  <c r="AF491" i="2"/>
  <c r="DI491" i="2"/>
  <c r="AF490" i="2"/>
  <c r="DI490" i="2"/>
  <c r="DI488" i="2"/>
  <c r="AF488" i="2"/>
  <c r="I408" i="16"/>
  <c r="F45" i="5"/>
  <c r="F42" i="5"/>
  <c r="H45" i="5"/>
  <c r="DH45" i="5"/>
  <c r="K45" i="5"/>
  <c r="DJ45" i="5" s="1"/>
  <c r="K42" i="5"/>
  <c r="DJ42" i="5" s="1"/>
  <c r="V77" i="5"/>
  <c r="F78" i="5"/>
  <c r="F79" i="5"/>
  <c r="U41" i="15" l="1"/>
  <c r="DG491" i="2"/>
  <c r="AA673" i="15" s="1"/>
  <c r="AE673" i="15"/>
  <c r="AC673" i="15" s="1"/>
  <c r="DG490" i="2"/>
  <c r="AA672" i="15" s="1"/>
  <c r="AE672" i="15"/>
  <c r="AC672" i="15" s="1"/>
  <c r="DG492" i="2"/>
  <c r="AA674" i="15" s="1"/>
  <c r="AE674" i="15"/>
  <c r="AC674" i="15" s="1"/>
  <c r="DG488" i="2"/>
  <c r="AA670" i="15" s="1"/>
  <c r="AE670" i="15"/>
  <c r="AC670" i="15" s="1"/>
  <c r="DG493" i="2"/>
  <c r="AA675" i="15" s="1"/>
  <c r="AE675" i="15"/>
  <c r="AC675" i="15" s="1"/>
  <c r="AB49" i="15"/>
  <c r="AF45" i="5"/>
  <c r="I49" i="15"/>
  <c r="I45" i="5"/>
  <c r="O49" i="15" s="1"/>
  <c r="U49" i="15" s="1"/>
  <c r="B9" i="15" l="1"/>
  <c r="A9" i="15" s="1"/>
  <c r="C9" i="15"/>
  <c r="G9" i="15"/>
  <c r="H9" i="15"/>
  <c r="AI9" i="15"/>
  <c r="B10" i="15"/>
  <c r="A10" i="15" s="1"/>
  <c r="C10" i="15"/>
  <c r="D10" i="15"/>
  <c r="G10" i="15"/>
  <c r="H10" i="15"/>
  <c r="J10" i="15"/>
  <c r="P10" i="15"/>
  <c r="AI10" i="15"/>
  <c r="B11" i="15"/>
  <c r="A11" i="15" s="1"/>
  <c r="C11" i="15"/>
  <c r="D11" i="15"/>
  <c r="G11" i="15"/>
  <c r="H11" i="15"/>
  <c r="J11" i="15"/>
  <c r="P11" i="15"/>
  <c r="AI11" i="15"/>
  <c r="B12" i="15"/>
  <c r="A12" i="15" s="1"/>
  <c r="C12" i="15"/>
  <c r="D12" i="15"/>
  <c r="J12" i="15"/>
  <c r="P12" i="15"/>
  <c r="AI12" i="15"/>
  <c r="B13" i="15"/>
  <c r="A13" i="15" s="1"/>
  <c r="C13" i="15"/>
  <c r="D13" i="15"/>
  <c r="G13" i="15"/>
  <c r="H13" i="15"/>
  <c r="J13" i="15"/>
  <c r="P13" i="15"/>
  <c r="AI13" i="15"/>
  <c r="B14" i="15"/>
  <c r="A14" i="15" s="1"/>
  <c r="C14" i="15"/>
  <c r="D14" i="15"/>
  <c r="J14" i="15"/>
  <c r="P14" i="15"/>
  <c r="AI14" i="15"/>
  <c r="B15" i="15"/>
  <c r="A15" i="15" s="1"/>
  <c r="C15" i="15"/>
  <c r="D15" i="15"/>
  <c r="G15" i="15"/>
  <c r="H15" i="15"/>
  <c r="J15" i="15"/>
  <c r="P15" i="15"/>
  <c r="AI15" i="15"/>
  <c r="B16" i="15"/>
  <c r="A16" i="15" s="1"/>
  <c r="C16" i="15"/>
  <c r="D16" i="15"/>
  <c r="G16" i="15"/>
  <c r="H16" i="15"/>
  <c r="J16" i="15"/>
  <c r="P16" i="15"/>
  <c r="AI16" i="15"/>
  <c r="B17" i="15"/>
  <c r="A17" i="15" s="1"/>
  <c r="C17" i="15"/>
  <c r="D17" i="15"/>
  <c r="G17" i="15"/>
  <c r="H17" i="15"/>
  <c r="J17" i="15"/>
  <c r="P17" i="15"/>
  <c r="AI17" i="15"/>
  <c r="B18" i="15"/>
  <c r="A18" i="15" s="1"/>
  <c r="C18" i="15"/>
  <c r="D18" i="15"/>
  <c r="G18" i="15"/>
  <c r="J18" i="15"/>
  <c r="P18" i="15"/>
  <c r="AI18" i="15"/>
  <c r="B19" i="15"/>
  <c r="A19" i="15" s="1"/>
  <c r="C19" i="15"/>
  <c r="D19" i="15"/>
  <c r="G19" i="15"/>
  <c r="H19" i="15"/>
  <c r="J19" i="15"/>
  <c r="P19" i="15"/>
  <c r="AI19" i="15"/>
  <c r="B20" i="15"/>
  <c r="A20" i="15" s="1"/>
  <c r="C20" i="15"/>
  <c r="D20" i="15"/>
  <c r="G20" i="15"/>
  <c r="H20" i="15"/>
  <c r="J20" i="15"/>
  <c r="P20" i="15"/>
  <c r="AI20" i="15"/>
  <c r="B21" i="15"/>
  <c r="A21" i="15" s="1"/>
  <c r="C21" i="15"/>
  <c r="D21" i="15"/>
  <c r="G21" i="15"/>
  <c r="J21" i="15"/>
  <c r="P21" i="15"/>
  <c r="AI21" i="15"/>
  <c r="B22" i="15"/>
  <c r="A22" i="15" s="1"/>
  <c r="C22" i="15"/>
  <c r="G22" i="15"/>
  <c r="H22" i="15"/>
  <c r="AI22" i="15"/>
  <c r="B23" i="15"/>
  <c r="A23" i="15" s="1"/>
  <c r="C23" i="15"/>
  <c r="G23" i="15"/>
  <c r="H23" i="15"/>
  <c r="AI23" i="15"/>
  <c r="B24" i="15"/>
  <c r="A24" i="15" s="1"/>
  <c r="C24" i="15"/>
  <c r="G24" i="15"/>
  <c r="H24" i="15"/>
  <c r="AI24" i="15"/>
  <c r="B25" i="15"/>
  <c r="A25" i="15" s="1"/>
  <c r="C25" i="15"/>
  <c r="G25" i="15"/>
  <c r="H25" i="15"/>
  <c r="AI25" i="15"/>
  <c r="B28" i="15"/>
  <c r="A28" i="15" s="1"/>
  <c r="C28" i="15"/>
  <c r="G28" i="15"/>
  <c r="H28" i="15"/>
  <c r="AI28" i="15"/>
  <c r="B29" i="15"/>
  <c r="A29" i="15" s="1"/>
  <c r="C29" i="15"/>
  <c r="G29" i="15"/>
  <c r="H29" i="15"/>
  <c r="AI29" i="15"/>
  <c r="B30" i="15"/>
  <c r="A30" i="15" s="1"/>
  <c r="C30" i="15"/>
  <c r="G30" i="15"/>
  <c r="H30" i="15"/>
  <c r="AI30" i="15"/>
  <c r="B31" i="15"/>
  <c r="A31" i="15" s="1"/>
  <c r="C31" i="15"/>
  <c r="G31" i="15"/>
  <c r="H31" i="15"/>
  <c r="AI31" i="15"/>
  <c r="B32" i="15"/>
  <c r="A32" i="15" s="1"/>
  <c r="C32" i="15"/>
  <c r="G32" i="15"/>
  <c r="H32" i="15"/>
  <c r="AI32" i="15"/>
  <c r="B33" i="15"/>
  <c r="A33" i="15" s="1"/>
  <c r="C33" i="15"/>
  <c r="G33" i="15"/>
  <c r="H33" i="15"/>
  <c r="AI33" i="15"/>
  <c r="B34" i="15"/>
  <c r="A34" i="15" s="1"/>
  <c r="C34" i="15"/>
  <c r="G34" i="15"/>
  <c r="H34" i="15"/>
  <c r="AI34" i="15"/>
  <c r="B35" i="15"/>
  <c r="A35" i="15" s="1"/>
  <c r="C35" i="15"/>
  <c r="G35" i="15"/>
  <c r="H35" i="15"/>
  <c r="AI35" i="15"/>
  <c r="B36" i="15"/>
  <c r="A36" i="15" s="1"/>
  <c r="C36" i="15"/>
  <c r="G36" i="15"/>
  <c r="H36" i="15"/>
  <c r="AI36" i="15"/>
  <c r="B37" i="15"/>
  <c r="A37" i="15" s="1"/>
  <c r="C37" i="15"/>
  <c r="G37" i="15"/>
  <c r="H37" i="15"/>
  <c r="AI37" i="15"/>
  <c r="B42" i="15"/>
  <c r="A42" i="15" s="1"/>
  <c r="C42" i="15"/>
  <c r="G42" i="15"/>
  <c r="H42" i="15"/>
  <c r="AI42" i="15"/>
  <c r="B43" i="15"/>
  <c r="A43" i="15" s="1"/>
  <c r="C43" i="15"/>
  <c r="G43" i="15"/>
  <c r="H43" i="15"/>
  <c r="AI43" i="15"/>
  <c r="B44" i="15"/>
  <c r="A44" i="15" s="1"/>
  <c r="C44" i="15"/>
  <c r="G44" i="15"/>
  <c r="H44" i="15"/>
  <c r="AI44" i="15"/>
  <c r="B45" i="15"/>
  <c r="A45" i="15" s="1"/>
  <c r="C45" i="15"/>
  <c r="H45" i="15"/>
  <c r="AI45" i="15"/>
  <c r="B46" i="15"/>
  <c r="A46" i="15" s="1"/>
  <c r="C46" i="15"/>
  <c r="G46" i="15"/>
  <c r="H46" i="15"/>
  <c r="I46" i="15"/>
  <c r="AI46" i="15"/>
  <c r="B52" i="15"/>
  <c r="A52" i="15" s="1"/>
  <c r="C52" i="15"/>
  <c r="G52" i="15"/>
  <c r="H52" i="15"/>
  <c r="AI52" i="15"/>
  <c r="B53" i="15"/>
  <c r="A53" i="15" s="1"/>
  <c r="C53" i="15"/>
  <c r="G53" i="15"/>
  <c r="H53" i="15"/>
  <c r="AI53" i="15"/>
  <c r="B54" i="15"/>
  <c r="A54" i="15" s="1"/>
  <c r="C54" i="15"/>
  <c r="G54" i="15"/>
  <c r="H54" i="15"/>
  <c r="AI54" i="15"/>
  <c r="B55" i="15"/>
  <c r="A55" i="15" s="1"/>
  <c r="C55" i="15"/>
  <c r="G55" i="15"/>
  <c r="H55" i="15"/>
  <c r="AI55" i="15"/>
  <c r="B56" i="15"/>
  <c r="A56" i="15" s="1"/>
  <c r="C56" i="15"/>
  <c r="H56" i="15"/>
  <c r="AI56" i="15"/>
  <c r="B57" i="15"/>
  <c r="A57" i="15" s="1"/>
  <c r="C57" i="15"/>
  <c r="G57" i="15"/>
  <c r="H57" i="15"/>
  <c r="AI57" i="15"/>
  <c r="B58" i="15"/>
  <c r="A58" i="15" s="1"/>
  <c r="C58" i="15"/>
  <c r="G58" i="15"/>
  <c r="H58" i="15"/>
  <c r="AI58" i="15"/>
  <c r="B59" i="15"/>
  <c r="A59" i="15" s="1"/>
  <c r="C59" i="15"/>
  <c r="G59" i="15"/>
  <c r="H59" i="15"/>
  <c r="AI59" i="15"/>
  <c r="B60" i="15"/>
  <c r="A60" i="15" s="1"/>
  <c r="C60" i="15"/>
  <c r="G60" i="15"/>
  <c r="H60" i="15"/>
  <c r="AI60" i="15"/>
  <c r="B61" i="15"/>
  <c r="A61" i="15" s="1"/>
  <c r="C61" i="15"/>
  <c r="G61" i="15"/>
  <c r="H61" i="15"/>
  <c r="AI61" i="15"/>
  <c r="B62" i="15"/>
  <c r="A62" i="15" s="1"/>
  <c r="C62" i="15"/>
  <c r="G62" i="15"/>
  <c r="H62" i="15"/>
  <c r="AI62" i="15"/>
  <c r="B63" i="15"/>
  <c r="A63" i="15" s="1"/>
  <c r="C63" i="15"/>
  <c r="G63" i="15"/>
  <c r="H63" i="15"/>
  <c r="AI63" i="15"/>
  <c r="B64" i="15"/>
  <c r="A64" i="15" s="1"/>
  <c r="C64" i="15"/>
  <c r="G64" i="15"/>
  <c r="H64" i="15"/>
  <c r="AI64" i="15"/>
  <c r="B65" i="15"/>
  <c r="A65" i="15" s="1"/>
  <c r="C65" i="15"/>
  <c r="G65" i="15"/>
  <c r="H65" i="15"/>
  <c r="AI65" i="15"/>
  <c r="B66" i="15"/>
  <c r="A66" i="15" s="1"/>
  <c r="C66" i="15"/>
  <c r="G66" i="15"/>
  <c r="H66" i="15"/>
  <c r="AI66" i="15"/>
  <c r="B67" i="15"/>
  <c r="A67" i="15" s="1"/>
  <c r="C67" i="15"/>
  <c r="G67" i="15"/>
  <c r="H67" i="15"/>
  <c r="AI67" i="15"/>
  <c r="B68" i="15"/>
  <c r="A68" i="15" s="1"/>
  <c r="C68" i="15"/>
  <c r="G68" i="15"/>
  <c r="H68" i="15"/>
  <c r="AI68" i="15"/>
  <c r="B69" i="15"/>
  <c r="A69" i="15" s="1"/>
  <c r="C69" i="15"/>
  <c r="G69" i="15"/>
  <c r="H69" i="15"/>
  <c r="AI69" i="15"/>
  <c r="B70" i="15"/>
  <c r="A70" i="15" s="1"/>
  <c r="C70" i="15"/>
  <c r="G70" i="15"/>
  <c r="H70" i="15"/>
  <c r="AI70" i="15"/>
  <c r="B71" i="15"/>
  <c r="A71" i="15" s="1"/>
  <c r="C71" i="15"/>
  <c r="G71" i="15"/>
  <c r="H71" i="15"/>
  <c r="AI71" i="15"/>
  <c r="B72" i="15"/>
  <c r="A72" i="15" s="1"/>
  <c r="C72" i="15"/>
  <c r="G72" i="15"/>
  <c r="H72" i="15"/>
  <c r="AI72" i="15"/>
  <c r="AI79" i="15" s="1"/>
  <c r="AI81" i="15" s="1"/>
  <c r="AI82" i="15" s="1"/>
  <c r="AI83" i="15" s="1"/>
  <c r="AI84" i="15" s="1"/>
  <c r="AI85" i="15" s="1"/>
  <c r="AI86" i="15" s="1"/>
  <c r="AI87" i="15" s="1"/>
  <c r="AI88" i="15" s="1"/>
  <c r="AI89" i="15" s="1"/>
  <c r="AI90" i="15" s="1"/>
  <c r="AI91" i="15" s="1"/>
  <c r="AI92" i="15" s="1"/>
  <c r="AI93" i="15" s="1"/>
  <c r="AI94" i="15" s="1"/>
  <c r="AI95" i="15" s="1"/>
  <c r="AI96" i="15" s="1"/>
  <c r="AI97" i="15" s="1"/>
  <c r="AI98" i="15" s="1"/>
  <c r="AI99" i="15" s="1"/>
  <c r="AI100" i="15" s="1"/>
  <c r="AI101" i="15" s="1"/>
  <c r="AI102" i="15" s="1"/>
  <c r="AI103" i="15" s="1"/>
  <c r="AI104" i="15" s="1"/>
  <c r="AI105" i="15" s="1"/>
  <c r="AI106" i="15" s="1"/>
  <c r="AI107" i="15" s="1"/>
  <c r="AI108" i="15" s="1"/>
  <c r="AI109" i="15" s="1"/>
  <c r="AI110" i="15" s="1"/>
  <c r="AI111" i="15" s="1"/>
  <c r="AI112" i="15" s="1"/>
  <c r="AI113" i="15" s="1"/>
  <c r="AI114" i="15" s="1"/>
  <c r="AI115" i="15" s="1"/>
  <c r="AI116" i="15" s="1"/>
  <c r="AI117" i="15" s="1"/>
  <c r="AI118" i="15" s="1"/>
  <c r="AI119" i="15" s="1"/>
  <c r="AI120" i="15" s="1"/>
  <c r="AI121" i="15" s="1"/>
  <c r="AI122" i="15" s="1"/>
  <c r="AI123" i="15" s="1"/>
  <c r="AI124" i="15" s="1"/>
  <c r="AI125" i="15" s="1"/>
  <c r="AI126" i="15" s="1"/>
  <c r="AI127" i="15" s="1"/>
  <c r="AI128" i="15" s="1"/>
  <c r="AI129" i="15" s="1"/>
  <c r="AI130" i="15" s="1"/>
  <c r="AI131" i="15" s="1"/>
  <c r="AI132" i="15" s="1"/>
  <c r="AI133" i="15" s="1"/>
  <c r="AI134" i="15" s="1"/>
  <c r="B73" i="15"/>
  <c r="A73" i="15" s="1"/>
  <c r="C73" i="15"/>
  <c r="G73" i="15"/>
  <c r="H73" i="15"/>
  <c r="AI73" i="15"/>
  <c r="B74" i="15"/>
  <c r="A74" i="15" s="1"/>
  <c r="C74" i="15"/>
  <c r="G74" i="15"/>
  <c r="H74" i="15"/>
  <c r="AI74" i="15"/>
  <c r="B78" i="15"/>
  <c r="A78" i="15" s="1"/>
  <c r="C78" i="15"/>
  <c r="G78" i="15"/>
  <c r="H78" i="15"/>
  <c r="AG78" i="15"/>
  <c r="AD78" i="15" s="1"/>
  <c r="B79" i="15"/>
  <c r="A79" i="15" s="1"/>
  <c r="C79" i="15"/>
  <c r="G79" i="15"/>
  <c r="H79" i="15"/>
  <c r="AG79" i="15"/>
  <c r="AD79" i="15" s="1"/>
  <c r="B80" i="15"/>
  <c r="A80" i="15" s="1"/>
  <c r="C80" i="15"/>
  <c r="G80" i="15"/>
  <c r="H80" i="15"/>
  <c r="AG80" i="15"/>
  <c r="AD80" i="15" s="1"/>
  <c r="B81" i="15"/>
  <c r="A81" i="15" s="1"/>
  <c r="C81" i="15"/>
  <c r="G81" i="15"/>
  <c r="H81" i="15"/>
  <c r="AG81" i="15"/>
  <c r="AD81" i="15" s="1"/>
  <c r="B82" i="15"/>
  <c r="A82" i="15" s="1"/>
  <c r="C82" i="15"/>
  <c r="D82" i="15"/>
  <c r="G82" i="15"/>
  <c r="H82" i="15"/>
  <c r="B83" i="15"/>
  <c r="A83" i="15" s="1"/>
  <c r="C83" i="15"/>
  <c r="G83" i="15"/>
  <c r="H83" i="15"/>
  <c r="J83" i="15"/>
  <c r="P83" i="15"/>
  <c r="AD83" i="15"/>
  <c r="B84" i="15"/>
  <c r="A84" i="15" s="1"/>
  <c r="C84" i="15"/>
  <c r="D84" i="15"/>
  <c r="G84" i="15"/>
  <c r="H84" i="15"/>
  <c r="B85" i="15"/>
  <c r="A85" i="15" s="1"/>
  <c r="C85" i="15"/>
  <c r="D85" i="15"/>
  <c r="G85" i="15"/>
  <c r="H85" i="15"/>
  <c r="B86" i="15"/>
  <c r="A86" i="15" s="1"/>
  <c r="C86" i="15"/>
  <c r="G86" i="15"/>
  <c r="H86" i="15"/>
  <c r="J86" i="15"/>
  <c r="P86" i="15"/>
  <c r="X86" i="15"/>
  <c r="Z86" i="15" s="1"/>
  <c r="AD86" i="15"/>
  <c r="B87" i="15"/>
  <c r="A87" i="15" s="1"/>
  <c r="C87" i="15"/>
  <c r="G87" i="15"/>
  <c r="H87" i="15"/>
  <c r="J87" i="15"/>
  <c r="P87" i="15"/>
  <c r="X87" i="15"/>
  <c r="Z87" i="15" s="1"/>
  <c r="AD87" i="15"/>
  <c r="B88" i="15"/>
  <c r="A88" i="15" s="1"/>
  <c r="C88" i="15"/>
  <c r="D88" i="15"/>
  <c r="G88" i="15"/>
  <c r="H88" i="15"/>
  <c r="B89" i="15"/>
  <c r="A89" i="15" s="1"/>
  <c r="C89" i="15"/>
  <c r="G89" i="15"/>
  <c r="H89" i="15"/>
  <c r="J89" i="15"/>
  <c r="P89" i="15"/>
  <c r="AD89" i="15"/>
  <c r="B90" i="15"/>
  <c r="A90" i="15" s="1"/>
  <c r="C90" i="15"/>
  <c r="D90" i="15"/>
  <c r="G90" i="15"/>
  <c r="H90" i="15"/>
  <c r="B91" i="15"/>
  <c r="A91" i="15" s="1"/>
  <c r="C91" i="15"/>
  <c r="D91" i="15"/>
  <c r="G91" i="15"/>
  <c r="H91" i="15"/>
  <c r="B92" i="15"/>
  <c r="A92" i="15" s="1"/>
  <c r="C92" i="15"/>
  <c r="G92" i="15"/>
  <c r="H92" i="15"/>
  <c r="J92" i="15"/>
  <c r="P92" i="15"/>
  <c r="AD92" i="15"/>
  <c r="B93" i="15"/>
  <c r="A93" i="15" s="1"/>
  <c r="C93" i="15"/>
  <c r="G93" i="15"/>
  <c r="H93" i="15"/>
  <c r="J93" i="15"/>
  <c r="P93" i="15"/>
  <c r="X93" i="15"/>
  <c r="Z93" i="15" s="1"/>
  <c r="AD93" i="15"/>
  <c r="B94" i="15"/>
  <c r="A94" i="15" s="1"/>
  <c r="C94" i="15"/>
  <c r="D94" i="15"/>
  <c r="G94" i="15"/>
  <c r="H94" i="15"/>
  <c r="B95" i="15"/>
  <c r="A95" i="15" s="1"/>
  <c r="C95" i="15"/>
  <c r="G95" i="15"/>
  <c r="H95" i="15"/>
  <c r="J95" i="15"/>
  <c r="P95" i="15"/>
  <c r="AD95" i="15"/>
  <c r="B96" i="15"/>
  <c r="A96" i="15" s="1"/>
  <c r="C96" i="15"/>
  <c r="D96" i="15"/>
  <c r="G96" i="15"/>
  <c r="H96" i="15"/>
  <c r="B97" i="15"/>
  <c r="A97" i="15" s="1"/>
  <c r="C97" i="15"/>
  <c r="D97" i="15"/>
  <c r="G97" i="15"/>
  <c r="H97" i="15"/>
  <c r="B98" i="15"/>
  <c r="A98" i="15" s="1"/>
  <c r="C98" i="15"/>
  <c r="G98" i="15"/>
  <c r="H98" i="15"/>
  <c r="J98" i="15"/>
  <c r="P98" i="15"/>
  <c r="AD98" i="15"/>
  <c r="B99" i="15"/>
  <c r="A99" i="15" s="1"/>
  <c r="C99" i="15"/>
  <c r="G99" i="15"/>
  <c r="H99" i="15"/>
  <c r="J99" i="15"/>
  <c r="P99" i="15"/>
  <c r="X99" i="15"/>
  <c r="Z99" i="15" s="1"/>
  <c r="AD99" i="15"/>
  <c r="B100" i="15"/>
  <c r="A100" i="15" s="1"/>
  <c r="C100" i="15"/>
  <c r="D100" i="15"/>
  <c r="G100" i="15"/>
  <c r="H100" i="15"/>
  <c r="B101" i="15"/>
  <c r="A101" i="15" s="1"/>
  <c r="C101" i="15"/>
  <c r="G101" i="15"/>
  <c r="H101" i="15"/>
  <c r="J101" i="15"/>
  <c r="P101" i="15"/>
  <c r="AD101" i="15"/>
  <c r="B102" i="15"/>
  <c r="A102" i="15" s="1"/>
  <c r="C102" i="15"/>
  <c r="D102" i="15"/>
  <c r="G102" i="15"/>
  <c r="H102" i="15"/>
  <c r="B103" i="15"/>
  <c r="A103" i="15" s="1"/>
  <c r="C103" i="15"/>
  <c r="D103" i="15"/>
  <c r="G103" i="15"/>
  <c r="H103" i="15"/>
  <c r="B104" i="15"/>
  <c r="A104" i="15" s="1"/>
  <c r="C104" i="15"/>
  <c r="G104" i="15"/>
  <c r="H104" i="15"/>
  <c r="J104" i="15"/>
  <c r="P104" i="15"/>
  <c r="AD104" i="15"/>
  <c r="B105" i="15"/>
  <c r="A105" i="15" s="1"/>
  <c r="C105" i="15"/>
  <c r="G105" i="15"/>
  <c r="H105" i="15"/>
  <c r="J105" i="15"/>
  <c r="P105" i="15"/>
  <c r="AD105" i="15"/>
  <c r="B106" i="15"/>
  <c r="A106" i="15" s="1"/>
  <c r="C106" i="15"/>
  <c r="D106" i="15"/>
  <c r="G106" i="15"/>
  <c r="H106" i="15"/>
  <c r="B107" i="15"/>
  <c r="A107" i="15" s="1"/>
  <c r="C107" i="15"/>
  <c r="G107" i="15"/>
  <c r="H107" i="15"/>
  <c r="J107" i="15"/>
  <c r="P107" i="15"/>
  <c r="AD107" i="15"/>
  <c r="B108" i="15"/>
  <c r="A108" i="15" s="1"/>
  <c r="C108" i="15"/>
  <c r="D108" i="15"/>
  <c r="G108" i="15"/>
  <c r="H108" i="15"/>
  <c r="B109" i="15"/>
  <c r="A109" i="15" s="1"/>
  <c r="C109" i="15"/>
  <c r="D109" i="15"/>
  <c r="G109" i="15"/>
  <c r="H109" i="15"/>
  <c r="B110" i="15"/>
  <c r="A110" i="15" s="1"/>
  <c r="C110" i="15"/>
  <c r="G110" i="15"/>
  <c r="H110" i="15"/>
  <c r="J110" i="15"/>
  <c r="P110" i="15"/>
  <c r="X110" i="15"/>
  <c r="Z110" i="15" s="1"/>
  <c r="AD110" i="15"/>
  <c r="B111" i="15"/>
  <c r="A111" i="15" s="1"/>
  <c r="C111" i="15"/>
  <c r="G111" i="15"/>
  <c r="H111" i="15"/>
  <c r="J111" i="15"/>
  <c r="P111" i="15"/>
  <c r="X111" i="15"/>
  <c r="Z111" i="15" s="1"/>
  <c r="AD111" i="15"/>
  <c r="B112" i="15"/>
  <c r="A112" i="15" s="1"/>
  <c r="C112" i="15"/>
  <c r="D112" i="15"/>
  <c r="G112" i="15"/>
  <c r="H112" i="15"/>
  <c r="B113" i="15"/>
  <c r="A113" i="15" s="1"/>
  <c r="C113" i="15"/>
  <c r="G113" i="15"/>
  <c r="H113" i="15"/>
  <c r="J113" i="15"/>
  <c r="P113" i="15"/>
  <c r="AD113" i="15"/>
  <c r="B114" i="15"/>
  <c r="A114" i="15" s="1"/>
  <c r="C114" i="15"/>
  <c r="D114" i="15"/>
  <c r="G114" i="15"/>
  <c r="H114" i="15"/>
  <c r="B115" i="15"/>
  <c r="A115" i="15" s="1"/>
  <c r="C115" i="15"/>
  <c r="D115" i="15"/>
  <c r="G115" i="15"/>
  <c r="H115" i="15"/>
  <c r="B116" i="15"/>
  <c r="A116" i="15" s="1"/>
  <c r="C116" i="15"/>
  <c r="G116" i="15"/>
  <c r="H116" i="15"/>
  <c r="J116" i="15"/>
  <c r="P116" i="15"/>
  <c r="AD116" i="15"/>
  <c r="B117" i="15"/>
  <c r="A117" i="15" s="1"/>
  <c r="C117" i="15"/>
  <c r="G117" i="15"/>
  <c r="H117" i="15"/>
  <c r="J117" i="15"/>
  <c r="P117" i="15"/>
  <c r="X117" i="15"/>
  <c r="Z117" i="15" s="1"/>
  <c r="AD117" i="15"/>
  <c r="B118" i="15"/>
  <c r="A118" i="15" s="1"/>
  <c r="C118" i="15"/>
  <c r="D118" i="15"/>
  <c r="G118" i="15"/>
  <c r="H118" i="15"/>
  <c r="B119" i="15"/>
  <c r="A119" i="15" s="1"/>
  <c r="C119" i="15"/>
  <c r="G119" i="15"/>
  <c r="H119" i="15"/>
  <c r="J119" i="15"/>
  <c r="P119" i="15"/>
  <c r="AD119" i="15"/>
  <c r="B120" i="15"/>
  <c r="A120" i="15" s="1"/>
  <c r="C120" i="15"/>
  <c r="D120" i="15"/>
  <c r="G120" i="15"/>
  <c r="H120" i="15"/>
  <c r="B121" i="15"/>
  <c r="A121" i="15" s="1"/>
  <c r="C121" i="15"/>
  <c r="D121" i="15"/>
  <c r="G121" i="15"/>
  <c r="H121" i="15"/>
  <c r="B122" i="15"/>
  <c r="A122" i="15" s="1"/>
  <c r="C122" i="15"/>
  <c r="G122" i="15"/>
  <c r="H122" i="15"/>
  <c r="J122" i="15"/>
  <c r="P122" i="15"/>
  <c r="AD122" i="15"/>
  <c r="B123" i="15"/>
  <c r="A123" i="15" s="1"/>
  <c r="C123" i="15"/>
  <c r="G123" i="15"/>
  <c r="H123" i="15"/>
  <c r="J123" i="15"/>
  <c r="P123" i="15"/>
  <c r="X123" i="15"/>
  <c r="Z123" i="15" s="1"/>
  <c r="AD123" i="15"/>
  <c r="B124" i="15"/>
  <c r="A124" i="15" s="1"/>
  <c r="C124" i="15"/>
  <c r="D124" i="15"/>
  <c r="G124" i="15"/>
  <c r="H124" i="15"/>
  <c r="B125" i="15"/>
  <c r="A125" i="15" s="1"/>
  <c r="C125" i="15"/>
  <c r="G125" i="15"/>
  <c r="H125" i="15"/>
  <c r="J125" i="15"/>
  <c r="P125" i="15"/>
  <c r="AD125" i="15"/>
  <c r="B126" i="15"/>
  <c r="A126" i="15" s="1"/>
  <c r="C126" i="15"/>
  <c r="D126" i="15"/>
  <c r="G126" i="15"/>
  <c r="H126" i="15"/>
  <c r="B127" i="15"/>
  <c r="A127" i="15" s="1"/>
  <c r="C127" i="15"/>
  <c r="D127" i="15"/>
  <c r="G127" i="15"/>
  <c r="H127" i="15"/>
  <c r="B128" i="15"/>
  <c r="A128" i="15" s="1"/>
  <c r="C128" i="15"/>
  <c r="G128" i="15"/>
  <c r="H128" i="15"/>
  <c r="J128" i="15"/>
  <c r="P128" i="15"/>
  <c r="AD128" i="15"/>
  <c r="B129" i="15"/>
  <c r="A129" i="15" s="1"/>
  <c r="C129" i="15"/>
  <c r="G129" i="15"/>
  <c r="H129" i="15"/>
  <c r="J129" i="15"/>
  <c r="P129" i="15"/>
  <c r="AD129" i="15"/>
  <c r="B130" i="15"/>
  <c r="A130" i="15" s="1"/>
  <c r="C130" i="15"/>
  <c r="D130" i="15"/>
  <c r="G130" i="15"/>
  <c r="H130" i="15"/>
  <c r="B131" i="15"/>
  <c r="A131" i="15" s="1"/>
  <c r="C131" i="15"/>
  <c r="G131" i="15"/>
  <c r="H131" i="15"/>
  <c r="J131" i="15"/>
  <c r="P131" i="15"/>
  <c r="AD131" i="15"/>
  <c r="B132" i="15"/>
  <c r="A132" i="15" s="1"/>
  <c r="C132" i="15"/>
  <c r="D132" i="15"/>
  <c r="G132" i="15"/>
  <c r="H132" i="15"/>
  <c r="J132" i="15"/>
  <c r="P132" i="15"/>
  <c r="AD132" i="15"/>
  <c r="B133" i="15"/>
  <c r="A133" i="15" s="1"/>
  <c r="C133" i="15"/>
  <c r="D133" i="15"/>
  <c r="G133" i="15"/>
  <c r="H133" i="15"/>
  <c r="J133" i="15"/>
  <c r="P133" i="15"/>
  <c r="AD133" i="15"/>
  <c r="B134" i="15"/>
  <c r="A134" i="15" s="1"/>
  <c r="C134" i="15"/>
  <c r="D134" i="15"/>
  <c r="E134" i="15"/>
  <c r="F134" i="15"/>
  <c r="G134" i="15"/>
  <c r="H134" i="15"/>
  <c r="B135" i="15"/>
  <c r="A135" i="15" s="1"/>
  <c r="C135" i="15"/>
  <c r="D135" i="15"/>
  <c r="E135" i="15"/>
  <c r="F135" i="15"/>
  <c r="G135" i="15"/>
  <c r="H135" i="15"/>
  <c r="B136" i="15"/>
  <c r="A136" i="15" s="1"/>
  <c r="C136" i="15"/>
  <c r="D136" i="15"/>
  <c r="G136" i="15"/>
  <c r="H136" i="15"/>
  <c r="J136" i="15"/>
  <c r="P136" i="15"/>
  <c r="AD136" i="15"/>
  <c r="B137" i="15"/>
  <c r="A137" i="15" s="1"/>
  <c r="C137" i="15"/>
  <c r="D137" i="15"/>
  <c r="G137" i="15"/>
  <c r="H137" i="15"/>
  <c r="J137" i="15"/>
  <c r="P137" i="15"/>
  <c r="AD137" i="15"/>
  <c r="B138" i="15"/>
  <c r="A138" i="15" s="1"/>
  <c r="C138" i="15"/>
  <c r="D138" i="15"/>
  <c r="E138" i="15"/>
  <c r="F138" i="15"/>
  <c r="G138" i="15"/>
  <c r="H138" i="15"/>
  <c r="B139" i="15"/>
  <c r="A139" i="15" s="1"/>
  <c r="C139" i="15"/>
  <c r="D139" i="15"/>
  <c r="G139" i="15"/>
  <c r="H139" i="15"/>
  <c r="B140" i="15"/>
  <c r="A140" i="15" s="1"/>
  <c r="C140" i="15"/>
  <c r="D140" i="15"/>
  <c r="G140" i="15"/>
  <c r="H140" i="15"/>
  <c r="B141" i="15"/>
  <c r="A141" i="15" s="1"/>
  <c r="C141" i="15"/>
  <c r="G141" i="15"/>
  <c r="H141" i="15"/>
  <c r="J141" i="15"/>
  <c r="P141" i="15"/>
  <c r="AD141" i="15"/>
  <c r="B142" i="15"/>
  <c r="A142" i="15" s="1"/>
  <c r="C142" i="15"/>
  <c r="G142" i="15"/>
  <c r="H142" i="15"/>
  <c r="J142" i="15"/>
  <c r="P142" i="15"/>
  <c r="AD142" i="15"/>
  <c r="B143" i="15"/>
  <c r="A143" i="15" s="1"/>
  <c r="C143" i="15"/>
  <c r="D143" i="15"/>
  <c r="G143" i="15"/>
  <c r="H143" i="15"/>
  <c r="J143" i="15"/>
  <c r="P143" i="15"/>
  <c r="AD143" i="15"/>
  <c r="B144" i="15"/>
  <c r="A144" i="15" s="1"/>
  <c r="C144" i="15"/>
  <c r="D144" i="15"/>
  <c r="G144" i="15"/>
  <c r="H144" i="15"/>
  <c r="J144" i="15"/>
  <c r="P144" i="15"/>
  <c r="AD144" i="15"/>
  <c r="B145" i="15"/>
  <c r="A145" i="15" s="1"/>
  <c r="C145" i="15"/>
  <c r="D145" i="15"/>
  <c r="G145" i="15"/>
  <c r="H145" i="15"/>
  <c r="J145" i="15"/>
  <c r="P145" i="15"/>
  <c r="AD145" i="15"/>
  <c r="B146" i="15"/>
  <c r="A146" i="15" s="1"/>
  <c r="C146" i="15"/>
  <c r="D146" i="15"/>
  <c r="G146" i="15"/>
  <c r="H146" i="15"/>
  <c r="J146" i="15"/>
  <c r="P146" i="15"/>
  <c r="AD146" i="15"/>
  <c r="B147" i="15"/>
  <c r="A147" i="15" s="1"/>
  <c r="C147" i="15"/>
  <c r="D147" i="15"/>
  <c r="E147" i="15"/>
  <c r="F147" i="15"/>
  <c r="G147" i="15"/>
  <c r="H147" i="15"/>
  <c r="B148" i="15"/>
  <c r="A148" i="15" s="1"/>
  <c r="C148" i="15"/>
  <c r="D148" i="15"/>
  <c r="E148" i="15"/>
  <c r="F148" i="15"/>
  <c r="G148" i="15"/>
  <c r="H148" i="15"/>
  <c r="B149" i="15"/>
  <c r="A149" i="15" s="1"/>
  <c r="C149" i="15"/>
  <c r="D149" i="15"/>
  <c r="E149" i="15"/>
  <c r="F149" i="15"/>
  <c r="G149" i="15"/>
  <c r="H149" i="15"/>
  <c r="B150" i="15"/>
  <c r="A150" i="15" s="1"/>
  <c r="C150" i="15"/>
  <c r="D150" i="15"/>
  <c r="E150" i="15"/>
  <c r="F150" i="15"/>
  <c r="G150" i="15"/>
  <c r="H150" i="15"/>
  <c r="B151" i="15"/>
  <c r="A151" i="15" s="1"/>
  <c r="C151" i="15"/>
  <c r="D151" i="15"/>
  <c r="G151" i="15"/>
  <c r="H151" i="15"/>
  <c r="J151" i="15"/>
  <c r="P151" i="15"/>
  <c r="AD151" i="15"/>
  <c r="B152" i="15"/>
  <c r="A152" i="15" s="1"/>
  <c r="C152" i="15"/>
  <c r="D152" i="15"/>
  <c r="G152" i="15"/>
  <c r="H152" i="15"/>
  <c r="J152" i="15"/>
  <c r="P152" i="15"/>
  <c r="AD152" i="15"/>
  <c r="B153" i="15"/>
  <c r="A153" i="15" s="1"/>
  <c r="C153" i="15"/>
  <c r="D153" i="15"/>
  <c r="G153" i="15"/>
  <c r="H153" i="15"/>
  <c r="J153" i="15"/>
  <c r="P153" i="15"/>
  <c r="AD153" i="15"/>
  <c r="B154" i="15"/>
  <c r="A154" i="15" s="1"/>
  <c r="C154" i="15"/>
  <c r="D154" i="15"/>
  <c r="G154" i="15"/>
  <c r="H154" i="15"/>
  <c r="J154" i="15"/>
  <c r="P154" i="15"/>
  <c r="AD154" i="15"/>
  <c r="B155" i="15"/>
  <c r="A155" i="15" s="1"/>
  <c r="C155" i="15"/>
  <c r="D155" i="15"/>
  <c r="E155" i="15"/>
  <c r="F155" i="15"/>
  <c r="G155" i="15"/>
  <c r="H155" i="15"/>
  <c r="B156" i="15"/>
  <c r="A156" i="15" s="1"/>
  <c r="C156" i="15"/>
  <c r="D156" i="15"/>
  <c r="E156" i="15"/>
  <c r="F156" i="15"/>
  <c r="G156" i="15"/>
  <c r="H156" i="15"/>
  <c r="B157" i="15"/>
  <c r="A157" i="15" s="1"/>
  <c r="C157" i="15"/>
  <c r="D157" i="15"/>
  <c r="G157" i="15"/>
  <c r="H157" i="15"/>
  <c r="J157" i="15"/>
  <c r="P157" i="15"/>
  <c r="AD157" i="15"/>
  <c r="B158" i="15"/>
  <c r="A158" i="15" s="1"/>
  <c r="C158" i="15"/>
  <c r="D158" i="15"/>
  <c r="G158" i="15"/>
  <c r="H158" i="15"/>
  <c r="J158" i="15"/>
  <c r="P158" i="15"/>
  <c r="AD158" i="15"/>
  <c r="B159" i="15"/>
  <c r="A159" i="15" s="1"/>
  <c r="C159" i="15"/>
  <c r="D159" i="15"/>
  <c r="G159" i="15"/>
  <c r="H159" i="15"/>
  <c r="J159" i="15"/>
  <c r="P159" i="15"/>
  <c r="AD159" i="15"/>
  <c r="B160" i="15"/>
  <c r="A160" i="15" s="1"/>
  <c r="C160" i="15"/>
  <c r="D160" i="15"/>
  <c r="G160" i="15"/>
  <c r="H160" i="15"/>
  <c r="J160" i="15"/>
  <c r="P160" i="15"/>
  <c r="AD160" i="15"/>
  <c r="B161" i="15"/>
  <c r="A161" i="15" s="1"/>
  <c r="C161" i="15"/>
  <c r="D161" i="15"/>
  <c r="G161" i="15"/>
  <c r="H161" i="15"/>
  <c r="J161" i="15"/>
  <c r="P161" i="15"/>
  <c r="AD161" i="15"/>
  <c r="B162" i="15"/>
  <c r="A162" i="15" s="1"/>
  <c r="C162" i="15"/>
  <c r="D162" i="15"/>
  <c r="G162" i="15"/>
  <c r="H162" i="15"/>
  <c r="J162" i="15"/>
  <c r="P162" i="15"/>
  <c r="AD162" i="15"/>
  <c r="B163" i="15"/>
  <c r="A163" i="15" s="1"/>
  <c r="C163" i="15"/>
  <c r="D163" i="15"/>
  <c r="G163" i="15"/>
  <c r="H163" i="15"/>
  <c r="J163" i="15"/>
  <c r="P163" i="15"/>
  <c r="X163" i="15"/>
  <c r="Z163" i="15" s="1"/>
  <c r="AD163" i="15"/>
  <c r="B164" i="15"/>
  <c r="A164" i="15" s="1"/>
  <c r="C164" i="15"/>
  <c r="D164" i="15"/>
  <c r="E164" i="15"/>
  <c r="F164" i="15"/>
  <c r="G164" i="15"/>
  <c r="H164" i="15"/>
  <c r="X164" i="15"/>
  <c r="Y164" i="15"/>
  <c r="B165" i="15"/>
  <c r="A165" i="15" s="1"/>
  <c r="C165" i="15"/>
  <c r="D165" i="15"/>
  <c r="E165" i="15"/>
  <c r="F165" i="15"/>
  <c r="G165" i="15"/>
  <c r="H165" i="15"/>
  <c r="X165" i="15"/>
  <c r="Y165" i="15"/>
  <c r="B166" i="15"/>
  <c r="A166" i="15" s="1"/>
  <c r="C166" i="15"/>
  <c r="D166" i="15"/>
  <c r="G166" i="15"/>
  <c r="H166" i="15"/>
  <c r="J166" i="15"/>
  <c r="P166" i="15"/>
  <c r="X166" i="15"/>
  <c r="Z166" i="15" s="1"/>
  <c r="AD166" i="15"/>
  <c r="B168" i="15"/>
  <c r="A168" i="15" s="1"/>
  <c r="C168" i="15"/>
  <c r="D168" i="15"/>
  <c r="E168" i="15"/>
  <c r="F168" i="15"/>
  <c r="G168" i="15"/>
  <c r="H168" i="15"/>
  <c r="B169" i="15"/>
  <c r="A169" i="15" s="1"/>
  <c r="C169" i="15"/>
  <c r="D169" i="15"/>
  <c r="E169" i="15"/>
  <c r="F169" i="15"/>
  <c r="G169" i="15"/>
  <c r="H169" i="15"/>
  <c r="B170" i="15"/>
  <c r="A170" i="15" s="1"/>
  <c r="C170" i="15"/>
  <c r="D170" i="15"/>
  <c r="E170" i="15"/>
  <c r="F170" i="15"/>
  <c r="G170" i="15"/>
  <c r="H170" i="15"/>
  <c r="B171" i="15"/>
  <c r="A171" i="15" s="1"/>
  <c r="C171" i="15"/>
  <c r="D171" i="15"/>
  <c r="G171" i="15"/>
  <c r="H171" i="15"/>
  <c r="J171" i="15"/>
  <c r="P171" i="15"/>
  <c r="AD171" i="15"/>
  <c r="B172" i="15"/>
  <c r="A172" i="15" s="1"/>
  <c r="C172" i="15"/>
  <c r="D172" i="15"/>
  <c r="G172" i="15"/>
  <c r="H172" i="15"/>
  <c r="J172" i="15"/>
  <c r="P172" i="15"/>
  <c r="AD172" i="15"/>
  <c r="B173" i="15"/>
  <c r="A173" i="15" s="1"/>
  <c r="C173" i="15"/>
  <c r="D173" i="15"/>
  <c r="G173" i="15"/>
  <c r="H173" i="15"/>
  <c r="J173" i="15"/>
  <c r="P173" i="15"/>
  <c r="AD173" i="15"/>
  <c r="B174" i="15"/>
  <c r="A174" i="15" s="1"/>
  <c r="C174" i="15"/>
  <c r="D174" i="15"/>
  <c r="E174" i="15"/>
  <c r="F174" i="15"/>
  <c r="G174" i="15"/>
  <c r="H174" i="15"/>
  <c r="B175" i="15"/>
  <c r="A175" i="15" s="1"/>
  <c r="C175" i="15"/>
  <c r="D175" i="15"/>
  <c r="E175" i="15"/>
  <c r="F175" i="15"/>
  <c r="G175" i="15"/>
  <c r="H175" i="15"/>
  <c r="L175" i="15"/>
  <c r="B176" i="15"/>
  <c r="A176" i="15" s="1"/>
  <c r="C176" i="15"/>
  <c r="D176" i="15"/>
  <c r="E176" i="15"/>
  <c r="F176" i="15"/>
  <c r="G176" i="15"/>
  <c r="H176" i="15"/>
  <c r="B177" i="15"/>
  <c r="A177" i="15" s="1"/>
  <c r="C177" i="15"/>
  <c r="D177" i="15"/>
  <c r="G177" i="15"/>
  <c r="H177" i="15"/>
  <c r="J177" i="15"/>
  <c r="P177" i="15"/>
  <c r="AD177" i="15"/>
  <c r="B178" i="15"/>
  <c r="A178" i="15" s="1"/>
  <c r="C178" i="15"/>
  <c r="D178" i="15"/>
  <c r="G178" i="15"/>
  <c r="H178" i="15"/>
  <c r="J178" i="15"/>
  <c r="P178" i="15"/>
  <c r="AD178" i="15"/>
  <c r="B179" i="15"/>
  <c r="A179" i="15" s="1"/>
  <c r="C179" i="15"/>
  <c r="D179" i="15"/>
  <c r="G179" i="15"/>
  <c r="H179" i="15"/>
  <c r="J179" i="15"/>
  <c r="P179" i="15"/>
  <c r="AD179" i="15"/>
  <c r="B180" i="15"/>
  <c r="A180" i="15" s="1"/>
  <c r="C180" i="15"/>
  <c r="D180" i="15"/>
  <c r="E180" i="15"/>
  <c r="F180" i="15"/>
  <c r="G180" i="15"/>
  <c r="H180" i="15"/>
  <c r="B181" i="15"/>
  <c r="A181" i="15" s="1"/>
  <c r="G181" i="15"/>
  <c r="H181" i="15"/>
  <c r="B182" i="15"/>
  <c r="A182" i="15" s="1"/>
  <c r="C182" i="15"/>
  <c r="D182" i="15"/>
  <c r="E182" i="15"/>
  <c r="F182" i="15"/>
  <c r="G182" i="15"/>
  <c r="H182" i="15"/>
  <c r="B183" i="15"/>
  <c r="A183" i="15" s="1"/>
  <c r="G183" i="15"/>
  <c r="H183" i="15"/>
  <c r="B184" i="15"/>
  <c r="A184" i="15" s="1"/>
  <c r="C184" i="15"/>
  <c r="D184" i="15"/>
  <c r="E184" i="15"/>
  <c r="F184" i="15"/>
  <c r="G184" i="15"/>
  <c r="H184" i="15"/>
  <c r="B185" i="15"/>
  <c r="A185" i="15" s="1"/>
  <c r="C185" i="15"/>
  <c r="D185" i="15"/>
  <c r="E185" i="15"/>
  <c r="F185" i="15"/>
  <c r="G185" i="15"/>
  <c r="H185" i="15"/>
  <c r="B186" i="15"/>
  <c r="A186" i="15" s="1"/>
  <c r="C186" i="15"/>
  <c r="D186" i="15"/>
  <c r="G186" i="15"/>
  <c r="H186" i="15"/>
  <c r="J186" i="15"/>
  <c r="P186" i="15"/>
  <c r="AD186" i="15"/>
  <c r="B187" i="15"/>
  <c r="A187" i="15" s="1"/>
  <c r="G187" i="15"/>
  <c r="H187" i="15"/>
  <c r="J187" i="15"/>
  <c r="P187" i="15"/>
  <c r="AD187" i="15"/>
  <c r="B188" i="15"/>
  <c r="A188" i="15" s="1"/>
  <c r="C188" i="15"/>
  <c r="D188" i="15"/>
  <c r="G188" i="15"/>
  <c r="H188" i="15"/>
  <c r="J188" i="15"/>
  <c r="L188" i="15"/>
  <c r="P188" i="15"/>
  <c r="AD188" i="15"/>
  <c r="B189" i="15"/>
  <c r="A189" i="15" s="1"/>
  <c r="C189" i="15"/>
  <c r="D189" i="15"/>
  <c r="G189" i="15"/>
  <c r="H189" i="15"/>
  <c r="J189" i="15"/>
  <c r="P189" i="15"/>
  <c r="AD189" i="15"/>
  <c r="B190" i="15"/>
  <c r="A190" i="15" s="1"/>
  <c r="C190" i="15"/>
  <c r="D190" i="15"/>
  <c r="E190" i="15"/>
  <c r="F190" i="15"/>
  <c r="G190" i="15"/>
  <c r="H190" i="15"/>
  <c r="B191" i="15"/>
  <c r="A191" i="15" s="1"/>
  <c r="G191" i="15"/>
  <c r="H191" i="15"/>
  <c r="B192" i="15"/>
  <c r="A192" i="15" s="1"/>
  <c r="C192" i="15"/>
  <c r="D192" i="15"/>
  <c r="G192" i="15"/>
  <c r="H192" i="15"/>
  <c r="J192" i="15"/>
  <c r="P192" i="15"/>
  <c r="AD192" i="15"/>
  <c r="B193" i="15"/>
  <c r="A193" i="15" s="1"/>
  <c r="G193" i="15"/>
  <c r="H193" i="15"/>
  <c r="J193" i="15"/>
  <c r="P193" i="15"/>
  <c r="AD193" i="15"/>
  <c r="B194" i="15"/>
  <c r="A194" i="15" s="1"/>
  <c r="C194" i="15"/>
  <c r="D194" i="15"/>
  <c r="G194" i="15"/>
  <c r="H194" i="15"/>
  <c r="J194" i="15"/>
  <c r="P194" i="15"/>
  <c r="AD194" i="15"/>
  <c r="B195" i="15"/>
  <c r="A195" i="15" s="1"/>
  <c r="G195" i="15"/>
  <c r="H195" i="15"/>
  <c r="J195" i="15"/>
  <c r="P195" i="15"/>
  <c r="AD195" i="15"/>
  <c r="B196" i="15"/>
  <c r="A196" i="15" s="1"/>
  <c r="C196" i="15"/>
  <c r="D196" i="15"/>
  <c r="G196" i="15"/>
  <c r="H196" i="15"/>
  <c r="J196" i="15"/>
  <c r="L196" i="15"/>
  <c r="P196" i="15"/>
  <c r="AD196" i="15"/>
  <c r="B197" i="15"/>
  <c r="A197" i="15" s="1"/>
  <c r="C197" i="15"/>
  <c r="D197" i="15"/>
  <c r="G197" i="15"/>
  <c r="H197" i="15"/>
  <c r="J197" i="15"/>
  <c r="P197" i="15"/>
  <c r="AD197" i="15"/>
  <c r="B198" i="15"/>
  <c r="A198" i="15" s="1"/>
  <c r="C198" i="15"/>
  <c r="D198" i="15"/>
  <c r="E198" i="15"/>
  <c r="F198" i="15"/>
  <c r="G198" i="15"/>
  <c r="H198" i="15"/>
  <c r="B199" i="15"/>
  <c r="A199" i="15" s="1"/>
  <c r="G199" i="15"/>
  <c r="H199" i="15"/>
  <c r="B200" i="15"/>
  <c r="A200" i="15" s="1"/>
  <c r="C200" i="15"/>
  <c r="D200" i="15"/>
  <c r="E200" i="15"/>
  <c r="F200" i="15"/>
  <c r="G200" i="15"/>
  <c r="H200" i="15"/>
  <c r="L200" i="15"/>
  <c r="N200" i="15"/>
  <c r="B201" i="15"/>
  <c r="A201" i="15" s="1"/>
  <c r="C201" i="15"/>
  <c r="D201" i="15"/>
  <c r="E201" i="15"/>
  <c r="F201" i="15"/>
  <c r="G201" i="15"/>
  <c r="H201" i="15"/>
  <c r="L201" i="15"/>
  <c r="B202" i="15"/>
  <c r="A202" i="15" s="1"/>
  <c r="C202" i="15"/>
  <c r="D202" i="15"/>
  <c r="G202" i="15"/>
  <c r="H202" i="15"/>
  <c r="J202" i="15"/>
  <c r="P202" i="15"/>
  <c r="AD202" i="15"/>
  <c r="B203" i="15"/>
  <c r="A203" i="15" s="1"/>
  <c r="G203" i="15"/>
  <c r="H203" i="15"/>
  <c r="J203" i="15"/>
  <c r="P203" i="15"/>
  <c r="AD203" i="15"/>
  <c r="B204" i="15"/>
  <c r="A204" i="15" s="1"/>
  <c r="C204" i="15"/>
  <c r="D204" i="15"/>
  <c r="G204" i="15"/>
  <c r="H204" i="15"/>
  <c r="J204" i="15"/>
  <c r="P204" i="15"/>
  <c r="AD204" i="15"/>
  <c r="B205" i="15"/>
  <c r="A205" i="15" s="1"/>
  <c r="C205" i="15"/>
  <c r="D205" i="15"/>
  <c r="G205" i="15"/>
  <c r="H205" i="15"/>
  <c r="J205" i="15"/>
  <c r="P205" i="15"/>
  <c r="AD205" i="15"/>
  <c r="B206" i="15"/>
  <c r="A206" i="15" s="1"/>
  <c r="C206" i="15"/>
  <c r="D206" i="15"/>
  <c r="G206" i="15"/>
  <c r="H206" i="15"/>
  <c r="J206" i="15"/>
  <c r="P206" i="15"/>
  <c r="AD206" i="15"/>
  <c r="B207" i="15"/>
  <c r="A207" i="15" s="1"/>
  <c r="G207" i="15"/>
  <c r="H207" i="15"/>
  <c r="J207" i="15"/>
  <c r="P207" i="15"/>
  <c r="AD207" i="15"/>
  <c r="B208" i="15"/>
  <c r="A208" i="15" s="1"/>
  <c r="C208" i="15"/>
  <c r="D208" i="15"/>
  <c r="G208" i="15"/>
  <c r="H208" i="15"/>
  <c r="J208" i="15"/>
  <c r="L208" i="15"/>
  <c r="P208" i="15"/>
  <c r="AD208" i="15"/>
  <c r="B209" i="15"/>
  <c r="A209" i="15" s="1"/>
  <c r="C209" i="15"/>
  <c r="D209" i="15"/>
  <c r="G209" i="15"/>
  <c r="H209" i="15"/>
  <c r="J209" i="15"/>
  <c r="P209" i="15"/>
  <c r="AD209" i="15"/>
  <c r="B210" i="15"/>
  <c r="A210" i="15" s="1"/>
  <c r="C210" i="15"/>
  <c r="D210" i="15"/>
  <c r="G210" i="15"/>
  <c r="H210" i="15"/>
  <c r="J210" i="15"/>
  <c r="P210" i="15"/>
  <c r="AD210" i="15"/>
  <c r="B211" i="15"/>
  <c r="A211" i="15" s="1"/>
  <c r="C211" i="15"/>
  <c r="D211" i="15"/>
  <c r="G211" i="15"/>
  <c r="H211" i="15"/>
  <c r="J211" i="15"/>
  <c r="P211" i="15"/>
  <c r="AD211" i="15"/>
  <c r="B212" i="15"/>
  <c r="A212" i="15" s="1"/>
  <c r="C212" i="15"/>
  <c r="D212" i="15"/>
  <c r="G212" i="15"/>
  <c r="H212" i="15"/>
  <c r="J212" i="15"/>
  <c r="P212" i="15"/>
  <c r="AD212" i="15"/>
  <c r="B213" i="15"/>
  <c r="A213" i="15" s="1"/>
  <c r="G213" i="15"/>
  <c r="H213" i="15"/>
  <c r="J213" i="15"/>
  <c r="P213" i="15"/>
  <c r="AD213" i="15"/>
  <c r="B214" i="15"/>
  <c r="A214" i="15" s="1"/>
  <c r="C214" i="15"/>
  <c r="D214" i="15"/>
  <c r="G214" i="15"/>
  <c r="H214" i="15"/>
  <c r="J214" i="15"/>
  <c r="L214" i="15"/>
  <c r="P214" i="15"/>
  <c r="AD214" i="15"/>
  <c r="B215" i="15"/>
  <c r="A215" i="15" s="1"/>
  <c r="C215" i="15"/>
  <c r="D215" i="15"/>
  <c r="G215" i="15"/>
  <c r="H215" i="15"/>
  <c r="J215" i="15"/>
  <c r="P215" i="15"/>
  <c r="AD215" i="15"/>
  <c r="B216" i="15"/>
  <c r="A216" i="15" s="1"/>
  <c r="C216" i="15"/>
  <c r="D216" i="15"/>
  <c r="G216" i="15"/>
  <c r="H216" i="15"/>
  <c r="J216" i="15"/>
  <c r="P216" i="15"/>
  <c r="AD216" i="15"/>
  <c r="B217" i="15"/>
  <c r="A217" i="15" s="1"/>
  <c r="C217" i="15"/>
  <c r="D217" i="15"/>
  <c r="G217" i="15"/>
  <c r="H217" i="15"/>
  <c r="J217" i="15"/>
  <c r="P217" i="15"/>
  <c r="AD217" i="15"/>
  <c r="B218" i="15"/>
  <c r="A218" i="15" s="1"/>
  <c r="C218" i="15"/>
  <c r="D218" i="15"/>
  <c r="G218" i="15"/>
  <c r="H218" i="15"/>
  <c r="J218" i="15"/>
  <c r="P218" i="15"/>
  <c r="AD218" i="15"/>
  <c r="B219" i="15"/>
  <c r="A219" i="15" s="1"/>
  <c r="G219" i="15"/>
  <c r="H219" i="15"/>
  <c r="J219" i="15"/>
  <c r="P219" i="15"/>
  <c r="AD219" i="15"/>
  <c r="B220" i="15"/>
  <c r="A220" i="15" s="1"/>
  <c r="C220" i="15"/>
  <c r="D220" i="15"/>
  <c r="G220" i="15"/>
  <c r="H220" i="15"/>
  <c r="J220" i="15"/>
  <c r="L220" i="15"/>
  <c r="P220" i="15"/>
  <c r="AD220" i="15"/>
  <c r="B221" i="15"/>
  <c r="A221" i="15" s="1"/>
  <c r="C221" i="15"/>
  <c r="D221" i="15"/>
  <c r="G221" i="15"/>
  <c r="H221" i="15"/>
  <c r="J221" i="15"/>
  <c r="L221" i="15"/>
  <c r="P221" i="15"/>
  <c r="AD221" i="15"/>
  <c r="B222" i="15"/>
  <c r="A222" i="15" s="1"/>
  <c r="C222" i="15"/>
  <c r="D222" i="15"/>
  <c r="E222" i="15"/>
  <c r="F222" i="15"/>
  <c r="G222" i="15"/>
  <c r="H222" i="15"/>
  <c r="B223" i="15"/>
  <c r="A223" i="15" s="1"/>
  <c r="C223" i="15"/>
  <c r="D223" i="15"/>
  <c r="E223" i="15"/>
  <c r="F223" i="15"/>
  <c r="G223" i="15"/>
  <c r="H223" i="15"/>
  <c r="L223" i="15"/>
  <c r="B224" i="15"/>
  <c r="A224" i="15" s="1"/>
  <c r="C224" i="15"/>
  <c r="D224" i="15"/>
  <c r="G224" i="15"/>
  <c r="H224" i="15"/>
  <c r="J224" i="15"/>
  <c r="P224" i="15"/>
  <c r="AD224" i="15"/>
  <c r="B225" i="15"/>
  <c r="A225" i="15" s="1"/>
  <c r="C225" i="15"/>
  <c r="D225" i="15"/>
  <c r="G225" i="15"/>
  <c r="H225" i="15"/>
  <c r="J225" i="15"/>
  <c r="P225" i="15"/>
  <c r="AD225" i="15"/>
  <c r="B226" i="15"/>
  <c r="A226" i="15" s="1"/>
  <c r="C226" i="15"/>
  <c r="D226" i="15"/>
  <c r="G226" i="15"/>
  <c r="H226" i="15"/>
  <c r="J226" i="15"/>
  <c r="P226" i="15"/>
  <c r="AD226" i="15"/>
  <c r="B227" i="15"/>
  <c r="A227" i="15" s="1"/>
  <c r="G227" i="15"/>
  <c r="H227" i="15"/>
  <c r="J227" i="15"/>
  <c r="P227" i="15"/>
  <c r="AD227" i="15"/>
  <c r="B228" i="15"/>
  <c r="A228" i="15" s="1"/>
  <c r="C228" i="15"/>
  <c r="D228" i="15"/>
  <c r="G228" i="15"/>
  <c r="H228" i="15"/>
  <c r="J228" i="15"/>
  <c r="L228" i="15"/>
  <c r="P228" i="15"/>
  <c r="AD228" i="15"/>
  <c r="B229" i="15"/>
  <c r="A229" i="15" s="1"/>
  <c r="C229" i="15"/>
  <c r="D229" i="15"/>
  <c r="G229" i="15"/>
  <c r="H229" i="15"/>
  <c r="J229" i="15"/>
  <c r="P229" i="15"/>
  <c r="AD229" i="15"/>
  <c r="B230" i="15"/>
  <c r="A230" i="15" s="1"/>
  <c r="C230" i="15"/>
  <c r="D230" i="15"/>
  <c r="E230" i="15"/>
  <c r="F230" i="15"/>
  <c r="G230" i="15"/>
  <c r="H230" i="15"/>
  <c r="B231" i="15"/>
  <c r="A231" i="15" s="1"/>
  <c r="C231" i="15"/>
  <c r="D231" i="15"/>
  <c r="E231" i="15"/>
  <c r="F231" i="15"/>
  <c r="G231" i="15"/>
  <c r="H231" i="15"/>
  <c r="L231" i="15"/>
  <c r="B232" i="15"/>
  <c r="A232" i="15" s="1"/>
  <c r="C232" i="15"/>
  <c r="D232" i="15"/>
  <c r="E232" i="15"/>
  <c r="F232" i="15"/>
  <c r="G232" i="15"/>
  <c r="H232" i="15"/>
  <c r="B233" i="15"/>
  <c r="A233" i="15" s="1"/>
  <c r="G233" i="15"/>
  <c r="H233" i="15"/>
  <c r="B234" i="15"/>
  <c r="A234" i="15" s="1"/>
  <c r="C234" i="15"/>
  <c r="D234" i="15"/>
  <c r="E234" i="15"/>
  <c r="F234" i="15"/>
  <c r="G234" i="15"/>
  <c r="H234" i="15"/>
  <c r="L234" i="15"/>
  <c r="N234" i="15"/>
  <c r="B235" i="15"/>
  <c r="A235" i="15" s="1"/>
  <c r="C235" i="15"/>
  <c r="D235" i="15"/>
  <c r="E235" i="15"/>
  <c r="F235" i="15"/>
  <c r="G235" i="15"/>
  <c r="H235" i="15"/>
  <c r="L235" i="15"/>
  <c r="B236" i="15"/>
  <c r="A236" i="15" s="1"/>
  <c r="C236" i="15"/>
  <c r="D236" i="15"/>
  <c r="G236" i="15"/>
  <c r="H236" i="15"/>
  <c r="J236" i="15"/>
  <c r="P236" i="15"/>
  <c r="AD236" i="15"/>
  <c r="B237" i="15"/>
  <c r="A237" i="15" s="1"/>
  <c r="C237" i="15"/>
  <c r="D237" i="15"/>
  <c r="G237" i="15"/>
  <c r="H237" i="15"/>
  <c r="J237" i="15"/>
  <c r="P237" i="15"/>
  <c r="AD237" i="15"/>
  <c r="B238" i="15"/>
  <c r="A238" i="15" s="1"/>
  <c r="C238" i="15"/>
  <c r="D238" i="15"/>
  <c r="G238" i="15"/>
  <c r="H238" i="15"/>
  <c r="J238" i="15"/>
  <c r="P238" i="15"/>
  <c r="AD238" i="15"/>
  <c r="B239" i="15"/>
  <c r="A239" i="15" s="1"/>
  <c r="C239" i="15"/>
  <c r="D239" i="15"/>
  <c r="G239" i="15"/>
  <c r="H239" i="15"/>
  <c r="J239" i="15"/>
  <c r="P239" i="15"/>
  <c r="AD239" i="15"/>
  <c r="B240" i="15"/>
  <c r="A240" i="15" s="1"/>
  <c r="C240" i="15"/>
  <c r="D240" i="15"/>
  <c r="G240" i="15"/>
  <c r="H240" i="15"/>
  <c r="J240" i="15"/>
  <c r="L240" i="15"/>
  <c r="P240" i="15"/>
  <c r="AD240" i="15"/>
  <c r="B241" i="15"/>
  <c r="A241" i="15" s="1"/>
  <c r="C241" i="15"/>
  <c r="D241" i="15"/>
  <c r="G241" i="15"/>
  <c r="H241" i="15"/>
  <c r="J241" i="15"/>
  <c r="P241" i="15"/>
  <c r="AD241" i="15"/>
  <c r="B242" i="15"/>
  <c r="A242" i="15" s="1"/>
  <c r="C242" i="15"/>
  <c r="D242" i="15"/>
  <c r="E242" i="15"/>
  <c r="F242" i="15"/>
  <c r="G242" i="15"/>
  <c r="H242" i="15"/>
  <c r="B243" i="15"/>
  <c r="A243" i="15" s="1"/>
  <c r="C243" i="15"/>
  <c r="D243" i="15"/>
  <c r="G243" i="15"/>
  <c r="H243" i="15"/>
  <c r="J243" i="15"/>
  <c r="P243" i="15"/>
  <c r="AD243" i="15"/>
  <c r="B244" i="15"/>
  <c r="A244" i="15" s="1"/>
  <c r="C244" i="15"/>
  <c r="D244" i="15"/>
  <c r="E244" i="15"/>
  <c r="F244" i="15"/>
  <c r="G244" i="15"/>
  <c r="H244" i="15"/>
  <c r="B245" i="15"/>
  <c r="A245" i="15" s="1"/>
  <c r="C245" i="15"/>
  <c r="D245" i="15"/>
  <c r="G245" i="15"/>
  <c r="H245" i="15"/>
  <c r="J245" i="15"/>
  <c r="P245" i="15"/>
  <c r="AD245" i="15"/>
  <c r="B246" i="15"/>
  <c r="A246" i="15" s="1"/>
  <c r="C246" i="15"/>
  <c r="D246" i="15"/>
  <c r="E246" i="15"/>
  <c r="F246" i="15"/>
  <c r="G246" i="15"/>
  <c r="H246" i="15"/>
  <c r="B247" i="15"/>
  <c r="A247" i="15" s="1"/>
  <c r="C247" i="15"/>
  <c r="D247" i="15"/>
  <c r="G247" i="15"/>
  <c r="H247" i="15"/>
  <c r="J247" i="15"/>
  <c r="P247" i="15"/>
  <c r="AD247" i="15"/>
  <c r="B248" i="15"/>
  <c r="A248" i="15" s="1"/>
  <c r="C248" i="15"/>
  <c r="D248" i="15"/>
  <c r="E248" i="15"/>
  <c r="F248" i="15"/>
  <c r="G248" i="15"/>
  <c r="H248" i="15"/>
  <c r="B249" i="15"/>
  <c r="A249" i="15" s="1"/>
  <c r="C249" i="15"/>
  <c r="D249" i="15"/>
  <c r="E249" i="15"/>
  <c r="F249" i="15"/>
  <c r="G249" i="15"/>
  <c r="H249" i="15"/>
  <c r="L249" i="15"/>
  <c r="B250" i="15"/>
  <c r="A250" i="15" s="1"/>
  <c r="C250" i="15"/>
  <c r="D250" i="15"/>
  <c r="E250" i="15"/>
  <c r="F250" i="15"/>
  <c r="G250" i="15"/>
  <c r="H250" i="15"/>
  <c r="B251" i="15"/>
  <c r="A251" i="15" s="1"/>
  <c r="G251" i="15"/>
  <c r="H251" i="15"/>
  <c r="B252" i="15"/>
  <c r="A252" i="15" s="1"/>
  <c r="C252" i="15"/>
  <c r="D252" i="15"/>
  <c r="E252" i="15"/>
  <c r="F252" i="15"/>
  <c r="G252" i="15"/>
  <c r="H252" i="15"/>
  <c r="L252" i="15"/>
  <c r="N252" i="15"/>
  <c r="B253" i="15"/>
  <c r="A253" i="15" s="1"/>
  <c r="C253" i="15"/>
  <c r="D253" i="15"/>
  <c r="E253" i="15"/>
  <c r="F253" i="15"/>
  <c r="G253" i="15"/>
  <c r="H253" i="15"/>
  <c r="L253" i="15"/>
  <c r="B254" i="15"/>
  <c r="A254" i="15" s="1"/>
  <c r="C254" i="15"/>
  <c r="D254" i="15"/>
  <c r="E254" i="15"/>
  <c r="F254" i="15"/>
  <c r="G254" i="15"/>
  <c r="H254" i="15"/>
  <c r="B255" i="15"/>
  <c r="A255" i="15" s="1"/>
  <c r="G255" i="15"/>
  <c r="H255" i="15"/>
  <c r="B256" i="15"/>
  <c r="A256" i="15" s="1"/>
  <c r="C256" i="15"/>
  <c r="D256" i="15"/>
  <c r="E256" i="15"/>
  <c r="F256" i="15"/>
  <c r="G256" i="15"/>
  <c r="H256" i="15"/>
  <c r="B257" i="15"/>
  <c r="A257" i="15" s="1"/>
  <c r="C257" i="15"/>
  <c r="D257" i="15"/>
  <c r="E257" i="15"/>
  <c r="F257" i="15"/>
  <c r="G257" i="15"/>
  <c r="H257" i="15"/>
  <c r="L257" i="15"/>
  <c r="B258" i="15"/>
  <c r="A258" i="15" s="1"/>
  <c r="C258" i="15"/>
  <c r="D258" i="15"/>
  <c r="E258" i="15"/>
  <c r="F258" i="15"/>
  <c r="G258" i="15"/>
  <c r="H258" i="15"/>
  <c r="B259" i="15"/>
  <c r="A259" i="15" s="1"/>
  <c r="G259" i="15"/>
  <c r="H259" i="15"/>
  <c r="B260" i="15"/>
  <c r="A260" i="15" s="1"/>
  <c r="C260" i="15"/>
  <c r="D260" i="15"/>
  <c r="E260" i="15"/>
  <c r="F260" i="15"/>
  <c r="G260" i="15"/>
  <c r="H260" i="15"/>
  <c r="L260" i="15"/>
  <c r="N260" i="15"/>
  <c r="B261" i="15"/>
  <c r="A261" i="15" s="1"/>
  <c r="C261" i="15"/>
  <c r="D261" i="15"/>
  <c r="E261" i="15"/>
  <c r="F261" i="15"/>
  <c r="G261" i="15"/>
  <c r="H261" i="15"/>
  <c r="L261" i="15"/>
  <c r="B262" i="15"/>
  <c r="A262" i="15" s="1"/>
  <c r="C262" i="15"/>
  <c r="D262" i="15"/>
  <c r="E262" i="15"/>
  <c r="F262" i="15"/>
  <c r="G262" i="15"/>
  <c r="H262" i="15"/>
  <c r="B263" i="15"/>
  <c r="A263" i="15" s="1"/>
  <c r="G263" i="15"/>
  <c r="H263" i="15"/>
  <c r="B264" i="15"/>
  <c r="A264" i="15" s="1"/>
  <c r="C264" i="15"/>
  <c r="D264" i="15"/>
  <c r="E264" i="15"/>
  <c r="F264" i="15"/>
  <c r="G264" i="15"/>
  <c r="H264" i="15"/>
  <c r="B265" i="15"/>
  <c r="A265" i="15" s="1"/>
  <c r="C265" i="15"/>
  <c r="D265" i="15"/>
  <c r="E265" i="15"/>
  <c r="F265" i="15"/>
  <c r="G265" i="15"/>
  <c r="H265" i="15"/>
  <c r="L265" i="15"/>
  <c r="B266" i="15"/>
  <c r="A266" i="15" s="1"/>
  <c r="C266" i="15"/>
  <c r="D266" i="15"/>
  <c r="E266" i="15"/>
  <c r="F266" i="15"/>
  <c r="G266" i="15"/>
  <c r="H266" i="15"/>
  <c r="B267" i="15"/>
  <c r="A267" i="15" s="1"/>
  <c r="G267" i="15"/>
  <c r="H267" i="15"/>
  <c r="B268" i="15"/>
  <c r="A268" i="15" s="1"/>
  <c r="C268" i="15"/>
  <c r="D268" i="15"/>
  <c r="E268" i="15"/>
  <c r="F268" i="15"/>
  <c r="G268" i="15"/>
  <c r="H268" i="15"/>
  <c r="L268" i="15"/>
  <c r="N268" i="15"/>
  <c r="B269" i="15"/>
  <c r="A269" i="15" s="1"/>
  <c r="C269" i="15"/>
  <c r="D269" i="15"/>
  <c r="E269" i="15"/>
  <c r="F269" i="15"/>
  <c r="G269" i="15"/>
  <c r="H269" i="15"/>
  <c r="L269" i="15"/>
  <c r="B270" i="15"/>
  <c r="A270" i="15" s="1"/>
  <c r="C270" i="15"/>
  <c r="D270" i="15"/>
  <c r="E270" i="15"/>
  <c r="F270" i="15"/>
  <c r="G270" i="15"/>
  <c r="H270" i="15"/>
  <c r="B271" i="15"/>
  <c r="A271" i="15" s="1"/>
  <c r="G271" i="15"/>
  <c r="H271" i="15"/>
  <c r="B272" i="15"/>
  <c r="A272" i="15" s="1"/>
  <c r="C272" i="15"/>
  <c r="D272" i="15"/>
  <c r="E272" i="15"/>
  <c r="F272" i="15"/>
  <c r="G272" i="15"/>
  <c r="H272" i="15"/>
  <c r="B273" i="15"/>
  <c r="A273" i="15" s="1"/>
  <c r="C273" i="15"/>
  <c r="D273" i="15"/>
  <c r="G273" i="15"/>
  <c r="H273" i="15"/>
  <c r="J273" i="15"/>
  <c r="P273" i="15"/>
  <c r="AD273" i="15"/>
  <c r="B274" i="15"/>
  <c r="A274" i="15" s="1"/>
  <c r="C274" i="15"/>
  <c r="D274" i="15"/>
  <c r="E274" i="15"/>
  <c r="F274" i="15"/>
  <c r="G274" i="15"/>
  <c r="H274" i="15"/>
  <c r="B275" i="15"/>
  <c r="A275" i="15" s="1"/>
  <c r="G275" i="15"/>
  <c r="H275" i="15"/>
  <c r="B276" i="15"/>
  <c r="A276" i="15" s="1"/>
  <c r="C276" i="15"/>
  <c r="D276" i="15"/>
  <c r="E276" i="15"/>
  <c r="F276" i="15"/>
  <c r="G276" i="15"/>
  <c r="H276" i="15"/>
  <c r="L276" i="15"/>
  <c r="N276" i="15"/>
  <c r="B277" i="15"/>
  <c r="A277" i="15" s="1"/>
  <c r="C277" i="15"/>
  <c r="D277" i="15"/>
  <c r="E277" i="15"/>
  <c r="F277" i="15"/>
  <c r="G277" i="15"/>
  <c r="H277" i="15"/>
  <c r="L277" i="15"/>
  <c r="B278" i="15"/>
  <c r="A278" i="15" s="1"/>
  <c r="C278" i="15"/>
  <c r="D278" i="15"/>
  <c r="E278" i="15"/>
  <c r="F278" i="15"/>
  <c r="G278" i="15"/>
  <c r="H278" i="15"/>
  <c r="B279" i="15"/>
  <c r="A279" i="15" s="1"/>
  <c r="G279" i="15"/>
  <c r="H279" i="15"/>
  <c r="B280" i="15"/>
  <c r="A280" i="15" s="1"/>
  <c r="C280" i="15"/>
  <c r="D280" i="15"/>
  <c r="E280" i="15"/>
  <c r="F280" i="15"/>
  <c r="G280" i="15"/>
  <c r="H280" i="15"/>
  <c r="B281" i="15"/>
  <c r="A281" i="15" s="1"/>
  <c r="C281" i="15"/>
  <c r="D281" i="15"/>
  <c r="G281" i="15"/>
  <c r="H281" i="15"/>
  <c r="J281" i="15"/>
  <c r="P281" i="15"/>
  <c r="AD281" i="15"/>
  <c r="AJ281" i="15"/>
  <c r="B282" i="15"/>
  <c r="A282" i="15" s="1"/>
  <c r="C282" i="15"/>
  <c r="D282" i="15"/>
  <c r="G282" i="15"/>
  <c r="H282" i="15"/>
  <c r="J282" i="15"/>
  <c r="P282" i="15"/>
  <c r="AD282" i="15"/>
  <c r="B283" i="15"/>
  <c r="A283" i="15" s="1"/>
  <c r="G283" i="15"/>
  <c r="H283" i="15"/>
  <c r="J283" i="15"/>
  <c r="P283" i="15"/>
  <c r="AD283" i="15"/>
  <c r="B284" i="15"/>
  <c r="A284" i="15" s="1"/>
  <c r="C284" i="15"/>
  <c r="D284" i="15"/>
  <c r="G284" i="15"/>
  <c r="H284" i="15"/>
  <c r="J284" i="15"/>
  <c r="L284" i="15"/>
  <c r="P284" i="15"/>
  <c r="AD284" i="15"/>
  <c r="B285" i="15"/>
  <c r="A285" i="15" s="1"/>
  <c r="C285" i="15"/>
  <c r="D285" i="15"/>
  <c r="G285" i="15"/>
  <c r="H285" i="15"/>
  <c r="J285" i="15"/>
  <c r="P285" i="15"/>
  <c r="AD285" i="15"/>
  <c r="B286" i="15"/>
  <c r="A286" i="15" s="1"/>
  <c r="C286" i="15"/>
  <c r="D286" i="15"/>
  <c r="E286" i="15"/>
  <c r="F286" i="15"/>
  <c r="G286" i="15"/>
  <c r="H286" i="15"/>
  <c r="B287" i="15"/>
  <c r="A287" i="15" s="1"/>
  <c r="G287" i="15"/>
  <c r="H287" i="15"/>
  <c r="B288" i="15"/>
  <c r="A288" i="15" s="1"/>
  <c r="C288" i="15"/>
  <c r="D288" i="15"/>
  <c r="G288" i="15"/>
  <c r="H288" i="15"/>
  <c r="J288" i="15"/>
  <c r="P288" i="15"/>
  <c r="AD288" i="15"/>
  <c r="B289" i="15"/>
  <c r="A289" i="15" s="1"/>
  <c r="G289" i="15"/>
  <c r="H289" i="15"/>
  <c r="J289" i="15"/>
  <c r="P289" i="15"/>
  <c r="AD289" i="15"/>
  <c r="B290" i="15"/>
  <c r="A290" i="15" s="1"/>
  <c r="C290" i="15"/>
  <c r="D290" i="15"/>
  <c r="G290" i="15"/>
  <c r="H290" i="15"/>
  <c r="J290" i="15"/>
  <c r="P290" i="15"/>
  <c r="AD290" i="15"/>
  <c r="B291" i="15"/>
  <c r="A291" i="15" s="1"/>
  <c r="G291" i="15"/>
  <c r="H291" i="15"/>
  <c r="J291" i="15"/>
  <c r="P291" i="15"/>
  <c r="AD291" i="15"/>
  <c r="B292" i="15"/>
  <c r="A292" i="15" s="1"/>
  <c r="C292" i="15"/>
  <c r="D292" i="15"/>
  <c r="G292" i="15"/>
  <c r="H292" i="15"/>
  <c r="J292" i="15"/>
  <c r="P292" i="15"/>
  <c r="AD292" i="15"/>
  <c r="B293" i="15"/>
  <c r="A293" i="15" s="1"/>
  <c r="G293" i="15"/>
  <c r="H293" i="15"/>
  <c r="J293" i="15"/>
  <c r="P293" i="15"/>
  <c r="AD293" i="15"/>
  <c r="B294" i="15"/>
  <c r="A294" i="15" s="1"/>
  <c r="C294" i="15"/>
  <c r="D294" i="15"/>
  <c r="G294" i="15"/>
  <c r="H294" i="15"/>
  <c r="J294" i="15"/>
  <c r="P294" i="15"/>
  <c r="AD294" i="15"/>
  <c r="B295" i="15"/>
  <c r="A295" i="15" s="1"/>
  <c r="G295" i="15"/>
  <c r="H295" i="15"/>
  <c r="J295" i="15"/>
  <c r="P295" i="15"/>
  <c r="AD295" i="15"/>
  <c r="B296" i="15"/>
  <c r="A296" i="15" s="1"/>
  <c r="C296" i="15"/>
  <c r="D296" i="15"/>
  <c r="G296" i="15"/>
  <c r="H296" i="15"/>
  <c r="J296" i="15"/>
  <c r="P296" i="15"/>
  <c r="AD296" i="15"/>
  <c r="B297" i="15"/>
  <c r="A297" i="15" s="1"/>
  <c r="G297" i="15"/>
  <c r="H297" i="15"/>
  <c r="J297" i="15"/>
  <c r="P297" i="15"/>
  <c r="AD297" i="15"/>
  <c r="B298" i="15"/>
  <c r="A298" i="15" s="1"/>
  <c r="C298" i="15"/>
  <c r="D298" i="15"/>
  <c r="E298" i="15"/>
  <c r="F298" i="15"/>
  <c r="G298" i="15"/>
  <c r="H298" i="15"/>
  <c r="B299" i="15"/>
  <c r="A299" i="15" s="1"/>
  <c r="C299" i="15"/>
  <c r="D299" i="15"/>
  <c r="E299" i="15"/>
  <c r="F299" i="15"/>
  <c r="G299" i="15"/>
  <c r="H299" i="15"/>
  <c r="B300" i="15"/>
  <c r="A300" i="15" s="1"/>
  <c r="C300" i="15"/>
  <c r="D300" i="15"/>
  <c r="E300" i="15"/>
  <c r="F300" i="15"/>
  <c r="G300" i="15"/>
  <c r="H300" i="15"/>
  <c r="B301" i="15"/>
  <c r="A301" i="15" s="1"/>
  <c r="C301" i="15"/>
  <c r="D301" i="15"/>
  <c r="E301" i="15"/>
  <c r="F301" i="15"/>
  <c r="G301" i="15"/>
  <c r="H301" i="15"/>
  <c r="B302" i="15"/>
  <c r="A302" i="15" s="1"/>
  <c r="C302" i="15"/>
  <c r="D302" i="15"/>
  <c r="G302" i="15"/>
  <c r="H302" i="15"/>
  <c r="J302" i="15"/>
  <c r="B303" i="15"/>
  <c r="A303" i="15" s="1"/>
  <c r="C303" i="15"/>
  <c r="D303" i="15"/>
  <c r="G303" i="15"/>
  <c r="H303" i="15"/>
  <c r="J303" i="15"/>
  <c r="B304" i="15"/>
  <c r="A304" i="15" s="1"/>
  <c r="C304" i="15"/>
  <c r="D304" i="15"/>
  <c r="G304" i="15"/>
  <c r="H304" i="15"/>
  <c r="J304" i="15"/>
  <c r="P304" i="15"/>
  <c r="AD304" i="15"/>
  <c r="B305" i="15"/>
  <c r="A305" i="15" s="1"/>
  <c r="C305" i="15"/>
  <c r="D305" i="15"/>
  <c r="G305" i="15"/>
  <c r="H305" i="15"/>
  <c r="J305" i="15"/>
  <c r="P305" i="15"/>
  <c r="AD305" i="15"/>
  <c r="B306" i="15"/>
  <c r="A306" i="15" s="1"/>
  <c r="C306" i="15"/>
  <c r="D306" i="15"/>
  <c r="E306" i="15"/>
  <c r="F306" i="15"/>
  <c r="G306" i="15"/>
  <c r="H306" i="15"/>
  <c r="B307" i="15"/>
  <c r="A307" i="15" s="1"/>
  <c r="C307" i="15"/>
  <c r="D307" i="15"/>
  <c r="E307" i="15"/>
  <c r="F307" i="15"/>
  <c r="G307" i="15"/>
  <c r="H307" i="15"/>
  <c r="B308" i="15"/>
  <c r="A308" i="15" s="1"/>
  <c r="C308" i="15"/>
  <c r="D308" i="15"/>
  <c r="E308" i="15"/>
  <c r="F308" i="15"/>
  <c r="G308" i="15"/>
  <c r="H308" i="15"/>
  <c r="B309" i="15"/>
  <c r="A309" i="15" s="1"/>
  <c r="C309" i="15"/>
  <c r="D309" i="15"/>
  <c r="E309" i="15"/>
  <c r="F309" i="15"/>
  <c r="G309" i="15"/>
  <c r="H309" i="15"/>
  <c r="B310" i="15"/>
  <c r="A310" i="15" s="1"/>
  <c r="C310" i="15"/>
  <c r="D310" i="15"/>
  <c r="G310" i="15"/>
  <c r="H310" i="15"/>
  <c r="J310" i="15"/>
  <c r="B311" i="15"/>
  <c r="A311" i="15" s="1"/>
  <c r="C311" i="15"/>
  <c r="D311" i="15"/>
  <c r="G311" i="15"/>
  <c r="H311" i="15"/>
  <c r="J311" i="15"/>
  <c r="B312" i="15"/>
  <c r="A312" i="15" s="1"/>
  <c r="C312" i="15"/>
  <c r="D312" i="15"/>
  <c r="G312" i="15"/>
  <c r="H312" i="15"/>
  <c r="J312" i="15"/>
  <c r="P312" i="15"/>
  <c r="AD312" i="15"/>
  <c r="B313" i="15"/>
  <c r="A313" i="15" s="1"/>
  <c r="C313" i="15"/>
  <c r="D313" i="15"/>
  <c r="G313" i="15"/>
  <c r="H313" i="15"/>
  <c r="J313" i="15"/>
  <c r="P313" i="15"/>
  <c r="AD313" i="15"/>
  <c r="B314" i="15"/>
  <c r="A314" i="15" s="1"/>
  <c r="C314" i="15"/>
  <c r="D314" i="15"/>
  <c r="E314" i="15"/>
  <c r="F314" i="15"/>
  <c r="G314" i="15"/>
  <c r="H314" i="15"/>
  <c r="B315" i="15"/>
  <c r="A315" i="15" s="1"/>
  <c r="C315" i="15"/>
  <c r="D315" i="15"/>
  <c r="E315" i="15"/>
  <c r="F315" i="15"/>
  <c r="G315" i="15"/>
  <c r="H315" i="15"/>
  <c r="B316" i="15"/>
  <c r="A316" i="15" s="1"/>
  <c r="C316" i="15"/>
  <c r="D316" i="15"/>
  <c r="E316" i="15"/>
  <c r="F316" i="15"/>
  <c r="G316" i="15"/>
  <c r="H316" i="15"/>
  <c r="B317" i="15"/>
  <c r="A317" i="15" s="1"/>
  <c r="C317" i="15"/>
  <c r="D317" i="15"/>
  <c r="E317" i="15"/>
  <c r="F317" i="15"/>
  <c r="G317" i="15"/>
  <c r="H317" i="15"/>
  <c r="B318" i="15"/>
  <c r="A318" i="15" s="1"/>
  <c r="C318" i="15"/>
  <c r="D318" i="15"/>
  <c r="G318" i="15"/>
  <c r="H318" i="15"/>
  <c r="J318" i="15"/>
  <c r="B319" i="15"/>
  <c r="A319" i="15" s="1"/>
  <c r="C319" i="15"/>
  <c r="D319" i="15"/>
  <c r="G319" i="15"/>
  <c r="H319" i="15"/>
  <c r="J319" i="15"/>
  <c r="B320" i="15"/>
  <c r="A320" i="15" s="1"/>
  <c r="C320" i="15"/>
  <c r="D320" i="15"/>
  <c r="G320" i="15"/>
  <c r="H320" i="15"/>
  <c r="J320" i="15"/>
  <c r="P320" i="15"/>
  <c r="AD320" i="15"/>
  <c r="B321" i="15"/>
  <c r="A321" i="15" s="1"/>
  <c r="C321" i="15"/>
  <c r="D321" i="15"/>
  <c r="G321" i="15"/>
  <c r="H321" i="15"/>
  <c r="J321" i="15"/>
  <c r="P321" i="15"/>
  <c r="AD321" i="15"/>
  <c r="B322" i="15"/>
  <c r="A322" i="15" s="1"/>
  <c r="C322" i="15"/>
  <c r="D322" i="15"/>
  <c r="E322" i="15"/>
  <c r="F322" i="15"/>
  <c r="G322" i="15"/>
  <c r="H322" i="15"/>
  <c r="B323" i="15"/>
  <c r="A323" i="15" s="1"/>
  <c r="C323" i="15"/>
  <c r="D323" i="15"/>
  <c r="E323" i="15"/>
  <c r="F323" i="15"/>
  <c r="G323" i="15"/>
  <c r="H323" i="15"/>
  <c r="B324" i="15"/>
  <c r="A324" i="15" s="1"/>
  <c r="C324" i="15"/>
  <c r="D324" i="15"/>
  <c r="E324" i="15"/>
  <c r="F324" i="15"/>
  <c r="G324" i="15"/>
  <c r="H324" i="15"/>
  <c r="B325" i="15"/>
  <c r="A325" i="15" s="1"/>
  <c r="C325" i="15"/>
  <c r="D325" i="15"/>
  <c r="E325" i="15"/>
  <c r="F325" i="15"/>
  <c r="G325" i="15"/>
  <c r="H325" i="15"/>
  <c r="B326" i="15"/>
  <c r="A326" i="15" s="1"/>
  <c r="C326" i="15"/>
  <c r="D326" i="15"/>
  <c r="G326" i="15"/>
  <c r="H326" i="15"/>
  <c r="J326" i="15"/>
  <c r="B327" i="15"/>
  <c r="A327" i="15" s="1"/>
  <c r="C327" i="15"/>
  <c r="D327" i="15"/>
  <c r="G327" i="15"/>
  <c r="H327" i="15"/>
  <c r="J327" i="15"/>
  <c r="B328" i="15"/>
  <c r="A328" i="15" s="1"/>
  <c r="C328" i="15"/>
  <c r="D328" i="15"/>
  <c r="G328" i="15"/>
  <c r="H328" i="15"/>
  <c r="J328" i="15"/>
  <c r="P328" i="15"/>
  <c r="AD328" i="15"/>
  <c r="B329" i="15"/>
  <c r="A329" i="15" s="1"/>
  <c r="C329" i="15"/>
  <c r="D329" i="15"/>
  <c r="G329" i="15"/>
  <c r="H329" i="15"/>
  <c r="J329" i="15"/>
  <c r="P329" i="15"/>
  <c r="AD329" i="15"/>
  <c r="B344" i="15"/>
  <c r="A344" i="15" s="1"/>
  <c r="C344" i="15"/>
  <c r="G344" i="15"/>
  <c r="H344" i="15"/>
  <c r="J344" i="15"/>
  <c r="P344" i="15"/>
  <c r="AD344" i="15"/>
  <c r="AI344" i="15"/>
  <c r="B345" i="15"/>
  <c r="A345" i="15" s="1"/>
  <c r="C345" i="15"/>
  <c r="G345" i="15"/>
  <c r="H345" i="15"/>
  <c r="J345" i="15"/>
  <c r="P345" i="15"/>
  <c r="AD345" i="15"/>
  <c r="AI345" i="15"/>
  <c r="B346" i="15"/>
  <c r="A346" i="15" s="1"/>
  <c r="C346" i="15"/>
  <c r="H346" i="15"/>
  <c r="J346" i="15"/>
  <c r="P346" i="15"/>
  <c r="AD346" i="15"/>
  <c r="AI346" i="15"/>
  <c r="B347" i="15"/>
  <c r="A347" i="15" s="1"/>
  <c r="C347" i="15"/>
  <c r="G347" i="15"/>
  <c r="H347" i="15"/>
  <c r="J347" i="15"/>
  <c r="P347" i="15"/>
  <c r="AD347" i="15"/>
  <c r="AI347" i="15"/>
  <c r="B348" i="15"/>
  <c r="A348" i="15" s="1"/>
  <c r="C348" i="15"/>
  <c r="G348" i="15"/>
  <c r="H348" i="15"/>
  <c r="J348" i="15"/>
  <c r="P348" i="15"/>
  <c r="AD348" i="15"/>
  <c r="AI348" i="15"/>
  <c r="B349" i="15"/>
  <c r="A349" i="15" s="1"/>
  <c r="C349" i="15"/>
  <c r="H349" i="15"/>
  <c r="J349" i="15"/>
  <c r="P349" i="15"/>
  <c r="AD349" i="15"/>
  <c r="AI349" i="15"/>
  <c r="B350" i="15"/>
  <c r="A350" i="15" s="1"/>
  <c r="C350" i="15"/>
  <c r="G350" i="15"/>
  <c r="H350" i="15"/>
  <c r="J350" i="15"/>
  <c r="P350" i="15"/>
  <c r="AD350" i="15"/>
  <c r="AI350" i="15"/>
  <c r="B351" i="15"/>
  <c r="A351" i="15" s="1"/>
  <c r="C351" i="15"/>
  <c r="G351" i="15"/>
  <c r="H351" i="15"/>
  <c r="J351" i="15"/>
  <c r="P351" i="15"/>
  <c r="AD351" i="15"/>
  <c r="AI351" i="15"/>
  <c r="B352" i="15"/>
  <c r="A352" i="15" s="1"/>
  <c r="C352" i="15"/>
  <c r="H352" i="15"/>
  <c r="J352" i="15"/>
  <c r="P352" i="15"/>
  <c r="AB352" i="15"/>
  <c r="AD352" i="15"/>
  <c r="AI352" i="15"/>
  <c r="B353" i="15"/>
  <c r="A353" i="15" s="1"/>
  <c r="C353" i="15"/>
  <c r="G353" i="15"/>
  <c r="H353" i="15"/>
  <c r="J353" i="15"/>
  <c r="P353" i="15"/>
  <c r="AD353" i="15"/>
  <c r="AI353" i="15"/>
  <c r="B354" i="15"/>
  <c r="A354" i="15" s="1"/>
  <c r="C354" i="15"/>
  <c r="G354" i="15"/>
  <c r="H354" i="15"/>
  <c r="J354" i="15"/>
  <c r="P354" i="15"/>
  <c r="AD354" i="15"/>
  <c r="AI354" i="15"/>
  <c r="B355" i="15"/>
  <c r="A355" i="15" s="1"/>
  <c r="C355" i="15"/>
  <c r="H355" i="15"/>
  <c r="J355" i="15"/>
  <c r="P355" i="15"/>
  <c r="AD355" i="15"/>
  <c r="AI355" i="15"/>
  <c r="B356" i="15"/>
  <c r="A356" i="15" s="1"/>
  <c r="C356" i="15"/>
  <c r="G356" i="15"/>
  <c r="H356" i="15"/>
  <c r="J356" i="15"/>
  <c r="P356" i="15"/>
  <c r="AD356" i="15"/>
  <c r="AI356" i="15"/>
  <c r="B357" i="15"/>
  <c r="A357" i="15" s="1"/>
  <c r="C357" i="15"/>
  <c r="G357" i="15"/>
  <c r="H357" i="15"/>
  <c r="J357" i="15"/>
  <c r="P357" i="15"/>
  <c r="AD357" i="15"/>
  <c r="AI357" i="15"/>
  <c r="B358" i="15"/>
  <c r="A358" i="15" s="1"/>
  <c r="C358" i="15"/>
  <c r="G358" i="15"/>
  <c r="H358" i="15"/>
  <c r="J358" i="15"/>
  <c r="P358" i="15"/>
  <c r="AD358" i="15"/>
  <c r="AI358" i="15"/>
  <c r="B359" i="15"/>
  <c r="A359" i="15" s="1"/>
  <c r="C359" i="15"/>
  <c r="G359" i="15"/>
  <c r="H359" i="15"/>
  <c r="J359" i="15"/>
  <c r="P359" i="15"/>
  <c r="AD359" i="15"/>
  <c r="AI359" i="15"/>
  <c r="AI360" i="15" s="1"/>
  <c r="AI361" i="15" s="1"/>
  <c r="B360" i="15"/>
  <c r="A360" i="15" s="1"/>
  <c r="C360" i="15"/>
  <c r="G360" i="15"/>
  <c r="J360" i="15"/>
  <c r="P360" i="15"/>
  <c r="AD360" i="15"/>
  <c r="B361" i="15"/>
  <c r="A361" i="15" s="1"/>
  <c r="C361" i="15"/>
  <c r="G361" i="15"/>
  <c r="J361" i="15"/>
  <c r="P361" i="15"/>
  <c r="AD361" i="15"/>
  <c r="B362" i="15"/>
  <c r="A362" i="15" s="1"/>
  <c r="C362" i="15"/>
  <c r="G362" i="15"/>
  <c r="J362" i="15"/>
  <c r="P362" i="15"/>
  <c r="AD362" i="15"/>
  <c r="B363" i="15"/>
  <c r="A363" i="15" s="1"/>
  <c r="C363" i="15"/>
  <c r="G363" i="15"/>
  <c r="J363" i="15"/>
  <c r="P363" i="15"/>
  <c r="AD363" i="15"/>
  <c r="B364" i="15"/>
  <c r="A364" i="15" s="1"/>
  <c r="C364" i="15"/>
  <c r="G364" i="15"/>
  <c r="J364" i="15"/>
  <c r="P364" i="15"/>
  <c r="AD364" i="15"/>
  <c r="B365" i="15"/>
  <c r="A365" i="15" s="1"/>
  <c r="C365" i="15"/>
  <c r="G365" i="15"/>
  <c r="J365" i="15"/>
  <c r="P365" i="15"/>
  <c r="AD365" i="15"/>
  <c r="B366" i="15"/>
  <c r="A366" i="15" s="1"/>
  <c r="C366" i="15"/>
  <c r="G366" i="15"/>
  <c r="J366" i="15"/>
  <c r="P366" i="15"/>
  <c r="AD366" i="15"/>
  <c r="B367" i="15"/>
  <c r="A367" i="15" s="1"/>
  <c r="C367" i="15"/>
  <c r="G367" i="15"/>
  <c r="J367" i="15"/>
  <c r="P367" i="15"/>
  <c r="AD367" i="15"/>
  <c r="B368" i="15"/>
  <c r="A368" i="15" s="1"/>
  <c r="C368" i="15"/>
  <c r="G368" i="15"/>
  <c r="H368" i="15"/>
  <c r="J368" i="15"/>
  <c r="P368" i="15"/>
  <c r="AD368" i="15"/>
  <c r="AI368" i="15"/>
  <c r="AI369" i="15" s="1"/>
  <c r="AI370" i="15" s="1"/>
  <c r="AI371" i="15" s="1"/>
  <c r="AI372" i="15" s="1"/>
  <c r="AI373" i="15" s="1"/>
  <c r="AI374" i="15" s="1"/>
  <c r="AI375" i="15" s="1"/>
  <c r="AI376" i="15" s="1"/>
  <c r="AI377" i="15" s="1"/>
  <c r="AI378" i="15" s="1"/>
  <c r="AI379" i="15" s="1"/>
  <c r="AI380" i="15" s="1"/>
  <c r="AI381" i="15" s="1"/>
  <c r="AI382" i="15" s="1"/>
  <c r="AI383" i="15" s="1"/>
  <c r="AI384" i="15" s="1"/>
  <c r="AI385" i="15" s="1"/>
  <c r="AI386" i="15" s="1"/>
  <c r="AI387" i="15" s="1"/>
  <c r="AI388" i="15" s="1"/>
  <c r="AI389" i="15" s="1"/>
  <c r="AI390" i="15" s="1"/>
  <c r="AI391" i="15" s="1"/>
  <c r="AI392" i="15" s="1"/>
  <c r="AI393" i="15" s="1"/>
  <c r="AI394" i="15" s="1"/>
  <c r="AI395" i="15" s="1"/>
  <c r="AI396" i="15" s="1"/>
  <c r="AI397" i="15" s="1"/>
  <c r="B369" i="15"/>
  <c r="A369" i="15" s="1"/>
  <c r="C369" i="15"/>
  <c r="G369" i="15"/>
  <c r="H369" i="15"/>
  <c r="J369" i="15"/>
  <c r="P369" i="15"/>
  <c r="AD369" i="15"/>
  <c r="B370" i="15"/>
  <c r="A370" i="15" s="1"/>
  <c r="C370" i="15"/>
  <c r="G370" i="15"/>
  <c r="H370" i="15"/>
  <c r="J370" i="15"/>
  <c r="P370" i="15"/>
  <c r="AD370" i="15"/>
  <c r="B371" i="15"/>
  <c r="A371" i="15" s="1"/>
  <c r="C371" i="15"/>
  <c r="G371" i="15"/>
  <c r="H371" i="15"/>
  <c r="J371" i="15"/>
  <c r="P371" i="15"/>
  <c r="AD371" i="15"/>
  <c r="B372" i="15"/>
  <c r="A372" i="15" s="1"/>
  <c r="C372" i="15"/>
  <c r="G372" i="15"/>
  <c r="H372" i="15"/>
  <c r="J372" i="15"/>
  <c r="P372" i="15"/>
  <c r="AD372" i="15"/>
  <c r="B373" i="15"/>
  <c r="A373" i="15" s="1"/>
  <c r="C373" i="15"/>
  <c r="G373" i="15"/>
  <c r="H373" i="15"/>
  <c r="J373" i="15"/>
  <c r="P373" i="15"/>
  <c r="AD373" i="15"/>
  <c r="B374" i="15"/>
  <c r="A374" i="15" s="1"/>
  <c r="C374" i="15"/>
  <c r="G374" i="15"/>
  <c r="H374" i="15"/>
  <c r="J374" i="15"/>
  <c r="P374" i="15"/>
  <c r="AD374" i="15"/>
  <c r="B375" i="15"/>
  <c r="A375" i="15" s="1"/>
  <c r="C375" i="15"/>
  <c r="G375" i="15"/>
  <c r="H375" i="15"/>
  <c r="J375" i="15"/>
  <c r="P375" i="15"/>
  <c r="AD375" i="15"/>
  <c r="B376" i="15"/>
  <c r="A376" i="15" s="1"/>
  <c r="C376" i="15"/>
  <c r="G376" i="15"/>
  <c r="H376" i="15"/>
  <c r="J376" i="15"/>
  <c r="P376" i="15"/>
  <c r="AD376" i="15"/>
  <c r="B377" i="15"/>
  <c r="A377" i="15" s="1"/>
  <c r="C377" i="15"/>
  <c r="G377" i="15"/>
  <c r="H377" i="15"/>
  <c r="J377" i="15"/>
  <c r="P377" i="15"/>
  <c r="AD377" i="15"/>
  <c r="B378" i="15"/>
  <c r="A378" i="15" s="1"/>
  <c r="C378" i="15"/>
  <c r="G378" i="15"/>
  <c r="H378" i="15"/>
  <c r="J378" i="15"/>
  <c r="P378" i="15"/>
  <c r="AD378" i="15"/>
  <c r="B379" i="15"/>
  <c r="A379" i="15" s="1"/>
  <c r="C379" i="15"/>
  <c r="G379" i="15"/>
  <c r="H379" i="15"/>
  <c r="J379" i="15"/>
  <c r="P379" i="15"/>
  <c r="AD379" i="15"/>
  <c r="B380" i="15"/>
  <c r="A380" i="15" s="1"/>
  <c r="C380" i="15"/>
  <c r="G380" i="15"/>
  <c r="H380" i="15"/>
  <c r="J380" i="15"/>
  <c r="P380" i="15"/>
  <c r="AD380" i="15"/>
  <c r="B381" i="15"/>
  <c r="A381" i="15" s="1"/>
  <c r="C381" i="15"/>
  <c r="G381" i="15"/>
  <c r="H381" i="15"/>
  <c r="J381" i="15"/>
  <c r="P381" i="15"/>
  <c r="AD381" i="15"/>
  <c r="B382" i="15"/>
  <c r="A382" i="15" s="1"/>
  <c r="C382" i="15"/>
  <c r="G382" i="15"/>
  <c r="H382" i="15"/>
  <c r="J382" i="15"/>
  <c r="P382" i="15"/>
  <c r="AD382" i="15"/>
  <c r="B383" i="15"/>
  <c r="A383" i="15" s="1"/>
  <c r="C383" i="15"/>
  <c r="G383" i="15"/>
  <c r="H383" i="15"/>
  <c r="J383" i="15"/>
  <c r="P383" i="15"/>
  <c r="AD383" i="15"/>
  <c r="B384" i="15"/>
  <c r="A384" i="15" s="1"/>
  <c r="C384" i="15"/>
  <c r="G384" i="15"/>
  <c r="H384" i="15"/>
  <c r="J384" i="15"/>
  <c r="P384" i="15"/>
  <c r="AD384" i="15"/>
  <c r="B385" i="15"/>
  <c r="A385" i="15" s="1"/>
  <c r="C385" i="15"/>
  <c r="G385" i="15"/>
  <c r="H385" i="15"/>
  <c r="J385" i="15"/>
  <c r="P385" i="15"/>
  <c r="AD385" i="15"/>
  <c r="B386" i="15"/>
  <c r="A386" i="15" s="1"/>
  <c r="C386" i="15"/>
  <c r="G386" i="15"/>
  <c r="H386" i="15"/>
  <c r="J386" i="15"/>
  <c r="P386" i="15"/>
  <c r="AD386" i="15"/>
  <c r="B387" i="15"/>
  <c r="A387" i="15" s="1"/>
  <c r="C387" i="15"/>
  <c r="G387" i="15"/>
  <c r="H387" i="15"/>
  <c r="J387" i="15"/>
  <c r="P387" i="15"/>
  <c r="AD387" i="15"/>
  <c r="B388" i="15"/>
  <c r="A388" i="15" s="1"/>
  <c r="C388" i="15"/>
  <c r="G388" i="15"/>
  <c r="H388" i="15"/>
  <c r="J388" i="15"/>
  <c r="P388" i="15"/>
  <c r="AD388" i="15"/>
  <c r="B389" i="15"/>
  <c r="A389" i="15" s="1"/>
  <c r="C389" i="15"/>
  <c r="G389" i="15"/>
  <c r="H389" i="15"/>
  <c r="J389" i="15"/>
  <c r="P389" i="15"/>
  <c r="AD389" i="15"/>
  <c r="B390" i="15"/>
  <c r="A390" i="15" s="1"/>
  <c r="C390" i="15"/>
  <c r="G390" i="15"/>
  <c r="H390" i="15"/>
  <c r="J390" i="15"/>
  <c r="P390" i="15"/>
  <c r="AD390" i="15"/>
  <c r="B391" i="15"/>
  <c r="A391" i="15" s="1"/>
  <c r="C391" i="15"/>
  <c r="G391" i="15"/>
  <c r="H391" i="15"/>
  <c r="J391" i="15"/>
  <c r="P391" i="15"/>
  <c r="AD391" i="15"/>
  <c r="B392" i="15"/>
  <c r="A392" i="15" s="1"/>
  <c r="C392" i="15"/>
  <c r="G392" i="15"/>
  <c r="H392" i="15"/>
  <c r="J392" i="15"/>
  <c r="P392" i="15"/>
  <c r="AD392" i="15"/>
  <c r="B393" i="15"/>
  <c r="A393" i="15" s="1"/>
  <c r="C393" i="15"/>
  <c r="G393" i="15"/>
  <c r="H393" i="15"/>
  <c r="J393" i="15"/>
  <c r="P393" i="15"/>
  <c r="AD393" i="15"/>
  <c r="B394" i="15"/>
  <c r="A394" i="15" s="1"/>
  <c r="C394" i="15"/>
  <c r="G394" i="15"/>
  <c r="H394" i="15"/>
  <c r="J394" i="15"/>
  <c r="P394" i="15"/>
  <c r="AD394" i="15"/>
  <c r="B395" i="15"/>
  <c r="A395" i="15" s="1"/>
  <c r="C395" i="15"/>
  <c r="G395" i="15"/>
  <c r="H395" i="15"/>
  <c r="J395" i="15"/>
  <c r="P395" i="15"/>
  <c r="AD395" i="15"/>
  <c r="B396" i="15"/>
  <c r="A396" i="15" s="1"/>
  <c r="C396" i="15"/>
  <c r="G396" i="15"/>
  <c r="H396" i="15"/>
  <c r="J396" i="15"/>
  <c r="P396" i="15"/>
  <c r="AD396" i="15"/>
  <c r="B397" i="15"/>
  <c r="A397" i="15" s="1"/>
  <c r="C397" i="15"/>
  <c r="G397" i="15"/>
  <c r="H397" i="15"/>
  <c r="J397" i="15"/>
  <c r="P397" i="15"/>
  <c r="AD397" i="15"/>
  <c r="B398" i="15"/>
  <c r="A398" i="15" s="1"/>
  <c r="C398" i="15"/>
  <c r="G398" i="15"/>
  <c r="H398" i="15"/>
  <c r="J398" i="15"/>
  <c r="AD398" i="15"/>
  <c r="AI398" i="15"/>
  <c r="AI399" i="15" s="1"/>
  <c r="AI400" i="15" s="1"/>
  <c r="AI401" i="15" s="1"/>
  <c r="AI402" i="15" s="1"/>
  <c r="AI403" i="15" s="1"/>
  <c r="B399" i="15"/>
  <c r="A399" i="15" s="1"/>
  <c r="C399" i="15"/>
  <c r="G399" i="15"/>
  <c r="H399" i="15"/>
  <c r="J399" i="15"/>
  <c r="AD399" i="15"/>
  <c r="B400" i="15"/>
  <c r="A400" i="15" s="1"/>
  <c r="C400" i="15"/>
  <c r="G400" i="15"/>
  <c r="H400" i="15"/>
  <c r="J400" i="15"/>
  <c r="AD400" i="15"/>
  <c r="B401" i="15"/>
  <c r="A401" i="15" s="1"/>
  <c r="C401" i="15"/>
  <c r="G401" i="15"/>
  <c r="H401" i="15"/>
  <c r="J401" i="15"/>
  <c r="AD401" i="15"/>
  <c r="B402" i="15"/>
  <c r="A402" i="15" s="1"/>
  <c r="C402" i="15"/>
  <c r="G402" i="15"/>
  <c r="H402" i="15"/>
  <c r="J402" i="15"/>
  <c r="AD402" i="15"/>
  <c r="B403" i="15"/>
  <c r="A403" i="15" s="1"/>
  <c r="C403" i="15"/>
  <c r="G403" i="15"/>
  <c r="H403" i="15"/>
  <c r="J403" i="15"/>
  <c r="AD403" i="15"/>
  <c r="B404" i="15"/>
  <c r="A404" i="15" s="1"/>
  <c r="C404" i="15"/>
  <c r="G404" i="15"/>
  <c r="H404" i="15"/>
  <c r="J404" i="15"/>
  <c r="AD404" i="15"/>
  <c r="AI404" i="15"/>
  <c r="B405" i="15"/>
  <c r="A405" i="15" s="1"/>
  <c r="C405" i="15"/>
  <c r="H405" i="15"/>
  <c r="J405" i="15"/>
  <c r="AD405" i="15"/>
  <c r="AI405" i="15"/>
  <c r="B406" i="15"/>
  <c r="A406" i="15" s="1"/>
  <c r="C406" i="15"/>
  <c r="G406" i="15"/>
  <c r="H406" i="15"/>
  <c r="J406" i="15"/>
  <c r="AD406" i="15"/>
  <c r="AI406" i="15"/>
  <c r="AI407" i="15" s="1"/>
  <c r="AI408" i="15" s="1"/>
  <c r="B407" i="15"/>
  <c r="A407" i="15" s="1"/>
  <c r="C407" i="15"/>
  <c r="G407" i="15"/>
  <c r="H407" i="15"/>
  <c r="J407" i="15"/>
  <c r="AD407" i="15"/>
  <c r="B408" i="15"/>
  <c r="A408" i="15" s="1"/>
  <c r="C408" i="15"/>
  <c r="G408" i="15"/>
  <c r="H408" i="15"/>
  <c r="J408" i="15"/>
  <c r="AD408" i="15"/>
  <c r="B409" i="15"/>
  <c r="A409" i="15" s="1"/>
  <c r="C409" i="15"/>
  <c r="G409" i="15"/>
  <c r="H409" i="15"/>
  <c r="J409" i="15"/>
  <c r="AD409" i="15"/>
  <c r="AI409" i="15"/>
  <c r="AI410" i="15" s="1"/>
  <c r="AI411" i="15" s="1"/>
  <c r="AI412" i="15" s="1"/>
  <c r="B410" i="15"/>
  <c r="A410" i="15" s="1"/>
  <c r="C410" i="15"/>
  <c r="G410" i="15"/>
  <c r="H410" i="15"/>
  <c r="J410" i="15"/>
  <c r="AD410" i="15"/>
  <c r="B411" i="15"/>
  <c r="A411" i="15" s="1"/>
  <c r="C411" i="15"/>
  <c r="G411" i="15"/>
  <c r="H411" i="15"/>
  <c r="J411" i="15"/>
  <c r="AD411" i="15"/>
  <c r="B412" i="15"/>
  <c r="A412" i="15" s="1"/>
  <c r="C412" i="15"/>
  <c r="G412" i="15"/>
  <c r="H412" i="15"/>
  <c r="J412" i="15"/>
  <c r="AD412" i="15"/>
  <c r="B413" i="15"/>
  <c r="A413" i="15" s="1"/>
  <c r="C413" i="15"/>
  <c r="G413" i="15"/>
  <c r="H413" i="15"/>
  <c r="J413" i="15"/>
  <c r="AD413" i="15"/>
  <c r="B414" i="15"/>
  <c r="A414" i="15" s="1"/>
  <c r="C414" i="15"/>
  <c r="G414" i="15"/>
  <c r="H414" i="15"/>
  <c r="J414" i="15"/>
  <c r="AD414" i="15"/>
  <c r="B415" i="15"/>
  <c r="A415" i="15" s="1"/>
  <c r="C415" i="15"/>
  <c r="G415" i="15"/>
  <c r="H415" i="15"/>
  <c r="AG415" i="15"/>
  <c r="AD415" i="15" s="1"/>
  <c r="AI415" i="15"/>
  <c r="B416" i="15"/>
  <c r="A416" i="15" s="1"/>
  <c r="C416" i="15"/>
  <c r="G416" i="15"/>
  <c r="H416" i="15"/>
  <c r="AG416" i="15"/>
  <c r="AD416" i="15" s="1"/>
  <c r="AI416" i="15"/>
  <c r="B417" i="15"/>
  <c r="A417" i="15" s="1"/>
  <c r="C417" i="15"/>
  <c r="G417" i="15"/>
  <c r="H417" i="15"/>
  <c r="AG417" i="15"/>
  <c r="AD417" i="15" s="1"/>
  <c r="AI417" i="15"/>
  <c r="B418" i="15"/>
  <c r="A418" i="15" s="1"/>
  <c r="C418" i="15"/>
  <c r="G418" i="15"/>
  <c r="H418" i="15"/>
  <c r="AG418" i="15"/>
  <c r="AD418" i="15" s="1"/>
  <c r="AI418" i="15"/>
  <c r="B419" i="15"/>
  <c r="A419" i="15" s="1"/>
  <c r="C419" i="15"/>
  <c r="D419" i="15"/>
  <c r="G419" i="15"/>
  <c r="H419" i="15"/>
  <c r="J419" i="15"/>
  <c r="P419" i="15"/>
  <c r="AD419" i="15"/>
  <c r="AI419" i="15"/>
  <c r="B420" i="15"/>
  <c r="A420" i="15" s="1"/>
  <c r="C420" i="15"/>
  <c r="D420" i="15"/>
  <c r="G420" i="15"/>
  <c r="H420" i="15"/>
  <c r="J420" i="15"/>
  <c r="P420" i="15"/>
  <c r="AD420" i="15"/>
  <c r="AI420" i="15"/>
  <c r="B421" i="15"/>
  <c r="A421" i="15" s="1"/>
  <c r="C421" i="15"/>
  <c r="D421" i="15"/>
  <c r="G421" i="15"/>
  <c r="H421" i="15"/>
  <c r="J421" i="15"/>
  <c r="P421" i="15"/>
  <c r="AD421" i="15"/>
  <c r="AI421" i="15"/>
  <c r="B422" i="15"/>
  <c r="A422" i="15" s="1"/>
  <c r="C422" i="15"/>
  <c r="D422" i="15"/>
  <c r="G422" i="15"/>
  <c r="H422" i="15"/>
  <c r="J422" i="15"/>
  <c r="P422" i="15"/>
  <c r="AD422" i="15"/>
  <c r="AI422" i="15"/>
  <c r="B423" i="15"/>
  <c r="A423" i="15" s="1"/>
  <c r="C423" i="15"/>
  <c r="D423" i="15"/>
  <c r="H423" i="15"/>
  <c r="J423" i="15"/>
  <c r="P423" i="15"/>
  <c r="AD423" i="15"/>
  <c r="AI423" i="15"/>
  <c r="B424" i="15"/>
  <c r="A424" i="15" s="1"/>
  <c r="C424" i="15"/>
  <c r="D424" i="15"/>
  <c r="G424" i="15"/>
  <c r="H424" i="15"/>
  <c r="J424" i="15"/>
  <c r="P424" i="15"/>
  <c r="AD424" i="15"/>
  <c r="AI424" i="15"/>
  <c r="B425" i="15"/>
  <c r="A425" i="15" s="1"/>
  <c r="C425" i="15"/>
  <c r="D425" i="15"/>
  <c r="G425" i="15"/>
  <c r="H425" i="15"/>
  <c r="J425" i="15"/>
  <c r="P425" i="15"/>
  <c r="AD425" i="15"/>
  <c r="AI425" i="15"/>
  <c r="B426" i="15"/>
  <c r="A426" i="15" s="1"/>
  <c r="C426" i="15"/>
  <c r="D426" i="15"/>
  <c r="H426" i="15"/>
  <c r="J426" i="15"/>
  <c r="P426" i="15"/>
  <c r="AD426" i="15"/>
  <c r="AI426" i="15"/>
  <c r="B427" i="15"/>
  <c r="A427" i="15" s="1"/>
  <c r="C427" i="15"/>
  <c r="D427" i="15"/>
  <c r="G427" i="15"/>
  <c r="H427" i="15"/>
  <c r="J427" i="15"/>
  <c r="P427" i="15"/>
  <c r="AD427" i="15"/>
  <c r="AI427" i="15"/>
  <c r="B428" i="15"/>
  <c r="A428" i="15" s="1"/>
  <c r="C428" i="15"/>
  <c r="D428" i="15"/>
  <c r="G428" i="15"/>
  <c r="H428" i="15"/>
  <c r="J428" i="15"/>
  <c r="P428" i="15"/>
  <c r="AD428" i="15"/>
  <c r="AI428" i="15"/>
  <c r="B429" i="15"/>
  <c r="A429" i="15" s="1"/>
  <c r="C429" i="15"/>
  <c r="D429" i="15"/>
  <c r="H429" i="15"/>
  <c r="J429" i="15"/>
  <c r="P429" i="15"/>
  <c r="AD429" i="15"/>
  <c r="AI429" i="15"/>
  <c r="B430" i="15"/>
  <c r="A430" i="15" s="1"/>
  <c r="C430" i="15"/>
  <c r="D430" i="15"/>
  <c r="G430" i="15"/>
  <c r="H430" i="15"/>
  <c r="J430" i="15"/>
  <c r="P430" i="15"/>
  <c r="AD430" i="15"/>
  <c r="AI430" i="15"/>
  <c r="B431" i="15"/>
  <c r="A431" i="15" s="1"/>
  <c r="C431" i="15"/>
  <c r="D431" i="15"/>
  <c r="G431" i="15"/>
  <c r="H431" i="15"/>
  <c r="J431" i="15"/>
  <c r="P431" i="15"/>
  <c r="AD431" i="15"/>
  <c r="AI431" i="15"/>
  <c r="B432" i="15"/>
  <c r="A432" i="15" s="1"/>
  <c r="C432" i="15"/>
  <c r="D432" i="15"/>
  <c r="G432" i="15"/>
  <c r="H432" i="15"/>
  <c r="J432" i="15"/>
  <c r="P432" i="15"/>
  <c r="AD432" i="15"/>
  <c r="AI432" i="15"/>
  <c r="B433" i="15"/>
  <c r="A433" i="15" s="1"/>
  <c r="C433" i="15"/>
  <c r="G433" i="15"/>
  <c r="H433" i="15"/>
  <c r="AD433" i="15"/>
  <c r="AI433" i="15"/>
  <c r="B434" i="15"/>
  <c r="A434" i="15" s="1"/>
  <c r="C434" i="15"/>
  <c r="G434" i="15"/>
  <c r="H434" i="15"/>
  <c r="AD434" i="15"/>
  <c r="AI434" i="15"/>
  <c r="B435" i="15"/>
  <c r="A435" i="15" s="1"/>
  <c r="C435" i="15"/>
  <c r="G435" i="15"/>
  <c r="H435" i="15"/>
  <c r="AD435" i="15"/>
  <c r="AI435" i="15"/>
  <c r="B436" i="15"/>
  <c r="A436" i="15" s="1"/>
  <c r="C436" i="15"/>
  <c r="G436" i="15"/>
  <c r="H436" i="15"/>
  <c r="AD436" i="15"/>
  <c r="AI436" i="15"/>
  <c r="B437" i="15"/>
  <c r="A437" i="15" s="1"/>
  <c r="C437" i="15"/>
  <c r="G437" i="15"/>
  <c r="H437" i="15"/>
  <c r="AD437" i="15"/>
  <c r="AI437" i="15"/>
  <c r="B438" i="15"/>
  <c r="A438" i="15" s="1"/>
  <c r="C438" i="15"/>
  <c r="G438" i="15"/>
  <c r="H438" i="15"/>
  <c r="AD438" i="15"/>
  <c r="AI438" i="15"/>
  <c r="B439" i="15"/>
  <c r="A439" i="15" s="1"/>
  <c r="C439" i="15"/>
  <c r="G439" i="15"/>
  <c r="H439" i="15"/>
  <c r="AD439" i="15"/>
  <c r="AI439" i="15"/>
  <c r="B440" i="15"/>
  <c r="A440" i="15" s="1"/>
  <c r="C440" i="15"/>
  <c r="G440" i="15"/>
  <c r="H440" i="15"/>
  <c r="AD440" i="15"/>
  <c r="AI440" i="15"/>
  <c r="B441" i="15"/>
  <c r="A441" i="15" s="1"/>
  <c r="C441" i="15"/>
  <c r="G441" i="15"/>
  <c r="H441" i="15"/>
  <c r="AD441" i="15"/>
  <c r="AI441" i="15"/>
  <c r="B442" i="15"/>
  <c r="A442" i="15" s="1"/>
  <c r="C442" i="15"/>
  <c r="G442" i="15"/>
  <c r="H442" i="15"/>
  <c r="AD442" i="15"/>
  <c r="AI442" i="15"/>
  <c r="B443" i="15"/>
  <c r="A443" i="15" s="1"/>
  <c r="C443" i="15"/>
  <c r="G443" i="15"/>
  <c r="H443" i="15"/>
  <c r="AD443" i="15"/>
  <c r="AI443" i="15"/>
  <c r="B444" i="15"/>
  <c r="A444" i="15" s="1"/>
  <c r="C444" i="15"/>
  <c r="G444" i="15"/>
  <c r="H444" i="15"/>
  <c r="AD444" i="15"/>
  <c r="AI444" i="15"/>
  <c r="B445" i="15"/>
  <c r="A445" i="15" s="1"/>
  <c r="C445" i="15"/>
  <c r="G445" i="15"/>
  <c r="H445" i="15"/>
  <c r="AD445" i="15"/>
  <c r="AI445" i="15"/>
  <c r="B446" i="15"/>
  <c r="A446" i="15" s="1"/>
  <c r="C446" i="15"/>
  <c r="G446" i="15"/>
  <c r="H446" i="15"/>
  <c r="AD446" i="15"/>
  <c r="AI446" i="15"/>
  <c r="B447" i="15"/>
  <c r="A447" i="15" s="1"/>
  <c r="C447" i="15"/>
  <c r="G447" i="15"/>
  <c r="H447" i="15"/>
  <c r="AD447" i="15"/>
  <c r="AI447" i="15"/>
  <c r="B448" i="15"/>
  <c r="A448" i="15" s="1"/>
  <c r="C448" i="15"/>
  <c r="G448" i="15"/>
  <c r="H448" i="15"/>
  <c r="AD448" i="15"/>
  <c r="AI448" i="15"/>
  <c r="B449" i="15"/>
  <c r="A449" i="15" s="1"/>
  <c r="C449" i="15"/>
  <c r="D449" i="15"/>
  <c r="G449" i="15"/>
  <c r="H449" i="15"/>
  <c r="J449" i="15"/>
  <c r="P449" i="15"/>
  <c r="AD449" i="15"/>
  <c r="AI449" i="15"/>
  <c r="B450" i="15"/>
  <c r="A450" i="15" s="1"/>
  <c r="C450" i="15"/>
  <c r="D450" i="15"/>
  <c r="H450" i="15"/>
  <c r="J450" i="15"/>
  <c r="P450" i="15"/>
  <c r="AD450" i="15"/>
  <c r="AI450" i="15"/>
  <c r="B451" i="15"/>
  <c r="A451" i="15" s="1"/>
  <c r="C451" i="15"/>
  <c r="D451" i="15"/>
  <c r="G451" i="15"/>
  <c r="H451" i="15"/>
  <c r="J451" i="15"/>
  <c r="P451" i="15"/>
  <c r="AD451" i="15"/>
  <c r="AI451" i="15"/>
  <c r="B452" i="15"/>
  <c r="A452" i="15" s="1"/>
  <c r="C452" i="15"/>
  <c r="D452" i="15"/>
  <c r="G452" i="15"/>
  <c r="H452" i="15"/>
  <c r="J452" i="15"/>
  <c r="P452" i="15"/>
  <c r="AD452" i="15"/>
  <c r="AI452" i="15"/>
  <c r="B453" i="15"/>
  <c r="A453" i="15" s="1"/>
  <c r="C453" i="15"/>
  <c r="D453" i="15"/>
  <c r="H453" i="15"/>
  <c r="J453" i="15"/>
  <c r="P453" i="15"/>
  <c r="AD453" i="15"/>
  <c r="AI453" i="15"/>
  <c r="B454" i="15"/>
  <c r="A454" i="15" s="1"/>
  <c r="C454" i="15"/>
  <c r="D454" i="15"/>
  <c r="G454" i="15"/>
  <c r="H454" i="15"/>
  <c r="J454" i="15"/>
  <c r="P454" i="15"/>
  <c r="AD454" i="15"/>
  <c r="AI454" i="15"/>
  <c r="B455" i="15"/>
  <c r="A455" i="15" s="1"/>
  <c r="C455" i="15"/>
  <c r="D455" i="15"/>
  <c r="G455" i="15"/>
  <c r="H455" i="15"/>
  <c r="J455" i="15"/>
  <c r="L455" i="15"/>
  <c r="P455" i="15"/>
  <c r="AD455" i="15"/>
  <c r="AI455" i="15"/>
  <c r="B456" i="15"/>
  <c r="A456" i="15" s="1"/>
  <c r="C456" i="15"/>
  <c r="D456" i="15"/>
  <c r="H456" i="15"/>
  <c r="J456" i="15"/>
  <c r="L456" i="15"/>
  <c r="P456" i="15"/>
  <c r="AD456" i="15"/>
  <c r="AI456" i="15"/>
  <c r="B457" i="15"/>
  <c r="A457" i="15" s="1"/>
  <c r="C457" i="15"/>
  <c r="D457" i="15"/>
  <c r="G457" i="15"/>
  <c r="H457" i="15"/>
  <c r="J457" i="15"/>
  <c r="L457" i="15"/>
  <c r="P457" i="15"/>
  <c r="AD457" i="15"/>
  <c r="AI457" i="15"/>
  <c r="B458" i="15"/>
  <c r="A458" i="15" s="1"/>
  <c r="C458" i="15"/>
  <c r="D458" i="15"/>
  <c r="G458" i="15"/>
  <c r="H458" i="15"/>
  <c r="J458" i="15"/>
  <c r="P458" i="15"/>
  <c r="AD458" i="15"/>
  <c r="AI458" i="15"/>
  <c r="B459" i="15"/>
  <c r="A459" i="15" s="1"/>
  <c r="C459" i="15"/>
  <c r="D459" i="15"/>
  <c r="H459" i="15"/>
  <c r="J459" i="15"/>
  <c r="P459" i="15"/>
  <c r="AD459" i="15"/>
  <c r="AI459" i="15"/>
  <c r="B460" i="15"/>
  <c r="A460" i="15" s="1"/>
  <c r="C460" i="15"/>
  <c r="D460" i="15"/>
  <c r="G460" i="15"/>
  <c r="H460" i="15"/>
  <c r="J460" i="15"/>
  <c r="P460" i="15"/>
  <c r="AD460" i="15"/>
  <c r="AI460" i="15"/>
  <c r="B461" i="15"/>
  <c r="A461" i="15" s="1"/>
  <c r="C461" i="15"/>
  <c r="G461" i="15"/>
  <c r="H461" i="15"/>
  <c r="AD461" i="15"/>
  <c r="AI461" i="15"/>
  <c r="B462" i="15"/>
  <c r="A462" i="15" s="1"/>
  <c r="C462" i="15"/>
  <c r="G462" i="15"/>
  <c r="H462" i="15"/>
  <c r="AD462" i="15"/>
  <c r="AI462" i="15"/>
  <c r="B463" i="15"/>
  <c r="A463" i="15" s="1"/>
  <c r="C463" i="15"/>
  <c r="G463" i="15"/>
  <c r="H463" i="15"/>
  <c r="AD463" i="15"/>
  <c r="AI463" i="15"/>
  <c r="B464" i="15"/>
  <c r="A464" i="15" s="1"/>
  <c r="C464" i="15"/>
  <c r="G464" i="15"/>
  <c r="H464" i="15"/>
  <c r="AD464" i="15"/>
  <c r="AI464" i="15"/>
  <c r="B465" i="15"/>
  <c r="A465" i="15" s="1"/>
  <c r="C465" i="15"/>
  <c r="G465" i="15"/>
  <c r="H465" i="15"/>
  <c r="AD465" i="15"/>
  <c r="AI465" i="15"/>
  <c r="B466" i="15"/>
  <c r="A466" i="15" s="1"/>
  <c r="C466" i="15"/>
  <c r="G466" i="15"/>
  <c r="H466" i="15"/>
  <c r="AD466" i="15"/>
  <c r="AI466" i="15"/>
  <c r="B467" i="15"/>
  <c r="A467" i="15" s="1"/>
  <c r="C467" i="15"/>
  <c r="G467" i="15"/>
  <c r="H467" i="15"/>
  <c r="AD467" i="15"/>
  <c r="AI467" i="15"/>
  <c r="B468" i="15"/>
  <c r="A468" i="15" s="1"/>
  <c r="C468" i="15"/>
  <c r="G468" i="15"/>
  <c r="H468" i="15"/>
  <c r="AD468" i="15"/>
  <c r="AI468" i="15"/>
  <c r="B469" i="15"/>
  <c r="A469" i="15" s="1"/>
  <c r="C469" i="15"/>
  <c r="G469" i="15"/>
  <c r="H469" i="15"/>
  <c r="AD469" i="15"/>
  <c r="AI469" i="15"/>
  <c r="B470" i="15"/>
  <c r="A470" i="15" s="1"/>
  <c r="C470" i="15"/>
  <c r="G470" i="15"/>
  <c r="H470" i="15"/>
  <c r="AD470" i="15"/>
  <c r="AI470" i="15"/>
  <c r="B471" i="15"/>
  <c r="A471" i="15" s="1"/>
  <c r="C471" i="15"/>
  <c r="G471" i="15"/>
  <c r="H471" i="15"/>
  <c r="AD471" i="15"/>
  <c r="AI471" i="15"/>
  <c r="B472" i="15"/>
  <c r="A472" i="15" s="1"/>
  <c r="C472" i="15"/>
  <c r="G472" i="15"/>
  <c r="H472" i="15"/>
  <c r="AD472" i="15"/>
  <c r="AI472" i="15"/>
  <c r="B473" i="15"/>
  <c r="A473" i="15" s="1"/>
  <c r="C473" i="15"/>
  <c r="G473" i="15"/>
  <c r="H473" i="15"/>
  <c r="X473" i="15"/>
  <c r="Z473" i="15" s="1"/>
  <c r="W473" i="15" s="1"/>
  <c r="AD473" i="15"/>
  <c r="AI473" i="15"/>
  <c r="B474" i="15"/>
  <c r="A474" i="15" s="1"/>
  <c r="C474" i="15"/>
  <c r="G474" i="15"/>
  <c r="H474" i="15"/>
  <c r="X474" i="15"/>
  <c r="Z474" i="15" s="1"/>
  <c r="W474" i="15" s="1"/>
  <c r="AD474" i="15"/>
  <c r="AI474" i="15"/>
  <c r="B475" i="15"/>
  <c r="A475" i="15" s="1"/>
  <c r="C475" i="15"/>
  <c r="G475" i="15"/>
  <c r="H475" i="15"/>
  <c r="X475" i="15"/>
  <c r="Z475" i="15" s="1"/>
  <c r="W475" i="15" s="1"/>
  <c r="AD475" i="15"/>
  <c r="AI475" i="15"/>
  <c r="B476" i="15"/>
  <c r="A476" i="15" s="1"/>
  <c r="C476" i="15"/>
  <c r="G476" i="15"/>
  <c r="H476" i="15"/>
  <c r="X476" i="15"/>
  <c r="Z476" i="15" s="1"/>
  <c r="W476" i="15" s="1"/>
  <c r="AD476" i="15"/>
  <c r="AI476" i="15"/>
  <c r="B477" i="15"/>
  <c r="A477" i="15" s="1"/>
  <c r="C477" i="15"/>
  <c r="G477" i="15"/>
  <c r="H477" i="15"/>
  <c r="X477" i="15"/>
  <c r="Z477" i="15" s="1"/>
  <c r="W477" i="15" s="1"/>
  <c r="AD477" i="15"/>
  <c r="AI477" i="15"/>
  <c r="B478" i="15"/>
  <c r="A478" i="15" s="1"/>
  <c r="C478" i="15"/>
  <c r="G478" i="15"/>
  <c r="H478" i="15"/>
  <c r="X478" i="15"/>
  <c r="Z478" i="15" s="1"/>
  <c r="W478" i="15" s="1"/>
  <c r="AD478" i="15"/>
  <c r="AI478" i="15"/>
  <c r="B479" i="15"/>
  <c r="A479" i="15" s="1"/>
  <c r="C479" i="15"/>
  <c r="G479" i="15"/>
  <c r="H479" i="15"/>
  <c r="X479" i="15"/>
  <c r="Z479" i="15" s="1"/>
  <c r="W479" i="15" s="1"/>
  <c r="AD479" i="15"/>
  <c r="AI479" i="15"/>
  <c r="B480" i="15"/>
  <c r="A480" i="15" s="1"/>
  <c r="C480" i="15"/>
  <c r="G480" i="15"/>
  <c r="H480" i="15"/>
  <c r="X480" i="15"/>
  <c r="Z480" i="15" s="1"/>
  <c r="W480" i="15" s="1"/>
  <c r="AD480" i="15"/>
  <c r="AI480" i="15"/>
  <c r="B481" i="15"/>
  <c r="A481" i="15" s="1"/>
  <c r="C481" i="15"/>
  <c r="G481" i="15"/>
  <c r="H481" i="15"/>
  <c r="X481" i="15"/>
  <c r="Z481" i="15" s="1"/>
  <c r="W481" i="15" s="1"/>
  <c r="AD481" i="15"/>
  <c r="AI481" i="15"/>
  <c r="B482" i="15"/>
  <c r="A482" i="15" s="1"/>
  <c r="C482" i="15"/>
  <c r="H482" i="15"/>
  <c r="X482" i="15"/>
  <c r="Z482" i="15" s="1"/>
  <c r="W482" i="15" s="1"/>
  <c r="AD482" i="15"/>
  <c r="AI482" i="15"/>
  <c r="B483" i="15"/>
  <c r="A483" i="15" s="1"/>
  <c r="C483" i="15"/>
  <c r="H483" i="15"/>
  <c r="X483" i="15"/>
  <c r="Z483" i="15" s="1"/>
  <c r="W483" i="15" s="1"/>
  <c r="AD483" i="15"/>
  <c r="AI483" i="15"/>
  <c r="B486" i="15"/>
  <c r="A486" i="15" s="1"/>
  <c r="C486" i="15"/>
  <c r="D486" i="15"/>
  <c r="G486" i="15"/>
  <c r="H486" i="15"/>
  <c r="AI486" i="15"/>
  <c r="B487" i="15"/>
  <c r="A487" i="15" s="1"/>
  <c r="C487" i="15"/>
  <c r="D487" i="15"/>
  <c r="G487" i="15"/>
  <c r="H487" i="15"/>
  <c r="AI487" i="15"/>
  <c r="B488" i="15"/>
  <c r="A488" i="15" s="1"/>
  <c r="C488" i="15"/>
  <c r="G488" i="15"/>
  <c r="H488" i="15"/>
  <c r="J488" i="15"/>
  <c r="P488" i="15"/>
  <c r="AD488" i="15"/>
  <c r="AI488" i="15"/>
  <c r="B489" i="15"/>
  <c r="A489" i="15" s="1"/>
  <c r="C489" i="15"/>
  <c r="G489" i="15"/>
  <c r="H489" i="15"/>
  <c r="J489" i="15"/>
  <c r="P489" i="15"/>
  <c r="AD489" i="15"/>
  <c r="AI489" i="15"/>
  <c r="B490" i="15"/>
  <c r="A490" i="15" s="1"/>
  <c r="C490" i="15"/>
  <c r="G490" i="15"/>
  <c r="H490" i="15"/>
  <c r="J490" i="15"/>
  <c r="P490" i="15"/>
  <c r="AD490" i="15"/>
  <c r="AI490" i="15"/>
  <c r="B491" i="15"/>
  <c r="A491" i="15" s="1"/>
  <c r="C491" i="15"/>
  <c r="G491" i="15"/>
  <c r="H491" i="15"/>
  <c r="J491" i="15"/>
  <c r="P491" i="15"/>
  <c r="AD491" i="15"/>
  <c r="AI491" i="15"/>
  <c r="B492" i="15"/>
  <c r="A492" i="15" s="1"/>
  <c r="C492" i="15"/>
  <c r="G492" i="15"/>
  <c r="H492" i="15"/>
  <c r="J492" i="15"/>
  <c r="P492" i="15"/>
  <c r="AD492" i="15"/>
  <c r="AI492" i="15"/>
  <c r="B493" i="15"/>
  <c r="A493" i="15" s="1"/>
  <c r="C493" i="15"/>
  <c r="G493" i="15"/>
  <c r="H493" i="15"/>
  <c r="J493" i="15"/>
  <c r="P493" i="15"/>
  <c r="AD493" i="15"/>
  <c r="AI493" i="15"/>
  <c r="B494" i="15"/>
  <c r="A494" i="15" s="1"/>
  <c r="C494" i="15"/>
  <c r="G494" i="15"/>
  <c r="H494" i="15"/>
  <c r="J494" i="15"/>
  <c r="P494" i="15"/>
  <c r="AD494" i="15"/>
  <c r="AI494" i="15"/>
  <c r="B495" i="15"/>
  <c r="A495" i="15" s="1"/>
  <c r="C495" i="15"/>
  <c r="G495" i="15"/>
  <c r="H495" i="15"/>
  <c r="J495" i="15"/>
  <c r="P495" i="15"/>
  <c r="AD495" i="15"/>
  <c r="AI495" i="15"/>
  <c r="B496" i="15"/>
  <c r="A496" i="15" s="1"/>
  <c r="C496" i="15"/>
  <c r="G496" i="15"/>
  <c r="H496" i="15"/>
  <c r="J496" i="15"/>
  <c r="P496" i="15"/>
  <c r="AD496" i="15"/>
  <c r="AI496" i="15"/>
  <c r="B497" i="15"/>
  <c r="A497" i="15" s="1"/>
  <c r="C497" i="15"/>
  <c r="G497" i="15"/>
  <c r="H497" i="15"/>
  <c r="J497" i="15"/>
  <c r="P497" i="15"/>
  <c r="AD497" i="15"/>
  <c r="AI497" i="15"/>
  <c r="B498" i="15"/>
  <c r="A498" i="15" s="1"/>
  <c r="C498" i="15"/>
  <c r="G498" i="15"/>
  <c r="H498" i="15"/>
  <c r="J498" i="15"/>
  <c r="P498" i="15"/>
  <c r="AD498" i="15"/>
  <c r="AI498" i="15"/>
  <c r="B499" i="15"/>
  <c r="A499" i="15" s="1"/>
  <c r="C499" i="15"/>
  <c r="G499" i="15"/>
  <c r="H499" i="15"/>
  <c r="J499" i="15"/>
  <c r="P499" i="15"/>
  <c r="AD499" i="15"/>
  <c r="AI499" i="15"/>
  <c r="B500" i="15"/>
  <c r="A500" i="15" s="1"/>
  <c r="C500" i="15"/>
  <c r="G500" i="15"/>
  <c r="H500" i="15"/>
  <c r="J500" i="15"/>
  <c r="P500" i="15"/>
  <c r="AD500" i="15"/>
  <c r="AI500" i="15"/>
  <c r="B501" i="15"/>
  <c r="A501" i="15" s="1"/>
  <c r="C501" i="15"/>
  <c r="G501" i="15"/>
  <c r="H501" i="15"/>
  <c r="J501" i="15"/>
  <c r="P501" i="15"/>
  <c r="AD501" i="15"/>
  <c r="AI501" i="15"/>
  <c r="B502" i="15"/>
  <c r="A502" i="15" s="1"/>
  <c r="C502" i="15"/>
  <c r="G502" i="15"/>
  <c r="H502" i="15"/>
  <c r="J502" i="15"/>
  <c r="P502" i="15"/>
  <c r="AD502" i="15"/>
  <c r="AI502" i="15"/>
  <c r="B503" i="15"/>
  <c r="A503" i="15" s="1"/>
  <c r="C503" i="15"/>
  <c r="G503" i="15"/>
  <c r="H503" i="15"/>
  <c r="J503" i="15"/>
  <c r="P503" i="15"/>
  <c r="AD503" i="15"/>
  <c r="AI503" i="15"/>
  <c r="B504" i="15"/>
  <c r="A504" i="15" s="1"/>
  <c r="C504" i="15"/>
  <c r="G504" i="15"/>
  <c r="H504" i="15"/>
  <c r="J504" i="15"/>
  <c r="P504" i="15"/>
  <c r="AD504" i="15"/>
  <c r="AI504" i="15"/>
  <c r="B505" i="15"/>
  <c r="A505" i="15" s="1"/>
  <c r="C505" i="15"/>
  <c r="G505" i="15"/>
  <c r="H505" i="15"/>
  <c r="J505" i="15"/>
  <c r="P505" i="15"/>
  <c r="AD505" i="15"/>
  <c r="AI505" i="15"/>
  <c r="B506" i="15"/>
  <c r="A506" i="15" s="1"/>
  <c r="C506" i="15"/>
  <c r="G506" i="15"/>
  <c r="H506" i="15"/>
  <c r="J506" i="15"/>
  <c r="P506" i="15"/>
  <c r="AD506" i="15"/>
  <c r="AI506" i="15"/>
  <c r="B507" i="15"/>
  <c r="A507" i="15" s="1"/>
  <c r="C507" i="15"/>
  <c r="G507" i="15"/>
  <c r="H507" i="15"/>
  <c r="J507" i="15"/>
  <c r="P507" i="15"/>
  <c r="AD507" i="15"/>
  <c r="AI507" i="15"/>
  <c r="B508" i="15"/>
  <c r="A508" i="15" s="1"/>
  <c r="C508" i="15"/>
  <c r="G508" i="15"/>
  <c r="H508" i="15"/>
  <c r="J508" i="15"/>
  <c r="P508" i="15"/>
  <c r="AD508" i="15"/>
  <c r="AI508" i="15"/>
  <c r="B509" i="15"/>
  <c r="A509" i="15" s="1"/>
  <c r="C509" i="15"/>
  <c r="G509" i="15"/>
  <c r="H509" i="15"/>
  <c r="J509" i="15"/>
  <c r="P509" i="15"/>
  <c r="AD509" i="15"/>
  <c r="AI509" i="15"/>
  <c r="B510" i="15"/>
  <c r="A510" i="15" s="1"/>
  <c r="C510" i="15"/>
  <c r="G510" i="15"/>
  <c r="H510" i="15"/>
  <c r="J510" i="15"/>
  <c r="P510" i="15"/>
  <c r="AD510" i="15"/>
  <c r="AI510" i="15"/>
  <c r="B511" i="15"/>
  <c r="A511" i="15" s="1"/>
  <c r="C511" i="15"/>
  <c r="G511" i="15"/>
  <c r="H511" i="15"/>
  <c r="J511" i="15"/>
  <c r="P511" i="15"/>
  <c r="AD511" i="15"/>
  <c r="AI511" i="15"/>
  <c r="B512" i="15"/>
  <c r="A512" i="15" s="1"/>
  <c r="C512" i="15"/>
  <c r="G512" i="15"/>
  <c r="H512" i="15"/>
  <c r="AD512" i="15"/>
  <c r="AI512" i="15"/>
  <c r="B513" i="15"/>
  <c r="A513" i="15" s="1"/>
  <c r="C513" i="15"/>
  <c r="G513" i="15"/>
  <c r="H513" i="15"/>
  <c r="AD513" i="15"/>
  <c r="AI513" i="15"/>
  <c r="B514" i="15"/>
  <c r="A514" i="15" s="1"/>
  <c r="C514" i="15"/>
  <c r="G514" i="15"/>
  <c r="H514" i="15"/>
  <c r="AD514" i="15"/>
  <c r="AI514" i="15"/>
  <c r="B515" i="15"/>
  <c r="A515" i="15" s="1"/>
  <c r="C515" i="15"/>
  <c r="G515" i="15"/>
  <c r="H515" i="15"/>
  <c r="AD515" i="15"/>
  <c r="AI515" i="15"/>
  <c r="B516" i="15"/>
  <c r="A516" i="15" s="1"/>
  <c r="C516" i="15"/>
  <c r="G516" i="15"/>
  <c r="H516" i="15"/>
  <c r="AD516" i="15"/>
  <c r="AI516" i="15"/>
  <c r="B517" i="15"/>
  <c r="A517" i="15" s="1"/>
  <c r="C517" i="15"/>
  <c r="G517" i="15"/>
  <c r="H517" i="15"/>
  <c r="AD517" i="15"/>
  <c r="AI517" i="15"/>
  <c r="B518" i="15"/>
  <c r="A518" i="15" s="1"/>
  <c r="C518" i="15"/>
  <c r="G518" i="15"/>
  <c r="H518" i="15"/>
  <c r="AD518" i="15"/>
  <c r="AI518" i="15"/>
  <c r="B519" i="15"/>
  <c r="A519" i="15" s="1"/>
  <c r="C519" i="15"/>
  <c r="G519" i="15"/>
  <c r="H519" i="15"/>
  <c r="AD519" i="15"/>
  <c r="AI519" i="15"/>
  <c r="B520" i="15"/>
  <c r="A520" i="15" s="1"/>
  <c r="C520" i="15"/>
  <c r="G520" i="15"/>
  <c r="H520" i="15"/>
  <c r="AD520" i="15"/>
  <c r="AI520" i="15"/>
  <c r="B521" i="15"/>
  <c r="A521" i="15" s="1"/>
  <c r="C521" i="15"/>
  <c r="G521" i="15"/>
  <c r="H521" i="15"/>
  <c r="AD521" i="15"/>
  <c r="AI521" i="15"/>
  <c r="B522" i="15"/>
  <c r="A522" i="15" s="1"/>
  <c r="C522" i="15"/>
  <c r="G522" i="15"/>
  <c r="H522" i="15"/>
  <c r="AD522" i="15"/>
  <c r="AI522" i="15"/>
  <c r="B523" i="15"/>
  <c r="A523" i="15" s="1"/>
  <c r="C523" i="15"/>
  <c r="G523" i="15"/>
  <c r="H523" i="15"/>
  <c r="AD523" i="15"/>
  <c r="AI523" i="15"/>
  <c r="B524" i="15"/>
  <c r="A524" i="15" s="1"/>
  <c r="C524" i="15"/>
  <c r="D524" i="15"/>
  <c r="G524" i="15"/>
  <c r="H524" i="15"/>
  <c r="J524" i="15"/>
  <c r="P524" i="15"/>
  <c r="AI524" i="15"/>
  <c r="B525" i="15"/>
  <c r="A525" i="15" s="1"/>
  <c r="C525" i="15"/>
  <c r="D525" i="15"/>
  <c r="G525" i="15"/>
  <c r="H525" i="15"/>
  <c r="J525" i="15"/>
  <c r="P525" i="15"/>
  <c r="AI525" i="15"/>
  <c r="B526" i="15"/>
  <c r="A526" i="15" s="1"/>
  <c r="C526" i="15"/>
  <c r="D526" i="15"/>
  <c r="G526" i="15"/>
  <c r="H526" i="15"/>
  <c r="J526" i="15"/>
  <c r="P526" i="15"/>
  <c r="AI526" i="15"/>
  <c r="B527" i="15"/>
  <c r="A527" i="15" s="1"/>
  <c r="C527" i="15"/>
  <c r="D527" i="15"/>
  <c r="G527" i="15"/>
  <c r="H527" i="15"/>
  <c r="J527" i="15"/>
  <c r="P527" i="15"/>
  <c r="AI527" i="15"/>
  <c r="B528" i="15"/>
  <c r="A528" i="15" s="1"/>
  <c r="C528" i="15"/>
  <c r="D528" i="15"/>
  <c r="G528" i="15"/>
  <c r="H528" i="15"/>
  <c r="J528" i="15"/>
  <c r="P528" i="15"/>
  <c r="AI528" i="15"/>
  <c r="B529" i="15"/>
  <c r="A529" i="15" s="1"/>
  <c r="C529" i="15"/>
  <c r="D529" i="15"/>
  <c r="G529" i="15"/>
  <c r="H529" i="15"/>
  <c r="J529" i="15"/>
  <c r="P529" i="15"/>
  <c r="AI529" i="15"/>
  <c r="B530" i="15"/>
  <c r="A530" i="15" s="1"/>
  <c r="C530" i="15"/>
  <c r="D530" i="15"/>
  <c r="G530" i="15"/>
  <c r="H530" i="15"/>
  <c r="J530" i="15"/>
  <c r="P530" i="15"/>
  <c r="AI530" i="15"/>
  <c r="B531" i="15"/>
  <c r="A531" i="15" s="1"/>
  <c r="C531" i="15"/>
  <c r="D531" i="15"/>
  <c r="G531" i="15"/>
  <c r="H531" i="15"/>
  <c r="J531" i="15"/>
  <c r="P531" i="15"/>
  <c r="AI531" i="15"/>
  <c r="B548" i="15"/>
  <c r="A548" i="15" s="1"/>
  <c r="C548" i="15"/>
  <c r="G548" i="15"/>
  <c r="H548" i="15"/>
  <c r="AD548" i="15"/>
  <c r="AI548" i="15"/>
  <c r="B549" i="15"/>
  <c r="A549" i="15" s="1"/>
  <c r="C549" i="15"/>
  <c r="G549" i="15"/>
  <c r="H549" i="15"/>
  <c r="AD549" i="15"/>
  <c r="AI549" i="15"/>
  <c r="B550" i="15"/>
  <c r="A550" i="15" s="1"/>
  <c r="C550" i="15"/>
  <c r="G550" i="15"/>
  <c r="H550" i="15"/>
  <c r="AD550" i="15"/>
  <c r="AI550" i="15"/>
  <c r="B551" i="15"/>
  <c r="A551" i="15" s="1"/>
  <c r="C551" i="15"/>
  <c r="G551" i="15"/>
  <c r="H551" i="15"/>
  <c r="AD551" i="15"/>
  <c r="AI551" i="15"/>
  <c r="B552" i="15"/>
  <c r="A552" i="15" s="1"/>
  <c r="C552" i="15"/>
  <c r="G552" i="15"/>
  <c r="H552" i="15"/>
  <c r="AD552" i="15"/>
  <c r="AI552" i="15"/>
  <c r="B553" i="15"/>
  <c r="A553" i="15" s="1"/>
  <c r="C553" i="15"/>
  <c r="G553" i="15"/>
  <c r="H553" i="15"/>
  <c r="AD553" i="15"/>
  <c r="AI553" i="15"/>
  <c r="B554" i="15"/>
  <c r="A554" i="15" s="1"/>
  <c r="C554" i="15"/>
  <c r="G554" i="15"/>
  <c r="H554" i="15"/>
  <c r="AD554" i="15"/>
  <c r="AI554" i="15"/>
  <c r="B555" i="15"/>
  <c r="A555" i="15" s="1"/>
  <c r="C555" i="15"/>
  <c r="G555" i="15"/>
  <c r="H555" i="15"/>
  <c r="AD555" i="15"/>
  <c r="AI555" i="15"/>
  <c r="B556" i="15"/>
  <c r="A556" i="15" s="1"/>
  <c r="C556" i="15"/>
  <c r="G556" i="15"/>
  <c r="H556" i="15"/>
  <c r="AA556" i="15"/>
  <c r="AD556" i="15"/>
  <c r="AI556" i="15"/>
  <c r="B557" i="15"/>
  <c r="A557" i="15" s="1"/>
  <c r="C557" i="15"/>
  <c r="G557" i="15"/>
  <c r="H557" i="15"/>
  <c r="AA557" i="15"/>
  <c r="AD557" i="15"/>
  <c r="AI557" i="15"/>
  <c r="B558" i="15"/>
  <c r="A558" i="15" s="1"/>
  <c r="C558" i="15"/>
  <c r="G558" i="15"/>
  <c r="H558" i="15"/>
  <c r="AA558" i="15"/>
  <c r="AD558" i="15"/>
  <c r="AI558" i="15"/>
  <c r="B559" i="15"/>
  <c r="A559" i="15" s="1"/>
  <c r="C559" i="15"/>
  <c r="G559" i="15"/>
  <c r="H559" i="15"/>
  <c r="AA559" i="15"/>
  <c r="AD559" i="15"/>
  <c r="AI559" i="15"/>
  <c r="B560" i="15"/>
  <c r="A560" i="15" s="1"/>
  <c r="C560" i="15"/>
  <c r="G560" i="15"/>
  <c r="H560" i="15"/>
  <c r="X560" i="15"/>
  <c r="Z560" i="15" s="1"/>
  <c r="W560" i="15" s="1"/>
  <c r="AD560" i="15"/>
  <c r="AI560" i="15"/>
  <c r="B561" i="15"/>
  <c r="A561" i="15" s="1"/>
  <c r="G561" i="15"/>
  <c r="H561" i="15"/>
  <c r="I561" i="15"/>
  <c r="O561" i="15"/>
  <c r="X561" i="15"/>
  <c r="Z561" i="15" s="1"/>
  <c r="W561" i="15" s="1"/>
  <c r="V561" i="15" s="1"/>
  <c r="AB561" i="15"/>
  <c r="AD561" i="15"/>
  <c r="AE561" i="15"/>
  <c r="AC561" i="15" s="1"/>
  <c r="AI561" i="15"/>
  <c r="B562" i="15"/>
  <c r="A562" i="15" s="1"/>
  <c r="G562" i="15"/>
  <c r="H562" i="15"/>
  <c r="I562" i="15"/>
  <c r="O562" i="15"/>
  <c r="X562" i="15"/>
  <c r="Z562" i="15" s="1"/>
  <c r="W562" i="15" s="1"/>
  <c r="V562" i="15" s="1"/>
  <c r="AB562" i="15"/>
  <c r="AD562" i="15"/>
  <c r="AE562" i="15"/>
  <c r="AC562" i="15" s="1"/>
  <c r="AI562" i="15"/>
  <c r="B563" i="15"/>
  <c r="A563" i="15" s="1"/>
  <c r="G563" i="15"/>
  <c r="H563" i="15"/>
  <c r="I563" i="15"/>
  <c r="O563" i="15"/>
  <c r="X563" i="15"/>
  <c r="Z563" i="15" s="1"/>
  <c r="W563" i="15" s="1"/>
  <c r="V563" i="15" s="1"/>
  <c r="U563" i="15" s="1"/>
  <c r="AB563" i="15"/>
  <c r="AD563" i="15"/>
  <c r="AE563" i="15"/>
  <c r="AC563" i="15" s="1"/>
  <c r="AI563" i="15"/>
  <c r="B564" i="15"/>
  <c r="A564" i="15" s="1"/>
  <c r="G564" i="15"/>
  <c r="H564" i="15"/>
  <c r="I564" i="15"/>
  <c r="O564" i="15"/>
  <c r="X564" i="15"/>
  <c r="Z564" i="15" s="1"/>
  <c r="W564" i="15" s="1"/>
  <c r="V564" i="15" s="1"/>
  <c r="AB564" i="15"/>
  <c r="AD564" i="15"/>
  <c r="AE564" i="15"/>
  <c r="AC564" i="15" s="1"/>
  <c r="AI564" i="15"/>
  <c r="B567" i="15"/>
  <c r="A567" i="15" s="1"/>
  <c r="G567" i="15"/>
  <c r="H567" i="15"/>
  <c r="I567" i="15"/>
  <c r="O567" i="15"/>
  <c r="X567" i="15"/>
  <c r="Z567" i="15" s="1"/>
  <c r="W567" i="15" s="1"/>
  <c r="V567" i="15" s="1"/>
  <c r="AB567" i="15"/>
  <c r="AD567" i="15"/>
  <c r="AE567" i="15"/>
  <c r="AC567" i="15" s="1"/>
  <c r="AI567" i="15"/>
  <c r="B569" i="15"/>
  <c r="A569" i="15" s="1"/>
  <c r="C569" i="15"/>
  <c r="G569" i="15"/>
  <c r="H569" i="15"/>
  <c r="AB569" i="15"/>
  <c r="AD569" i="15"/>
  <c r="AI569" i="15"/>
  <c r="B570" i="15"/>
  <c r="A570" i="15" s="1"/>
  <c r="C570" i="15"/>
  <c r="G570" i="15"/>
  <c r="H570" i="15"/>
  <c r="AB570" i="15"/>
  <c r="AD570" i="15"/>
  <c r="AI570" i="15"/>
  <c r="B571" i="15"/>
  <c r="A571" i="15" s="1"/>
  <c r="C571" i="15"/>
  <c r="G571" i="15"/>
  <c r="H571" i="15"/>
  <c r="AB571" i="15"/>
  <c r="AD571" i="15"/>
  <c r="AI571" i="15"/>
  <c r="B572" i="15"/>
  <c r="A572" i="15" s="1"/>
  <c r="C572" i="15"/>
  <c r="G572" i="15"/>
  <c r="H572" i="15"/>
  <c r="AB572" i="15"/>
  <c r="AD572" i="15"/>
  <c r="AI572" i="15"/>
  <c r="B573" i="15"/>
  <c r="A573" i="15" s="1"/>
  <c r="C573" i="15"/>
  <c r="G573" i="15"/>
  <c r="H573" i="15"/>
  <c r="AB573" i="15"/>
  <c r="AD573" i="15"/>
  <c r="AI573" i="15"/>
  <c r="B574" i="15"/>
  <c r="A574" i="15" s="1"/>
  <c r="C574" i="15"/>
  <c r="G574" i="15"/>
  <c r="H574" i="15"/>
  <c r="AB574" i="15"/>
  <c r="AD574" i="15"/>
  <c r="AI574" i="15"/>
  <c r="B575" i="15"/>
  <c r="A575" i="15" s="1"/>
  <c r="C575" i="15"/>
  <c r="G575" i="15"/>
  <c r="H575" i="15"/>
  <c r="AB575" i="15"/>
  <c r="AD575" i="15"/>
  <c r="AI575" i="15"/>
  <c r="B576" i="15"/>
  <c r="A576" i="15" s="1"/>
  <c r="C576" i="15"/>
  <c r="G576" i="15"/>
  <c r="H576" i="15"/>
  <c r="AB576" i="15"/>
  <c r="AD576" i="15"/>
  <c r="AI576" i="15"/>
  <c r="B577" i="15"/>
  <c r="A577" i="15" s="1"/>
  <c r="C577" i="15"/>
  <c r="G577" i="15"/>
  <c r="H577" i="15"/>
  <c r="AB577" i="15"/>
  <c r="AD577" i="15"/>
  <c r="AI577" i="15"/>
  <c r="B578" i="15"/>
  <c r="A578" i="15" s="1"/>
  <c r="C578" i="15"/>
  <c r="G578" i="15"/>
  <c r="H578" i="15"/>
  <c r="AB578" i="15"/>
  <c r="AD578" i="15"/>
  <c r="AI578" i="15"/>
  <c r="B579" i="15"/>
  <c r="A579" i="15" s="1"/>
  <c r="C579" i="15"/>
  <c r="G579" i="15"/>
  <c r="H579" i="15"/>
  <c r="AB579" i="15"/>
  <c r="AD579" i="15"/>
  <c r="AI579" i="15"/>
  <c r="B580" i="15"/>
  <c r="A580" i="15" s="1"/>
  <c r="C580" i="15"/>
  <c r="G580" i="15"/>
  <c r="H580" i="15"/>
  <c r="AB580" i="15"/>
  <c r="AD580" i="15"/>
  <c r="AI580" i="15"/>
  <c r="B581" i="15"/>
  <c r="A581" i="15" s="1"/>
  <c r="C581" i="15"/>
  <c r="G581" i="15"/>
  <c r="H581" i="15"/>
  <c r="AB581" i="15"/>
  <c r="AD581" i="15"/>
  <c r="AI581" i="15"/>
  <c r="B582" i="15"/>
  <c r="A582" i="15" s="1"/>
  <c r="C582" i="15"/>
  <c r="G582" i="15"/>
  <c r="H582" i="15"/>
  <c r="AB582" i="15"/>
  <c r="AD582" i="15"/>
  <c r="AI582" i="15"/>
  <c r="B583" i="15"/>
  <c r="A583" i="15" s="1"/>
  <c r="C583" i="15"/>
  <c r="G583" i="15"/>
  <c r="H583" i="15"/>
  <c r="AB583" i="15"/>
  <c r="AD583" i="15"/>
  <c r="AI583" i="15"/>
  <c r="B584" i="15"/>
  <c r="A584" i="15" s="1"/>
  <c r="C584" i="15"/>
  <c r="G584" i="15"/>
  <c r="H584" i="15"/>
  <c r="AB584" i="15"/>
  <c r="AD584" i="15"/>
  <c r="AI584" i="15"/>
  <c r="B585" i="15"/>
  <c r="A585" i="15" s="1"/>
  <c r="C585" i="15"/>
  <c r="G585" i="15"/>
  <c r="H585" i="15"/>
  <c r="AB585" i="15"/>
  <c r="AD585" i="15"/>
  <c r="AI585" i="15"/>
  <c r="B586" i="15"/>
  <c r="A586" i="15" s="1"/>
  <c r="C586" i="15"/>
  <c r="G586" i="15"/>
  <c r="H586" i="15"/>
  <c r="AB586" i="15"/>
  <c r="AD586" i="15"/>
  <c r="AI586" i="15"/>
  <c r="B587" i="15"/>
  <c r="A587" i="15" s="1"/>
  <c r="C587" i="15"/>
  <c r="G587" i="15"/>
  <c r="H587" i="15"/>
  <c r="AB587" i="15"/>
  <c r="AD587" i="15"/>
  <c r="AI587" i="15"/>
  <c r="B588" i="15"/>
  <c r="A588" i="15" s="1"/>
  <c r="C588" i="15"/>
  <c r="G588" i="15"/>
  <c r="H588" i="15"/>
  <c r="AB588" i="15"/>
  <c r="AD588" i="15"/>
  <c r="AI588" i="15"/>
  <c r="B589" i="15"/>
  <c r="A589" i="15" s="1"/>
  <c r="C589" i="15"/>
  <c r="G589" i="15"/>
  <c r="H589" i="15"/>
  <c r="AB589" i="15"/>
  <c r="AD589" i="15"/>
  <c r="AI589" i="15"/>
  <c r="B590" i="15"/>
  <c r="A590" i="15" s="1"/>
  <c r="C590" i="15"/>
  <c r="G590" i="15"/>
  <c r="H590" i="15"/>
  <c r="AB590" i="15"/>
  <c r="AD590" i="15"/>
  <c r="AI590" i="15"/>
  <c r="B591" i="15"/>
  <c r="A591" i="15" s="1"/>
  <c r="C591" i="15"/>
  <c r="G591" i="15"/>
  <c r="H591" i="15"/>
  <c r="AB591" i="15"/>
  <c r="AD591" i="15"/>
  <c r="AI591" i="15"/>
  <c r="B592" i="15"/>
  <c r="A592" i="15" s="1"/>
  <c r="C592" i="15"/>
  <c r="G592" i="15"/>
  <c r="H592" i="15"/>
  <c r="AB592" i="15"/>
  <c r="AD592" i="15"/>
  <c r="AI592" i="15"/>
  <c r="B593" i="15"/>
  <c r="A593" i="15" s="1"/>
  <c r="C593" i="15"/>
  <c r="G593" i="15"/>
  <c r="H593" i="15"/>
  <c r="AB593" i="15"/>
  <c r="AD593" i="15"/>
  <c r="AI593" i="15"/>
  <c r="B594" i="15"/>
  <c r="A594" i="15" s="1"/>
  <c r="C594" i="15"/>
  <c r="G594" i="15"/>
  <c r="H594" i="15"/>
  <c r="AB594" i="15"/>
  <c r="AD594" i="15"/>
  <c r="AI594" i="15"/>
  <c r="B595" i="15"/>
  <c r="A595" i="15" s="1"/>
  <c r="C595" i="15"/>
  <c r="G595" i="15"/>
  <c r="H595" i="15"/>
  <c r="X595" i="15"/>
  <c r="Z595" i="15" s="1"/>
  <c r="AB595" i="15"/>
  <c r="AD595" i="15"/>
  <c r="AI595" i="15"/>
  <c r="B596" i="15"/>
  <c r="A596" i="15" s="1"/>
  <c r="C596" i="15"/>
  <c r="G596" i="15"/>
  <c r="H596" i="15"/>
  <c r="X596" i="15"/>
  <c r="Z596" i="15" s="1"/>
  <c r="W596" i="15" s="1"/>
  <c r="AB596" i="15"/>
  <c r="AD596" i="15"/>
  <c r="AI596" i="15"/>
  <c r="B597" i="15"/>
  <c r="A597" i="15" s="1"/>
  <c r="C597" i="15"/>
  <c r="G597" i="15"/>
  <c r="H597" i="15"/>
  <c r="X597" i="15"/>
  <c r="Z597" i="15" s="1"/>
  <c r="W597" i="15" s="1"/>
  <c r="AB597" i="15"/>
  <c r="AD597" i="15"/>
  <c r="AI597" i="15"/>
  <c r="B606" i="15"/>
  <c r="A606" i="15" s="1"/>
  <c r="C606" i="15"/>
  <c r="G606" i="15"/>
  <c r="H606" i="15"/>
  <c r="X606" i="15"/>
  <c r="Z606" i="15" s="1"/>
  <c r="W606" i="15" s="1"/>
  <c r="AB606" i="15"/>
  <c r="AD606" i="15"/>
  <c r="AI606" i="15"/>
  <c r="B607" i="15"/>
  <c r="A607" i="15" s="1"/>
  <c r="C607" i="15"/>
  <c r="G607" i="15"/>
  <c r="H607" i="15"/>
  <c r="AB607" i="15"/>
  <c r="AD607" i="15"/>
  <c r="AI607" i="15"/>
  <c r="B608" i="15"/>
  <c r="A608" i="15" s="1"/>
  <c r="C608" i="15"/>
  <c r="G608" i="15"/>
  <c r="H608" i="15"/>
  <c r="AB608" i="15"/>
  <c r="AD608" i="15"/>
  <c r="AI608" i="15"/>
  <c r="B609" i="15"/>
  <c r="A609" i="15" s="1"/>
  <c r="C609" i="15"/>
  <c r="G609" i="15"/>
  <c r="H609" i="15"/>
  <c r="AB609" i="15"/>
  <c r="AD609" i="15"/>
  <c r="AI609" i="15"/>
  <c r="B610" i="15"/>
  <c r="A610" i="15" s="1"/>
  <c r="C610" i="15"/>
  <c r="G610" i="15"/>
  <c r="H610" i="15"/>
  <c r="AB610" i="15"/>
  <c r="AD610" i="15"/>
  <c r="AI610" i="15"/>
  <c r="B611" i="15"/>
  <c r="A611" i="15" s="1"/>
  <c r="C611" i="15"/>
  <c r="G611" i="15"/>
  <c r="H611" i="15"/>
  <c r="AB611" i="15"/>
  <c r="AD611" i="15"/>
  <c r="AI611" i="15"/>
  <c r="B612" i="15"/>
  <c r="A612" i="15" s="1"/>
  <c r="C612" i="15"/>
  <c r="G612" i="15"/>
  <c r="H612" i="15"/>
  <c r="AB612" i="15"/>
  <c r="AD612" i="15"/>
  <c r="AI612" i="15"/>
  <c r="B613" i="15"/>
  <c r="A613" i="15" s="1"/>
  <c r="C613" i="15"/>
  <c r="G613" i="15"/>
  <c r="H613" i="15"/>
  <c r="AB613" i="15"/>
  <c r="AD613" i="15"/>
  <c r="AI613" i="15"/>
  <c r="B614" i="15"/>
  <c r="A614" i="15" s="1"/>
  <c r="C614" i="15"/>
  <c r="G614" i="15"/>
  <c r="H614" i="15"/>
  <c r="X614" i="15"/>
  <c r="Z614" i="15" s="1"/>
  <c r="W614" i="15" s="1"/>
  <c r="AB614" i="15"/>
  <c r="AD614" i="15"/>
  <c r="AI614" i="15"/>
  <c r="B615" i="15"/>
  <c r="A615" i="15" s="1"/>
  <c r="C615" i="15"/>
  <c r="G615" i="15"/>
  <c r="H615" i="15"/>
  <c r="X615" i="15"/>
  <c r="Z615" i="15" s="1"/>
  <c r="W615" i="15" s="1"/>
  <c r="AB615" i="15"/>
  <c r="AD615" i="15"/>
  <c r="AI615" i="15"/>
  <c r="B616" i="15"/>
  <c r="A616" i="15" s="1"/>
  <c r="C616" i="15"/>
  <c r="G616" i="15"/>
  <c r="H616" i="15"/>
  <c r="X616" i="15"/>
  <c r="Z616" i="15" s="1"/>
  <c r="W616" i="15" s="1"/>
  <c r="AB616" i="15"/>
  <c r="AD616" i="15"/>
  <c r="AI616" i="15"/>
  <c r="B617" i="15"/>
  <c r="A617" i="15" s="1"/>
  <c r="C617" i="15"/>
  <c r="G617" i="15"/>
  <c r="H617" i="15"/>
  <c r="X617" i="15"/>
  <c r="Z617" i="15" s="1"/>
  <c r="W617" i="15" s="1"/>
  <c r="AB617" i="15"/>
  <c r="AD617" i="15"/>
  <c r="AI617" i="15"/>
  <c r="B618" i="15"/>
  <c r="A618" i="15" s="1"/>
  <c r="C618" i="15"/>
  <c r="G618" i="15"/>
  <c r="H618" i="15"/>
  <c r="X618" i="15"/>
  <c r="Z618" i="15" s="1"/>
  <c r="W618" i="15" s="1"/>
  <c r="AB618" i="15"/>
  <c r="AD618" i="15"/>
  <c r="AI618" i="15"/>
  <c r="B619" i="15"/>
  <c r="A619" i="15" s="1"/>
  <c r="C619" i="15"/>
  <c r="G619" i="15"/>
  <c r="H619" i="15"/>
  <c r="X619" i="15"/>
  <c r="Z619" i="15" s="1"/>
  <c r="W619" i="15" s="1"/>
  <c r="AB619" i="15"/>
  <c r="AD619" i="15"/>
  <c r="AI619" i="15"/>
  <c r="B620" i="15"/>
  <c r="A620" i="15" s="1"/>
  <c r="C620" i="15"/>
  <c r="G620" i="15"/>
  <c r="H620" i="15"/>
  <c r="X620" i="15"/>
  <c r="Z620" i="15" s="1"/>
  <c r="W620" i="15" s="1"/>
  <c r="AB620" i="15"/>
  <c r="AD620" i="15"/>
  <c r="AI620" i="15"/>
  <c r="B621" i="15"/>
  <c r="A621" i="15" s="1"/>
  <c r="C621" i="15"/>
  <c r="G621" i="15"/>
  <c r="H621" i="15"/>
  <c r="X621" i="15"/>
  <c r="Z621" i="15" s="1"/>
  <c r="W621" i="15" s="1"/>
  <c r="AB621" i="15"/>
  <c r="AD621" i="15"/>
  <c r="AI621" i="15"/>
  <c r="B623" i="15"/>
  <c r="A623" i="15" s="1"/>
  <c r="C623" i="15"/>
  <c r="G623" i="15"/>
  <c r="H623" i="15"/>
  <c r="X623" i="15"/>
  <c r="Z623" i="15" s="1"/>
  <c r="W623" i="15" s="1"/>
  <c r="AB623" i="15"/>
  <c r="AD623" i="15"/>
  <c r="AI623" i="15"/>
  <c r="B625" i="15"/>
  <c r="A625" i="15" s="1"/>
  <c r="C625" i="15"/>
  <c r="G625" i="15"/>
  <c r="H625" i="15"/>
  <c r="X625" i="15"/>
  <c r="Z625" i="15" s="1"/>
  <c r="W625" i="15" s="1"/>
  <c r="AB625" i="15"/>
  <c r="AD625" i="15"/>
  <c r="AI625" i="15"/>
  <c r="B626" i="15"/>
  <c r="A626" i="15" s="1"/>
  <c r="C626" i="15"/>
  <c r="G626" i="15"/>
  <c r="H626" i="15"/>
  <c r="X626" i="15"/>
  <c r="Z626" i="15" s="1"/>
  <c r="W626" i="15" s="1"/>
  <c r="AB626" i="15"/>
  <c r="AD626" i="15"/>
  <c r="AI626" i="15"/>
  <c r="B627" i="15"/>
  <c r="A627" i="15" s="1"/>
  <c r="C627" i="15"/>
  <c r="G627" i="15"/>
  <c r="H627" i="15"/>
  <c r="X627" i="15"/>
  <c r="Z627" i="15" s="1"/>
  <c r="AB627" i="15"/>
  <c r="AD627" i="15"/>
  <c r="AI627" i="15"/>
  <c r="B628" i="15"/>
  <c r="A628" i="15" s="1"/>
  <c r="C628" i="15"/>
  <c r="G628" i="15"/>
  <c r="H628" i="15"/>
  <c r="X628" i="15"/>
  <c r="Z628" i="15" s="1"/>
  <c r="AB628" i="15"/>
  <c r="AD628" i="15"/>
  <c r="AI628" i="15"/>
  <c r="B629" i="15"/>
  <c r="A629" i="15" s="1"/>
  <c r="C629" i="15"/>
  <c r="G629" i="15"/>
  <c r="H629" i="15"/>
  <c r="X629" i="15"/>
  <c r="Z629" i="15" s="1"/>
  <c r="AB629" i="15"/>
  <c r="AD629" i="15"/>
  <c r="AI629" i="15"/>
  <c r="B630" i="15"/>
  <c r="A630" i="15" s="1"/>
  <c r="C630" i="15"/>
  <c r="G630" i="15"/>
  <c r="H630" i="15"/>
  <c r="X630" i="15"/>
  <c r="Z630" i="15" s="1"/>
  <c r="AB630" i="15"/>
  <c r="AD630" i="15"/>
  <c r="AI630" i="15"/>
  <c r="B631" i="15"/>
  <c r="A631" i="15" s="1"/>
  <c r="C631" i="15"/>
  <c r="G631" i="15"/>
  <c r="H631" i="15"/>
  <c r="X631" i="15"/>
  <c r="Z631" i="15" s="1"/>
  <c r="AB631" i="15"/>
  <c r="AD631" i="15"/>
  <c r="AI631" i="15"/>
  <c r="B634" i="15"/>
  <c r="A634" i="15" s="1"/>
  <c r="C634" i="15"/>
  <c r="G634" i="15"/>
  <c r="H634" i="15"/>
  <c r="X634" i="15"/>
  <c r="Z634" i="15" s="1"/>
  <c r="AB634" i="15"/>
  <c r="AD634" i="15"/>
  <c r="AI634" i="15"/>
  <c r="B635" i="15"/>
  <c r="A635" i="15" s="1"/>
  <c r="C635" i="15"/>
  <c r="G635" i="15"/>
  <c r="H635" i="15"/>
  <c r="X635" i="15"/>
  <c r="Z635" i="15" s="1"/>
  <c r="AB635" i="15"/>
  <c r="AD635" i="15"/>
  <c r="AI635" i="15"/>
  <c r="B636" i="15"/>
  <c r="A636" i="15" s="1"/>
  <c r="C636" i="15"/>
  <c r="G636" i="15"/>
  <c r="H636" i="15"/>
  <c r="X636" i="15"/>
  <c r="Z636" i="15" s="1"/>
  <c r="W636" i="15" s="1"/>
  <c r="AD636" i="15"/>
  <c r="AI636" i="15"/>
  <c r="B637" i="15"/>
  <c r="A637" i="15" s="1"/>
  <c r="C637" i="15"/>
  <c r="G637" i="15"/>
  <c r="H637" i="15"/>
  <c r="X637" i="15"/>
  <c r="Z637" i="15" s="1"/>
  <c r="W637" i="15" s="1"/>
  <c r="AB637" i="15"/>
  <c r="AD637" i="15"/>
  <c r="AI637" i="15"/>
  <c r="B638" i="15"/>
  <c r="A638" i="15" s="1"/>
  <c r="C638" i="15"/>
  <c r="G638" i="15"/>
  <c r="H638" i="15"/>
  <c r="X638" i="15"/>
  <c r="Z638" i="15" s="1"/>
  <c r="W638" i="15" s="1"/>
  <c r="AB638" i="15"/>
  <c r="AD638" i="15"/>
  <c r="AI638" i="15"/>
  <c r="B639" i="15"/>
  <c r="A639" i="15" s="1"/>
  <c r="C639" i="15"/>
  <c r="G639" i="15"/>
  <c r="H639" i="15"/>
  <c r="X639" i="15"/>
  <c r="Z639" i="15" s="1"/>
  <c r="W639" i="15" s="1"/>
  <c r="AB639" i="15"/>
  <c r="AD639" i="15"/>
  <c r="AI639" i="15"/>
  <c r="B640" i="15"/>
  <c r="A640" i="15" s="1"/>
  <c r="C640" i="15"/>
  <c r="G640" i="15"/>
  <c r="H640" i="15"/>
  <c r="X640" i="15"/>
  <c r="Z640" i="15" s="1"/>
  <c r="W640" i="15" s="1"/>
  <c r="AB640" i="15"/>
  <c r="AD640" i="15"/>
  <c r="AI640" i="15"/>
  <c r="B641" i="15"/>
  <c r="A641" i="15" s="1"/>
  <c r="C641" i="15"/>
  <c r="G641" i="15"/>
  <c r="H641" i="15"/>
  <c r="X641" i="15"/>
  <c r="Z641" i="15" s="1"/>
  <c r="W641" i="15" s="1"/>
  <c r="AB641" i="15"/>
  <c r="AD641" i="15"/>
  <c r="AI641" i="15"/>
  <c r="B643" i="15"/>
  <c r="A643" i="15" s="1"/>
  <c r="C643" i="15"/>
  <c r="G643" i="15"/>
  <c r="H643" i="15"/>
  <c r="X643" i="15"/>
  <c r="Z643" i="15" s="1"/>
  <c r="W643" i="15" s="1"/>
  <c r="AB643" i="15"/>
  <c r="AD643" i="15"/>
  <c r="AI643" i="15"/>
  <c r="B644" i="15"/>
  <c r="A644" i="15" s="1"/>
  <c r="C644" i="15"/>
  <c r="G644" i="15"/>
  <c r="H644" i="15"/>
  <c r="X644" i="15"/>
  <c r="Z644" i="15" s="1"/>
  <c r="W644" i="15" s="1"/>
  <c r="AB644" i="15"/>
  <c r="AD644" i="15"/>
  <c r="AI644" i="15"/>
  <c r="B645" i="15"/>
  <c r="A645" i="15" s="1"/>
  <c r="C645" i="15"/>
  <c r="G645" i="15"/>
  <c r="H645" i="15"/>
  <c r="X645" i="15"/>
  <c r="Z645" i="15" s="1"/>
  <c r="W645" i="15" s="1"/>
  <c r="AB645" i="15"/>
  <c r="AD645" i="15"/>
  <c r="AI645" i="15"/>
  <c r="B646" i="15"/>
  <c r="A646" i="15" s="1"/>
  <c r="C646" i="15"/>
  <c r="D646" i="15"/>
  <c r="G646" i="15"/>
  <c r="H646" i="15"/>
  <c r="J646" i="15"/>
  <c r="P646" i="15"/>
  <c r="X646" i="15"/>
  <c r="Z646" i="15" s="1"/>
  <c r="W646" i="15" s="1"/>
  <c r="V646" i="15" s="1"/>
  <c r="AB646" i="15"/>
  <c r="AD646" i="15"/>
  <c r="AI646" i="15"/>
  <c r="B648" i="15"/>
  <c r="A648" i="15" s="1"/>
  <c r="C648" i="15"/>
  <c r="G648" i="15"/>
  <c r="H648" i="15"/>
  <c r="X648" i="15"/>
  <c r="Z648" i="15" s="1"/>
  <c r="AB648" i="15"/>
  <c r="AD648" i="15"/>
  <c r="AI648" i="15"/>
  <c r="B649" i="15"/>
  <c r="A649" i="15" s="1"/>
  <c r="C649" i="15"/>
  <c r="G649" i="15"/>
  <c r="H649" i="15"/>
  <c r="X649" i="15"/>
  <c r="Z649" i="15" s="1"/>
  <c r="AD649" i="15"/>
  <c r="AI649" i="15"/>
  <c r="B650" i="15"/>
  <c r="A650" i="15" s="1"/>
  <c r="C650" i="15"/>
  <c r="G650" i="15"/>
  <c r="H650" i="15"/>
  <c r="X650" i="15"/>
  <c r="Z650" i="15" s="1"/>
  <c r="AB650" i="15"/>
  <c r="AD650" i="15"/>
  <c r="AI650" i="15"/>
  <c r="B651" i="15"/>
  <c r="A651" i="15" s="1"/>
  <c r="C651" i="15"/>
  <c r="G651" i="15"/>
  <c r="H651" i="15"/>
  <c r="X651" i="15"/>
  <c r="Z651" i="15" s="1"/>
  <c r="AB651" i="15"/>
  <c r="AD651" i="15"/>
  <c r="AI651" i="15"/>
  <c r="B652" i="15"/>
  <c r="A652" i="15" s="1"/>
  <c r="C652" i="15"/>
  <c r="G652" i="15"/>
  <c r="H652" i="15"/>
  <c r="X652" i="15"/>
  <c r="Z652" i="15" s="1"/>
  <c r="AB652" i="15"/>
  <c r="AD652" i="15"/>
  <c r="AI652" i="15"/>
  <c r="B653" i="15"/>
  <c r="A653" i="15" s="1"/>
  <c r="C653" i="15"/>
  <c r="G653" i="15"/>
  <c r="H653" i="15"/>
  <c r="J653" i="15"/>
  <c r="P653" i="15"/>
  <c r="X653" i="15"/>
  <c r="Z653" i="15" s="1"/>
  <c r="AB653" i="15"/>
  <c r="AD653" i="15"/>
  <c r="AI653" i="15"/>
  <c r="B654" i="15"/>
  <c r="A654" i="15" s="1"/>
  <c r="C654" i="15"/>
  <c r="G654" i="15"/>
  <c r="H654" i="15"/>
  <c r="J654" i="15"/>
  <c r="P654" i="15"/>
  <c r="X654" i="15"/>
  <c r="Z654" i="15" s="1"/>
  <c r="AB654" i="15"/>
  <c r="AD654" i="15"/>
  <c r="AI654" i="15"/>
  <c r="B655" i="15"/>
  <c r="A655" i="15" s="1"/>
  <c r="C655" i="15"/>
  <c r="G655" i="15"/>
  <c r="H655" i="15"/>
  <c r="J655" i="15"/>
  <c r="P655" i="15"/>
  <c r="X655" i="15"/>
  <c r="Z655" i="15" s="1"/>
  <c r="AB655" i="15"/>
  <c r="AD655" i="15"/>
  <c r="AI655" i="15"/>
  <c r="B656" i="15"/>
  <c r="A656" i="15" s="1"/>
  <c r="C656" i="15"/>
  <c r="G656" i="15"/>
  <c r="H656" i="15"/>
  <c r="J656" i="15"/>
  <c r="P656" i="15"/>
  <c r="X656" i="15"/>
  <c r="Z656" i="15" s="1"/>
  <c r="AB656" i="15"/>
  <c r="AD656" i="15"/>
  <c r="AI656" i="15"/>
  <c r="B657" i="15"/>
  <c r="A657" i="15" s="1"/>
  <c r="C657" i="15"/>
  <c r="G657" i="15"/>
  <c r="H657" i="15"/>
  <c r="J657" i="15"/>
  <c r="P657" i="15"/>
  <c r="X657" i="15"/>
  <c r="Z657" i="15" s="1"/>
  <c r="AB657" i="15"/>
  <c r="AD657" i="15"/>
  <c r="AI657" i="15"/>
  <c r="B658" i="15"/>
  <c r="A658" i="15" s="1"/>
  <c r="C658" i="15"/>
  <c r="D658" i="15"/>
  <c r="G658" i="15"/>
  <c r="H658" i="15"/>
  <c r="J658" i="15"/>
  <c r="P658" i="15"/>
  <c r="X658" i="15"/>
  <c r="Z658" i="15" s="1"/>
  <c r="AB658" i="15"/>
  <c r="AD658" i="15"/>
  <c r="AI658" i="15"/>
  <c r="B659" i="15"/>
  <c r="A659" i="15" s="1"/>
  <c r="C659" i="15"/>
  <c r="D659" i="15"/>
  <c r="G659" i="15"/>
  <c r="H659" i="15"/>
  <c r="J659" i="15"/>
  <c r="P659" i="15"/>
  <c r="X659" i="15"/>
  <c r="Z659" i="15" s="1"/>
  <c r="AB659" i="15"/>
  <c r="AD659" i="15"/>
  <c r="AI659" i="15"/>
  <c r="B662" i="15"/>
  <c r="A662" i="15" s="1"/>
  <c r="C662" i="15"/>
  <c r="D662" i="15"/>
  <c r="G662" i="15"/>
  <c r="H662" i="15"/>
  <c r="J662" i="15"/>
  <c r="P662" i="15"/>
  <c r="X662" i="15"/>
  <c r="Z662" i="15" s="1"/>
  <c r="AB662" i="15"/>
  <c r="AD662" i="15"/>
  <c r="AI662" i="15"/>
  <c r="B663" i="15"/>
  <c r="A663" i="15" s="1"/>
  <c r="C663" i="15"/>
  <c r="D663" i="15"/>
  <c r="G663" i="15"/>
  <c r="H663" i="15"/>
  <c r="J663" i="15"/>
  <c r="P663" i="15"/>
  <c r="X663" i="15"/>
  <c r="Z663" i="15" s="1"/>
  <c r="AB663" i="15"/>
  <c r="AD663" i="15"/>
  <c r="AI663" i="15"/>
  <c r="B664" i="15"/>
  <c r="A664" i="15" s="1"/>
  <c r="C664" i="15"/>
  <c r="D664" i="15"/>
  <c r="G664" i="15"/>
  <c r="H664" i="15"/>
  <c r="J664" i="15"/>
  <c r="P664" i="15"/>
  <c r="X664" i="15"/>
  <c r="Z664" i="15" s="1"/>
  <c r="AB664" i="15"/>
  <c r="AD664" i="15"/>
  <c r="AI664" i="15"/>
  <c r="B665" i="15"/>
  <c r="A665" i="15" s="1"/>
  <c r="C665" i="15"/>
  <c r="D665" i="15"/>
  <c r="G665" i="15"/>
  <c r="H665" i="15"/>
  <c r="J665" i="15"/>
  <c r="P665" i="15"/>
  <c r="X665" i="15"/>
  <c r="Z665" i="15" s="1"/>
  <c r="AB665" i="15"/>
  <c r="AD665" i="15"/>
  <c r="AI665" i="15"/>
  <c r="B666" i="15"/>
  <c r="A666" i="15" s="1"/>
  <c r="C666" i="15"/>
  <c r="G666" i="15"/>
  <c r="H666" i="15"/>
  <c r="J666" i="15"/>
  <c r="P666" i="15"/>
  <c r="X666" i="15"/>
  <c r="Z666" i="15" s="1"/>
  <c r="AD666" i="15"/>
  <c r="AI666" i="15"/>
  <c r="B667" i="15"/>
  <c r="A667" i="15" s="1"/>
  <c r="C667" i="15"/>
  <c r="G667" i="15"/>
  <c r="H667" i="15"/>
  <c r="J667" i="15"/>
  <c r="P667" i="15"/>
  <c r="X667" i="15"/>
  <c r="Z667" i="15" s="1"/>
  <c r="AD667" i="15"/>
  <c r="AI667" i="15"/>
  <c r="B668" i="15"/>
  <c r="A668" i="15" s="1"/>
  <c r="C668" i="15"/>
  <c r="G668" i="15"/>
  <c r="H668" i="15"/>
  <c r="J668" i="15"/>
  <c r="P668" i="15"/>
  <c r="X668" i="15"/>
  <c r="Z668" i="15" s="1"/>
  <c r="W668" i="15" s="1"/>
  <c r="V668" i="15" s="1"/>
  <c r="AB668" i="15"/>
  <c r="AD668" i="15"/>
  <c r="AI668" i="15"/>
  <c r="B669" i="15"/>
  <c r="A669" i="15" s="1"/>
  <c r="C669" i="15"/>
  <c r="G669" i="15"/>
  <c r="H669" i="15"/>
  <c r="J669" i="15"/>
  <c r="P669" i="15"/>
  <c r="X669" i="15"/>
  <c r="Z669" i="15" s="1"/>
  <c r="W669" i="15" s="1"/>
  <c r="V669" i="15" s="1"/>
  <c r="AB669" i="15"/>
  <c r="AD669" i="15"/>
  <c r="AI669" i="15"/>
  <c r="B676" i="15"/>
  <c r="A676" i="15" s="1"/>
  <c r="C676" i="15"/>
  <c r="G676" i="15"/>
  <c r="H676" i="15"/>
  <c r="X676" i="15"/>
  <c r="Z676" i="15" s="1"/>
  <c r="W676" i="15" s="1"/>
  <c r="AB676" i="15"/>
  <c r="AD676" i="15"/>
  <c r="AI676" i="15"/>
  <c r="B677" i="15"/>
  <c r="A677" i="15" s="1"/>
  <c r="C677" i="15"/>
  <c r="G677" i="15"/>
  <c r="H677" i="15"/>
  <c r="X677" i="15"/>
  <c r="Z677" i="15" s="1"/>
  <c r="W677" i="15" s="1"/>
  <c r="AB677" i="15"/>
  <c r="AD677" i="15"/>
  <c r="AI677" i="15"/>
  <c r="B678" i="15"/>
  <c r="A678" i="15" s="1"/>
  <c r="C678" i="15"/>
  <c r="G678" i="15"/>
  <c r="H678" i="15"/>
  <c r="X678" i="15"/>
  <c r="Z678" i="15" s="1"/>
  <c r="W678" i="15" s="1"/>
  <c r="AB678" i="15"/>
  <c r="AD678" i="15"/>
  <c r="AI678" i="15"/>
  <c r="B679" i="15"/>
  <c r="A679" i="15" s="1"/>
  <c r="C679" i="15"/>
  <c r="G679" i="15"/>
  <c r="H679" i="15"/>
  <c r="X679" i="15"/>
  <c r="Z679" i="15" s="1"/>
  <c r="W679" i="15" s="1"/>
  <c r="AB679" i="15"/>
  <c r="AD679" i="15"/>
  <c r="AI679" i="15"/>
  <c r="B680" i="15"/>
  <c r="A680" i="15" s="1"/>
  <c r="C680" i="15"/>
  <c r="G680" i="15"/>
  <c r="H680" i="15"/>
  <c r="X680" i="15"/>
  <c r="Z680" i="15" s="1"/>
  <c r="W680" i="15" s="1"/>
  <c r="AB680" i="15"/>
  <c r="AD680" i="15"/>
  <c r="AI680" i="15"/>
  <c r="B681" i="15"/>
  <c r="A681" i="15" s="1"/>
  <c r="C681" i="15"/>
  <c r="G681" i="15"/>
  <c r="H681" i="15"/>
  <c r="X681" i="15"/>
  <c r="Z681" i="15" s="1"/>
  <c r="W681" i="15" s="1"/>
  <c r="AB681" i="15"/>
  <c r="AD681" i="15"/>
  <c r="AI681" i="15"/>
  <c r="B682" i="15"/>
  <c r="A682" i="15" s="1"/>
  <c r="C682" i="15"/>
  <c r="G682" i="15"/>
  <c r="H682" i="15"/>
  <c r="X682" i="15"/>
  <c r="Z682" i="15" s="1"/>
  <c r="W682" i="15" s="1"/>
  <c r="AB682" i="15"/>
  <c r="AD682" i="15"/>
  <c r="AI682" i="15"/>
  <c r="B683" i="15"/>
  <c r="A683" i="15" s="1"/>
  <c r="C683" i="15"/>
  <c r="G683" i="15"/>
  <c r="H683" i="15"/>
  <c r="X683" i="15"/>
  <c r="Z683" i="15" s="1"/>
  <c r="W683" i="15" s="1"/>
  <c r="AB683" i="15"/>
  <c r="AD683" i="15"/>
  <c r="AI683" i="15"/>
  <c r="B684" i="15"/>
  <c r="A684" i="15" s="1"/>
  <c r="C684" i="15"/>
  <c r="G684" i="15"/>
  <c r="H684" i="15"/>
  <c r="X684" i="15"/>
  <c r="Z684" i="15" s="1"/>
  <c r="W684" i="15" s="1"/>
  <c r="AB684" i="15"/>
  <c r="AD684" i="15"/>
  <c r="AI684" i="15"/>
  <c r="B685" i="15"/>
  <c r="A685" i="15" s="1"/>
  <c r="C685" i="15"/>
  <c r="G685" i="15"/>
  <c r="H685" i="15"/>
  <c r="X685" i="15"/>
  <c r="Z685" i="15" s="1"/>
  <c r="W685" i="15" s="1"/>
  <c r="AB685" i="15"/>
  <c r="AD685" i="15"/>
  <c r="AI685" i="15"/>
  <c r="B686" i="15"/>
  <c r="A686" i="15" s="1"/>
  <c r="C686" i="15"/>
  <c r="G686" i="15"/>
  <c r="H686" i="15"/>
  <c r="X686" i="15"/>
  <c r="Z686" i="15" s="1"/>
  <c r="W686" i="15" s="1"/>
  <c r="AB686" i="15"/>
  <c r="AD686" i="15"/>
  <c r="AI686" i="15"/>
  <c r="B687" i="15"/>
  <c r="A687" i="15" s="1"/>
  <c r="C687" i="15"/>
  <c r="G687" i="15"/>
  <c r="H687" i="15"/>
  <c r="X687" i="15"/>
  <c r="Z687" i="15" s="1"/>
  <c r="W687" i="15" s="1"/>
  <c r="AB687" i="15"/>
  <c r="AD687" i="15"/>
  <c r="AI687" i="15"/>
  <c r="B688" i="15"/>
  <c r="A688" i="15" s="1"/>
  <c r="C688" i="15"/>
  <c r="G688" i="15"/>
  <c r="H688" i="15"/>
  <c r="X688" i="15"/>
  <c r="Z688" i="15" s="1"/>
  <c r="W688" i="15" s="1"/>
  <c r="AB688" i="15"/>
  <c r="AD688" i="15"/>
  <c r="AI688" i="15"/>
  <c r="B689" i="15"/>
  <c r="A689" i="15" s="1"/>
  <c r="C689" i="15"/>
  <c r="G689" i="15"/>
  <c r="H689" i="15"/>
  <c r="X689" i="15"/>
  <c r="Z689" i="15" s="1"/>
  <c r="W689" i="15" s="1"/>
  <c r="AB689" i="15"/>
  <c r="AD689" i="15"/>
  <c r="AI689" i="15"/>
  <c r="B690" i="15"/>
  <c r="A690" i="15" s="1"/>
  <c r="C690" i="15"/>
  <c r="G690" i="15"/>
  <c r="H690" i="15"/>
  <c r="X690" i="15"/>
  <c r="Z690" i="15" s="1"/>
  <c r="AB690" i="15"/>
  <c r="AD690" i="15"/>
  <c r="AI690" i="15"/>
  <c r="B691" i="15"/>
  <c r="A691" i="15" s="1"/>
  <c r="C691" i="15"/>
  <c r="G691" i="15"/>
  <c r="H691" i="15"/>
  <c r="X691" i="15"/>
  <c r="Z691" i="15" s="1"/>
  <c r="AB691" i="15"/>
  <c r="AD691" i="15"/>
  <c r="AI691" i="15"/>
  <c r="B692" i="15"/>
  <c r="A692" i="15" s="1"/>
  <c r="C692" i="15"/>
  <c r="G692" i="15"/>
  <c r="H692" i="15"/>
  <c r="X692" i="15"/>
  <c r="Z692" i="15" s="1"/>
  <c r="AB692" i="15"/>
  <c r="AD692" i="15"/>
  <c r="AI692" i="15"/>
  <c r="B693" i="15"/>
  <c r="A693" i="15" s="1"/>
  <c r="C693" i="15"/>
  <c r="G693" i="15"/>
  <c r="H693" i="15"/>
  <c r="X693" i="15"/>
  <c r="Z693" i="15" s="1"/>
  <c r="AB693" i="15"/>
  <c r="AD693" i="15"/>
  <c r="AI693" i="15"/>
  <c r="B694" i="15"/>
  <c r="A694" i="15" s="1"/>
  <c r="C694" i="15"/>
  <c r="G694" i="15"/>
  <c r="H694" i="15"/>
  <c r="X694" i="15"/>
  <c r="Z694" i="15" s="1"/>
  <c r="AB694" i="15"/>
  <c r="AD694" i="15"/>
  <c r="AI694" i="15"/>
  <c r="B695" i="15"/>
  <c r="A695" i="15" s="1"/>
  <c r="C695" i="15"/>
  <c r="G695" i="15"/>
  <c r="H695" i="15"/>
  <c r="X695" i="15"/>
  <c r="Z695" i="15" s="1"/>
  <c r="AB695" i="15"/>
  <c r="AD695" i="15"/>
  <c r="AI695" i="15"/>
  <c r="B696" i="15"/>
  <c r="A696" i="15" s="1"/>
  <c r="C696" i="15"/>
  <c r="G696" i="15"/>
  <c r="H696" i="15"/>
  <c r="X696" i="15"/>
  <c r="Z696" i="15" s="1"/>
  <c r="AB696" i="15"/>
  <c r="AD696" i="15"/>
  <c r="AI696" i="15"/>
  <c r="B697" i="15"/>
  <c r="A697" i="15" s="1"/>
  <c r="C697" i="15"/>
  <c r="G697" i="15"/>
  <c r="H697" i="15"/>
  <c r="X697" i="15"/>
  <c r="Z697" i="15" s="1"/>
  <c r="W697" i="15" s="1"/>
  <c r="AB697" i="15"/>
  <c r="AD697" i="15"/>
  <c r="AI697" i="15"/>
  <c r="B698" i="15"/>
  <c r="A698" i="15" s="1"/>
  <c r="C698" i="15"/>
  <c r="G698" i="15"/>
  <c r="H698" i="15"/>
  <c r="X698" i="15"/>
  <c r="Z698" i="15" s="1"/>
  <c r="W698" i="15" s="1"/>
  <c r="AB698" i="15"/>
  <c r="AD698" i="15"/>
  <c r="AI698" i="15"/>
  <c r="B699" i="15"/>
  <c r="A699" i="15" s="1"/>
  <c r="C699" i="15"/>
  <c r="G699" i="15"/>
  <c r="H699" i="15"/>
  <c r="X699" i="15"/>
  <c r="Z699" i="15" s="1"/>
  <c r="W699" i="15" s="1"/>
  <c r="AB699" i="15"/>
  <c r="AD699" i="15"/>
  <c r="AI699" i="15"/>
  <c r="B700" i="15"/>
  <c r="A700" i="15" s="1"/>
  <c r="C700" i="15"/>
  <c r="G700" i="15"/>
  <c r="H700" i="15"/>
  <c r="X700" i="15"/>
  <c r="Z700" i="15" s="1"/>
  <c r="W700" i="15" s="1"/>
  <c r="V700" i="15" s="1"/>
  <c r="AB700" i="15"/>
  <c r="AD700" i="15"/>
  <c r="AI700" i="15"/>
  <c r="B701" i="15"/>
  <c r="A701" i="15" s="1"/>
  <c r="C701" i="15"/>
  <c r="G701" i="15"/>
  <c r="H701" i="15"/>
  <c r="X701" i="15"/>
  <c r="Z701" i="15" s="1"/>
  <c r="W701" i="15" s="1"/>
  <c r="V701" i="15" s="1"/>
  <c r="AB701" i="15"/>
  <c r="AD701" i="15"/>
  <c r="AI701" i="15"/>
  <c r="B702" i="15"/>
  <c r="A702" i="15" s="1"/>
  <c r="C702" i="15"/>
  <c r="G702" i="15"/>
  <c r="H702" i="15"/>
  <c r="X702" i="15"/>
  <c r="Z702" i="15" s="1"/>
  <c r="W702" i="15" s="1"/>
  <c r="V702" i="15" s="1"/>
  <c r="AB702" i="15"/>
  <c r="AD702" i="15"/>
  <c r="AI702" i="15"/>
  <c r="B703" i="15"/>
  <c r="A703" i="15" s="1"/>
  <c r="C703" i="15"/>
  <c r="G703" i="15"/>
  <c r="H703" i="15"/>
  <c r="X703" i="15"/>
  <c r="Z703" i="15" s="1"/>
  <c r="W703" i="15" s="1"/>
  <c r="V703" i="15" s="1"/>
  <c r="AB703" i="15"/>
  <c r="AD703" i="15"/>
  <c r="AI703" i="15"/>
  <c r="B704" i="15"/>
  <c r="A704" i="15" s="1"/>
  <c r="C704" i="15"/>
  <c r="G704" i="15"/>
  <c r="H704" i="15"/>
  <c r="X704" i="15"/>
  <c r="Z704" i="15" s="1"/>
  <c r="W704" i="15" s="1"/>
  <c r="V704" i="15" s="1"/>
  <c r="AB704" i="15"/>
  <c r="AD704" i="15"/>
  <c r="AI704" i="15"/>
  <c r="B705" i="15"/>
  <c r="A705" i="15" s="1"/>
  <c r="C705" i="15"/>
  <c r="G705" i="15"/>
  <c r="H705" i="15"/>
  <c r="X705" i="15"/>
  <c r="Z705" i="15" s="1"/>
  <c r="W705" i="15" s="1"/>
  <c r="V705" i="15" s="1"/>
  <c r="AB705" i="15"/>
  <c r="AD705" i="15"/>
  <c r="AI705" i="15"/>
  <c r="B706" i="15"/>
  <c r="A706" i="15" s="1"/>
  <c r="C706" i="15"/>
  <c r="G706" i="15"/>
  <c r="H706" i="15"/>
  <c r="X706" i="15"/>
  <c r="Z706" i="15" s="1"/>
  <c r="W706" i="15" s="1"/>
  <c r="V706" i="15" s="1"/>
  <c r="AB706" i="15"/>
  <c r="AD706" i="15"/>
  <c r="AI706" i="15"/>
  <c r="B707" i="15"/>
  <c r="A707" i="15" s="1"/>
  <c r="C707" i="15"/>
  <c r="G707" i="15"/>
  <c r="H707" i="15"/>
  <c r="X707" i="15"/>
  <c r="Z707" i="15" s="1"/>
  <c r="W707" i="15" s="1"/>
  <c r="AB707" i="15"/>
  <c r="AD707" i="15"/>
  <c r="AI707" i="15"/>
  <c r="B708" i="15"/>
  <c r="A708" i="15" s="1"/>
  <c r="C708" i="15"/>
  <c r="G708" i="15"/>
  <c r="H708" i="15"/>
  <c r="X708" i="15"/>
  <c r="Z708" i="15" s="1"/>
  <c r="W708" i="15" s="1"/>
  <c r="AB708" i="15"/>
  <c r="AD708" i="15"/>
  <c r="AI708" i="15"/>
  <c r="B709" i="15"/>
  <c r="A709" i="15" s="1"/>
  <c r="C709" i="15"/>
  <c r="G709" i="15"/>
  <c r="H709" i="15"/>
  <c r="X709" i="15"/>
  <c r="Z709" i="15" s="1"/>
  <c r="W709" i="15" s="1"/>
  <c r="AB709" i="15"/>
  <c r="AD709" i="15"/>
  <c r="AI709" i="15"/>
  <c r="B710" i="15"/>
  <c r="A710" i="15" s="1"/>
  <c r="C710" i="15"/>
  <c r="G710" i="15"/>
  <c r="H710" i="15"/>
  <c r="X710" i="15"/>
  <c r="Z710" i="15" s="1"/>
  <c r="W710" i="15" s="1"/>
  <c r="AB710" i="15"/>
  <c r="AD710" i="15"/>
  <c r="AI710" i="15"/>
  <c r="B711" i="15"/>
  <c r="A711" i="15" s="1"/>
  <c r="C711" i="15"/>
  <c r="G711" i="15"/>
  <c r="H711" i="15"/>
  <c r="X711" i="15"/>
  <c r="Z711" i="15" s="1"/>
  <c r="W711" i="15" s="1"/>
  <c r="AB711" i="15"/>
  <c r="AD711" i="15"/>
  <c r="AI711" i="15"/>
  <c r="B713" i="15"/>
  <c r="A713" i="15" s="1"/>
  <c r="C713" i="15"/>
  <c r="G713" i="15"/>
  <c r="H713" i="15"/>
  <c r="X713" i="15"/>
  <c r="Z713" i="15" s="1"/>
  <c r="W713" i="15" s="1"/>
  <c r="AB713" i="15"/>
  <c r="AD713" i="15"/>
  <c r="AI713" i="15"/>
  <c r="B714" i="15"/>
  <c r="A714" i="15" s="1"/>
  <c r="C714" i="15"/>
  <c r="G714" i="15"/>
  <c r="H714" i="15"/>
  <c r="X714" i="15"/>
  <c r="Z714" i="15" s="1"/>
  <c r="W714" i="15" s="1"/>
  <c r="AB714" i="15"/>
  <c r="AD714" i="15"/>
  <c r="AI714" i="15"/>
  <c r="B715" i="15"/>
  <c r="A715" i="15" s="1"/>
  <c r="C715" i="15"/>
  <c r="G715" i="15"/>
  <c r="H715" i="15"/>
  <c r="X715" i="15"/>
  <c r="Z715" i="15" s="1"/>
  <c r="AB715" i="15"/>
  <c r="AD715" i="15"/>
  <c r="AI715" i="15"/>
  <c r="B716" i="15"/>
  <c r="A716" i="15" s="1"/>
  <c r="C716" i="15"/>
  <c r="G716" i="15"/>
  <c r="H716" i="15"/>
  <c r="X716" i="15"/>
  <c r="Z716" i="15" s="1"/>
  <c r="AB716" i="15"/>
  <c r="AD716" i="15"/>
  <c r="AI716" i="15"/>
  <c r="B717" i="15"/>
  <c r="A717" i="15" s="1"/>
  <c r="C717" i="15"/>
  <c r="G717" i="15"/>
  <c r="H717" i="15"/>
  <c r="X717" i="15"/>
  <c r="Z717" i="15" s="1"/>
  <c r="W717" i="15" s="1"/>
  <c r="V717" i="15" s="1"/>
  <c r="AB717" i="15"/>
  <c r="AD717" i="15"/>
  <c r="AI717" i="15"/>
  <c r="B718" i="15"/>
  <c r="A718" i="15" s="1"/>
  <c r="C718" i="15"/>
  <c r="G718" i="15"/>
  <c r="H718" i="15"/>
  <c r="X718" i="15"/>
  <c r="Z718" i="15" s="1"/>
  <c r="W718" i="15" s="1"/>
  <c r="AB718" i="15"/>
  <c r="AD718" i="15"/>
  <c r="AI718" i="15"/>
  <c r="B719" i="15"/>
  <c r="A719" i="15" s="1"/>
  <c r="C719" i="15"/>
  <c r="G719" i="15"/>
  <c r="H719" i="15"/>
  <c r="X719" i="15"/>
  <c r="Z719" i="15" s="1"/>
  <c r="AB719" i="15"/>
  <c r="AD719" i="15"/>
  <c r="AI719" i="15"/>
  <c r="B720" i="15"/>
  <c r="A720" i="15" s="1"/>
  <c r="C720" i="15"/>
  <c r="G720" i="15"/>
  <c r="H720" i="15"/>
  <c r="X720" i="15"/>
  <c r="Z720" i="15" s="1"/>
  <c r="W720" i="15" s="1"/>
  <c r="V720" i="15" s="1"/>
  <c r="AB720" i="15"/>
  <c r="AD720" i="15"/>
  <c r="AI720" i="15"/>
  <c r="B721" i="15"/>
  <c r="A721" i="15" s="1"/>
  <c r="C721" i="15"/>
  <c r="G721" i="15"/>
  <c r="H721" i="15"/>
  <c r="X721" i="15"/>
  <c r="Z721" i="15" s="1"/>
  <c r="W721" i="15" s="1"/>
  <c r="AB721" i="15"/>
  <c r="AD721" i="15"/>
  <c r="AI721" i="15"/>
  <c r="B722" i="15"/>
  <c r="A722" i="15" s="1"/>
  <c r="C722" i="15"/>
  <c r="G722" i="15"/>
  <c r="H722" i="15"/>
  <c r="X722" i="15"/>
  <c r="Z722" i="15" s="1"/>
  <c r="W722" i="15" s="1"/>
  <c r="AB722" i="15"/>
  <c r="AD722" i="15"/>
  <c r="AI722" i="15"/>
  <c r="B723" i="15"/>
  <c r="A723" i="15" s="1"/>
  <c r="C723" i="15"/>
  <c r="G723" i="15"/>
  <c r="H723" i="15"/>
  <c r="X723" i="15"/>
  <c r="Z723" i="15" s="1"/>
  <c r="W723" i="15" s="1"/>
  <c r="AB723" i="15"/>
  <c r="AD723" i="15"/>
  <c r="AI723" i="15"/>
  <c r="B724" i="15"/>
  <c r="A724" i="15" s="1"/>
  <c r="C724" i="15"/>
  <c r="G724" i="15"/>
  <c r="H724" i="15"/>
  <c r="X724" i="15"/>
  <c r="Z724" i="15" s="1"/>
  <c r="AB724" i="15"/>
  <c r="AD724" i="15"/>
  <c r="AI724" i="15"/>
  <c r="B725" i="15"/>
  <c r="A725" i="15" s="1"/>
  <c r="C725" i="15"/>
  <c r="G725" i="15"/>
  <c r="H725" i="15"/>
  <c r="X725" i="15"/>
  <c r="Z725" i="15" s="1"/>
  <c r="AB725" i="15"/>
  <c r="AD725" i="15"/>
  <c r="AI725" i="15"/>
  <c r="B726" i="15"/>
  <c r="A726" i="15" s="1"/>
  <c r="C726" i="15"/>
  <c r="G726" i="15"/>
  <c r="H726" i="15"/>
  <c r="X726" i="15"/>
  <c r="Z726" i="15" s="1"/>
  <c r="AB726" i="15"/>
  <c r="AD726" i="15"/>
  <c r="AI726" i="15"/>
  <c r="B727" i="15"/>
  <c r="A727" i="15" s="1"/>
  <c r="C727" i="15"/>
  <c r="G727" i="15"/>
  <c r="H727" i="15"/>
  <c r="X727" i="15"/>
  <c r="Z727" i="15" s="1"/>
  <c r="W727" i="15" s="1"/>
  <c r="AB727" i="15"/>
  <c r="AD727" i="15"/>
  <c r="AI727" i="15"/>
  <c r="B728" i="15"/>
  <c r="A728" i="15" s="1"/>
  <c r="C728" i="15"/>
  <c r="G728" i="15"/>
  <c r="H728" i="15"/>
  <c r="X728" i="15"/>
  <c r="Z728" i="15" s="1"/>
  <c r="W728" i="15" s="1"/>
  <c r="AB728" i="15"/>
  <c r="AD728" i="15"/>
  <c r="AI728" i="15"/>
  <c r="B729" i="15"/>
  <c r="A729" i="15" s="1"/>
  <c r="C729" i="15"/>
  <c r="G729" i="15"/>
  <c r="H729" i="15"/>
  <c r="X729" i="15"/>
  <c r="Z729" i="15" s="1"/>
  <c r="AB729" i="15"/>
  <c r="AD729" i="15"/>
  <c r="AI729" i="15"/>
  <c r="B733" i="15"/>
  <c r="A733" i="15" s="1"/>
  <c r="C733" i="15"/>
  <c r="G733" i="15"/>
  <c r="H733" i="15"/>
  <c r="X733" i="15"/>
  <c r="Z733" i="15" s="1"/>
  <c r="W733" i="15" s="1"/>
  <c r="AB733" i="15"/>
  <c r="AD733" i="15"/>
  <c r="AI733" i="15"/>
  <c r="B734" i="15"/>
  <c r="A734" i="15" s="1"/>
  <c r="C734" i="15"/>
  <c r="G734" i="15"/>
  <c r="H734" i="15"/>
  <c r="X734" i="15"/>
  <c r="Z734" i="15" s="1"/>
  <c r="W734" i="15" s="1"/>
  <c r="AB734" i="15"/>
  <c r="AD734" i="15"/>
  <c r="AI734" i="15"/>
  <c r="B735" i="15"/>
  <c r="A735" i="15" s="1"/>
  <c r="C735" i="15"/>
  <c r="G735" i="15"/>
  <c r="H735" i="15"/>
  <c r="X735" i="15"/>
  <c r="Z735" i="15" s="1"/>
  <c r="W735" i="15" s="1"/>
  <c r="AB735" i="15"/>
  <c r="AD735" i="15"/>
  <c r="AI735" i="15"/>
  <c r="B736" i="15"/>
  <c r="A736" i="15" s="1"/>
  <c r="C736" i="15"/>
  <c r="G736" i="15"/>
  <c r="H736" i="15"/>
  <c r="I736" i="15"/>
  <c r="O736" i="15"/>
  <c r="W736" i="15" s="1"/>
  <c r="V736" i="15" s="1"/>
  <c r="U736" i="15" s="1"/>
  <c r="X736" i="15"/>
  <c r="AI736" i="15"/>
  <c r="H1069" i="7"/>
  <c r="G1069" i="7"/>
  <c r="AF1069" i="7" s="1"/>
  <c r="F61" i="5"/>
  <c r="K47" i="5"/>
  <c r="DJ47" i="5" s="1"/>
  <c r="J47" i="5"/>
  <c r="H47" i="5"/>
  <c r="B47" i="5"/>
  <c r="DG29" i="11"/>
  <c r="AA566" i="15" s="1"/>
  <c r="DG28" i="11"/>
  <c r="AA565" i="15" s="1"/>
  <c r="U562" i="15" l="1"/>
  <c r="U561" i="15"/>
  <c r="U564" i="15"/>
  <c r="U567" i="15"/>
  <c r="Z165" i="15"/>
  <c r="DH47" i="5"/>
  <c r="X51" i="15"/>
  <c r="Z51" i="15" s="1"/>
  <c r="AB51" i="15"/>
  <c r="AI413" i="15"/>
  <c r="AI414" i="15" s="1"/>
  <c r="AI362" i="15"/>
  <c r="AI363" i="15" s="1"/>
  <c r="AI364" i="15" s="1"/>
  <c r="AI365" i="15" s="1"/>
  <c r="AI366" i="15" s="1"/>
  <c r="AI367" i="15" s="1"/>
  <c r="Z164" i="15"/>
  <c r="AI135" i="15"/>
  <c r="AI137" i="15" s="1"/>
  <c r="AI136" i="15"/>
  <c r="AI138" i="15" s="1"/>
  <c r="AI139" i="15" s="1"/>
  <c r="AI140" i="15" s="1"/>
  <c r="AI141" i="15" s="1"/>
  <c r="AI142" i="15" s="1"/>
  <c r="AI143" i="15" s="1"/>
  <c r="AI144" i="15" s="1"/>
  <c r="AI145" i="15" s="1"/>
  <c r="AI146" i="15" s="1"/>
  <c r="AI147" i="15" s="1"/>
  <c r="AI148" i="15" s="1"/>
  <c r="K46" i="5"/>
  <c r="DJ46" i="5" s="1"/>
  <c r="DH46" i="5"/>
  <c r="H46" i="5"/>
  <c r="B46" i="5"/>
  <c r="AF344" i="5"/>
  <c r="AF343" i="5"/>
  <c r="AF342" i="5"/>
  <c r="AF341" i="5"/>
  <c r="AF340" i="5"/>
  <c r="AF339" i="5"/>
  <c r="AF338" i="5"/>
  <c r="AF337" i="5"/>
  <c r="AG336" i="5"/>
  <c r="AE336" i="5"/>
  <c r="AD336" i="5"/>
  <c r="AC336" i="5"/>
  <c r="AB336" i="5"/>
  <c r="AA336" i="5"/>
  <c r="Z336" i="5"/>
  <c r="Y336" i="5"/>
  <c r="X336" i="5"/>
  <c r="W336" i="5"/>
  <c r="K331" i="5"/>
  <c r="DJ331" i="5" s="1"/>
  <c r="J331" i="5"/>
  <c r="H331" i="5"/>
  <c r="F331" i="5"/>
  <c r="B331" i="5"/>
  <c r="DJ330" i="5"/>
  <c r="DI330" i="5"/>
  <c r="DH330" i="5"/>
  <c r="DG330" i="5"/>
  <c r="AG330" i="5"/>
  <c r="AE330" i="5"/>
  <c r="AD330" i="5"/>
  <c r="AC330" i="5"/>
  <c r="AB330" i="5"/>
  <c r="AA330" i="5"/>
  <c r="Z330" i="5"/>
  <c r="Y330" i="5"/>
  <c r="X330" i="5"/>
  <c r="V328" i="5"/>
  <c r="B389" i="16"/>
  <c r="F389" i="16"/>
  <c r="AF402" i="16"/>
  <c r="AF401" i="16"/>
  <c r="AF400" i="16"/>
  <c r="AF399" i="16"/>
  <c r="AF398" i="16"/>
  <c r="AF397" i="16"/>
  <c r="AF396" i="16"/>
  <c r="AF395" i="16"/>
  <c r="AG394" i="16"/>
  <c r="AE394" i="16"/>
  <c r="AD394" i="16"/>
  <c r="AC394" i="16"/>
  <c r="AB394" i="16"/>
  <c r="AA394" i="16"/>
  <c r="Z394" i="16"/>
  <c r="Y394" i="16"/>
  <c r="X394" i="16"/>
  <c r="W394" i="16"/>
  <c r="K389" i="16"/>
  <c r="DJ389" i="16" s="1"/>
  <c r="J389" i="16"/>
  <c r="H389" i="16"/>
  <c r="DI388" i="16"/>
  <c r="DH388" i="16"/>
  <c r="DG388" i="16"/>
  <c r="AG388" i="16"/>
  <c r="AE388" i="16"/>
  <c r="AD388" i="16"/>
  <c r="AC388" i="16"/>
  <c r="AB388" i="16"/>
  <c r="AA388" i="16"/>
  <c r="Z388" i="16"/>
  <c r="Y388" i="16"/>
  <c r="X388" i="16"/>
  <c r="V386" i="16"/>
  <c r="AF29" i="11"/>
  <c r="V29" i="11"/>
  <c r="B29" i="11"/>
  <c r="AF28" i="11"/>
  <c r="V28" i="11"/>
  <c r="B28" i="11"/>
  <c r="DG48" i="11"/>
  <c r="AA568" i="15" s="1"/>
  <c r="AF48" i="11"/>
  <c r="V48" i="11"/>
  <c r="B48" i="11"/>
  <c r="AF47" i="11"/>
  <c r="AE47" i="11"/>
  <c r="AD47" i="11"/>
  <c r="AC47" i="11"/>
  <c r="AB47" i="11"/>
  <c r="AA47" i="11"/>
  <c r="Z47" i="11"/>
  <c r="Y47" i="11"/>
  <c r="X47" i="11"/>
  <c r="W47" i="11"/>
  <c r="V45" i="11"/>
  <c r="AB40" i="15" l="1"/>
  <c r="AB50" i="15"/>
  <c r="DH331" i="5"/>
  <c r="X77" i="15"/>
  <c r="Z77" i="15" s="1"/>
  <c r="AF331" i="5"/>
  <c r="I77" i="15"/>
  <c r="AB77" i="15"/>
  <c r="DH389" i="16"/>
  <c r="X40" i="15"/>
  <c r="Z40" i="15" s="1"/>
  <c r="AF389" i="16"/>
  <c r="I40" i="15"/>
  <c r="AI149" i="15"/>
  <c r="AI150" i="15" s="1"/>
  <c r="AI151" i="15"/>
  <c r="AI152" i="15" s="1"/>
  <c r="I331" i="5"/>
  <c r="O77" i="15" s="1"/>
  <c r="I389" i="16"/>
  <c r="O40" i="15" s="1"/>
  <c r="F98" i="2"/>
  <c r="AF98" i="2" s="1"/>
  <c r="Q824" i="6"/>
  <c r="Q1408" i="6"/>
  <c r="Q1911" i="6"/>
  <c r="Q1298" i="6"/>
  <c r="W77" i="15" l="1"/>
  <c r="V77" i="15" s="1"/>
  <c r="U77" i="15" s="1"/>
  <c r="W40" i="15"/>
  <c r="V40" i="15" s="1"/>
  <c r="U40" i="15" s="1"/>
  <c r="I596" i="15"/>
  <c r="AI155" i="15"/>
  <c r="AI156" i="15" s="1"/>
  <c r="AI157" i="15" s="1"/>
  <c r="AI158" i="15" s="1"/>
  <c r="AI159" i="15" s="1"/>
  <c r="AI160" i="15" s="1"/>
  <c r="AI161" i="15" s="1"/>
  <c r="AI162" i="15" s="1"/>
  <c r="AI163" i="15" s="1"/>
  <c r="AI164" i="15" s="1"/>
  <c r="AI165" i="15" s="1"/>
  <c r="AI166" i="15" s="1"/>
  <c r="AI153" i="15"/>
  <c r="AI154" i="15" s="1"/>
  <c r="AF38" i="11"/>
  <c r="AF8" i="11"/>
  <c r="AF9" i="11"/>
  <c r="AF10" i="11"/>
  <c r="AF7" i="11"/>
  <c r="AF196" i="22"/>
  <c r="AF197" i="22"/>
  <c r="AF198" i="22"/>
  <c r="AF200" i="22"/>
  <c r="AF201" i="22"/>
  <c r="AF202" i="22"/>
  <c r="AF203" i="22"/>
  <c r="AF204" i="22"/>
  <c r="AF205" i="22"/>
  <c r="AF195" i="22"/>
  <c r="AF164" i="22"/>
  <c r="AF165" i="22"/>
  <c r="AF166" i="22"/>
  <c r="AF167" i="22"/>
  <c r="AF168" i="22"/>
  <c r="AF169" i="22"/>
  <c r="AF170" i="22"/>
  <c r="AF171" i="22"/>
  <c r="AF172" i="22"/>
  <c r="AF173" i="22"/>
  <c r="AF174" i="22"/>
  <c r="AF175" i="22"/>
  <c r="AF176" i="22"/>
  <c r="AF177" i="22"/>
  <c r="AF178" i="22"/>
  <c r="AF179" i="22"/>
  <c r="AF180" i="22"/>
  <c r="AF181" i="22"/>
  <c r="AF163" i="22"/>
  <c r="AF129" i="22"/>
  <c r="AF130" i="22"/>
  <c r="AF131" i="22"/>
  <c r="AF132" i="22"/>
  <c r="AF133" i="22"/>
  <c r="AF134" i="22"/>
  <c r="AF135" i="22"/>
  <c r="AF136" i="22"/>
  <c r="AF137" i="22"/>
  <c r="AF138" i="22"/>
  <c r="AF139" i="22"/>
  <c r="AF140" i="22"/>
  <c r="AF141" i="22"/>
  <c r="AF142" i="22"/>
  <c r="AF143" i="22"/>
  <c r="AF144" i="22"/>
  <c r="AF145" i="22"/>
  <c r="AF146" i="22"/>
  <c r="AF128" i="22"/>
  <c r="AF91" i="22"/>
  <c r="AF92" i="22"/>
  <c r="AF93" i="22"/>
  <c r="AF94" i="22"/>
  <c r="AF95" i="22"/>
  <c r="AF96" i="22"/>
  <c r="AF97" i="22"/>
  <c r="AF98" i="22"/>
  <c r="AF99" i="22"/>
  <c r="AF100" i="22"/>
  <c r="AF101" i="22"/>
  <c r="AF102" i="22"/>
  <c r="AF103" i="22"/>
  <c r="AF104" i="22"/>
  <c r="AF105" i="22"/>
  <c r="AF106" i="22"/>
  <c r="AF107" i="22"/>
  <c r="AF108" i="22"/>
  <c r="AF109" i="22"/>
  <c r="AF110" i="22"/>
  <c r="AF90" i="22"/>
  <c r="AF59" i="22"/>
  <c r="AF61" i="22"/>
  <c r="AF62" i="22"/>
  <c r="AF63" i="22"/>
  <c r="AF64" i="22"/>
  <c r="AF65" i="22"/>
  <c r="AF66" i="22"/>
  <c r="AF67" i="22"/>
  <c r="AF68" i="22"/>
  <c r="AF69" i="22"/>
  <c r="AF70" i="22"/>
  <c r="AF71" i="22"/>
  <c r="AF72" i="22"/>
  <c r="AF73" i="22"/>
  <c r="AF24" i="22"/>
  <c r="AF25" i="22"/>
  <c r="AF26" i="22"/>
  <c r="AF27" i="22"/>
  <c r="AF28" i="22"/>
  <c r="AF29" i="22"/>
  <c r="AF30" i="22"/>
  <c r="AF31" i="22"/>
  <c r="AF32" i="22"/>
  <c r="AF33" i="22"/>
  <c r="AF34" i="22"/>
  <c r="AF36" i="22"/>
  <c r="AF37" i="22"/>
  <c r="AF38" i="22"/>
  <c r="AF39" i="22"/>
  <c r="AF40" i="22"/>
  <c r="AF41" i="22"/>
  <c r="AF42" i="22"/>
  <c r="AF43" i="22"/>
  <c r="AF44" i="22"/>
  <c r="AF45" i="22"/>
  <c r="AF23" i="22"/>
  <c r="AF1330" i="7"/>
  <c r="AF1244" i="7"/>
  <c r="AF1245" i="7"/>
  <c r="AF1246" i="7"/>
  <c r="AF1247" i="7"/>
  <c r="AF1248" i="7"/>
  <c r="AF1249" i="7"/>
  <c r="AF1250" i="7"/>
  <c r="AF1251" i="7"/>
  <c r="AF1252" i="7"/>
  <c r="AF1253" i="7"/>
  <c r="AF1254" i="7"/>
  <c r="AF1255" i="7"/>
  <c r="AF1256" i="7"/>
  <c r="AF1257" i="7"/>
  <c r="AF1258" i="7"/>
  <c r="AF1259" i="7"/>
  <c r="AF1260" i="7"/>
  <c r="AF1261" i="7"/>
  <c r="AF1262" i="7"/>
  <c r="AF1263" i="7"/>
  <c r="AF1264" i="7"/>
  <c r="AF1265" i="7"/>
  <c r="AF1266" i="7"/>
  <c r="AF1268" i="7"/>
  <c r="AF1269" i="7"/>
  <c r="AF1270" i="7"/>
  <c r="AF1271" i="7"/>
  <c r="AF1280" i="7"/>
  <c r="AF1281" i="7"/>
  <c r="AF1282" i="7"/>
  <c r="AF1283" i="7"/>
  <c r="AF1284" i="7"/>
  <c r="AF1285" i="7"/>
  <c r="AF1286" i="7"/>
  <c r="AF1287" i="7"/>
  <c r="AF1288" i="7"/>
  <c r="AF1289" i="7"/>
  <c r="AF1290" i="7"/>
  <c r="AF1291" i="7"/>
  <c r="AF1292" i="7"/>
  <c r="AF1293" i="7"/>
  <c r="AF1294" i="7"/>
  <c r="AF1295" i="7"/>
  <c r="AF1296" i="7"/>
  <c r="AF1297" i="7"/>
  <c r="AF1298" i="7"/>
  <c r="AF1299" i="7"/>
  <c r="AF1300" i="7"/>
  <c r="AF1301" i="7"/>
  <c r="AF1302" i="7"/>
  <c r="AF1303" i="7"/>
  <c r="AF1304" i="7"/>
  <c r="AF1243" i="7"/>
  <c r="AF1201" i="7"/>
  <c r="AF1206" i="7"/>
  <c r="AF1207" i="7"/>
  <c r="AF1208" i="7"/>
  <c r="AF1209" i="7"/>
  <c r="AF1210" i="7"/>
  <c r="AF1196" i="7"/>
  <c r="H1170" i="7"/>
  <c r="AR1170" i="7" s="1"/>
  <c r="H1169" i="7"/>
  <c r="AR1169" i="7" s="1"/>
  <c r="AR1157" i="7"/>
  <c r="AR1158" i="7"/>
  <c r="AR1159" i="7"/>
  <c r="AR1160" i="7"/>
  <c r="AR1161" i="7"/>
  <c r="AR1162" i="7"/>
  <c r="AR1163" i="7"/>
  <c r="AR1164" i="7"/>
  <c r="AR1165" i="7"/>
  <c r="AR1166" i="7"/>
  <c r="AR1167" i="7"/>
  <c r="AR1168" i="7"/>
  <c r="AR1156" i="7"/>
  <c r="AF1157" i="7"/>
  <c r="AF1158" i="7"/>
  <c r="AF1159" i="7"/>
  <c r="AF1160" i="7"/>
  <c r="AF1161" i="7"/>
  <c r="AF1162" i="7"/>
  <c r="AF1163" i="7"/>
  <c r="AF1164" i="7"/>
  <c r="AF1165" i="7"/>
  <c r="AF1166" i="7"/>
  <c r="AF1167" i="7"/>
  <c r="AF1168" i="7"/>
  <c r="AF1169" i="7"/>
  <c r="AF1170" i="7"/>
  <c r="AF1156" i="7"/>
  <c r="AF1105" i="7"/>
  <c r="AF1116" i="7"/>
  <c r="AF1117" i="7"/>
  <c r="AF1118" i="7"/>
  <c r="AF1119" i="7"/>
  <c r="AF1120" i="7"/>
  <c r="AF1017" i="7"/>
  <c r="AF1018" i="7"/>
  <c r="AF1019" i="7"/>
  <c r="AF1020" i="7"/>
  <c r="AF1021" i="7"/>
  <c r="AF1022" i="7"/>
  <c r="AF1023" i="7"/>
  <c r="AF1024" i="7"/>
  <c r="AF1025" i="7"/>
  <c r="AF1027" i="7"/>
  <c r="AF1016" i="7"/>
  <c r="AF974" i="7"/>
  <c r="AF975" i="7"/>
  <c r="AF976" i="7"/>
  <c r="AF977" i="7"/>
  <c r="AF978" i="7"/>
  <c r="AF979" i="7"/>
  <c r="AF980" i="7"/>
  <c r="AF981" i="7"/>
  <c r="AF982" i="7"/>
  <c r="AF983" i="7"/>
  <c r="AF984" i="7"/>
  <c r="AF985" i="7"/>
  <c r="AF986" i="7"/>
  <c r="AF987" i="7"/>
  <c r="AF988" i="7"/>
  <c r="AF989" i="7"/>
  <c r="AF990" i="7"/>
  <c r="AF991" i="7"/>
  <c r="AF992" i="7"/>
  <c r="AF993" i="7"/>
  <c r="AF994" i="7"/>
  <c r="AF995" i="7"/>
  <c r="AF996" i="7"/>
  <c r="AF997" i="7"/>
  <c r="AF998" i="7"/>
  <c r="AF999" i="7"/>
  <c r="AF1000" i="7"/>
  <c r="AF1001" i="7"/>
  <c r="AF1002" i="7"/>
  <c r="AF1003" i="7"/>
  <c r="AF1004" i="7"/>
  <c r="AF1005" i="7"/>
  <c r="AF1006" i="7"/>
  <c r="AF1007" i="7"/>
  <c r="AF1008" i="7"/>
  <c r="AF1009" i="7"/>
  <c r="AF1010" i="7"/>
  <c r="AF1011" i="7"/>
  <c r="AF1012" i="7"/>
  <c r="AF1013" i="7"/>
  <c r="AF973" i="7"/>
  <c r="AF902" i="7"/>
  <c r="AF903" i="7"/>
  <c r="AF904" i="7"/>
  <c r="AF905" i="7"/>
  <c r="AF906" i="7"/>
  <c r="AF907" i="7"/>
  <c r="AF908" i="7"/>
  <c r="AF909" i="7"/>
  <c r="AF910" i="7"/>
  <c r="AF911" i="7"/>
  <c r="AF912" i="7"/>
  <c r="AF913" i="7"/>
  <c r="AF914" i="7"/>
  <c r="AF915" i="7"/>
  <c r="AF916" i="7"/>
  <c r="AF917" i="7"/>
  <c r="AF918" i="7"/>
  <c r="AF919" i="7"/>
  <c r="AF920" i="7"/>
  <c r="AF923" i="7"/>
  <c r="AF924" i="7"/>
  <c r="AF925" i="7"/>
  <c r="AF926" i="7"/>
  <c r="AF927" i="7"/>
  <c r="AF928" i="7"/>
  <c r="AF929" i="7"/>
  <c r="AF930" i="7"/>
  <c r="AF931" i="7"/>
  <c r="AF932" i="7"/>
  <c r="AF933" i="7"/>
  <c r="AF934" i="7"/>
  <c r="AF937" i="7"/>
  <c r="AF938" i="7"/>
  <c r="AF941" i="7"/>
  <c r="AF942" i="7"/>
  <c r="AF943" i="7"/>
  <c r="AF944" i="7"/>
  <c r="AF945" i="7"/>
  <c r="AF946" i="7"/>
  <c r="AF947" i="7"/>
  <c r="AF901" i="7"/>
  <c r="AF846" i="7"/>
  <c r="AF848" i="7"/>
  <c r="AF849" i="7"/>
  <c r="AF850" i="7"/>
  <c r="AF851" i="7"/>
  <c r="AF852" i="7"/>
  <c r="AF853" i="7"/>
  <c r="AF854" i="7"/>
  <c r="AF855" i="7"/>
  <c r="AF856" i="7"/>
  <c r="AF857" i="7"/>
  <c r="AF858" i="7"/>
  <c r="AF859" i="7"/>
  <c r="AF860" i="7"/>
  <c r="AF861" i="7"/>
  <c r="AF807" i="7"/>
  <c r="AF808" i="7"/>
  <c r="AF809" i="7"/>
  <c r="AF810" i="7"/>
  <c r="AF811" i="7"/>
  <c r="AF812" i="7"/>
  <c r="AF813" i="7"/>
  <c r="AF814" i="7"/>
  <c r="AF815" i="7"/>
  <c r="AF816" i="7"/>
  <c r="AF817" i="7"/>
  <c r="AF818" i="7"/>
  <c r="AF819" i="7"/>
  <c r="AF820" i="7"/>
  <c r="AF821" i="7"/>
  <c r="AF822" i="7"/>
  <c r="AF823" i="7"/>
  <c r="AF824" i="7"/>
  <c r="AF825" i="7"/>
  <c r="AF826" i="7"/>
  <c r="AF827" i="7"/>
  <c r="AF828" i="7"/>
  <c r="AF829" i="7"/>
  <c r="AF830" i="7"/>
  <c r="AF831" i="7"/>
  <c r="AF806" i="7"/>
  <c r="AF767" i="7"/>
  <c r="AF768" i="7"/>
  <c r="AF769" i="7"/>
  <c r="AF770" i="7"/>
  <c r="AF771" i="7"/>
  <c r="AF772" i="7"/>
  <c r="AF773" i="7"/>
  <c r="AF774" i="7"/>
  <c r="AF775" i="7"/>
  <c r="AF776" i="7"/>
  <c r="AF777" i="7"/>
  <c r="AF778" i="7"/>
  <c r="AF779" i="7"/>
  <c r="AF780" i="7"/>
  <c r="AF781" i="7"/>
  <c r="AF782" i="7"/>
  <c r="AF783" i="7"/>
  <c r="AF784" i="7"/>
  <c r="AF785" i="7"/>
  <c r="AF786" i="7"/>
  <c r="AF766" i="7"/>
  <c r="AF728" i="7"/>
  <c r="AF729" i="7"/>
  <c r="AF730" i="7"/>
  <c r="AF731" i="7"/>
  <c r="AF732" i="7"/>
  <c r="AF733" i="7"/>
  <c r="AF734" i="7"/>
  <c r="AF735" i="7"/>
  <c r="AF736" i="7"/>
  <c r="AF737" i="7"/>
  <c r="AF738" i="7"/>
  <c r="AF739" i="7"/>
  <c r="AF740" i="7"/>
  <c r="AF741" i="7"/>
  <c r="AF742" i="7"/>
  <c r="AF743" i="7"/>
  <c r="AF744" i="7"/>
  <c r="AF745" i="7"/>
  <c r="AF746" i="7"/>
  <c r="AF747" i="7"/>
  <c r="AF727" i="7"/>
  <c r="AF674" i="7"/>
  <c r="AF675" i="7"/>
  <c r="AF676" i="7"/>
  <c r="AF677" i="7"/>
  <c r="AF678" i="7"/>
  <c r="AF679" i="7"/>
  <c r="AF680" i="7"/>
  <c r="AF682" i="7"/>
  <c r="AF683" i="7"/>
  <c r="AF684" i="7"/>
  <c r="AF685" i="7"/>
  <c r="AF686" i="7"/>
  <c r="AF687" i="7"/>
  <c r="AF688" i="7"/>
  <c r="AF689" i="7"/>
  <c r="AF691" i="7"/>
  <c r="AF692" i="7"/>
  <c r="AF693" i="7"/>
  <c r="AF694" i="7"/>
  <c r="AF695" i="7"/>
  <c r="AF697" i="7"/>
  <c r="AF698" i="7"/>
  <c r="AF699" i="7"/>
  <c r="AF700" i="7"/>
  <c r="AF701" i="7"/>
  <c r="AF702" i="7"/>
  <c r="AF703" i="7"/>
  <c r="AF704" i="7"/>
  <c r="AF705" i="7"/>
  <c r="AF706" i="7"/>
  <c r="AF707" i="7"/>
  <c r="AF673" i="7"/>
  <c r="AF602" i="7"/>
  <c r="AF603" i="7"/>
  <c r="AF604" i="7"/>
  <c r="AF605" i="7"/>
  <c r="AF606" i="7"/>
  <c r="AF607" i="7"/>
  <c r="AF608" i="7"/>
  <c r="AF613" i="7"/>
  <c r="AF614" i="7"/>
  <c r="AF615" i="7"/>
  <c r="AF616" i="7"/>
  <c r="AF617" i="7"/>
  <c r="AF618" i="7"/>
  <c r="AF619" i="7"/>
  <c r="AF620" i="7"/>
  <c r="AF621" i="7"/>
  <c r="AF622" i="7"/>
  <c r="AF623" i="7"/>
  <c r="AF624" i="7"/>
  <c r="AF625" i="7"/>
  <c r="AF626" i="7"/>
  <c r="AF627" i="7"/>
  <c r="AF628" i="7"/>
  <c r="AF629" i="7"/>
  <c r="AF631" i="7"/>
  <c r="AF633" i="7"/>
  <c r="AF563" i="7"/>
  <c r="AF564" i="7"/>
  <c r="AF565" i="7"/>
  <c r="AF566" i="7"/>
  <c r="AF567" i="7"/>
  <c r="AF568" i="7"/>
  <c r="AF569" i="7"/>
  <c r="AF570" i="7"/>
  <c r="AF571" i="7"/>
  <c r="AF572" i="7"/>
  <c r="AF573" i="7"/>
  <c r="AF574" i="7"/>
  <c r="AF575" i="7"/>
  <c r="AF576" i="7"/>
  <c r="AF577" i="7"/>
  <c r="AF562" i="7"/>
  <c r="AF524" i="7"/>
  <c r="AF527" i="7"/>
  <c r="AF528" i="7"/>
  <c r="AF529" i="7"/>
  <c r="AF530" i="7"/>
  <c r="AF531" i="7"/>
  <c r="AF532" i="7"/>
  <c r="AF533" i="7"/>
  <c r="AF534" i="7"/>
  <c r="AF535" i="7"/>
  <c r="AF536" i="7"/>
  <c r="AF537" i="7"/>
  <c r="AF538" i="7"/>
  <c r="AF539" i="7"/>
  <c r="AF540" i="7"/>
  <c r="AF541" i="7"/>
  <c r="AF542" i="7"/>
  <c r="AF523" i="7"/>
  <c r="AF497" i="7"/>
  <c r="AF498" i="7"/>
  <c r="AF499" i="7"/>
  <c r="AF500" i="7"/>
  <c r="AF501" i="7"/>
  <c r="AF502" i="7"/>
  <c r="AF503" i="7"/>
  <c r="AF504" i="7"/>
  <c r="AF505" i="7"/>
  <c r="AF506" i="7"/>
  <c r="AF507" i="7"/>
  <c r="AF508" i="7"/>
  <c r="AF496" i="7"/>
  <c r="AF461" i="7"/>
  <c r="AF462" i="7"/>
  <c r="AF463" i="7"/>
  <c r="AF464" i="7"/>
  <c r="AF466" i="7"/>
  <c r="AF467" i="7"/>
  <c r="AF468" i="7"/>
  <c r="AF469" i="7"/>
  <c r="AF470" i="7"/>
  <c r="AF471" i="7"/>
  <c r="AF472" i="7"/>
  <c r="AF473" i="7"/>
  <c r="AF474" i="7"/>
  <c r="AF475" i="7"/>
  <c r="AF476" i="7"/>
  <c r="AF477" i="7"/>
  <c r="AF459" i="7"/>
  <c r="AF164" i="7"/>
  <c r="AF165" i="7"/>
  <c r="AF166" i="7"/>
  <c r="AF167" i="7"/>
  <c r="AF168" i="7"/>
  <c r="AF169" i="7"/>
  <c r="AF170" i="7"/>
  <c r="AF171" i="7"/>
  <c r="AF172" i="7"/>
  <c r="AF173" i="7"/>
  <c r="AF174" i="7"/>
  <c r="AF175" i="7"/>
  <c r="AF176" i="7"/>
  <c r="AF177" i="7"/>
  <c r="AF178" i="7"/>
  <c r="AF179" i="7"/>
  <c r="AF180" i="7"/>
  <c r="AF181" i="7"/>
  <c r="AF182" i="7"/>
  <c r="AF183" i="7"/>
  <c r="AF184" i="7"/>
  <c r="AF185" i="7"/>
  <c r="AF186" i="7"/>
  <c r="AF187" i="7"/>
  <c r="AF188" i="7"/>
  <c r="AF189" i="7"/>
  <c r="AF190" i="7"/>
  <c r="AF191" i="7"/>
  <c r="AF192" i="7"/>
  <c r="AF193" i="7"/>
  <c r="AF194" i="7"/>
  <c r="AF195" i="7"/>
  <c r="AF196" i="7"/>
  <c r="AF197" i="7"/>
  <c r="AF198" i="7"/>
  <c r="AF199" i="7"/>
  <c r="AF200" i="7"/>
  <c r="AF201" i="7"/>
  <c r="AF202" i="7"/>
  <c r="AF203" i="7"/>
  <c r="AF204" i="7"/>
  <c r="AF205" i="7"/>
  <c r="AF206" i="7"/>
  <c r="AF207" i="7"/>
  <c r="AF208" i="7"/>
  <c r="AF209" i="7"/>
  <c r="AF210" i="7"/>
  <c r="AF211" i="7"/>
  <c r="AF212" i="7"/>
  <c r="AF213" i="7"/>
  <c r="AF214" i="7"/>
  <c r="AF215" i="7"/>
  <c r="AF216" i="7"/>
  <c r="AF217" i="7"/>
  <c r="AF218" i="7"/>
  <c r="AF219" i="7"/>
  <c r="AF220" i="7"/>
  <c r="AF221" i="7"/>
  <c r="AF222" i="7"/>
  <c r="AF223" i="7"/>
  <c r="AF224" i="7"/>
  <c r="AF225" i="7"/>
  <c r="AF226" i="7"/>
  <c r="AF227" i="7"/>
  <c r="AF228" i="7"/>
  <c r="AF229" i="7"/>
  <c r="AF230" i="7"/>
  <c r="AF231" i="7"/>
  <c r="AF232" i="7"/>
  <c r="AF233" i="7"/>
  <c r="AF234" i="7"/>
  <c r="AF235" i="7"/>
  <c r="AF236" i="7"/>
  <c r="AF237" i="7"/>
  <c r="AF238" i="7"/>
  <c r="AF239" i="7"/>
  <c r="AF240" i="7"/>
  <c r="AF241" i="7"/>
  <c r="AF242" i="7"/>
  <c r="AF243" i="7"/>
  <c r="AF244" i="7"/>
  <c r="AF245" i="7"/>
  <c r="AF246" i="7"/>
  <c r="AF247" i="7"/>
  <c r="AF248" i="7"/>
  <c r="AF249" i="7"/>
  <c r="AF250" i="7"/>
  <c r="AF251" i="7"/>
  <c r="AF252" i="7"/>
  <c r="AF253" i="7"/>
  <c r="AF254" i="7"/>
  <c r="AF255" i="7"/>
  <c r="AF256" i="7"/>
  <c r="AF257" i="7"/>
  <c r="AF258" i="7"/>
  <c r="AF259" i="7"/>
  <c r="AF260" i="7"/>
  <c r="AF261" i="7"/>
  <c r="AF262" i="7"/>
  <c r="AF263" i="7"/>
  <c r="AF264" i="7"/>
  <c r="AF265" i="7"/>
  <c r="AF266" i="7"/>
  <c r="AF267" i="7"/>
  <c r="AF268" i="7"/>
  <c r="AF269" i="7"/>
  <c r="AF270" i="7"/>
  <c r="AF271" i="7"/>
  <c r="AF272" i="7"/>
  <c r="AF273" i="7"/>
  <c r="AF274" i="7"/>
  <c r="AF275" i="7"/>
  <c r="AF276" i="7"/>
  <c r="AF277" i="7"/>
  <c r="AF278" i="7"/>
  <c r="AF279" i="7"/>
  <c r="AF280" i="7"/>
  <c r="AF281" i="7"/>
  <c r="AF282" i="7"/>
  <c r="AF283" i="7"/>
  <c r="AF284" i="7"/>
  <c r="AF285" i="7"/>
  <c r="AF286" i="7"/>
  <c r="AF287" i="7"/>
  <c r="AF288" i="7"/>
  <c r="AF289" i="7"/>
  <c r="AF290" i="7"/>
  <c r="AF291" i="7"/>
  <c r="AF292" i="7"/>
  <c r="AF293" i="7"/>
  <c r="AF294" i="7"/>
  <c r="AF295" i="7"/>
  <c r="AF296" i="7"/>
  <c r="AF297" i="7"/>
  <c r="AF298" i="7"/>
  <c r="AF299" i="7"/>
  <c r="AF300" i="7"/>
  <c r="AF301" i="7"/>
  <c r="AF302" i="7"/>
  <c r="AF303" i="7"/>
  <c r="AF304" i="7"/>
  <c r="AF305" i="7"/>
  <c r="AF306" i="7"/>
  <c r="AF307" i="7"/>
  <c r="AF308" i="7"/>
  <c r="AF309" i="7"/>
  <c r="AF310" i="7"/>
  <c r="AF311" i="7"/>
  <c r="AF312" i="7"/>
  <c r="AF313" i="7"/>
  <c r="AF314" i="7"/>
  <c r="AF315" i="7"/>
  <c r="AF316" i="7"/>
  <c r="AF347" i="7"/>
  <c r="AF348" i="7"/>
  <c r="AF349" i="7"/>
  <c r="AF350" i="7"/>
  <c r="AF351" i="7"/>
  <c r="AF352" i="7"/>
  <c r="AF353" i="7"/>
  <c r="AF354" i="7"/>
  <c r="AF355" i="7"/>
  <c r="AF356" i="7"/>
  <c r="AF357" i="7"/>
  <c r="AF358" i="7"/>
  <c r="AF359" i="7"/>
  <c r="AF360" i="7"/>
  <c r="AF361" i="7"/>
  <c r="AF362" i="7"/>
  <c r="AF363" i="7"/>
  <c r="AF364" i="7"/>
  <c r="AF365" i="7"/>
  <c r="AF366" i="7"/>
  <c r="AF367" i="7"/>
  <c r="AF368" i="7"/>
  <c r="AF369" i="7"/>
  <c r="AF370" i="7"/>
  <c r="AF371" i="7"/>
  <c r="AF372" i="7"/>
  <c r="AF373" i="7"/>
  <c r="AF374" i="7"/>
  <c r="AF375" i="7"/>
  <c r="AF376" i="7"/>
  <c r="AF377" i="7"/>
  <c r="AF378" i="7"/>
  <c r="AF379" i="7"/>
  <c r="AF380" i="7"/>
  <c r="AF381" i="7"/>
  <c r="AF382" i="7"/>
  <c r="AF383" i="7"/>
  <c r="AF384" i="7"/>
  <c r="AF385" i="7"/>
  <c r="AF386" i="7"/>
  <c r="AF387" i="7"/>
  <c r="AF388" i="7"/>
  <c r="AF389" i="7"/>
  <c r="AF390" i="7"/>
  <c r="AF391" i="7"/>
  <c r="AF392" i="7"/>
  <c r="AF393" i="7"/>
  <c r="AF394" i="7"/>
  <c r="AF395" i="7"/>
  <c r="AF396" i="7"/>
  <c r="AF397" i="7"/>
  <c r="AF398" i="7"/>
  <c r="AF399" i="7"/>
  <c r="AF400" i="7"/>
  <c r="AF401" i="7"/>
  <c r="AF402" i="7"/>
  <c r="AF403" i="7"/>
  <c r="AF404" i="7"/>
  <c r="AF405" i="7"/>
  <c r="AF406" i="7"/>
  <c r="AF407" i="7"/>
  <c r="AF408" i="7"/>
  <c r="AF409" i="7"/>
  <c r="AF410" i="7"/>
  <c r="AF163" i="7"/>
  <c r="AF75" i="7"/>
  <c r="AF76" i="7"/>
  <c r="AF77" i="7"/>
  <c r="AF78" i="7"/>
  <c r="AF79" i="7"/>
  <c r="AF80" i="7"/>
  <c r="AF81" i="7"/>
  <c r="AF82" i="7"/>
  <c r="AF83" i="7"/>
  <c r="AF84" i="7"/>
  <c r="AF85" i="7"/>
  <c r="AF86" i="7"/>
  <c r="AF87" i="7"/>
  <c r="AF88" i="7"/>
  <c r="AF89" i="7"/>
  <c r="AF90" i="7"/>
  <c r="AF91" i="7"/>
  <c r="AF92" i="7"/>
  <c r="AF93" i="7"/>
  <c r="AF94" i="7"/>
  <c r="AF95" i="7"/>
  <c r="AF97" i="7"/>
  <c r="AF98" i="7"/>
  <c r="AF101" i="7"/>
  <c r="AF102" i="7"/>
  <c r="AF103" i="7"/>
  <c r="AF104" i="7"/>
  <c r="AF105" i="7"/>
  <c r="AF106" i="7"/>
  <c r="AF107" i="7"/>
  <c r="AF108" i="7"/>
  <c r="AF109" i="7"/>
  <c r="AF110" i="7"/>
  <c r="AF111" i="7"/>
  <c r="AF112" i="7"/>
  <c r="AF74" i="7"/>
  <c r="AF29" i="7"/>
  <c r="AF30" i="7"/>
  <c r="AF32" i="7"/>
  <c r="AF33" i="7"/>
  <c r="AF34" i="7"/>
  <c r="AF35" i="7"/>
  <c r="AF41" i="7"/>
  <c r="AF42" i="7"/>
  <c r="AF43" i="7"/>
  <c r="AF44" i="7"/>
  <c r="AF45" i="7"/>
  <c r="AF46" i="7"/>
  <c r="AF47" i="7"/>
  <c r="AF48" i="7"/>
  <c r="AF49" i="7"/>
  <c r="AF50" i="7"/>
  <c r="AF51" i="7"/>
  <c r="AF52" i="7"/>
  <c r="AF53" i="7"/>
  <c r="AF28" i="7"/>
  <c r="AF1310" i="7"/>
  <c r="AF1311" i="7"/>
  <c r="AF1312" i="7"/>
  <c r="AF1313" i="7"/>
  <c r="AF1314" i="7"/>
  <c r="AF1315" i="7"/>
  <c r="AF1316" i="7"/>
  <c r="AF880" i="7"/>
  <c r="AF882" i="7"/>
  <c r="AF884" i="7"/>
  <c r="AF4655" i="6"/>
  <c r="AF4656" i="6"/>
  <c r="AF4657" i="6"/>
  <c r="AF4658" i="6"/>
  <c r="AF4659" i="6"/>
  <c r="AF4660" i="6"/>
  <c r="AF4661" i="6"/>
  <c r="AF4662" i="6"/>
  <c r="AF4663" i="6"/>
  <c r="AF4664" i="6"/>
  <c r="AF4665" i="6"/>
  <c r="AF4666" i="6"/>
  <c r="AF4667" i="6"/>
  <c r="AF4668" i="6"/>
  <c r="AF4669" i="6"/>
  <c r="AF4670" i="6"/>
  <c r="AF4671" i="6"/>
  <c r="AF4672" i="6"/>
  <c r="AF4673" i="6"/>
  <c r="AF4674" i="6"/>
  <c r="AF4675" i="6"/>
  <c r="AF4676" i="6"/>
  <c r="AF4677" i="6"/>
  <c r="AF4678" i="6"/>
  <c r="AF4679" i="6"/>
  <c r="AF4680" i="6"/>
  <c r="AF4681" i="6"/>
  <c r="AF4683" i="6"/>
  <c r="AF4684" i="6"/>
  <c r="AF4685" i="6"/>
  <c r="AF4686" i="6"/>
  <c r="AF4695" i="6"/>
  <c r="AF4696" i="6"/>
  <c r="AF4697" i="6"/>
  <c r="AF4698" i="6"/>
  <c r="AF4699" i="6"/>
  <c r="AF4700" i="6"/>
  <c r="AF4701" i="6"/>
  <c r="AF4702" i="6"/>
  <c r="AF4703" i="6"/>
  <c r="AF4704" i="6"/>
  <c r="AF4705" i="6"/>
  <c r="AF4706" i="6"/>
  <c r="AF4707" i="6"/>
  <c r="AF4708" i="6"/>
  <c r="AF4709" i="6"/>
  <c r="AF4710" i="6"/>
  <c r="AF4711" i="6"/>
  <c r="AF4712" i="6"/>
  <c r="AF4713" i="6"/>
  <c r="AF4714" i="6"/>
  <c r="AF4715" i="6"/>
  <c r="AF4716" i="6"/>
  <c r="AF4717" i="6"/>
  <c r="AF4718" i="6"/>
  <c r="AF4719" i="6"/>
  <c r="AF4720" i="6"/>
  <c r="AF4721" i="6"/>
  <c r="AF4722" i="6"/>
  <c r="AF4654" i="6"/>
  <c r="AF4586" i="6"/>
  <c r="AF4588" i="6"/>
  <c r="AF4589" i="6"/>
  <c r="AF4590" i="6"/>
  <c r="AF4591" i="6"/>
  <c r="AF4592" i="6"/>
  <c r="AF4593" i="6"/>
  <c r="AF4594" i="6"/>
  <c r="AF4595" i="6"/>
  <c r="AF4597" i="6"/>
  <c r="AF4599" i="6"/>
  <c r="AF4600" i="6"/>
  <c r="AF4601" i="6"/>
  <c r="AF4602" i="6"/>
  <c r="AF4603" i="6"/>
  <c r="AF4604" i="6"/>
  <c r="AF4605" i="6"/>
  <c r="AF4606" i="6"/>
  <c r="AF4607" i="6"/>
  <c r="AF4608" i="6"/>
  <c r="AF4609" i="6"/>
  <c r="AF1915" i="6"/>
  <c r="AF1916" i="6"/>
  <c r="AF1917" i="6"/>
  <c r="AF1918" i="6"/>
  <c r="AF1919" i="6"/>
  <c r="AF1920" i="6"/>
  <c r="AF1921" i="6"/>
  <c r="AF1922" i="6"/>
  <c r="AF1923" i="6"/>
  <c r="AF1924" i="6"/>
  <c r="AF1925" i="6"/>
  <c r="AF1926" i="6"/>
  <c r="AF1927" i="6"/>
  <c r="AF1928" i="6"/>
  <c r="AF1929" i="6"/>
  <c r="AF1930" i="6"/>
  <c r="AF1931" i="6"/>
  <c r="AF1932" i="6"/>
  <c r="AF1933" i="6"/>
  <c r="AF1934" i="6"/>
  <c r="AF1935" i="6"/>
  <c r="AF1936" i="6"/>
  <c r="AF1937" i="6"/>
  <c r="AF1938" i="6"/>
  <c r="AF1939" i="6"/>
  <c r="AF1940" i="6"/>
  <c r="AF1941" i="6"/>
  <c r="AF1942" i="6"/>
  <c r="AF1943" i="6"/>
  <c r="AF1944" i="6"/>
  <c r="AF1945" i="6"/>
  <c r="AF1946" i="6"/>
  <c r="AF1947" i="6"/>
  <c r="AF1948" i="6"/>
  <c r="AF1949" i="6"/>
  <c r="AF1950" i="6"/>
  <c r="AF1951" i="6"/>
  <c r="AF1952" i="6"/>
  <c r="AF1953" i="6"/>
  <c r="AF1954" i="6"/>
  <c r="AF1955" i="6"/>
  <c r="AF1956" i="6"/>
  <c r="AF1957" i="6"/>
  <c r="AF1958" i="6"/>
  <c r="AF1959" i="6"/>
  <c r="AF1960" i="6"/>
  <c r="AF1961" i="6"/>
  <c r="AF1962" i="6"/>
  <c r="AF1963" i="6"/>
  <c r="AF1964" i="6"/>
  <c r="AF1965" i="6"/>
  <c r="AF1966" i="6"/>
  <c r="AF1967" i="6"/>
  <c r="AF1968" i="6"/>
  <c r="AF1969" i="6"/>
  <c r="AF1970" i="6"/>
  <c r="AF1971" i="6"/>
  <c r="AF1972" i="6"/>
  <c r="AF1973" i="6"/>
  <c r="AF1974" i="6"/>
  <c r="AF1975" i="6"/>
  <c r="AF1976" i="6"/>
  <c r="AF1977" i="6"/>
  <c r="AF1978" i="6"/>
  <c r="AF1979" i="6"/>
  <c r="AF1980" i="6"/>
  <c r="AF1981" i="6"/>
  <c r="AF1982" i="6"/>
  <c r="AF1983" i="6"/>
  <c r="AF1984" i="6"/>
  <c r="AF1985" i="6"/>
  <c r="AF1986" i="6"/>
  <c r="AF1987" i="6"/>
  <c r="AF1988" i="6"/>
  <c r="AF1989" i="6"/>
  <c r="AF1990" i="6"/>
  <c r="AF1991" i="6"/>
  <c r="AF1992" i="6"/>
  <c r="AF1993" i="6"/>
  <c r="AF1994" i="6"/>
  <c r="AF1995" i="6"/>
  <c r="AF1996" i="6"/>
  <c r="AF1997" i="6"/>
  <c r="AF1998" i="6"/>
  <c r="AF1999" i="6"/>
  <c r="AF2000" i="6"/>
  <c r="AF2001" i="6"/>
  <c r="AF2002" i="6"/>
  <c r="AF2003" i="6"/>
  <c r="AF2004" i="6"/>
  <c r="AF2005" i="6"/>
  <c r="AF2006" i="6"/>
  <c r="AF2007" i="6"/>
  <c r="AF2008" i="6"/>
  <c r="AF2009" i="6"/>
  <c r="AF2010" i="6"/>
  <c r="AF2011" i="6"/>
  <c r="AF2012" i="6"/>
  <c r="AF2013" i="6"/>
  <c r="AF2014" i="6"/>
  <c r="AF2015" i="6"/>
  <c r="AF2016" i="6"/>
  <c r="AF2017" i="6"/>
  <c r="AF2018" i="6"/>
  <c r="AF2019" i="6"/>
  <c r="AF2020" i="6"/>
  <c r="AF2021" i="6"/>
  <c r="AF2022" i="6"/>
  <c r="AF2023" i="6"/>
  <c r="AF2024" i="6"/>
  <c r="AF2025" i="6"/>
  <c r="AF2026" i="6"/>
  <c r="AF2027" i="6"/>
  <c r="AF2028" i="6"/>
  <c r="AF2029" i="6"/>
  <c r="AF2030" i="6"/>
  <c r="AF2031" i="6"/>
  <c r="AF2032" i="6"/>
  <c r="AF2033" i="6"/>
  <c r="AF2034" i="6"/>
  <c r="AF2035" i="6"/>
  <c r="AF2036" i="6"/>
  <c r="AF2037" i="6"/>
  <c r="AF2038" i="6"/>
  <c r="AF2039" i="6"/>
  <c r="AF2040" i="6"/>
  <c r="AF2041" i="6"/>
  <c r="AF2042" i="6"/>
  <c r="AF2043" i="6"/>
  <c r="AF2044" i="6"/>
  <c r="AF2045" i="6"/>
  <c r="AF2046" i="6"/>
  <c r="AF2047" i="6"/>
  <c r="AF2048" i="6"/>
  <c r="AF2049" i="6"/>
  <c r="AF2050" i="6"/>
  <c r="AF2051" i="6"/>
  <c r="AF2052" i="6"/>
  <c r="AF2053" i="6"/>
  <c r="AF2054" i="6"/>
  <c r="AF2055" i="6"/>
  <c r="AF2056" i="6"/>
  <c r="AF2057" i="6"/>
  <c r="AF2058" i="6"/>
  <c r="AF2059" i="6"/>
  <c r="AF2060" i="6"/>
  <c r="AF2061" i="6"/>
  <c r="AF2062" i="6"/>
  <c r="AF2063" i="6"/>
  <c r="AF2064" i="6"/>
  <c r="AF2065" i="6"/>
  <c r="AF2066" i="6"/>
  <c r="AF2067" i="6"/>
  <c r="AF2068" i="6"/>
  <c r="AF2069" i="6"/>
  <c r="AF2070" i="6"/>
  <c r="AF2071" i="6"/>
  <c r="AF2072" i="6"/>
  <c r="AF2073" i="6"/>
  <c r="AF2074" i="6"/>
  <c r="AF2075" i="6"/>
  <c r="AF2076" i="6"/>
  <c r="AF2077" i="6"/>
  <c r="AF2078" i="6"/>
  <c r="AF2079" i="6"/>
  <c r="AF2080" i="6"/>
  <c r="AF2081" i="6"/>
  <c r="AF2082" i="6"/>
  <c r="AF2083" i="6"/>
  <c r="AF2084" i="6"/>
  <c r="AF2085" i="6"/>
  <c r="AF2086" i="6"/>
  <c r="AF2087" i="6"/>
  <c r="AF2088" i="6"/>
  <c r="AF2089" i="6"/>
  <c r="AF2090" i="6"/>
  <c r="AF2091" i="6"/>
  <c r="AF2092" i="6"/>
  <c r="AF2093" i="6"/>
  <c r="AF2094" i="6"/>
  <c r="AF2095" i="6"/>
  <c r="AF2096" i="6"/>
  <c r="AF2097" i="6"/>
  <c r="AF2098" i="6"/>
  <c r="AF2099" i="6"/>
  <c r="AF2100" i="6"/>
  <c r="AF2101" i="6"/>
  <c r="AF2102" i="6"/>
  <c r="AF2103" i="6"/>
  <c r="AF2104" i="6"/>
  <c r="AF2105" i="6"/>
  <c r="AF2106" i="6"/>
  <c r="AF2107" i="6"/>
  <c r="AF2108" i="6"/>
  <c r="AF2109" i="6"/>
  <c r="AF2110" i="6"/>
  <c r="AF2111" i="6"/>
  <c r="AF2112" i="6"/>
  <c r="AF2113" i="6"/>
  <c r="AF2114" i="6"/>
  <c r="AF2115" i="6"/>
  <c r="AF2116" i="6"/>
  <c r="AF2117" i="6"/>
  <c r="AF2118" i="6"/>
  <c r="AF2119" i="6"/>
  <c r="AF2120" i="6"/>
  <c r="AF2121" i="6"/>
  <c r="AF2122" i="6"/>
  <c r="AF2123" i="6"/>
  <c r="AF2124" i="6"/>
  <c r="AF2125" i="6"/>
  <c r="AF2126" i="6"/>
  <c r="AF2127" i="6"/>
  <c r="AF2128" i="6"/>
  <c r="AF2129" i="6"/>
  <c r="AF2130" i="6"/>
  <c r="AF2131" i="6"/>
  <c r="AF2132" i="6"/>
  <c r="AF2133" i="6"/>
  <c r="AF2134" i="6"/>
  <c r="AF2135" i="6"/>
  <c r="AF2136" i="6"/>
  <c r="AF2137" i="6"/>
  <c r="AF2138" i="6"/>
  <c r="AF2139" i="6"/>
  <c r="AF2140" i="6"/>
  <c r="AF2141" i="6"/>
  <c r="AF2142" i="6"/>
  <c r="AF2143" i="6"/>
  <c r="AF2144" i="6"/>
  <c r="AF2145" i="6"/>
  <c r="AF2146" i="6"/>
  <c r="AF2147" i="6"/>
  <c r="AF2148" i="6"/>
  <c r="AF2149" i="6"/>
  <c r="AF2150" i="6"/>
  <c r="AF2151" i="6"/>
  <c r="AF2152" i="6"/>
  <c r="AF2153" i="6"/>
  <c r="AF2154" i="6"/>
  <c r="AF2155" i="6"/>
  <c r="AF2156" i="6"/>
  <c r="AF2157" i="6"/>
  <c r="AF2158" i="6"/>
  <c r="AF2159" i="6"/>
  <c r="AF2160" i="6"/>
  <c r="AF2161" i="6"/>
  <c r="AF2162" i="6"/>
  <c r="AF2163" i="6"/>
  <c r="AF2164" i="6"/>
  <c r="AF2165" i="6"/>
  <c r="AF2166" i="6"/>
  <c r="AF2167" i="6"/>
  <c r="AF2168" i="6"/>
  <c r="AF2169" i="6"/>
  <c r="AF2170" i="6"/>
  <c r="AF2171" i="6"/>
  <c r="AF2172" i="6"/>
  <c r="AF2173" i="6"/>
  <c r="AF2174" i="6"/>
  <c r="AF2175" i="6"/>
  <c r="AF2176" i="6"/>
  <c r="AF2177" i="6"/>
  <c r="AF2178" i="6"/>
  <c r="AF2179" i="6"/>
  <c r="AF2180" i="6"/>
  <c r="AF2181" i="6"/>
  <c r="AF2182" i="6"/>
  <c r="AF2183" i="6"/>
  <c r="AF2184" i="6"/>
  <c r="AF2185" i="6"/>
  <c r="AF2186" i="6"/>
  <c r="AF2187" i="6"/>
  <c r="AF2188" i="6"/>
  <c r="AF2189" i="6"/>
  <c r="AF2190" i="6"/>
  <c r="AF2191" i="6"/>
  <c r="AF2192" i="6"/>
  <c r="AF2193" i="6"/>
  <c r="AF2194" i="6"/>
  <c r="AF2195" i="6"/>
  <c r="AF2196" i="6"/>
  <c r="AF2197" i="6"/>
  <c r="AF2198" i="6"/>
  <c r="AF2199" i="6"/>
  <c r="AF2200" i="6"/>
  <c r="AF2201" i="6"/>
  <c r="AF2202" i="6"/>
  <c r="AF2203" i="6"/>
  <c r="AF2204" i="6"/>
  <c r="AF2205" i="6"/>
  <c r="AF2206" i="6"/>
  <c r="AF2207" i="6"/>
  <c r="AF2208" i="6"/>
  <c r="AF2209" i="6"/>
  <c r="AF2210" i="6"/>
  <c r="AF2211" i="6"/>
  <c r="AF2212" i="6"/>
  <c r="AF2213" i="6"/>
  <c r="AF2214" i="6"/>
  <c r="AF2215" i="6"/>
  <c r="AF2216" i="6"/>
  <c r="AF2217" i="6"/>
  <c r="AF2218" i="6"/>
  <c r="AF2219" i="6"/>
  <c r="AF2220" i="6"/>
  <c r="AF2221" i="6"/>
  <c r="AF2222" i="6"/>
  <c r="AF2223" i="6"/>
  <c r="AF2224" i="6"/>
  <c r="AF2225" i="6"/>
  <c r="AF2226" i="6"/>
  <c r="AF2227" i="6"/>
  <c r="AF2228" i="6"/>
  <c r="AF2229" i="6"/>
  <c r="AF2230" i="6"/>
  <c r="AF2231" i="6"/>
  <c r="AF2232" i="6"/>
  <c r="AF2233" i="6"/>
  <c r="AF2234" i="6"/>
  <c r="AF2235" i="6"/>
  <c r="AF2236" i="6"/>
  <c r="AF2237" i="6"/>
  <c r="AF2238" i="6"/>
  <c r="AF2239" i="6"/>
  <c r="AF2240" i="6"/>
  <c r="AF2241" i="6"/>
  <c r="AF2242" i="6"/>
  <c r="AF2243" i="6"/>
  <c r="AF2244" i="6"/>
  <c r="AF2245" i="6"/>
  <c r="AF2246" i="6"/>
  <c r="AF2247" i="6"/>
  <c r="AF2248" i="6"/>
  <c r="AF2249" i="6"/>
  <c r="AF2250" i="6"/>
  <c r="AF2251" i="6"/>
  <c r="AF2252" i="6"/>
  <c r="AF2253" i="6"/>
  <c r="AF2254" i="6"/>
  <c r="AF2255" i="6"/>
  <c r="AF2256" i="6"/>
  <c r="AF2257" i="6"/>
  <c r="AF2258" i="6"/>
  <c r="AF2259" i="6"/>
  <c r="AF2260" i="6"/>
  <c r="AF2261" i="6"/>
  <c r="AF2262" i="6"/>
  <c r="AF2263" i="6"/>
  <c r="AF2264" i="6"/>
  <c r="AF2265" i="6"/>
  <c r="AF2266" i="6"/>
  <c r="AF2267" i="6"/>
  <c r="AF2268" i="6"/>
  <c r="AF2269" i="6"/>
  <c r="AF2270" i="6"/>
  <c r="AF2271" i="6"/>
  <c r="AF2272" i="6"/>
  <c r="AF2273" i="6"/>
  <c r="AF2274" i="6"/>
  <c r="AF2275" i="6"/>
  <c r="AF2276" i="6"/>
  <c r="AF2277" i="6"/>
  <c r="AF2278" i="6"/>
  <c r="AF2279" i="6"/>
  <c r="AF2280" i="6"/>
  <c r="AF2281" i="6"/>
  <c r="AF2282" i="6"/>
  <c r="AF2283" i="6"/>
  <c r="AF2284" i="6"/>
  <c r="AF2285" i="6"/>
  <c r="AF2286" i="6"/>
  <c r="AF2287" i="6"/>
  <c r="AF2288" i="6"/>
  <c r="AF2289" i="6"/>
  <c r="AF2290" i="6"/>
  <c r="AF2291" i="6"/>
  <c r="AF2292" i="6"/>
  <c r="AF2293" i="6"/>
  <c r="AF2294" i="6"/>
  <c r="AF2295" i="6"/>
  <c r="AF2296" i="6"/>
  <c r="AF2297" i="6"/>
  <c r="AF2298" i="6"/>
  <c r="AF2299" i="6"/>
  <c r="AF2300" i="6"/>
  <c r="AF2301" i="6"/>
  <c r="AF2302" i="6"/>
  <c r="AF2303" i="6"/>
  <c r="AF2304" i="6"/>
  <c r="AF2305" i="6"/>
  <c r="AF2306" i="6"/>
  <c r="AF2307" i="6"/>
  <c r="AF2308" i="6"/>
  <c r="AF2309" i="6"/>
  <c r="AF2310" i="6"/>
  <c r="AF2311" i="6"/>
  <c r="AF2312" i="6"/>
  <c r="AF2313" i="6"/>
  <c r="AF2314" i="6"/>
  <c r="AF2315" i="6"/>
  <c r="AF2316" i="6"/>
  <c r="AF2317" i="6"/>
  <c r="AF2318" i="6"/>
  <c r="AF2319" i="6"/>
  <c r="AF2320" i="6"/>
  <c r="AF2321" i="6"/>
  <c r="AF2322" i="6"/>
  <c r="AF2323" i="6"/>
  <c r="AF2324" i="6"/>
  <c r="AF2325" i="6"/>
  <c r="AF2326" i="6"/>
  <c r="AF2327" i="6"/>
  <c r="AF2328" i="6"/>
  <c r="AF2329" i="6"/>
  <c r="AF2330" i="6"/>
  <c r="AF2331" i="6"/>
  <c r="AF2332" i="6"/>
  <c r="AF2333" i="6"/>
  <c r="AF2334" i="6"/>
  <c r="AF2335" i="6"/>
  <c r="AF2336" i="6"/>
  <c r="AF2337" i="6"/>
  <c r="AF2338" i="6"/>
  <c r="AF2339" i="6"/>
  <c r="AF2340" i="6"/>
  <c r="AF2341" i="6"/>
  <c r="AF2342" i="6"/>
  <c r="AF2343" i="6"/>
  <c r="AF2344" i="6"/>
  <c r="AF2345" i="6"/>
  <c r="AF2346" i="6"/>
  <c r="AF2347" i="6"/>
  <c r="AF2348" i="6"/>
  <c r="AF2349" i="6"/>
  <c r="AF2350" i="6"/>
  <c r="AF2351" i="6"/>
  <c r="AF2352" i="6"/>
  <c r="AF2353" i="6"/>
  <c r="AF2354" i="6"/>
  <c r="AF2355" i="6"/>
  <c r="AF2356" i="6"/>
  <c r="AF2357" i="6"/>
  <c r="AF2358" i="6"/>
  <c r="AF2359" i="6"/>
  <c r="AF2360" i="6"/>
  <c r="AF2361" i="6"/>
  <c r="AF2362" i="6"/>
  <c r="AF2363" i="6"/>
  <c r="AF2364" i="6"/>
  <c r="AF2365" i="6"/>
  <c r="AF2366" i="6"/>
  <c r="AF2367" i="6"/>
  <c r="AF2368" i="6"/>
  <c r="AF2369" i="6"/>
  <c r="AF2370" i="6"/>
  <c r="AF2371" i="6"/>
  <c r="AF2372" i="6"/>
  <c r="AF2373" i="6"/>
  <c r="AF2374" i="6"/>
  <c r="AF2375" i="6"/>
  <c r="AF2376" i="6"/>
  <c r="AF2377" i="6"/>
  <c r="AF2378" i="6"/>
  <c r="AF2379" i="6"/>
  <c r="AF2380" i="6"/>
  <c r="AF2381" i="6"/>
  <c r="AF2382" i="6"/>
  <c r="AF2383" i="6"/>
  <c r="AF2384" i="6"/>
  <c r="AF2385" i="6"/>
  <c r="AF2386" i="6"/>
  <c r="AF2387" i="6"/>
  <c r="AF2388" i="6"/>
  <c r="AF2389" i="6"/>
  <c r="AF2390" i="6"/>
  <c r="AF2391" i="6"/>
  <c r="AF2392" i="6"/>
  <c r="AF2393" i="6"/>
  <c r="AF2394" i="6"/>
  <c r="AF2395" i="6"/>
  <c r="AF2396" i="6"/>
  <c r="AF2397" i="6"/>
  <c r="AF2398" i="6"/>
  <c r="AF2399" i="6"/>
  <c r="AF2400" i="6"/>
  <c r="AF2401" i="6"/>
  <c r="AF2402" i="6"/>
  <c r="AF2403" i="6"/>
  <c r="AF2404" i="6"/>
  <c r="AF2405" i="6"/>
  <c r="AF2406" i="6"/>
  <c r="AF2407" i="6"/>
  <c r="AF2408" i="6"/>
  <c r="AF2409" i="6"/>
  <c r="AF2410" i="6"/>
  <c r="AF2411" i="6"/>
  <c r="AF2412" i="6"/>
  <c r="AF2413" i="6"/>
  <c r="AF2414" i="6"/>
  <c r="AF2415" i="6"/>
  <c r="AF2416" i="6"/>
  <c r="AF2417" i="6"/>
  <c r="AF2418" i="6"/>
  <c r="AF2419" i="6"/>
  <c r="AF2420" i="6"/>
  <c r="AF2421" i="6"/>
  <c r="AF2422" i="6"/>
  <c r="AF2423" i="6"/>
  <c r="AF2424" i="6"/>
  <c r="AF2425" i="6"/>
  <c r="AF2426" i="6"/>
  <c r="AF2427" i="6"/>
  <c r="AF2428" i="6"/>
  <c r="AF2429" i="6"/>
  <c r="AF2430" i="6"/>
  <c r="AF2431" i="6"/>
  <c r="AF2432" i="6"/>
  <c r="AF2433" i="6"/>
  <c r="AF2434" i="6"/>
  <c r="AF2435" i="6"/>
  <c r="AF2436" i="6"/>
  <c r="AF2437" i="6"/>
  <c r="AF2438" i="6"/>
  <c r="AF2439" i="6"/>
  <c r="AF2440" i="6"/>
  <c r="AF2441" i="6"/>
  <c r="AF2442" i="6"/>
  <c r="AF2443" i="6"/>
  <c r="AF2444" i="6"/>
  <c r="AF2445" i="6"/>
  <c r="AF2446" i="6"/>
  <c r="AF2447" i="6"/>
  <c r="AF2448" i="6"/>
  <c r="AF2449" i="6"/>
  <c r="AF2450" i="6"/>
  <c r="AF2451" i="6"/>
  <c r="AF2452" i="6"/>
  <c r="AF2453" i="6"/>
  <c r="AF2454" i="6"/>
  <c r="AF2455" i="6"/>
  <c r="AF2456" i="6"/>
  <c r="AF2457" i="6"/>
  <c r="AF2458" i="6"/>
  <c r="AF2459" i="6"/>
  <c r="AF2460" i="6"/>
  <c r="AF2461" i="6"/>
  <c r="AF2462" i="6"/>
  <c r="AF2463" i="6"/>
  <c r="AF2464" i="6"/>
  <c r="AF2465" i="6"/>
  <c r="AF2466" i="6"/>
  <c r="AF2467" i="6"/>
  <c r="AF2468" i="6"/>
  <c r="AF2469" i="6"/>
  <c r="AF2470" i="6"/>
  <c r="AF2471" i="6"/>
  <c r="AF2472" i="6"/>
  <c r="AF2473" i="6"/>
  <c r="AF2474" i="6"/>
  <c r="AF2475" i="6"/>
  <c r="AF2476" i="6"/>
  <c r="AF2477" i="6"/>
  <c r="AF2478" i="6"/>
  <c r="AF2479" i="6"/>
  <c r="AF2480" i="6"/>
  <c r="AF2481" i="6"/>
  <c r="AF2482" i="6"/>
  <c r="AF2483" i="6"/>
  <c r="AF2484" i="6"/>
  <c r="AF2485" i="6"/>
  <c r="AF2486" i="6"/>
  <c r="AF2487" i="6"/>
  <c r="AF2488" i="6"/>
  <c r="AF2489" i="6"/>
  <c r="AF2490" i="6"/>
  <c r="AF2491" i="6"/>
  <c r="AF2492" i="6"/>
  <c r="AF2493" i="6"/>
  <c r="AF2494" i="6"/>
  <c r="AF2495" i="6"/>
  <c r="AF2496" i="6"/>
  <c r="AF2497" i="6"/>
  <c r="AF2498" i="6"/>
  <c r="AF2499" i="6"/>
  <c r="AF2500" i="6"/>
  <c r="AF2501" i="6"/>
  <c r="AF2502" i="6"/>
  <c r="AF2503" i="6"/>
  <c r="AF2504" i="6"/>
  <c r="AF2505" i="6"/>
  <c r="AF2506" i="6"/>
  <c r="AF2507" i="6"/>
  <c r="AF2508" i="6"/>
  <c r="AF2509" i="6"/>
  <c r="AF2510" i="6"/>
  <c r="AF2511" i="6"/>
  <c r="AF2512" i="6"/>
  <c r="AF2513" i="6"/>
  <c r="AF2514" i="6"/>
  <c r="AF2515" i="6"/>
  <c r="AF2516" i="6"/>
  <c r="AF2517" i="6"/>
  <c r="AF2518" i="6"/>
  <c r="AF2519" i="6"/>
  <c r="AF2520" i="6"/>
  <c r="AF2521" i="6"/>
  <c r="AF2522" i="6"/>
  <c r="AF2523" i="6"/>
  <c r="AF2524" i="6"/>
  <c r="AF2525" i="6"/>
  <c r="AF2526" i="6"/>
  <c r="AF2527" i="6"/>
  <c r="AF2528" i="6"/>
  <c r="AF2529" i="6"/>
  <c r="AF2530" i="6"/>
  <c r="AF2531" i="6"/>
  <c r="AF2532" i="6"/>
  <c r="AF2533" i="6"/>
  <c r="AF2534" i="6"/>
  <c r="AF2535" i="6"/>
  <c r="AF2536" i="6"/>
  <c r="AF2537" i="6"/>
  <c r="AF2538" i="6"/>
  <c r="AF2539" i="6"/>
  <c r="AF2540" i="6"/>
  <c r="AF2541" i="6"/>
  <c r="AF2542" i="6"/>
  <c r="AF2543" i="6"/>
  <c r="AF2544" i="6"/>
  <c r="AF2547" i="6"/>
  <c r="AF2548" i="6"/>
  <c r="AF2549" i="6"/>
  <c r="AF2550" i="6"/>
  <c r="AF2551" i="6"/>
  <c r="AF2552" i="6"/>
  <c r="AF2553" i="6"/>
  <c r="AF2554" i="6"/>
  <c r="AF2555" i="6"/>
  <c r="AF2556" i="6"/>
  <c r="AF2557" i="6"/>
  <c r="AF2558" i="6"/>
  <c r="AF2559" i="6"/>
  <c r="AF2560" i="6"/>
  <c r="AF2561" i="6"/>
  <c r="AF2562" i="6"/>
  <c r="AF2563" i="6"/>
  <c r="AF2564" i="6"/>
  <c r="AF2565" i="6"/>
  <c r="AF2566" i="6"/>
  <c r="AF2567" i="6"/>
  <c r="AF2568" i="6"/>
  <c r="AF2569" i="6"/>
  <c r="AF2570" i="6"/>
  <c r="AF2571" i="6"/>
  <c r="AF2572" i="6"/>
  <c r="AF2573" i="6"/>
  <c r="AF2574" i="6"/>
  <c r="AF2575" i="6"/>
  <c r="AF2576" i="6"/>
  <c r="AF2577" i="6"/>
  <c r="AF2578" i="6"/>
  <c r="AF2579" i="6"/>
  <c r="AF2580" i="6"/>
  <c r="AF2581" i="6"/>
  <c r="AF2582" i="6"/>
  <c r="AF2583" i="6"/>
  <c r="AF2584" i="6"/>
  <c r="AF2585" i="6"/>
  <c r="AF2586" i="6"/>
  <c r="AF2587" i="6"/>
  <c r="AF2588" i="6"/>
  <c r="AF2589" i="6"/>
  <c r="AF2590" i="6"/>
  <c r="AF2591" i="6"/>
  <c r="AF2592" i="6"/>
  <c r="AF2593" i="6"/>
  <c r="AF2594" i="6"/>
  <c r="AF2595" i="6"/>
  <c r="AF2596" i="6"/>
  <c r="AF2597" i="6"/>
  <c r="AF2598" i="6"/>
  <c r="AF2599" i="6"/>
  <c r="AF2600" i="6"/>
  <c r="AF2601" i="6"/>
  <c r="AF2602" i="6"/>
  <c r="AF2603" i="6"/>
  <c r="AF2604" i="6"/>
  <c r="AF2605" i="6"/>
  <c r="AF2606" i="6"/>
  <c r="AF2607" i="6"/>
  <c r="AF2608" i="6"/>
  <c r="AF2609" i="6"/>
  <c r="AF2610" i="6"/>
  <c r="AF2611" i="6"/>
  <c r="AF2612" i="6"/>
  <c r="AF2613" i="6"/>
  <c r="AF2614" i="6"/>
  <c r="AF2615" i="6"/>
  <c r="AF2616" i="6"/>
  <c r="AF2617" i="6"/>
  <c r="AF2618" i="6"/>
  <c r="AF2619" i="6"/>
  <c r="AF2620" i="6"/>
  <c r="AF2621" i="6"/>
  <c r="AF2622" i="6"/>
  <c r="AF2623" i="6"/>
  <c r="AF2624" i="6"/>
  <c r="AF2625" i="6"/>
  <c r="AF2626" i="6"/>
  <c r="AF2627" i="6"/>
  <c r="AF2628" i="6"/>
  <c r="AF2629" i="6"/>
  <c r="AF2630" i="6"/>
  <c r="AF2631" i="6"/>
  <c r="AF2632" i="6"/>
  <c r="AF2633" i="6"/>
  <c r="AF2634" i="6"/>
  <c r="AF2635" i="6"/>
  <c r="AF2636" i="6"/>
  <c r="AF2637" i="6"/>
  <c r="AF2638" i="6"/>
  <c r="AF2639" i="6"/>
  <c r="AF2640" i="6"/>
  <c r="AF2641" i="6"/>
  <c r="AF2642" i="6"/>
  <c r="AF2643" i="6"/>
  <c r="AF2644" i="6"/>
  <c r="AF2645" i="6"/>
  <c r="AF2646" i="6"/>
  <c r="AF2647" i="6"/>
  <c r="AF2648" i="6"/>
  <c r="AF2649" i="6"/>
  <c r="AF2650" i="6"/>
  <c r="AF2651" i="6"/>
  <c r="AF2652" i="6"/>
  <c r="AF2653" i="6"/>
  <c r="AF2654" i="6"/>
  <c r="AF2655" i="6"/>
  <c r="AF2656" i="6"/>
  <c r="AF2657" i="6"/>
  <c r="AF2658" i="6"/>
  <c r="AF2659" i="6"/>
  <c r="AF2660" i="6"/>
  <c r="AF2661" i="6"/>
  <c r="AF2662" i="6"/>
  <c r="AF2663" i="6"/>
  <c r="AF2664" i="6"/>
  <c r="AF2665" i="6"/>
  <c r="AF2666" i="6"/>
  <c r="AF2667" i="6"/>
  <c r="AF2668" i="6"/>
  <c r="AF2669" i="6"/>
  <c r="AF2670" i="6"/>
  <c r="AF2671" i="6"/>
  <c r="AF2672" i="6"/>
  <c r="AF2673" i="6"/>
  <c r="AF2674" i="6"/>
  <c r="AF2675" i="6"/>
  <c r="AF2676" i="6"/>
  <c r="AF2677" i="6"/>
  <c r="AF2678" i="6"/>
  <c r="AF2679" i="6"/>
  <c r="AF2680" i="6"/>
  <c r="AF2681" i="6"/>
  <c r="AF2682" i="6"/>
  <c r="AF2683" i="6"/>
  <c r="AF2684" i="6"/>
  <c r="AF2685" i="6"/>
  <c r="AF2686" i="6"/>
  <c r="AF2687" i="6"/>
  <c r="AF2688" i="6"/>
  <c r="AF2689" i="6"/>
  <c r="AF2690" i="6"/>
  <c r="AF2691" i="6"/>
  <c r="AF2692" i="6"/>
  <c r="AF2693" i="6"/>
  <c r="AF2694" i="6"/>
  <c r="AF2695" i="6"/>
  <c r="AF2701" i="6"/>
  <c r="AF2702" i="6"/>
  <c r="AF2703" i="6"/>
  <c r="AF2704" i="6"/>
  <c r="AF2705" i="6"/>
  <c r="AF2706" i="6"/>
  <c r="AF2707" i="6"/>
  <c r="AF2708" i="6"/>
  <c r="AF2709" i="6"/>
  <c r="AF2710" i="6"/>
  <c r="AF2711" i="6"/>
  <c r="AF2712" i="6"/>
  <c r="AF2713" i="6"/>
  <c r="AF2714" i="6"/>
  <c r="AF2715" i="6"/>
  <c r="AF2716" i="6"/>
  <c r="AF2717" i="6"/>
  <c r="AF2718" i="6"/>
  <c r="AF2719" i="6"/>
  <c r="AF2720" i="6"/>
  <c r="AF2721" i="6"/>
  <c r="AF2722" i="6"/>
  <c r="AF2723" i="6"/>
  <c r="AF2724" i="6"/>
  <c r="AF2725" i="6"/>
  <c r="AF2726" i="6"/>
  <c r="AF2727" i="6"/>
  <c r="AF2728" i="6"/>
  <c r="AF2729" i="6"/>
  <c r="AF2730" i="6"/>
  <c r="AF2731" i="6"/>
  <c r="AF2732" i="6"/>
  <c r="AF2733" i="6"/>
  <c r="AF2734" i="6"/>
  <c r="AF2735" i="6"/>
  <c r="AF2736" i="6"/>
  <c r="AF2737" i="6"/>
  <c r="AF2738" i="6"/>
  <c r="AF2739" i="6"/>
  <c r="AF2740" i="6"/>
  <c r="AF2742" i="6"/>
  <c r="AF2743" i="6"/>
  <c r="AF2744" i="6"/>
  <c r="AF2745" i="6"/>
  <c r="AF2746" i="6"/>
  <c r="AF2747" i="6"/>
  <c r="AF2748" i="6"/>
  <c r="AF2749" i="6"/>
  <c r="AF2750" i="6"/>
  <c r="AF2751" i="6"/>
  <c r="AF2752" i="6"/>
  <c r="AF2753" i="6"/>
  <c r="AF2754" i="6"/>
  <c r="AF2755" i="6"/>
  <c r="AF2756" i="6"/>
  <c r="AF2757" i="6"/>
  <c r="AF2758" i="6"/>
  <c r="AF2762" i="6"/>
  <c r="AF2763" i="6"/>
  <c r="AF2764" i="6"/>
  <c r="AF2765" i="6"/>
  <c r="AF2766" i="6"/>
  <c r="AF2767" i="6"/>
  <c r="AF2768" i="6"/>
  <c r="AF2772" i="6"/>
  <c r="AF2773" i="6"/>
  <c r="AF2774" i="6"/>
  <c r="AF2775" i="6"/>
  <c r="AF2776" i="6"/>
  <c r="AF2777" i="6"/>
  <c r="AF2778" i="6"/>
  <c r="AF2779" i="6"/>
  <c r="AF2780" i="6"/>
  <c r="AF2781" i="6"/>
  <c r="AF2782" i="6"/>
  <c r="AF2783" i="6"/>
  <c r="AF2784" i="6"/>
  <c r="AF2785" i="6"/>
  <c r="AF2786" i="6"/>
  <c r="AF2787" i="6"/>
  <c r="AF2788" i="6"/>
  <c r="AF2789" i="6"/>
  <c r="AF2790" i="6"/>
  <c r="AF2791" i="6"/>
  <c r="AF2792" i="6"/>
  <c r="AF2793" i="6"/>
  <c r="AF2794" i="6"/>
  <c r="AF2795" i="6"/>
  <c r="AF2799" i="6"/>
  <c r="AF2800" i="6"/>
  <c r="AF2801" i="6"/>
  <c r="AF2802" i="6"/>
  <c r="AF2803" i="6"/>
  <c r="AF2804" i="6"/>
  <c r="AF2805" i="6"/>
  <c r="AF2806" i="6"/>
  <c r="AF2807" i="6"/>
  <c r="AF2808" i="6"/>
  <c r="AF2809" i="6"/>
  <c r="AF2810" i="6"/>
  <c r="AF2811" i="6"/>
  <c r="AF2815" i="6"/>
  <c r="AF2816" i="6"/>
  <c r="AF2817" i="6"/>
  <c r="AF2818" i="6"/>
  <c r="AF2819" i="6"/>
  <c r="AF2820" i="6"/>
  <c r="AF2821" i="6"/>
  <c r="AF2822" i="6"/>
  <c r="AF2823" i="6"/>
  <c r="AF2824" i="6"/>
  <c r="AF2825" i="6"/>
  <c r="AF2826" i="6"/>
  <c r="AF2827" i="6"/>
  <c r="AF2831" i="6"/>
  <c r="AF2832" i="6"/>
  <c r="AF2833" i="6"/>
  <c r="AF2834" i="6"/>
  <c r="AF2835" i="6"/>
  <c r="AF2836" i="6"/>
  <c r="AF2837" i="6"/>
  <c r="AF2838" i="6"/>
  <c r="AF2839" i="6"/>
  <c r="AF2840" i="6"/>
  <c r="AF2841" i="6"/>
  <c r="AF2842" i="6"/>
  <c r="AF2843" i="6"/>
  <c r="AF2844" i="6"/>
  <c r="AF2845" i="6"/>
  <c r="AF2846" i="6"/>
  <c r="AF2847" i="6"/>
  <c r="AF2848" i="6"/>
  <c r="AF2849" i="6"/>
  <c r="AF2850" i="6"/>
  <c r="AF2851" i="6"/>
  <c r="AF2852" i="6"/>
  <c r="AF2853" i="6"/>
  <c r="AF2854" i="6"/>
  <c r="AF2855" i="6"/>
  <c r="AF2856" i="6"/>
  <c r="AF2857" i="6"/>
  <c r="AF2858" i="6"/>
  <c r="AF2859" i="6"/>
  <c r="AF2860" i="6"/>
  <c r="AF2861" i="6"/>
  <c r="AF2862" i="6"/>
  <c r="AF2863" i="6"/>
  <c r="AF2864" i="6"/>
  <c r="AF2865" i="6"/>
  <c r="AF2866" i="6"/>
  <c r="AF2867" i="6"/>
  <c r="AF2868" i="6"/>
  <c r="AF2869" i="6"/>
  <c r="AF2870" i="6"/>
  <c r="AF2871" i="6"/>
  <c r="AF2872" i="6"/>
  <c r="AF2873" i="6"/>
  <c r="AF2874" i="6"/>
  <c r="AF2875" i="6"/>
  <c r="AF2876" i="6"/>
  <c r="AF2877" i="6"/>
  <c r="AF2878" i="6"/>
  <c r="AF2879" i="6"/>
  <c r="AF2880" i="6"/>
  <c r="AF2881" i="6"/>
  <c r="AF2882" i="6"/>
  <c r="AF2883" i="6"/>
  <c r="AF2884" i="6"/>
  <c r="AF2885" i="6"/>
  <c r="AF2886" i="6"/>
  <c r="AF2887" i="6"/>
  <c r="AF2888" i="6"/>
  <c r="AF2889" i="6"/>
  <c r="AF2890" i="6"/>
  <c r="AF2891" i="6"/>
  <c r="AF2892" i="6"/>
  <c r="AF2893" i="6"/>
  <c r="AF2894" i="6"/>
  <c r="AF2895" i="6"/>
  <c r="AF2896" i="6"/>
  <c r="AF2897" i="6"/>
  <c r="AF2898" i="6"/>
  <c r="AF2899" i="6"/>
  <c r="AF2900" i="6"/>
  <c r="AF2901" i="6"/>
  <c r="AF2902" i="6"/>
  <c r="AF2903" i="6"/>
  <c r="AF2904" i="6"/>
  <c r="AF2905" i="6"/>
  <c r="AF2906" i="6"/>
  <c r="AF2907" i="6"/>
  <c r="AF2908" i="6"/>
  <c r="AF2909" i="6"/>
  <c r="AF2910" i="6"/>
  <c r="AF2911" i="6"/>
  <c r="AF2912" i="6"/>
  <c r="AF2913" i="6"/>
  <c r="AF2914" i="6"/>
  <c r="AF2915" i="6"/>
  <c r="AF2916" i="6"/>
  <c r="AF2917" i="6"/>
  <c r="AF2918" i="6"/>
  <c r="AF2919" i="6"/>
  <c r="AF2920" i="6"/>
  <c r="AF2921" i="6"/>
  <c r="AF2922" i="6"/>
  <c r="AF2923" i="6"/>
  <c r="AF2924" i="6"/>
  <c r="AF2925" i="6"/>
  <c r="AF2926" i="6"/>
  <c r="AF2927" i="6"/>
  <c r="AF2928" i="6"/>
  <c r="AF2929" i="6"/>
  <c r="AF2930" i="6"/>
  <c r="AF2931" i="6"/>
  <c r="AF2932" i="6"/>
  <c r="AF2933" i="6"/>
  <c r="AF2934" i="6"/>
  <c r="AF2935" i="6"/>
  <c r="AF2936" i="6"/>
  <c r="AF2937" i="6"/>
  <c r="AF2938" i="6"/>
  <c r="AF2939" i="6"/>
  <c r="AF2940" i="6"/>
  <c r="AF2941" i="6"/>
  <c r="AF2942" i="6"/>
  <c r="AF2943" i="6"/>
  <c r="AF2944" i="6"/>
  <c r="AF2945" i="6"/>
  <c r="AF2946" i="6"/>
  <c r="AF2947" i="6"/>
  <c r="AF2948" i="6"/>
  <c r="AF2949" i="6"/>
  <c r="AF2950" i="6"/>
  <c r="AF2951" i="6"/>
  <c r="AF2952" i="6"/>
  <c r="AF2953" i="6"/>
  <c r="AF2954" i="6"/>
  <c r="AF2955" i="6"/>
  <c r="AF2956" i="6"/>
  <c r="AF2957" i="6"/>
  <c r="AF2958" i="6"/>
  <c r="AF2959" i="6"/>
  <c r="AF2960" i="6"/>
  <c r="AF2961" i="6"/>
  <c r="AF2962" i="6"/>
  <c r="AF2963" i="6"/>
  <c r="AF2964" i="6"/>
  <c r="AF2965" i="6"/>
  <c r="AF2966" i="6"/>
  <c r="AF2967" i="6"/>
  <c r="AF2968" i="6"/>
  <c r="AF2969" i="6"/>
  <c r="AF2970" i="6"/>
  <c r="AF2971" i="6"/>
  <c r="AF2972" i="6"/>
  <c r="AF2973" i="6"/>
  <c r="AF2974" i="6"/>
  <c r="AF2975" i="6"/>
  <c r="AF2976" i="6"/>
  <c r="AF2977" i="6"/>
  <c r="AF2978" i="6"/>
  <c r="AF2979" i="6"/>
  <c r="AF2980" i="6"/>
  <c r="AF2981" i="6"/>
  <c r="AF2982" i="6"/>
  <c r="AF2983" i="6"/>
  <c r="AF2984" i="6"/>
  <c r="AF2985" i="6"/>
  <c r="AF2986" i="6"/>
  <c r="AF2987" i="6"/>
  <c r="AF2988" i="6"/>
  <c r="AF2989" i="6"/>
  <c r="AF2990" i="6"/>
  <c r="AF2991" i="6"/>
  <c r="AF2992" i="6"/>
  <c r="AF2993" i="6"/>
  <c r="AF2994" i="6"/>
  <c r="AF2995" i="6"/>
  <c r="AF2996" i="6"/>
  <c r="AF2997" i="6"/>
  <c r="AF2998" i="6"/>
  <c r="AF2999" i="6"/>
  <c r="AF3000" i="6"/>
  <c r="AF3001" i="6"/>
  <c r="AF3002" i="6"/>
  <c r="AF3003" i="6"/>
  <c r="AF3004" i="6"/>
  <c r="AF3005" i="6"/>
  <c r="AF3006" i="6"/>
  <c r="AF3007" i="6"/>
  <c r="AF3008" i="6"/>
  <c r="AF3009" i="6"/>
  <c r="AF3010" i="6"/>
  <c r="AF3011" i="6"/>
  <c r="AF3012" i="6"/>
  <c r="AF3013" i="6"/>
  <c r="AF3014" i="6"/>
  <c r="AF3015" i="6"/>
  <c r="AF3016" i="6"/>
  <c r="AF3017" i="6"/>
  <c r="AF3018" i="6"/>
  <c r="AF3019" i="6"/>
  <c r="AF3020" i="6"/>
  <c r="AF3021" i="6"/>
  <c r="AF3022" i="6"/>
  <c r="AF3023" i="6"/>
  <c r="AF3024" i="6"/>
  <c r="AF3025" i="6"/>
  <c r="AF3026" i="6"/>
  <c r="AF3027" i="6"/>
  <c r="AF3028" i="6"/>
  <c r="AF3029" i="6"/>
  <c r="AF3030" i="6"/>
  <c r="AF3031" i="6"/>
  <c r="AF3032" i="6"/>
  <c r="AF3033" i="6"/>
  <c r="AF3034" i="6"/>
  <c r="AF3035" i="6"/>
  <c r="AF3036" i="6"/>
  <c r="AF3037" i="6"/>
  <c r="AF3038" i="6"/>
  <c r="AF3039" i="6"/>
  <c r="AF3040" i="6"/>
  <c r="AF3041" i="6"/>
  <c r="AF3042" i="6"/>
  <c r="AF3043" i="6"/>
  <c r="AF3044" i="6"/>
  <c r="AF3045" i="6"/>
  <c r="AF3046" i="6"/>
  <c r="AF3047" i="6"/>
  <c r="AF3048" i="6"/>
  <c r="AF3049" i="6"/>
  <c r="AF3050" i="6"/>
  <c r="AF3051" i="6"/>
  <c r="AF3052" i="6"/>
  <c r="AF3053" i="6"/>
  <c r="AF3054" i="6"/>
  <c r="AF3055" i="6"/>
  <c r="AF3056" i="6"/>
  <c r="AF3057" i="6"/>
  <c r="AF3058" i="6"/>
  <c r="AF3059" i="6"/>
  <c r="AF3060" i="6"/>
  <c r="AF3061" i="6"/>
  <c r="AF3062" i="6"/>
  <c r="AF3063" i="6"/>
  <c r="AF3064" i="6"/>
  <c r="AF3065" i="6"/>
  <c r="AF3066" i="6"/>
  <c r="AF3067" i="6"/>
  <c r="AF3068" i="6"/>
  <c r="AF3069" i="6"/>
  <c r="AF3070" i="6"/>
  <c r="AF3071" i="6"/>
  <c r="AF3072" i="6"/>
  <c r="AF3073" i="6"/>
  <c r="AF3074" i="6"/>
  <c r="AF3075" i="6"/>
  <c r="AF3076" i="6"/>
  <c r="AF3077" i="6"/>
  <c r="AF3078" i="6"/>
  <c r="AF3079" i="6"/>
  <c r="AF3080" i="6"/>
  <c r="AF3081" i="6"/>
  <c r="AF3082" i="6"/>
  <c r="AF3083" i="6"/>
  <c r="AF3084" i="6"/>
  <c r="AF3085" i="6"/>
  <c r="AF3086" i="6"/>
  <c r="AF3087" i="6"/>
  <c r="AF3088" i="6"/>
  <c r="AF3089" i="6"/>
  <c r="AF3090" i="6"/>
  <c r="AF3091" i="6"/>
  <c r="AF3092" i="6"/>
  <c r="AF3093" i="6"/>
  <c r="AF3094" i="6"/>
  <c r="AF3095" i="6"/>
  <c r="AF3096" i="6"/>
  <c r="AF3097" i="6"/>
  <c r="AF3098" i="6"/>
  <c r="AF3099" i="6"/>
  <c r="AF3100" i="6"/>
  <c r="AF3101" i="6"/>
  <c r="AF3102" i="6"/>
  <c r="AF3103" i="6"/>
  <c r="AF3104" i="6"/>
  <c r="AF3105" i="6"/>
  <c r="AF3106" i="6"/>
  <c r="AF3107" i="6"/>
  <c r="AF3108" i="6"/>
  <c r="AF3109" i="6"/>
  <c r="AF3110" i="6"/>
  <c r="AF3111" i="6"/>
  <c r="AF3112" i="6"/>
  <c r="AF3113" i="6"/>
  <c r="AF3114" i="6"/>
  <c r="AF3115" i="6"/>
  <c r="AF3116" i="6"/>
  <c r="AF3117" i="6"/>
  <c r="AF3118" i="6"/>
  <c r="AF3119" i="6"/>
  <c r="AF3120" i="6"/>
  <c r="AF3121" i="6"/>
  <c r="AF3122" i="6"/>
  <c r="AF3123" i="6"/>
  <c r="AF3124" i="6"/>
  <c r="AF3125" i="6"/>
  <c r="AF3126" i="6"/>
  <c r="AF3127" i="6"/>
  <c r="AF3128" i="6"/>
  <c r="AF3129" i="6"/>
  <c r="AF3130" i="6"/>
  <c r="AF3131" i="6"/>
  <c r="AF3132" i="6"/>
  <c r="AF3133" i="6"/>
  <c r="AF3134" i="6"/>
  <c r="AF3135" i="6"/>
  <c r="AF3136" i="6"/>
  <c r="AF3137" i="6"/>
  <c r="AF3138" i="6"/>
  <c r="AF3139" i="6"/>
  <c r="AF3140" i="6"/>
  <c r="AF3141" i="6"/>
  <c r="AF3142" i="6"/>
  <c r="AF3143" i="6"/>
  <c r="AF3144" i="6"/>
  <c r="AF3145" i="6"/>
  <c r="AF3146" i="6"/>
  <c r="AF3147" i="6"/>
  <c r="AF3148" i="6"/>
  <c r="AF3149" i="6"/>
  <c r="AF3150" i="6"/>
  <c r="AF3151" i="6"/>
  <c r="AF3152" i="6"/>
  <c r="AF3153" i="6"/>
  <c r="AF3154" i="6"/>
  <c r="AF3155" i="6"/>
  <c r="AF3156" i="6"/>
  <c r="AF3157" i="6"/>
  <c r="AF3158" i="6"/>
  <c r="AF3159" i="6"/>
  <c r="AF3160" i="6"/>
  <c r="AF3161" i="6"/>
  <c r="AF3162" i="6"/>
  <c r="AF3163" i="6"/>
  <c r="AF3164" i="6"/>
  <c r="AF3165" i="6"/>
  <c r="AF3166" i="6"/>
  <c r="AF3167" i="6"/>
  <c r="AF3168" i="6"/>
  <c r="AF3169" i="6"/>
  <c r="AF3170" i="6"/>
  <c r="AF3171" i="6"/>
  <c r="AF3172" i="6"/>
  <c r="AF3173" i="6"/>
  <c r="AF3174" i="6"/>
  <c r="AF3175" i="6"/>
  <c r="AF3176" i="6"/>
  <c r="AF3177" i="6"/>
  <c r="AF3178" i="6"/>
  <c r="AF3179" i="6"/>
  <c r="AF3180" i="6"/>
  <c r="AF3181" i="6"/>
  <c r="AF3182" i="6"/>
  <c r="AF3183" i="6"/>
  <c r="AF3184" i="6"/>
  <c r="AF3185" i="6"/>
  <c r="AF3186" i="6"/>
  <c r="AF3187" i="6"/>
  <c r="AF3188" i="6"/>
  <c r="AF3189" i="6"/>
  <c r="AF3190" i="6"/>
  <c r="AF3191" i="6"/>
  <c r="AF3192" i="6"/>
  <c r="AF3193" i="6"/>
  <c r="AF3194" i="6"/>
  <c r="AF3195" i="6"/>
  <c r="AF3196" i="6"/>
  <c r="AF3197" i="6"/>
  <c r="AF3198" i="6"/>
  <c r="AF3199" i="6"/>
  <c r="AF3200" i="6"/>
  <c r="AF3201" i="6"/>
  <c r="AF3202" i="6"/>
  <c r="AF3203" i="6"/>
  <c r="AF3204" i="6"/>
  <c r="AF3205" i="6"/>
  <c r="AF3206" i="6"/>
  <c r="AF3207" i="6"/>
  <c r="AF3208" i="6"/>
  <c r="AF3209" i="6"/>
  <c r="AF3210" i="6"/>
  <c r="AF3211" i="6"/>
  <c r="AF3212" i="6"/>
  <c r="AF3213" i="6"/>
  <c r="AF3214" i="6"/>
  <c r="AF3215" i="6"/>
  <c r="AF3216" i="6"/>
  <c r="AF3217" i="6"/>
  <c r="AF3218" i="6"/>
  <c r="AF3219" i="6"/>
  <c r="AF3220" i="6"/>
  <c r="AF3221" i="6"/>
  <c r="AF3222" i="6"/>
  <c r="AF3223" i="6"/>
  <c r="AF3224" i="6"/>
  <c r="AF3225" i="6"/>
  <c r="AF3226" i="6"/>
  <c r="AF3227" i="6"/>
  <c r="AF3228" i="6"/>
  <c r="AF3229" i="6"/>
  <c r="AF3230" i="6"/>
  <c r="AF3231" i="6"/>
  <c r="AF3232" i="6"/>
  <c r="AF3233" i="6"/>
  <c r="AF3234" i="6"/>
  <c r="AF3235" i="6"/>
  <c r="AF3236" i="6"/>
  <c r="AF3237" i="6"/>
  <c r="AF3238" i="6"/>
  <c r="AF3239" i="6"/>
  <c r="AF3240" i="6"/>
  <c r="AF3241" i="6"/>
  <c r="AF3242" i="6"/>
  <c r="AF3243" i="6"/>
  <c r="AF3244" i="6"/>
  <c r="AF3245" i="6"/>
  <c r="AF3246" i="6"/>
  <c r="AF3247" i="6"/>
  <c r="AF3248" i="6"/>
  <c r="AF3249" i="6"/>
  <c r="AF3250" i="6"/>
  <c r="AF3251" i="6"/>
  <c r="AF3252" i="6"/>
  <c r="AF3253" i="6"/>
  <c r="AF3254" i="6"/>
  <c r="AF3255" i="6"/>
  <c r="AF3256" i="6"/>
  <c r="AF3257" i="6"/>
  <c r="AF3258" i="6"/>
  <c r="AF3259" i="6"/>
  <c r="AF3260" i="6"/>
  <c r="AF3261" i="6"/>
  <c r="AF3262" i="6"/>
  <c r="AF3263" i="6"/>
  <c r="AF3264" i="6"/>
  <c r="AF3265" i="6"/>
  <c r="AF3266" i="6"/>
  <c r="AF3267" i="6"/>
  <c r="AF3268" i="6"/>
  <c r="AF3269" i="6"/>
  <c r="AF3270" i="6"/>
  <c r="AF3271" i="6"/>
  <c r="AF3272" i="6"/>
  <c r="AF3273" i="6"/>
  <c r="AF3274" i="6"/>
  <c r="AF3275" i="6"/>
  <c r="AF3276" i="6"/>
  <c r="AF3277" i="6"/>
  <c r="AF3278" i="6"/>
  <c r="AF3279" i="6"/>
  <c r="AF3280" i="6"/>
  <c r="AF3281" i="6"/>
  <c r="AF3282" i="6"/>
  <c r="AF3283" i="6"/>
  <c r="AF3284" i="6"/>
  <c r="AF3285" i="6"/>
  <c r="AF3286" i="6"/>
  <c r="AF3287" i="6"/>
  <c r="AF3288" i="6"/>
  <c r="AF3289" i="6"/>
  <c r="AF3290" i="6"/>
  <c r="AF3291" i="6"/>
  <c r="AF3292" i="6"/>
  <c r="AF3293" i="6"/>
  <c r="AF3294" i="6"/>
  <c r="AF3295" i="6"/>
  <c r="AF3296" i="6"/>
  <c r="AF3297" i="6"/>
  <c r="AF3298" i="6"/>
  <c r="AF3299" i="6"/>
  <c r="AF3300" i="6"/>
  <c r="AF3301" i="6"/>
  <c r="AF3302" i="6"/>
  <c r="AF3303" i="6"/>
  <c r="AF3304" i="6"/>
  <c r="AF3305" i="6"/>
  <c r="AF3306" i="6"/>
  <c r="AF3307" i="6"/>
  <c r="AF3308" i="6"/>
  <c r="AF3309" i="6"/>
  <c r="AF3310" i="6"/>
  <c r="AF3311" i="6"/>
  <c r="AF3312" i="6"/>
  <c r="AF3313" i="6"/>
  <c r="AF3314" i="6"/>
  <c r="AF3315" i="6"/>
  <c r="AF3316" i="6"/>
  <c r="AF3317" i="6"/>
  <c r="AF3318" i="6"/>
  <c r="AF3319" i="6"/>
  <c r="AF3320" i="6"/>
  <c r="AF3321" i="6"/>
  <c r="AF3322" i="6"/>
  <c r="AF3323" i="6"/>
  <c r="AF3324" i="6"/>
  <c r="AF3325" i="6"/>
  <c r="AF3326" i="6"/>
  <c r="AF3327" i="6"/>
  <c r="AF3328" i="6"/>
  <c r="AF3329" i="6"/>
  <c r="AF3330" i="6"/>
  <c r="AF3331" i="6"/>
  <c r="AF3332" i="6"/>
  <c r="AF3333" i="6"/>
  <c r="AF3334" i="6"/>
  <c r="AF3335" i="6"/>
  <c r="AF3336" i="6"/>
  <c r="AF3337" i="6"/>
  <c r="AF3338" i="6"/>
  <c r="AF3339" i="6"/>
  <c r="AF3340" i="6"/>
  <c r="AF3341" i="6"/>
  <c r="AF3342" i="6"/>
  <c r="AF3343" i="6"/>
  <c r="AF3344" i="6"/>
  <c r="AF3345" i="6"/>
  <c r="AF3346" i="6"/>
  <c r="AF3347" i="6"/>
  <c r="AF3348" i="6"/>
  <c r="AF3349" i="6"/>
  <c r="AF3350" i="6"/>
  <c r="AF3351" i="6"/>
  <c r="AF3352" i="6"/>
  <c r="AF3353" i="6"/>
  <c r="AF3354" i="6"/>
  <c r="AF3355" i="6"/>
  <c r="AF3356" i="6"/>
  <c r="AF3357" i="6"/>
  <c r="AF3358" i="6"/>
  <c r="AF3359" i="6"/>
  <c r="AF3360" i="6"/>
  <c r="AF3361" i="6"/>
  <c r="AF3362" i="6"/>
  <c r="AF3363" i="6"/>
  <c r="AF3364" i="6"/>
  <c r="AF3365" i="6"/>
  <c r="AF3366" i="6"/>
  <c r="AF3367" i="6"/>
  <c r="AF3368" i="6"/>
  <c r="AF3369" i="6"/>
  <c r="AF3370" i="6"/>
  <c r="AF3371" i="6"/>
  <c r="AF3372" i="6"/>
  <c r="AF3373" i="6"/>
  <c r="AF3374" i="6"/>
  <c r="AF3375" i="6"/>
  <c r="AF3376" i="6"/>
  <c r="AF3377" i="6"/>
  <c r="AF3378" i="6"/>
  <c r="AF3379" i="6"/>
  <c r="AF3380" i="6"/>
  <c r="AF3381" i="6"/>
  <c r="AF3382" i="6"/>
  <c r="AF3383" i="6"/>
  <c r="AF3384" i="6"/>
  <c r="AF3385" i="6"/>
  <c r="AF3386" i="6"/>
  <c r="AF3387" i="6"/>
  <c r="AF3388" i="6"/>
  <c r="AF3389" i="6"/>
  <c r="AF3390" i="6"/>
  <c r="AF3391" i="6"/>
  <c r="AF3392" i="6"/>
  <c r="AF3393" i="6"/>
  <c r="AF3394" i="6"/>
  <c r="AF3395" i="6"/>
  <c r="AF3396" i="6"/>
  <c r="AF3397" i="6"/>
  <c r="AF3398" i="6"/>
  <c r="AF3399" i="6"/>
  <c r="AF3400" i="6"/>
  <c r="AF3401" i="6"/>
  <c r="AF3402" i="6"/>
  <c r="AF3403" i="6"/>
  <c r="AF3404" i="6"/>
  <c r="AF3405" i="6"/>
  <c r="AF3406" i="6"/>
  <c r="AF3407" i="6"/>
  <c r="AF3408" i="6"/>
  <c r="AF3409" i="6"/>
  <c r="AF3410" i="6"/>
  <c r="AF3411" i="6"/>
  <c r="AF3412" i="6"/>
  <c r="AF3413" i="6"/>
  <c r="AF3414" i="6"/>
  <c r="AF3415" i="6"/>
  <c r="AF3416" i="6"/>
  <c r="AF3417" i="6"/>
  <c r="AF3418" i="6"/>
  <c r="AF3419" i="6"/>
  <c r="AF3420" i="6"/>
  <c r="AF3421" i="6"/>
  <c r="AF3422" i="6"/>
  <c r="AF3423" i="6"/>
  <c r="AF3424" i="6"/>
  <c r="AF3425" i="6"/>
  <c r="AF3426" i="6"/>
  <c r="AF3427" i="6"/>
  <c r="AF3428" i="6"/>
  <c r="AF3429" i="6"/>
  <c r="AF3430" i="6"/>
  <c r="AF3431" i="6"/>
  <c r="AF3432" i="6"/>
  <c r="AF3433" i="6"/>
  <c r="AF3434" i="6"/>
  <c r="AF3435" i="6"/>
  <c r="AF3436" i="6"/>
  <c r="AF3437" i="6"/>
  <c r="AF3438" i="6"/>
  <c r="AF3439" i="6"/>
  <c r="AF3440" i="6"/>
  <c r="AF3441" i="6"/>
  <c r="AF3442" i="6"/>
  <c r="AF3443" i="6"/>
  <c r="AF3444" i="6"/>
  <c r="AF3445" i="6"/>
  <c r="AF3446" i="6"/>
  <c r="AF3447" i="6"/>
  <c r="AF3448" i="6"/>
  <c r="AF3449" i="6"/>
  <c r="AF3450" i="6"/>
  <c r="AF3451" i="6"/>
  <c r="AF3452" i="6"/>
  <c r="AF3453" i="6"/>
  <c r="AF3454" i="6"/>
  <c r="AF3455" i="6"/>
  <c r="AF3456" i="6"/>
  <c r="AF3457" i="6"/>
  <c r="AF3458" i="6"/>
  <c r="AF3459" i="6"/>
  <c r="AF3460" i="6"/>
  <c r="AF3461" i="6"/>
  <c r="AF3462" i="6"/>
  <c r="AF3463" i="6"/>
  <c r="AF3464" i="6"/>
  <c r="AF3465" i="6"/>
  <c r="AF3466" i="6"/>
  <c r="AF3467" i="6"/>
  <c r="AF3468" i="6"/>
  <c r="AF3469" i="6"/>
  <c r="AF3470" i="6"/>
  <c r="AF3471" i="6"/>
  <c r="AF3472" i="6"/>
  <c r="AF3473" i="6"/>
  <c r="AF3474" i="6"/>
  <c r="AF3475" i="6"/>
  <c r="AF3476" i="6"/>
  <c r="AF3477" i="6"/>
  <c r="AF3478" i="6"/>
  <c r="AF3479" i="6"/>
  <c r="AF3480" i="6"/>
  <c r="AF3481" i="6"/>
  <c r="AF3482" i="6"/>
  <c r="AF3483" i="6"/>
  <c r="AF3484" i="6"/>
  <c r="AF3485" i="6"/>
  <c r="AF3486" i="6"/>
  <c r="AF3487" i="6"/>
  <c r="AF3488" i="6"/>
  <c r="AF3489" i="6"/>
  <c r="AF3490" i="6"/>
  <c r="AF3491" i="6"/>
  <c r="AF3492" i="6"/>
  <c r="AF3493" i="6"/>
  <c r="AF3494" i="6"/>
  <c r="AF3495" i="6"/>
  <c r="AF3496" i="6"/>
  <c r="AF3497" i="6"/>
  <c r="AF3498" i="6"/>
  <c r="AF3499" i="6"/>
  <c r="AF3500" i="6"/>
  <c r="AF3501" i="6"/>
  <c r="AF3502" i="6"/>
  <c r="AF3503" i="6"/>
  <c r="AF3504" i="6"/>
  <c r="AF3505" i="6"/>
  <c r="AF3506" i="6"/>
  <c r="AF3507" i="6"/>
  <c r="AF3508" i="6"/>
  <c r="AF3509" i="6"/>
  <c r="AF3510" i="6"/>
  <c r="AF3511" i="6"/>
  <c r="AF3512" i="6"/>
  <c r="AF3513" i="6"/>
  <c r="AF3514" i="6"/>
  <c r="AF3515" i="6"/>
  <c r="AF3516" i="6"/>
  <c r="AF3517" i="6"/>
  <c r="AF3518" i="6"/>
  <c r="AF3519" i="6"/>
  <c r="AF3520" i="6"/>
  <c r="AF3521" i="6"/>
  <c r="AF3522" i="6"/>
  <c r="AF3523" i="6"/>
  <c r="AF3524" i="6"/>
  <c r="AF3525" i="6"/>
  <c r="AF3526" i="6"/>
  <c r="AF3527" i="6"/>
  <c r="AF3528" i="6"/>
  <c r="AF3529" i="6"/>
  <c r="AF3530" i="6"/>
  <c r="AF3531" i="6"/>
  <c r="AF3532" i="6"/>
  <c r="AF3533" i="6"/>
  <c r="AF3534" i="6"/>
  <c r="AF3535" i="6"/>
  <c r="AF3536" i="6"/>
  <c r="AF3537" i="6"/>
  <c r="AF3538" i="6"/>
  <c r="AF3539" i="6"/>
  <c r="AF3540" i="6"/>
  <c r="AF3541" i="6"/>
  <c r="AF3542" i="6"/>
  <c r="AF3543" i="6"/>
  <c r="AF3544" i="6"/>
  <c r="AF3545" i="6"/>
  <c r="AF3546" i="6"/>
  <c r="AF3547" i="6"/>
  <c r="AF3548" i="6"/>
  <c r="AF3549" i="6"/>
  <c r="AF3550" i="6"/>
  <c r="AF3551" i="6"/>
  <c r="AF3552" i="6"/>
  <c r="AF3553" i="6"/>
  <c r="AF3554" i="6"/>
  <c r="AF3555" i="6"/>
  <c r="AF3556" i="6"/>
  <c r="AF3557" i="6"/>
  <c r="AF3558" i="6"/>
  <c r="AF3559" i="6"/>
  <c r="AF3560" i="6"/>
  <c r="AF3561" i="6"/>
  <c r="AF3562" i="6"/>
  <c r="AF3563" i="6"/>
  <c r="AF3564" i="6"/>
  <c r="AF3565" i="6"/>
  <c r="AF3566" i="6"/>
  <c r="AF3567" i="6"/>
  <c r="AF3568" i="6"/>
  <c r="AF3569" i="6"/>
  <c r="AF3570" i="6"/>
  <c r="AF3571" i="6"/>
  <c r="AF3572" i="6"/>
  <c r="AF3573" i="6"/>
  <c r="AF3574" i="6"/>
  <c r="AF3575" i="6"/>
  <c r="AF3576" i="6"/>
  <c r="AF3577" i="6"/>
  <c r="AF3578" i="6"/>
  <c r="AF3579" i="6"/>
  <c r="AF3580" i="6"/>
  <c r="AF3581" i="6"/>
  <c r="AF3582" i="6"/>
  <c r="AF3583" i="6"/>
  <c r="AF3584" i="6"/>
  <c r="AF3585" i="6"/>
  <c r="AF3586" i="6"/>
  <c r="AF3587" i="6"/>
  <c r="AF3588" i="6"/>
  <c r="AF3589" i="6"/>
  <c r="AF3590" i="6"/>
  <c r="AF3591" i="6"/>
  <c r="AF3592" i="6"/>
  <c r="AF3593" i="6"/>
  <c r="AF3594" i="6"/>
  <c r="AF3595" i="6"/>
  <c r="AF3596" i="6"/>
  <c r="AF3597" i="6"/>
  <c r="AF3598" i="6"/>
  <c r="AF3599" i="6"/>
  <c r="AF3600" i="6"/>
  <c r="AF3601" i="6"/>
  <c r="AF3602" i="6"/>
  <c r="AF3603" i="6"/>
  <c r="AF3604" i="6"/>
  <c r="AF3605" i="6"/>
  <c r="AF3606" i="6"/>
  <c r="AF3607" i="6"/>
  <c r="AF3608" i="6"/>
  <c r="AF3609" i="6"/>
  <c r="AF3610" i="6"/>
  <c r="AF3611" i="6"/>
  <c r="AF3612" i="6"/>
  <c r="AF3613" i="6"/>
  <c r="AF3614" i="6"/>
  <c r="AF3615" i="6"/>
  <c r="AF3616" i="6"/>
  <c r="AF3617" i="6"/>
  <c r="AF3618" i="6"/>
  <c r="AF3619" i="6"/>
  <c r="AF3620" i="6"/>
  <c r="AF3621" i="6"/>
  <c r="AF3622" i="6"/>
  <c r="AF3623" i="6"/>
  <c r="AF3624" i="6"/>
  <c r="AF3625" i="6"/>
  <c r="AF3626" i="6"/>
  <c r="AF3627" i="6"/>
  <c r="AF3628" i="6"/>
  <c r="AF3629" i="6"/>
  <c r="AF3630" i="6"/>
  <c r="AF3631" i="6"/>
  <c r="AF3632" i="6"/>
  <c r="AF3633" i="6"/>
  <c r="AF3634" i="6"/>
  <c r="AF3635" i="6"/>
  <c r="AF3636" i="6"/>
  <c r="AF3637" i="6"/>
  <c r="AF3638" i="6"/>
  <c r="AF3639" i="6"/>
  <c r="AF3640" i="6"/>
  <c r="AF3641" i="6"/>
  <c r="AF3642" i="6"/>
  <c r="AF3643" i="6"/>
  <c r="AF3644" i="6"/>
  <c r="AF3645" i="6"/>
  <c r="AF3646" i="6"/>
  <c r="AF3647" i="6"/>
  <c r="AF3648" i="6"/>
  <c r="AF3649" i="6"/>
  <c r="AF3650" i="6"/>
  <c r="AF3651" i="6"/>
  <c r="AF3652" i="6"/>
  <c r="AF3653" i="6"/>
  <c r="AF3654" i="6"/>
  <c r="AF3655" i="6"/>
  <c r="AF3656" i="6"/>
  <c r="AF3657" i="6"/>
  <c r="AF3658" i="6"/>
  <c r="AF3659" i="6"/>
  <c r="AF3660" i="6"/>
  <c r="AF3661" i="6"/>
  <c r="AF3662" i="6"/>
  <c r="AF3663" i="6"/>
  <c r="AF3664" i="6"/>
  <c r="AF3665" i="6"/>
  <c r="AF3666" i="6"/>
  <c r="AF3667" i="6"/>
  <c r="AF3668" i="6"/>
  <c r="AF3669" i="6"/>
  <c r="AF3670" i="6"/>
  <c r="AF3671" i="6"/>
  <c r="AF3672" i="6"/>
  <c r="AF3673" i="6"/>
  <c r="AF3674" i="6"/>
  <c r="AF3675" i="6"/>
  <c r="AF3676" i="6"/>
  <c r="AF3677" i="6"/>
  <c r="AF3678" i="6"/>
  <c r="AF3679" i="6"/>
  <c r="AF3680" i="6"/>
  <c r="AF3681" i="6"/>
  <c r="AF3682" i="6"/>
  <c r="AF3683" i="6"/>
  <c r="AF3684" i="6"/>
  <c r="AF3685" i="6"/>
  <c r="AF3686" i="6"/>
  <c r="AF3687" i="6"/>
  <c r="AF3688" i="6"/>
  <c r="AF3689" i="6"/>
  <c r="AF3690" i="6"/>
  <c r="AF3691" i="6"/>
  <c r="AF3692" i="6"/>
  <c r="AF3693" i="6"/>
  <c r="AF3694" i="6"/>
  <c r="AF3695" i="6"/>
  <c r="AF3696" i="6"/>
  <c r="AF3697" i="6"/>
  <c r="AF3698" i="6"/>
  <c r="AF3699" i="6"/>
  <c r="AF3700" i="6"/>
  <c r="AF3701" i="6"/>
  <c r="AF3702" i="6"/>
  <c r="AF3703" i="6"/>
  <c r="AF3704" i="6"/>
  <c r="AF3705" i="6"/>
  <c r="AF3706" i="6"/>
  <c r="AF3707" i="6"/>
  <c r="AF3708" i="6"/>
  <c r="AF3709" i="6"/>
  <c r="AF3710" i="6"/>
  <c r="AF3711" i="6"/>
  <c r="AF3712" i="6"/>
  <c r="AF3713" i="6"/>
  <c r="AF3714" i="6"/>
  <c r="AF3715" i="6"/>
  <c r="AF3716" i="6"/>
  <c r="AF3717" i="6"/>
  <c r="AF3718" i="6"/>
  <c r="AF3719" i="6"/>
  <c r="AF3720" i="6"/>
  <c r="AF3721" i="6"/>
  <c r="AF3722" i="6"/>
  <c r="AF3723" i="6"/>
  <c r="AF3724" i="6"/>
  <c r="AF3725" i="6"/>
  <c r="AF3726" i="6"/>
  <c r="AF3727" i="6"/>
  <c r="AF3728" i="6"/>
  <c r="AF3729" i="6"/>
  <c r="AF3730" i="6"/>
  <c r="AF3731" i="6"/>
  <c r="AF3732" i="6"/>
  <c r="AF3733" i="6"/>
  <c r="AF3734" i="6"/>
  <c r="AF3735" i="6"/>
  <c r="AF3736" i="6"/>
  <c r="AF3737" i="6"/>
  <c r="AF3738" i="6"/>
  <c r="AF3739" i="6"/>
  <c r="AF3740" i="6"/>
  <c r="AF3741" i="6"/>
  <c r="AF3742" i="6"/>
  <c r="AF3743" i="6"/>
  <c r="AF3744" i="6"/>
  <c r="AF3745" i="6"/>
  <c r="AF3746" i="6"/>
  <c r="AF3747" i="6"/>
  <c r="AF3748" i="6"/>
  <c r="AF3749" i="6"/>
  <c r="AF3750" i="6"/>
  <c r="AF3751" i="6"/>
  <c r="AF3752" i="6"/>
  <c r="AF3753" i="6"/>
  <c r="AF3754" i="6"/>
  <c r="AF3755" i="6"/>
  <c r="AF3756" i="6"/>
  <c r="AF3757" i="6"/>
  <c r="AF3758" i="6"/>
  <c r="AF3759" i="6"/>
  <c r="AF3760" i="6"/>
  <c r="AF3761" i="6"/>
  <c r="AF3762" i="6"/>
  <c r="AF3763" i="6"/>
  <c r="AF3764" i="6"/>
  <c r="AF3765" i="6"/>
  <c r="AF3766" i="6"/>
  <c r="AF3767" i="6"/>
  <c r="AF3768" i="6"/>
  <c r="AF3769" i="6"/>
  <c r="AF3770" i="6"/>
  <c r="AF3771" i="6"/>
  <c r="AF3772" i="6"/>
  <c r="AF3773" i="6"/>
  <c r="AF3774" i="6"/>
  <c r="AF3775" i="6"/>
  <c r="AF3776" i="6"/>
  <c r="AF3777" i="6"/>
  <c r="AF3778" i="6"/>
  <c r="AF3779" i="6"/>
  <c r="AF3780" i="6"/>
  <c r="AF3781" i="6"/>
  <c r="AF3782" i="6"/>
  <c r="AF3783" i="6"/>
  <c r="AF3784" i="6"/>
  <c r="AF3785" i="6"/>
  <c r="AF3786" i="6"/>
  <c r="AF3787" i="6"/>
  <c r="AF3788" i="6"/>
  <c r="AF3789" i="6"/>
  <c r="AF3790" i="6"/>
  <c r="AF3791" i="6"/>
  <c r="AF3792" i="6"/>
  <c r="AF3793" i="6"/>
  <c r="AF3794" i="6"/>
  <c r="AF3795" i="6"/>
  <c r="AF3796" i="6"/>
  <c r="AF3797" i="6"/>
  <c r="AF3798" i="6"/>
  <c r="AF3799" i="6"/>
  <c r="AF3800" i="6"/>
  <c r="AF3801" i="6"/>
  <c r="AF3802" i="6"/>
  <c r="AF3803" i="6"/>
  <c r="AF3804" i="6"/>
  <c r="AF3805" i="6"/>
  <c r="AF3806" i="6"/>
  <c r="AF3807" i="6"/>
  <c r="AF3808" i="6"/>
  <c r="AF3809" i="6"/>
  <c r="AF3810" i="6"/>
  <c r="AF3811" i="6"/>
  <c r="AF3812" i="6"/>
  <c r="AF3813" i="6"/>
  <c r="AF3814" i="6"/>
  <c r="AF3815" i="6"/>
  <c r="AF3816" i="6"/>
  <c r="AF3817" i="6"/>
  <c r="AF3818" i="6"/>
  <c r="AF3819" i="6"/>
  <c r="AF3820" i="6"/>
  <c r="AF3821" i="6"/>
  <c r="AF3822" i="6"/>
  <c r="AF3823" i="6"/>
  <c r="AF3824" i="6"/>
  <c r="AF3825" i="6"/>
  <c r="AF3826" i="6"/>
  <c r="AF3827" i="6"/>
  <c r="AF3828" i="6"/>
  <c r="AF3829" i="6"/>
  <c r="AF3830" i="6"/>
  <c r="AF3831" i="6"/>
  <c r="AF3832" i="6"/>
  <c r="AF3833" i="6"/>
  <c r="AF3834" i="6"/>
  <c r="AF3835" i="6"/>
  <c r="AF3836" i="6"/>
  <c r="AF3837" i="6"/>
  <c r="AF3838" i="6"/>
  <c r="AF3839" i="6"/>
  <c r="AF3840" i="6"/>
  <c r="AF3841" i="6"/>
  <c r="AF3842" i="6"/>
  <c r="AF3843" i="6"/>
  <c r="AF3844" i="6"/>
  <c r="AF3845" i="6"/>
  <c r="AF3846" i="6"/>
  <c r="AF3847" i="6"/>
  <c r="AF3848" i="6"/>
  <c r="AF3849" i="6"/>
  <c r="AF3850" i="6"/>
  <c r="AF3851" i="6"/>
  <c r="AF3852" i="6"/>
  <c r="AF3853" i="6"/>
  <c r="AF3854" i="6"/>
  <c r="AF3855" i="6"/>
  <c r="AF3856" i="6"/>
  <c r="AF3857" i="6"/>
  <c r="AF3858" i="6"/>
  <c r="AF3859" i="6"/>
  <c r="AF3860" i="6"/>
  <c r="AF3861" i="6"/>
  <c r="AF3862" i="6"/>
  <c r="AF3863" i="6"/>
  <c r="AF3864" i="6"/>
  <c r="AF3865" i="6"/>
  <c r="AF3866" i="6"/>
  <c r="AF3867" i="6"/>
  <c r="AF3868" i="6"/>
  <c r="AF3869" i="6"/>
  <c r="AF3870" i="6"/>
  <c r="AF3871" i="6"/>
  <c r="AF3872" i="6"/>
  <c r="AF3873" i="6"/>
  <c r="AF3874" i="6"/>
  <c r="AF3875" i="6"/>
  <c r="AF3876" i="6"/>
  <c r="AF3877" i="6"/>
  <c r="AF3878" i="6"/>
  <c r="AF3879" i="6"/>
  <c r="AF3880" i="6"/>
  <c r="AF3881" i="6"/>
  <c r="AF3882" i="6"/>
  <c r="AF3883" i="6"/>
  <c r="AF3884" i="6"/>
  <c r="AF3885" i="6"/>
  <c r="AF3886" i="6"/>
  <c r="AF3887" i="6"/>
  <c r="AF3888" i="6"/>
  <c r="AF3889" i="6"/>
  <c r="AF3890" i="6"/>
  <c r="AF3891" i="6"/>
  <c r="AF3892" i="6"/>
  <c r="AF3893" i="6"/>
  <c r="AF3894" i="6"/>
  <c r="AF3895" i="6"/>
  <c r="AF3896" i="6"/>
  <c r="AF3897" i="6"/>
  <c r="AF3898" i="6"/>
  <c r="AF3899" i="6"/>
  <c r="AF3900" i="6"/>
  <c r="AF3901" i="6"/>
  <c r="AF3902" i="6"/>
  <c r="AF3903" i="6"/>
  <c r="AF3904" i="6"/>
  <c r="AF3905" i="6"/>
  <c r="AF3906" i="6"/>
  <c r="AF3907" i="6"/>
  <c r="AF3908" i="6"/>
  <c r="AF3909" i="6"/>
  <c r="AF3910" i="6"/>
  <c r="AF3911" i="6"/>
  <c r="AF3912" i="6"/>
  <c r="AF3913" i="6"/>
  <c r="AF3914" i="6"/>
  <c r="AF3915" i="6"/>
  <c r="AF3916" i="6"/>
  <c r="AF3917" i="6"/>
  <c r="AF3918" i="6"/>
  <c r="AF3919" i="6"/>
  <c r="AF3920" i="6"/>
  <c r="AF3921" i="6"/>
  <c r="AF3922" i="6"/>
  <c r="AF3923" i="6"/>
  <c r="AF3924" i="6"/>
  <c r="AF3925" i="6"/>
  <c r="AF3926" i="6"/>
  <c r="AF3927" i="6"/>
  <c r="AF3928" i="6"/>
  <c r="AF3929" i="6"/>
  <c r="AF3930" i="6"/>
  <c r="AF3931" i="6"/>
  <c r="AF3932" i="6"/>
  <c r="AF3933" i="6"/>
  <c r="AF3934" i="6"/>
  <c r="AF3935" i="6"/>
  <c r="AF3936" i="6"/>
  <c r="AF3937" i="6"/>
  <c r="AF3938" i="6"/>
  <c r="AF3939" i="6"/>
  <c r="AF3940" i="6"/>
  <c r="AF3941" i="6"/>
  <c r="AF3942" i="6"/>
  <c r="AF3943" i="6"/>
  <c r="AF3944" i="6"/>
  <c r="AF3945" i="6"/>
  <c r="AF3946" i="6"/>
  <c r="AF3947" i="6"/>
  <c r="AF3948" i="6"/>
  <c r="AF3949" i="6"/>
  <c r="AF3950" i="6"/>
  <c r="AF3951" i="6"/>
  <c r="AF3952" i="6"/>
  <c r="AF3953" i="6"/>
  <c r="AF3954" i="6"/>
  <c r="AF3955" i="6"/>
  <c r="AF3956" i="6"/>
  <c r="AF3957" i="6"/>
  <c r="AF3958" i="6"/>
  <c r="AF3959" i="6"/>
  <c r="AF3960" i="6"/>
  <c r="AF3961" i="6"/>
  <c r="AF3962" i="6"/>
  <c r="AF3963" i="6"/>
  <c r="AF3964" i="6"/>
  <c r="AF3965" i="6"/>
  <c r="AF3966" i="6"/>
  <c r="AF3967" i="6"/>
  <c r="AF3968" i="6"/>
  <c r="AF3969" i="6"/>
  <c r="AF3970" i="6"/>
  <c r="AF3971" i="6"/>
  <c r="AF3972" i="6"/>
  <c r="AF3973" i="6"/>
  <c r="AF3974" i="6"/>
  <c r="AF3975" i="6"/>
  <c r="AF3976" i="6"/>
  <c r="AF3977" i="6"/>
  <c r="AF3978" i="6"/>
  <c r="AF3979" i="6"/>
  <c r="AF3980" i="6"/>
  <c r="AF3981" i="6"/>
  <c r="AF3982" i="6"/>
  <c r="AF3983" i="6"/>
  <c r="AF3984" i="6"/>
  <c r="AF3985" i="6"/>
  <c r="AF3986" i="6"/>
  <c r="AF3987" i="6"/>
  <c r="AF3988" i="6"/>
  <c r="AF3989" i="6"/>
  <c r="AF3990" i="6"/>
  <c r="AF3991" i="6"/>
  <c r="AF3992" i="6"/>
  <c r="AF3993" i="6"/>
  <c r="AF3994" i="6"/>
  <c r="AF3995" i="6"/>
  <c r="AF3996" i="6"/>
  <c r="AF3997" i="6"/>
  <c r="AF3998" i="6"/>
  <c r="AF3999" i="6"/>
  <c r="AF4000" i="6"/>
  <c r="AF4001" i="6"/>
  <c r="AF4002" i="6"/>
  <c r="AF4003" i="6"/>
  <c r="AF4004" i="6"/>
  <c r="AF4005" i="6"/>
  <c r="AF4006" i="6"/>
  <c r="AF4007" i="6"/>
  <c r="AF4008" i="6"/>
  <c r="AF4009" i="6"/>
  <c r="AF4010" i="6"/>
  <c r="AF4011" i="6"/>
  <c r="AF4012" i="6"/>
  <c r="AF4013" i="6"/>
  <c r="AF4014" i="6"/>
  <c r="AF4015" i="6"/>
  <c r="AF4016" i="6"/>
  <c r="AF4017" i="6"/>
  <c r="AF4018" i="6"/>
  <c r="AF4019" i="6"/>
  <c r="AF4020" i="6"/>
  <c r="AF4021" i="6"/>
  <c r="AF4022" i="6"/>
  <c r="AF4023" i="6"/>
  <c r="AF4024" i="6"/>
  <c r="AF4025" i="6"/>
  <c r="AF4026" i="6"/>
  <c r="AF4027" i="6"/>
  <c r="AF4028" i="6"/>
  <c r="AF4029" i="6"/>
  <c r="AF4030" i="6"/>
  <c r="AF4031" i="6"/>
  <c r="AF4032" i="6"/>
  <c r="AF4033" i="6"/>
  <c r="AF4034" i="6"/>
  <c r="AF4035" i="6"/>
  <c r="AF4036" i="6"/>
  <c r="AF4037" i="6"/>
  <c r="AF4039" i="6"/>
  <c r="AF4040" i="6"/>
  <c r="AF4041" i="6"/>
  <c r="AF4043" i="6"/>
  <c r="AF4044" i="6"/>
  <c r="AF4045" i="6"/>
  <c r="AF4047" i="6"/>
  <c r="AF4048" i="6"/>
  <c r="AF4049" i="6"/>
  <c r="AF4051" i="6"/>
  <c r="AF4053" i="6"/>
  <c r="AF4055" i="6"/>
  <c r="AF4057" i="6"/>
  <c r="AF4058" i="6"/>
  <c r="AF4059" i="6"/>
  <c r="AF4061" i="6"/>
  <c r="AF4062" i="6"/>
  <c r="AF4063" i="6"/>
  <c r="AF4065" i="6"/>
  <c r="AF4066" i="6"/>
  <c r="AF4067" i="6"/>
  <c r="AF4069" i="6"/>
  <c r="AF4071" i="6"/>
  <c r="AF4073" i="6"/>
  <c r="AF4075" i="6"/>
  <c r="AF4076" i="6"/>
  <c r="AF4077" i="6"/>
  <c r="AF4079" i="6"/>
  <c r="AF4080" i="6"/>
  <c r="AF4081" i="6"/>
  <c r="AF4083" i="6"/>
  <c r="AF4084" i="6"/>
  <c r="AF4085" i="6"/>
  <c r="AF4087" i="6"/>
  <c r="AF4088" i="6"/>
  <c r="AF4089" i="6"/>
  <c r="AF4091" i="6"/>
  <c r="AF4092" i="6"/>
  <c r="AF4093" i="6"/>
  <c r="AF4095" i="6"/>
  <c r="AF4096" i="6"/>
  <c r="AF4097" i="6"/>
  <c r="AF4099" i="6"/>
  <c r="AF4101" i="6"/>
  <c r="AF4103" i="6"/>
  <c r="AF4105" i="6"/>
  <c r="AF4107" i="6"/>
  <c r="AF4108" i="6"/>
  <c r="AF4109" i="6"/>
  <c r="AF4111" i="6"/>
  <c r="AF4112" i="6"/>
  <c r="AF4113" i="6"/>
  <c r="AF4115" i="6"/>
  <c r="AF4117" i="6"/>
  <c r="AF4119" i="6"/>
  <c r="AF4121" i="6"/>
  <c r="AF4123" i="6"/>
  <c r="AF4125" i="6"/>
  <c r="AF4127" i="6"/>
  <c r="AF4128" i="6"/>
  <c r="AF4129" i="6"/>
  <c r="AF4131" i="6"/>
  <c r="AF4132" i="6"/>
  <c r="AF4133" i="6"/>
  <c r="AF4135" i="6"/>
  <c r="AF4136" i="6"/>
  <c r="AF4137" i="6"/>
  <c r="AF4139" i="6"/>
  <c r="AF4140" i="6"/>
  <c r="AF4141" i="6"/>
  <c r="AF4143" i="6"/>
  <c r="AF4145" i="6"/>
  <c r="AF4147" i="6"/>
  <c r="AF4149" i="6"/>
  <c r="AF4151" i="6"/>
  <c r="AF4153" i="6"/>
  <c r="AF4155" i="6"/>
  <c r="AF4157" i="6"/>
  <c r="AF4159" i="6"/>
  <c r="AF4161" i="6"/>
  <c r="AF4163" i="6"/>
  <c r="AF4165" i="6"/>
  <c r="AF4167" i="6"/>
  <c r="AF4169" i="6"/>
  <c r="AF4171" i="6"/>
  <c r="AF4173" i="6"/>
  <c r="AF4175" i="6"/>
  <c r="AF4177" i="6"/>
  <c r="AF4179" i="6"/>
  <c r="AF4181" i="6"/>
  <c r="AF4183" i="6"/>
  <c r="AF4184" i="6"/>
  <c r="AF4185" i="6"/>
  <c r="AF4187" i="6"/>
  <c r="AF4188" i="6"/>
  <c r="AF4189" i="6"/>
  <c r="AF4191" i="6"/>
  <c r="AF4193" i="6"/>
  <c r="AF4195" i="6"/>
  <c r="AF4197" i="6"/>
  <c r="AF4199" i="6"/>
  <c r="AF4201" i="6"/>
  <c r="AF4203" i="6"/>
  <c r="AF4204" i="6"/>
  <c r="AF4205" i="6"/>
  <c r="AF4207" i="6"/>
  <c r="AF4208" i="6"/>
  <c r="AF4209" i="6"/>
  <c r="AF4211" i="6"/>
  <c r="AF4212" i="6"/>
  <c r="AF4213" i="6"/>
  <c r="AF4215" i="6"/>
  <c r="AF4216" i="6"/>
  <c r="AF4217" i="6"/>
  <c r="AF4219" i="6"/>
  <c r="AF4220" i="6"/>
  <c r="AF4221" i="6"/>
  <c r="AF4223" i="6"/>
  <c r="AF4224" i="6"/>
  <c r="AF4225" i="6"/>
  <c r="AF4227" i="6"/>
  <c r="AF4229" i="6"/>
  <c r="AF4231" i="6"/>
  <c r="AF4233" i="6"/>
  <c r="AF4235" i="6"/>
  <c r="AF4237" i="6"/>
  <c r="AF4239" i="6"/>
  <c r="AF4240" i="6"/>
  <c r="AF4241" i="6"/>
  <c r="AF4243" i="6"/>
  <c r="AF4245" i="6"/>
  <c r="AF4246" i="6"/>
  <c r="AF4247" i="6"/>
  <c r="AF4249" i="6"/>
  <c r="AF4251" i="6"/>
  <c r="AF4252" i="6"/>
  <c r="AF4253" i="6"/>
  <c r="AF4255" i="6"/>
  <c r="AF4257" i="6"/>
  <c r="AF4258" i="6"/>
  <c r="AF4259" i="6"/>
  <c r="AF4261" i="6"/>
  <c r="AF4262" i="6"/>
  <c r="AF4263" i="6"/>
  <c r="AF4265" i="6"/>
  <c r="AF4266" i="6"/>
  <c r="AF4267" i="6"/>
  <c r="AF4269" i="6"/>
  <c r="AF4270" i="6"/>
  <c r="AF4271" i="6"/>
  <c r="AF4273" i="6"/>
  <c r="AF4274" i="6"/>
  <c r="AF4275" i="6"/>
  <c r="AF4277" i="6"/>
  <c r="AF4278" i="6"/>
  <c r="AF4279" i="6"/>
  <c r="AF4281" i="6"/>
  <c r="AF4282" i="6"/>
  <c r="AF4283" i="6"/>
  <c r="AF4285" i="6"/>
  <c r="AF4286" i="6"/>
  <c r="AF4287" i="6"/>
  <c r="AF4289" i="6"/>
  <c r="AF4290" i="6"/>
  <c r="AF4291" i="6"/>
  <c r="AF4293" i="6"/>
  <c r="AF4294" i="6"/>
  <c r="AF4295" i="6"/>
  <c r="AF4297" i="6"/>
  <c r="AF4298" i="6"/>
  <c r="AF4299" i="6"/>
  <c r="AF4301" i="6"/>
  <c r="AF4302" i="6"/>
  <c r="AF4303" i="6"/>
  <c r="AF4305" i="6"/>
  <c r="AF4306" i="6"/>
  <c r="AF4307" i="6"/>
  <c r="AF4309" i="6"/>
  <c r="AF4310" i="6"/>
  <c r="AF4311" i="6"/>
  <c r="AF4313" i="6"/>
  <c r="AF4314" i="6"/>
  <c r="AF4315" i="6"/>
  <c r="AF4317" i="6"/>
  <c r="AF4318" i="6"/>
  <c r="AF4319" i="6"/>
  <c r="AF4321" i="6"/>
  <c r="AF4322" i="6"/>
  <c r="AF4323" i="6"/>
  <c r="AF4325" i="6"/>
  <c r="AF4326" i="6"/>
  <c r="AF4327" i="6"/>
  <c r="AF4329" i="6"/>
  <c r="AF4330" i="6"/>
  <c r="AF4331" i="6"/>
  <c r="AF4333" i="6"/>
  <c r="AF4334" i="6"/>
  <c r="AF4335" i="6"/>
  <c r="AF4337" i="6"/>
  <c r="AF4338" i="6"/>
  <c r="AF4339" i="6"/>
  <c r="AF4341" i="6"/>
  <c r="AF4342" i="6"/>
  <c r="AF4343" i="6"/>
  <c r="AF4345" i="6"/>
  <c r="AF4346" i="6"/>
  <c r="AF4347" i="6"/>
  <c r="AF4349" i="6"/>
  <c r="AF4350" i="6"/>
  <c r="AF4351" i="6"/>
  <c r="AF4353" i="6"/>
  <c r="AF4354" i="6"/>
  <c r="AF4355" i="6"/>
  <c r="AF4357" i="6"/>
  <c r="AF4359" i="6"/>
  <c r="AF4360" i="6"/>
  <c r="AF4361" i="6"/>
  <c r="AF4363" i="6"/>
  <c r="AF4364" i="6"/>
  <c r="AF4365" i="6"/>
  <c r="AF4367" i="6"/>
  <c r="AF4368" i="6"/>
  <c r="AF4369" i="6"/>
  <c r="AF4371" i="6"/>
  <c r="AF4372" i="6"/>
  <c r="AF4373" i="6"/>
  <c r="AF4375" i="6"/>
  <c r="AF4376" i="6"/>
  <c r="AF4377" i="6"/>
  <c r="AF4379" i="6"/>
  <c r="AF4380" i="6"/>
  <c r="AF4381" i="6"/>
  <c r="AF4383" i="6"/>
  <c r="AF4384" i="6"/>
  <c r="AF4385" i="6"/>
  <c r="AF4387" i="6"/>
  <c r="AF4389" i="6"/>
  <c r="AF4391" i="6"/>
  <c r="AF4393" i="6"/>
  <c r="AF4395" i="6"/>
  <c r="AF4397" i="6"/>
  <c r="AF4398" i="6"/>
  <c r="AF4399" i="6"/>
  <c r="AF4401" i="6"/>
  <c r="AF4402" i="6"/>
  <c r="AF4403" i="6"/>
  <c r="AF4405" i="6"/>
  <c r="AF4407" i="6"/>
  <c r="AF4409" i="6"/>
  <c r="AF4411" i="6"/>
  <c r="AF4413" i="6"/>
  <c r="AF4415" i="6"/>
  <c r="AF4417" i="6"/>
  <c r="AF4419" i="6"/>
  <c r="AF4421" i="6"/>
  <c r="AF4423" i="6"/>
  <c r="AF1914" i="6"/>
  <c r="AF1410" i="6"/>
  <c r="AF1417" i="6"/>
  <c r="AF1418" i="6"/>
  <c r="AF1419" i="6"/>
  <c r="AF1420" i="6"/>
  <c r="AF1421" i="6"/>
  <c r="AF1422" i="6"/>
  <c r="AF1423" i="6"/>
  <c r="AF1424" i="6"/>
  <c r="AF1425" i="6"/>
  <c r="AF1426" i="6"/>
  <c r="AF1427" i="6"/>
  <c r="AF1428" i="6"/>
  <c r="AF1429" i="6"/>
  <c r="AF1430" i="6"/>
  <c r="AF1431" i="6"/>
  <c r="AF1432" i="6"/>
  <c r="AF1433" i="6"/>
  <c r="AF1434" i="6"/>
  <c r="AF1435" i="6"/>
  <c r="AF1436" i="6"/>
  <c r="AF1437" i="6"/>
  <c r="AF1438" i="6"/>
  <c r="AF1439" i="6"/>
  <c r="AF1440" i="6"/>
  <c r="AF1441" i="6"/>
  <c r="AF1442" i="6"/>
  <c r="AF1446" i="6"/>
  <c r="AF1449" i="6"/>
  <c r="AF1450" i="6"/>
  <c r="AF1451" i="6"/>
  <c r="AF1452" i="6"/>
  <c r="AF1453" i="6"/>
  <c r="AF1454" i="6"/>
  <c r="AF1455" i="6"/>
  <c r="AF1456" i="6"/>
  <c r="AF1457" i="6"/>
  <c r="AF1458" i="6"/>
  <c r="AF1459" i="6"/>
  <c r="AF1460" i="6"/>
  <c r="AF1461" i="6"/>
  <c r="AF1462" i="6"/>
  <c r="AF1463" i="6"/>
  <c r="AF1464" i="6"/>
  <c r="AF1465" i="6"/>
  <c r="AF1466" i="6"/>
  <c r="AF1467" i="6"/>
  <c r="AF1468" i="6"/>
  <c r="AF1469" i="6"/>
  <c r="AF1470" i="6"/>
  <c r="AF1471" i="6"/>
  <c r="AF1472" i="6"/>
  <c r="AF1473" i="6"/>
  <c r="AF1474" i="6"/>
  <c r="AF1475" i="6"/>
  <c r="AF1476" i="6"/>
  <c r="AF1477" i="6"/>
  <c r="AF1480" i="6"/>
  <c r="AF1481" i="6"/>
  <c r="AF1484" i="6"/>
  <c r="AF1485" i="6"/>
  <c r="AF1486" i="6"/>
  <c r="AF1489" i="6"/>
  <c r="AF1491" i="6"/>
  <c r="AF1492" i="6"/>
  <c r="AF1493" i="6"/>
  <c r="AF1495" i="6"/>
  <c r="AF1496" i="6"/>
  <c r="AF1497" i="6"/>
  <c r="AF1499" i="6"/>
  <c r="AF1501" i="6"/>
  <c r="AF1409" i="6"/>
  <c r="AF1303" i="6"/>
  <c r="AF1304" i="6"/>
  <c r="AF1305" i="6"/>
  <c r="AF1306" i="6"/>
  <c r="AF1307" i="6"/>
  <c r="AF1308" i="6"/>
  <c r="AF1309" i="6"/>
  <c r="AF1310" i="6"/>
  <c r="AF1311" i="6"/>
  <c r="AF1312" i="6"/>
  <c r="AF1313" i="6"/>
  <c r="AF1314" i="6"/>
  <c r="AF1315" i="6"/>
  <c r="AF1316" i="6"/>
  <c r="AF1317" i="6"/>
  <c r="AF1318" i="6"/>
  <c r="AF1319" i="6"/>
  <c r="AF1326" i="6"/>
  <c r="AF1327" i="6"/>
  <c r="AF1328" i="6"/>
  <c r="AF1329" i="6"/>
  <c r="AF1330" i="6"/>
  <c r="AF1331" i="6"/>
  <c r="AF1332" i="6"/>
  <c r="AF1333" i="6"/>
  <c r="AF1334" i="6"/>
  <c r="AF1335" i="6"/>
  <c r="AF1336" i="6"/>
  <c r="AF1337" i="6"/>
  <c r="AF1338" i="6"/>
  <c r="AF1339" i="6"/>
  <c r="AF1340" i="6"/>
  <c r="AF1341" i="6"/>
  <c r="AF1342" i="6"/>
  <c r="AF1343" i="6"/>
  <c r="AF1344" i="6"/>
  <c r="AF1345" i="6"/>
  <c r="AF1346" i="6"/>
  <c r="AF1347" i="6"/>
  <c r="AF1348" i="6"/>
  <c r="AF1349" i="6"/>
  <c r="AF1350" i="6"/>
  <c r="AF1351" i="6"/>
  <c r="AF1352" i="6"/>
  <c r="AF1353" i="6"/>
  <c r="AF1354" i="6"/>
  <c r="AF1355" i="6"/>
  <c r="AF1356" i="6"/>
  <c r="AF1357" i="6"/>
  <c r="AF1358" i="6"/>
  <c r="AF1359" i="6"/>
  <c r="AF1360" i="6"/>
  <c r="AF1361" i="6"/>
  <c r="AF1302" i="6"/>
  <c r="AF831" i="6"/>
  <c r="AF832" i="6"/>
  <c r="AF833" i="6"/>
  <c r="AF834" i="6"/>
  <c r="AF835" i="6"/>
  <c r="AF838" i="6"/>
  <c r="AF839" i="6"/>
  <c r="AF854" i="6"/>
  <c r="AF855" i="6"/>
  <c r="AF856" i="6"/>
  <c r="AF857" i="6"/>
  <c r="AF858" i="6"/>
  <c r="AF859" i="6"/>
  <c r="AF860" i="6"/>
  <c r="AF861" i="6"/>
  <c r="AF862" i="6"/>
  <c r="AF863" i="6"/>
  <c r="AF864" i="6"/>
  <c r="AF865" i="6"/>
  <c r="AF866" i="6"/>
  <c r="AF867" i="6"/>
  <c r="AF868" i="6"/>
  <c r="AF869" i="6"/>
  <c r="AF870" i="6"/>
  <c r="AF871" i="6"/>
  <c r="AF872" i="6"/>
  <c r="AF873" i="6"/>
  <c r="AF874" i="6"/>
  <c r="AF875" i="6"/>
  <c r="AF876" i="6"/>
  <c r="AF877" i="6"/>
  <c r="AF878" i="6"/>
  <c r="AF879" i="6"/>
  <c r="AF880" i="6"/>
  <c r="AF881" i="6"/>
  <c r="AF882" i="6"/>
  <c r="AF883" i="6"/>
  <c r="AF884" i="6"/>
  <c r="AF885" i="6"/>
  <c r="AF886" i="6"/>
  <c r="AF887" i="6"/>
  <c r="AF888" i="6"/>
  <c r="AF889" i="6"/>
  <c r="AF908" i="6"/>
  <c r="AF909" i="6"/>
  <c r="AF910" i="6"/>
  <c r="AF911" i="6"/>
  <c r="AF912" i="6"/>
  <c r="AF913" i="6"/>
  <c r="AF914" i="6"/>
  <c r="AF915" i="6"/>
  <c r="AF916" i="6"/>
  <c r="AF935" i="6"/>
  <c r="AF936" i="6"/>
  <c r="AF937" i="6"/>
  <c r="AF938" i="6"/>
  <c r="AF939" i="6"/>
  <c r="AF940" i="6"/>
  <c r="AF941" i="6"/>
  <c r="AF942" i="6"/>
  <c r="AF943" i="6"/>
  <c r="AF946" i="6"/>
  <c r="AF948" i="6"/>
  <c r="AF950" i="6"/>
  <c r="AF952" i="6"/>
  <c r="AF953" i="6"/>
  <c r="AF954" i="6"/>
  <c r="AF957" i="6"/>
  <c r="AF959" i="6"/>
  <c r="AF962" i="6"/>
  <c r="AF963" i="6"/>
  <c r="AF964" i="6"/>
  <c r="AF965" i="6"/>
  <c r="AF966" i="6"/>
  <c r="AF967" i="6"/>
  <c r="AF968" i="6"/>
  <c r="AF969" i="6"/>
  <c r="AF970" i="6"/>
  <c r="AF971" i="6"/>
  <c r="AF972" i="6"/>
  <c r="AF973" i="6"/>
  <c r="AF974" i="6"/>
  <c r="AF975" i="6"/>
  <c r="AF976" i="6"/>
  <c r="AF977" i="6"/>
  <c r="AF978" i="6"/>
  <c r="AF979" i="6"/>
  <c r="AF980" i="6"/>
  <c r="AF981" i="6"/>
  <c r="AF982" i="6"/>
  <c r="AF983" i="6"/>
  <c r="AF984" i="6"/>
  <c r="AF985" i="6"/>
  <c r="AF986" i="6"/>
  <c r="AF987" i="6"/>
  <c r="AF988" i="6"/>
  <c r="AF989" i="6"/>
  <c r="AF990" i="6"/>
  <c r="AF991" i="6"/>
  <c r="AF992" i="6"/>
  <c r="AF993" i="6"/>
  <c r="AF994" i="6"/>
  <c r="AF995" i="6"/>
  <c r="AF996" i="6"/>
  <c r="AF997" i="6"/>
  <c r="AF998" i="6"/>
  <c r="AF999" i="6"/>
  <c r="AF1000" i="6"/>
  <c r="AF1001" i="6"/>
  <c r="AF1002" i="6"/>
  <c r="AF1003" i="6"/>
  <c r="AF1004" i="6"/>
  <c r="AF1005" i="6"/>
  <c r="AF1006" i="6"/>
  <c r="AF1007" i="6"/>
  <c r="AF1008" i="6"/>
  <c r="AF1009" i="6"/>
  <c r="AF1010" i="6"/>
  <c r="AF1011" i="6"/>
  <c r="AF1012" i="6"/>
  <c r="AF1013" i="6"/>
  <c r="AF1014" i="6"/>
  <c r="AF1015" i="6"/>
  <c r="AF1016" i="6"/>
  <c r="AF1017" i="6"/>
  <c r="AF1018" i="6"/>
  <c r="AF1019" i="6"/>
  <c r="AF1020" i="6"/>
  <c r="AF1021" i="6"/>
  <c r="AF1022" i="6"/>
  <c r="AF1023" i="6"/>
  <c r="AF1024" i="6"/>
  <c r="AF1031" i="6"/>
  <c r="AF1032" i="6"/>
  <c r="AF1040" i="6"/>
  <c r="AF1041" i="6"/>
  <c r="AF1043" i="6"/>
  <c r="AF1044" i="6"/>
  <c r="AF1045" i="6"/>
  <c r="AF1046" i="6"/>
  <c r="AF1047" i="6"/>
  <c r="AF1048" i="6"/>
  <c r="AF1058" i="6"/>
  <c r="AF1059" i="6"/>
  <c r="AF1070" i="6"/>
  <c r="AF1071" i="6"/>
  <c r="AF1072" i="6"/>
  <c r="AF1073" i="6"/>
  <c r="AF1074" i="6"/>
  <c r="AF1075" i="6"/>
  <c r="AF1076" i="6"/>
  <c r="AF1077" i="6"/>
  <c r="AF1078" i="6"/>
  <c r="AF1079" i="6"/>
  <c r="AF1080" i="6"/>
  <c r="AF1081" i="6"/>
  <c r="AF1082" i="6"/>
  <c r="AF1083" i="6"/>
  <c r="AF1084" i="6"/>
  <c r="AF1085" i="6"/>
  <c r="AF1086" i="6"/>
  <c r="AF1087" i="6"/>
  <c r="AF1088" i="6"/>
  <c r="AF1089" i="6"/>
  <c r="AF1090" i="6"/>
  <c r="AF1091" i="6"/>
  <c r="AF1092" i="6"/>
  <c r="AF1093" i="6"/>
  <c r="AF1094" i="6"/>
  <c r="AF1095" i="6"/>
  <c r="AF1096" i="6"/>
  <c r="AF1097" i="6"/>
  <c r="AF1098" i="6"/>
  <c r="AF1099" i="6"/>
  <c r="AF1100" i="6"/>
  <c r="AF1101" i="6"/>
  <c r="AF1102" i="6"/>
  <c r="AF1103" i="6"/>
  <c r="AF1104" i="6"/>
  <c r="AF1105" i="6"/>
  <c r="AF1106" i="6"/>
  <c r="AF1107" i="6"/>
  <c r="AF1108" i="6"/>
  <c r="AF1109" i="6"/>
  <c r="AF1110" i="6"/>
  <c r="AF1111" i="6"/>
  <c r="AF1112" i="6"/>
  <c r="AF1113" i="6"/>
  <c r="AF1114" i="6"/>
  <c r="AF1115" i="6"/>
  <c r="AF1116" i="6"/>
  <c r="AF1117" i="6"/>
  <c r="AF1118" i="6"/>
  <c r="AF1119" i="6"/>
  <c r="AF1120" i="6"/>
  <c r="AF1166" i="6"/>
  <c r="AF1167" i="6"/>
  <c r="AF1168" i="6"/>
  <c r="AF1169" i="6"/>
  <c r="AF1170" i="6"/>
  <c r="AF1171" i="6"/>
  <c r="AF1172" i="6"/>
  <c r="AF1173" i="6"/>
  <c r="AF1174" i="6"/>
  <c r="AF1175" i="6"/>
  <c r="AF1176" i="6"/>
  <c r="AF1177" i="6"/>
  <c r="AF1178" i="6"/>
  <c r="AF1179" i="6"/>
  <c r="AF1180" i="6"/>
  <c r="AF1181" i="6"/>
  <c r="AF1182" i="6"/>
  <c r="AF1183" i="6"/>
  <c r="AF1184" i="6"/>
  <c r="AF1185" i="6"/>
  <c r="AF1186" i="6"/>
  <c r="AF1187" i="6"/>
  <c r="AF1188" i="6"/>
  <c r="AF1189" i="6"/>
  <c r="AF1190" i="6"/>
  <c r="AF1191" i="6"/>
  <c r="AF1192" i="6"/>
  <c r="AF1193" i="6"/>
  <c r="AF1194" i="6"/>
  <c r="AF1195" i="6"/>
  <c r="AF1196" i="6"/>
  <c r="AF1197" i="6"/>
  <c r="AF1198" i="6"/>
  <c r="AF1199" i="6"/>
  <c r="AF1200" i="6"/>
  <c r="AF1201" i="6"/>
  <c r="AF1202" i="6"/>
  <c r="AF1203" i="6"/>
  <c r="AF1204" i="6"/>
  <c r="AF1205" i="6"/>
  <c r="AF1206" i="6"/>
  <c r="AF1207" i="6"/>
  <c r="AF1208" i="6"/>
  <c r="AF1209" i="6"/>
  <c r="AF1210" i="6"/>
  <c r="AF1211" i="6"/>
  <c r="AF1212" i="6"/>
  <c r="AF1214" i="6"/>
  <c r="AF1217" i="6"/>
  <c r="AF1219" i="6"/>
  <c r="AF1221" i="6"/>
  <c r="AF1222" i="6"/>
  <c r="AF1223" i="6"/>
  <c r="AF1225" i="6"/>
  <c r="AF1226" i="6"/>
  <c r="AF1227" i="6"/>
  <c r="AF1229" i="6"/>
  <c r="AF1231" i="6"/>
  <c r="AF1233" i="6"/>
  <c r="AF1234" i="6"/>
  <c r="AF1235" i="6"/>
  <c r="AF1237" i="6"/>
  <c r="AF1240" i="6"/>
  <c r="AF1242" i="6"/>
  <c r="AF1244" i="6"/>
  <c r="AF1245" i="6"/>
  <c r="AF1246" i="6"/>
  <c r="AF1248" i="6"/>
  <c r="AF1249" i="6"/>
  <c r="AF1250" i="6"/>
  <c r="AF1252" i="6"/>
  <c r="AF1254" i="6"/>
  <c r="AF1256" i="6"/>
  <c r="AF1257" i="6"/>
  <c r="AF1258" i="6"/>
  <c r="AF828" i="6"/>
  <c r="AF829" i="6"/>
  <c r="AF830" i="6"/>
  <c r="AF827" i="6"/>
  <c r="AF167" i="6"/>
  <c r="AF168" i="6"/>
  <c r="AF169" i="6"/>
  <c r="AF170" i="6"/>
  <c r="AF171" i="6"/>
  <c r="AF173" i="6"/>
  <c r="AF175" i="6"/>
  <c r="AF176" i="6"/>
  <c r="AF177" i="6"/>
  <c r="AF178" i="6"/>
  <c r="AF179" i="6"/>
  <c r="AF182" i="6"/>
  <c r="AF184" i="6"/>
  <c r="AF185" i="6"/>
  <c r="AF186" i="6"/>
  <c r="AF187" i="6"/>
  <c r="AF188" i="6"/>
  <c r="AF191" i="6"/>
  <c r="AF193" i="6"/>
  <c r="AF194" i="6"/>
  <c r="AF195" i="6"/>
  <c r="AF196" i="6"/>
  <c r="AF197" i="6"/>
  <c r="AF200" i="6"/>
  <c r="AF202" i="6"/>
  <c r="AF203" i="6"/>
  <c r="AF204" i="6"/>
  <c r="AF205" i="6"/>
  <c r="AF206" i="6"/>
  <c r="AF207" i="6"/>
  <c r="AF209" i="6"/>
  <c r="AF211" i="6"/>
  <c r="AF212" i="6"/>
  <c r="AF213" i="6"/>
  <c r="AF214" i="6"/>
  <c r="AF215" i="6"/>
  <c r="AF218" i="6"/>
  <c r="AF220" i="6"/>
  <c r="AF221" i="6"/>
  <c r="AF222" i="6"/>
  <c r="AF223" i="6"/>
  <c r="AF224" i="6"/>
  <c r="AF227" i="6"/>
  <c r="AF229" i="6"/>
  <c r="AF230" i="6"/>
  <c r="AF231" i="6"/>
  <c r="AF232" i="6"/>
  <c r="AF233" i="6"/>
  <c r="AF236" i="6"/>
  <c r="AF241" i="6"/>
  <c r="AF242" i="6"/>
  <c r="AF245" i="6"/>
  <c r="AF247" i="6"/>
  <c r="AF249" i="6"/>
  <c r="AF250" i="6"/>
  <c r="AF254" i="6"/>
  <c r="AF256" i="6"/>
  <c r="AF258" i="6"/>
  <c r="AF259" i="6"/>
  <c r="AF263" i="6"/>
  <c r="AF265" i="6"/>
  <c r="AF267" i="6"/>
  <c r="AF268" i="6"/>
  <c r="AF272" i="6"/>
  <c r="AF274" i="6"/>
  <c r="AF276" i="6"/>
  <c r="AF277" i="6"/>
  <c r="AF281" i="6"/>
  <c r="AF283" i="6"/>
  <c r="AF285" i="6"/>
  <c r="AF286" i="6"/>
  <c r="AF287" i="6"/>
  <c r="AF290" i="6"/>
  <c r="AF292" i="6"/>
  <c r="AF294" i="6"/>
  <c r="AF295" i="6"/>
  <c r="AF299" i="6"/>
  <c r="AF301" i="6"/>
  <c r="AF303" i="6"/>
  <c r="AF304" i="6"/>
  <c r="AF305" i="6"/>
  <c r="AF308" i="6"/>
  <c r="AF310" i="6"/>
  <c r="AF311" i="6"/>
  <c r="AF312" i="6"/>
  <c r="AF313" i="6"/>
  <c r="AF314" i="6"/>
  <c r="AF315" i="6"/>
  <c r="AF316" i="6"/>
  <c r="AF317" i="6"/>
  <c r="AF318" i="6"/>
  <c r="AF319" i="6"/>
  <c r="AF320" i="6"/>
  <c r="AF321" i="6"/>
  <c r="AF322" i="6"/>
  <c r="AF323" i="6"/>
  <c r="AF324" i="6"/>
  <c r="AF325" i="6"/>
  <c r="AF326" i="6"/>
  <c r="AF327" i="6"/>
  <c r="AF328" i="6"/>
  <c r="AF329" i="6"/>
  <c r="AF330" i="6"/>
  <c r="AF331" i="6"/>
  <c r="AF332" i="6"/>
  <c r="AF333" i="6"/>
  <c r="AF334" i="6"/>
  <c r="AF335" i="6"/>
  <c r="AF336" i="6"/>
  <c r="AF337" i="6"/>
  <c r="AF338" i="6"/>
  <c r="AF339" i="6"/>
  <c r="AF340" i="6"/>
  <c r="AF341" i="6"/>
  <c r="AF342" i="6"/>
  <c r="AF343" i="6"/>
  <c r="AF344" i="6"/>
  <c r="AF345" i="6"/>
  <c r="AF346" i="6"/>
  <c r="AF347" i="6"/>
  <c r="AF348" i="6"/>
  <c r="AF349" i="6"/>
  <c r="AF350" i="6"/>
  <c r="AF351" i="6"/>
  <c r="AF352" i="6"/>
  <c r="AF353" i="6"/>
  <c r="AF354" i="6"/>
  <c r="AF355" i="6"/>
  <c r="AF356" i="6"/>
  <c r="AF357" i="6"/>
  <c r="AF358" i="6"/>
  <c r="AF359" i="6"/>
  <c r="AF360" i="6"/>
  <c r="AF361" i="6"/>
  <c r="AF362" i="6"/>
  <c r="AF363" i="6"/>
  <c r="AF364" i="6"/>
  <c r="AF365" i="6"/>
  <c r="AF366" i="6"/>
  <c r="AF367" i="6"/>
  <c r="AF368" i="6"/>
  <c r="AF369" i="6"/>
  <c r="AF370" i="6"/>
  <c r="AF371" i="6"/>
  <c r="AF372" i="6"/>
  <c r="AF373" i="6"/>
  <c r="AF374" i="6"/>
  <c r="AF375" i="6"/>
  <c r="AF376" i="6"/>
  <c r="AF377" i="6"/>
  <c r="AF378" i="6"/>
  <c r="AF379" i="6"/>
  <c r="AF380" i="6"/>
  <c r="AF381" i="6"/>
  <c r="AF382" i="6"/>
  <c r="AF383" i="6"/>
  <c r="AF384" i="6"/>
  <c r="AF385" i="6"/>
  <c r="AF386" i="6"/>
  <c r="AF387" i="6"/>
  <c r="AF388" i="6"/>
  <c r="AF389" i="6"/>
  <c r="AF390" i="6"/>
  <c r="AF391" i="6"/>
  <c r="AF393" i="6"/>
  <c r="AF394" i="6"/>
  <c r="AF398" i="6"/>
  <c r="AF400" i="6"/>
  <c r="AF402" i="6"/>
  <c r="AF403" i="6"/>
  <c r="AF407" i="6"/>
  <c r="AF409" i="6"/>
  <c r="AF411" i="6"/>
  <c r="AF412" i="6"/>
  <c r="AF416" i="6"/>
  <c r="AF418" i="6"/>
  <c r="AF420" i="6"/>
  <c r="AF421" i="6"/>
  <c r="AF425" i="6"/>
  <c r="AF427" i="6"/>
  <c r="AF429" i="6"/>
  <c r="AF430" i="6"/>
  <c r="AF431" i="6"/>
  <c r="AF432" i="6"/>
  <c r="AF433" i="6"/>
  <c r="AF434" i="6"/>
  <c r="AF435" i="6"/>
  <c r="AF436" i="6"/>
  <c r="AF438" i="6"/>
  <c r="AF439" i="6"/>
  <c r="AF441" i="6"/>
  <c r="AF442" i="6"/>
  <c r="AF443" i="6"/>
  <c r="AF444" i="6"/>
  <c r="AF445" i="6"/>
  <c r="AF447" i="6"/>
  <c r="AF448" i="6"/>
  <c r="AF449" i="6"/>
  <c r="AF450" i="6"/>
  <c r="AF451" i="6"/>
  <c r="AF452" i="6"/>
  <c r="AF453" i="6"/>
  <c r="AF454" i="6"/>
  <c r="AF455" i="6"/>
  <c r="AF456" i="6"/>
  <c r="AF457" i="6"/>
  <c r="AF458" i="6"/>
  <c r="AF459" i="6"/>
  <c r="AF460" i="6"/>
  <c r="AF461" i="6"/>
  <c r="AF462" i="6"/>
  <c r="AF463" i="6"/>
  <c r="AF464" i="6"/>
  <c r="AF465" i="6"/>
  <c r="AF466" i="6"/>
  <c r="AF467" i="6"/>
  <c r="AF469" i="6"/>
  <c r="AF470" i="6"/>
  <c r="AF471" i="6"/>
  <c r="AF472" i="6"/>
  <c r="AF473" i="6"/>
  <c r="AF474" i="6"/>
  <c r="AF475" i="6"/>
  <c r="AF476" i="6"/>
  <c r="AF478" i="6"/>
  <c r="AF479" i="6"/>
  <c r="AF480" i="6"/>
  <c r="AF481" i="6"/>
  <c r="AF482" i="6"/>
  <c r="AF483" i="6"/>
  <c r="AF484" i="6"/>
  <c r="AF485" i="6"/>
  <c r="AF487" i="6"/>
  <c r="AF488" i="6"/>
  <c r="AF489" i="6"/>
  <c r="AF490" i="6"/>
  <c r="AF491" i="6"/>
  <c r="AF492" i="6"/>
  <c r="AF493" i="6"/>
  <c r="AF494" i="6"/>
  <c r="AF495" i="6"/>
  <c r="AF496" i="6"/>
  <c r="AF497" i="6"/>
  <c r="AF498" i="6"/>
  <c r="AF499" i="6"/>
  <c r="AF500" i="6"/>
  <c r="AF501" i="6"/>
  <c r="AF502" i="6"/>
  <c r="AF503" i="6"/>
  <c r="AF504" i="6"/>
  <c r="AF505" i="6"/>
  <c r="AF506" i="6"/>
  <c r="AF507" i="6"/>
  <c r="AF508" i="6"/>
  <c r="AF509" i="6"/>
  <c r="AF510" i="6"/>
  <c r="AF511" i="6"/>
  <c r="AF512" i="6"/>
  <c r="AF513" i="6"/>
  <c r="AF514" i="6"/>
  <c r="AF515" i="6"/>
  <c r="AF516" i="6"/>
  <c r="AF517" i="6"/>
  <c r="AF518" i="6"/>
  <c r="AF519" i="6"/>
  <c r="AF520" i="6"/>
  <c r="AF521" i="6"/>
  <c r="AF522" i="6"/>
  <c r="AF523" i="6"/>
  <c r="AF524" i="6"/>
  <c r="AF525" i="6"/>
  <c r="AF526" i="6"/>
  <c r="AF527" i="6"/>
  <c r="AF528" i="6"/>
  <c r="AF529" i="6"/>
  <c r="AF530" i="6"/>
  <c r="AF531" i="6"/>
  <c r="AF532" i="6"/>
  <c r="AF533" i="6"/>
  <c r="AF534" i="6"/>
  <c r="AF535" i="6"/>
  <c r="AF536" i="6"/>
  <c r="AF537" i="6"/>
  <c r="AF538" i="6"/>
  <c r="AF539" i="6"/>
  <c r="AF540" i="6"/>
  <c r="AF541" i="6"/>
  <c r="AF542" i="6"/>
  <c r="AF543" i="6"/>
  <c r="AF544" i="6"/>
  <c r="AF545" i="6"/>
  <c r="AF546" i="6"/>
  <c r="AF547" i="6"/>
  <c r="AF548" i="6"/>
  <c r="AF549" i="6"/>
  <c r="AF550" i="6"/>
  <c r="AF551" i="6"/>
  <c r="AF552" i="6"/>
  <c r="AF553" i="6"/>
  <c r="AF554" i="6"/>
  <c r="AF555" i="6"/>
  <c r="AF556" i="6"/>
  <c r="AF557" i="6"/>
  <c r="AF558" i="6"/>
  <c r="AF559" i="6"/>
  <c r="AF560" i="6"/>
  <c r="AF561" i="6"/>
  <c r="AF562" i="6"/>
  <c r="AF563" i="6"/>
  <c r="AF564" i="6"/>
  <c r="AF565" i="6"/>
  <c r="AF566" i="6"/>
  <c r="AF567" i="6"/>
  <c r="AF568" i="6"/>
  <c r="AF569" i="6"/>
  <c r="AF570" i="6"/>
  <c r="AF571" i="6"/>
  <c r="AF572" i="6"/>
  <c r="AF573" i="6"/>
  <c r="AF574" i="6"/>
  <c r="AF575" i="6"/>
  <c r="AF576" i="6"/>
  <c r="AF577" i="6"/>
  <c r="AF578" i="6"/>
  <c r="AF579" i="6"/>
  <c r="AF580" i="6"/>
  <c r="AF581" i="6"/>
  <c r="AF582" i="6"/>
  <c r="AF583" i="6"/>
  <c r="AF584" i="6"/>
  <c r="AF585" i="6"/>
  <c r="AF586" i="6"/>
  <c r="AF587" i="6"/>
  <c r="AF588" i="6"/>
  <c r="AF589" i="6"/>
  <c r="AF590" i="6"/>
  <c r="AF591" i="6"/>
  <c r="AF592" i="6"/>
  <c r="AF593" i="6"/>
  <c r="AF594" i="6"/>
  <c r="AF595" i="6"/>
  <c r="AF596" i="6"/>
  <c r="AF597" i="6"/>
  <c r="AF598" i="6"/>
  <c r="AF599" i="6"/>
  <c r="AF600" i="6"/>
  <c r="AF601" i="6"/>
  <c r="AF602" i="6"/>
  <c r="AF603" i="6"/>
  <c r="AF604" i="6"/>
  <c r="AF605" i="6"/>
  <c r="AF606" i="6"/>
  <c r="AF607" i="6"/>
  <c r="AF608" i="6"/>
  <c r="AF609" i="6"/>
  <c r="AF610" i="6"/>
  <c r="AF611" i="6"/>
  <c r="AF612" i="6"/>
  <c r="AF613" i="6"/>
  <c r="AF614" i="6"/>
  <c r="AF615" i="6"/>
  <c r="AF616" i="6"/>
  <c r="AF617" i="6"/>
  <c r="AF618" i="6"/>
  <c r="AF619" i="6"/>
  <c r="AF620" i="6"/>
  <c r="AF621" i="6"/>
  <c r="AF622" i="6"/>
  <c r="AF623" i="6"/>
  <c r="AF624" i="6"/>
  <c r="AF625" i="6"/>
  <c r="AF626" i="6"/>
  <c r="AF627" i="6"/>
  <c r="AF628" i="6"/>
  <c r="AF629" i="6"/>
  <c r="AF630" i="6"/>
  <c r="AF631" i="6"/>
  <c r="AF632" i="6"/>
  <c r="AF633" i="6"/>
  <c r="AF634" i="6"/>
  <c r="AF635" i="6"/>
  <c r="AF636" i="6"/>
  <c r="AF637" i="6"/>
  <c r="AF638" i="6"/>
  <c r="AF639" i="6"/>
  <c r="AF640" i="6"/>
  <c r="AF641" i="6"/>
  <c r="AF642" i="6"/>
  <c r="AF643" i="6"/>
  <c r="AF644" i="6"/>
  <c r="AF645" i="6"/>
  <c r="AF646" i="6"/>
  <c r="AF647" i="6"/>
  <c r="AF648" i="6"/>
  <c r="AF649" i="6"/>
  <c r="AF650" i="6"/>
  <c r="AF651" i="6"/>
  <c r="AF652" i="6"/>
  <c r="AF653" i="6"/>
  <c r="AF654" i="6"/>
  <c r="AF655" i="6"/>
  <c r="AF656" i="6"/>
  <c r="AF657" i="6"/>
  <c r="AF658" i="6"/>
  <c r="AF659" i="6"/>
  <c r="AF660" i="6"/>
  <c r="AF661" i="6"/>
  <c r="AF662" i="6"/>
  <c r="AF663" i="6"/>
  <c r="AF664" i="6"/>
  <c r="AF665" i="6"/>
  <c r="AF666" i="6"/>
  <c r="AF667" i="6"/>
  <c r="AF668" i="6"/>
  <c r="AF669" i="6"/>
  <c r="AF670" i="6"/>
  <c r="AF672" i="6"/>
  <c r="AF675" i="6"/>
  <c r="AF677" i="6"/>
  <c r="AF681" i="6"/>
  <c r="AF684" i="6"/>
  <c r="AF686" i="6"/>
  <c r="AF690" i="6"/>
  <c r="AF693" i="6"/>
  <c r="AF695" i="6"/>
  <c r="AF699" i="6"/>
  <c r="AF702" i="6"/>
  <c r="AF704" i="6"/>
  <c r="AF708" i="6"/>
  <c r="AF711" i="6"/>
  <c r="AF713" i="6"/>
  <c r="AF717" i="6"/>
  <c r="AF720" i="6"/>
  <c r="AF722" i="6"/>
  <c r="AF726" i="6"/>
  <c r="AF729" i="6"/>
  <c r="AF731" i="6"/>
  <c r="AF735" i="6"/>
  <c r="AF738" i="6"/>
  <c r="AF740" i="6"/>
  <c r="AF166" i="6"/>
  <c r="AF34" i="6"/>
  <c r="AF35" i="6"/>
  <c r="AF36" i="6"/>
  <c r="AF45" i="6"/>
  <c r="AF46" i="6"/>
  <c r="AF47" i="6"/>
  <c r="AF48" i="6"/>
  <c r="AF49" i="6"/>
  <c r="AF50" i="6"/>
  <c r="AF51" i="6"/>
  <c r="AF52" i="6"/>
  <c r="AF53" i="6"/>
  <c r="AF54" i="6"/>
  <c r="AF55" i="6"/>
  <c r="AF56" i="6"/>
  <c r="AF57" i="6"/>
  <c r="AF58" i="6"/>
  <c r="AF59" i="6"/>
  <c r="AF60" i="6"/>
  <c r="AF61" i="6"/>
  <c r="AF62" i="6"/>
  <c r="AF63" i="6"/>
  <c r="AF64" i="6"/>
  <c r="AF65" i="6"/>
  <c r="AF66" i="6"/>
  <c r="AF67" i="6"/>
  <c r="AF68" i="6"/>
  <c r="AF69" i="6"/>
  <c r="AF71" i="6"/>
  <c r="AF73" i="6"/>
  <c r="AF75" i="6"/>
  <c r="AF77" i="6"/>
  <c r="AF1531" i="6"/>
  <c r="AF1573" i="6"/>
  <c r="AF1593" i="6"/>
  <c r="AF1605" i="6"/>
  <c r="AF1607" i="6"/>
  <c r="AF1609" i="6"/>
  <c r="AF1625" i="6"/>
  <c r="AF1637" i="6"/>
  <c r="AF1649" i="6"/>
  <c r="AF1651" i="6"/>
  <c r="AF1657" i="6"/>
  <c r="AF1669" i="6"/>
  <c r="AF1677" i="6"/>
  <c r="AF1689" i="6"/>
  <c r="AF1691" i="6"/>
  <c r="AF1693" i="6"/>
  <c r="AF1705" i="6"/>
  <c r="AF1731" i="6"/>
  <c r="AF1743" i="6"/>
  <c r="AF1745" i="6"/>
  <c r="AF1747" i="6"/>
  <c r="AF1763" i="6"/>
  <c r="AF1775" i="6"/>
  <c r="AF1777" i="6"/>
  <c r="AF1779" i="6"/>
  <c r="AF1795" i="6"/>
  <c r="AF1807" i="6"/>
  <c r="AF1809" i="6"/>
  <c r="AF1811" i="6"/>
  <c r="AF1837" i="6"/>
  <c r="AF1839" i="6"/>
  <c r="AF1841" i="6"/>
  <c r="AF1863" i="6"/>
  <c r="AI168" i="15" l="1"/>
  <c r="AI169" i="15" s="1"/>
  <c r="AI170" i="15" s="1"/>
  <c r="AI171" i="15" s="1"/>
  <c r="AI172" i="15" s="1"/>
  <c r="AI173" i="15" s="1"/>
  <c r="AI174" i="15" s="1"/>
  <c r="AI175" i="15" s="1"/>
  <c r="AI176" i="15" s="1"/>
  <c r="AI177" i="15" s="1"/>
  <c r="AI178" i="15" s="1"/>
  <c r="AI179" i="15" s="1"/>
  <c r="AI180" i="15" s="1"/>
  <c r="AI181" i="15" s="1"/>
  <c r="AI182" i="15" s="1"/>
  <c r="AI183" i="15" s="1"/>
  <c r="AI184" i="15" s="1"/>
  <c r="AI185" i="15" s="1"/>
  <c r="AI186" i="15" s="1"/>
  <c r="AI187" i="15" s="1"/>
  <c r="AI188" i="15" s="1"/>
  <c r="AI189" i="15" s="1"/>
  <c r="AI190" i="15" s="1"/>
  <c r="AI191" i="15" s="1"/>
  <c r="AI192" i="15" s="1"/>
  <c r="AI193" i="15" s="1"/>
  <c r="AI194" i="15" s="1"/>
  <c r="AI195" i="15" s="1"/>
  <c r="AI196" i="15" s="1"/>
  <c r="AI197" i="15" s="1"/>
  <c r="AI198" i="15" s="1"/>
  <c r="AI199" i="15" s="1"/>
  <c r="AI200" i="15" s="1"/>
  <c r="AI201" i="15" s="1"/>
  <c r="AI202" i="15" s="1"/>
  <c r="AI203" i="15" s="1"/>
  <c r="AI204" i="15" s="1"/>
  <c r="AI205" i="15" s="1"/>
  <c r="AI206" i="15" s="1"/>
  <c r="AI207" i="15" s="1"/>
  <c r="AI208" i="15" s="1"/>
  <c r="AI209" i="15" s="1"/>
  <c r="AI210" i="15" s="1"/>
  <c r="AI211" i="15" s="1"/>
  <c r="AI212" i="15" s="1"/>
  <c r="AI213" i="15" s="1"/>
  <c r="AI214" i="15" s="1"/>
  <c r="AI215" i="15" s="1"/>
  <c r="AI216" i="15" s="1"/>
  <c r="AI217" i="15" s="1"/>
  <c r="AI218" i="15" s="1"/>
  <c r="AI219" i="15" s="1"/>
  <c r="AI220" i="15" s="1"/>
  <c r="AI221" i="15" s="1"/>
  <c r="AI222" i="15" s="1"/>
  <c r="AI223" i="15" s="1"/>
  <c r="AI224" i="15" s="1"/>
  <c r="AI225" i="15" s="1"/>
  <c r="AI226" i="15" s="1"/>
  <c r="AI227" i="15" s="1"/>
  <c r="AI228" i="15" s="1"/>
  <c r="AI229" i="15" s="1"/>
  <c r="AI230" i="15" s="1"/>
  <c r="AI231" i="15" s="1"/>
  <c r="AI232" i="15" s="1"/>
  <c r="AI233" i="15" s="1"/>
  <c r="AI234" i="15" s="1"/>
  <c r="AI235" i="15" s="1"/>
  <c r="AI236" i="15" s="1"/>
  <c r="AI237" i="15" s="1"/>
  <c r="AI238" i="15" s="1"/>
  <c r="AI239" i="15" s="1"/>
  <c r="AI240" i="15" s="1"/>
  <c r="AI241" i="15" s="1"/>
  <c r="AI242" i="15" s="1"/>
  <c r="AI243" i="15" s="1"/>
  <c r="AI244" i="15" s="1"/>
  <c r="AI245" i="15" s="1"/>
  <c r="AI246" i="15" s="1"/>
  <c r="AI247" i="15" s="1"/>
  <c r="AI248" i="15" s="1"/>
  <c r="AI249" i="15" s="1"/>
  <c r="AI250" i="15" s="1"/>
  <c r="AI251" i="15" s="1"/>
  <c r="AI252" i="15" s="1"/>
  <c r="AI253" i="15" s="1"/>
  <c r="AI254" i="15" s="1"/>
  <c r="AI255" i="15" s="1"/>
  <c r="AI256" i="15" s="1"/>
  <c r="AI257" i="15" s="1"/>
  <c r="AI258" i="15" s="1"/>
  <c r="AI259" i="15" s="1"/>
  <c r="AI260" i="15" s="1"/>
  <c r="AI261" i="15" s="1"/>
  <c r="AI262" i="15" s="1"/>
  <c r="AI263" i="15" s="1"/>
  <c r="AI264" i="15" s="1"/>
  <c r="AI265" i="15" s="1"/>
  <c r="AI266" i="15" s="1"/>
  <c r="AI267" i="15" s="1"/>
  <c r="AI268" i="15" s="1"/>
  <c r="AI269" i="15" s="1"/>
  <c r="AI270" i="15" s="1"/>
  <c r="AI271" i="15" s="1"/>
  <c r="AI272" i="15" s="1"/>
  <c r="AI273" i="15" s="1"/>
  <c r="AI274" i="15" s="1"/>
  <c r="AI275" i="15" s="1"/>
  <c r="AI276" i="15" s="1"/>
  <c r="AI277" i="15" s="1"/>
  <c r="AI278" i="15" s="1"/>
  <c r="AI279" i="15" s="1"/>
  <c r="AI280" i="15" s="1"/>
  <c r="AI281" i="15" s="1"/>
  <c r="AI282" i="15" s="1"/>
  <c r="AI283" i="15" s="1"/>
  <c r="AI284" i="15" s="1"/>
  <c r="AI285" i="15" s="1"/>
  <c r="AI286" i="15" s="1"/>
  <c r="AI287" i="15" s="1"/>
  <c r="AI288" i="15" s="1"/>
  <c r="AI289" i="15" s="1"/>
  <c r="AI290" i="15" s="1"/>
  <c r="AI291" i="15" s="1"/>
  <c r="AI292" i="15" s="1"/>
  <c r="AI293" i="15" s="1"/>
  <c r="AI294" i="15" s="1"/>
  <c r="AI295" i="15" s="1"/>
  <c r="AI296" i="15" s="1"/>
  <c r="AI297" i="15" s="1"/>
  <c r="AI298" i="15" s="1"/>
  <c r="AI299" i="15" s="1"/>
  <c r="AI300" i="15" s="1"/>
  <c r="AI301" i="15" s="1"/>
  <c r="AI302" i="15" s="1"/>
  <c r="AI303" i="15" s="1"/>
  <c r="AI304" i="15" s="1"/>
  <c r="AI305" i="15" s="1"/>
  <c r="AI306" i="15" s="1"/>
  <c r="AI307" i="15" s="1"/>
  <c r="AI308" i="15" s="1"/>
  <c r="AI309" i="15" s="1"/>
  <c r="AI310" i="15" s="1"/>
  <c r="AI311" i="15" s="1"/>
  <c r="AI312" i="15" s="1"/>
  <c r="AI313" i="15" s="1"/>
  <c r="AI314" i="15" s="1"/>
  <c r="AI315" i="15" s="1"/>
  <c r="AI316" i="15" s="1"/>
  <c r="AI317" i="15" s="1"/>
  <c r="AI318" i="15" s="1"/>
  <c r="AI319" i="15" s="1"/>
  <c r="AI320" i="15" s="1"/>
  <c r="AI321" i="15" s="1"/>
  <c r="AI322" i="15" s="1"/>
  <c r="AI323" i="15" s="1"/>
  <c r="AI324" i="15" s="1"/>
  <c r="AI325" i="15" s="1"/>
  <c r="AI326" i="15" s="1"/>
  <c r="AI327" i="15" s="1"/>
  <c r="AI328" i="15" s="1"/>
  <c r="AI329" i="15" s="1"/>
  <c r="AI330" i="15" s="1"/>
  <c r="AI331" i="15" s="1"/>
  <c r="AI332" i="15" s="1"/>
  <c r="AI333" i="15" s="1"/>
  <c r="AI334" i="15" s="1"/>
  <c r="AI335" i="15" s="1"/>
  <c r="AI336" i="15" s="1"/>
  <c r="AI337" i="15" s="1"/>
  <c r="AI338" i="15" s="1"/>
  <c r="AI339" i="15" s="1"/>
  <c r="AI340" i="15" s="1"/>
  <c r="AI341" i="15" s="1"/>
  <c r="AI342" i="15" s="1"/>
  <c r="AI343" i="15" s="1"/>
  <c r="AI167" i="15"/>
  <c r="AF318" i="5"/>
  <c r="AF319" i="5"/>
  <c r="AF323" i="5"/>
  <c r="AF324" i="5"/>
  <c r="AF325" i="5"/>
  <c r="AF317" i="5"/>
  <c r="AF287" i="5"/>
  <c r="AF288" i="5"/>
  <c r="AF289" i="5"/>
  <c r="AF290" i="5"/>
  <c r="AF291" i="5"/>
  <c r="AF296" i="5"/>
  <c r="AF297" i="5"/>
  <c r="AF298" i="5"/>
  <c r="AF299" i="5"/>
  <c r="AF300" i="5"/>
  <c r="AF286" i="5"/>
  <c r="AF241" i="5"/>
  <c r="AF246" i="5"/>
  <c r="AF247" i="5"/>
  <c r="AF248" i="5"/>
  <c r="AF249" i="5"/>
  <c r="AF250" i="5"/>
  <c r="AF251" i="5"/>
  <c r="AF252" i="5"/>
  <c r="AF253" i="5"/>
  <c r="AF254" i="5"/>
  <c r="AF255" i="5"/>
  <c r="AF256" i="5"/>
  <c r="AF257" i="5"/>
  <c r="AF258" i="5"/>
  <c r="AF259" i="5"/>
  <c r="AF260" i="5"/>
  <c r="AF261" i="5"/>
  <c r="AF262" i="5"/>
  <c r="AF263" i="5"/>
  <c r="AF264" i="5"/>
  <c r="AF195" i="5"/>
  <c r="AF196" i="5"/>
  <c r="AF197" i="5"/>
  <c r="AF198" i="5"/>
  <c r="AF199" i="5"/>
  <c r="AF200" i="5"/>
  <c r="AF201" i="5"/>
  <c r="AF202" i="5"/>
  <c r="AF203" i="5"/>
  <c r="AF204" i="5"/>
  <c r="AF205" i="5"/>
  <c r="AF206" i="5"/>
  <c r="AF207" i="5"/>
  <c r="AF208" i="5"/>
  <c r="AF209" i="5"/>
  <c r="AF210" i="5"/>
  <c r="AF211" i="5"/>
  <c r="AF212" i="5"/>
  <c r="AF213" i="5"/>
  <c r="AF214" i="5"/>
  <c r="AF215" i="5"/>
  <c r="AF216" i="5"/>
  <c r="AF217" i="5"/>
  <c r="AF218" i="5"/>
  <c r="AF219" i="5"/>
  <c r="AF220" i="5"/>
  <c r="AF221" i="5"/>
  <c r="AF222" i="5"/>
  <c r="AF224" i="5"/>
  <c r="AF225" i="5"/>
  <c r="AF194" i="5"/>
  <c r="AF146" i="5"/>
  <c r="AF147" i="5"/>
  <c r="AF148" i="5"/>
  <c r="AF149" i="5"/>
  <c r="AF150" i="5"/>
  <c r="AF151" i="5"/>
  <c r="AF152" i="5"/>
  <c r="AF153" i="5"/>
  <c r="AF154" i="5"/>
  <c r="AF155" i="5"/>
  <c r="AF156" i="5"/>
  <c r="AF157" i="5"/>
  <c r="AF158" i="5"/>
  <c r="AF159" i="5"/>
  <c r="AF160" i="5"/>
  <c r="AF161" i="5"/>
  <c r="AF162" i="5"/>
  <c r="AF163" i="5"/>
  <c r="AF164" i="5"/>
  <c r="AF165" i="5"/>
  <c r="AF166" i="5"/>
  <c r="AF167" i="5"/>
  <c r="AF168" i="5"/>
  <c r="AF169" i="5"/>
  <c r="AF170" i="5"/>
  <c r="AF171" i="5"/>
  <c r="AF172" i="5"/>
  <c r="AF173" i="5"/>
  <c r="AF174" i="5"/>
  <c r="AF175" i="5"/>
  <c r="AF176" i="5"/>
  <c r="AF145" i="5"/>
  <c r="AF97" i="5"/>
  <c r="AF98" i="5"/>
  <c r="AF99" i="5"/>
  <c r="AF100" i="5"/>
  <c r="AF101" i="5"/>
  <c r="AF102" i="5"/>
  <c r="AF103" i="5"/>
  <c r="AF104" i="5"/>
  <c r="AF105" i="5"/>
  <c r="AF106" i="5"/>
  <c r="AF107" i="5"/>
  <c r="AF108" i="5"/>
  <c r="AF109" i="5"/>
  <c r="AF110" i="5"/>
  <c r="AF111" i="5"/>
  <c r="AF112" i="5"/>
  <c r="AF113" i="5"/>
  <c r="AF114" i="5"/>
  <c r="AF115" i="5"/>
  <c r="AF116" i="5"/>
  <c r="AF117" i="5"/>
  <c r="AF118" i="5"/>
  <c r="AF119" i="5"/>
  <c r="AF120" i="5"/>
  <c r="AF121" i="5"/>
  <c r="AF122" i="5"/>
  <c r="AF123" i="5"/>
  <c r="AF124" i="5"/>
  <c r="AF125" i="5"/>
  <c r="AF126" i="5"/>
  <c r="AF127" i="5"/>
  <c r="AF128" i="5"/>
  <c r="AF96" i="5"/>
  <c r="AF79" i="5"/>
  <c r="AF20" i="5"/>
  <c r="AF21" i="5"/>
  <c r="AF22" i="5"/>
  <c r="AF23" i="5"/>
  <c r="AF24" i="5"/>
  <c r="AF25" i="5"/>
  <c r="AF26" i="5"/>
  <c r="AF27" i="5"/>
  <c r="AF28" i="5"/>
  <c r="AF29" i="5"/>
  <c r="AF30" i="5"/>
  <c r="AF31" i="5"/>
  <c r="AF32" i="5"/>
  <c r="AF33" i="5"/>
  <c r="AF34" i="5"/>
  <c r="AF35" i="5"/>
  <c r="AF36" i="5"/>
  <c r="AF37" i="5"/>
  <c r="AF19" i="5"/>
  <c r="AF377" i="16"/>
  <c r="AF378" i="16"/>
  <c r="AF379" i="16"/>
  <c r="AF380" i="16"/>
  <c r="AF381" i="16"/>
  <c r="AF382" i="16"/>
  <c r="AF383" i="16"/>
  <c r="AF376" i="16"/>
  <c r="AF358" i="16"/>
  <c r="AF359" i="16"/>
  <c r="AF360" i="16"/>
  <c r="AF361" i="16"/>
  <c r="AF362" i="16"/>
  <c r="AF363" i="16"/>
  <c r="AF364" i="16"/>
  <c r="AF357" i="16"/>
  <c r="AF325" i="16"/>
  <c r="AF326" i="16"/>
  <c r="AF327" i="16"/>
  <c r="AF328" i="16"/>
  <c r="AF329" i="16"/>
  <c r="AF330" i="16"/>
  <c r="AF331" i="16"/>
  <c r="AF332" i="16"/>
  <c r="AF333" i="16"/>
  <c r="AF334" i="16"/>
  <c r="AF335" i="16"/>
  <c r="AF336" i="16"/>
  <c r="AF337" i="16"/>
  <c r="AF338" i="16"/>
  <c r="AF339" i="16"/>
  <c r="AF340" i="16"/>
  <c r="AF341" i="16"/>
  <c r="AF342" i="16"/>
  <c r="AF343" i="16"/>
  <c r="AF344" i="16"/>
  <c r="AF345" i="16"/>
  <c r="AF324" i="16"/>
  <c r="AF299" i="16"/>
  <c r="AF300" i="16"/>
  <c r="AF301" i="16"/>
  <c r="AF302" i="16"/>
  <c r="AF303" i="16"/>
  <c r="AF304" i="16"/>
  <c r="AF305" i="16"/>
  <c r="AF306" i="16"/>
  <c r="AF307" i="16"/>
  <c r="AF298" i="16"/>
  <c r="AF260" i="16"/>
  <c r="AF261" i="16"/>
  <c r="AF262" i="16"/>
  <c r="AF263" i="16"/>
  <c r="AF264" i="16"/>
  <c r="AF265" i="16"/>
  <c r="AF266" i="16"/>
  <c r="AF267" i="16"/>
  <c r="AF268" i="16"/>
  <c r="AF269" i="16"/>
  <c r="AF270" i="16"/>
  <c r="AF271" i="16"/>
  <c r="AF272" i="16"/>
  <c r="AF273" i="16"/>
  <c r="AF274" i="16"/>
  <c r="AF275" i="16"/>
  <c r="AF276" i="16"/>
  <c r="AF277" i="16"/>
  <c r="AF278" i="16"/>
  <c r="AF279" i="16"/>
  <c r="AF280" i="16"/>
  <c r="AF281" i="16"/>
  <c r="AF259" i="16"/>
  <c r="AF211" i="16"/>
  <c r="AF212" i="16"/>
  <c r="AF213" i="16"/>
  <c r="AF214" i="16"/>
  <c r="AF215" i="16"/>
  <c r="AF216" i="16"/>
  <c r="AF217" i="16"/>
  <c r="AF218" i="16"/>
  <c r="AF219" i="16"/>
  <c r="AF220" i="16"/>
  <c r="AF221" i="16"/>
  <c r="AF222" i="16"/>
  <c r="AF223" i="16"/>
  <c r="AF224" i="16"/>
  <c r="AF225" i="16"/>
  <c r="AF226" i="16"/>
  <c r="AF227" i="16"/>
  <c r="AF228" i="16"/>
  <c r="AF229" i="16"/>
  <c r="AF230" i="16"/>
  <c r="AF231" i="16"/>
  <c r="AF232" i="16"/>
  <c r="AF233" i="16"/>
  <c r="AF234" i="16"/>
  <c r="AF235" i="16"/>
  <c r="AF236" i="16"/>
  <c r="AF237" i="16"/>
  <c r="AF238" i="16"/>
  <c r="AF239" i="16"/>
  <c r="AF240" i="16"/>
  <c r="AF241" i="16"/>
  <c r="AF242" i="16"/>
  <c r="AF243" i="16"/>
  <c r="AF244" i="16"/>
  <c r="AF245" i="16"/>
  <c r="AF246" i="16"/>
  <c r="AF210" i="16"/>
  <c r="AF189" i="16"/>
  <c r="AF190" i="16"/>
  <c r="AF191" i="16"/>
  <c r="AF192" i="16"/>
  <c r="AF193" i="16"/>
  <c r="AF194" i="16"/>
  <c r="AF195" i="16"/>
  <c r="AF188" i="16"/>
  <c r="AR165" i="16"/>
  <c r="AR166" i="16"/>
  <c r="AR167" i="16"/>
  <c r="AR168" i="16"/>
  <c r="AR169" i="16"/>
  <c r="AR170" i="16"/>
  <c r="AR171" i="16"/>
  <c r="AR172" i="16"/>
  <c r="AR173" i="16"/>
  <c r="AR164" i="16"/>
  <c r="AF82" i="16"/>
  <c r="AF83" i="16"/>
  <c r="AF84" i="16"/>
  <c r="AF85" i="16"/>
  <c r="AF86" i="16"/>
  <c r="AF87" i="16"/>
  <c r="AF88" i="16"/>
  <c r="AF89" i="16"/>
  <c r="AF90" i="16"/>
  <c r="AF92" i="16"/>
  <c r="AF94" i="16"/>
  <c r="AF95" i="16"/>
  <c r="AF96" i="16"/>
  <c r="AF98" i="16"/>
  <c r="AF99" i="16"/>
  <c r="AF101" i="16"/>
  <c r="AF102" i="16"/>
  <c r="AF103" i="16"/>
  <c r="AF104" i="16"/>
  <c r="AF105" i="16"/>
  <c r="AF106" i="16"/>
  <c r="AF107" i="16"/>
  <c r="AF108" i="16"/>
  <c r="AF110" i="16"/>
  <c r="AF111" i="16"/>
  <c r="AF112" i="16"/>
  <c r="AF113" i="16"/>
  <c r="AF114" i="16"/>
  <c r="AF123" i="16"/>
  <c r="AF124" i="16"/>
  <c r="AF125" i="16"/>
  <c r="AF126" i="16"/>
  <c r="AF127" i="16"/>
  <c r="AF128" i="16"/>
  <c r="AF129" i="16"/>
  <c r="AF130" i="16"/>
  <c r="AF131" i="16"/>
  <c r="AF132" i="16"/>
  <c r="AF133" i="16"/>
  <c r="AF134" i="16"/>
  <c r="AF135" i="16"/>
  <c r="AF136" i="16"/>
  <c r="AF137" i="16"/>
  <c r="AF138" i="16"/>
  <c r="AF139" i="16"/>
  <c r="AF140" i="16"/>
  <c r="AF141" i="16"/>
  <c r="AF142" i="16"/>
  <c r="AF143" i="16"/>
  <c r="AF144" i="16"/>
  <c r="AF145" i="16"/>
  <c r="AF146" i="16"/>
  <c r="AF147" i="16"/>
  <c r="AF148" i="16"/>
  <c r="AF81" i="16"/>
  <c r="AF17" i="16"/>
  <c r="AF18" i="16"/>
  <c r="AF19" i="16"/>
  <c r="AF20" i="16"/>
  <c r="AF21" i="16"/>
  <c r="AF22" i="16"/>
  <c r="AF23" i="16"/>
  <c r="AF24" i="16"/>
  <c r="AF25" i="16"/>
  <c r="AF26" i="16"/>
  <c r="AF27" i="16"/>
  <c r="AF28" i="16"/>
  <c r="AF29" i="16"/>
  <c r="AF30" i="16"/>
  <c r="AF31" i="16"/>
  <c r="AF32" i="16"/>
  <c r="AF33" i="16"/>
  <c r="AF34" i="16"/>
  <c r="AF35" i="16"/>
  <c r="AF36" i="16"/>
  <c r="AF37" i="16"/>
  <c r="AF38" i="16"/>
  <c r="AF39" i="16"/>
  <c r="AF40" i="16"/>
  <c r="AF41" i="16"/>
  <c r="AF42" i="16"/>
  <c r="AF16" i="16"/>
  <c r="AR1017" i="7" l="1"/>
  <c r="AR1018" i="7"/>
  <c r="AR1019" i="7"/>
  <c r="AR1020" i="7"/>
  <c r="AR1021" i="7"/>
  <c r="AR1022" i="7"/>
  <c r="AR1023" i="7"/>
  <c r="AR1024" i="7"/>
  <c r="AR1025" i="7"/>
  <c r="AR1027" i="7"/>
  <c r="AR1016" i="7"/>
  <c r="P957" i="7" l="1"/>
  <c r="DJ957" i="7" s="1"/>
  <c r="P958" i="7"/>
  <c r="DJ958" i="7" s="1"/>
  <c r="P959" i="7"/>
  <c r="DJ959" i="7" s="1"/>
  <c r="P960" i="7"/>
  <c r="DJ960" i="7" s="1"/>
  <c r="P961" i="7"/>
  <c r="DJ961" i="7" s="1"/>
  <c r="P962" i="7"/>
  <c r="DJ962" i="7" s="1"/>
  <c r="P963" i="7"/>
  <c r="DJ963" i="7" s="1"/>
  <c r="P964" i="7"/>
  <c r="DJ964" i="7" s="1"/>
  <c r="P965" i="7"/>
  <c r="DJ965" i="7" s="1"/>
  <c r="Q965" i="7"/>
  <c r="P967" i="7"/>
  <c r="DJ967" i="7" s="1"/>
  <c r="K957" i="7"/>
  <c r="K963" i="7"/>
  <c r="N957" i="7"/>
  <c r="X462" i="15" s="1"/>
  <c r="Z462" i="15" s="1"/>
  <c r="W462" i="15" s="1"/>
  <c r="V462" i="15" s="1"/>
  <c r="N958" i="7"/>
  <c r="X463" i="15" s="1"/>
  <c r="Z463" i="15" s="1"/>
  <c r="W463" i="15" s="1"/>
  <c r="V463" i="15" s="1"/>
  <c r="N959" i="7"/>
  <c r="X464" i="15" s="1"/>
  <c r="Z464" i="15" s="1"/>
  <c r="W464" i="15" s="1"/>
  <c r="V464" i="15" s="1"/>
  <c r="N960" i="7"/>
  <c r="X465" i="15" s="1"/>
  <c r="Z465" i="15" s="1"/>
  <c r="W465" i="15" s="1"/>
  <c r="V465" i="15" s="1"/>
  <c r="N961" i="7"/>
  <c r="X466" i="15" s="1"/>
  <c r="Z466" i="15" s="1"/>
  <c r="W466" i="15" s="1"/>
  <c r="V466" i="15" s="1"/>
  <c r="N962" i="7"/>
  <c r="X467" i="15" s="1"/>
  <c r="Z467" i="15" s="1"/>
  <c r="W467" i="15" s="1"/>
  <c r="V467" i="15" s="1"/>
  <c r="N963" i="7"/>
  <c r="X468" i="15" s="1"/>
  <c r="Z468" i="15" s="1"/>
  <c r="W468" i="15" s="1"/>
  <c r="V468" i="15" s="1"/>
  <c r="N964" i="7"/>
  <c r="X469" i="15" s="1"/>
  <c r="Z469" i="15" s="1"/>
  <c r="W469" i="15" s="1"/>
  <c r="V469" i="15" s="1"/>
  <c r="N965" i="7"/>
  <c r="X470" i="15" s="1"/>
  <c r="Z470" i="15" s="1"/>
  <c r="W470" i="15" s="1"/>
  <c r="V470" i="15" s="1"/>
  <c r="N966" i="7"/>
  <c r="X471" i="15" s="1"/>
  <c r="Z471" i="15" s="1"/>
  <c r="W471" i="15" s="1"/>
  <c r="V471" i="15" s="1"/>
  <c r="N967" i="7"/>
  <c r="X472" i="15" s="1"/>
  <c r="Z472" i="15" s="1"/>
  <c r="W472" i="15" s="1"/>
  <c r="V472" i="15" s="1"/>
  <c r="N956" i="7"/>
  <c r="X461" i="15" s="1"/>
  <c r="Z461" i="15" s="1"/>
  <c r="W461" i="15" s="1"/>
  <c r="V461" i="15" s="1"/>
  <c r="K956" i="7"/>
  <c r="G1017" i="7"/>
  <c r="Q957" i="7" s="1"/>
  <c r="G1018" i="7"/>
  <c r="Q958" i="7" s="1"/>
  <c r="G1019" i="7"/>
  <c r="Q959" i="7" s="1"/>
  <c r="G1020" i="7"/>
  <c r="Q960" i="7" s="1"/>
  <c r="G1021" i="7"/>
  <c r="Q961" i="7" s="1"/>
  <c r="G1022" i="7"/>
  <c r="Q962" i="7" s="1"/>
  <c r="G1023" i="7"/>
  <c r="Q963" i="7" s="1"/>
  <c r="G1024" i="7"/>
  <c r="Q964" i="7" s="1"/>
  <c r="G1016" i="7"/>
  <c r="G1027" i="7"/>
  <c r="Q967" i="7" s="1"/>
  <c r="J1487" i="6"/>
  <c r="AF1487" i="6" s="1"/>
  <c r="J1483" i="6"/>
  <c r="AF1483" i="6" s="1"/>
  <c r="J1482" i="6"/>
  <c r="AF1482" i="6" s="1"/>
  <c r="J1479" i="6"/>
  <c r="AF1479" i="6" s="1"/>
  <c r="J1478" i="6"/>
  <c r="AF1478" i="6" s="1"/>
  <c r="S1426" i="6"/>
  <c r="S1318" i="6"/>
  <c r="F1893" i="6"/>
  <c r="F1892" i="6"/>
  <c r="L1260" i="6"/>
  <c r="L1261" i="6"/>
  <c r="L1262" i="6"/>
  <c r="K963" i="6"/>
  <c r="Q829" i="6"/>
  <c r="Q830" i="6"/>
  <c r="Q831" i="6"/>
  <c r="F1511" i="6"/>
  <c r="F1870" i="6"/>
  <c r="F1868" i="6"/>
  <c r="F1509" i="6"/>
  <c r="F1037" i="7"/>
  <c r="K330" i="15"/>
  <c r="C742" i="7"/>
  <c r="C743" i="7"/>
  <c r="C744" i="7"/>
  <c r="C747" i="7"/>
  <c r="C728" i="7"/>
  <c r="C729" i="7"/>
  <c r="C730" i="7"/>
  <c r="C731" i="7"/>
  <c r="C732" i="7"/>
  <c r="C733" i="7"/>
  <c r="C734" i="7"/>
  <c r="C735" i="7"/>
  <c r="C736" i="7"/>
  <c r="C737" i="7"/>
  <c r="C738" i="7"/>
  <c r="C739" i="7"/>
  <c r="C740" i="7"/>
  <c r="C741" i="7"/>
  <c r="C727" i="7"/>
  <c r="J7" i="16"/>
  <c r="K7" i="16"/>
  <c r="L7" i="16"/>
  <c r="J552" i="7"/>
  <c r="J550" i="7"/>
  <c r="I549" i="7"/>
  <c r="F1126" i="7"/>
  <c r="F1103" i="7"/>
  <c r="AF1103" i="7" s="1"/>
  <c r="F1106" i="7"/>
  <c r="AF1106" i="7" s="1"/>
  <c r="I61" i="7"/>
  <c r="F324" i="7"/>
  <c r="AF324" i="7" s="1"/>
  <c r="F424" i="7"/>
  <c r="AF424" i="7" s="1"/>
  <c r="F317" i="7"/>
  <c r="AF317" i="7" s="1"/>
  <c r="F351" i="16"/>
  <c r="G630" i="7"/>
  <c r="AF630" i="7" s="1"/>
  <c r="AF4617" i="6" l="1"/>
  <c r="AF351" i="16"/>
  <c r="I38" i="15"/>
  <c r="AB464" i="15"/>
  <c r="I477" i="15"/>
  <c r="AF1037" i="7"/>
  <c r="AB465" i="15"/>
  <c r="AB470" i="15"/>
  <c r="AB467" i="15"/>
  <c r="AB463" i="15"/>
  <c r="AB462" i="15"/>
  <c r="AB469" i="15"/>
  <c r="AB466" i="15"/>
  <c r="K488" i="15"/>
  <c r="I488" i="15" s="1"/>
  <c r="AF1126" i="7"/>
  <c r="AB472" i="15"/>
  <c r="AB468" i="15"/>
  <c r="K297" i="15"/>
  <c r="AF1892" i="6"/>
  <c r="L168" i="15"/>
  <c r="AF1509" i="6"/>
  <c r="M286" i="15"/>
  <c r="AF1868" i="6"/>
  <c r="K287" i="15"/>
  <c r="AF1870" i="6"/>
  <c r="K286" i="15"/>
  <c r="AF1866" i="6"/>
  <c r="N168" i="15"/>
  <c r="AF1511" i="6"/>
  <c r="L297" i="15"/>
  <c r="AF1893" i="6"/>
  <c r="I22" i="15"/>
  <c r="AF154" i="16"/>
  <c r="I23" i="15"/>
  <c r="AF155" i="16"/>
  <c r="F1104" i="7"/>
  <c r="F1093" i="7" l="1"/>
  <c r="AF1104" i="7"/>
  <c r="I297" i="15"/>
  <c r="F1091" i="7"/>
  <c r="J486" i="15" l="1"/>
  <c r="AF1091" i="7"/>
  <c r="J487" i="15"/>
  <c r="AF1093" i="7"/>
  <c r="F1033" i="7"/>
  <c r="X258" i="16"/>
  <c r="Y258" i="16"/>
  <c r="Z258" i="16"/>
  <c r="AA258" i="16"/>
  <c r="AB258" i="16"/>
  <c r="AC258" i="16"/>
  <c r="AD258" i="16"/>
  <c r="AE258" i="16"/>
  <c r="AG258" i="16"/>
  <c r="K253" i="16"/>
  <c r="DJ253" i="16" s="1"/>
  <c r="K252" i="16"/>
  <c r="DJ252" i="16" s="1"/>
  <c r="J253" i="16"/>
  <c r="X33" i="15" s="1"/>
  <c r="Z33" i="15" s="1"/>
  <c r="W33" i="15" s="1"/>
  <c r="J252" i="16"/>
  <c r="X32" i="15" s="1"/>
  <c r="Z32" i="15" s="1"/>
  <c r="W32" i="15" s="1"/>
  <c r="F253" i="16"/>
  <c r="F252" i="16"/>
  <c r="J202" i="16"/>
  <c r="X29" i="15" s="1"/>
  <c r="Z29" i="15" s="1"/>
  <c r="W29" i="15" s="1"/>
  <c r="V29" i="15" s="1"/>
  <c r="J203" i="16"/>
  <c r="X30" i="15" s="1"/>
  <c r="Z30" i="15" s="1"/>
  <c r="W30" i="15" s="1"/>
  <c r="V30" i="15" s="1"/>
  <c r="J204" i="16"/>
  <c r="X31" i="15" s="1"/>
  <c r="Z31" i="15" s="1"/>
  <c r="W31" i="15" s="1"/>
  <c r="V31" i="15" s="1"/>
  <c r="J201" i="16"/>
  <c r="X28" i="15" s="1"/>
  <c r="Z28" i="15" s="1"/>
  <c r="W28" i="15" s="1"/>
  <c r="V28" i="15" s="1"/>
  <c r="K202" i="16"/>
  <c r="DJ202" i="16" s="1"/>
  <c r="K203" i="16"/>
  <c r="DJ203" i="16" s="1"/>
  <c r="K204" i="16"/>
  <c r="DJ204" i="16" s="1"/>
  <c r="K201" i="16"/>
  <c r="DJ201" i="16" s="1"/>
  <c r="X209" i="16"/>
  <c r="Y209" i="16"/>
  <c r="Z209" i="16"/>
  <c r="AA209" i="16"/>
  <c r="AB209" i="16"/>
  <c r="AC209" i="16"/>
  <c r="AD209" i="16"/>
  <c r="AE209" i="16"/>
  <c r="AG209" i="16"/>
  <c r="F202" i="16"/>
  <c r="I29" i="15" s="1"/>
  <c r="F203" i="16"/>
  <c r="I30" i="15" s="1"/>
  <c r="F204" i="16"/>
  <c r="I31" i="15" s="1"/>
  <c r="F201" i="16"/>
  <c r="I28" i="15" s="1"/>
  <c r="F273" i="5"/>
  <c r="G243" i="5"/>
  <c r="AF243" i="5" s="1"/>
  <c r="I473" i="15" l="1"/>
  <c r="AF1033" i="7"/>
  <c r="AB32" i="15"/>
  <c r="AB33" i="15"/>
  <c r="AB28" i="15"/>
  <c r="AB31" i="15"/>
  <c r="AB30" i="15"/>
  <c r="AB29" i="15"/>
  <c r="I32" i="15"/>
  <c r="K32" i="15" s="1"/>
  <c r="AF252" i="16"/>
  <c r="I33" i="15"/>
  <c r="K33" i="15" s="1"/>
  <c r="AF253" i="16"/>
  <c r="I482" i="15"/>
  <c r="AF1042" i="7"/>
  <c r="AF273" i="5"/>
  <c r="I67" i="15"/>
  <c r="G240" i="5"/>
  <c r="AF240" i="5" s="1"/>
  <c r="G242" i="5"/>
  <c r="AF242" i="5" s="1"/>
  <c r="G239" i="5"/>
  <c r="AF239" i="5" s="1"/>
  <c r="K1547" i="6" l="1"/>
  <c r="DJ1547" i="6" s="1"/>
  <c r="K1553" i="6"/>
  <c r="DJ1553" i="6" s="1"/>
  <c r="K1554" i="6"/>
  <c r="DJ1554" i="6" s="1"/>
  <c r="K1555" i="6"/>
  <c r="DJ1555" i="6" s="1"/>
  <c r="K1561" i="6"/>
  <c r="DJ1561" i="6" s="1"/>
  <c r="K1562" i="6"/>
  <c r="DJ1562" i="6" s="1"/>
  <c r="K1563" i="6"/>
  <c r="DJ1563" i="6" s="1"/>
  <c r="K1565" i="6"/>
  <c r="DJ1565" i="6" s="1"/>
  <c r="K1566" i="6"/>
  <c r="DJ1566" i="6" s="1"/>
  <c r="K1567" i="6"/>
  <c r="DJ1567" i="6" s="1"/>
  <c r="K1569" i="6"/>
  <c r="DJ1569" i="6" s="1"/>
  <c r="K1573" i="6"/>
  <c r="DJ1573" i="6" s="1"/>
  <c r="K1575" i="6"/>
  <c r="DJ1575" i="6" s="1"/>
  <c r="K1577" i="6"/>
  <c r="DJ1577" i="6" s="1"/>
  <c r="K1578" i="6"/>
  <c r="DJ1578" i="6" s="1"/>
  <c r="K1579" i="6"/>
  <c r="DJ1579" i="6" s="1"/>
  <c r="K1585" i="6"/>
  <c r="DJ1585" i="6" s="1"/>
  <c r="K1589" i="6"/>
  <c r="DJ1589" i="6" s="1"/>
  <c r="K1593" i="6"/>
  <c r="DJ1593" i="6" s="1"/>
  <c r="K1595" i="6"/>
  <c r="DJ1595" i="6" s="1"/>
  <c r="K1597" i="6"/>
  <c r="DJ1597" i="6" s="1"/>
  <c r="K1598" i="6"/>
  <c r="DJ1598" i="6" s="1"/>
  <c r="K1599" i="6"/>
  <c r="DJ1599" i="6" s="1"/>
  <c r="K1605" i="6"/>
  <c r="DJ1605" i="6" s="1"/>
  <c r="K1606" i="6"/>
  <c r="DJ1606" i="6" s="1"/>
  <c r="K1607" i="6"/>
  <c r="DJ1607" i="6" s="1"/>
  <c r="K1609" i="6"/>
  <c r="DJ1609" i="6" s="1"/>
  <c r="K1610" i="6"/>
  <c r="DJ1610" i="6" s="1"/>
  <c r="K1611" i="6"/>
  <c r="DJ1611" i="6" s="1"/>
  <c r="K1613" i="6"/>
  <c r="DJ1613" i="6" s="1"/>
  <c r="K1617" i="6"/>
  <c r="DJ1617" i="6" s="1"/>
  <c r="K1619" i="6"/>
  <c r="DJ1619" i="6" s="1"/>
  <c r="K1621" i="6"/>
  <c r="DJ1621" i="6" s="1"/>
  <c r="K1625" i="6"/>
  <c r="DJ1625" i="6" s="1"/>
  <c r="K1627" i="6"/>
  <c r="DJ1627" i="6" s="1"/>
  <c r="K1629" i="6"/>
  <c r="DJ1629" i="6" s="1"/>
  <c r="K1631" i="6"/>
  <c r="DJ1631" i="6" s="1"/>
  <c r="K1633" i="6"/>
  <c r="DJ1633" i="6" s="1"/>
  <c r="K1637" i="6"/>
  <c r="DJ1637" i="6" s="1"/>
  <c r="K1639" i="6"/>
  <c r="DJ1639" i="6" s="1"/>
  <c r="K1641" i="6"/>
  <c r="DJ1641" i="6" s="1"/>
  <c r="K1643" i="6"/>
  <c r="DJ1643" i="6" s="1"/>
  <c r="K1645" i="6"/>
  <c r="DJ1645" i="6" s="1"/>
  <c r="K1649" i="6"/>
  <c r="DJ1649" i="6" s="1"/>
  <c r="K1651" i="6"/>
  <c r="DJ1651" i="6" s="1"/>
  <c r="K1653" i="6"/>
  <c r="DJ1653" i="6" s="1"/>
  <c r="K1654" i="6"/>
  <c r="DJ1654" i="6" s="1"/>
  <c r="K1655" i="6"/>
  <c r="DJ1655" i="6" s="1"/>
  <c r="K1657" i="6"/>
  <c r="DJ1657" i="6" s="1"/>
  <c r="K1658" i="6"/>
  <c r="DJ1658" i="6" s="1"/>
  <c r="K1659" i="6"/>
  <c r="DJ1659" i="6" s="1"/>
  <c r="K1661" i="6"/>
  <c r="DJ1661" i="6" s="1"/>
  <c r="K1663" i="6"/>
  <c r="DJ1663" i="6" s="1"/>
  <c r="K1665" i="6"/>
  <c r="DJ1665" i="6" s="1"/>
  <c r="K1669" i="6"/>
  <c r="DJ1669" i="6" s="1"/>
  <c r="K1671" i="6"/>
  <c r="DJ1671" i="6" s="1"/>
  <c r="K1673" i="6"/>
  <c r="DJ1673" i="6" s="1"/>
  <c r="K1674" i="6"/>
  <c r="DJ1674" i="6" s="1"/>
  <c r="K1675" i="6"/>
  <c r="DJ1675" i="6" s="1"/>
  <c r="K1677" i="6"/>
  <c r="DJ1677" i="6" s="1"/>
  <c r="K1678" i="6"/>
  <c r="DJ1678" i="6" s="1"/>
  <c r="K1679" i="6"/>
  <c r="DJ1679" i="6" s="1"/>
  <c r="K1681" i="6"/>
  <c r="DJ1681" i="6" s="1"/>
  <c r="K1682" i="6"/>
  <c r="DJ1682" i="6" s="1"/>
  <c r="K1683" i="6"/>
  <c r="DJ1683" i="6" s="1"/>
  <c r="K1689" i="6"/>
  <c r="DJ1689" i="6" s="1"/>
  <c r="K1690" i="6"/>
  <c r="DJ1690" i="6" s="1"/>
  <c r="K1691" i="6"/>
  <c r="DJ1691" i="6" s="1"/>
  <c r="K1693" i="6"/>
  <c r="DJ1693" i="6" s="1"/>
  <c r="K1694" i="6"/>
  <c r="DJ1694" i="6" s="1"/>
  <c r="K1695" i="6"/>
  <c r="DJ1695" i="6" s="1"/>
  <c r="K1697" i="6"/>
  <c r="DJ1697" i="6" s="1"/>
  <c r="K1699" i="6"/>
  <c r="DJ1699" i="6" s="1"/>
  <c r="K1701" i="6"/>
  <c r="DJ1701" i="6" s="1"/>
  <c r="K1703" i="6"/>
  <c r="DJ1703" i="6" s="1"/>
  <c r="K1705" i="6"/>
  <c r="DJ1705" i="6" s="1"/>
  <c r="K1707" i="6"/>
  <c r="DJ1707" i="6" s="1"/>
  <c r="K1709" i="6"/>
  <c r="DJ1709" i="6" s="1"/>
  <c r="K1710" i="6"/>
  <c r="DJ1710" i="6" s="1"/>
  <c r="K1711" i="6"/>
  <c r="DJ1711" i="6" s="1"/>
  <c r="K1713" i="6"/>
  <c r="DJ1713" i="6" s="1"/>
  <c r="K1715" i="6"/>
  <c r="DJ1715" i="6" s="1"/>
  <c r="K1716" i="6"/>
  <c r="DJ1716" i="6" s="1"/>
  <c r="K1717" i="6"/>
  <c r="DJ1717" i="6" s="1"/>
  <c r="K1719" i="6"/>
  <c r="DJ1719" i="6" s="1"/>
  <c r="K1721" i="6"/>
  <c r="DJ1721" i="6" s="1"/>
  <c r="K1722" i="6"/>
  <c r="DJ1722" i="6" s="1"/>
  <c r="K1723" i="6"/>
  <c r="DJ1723" i="6" s="1"/>
  <c r="K1725" i="6"/>
  <c r="DJ1725" i="6" s="1"/>
  <c r="K1727" i="6"/>
  <c r="DJ1727" i="6" s="1"/>
  <c r="K1728" i="6"/>
  <c r="DJ1728" i="6" s="1"/>
  <c r="K1729" i="6"/>
  <c r="DJ1729" i="6" s="1"/>
  <c r="K1731" i="6"/>
  <c r="DJ1731" i="6" s="1"/>
  <c r="K1732" i="6"/>
  <c r="DJ1732" i="6" s="1"/>
  <c r="K1733" i="6"/>
  <c r="DJ1733" i="6" s="1"/>
  <c r="K1735" i="6"/>
  <c r="DJ1735" i="6" s="1"/>
  <c r="K1736" i="6"/>
  <c r="DJ1736" i="6" s="1"/>
  <c r="K1737" i="6"/>
  <c r="DJ1737" i="6" s="1"/>
  <c r="K1743" i="6"/>
  <c r="DJ1743" i="6" s="1"/>
  <c r="K1744" i="6"/>
  <c r="DJ1744" i="6" s="1"/>
  <c r="K1745" i="6"/>
  <c r="DJ1745" i="6" s="1"/>
  <c r="K1747" i="6"/>
  <c r="DJ1747" i="6" s="1"/>
  <c r="K1748" i="6"/>
  <c r="DJ1748" i="6" s="1"/>
  <c r="K1749" i="6"/>
  <c r="DJ1749" i="6" s="1"/>
  <c r="K1751" i="6"/>
  <c r="DJ1751" i="6" s="1"/>
  <c r="K1752" i="6"/>
  <c r="DJ1752" i="6" s="1"/>
  <c r="K1753" i="6"/>
  <c r="DJ1753" i="6" s="1"/>
  <c r="K1759" i="6"/>
  <c r="DJ1759" i="6" s="1"/>
  <c r="K1760" i="6"/>
  <c r="DJ1760" i="6" s="1"/>
  <c r="K1761" i="6"/>
  <c r="DJ1761" i="6" s="1"/>
  <c r="K1763" i="6"/>
  <c r="DJ1763" i="6" s="1"/>
  <c r="K1764" i="6"/>
  <c r="DJ1764" i="6" s="1"/>
  <c r="K1765" i="6"/>
  <c r="DJ1765" i="6" s="1"/>
  <c r="K1767" i="6"/>
  <c r="DJ1767" i="6" s="1"/>
  <c r="K1768" i="6"/>
  <c r="DJ1768" i="6" s="1"/>
  <c r="K1769" i="6"/>
  <c r="DJ1769" i="6" s="1"/>
  <c r="K1775" i="6"/>
  <c r="DJ1775" i="6" s="1"/>
  <c r="K1776" i="6"/>
  <c r="DJ1776" i="6" s="1"/>
  <c r="K1777" i="6"/>
  <c r="DJ1777" i="6" s="1"/>
  <c r="K1779" i="6"/>
  <c r="DJ1779" i="6" s="1"/>
  <c r="K1780" i="6"/>
  <c r="DJ1780" i="6" s="1"/>
  <c r="K1781" i="6"/>
  <c r="DJ1781" i="6" s="1"/>
  <c r="K1783" i="6"/>
  <c r="DJ1783" i="6" s="1"/>
  <c r="K1784" i="6"/>
  <c r="DJ1784" i="6" s="1"/>
  <c r="K1785" i="6"/>
  <c r="DJ1785" i="6" s="1"/>
  <c r="K1791" i="6"/>
  <c r="DJ1791" i="6" s="1"/>
  <c r="K1792" i="6"/>
  <c r="DJ1792" i="6" s="1"/>
  <c r="K1793" i="6"/>
  <c r="DJ1793" i="6" s="1"/>
  <c r="K1795" i="6"/>
  <c r="DJ1795" i="6" s="1"/>
  <c r="K1796" i="6"/>
  <c r="DJ1796" i="6" s="1"/>
  <c r="K1797" i="6"/>
  <c r="DJ1797" i="6" s="1"/>
  <c r="K1799" i="6"/>
  <c r="DJ1799" i="6" s="1"/>
  <c r="K1800" i="6"/>
  <c r="DJ1800" i="6" s="1"/>
  <c r="K1801" i="6"/>
  <c r="DJ1801" i="6" s="1"/>
  <c r="K1807" i="6"/>
  <c r="DJ1807" i="6" s="1"/>
  <c r="K1808" i="6"/>
  <c r="DJ1808" i="6" s="1"/>
  <c r="K1809" i="6"/>
  <c r="DJ1809" i="6" s="1"/>
  <c r="K1811" i="6"/>
  <c r="DJ1811" i="6" s="1"/>
  <c r="K1812" i="6"/>
  <c r="DJ1812" i="6" s="1"/>
  <c r="K1813" i="6"/>
  <c r="DJ1813" i="6" s="1"/>
  <c r="K1815" i="6"/>
  <c r="DJ1815" i="6" s="1"/>
  <c r="K1816" i="6"/>
  <c r="DJ1816" i="6" s="1"/>
  <c r="K1817" i="6"/>
  <c r="DJ1817" i="6" s="1"/>
  <c r="K1823" i="6"/>
  <c r="DJ1823" i="6" s="1"/>
  <c r="K1824" i="6"/>
  <c r="DJ1824" i="6" s="1"/>
  <c r="K1825" i="6"/>
  <c r="DJ1825" i="6" s="1"/>
  <c r="K1827" i="6"/>
  <c r="DJ1827" i="6" s="1"/>
  <c r="K1829" i="6"/>
  <c r="DJ1829" i="6" s="1"/>
  <c r="K1830" i="6"/>
  <c r="DJ1830" i="6" s="1"/>
  <c r="K1831" i="6"/>
  <c r="DJ1831" i="6" s="1"/>
  <c r="K1837" i="6"/>
  <c r="DJ1837" i="6" s="1"/>
  <c r="K1838" i="6"/>
  <c r="DJ1838" i="6" s="1"/>
  <c r="K1839" i="6"/>
  <c r="DJ1839" i="6" s="1"/>
  <c r="K1841" i="6"/>
  <c r="DJ1841" i="6" s="1"/>
  <c r="K1842" i="6"/>
  <c r="DJ1842" i="6" s="1"/>
  <c r="K1843" i="6"/>
  <c r="DJ1843" i="6" s="1"/>
  <c r="K1845" i="6"/>
  <c r="DJ1845" i="6" s="1"/>
  <c r="K1846" i="6"/>
  <c r="DJ1846" i="6" s="1"/>
  <c r="K1847" i="6"/>
  <c r="DJ1847" i="6" s="1"/>
  <c r="K1853" i="6"/>
  <c r="DJ1853" i="6" s="1"/>
  <c r="K1854" i="6"/>
  <c r="DJ1854" i="6" s="1"/>
  <c r="K1855" i="6"/>
  <c r="DJ1855" i="6" s="1"/>
  <c r="K1857" i="6"/>
  <c r="DJ1857" i="6" s="1"/>
  <c r="K1859" i="6"/>
  <c r="DJ1859" i="6" s="1"/>
  <c r="K1863" i="6"/>
  <c r="DJ1863" i="6" s="1"/>
  <c r="K1865" i="6"/>
  <c r="DJ1865" i="6" s="1"/>
  <c r="K1867" i="6"/>
  <c r="DJ1867" i="6" s="1"/>
  <c r="K1868" i="6"/>
  <c r="DJ1868" i="6" s="1"/>
  <c r="K1869" i="6"/>
  <c r="DJ1869" i="6" s="1"/>
  <c r="K1875" i="6"/>
  <c r="DJ1875" i="6" s="1"/>
  <c r="K1879" i="6"/>
  <c r="DJ1879" i="6" s="1"/>
  <c r="K1883" i="6"/>
  <c r="DJ1883" i="6" s="1"/>
  <c r="K1887" i="6"/>
  <c r="DJ1887" i="6" s="1"/>
  <c r="K1891" i="6"/>
  <c r="DJ1891" i="6" s="1"/>
  <c r="K1521" i="6"/>
  <c r="DJ1521" i="6" s="1"/>
  <c r="K1523" i="6"/>
  <c r="DJ1523" i="6" s="1"/>
  <c r="K1525" i="6"/>
  <c r="DJ1525" i="6" s="1"/>
  <c r="K1527" i="6"/>
  <c r="DJ1527" i="6" s="1"/>
  <c r="K1528" i="6"/>
  <c r="DJ1528" i="6" s="1"/>
  <c r="K1529" i="6"/>
  <c r="DJ1529" i="6" s="1"/>
  <c r="K1531" i="6"/>
  <c r="DJ1531" i="6" s="1"/>
  <c r="K1532" i="6"/>
  <c r="DJ1532" i="6" s="1"/>
  <c r="K1533" i="6"/>
  <c r="DJ1533" i="6" s="1"/>
  <c r="K1535" i="6"/>
  <c r="DJ1535" i="6" s="1"/>
  <c r="K1536" i="6"/>
  <c r="DJ1536" i="6" s="1"/>
  <c r="K1537" i="6"/>
  <c r="DJ1537" i="6" s="1"/>
  <c r="K1539" i="6"/>
  <c r="DJ1539" i="6" s="1"/>
  <c r="K1541" i="6"/>
  <c r="DJ1541" i="6" s="1"/>
  <c r="K1543" i="6"/>
  <c r="DJ1543" i="6" s="1"/>
  <c r="K1545" i="6"/>
  <c r="DJ1545" i="6" s="1"/>
  <c r="K1546" i="6"/>
  <c r="DJ1546" i="6" s="1"/>
  <c r="K1513" i="6"/>
  <c r="DJ1513" i="6" s="1"/>
  <c r="K1514" i="6"/>
  <c r="DJ1514" i="6" s="1"/>
  <c r="K1515" i="6"/>
  <c r="DJ1515" i="6" s="1"/>
  <c r="K1517" i="6"/>
  <c r="DJ1517" i="6" s="1"/>
  <c r="K1518" i="6"/>
  <c r="DJ1518" i="6" s="1"/>
  <c r="K1519" i="6"/>
  <c r="DJ1519" i="6" s="1"/>
  <c r="K1509" i="6"/>
  <c r="DJ1509" i="6" s="1"/>
  <c r="K1510" i="6"/>
  <c r="DJ1510" i="6" s="1"/>
  <c r="K1511" i="6"/>
  <c r="DJ1511" i="6" s="1"/>
  <c r="S1931" i="6" l="1"/>
  <c r="F845" i="7"/>
  <c r="AF845" i="7" s="1"/>
  <c r="F58" i="22"/>
  <c r="AF58" i="22" s="1"/>
  <c r="DF1893" i="6" l="1"/>
  <c r="DF1892" i="6"/>
  <c r="DF1891" i="6"/>
  <c r="DF1890" i="6"/>
  <c r="DF1889" i="6"/>
  <c r="DF1888" i="6"/>
  <c r="DF1887" i="6"/>
  <c r="DF1886" i="6"/>
  <c r="DF1885" i="6"/>
  <c r="DF1884" i="6"/>
  <c r="DF1883" i="6"/>
  <c r="DF1882" i="6"/>
  <c r="DF1881" i="6"/>
  <c r="DF1880" i="6"/>
  <c r="DF1879" i="6"/>
  <c r="DF1878" i="6"/>
  <c r="DF1877" i="6"/>
  <c r="DF1876" i="6"/>
  <c r="DF1875" i="6"/>
  <c r="DF1874" i="6"/>
  <c r="DF1873" i="6"/>
  <c r="DF1872" i="6"/>
  <c r="DF1871" i="6"/>
  <c r="DF1870" i="6"/>
  <c r="DF1869" i="6"/>
  <c r="DF1868" i="6"/>
  <c r="DF1867" i="6"/>
  <c r="DF1866" i="6"/>
  <c r="DF1865" i="6"/>
  <c r="DF1864" i="6"/>
  <c r="DF1863" i="6"/>
  <c r="DF1862" i="6"/>
  <c r="DF1861" i="6"/>
  <c r="DF1860" i="6"/>
  <c r="DF1859" i="6"/>
  <c r="DF1858" i="6"/>
  <c r="DF1857" i="6"/>
  <c r="DF1856" i="6"/>
  <c r="DF1855" i="6"/>
  <c r="DF1854" i="6"/>
  <c r="DF1853" i="6"/>
  <c r="DF1852" i="6"/>
  <c r="DF1851" i="6"/>
  <c r="DF1850" i="6"/>
  <c r="DF1849" i="6"/>
  <c r="DF1848" i="6"/>
  <c r="DF1847" i="6"/>
  <c r="DF1846" i="6"/>
  <c r="DF1845" i="6"/>
  <c r="DF1844" i="6"/>
  <c r="DF1843" i="6"/>
  <c r="DF1842" i="6"/>
  <c r="DF1841" i="6"/>
  <c r="DF1840" i="6"/>
  <c r="DF1839" i="6"/>
  <c r="DF1838" i="6"/>
  <c r="DF1837" i="6"/>
  <c r="DF1836" i="6"/>
  <c r="DF1835" i="6"/>
  <c r="DF1834" i="6"/>
  <c r="DF1833" i="6"/>
  <c r="DF1832" i="6"/>
  <c r="DF1831" i="6"/>
  <c r="DF1830" i="6"/>
  <c r="DF1829" i="6"/>
  <c r="DF1828" i="6"/>
  <c r="DF1827" i="6"/>
  <c r="DF1826" i="6"/>
  <c r="DF1825" i="6"/>
  <c r="DF1824" i="6"/>
  <c r="DF1823" i="6"/>
  <c r="DF1822" i="6"/>
  <c r="DF1821" i="6"/>
  <c r="DF1820" i="6"/>
  <c r="DF1819" i="6"/>
  <c r="DF1818" i="6"/>
  <c r="DF1817" i="6"/>
  <c r="DF1816" i="6"/>
  <c r="DF1815" i="6"/>
  <c r="DF1814" i="6"/>
  <c r="DF1813" i="6"/>
  <c r="DF1812" i="6"/>
  <c r="DF1811" i="6"/>
  <c r="DF1810" i="6"/>
  <c r="DF1809" i="6"/>
  <c r="DF1808" i="6"/>
  <c r="DF1807" i="6"/>
  <c r="DF1806" i="6"/>
  <c r="DF1805" i="6"/>
  <c r="DF1804" i="6"/>
  <c r="DF1803" i="6"/>
  <c r="DF1802" i="6"/>
  <c r="DF1801" i="6"/>
  <c r="DF1800" i="6"/>
  <c r="DF1799" i="6"/>
  <c r="DF1798" i="6"/>
  <c r="DF1797" i="6"/>
  <c r="DF1796" i="6"/>
  <c r="DF1795" i="6"/>
  <c r="DF1794" i="6"/>
  <c r="DF1793" i="6"/>
  <c r="DF1792" i="6"/>
  <c r="DF1791" i="6"/>
  <c r="DF1790" i="6"/>
  <c r="DF1789" i="6"/>
  <c r="DF1788" i="6"/>
  <c r="DF1787" i="6"/>
  <c r="DF1786" i="6"/>
  <c r="DF1785" i="6"/>
  <c r="DF1784" i="6"/>
  <c r="DF1783" i="6"/>
  <c r="DF1782" i="6"/>
  <c r="DF1781" i="6"/>
  <c r="DF1780" i="6"/>
  <c r="DF1779" i="6"/>
  <c r="DF1778" i="6"/>
  <c r="DF1777" i="6"/>
  <c r="DF1776" i="6"/>
  <c r="DF1775" i="6"/>
  <c r="DF1774" i="6"/>
  <c r="DF1773" i="6"/>
  <c r="DF1772" i="6"/>
  <c r="DF1771" i="6"/>
  <c r="DF1770" i="6"/>
  <c r="DF1769" i="6"/>
  <c r="DF1768" i="6"/>
  <c r="DF1767" i="6"/>
  <c r="DF1766" i="6"/>
  <c r="DF1765" i="6"/>
  <c r="DF1764" i="6"/>
  <c r="DF1763" i="6"/>
  <c r="DF1762" i="6"/>
  <c r="DF1761" i="6"/>
  <c r="DF1760" i="6"/>
  <c r="DF1759" i="6"/>
  <c r="DF1758" i="6"/>
  <c r="DF1757" i="6"/>
  <c r="DF1756" i="6"/>
  <c r="DF1755" i="6"/>
  <c r="DF1754" i="6"/>
  <c r="DF1753" i="6"/>
  <c r="DF1752" i="6"/>
  <c r="DF1751" i="6"/>
  <c r="DF1750" i="6"/>
  <c r="DF1749" i="6"/>
  <c r="DF1748" i="6"/>
  <c r="DF1747" i="6"/>
  <c r="DF1746" i="6"/>
  <c r="DF1745" i="6"/>
  <c r="DF1744" i="6"/>
  <c r="DF1743" i="6"/>
  <c r="DF1742" i="6"/>
  <c r="DF1741" i="6"/>
  <c r="DF1740" i="6"/>
  <c r="DF1739" i="6"/>
  <c r="DF1738" i="6"/>
  <c r="DF1737" i="6"/>
  <c r="DF1736" i="6"/>
  <c r="DF1735" i="6"/>
  <c r="DF1734" i="6"/>
  <c r="DF1733" i="6"/>
  <c r="DF1732" i="6"/>
  <c r="DF1731" i="6"/>
  <c r="DF1730" i="6"/>
  <c r="DF1729" i="6"/>
  <c r="DF1728" i="6"/>
  <c r="DF1727" i="6"/>
  <c r="DF1726" i="6"/>
  <c r="DF1725" i="6"/>
  <c r="DF1724" i="6"/>
  <c r="DF1723" i="6"/>
  <c r="DF1722" i="6"/>
  <c r="DF1721" i="6"/>
  <c r="DF1720" i="6"/>
  <c r="DF1719" i="6"/>
  <c r="DF1718" i="6"/>
  <c r="DF1717" i="6"/>
  <c r="DF1716" i="6"/>
  <c r="DF1715" i="6"/>
  <c r="DF1714" i="6"/>
  <c r="DF1713" i="6"/>
  <c r="DF1712" i="6"/>
  <c r="DF1711" i="6"/>
  <c r="DF1710" i="6"/>
  <c r="DF1709" i="6"/>
  <c r="DF1708" i="6"/>
  <c r="DF1707" i="6"/>
  <c r="DF1706" i="6"/>
  <c r="DF1705" i="6"/>
  <c r="DF1704" i="6"/>
  <c r="DF1703" i="6"/>
  <c r="DF1702" i="6"/>
  <c r="DF1701" i="6"/>
  <c r="DF1700" i="6"/>
  <c r="DF1699" i="6"/>
  <c r="DF1698" i="6"/>
  <c r="DF1697" i="6"/>
  <c r="DF1696" i="6"/>
  <c r="DF1695" i="6"/>
  <c r="DF1694" i="6"/>
  <c r="DF1693" i="6"/>
  <c r="DF1692" i="6"/>
  <c r="DF1691" i="6"/>
  <c r="DF1690" i="6"/>
  <c r="DF1689" i="6"/>
  <c r="DF1688" i="6"/>
  <c r="DF1687" i="6"/>
  <c r="DF1686" i="6"/>
  <c r="DF1685" i="6"/>
  <c r="DF1684" i="6"/>
  <c r="DF1683" i="6"/>
  <c r="DF1682" i="6"/>
  <c r="DF1681" i="6"/>
  <c r="DF1680" i="6"/>
  <c r="DF1679" i="6"/>
  <c r="DF1678" i="6"/>
  <c r="DF1677" i="6"/>
  <c r="DF1676" i="6"/>
  <c r="DF1675" i="6"/>
  <c r="DF1674" i="6"/>
  <c r="DF1673" i="6"/>
  <c r="DF1672" i="6"/>
  <c r="DF1671" i="6"/>
  <c r="DF1670" i="6"/>
  <c r="DF1669" i="6"/>
  <c r="DF1668" i="6"/>
  <c r="DF1667" i="6"/>
  <c r="DF1666" i="6"/>
  <c r="DF1665" i="6"/>
  <c r="DF1664" i="6"/>
  <c r="DF1663" i="6"/>
  <c r="DF1662" i="6"/>
  <c r="DF1661" i="6"/>
  <c r="DF1660" i="6"/>
  <c r="DF1659" i="6"/>
  <c r="DF1658" i="6"/>
  <c r="DF1657" i="6"/>
  <c r="DF1656" i="6"/>
  <c r="DF1655" i="6"/>
  <c r="DF1654" i="6"/>
  <c r="DF1653" i="6"/>
  <c r="DF1652" i="6"/>
  <c r="DF1651" i="6"/>
  <c r="DF1650" i="6"/>
  <c r="DF1649" i="6"/>
  <c r="DF1648" i="6"/>
  <c r="DF1647" i="6"/>
  <c r="DF1646" i="6"/>
  <c r="DF1645" i="6"/>
  <c r="DF1644" i="6"/>
  <c r="DF1643" i="6"/>
  <c r="DF1642" i="6"/>
  <c r="DF1641" i="6"/>
  <c r="DF1640" i="6"/>
  <c r="DF1639" i="6"/>
  <c r="DF1638" i="6"/>
  <c r="DF1637" i="6"/>
  <c r="DF1636" i="6"/>
  <c r="DF1635" i="6"/>
  <c r="DF1634" i="6"/>
  <c r="DF1633" i="6"/>
  <c r="DF1632" i="6"/>
  <c r="DF1631" i="6"/>
  <c r="DF1630" i="6"/>
  <c r="DF1629" i="6"/>
  <c r="DF1628" i="6"/>
  <c r="DF1627" i="6"/>
  <c r="DF1626" i="6"/>
  <c r="DF1625" i="6"/>
  <c r="DF1624" i="6"/>
  <c r="DF1623" i="6"/>
  <c r="DF1622" i="6"/>
  <c r="DF1621" i="6"/>
  <c r="DF1620" i="6"/>
  <c r="DF1619" i="6"/>
  <c r="DF1618" i="6"/>
  <c r="DF1617" i="6"/>
  <c r="DF1616" i="6"/>
  <c r="DF1615" i="6"/>
  <c r="DF1614" i="6"/>
  <c r="DF1613" i="6"/>
  <c r="DF1612" i="6"/>
  <c r="DF1611" i="6"/>
  <c r="DF1610" i="6"/>
  <c r="DF1609" i="6"/>
  <c r="DF1608" i="6"/>
  <c r="DF1607" i="6"/>
  <c r="DF1606" i="6"/>
  <c r="DF1605" i="6"/>
  <c r="DF1604" i="6"/>
  <c r="DF1603" i="6"/>
  <c r="DF1602" i="6"/>
  <c r="DF1601" i="6"/>
  <c r="DF1600" i="6"/>
  <c r="DF1599" i="6"/>
  <c r="DF1598" i="6"/>
  <c r="DF1597" i="6"/>
  <c r="DF1596" i="6"/>
  <c r="DF1595" i="6"/>
  <c r="DF1594" i="6"/>
  <c r="DF1593" i="6"/>
  <c r="DF1592" i="6"/>
  <c r="DF1591" i="6"/>
  <c r="DF1590" i="6"/>
  <c r="DF1589" i="6"/>
  <c r="DF1588" i="6"/>
  <c r="DF1587" i="6"/>
  <c r="DF1586" i="6"/>
  <c r="DF1585" i="6"/>
  <c r="DF1584" i="6"/>
  <c r="DF1583" i="6"/>
  <c r="DF1582" i="6"/>
  <c r="DF1581" i="6"/>
  <c r="DF1580" i="6"/>
  <c r="DF1579" i="6"/>
  <c r="DF1578" i="6"/>
  <c r="DF1577" i="6"/>
  <c r="DF1576" i="6"/>
  <c r="DF1575" i="6"/>
  <c r="DF1574" i="6"/>
  <c r="DF1573" i="6"/>
  <c r="DF1572" i="6"/>
  <c r="DF1571" i="6"/>
  <c r="DF1570" i="6"/>
  <c r="DF1569" i="6"/>
  <c r="DF1568" i="6"/>
  <c r="DF1567" i="6"/>
  <c r="DF1566" i="6"/>
  <c r="DF1565" i="6"/>
  <c r="DF1564" i="6"/>
  <c r="DF1563" i="6"/>
  <c r="DF1562" i="6"/>
  <c r="DF1561" i="6"/>
  <c r="DF1560" i="6"/>
  <c r="DF1559" i="6"/>
  <c r="DF1558" i="6"/>
  <c r="DF1557" i="6"/>
  <c r="DF1556" i="6"/>
  <c r="DF1555" i="6"/>
  <c r="DF1554" i="6"/>
  <c r="DF1553" i="6"/>
  <c r="DF1552" i="6"/>
  <c r="DF1551" i="6"/>
  <c r="DF1550" i="6"/>
  <c r="DF1549" i="6"/>
  <c r="DF1548" i="6"/>
  <c r="DF1547" i="6"/>
  <c r="DF1546" i="6"/>
  <c r="DF1545" i="6"/>
  <c r="DF1544" i="6"/>
  <c r="DF1543" i="6"/>
  <c r="DF1542" i="6"/>
  <c r="DF1541" i="6"/>
  <c r="DF1540" i="6"/>
  <c r="DF1539" i="6"/>
  <c r="DF1538" i="6"/>
  <c r="DF1537" i="6"/>
  <c r="DF1536" i="6"/>
  <c r="DF1535" i="6"/>
  <c r="DF1534" i="6"/>
  <c r="DF1533" i="6"/>
  <c r="DF1532" i="6"/>
  <c r="DF1531" i="6"/>
  <c r="DF1530" i="6"/>
  <c r="DF1529" i="6"/>
  <c r="DF1528" i="6"/>
  <c r="DF1527" i="6"/>
  <c r="DF1526" i="6"/>
  <c r="DF1525" i="6"/>
  <c r="DF1524" i="6"/>
  <c r="DF1523" i="6"/>
  <c r="DF1522" i="6"/>
  <c r="DF1521" i="6"/>
  <c r="DF1520" i="6"/>
  <c r="DF1519" i="6"/>
  <c r="DF1518" i="6"/>
  <c r="DF1517" i="6"/>
  <c r="DF1516" i="6"/>
  <c r="DF1515" i="6"/>
  <c r="DF1514" i="6"/>
  <c r="DF1513" i="6"/>
  <c r="DF1512" i="6"/>
  <c r="DF1511" i="6"/>
  <c r="DF1510" i="6"/>
  <c r="DF1509" i="6"/>
  <c r="DF1508" i="6"/>
  <c r="I713" i="15" l="1"/>
  <c r="F681" i="2" l="1"/>
  <c r="I710" i="15"/>
  <c r="G37" i="7" l="1"/>
  <c r="AF37" i="7" s="1"/>
  <c r="DH1386" i="6" l="1"/>
  <c r="DH1387" i="6"/>
  <c r="DH1388" i="6"/>
  <c r="DH1385" i="6"/>
  <c r="K1409" i="6"/>
  <c r="K1410" i="6"/>
  <c r="F1501" i="6"/>
  <c r="F1500" i="6"/>
  <c r="F1487" i="6"/>
  <c r="F1486" i="6"/>
  <c r="F1472" i="6"/>
  <c r="F1471" i="6"/>
  <c r="F1464" i="6"/>
  <c r="F1463" i="6"/>
  <c r="F1456" i="6"/>
  <c r="F1455" i="6"/>
  <c r="F1448" i="6"/>
  <c r="F1447" i="6"/>
  <c r="F1440" i="6"/>
  <c r="F1439" i="6"/>
  <c r="F1432" i="6"/>
  <c r="F1431" i="6"/>
  <c r="F1424" i="6"/>
  <c r="F1423" i="6"/>
  <c r="F1416" i="6"/>
  <c r="F1415" i="6"/>
  <c r="B1385" i="6"/>
  <c r="B1386" i="6"/>
  <c r="B1387" i="6"/>
  <c r="B1388" i="6"/>
  <c r="H1388" i="6"/>
  <c r="H1387" i="6"/>
  <c r="H1386" i="6"/>
  <c r="H1385" i="6"/>
  <c r="F1383" i="6"/>
  <c r="K166" i="15" l="1"/>
  <c r="AF1383" i="6"/>
  <c r="F1376" i="6"/>
  <c r="F1374" i="6"/>
  <c r="L163" i="15" l="1"/>
  <c r="AF1374" i="6"/>
  <c r="L164" i="15"/>
  <c r="AF1376" i="6"/>
  <c r="F1375" i="6"/>
  <c r="K164" i="15" l="1"/>
  <c r="I164" i="15" s="1"/>
  <c r="AF1375" i="6"/>
  <c r="J1325" i="6"/>
  <c r="AF1325" i="6" s="1"/>
  <c r="J1324" i="6"/>
  <c r="AF1324" i="6" s="1"/>
  <c r="J1323" i="6"/>
  <c r="AF1323" i="6" s="1"/>
  <c r="J1322" i="6"/>
  <c r="AF1322" i="6" s="1"/>
  <c r="J1321" i="6"/>
  <c r="AF1321" i="6" s="1"/>
  <c r="J1320" i="6"/>
  <c r="AF1320" i="6" s="1"/>
  <c r="J892" i="6"/>
  <c r="AF892" i="6" s="1"/>
  <c r="J893" i="6"/>
  <c r="AF893" i="6" s="1"/>
  <c r="BD626" i="2" l="1"/>
  <c r="BC626" i="2"/>
  <c r="BB626" i="2"/>
  <c r="AZ626" i="2"/>
  <c r="AY626" i="2"/>
  <c r="AX626" i="2"/>
  <c r="AW626" i="2"/>
  <c r="AR626" i="2"/>
  <c r="AQ626" i="2"/>
  <c r="AP626" i="2"/>
  <c r="AO626" i="2"/>
  <c r="AN626" i="2"/>
  <c r="AM626" i="2"/>
  <c r="AL626" i="2"/>
  <c r="AK626" i="2"/>
  <c r="AG626" i="2"/>
  <c r="AE626" i="2"/>
  <c r="AD626" i="2"/>
  <c r="AC626" i="2"/>
  <c r="AA626" i="2"/>
  <c r="Z626" i="2"/>
  <c r="Y626" i="2"/>
  <c r="X626" i="2"/>
  <c r="W626" i="2"/>
  <c r="AU609" i="2"/>
  <c r="BD608" i="2"/>
  <c r="BC608" i="2"/>
  <c r="BB608" i="2"/>
  <c r="AZ608" i="2"/>
  <c r="AY608" i="2"/>
  <c r="AX608" i="2"/>
  <c r="AW608" i="2"/>
  <c r="AR608" i="2"/>
  <c r="AQ608" i="2"/>
  <c r="AP608" i="2"/>
  <c r="AO608" i="2"/>
  <c r="AN608" i="2"/>
  <c r="AM608" i="2"/>
  <c r="AL608" i="2"/>
  <c r="AK608" i="2"/>
  <c r="AG608" i="2"/>
  <c r="AE608" i="2"/>
  <c r="AD608" i="2"/>
  <c r="AC608" i="2"/>
  <c r="AA608" i="2"/>
  <c r="Z608" i="2"/>
  <c r="Y608" i="2"/>
  <c r="X608" i="2"/>
  <c r="W608" i="2"/>
  <c r="BD582" i="2"/>
  <c r="BC582" i="2"/>
  <c r="BB582" i="2"/>
  <c r="AZ582" i="2"/>
  <c r="AY582" i="2"/>
  <c r="AX582" i="2"/>
  <c r="AW582" i="2"/>
  <c r="AR582" i="2"/>
  <c r="AQ582" i="2"/>
  <c r="AP582" i="2"/>
  <c r="AO582" i="2"/>
  <c r="AN582" i="2"/>
  <c r="AM582" i="2"/>
  <c r="AL582" i="2"/>
  <c r="AK582" i="2"/>
  <c r="AG582" i="2"/>
  <c r="AE582" i="2"/>
  <c r="AD582" i="2"/>
  <c r="AC582" i="2"/>
  <c r="AA582" i="2"/>
  <c r="Z582" i="2"/>
  <c r="Y582" i="2"/>
  <c r="X582" i="2"/>
  <c r="W582" i="2"/>
  <c r="BD556" i="2"/>
  <c r="BC556" i="2"/>
  <c r="BB556" i="2"/>
  <c r="AZ556" i="2"/>
  <c r="AY556" i="2"/>
  <c r="AX556" i="2"/>
  <c r="AW556" i="2"/>
  <c r="AR556" i="2"/>
  <c r="AQ556" i="2"/>
  <c r="AP556" i="2"/>
  <c r="AO556" i="2"/>
  <c r="AN556" i="2"/>
  <c r="AM556" i="2"/>
  <c r="AL556" i="2"/>
  <c r="AK556" i="2"/>
  <c r="AG556" i="2"/>
  <c r="AE556" i="2"/>
  <c r="AD556" i="2"/>
  <c r="AC556" i="2"/>
  <c r="AA556" i="2"/>
  <c r="Z556" i="2"/>
  <c r="Y556" i="2"/>
  <c r="X556" i="2"/>
  <c r="W556" i="2"/>
  <c r="V554" i="2"/>
  <c r="BD536" i="2"/>
  <c r="BC536" i="2"/>
  <c r="BB536" i="2"/>
  <c r="AZ536" i="2"/>
  <c r="AY536" i="2"/>
  <c r="AX536" i="2"/>
  <c r="AW536" i="2"/>
  <c r="AR536" i="2"/>
  <c r="AQ536" i="2"/>
  <c r="AP536" i="2"/>
  <c r="AO536" i="2"/>
  <c r="AN536" i="2"/>
  <c r="AM536" i="2"/>
  <c r="AL536" i="2"/>
  <c r="AK536" i="2"/>
  <c r="AG536" i="2"/>
  <c r="AE536" i="2"/>
  <c r="AD536" i="2"/>
  <c r="AC536" i="2"/>
  <c r="AA536" i="2"/>
  <c r="Z536" i="2"/>
  <c r="Y536" i="2"/>
  <c r="X536" i="2"/>
  <c r="W536" i="2"/>
  <c r="BD516" i="2"/>
  <c r="BC516" i="2"/>
  <c r="BB516" i="2"/>
  <c r="AZ516" i="2"/>
  <c r="AY516" i="2"/>
  <c r="AX516" i="2"/>
  <c r="AW516" i="2"/>
  <c r="AR516" i="2"/>
  <c r="AQ516" i="2"/>
  <c r="AP516" i="2"/>
  <c r="AO516" i="2"/>
  <c r="AN516" i="2"/>
  <c r="AM516" i="2"/>
  <c r="AL516" i="2"/>
  <c r="AK516" i="2"/>
  <c r="AG516" i="2"/>
  <c r="AE516" i="2"/>
  <c r="AD516" i="2"/>
  <c r="AC516" i="2"/>
  <c r="AB516" i="2"/>
  <c r="AA516" i="2"/>
  <c r="Z516" i="2"/>
  <c r="Y516" i="2"/>
  <c r="X516" i="2"/>
  <c r="W516" i="2"/>
  <c r="V514" i="2"/>
  <c r="AU474" i="2"/>
  <c r="AU475" i="2" s="1"/>
  <c r="V474" i="2"/>
  <c r="V475" i="2" s="1"/>
  <c r="BD473" i="2"/>
  <c r="BC473" i="2"/>
  <c r="BB473" i="2"/>
  <c r="AZ473" i="2"/>
  <c r="AY473" i="2"/>
  <c r="AX473" i="2"/>
  <c r="AW473" i="2"/>
  <c r="AR473" i="2"/>
  <c r="AQ473" i="2"/>
  <c r="AP473" i="2"/>
  <c r="AO473" i="2"/>
  <c r="AN473" i="2"/>
  <c r="AM473" i="2"/>
  <c r="AL473" i="2"/>
  <c r="AK473" i="2"/>
  <c r="AG473" i="2"/>
  <c r="AE473" i="2"/>
  <c r="AD473" i="2"/>
  <c r="AC473" i="2"/>
  <c r="AB473" i="2"/>
  <c r="AA473" i="2"/>
  <c r="Z473" i="2"/>
  <c r="Y473" i="2"/>
  <c r="X473" i="2"/>
  <c r="W473" i="2"/>
  <c r="AU455" i="2"/>
  <c r="AU456" i="2" s="1"/>
  <c r="V455" i="2"/>
  <c r="V456" i="2" s="1"/>
  <c r="BD454" i="2"/>
  <c r="BC454" i="2"/>
  <c r="BB454" i="2"/>
  <c r="AZ454" i="2"/>
  <c r="AY454" i="2"/>
  <c r="AX454" i="2"/>
  <c r="AW454" i="2"/>
  <c r="AR454" i="2"/>
  <c r="AQ454" i="2"/>
  <c r="AP454" i="2"/>
  <c r="AO454" i="2"/>
  <c r="AN454" i="2"/>
  <c r="AM454" i="2"/>
  <c r="AL454" i="2"/>
  <c r="AK454" i="2"/>
  <c r="AG454" i="2"/>
  <c r="AE454" i="2"/>
  <c r="AD454" i="2"/>
  <c r="AC454" i="2"/>
  <c r="AA454" i="2"/>
  <c r="Z454" i="2"/>
  <c r="Y454" i="2"/>
  <c r="X454" i="2"/>
  <c r="W454" i="2"/>
  <c r="BT426" i="2"/>
  <c r="BT427" i="2" s="1"/>
  <c r="AU426" i="2"/>
  <c r="AU427" i="2" s="1"/>
  <c r="AI426" i="2"/>
  <c r="AI427" i="2" s="1"/>
  <c r="V426" i="2"/>
  <c r="V427" i="2" s="1"/>
  <c r="CC425" i="2"/>
  <c r="CB425" i="2"/>
  <c r="CA425" i="2"/>
  <c r="BY425" i="2"/>
  <c r="BX425" i="2"/>
  <c r="BW425" i="2"/>
  <c r="BV425" i="2"/>
  <c r="BP425" i="2"/>
  <c r="BO425" i="2"/>
  <c r="BN425" i="2"/>
  <c r="BL425" i="2"/>
  <c r="BK425" i="2"/>
  <c r="BJ425" i="2"/>
  <c r="BI425" i="2"/>
  <c r="BD425" i="2"/>
  <c r="BC425" i="2"/>
  <c r="BB425" i="2"/>
  <c r="AZ425" i="2"/>
  <c r="AY425" i="2"/>
  <c r="AX425" i="2"/>
  <c r="AW425" i="2"/>
  <c r="AR425" i="2"/>
  <c r="AQ425" i="2"/>
  <c r="AP425" i="2"/>
  <c r="AN425" i="2"/>
  <c r="AM425" i="2"/>
  <c r="AL425" i="2"/>
  <c r="AK425" i="2"/>
  <c r="AG425" i="2"/>
  <c r="AE425" i="2"/>
  <c r="AD425" i="2"/>
  <c r="AC425" i="2"/>
  <c r="AA425" i="2"/>
  <c r="Z425" i="2"/>
  <c r="Y425" i="2"/>
  <c r="X425" i="2"/>
  <c r="W425" i="2"/>
  <c r="V404" i="2"/>
  <c r="V405" i="2" s="1"/>
  <c r="V406" i="2" s="1"/>
  <c r="V407" i="2" s="1"/>
  <c r="V408" i="2" s="1"/>
  <c r="BD403" i="2"/>
  <c r="BC403" i="2"/>
  <c r="BB403" i="2"/>
  <c r="AZ403" i="2"/>
  <c r="AY403" i="2"/>
  <c r="AX403" i="2"/>
  <c r="AW403" i="2"/>
  <c r="AR403" i="2"/>
  <c r="AQ403" i="2"/>
  <c r="AP403" i="2"/>
  <c r="AN403" i="2"/>
  <c r="AM403" i="2"/>
  <c r="AL403" i="2"/>
  <c r="AK403" i="2"/>
  <c r="AG403" i="2"/>
  <c r="AE403" i="2"/>
  <c r="AD403" i="2"/>
  <c r="AC403" i="2"/>
  <c r="AA403" i="2"/>
  <c r="Z403" i="2"/>
  <c r="Y403" i="2"/>
  <c r="X403" i="2"/>
  <c r="W403" i="2"/>
  <c r="AU374" i="2"/>
  <c r="V374" i="2"/>
  <c r="BD373" i="2"/>
  <c r="BC373" i="2"/>
  <c r="BB373" i="2"/>
  <c r="AZ373" i="2"/>
  <c r="AY373" i="2"/>
  <c r="AX373" i="2"/>
  <c r="AW373" i="2"/>
  <c r="AR373" i="2"/>
  <c r="AQ373" i="2"/>
  <c r="AP373" i="2"/>
  <c r="AO373" i="2"/>
  <c r="AN373" i="2"/>
  <c r="AM373" i="2"/>
  <c r="AL373" i="2"/>
  <c r="AK373" i="2"/>
  <c r="AG373" i="2"/>
  <c r="AE373" i="2"/>
  <c r="AD373" i="2"/>
  <c r="AC373" i="2"/>
  <c r="AA373" i="2"/>
  <c r="Z373" i="2"/>
  <c r="Y373" i="2"/>
  <c r="X373" i="2"/>
  <c r="W373" i="2"/>
  <c r="AW355" i="2"/>
  <c r="AV355" i="2"/>
  <c r="AU354" i="2"/>
  <c r="AU355" i="2" s="1"/>
  <c r="AU356" i="2" s="1"/>
  <c r="AU357" i="2" s="1"/>
  <c r="V354" i="2"/>
  <c r="V355" i="2" s="1"/>
  <c r="V356" i="2" s="1"/>
  <c r="V357" i="2" s="1"/>
  <c r="BD353" i="2"/>
  <c r="BC353" i="2"/>
  <c r="BB353" i="2"/>
  <c r="AZ353" i="2"/>
  <c r="AY353" i="2"/>
  <c r="AX353" i="2"/>
  <c r="AW353" i="2"/>
  <c r="AR353" i="2"/>
  <c r="AQ353" i="2"/>
  <c r="AP353" i="2"/>
  <c r="AO353" i="2"/>
  <c r="AN353" i="2"/>
  <c r="AM353" i="2"/>
  <c r="AL353" i="2"/>
  <c r="AK353" i="2"/>
  <c r="AG353" i="2"/>
  <c r="AE353" i="2"/>
  <c r="AD353" i="2"/>
  <c r="AC353" i="2"/>
  <c r="AA353" i="2"/>
  <c r="Z353" i="2"/>
  <c r="Y353" i="2"/>
  <c r="X353" i="2"/>
  <c r="W353" i="2"/>
  <c r="BT339" i="2"/>
  <c r="BT340" i="2" s="1"/>
  <c r="AU339" i="2"/>
  <c r="AU340" i="2" s="1"/>
  <c r="AI339" i="2"/>
  <c r="AI340" i="2" s="1"/>
  <c r="CC338" i="2"/>
  <c r="CB338" i="2"/>
  <c r="CA338" i="2"/>
  <c r="BZ338" i="2"/>
  <c r="BY338" i="2"/>
  <c r="BX338" i="2"/>
  <c r="BW338" i="2"/>
  <c r="BV338" i="2"/>
  <c r="BP338" i="2"/>
  <c r="BO338" i="2"/>
  <c r="BN338" i="2"/>
  <c r="BL338" i="2"/>
  <c r="BK338" i="2"/>
  <c r="BJ338" i="2"/>
  <c r="BI338" i="2"/>
  <c r="BD338" i="2"/>
  <c r="BC338" i="2"/>
  <c r="BB338" i="2"/>
  <c r="AZ338" i="2"/>
  <c r="AY338" i="2"/>
  <c r="AX338" i="2"/>
  <c r="AW338" i="2"/>
  <c r="AR338" i="2"/>
  <c r="AQ338" i="2"/>
  <c r="AP338" i="2"/>
  <c r="AO338" i="2"/>
  <c r="AN338" i="2"/>
  <c r="AM338" i="2"/>
  <c r="AL338" i="2"/>
  <c r="AK338" i="2"/>
  <c r="AG338" i="2"/>
  <c r="AE338" i="2"/>
  <c r="AD338" i="2"/>
  <c r="AC338" i="2"/>
  <c r="AA338" i="2"/>
  <c r="Z338" i="2"/>
  <c r="Y338" i="2"/>
  <c r="X338" i="2"/>
  <c r="W338" i="2"/>
  <c r="V336" i="2"/>
  <c r="BD318" i="2"/>
  <c r="BC318" i="2"/>
  <c r="BB318" i="2"/>
  <c r="AZ318" i="2"/>
  <c r="AY318" i="2"/>
  <c r="AX318" i="2"/>
  <c r="AW318" i="2"/>
  <c r="AR318" i="2"/>
  <c r="AQ318" i="2"/>
  <c r="AP318" i="2"/>
  <c r="AO318" i="2"/>
  <c r="AN318" i="2"/>
  <c r="AM318" i="2"/>
  <c r="AL318" i="2"/>
  <c r="AK318" i="2"/>
  <c r="AG318" i="2"/>
  <c r="AE318" i="2"/>
  <c r="AD318" i="2"/>
  <c r="AC318" i="2"/>
  <c r="AA318" i="2"/>
  <c r="Z318" i="2"/>
  <c r="Y318" i="2"/>
  <c r="X318" i="2"/>
  <c r="W318" i="2"/>
  <c r="V316" i="2"/>
  <c r="BD293" i="2"/>
  <c r="BC293" i="2"/>
  <c r="BB293" i="2"/>
  <c r="AZ293" i="2"/>
  <c r="AY293" i="2"/>
  <c r="AX293" i="2"/>
  <c r="AW293" i="2"/>
  <c r="AR293" i="2"/>
  <c r="AQ293" i="2"/>
  <c r="AP293" i="2"/>
  <c r="AO293" i="2"/>
  <c r="AN293" i="2"/>
  <c r="AM293" i="2"/>
  <c r="AL293" i="2"/>
  <c r="AK293" i="2"/>
  <c r="AG293" i="2"/>
  <c r="AE293" i="2"/>
  <c r="AD293" i="2"/>
  <c r="AC293" i="2"/>
  <c r="AA293" i="2"/>
  <c r="Z293" i="2"/>
  <c r="Y293" i="2"/>
  <c r="X293" i="2"/>
  <c r="W293" i="2"/>
  <c r="V291" i="2"/>
  <c r="V734" i="2"/>
  <c r="V799" i="2"/>
  <c r="H817" i="2"/>
  <c r="H816" i="2"/>
  <c r="H815" i="2"/>
  <c r="DH817" i="2"/>
  <c r="F817" i="2"/>
  <c r="I723" i="15" s="1"/>
  <c r="DH816" i="2"/>
  <c r="F816" i="2"/>
  <c r="I722" i="15" s="1"/>
  <c r="DH815" i="2"/>
  <c r="V815" i="2"/>
  <c r="V816" i="2" s="1"/>
  <c r="V817" i="2" s="1"/>
  <c r="F815" i="2"/>
  <c r="I721" i="15" s="1"/>
  <c r="H835" i="2"/>
  <c r="DH835" i="2"/>
  <c r="V835" i="2"/>
  <c r="V836" i="2" s="1"/>
  <c r="F835" i="2"/>
  <c r="DH852" i="2"/>
  <c r="V852" i="2"/>
  <c r="G852" i="2"/>
  <c r="F852" i="2"/>
  <c r="I726" i="15" s="1"/>
  <c r="DH851" i="2"/>
  <c r="AI851" i="2"/>
  <c r="AI852" i="2" s="1"/>
  <c r="V851" i="2"/>
  <c r="G851" i="2"/>
  <c r="DJ850" i="2"/>
  <c r="DI850" i="2"/>
  <c r="DH850" i="2"/>
  <c r="DG850" i="2"/>
  <c r="BP850" i="2"/>
  <c r="BO850" i="2"/>
  <c r="BN850" i="2"/>
  <c r="BL850" i="2"/>
  <c r="BK850" i="2"/>
  <c r="BJ850" i="2"/>
  <c r="BI850" i="2"/>
  <c r="BD850" i="2"/>
  <c r="BC850" i="2"/>
  <c r="BB850" i="2"/>
  <c r="AZ850" i="2"/>
  <c r="AY850" i="2"/>
  <c r="AX850" i="2"/>
  <c r="AW850" i="2"/>
  <c r="AR850" i="2"/>
  <c r="AQ850" i="2"/>
  <c r="AP850" i="2"/>
  <c r="AO850" i="2"/>
  <c r="AN850" i="2"/>
  <c r="AM850" i="2"/>
  <c r="AL850" i="2"/>
  <c r="AK850" i="2"/>
  <c r="AG850" i="2"/>
  <c r="AE850" i="2"/>
  <c r="AD850" i="2"/>
  <c r="AC850" i="2"/>
  <c r="AA850" i="2"/>
  <c r="Z850" i="2"/>
  <c r="Y850" i="2"/>
  <c r="X850" i="2"/>
  <c r="W850" i="2"/>
  <c r="H870" i="2"/>
  <c r="H869" i="2"/>
  <c r="DH870" i="2"/>
  <c r="DH869" i="2"/>
  <c r="H887" i="2"/>
  <c r="DH887" i="2"/>
  <c r="F887" i="2"/>
  <c r="I729" i="15" s="1"/>
  <c r="H908" i="2"/>
  <c r="H907" i="2"/>
  <c r="H906" i="2"/>
  <c r="DH908" i="2"/>
  <c r="F908" i="2"/>
  <c r="I735" i="15" s="1"/>
  <c r="DH907" i="2"/>
  <c r="F907" i="2"/>
  <c r="I734" i="15" s="1"/>
  <c r="DH906" i="2"/>
  <c r="F906" i="2"/>
  <c r="I733" i="15" s="1"/>
  <c r="DJ903" i="2"/>
  <c r="DI903" i="2"/>
  <c r="DH903" i="2"/>
  <c r="DG903" i="2"/>
  <c r="BD903" i="2"/>
  <c r="BC903" i="2"/>
  <c r="BB903" i="2"/>
  <c r="AZ903" i="2"/>
  <c r="AY903" i="2"/>
  <c r="AX903" i="2"/>
  <c r="AW903" i="2"/>
  <c r="AR903" i="2"/>
  <c r="AQ903" i="2"/>
  <c r="AP903" i="2"/>
  <c r="AO903" i="2"/>
  <c r="AN903" i="2"/>
  <c r="AM903" i="2"/>
  <c r="AL903" i="2"/>
  <c r="AK903" i="2"/>
  <c r="AG903" i="2"/>
  <c r="AE903" i="2"/>
  <c r="AD903" i="2"/>
  <c r="AC903" i="2"/>
  <c r="AA903" i="2"/>
  <c r="Z903" i="2"/>
  <c r="Y903" i="2"/>
  <c r="X903" i="2"/>
  <c r="W903" i="2"/>
  <c r="AU430" i="2" l="1"/>
  <c r="AU431" i="2" s="1"/>
  <c r="AU432" i="2" s="1"/>
  <c r="AU433" i="2" s="1"/>
  <c r="AU428" i="2"/>
  <c r="AU429" i="2" s="1"/>
  <c r="AI430" i="2"/>
  <c r="AI431" i="2" s="1"/>
  <c r="AI432" i="2" s="1"/>
  <c r="AI433" i="2" s="1"/>
  <c r="AI428" i="2"/>
  <c r="AI429" i="2" s="1"/>
  <c r="BT430" i="2"/>
  <c r="BT431" i="2" s="1"/>
  <c r="BT432" i="2" s="1"/>
  <c r="BT433" i="2" s="1"/>
  <c r="BT428" i="2"/>
  <c r="BT429" i="2" s="1"/>
  <c r="V430" i="2"/>
  <c r="V431" i="2" s="1"/>
  <c r="V432" i="2" s="1"/>
  <c r="V433" i="2" s="1"/>
  <c r="V428" i="2"/>
  <c r="V429" i="2" s="1"/>
  <c r="K852" i="2"/>
  <c r="P726" i="15" s="1"/>
  <c r="J726" i="15"/>
  <c r="I835" i="2"/>
  <c r="O724" i="15" s="1"/>
  <c r="W724" i="15" s="1"/>
  <c r="V724" i="15" s="1"/>
  <c r="U724" i="15" s="1"/>
  <c r="I724" i="15"/>
  <c r="J851" i="2"/>
  <c r="O725" i="15" s="1"/>
  <c r="W725" i="15" s="1"/>
  <c r="V725" i="15" s="1"/>
  <c r="U725" i="15" s="1"/>
  <c r="I725" i="15"/>
  <c r="K851" i="2"/>
  <c r="P725" i="15" s="1"/>
  <c r="J725" i="15"/>
  <c r="I908" i="2"/>
  <c r="O735" i="15" s="1"/>
  <c r="V735" i="15" s="1"/>
  <c r="U735" i="15" s="1"/>
  <c r="I887" i="2"/>
  <c r="O729" i="15" s="1"/>
  <c r="W729" i="15" s="1"/>
  <c r="V729" i="15" s="1"/>
  <c r="U729" i="15" s="1"/>
  <c r="I815" i="2"/>
  <c r="O721" i="15" s="1"/>
  <c r="V721" i="15" s="1"/>
  <c r="U721" i="15" s="1"/>
  <c r="I906" i="2"/>
  <c r="O733" i="15" s="1"/>
  <c r="V733" i="15" s="1"/>
  <c r="U733" i="15" s="1"/>
  <c r="I907" i="2"/>
  <c r="O734" i="15" s="1"/>
  <c r="V734" i="15" s="1"/>
  <c r="U734" i="15" s="1"/>
  <c r="J852" i="2"/>
  <c r="O726" i="15" s="1"/>
  <c r="W726" i="15" s="1"/>
  <c r="V726" i="15" s="1"/>
  <c r="U726" i="15" s="1"/>
  <c r="I817" i="2"/>
  <c r="O723" i="15" s="1"/>
  <c r="V723" i="15" s="1"/>
  <c r="U723" i="15" s="1"/>
  <c r="I816" i="2"/>
  <c r="O722" i="15" s="1"/>
  <c r="V722" i="15" s="1"/>
  <c r="U722" i="15" s="1"/>
  <c r="AR139" i="2"/>
  <c r="AQ139" i="2"/>
  <c r="AP139" i="2"/>
  <c r="AN139" i="2"/>
  <c r="AM139" i="2"/>
  <c r="AL139" i="2"/>
  <c r="AK139" i="2"/>
  <c r="AJ139" i="2"/>
  <c r="R49" i="2"/>
  <c r="S52" i="2" s="1"/>
  <c r="J4422" i="6"/>
  <c r="M4421" i="6"/>
  <c r="L4421" i="6"/>
  <c r="J4421" i="6"/>
  <c r="J4420" i="6"/>
  <c r="J4418" i="6"/>
  <c r="M4417" i="6"/>
  <c r="L4417" i="6"/>
  <c r="J4417" i="6"/>
  <c r="J4416" i="6"/>
  <c r="J4414" i="6"/>
  <c r="M4413" i="6"/>
  <c r="L4413" i="6"/>
  <c r="J4413" i="6"/>
  <c r="J4412" i="6"/>
  <c r="J4410" i="6"/>
  <c r="M4409" i="6"/>
  <c r="L4409" i="6"/>
  <c r="J4409" i="6"/>
  <c r="J4408" i="6"/>
  <c r="J4406" i="6"/>
  <c r="M4405" i="6"/>
  <c r="L4405" i="6"/>
  <c r="J4405" i="6"/>
  <c r="J4404" i="6"/>
  <c r="J4400" i="6"/>
  <c r="M4399" i="6"/>
  <c r="L4399" i="6"/>
  <c r="J4399" i="6"/>
  <c r="M4398" i="6"/>
  <c r="L4398" i="6"/>
  <c r="J4398" i="6"/>
  <c r="M4397" i="6"/>
  <c r="L4397" i="6"/>
  <c r="J4397" i="6"/>
  <c r="J4396" i="6"/>
  <c r="J4395" i="6"/>
  <c r="J4394" i="6"/>
  <c r="J4393" i="6"/>
  <c r="J4392" i="6"/>
  <c r="J4390" i="6"/>
  <c r="M4389" i="6"/>
  <c r="L4389" i="6"/>
  <c r="J4389" i="6"/>
  <c r="J4388" i="6"/>
  <c r="M4387" i="6"/>
  <c r="L4387" i="6"/>
  <c r="J4387" i="6"/>
  <c r="J4386" i="6"/>
  <c r="M4385" i="6"/>
  <c r="L4385" i="6"/>
  <c r="J4385" i="6"/>
  <c r="M4384" i="6"/>
  <c r="L4384" i="6"/>
  <c r="J4384" i="6"/>
  <c r="M4383" i="6"/>
  <c r="L4383" i="6"/>
  <c r="J4383" i="6"/>
  <c r="J4382" i="6"/>
  <c r="J4378" i="6"/>
  <c r="M4377" i="6"/>
  <c r="L4377" i="6"/>
  <c r="J4377" i="6"/>
  <c r="M4376" i="6"/>
  <c r="L4376" i="6"/>
  <c r="J4376" i="6"/>
  <c r="M4375" i="6"/>
  <c r="L4375" i="6"/>
  <c r="J4375" i="6"/>
  <c r="J4374" i="6"/>
  <c r="J4373" i="6"/>
  <c r="J4372" i="6"/>
  <c r="J4371" i="6"/>
  <c r="J4370" i="6"/>
  <c r="J4369" i="6"/>
  <c r="J4368" i="6"/>
  <c r="J4367" i="6"/>
  <c r="J4366" i="6"/>
  <c r="J4362" i="6"/>
  <c r="M4361" i="6"/>
  <c r="L4361" i="6"/>
  <c r="J4361" i="6"/>
  <c r="M4360" i="6"/>
  <c r="L4360" i="6"/>
  <c r="J4360" i="6"/>
  <c r="M4359" i="6"/>
  <c r="L4359" i="6"/>
  <c r="J4359" i="6"/>
  <c r="J4358" i="6"/>
  <c r="M4357" i="6"/>
  <c r="L4357" i="6"/>
  <c r="J4357" i="6"/>
  <c r="J4356" i="6"/>
  <c r="M4355" i="6"/>
  <c r="L4355" i="6"/>
  <c r="J4355" i="6"/>
  <c r="M4354" i="6"/>
  <c r="L4354" i="6"/>
  <c r="J4354" i="6"/>
  <c r="M4353" i="6"/>
  <c r="L4353" i="6"/>
  <c r="J4353" i="6"/>
  <c r="J4352" i="6"/>
  <c r="J4348" i="6"/>
  <c r="M4347" i="6"/>
  <c r="L4347" i="6"/>
  <c r="J4347" i="6"/>
  <c r="M4346" i="6"/>
  <c r="L4346" i="6"/>
  <c r="J4346" i="6"/>
  <c r="M4345" i="6"/>
  <c r="L4345" i="6"/>
  <c r="J4345" i="6"/>
  <c r="J4344" i="6"/>
  <c r="J4343" i="6"/>
  <c r="J4342" i="6"/>
  <c r="J4341" i="6"/>
  <c r="J4340" i="6"/>
  <c r="J4339" i="6"/>
  <c r="J4338" i="6"/>
  <c r="J4337" i="6"/>
  <c r="J4336" i="6"/>
  <c r="J4332" i="6"/>
  <c r="M4331" i="6"/>
  <c r="L4331" i="6"/>
  <c r="J4331" i="6"/>
  <c r="M4330" i="6"/>
  <c r="L4330" i="6"/>
  <c r="J4330" i="6"/>
  <c r="M4329" i="6"/>
  <c r="L4329" i="6"/>
  <c r="J4329" i="6"/>
  <c r="J4328" i="6"/>
  <c r="J4327" i="6"/>
  <c r="J4326" i="6"/>
  <c r="J4325" i="6"/>
  <c r="J4324" i="6"/>
  <c r="M4323" i="6"/>
  <c r="L4323" i="6"/>
  <c r="J4323" i="6"/>
  <c r="M4322" i="6"/>
  <c r="L4322" i="6"/>
  <c r="J4322" i="6"/>
  <c r="M4321" i="6"/>
  <c r="L4321" i="6"/>
  <c r="J4321" i="6"/>
  <c r="J4320" i="6"/>
  <c r="J4316" i="6"/>
  <c r="M4315" i="6"/>
  <c r="L4315" i="6"/>
  <c r="J4315" i="6"/>
  <c r="M4314" i="6"/>
  <c r="L4314" i="6"/>
  <c r="J4314" i="6"/>
  <c r="M4313" i="6"/>
  <c r="L4313" i="6"/>
  <c r="J4313" i="6"/>
  <c r="J4312" i="6"/>
  <c r="J4311" i="6"/>
  <c r="J4310" i="6"/>
  <c r="J4309" i="6"/>
  <c r="J4308" i="6"/>
  <c r="J4307" i="6"/>
  <c r="J4306" i="6"/>
  <c r="J4305" i="6"/>
  <c r="J4304" i="6"/>
  <c r="J4300" i="6"/>
  <c r="M4299" i="6"/>
  <c r="L4299" i="6"/>
  <c r="J4299" i="6"/>
  <c r="M4298" i="6"/>
  <c r="L4298" i="6"/>
  <c r="J4298" i="6"/>
  <c r="M4297" i="6"/>
  <c r="L4297" i="6"/>
  <c r="J4297" i="6"/>
  <c r="J4296" i="6"/>
  <c r="J4295" i="6"/>
  <c r="J4294" i="6"/>
  <c r="J4293" i="6"/>
  <c r="J4292" i="6"/>
  <c r="M4291" i="6"/>
  <c r="L4291" i="6"/>
  <c r="J4291" i="6"/>
  <c r="M4290" i="6"/>
  <c r="L4290" i="6"/>
  <c r="J4290" i="6"/>
  <c r="M4289" i="6"/>
  <c r="L4289" i="6"/>
  <c r="J4289" i="6"/>
  <c r="J4288" i="6"/>
  <c r="J4284" i="6"/>
  <c r="M4283" i="6"/>
  <c r="L4283" i="6"/>
  <c r="J4283" i="6"/>
  <c r="M4282" i="6"/>
  <c r="L4282" i="6"/>
  <c r="J4282" i="6"/>
  <c r="M4281" i="6"/>
  <c r="L4281" i="6"/>
  <c r="J4281" i="6"/>
  <c r="J4280" i="6"/>
  <c r="J4279" i="6"/>
  <c r="J4278" i="6"/>
  <c r="J4277" i="6"/>
  <c r="J4276" i="6"/>
  <c r="J4275" i="6"/>
  <c r="J4274" i="6"/>
  <c r="J4273" i="6"/>
  <c r="J4272" i="6"/>
  <c r="J4268" i="6"/>
  <c r="M4267" i="6"/>
  <c r="L4267" i="6"/>
  <c r="J4267" i="6"/>
  <c r="M4266" i="6"/>
  <c r="L4266" i="6"/>
  <c r="J4266" i="6"/>
  <c r="M4265" i="6"/>
  <c r="L4265" i="6"/>
  <c r="J4265" i="6"/>
  <c r="J4264" i="6"/>
  <c r="J4263" i="6"/>
  <c r="J4262" i="6"/>
  <c r="J4261" i="6"/>
  <c r="J4260" i="6"/>
  <c r="M4259" i="6"/>
  <c r="L4259" i="6"/>
  <c r="J4259" i="6"/>
  <c r="M4258" i="6"/>
  <c r="L4258" i="6"/>
  <c r="J4258" i="6"/>
  <c r="M4257" i="6"/>
  <c r="L4257" i="6"/>
  <c r="J4257" i="6"/>
  <c r="J4256" i="6"/>
  <c r="M4255" i="6"/>
  <c r="L4255" i="6"/>
  <c r="J4255" i="6"/>
  <c r="J4254" i="6"/>
  <c r="M4253" i="6"/>
  <c r="L4253" i="6"/>
  <c r="J4253" i="6"/>
  <c r="M4252" i="6"/>
  <c r="L4252" i="6"/>
  <c r="J4252" i="6"/>
  <c r="M4251" i="6"/>
  <c r="L4251" i="6"/>
  <c r="J4251" i="6"/>
  <c r="J4250" i="6"/>
  <c r="M4249" i="6"/>
  <c r="L4249" i="6"/>
  <c r="J4249" i="6"/>
  <c r="J4248" i="6"/>
  <c r="M4247" i="6"/>
  <c r="L4247" i="6"/>
  <c r="J4247" i="6"/>
  <c r="M4246" i="6"/>
  <c r="L4246" i="6"/>
  <c r="J4246" i="6"/>
  <c r="M4245" i="6"/>
  <c r="L4245" i="6"/>
  <c r="J4245" i="6"/>
  <c r="J4244" i="6"/>
  <c r="M4243" i="6"/>
  <c r="L4243" i="6"/>
  <c r="J4243" i="6"/>
  <c r="J4242" i="6"/>
  <c r="M4241" i="6"/>
  <c r="L4241" i="6"/>
  <c r="J4241" i="6"/>
  <c r="M4240" i="6"/>
  <c r="L4240" i="6"/>
  <c r="J4240" i="6"/>
  <c r="M4239" i="6"/>
  <c r="L4239" i="6"/>
  <c r="J4239" i="6"/>
  <c r="J4238" i="6"/>
  <c r="J4237" i="6"/>
  <c r="J4236" i="6"/>
  <c r="J4235" i="6"/>
  <c r="J4234" i="6"/>
  <c r="J4233" i="6"/>
  <c r="J4232" i="6"/>
  <c r="M4231" i="6"/>
  <c r="L4231" i="6"/>
  <c r="J4231" i="6"/>
  <c r="J4230" i="6"/>
  <c r="M4229" i="6"/>
  <c r="L4229" i="6"/>
  <c r="J4229" i="6"/>
  <c r="J4228" i="6"/>
  <c r="M4227" i="6"/>
  <c r="L4227" i="6"/>
  <c r="J4227" i="6"/>
  <c r="J4226" i="6"/>
  <c r="J4225" i="6"/>
  <c r="J4224" i="6"/>
  <c r="J4223" i="6"/>
  <c r="J4222" i="6"/>
  <c r="J4221" i="6"/>
  <c r="J4220" i="6"/>
  <c r="J4219" i="6"/>
  <c r="J4218" i="6"/>
  <c r="J4214" i="6"/>
  <c r="M4213" i="6"/>
  <c r="L4213" i="6"/>
  <c r="J4213" i="6"/>
  <c r="M4212" i="6"/>
  <c r="L4212" i="6"/>
  <c r="J4212" i="6"/>
  <c r="M4211" i="6"/>
  <c r="L4211" i="6"/>
  <c r="J4211" i="6"/>
  <c r="J4210" i="6"/>
  <c r="J4209" i="6"/>
  <c r="J4208" i="6"/>
  <c r="J4207" i="6"/>
  <c r="J4206" i="6"/>
  <c r="M4205" i="6"/>
  <c r="L4205" i="6"/>
  <c r="J4205" i="6"/>
  <c r="M4204" i="6"/>
  <c r="L4204" i="6"/>
  <c r="J4204" i="6"/>
  <c r="M4203" i="6"/>
  <c r="L4203" i="6"/>
  <c r="J4203" i="6"/>
  <c r="J4202" i="6"/>
  <c r="J4201" i="6"/>
  <c r="J4200" i="6"/>
  <c r="J4199" i="6"/>
  <c r="J4198" i="6"/>
  <c r="J4196" i="6"/>
  <c r="M4195" i="6"/>
  <c r="L4195" i="6"/>
  <c r="J4195" i="6"/>
  <c r="J4194" i="6"/>
  <c r="M4193" i="6"/>
  <c r="L4193" i="6"/>
  <c r="J4193" i="6"/>
  <c r="J4192" i="6"/>
  <c r="M4191" i="6"/>
  <c r="L4191" i="6"/>
  <c r="J4191" i="6"/>
  <c r="J4190" i="6"/>
  <c r="J4189" i="6"/>
  <c r="J4188" i="6"/>
  <c r="J4187" i="6"/>
  <c r="J4186" i="6"/>
  <c r="M4185" i="6"/>
  <c r="L4185" i="6"/>
  <c r="J4185" i="6"/>
  <c r="M4184" i="6"/>
  <c r="L4184" i="6"/>
  <c r="J4184" i="6"/>
  <c r="M4183" i="6"/>
  <c r="L4183" i="6"/>
  <c r="J4183" i="6"/>
  <c r="J4182" i="6"/>
  <c r="J4181" i="6"/>
  <c r="J4180" i="6"/>
  <c r="J4179" i="6"/>
  <c r="J4178" i="6"/>
  <c r="J4176" i="6"/>
  <c r="M4175" i="6"/>
  <c r="L4175" i="6"/>
  <c r="J4175" i="6"/>
  <c r="J4174" i="6"/>
  <c r="M4173" i="6"/>
  <c r="L4173" i="6"/>
  <c r="J4173" i="6"/>
  <c r="J4172" i="6"/>
  <c r="M4171" i="6"/>
  <c r="L4171" i="6"/>
  <c r="J4171" i="6"/>
  <c r="J4170" i="6"/>
  <c r="J4169" i="6"/>
  <c r="J4168" i="6"/>
  <c r="J4167" i="6"/>
  <c r="J4166" i="6"/>
  <c r="J4164" i="6"/>
  <c r="M4163" i="6"/>
  <c r="L4163" i="6"/>
  <c r="J4163" i="6"/>
  <c r="J4162" i="6"/>
  <c r="M4161" i="6"/>
  <c r="L4161" i="6"/>
  <c r="J4161" i="6"/>
  <c r="J4160" i="6"/>
  <c r="M4159" i="6"/>
  <c r="L4159" i="6"/>
  <c r="J4159" i="6"/>
  <c r="J4158" i="6"/>
  <c r="J4157" i="6"/>
  <c r="J4156" i="6"/>
  <c r="J4155" i="6"/>
  <c r="J4154" i="6"/>
  <c r="J4152" i="6"/>
  <c r="M4151" i="6"/>
  <c r="L4151" i="6"/>
  <c r="J4151" i="6"/>
  <c r="J4150" i="6"/>
  <c r="M4149" i="6"/>
  <c r="L4149" i="6"/>
  <c r="J4149" i="6"/>
  <c r="J4148" i="6"/>
  <c r="M4147" i="6"/>
  <c r="L4147" i="6"/>
  <c r="J4147" i="6"/>
  <c r="J4146" i="6"/>
  <c r="J4144" i="6"/>
  <c r="M4143" i="6"/>
  <c r="L4143" i="6"/>
  <c r="J4143" i="6"/>
  <c r="J4142" i="6"/>
  <c r="J4141" i="6"/>
  <c r="J4140" i="6"/>
  <c r="J4139" i="6"/>
  <c r="J4138" i="6"/>
  <c r="J4137" i="6"/>
  <c r="J4136" i="6"/>
  <c r="J4135" i="6"/>
  <c r="J4134" i="6"/>
  <c r="J4130" i="6"/>
  <c r="M4129" i="6"/>
  <c r="L4129" i="6"/>
  <c r="J4129" i="6"/>
  <c r="M4128" i="6"/>
  <c r="L4128" i="6"/>
  <c r="J4128" i="6"/>
  <c r="M4127" i="6"/>
  <c r="L4127" i="6"/>
  <c r="J4127" i="6"/>
  <c r="J4126" i="6"/>
  <c r="J4125" i="6"/>
  <c r="J4124" i="6"/>
  <c r="J4123" i="6"/>
  <c r="J4122" i="6"/>
  <c r="J4120" i="6"/>
  <c r="M4119" i="6"/>
  <c r="L4119" i="6"/>
  <c r="J4119" i="6"/>
  <c r="J4118" i="6"/>
  <c r="J4116" i="6"/>
  <c r="M4115" i="6"/>
  <c r="L4115" i="6"/>
  <c r="J4115" i="6"/>
  <c r="J4114" i="6"/>
  <c r="J4110" i="6"/>
  <c r="M4109" i="6"/>
  <c r="L4109" i="6"/>
  <c r="J4109" i="6"/>
  <c r="M4108" i="6"/>
  <c r="L4108" i="6"/>
  <c r="J4108" i="6"/>
  <c r="M4107" i="6"/>
  <c r="L4107" i="6"/>
  <c r="J4107" i="6"/>
  <c r="J4106" i="6"/>
  <c r="J4105" i="6"/>
  <c r="J4104" i="6"/>
  <c r="J4103" i="6"/>
  <c r="J4102" i="6"/>
  <c r="J4100" i="6"/>
  <c r="M4099" i="6"/>
  <c r="L4099" i="6"/>
  <c r="J4099" i="6"/>
  <c r="J4098" i="6"/>
  <c r="J4097" i="6"/>
  <c r="J4096" i="6"/>
  <c r="J4095" i="6"/>
  <c r="J4094" i="6"/>
  <c r="J4093" i="6"/>
  <c r="J4092" i="6"/>
  <c r="J4091" i="6"/>
  <c r="J4090" i="6"/>
  <c r="J4086" i="6"/>
  <c r="M4085" i="6"/>
  <c r="L4085" i="6"/>
  <c r="J4085" i="6"/>
  <c r="M4084" i="6"/>
  <c r="L4084" i="6"/>
  <c r="J4084" i="6"/>
  <c r="M4083" i="6"/>
  <c r="L4083" i="6"/>
  <c r="J4083" i="6"/>
  <c r="J4082" i="6"/>
  <c r="J4078" i="6"/>
  <c r="M4077" i="6"/>
  <c r="L4077" i="6"/>
  <c r="J4077" i="6"/>
  <c r="M4076" i="6"/>
  <c r="L4076" i="6"/>
  <c r="J4076" i="6"/>
  <c r="M4075" i="6"/>
  <c r="L4075" i="6"/>
  <c r="J4075" i="6"/>
  <c r="J4074" i="6"/>
  <c r="M4073" i="6"/>
  <c r="L4073" i="6"/>
  <c r="J4073" i="6"/>
  <c r="J4072" i="6"/>
  <c r="M4071" i="6"/>
  <c r="L4071" i="6"/>
  <c r="J4071" i="6"/>
  <c r="J4070" i="6"/>
  <c r="M4069" i="6"/>
  <c r="L4069" i="6"/>
  <c r="J4069" i="6"/>
  <c r="J4068" i="6"/>
  <c r="M4067" i="6"/>
  <c r="L4067" i="6"/>
  <c r="J4067" i="6"/>
  <c r="M4066" i="6"/>
  <c r="L4066" i="6"/>
  <c r="J4066" i="6"/>
  <c r="M4065" i="6"/>
  <c r="L4065" i="6"/>
  <c r="J4065" i="6"/>
  <c r="J4064" i="6"/>
  <c r="J4063" i="6"/>
  <c r="J4062" i="6"/>
  <c r="J4061" i="6"/>
  <c r="J4060" i="6"/>
  <c r="M4059" i="6"/>
  <c r="L4059" i="6"/>
  <c r="J4059" i="6"/>
  <c r="M4058" i="6"/>
  <c r="L4058" i="6"/>
  <c r="J4058" i="6"/>
  <c r="M4057" i="6"/>
  <c r="L4057" i="6"/>
  <c r="J4057" i="6"/>
  <c r="J4056" i="6"/>
  <c r="M4055" i="6"/>
  <c r="L4055" i="6"/>
  <c r="J4055" i="6"/>
  <c r="J4054" i="6"/>
  <c r="J4053" i="6"/>
  <c r="J4052" i="6"/>
  <c r="M4051" i="6"/>
  <c r="L4051" i="6"/>
  <c r="J4051" i="6"/>
  <c r="J4050" i="6"/>
  <c r="M4049" i="6"/>
  <c r="L4049" i="6"/>
  <c r="J4049" i="6"/>
  <c r="M4048" i="6"/>
  <c r="L4048" i="6"/>
  <c r="J4048" i="6"/>
  <c r="M4047" i="6"/>
  <c r="L4047" i="6"/>
  <c r="J4047" i="6"/>
  <c r="J4046" i="6"/>
  <c r="J4045" i="6"/>
  <c r="J4044" i="6"/>
  <c r="J4043" i="6"/>
  <c r="J4042" i="6"/>
  <c r="M4041" i="6"/>
  <c r="J4041" i="6"/>
  <c r="M4040" i="6"/>
  <c r="J4040" i="6"/>
  <c r="M4039" i="6"/>
  <c r="J4039" i="6"/>
  <c r="J4038" i="6"/>
  <c r="J4036" i="6"/>
  <c r="J4035" i="6"/>
  <c r="J4034" i="6"/>
  <c r="J4032" i="6"/>
  <c r="J4031" i="6"/>
  <c r="J4030" i="6"/>
  <c r="J4028" i="6"/>
  <c r="J4027" i="6"/>
  <c r="J4026" i="6"/>
  <c r="J4024" i="6"/>
  <c r="J4023" i="6"/>
  <c r="J4022" i="6"/>
  <c r="J4020" i="6"/>
  <c r="J4019" i="6"/>
  <c r="J4018" i="6"/>
  <c r="J4014" i="6"/>
  <c r="J4013" i="6"/>
  <c r="J4012" i="6"/>
  <c r="J4011" i="6"/>
  <c r="J4010" i="6"/>
  <c r="J4009" i="6"/>
  <c r="J4008" i="6"/>
  <c r="J4007" i="6"/>
  <c r="J4006" i="6"/>
  <c r="J4004" i="6"/>
  <c r="J4003" i="6"/>
  <c r="J4002" i="6"/>
  <c r="J4001" i="6"/>
  <c r="J4000" i="6"/>
  <c r="J3999" i="6"/>
  <c r="J3998" i="6"/>
  <c r="J3997" i="6"/>
  <c r="J3996" i="6"/>
  <c r="J3992" i="6"/>
  <c r="J3991" i="6"/>
  <c r="J3990" i="6"/>
  <c r="J3989" i="6"/>
  <c r="J3988" i="6"/>
  <c r="J3987" i="6"/>
  <c r="J3986" i="6"/>
  <c r="J3985" i="6"/>
  <c r="J3984" i="6"/>
  <c r="J3983" i="6"/>
  <c r="J3982" i="6"/>
  <c r="J3981" i="6"/>
  <c r="J3980" i="6"/>
  <c r="J3976" i="6"/>
  <c r="J3975" i="6"/>
  <c r="J3974" i="6"/>
  <c r="J3973" i="6"/>
  <c r="J3972" i="6"/>
  <c r="J3971" i="6"/>
  <c r="J3970" i="6"/>
  <c r="J3969" i="6"/>
  <c r="J3968" i="6"/>
  <c r="J3967" i="6"/>
  <c r="J3966" i="6"/>
  <c r="J3962" i="6"/>
  <c r="J3961" i="6"/>
  <c r="J3960" i="6"/>
  <c r="J3959" i="6"/>
  <c r="J3958" i="6"/>
  <c r="J3957" i="6"/>
  <c r="J3956" i="6"/>
  <c r="J3955" i="6"/>
  <c r="J3954" i="6"/>
  <c r="J3953" i="6"/>
  <c r="J3952" i="6"/>
  <c r="J3951" i="6"/>
  <c r="J3950" i="6"/>
  <c r="J3946" i="6"/>
  <c r="J3945" i="6"/>
  <c r="J3944" i="6"/>
  <c r="J3943" i="6"/>
  <c r="J3942" i="6"/>
  <c r="J3941" i="6"/>
  <c r="J3940" i="6"/>
  <c r="J3939" i="6"/>
  <c r="J3938" i="6"/>
  <c r="J3937" i="6"/>
  <c r="J3936" i="6"/>
  <c r="J3935" i="6"/>
  <c r="J3934" i="6"/>
  <c r="J3930" i="6"/>
  <c r="J3929" i="6"/>
  <c r="J3928" i="6"/>
  <c r="J3927" i="6"/>
  <c r="J3926" i="6"/>
  <c r="J3925" i="6"/>
  <c r="J3924" i="6"/>
  <c r="J3923" i="6"/>
  <c r="J3922" i="6"/>
  <c r="J3921" i="6"/>
  <c r="J3920" i="6"/>
  <c r="J3919" i="6"/>
  <c r="J3918" i="6"/>
  <c r="J3914" i="6"/>
  <c r="J3913" i="6"/>
  <c r="J3912" i="6"/>
  <c r="J3911" i="6"/>
  <c r="J3910" i="6"/>
  <c r="J3909" i="6"/>
  <c r="J3908" i="6"/>
  <c r="J3907" i="6"/>
  <c r="J3906" i="6"/>
  <c r="J3905" i="6"/>
  <c r="J3904" i="6"/>
  <c r="J3903" i="6"/>
  <c r="J3902" i="6"/>
  <c r="J3898" i="6"/>
  <c r="J3897" i="6"/>
  <c r="J3896" i="6"/>
  <c r="J3895" i="6"/>
  <c r="J3894" i="6"/>
  <c r="J3893" i="6"/>
  <c r="J3892" i="6"/>
  <c r="J3891" i="6"/>
  <c r="J3890" i="6"/>
  <c r="J3889" i="6"/>
  <c r="J3888" i="6"/>
  <c r="J3887" i="6"/>
  <c r="J3886" i="6"/>
  <c r="J3882" i="6"/>
  <c r="J3881" i="6"/>
  <c r="J3880" i="6"/>
  <c r="J3879" i="6"/>
  <c r="J3878" i="6"/>
  <c r="J3877" i="6"/>
  <c r="J3876" i="6"/>
  <c r="J3875" i="6"/>
  <c r="J3874" i="6"/>
  <c r="J3873" i="6"/>
  <c r="J3872" i="6"/>
  <c r="J3871" i="6"/>
  <c r="J3870" i="6"/>
  <c r="J3869" i="6"/>
  <c r="J3868" i="6"/>
  <c r="J3867" i="6"/>
  <c r="J3866" i="6"/>
  <c r="J3865" i="6"/>
  <c r="J3864" i="6"/>
  <c r="J3863" i="6"/>
  <c r="J3862" i="6"/>
  <c r="J3861" i="6"/>
  <c r="J3860" i="6"/>
  <c r="J3859" i="6"/>
  <c r="J3858" i="6"/>
  <c r="J3857" i="6"/>
  <c r="J3856" i="6"/>
  <c r="J3855" i="6"/>
  <c r="J3854" i="6"/>
  <c r="J3853" i="6"/>
  <c r="J3852" i="6"/>
  <c r="J3851" i="6"/>
  <c r="J3850" i="6"/>
  <c r="J3849" i="6"/>
  <c r="J3848" i="6"/>
  <c r="J3847" i="6"/>
  <c r="J3846" i="6"/>
  <c r="J3845" i="6"/>
  <c r="L2878" i="6"/>
  <c r="L2877" i="6"/>
  <c r="L2876" i="6"/>
  <c r="L2875" i="6"/>
  <c r="L2874" i="6"/>
  <c r="L2873" i="6"/>
  <c r="L2872" i="6"/>
  <c r="L2871" i="6"/>
  <c r="L2870" i="6"/>
  <c r="L2869" i="6"/>
  <c r="L2868" i="6"/>
  <c r="L2867" i="6"/>
  <c r="L2866" i="6"/>
  <c r="L2865" i="6"/>
  <c r="L2864" i="6"/>
  <c r="L2863" i="6"/>
  <c r="L2862" i="6"/>
  <c r="L2861" i="6"/>
  <c r="L2860" i="6"/>
  <c r="L2859" i="6"/>
  <c r="L2858" i="6"/>
  <c r="L2857" i="6"/>
  <c r="L2856" i="6"/>
  <c r="L2855" i="6"/>
  <c r="L2854" i="6"/>
  <c r="L2853" i="6"/>
  <c r="L2852" i="6"/>
  <c r="L2851" i="6"/>
  <c r="L2850" i="6"/>
  <c r="L2849" i="6"/>
  <c r="L2848" i="6"/>
  <c r="L2847" i="6"/>
  <c r="L2846" i="6"/>
  <c r="L2845" i="6"/>
  <c r="L2844" i="6"/>
  <c r="L2843" i="6"/>
  <c r="L2842" i="6"/>
  <c r="L2841" i="6"/>
  <c r="L2840" i="6"/>
  <c r="L2839" i="6"/>
  <c r="L2838" i="6"/>
  <c r="L2837" i="6"/>
  <c r="L2836" i="6"/>
  <c r="L2835" i="6"/>
  <c r="L2834" i="6"/>
  <c r="L2833" i="6"/>
  <c r="L2832" i="6"/>
  <c r="L2831" i="6"/>
  <c r="K2830" i="6"/>
  <c r="K2829" i="6"/>
  <c r="AF2829" i="6" s="1"/>
  <c r="K2828" i="6"/>
  <c r="L2827" i="6"/>
  <c r="L2826" i="6"/>
  <c r="L2825" i="6"/>
  <c r="L2824" i="6"/>
  <c r="L2823" i="6"/>
  <c r="L2822" i="6"/>
  <c r="L2821" i="6"/>
  <c r="L2820" i="6"/>
  <c r="L2819" i="6"/>
  <c r="L2818" i="6"/>
  <c r="L2817" i="6"/>
  <c r="L2816" i="6"/>
  <c r="L2815" i="6"/>
  <c r="K2814" i="6"/>
  <c r="K2813" i="6"/>
  <c r="K2812" i="6"/>
  <c r="L2811" i="6"/>
  <c r="L2810" i="6"/>
  <c r="L2809" i="6"/>
  <c r="L2808" i="6"/>
  <c r="L2807" i="6"/>
  <c r="L2806" i="6"/>
  <c r="L2805" i="6"/>
  <c r="L2804" i="6"/>
  <c r="L2803" i="6"/>
  <c r="L2802" i="6"/>
  <c r="L2801" i="6"/>
  <c r="L2800" i="6"/>
  <c r="L2799" i="6"/>
  <c r="K2798" i="6"/>
  <c r="K2797" i="6"/>
  <c r="K2796" i="6"/>
  <c r="L2795" i="6"/>
  <c r="L2794" i="6"/>
  <c r="L2793" i="6"/>
  <c r="L2792" i="6"/>
  <c r="L2791" i="6"/>
  <c r="L2790" i="6"/>
  <c r="L2789" i="6"/>
  <c r="L2788" i="6"/>
  <c r="L2787" i="6"/>
  <c r="L2786" i="6"/>
  <c r="L2785" i="6"/>
  <c r="L2784" i="6"/>
  <c r="L2783" i="6"/>
  <c r="L2782" i="6"/>
  <c r="L2781" i="6"/>
  <c r="L2780" i="6"/>
  <c r="L2779" i="6"/>
  <c r="L2778" i="6"/>
  <c r="L2777" i="6"/>
  <c r="L2776" i="6"/>
  <c r="L2775" i="6"/>
  <c r="L2774" i="6"/>
  <c r="L2773" i="6"/>
  <c r="L2772" i="6"/>
  <c r="K2771" i="6"/>
  <c r="AF2771" i="6" s="1"/>
  <c r="K2770" i="6"/>
  <c r="K2769" i="6"/>
  <c r="L2768" i="6"/>
  <c r="L2767" i="6"/>
  <c r="L2766" i="6"/>
  <c r="L2765" i="6"/>
  <c r="L2764" i="6"/>
  <c r="L2763" i="6"/>
  <c r="L2762" i="6"/>
  <c r="K2761" i="6"/>
  <c r="K2760" i="6"/>
  <c r="K2759" i="6"/>
  <c r="L2758" i="6"/>
  <c r="L2757" i="6"/>
  <c r="L2756" i="6"/>
  <c r="L2755" i="6"/>
  <c r="L2754" i="6"/>
  <c r="L2753" i="6"/>
  <c r="L2752" i="6"/>
  <c r="L2751" i="6"/>
  <c r="L2750" i="6"/>
  <c r="L2749" i="6"/>
  <c r="L2748" i="6"/>
  <c r="L2747" i="6"/>
  <c r="L2746" i="6"/>
  <c r="L2745" i="6"/>
  <c r="L2744" i="6"/>
  <c r="L2743" i="6"/>
  <c r="L2742" i="6"/>
  <c r="K2741" i="6"/>
  <c r="L2740" i="6"/>
  <c r="L2739" i="6"/>
  <c r="L2738" i="6"/>
  <c r="L2737" i="6"/>
  <c r="L2736" i="6"/>
  <c r="L2735" i="6"/>
  <c r="L2734" i="6"/>
  <c r="L2733" i="6"/>
  <c r="L2732" i="6"/>
  <c r="L2731" i="6"/>
  <c r="L2730" i="6"/>
  <c r="L2729" i="6"/>
  <c r="L2728" i="6"/>
  <c r="L2727" i="6"/>
  <c r="L2726" i="6"/>
  <c r="L2725" i="6"/>
  <c r="L2724" i="6"/>
  <c r="L2723" i="6"/>
  <c r="L2722" i="6"/>
  <c r="L2721" i="6"/>
  <c r="L2720" i="6"/>
  <c r="L2719" i="6"/>
  <c r="L2718" i="6"/>
  <c r="L2717" i="6"/>
  <c r="L2716" i="6"/>
  <c r="L2715" i="6"/>
  <c r="L2714" i="6"/>
  <c r="L2713" i="6"/>
  <c r="L2712" i="6"/>
  <c r="L2711" i="6"/>
  <c r="L2710" i="6"/>
  <c r="L2709" i="6"/>
  <c r="L2708" i="6"/>
  <c r="L2707" i="6"/>
  <c r="L2706" i="6"/>
  <c r="L2705" i="6"/>
  <c r="L2704" i="6"/>
  <c r="L2703" i="6"/>
  <c r="L2702" i="6"/>
  <c r="L2701" i="6"/>
  <c r="K2700" i="6"/>
  <c r="K2699" i="6"/>
  <c r="AF2699" i="6" s="1"/>
  <c r="K2698" i="6"/>
  <c r="K2697" i="6"/>
  <c r="K2696" i="6"/>
  <c r="AF2696" i="6" s="1"/>
  <c r="L2695" i="6"/>
  <c r="L2694" i="6"/>
  <c r="L2693" i="6"/>
  <c r="L2692" i="6"/>
  <c r="L2691" i="6"/>
  <c r="L2690" i="6"/>
  <c r="L2689" i="6"/>
  <c r="L2688" i="6"/>
  <c r="L2687" i="6"/>
  <c r="L2686" i="6"/>
  <c r="M2545" i="6"/>
  <c r="K2545" i="6"/>
  <c r="L2106" i="6"/>
  <c r="L1892" i="6" s="1"/>
  <c r="AJ297" i="15" s="1"/>
  <c r="J2106" i="6"/>
  <c r="L2105" i="6"/>
  <c r="L1890" i="6" s="1"/>
  <c r="AJ296" i="15" s="1"/>
  <c r="J2105" i="6"/>
  <c r="L2104" i="6"/>
  <c r="L1888" i="6" s="1"/>
  <c r="AJ295" i="15" s="1"/>
  <c r="J2104" i="6"/>
  <c r="L2103" i="6"/>
  <c r="L1886" i="6" s="1"/>
  <c r="AJ294" i="15" s="1"/>
  <c r="J2103" i="6"/>
  <c r="L2102" i="6"/>
  <c r="L1884" i="6" s="1"/>
  <c r="AJ293" i="15" s="1"/>
  <c r="J2102" i="6"/>
  <c r="L2101" i="6"/>
  <c r="L1882" i="6" s="1"/>
  <c r="AJ292" i="15" s="1"/>
  <c r="J2101" i="6"/>
  <c r="L2100" i="6"/>
  <c r="L1880" i="6" s="1"/>
  <c r="AJ291" i="15" s="1"/>
  <c r="J2100" i="6"/>
  <c r="L2099" i="6"/>
  <c r="L1878" i="6" s="1"/>
  <c r="AJ290" i="15" s="1"/>
  <c r="J2099" i="6"/>
  <c r="L2098" i="6"/>
  <c r="L1876" i="6" s="1"/>
  <c r="AJ289" i="15" s="1"/>
  <c r="J2098" i="6"/>
  <c r="L2097" i="6"/>
  <c r="L1874" i="6" s="1"/>
  <c r="AJ288" i="15" s="1"/>
  <c r="J2097" i="6"/>
  <c r="L2096" i="6"/>
  <c r="L2095" i="6"/>
  <c r="L1870" i="6" s="1"/>
  <c r="AJ287" i="15" s="1"/>
  <c r="J2095" i="6"/>
  <c r="L2094" i="6"/>
  <c r="J2094" i="6"/>
  <c r="L2093" i="6"/>
  <c r="L1866" i="6" s="1"/>
  <c r="AJ286" i="15" s="1"/>
  <c r="J2093" i="6"/>
  <c r="L2092" i="6"/>
  <c r="L1864" i="6" s="1"/>
  <c r="AJ285" i="15" s="1"/>
  <c r="J2092" i="6"/>
  <c r="L2091" i="6"/>
  <c r="L1862" i="6" s="1"/>
  <c r="AJ284" i="15" s="1"/>
  <c r="J2091" i="6"/>
  <c r="L2090" i="6"/>
  <c r="L1860" i="6" s="1"/>
  <c r="AJ283" i="15" s="1"/>
  <c r="J2090" i="6"/>
  <c r="L2089" i="6"/>
  <c r="L1858" i="6" s="1"/>
  <c r="AJ282" i="15" s="1"/>
  <c r="J2089" i="6"/>
  <c r="L2088" i="6"/>
  <c r="J2088" i="6"/>
  <c r="L2087" i="6"/>
  <c r="J2087" i="6"/>
  <c r="L2086" i="6"/>
  <c r="L1852" i="6" s="1"/>
  <c r="AJ280" i="15" s="1"/>
  <c r="J2086" i="6"/>
  <c r="L2085" i="6"/>
  <c r="L2084" i="6"/>
  <c r="L1848" i="6" s="1"/>
  <c r="AJ279" i="15" s="1"/>
  <c r="J2084" i="6"/>
  <c r="L2083" i="6"/>
  <c r="J2083" i="6"/>
  <c r="L2082" i="6"/>
  <c r="L1844" i="6" s="1"/>
  <c r="AJ278" i="15" s="1"/>
  <c r="J2082" i="6"/>
  <c r="L2081" i="6"/>
  <c r="J2081" i="6"/>
  <c r="L2080" i="6"/>
  <c r="L1840" i="6" s="1"/>
  <c r="AJ277" i="15" s="1"/>
  <c r="J2080" i="6"/>
  <c r="L2079" i="6"/>
  <c r="J2079" i="6"/>
  <c r="L2078" i="6"/>
  <c r="L1836" i="6" s="1"/>
  <c r="AJ276" i="15" s="1"/>
  <c r="J2078" i="6"/>
  <c r="L2077" i="6"/>
  <c r="L2076" i="6"/>
  <c r="L1832" i="6" s="1"/>
  <c r="AJ275" i="15" s="1"/>
  <c r="J2076" i="6"/>
  <c r="L2075" i="6"/>
  <c r="J2075" i="6"/>
  <c r="L2074" i="6"/>
  <c r="L1828" i="6" s="1"/>
  <c r="AJ274" i="15" s="1"/>
  <c r="J2074" i="6"/>
  <c r="L2073" i="6"/>
  <c r="L1826" i="6" s="1"/>
  <c r="AJ273" i="15" s="1"/>
  <c r="J2073" i="6"/>
  <c r="L2072" i="6"/>
  <c r="J2072" i="6"/>
  <c r="L2071" i="6"/>
  <c r="L1822" i="6" s="1"/>
  <c r="AJ272" i="15" s="1"/>
  <c r="J2071" i="6"/>
  <c r="L2070" i="6"/>
  <c r="L2069" i="6"/>
  <c r="L1818" i="6" s="1"/>
  <c r="AJ271" i="15" s="1"/>
  <c r="J2069" i="6"/>
  <c r="L2068" i="6"/>
  <c r="J2068" i="6"/>
  <c r="L2067" i="6"/>
  <c r="L1814" i="6" s="1"/>
  <c r="AJ270" i="15" s="1"/>
  <c r="J2067" i="6"/>
  <c r="L2066" i="6"/>
  <c r="J2066" i="6"/>
  <c r="L2065" i="6"/>
  <c r="L1810" i="6" s="1"/>
  <c r="AJ269" i="15" s="1"/>
  <c r="J2065" i="6"/>
  <c r="L2064" i="6"/>
  <c r="J2064" i="6"/>
  <c r="L2063" i="6"/>
  <c r="L1806" i="6" s="1"/>
  <c r="AJ268" i="15" s="1"/>
  <c r="J2063" i="6"/>
  <c r="L2062" i="6"/>
  <c r="L2061" i="6"/>
  <c r="L1802" i="6" s="1"/>
  <c r="AJ267" i="15" s="1"/>
  <c r="J2061" i="6"/>
  <c r="L2060" i="6"/>
  <c r="J2060" i="6"/>
  <c r="L2059" i="6"/>
  <c r="L1798" i="6" s="1"/>
  <c r="AJ266" i="15" s="1"/>
  <c r="J2059" i="6"/>
  <c r="L2058" i="6"/>
  <c r="J2058" i="6"/>
  <c r="L2057" i="6"/>
  <c r="L1794" i="6" s="1"/>
  <c r="AJ265" i="15" s="1"/>
  <c r="J2057" i="6"/>
  <c r="L2056" i="6"/>
  <c r="J2056" i="6"/>
  <c r="L2055" i="6"/>
  <c r="L1790" i="6" s="1"/>
  <c r="AJ264" i="15" s="1"/>
  <c r="J2055" i="6"/>
  <c r="L2054" i="6"/>
  <c r="L2053" i="6"/>
  <c r="L1786" i="6" s="1"/>
  <c r="AJ263" i="15" s="1"/>
  <c r="J2053" i="6"/>
  <c r="L2052" i="6"/>
  <c r="J2052" i="6"/>
  <c r="L2051" i="6"/>
  <c r="L1782" i="6" s="1"/>
  <c r="AJ262" i="15" s="1"/>
  <c r="J2051" i="6"/>
  <c r="L2050" i="6"/>
  <c r="J2050" i="6"/>
  <c r="L2049" i="6"/>
  <c r="L1778" i="6" s="1"/>
  <c r="AJ261" i="15" s="1"/>
  <c r="J2049" i="6"/>
  <c r="L2048" i="6"/>
  <c r="J2048" i="6"/>
  <c r="L2047" i="6"/>
  <c r="L1774" i="6" s="1"/>
  <c r="AJ260" i="15" s="1"/>
  <c r="J2047" i="6"/>
  <c r="L2046" i="6"/>
  <c r="L2045" i="6"/>
  <c r="L1770" i="6" s="1"/>
  <c r="AJ259" i="15" s="1"/>
  <c r="J2045" i="6"/>
  <c r="L2044" i="6"/>
  <c r="J2044" i="6"/>
  <c r="L2043" i="6"/>
  <c r="L1766" i="6" s="1"/>
  <c r="AJ258" i="15" s="1"/>
  <c r="J2043" i="6"/>
  <c r="L2042" i="6"/>
  <c r="J2042" i="6"/>
  <c r="L2041" i="6"/>
  <c r="L1762" i="6" s="1"/>
  <c r="AJ257" i="15" s="1"/>
  <c r="J2041" i="6"/>
  <c r="L2040" i="6"/>
  <c r="J2040" i="6"/>
  <c r="L2039" i="6"/>
  <c r="L1758" i="6" s="1"/>
  <c r="AJ256" i="15" s="1"/>
  <c r="J2039" i="6"/>
  <c r="L2038" i="6"/>
  <c r="L2037" i="6"/>
  <c r="L1754" i="6" s="1"/>
  <c r="AJ255" i="15" s="1"/>
  <c r="J2037" i="6"/>
  <c r="L2036" i="6"/>
  <c r="J2036" i="6"/>
  <c r="L2035" i="6"/>
  <c r="L1750" i="6" s="1"/>
  <c r="AJ254" i="15" s="1"/>
  <c r="J2035" i="6"/>
  <c r="L2034" i="6"/>
  <c r="J2034" i="6"/>
  <c r="L2033" i="6"/>
  <c r="L1746" i="6" s="1"/>
  <c r="AJ253" i="15" s="1"/>
  <c r="J2033" i="6"/>
  <c r="L2032" i="6"/>
  <c r="J2032" i="6"/>
  <c r="L2031" i="6"/>
  <c r="L1742" i="6" s="1"/>
  <c r="AJ252" i="15" s="1"/>
  <c r="J2031" i="6"/>
  <c r="L2030" i="6"/>
  <c r="L2029" i="6"/>
  <c r="L1738" i="6" s="1"/>
  <c r="AJ251" i="15" s="1"/>
  <c r="J2029" i="6"/>
  <c r="L2028" i="6"/>
  <c r="J2028" i="6"/>
  <c r="L2027" i="6"/>
  <c r="L1734" i="6" s="1"/>
  <c r="AJ250" i="15" s="1"/>
  <c r="J2027" i="6"/>
  <c r="L2026" i="6"/>
  <c r="J2026" i="6"/>
  <c r="L2025" i="6"/>
  <c r="L1730" i="6" s="1"/>
  <c r="AJ249" i="15" s="1"/>
  <c r="J2025" i="6"/>
  <c r="L2024" i="6"/>
  <c r="J2024" i="6"/>
  <c r="L2023" i="6"/>
  <c r="L1726" i="6" s="1"/>
  <c r="AJ248" i="15" s="1"/>
  <c r="J2023" i="6"/>
  <c r="L2022" i="6"/>
  <c r="L1724" i="6" s="1"/>
  <c r="AJ247" i="15" s="1"/>
  <c r="J2022" i="6"/>
  <c r="L2021" i="6"/>
  <c r="J2021" i="6"/>
  <c r="L2020" i="6"/>
  <c r="L1720" i="6" s="1"/>
  <c r="AJ246" i="15" s="1"/>
  <c r="J2020" i="6"/>
  <c r="L2019" i="6"/>
  <c r="L1718" i="6" s="1"/>
  <c r="AJ245" i="15" s="1"/>
  <c r="J2019" i="6"/>
  <c r="L2018" i="6"/>
  <c r="J2018" i="6"/>
  <c r="L2017" i="6"/>
  <c r="L1714" i="6" s="1"/>
  <c r="AJ244" i="15" s="1"/>
  <c r="J2017" i="6"/>
  <c r="L2016" i="6"/>
  <c r="L1712" i="6" s="1"/>
  <c r="AJ243" i="15" s="1"/>
  <c r="J2016" i="6"/>
  <c r="L2015" i="6"/>
  <c r="J2015" i="6"/>
  <c r="L2014" i="6"/>
  <c r="L1708" i="6" s="1"/>
  <c r="AJ242" i="15" s="1"/>
  <c r="J2014" i="6"/>
  <c r="L2013" i="6"/>
  <c r="L1706" i="6" s="1"/>
  <c r="AJ241" i="15" s="1"/>
  <c r="J2013" i="6"/>
  <c r="L2012" i="6"/>
  <c r="L1704" i="6" s="1"/>
  <c r="AJ240" i="15" s="1"/>
  <c r="J2012" i="6"/>
  <c r="L2011" i="6"/>
  <c r="L1702" i="6" s="1"/>
  <c r="AJ239" i="15" s="1"/>
  <c r="J2011" i="6"/>
  <c r="L2010" i="6"/>
  <c r="L1700" i="6" s="1"/>
  <c r="AJ238" i="15" s="1"/>
  <c r="J2010" i="6"/>
  <c r="L2009" i="6"/>
  <c r="L1698" i="6" s="1"/>
  <c r="AJ237" i="15" s="1"/>
  <c r="J2009" i="6"/>
  <c r="L2008" i="6"/>
  <c r="L1696" i="6" s="1"/>
  <c r="AJ236" i="15" s="1"/>
  <c r="J2008" i="6"/>
  <c r="L2007" i="6"/>
  <c r="J2007" i="6"/>
  <c r="L2006" i="6"/>
  <c r="L1692" i="6" s="1"/>
  <c r="AJ235" i="15" s="1"/>
  <c r="J2006" i="6"/>
  <c r="L2005" i="6"/>
  <c r="J2005" i="6"/>
  <c r="L2004" i="6"/>
  <c r="L1688" i="6" s="1"/>
  <c r="AJ234" i="15" s="1"/>
  <c r="J2004" i="6"/>
  <c r="L2003" i="6"/>
  <c r="L2002" i="6"/>
  <c r="L1684" i="6" s="1"/>
  <c r="AJ233" i="15" s="1"/>
  <c r="J2002" i="6"/>
  <c r="L2001" i="6"/>
  <c r="J2001" i="6"/>
  <c r="L2000" i="6"/>
  <c r="L1680" i="6" s="1"/>
  <c r="AJ232" i="15" s="1"/>
  <c r="J2000" i="6"/>
  <c r="L1999" i="6"/>
  <c r="J1999" i="6"/>
  <c r="L1998" i="6"/>
  <c r="L1676" i="6" s="1"/>
  <c r="AJ231" i="15" s="1"/>
  <c r="J1998" i="6"/>
  <c r="L1997" i="6"/>
  <c r="J1997" i="6"/>
  <c r="L1996" i="6"/>
  <c r="L1672" i="6" s="1"/>
  <c r="AJ230" i="15" s="1"/>
  <c r="J1996" i="6"/>
  <c r="L1995" i="6"/>
  <c r="L1670" i="6" s="1"/>
  <c r="AJ229" i="15" s="1"/>
  <c r="J1995" i="6"/>
  <c r="L1994" i="6"/>
  <c r="L1668" i="6" s="1"/>
  <c r="AJ228" i="15" s="1"/>
  <c r="J1994" i="6"/>
  <c r="L1993" i="6"/>
  <c r="L1666" i="6" s="1"/>
  <c r="AJ227" i="15" s="1"/>
  <c r="J1993" i="6"/>
  <c r="L1992" i="6"/>
  <c r="L1664" i="6" s="1"/>
  <c r="AJ226" i="15" s="1"/>
  <c r="J1992" i="6"/>
  <c r="L1991" i="6"/>
  <c r="L1662" i="6" s="1"/>
  <c r="AJ225" i="15" s="1"/>
  <c r="J1991" i="6"/>
  <c r="L1990" i="6"/>
  <c r="L1660" i="6" s="1"/>
  <c r="AJ224" i="15" s="1"/>
  <c r="J1990" i="6"/>
  <c r="L1989" i="6"/>
  <c r="J1989" i="6"/>
  <c r="L1988" i="6"/>
  <c r="L1656" i="6" s="1"/>
  <c r="AJ223" i="15" s="1"/>
  <c r="J1988" i="6"/>
  <c r="L1987" i="6"/>
  <c r="J1987" i="6"/>
  <c r="L1986" i="6"/>
  <c r="L1652" i="6" s="1"/>
  <c r="AJ222" i="15" s="1"/>
  <c r="J1986" i="6"/>
  <c r="L1985" i="6"/>
  <c r="L1650" i="6" s="1"/>
  <c r="AJ221" i="15" s="1"/>
  <c r="J1985" i="6"/>
  <c r="L1984" i="6"/>
  <c r="L1648" i="6" s="1"/>
  <c r="AJ220" i="15" s="1"/>
  <c r="J1984" i="6"/>
  <c r="L1983" i="6"/>
  <c r="L1646" i="6" s="1"/>
  <c r="AJ219" i="15" s="1"/>
  <c r="J1983" i="6"/>
  <c r="L1982" i="6"/>
  <c r="L1644" i="6" s="1"/>
  <c r="AJ218" i="15" s="1"/>
  <c r="J1982" i="6"/>
  <c r="L1981" i="6"/>
  <c r="L1642" i="6" s="1"/>
  <c r="AJ217" i="15" s="1"/>
  <c r="J1981" i="6"/>
  <c r="L1980" i="6"/>
  <c r="L1640" i="6" s="1"/>
  <c r="AJ216" i="15" s="1"/>
  <c r="J1980" i="6"/>
  <c r="L1979" i="6"/>
  <c r="L1638" i="6" s="1"/>
  <c r="AJ215" i="15" s="1"/>
  <c r="J1979" i="6"/>
  <c r="L1978" i="6"/>
  <c r="L1636" i="6" s="1"/>
  <c r="AJ214" i="15" s="1"/>
  <c r="J1978" i="6"/>
  <c r="L1977" i="6"/>
  <c r="L1634" i="6" s="1"/>
  <c r="AJ213" i="15" s="1"/>
  <c r="J1977" i="6"/>
  <c r="L1976" i="6"/>
  <c r="L1632" i="6" s="1"/>
  <c r="AJ212" i="15" s="1"/>
  <c r="J1976" i="6"/>
  <c r="L1975" i="6"/>
  <c r="L1630" i="6" s="1"/>
  <c r="AJ211" i="15" s="1"/>
  <c r="J1975" i="6"/>
  <c r="L1974" i="6"/>
  <c r="L1628" i="6" s="1"/>
  <c r="AJ210" i="15" s="1"/>
  <c r="J1974" i="6"/>
  <c r="L1973" i="6"/>
  <c r="L1626" i="6" s="1"/>
  <c r="AJ209" i="15" s="1"/>
  <c r="J1973" i="6"/>
  <c r="L1972" i="6"/>
  <c r="L1624" i="6" s="1"/>
  <c r="AJ208" i="15" s="1"/>
  <c r="J1972" i="6"/>
  <c r="L1971" i="6"/>
  <c r="L1622" i="6" s="1"/>
  <c r="AJ207" i="15" s="1"/>
  <c r="J1971" i="6"/>
  <c r="L1970" i="6"/>
  <c r="L1620" i="6" s="1"/>
  <c r="AJ206" i="15" s="1"/>
  <c r="J1970" i="6"/>
  <c r="L1969" i="6"/>
  <c r="L1618" i="6" s="1"/>
  <c r="AJ205" i="15" s="1"/>
  <c r="J1969" i="6"/>
  <c r="L1968" i="6"/>
  <c r="L1616" i="6" s="1"/>
  <c r="AJ204" i="15" s="1"/>
  <c r="J1968" i="6"/>
  <c r="L1967" i="6"/>
  <c r="L1614" i="6" s="1"/>
  <c r="AJ203" i="15" s="1"/>
  <c r="J1967" i="6"/>
  <c r="L1966" i="6"/>
  <c r="L1612" i="6" s="1"/>
  <c r="AJ202" i="15" s="1"/>
  <c r="J1966" i="6"/>
  <c r="L1965" i="6"/>
  <c r="J1965" i="6"/>
  <c r="L1964" i="6"/>
  <c r="L1608" i="6" s="1"/>
  <c r="AJ201" i="15" s="1"/>
  <c r="J1964" i="6"/>
  <c r="L1963" i="6"/>
  <c r="J1963" i="6"/>
  <c r="L1962" i="6"/>
  <c r="L1604" i="6" s="1"/>
  <c r="AJ200" i="15" s="1"/>
  <c r="J1962" i="6"/>
  <c r="L1961" i="6"/>
  <c r="L1960" i="6"/>
  <c r="L1600" i="6" s="1"/>
  <c r="AJ199" i="15" s="1"/>
  <c r="J1960" i="6"/>
  <c r="L1959" i="6"/>
  <c r="J1959" i="6"/>
  <c r="L1958" i="6"/>
  <c r="L1596" i="6" s="1"/>
  <c r="AJ198" i="15" s="1"/>
  <c r="J1958" i="6"/>
  <c r="L1957" i="6"/>
  <c r="L1594" i="6" s="1"/>
  <c r="AJ197" i="15" s="1"/>
  <c r="J1957" i="6"/>
  <c r="L1956" i="6"/>
  <c r="L1592" i="6" s="1"/>
  <c r="AJ196" i="15" s="1"/>
  <c r="J1956" i="6"/>
  <c r="L1955" i="6"/>
  <c r="L1590" i="6" s="1"/>
  <c r="AJ195" i="15" s="1"/>
  <c r="J1955" i="6"/>
  <c r="L1954" i="6"/>
  <c r="L1588" i="6" s="1"/>
  <c r="AJ194" i="15" s="1"/>
  <c r="J1954" i="6"/>
  <c r="L1953" i="6"/>
  <c r="L1586" i="6" s="1"/>
  <c r="AJ193" i="15" s="1"/>
  <c r="J1953" i="6"/>
  <c r="L1952" i="6"/>
  <c r="L1584" i="6" s="1"/>
  <c r="AJ192" i="15" s="1"/>
  <c r="J1952" i="6"/>
  <c r="L1951" i="6"/>
  <c r="L1950" i="6"/>
  <c r="L1580" i="6" s="1"/>
  <c r="AJ191" i="15" s="1"/>
  <c r="J1950" i="6"/>
  <c r="L1949" i="6"/>
  <c r="J1949" i="6"/>
  <c r="L1948" i="6"/>
  <c r="L1576" i="6" s="1"/>
  <c r="AJ190" i="15" s="1"/>
  <c r="J1948" i="6"/>
  <c r="L1947" i="6"/>
  <c r="L1574" i="6" s="1"/>
  <c r="AJ189" i="15" s="1"/>
  <c r="J1947" i="6"/>
  <c r="L1946" i="6"/>
  <c r="L1572" i="6" s="1"/>
  <c r="AJ188" i="15" s="1"/>
  <c r="J1946" i="6"/>
  <c r="L1945" i="6"/>
  <c r="L1570" i="6" s="1"/>
  <c r="AJ187" i="15" s="1"/>
  <c r="J1945" i="6"/>
  <c r="L1944" i="6"/>
  <c r="L1568" i="6" s="1"/>
  <c r="AJ186" i="15" s="1"/>
  <c r="J1944" i="6"/>
  <c r="L1943" i="6"/>
  <c r="J1943" i="6"/>
  <c r="L1942" i="6"/>
  <c r="L1564" i="6" s="1"/>
  <c r="AJ185" i="15" s="1"/>
  <c r="J1942" i="6"/>
  <c r="L1941" i="6"/>
  <c r="J1941" i="6"/>
  <c r="L1940" i="6"/>
  <c r="L1560" i="6" s="1"/>
  <c r="AJ184" i="15" s="1"/>
  <c r="J1940" i="6"/>
  <c r="L1939" i="6"/>
  <c r="L1938" i="6"/>
  <c r="L1556" i="6" s="1"/>
  <c r="AJ183" i="15" s="1"/>
  <c r="J1938" i="6"/>
  <c r="L1937" i="6"/>
  <c r="J1937" i="6"/>
  <c r="L1936" i="6"/>
  <c r="L1552" i="6" s="1"/>
  <c r="AJ182" i="15" s="1"/>
  <c r="J1936" i="6"/>
  <c r="L1935" i="6"/>
  <c r="L1934" i="6"/>
  <c r="L1548" i="6" s="1"/>
  <c r="AJ181" i="15" s="1"/>
  <c r="J1934" i="6"/>
  <c r="L1933" i="6"/>
  <c r="J1933" i="6"/>
  <c r="L1932" i="6"/>
  <c r="L1544" i="6" s="1"/>
  <c r="AJ180" i="15" s="1"/>
  <c r="J1932" i="6"/>
  <c r="L1931" i="6"/>
  <c r="L1542" i="6" s="1"/>
  <c r="AJ179" i="15" s="1"/>
  <c r="J1931" i="6"/>
  <c r="L1930" i="6"/>
  <c r="J1930" i="6"/>
  <c r="L1929" i="6"/>
  <c r="L1538" i="6" s="1"/>
  <c r="AJ177" i="15" s="1"/>
  <c r="J1929" i="6"/>
  <c r="L1928" i="6"/>
  <c r="J1928" i="6"/>
  <c r="L1927" i="6"/>
  <c r="L1534" i="6" s="1"/>
  <c r="AJ176" i="15" s="1"/>
  <c r="J1927" i="6"/>
  <c r="L1926" i="6"/>
  <c r="J1926" i="6"/>
  <c r="L1925" i="6"/>
  <c r="L1530" i="6" s="1"/>
  <c r="AJ175" i="15" s="1"/>
  <c r="J1925" i="6"/>
  <c r="L1924" i="6"/>
  <c r="J1924" i="6"/>
  <c r="L1923" i="6"/>
  <c r="L1526" i="6" s="1"/>
  <c r="AJ174" i="15" s="1"/>
  <c r="J1923" i="6"/>
  <c r="L1922" i="6"/>
  <c r="L1524" i="6" s="1"/>
  <c r="AJ173" i="15" s="1"/>
  <c r="J1922" i="6"/>
  <c r="L1921" i="6"/>
  <c r="L1522" i="6" s="1"/>
  <c r="AJ172" i="15" s="1"/>
  <c r="J1921" i="6"/>
  <c r="L1920" i="6"/>
  <c r="L1520" i="6" s="1"/>
  <c r="AJ171" i="15" s="1"/>
  <c r="J1920" i="6"/>
  <c r="L1919" i="6"/>
  <c r="J1919" i="6"/>
  <c r="L1918" i="6"/>
  <c r="L1516" i="6" s="1"/>
  <c r="AJ170" i="15" s="1"/>
  <c r="J1918" i="6"/>
  <c r="L1917" i="6"/>
  <c r="J1917" i="6"/>
  <c r="L1916" i="6"/>
  <c r="L1512" i="6" s="1"/>
  <c r="AJ169" i="15" s="1"/>
  <c r="J1916" i="6"/>
  <c r="L1915" i="6"/>
  <c r="J1915" i="6"/>
  <c r="L1914" i="6"/>
  <c r="L1508" i="6" s="1"/>
  <c r="AJ168" i="15" s="1"/>
  <c r="J1914" i="6"/>
  <c r="H1891" i="6"/>
  <c r="H1890" i="6"/>
  <c r="H1887" i="6"/>
  <c r="H1886" i="6"/>
  <c r="H1883" i="6"/>
  <c r="H1882" i="6"/>
  <c r="H1879" i="6"/>
  <c r="H1878" i="6"/>
  <c r="H1875" i="6"/>
  <c r="H1874" i="6"/>
  <c r="H1869" i="6"/>
  <c r="H1868" i="6"/>
  <c r="H1867" i="6"/>
  <c r="H1866" i="6"/>
  <c r="H1865" i="6"/>
  <c r="H1864" i="6"/>
  <c r="H1863" i="6"/>
  <c r="I1863" i="6" s="1"/>
  <c r="R284" i="15" s="1"/>
  <c r="H1862" i="6"/>
  <c r="H1859" i="6"/>
  <c r="H1858" i="6"/>
  <c r="H1857" i="6"/>
  <c r="H1856" i="6"/>
  <c r="H1855" i="6"/>
  <c r="H1854" i="6"/>
  <c r="H1853" i="6"/>
  <c r="H1852" i="6"/>
  <c r="H1847" i="6"/>
  <c r="H1846" i="6"/>
  <c r="H1845" i="6"/>
  <c r="H1844" i="6"/>
  <c r="H1843" i="6"/>
  <c r="H1842" i="6"/>
  <c r="H1841" i="6"/>
  <c r="I1841" i="6" s="1"/>
  <c r="R277" i="15" s="1"/>
  <c r="H1840" i="6"/>
  <c r="H1839" i="6"/>
  <c r="I1839" i="6" s="1"/>
  <c r="T276" i="15" s="1"/>
  <c r="H1838" i="6"/>
  <c r="H1837" i="6"/>
  <c r="I1837" i="6" s="1"/>
  <c r="R276" i="15" s="1"/>
  <c r="H1836" i="6"/>
  <c r="H1831" i="6"/>
  <c r="H1830" i="6"/>
  <c r="H1829" i="6"/>
  <c r="H1828" i="6"/>
  <c r="H1827" i="6"/>
  <c r="H1826" i="6"/>
  <c r="H1825" i="6"/>
  <c r="H1824" i="6"/>
  <c r="H1823" i="6"/>
  <c r="H1822" i="6"/>
  <c r="H1817" i="6"/>
  <c r="H1816" i="6"/>
  <c r="H1815" i="6"/>
  <c r="H1814" i="6"/>
  <c r="H1813" i="6"/>
  <c r="H1812" i="6"/>
  <c r="H1811" i="6"/>
  <c r="I1811" i="6" s="1"/>
  <c r="R269" i="15" s="1"/>
  <c r="H1810" i="6"/>
  <c r="H1809" i="6"/>
  <c r="I1809" i="6" s="1"/>
  <c r="T268" i="15" s="1"/>
  <c r="H1808" i="6"/>
  <c r="H1807" i="6"/>
  <c r="I1807" i="6" s="1"/>
  <c r="R268" i="15" s="1"/>
  <c r="H1806" i="6"/>
  <c r="H1801" i="6"/>
  <c r="H1800" i="6"/>
  <c r="H1799" i="6"/>
  <c r="H1798" i="6"/>
  <c r="H1797" i="6"/>
  <c r="H1796" i="6"/>
  <c r="H1795" i="6"/>
  <c r="I1795" i="6" s="1"/>
  <c r="R265" i="15" s="1"/>
  <c r="H1794" i="6"/>
  <c r="H1793" i="6"/>
  <c r="H1792" i="6"/>
  <c r="H1791" i="6"/>
  <c r="H1790" i="6"/>
  <c r="H1785" i="6"/>
  <c r="H1784" i="6"/>
  <c r="H1783" i="6"/>
  <c r="H1782" i="6"/>
  <c r="H1781" i="6"/>
  <c r="H1780" i="6"/>
  <c r="H1779" i="6"/>
  <c r="I1779" i="6" s="1"/>
  <c r="R261" i="15" s="1"/>
  <c r="H1778" i="6"/>
  <c r="H1777" i="6"/>
  <c r="I1777" i="6" s="1"/>
  <c r="T260" i="15" s="1"/>
  <c r="H1776" i="6"/>
  <c r="H1775" i="6"/>
  <c r="I1775" i="6" s="1"/>
  <c r="R260" i="15" s="1"/>
  <c r="H1774" i="6"/>
  <c r="H1769" i="6"/>
  <c r="H1768" i="6"/>
  <c r="H1767" i="6"/>
  <c r="H1766" i="6"/>
  <c r="H1765" i="6"/>
  <c r="H1764" i="6"/>
  <c r="H1763" i="6"/>
  <c r="I1763" i="6" s="1"/>
  <c r="R257" i="15" s="1"/>
  <c r="H1762" i="6"/>
  <c r="H1761" i="6"/>
  <c r="H1760" i="6"/>
  <c r="H1759" i="6"/>
  <c r="H1758" i="6"/>
  <c r="H1753" i="6"/>
  <c r="H1752" i="6"/>
  <c r="H1751" i="6"/>
  <c r="H1750" i="6"/>
  <c r="H1749" i="6"/>
  <c r="H1748" i="6"/>
  <c r="H1747" i="6"/>
  <c r="I1747" i="6" s="1"/>
  <c r="R253" i="15" s="1"/>
  <c r="H1746" i="6"/>
  <c r="H1745" i="6"/>
  <c r="I1745" i="6" s="1"/>
  <c r="T252" i="15" s="1"/>
  <c r="H1744" i="6"/>
  <c r="H1743" i="6"/>
  <c r="I1743" i="6" s="1"/>
  <c r="R252" i="15" s="1"/>
  <c r="H1742" i="6"/>
  <c r="H1737" i="6"/>
  <c r="H1736" i="6"/>
  <c r="H1735" i="6"/>
  <c r="H1734" i="6"/>
  <c r="H1733" i="6"/>
  <c r="H1732" i="6"/>
  <c r="H1731" i="6"/>
  <c r="I1731" i="6" s="1"/>
  <c r="R249" i="15" s="1"/>
  <c r="H1730" i="6"/>
  <c r="H1729" i="6"/>
  <c r="H1728" i="6"/>
  <c r="H1727" i="6"/>
  <c r="H1726" i="6"/>
  <c r="H1725" i="6"/>
  <c r="H1724" i="6"/>
  <c r="H1723" i="6"/>
  <c r="H1722" i="6"/>
  <c r="H1721" i="6"/>
  <c r="H1720" i="6"/>
  <c r="H1719" i="6"/>
  <c r="H1718" i="6"/>
  <c r="H1717" i="6"/>
  <c r="H1716" i="6"/>
  <c r="H1715" i="6"/>
  <c r="H1714" i="6"/>
  <c r="H1713" i="6"/>
  <c r="H1712" i="6"/>
  <c r="H1711" i="6"/>
  <c r="H1710" i="6"/>
  <c r="H1709" i="6"/>
  <c r="H1708" i="6"/>
  <c r="H1707" i="6"/>
  <c r="H1706" i="6"/>
  <c r="H1705" i="6"/>
  <c r="I1705" i="6" s="1"/>
  <c r="R240" i="15" s="1"/>
  <c r="H1704" i="6"/>
  <c r="H1703" i="6"/>
  <c r="H1702" i="6"/>
  <c r="H1701" i="6"/>
  <c r="H1700" i="6"/>
  <c r="H1699" i="6"/>
  <c r="H1698" i="6"/>
  <c r="H1697" i="6"/>
  <c r="H1696" i="6"/>
  <c r="H1695" i="6"/>
  <c r="H1694" i="6"/>
  <c r="H1693" i="6"/>
  <c r="I1693" i="6" s="1"/>
  <c r="R235" i="15" s="1"/>
  <c r="H1692" i="6"/>
  <c r="H1691" i="6"/>
  <c r="I1691" i="6" s="1"/>
  <c r="T234" i="15" s="1"/>
  <c r="H1690" i="6"/>
  <c r="H1689" i="6"/>
  <c r="I1689" i="6" s="1"/>
  <c r="R234" i="15" s="1"/>
  <c r="H1688" i="6"/>
  <c r="H1683" i="6"/>
  <c r="H1682" i="6"/>
  <c r="H1681" i="6"/>
  <c r="H1680" i="6"/>
  <c r="H1679" i="6"/>
  <c r="H1678" i="6"/>
  <c r="H1677" i="6"/>
  <c r="I1677" i="6" s="1"/>
  <c r="R231" i="15" s="1"/>
  <c r="H1676" i="6"/>
  <c r="H1675" i="6"/>
  <c r="H1674" i="6"/>
  <c r="H1673" i="6"/>
  <c r="H1672" i="6"/>
  <c r="H1671" i="6"/>
  <c r="H1670" i="6"/>
  <c r="H1669" i="6"/>
  <c r="I1669" i="6" s="1"/>
  <c r="R228" i="15" s="1"/>
  <c r="H1668" i="6"/>
  <c r="H1665" i="6"/>
  <c r="H1664" i="6"/>
  <c r="H1663" i="6"/>
  <c r="H1662" i="6"/>
  <c r="H1661" i="6"/>
  <c r="H1660" i="6"/>
  <c r="H1659" i="6"/>
  <c r="H1658" i="6"/>
  <c r="H1657" i="6"/>
  <c r="I1657" i="6" s="1"/>
  <c r="R223" i="15" s="1"/>
  <c r="H1656" i="6"/>
  <c r="H1655" i="6"/>
  <c r="H1654" i="6"/>
  <c r="H1653" i="6"/>
  <c r="H1652" i="6"/>
  <c r="H1651" i="6"/>
  <c r="I1651" i="6" s="1"/>
  <c r="R221" i="15" s="1"/>
  <c r="H1650" i="6"/>
  <c r="H1649" i="6"/>
  <c r="I1649" i="6" s="1"/>
  <c r="R220" i="15" s="1"/>
  <c r="H1648" i="6"/>
  <c r="H1645" i="6"/>
  <c r="H1644" i="6"/>
  <c r="H1643" i="6"/>
  <c r="H1642" i="6"/>
  <c r="H1641" i="6"/>
  <c r="H1640" i="6"/>
  <c r="H1639" i="6"/>
  <c r="H1638" i="6"/>
  <c r="H1637" i="6"/>
  <c r="I1637" i="6" s="1"/>
  <c r="R214" i="15" s="1"/>
  <c r="H1636" i="6"/>
  <c r="H1633" i="6"/>
  <c r="H1632" i="6"/>
  <c r="H1631" i="6"/>
  <c r="H1630" i="6"/>
  <c r="H1629" i="6"/>
  <c r="H1628" i="6"/>
  <c r="H1627" i="6"/>
  <c r="H1626" i="6"/>
  <c r="H1625" i="6"/>
  <c r="I1625" i="6" s="1"/>
  <c r="R208" i="15" s="1"/>
  <c r="H1624" i="6"/>
  <c r="H1621" i="6"/>
  <c r="H1620" i="6"/>
  <c r="H1619" i="6"/>
  <c r="H1618" i="6"/>
  <c r="H1617" i="6"/>
  <c r="H1616" i="6"/>
  <c r="H1613" i="6"/>
  <c r="H1612" i="6"/>
  <c r="H1611" i="6"/>
  <c r="H1610" i="6"/>
  <c r="H1609" i="6"/>
  <c r="I1609" i="6" s="1"/>
  <c r="R201" i="15" s="1"/>
  <c r="H1608" i="6"/>
  <c r="H1607" i="6"/>
  <c r="I1607" i="6" s="1"/>
  <c r="T200" i="15" s="1"/>
  <c r="H1606" i="6"/>
  <c r="H1605" i="6"/>
  <c r="I1605" i="6" s="1"/>
  <c r="R200" i="15" s="1"/>
  <c r="H1604" i="6"/>
  <c r="H1599" i="6"/>
  <c r="H1598" i="6"/>
  <c r="H1597" i="6"/>
  <c r="H1596" i="6"/>
  <c r="H1595" i="6"/>
  <c r="H1594" i="6"/>
  <c r="H1593" i="6"/>
  <c r="I1593" i="6" s="1"/>
  <c r="R196" i="15" s="1"/>
  <c r="H1592" i="6"/>
  <c r="H1589" i="6"/>
  <c r="H1588" i="6"/>
  <c r="H1585" i="6"/>
  <c r="H1584" i="6"/>
  <c r="H1579" i="6"/>
  <c r="H1578" i="6"/>
  <c r="H1577" i="6"/>
  <c r="H1576" i="6"/>
  <c r="H1575" i="6"/>
  <c r="H1574" i="6"/>
  <c r="H1573" i="6"/>
  <c r="I1573" i="6" s="1"/>
  <c r="R188" i="15" s="1"/>
  <c r="H1572" i="6"/>
  <c r="H1569" i="6"/>
  <c r="H1568" i="6"/>
  <c r="H1567" i="6"/>
  <c r="H1566" i="6"/>
  <c r="H1565" i="6"/>
  <c r="H1564" i="6"/>
  <c r="H1563" i="6"/>
  <c r="H1562" i="6"/>
  <c r="H1561" i="6"/>
  <c r="H1560" i="6"/>
  <c r="H1555" i="6"/>
  <c r="H1554" i="6"/>
  <c r="H1553" i="6"/>
  <c r="H1552" i="6"/>
  <c r="H1547" i="6"/>
  <c r="H1546" i="6"/>
  <c r="H1545" i="6"/>
  <c r="H1544" i="6"/>
  <c r="H1543" i="6"/>
  <c r="H1542" i="6"/>
  <c r="H1541" i="6"/>
  <c r="H1540" i="6"/>
  <c r="H1539" i="6"/>
  <c r="H1538" i="6"/>
  <c r="H1537" i="6"/>
  <c r="H1536" i="6"/>
  <c r="H1535" i="6"/>
  <c r="H1534" i="6"/>
  <c r="H1533" i="6"/>
  <c r="H1532" i="6"/>
  <c r="H1531" i="6"/>
  <c r="I1531" i="6" s="1"/>
  <c r="R175" i="15" s="1"/>
  <c r="H1530" i="6"/>
  <c r="H1529" i="6"/>
  <c r="H1528" i="6"/>
  <c r="H1527" i="6"/>
  <c r="H1526" i="6"/>
  <c r="H1525" i="6"/>
  <c r="H1524" i="6"/>
  <c r="H1523" i="6"/>
  <c r="H1522" i="6"/>
  <c r="H1521" i="6"/>
  <c r="H1520" i="6"/>
  <c r="H1519" i="6"/>
  <c r="H1518" i="6"/>
  <c r="H1517" i="6"/>
  <c r="H1516" i="6"/>
  <c r="H1515" i="6"/>
  <c r="H1514" i="6"/>
  <c r="H1513" i="6"/>
  <c r="H1512" i="6"/>
  <c r="H1511" i="6"/>
  <c r="H1510" i="6"/>
  <c r="H1509" i="6"/>
  <c r="H1508" i="6"/>
  <c r="J1893" i="6"/>
  <c r="G1893" i="6"/>
  <c r="J1892" i="6"/>
  <c r="X297" i="15" s="1"/>
  <c r="Z297" i="15" s="1"/>
  <c r="G1892" i="6"/>
  <c r="J1891" i="6"/>
  <c r="F1891" i="6"/>
  <c r="J1890" i="6"/>
  <c r="X296" i="15" s="1"/>
  <c r="Z296" i="15" s="1"/>
  <c r="F1890" i="6"/>
  <c r="J1889" i="6"/>
  <c r="G1889" i="6"/>
  <c r="F1889" i="6"/>
  <c r="J1888" i="6"/>
  <c r="X295" i="15" s="1"/>
  <c r="Z295" i="15" s="1"/>
  <c r="G1888" i="6"/>
  <c r="F1888" i="6"/>
  <c r="J1887" i="6"/>
  <c r="F1887" i="6"/>
  <c r="J1886" i="6"/>
  <c r="X294" i="15" s="1"/>
  <c r="Z294" i="15" s="1"/>
  <c r="F1886" i="6"/>
  <c r="J1885" i="6"/>
  <c r="G1885" i="6"/>
  <c r="F1885" i="6"/>
  <c r="J1884" i="6"/>
  <c r="X293" i="15" s="1"/>
  <c r="Z293" i="15" s="1"/>
  <c r="G1884" i="6"/>
  <c r="F1884" i="6"/>
  <c r="J1883" i="6"/>
  <c r="F1883" i="6"/>
  <c r="J1882" i="6"/>
  <c r="X292" i="15" s="1"/>
  <c r="Z292" i="15" s="1"/>
  <c r="F1882" i="6"/>
  <c r="J1881" i="6"/>
  <c r="G1881" i="6"/>
  <c r="F1881" i="6"/>
  <c r="J1880" i="6"/>
  <c r="X291" i="15" s="1"/>
  <c r="Z291" i="15" s="1"/>
  <c r="G1880" i="6"/>
  <c r="F1880" i="6"/>
  <c r="J1879" i="6"/>
  <c r="F1879" i="6"/>
  <c r="J1878" i="6"/>
  <c r="X290" i="15" s="1"/>
  <c r="Z290" i="15" s="1"/>
  <c r="F1878" i="6"/>
  <c r="J1877" i="6"/>
  <c r="G1877" i="6"/>
  <c r="F1877" i="6"/>
  <c r="J1876" i="6"/>
  <c r="X289" i="15" s="1"/>
  <c r="Z289" i="15" s="1"/>
  <c r="G1876" i="6"/>
  <c r="F1876" i="6"/>
  <c r="J1875" i="6"/>
  <c r="F1875" i="6"/>
  <c r="J1874" i="6"/>
  <c r="X288" i="15" s="1"/>
  <c r="Z288" i="15" s="1"/>
  <c r="F1874" i="6"/>
  <c r="J1873" i="6"/>
  <c r="G1873" i="6"/>
  <c r="F1873" i="6"/>
  <c r="J1872" i="6"/>
  <c r="Y287" i="15" s="1"/>
  <c r="G1872" i="6"/>
  <c r="F1872" i="6"/>
  <c r="J1871" i="6"/>
  <c r="G1871" i="6"/>
  <c r="F1871" i="6"/>
  <c r="J1870" i="6"/>
  <c r="X287" i="15" s="1"/>
  <c r="G1870" i="6"/>
  <c r="J1869" i="6"/>
  <c r="F1869" i="6"/>
  <c r="J1868" i="6"/>
  <c r="Y286" i="15" s="1"/>
  <c r="J1867" i="6"/>
  <c r="F1867" i="6"/>
  <c r="J1866" i="6"/>
  <c r="X286" i="15" s="1"/>
  <c r="J1865" i="6"/>
  <c r="F1865" i="6"/>
  <c r="J1864" i="6"/>
  <c r="X285" i="15" s="1"/>
  <c r="Z285" i="15" s="1"/>
  <c r="F1864" i="6"/>
  <c r="J1863" i="6"/>
  <c r="J1862" i="6"/>
  <c r="X284" i="15" s="1"/>
  <c r="Z284" i="15" s="1"/>
  <c r="F1862" i="6"/>
  <c r="J1861" i="6"/>
  <c r="G1861" i="6"/>
  <c r="F1861" i="6"/>
  <c r="J1860" i="6"/>
  <c r="X283" i="15" s="1"/>
  <c r="Z283" i="15" s="1"/>
  <c r="G1860" i="6"/>
  <c r="F1860" i="6"/>
  <c r="J1859" i="6"/>
  <c r="F1859" i="6"/>
  <c r="J1858" i="6"/>
  <c r="X282" i="15" s="1"/>
  <c r="Z282" i="15" s="1"/>
  <c r="F1858" i="6"/>
  <c r="J1857" i="6"/>
  <c r="F1857" i="6"/>
  <c r="J1856" i="6"/>
  <c r="X281" i="15" s="1"/>
  <c r="Z281" i="15" s="1"/>
  <c r="F1856" i="6"/>
  <c r="J1855" i="6"/>
  <c r="F1855" i="6"/>
  <c r="J1854" i="6"/>
  <c r="Y280" i="15" s="1"/>
  <c r="F1854" i="6"/>
  <c r="J1853" i="6"/>
  <c r="F1853" i="6"/>
  <c r="J1852" i="6"/>
  <c r="X280" i="15" s="1"/>
  <c r="F1852" i="6"/>
  <c r="J1851" i="6"/>
  <c r="G1851" i="6"/>
  <c r="F1851" i="6"/>
  <c r="J1850" i="6"/>
  <c r="Y279" i="15" s="1"/>
  <c r="G1850" i="6"/>
  <c r="F1850" i="6"/>
  <c r="J1849" i="6"/>
  <c r="G1849" i="6"/>
  <c r="F1849" i="6"/>
  <c r="J1848" i="6"/>
  <c r="X279" i="15" s="1"/>
  <c r="G1848" i="6"/>
  <c r="F1848" i="6"/>
  <c r="J1847" i="6"/>
  <c r="F1847" i="6"/>
  <c r="J1846" i="6"/>
  <c r="Y278" i="15" s="1"/>
  <c r="F1846" i="6"/>
  <c r="J1845" i="6"/>
  <c r="F1845" i="6"/>
  <c r="J1844" i="6"/>
  <c r="X278" i="15" s="1"/>
  <c r="F1844" i="6"/>
  <c r="J1843" i="6"/>
  <c r="F1843" i="6"/>
  <c r="J1842" i="6"/>
  <c r="Y277" i="15" s="1"/>
  <c r="F1842" i="6"/>
  <c r="J1841" i="6"/>
  <c r="J1840" i="6"/>
  <c r="X277" i="15" s="1"/>
  <c r="F1840" i="6"/>
  <c r="J1839" i="6"/>
  <c r="J1838" i="6"/>
  <c r="Y276" i="15" s="1"/>
  <c r="F1838" i="6"/>
  <c r="J1837" i="6"/>
  <c r="J1836" i="6"/>
  <c r="X276" i="15" s="1"/>
  <c r="F1836" i="6"/>
  <c r="J1835" i="6"/>
  <c r="G1835" i="6"/>
  <c r="F1835" i="6"/>
  <c r="J1834" i="6"/>
  <c r="Y275" i="15" s="1"/>
  <c r="G1834" i="6"/>
  <c r="F1834" i="6"/>
  <c r="J1833" i="6"/>
  <c r="G1833" i="6"/>
  <c r="F1833" i="6"/>
  <c r="J1832" i="6"/>
  <c r="X275" i="15" s="1"/>
  <c r="G1832" i="6"/>
  <c r="F1832" i="6"/>
  <c r="J1831" i="6"/>
  <c r="F1831" i="6"/>
  <c r="J1830" i="6"/>
  <c r="Y274" i="15" s="1"/>
  <c r="F1830" i="6"/>
  <c r="J1829" i="6"/>
  <c r="F1829" i="6"/>
  <c r="J1828" i="6"/>
  <c r="X274" i="15" s="1"/>
  <c r="F1828" i="6"/>
  <c r="J1827" i="6"/>
  <c r="F1827" i="6"/>
  <c r="J1826" i="6"/>
  <c r="X273" i="15" s="1"/>
  <c r="Z273" i="15" s="1"/>
  <c r="F1826" i="6"/>
  <c r="J1825" i="6"/>
  <c r="F1825" i="6"/>
  <c r="J1824" i="6"/>
  <c r="Y272" i="15" s="1"/>
  <c r="F1824" i="6"/>
  <c r="J1823" i="6"/>
  <c r="F1823" i="6"/>
  <c r="J1822" i="6"/>
  <c r="X272" i="15" s="1"/>
  <c r="F1822" i="6"/>
  <c r="J1821" i="6"/>
  <c r="G1821" i="6"/>
  <c r="F1821" i="6"/>
  <c r="J1820" i="6"/>
  <c r="Y271" i="15" s="1"/>
  <c r="G1820" i="6"/>
  <c r="F1820" i="6"/>
  <c r="J1819" i="6"/>
  <c r="G1819" i="6"/>
  <c r="F1819" i="6"/>
  <c r="J1818" i="6"/>
  <c r="X271" i="15" s="1"/>
  <c r="G1818" i="6"/>
  <c r="F1818" i="6"/>
  <c r="J1817" i="6"/>
  <c r="F1817" i="6"/>
  <c r="J1816" i="6"/>
  <c r="Y270" i="15" s="1"/>
  <c r="F1816" i="6"/>
  <c r="J1815" i="6"/>
  <c r="F1815" i="6"/>
  <c r="J1814" i="6"/>
  <c r="X270" i="15" s="1"/>
  <c r="F1814" i="6"/>
  <c r="J1813" i="6"/>
  <c r="F1813" i="6"/>
  <c r="J1812" i="6"/>
  <c r="Y269" i="15" s="1"/>
  <c r="F1812" i="6"/>
  <c r="J1811" i="6"/>
  <c r="J1810" i="6"/>
  <c r="X269" i="15" s="1"/>
  <c r="F1810" i="6"/>
  <c r="J1809" i="6"/>
  <c r="J1808" i="6"/>
  <c r="Y268" i="15" s="1"/>
  <c r="F1808" i="6"/>
  <c r="J1807" i="6"/>
  <c r="J1806" i="6"/>
  <c r="X268" i="15" s="1"/>
  <c r="F1806" i="6"/>
  <c r="J1805" i="6"/>
  <c r="G1805" i="6"/>
  <c r="F1805" i="6"/>
  <c r="J1804" i="6"/>
  <c r="Y267" i="15" s="1"/>
  <c r="G1804" i="6"/>
  <c r="F1804" i="6"/>
  <c r="J1803" i="6"/>
  <c r="G1803" i="6"/>
  <c r="F1803" i="6"/>
  <c r="J1802" i="6"/>
  <c r="X267" i="15" s="1"/>
  <c r="G1802" i="6"/>
  <c r="F1802" i="6"/>
  <c r="J1801" i="6"/>
  <c r="F1801" i="6"/>
  <c r="J1800" i="6"/>
  <c r="Y266" i="15" s="1"/>
  <c r="F1800" i="6"/>
  <c r="J1799" i="6"/>
  <c r="F1799" i="6"/>
  <c r="J1798" i="6"/>
  <c r="X266" i="15" s="1"/>
  <c r="F1798" i="6"/>
  <c r="J1797" i="6"/>
  <c r="F1797" i="6"/>
  <c r="J1796" i="6"/>
  <c r="Y265" i="15" s="1"/>
  <c r="J1795" i="6"/>
  <c r="J1794" i="6"/>
  <c r="X265" i="15" s="1"/>
  <c r="J1793" i="6"/>
  <c r="F1793" i="6"/>
  <c r="J1792" i="6"/>
  <c r="Y264" i="15" s="1"/>
  <c r="J1791" i="6"/>
  <c r="F1791" i="6"/>
  <c r="J1790" i="6"/>
  <c r="X264" i="15" s="1"/>
  <c r="F1790" i="6"/>
  <c r="J1789" i="6"/>
  <c r="G1789" i="6"/>
  <c r="F1789" i="6"/>
  <c r="J1788" i="6"/>
  <c r="Y263" i="15" s="1"/>
  <c r="G1788" i="6"/>
  <c r="F1788" i="6"/>
  <c r="J1787" i="6"/>
  <c r="G1787" i="6"/>
  <c r="F1787" i="6"/>
  <c r="J1786" i="6"/>
  <c r="X263" i="15" s="1"/>
  <c r="G1786" i="6"/>
  <c r="F1786" i="6"/>
  <c r="J1785" i="6"/>
  <c r="F1785" i="6"/>
  <c r="J1784" i="6"/>
  <c r="Y262" i="15" s="1"/>
  <c r="F1784" i="6"/>
  <c r="J1783" i="6"/>
  <c r="F1783" i="6"/>
  <c r="J1782" i="6"/>
  <c r="X262" i="15" s="1"/>
  <c r="F1782" i="6"/>
  <c r="J1781" i="6"/>
  <c r="F1781" i="6"/>
  <c r="J1780" i="6"/>
  <c r="Y261" i="15" s="1"/>
  <c r="F1780" i="6"/>
  <c r="J1779" i="6"/>
  <c r="J1778" i="6"/>
  <c r="X261" i="15" s="1"/>
  <c r="F1778" i="6"/>
  <c r="J1777" i="6"/>
  <c r="J1776" i="6"/>
  <c r="Y260" i="15" s="1"/>
  <c r="F1776" i="6"/>
  <c r="J1775" i="6"/>
  <c r="J1774" i="6"/>
  <c r="X260" i="15" s="1"/>
  <c r="F1774" i="6"/>
  <c r="J1773" i="6"/>
  <c r="G1773" i="6"/>
  <c r="F1773" i="6"/>
  <c r="J1772" i="6"/>
  <c r="Y259" i="15" s="1"/>
  <c r="G1772" i="6"/>
  <c r="F1772" i="6"/>
  <c r="J1771" i="6"/>
  <c r="G1771" i="6"/>
  <c r="F1771" i="6"/>
  <c r="J1770" i="6"/>
  <c r="X259" i="15" s="1"/>
  <c r="G1770" i="6"/>
  <c r="F1770" i="6"/>
  <c r="J1769" i="6"/>
  <c r="F1769" i="6"/>
  <c r="J1768" i="6"/>
  <c r="Y258" i="15" s="1"/>
  <c r="F1768" i="6"/>
  <c r="J1767" i="6"/>
  <c r="F1767" i="6"/>
  <c r="J1766" i="6"/>
  <c r="X258" i="15" s="1"/>
  <c r="F1766" i="6"/>
  <c r="J1765" i="6"/>
  <c r="F1765" i="6"/>
  <c r="J1764" i="6"/>
  <c r="Y257" i="15" s="1"/>
  <c r="J1763" i="6"/>
  <c r="J1762" i="6"/>
  <c r="X257" i="15" s="1"/>
  <c r="J1761" i="6"/>
  <c r="F1761" i="6"/>
  <c r="J1760" i="6"/>
  <c r="Y256" i="15" s="1"/>
  <c r="J1759" i="6"/>
  <c r="F1759" i="6"/>
  <c r="J1758" i="6"/>
  <c r="X256" i="15" s="1"/>
  <c r="F1758" i="6"/>
  <c r="J1757" i="6"/>
  <c r="G1757" i="6"/>
  <c r="F1757" i="6"/>
  <c r="J1756" i="6"/>
  <c r="Y255" i="15" s="1"/>
  <c r="G1756" i="6"/>
  <c r="F1756" i="6"/>
  <c r="J1755" i="6"/>
  <c r="G1755" i="6"/>
  <c r="F1755" i="6"/>
  <c r="J1754" i="6"/>
  <c r="X255" i="15" s="1"/>
  <c r="G1754" i="6"/>
  <c r="F1754" i="6"/>
  <c r="J1753" i="6"/>
  <c r="F1753" i="6"/>
  <c r="J1752" i="6"/>
  <c r="Y254" i="15" s="1"/>
  <c r="F1752" i="6"/>
  <c r="J1751" i="6"/>
  <c r="F1751" i="6"/>
  <c r="J1750" i="6"/>
  <c r="X254" i="15" s="1"/>
  <c r="F1750" i="6"/>
  <c r="J1749" i="6"/>
  <c r="F1749" i="6"/>
  <c r="J1748" i="6"/>
  <c r="Y253" i="15" s="1"/>
  <c r="F1748" i="6"/>
  <c r="J1747" i="6"/>
  <c r="J1746" i="6"/>
  <c r="X253" i="15" s="1"/>
  <c r="F1746" i="6"/>
  <c r="J1745" i="6"/>
  <c r="J1744" i="6"/>
  <c r="Y252" i="15" s="1"/>
  <c r="F1744" i="6"/>
  <c r="J1743" i="6"/>
  <c r="J1742" i="6"/>
  <c r="X252" i="15" s="1"/>
  <c r="F1742" i="6"/>
  <c r="J1741" i="6"/>
  <c r="G1741" i="6"/>
  <c r="F1741" i="6"/>
  <c r="J1740" i="6"/>
  <c r="Y251" i="15" s="1"/>
  <c r="G1740" i="6"/>
  <c r="F1740" i="6"/>
  <c r="J1739" i="6"/>
  <c r="G1739" i="6"/>
  <c r="F1739" i="6"/>
  <c r="J1738" i="6"/>
  <c r="X251" i="15" s="1"/>
  <c r="G1738" i="6"/>
  <c r="F1738" i="6"/>
  <c r="J1737" i="6"/>
  <c r="F1737" i="6"/>
  <c r="J1736" i="6"/>
  <c r="Y250" i="15" s="1"/>
  <c r="F1736" i="6"/>
  <c r="J1735" i="6"/>
  <c r="F1735" i="6"/>
  <c r="J1734" i="6"/>
  <c r="X250" i="15" s="1"/>
  <c r="F1734" i="6"/>
  <c r="J1733" i="6"/>
  <c r="F1733" i="6"/>
  <c r="J1732" i="6"/>
  <c r="Y249" i="15" s="1"/>
  <c r="J1731" i="6"/>
  <c r="J1730" i="6"/>
  <c r="X249" i="15" s="1"/>
  <c r="J1729" i="6"/>
  <c r="F1729" i="6"/>
  <c r="J1728" i="6"/>
  <c r="Y248" i="15" s="1"/>
  <c r="J1727" i="6"/>
  <c r="F1727" i="6"/>
  <c r="J1726" i="6"/>
  <c r="X248" i="15" s="1"/>
  <c r="F1726" i="6"/>
  <c r="J1725" i="6"/>
  <c r="F1725" i="6"/>
  <c r="J1724" i="6"/>
  <c r="X247" i="15" s="1"/>
  <c r="Z247" i="15" s="1"/>
  <c r="F1724" i="6"/>
  <c r="J1723" i="6"/>
  <c r="F1723" i="6"/>
  <c r="J1722" i="6"/>
  <c r="Y246" i="15" s="1"/>
  <c r="F1722" i="6"/>
  <c r="J1721" i="6"/>
  <c r="F1721" i="6"/>
  <c r="J1720" i="6"/>
  <c r="X246" i="15" s="1"/>
  <c r="F1720" i="6"/>
  <c r="J1719" i="6"/>
  <c r="F1719" i="6"/>
  <c r="J1718" i="6"/>
  <c r="X245" i="15" s="1"/>
  <c r="Z245" i="15" s="1"/>
  <c r="F1718" i="6"/>
  <c r="J1717" i="6"/>
  <c r="F1717" i="6"/>
  <c r="J1716" i="6"/>
  <c r="Y244" i="15" s="1"/>
  <c r="F1716" i="6"/>
  <c r="J1715" i="6"/>
  <c r="F1715" i="6"/>
  <c r="J1714" i="6"/>
  <c r="X244" i="15" s="1"/>
  <c r="F1714" i="6"/>
  <c r="J1713" i="6"/>
  <c r="F1713" i="6"/>
  <c r="J1712" i="6"/>
  <c r="X243" i="15" s="1"/>
  <c r="Z243" i="15" s="1"/>
  <c r="F1712" i="6"/>
  <c r="J1711" i="6"/>
  <c r="F1711" i="6"/>
  <c r="J1710" i="6"/>
  <c r="Y242" i="15" s="1"/>
  <c r="F1710" i="6"/>
  <c r="J1709" i="6"/>
  <c r="F1709" i="6"/>
  <c r="J1708" i="6"/>
  <c r="X242" i="15" s="1"/>
  <c r="F1708" i="6"/>
  <c r="J1707" i="6"/>
  <c r="F1707" i="6"/>
  <c r="J1706" i="6"/>
  <c r="X241" i="15" s="1"/>
  <c r="Z241" i="15" s="1"/>
  <c r="F1706" i="6"/>
  <c r="J1705" i="6"/>
  <c r="J1704" i="6"/>
  <c r="X240" i="15" s="1"/>
  <c r="Z240" i="15" s="1"/>
  <c r="F1704" i="6"/>
  <c r="J1703" i="6"/>
  <c r="F1703" i="6"/>
  <c r="J1702" i="6"/>
  <c r="X239" i="15" s="1"/>
  <c r="Z239" i="15" s="1"/>
  <c r="F1702" i="6"/>
  <c r="J1701" i="6"/>
  <c r="F1701" i="6"/>
  <c r="J1700" i="6"/>
  <c r="X238" i="15" s="1"/>
  <c r="Z238" i="15" s="1"/>
  <c r="F1700" i="6"/>
  <c r="J1699" i="6"/>
  <c r="F1699" i="6"/>
  <c r="J1698" i="6"/>
  <c r="X237" i="15" s="1"/>
  <c r="Z237" i="15" s="1"/>
  <c r="F1698" i="6"/>
  <c r="J1697" i="6"/>
  <c r="F1697" i="6"/>
  <c r="J1696" i="6"/>
  <c r="X236" i="15" s="1"/>
  <c r="Z236" i="15" s="1"/>
  <c r="F1696" i="6"/>
  <c r="J1695" i="6"/>
  <c r="F1695" i="6"/>
  <c r="J1694" i="6"/>
  <c r="Y235" i="15" s="1"/>
  <c r="F1694" i="6"/>
  <c r="J1693" i="6"/>
  <c r="J1692" i="6"/>
  <c r="X235" i="15" s="1"/>
  <c r="F1692" i="6"/>
  <c r="J1691" i="6"/>
  <c r="J1690" i="6"/>
  <c r="Y234" i="15" s="1"/>
  <c r="F1690" i="6"/>
  <c r="J1689" i="6"/>
  <c r="J1688" i="6"/>
  <c r="X234" i="15" s="1"/>
  <c r="F1688" i="6"/>
  <c r="J1687" i="6"/>
  <c r="G1687" i="6"/>
  <c r="F1687" i="6"/>
  <c r="J1686" i="6"/>
  <c r="Y233" i="15" s="1"/>
  <c r="G1686" i="6"/>
  <c r="F1686" i="6"/>
  <c r="J1685" i="6"/>
  <c r="G1685" i="6"/>
  <c r="F1685" i="6"/>
  <c r="J1684" i="6"/>
  <c r="X233" i="15" s="1"/>
  <c r="G1684" i="6"/>
  <c r="F1684" i="6"/>
  <c r="J1683" i="6"/>
  <c r="F1683" i="6"/>
  <c r="J1682" i="6"/>
  <c r="Y232" i="15" s="1"/>
  <c r="F1682" i="6"/>
  <c r="J1681" i="6"/>
  <c r="F1681" i="6"/>
  <c r="J1680" i="6"/>
  <c r="X232" i="15" s="1"/>
  <c r="F1680" i="6"/>
  <c r="J1679" i="6"/>
  <c r="F1679" i="6"/>
  <c r="J1678" i="6"/>
  <c r="Y231" i="15" s="1"/>
  <c r="J1677" i="6"/>
  <c r="J1676" i="6"/>
  <c r="X231" i="15" s="1"/>
  <c r="J1675" i="6"/>
  <c r="F1675" i="6"/>
  <c r="J1674" i="6"/>
  <c r="Y230" i="15" s="1"/>
  <c r="J1673" i="6"/>
  <c r="F1673" i="6"/>
  <c r="J1672" i="6"/>
  <c r="X230" i="15" s="1"/>
  <c r="F1672" i="6"/>
  <c r="J1671" i="6"/>
  <c r="F1671" i="6"/>
  <c r="J1670" i="6"/>
  <c r="X229" i="15" s="1"/>
  <c r="Z229" i="15" s="1"/>
  <c r="F1670" i="6"/>
  <c r="J1669" i="6"/>
  <c r="J1668" i="6"/>
  <c r="X228" i="15" s="1"/>
  <c r="Z228" i="15" s="1"/>
  <c r="F1668" i="6"/>
  <c r="J1667" i="6"/>
  <c r="G1667" i="6"/>
  <c r="F1667" i="6"/>
  <c r="J1666" i="6"/>
  <c r="X227" i="15" s="1"/>
  <c r="Z227" i="15" s="1"/>
  <c r="G1666" i="6"/>
  <c r="F1666" i="6"/>
  <c r="J1665" i="6"/>
  <c r="F1665" i="6"/>
  <c r="J1664" i="6"/>
  <c r="X226" i="15" s="1"/>
  <c r="Z226" i="15" s="1"/>
  <c r="F1664" i="6"/>
  <c r="J1663" i="6"/>
  <c r="F1663" i="6"/>
  <c r="J1662" i="6"/>
  <c r="X225" i="15" s="1"/>
  <c r="Z225" i="15" s="1"/>
  <c r="F1662" i="6"/>
  <c r="J1661" i="6"/>
  <c r="F1661" i="6"/>
  <c r="J1660" i="6"/>
  <c r="X224" i="15" s="1"/>
  <c r="Z224" i="15" s="1"/>
  <c r="F1660" i="6"/>
  <c r="J1659" i="6"/>
  <c r="F1659" i="6"/>
  <c r="J1658" i="6"/>
  <c r="Y223" i="15" s="1"/>
  <c r="J1657" i="6"/>
  <c r="J1656" i="6"/>
  <c r="X223" i="15" s="1"/>
  <c r="J1655" i="6"/>
  <c r="F1655" i="6"/>
  <c r="J1654" i="6"/>
  <c r="Y222" i="15" s="1"/>
  <c r="J1653" i="6"/>
  <c r="F1653" i="6"/>
  <c r="J1652" i="6"/>
  <c r="X222" i="15" s="1"/>
  <c r="F1652" i="6"/>
  <c r="J1651" i="6"/>
  <c r="J1650" i="6"/>
  <c r="X221" i="15" s="1"/>
  <c r="Z221" i="15" s="1"/>
  <c r="F1650" i="6"/>
  <c r="J1649" i="6"/>
  <c r="J1648" i="6"/>
  <c r="X220" i="15" s="1"/>
  <c r="Z220" i="15" s="1"/>
  <c r="F1648" i="6"/>
  <c r="J1647" i="6"/>
  <c r="G1647" i="6"/>
  <c r="F1647" i="6"/>
  <c r="J1646" i="6"/>
  <c r="X219" i="15" s="1"/>
  <c r="Z219" i="15" s="1"/>
  <c r="G1646" i="6"/>
  <c r="F1646" i="6"/>
  <c r="J1645" i="6"/>
  <c r="F1645" i="6"/>
  <c r="J1644" i="6"/>
  <c r="X218" i="15" s="1"/>
  <c r="Z218" i="15" s="1"/>
  <c r="F1644" i="6"/>
  <c r="J1643" i="6"/>
  <c r="F1643" i="6"/>
  <c r="J1642" i="6"/>
  <c r="X217" i="15" s="1"/>
  <c r="Z217" i="15" s="1"/>
  <c r="F1642" i="6"/>
  <c r="J1641" i="6"/>
  <c r="F1641" i="6"/>
  <c r="J1640" i="6"/>
  <c r="X216" i="15" s="1"/>
  <c r="Z216" i="15" s="1"/>
  <c r="F1640" i="6"/>
  <c r="J1639" i="6"/>
  <c r="F1639" i="6"/>
  <c r="J1638" i="6"/>
  <c r="X215" i="15" s="1"/>
  <c r="Z215" i="15" s="1"/>
  <c r="F1638" i="6"/>
  <c r="J1637" i="6"/>
  <c r="J1636" i="6"/>
  <c r="X214" i="15" s="1"/>
  <c r="Z214" i="15" s="1"/>
  <c r="F1636" i="6"/>
  <c r="J1635" i="6"/>
  <c r="G1635" i="6"/>
  <c r="F1635" i="6"/>
  <c r="J1634" i="6"/>
  <c r="X213" i="15" s="1"/>
  <c r="Z213" i="15" s="1"/>
  <c r="G1634" i="6"/>
  <c r="F1634" i="6"/>
  <c r="J1633" i="6"/>
  <c r="F1633" i="6"/>
  <c r="J1632" i="6"/>
  <c r="X212" i="15" s="1"/>
  <c r="Z212" i="15" s="1"/>
  <c r="F1632" i="6"/>
  <c r="J1631" i="6"/>
  <c r="F1631" i="6"/>
  <c r="J1630" i="6"/>
  <c r="X211" i="15" s="1"/>
  <c r="Z211" i="15" s="1"/>
  <c r="F1630" i="6"/>
  <c r="J1629" i="6"/>
  <c r="F1629" i="6"/>
  <c r="J1628" i="6"/>
  <c r="X210" i="15" s="1"/>
  <c r="Z210" i="15" s="1"/>
  <c r="F1628" i="6"/>
  <c r="J1627" i="6"/>
  <c r="F1627" i="6"/>
  <c r="J1626" i="6"/>
  <c r="X209" i="15" s="1"/>
  <c r="Z209" i="15" s="1"/>
  <c r="F1626" i="6"/>
  <c r="J1625" i="6"/>
  <c r="J1624" i="6"/>
  <c r="X208" i="15" s="1"/>
  <c r="Z208" i="15" s="1"/>
  <c r="F1624" i="6"/>
  <c r="J1623" i="6"/>
  <c r="G1623" i="6"/>
  <c r="F1623" i="6"/>
  <c r="J1622" i="6"/>
  <c r="X207" i="15" s="1"/>
  <c r="Z207" i="15" s="1"/>
  <c r="G1622" i="6"/>
  <c r="F1622" i="6"/>
  <c r="J1621" i="6"/>
  <c r="F1621" i="6"/>
  <c r="J1620" i="6"/>
  <c r="X206" i="15" s="1"/>
  <c r="Z206" i="15" s="1"/>
  <c r="F1620" i="6"/>
  <c r="J1619" i="6"/>
  <c r="F1619" i="6"/>
  <c r="J1618" i="6"/>
  <c r="X205" i="15" s="1"/>
  <c r="Z205" i="15" s="1"/>
  <c r="J1617" i="6"/>
  <c r="F1617" i="6"/>
  <c r="J1616" i="6"/>
  <c r="X204" i="15" s="1"/>
  <c r="Z204" i="15" s="1"/>
  <c r="F1616" i="6"/>
  <c r="J1615" i="6"/>
  <c r="G1615" i="6"/>
  <c r="J1614" i="6"/>
  <c r="X203" i="15" s="1"/>
  <c r="Z203" i="15" s="1"/>
  <c r="G1614" i="6"/>
  <c r="F1614" i="6"/>
  <c r="J1613" i="6"/>
  <c r="J1612" i="6"/>
  <c r="X202" i="15" s="1"/>
  <c r="Z202" i="15" s="1"/>
  <c r="F1612" i="6"/>
  <c r="J1611" i="6"/>
  <c r="F1611" i="6"/>
  <c r="J1610" i="6"/>
  <c r="Y201" i="15" s="1"/>
  <c r="F1610" i="6"/>
  <c r="J1609" i="6"/>
  <c r="J1608" i="6"/>
  <c r="X201" i="15" s="1"/>
  <c r="F1608" i="6"/>
  <c r="J1607" i="6"/>
  <c r="J1606" i="6"/>
  <c r="Y200" i="15" s="1"/>
  <c r="F1606" i="6"/>
  <c r="J1605" i="6"/>
  <c r="J1604" i="6"/>
  <c r="X200" i="15" s="1"/>
  <c r="F1604" i="6"/>
  <c r="J1603" i="6"/>
  <c r="G1603" i="6"/>
  <c r="F1603" i="6"/>
  <c r="J1602" i="6"/>
  <c r="Y199" i="15" s="1"/>
  <c r="G1602" i="6"/>
  <c r="F1602" i="6"/>
  <c r="J1601" i="6"/>
  <c r="G1601" i="6"/>
  <c r="F1601" i="6"/>
  <c r="J1600" i="6"/>
  <c r="X199" i="15" s="1"/>
  <c r="G1600" i="6"/>
  <c r="F1600" i="6"/>
  <c r="J1599" i="6"/>
  <c r="F1599" i="6"/>
  <c r="J1598" i="6"/>
  <c r="Y198" i="15" s="1"/>
  <c r="F1598" i="6"/>
  <c r="J1597" i="6"/>
  <c r="F1597" i="6"/>
  <c r="J1596" i="6"/>
  <c r="X198" i="15" s="1"/>
  <c r="F1596" i="6"/>
  <c r="J1595" i="6"/>
  <c r="F1595" i="6"/>
  <c r="J1594" i="6"/>
  <c r="X197" i="15" s="1"/>
  <c r="Z197" i="15" s="1"/>
  <c r="F1594" i="6"/>
  <c r="J1593" i="6"/>
  <c r="J1592" i="6"/>
  <c r="X196" i="15" s="1"/>
  <c r="Z196" i="15" s="1"/>
  <c r="F1592" i="6"/>
  <c r="J1591" i="6"/>
  <c r="G1591" i="6"/>
  <c r="F1591" i="6"/>
  <c r="J1590" i="6"/>
  <c r="X195" i="15" s="1"/>
  <c r="Z195" i="15" s="1"/>
  <c r="G1590" i="6"/>
  <c r="F1590" i="6"/>
  <c r="J1589" i="6"/>
  <c r="F1589" i="6"/>
  <c r="J1588" i="6"/>
  <c r="X194" i="15" s="1"/>
  <c r="Z194" i="15" s="1"/>
  <c r="F1588" i="6"/>
  <c r="J1587" i="6"/>
  <c r="G1587" i="6"/>
  <c r="F1587" i="6"/>
  <c r="J1586" i="6"/>
  <c r="X193" i="15" s="1"/>
  <c r="Z193" i="15" s="1"/>
  <c r="G1586" i="6"/>
  <c r="F1586" i="6"/>
  <c r="J1585" i="6"/>
  <c r="F1585" i="6"/>
  <c r="J1584" i="6"/>
  <c r="X192" i="15" s="1"/>
  <c r="Z192" i="15" s="1"/>
  <c r="F1584" i="6"/>
  <c r="J1583" i="6"/>
  <c r="G1583" i="6"/>
  <c r="F1583" i="6"/>
  <c r="J1582" i="6"/>
  <c r="Y191" i="15" s="1"/>
  <c r="G1582" i="6"/>
  <c r="F1582" i="6"/>
  <c r="J1581" i="6"/>
  <c r="G1581" i="6"/>
  <c r="F1581" i="6"/>
  <c r="J1580" i="6"/>
  <c r="X191" i="15" s="1"/>
  <c r="G1580" i="6"/>
  <c r="F1580" i="6"/>
  <c r="J1579" i="6"/>
  <c r="F1579" i="6"/>
  <c r="J1578" i="6"/>
  <c r="Y190" i="15" s="1"/>
  <c r="F1578" i="6"/>
  <c r="J1577" i="6"/>
  <c r="F1577" i="6"/>
  <c r="J1576" i="6"/>
  <c r="X190" i="15" s="1"/>
  <c r="F1576" i="6"/>
  <c r="J1575" i="6"/>
  <c r="F1575" i="6"/>
  <c r="J1574" i="6"/>
  <c r="X189" i="15" s="1"/>
  <c r="Z189" i="15" s="1"/>
  <c r="F1574" i="6"/>
  <c r="J1573" i="6"/>
  <c r="J1572" i="6"/>
  <c r="X188" i="15" s="1"/>
  <c r="Z188" i="15" s="1"/>
  <c r="F1572" i="6"/>
  <c r="J1571" i="6"/>
  <c r="G1571" i="6"/>
  <c r="F1571" i="6"/>
  <c r="J1570" i="6"/>
  <c r="X187" i="15" s="1"/>
  <c r="Z187" i="15" s="1"/>
  <c r="G1570" i="6"/>
  <c r="F1570" i="6"/>
  <c r="J1569" i="6"/>
  <c r="F1569" i="6"/>
  <c r="J1568" i="6"/>
  <c r="X186" i="15" s="1"/>
  <c r="Z186" i="15" s="1"/>
  <c r="F1568" i="6"/>
  <c r="J1567" i="6"/>
  <c r="F1567" i="6"/>
  <c r="J1566" i="6"/>
  <c r="Y185" i="15" s="1"/>
  <c r="F1566" i="6"/>
  <c r="J1565" i="6"/>
  <c r="F1565" i="6"/>
  <c r="J1564" i="6"/>
  <c r="X185" i="15" s="1"/>
  <c r="F1564" i="6"/>
  <c r="J1563" i="6"/>
  <c r="F1563" i="6"/>
  <c r="J1562" i="6"/>
  <c r="Y184" i="15" s="1"/>
  <c r="F1562" i="6"/>
  <c r="J1561" i="6"/>
  <c r="F1561" i="6"/>
  <c r="J1560" i="6"/>
  <c r="X184" i="15" s="1"/>
  <c r="F1560" i="6"/>
  <c r="J1559" i="6"/>
  <c r="G1559" i="6"/>
  <c r="F1559" i="6"/>
  <c r="J1558" i="6"/>
  <c r="Y183" i="15" s="1"/>
  <c r="G1558" i="6"/>
  <c r="F1558" i="6"/>
  <c r="J1557" i="6"/>
  <c r="G1557" i="6"/>
  <c r="F1557" i="6"/>
  <c r="J1556" i="6"/>
  <c r="X183" i="15" s="1"/>
  <c r="G1556" i="6"/>
  <c r="F1556" i="6"/>
  <c r="J1555" i="6"/>
  <c r="F1555" i="6"/>
  <c r="J1554" i="6"/>
  <c r="Y182" i="15" s="1"/>
  <c r="F1554" i="6"/>
  <c r="J1553" i="6"/>
  <c r="F1553" i="6"/>
  <c r="J1552" i="6"/>
  <c r="X182" i="15" s="1"/>
  <c r="F1552" i="6"/>
  <c r="J1551" i="6"/>
  <c r="G1551" i="6"/>
  <c r="F1551" i="6"/>
  <c r="J1550" i="6"/>
  <c r="Y181" i="15" s="1"/>
  <c r="G1550" i="6"/>
  <c r="F1550" i="6"/>
  <c r="J1549" i="6"/>
  <c r="G1549" i="6"/>
  <c r="F1549" i="6"/>
  <c r="J1548" i="6"/>
  <c r="X181" i="15" s="1"/>
  <c r="G1548" i="6"/>
  <c r="F1548" i="6"/>
  <c r="J1547" i="6"/>
  <c r="F1547" i="6"/>
  <c r="J1546" i="6"/>
  <c r="Y180" i="15" s="1"/>
  <c r="F1546" i="6"/>
  <c r="J1545" i="6"/>
  <c r="F1545" i="6"/>
  <c r="J1544" i="6"/>
  <c r="X180" i="15" s="1"/>
  <c r="F1544" i="6"/>
  <c r="J1543" i="6"/>
  <c r="F1543" i="6"/>
  <c r="J1542" i="6"/>
  <c r="X179" i="15" s="1"/>
  <c r="Z179" i="15" s="1"/>
  <c r="F1542" i="6"/>
  <c r="J1541" i="6"/>
  <c r="F1541" i="6"/>
  <c r="J1540" i="6"/>
  <c r="X178" i="15" s="1"/>
  <c r="Z178" i="15" s="1"/>
  <c r="F1540" i="6"/>
  <c r="J1539" i="6"/>
  <c r="F1539" i="6"/>
  <c r="J1538" i="6"/>
  <c r="X177" i="15" s="1"/>
  <c r="Z177" i="15" s="1"/>
  <c r="F1538" i="6"/>
  <c r="J1537" i="6"/>
  <c r="F1537" i="6"/>
  <c r="J1536" i="6"/>
  <c r="Y176" i="15" s="1"/>
  <c r="J1535" i="6"/>
  <c r="F1535" i="6"/>
  <c r="J1534" i="6"/>
  <c r="X176" i="15" s="1"/>
  <c r="J1533" i="6"/>
  <c r="F1533" i="6"/>
  <c r="J1532" i="6"/>
  <c r="Y175" i="15" s="1"/>
  <c r="J1531" i="6"/>
  <c r="J1530" i="6"/>
  <c r="X175" i="15" s="1"/>
  <c r="J1529" i="6"/>
  <c r="F1529" i="6"/>
  <c r="J1528" i="6"/>
  <c r="Y174" i="15" s="1"/>
  <c r="J1527" i="6"/>
  <c r="F1527" i="6"/>
  <c r="J1526" i="6"/>
  <c r="X174" i="15" s="1"/>
  <c r="F1526" i="6"/>
  <c r="J1525" i="6"/>
  <c r="F1525" i="6"/>
  <c r="J1524" i="6"/>
  <c r="X173" i="15" s="1"/>
  <c r="Z173" i="15" s="1"/>
  <c r="F1524" i="6"/>
  <c r="J1523" i="6"/>
  <c r="F1523" i="6"/>
  <c r="J1522" i="6"/>
  <c r="X172" i="15" s="1"/>
  <c r="Z172" i="15" s="1"/>
  <c r="F1522" i="6"/>
  <c r="J1521" i="6"/>
  <c r="F1521" i="6"/>
  <c r="J1520" i="6"/>
  <c r="X171" i="15" s="1"/>
  <c r="Z171" i="15" s="1"/>
  <c r="F1520" i="6"/>
  <c r="J1519" i="6"/>
  <c r="F1519" i="6"/>
  <c r="J1518" i="6"/>
  <c r="Y170" i="15" s="1"/>
  <c r="F1518" i="6"/>
  <c r="J1517" i="6"/>
  <c r="F1517" i="6"/>
  <c r="J1516" i="6"/>
  <c r="X170" i="15" s="1"/>
  <c r="F1516" i="6"/>
  <c r="J1515" i="6"/>
  <c r="F1515" i="6"/>
  <c r="J1514" i="6"/>
  <c r="Y169" i="15" s="1"/>
  <c r="F1514" i="6"/>
  <c r="J1513" i="6"/>
  <c r="F1513" i="6"/>
  <c r="J1512" i="6"/>
  <c r="X169" i="15" s="1"/>
  <c r="F1512" i="6"/>
  <c r="J1511" i="6"/>
  <c r="J1510" i="6"/>
  <c r="Y168" i="15" s="1"/>
  <c r="F1510" i="6"/>
  <c r="J1509" i="6"/>
  <c r="J1508" i="6"/>
  <c r="X168" i="15" s="1"/>
  <c r="F1508" i="6"/>
  <c r="K1446" i="6"/>
  <c r="J1445" i="6"/>
  <c r="AF1445" i="6" s="1"/>
  <c r="J1444" i="6"/>
  <c r="AF1444" i="6" s="1"/>
  <c r="K1443" i="6"/>
  <c r="J1443" i="6"/>
  <c r="AF1443" i="6" s="1"/>
  <c r="K1441" i="6"/>
  <c r="F1373" i="6"/>
  <c r="J1121" i="6"/>
  <c r="J1066" i="6"/>
  <c r="AF1066" i="6" s="1"/>
  <c r="J1065" i="6"/>
  <c r="AF1065" i="6" s="1"/>
  <c r="J1064" i="6"/>
  <c r="AF1064" i="6" s="1"/>
  <c r="J1063" i="6"/>
  <c r="AF1063" i="6" s="1"/>
  <c r="J1062" i="6"/>
  <c r="AF1062" i="6" s="1"/>
  <c r="J1061" i="6"/>
  <c r="AF1061" i="6" s="1"/>
  <c r="J1057" i="6"/>
  <c r="AF1057" i="6" s="1"/>
  <c r="J1056" i="6"/>
  <c r="AF1056" i="6" s="1"/>
  <c r="J1055" i="6"/>
  <c r="AF1055" i="6" s="1"/>
  <c r="J1054" i="6"/>
  <c r="AF1054" i="6" s="1"/>
  <c r="J1053" i="6"/>
  <c r="AF1053" i="6" s="1"/>
  <c r="J1052" i="6"/>
  <c r="J1051" i="6"/>
  <c r="J1050" i="6"/>
  <c r="J1049" i="6"/>
  <c r="J1042" i="6"/>
  <c r="AF1042" i="6" s="1"/>
  <c r="J1039" i="6"/>
  <c r="AF1039" i="6" s="1"/>
  <c r="J1038" i="6"/>
  <c r="AF1038" i="6" s="1"/>
  <c r="J1037" i="6"/>
  <c r="AF1037" i="6" s="1"/>
  <c r="J1036" i="6"/>
  <c r="AF1036" i="6" s="1"/>
  <c r="J1035" i="6"/>
  <c r="AF1035" i="6" s="1"/>
  <c r="J1034" i="6"/>
  <c r="AF1034" i="6" s="1"/>
  <c r="J1033" i="6"/>
  <c r="AF1033" i="6" s="1"/>
  <c r="J1030" i="6"/>
  <c r="AF1030" i="6" s="1"/>
  <c r="J1029" i="6"/>
  <c r="AF1029" i="6" s="1"/>
  <c r="J1028" i="6"/>
  <c r="AF1028" i="6" s="1"/>
  <c r="J1027" i="6"/>
  <c r="AF1027" i="6" s="1"/>
  <c r="J1026" i="6"/>
  <c r="AF1026" i="6" s="1"/>
  <c r="J1025" i="6"/>
  <c r="AF1025" i="6" s="1"/>
  <c r="J961" i="6"/>
  <c r="AF961" i="6" s="1"/>
  <c r="J955" i="6"/>
  <c r="AF955" i="6" s="1"/>
  <c r="J947" i="6"/>
  <c r="J945" i="6"/>
  <c r="AF945" i="6" s="1"/>
  <c r="J944" i="6"/>
  <c r="AF944" i="6" s="1"/>
  <c r="J934" i="6"/>
  <c r="AF934" i="6" s="1"/>
  <c r="J933" i="6"/>
  <c r="AF933" i="6" s="1"/>
  <c r="J932" i="6"/>
  <c r="AF932" i="6" s="1"/>
  <c r="J931" i="6"/>
  <c r="AF931" i="6" s="1"/>
  <c r="J930" i="6"/>
  <c r="AF930" i="6" s="1"/>
  <c r="J929" i="6"/>
  <c r="AF929" i="6" s="1"/>
  <c r="J928" i="6"/>
  <c r="AF928" i="6" s="1"/>
  <c r="J927" i="6"/>
  <c r="AF927" i="6" s="1"/>
  <c r="J926" i="6"/>
  <c r="AF926" i="6" s="1"/>
  <c r="J925" i="6"/>
  <c r="AF925" i="6" s="1"/>
  <c r="J924" i="6"/>
  <c r="AF924" i="6" s="1"/>
  <c r="J923" i="6"/>
  <c r="AF923" i="6" s="1"/>
  <c r="J922" i="6"/>
  <c r="AF922" i="6" s="1"/>
  <c r="J921" i="6"/>
  <c r="AF921" i="6" s="1"/>
  <c r="J920" i="6"/>
  <c r="AF920" i="6" s="1"/>
  <c r="J919" i="6"/>
  <c r="AF919" i="6" s="1"/>
  <c r="J918" i="6"/>
  <c r="AF918" i="6" s="1"/>
  <c r="J917" i="6"/>
  <c r="AF917" i="6" s="1"/>
  <c r="J907" i="6"/>
  <c r="AF907" i="6" s="1"/>
  <c r="J906" i="6"/>
  <c r="AF906" i="6" s="1"/>
  <c r="J905" i="6"/>
  <c r="AF905" i="6" s="1"/>
  <c r="J904" i="6"/>
  <c r="AF904" i="6" s="1"/>
  <c r="J903" i="6"/>
  <c r="AF903" i="6" s="1"/>
  <c r="J902" i="6"/>
  <c r="AF902" i="6" s="1"/>
  <c r="J901" i="6"/>
  <c r="AF901" i="6" s="1"/>
  <c r="J900" i="6"/>
  <c r="AF900" i="6" s="1"/>
  <c r="J899" i="6"/>
  <c r="AF899" i="6" s="1"/>
  <c r="J898" i="6"/>
  <c r="AF898" i="6" s="1"/>
  <c r="J897" i="6"/>
  <c r="AF897" i="6" s="1"/>
  <c r="J896" i="6"/>
  <c r="AF896" i="6" s="1"/>
  <c r="J895" i="6"/>
  <c r="AF895" i="6" s="1"/>
  <c r="J894" i="6"/>
  <c r="AF894" i="6" s="1"/>
  <c r="J891" i="6"/>
  <c r="AF891" i="6" s="1"/>
  <c r="J890" i="6"/>
  <c r="AF890" i="6" s="1"/>
  <c r="J848" i="6"/>
  <c r="AF848" i="6" s="1"/>
  <c r="J847" i="6"/>
  <c r="AF847" i="6" s="1"/>
  <c r="J846" i="6"/>
  <c r="AF846" i="6" s="1"/>
  <c r="J845" i="6"/>
  <c r="AF845" i="6" s="1"/>
  <c r="J841" i="6"/>
  <c r="J840" i="6"/>
  <c r="AF840" i="6" s="1"/>
  <c r="J837" i="6"/>
  <c r="AF837" i="6" s="1"/>
  <c r="J836" i="6"/>
  <c r="AF836" i="6" s="1"/>
  <c r="H817" i="6"/>
  <c r="H816" i="6"/>
  <c r="H815" i="6"/>
  <c r="H814" i="6"/>
  <c r="H813" i="6"/>
  <c r="H812" i="6"/>
  <c r="H811" i="6"/>
  <c r="H810" i="6"/>
  <c r="H809" i="6"/>
  <c r="H808" i="6"/>
  <c r="H807" i="6"/>
  <c r="H806" i="6"/>
  <c r="H805" i="6"/>
  <c r="H804" i="6"/>
  <c r="H803" i="6"/>
  <c r="H802" i="6"/>
  <c r="H801" i="6"/>
  <c r="H800" i="6"/>
  <c r="H799" i="6"/>
  <c r="H798" i="6"/>
  <c r="H797" i="6"/>
  <c r="H796" i="6"/>
  <c r="H795" i="6"/>
  <c r="H794" i="6"/>
  <c r="H793" i="6"/>
  <c r="H792" i="6"/>
  <c r="H791" i="6"/>
  <c r="H790" i="6"/>
  <c r="H789" i="6"/>
  <c r="H788" i="6"/>
  <c r="H787" i="6"/>
  <c r="H786" i="6"/>
  <c r="H785" i="6"/>
  <c r="H784" i="6"/>
  <c r="H783" i="6"/>
  <c r="H782" i="6"/>
  <c r="H781" i="6"/>
  <c r="H780" i="6"/>
  <c r="H779" i="6"/>
  <c r="H778" i="6"/>
  <c r="H777" i="6"/>
  <c r="H776" i="6"/>
  <c r="H775" i="6"/>
  <c r="H774" i="6"/>
  <c r="H773" i="6"/>
  <c r="H772" i="6"/>
  <c r="H771" i="6"/>
  <c r="H770" i="6"/>
  <c r="H769" i="6"/>
  <c r="H768" i="6"/>
  <c r="H767" i="6"/>
  <c r="H766" i="6"/>
  <c r="H765" i="6"/>
  <c r="H764" i="6"/>
  <c r="H763" i="6"/>
  <c r="H762" i="6"/>
  <c r="H761" i="6"/>
  <c r="H760" i="6"/>
  <c r="H759" i="6"/>
  <c r="H758" i="6"/>
  <c r="H757" i="6"/>
  <c r="H756" i="6"/>
  <c r="H755" i="6"/>
  <c r="H754" i="6"/>
  <c r="H753" i="6"/>
  <c r="H752" i="6"/>
  <c r="H751" i="6"/>
  <c r="H750" i="6"/>
  <c r="H749" i="6"/>
  <c r="K813" i="6"/>
  <c r="DJ813" i="6" s="1"/>
  <c r="J813" i="6"/>
  <c r="J817" i="6" s="1"/>
  <c r="K812" i="6"/>
  <c r="DJ812" i="6" s="1"/>
  <c r="J812" i="6"/>
  <c r="K811" i="6"/>
  <c r="DJ811" i="6" s="1"/>
  <c r="J811" i="6"/>
  <c r="J815" i="6" s="1"/>
  <c r="J810" i="6"/>
  <c r="F809" i="6"/>
  <c r="K807" i="6"/>
  <c r="DJ807" i="6" s="1"/>
  <c r="J807" i="6"/>
  <c r="J809" i="6" s="1"/>
  <c r="F807" i="6"/>
  <c r="J806" i="6"/>
  <c r="K803" i="6"/>
  <c r="DJ803" i="6" s="1"/>
  <c r="J803" i="6"/>
  <c r="J805" i="6" s="1"/>
  <c r="J802" i="6"/>
  <c r="F801" i="6"/>
  <c r="F799" i="6"/>
  <c r="K797" i="6"/>
  <c r="DJ797" i="6" s="1"/>
  <c r="J797" i="6"/>
  <c r="J801" i="6" s="1"/>
  <c r="F797" i="6"/>
  <c r="K796" i="6"/>
  <c r="DJ796" i="6" s="1"/>
  <c r="J796" i="6"/>
  <c r="K795" i="6"/>
  <c r="DJ795" i="6" s="1"/>
  <c r="J795" i="6"/>
  <c r="J799" i="6" s="1"/>
  <c r="F795" i="6"/>
  <c r="J794" i="6"/>
  <c r="K789" i="6"/>
  <c r="DJ789" i="6" s="1"/>
  <c r="J789" i="6"/>
  <c r="J793" i="6" s="1"/>
  <c r="K788" i="6"/>
  <c r="DJ788" i="6" s="1"/>
  <c r="J788" i="6"/>
  <c r="K787" i="6"/>
  <c r="DJ787" i="6" s="1"/>
  <c r="J787" i="6"/>
  <c r="J791" i="6" s="1"/>
  <c r="J786" i="6"/>
  <c r="K783" i="6"/>
  <c r="DJ783" i="6" s="1"/>
  <c r="J783" i="6"/>
  <c r="J785" i="6" s="1"/>
  <c r="J782" i="6"/>
  <c r="K779" i="6"/>
  <c r="DJ779" i="6" s="1"/>
  <c r="J779" i="6"/>
  <c r="J781" i="6" s="1"/>
  <c r="J778" i="6"/>
  <c r="J776" i="6"/>
  <c r="K773" i="6"/>
  <c r="DJ773" i="6" s="1"/>
  <c r="J773" i="6"/>
  <c r="J772" i="6"/>
  <c r="K771" i="6"/>
  <c r="DJ771" i="6" s="1"/>
  <c r="J771" i="6"/>
  <c r="F771" i="6"/>
  <c r="K770" i="6"/>
  <c r="DJ770" i="6" s="1"/>
  <c r="J770" i="6"/>
  <c r="Y138" i="15" s="1"/>
  <c r="F770" i="6"/>
  <c r="K769" i="6"/>
  <c r="DJ769" i="6" s="1"/>
  <c r="J769" i="6"/>
  <c r="F769" i="6"/>
  <c r="J768" i="6"/>
  <c r="X138" i="15" s="1"/>
  <c r="K767" i="6"/>
  <c r="DJ767" i="6" s="1"/>
  <c r="J767" i="6"/>
  <c r="F767" i="6"/>
  <c r="J766" i="6"/>
  <c r="X137" i="15" s="1"/>
  <c r="Z137" i="15" s="1"/>
  <c r="F766" i="6"/>
  <c r="K765" i="6"/>
  <c r="DJ765" i="6" s="1"/>
  <c r="J765" i="6"/>
  <c r="F765" i="6"/>
  <c r="J764" i="6"/>
  <c r="X136" i="15" s="1"/>
  <c r="Z136" i="15" s="1"/>
  <c r="F764" i="6"/>
  <c r="K763" i="6"/>
  <c r="DJ763" i="6" s="1"/>
  <c r="J763" i="6"/>
  <c r="F763" i="6"/>
  <c r="K762" i="6"/>
  <c r="DJ762" i="6" s="1"/>
  <c r="J762" i="6"/>
  <c r="Y135" i="15" s="1"/>
  <c r="F762" i="6"/>
  <c r="K761" i="6"/>
  <c r="DJ761" i="6" s="1"/>
  <c r="J761" i="6"/>
  <c r="F761" i="6"/>
  <c r="J760" i="6"/>
  <c r="X135" i="15" s="1"/>
  <c r="K759" i="6"/>
  <c r="DJ759" i="6" s="1"/>
  <c r="J759" i="6"/>
  <c r="F759" i="6"/>
  <c r="K758" i="6"/>
  <c r="DJ758" i="6" s="1"/>
  <c r="J758" i="6"/>
  <c r="Y134" i="15" s="1"/>
  <c r="F758" i="6"/>
  <c r="K757" i="6"/>
  <c r="DJ757" i="6" s="1"/>
  <c r="J757" i="6"/>
  <c r="F757" i="6"/>
  <c r="J756" i="6"/>
  <c r="X134" i="15" s="1"/>
  <c r="F756" i="6"/>
  <c r="K755" i="6"/>
  <c r="DJ755" i="6" s="1"/>
  <c r="J755" i="6"/>
  <c r="F755" i="6"/>
  <c r="J754" i="6"/>
  <c r="X133" i="15" s="1"/>
  <c r="Z133" i="15" s="1"/>
  <c r="F754" i="6"/>
  <c r="K753" i="6"/>
  <c r="DJ753" i="6" s="1"/>
  <c r="J753" i="6"/>
  <c r="F753" i="6"/>
  <c r="J752" i="6"/>
  <c r="X132" i="15" s="1"/>
  <c r="Z132" i="15" s="1"/>
  <c r="F752" i="6"/>
  <c r="J751" i="6"/>
  <c r="X131" i="15" s="1"/>
  <c r="Z131" i="15" s="1"/>
  <c r="F751" i="6"/>
  <c r="K750" i="6"/>
  <c r="DJ750" i="6" s="1"/>
  <c r="J750" i="6"/>
  <c r="Y130" i="15" s="1"/>
  <c r="F750" i="6"/>
  <c r="J749" i="6"/>
  <c r="X130" i="15" s="1"/>
  <c r="F749" i="6"/>
  <c r="L659" i="15"/>
  <c r="F147" i="6"/>
  <c r="J486" i="6"/>
  <c r="AF486" i="6" s="1"/>
  <c r="J477" i="6"/>
  <c r="AF477" i="6" s="1"/>
  <c r="J468" i="6"/>
  <c r="AF468" i="6" s="1"/>
  <c r="J446" i="6"/>
  <c r="AF446" i="6" s="1"/>
  <c r="J440" i="6"/>
  <c r="AF440" i="6" s="1"/>
  <c r="J437" i="6"/>
  <c r="AF437" i="6" s="1"/>
  <c r="J428" i="6"/>
  <c r="AF428" i="6" s="1"/>
  <c r="J426" i="6"/>
  <c r="AF426" i="6" s="1"/>
  <c r="J423" i="6"/>
  <c r="AF423" i="6" s="1"/>
  <c r="J422" i="6"/>
  <c r="J419" i="6"/>
  <c r="AF419" i="6" s="1"/>
  <c r="J417" i="6"/>
  <c r="AF417" i="6" s="1"/>
  <c r="J414" i="6"/>
  <c r="AF414" i="6" s="1"/>
  <c r="J413" i="6"/>
  <c r="J410" i="6"/>
  <c r="AF410" i="6" s="1"/>
  <c r="J408" i="6"/>
  <c r="AF408" i="6" s="1"/>
  <c r="J405" i="6"/>
  <c r="AF405" i="6" s="1"/>
  <c r="J404" i="6"/>
  <c r="J401" i="6"/>
  <c r="AF401" i="6" s="1"/>
  <c r="J399" i="6"/>
  <c r="AF399" i="6" s="1"/>
  <c r="J396" i="6"/>
  <c r="AF396" i="6" s="1"/>
  <c r="J395" i="6"/>
  <c r="J392" i="6"/>
  <c r="AF392" i="6" s="1"/>
  <c r="J309" i="6"/>
  <c r="K308" i="6"/>
  <c r="J307" i="6"/>
  <c r="J306" i="6"/>
  <c r="K305" i="6"/>
  <c r="K304" i="6"/>
  <c r="K303" i="6"/>
  <c r="J302" i="6"/>
  <c r="K301" i="6"/>
  <c r="J300" i="6"/>
  <c r="K299" i="6"/>
  <c r="L145" i="6" s="1"/>
  <c r="AJ122" i="15" s="1"/>
  <c r="J297" i="6"/>
  <c r="J296" i="6"/>
  <c r="K295" i="6"/>
  <c r="L141" i="6" s="1"/>
  <c r="AJ120" i="15" s="1"/>
  <c r="K294" i="6"/>
  <c r="L140" i="6" s="1"/>
  <c r="AJ119" i="15" s="1"/>
  <c r="J293" i="6"/>
  <c r="K292" i="6"/>
  <c r="K725" i="6" s="1"/>
  <c r="J291" i="6"/>
  <c r="K290" i="6"/>
  <c r="K723" i="6" s="1"/>
  <c r="J289" i="6"/>
  <c r="J288" i="6"/>
  <c r="K287" i="6"/>
  <c r="K720" i="6" s="1"/>
  <c r="K286" i="6"/>
  <c r="K719" i="6" s="1"/>
  <c r="K285" i="6"/>
  <c r="J284" i="6"/>
  <c r="K283" i="6"/>
  <c r="J282" i="6"/>
  <c r="K281" i="6"/>
  <c r="L127" i="6" s="1"/>
  <c r="AJ110" i="15" s="1"/>
  <c r="J279" i="6"/>
  <c r="J278" i="6"/>
  <c r="K277" i="6"/>
  <c r="L123" i="6" s="1"/>
  <c r="AJ108" i="15" s="1"/>
  <c r="K276" i="6"/>
  <c r="K709" i="6" s="1"/>
  <c r="J275" i="6"/>
  <c r="K274" i="6"/>
  <c r="J273" i="6"/>
  <c r="K272" i="6"/>
  <c r="J270" i="6"/>
  <c r="J269" i="6"/>
  <c r="K268" i="6"/>
  <c r="K267" i="6"/>
  <c r="L113" i="6" s="1"/>
  <c r="AJ101" i="15" s="1"/>
  <c r="J266" i="6"/>
  <c r="K265" i="6"/>
  <c r="K698" i="6" s="1"/>
  <c r="J264" i="6"/>
  <c r="K263" i="6"/>
  <c r="L109" i="6" s="1"/>
  <c r="AJ98" i="15" s="1"/>
  <c r="J261" i="6"/>
  <c r="J260" i="6"/>
  <c r="K259" i="6"/>
  <c r="K692" i="6" s="1"/>
  <c r="K258" i="6"/>
  <c r="K691" i="6" s="1"/>
  <c r="J257" i="6"/>
  <c r="K256" i="6"/>
  <c r="L102" i="6" s="1"/>
  <c r="AJ94" i="15" s="1"/>
  <c r="J255" i="6"/>
  <c r="K254" i="6"/>
  <c r="J252" i="6"/>
  <c r="J251" i="6"/>
  <c r="K250" i="6"/>
  <c r="K683" i="6" s="1"/>
  <c r="K249" i="6"/>
  <c r="L95" i="6" s="1"/>
  <c r="AJ89" i="15" s="1"/>
  <c r="J248" i="6"/>
  <c r="K247" i="6"/>
  <c r="J246" i="6"/>
  <c r="K245" i="6"/>
  <c r="L91" i="6" s="1"/>
  <c r="AJ86" i="15" s="1"/>
  <c r="J244" i="6"/>
  <c r="J243" i="6"/>
  <c r="K242" i="6"/>
  <c r="K675" i="6" s="1"/>
  <c r="K241" i="6"/>
  <c r="L87" i="6" s="1"/>
  <c r="AJ84" i="15" s="1"/>
  <c r="J240" i="6"/>
  <c r="J239" i="6"/>
  <c r="J238" i="6"/>
  <c r="AF238" i="6" s="1"/>
  <c r="J237" i="6"/>
  <c r="AF237" i="6" s="1"/>
  <c r="I237" i="6"/>
  <c r="I309" i="6" s="1"/>
  <c r="I381" i="6" s="1"/>
  <c r="I453" i="6" s="1"/>
  <c r="I525" i="6" s="1"/>
  <c r="I597" i="6" s="1"/>
  <c r="I670" i="6" s="1"/>
  <c r="I742" i="6" s="1"/>
  <c r="F237" i="6"/>
  <c r="I236" i="6"/>
  <c r="I308" i="6" s="1"/>
  <c r="I380" i="6" s="1"/>
  <c r="I452" i="6" s="1"/>
  <c r="I524" i="6" s="1"/>
  <c r="I596" i="6" s="1"/>
  <c r="I669" i="6" s="1"/>
  <c r="I741" i="6" s="1"/>
  <c r="F236" i="6"/>
  <c r="J235" i="6"/>
  <c r="AF235" i="6" s="1"/>
  <c r="I235" i="6"/>
  <c r="I307" i="6" s="1"/>
  <c r="I379" i="6" s="1"/>
  <c r="I451" i="6" s="1"/>
  <c r="I523" i="6" s="1"/>
  <c r="I595" i="6" s="1"/>
  <c r="I668" i="6" s="1"/>
  <c r="I740" i="6" s="1"/>
  <c r="F235" i="6"/>
  <c r="J234" i="6"/>
  <c r="AF234" i="6" s="1"/>
  <c r="I234" i="6"/>
  <c r="I306" i="6" s="1"/>
  <c r="I378" i="6" s="1"/>
  <c r="I450" i="6" s="1"/>
  <c r="I522" i="6" s="1"/>
  <c r="I594" i="6" s="1"/>
  <c r="I667" i="6" s="1"/>
  <c r="I739" i="6" s="1"/>
  <c r="F234" i="6"/>
  <c r="I233" i="6"/>
  <c r="I305" i="6" s="1"/>
  <c r="I377" i="6" s="1"/>
  <c r="I449" i="6" s="1"/>
  <c r="I521" i="6" s="1"/>
  <c r="I593" i="6" s="1"/>
  <c r="I666" i="6" s="1"/>
  <c r="I738" i="6" s="1"/>
  <c r="F233" i="6"/>
  <c r="I232" i="6"/>
  <c r="I304" i="6" s="1"/>
  <c r="I376" i="6" s="1"/>
  <c r="I448" i="6" s="1"/>
  <c r="I520" i="6" s="1"/>
  <c r="I592" i="6" s="1"/>
  <c r="I665" i="6" s="1"/>
  <c r="I737" i="6" s="1"/>
  <c r="F232" i="6"/>
  <c r="I231" i="6"/>
  <c r="I303" i="6" s="1"/>
  <c r="I375" i="6" s="1"/>
  <c r="I447" i="6" s="1"/>
  <c r="I519" i="6" s="1"/>
  <c r="I591" i="6" s="1"/>
  <c r="I664" i="6" s="1"/>
  <c r="I736" i="6" s="1"/>
  <c r="F231" i="6"/>
  <c r="I230" i="6"/>
  <c r="I302" i="6" s="1"/>
  <c r="I374" i="6" s="1"/>
  <c r="I446" i="6" s="1"/>
  <c r="I518" i="6" s="1"/>
  <c r="I590" i="6" s="1"/>
  <c r="I663" i="6" s="1"/>
  <c r="I735" i="6" s="1"/>
  <c r="F230" i="6"/>
  <c r="I229" i="6"/>
  <c r="I301" i="6" s="1"/>
  <c r="I373" i="6" s="1"/>
  <c r="I445" i="6" s="1"/>
  <c r="I517" i="6" s="1"/>
  <c r="I589" i="6" s="1"/>
  <c r="I662" i="6" s="1"/>
  <c r="I734" i="6" s="1"/>
  <c r="F229" i="6"/>
  <c r="J228" i="6"/>
  <c r="AF228" i="6" s="1"/>
  <c r="I228" i="6"/>
  <c r="I300" i="6" s="1"/>
  <c r="I372" i="6" s="1"/>
  <c r="I444" i="6" s="1"/>
  <c r="I516" i="6" s="1"/>
  <c r="I588" i="6" s="1"/>
  <c r="I661" i="6" s="1"/>
  <c r="I733" i="6" s="1"/>
  <c r="F228" i="6"/>
  <c r="I227" i="6"/>
  <c r="I299" i="6" s="1"/>
  <c r="I371" i="6" s="1"/>
  <c r="I443" i="6" s="1"/>
  <c r="I515" i="6" s="1"/>
  <c r="I587" i="6" s="1"/>
  <c r="I660" i="6" s="1"/>
  <c r="I732" i="6" s="1"/>
  <c r="F227" i="6"/>
  <c r="J226" i="6"/>
  <c r="AF226" i="6" s="1"/>
  <c r="I226" i="6"/>
  <c r="I298" i="6" s="1"/>
  <c r="I370" i="6" s="1"/>
  <c r="I442" i="6" s="1"/>
  <c r="I514" i="6" s="1"/>
  <c r="I586" i="6" s="1"/>
  <c r="I659" i="6" s="1"/>
  <c r="I731" i="6" s="1"/>
  <c r="F226" i="6"/>
  <c r="J225" i="6"/>
  <c r="AF225" i="6" s="1"/>
  <c r="I225" i="6"/>
  <c r="I297" i="6" s="1"/>
  <c r="I369" i="6" s="1"/>
  <c r="I441" i="6" s="1"/>
  <c r="I513" i="6" s="1"/>
  <c r="I585" i="6" s="1"/>
  <c r="I658" i="6" s="1"/>
  <c r="I730" i="6" s="1"/>
  <c r="F225" i="6"/>
  <c r="I224" i="6"/>
  <c r="I296" i="6" s="1"/>
  <c r="I368" i="6" s="1"/>
  <c r="I440" i="6" s="1"/>
  <c r="I512" i="6" s="1"/>
  <c r="I584" i="6" s="1"/>
  <c r="I657" i="6" s="1"/>
  <c r="I729" i="6" s="1"/>
  <c r="F224" i="6"/>
  <c r="I223" i="6"/>
  <c r="I295" i="6" s="1"/>
  <c r="I367" i="6" s="1"/>
  <c r="I439" i="6" s="1"/>
  <c r="I511" i="6" s="1"/>
  <c r="I583" i="6" s="1"/>
  <c r="I656" i="6" s="1"/>
  <c r="I728" i="6" s="1"/>
  <c r="F223" i="6"/>
  <c r="I222" i="6"/>
  <c r="I294" i="6" s="1"/>
  <c r="I366" i="6" s="1"/>
  <c r="I438" i="6" s="1"/>
  <c r="I510" i="6" s="1"/>
  <c r="I582" i="6" s="1"/>
  <c r="I655" i="6" s="1"/>
  <c r="I727" i="6" s="1"/>
  <c r="F222" i="6"/>
  <c r="I221" i="6"/>
  <c r="I293" i="6" s="1"/>
  <c r="I365" i="6" s="1"/>
  <c r="I437" i="6" s="1"/>
  <c r="I509" i="6" s="1"/>
  <c r="I581" i="6" s="1"/>
  <c r="I654" i="6" s="1"/>
  <c r="I726" i="6" s="1"/>
  <c r="F221" i="6"/>
  <c r="I220" i="6"/>
  <c r="I292" i="6" s="1"/>
  <c r="I364" i="6" s="1"/>
  <c r="I436" i="6" s="1"/>
  <c r="I508" i="6" s="1"/>
  <c r="I580" i="6" s="1"/>
  <c r="I653" i="6" s="1"/>
  <c r="I725" i="6" s="1"/>
  <c r="F220" i="6"/>
  <c r="J219" i="6"/>
  <c r="AF219" i="6" s="1"/>
  <c r="I219" i="6"/>
  <c r="I291" i="6" s="1"/>
  <c r="I363" i="6" s="1"/>
  <c r="I435" i="6" s="1"/>
  <c r="I507" i="6" s="1"/>
  <c r="I579" i="6" s="1"/>
  <c r="I652" i="6" s="1"/>
  <c r="I724" i="6" s="1"/>
  <c r="F219" i="6"/>
  <c r="I218" i="6"/>
  <c r="I290" i="6" s="1"/>
  <c r="I362" i="6" s="1"/>
  <c r="I434" i="6" s="1"/>
  <c r="I506" i="6" s="1"/>
  <c r="I578" i="6" s="1"/>
  <c r="I651" i="6" s="1"/>
  <c r="I723" i="6" s="1"/>
  <c r="F218" i="6"/>
  <c r="J217" i="6"/>
  <c r="AF217" i="6" s="1"/>
  <c r="I217" i="6"/>
  <c r="I289" i="6" s="1"/>
  <c r="I361" i="6" s="1"/>
  <c r="I433" i="6" s="1"/>
  <c r="I505" i="6" s="1"/>
  <c r="I577" i="6" s="1"/>
  <c r="I650" i="6" s="1"/>
  <c r="I722" i="6" s="1"/>
  <c r="F217" i="6"/>
  <c r="J216" i="6"/>
  <c r="AF216" i="6" s="1"/>
  <c r="I216" i="6"/>
  <c r="I288" i="6" s="1"/>
  <c r="I360" i="6" s="1"/>
  <c r="I432" i="6" s="1"/>
  <c r="I504" i="6" s="1"/>
  <c r="I576" i="6" s="1"/>
  <c r="I649" i="6" s="1"/>
  <c r="I721" i="6" s="1"/>
  <c r="F216" i="6"/>
  <c r="I215" i="6"/>
  <c r="I287" i="6" s="1"/>
  <c r="I359" i="6" s="1"/>
  <c r="I431" i="6" s="1"/>
  <c r="I503" i="6" s="1"/>
  <c r="I575" i="6" s="1"/>
  <c r="I648" i="6" s="1"/>
  <c r="I720" i="6" s="1"/>
  <c r="F215" i="6"/>
  <c r="I214" i="6"/>
  <c r="I286" i="6" s="1"/>
  <c r="I358" i="6" s="1"/>
  <c r="I430" i="6" s="1"/>
  <c r="I502" i="6" s="1"/>
  <c r="I574" i="6" s="1"/>
  <c r="I647" i="6" s="1"/>
  <c r="I719" i="6" s="1"/>
  <c r="F214" i="6"/>
  <c r="I213" i="6"/>
  <c r="I285" i="6" s="1"/>
  <c r="I357" i="6" s="1"/>
  <c r="I429" i="6" s="1"/>
  <c r="I501" i="6" s="1"/>
  <c r="I573" i="6" s="1"/>
  <c r="I646" i="6" s="1"/>
  <c r="I718" i="6" s="1"/>
  <c r="F213" i="6"/>
  <c r="I212" i="6"/>
  <c r="I284" i="6" s="1"/>
  <c r="I356" i="6" s="1"/>
  <c r="I428" i="6" s="1"/>
  <c r="I500" i="6" s="1"/>
  <c r="I572" i="6" s="1"/>
  <c r="I645" i="6" s="1"/>
  <c r="I717" i="6" s="1"/>
  <c r="F212" i="6"/>
  <c r="I211" i="6"/>
  <c r="I283" i="6" s="1"/>
  <c r="I355" i="6" s="1"/>
  <c r="I427" i="6" s="1"/>
  <c r="I499" i="6" s="1"/>
  <c r="I571" i="6" s="1"/>
  <c r="I644" i="6" s="1"/>
  <c r="I716" i="6" s="1"/>
  <c r="F211" i="6"/>
  <c r="J210" i="6"/>
  <c r="AF210" i="6" s="1"/>
  <c r="I210" i="6"/>
  <c r="I282" i="6" s="1"/>
  <c r="I354" i="6" s="1"/>
  <c r="I426" i="6" s="1"/>
  <c r="I498" i="6" s="1"/>
  <c r="I570" i="6" s="1"/>
  <c r="I643" i="6" s="1"/>
  <c r="I715" i="6" s="1"/>
  <c r="F210" i="6"/>
  <c r="I209" i="6"/>
  <c r="I281" i="6" s="1"/>
  <c r="I353" i="6" s="1"/>
  <c r="I425" i="6" s="1"/>
  <c r="I497" i="6" s="1"/>
  <c r="I569" i="6" s="1"/>
  <c r="I642" i="6" s="1"/>
  <c r="I714" i="6" s="1"/>
  <c r="F209" i="6"/>
  <c r="J208" i="6"/>
  <c r="AF208" i="6" s="1"/>
  <c r="I208" i="6"/>
  <c r="I280" i="6" s="1"/>
  <c r="I352" i="6" s="1"/>
  <c r="I424" i="6" s="1"/>
  <c r="I496" i="6" s="1"/>
  <c r="I568" i="6" s="1"/>
  <c r="I641" i="6" s="1"/>
  <c r="I713" i="6" s="1"/>
  <c r="F208" i="6"/>
  <c r="I207" i="6"/>
  <c r="I279" i="6" s="1"/>
  <c r="I351" i="6" s="1"/>
  <c r="I423" i="6" s="1"/>
  <c r="I495" i="6" s="1"/>
  <c r="I567" i="6" s="1"/>
  <c r="I640" i="6" s="1"/>
  <c r="I712" i="6" s="1"/>
  <c r="F207" i="6"/>
  <c r="I206" i="6"/>
  <c r="I278" i="6" s="1"/>
  <c r="I350" i="6" s="1"/>
  <c r="I422" i="6" s="1"/>
  <c r="I494" i="6" s="1"/>
  <c r="I566" i="6" s="1"/>
  <c r="I639" i="6" s="1"/>
  <c r="I711" i="6" s="1"/>
  <c r="F206" i="6"/>
  <c r="I205" i="6"/>
  <c r="I277" i="6" s="1"/>
  <c r="I349" i="6" s="1"/>
  <c r="I421" i="6" s="1"/>
  <c r="I493" i="6" s="1"/>
  <c r="I565" i="6" s="1"/>
  <c r="I638" i="6" s="1"/>
  <c r="I710" i="6" s="1"/>
  <c r="F205" i="6"/>
  <c r="I204" i="6"/>
  <c r="I276" i="6" s="1"/>
  <c r="I348" i="6" s="1"/>
  <c r="I420" i="6" s="1"/>
  <c r="I492" i="6" s="1"/>
  <c r="I564" i="6" s="1"/>
  <c r="I637" i="6" s="1"/>
  <c r="I709" i="6" s="1"/>
  <c r="F204" i="6"/>
  <c r="I203" i="6"/>
  <c r="I275" i="6" s="1"/>
  <c r="I347" i="6" s="1"/>
  <c r="I419" i="6" s="1"/>
  <c r="I491" i="6" s="1"/>
  <c r="I563" i="6" s="1"/>
  <c r="I636" i="6" s="1"/>
  <c r="I708" i="6" s="1"/>
  <c r="F203" i="6"/>
  <c r="I202" i="6"/>
  <c r="I274" i="6" s="1"/>
  <c r="I346" i="6" s="1"/>
  <c r="I418" i="6" s="1"/>
  <c r="I490" i="6" s="1"/>
  <c r="I562" i="6" s="1"/>
  <c r="I635" i="6" s="1"/>
  <c r="I707" i="6" s="1"/>
  <c r="F202" i="6"/>
  <c r="J201" i="6"/>
  <c r="AF201" i="6" s="1"/>
  <c r="I201" i="6"/>
  <c r="I273" i="6" s="1"/>
  <c r="I345" i="6" s="1"/>
  <c r="I417" i="6" s="1"/>
  <c r="I489" i="6" s="1"/>
  <c r="I561" i="6" s="1"/>
  <c r="I634" i="6" s="1"/>
  <c r="I706" i="6" s="1"/>
  <c r="F201" i="6"/>
  <c r="I200" i="6"/>
  <c r="I272" i="6" s="1"/>
  <c r="I344" i="6" s="1"/>
  <c r="I416" i="6" s="1"/>
  <c r="I488" i="6" s="1"/>
  <c r="I560" i="6" s="1"/>
  <c r="I633" i="6" s="1"/>
  <c r="I705" i="6" s="1"/>
  <c r="F200" i="6"/>
  <c r="J199" i="6"/>
  <c r="AF199" i="6" s="1"/>
  <c r="I199" i="6"/>
  <c r="I271" i="6" s="1"/>
  <c r="I343" i="6" s="1"/>
  <c r="I415" i="6" s="1"/>
  <c r="I487" i="6" s="1"/>
  <c r="I559" i="6" s="1"/>
  <c r="I632" i="6" s="1"/>
  <c r="I704" i="6" s="1"/>
  <c r="F199" i="6"/>
  <c r="J198" i="6"/>
  <c r="AF198" i="6" s="1"/>
  <c r="I198" i="6"/>
  <c r="I270" i="6" s="1"/>
  <c r="I342" i="6" s="1"/>
  <c r="I414" i="6" s="1"/>
  <c r="I486" i="6" s="1"/>
  <c r="I558" i="6" s="1"/>
  <c r="I631" i="6" s="1"/>
  <c r="I703" i="6" s="1"/>
  <c r="F198" i="6"/>
  <c r="I197" i="6"/>
  <c r="I269" i="6" s="1"/>
  <c r="I341" i="6" s="1"/>
  <c r="I413" i="6" s="1"/>
  <c r="I485" i="6" s="1"/>
  <c r="I557" i="6" s="1"/>
  <c r="I630" i="6" s="1"/>
  <c r="I702" i="6" s="1"/>
  <c r="F197" i="6"/>
  <c r="I196" i="6"/>
  <c r="I268" i="6" s="1"/>
  <c r="I340" i="6" s="1"/>
  <c r="I412" i="6" s="1"/>
  <c r="I484" i="6" s="1"/>
  <c r="I556" i="6" s="1"/>
  <c r="I629" i="6" s="1"/>
  <c r="I701" i="6" s="1"/>
  <c r="F196" i="6"/>
  <c r="I195" i="6"/>
  <c r="I267" i="6" s="1"/>
  <c r="I339" i="6" s="1"/>
  <c r="I411" i="6" s="1"/>
  <c r="I483" i="6" s="1"/>
  <c r="I555" i="6" s="1"/>
  <c r="I628" i="6" s="1"/>
  <c r="I700" i="6" s="1"/>
  <c r="F195" i="6"/>
  <c r="I194" i="6"/>
  <c r="I266" i="6" s="1"/>
  <c r="I338" i="6" s="1"/>
  <c r="I410" i="6" s="1"/>
  <c r="I482" i="6" s="1"/>
  <c r="I554" i="6" s="1"/>
  <c r="I627" i="6" s="1"/>
  <c r="I699" i="6" s="1"/>
  <c r="F194" i="6"/>
  <c r="I193" i="6"/>
  <c r="I265" i="6" s="1"/>
  <c r="I337" i="6" s="1"/>
  <c r="I409" i="6" s="1"/>
  <c r="I481" i="6" s="1"/>
  <c r="I553" i="6" s="1"/>
  <c r="I626" i="6" s="1"/>
  <c r="I698" i="6" s="1"/>
  <c r="F193" i="6"/>
  <c r="J192" i="6"/>
  <c r="AF192" i="6" s="1"/>
  <c r="I192" i="6"/>
  <c r="I264" i="6" s="1"/>
  <c r="I336" i="6" s="1"/>
  <c r="I408" i="6" s="1"/>
  <c r="I480" i="6" s="1"/>
  <c r="I552" i="6" s="1"/>
  <c r="I625" i="6" s="1"/>
  <c r="I697" i="6" s="1"/>
  <c r="F192" i="6"/>
  <c r="I191" i="6"/>
  <c r="I263" i="6" s="1"/>
  <c r="I335" i="6" s="1"/>
  <c r="I407" i="6" s="1"/>
  <c r="I479" i="6" s="1"/>
  <c r="I551" i="6" s="1"/>
  <c r="I624" i="6" s="1"/>
  <c r="I696" i="6" s="1"/>
  <c r="F191" i="6"/>
  <c r="J190" i="6"/>
  <c r="AF190" i="6" s="1"/>
  <c r="I190" i="6"/>
  <c r="I262" i="6" s="1"/>
  <c r="I334" i="6" s="1"/>
  <c r="I406" i="6" s="1"/>
  <c r="I478" i="6" s="1"/>
  <c r="I550" i="6" s="1"/>
  <c r="I623" i="6" s="1"/>
  <c r="I695" i="6" s="1"/>
  <c r="F190" i="6"/>
  <c r="J189" i="6"/>
  <c r="AF189" i="6" s="1"/>
  <c r="I189" i="6"/>
  <c r="I261" i="6" s="1"/>
  <c r="I333" i="6" s="1"/>
  <c r="I405" i="6" s="1"/>
  <c r="I477" i="6" s="1"/>
  <c r="I549" i="6" s="1"/>
  <c r="I622" i="6" s="1"/>
  <c r="I694" i="6" s="1"/>
  <c r="F189" i="6"/>
  <c r="I188" i="6"/>
  <c r="I260" i="6" s="1"/>
  <c r="I332" i="6" s="1"/>
  <c r="I404" i="6" s="1"/>
  <c r="I476" i="6" s="1"/>
  <c r="I548" i="6" s="1"/>
  <c r="I621" i="6" s="1"/>
  <c r="I693" i="6" s="1"/>
  <c r="F188" i="6"/>
  <c r="I187" i="6"/>
  <c r="I259" i="6" s="1"/>
  <c r="I331" i="6" s="1"/>
  <c r="I403" i="6" s="1"/>
  <c r="I475" i="6" s="1"/>
  <c r="I547" i="6" s="1"/>
  <c r="I620" i="6" s="1"/>
  <c r="I692" i="6" s="1"/>
  <c r="F187" i="6"/>
  <c r="I186" i="6"/>
  <c r="I258" i="6" s="1"/>
  <c r="I330" i="6" s="1"/>
  <c r="I402" i="6" s="1"/>
  <c r="I474" i="6" s="1"/>
  <c r="I546" i="6" s="1"/>
  <c r="I619" i="6" s="1"/>
  <c r="I691" i="6" s="1"/>
  <c r="F186" i="6"/>
  <c r="I185" i="6"/>
  <c r="I257" i="6" s="1"/>
  <c r="I329" i="6" s="1"/>
  <c r="I401" i="6" s="1"/>
  <c r="I473" i="6" s="1"/>
  <c r="I545" i="6" s="1"/>
  <c r="I618" i="6" s="1"/>
  <c r="I690" i="6" s="1"/>
  <c r="F185" i="6"/>
  <c r="I184" i="6"/>
  <c r="I256" i="6" s="1"/>
  <c r="I328" i="6" s="1"/>
  <c r="I400" i="6" s="1"/>
  <c r="I472" i="6" s="1"/>
  <c r="I544" i="6" s="1"/>
  <c r="I617" i="6" s="1"/>
  <c r="I689" i="6" s="1"/>
  <c r="F184" i="6"/>
  <c r="J183" i="6"/>
  <c r="AF183" i="6" s="1"/>
  <c r="I183" i="6"/>
  <c r="I255" i="6" s="1"/>
  <c r="I327" i="6" s="1"/>
  <c r="I399" i="6" s="1"/>
  <c r="I471" i="6" s="1"/>
  <c r="I543" i="6" s="1"/>
  <c r="I616" i="6" s="1"/>
  <c r="I688" i="6" s="1"/>
  <c r="F183" i="6"/>
  <c r="I182" i="6"/>
  <c r="I254" i="6" s="1"/>
  <c r="I326" i="6" s="1"/>
  <c r="I398" i="6" s="1"/>
  <c r="I470" i="6" s="1"/>
  <c r="I542" i="6" s="1"/>
  <c r="I615" i="6" s="1"/>
  <c r="I687" i="6" s="1"/>
  <c r="F182" i="6"/>
  <c r="J181" i="6"/>
  <c r="AF181" i="6" s="1"/>
  <c r="I181" i="6"/>
  <c r="I253" i="6" s="1"/>
  <c r="I325" i="6" s="1"/>
  <c r="I397" i="6" s="1"/>
  <c r="I469" i="6" s="1"/>
  <c r="I541" i="6" s="1"/>
  <c r="I614" i="6" s="1"/>
  <c r="I686" i="6" s="1"/>
  <c r="F181" i="6"/>
  <c r="J180" i="6"/>
  <c r="AF180" i="6" s="1"/>
  <c r="I180" i="6"/>
  <c r="I252" i="6" s="1"/>
  <c r="I324" i="6" s="1"/>
  <c r="I396" i="6" s="1"/>
  <c r="I468" i="6" s="1"/>
  <c r="I540" i="6" s="1"/>
  <c r="I613" i="6" s="1"/>
  <c r="I685" i="6" s="1"/>
  <c r="F180" i="6"/>
  <c r="I179" i="6"/>
  <c r="I251" i="6" s="1"/>
  <c r="I323" i="6" s="1"/>
  <c r="I395" i="6" s="1"/>
  <c r="I467" i="6" s="1"/>
  <c r="I539" i="6" s="1"/>
  <c r="I612" i="6" s="1"/>
  <c r="I684" i="6" s="1"/>
  <c r="F179" i="6"/>
  <c r="I178" i="6"/>
  <c r="I250" i="6" s="1"/>
  <c r="I322" i="6" s="1"/>
  <c r="I394" i="6" s="1"/>
  <c r="I466" i="6" s="1"/>
  <c r="I538" i="6" s="1"/>
  <c r="I611" i="6" s="1"/>
  <c r="I683" i="6" s="1"/>
  <c r="F178" i="6"/>
  <c r="I177" i="6"/>
  <c r="I249" i="6" s="1"/>
  <c r="I321" i="6" s="1"/>
  <c r="I393" i="6" s="1"/>
  <c r="I465" i="6" s="1"/>
  <c r="I537" i="6" s="1"/>
  <c r="I610" i="6" s="1"/>
  <c r="I682" i="6" s="1"/>
  <c r="F177" i="6"/>
  <c r="I176" i="6"/>
  <c r="I248" i="6" s="1"/>
  <c r="I320" i="6" s="1"/>
  <c r="I392" i="6" s="1"/>
  <c r="I464" i="6" s="1"/>
  <c r="I536" i="6" s="1"/>
  <c r="I609" i="6" s="1"/>
  <c r="I681" i="6" s="1"/>
  <c r="F176" i="6"/>
  <c r="I175" i="6"/>
  <c r="I247" i="6" s="1"/>
  <c r="I319" i="6" s="1"/>
  <c r="I391" i="6" s="1"/>
  <c r="I463" i="6" s="1"/>
  <c r="I535" i="6" s="1"/>
  <c r="I608" i="6" s="1"/>
  <c r="I680" i="6" s="1"/>
  <c r="F175" i="6"/>
  <c r="J174" i="6"/>
  <c r="AF174" i="6" s="1"/>
  <c r="I174" i="6"/>
  <c r="I246" i="6" s="1"/>
  <c r="I318" i="6" s="1"/>
  <c r="I390" i="6" s="1"/>
  <c r="I462" i="6" s="1"/>
  <c r="I534" i="6" s="1"/>
  <c r="I607" i="6" s="1"/>
  <c r="I679" i="6" s="1"/>
  <c r="F174" i="6"/>
  <c r="I173" i="6"/>
  <c r="I245" i="6" s="1"/>
  <c r="I317" i="6" s="1"/>
  <c r="I389" i="6" s="1"/>
  <c r="I461" i="6" s="1"/>
  <c r="I533" i="6" s="1"/>
  <c r="I606" i="6" s="1"/>
  <c r="I678" i="6" s="1"/>
  <c r="F173" i="6"/>
  <c r="J172" i="6"/>
  <c r="AF172" i="6" s="1"/>
  <c r="I172" i="6"/>
  <c r="I244" i="6" s="1"/>
  <c r="I316" i="6" s="1"/>
  <c r="I388" i="6" s="1"/>
  <c r="I460" i="6" s="1"/>
  <c r="I532" i="6" s="1"/>
  <c r="I605" i="6" s="1"/>
  <c r="I677" i="6" s="1"/>
  <c r="F172" i="6"/>
  <c r="I171" i="6"/>
  <c r="I243" i="6" s="1"/>
  <c r="I315" i="6" s="1"/>
  <c r="I387" i="6" s="1"/>
  <c r="I459" i="6" s="1"/>
  <c r="I531" i="6" s="1"/>
  <c r="I604" i="6" s="1"/>
  <c r="I676" i="6" s="1"/>
  <c r="F171" i="6"/>
  <c r="I170" i="6"/>
  <c r="I242" i="6" s="1"/>
  <c r="I314" i="6" s="1"/>
  <c r="I386" i="6" s="1"/>
  <c r="I458" i="6" s="1"/>
  <c r="I530" i="6" s="1"/>
  <c r="I603" i="6" s="1"/>
  <c r="I675" i="6" s="1"/>
  <c r="F170" i="6"/>
  <c r="I169" i="6"/>
  <c r="I241" i="6" s="1"/>
  <c r="I313" i="6" s="1"/>
  <c r="I385" i="6" s="1"/>
  <c r="I457" i="6" s="1"/>
  <c r="I529" i="6" s="1"/>
  <c r="I602" i="6" s="1"/>
  <c r="I674" i="6" s="1"/>
  <c r="F169" i="6"/>
  <c r="I168" i="6"/>
  <c r="I240" i="6" s="1"/>
  <c r="I312" i="6" s="1"/>
  <c r="I384" i="6" s="1"/>
  <c r="I456" i="6" s="1"/>
  <c r="I528" i="6" s="1"/>
  <c r="I601" i="6" s="1"/>
  <c r="I673" i="6" s="1"/>
  <c r="F168" i="6"/>
  <c r="I167" i="6"/>
  <c r="I239" i="6" s="1"/>
  <c r="I311" i="6" s="1"/>
  <c r="I383" i="6" s="1"/>
  <c r="I455" i="6" s="1"/>
  <c r="I527" i="6" s="1"/>
  <c r="I600" i="6" s="1"/>
  <c r="I672" i="6" s="1"/>
  <c r="F167" i="6"/>
  <c r="I166" i="6"/>
  <c r="I238" i="6" s="1"/>
  <c r="I310" i="6" s="1"/>
  <c r="I382" i="6" s="1"/>
  <c r="I454" i="6" s="1"/>
  <c r="I526" i="6" s="1"/>
  <c r="I599" i="6" s="1"/>
  <c r="I671" i="6" s="1"/>
  <c r="L671" i="6" s="1"/>
  <c r="F166" i="6"/>
  <c r="H155" i="6"/>
  <c r="H154" i="6"/>
  <c r="H153" i="6"/>
  <c r="H152" i="6"/>
  <c r="H151" i="6"/>
  <c r="H150" i="6"/>
  <c r="H149" i="6"/>
  <c r="H148" i="6"/>
  <c r="H147" i="6"/>
  <c r="H146" i="6"/>
  <c r="H145" i="6"/>
  <c r="H144" i="6"/>
  <c r="H143" i="6"/>
  <c r="H142" i="6"/>
  <c r="H141" i="6"/>
  <c r="H140" i="6"/>
  <c r="H139" i="6"/>
  <c r="H138" i="6"/>
  <c r="H137" i="6"/>
  <c r="H136" i="6"/>
  <c r="H135" i="6"/>
  <c r="H134" i="6"/>
  <c r="H133" i="6"/>
  <c r="H132" i="6"/>
  <c r="H131" i="6"/>
  <c r="H130" i="6"/>
  <c r="H129" i="6"/>
  <c r="H128" i="6"/>
  <c r="H127" i="6"/>
  <c r="H126" i="6"/>
  <c r="H125" i="6"/>
  <c r="H124" i="6"/>
  <c r="H123" i="6"/>
  <c r="H122" i="6"/>
  <c r="H121" i="6"/>
  <c r="H120" i="6"/>
  <c r="H119" i="6"/>
  <c r="H118" i="6"/>
  <c r="H117" i="6"/>
  <c r="H116" i="6"/>
  <c r="H115" i="6"/>
  <c r="H114" i="6"/>
  <c r="H113" i="6"/>
  <c r="H112" i="6"/>
  <c r="H111" i="6"/>
  <c r="H110" i="6"/>
  <c r="H109" i="6"/>
  <c r="H108" i="6"/>
  <c r="H107" i="6"/>
  <c r="H106" i="6"/>
  <c r="H105" i="6"/>
  <c r="H104" i="6"/>
  <c r="H103" i="6"/>
  <c r="H102" i="6"/>
  <c r="H101" i="6"/>
  <c r="H100" i="6"/>
  <c r="H99" i="6"/>
  <c r="H98" i="6"/>
  <c r="H97" i="6"/>
  <c r="H96" i="6"/>
  <c r="H95" i="6"/>
  <c r="H94" i="6"/>
  <c r="H93" i="6"/>
  <c r="H92" i="6"/>
  <c r="H91" i="6"/>
  <c r="H90" i="6"/>
  <c r="H89" i="6"/>
  <c r="H88" i="6"/>
  <c r="H87" i="6"/>
  <c r="H86" i="6"/>
  <c r="H85" i="6"/>
  <c r="H84" i="6"/>
  <c r="J155" i="6"/>
  <c r="X129" i="15" s="1"/>
  <c r="Z129" i="15" s="1"/>
  <c r="J154" i="6"/>
  <c r="X128" i="15" s="1"/>
  <c r="Z128" i="15" s="1"/>
  <c r="K153" i="6"/>
  <c r="DJ153" i="6" s="1"/>
  <c r="J153" i="6"/>
  <c r="Y127" i="15" s="1"/>
  <c r="J152" i="6"/>
  <c r="X127" i="15" s="1"/>
  <c r="K151" i="6"/>
  <c r="DJ151" i="6" s="1"/>
  <c r="J151" i="6"/>
  <c r="Y126" i="15" s="1"/>
  <c r="J150" i="6"/>
  <c r="X126" i="15" s="1"/>
  <c r="J149" i="6"/>
  <c r="X125" i="15" s="1"/>
  <c r="Z125" i="15" s="1"/>
  <c r="K148" i="6"/>
  <c r="DJ148" i="6" s="1"/>
  <c r="J148" i="6"/>
  <c r="Y124" i="15" s="1"/>
  <c r="J147" i="6"/>
  <c r="X124" i="15" s="1"/>
  <c r="J145" i="6"/>
  <c r="X122" i="15" s="1"/>
  <c r="Z122" i="15" s="1"/>
  <c r="K144" i="6"/>
  <c r="DJ144" i="6" s="1"/>
  <c r="J144" i="6"/>
  <c r="Y121" i="15" s="1"/>
  <c r="J143" i="6"/>
  <c r="X121" i="15" s="1"/>
  <c r="K142" i="6"/>
  <c r="DJ142" i="6" s="1"/>
  <c r="J142" i="6"/>
  <c r="Y120" i="15" s="1"/>
  <c r="J141" i="6"/>
  <c r="X120" i="15" s="1"/>
  <c r="J140" i="6"/>
  <c r="X119" i="15" s="1"/>
  <c r="Z119" i="15" s="1"/>
  <c r="K139" i="6"/>
  <c r="DJ139" i="6" s="1"/>
  <c r="J139" i="6"/>
  <c r="Y118" i="15" s="1"/>
  <c r="J138" i="6"/>
  <c r="X118" i="15" s="1"/>
  <c r="J136" i="6"/>
  <c r="X116" i="15" s="1"/>
  <c r="Z116" i="15" s="1"/>
  <c r="K135" i="6"/>
  <c r="DJ135" i="6" s="1"/>
  <c r="J135" i="6"/>
  <c r="Y115" i="15" s="1"/>
  <c r="J134" i="6"/>
  <c r="X115" i="15" s="1"/>
  <c r="K133" i="6"/>
  <c r="DJ133" i="6" s="1"/>
  <c r="J133" i="6"/>
  <c r="Y114" i="15" s="1"/>
  <c r="J132" i="6"/>
  <c r="X114" i="15" s="1"/>
  <c r="J131" i="6"/>
  <c r="X113" i="15" s="1"/>
  <c r="Z113" i="15" s="1"/>
  <c r="K130" i="6"/>
  <c r="DJ130" i="6" s="1"/>
  <c r="J130" i="6"/>
  <c r="Y112" i="15" s="1"/>
  <c r="J129" i="6"/>
  <c r="X112" i="15" s="1"/>
  <c r="K126" i="6"/>
  <c r="DJ126" i="6" s="1"/>
  <c r="J126" i="6"/>
  <c r="Y109" i="15" s="1"/>
  <c r="J125" i="6"/>
  <c r="X109" i="15" s="1"/>
  <c r="J124" i="6"/>
  <c r="Y108" i="15" s="1"/>
  <c r="J123" i="6"/>
  <c r="X108" i="15" s="1"/>
  <c r="J122" i="6"/>
  <c r="X107" i="15" s="1"/>
  <c r="Z107" i="15" s="1"/>
  <c r="K121" i="6"/>
  <c r="DJ121" i="6" s="1"/>
  <c r="J121" i="6"/>
  <c r="Y106" i="15" s="1"/>
  <c r="J120" i="6"/>
  <c r="X106" i="15" s="1"/>
  <c r="J119" i="6"/>
  <c r="X105" i="15" s="1"/>
  <c r="Z105" i="15" s="1"/>
  <c r="J118" i="6"/>
  <c r="X104" i="15" s="1"/>
  <c r="Z104" i="15" s="1"/>
  <c r="K117" i="6"/>
  <c r="DJ117" i="6" s="1"/>
  <c r="J117" i="6"/>
  <c r="Y103" i="15" s="1"/>
  <c r="J116" i="6"/>
  <c r="X103" i="15" s="1"/>
  <c r="K115" i="6"/>
  <c r="DJ115" i="6" s="1"/>
  <c r="J115" i="6"/>
  <c r="Y102" i="15" s="1"/>
  <c r="J114" i="6"/>
  <c r="X102" i="15" s="1"/>
  <c r="J113" i="6"/>
  <c r="X101" i="15" s="1"/>
  <c r="Z101" i="15" s="1"/>
  <c r="K112" i="6"/>
  <c r="DJ112" i="6" s="1"/>
  <c r="J112" i="6"/>
  <c r="Y100" i="15" s="1"/>
  <c r="J111" i="6"/>
  <c r="X100" i="15" s="1"/>
  <c r="J109" i="6"/>
  <c r="X98" i="15" s="1"/>
  <c r="Z98" i="15" s="1"/>
  <c r="K108" i="6"/>
  <c r="DJ108" i="6" s="1"/>
  <c r="J108" i="6"/>
  <c r="Y97" i="15" s="1"/>
  <c r="J107" i="6"/>
  <c r="X97" i="15" s="1"/>
  <c r="K106" i="6"/>
  <c r="DJ106" i="6" s="1"/>
  <c r="J106" i="6"/>
  <c r="Y96" i="15" s="1"/>
  <c r="J105" i="6"/>
  <c r="X96" i="15" s="1"/>
  <c r="J104" i="6"/>
  <c r="X95" i="15" s="1"/>
  <c r="Z95" i="15" s="1"/>
  <c r="K103" i="6"/>
  <c r="DJ103" i="6" s="1"/>
  <c r="J103" i="6"/>
  <c r="Y94" i="15" s="1"/>
  <c r="J102" i="6"/>
  <c r="X94" i="15" s="1"/>
  <c r="J100" i="6"/>
  <c r="X92" i="15" s="1"/>
  <c r="Z92" i="15" s="1"/>
  <c r="J99" i="6"/>
  <c r="Y91" i="15" s="1"/>
  <c r="J98" i="6"/>
  <c r="X91" i="15" s="1"/>
  <c r="K97" i="6"/>
  <c r="DJ97" i="6" s="1"/>
  <c r="J97" i="6"/>
  <c r="Y90" i="15" s="1"/>
  <c r="J96" i="6"/>
  <c r="X90" i="15" s="1"/>
  <c r="J95" i="6"/>
  <c r="X89" i="15" s="1"/>
  <c r="Z89" i="15" s="1"/>
  <c r="K94" i="6"/>
  <c r="DJ94" i="6" s="1"/>
  <c r="J94" i="6"/>
  <c r="J93" i="6"/>
  <c r="X88" i="15" s="1"/>
  <c r="Z88" i="15" s="1"/>
  <c r="K90" i="6"/>
  <c r="DJ90" i="6" s="1"/>
  <c r="J90" i="6"/>
  <c r="Y85" i="15" s="1"/>
  <c r="J89" i="6"/>
  <c r="X85" i="15" s="1"/>
  <c r="K88" i="6"/>
  <c r="DJ88" i="6" s="1"/>
  <c r="J88" i="6"/>
  <c r="Y84" i="15" s="1"/>
  <c r="J87" i="6"/>
  <c r="X84" i="15" s="1"/>
  <c r="J86" i="6"/>
  <c r="X83" i="15" s="1"/>
  <c r="Z83" i="15" s="1"/>
  <c r="K85" i="6"/>
  <c r="DJ85" i="6" s="1"/>
  <c r="J85" i="6"/>
  <c r="Y82" i="15" s="1"/>
  <c r="J84" i="6"/>
  <c r="X82" i="15" s="1"/>
  <c r="G31" i="7"/>
  <c r="AF31" i="7" s="1"/>
  <c r="B4618" i="6"/>
  <c r="B4619" i="6"/>
  <c r="B4620" i="6"/>
  <c r="B4621" i="6"/>
  <c r="B4622" i="6"/>
  <c r="B4623" i="6"/>
  <c r="B4624" i="6"/>
  <c r="B4625" i="6"/>
  <c r="B4626" i="6"/>
  <c r="B4627" i="6"/>
  <c r="B4628" i="6"/>
  <c r="B4629" i="6"/>
  <c r="B4630" i="6"/>
  <c r="B4631" i="6"/>
  <c r="B4632" i="6"/>
  <c r="B4633" i="6"/>
  <c r="B4634" i="6"/>
  <c r="B4635" i="6"/>
  <c r="B4636" i="6"/>
  <c r="B4637" i="6"/>
  <c r="B4638" i="6"/>
  <c r="B4639" i="6"/>
  <c r="B4640" i="6"/>
  <c r="B4641" i="6"/>
  <c r="B4642" i="6"/>
  <c r="B4643" i="6"/>
  <c r="B4644" i="6"/>
  <c r="B4617" i="6"/>
  <c r="K4643" i="6"/>
  <c r="DJ4643" i="6" s="1"/>
  <c r="K4641" i="6"/>
  <c r="DJ4641" i="6" s="1"/>
  <c r="K4639" i="6"/>
  <c r="DJ4639" i="6" s="1"/>
  <c r="K4637" i="6"/>
  <c r="DJ4637" i="6" s="1"/>
  <c r="K4635" i="6"/>
  <c r="DJ4635" i="6" s="1"/>
  <c r="K4633" i="6"/>
  <c r="DJ4633" i="6" s="1"/>
  <c r="K4631" i="6"/>
  <c r="DJ4631" i="6" s="1"/>
  <c r="K4629" i="6"/>
  <c r="DJ4629" i="6" s="1"/>
  <c r="K4627" i="6"/>
  <c r="DJ4627" i="6" s="1"/>
  <c r="K4625" i="6"/>
  <c r="DJ4625" i="6" s="1"/>
  <c r="K4623" i="6"/>
  <c r="DJ4623" i="6" s="1"/>
  <c r="K4621" i="6"/>
  <c r="DJ4621" i="6" s="1"/>
  <c r="K4619" i="6"/>
  <c r="DJ4619" i="6" s="1"/>
  <c r="J4618" i="6"/>
  <c r="J4619" i="6"/>
  <c r="X331" i="15" s="1"/>
  <c r="Z331" i="15" s="1"/>
  <c r="W331" i="15" s="1"/>
  <c r="J4620" i="6"/>
  <c r="J4621" i="6"/>
  <c r="X332" i="15" s="1"/>
  <c r="Z332" i="15" s="1"/>
  <c r="W332" i="15" s="1"/>
  <c r="J4622" i="6"/>
  <c r="J4623" i="6"/>
  <c r="X333" i="15" s="1"/>
  <c r="Z333" i="15" s="1"/>
  <c r="W333" i="15" s="1"/>
  <c r="J4624" i="6"/>
  <c r="J4625" i="6"/>
  <c r="X334" i="15" s="1"/>
  <c r="Z334" i="15" s="1"/>
  <c r="W334" i="15" s="1"/>
  <c r="J4626" i="6"/>
  <c r="J4627" i="6"/>
  <c r="X335" i="15" s="1"/>
  <c r="Z335" i="15" s="1"/>
  <c r="W335" i="15" s="1"/>
  <c r="J4628" i="6"/>
  <c r="J4629" i="6"/>
  <c r="X336" i="15" s="1"/>
  <c r="Z336" i="15" s="1"/>
  <c r="W336" i="15" s="1"/>
  <c r="J4630" i="6"/>
  <c r="J4631" i="6"/>
  <c r="X337" i="15" s="1"/>
  <c r="Z337" i="15" s="1"/>
  <c r="W337" i="15" s="1"/>
  <c r="J4632" i="6"/>
  <c r="J4633" i="6"/>
  <c r="X338" i="15" s="1"/>
  <c r="Z338" i="15" s="1"/>
  <c r="W338" i="15" s="1"/>
  <c r="J4634" i="6"/>
  <c r="J4635" i="6"/>
  <c r="X339" i="15" s="1"/>
  <c r="Z339" i="15" s="1"/>
  <c r="W339" i="15" s="1"/>
  <c r="J4636" i="6"/>
  <c r="J4637" i="6"/>
  <c r="X340" i="15" s="1"/>
  <c r="Z340" i="15" s="1"/>
  <c r="W340" i="15" s="1"/>
  <c r="J4638" i="6"/>
  <c r="J4639" i="6"/>
  <c r="X341" i="15" s="1"/>
  <c r="Z341" i="15" s="1"/>
  <c r="W341" i="15" s="1"/>
  <c r="J4640" i="6"/>
  <c r="J4641" i="6"/>
  <c r="X342" i="15" s="1"/>
  <c r="Z342" i="15" s="1"/>
  <c r="W342" i="15" s="1"/>
  <c r="J4642" i="6"/>
  <c r="J4643" i="6"/>
  <c r="X343" i="15" s="1"/>
  <c r="Z343" i="15" s="1"/>
  <c r="W343" i="15" s="1"/>
  <c r="J4644" i="6"/>
  <c r="K4617" i="6"/>
  <c r="DJ4617" i="6" s="1"/>
  <c r="J4617" i="6"/>
  <c r="X330" i="15" s="1"/>
  <c r="Z330" i="15" s="1"/>
  <c r="W330" i="15" s="1"/>
  <c r="V4722" i="6"/>
  <c r="V4721" i="6"/>
  <c r="K336" i="15"/>
  <c r="H4632" i="6"/>
  <c r="H4631" i="6"/>
  <c r="H4630" i="6"/>
  <c r="H4629" i="6"/>
  <c r="H4628" i="6"/>
  <c r="H4627" i="6"/>
  <c r="H4626" i="6"/>
  <c r="H4625" i="6"/>
  <c r="H4620" i="6"/>
  <c r="H4619" i="6"/>
  <c r="H4618" i="6"/>
  <c r="H4617" i="6"/>
  <c r="Z126" i="15" l="1"/>
  <c r="J671" i="6"/>
  <c r="AF4631" i="6"/>
  <c r="K337" i="15"/>
  <c r="AB332" i="15"/>
  <c r="AB334" i="15"/>
  <c r="AF4633" i="6"/>
  <c r="K338" i="15"/>
  <c r="AB336" i="15"/>
  <c r="AF4619" i="6"/>
  <c r="K331" i="15"/>
  <c r="AB337" i="15"/>
  <c r="AB333" i="15"/>
  <c r="AF4623" i="6"/>
  <c r="K333" i="15"/>
  <c r="AB339" i="15"/>
  <c r="AB340" i="15"/>
  <c r="AF4639" i="6"/>
  <c r="K341" i="15"/>
  <c r="AB335" i="15"/>
  <c r="AB341" i="15"/>
  <c r="AB330" i="15"/>
  <c r="AB343" i="15"/>
  <c r="AB331" i="15"/>
  <c r="AF4637" i="6"/>
  <c r="K340" i="15"/>
  <c r="AF4621" i="6"/>
  <c r="K332" i="15"/>
  <c r="AB342" i="15"/>
  <c r="AF4627" i="6"/>
  <c r="K335" i="15"/>
  <c r="AF4625" i="6"/>
  <c r="K334" i="15"/>
  <c r="AF4629" i="6"/>
  <c r="AF4635" i="6"/>
  <c r="K339" i="15"/>
  <c r="AB338" i="15"/>
  <c r="K799" i="6"/>
  <c r="DJ799" i="6" s="1"/>
  <c r="Z277" i="15"/>
  <c r="K792" i="6"/>
  <c r="DJ792" i="6" s="1"/>
  <c r="K809" i="6"/>
  <c r="DJ809" i="6" s="1"/>
  <c r="Z190" i="15"/>
  <c r="K775" i="6"/>
  <c r="DJ775" i="6" s="1"/>
  <c r="K817" i="6"/>
  <c r="DJ817" i="6" s="1"/>
  <c r="K801" i="6"/>
  <c r="DJ801" i="6" s="1"/>
  <c r="K781" i="6"/>
  <c r="DJ781" i="6" s="1"/>
  <c r="K805" i="6"/>
  <c r="DJ805" i="6" s="1"/>
  <c r="Z252" i="15"/>
  <c r="K785" i="6"/>
  <c r="DJ785" i="6" s="1"/>
  <c r="Z201" i="15"/>
  <c r="Z262" i="15"/>
  <c r="Z279" i="15"/>
  <c r="Z250" i="15"/>
  <c r="Z267" i="15"/>
  <c r="K793" i="6"/>
  <c r="DJ793" i="6" s="1"/>
  <c r="Z280" i="15"/>
  <c r="K815" i="6"/>
  <c r="DJ815" i="6" s="1"/>
  <c r="K816" i="6"/>
  <c r="DJ816" i="6" s="1"/>
  <c r="K800" i="6"/>
  <c r="DJ800" i="6" s="1"/>
  <c r="K791" i="6"/>
  <c r="DJ791" i="6" s="1"/>
  <c r="Z185" i="15"/>
  <c r="Z242" i="15"/>
  <c r="Z274" i="15"/>
  <c r="Z134" i="15"/>
  <c r="Z271" i="15"/>
  <c r="Z261" i="15"/>
  <c r="Z266" i="15"/>
  <c r="Z135" i="15"/>
  <c r="Z138" i="15"/>
  <c r="Z181" i="15"/>
  <c r="Z183" i="15"/>
  <c r="Z84" i="15"/>
  <c r="Z184" i="15"/>
  <c r="Z180" i="15"/>
  <c r="Z96" i="15"/>
  <c r="Z200" i="15"/>
  <c r="Z260" i="15"/>
  <c r="Z253" i="15"/>
  <c r="Z102" i="15"/>
  <c r="Z223" i="15"/>
  <c r="Z268" i="15"/>
  <c r="Z251" i="15"/>
  <c r="L154" i="15"/>
  <c r="AF809" i="6"/>
  <c r="J843" i="6"/>
  <c r="AF841" i="6"/>
  <c r="J1069" i="6"/>
  <c r="AF1069" i="6" s="1"/>
  <c r="AF1051" i="6"/>
  <c r="Z170" i="15"/>
  <c r="N174" i="15"/>
  <c r="AF1529" i="6"/>
  <c r="H1550" i="6"/>
  <c r="I1550" i="6" s="1"/>
  <c r="S181" i="15" s="1"/>
  <c r="E181" i="15"/>
  <c r="H1558" i="6"/>
  <c r="I1558" i="6" s="1"/>
  <c r="S183" i="15" s="1"/>
  <c r="E183" i="15"/>
  <c r="L190" i="15"/>
  <c r="AF1577" i="6"/>
  <c r="L192" i="15"/>
  <c r="AF1585" i="6"/>
  <c r="H1602" i="6"/>
  <c r="I1602" i="6" s="1"/>
  <c r="S199" i="15" s="1"/>
  <c r="E199" i="15"/>
  <c r="K217" i="15"/>
  <c r="AF1642" i="6"/>
  <c r="K222" i="15"/>
  <c r="AF1652" i="6"/>
  <c r="K226" i="15"/>
  <c r="AF1664" i="6"/>
  <c r="L233" i="15"/>
  <c r="AF1685" i="6"/>
  <c r="N235" i="15"/>
  <c r="AF1695" i="6"/>
  <c r="M255" i="15"/>
  <c r="AF1756" i="6"/>
  <c r="L258" i="15"/>
  <c r="AF1767" i="6"/>
  <c r="H1786" i="6"/>
  <c r="I1786" i="6" s="1"/>
  <c r="Q263" i="15" s="1"/>
  <c r="C263" i="15"/>
  <c r="Z265" i="15"/>
  <c r="N267" i="15"/>
  <c r="AF1805" i="6"/>
  <c r="M270" i="15"/>
  <c r="AF1816" i="6"/>
  <c r="M272" i="15"/>
  <c r="AF1824" i="6"/>
  <c r="H1833" i="6"/>
  <c r="I1833" i="6" s="1"/>
  <c r="R275" i="15" s="1"/>
  <c r="D275" i="15"/>
  <c r="L283" i="15"/>
  <c r="AF1861" i="6"/>
  <c r="M258" i="15"/>
  <c r="AF1768" i="6"/>
  <c r="L132" i="15"/>
  <c r="AF753" i="6"/>
  <c r="L135" i="15"/>
  <c r="AF761" i="6"/>
  <c r="L181" i="15"/>
  <c r="AF1549" i="6"/>
  <c r="H1583" i="6"/>
  <c r="I1583" i="6" s="1"/>
  <c r="T191" i="15" s="1"/>
  <c r="F191" i="15"/>
  <c r="L199" i="15"/>
  <c r="AF1601" i="6"/>
  <c r="L206" i="15"/>
  <c r="AF1621" i="6"/>
  <c r="K216" i="15"/>
  <c r="AF1640" i="6"/>
  <c r="H1773" i="6"/>
  <c r="I1773" i="6" s="1"/>
  <c r="T259" i="15" s="1"/>
  <c r="F259" i="15"/>
  <c r="N264" i="15"/>
  <c r="AF1793" i="6"/>
  <c r="K270" i="15"/>
  <c r="AF1814" i="6"/>
  <c r="K275" i="15"/>
  <c r="AF1832" i="6"/>
  <c r="H1850" i="6"/>
  <c r="I1850" i="6" s="1"/>
  <c r="S279" i="15" s="1"/>
  <c r="E279" i="15"/>
  <c r="L2813" i="6"/>
  <c r="AF2813" i="6"/>
  <c r="K240" i="6"/>
  <c r="L86" i="6" s="1"/>
  <c r="AJ83" i="15" s="1"/>
  <c r="AF240" i="6"/>
  <c r="L174" i="15"/>
  <c r="AF1527" i="6"/>
  <c r="H1549" i="6"/>
  <c r="I1549" i="6" s="1"/>
  <c r="R181" i="15" s="1"/>
  <c r="D181" i="15"/>
  <c r="M185" i="15"/>
  <c r="AF1566" i="6"/>
  <c r="N201" i="15"/>
  <c r="AF1611" i="6"/>
  <c r="L211" i="15"/>
  <c r="AF1631" i="6"/>
  <c r="K221" i="15"/>
  <c r="I221" i="15" s="1"/>
  <c r="AF1650" i="6"/>
  <c r="K233" i="15"/>
  <c r="AF1684" i="6"/>
  <c r="K247" i="15"/>
  <c r="AF1724" i="6"/>
  <c r="N262" i="15"/>
  <c r="AF1785" i="6"/>
  <c r="H1832" i="6"/>
  <c r="I1832" i="6" s="1"/>
  <c r="Q275" i="15" s="1"/>
  <c r="C275" i="15"/>
  <c r="K294" i="15"/>
  <c r="AF1886" i="6"/>
  <c r="Z120" i="15"/>
  <c r="K306" i="6"/>
  <c r="K739" i="6" s="1"/>
  <c r="AF306" i="6"/>
  <c r="J792" i="6"/>
  <c r="Y148" i="15" s="1"/>
  <c r="Y147" i="15"/>
  <c r="F760" i="6"/>
  <c r="AF1049" i="6"/>
  <c r="K190" i="15"/>
  <c r="AF1576" i="6"/>
  <c r="K196" i="15"/>
  <c r="I196" i="15" s="1"/>
  <c r="AF1592" i="6"/>
  <c r="K207" i="15"/>
  <c r="AF1622" i="6"/>
  <c r="L216" i="15"/>
  <c r="AF1641" i="6"/>
  <c r="L225" i="15"/>
  <c r="AF1663" i="6"/>
  <c r="M235" i="15"/>
  <c r="AF1694" i="6"/>
  <c r="H1755" i="6"/>
  <c r="I1755" i="6" s="1"/>
  <c r="R255" i="15" s="1"/>
  <c r="D255" i="15"/>
  <c r="K260" i="15"/>
  <c r="I260" i="15" s="1"/>
  <c r="AF1774" i="6"/>
  <c r="H1804" i="6"/>
  <c r="I1804" i="6" s="1"/>
  <c r="S267" i="15" s="1"/>
  <c r="E267" i="15"/>
  <c r="L272" i="15"/>
  <c r="AF1823" i="6"/>
  <c r="N279" i="15"/>
  <c r="AF1851" i="6"/>
  <c r="H1860" i="6"/>
  <c r="I1860" i="6" s="1"/>
  <c r="Q283" i="15" s="1"/>
  <c r="C283" i="15"/>
  <c r="M138" i="15"/>
  <c r="AF770" i="6"/>
  <c r="Z174" i="15"/>
  <c r="M181" i="15"/>
  <c r="AF1550" i="6"/>
  <c r="N185" i="15"/>
  <c r="AF1567" i="6"/>
  <c r="M199" i="15"/>
  <c r="AF1602" i="6"/>
  <c r="H1622" i="6"/>
  <c r="I1622" i="6" s="1"/>
  <c r="Q207" i="15" s="1"/>
  <c r="C207" i="15"/>
  <c r="L247" i="15"/>
  <c r="AF1725" i="6"/>
  <c r="K253" i="15"/>
  <c r="I253" i="15" s="1"/>
  <c r="AF1746" i="6"/>
  <c r="K263" i="15"/>
  <c r="AF1786" i="6"/>
  <c r="L290" i="15"/>
  <c r="AF1879" i="6"/>
  <c r="Z109" i="15"/>
  <c r="L133" i="15"/>
  <c r="AF755" i="6"/>
  <c r="J814" i="6"/>
  <c r="X156" i="15" s="1"/>
  <c r="X155" i="15"/>
  <c r="F772" i="6"/>
  <c r="I772" i="6" s="1"/>
  <c r="Q139" i="15" s="1"/>
  <c r="O139" i="15" s="1"/>
  <c r="AF1052" i="6"/>
  <c r="N170" i="15"/>
  <c r="AF1519" i="6"/>
  <c r="K186" i="15"/>
  <c r="AF1568" i="6"/>
  <c r="L212" i="15"/>
  <c r="AF1633" i="6"/>
  <c r="H1685" i="6"/>
  <c r="I1685" i="6" s="1"/>
  <c r="R233" i="15" s="1"/>
  <c r="D233" i="15"/>
  <c r="M244" i="15"/>
  <c r="AF1716" i="6"/>
  <c r="K251" i="15"/>
  <c r="AF1738" i="6"/>
  <c r="H1756" i="6"/>
  <c r="I1756" i="6" s="1"/>
  <c r="S255" i="15" s="1"/>
  <c r="E255" i="15"/>
  <c r="M260" i="15"/>
  <c r="J260" i="15" s="1"/>
  <c r="AF1776" i="6"/>
  <c r="N265" i="15"/>
  <c r="AF1797" i="6"/>
  <c r="H1805" i="6"/>
  <c r="I1805" i="6" s="1"/>
  <c r="T267" i="15" s="1"/>
  <c r="F267" i="15"/>
  <c r="Z272" i="15"/>
  <c r="K280" i="15"/>
  <c r="AF1852" i="6"/>
  <c r="H1861" i="6"/>
  <c r="I1861" i="6" s="1"/>
  <c r="R283" i="15" s="1"/>
  <c r="D283" i="15"/>
  <c r="K291" i="15"/>
  <c r="AF1880" i="6"/>
  <c r="K295" i="15"/>
  <c r="AF1888" i="6"/>
  <c r="Z121" i="15"/>
  <c r="K289" i="6"/>
  <c r="L135" i="6" s="1"/>
  <c r="AF289" i="6"/>
  <c r="N135" i="15"/>
  <c r="AF763" i="6"/>
  <c r="N138" i="15"/>
  <c r="AF771" i="6"/>
  <c r="J798" i="6"/>
  <c r="X150" i="15" s="1"/>
  <c r="X149" i="15"/>
  <c r="N181" i="15"/>
  <c r="AF1551" i="6"/>
  <c r="N183" i="15"/>
  <c r="AF1559" i="6"/>
  <c r="M190" i="15"/>
  <c r="AF1578" i="6"/>
  <c r="K193" i="15"/>
  <c r="AF1586" i="6"/>
  <c r="N199" i="15"/>
  <c r="AF1603" i="6"/>
  <c r="K203" i="15"/>
  <c r="AF1614" i="6"/>
  <c r="H1623" i="6"/>
  <c r="I1623" i="6" s="1"/>
  <c r="R207" i="15" s="1"/>
  <c r="D207" i="15"/>
  <c r="L217" i="15"/>
  <c r="AF1643" i="6"/>
  <c r="L222" i="15"/>
  <c r="AF1653" i="6"/>
  <c r="L226" i="15"/>
  <c r="AF1665" i="6"/>
  <c r="N230" i="15"/>
  <c r="AF1675" i="6"/>
  <c r="K236" i="15"/>
  <c r="AF1696" i="6"/>
  <c r="Z244" i="15"/>
  <c r="H1738" i="6"/>
  <c r="I1738" i="6" s="1"/>
  <c r="Q251" i="15" s="1"/>
  <c r="C251" i="15"/>
  <c r="M253" i="15"/>
  <c r="AF1748" i="6"/>
  <c r="Z255" i="15"/>
  <c r="L263" i="15"/>
  <c r="AF1787" i="6"/>
  <c r="N270" i="15"/>
  <c r="AF1817" i="6"/>
  <c r="N272" i="15"/>
  <c r="AF1825" i="6"/>
  <c r="M275" i="15"/>
  <c r="AF1834" i="6"/>
  <c r="H1872" i="6"/>
  <c r="I1872" i="6" s="1"/>
  <c r="S287" i="15" s="1"/>
  <c r="E287" i="15"/>
  <c r="H1880" i="6"/>
  <c r="I1880" i="6" s="1"/>
  <c r="Q291" i="15" s="1"/>
  <c r="C291" i="15"/>
  <c r="H1888" i="6"/>
  <c r="I1888" i="6" s="1"/>
  <c r="Q295" i="15" s="1"/>
  <c r="C295" i="15"/>
  <c r="Z100" i="15"/>
  <c r="K246" i="6"/>
  <c r="K679" i="6" s="1"/>
  <c r="AF246" i="6"/>
  <c r="J397" i="6"/>
  <c r="AF397" i="6" s="1"/>
  <c r="AF395" i="6"/>
  <c r="L149" i="15"/>
  <c r="AF795" i="6"/>
  <c r="K171" i="15"/>
  <c r="AF1520" i="6"/>
  <c r="L179" i="15"/>
  <c r="AF1543" i="6"/>
  <c r="H1551" i="6"/>
  <c r="I1551" i="6" s="1"/>
  <c r="T181" i="15" s="1"/>
  <c r="F181" i="15"/>
  <c r="H1559" i="6"/>
  <c r="I1559" i="6" s="1"/>
  <c r="T183" i="15" s="1"/>
  <c r="F183" i="15"/>
  <c r="L186" i="15"/>
  <c r="AF1569" i="6"/>
  <c r="H1586" i="6"/>
  <c r="I1586" i="6" s="1"/>
  <c r="Q193" i="15" s="1"/>
  <c r="C193" i="15"/>
  <c r="L197" i="15"/>
  <c r="AF1595" i="6"/>
  <c r="H1603" i="6"/>
  <c r="I1603" i="6" s="1"/>
  <c r="T199" i="15" s="1"/>
  <c r="F199" i="15"/>
  <c r="H1614" i="6"/>
  <c r="I1614" i="6" s="1"/>
  <c r="Q203" i="15" s="1"/>
  <c r="C203" i="15"/>
  <c r="K213" i="15"/>
  <c r="AF1634" i="6"/>
  <c r="M233" i="15"/>
  <c r="AF1686" i="6"/>
  <c r="L241" i="15"/>
  <c r="AF1707" i="6"/>
  <c r="N244" i="15"/>
  <c r="AF1717" i="6"/>
  <c r="L248" i="15"/>
  <c r="AF1727" i="6"/>
  <c r="N255" i="15"/>
  <c r="AF1757" i="6"/>
  <c r="Z258" i="15"/>
  <c r="H1787" i="6"/>
  <c r="I1787" i="6" s="1"/>
  <c r="R263" i="15" s="1"/>
  <c r="D263" i="15"/>
  <c r="K266" i="15"/>
  <c r="AF1798" i="6"/>
  <c r="K268" i="15"/>
  <c r="I268" i="15" s="1"/>
  <c r="AF1806" i="6"/>
  <c r="H1834" i="6"/>
  <c r="I1834" i="6" s="1"/>
  <c r="S275" i="15" s="1"/>
  <c r="E275" i="15"/>
  <c r="L278" i="15"/>
  <c r="AF1845" i="6"/>
  <c r="L280" i="15"/>
  <c r="AF1853" i="6"/>
  <c r="K284" i="15"/>
  <c r="I284" i="15" s="1"/>
  <c r="AF1862" i="6"/>
  <c r="Z287" i="15"/>
  <c r="Z112" i="15"/>
  <c r="J271" i="6"/>
  <c r="AF269" i="6"/>
  <c r="K291" i="6"/>
  <c r="K724" i="6" s="1"/>
  <c r="AF291" i="6"/>
  <c r="K134" i="15"/>
  <c r="AF756" i="6"/>
  <c r="J816" i="6"/>
  <c r="Y156" i="15" s="1"/>
  <c r="Y155" i="15"/>
  <c r="M168" i="15"/>
  <c r="J168" i="15" s="1"/>
  <c r="AF1510" i="6"/>
  <c r="Z175" i="15"/>
  <c r="N190" i="15"/>
  <c r="AF1579" i="6"/>
  <c r="K208" i="15"/>
  <c r="I208" i="15" s="1"/>
  <c r="AF1624" i="6"/>
  <c r="H1634" i="6"/>
  <c r="I1634" i="6" s="1"/>
  <c r="Q213" i="15" s="1"/>
  <c r="C213" i="15"/>
  <c r="K218" i="15"/>
  <c r="AF1644" i="6"/>
  <c r="Z222" i="15"/>
  <c r="K227" i="15"/>
  <c r="AF1666" i="6"/>
  <c r="H1686" i="6"/>
  <c r="I1686" i="6" s="1"/>
  <c r="S233" i="15" s="1"/>
  <c r="E233" i="15"/>
  <c r="L236" i="15"/>
  <c r="AF1697" i="6"/>
  <c r="L251" i="15"/>
  <c r="AF1739" i="6"/>
  <c r="N253" i="15"/>
  <c r="AF1749" i="6"/>
  <c r="H1757" i="6"/>
  <c r="I1757" i="6" s="1"/>
  <c r="T255" i="15" s="1"/>
  <c r="F255" i="15"/>
  <c r="N258" i="15"/>
  <c r="AF1769" i="6"/>
  <c r="K261" i="15"/>
  <c r="I261" i="15" s="1"/>
  <c r="AF1778" i="6"/>
  <c r="K271" i="15"/>
  <c r="AF1818" i="6"/>
  <c r="K273" i="15"/>
  <c r="AF1826" i="6"/>
  <c r="Z275" i="15"/>
  <c r="N287" i="15"/>
  <c r="AF1873" i="6"/>
  <c r="L291" i="15"/>
  <c r="AF1881" i="6"/>
  <c r="L295" i="15"/>
  <c r="AF1889" i="6"/>
  <c r="L2796" i="6"/>
  <c r="AF2796" i="6"/>
  <c r="F1792" i="6"/>
  <c r="I1792" i="6" s="1"/>
  <c r="S264" i="15" s="1"/>
  <c r="AF2828" i="6"/>
  <c r="K248" i="6"/>
  <c r="K681" i="6" s="1"/>
  <c r="AF248" i="6"/>
  <c r="K270" i="6"/>
  <c r="K703" i="6" s="1"/>
  <c r="AF270" i="6"/>
  <c r="K124" i="15"/>
  <c r="I124" i="15" s="1"/>
  <c r="AF147" i="6"/>
  <c r="K136" i="15"/>
  <c r="AF764" i="6"/>
  <c r="J774" i="6"/>
  <c r="X140" i="15" s="1"/>
  <c r="X139" i="15"/>
  <c r="Z168" i="15"/>
  <c r="L171" i="15"/>
  <c r="AF1521" i="6"/>
  <c r="N175" i="15"/>
  <c r="AF1533" i="6"/>
  <c r="K180" i="15"/>
  <c r="AF1544" i="6"/>
  <c r="K182" i="15"/>
  <c r="AF1552" i="6"/>
  <c r="K184" i="15"/>
  <c r="AF1560" i="6"/>
  <c r="K187" i="15"/>
  <c r="AF1570" i="6"/>
  <c r="L193" i="15"/>
  <c r="AF1587" i="6"/>
  <c r="K198" i="15"/>
  <c r="AF1596" i="6"/>
  <c r="K200" i="15"/>
  <c r="I200" i="15" s="1"/>
  <c r="AF1604" i="6"/>
  <c r="H1615" i="6"/>
  <c r="D203" i="15"/>
  <c r="N222" i="15"/>
  <c r="AF1655" i="6"/>
  <c r="H1666" i="6"/>
  <c r="I1666" i="6" s="1"/>
  <c r="Q227" i="15" s="1"/>
  <c r="C227" i="15"/>
  <c r="Z233" i="15"/>
  <c r="K242" i="15"/>
  <c r="AF1708" i="6"/>
  <c r="K245" i="15"/>
  <c r="AF1718" i="6"/>
  <c r="Z248" i="15"/>
  <c r="H1739" i="6"/>
  <c r="I1739" i="6" s="1"/>
  <c r="R251" i="15" s="1"/>
  <c r="D251" i="15"/>
  <c r="M263" i="15"/>
  <c r="AF1788" i="6"/>
  <c r="L266" i="15"/>
  <c r="AF1799" i="6"/>
  <c r="H1818" i="6"/>
  <c r="I1818" i="6" s="1"/>
  <c r="Q271" i="15" s="1"/>
  <c r="C271" i="15"/>
  <c r="N275" i="15"/>
  <c r="AF1835" i="6"/>
  <c r="M278" i="15"/>
  <c r="AF1846" i="6"/>
  <c r="M280" i="15"/>
  <c r="AF1854" i="6"/>
  <c r="H1873" i="6"/>
  <c r="I1873" i="6" s="1"/>
  <c r="T287" i="15" s="1"/>
  <c r="F287" i="15"/>
  <c r="H1881" i="6"/>
  <c r="I1881" i="6" s="1"/>
  <c r="R291" i="15" s="1"/>
  <c r="D291" i="15"/>
  <c r="H1889" i="6"/>
  <c r="I1889" i="6" s="1"/>
  <c r="R295" i="15" s="1"/>
  <c r="D295" i="15"/>
  <c r="Z90" i="15"/>
  <c r="Z124" i="15"/>
  <c r="K293" i="6"/>
  <c r="K726" i="6" s="1"/>
  <c r="AF293" i="6"/>
  <c r="L134" i="15"/>
  <c r="AF757" i="6"/>
  <c r="J775" i="6"/>
  <c r="Y140" i="15" s="1"/>
  <c r="Y139" i="15"/>
  <c r="J800" i="6"/>
  <c r="Y150" i="15" s="1"/>
  <c r="Y149" i="15"/>
  <c r="Z182" i="15"/>
  <c r="H1570" i="6"/>
  <c r="I1570" i="6" s="1"/>
  <c r="Q187" i="15" s="1"/>
  <c r="C187" i="15"/>
  <c r="K191" i="15"/>
  <c r="AF1580" i="6"/>
  <c r="H1587" i="6"/>
  <c r="I1587" i="6" s="1"/>
  <c r="R193" i="15" s="1"/>
  <c r="D193" i="15"/>
  <c r="Z198" i="15"/>
  <c r="L213" i="15"/>
  <c r="AF1635" i="6"/>
  <c r="L218" i="15"/>
  <c r="AF1645" i="6"/>
  <c r="Z231" i="15"/>
  <c r="N233" i="15"/>
  <c r="AF1687" i="6"/>
  <c r="K237" i="15"/>
  <c r="AF1698" i="6"/>
  <c r="N248" i="15"/>
  <c r="AF1729" i="6"/>
  <c r="K254" i="15"/>
  <c r="AF1750" i="6"/>
  <c r="K256" i="15"/>
  <c r="AF1758" i="6"/>
  <c r="K259" i="15"/>
  <c r="AF1770" i="6"/>
  <c r="H1788" i="6"/>
  <c r="I1788" i="6" s="1"/>
  <c r="S263" i="15" s="1"/>
  <c r="E263" i="15"/>
  <c r="M268" i="15"/>
  <c r="J268" i="15" s="1"/>
  <c r="AF1808" i="6"/>
  <c r="L273" i="15"/>
  <c r="AF1827" i="6"/>
  <c r="H1835" i="6"/>
  <c r="I1835" i="6" s="1"/>
  <c r="T275" i="15" s="1"/>
  <c r="F275" i="15"/>
  <c r="Z278" i="15"/>
  <c r="K285" i="15"/>
  <c r="AF1864" i="6"/>
  <c r="L2797" i="6"/>
  <c r="AF2797" i="6"/>
  <c r="Z114" i="15"/>
  <c r="N149" i="15"/>
  <c r="AF797" i="6"/>
  <c r="K219" i="15"/>
  <c r="AF1646" i="6"/>
  <c r="H1667" i="6"/>
  <c r="I1667" i="6" s="1"/>
  <c r="R227" i="15" s="1"/>
  <c r="D227" i="15"/>
  <c r="H1740" i="6"/>
  <c r="I1740" i="6" s="1"/>
  <c r="S251" i="15" s="1"/>
  <c r="E251" i="15"/>
  <c r="L254" i="15"/>
  <c r="AF1751" i="6"/>
  <c r="N263" i="15"/>
  <c r="AF1789" i="6"/>
  <c r="K274" i="15"/>
  <c r="AF1828" i="6"/>
  <c r="Z91" i="15"/>
  <c r="K252" i="6"/>
  <c r="L98" i="6" s="1"/>
  <c r="AJ91" i="15" s="1"/>
  <c r="AF252" i="6"/>
  <c r="J298" i="6"/>
  <c r="AF296" i="6"/>
  <c r="M134" i="15"/>
  <c r="AF758" i="6"/>
  <c r="J780" i="6"/>
  <c r="X144" i="15" s="1"/>
  <c r="Z144" i="15" s="1"/>
  <c r="X143" i="15"/>
  <c r="Z143" i="15" s="1"/>
  <c r="M182" i="15"/>
  <c r="AF1554" i="6"/>
  <c r="H1571" i="6"/>
  <c r="I1571" i="6" s="1"/>
  <c r="R187" i="15" s="1"/>
  <c r="D187" i="15"/>
  <c r="M200" i="15"/>
  <c r="J200" i="15" s="1"/>
  <c r="AF1606" i="6"/>
  <c r="K214" i="15"/>
  <c r="I214" i="15" s="1"/>
  <c r="AF1636" i="6"/>
  <c r="K234" i="15"/>
  <c r="I234" i="15" s="1"/>
  <c r="AF1688" i="6"/>
  <c r="M242" i="15"/>
  <c r="AF1710" i="6"/>
  <c r="K246" i="15"/>
  <c r="AF1720" i="6"/>
  <c r="N261" i="15"/>
  <c r="AF1781" i="6"/>
  <c r="K269" i="15"/>
  <c r="I269" i="15" s="1"/>
  <c r="AF1810" i="6"/>
  <c r="K279" i="15"/>
  <c r="AF1848" i="6"/>
  <c r="L288" i="15"/>
  <c r="AF1875" i="6"/>
  <c r="L296" i="15"/>
  <c r="AF1891" i="6"/>
  <c r="Z130" i="15"/>
  <c r="K137" i="15"/>
  <c r="AF766" i="6"/>
  <c r="Z176" i="15"/>
  <c r="H1581" i="6"/>
  <c r="I1581" i="6" s="1"/>
  <c r="R191" i="15" s="1"/>
  <c r="D191" i="15"/>
  <c r="K228" i="15"/>
  <c r="I228" i="15" s="1"/>
  <c r="AF1668" i="6"/>
  <c r="Z249" i="15"/>
  <c r="Z256" i="15"/>
  <c r="L274" i="15"/>
  <c r="AF1829" i="6"/>
  <c r="H1848" i="6"/>
  <c r="I1848" i="6" s="1"/>
  <c r="Q279" i="15" s="1"/>
  <c r="C279" i="15"/>
  <c r="Z191" i="15"/>
  <c r="K239" i="6"/>
  <c r="K672" i="6" s="1"/>
  <c r="AF239" i="6"/>
  <c r="J262" i="6"/>
  <c r="AF260" i="6"/>
  <c r="L138" i="15"/>
  <c r="AF769" i="6"/>
  <c r="J808" i="6"/>
  <c r="X154" i="15" s="1"/>
  <c r="Z154" i="15" s="1"/>
  <c r="X153" i="15"/>
  <c r="Z153" i="15" s="1"/>
  <c r="L183" i="15"/>
  <c r="AF1557" i="6"/>
  <c r="L189" i="15"/>
  <c r="AF1575" i="6"/>
  <c r="H1591" i="6"/>
  <c r="I1591" i="6" s="1"/>
  <c r="R195" i="15" s="1"/>
  <c r="D195" i="15"/>
  <c r="K225" i="15"/>
  <c r="AF1662" i="6"/>
  <c r="L239" i="15"/>
  <c r="AF1703" i="6"/>
  <c r="M252" i="15"/>
  <c r="J252" i="15" s="1"/>
  <c r="AF1744" i="6"/>
  <c r="N257" i="15"/>
  <c r="AF1765" i="6"/>
  <c r="K272" i="15"/>
  <c r="AF1822" i="6"/>
  <c r="H1870" i="6"/>
  <c r="I1870" i="6" s="1"/>
  <c r="Q287" i="15" s="1"/>
  <c r="C287" i="15"/>
  <c r="F1613" i="6"/>
  <c r="I1613" i="6" s="1"/>
  <c r="R202" i="15" s="1"/>
  <c r="AF2545" i="6"/>
  <c r="K261" i="6"/>
  <c r="L107" i="6" s="1"/>
  <c r="AJ97" i="15" s="1"/>
  <c r="AF261" i="6"/>
  <c r="K284" i="6"/>
  <c r="L130" i="6" s="1"/>
  <c r="AF284" i="6"/>
  <c r="L153" i="15"/>
  <c r="AF807" i="6"/>
  <c r="L170" i="15"/>
  <c r="AF1517" i="6"/>
  <c r="K178" i="15"/>
  <c r="AF1540" i="6"/>
  <c r="H1557" i="6"/>
  <c r="I1557" i="6" s="1"/>
  <c r="R183" i="15" s="1"/>
  <c r="D183" i="15"/>
  <c r="H1601" i="6"/>
  <c r="I1601" i="6" s="1"/>
  <c r="R199" i="15" s="1"/>
  <c r="D199" i="15"/>
  <c r="K230" i="15"/>
  <c r="AF1672" i="6"/>
  <c r="K244" i="15"/>
  <c r="AF1714" i="6"/>
  <c r="M250" i="15"/>
  <c r="AF1736" i="6"/>
  <c r="L255" i="15"/>
  <c r="AF1755" i="6"/>
  <c r="M267" i="15"/>
  <c r="AF1804" i="6"/>
  <c r="M277" i="15"/>
  <c r="AF1842" i="6"/>
  <c r="K283" i="15"/>
  <c r="AF1860" i="6"/>
  <c r="K290" i="15"/>
  <c r="AF1878" i="6"/>
  <c r="L2700" i="6"/>
  <c r="AF2700" i="6"/>
  <c r="K192" i="15"/>
  <c r="AF1584" i="6"/>
  <c r="H1684" i="6"/>
  <c r="I1684" i="6" s="1"/>
  <c r="Q233" i="15" s="1"/>
  <c r="C233" i="15"/>
  <c r="K240" i="15"/>
  <c r="I240" i="15" s="1"/>
  <c r="AF1704" i="6"/>
  <c r="K258" i="15"/>
  <c r="AF1766" i="6"/>
  <c r="L270" i="15"/>
  <c r="AF1815" i="6"/>
  <c r="L287" i="15"/>
  <c r="I287" i="15" s="1"/>
  <c r="AF1871" i="6"/>
  <c r="L2814" i="6"/>
  <c r="AF2814" i="6"/>
  <c r="Z85" i="15"/>
  <c r="Z97" i="15"/>
  <c r="Z108" i="15"/>
  <c r="K264" i="6"/>
  <c r="L110" i="6" s="1"/>
  <c r="AJ99" i="15" s="1"/>
  <c r="AF264" i="6"/>
  <c r="K307" i="6"/>
  <c r="L153" i="6" s="1"/>
  <c r="AF307" i="6"/>
  <c r="K133" i="15"/>
  <c r="AF754" i="6"/>
  <c r="M135" i="15"/>
  <c r="AF762" i="6"/>
  <c r="J1068" i="6"/>
  <c r="AF1068" i="6" s="1"/>
  <c r="AF1050" i="6"/>
  <c r="M170" i="15"/>
  <c r="AF1518" i="6"/>
  <c r="L178" i="15"/>
  <c r="AF1541" i="6"/>
  <c r="M183" i="15"/>
  <c r="AF1558" i="6"/>
  <c r="K202" i="15"/>
  <c r="AF1612" i="6"/>
  <c r="K212" i="15"/>
  <c r="AF1632" i="6"/>
  <c r="L230" i="15"/>
  <c r="AF1673" i="6"/>
  <c r="Z235" i="15"/>
  <c r="L244" i="15"/>
  <c r="AF1715" i="6"/>
  <c r="N250" i="15"/>
  <c r="AF1737" i="6"/>
  <c r="L275" i="15"/>
  <c r="AF1833" i="6"/>
  <c r="N277" i="15"/>
  <c r="AF1843" i="6"/>
  <c r="H1851" i="6"/>
  <c r="I1851" i="6" s="1"/>
  <c r="T279" i="15" s="1"/>
  <c r="F279" i="15"/>
  <c r="H1871" i="6"/>
  <c r="I1871" i="6" s="1"/>
  <c r="R287" i="15" s="1"/>
  <c r="D287" i="15"/>
  <c r="L294" i="15"/>
  <c r="AF1887" i="6"/>
  <c r="K243" i="6"/>
  <c r="K676" i="6" s="1"/>
  <c r="AF243" i="6"/>
  <c r="K244" i="6"/>
  <c r="K677" i="6" s="1"/>
  <c r="AF244" i="6"/>
  <c r="K266" i="6"/>
  <c r="L112" i="6" s="1"/>
  <c r="AF266" i="6"/>
  <c r="K288" i="6"/>
  <c r="K721" i="6" s="1"/>
  <c r="AF288" i="6"/>
  <c r="K309" i="6"/>
  <c r="K742" i="6" s="1"/>
  <c r="AF309" i="6"/>
  <c r="J956" i="6"/>
  <c r="AF956" i="6" s="1"/>
  <c r="AF947" i="6"/>
  <c r="K168" i="15"/>
  <c r="I168" i="15" s="1"/>
  <c r="AF1508" i="6"/>
  <c r="K179" i="15"/>
  <c r="AF1542" i="6"/>
  <c r="K197" i="15"/>
  <c r="AF1594" i="6"/>
  <c r="L207" i="15"/>
  <c r="AF1623" i="6"/>
  <c r="Z230" i="15"/>
  <c r="K241" i="15"/>
  <c r="AF1706" i="6"/>
  <c r="K248" i="15"/>
  <c r="AF1726" i="6"/>
  <c r="Z270" i="15"/>
  <c r="K278" i="15"/>
  <c r="AF1844" i="6"/>
  <c r="M287" i="15"/>
  <c r="AF1872" i="6"/>
  <c r="L679" i="6"/>
  <c r="J679" i="6" s="1"/>
  <c r="K273" i="6"/>
  <c r="K706" i="6" s="1"/>
  <c r="AF273" i="6"/>
  <c r="J406" i="6"/>
  <c r="AF406" i="6" s="1"/>
  <c r="AF404" i="6"/>
  <c r="K130" i="15"/>
  <c r="I130" i="15" s="1"/>
  <c r="AF749" i="6"/>
  <c r="L136" i="15"/>
  <c r="AF765" i="6"/>
  <c r="K169" i="15"/>
  <c r="AF1512" i="6"/>
  <c r="K172" i="15"/>
  <c r="AF1522" i="6"/>
  <c r="L180" i="15"/>
  <c r="AF1545" i="6"/>
  <c r="L182" i="15"/>
  <c r="AF1553" i="6"/>
  <c r="L184" i="15"/>
  <c r="AF1561" i="6"/>
  <c r="H1580" i="6"/>
  <c r="I1580" i="6" s="1"/>
  <c r="Q191" i="15" s="1"/>
  <c r="C191" i="15"/>
  <c r="L198" i="15"/>
  <c r="AF1597" i="6"/>
  <c r="K204" i="15"/>
  <c r="AF1616" i="6"/>
  <c r="K209" i="15"/>
  <c r="AF1626" i="6"/>
  <c r="H1635" i="6"/>
  <c r="I1635" i="6" s="1"/>
  <c r="R213" i="15" s="1"/>
  <c r="D213" i="15"/>
  <c r="L227" i="15"/>
  <c r="AF1667" i="6"/>
  <c r="N231" i="15"/>
  <c r="AF1679" i="6"/>
  <c r="H1687" i="6"/>
  <c r="I1687" i="6" s="1"/>
  <c r="T233" i="15" s="1"/>
  <c r="F233" i="15"/>
  <c r="L242" i="15"/>
  <c r="AF1709" i="6"/>
  <c r="L245" i="15"/>
  <c r="AF1719" i="6"/>
  <c r="M251" i="15"/>
  <c r="AF1740" i="6"/>
  <c r="H1770" i="6"/>
  <c r="I1770" i="6" s="1"/>
  <c r="Q259" i="15" s="1"/>
  <c r="C259" i="15"/>
  <c r="M261" i="15"/>
  <c r="AF1780" i="6"/>
  <c r="Z263" i="15"/>
  <c r="M266" i="15"/>
  <c r="AF1800" i="6"/>
  <c r="L271" i="15"/>
  <c r="AF1819" i="6"/>
  <c r="N278" i="15"/>
  <c r="AF1847" i="6"/>
  <c r="N280" i="15"/>
  <c r="AF1855" i="6"/>
  <c r="K288" i="15"/>
  <c r="AF1874" i="6"/>
  <c r="K292" i="15"/>
  <c r="AF1882" i="6"/>
  <c r="K296" i="15"/>
  <c r="AF1890" i="6"/>
  <c r="J253" i="6"/>
  <c r="AF251" i="6"/>
  <c r="J777" i="6"/>
  <c r="X142" i="15" s="1"/>
  <c r="Z142" i="15" s="1"/>
  <c r="X141" i="15"/>
  <c r="Z141" i="15" s="1"/>
  <c r="L176" i="15"/>
  <c r="AF1535" i="6"/>
  <c r="L187" i="15"/>
  <c r="AF1571" i="6"/>
  <c r="K194" i="15"/>
  <c r="AF1588" i="6"/>
  <c r="L237" i="15"/>
  <c r="AF1699" i="6"/>
  <c r="L256" i="15"/>
  <c r="AF1759" i="6"/>
  <c r="H1819" i="6"/>
  <c r="I1819" i="6" s="1"/>
  <c r="R271" i="15" s="1"/>
  <c r="D271" i="15"/>
  <c r="K276" i="15"/>
  <c r="I276" i="15" s="1"/>
  <c r="AF1836" i="6"/>
  <c r="L285" i="15"/>
  <c r="AF1865" i="6"/>
  <c r="F1732" i="6"/>
  <c r="I1732" i="6" s="1"/>
  <c r="S249" i="15" s="1"/>
  <c r="AF2798" i="6"/>
  <c r="L2830" i="6"/>
  <c r="AF2830" i="6"/>
  <c r="K275" i="6"/>
  <c r="K708" i="6" s="1"/>
  <c r="AF275" i="6"/>
  <c r="M130" i="15"/>
  <c r="J130" i="15" s="1"/>
  <c r="AF750" i="6"/>
  <c r="L169" i="15"/>
  <c r="AF1513" i="6"/>
  <c r="L172" i="15"/>
  <c r="AF1523" i="6"/>
  <c r="M180" i="15"/>
  <c r="AF1546" i="6"/>
  <c r="M184" i="15"/>
  <c r="AF1562" i="6"/>
  <c r="L191" i="15"/>
  <c r="AF1581" i="6"/>
  <c r="M198" i="15"/>
  <c r="AF1598" i="6"/>
  <c r="L204" i="15"/>
  <c r="AF1617" i="6"/>
  <c r="L209" i="15"/>
  <c r="AF1627" i="6"/>
  <c r="H1646" i="6"/>
  <c r="I1646" i="6" s="1"/>
  <c r="Q219" i="15" s="1"/>
  <c r="C219" i="15"/>
  <c r="K232" i="15"/>
  <c r="AF1680" i="6"/>
  <c r="L259" i="15"/>
  <c r="AF1771" i="6"/>
  <c r="H1789" i="6"/>
  <c r="I1789" i="6" s="1"/>
  <c r="T263" i="15" s="1"/>
  <c r="F263" i="15"/>
  <c r="N266" i="15"/>
  <c r="AF1801" i="6"/>
  <c r="K281" i="15"/>
  <c r="AF1856" i="6"/>
  <c r="L292" i="15"/>
  <c r="AF1883" i="6"/>
  <c r="Z103" i="15"/>
  <c r="K297" i="6"/>
  <c r="K730" i="6" s="1"/>
  <c r="AF297" i="6"/>
  <c r="L194" i="15"/>
  <c r="AF1589" i="6"/>
  <c r="N223" i="15"/>
  <c r="AF1659" i="6"/>
  <c r="K238" i="15"/>
  <c r="AF1700" i="6"/>
  <c r="N251" i="15"/>
  <c r="AF1741" i="6"/>
  <c r="M254" i="15"/>
  <c r="AF1752" i="6"/>
  <c r="H1771" i="6"/>
  <c r="I1771" i="6" s="1"/>
  <c r="R259" i="15" s="1"/>
  <c r="D259" i="15"/>
  <c r="M271" i="15"/>
  <c r="AF1820" i="6"/>
  <c r="Z115" i="15"/>
  <c r="K255" i="6"/>
  <c r="K688" i="6" s="1"/>
  <c r="AF255" i="6"/>
  <c r="J415" i="6"/>
  <c r="AF415" i="6" s="1"/>
  <c r="AF413" i="6"/>
  <c r="L150" i="15"/>
  <c r="AF799" i="6"/>
  <c r="M169" i="15"/>
  <c r="AF1514" i="6"/>
  <c r="K173" i="15"/>
  <c r="AF1524" i="6"/>
  <c r="N176" i="15"/>
  <c r="AF1537" i="6"/>
  <c r="N180" i="15"/>
  <c r="AF1547" i="6"/>
  <c r="N182" i="15"/>
  <c r="AF1555" i="6"/>
  <c r="N184" i="15"/>
  <c r="AF1563" i="6"/>
  <c r="K188" i="15"/>
  <c r="I188" i="15" s="1"/>
  <c r="AF1572" i="6"/>
  <c r="N198" i="15"/>
  <c r="AF1599" i="6"/>
  <c r="K210" i="15"/>
  <c r="AF1628" i="6"/>
  <c r="L219" i="15"/>
  <c r="AF1647" i="6"/>
  <c r="L232" i="15"/>
  <c r="AF1681" i="6"/>
  <c r="N242" i="15"/>
  <c r="AF1711" i="6"/>
  <c r="L246" i="15"/>
  <c r="AF1721" i="6"/>
  <c r="N249" i="15"/>
  <c r="AF1733" i="6"/>
  <c r="H1741" i="6"/>
  <c r="I1741" i="6" s="1"/>
  <c r="T251" i="15" s="1"/>
  <c r="F251" i="15"/>
  <c r="Z254" i="15"/>
  <c r="N256" i="15"/>
  <c r="AF1761" i="6"/>
  <c r="K262" i="15"/>
  <c r="AF1782" i="6"/>
  <c r="K264" i="15"/>
  <c r="AF1790" i="6"/>
  <c r="K267" i="15"/>
  <c r="AF1802" i="6"/>
  <c r="H1820" i="6"/>
  <c r="I1820" i="6" s="1"/>
  <c r="S271" i="15" s="1"/>
  <c r="E271" i="15"/>
  <c r="M276" i="15"/>
  <c r="J276" i="15" s="1"/>
  <c r="AF1838" i="6"/>
  <c r="L281" i="15"/>
  <c r="AF1857" i="6"/>
  <c r="L286" i="15"/>
  <c r="I286" i="15" s="1"/>
  <c r="AF1867" i="6"/>
  <c r="K289" i="15"/>
  <c r="AF1876" i="6"/>
  <c r="K293" i="15"/>
  <c r="AF1884" i="6"/>
  <c r="H1892" i="6"/>
  <c r="I1892" i="6" s="1"/>
  <c r="Q297" i="15" s="1"/>
  <c r="C297" i="15"/>
  <c r="L2697" i="6"/>
  <c r="AF2697" i="6"/>
  <c r="L2759" i="6"/>
  <c r="AF2759" i="6"/>
  <c r="F1674" i="6"/>
  <c r="I1674" i="6" s="1"/>
  <c r="S230" i="15" s="1"/>
  <c r="AF2769" i="6"/>
  <c r="Z82" i="15"/>
  <c r="Z94" i="15"/>
  <c r="K278" i="6"/>
  <c r="K711" i="6" s="1"/>
  <c r="AF278" i="6"/>
  <c r="K300" i="6"/>
  <c r="K733" i="6" s="1"/>
  <c r="AF300" i="6"/>
  <c r="K131" i="15"/>
  <c r="I131" i="15" s="1"/>
  <c r="AF751" i="6"/>
  <c r="N134" i="15"/>
  <c r="AF759" i="6"/>
  <c r="L137" i="15"/>
  <c r="AF767" i="6"/>
  <c r="J784" i="6"/>
  <c r="X146" i="15" s="1"/>
  <c r="Z146" i="15" s="1"/>
  <c r="X145" i="15"/>
  <c r="Z145" i="15" s="1"/>
  <c r="N150" i="15"/>
  <c r="AF801" i="6"/>
  <c r="Z169" i="15"/>
  <c r="M191" i="15"/>
  <c r="AF1582" i="6"/>
  <c r="K195" i="15"/>
  <c r="AF1590" i="6"/>
  <c r="K201" i="15"/>
  <c r="I201" i="15" s="1"/>
  <c r="AF1608" i="6"/>
  <c r="L205" i="15"/>
  <c r="AF1619" i="6"/>
  <c r="K215" i="15"/>
  <c r="AF1638" i="6"/>
  <c r="H1647" i="6"/>
  <c r="I1647" i="6" s="1"/>
  <c r="R219" i="15" s="1"/>
  <c r="D219" i="15"/>
  <c r="K224" i="15"/>
  <c r="AF1660" i="6"/>
  <c r="M234" i="15"/>
  <c r="J234" i="15" s="1"/>
  <c r="AF1690" i="6"/>
  <c r="L238" i="15"/>
  <c r="AF1701" i="6"/>
  <c r="N254" i="15"/>
  <c r="AF1753" i="6"/>
  <c r="M259" i="15"/>
  <c r="AF1772" i="6"/>
  <c r="H1802" i="6"/>
  <c r="I1802" i="6" s="1"/>
  <c r="Q267" i="15" s="1"/>
  <c r="C267" i="15"/>
  <c r="M269" i="15"/>
  <c r="AF1812" i="6"/>
  <c r="M274" i="15"/>
  <c r="AF1830" i="6"/>
  <c r="Z276" i="15"/>
  <c r="L279" i="15"/>
  <c r="AF1849" i="6"/>
  <c r="H1876" i="6"/>
  <c r="I1876" i="6" s="1"/>
  <c r="Q289" i="15" s="1"/>
  <c r="C289" i="15"/>
  <c r="H1884" i="6"/>
  <c r="I1884" i="6" s="1"/>
  <c r="Q293" i="15" s="1"/>
  <c r="C293" i="15"/>
  <c r="Z127" i="15"/>
  <c r="K257" i="6"/>
  <c r="L103" i="6" s="1"/>
  <c r="AF257" i="6"/>
  <c r="K279" i="6"/>
  <c r="L125" i="6" s="1"/>
  <c r="AJ109" i="15" s="1"/>
  <c r="AF279" i="6"/>
  <c r="J804" i="6"/>
  <c r="X152" i="15" s="1"/>
  <c r="Z152" i="15" s="1"/>
  <c r="X151" i="15"/>
  <c r="Z151" i="15" s="1"/>
  <c r="J1122" i="6"/>
  <c r="AF1121" i="6"/>
  <c r="N169" i="15"/>
  <c r="AF1515" i="6"/>
  <c r="L173" i="15"/>
  <c r="I173" i="15" s="1"/>
  <c r="AF1525" i="6"/>
  <c r="K177" i="15"/>
  <c r="AF1538" i="6"/>
  <c r="K181" i="15"/>
  <c r="AF1548" i="6"/>
  <c r="K183" i="15"/>
  <c r="AF1556" i="6"/>
  <c r="K185" i="15"/>
  <c r="AF1564" i="6"/>
  <c r="H1582" i="6"/>
  <c r="I1582" i="6" s="1"/>
  <c r="S191" i="15" s="1"/>
  <c r="E191" i="15"/>
  <c r="H1590" i="6"/>
  <c r="I1590" i="6" s="1"/>
  <c r="Q195" i="15" s="1"/>
  <c r="C195" i="15"/>
  <c r="K199" i="15"/>
  <c r="AF1600" i="6"/>
  <c r="L210" i="15"/>
  <c r="AF1629" i="6"/>
  <c r="K229" i="15"/>
  <c r="AF1670" i="6"/>
  <c r="M232" i="15"/>
  <c r="AF1682" i="6"/>
  <c r="Z234" i="15"/>
  <c r="K243" i="15"/>
  <c r="AF1712" i="6"/>
  <c r="M246" i="15"/>
  <c r="AF1722" i="6"/>
  <c r="K250" i="15"/>
  <c r="AF1734" i="6"/>
  <c r="K252" i="15"/>
  <c r="I252" i="15" s="1"/>
  <c r="AF1742" i="6"/>
  <c r="H1772" i="6"/>
  <c r="I1772" i="6" s="1"/>
  <c r="S259" i="15" s="1"/>
  <c r="E259" i="15"/>
  <c r="L262" i="15"/>
  <c r="AF1783" i="6"/>
  <c r="L264" i="15"/>
  <c r="AF1791" i="6"/>
  <c r="Z269" i="15"/>
  <c r="N271" i="15"/>
  <c r="AF1821" i="6"/>
  <c r="H1849" i="6"/>
  <c r="I1849" i="6" s="1"/>
  <c r="R279" i="15" s="1"/>
  <c r="D279" i="15"/>
  <c r="K282" i="15"/>
  <c r="AF1858" i="6"/>
  <c r="Z286" i="15"/>
  <c r="H1893" i="6"/>
  <c r="I1893" i="6" s="1"/>
  <c r="R297" i="15" s="1"/>
  <c r="D297" i="15"/>
  <c r="L2698" i="6"/>
  <c r="AF2698" i="6"/>
  <c r="F1656" i="6"/>
  <c r="AF2760" i="6"/>
  <c r="F1676" i="6"/>
  <c r="AF2770" i="6"/>
  <c r="L673" i="6"/>
  <c r="J673" i="6" s="1"/>
  <c r="K302" i="6"/>
  <c r="K735" i="6" s="1"/>
  <c r="AF302" i="6"/>
  <c r="K132" i="15"/>
  <c r="AF752" i="6"/>
  <c r="K163" i="15"/>
  <c r="I163" i="15" s="1"/>
  <c r="AF1373" i="6"/>
  <c r="H1548" i="6"/>
  <c r="I1548" i="6" s="1"/>
  <c r="Q181" i="15" s="1"/>
  <c r="C181" i="15"/>
  <c r="H1556" i="6"/>
  <c r="I1556" i="6" s="1"/>
  <c r="Q183" i="15" s="1"/>
  <c r="C183" i="15"/>
  <c r="K189" i="15"/>
  <c r="AF1574" i="6"/>
  <c r="H1600" i="6"/>
  <c r="I1600" i="6" s="1"/>
  <c r="Q199" i="15" s="1"/>
  <c r="C199" i="15"/>
  <c r="K206" i="15"/>
  <c r="AF1620" i="6"/>
  <c r="L215" i="15"/>
  <c r="AF1639" i="6"/>
  <c r="K220" i="15"/>
  <c r="I220" i="15" s="1"/>
  <c r="AF1648" i="6"/>
  <c r="L224" i="15"/>
  <c r="AF1661" i="6"/>
  <c r="Z232" i="15"/>
  <c r="K239" i="15"/>
  <c r="AF1702" i="6"/>
  <c r="Z246" i="15"/>
  <c r="K255" i="15"/>
  <c r="AF1754" i="6"/>
  <c r="Z259" i="15"/>
  <c r="L267" i="15"/>
  <c r="AF1803" i="6"/>
  <c r="N269" i="15"/>
  <c r="AF1813" i="6"/>
  <c r="H1821" i="6"/>
  <c r="I1821" i="6" s="1"/>
  <c r="T271" i="15" s="1"/>
  <c r="F271" i="15"/>
  <c r="N274" i="15"/>
  <c r="AF1831" i="6"/>
  <c r="K277" i="15"/>
  <c r="I277" i="15" s="1"/>
  <c r="AF1840" i="6"/>
  <c r="N286" i="15"/>
  <c r="J286" i="15" s="1"/>
  <c r="AF1869" i="6"/>
  <c r="L289" i="15"/>
  <c r="AF1877" i="6"/>
  <c r="L293" i="15"/>
  <c r="AF1885" i="6"/>
  <c r="F1760" i="6"/>
  <c r="AF2812" i="6"/>
  <c r="Z106" i="15"/>
  <c r="Z118" i="15"/>
  <c r="K282" i="6"/>
  <c r="K715" i="6" s="1"/>
  <c r="AF282" i="6"/>
  <c r="J424" i="6"/>
  <c r="AF424" i="6" s="1"/>
  <c r="AF422" i="6"/>
  <c r="J790" i="6"/>
  <c r="X148" i="15" s="1"/>
  <c r="X147" i="15"/>
  <c r="K170" i="15"/>
  <c r="AF1516" i="6"/>
  <c r="K174" i="15"/>
  <c r="AF1526" i="6"/>
  <c r="L177" i="15"/>
  <c r="AF1539" i="6"/>
  <c r="L185" i="15"/>
  <c r="AF1565" i="6"/>
  <c r="N191" i="15"/>
  <c r="AF1583" i="6"/>
  <c r="L195" i="15"/>
  <c r="AF1591" i="6"/>
  <c r="Z199" i="15"/>
  <c r="M201" i="15"/>
  <c r="AF1610" i="6"/>
  <c r="K211" i="15"/>
  <c r="AF1630" i="6"/>
  <c r="L229" i="15"/>
  <c r="AF1671" i="6"/>
  <c r="N232" i="15"/>
  <c r="AF1683" i="6"/>
  <c r="K235" i="15"/>
  <c r="I235" i="15" s="1"/>
  <c r="AF1692" i="6"/>
  <c r="L243" i="15"/>
  <c r="AF1713" i="6"/>
  <c r="N246" i="15"/>
  <c r="AF1723" i="6"/>
  <c r="L250" i="15"/>
  <c r="AF1735" i="6"/>
  <c r="H1754" i="6"/>
  <c r="I1754" i="6" s="1"/>
  <c r="Q255" i="15" s="1"/>
  <c r="C255" i="15"/>
  <c r="Z257" i="15"/>
  <c r="N259" i="15"/>
  <c r="AF1773" i="6"/>
  <c r="M262" i="15"/>
  <c r="AF1784" i="6"/>
  <c r="Z264" i="15"/>
  <c r="H1803" i="6"/>
  <c r="I1803" i="6" s="1"/>
  <c r="R267" i="15" s="1"/>
  <c r="D267" i="15"/>
  <c r="M279" i="15"/>
  <c r="AF1850" i="6"/>
  <c r="L282" i="15"/>
  <c r="AF1859" i="6"/>
  <c r="H1877" i="6"/>
  <c r="I1877" i="6" s="1"/>
  <c r="R289" i="15" s="1"/>
  <c r="D289" i="15"/>
  <c r="H1885" i="6"/>
  <c r="I1885" i="6" s="1"/>
  <c r="R293" i="15" s="1"/>
  <c r="D293" i="15"/>
  <c r="F1618" i="6"/>
  <c r="I1618" i="6" s="1"/>
  <c r="Q205" i="15" s="1"/>
  <c r="AF2741" i="6"/>
  <c r="F1658" i="6"/>
  <c r="AF2761" i="6"/>
  <c r="L719" i="6"/>
  <c r="L724" i="6"/>
  <c r="J724" i="6" s="1"/>
  <c r="L734" i="6"/>
  <c r="J734" i="6" s="1"/>
  <c r="L683" i="6"/>
  <c r="J683" i="6" s="1"/>
  <c r="L688" i="6"/>
  <c r="J688" i="6" s="1"/>
  <c r="L698" i="6"/>
  <c r="J698" i="6" s="1"/>
  <c r="L714" i="6"/>
  <c r="L730" i="6"/>
  <c r="J730" i="6" s="1"/>
  <c r="L678" i="6"/>
  <c r="J678" i="6" s="1"/>
  <c r="L694" i="6"/>
  <c r="J694" i="6" s="1"/>
  <c r="L709" i="6"/>
  <c r="J709" i="6" s="1"/>
  <c r="L715" i="6"/>
  <c r="J715" i="6" s="1"/>
  <c r="L725" i="6"/>
  <c r="J725" i="6" s="1"/>
  <c r="I749" i="6"/>
  <c r="Q130" i="15" s="1"/>
  <c r="O130" i="15" s="1"/>
  <c r="L689" i="6"/>
  <c r="J689" i="6" s="1"/>
  <c r="L710" i="6"/>
  <c r="J710" i="6" s="1"/>
  <c r="L721" i="6"/>
  <c r="J721" i="6" s="1"/>
  <c r="L736" i="6"/>
  <c r="J736" i="6" s="1"/>
  <c r="L741" i="6"/>
  <c r="J741" i="6" s="1"/>
  <c r="L674" i="6"/>
  <c r="J674" i="6" s="1"/>
  <c r="L685" i="6"/>
  <c r="J685" i="6" s="1"/>
  <c r="L700" i="6"/>
  <c r="J700" i="6" s="1"/>
  <c r="L705" i="6"/>
  <c r="J705" i="6" s="1"/>
  <c r="L716" i="6"/>
  <c r="J716" i="6" s="1"/>
  <c r="L737" i="6"/>
  <c r="J737" i="6" s="1"/>
  <c r="L742" i="6"/>
  <c r="L680" i="6"/>
  <c r="J680" i="6" s="1"/>
  <c r="L701" i="6"/>
  <c r="J701" i="6" s="1"/>
  <c r="L706" i="6"/>
  <c r="J706" i="6" s="1"/>
  <c r="L727" i="6"/>
  <c r="L732" i="6"/>
  <c r="L691" i="6"/>
  <c r="J691" i="6" s="1"/>
  <c r="L696" i="6"/>
  <c r="J696" i="6" s="1"/>
  <c r="L712" i="6"/>
  <c r="J712" i="6" s="1"/>
  <c r="K238" i="6"/>
  <c r="L84" i="6" s="1"/>
  <c r="AJ82" i="15" s="1"/>
  <c r="F84" i="6"/>
  <c r="L676" i="6"/>
  <c r="J676" i="6" s="1"/>
  <c r="L728" i="6"/>
  <c r="J728" i="6" s="1"/>
  <c r="L733" i="6"/>
  <c r="J733" i="6" s="1"/>
  <c r="L692" i="6"/>
  <c r="J692" i="6" s="1"/>
  <c r="L697" i="6"/>
  <c r="J697" i="6" s="1"/>
  <c r="L707" i="6"/>
  <c r="J707" i="6" s="1"/>
  <c r="L718" i="6"/>
  <c r="J718" i="6" s="1"/>
  <c r="L723" i="6"/>
  <c r="L739" i="6"/>
  <c r="J739" i="6" s="1"/>
  <c r="J1260" i="6"/>
  <c r="L682" i="6"/>
  <c r="J682" i="6" s="1"/>
  <c r="L687" i="6"/>
  <c r="J687" i="6" s="1"/>
  <c r="L703" i="6"/>
  <c r="J703" i="6" s="1"/>
  <c r="I1565" i="6"/>
  <c r="R185" i="15" s="1"/>
  <c r="K1445" i="6"/>
  <c r="J1448" i="6"/>
  <c r="AF1448" i="6" s="1"/>
  <c r="J1447" i="6"/>
  <c r="AF1447" i="6" s="1"/>
  <c r="M4038" i="6"/>
  <c r="L4038" i="6" s="1"/>
  <c r="K4038" i="6" s="1"/>
  <c r="F1381" i="6"/>
  <c r="F1379" i="6"/>
  <c r="F1764" i="6"/>
  <c r="I1867" i="6"/>
  <c r="R286" i="15" s="1"/>
  <c r="F1536" i="6"/>
  <c r="I1595" i="6"/>
  <c r="R197" i="15" s="1"/>
  <c r="L88" i="6"/>
  <c r="I1679" i="6"/>
  <c r="T231" i="15" s="1"/>
  <c r="I1533" i="6"/>
  <c r="T175" i="15" s="1"/>
  <c r="L1540" i="6"/>
  <c r="AJ178" i="15" s="1"/>
  <c r="L96" i="6"/>
  <c r="AJ90" i="15" s="1"/>
  <c r="I809" i="6"/>
  <c r="R154" i="15" s="1"/>
  <c r="I1523" i="6"/>
  <c r="R172" i="15" s="1"/>
  <c r="K674" i="6"/>
  <c r="I1639" i="6"/>
  <c r="R215" i="15" s="1"/>
  <c r="F1762" i="6"/>
  <c r="I765" i="6"/>
  <c r="R136" i="15" s="1"/>
  <c r="K678" i="6"/>
  <c r="K682" i="6"/>
  <c r="L111" i="6"/>
  <c r="AJ100" i="15" s="1"/>
  <c r="I761" i="6"/>
  <c r="R135" i="15" s="1"/>
  <c r="J1060" i="6"/>
  <c r="AF1060" i="6" s="1"/>
  <c r="I762" i="6"/>
  <c r="S135" i="15" s="1"/>
  <c r="I1563" i="6"/>
  <c r="T184" i="15" s="1"/>
  <c r="J1067" i="6"/>
  <c r="AF1067" i="6" s="1"/>
  <c r="I147" i="6"/>
  <c r="Q124" i="15" s="1"/>
  <c r="O124" i="15" s="1"/>
  <c r="L122" i="6"/>
  <c r="AJ107" i="15" s="1"/>
  <c r="K728" i="6"/>
  <c r="K732" i="6"/>
  <c r="I795" i="6"/>
  <c r="R149" i="15" s="1"/>
  <c r="F768" i="6"/>
  <c r="F773" i="6"/>
  <c r="L104" i="6"/>
  <c r="AJ95" i="15" s="1"/>
  <c r="K714" i="6"/>
  <c r="I1797" i="6"/>
  <c r="T265" i="15" s="1"/>
  <c r="I1659" i="6"/>
  <c r="T223" i="15" s="1"/>
  <c r="I1671" i="6"/>
  <c r="R229" i="15" s="1"/>
  <c r="I1513" i="6"/>
  <c r="R169" i="15" s="1"/>
  <c r="I1749" i="6"/>
  <c r="T253" i="15" s="1"/>
  <c r="M4054" i="6"/>
  <c r="L4054" i="6" s="1"/>
  <c r="K4054" i="6" s="1"/>
  <c r="I1663" i="6"/>
  <c r="R225" i="15" s="1"/>
  <c r="I1627" i="6"/>
  <c r="R209" i="15" s="1"/>
  <c r="M4046" i="6"/>
  <c r="L4046" i="6" s="1"/>
  <c r="I1575" i="6"/>
  <c r="R189" i="15" s="1"/>
  <c r="I1695" i="6"/>
  <c r="T235" i="15" s="1"/>
  <c r="I1515" i="6"/>
  <c r="T169" i="15" s="1"/>
  <c r="I1680" i="6"/>
  <c r="Q232" i="15" s="1"/>
  <c r="I1681" i="6"/>
  <c r="R232" i="15" s="1"/>
  <c r="I1800" i="6"/>
  <c r="S266" i="15" s="1"/>
  <c r="F1654" i="6"/>
  <c r="I1560" i="6"/>
  <c r="Q184" i="15" s="1"/>
  <c r="I1725" i="6"/>
  <c r="R247" i="15" s="1"/>
  <c r="I1616" i="6"/>
  <c r="Q204" i="15" s="1"/>
  <c r="I1783" i="6"/>
  <c r="R262" i="15" s="1"/>
  <c r="I1736" i="6"/>
  <c r="S250" i="15" s="1"/>
  <c r="I1798" i="6"/>
  <c r="Q266" i="15" s="1"/>
  <c r="I1538" i="6"/>
  <c r="Q177" i="15" s="1"/>
  <c r="I1584" i="6"/>
  <c r="Q192" i="15" s="1"/>
  <c r="I1598" i="6"/>
  <c r="S198" i="15" s="1"/>
  <c r="I1698" i="6"/>
  <c r="Q237" i="15" s="1"/>
  <c r="I1721" i="6"/>
  <c r="R246" i="15" s="1"/>
  <c r="I1742" i="6"/>
  <c r="Q252" i="15" s="1"/>
  <c r="O252" i="15" s="1"/>
  <c r="I1784" i="6"/>
  <c r="S262" i="15" s="1"/>
  <c r="I1824" i="6"/>
  <c r="S272" i="15" s="1"/>
  <c r="I1859" i="6"/>
  <c r="R282" i="15" s="1"/>
  <c r="I1866" i="6"/>
  <c r="Q286" i="15" s="1"/>
  <c r="I1545" i="6"/>
  <c r="R180" i="15" s="1"/>
  <c r="I1799" i="6"/>
  <c r="R266" i="15" s="1"/>
  <c r="I1879" i="6"/>
  <c r="R290" i="15" s="1"/>
  <c r="I1599" i="6"/>
  <c r="T198" i="15" s="1"/>
  <c r="I1722" i="6"/>
  <c r="S246" i="15" s="1"/>
  <c r="I1751" i="6"/>
  <c r="R254" i="15" s="1"/>
  <c r="I1785" i="6"/>
  <c r="T262" i="15" s="1"/>
  <c r="I1714" i="6"/>
  <c r="Q244" i="15" s="1"/>
  <c r="I1517" i="6"/>
  <c r="R170" i="15" s="1"/>
  <c r="I1655" i="6"/>
  <c r="T222" i="15" s="1"/>
  <c r="I1715" i="6"/>
  <c r="R244" i="15" s="1"/>
  <c r="I1847" i="6"/>
  <c r="T278" i="15" s="1"/>
  <c r="I1853" i="6"/>
  <c r="R280" i="15" s="1"/>
  <c r="I1708" i="6"/>
  <c r="Q242" i="15" s="1"/>
  <c r="I1621" i="6"/>
  <c r="R206" i="15" s="1"/>
  <c r="I1648" i="6"/>
  <c r="Q220" i="15" s="1"/>
  <c r="O220" i="15" s="1"/>
  <c r="W220" i="15" s="1"/>
  <c r="V220" i="15" s="1"/>
  <c r="U220" i="15" s="1"/>
  <c r="I1806" i="6"/>
  <c r="Q268" i="15" s="1"/>
  <c r="O268" i="15" s="1"/>
  <c r="I1840" i="6"/>
  <c r="Q277" i="15" s="1"/>
  <c r="O277" i="15" s="1"/>
  <c r="I1562" i="6"/>
  <c r="S184" i="15" s="1"/>
  <c r="I1509" i="6"/>
  <c r="R168" i="15" s="1"/>
  <c r="I1564" i="6"/>
  <c r="Q185" i="15" s="1"/>
  <c r="F1532" i="6"/>
  <c r="F1730" i="6"/>
  <c r="I1518" i="6"/>
  <c r="S170" i="15" s="1"/>
  <c r="I1525" i="6"/>
  <c r="R173" i="15" s="1"/>
  <c r="I1553" i="6"/>
  <c r="R182" i="15" s="1"/>
  <c r="I1642" i="6"/>
  <c r="Q217" i="15" s="1"/>
  <c r="I1709" i="6"/>
  <c r="R242" i="15" s="1"/>
  <c r="I1716" i="6"/>
  <c r="S244" i="15" s="1"/>
  <c r="I1801" i="6"/>
  <c r="T266" i="15" s="1"/>
  <c r="I1854" i="6"/>
  <c r="S280" i="15" s="1"/>
  <c r="I1856" i="6"/>
  <c r="Q281" i="15" s="1"/>
  <c r="I1589" i="6"/>
  <c r="R194" i="15" s="1"/>
  <c r="I1597" i="6"/>
  <c r="R198" i="15" s="1"/>
  <c r="I1606" i="6"/>
  <c r="S200" i="15" s="1"/>
  <c r="P200" i="15" s="1"/>
  <c r="I1664" i="6"/>
  <c r="Q226" i="15" s="1"/>
  <c r="I1511" i="6"/>
  <c r="T168" i="15" s="1"/>
  <c r="I1665" i="6"/>
  <c r="R226" i="15" s="1"/>
  <c r="I1701" i="6"/>
  <c r="R238" i="15" s="1"/>
  <c r="I1814" i="6"/>
  <c r="Q270" i="15" s="1"/>
  <c r="I1827" i="6"/>
  <c r="R273" i="15" s="1"/>
  <c r="I1816" i="6"/>
  <c r="S270" i="15" s="1"/>
  <c r="I1574" i="6"/>
  <c r="Q189" i="15" s="1"/>
  <c r="I1753" i="6"/>
  <c r="T254" i="15" s="1"/>
  <c r="I1629" i="6"/>
  <c r="R210" i="15" s="1"/>
  <c r="I1644" i="6"/>
  <c r="Q218" i="15" s="1"/>
  <c r="I1718" i="6"/>
  <c r="Q245" i="15" s="1"/>
  <c r="I1829" i="6"/>
  <c r="R274" i="15" s="1"/>
  <c r="I1576" i="6"/>
  <c r="Q190" i="15" s="1"/>
  <c r="I1596" i="6"/>
  <c r="Q198" i="15" s="1"/>
  <c r="I1675" i="6"/>
  <c r="T230" i="15" s="1"/>
  <c r="I1696" i="6"/>
  <c r="Q236" i="15" s="1"/>
  <c r="I1857" i="6"/>
  <c r="R281" i="15" s="1"/>
  <c r="I1577" i="6"/>
  <c r="R190" i="15" s="1"/>
  <c r="I1727" i="6"/>
  <c r="R248" i="15" s="1"/>
  <c r="I1844" i="6"/>
  <c r="Q278" i="15" s="1"/>
  <c r="I1537" i="6"/>
  <c r="T176" i="15" s="1"/>
  <c r="I1810" i="6"/>
  <c r="Q269" i="15" s="1"/>
  <c r="O269" i="15" s="1"/>
  <c r="I1831" i="6"/>
  <c r="T274" i="15" s="1"/>
  <c r="I1729" i="6"/>
  <c r="T248" i="15" s="1"/>
  <c r="I1778" i="6"/>
  <c r="Q261" i="15" s="1"/>
  <c r="O261" i="15" s="1"/>
  <c r="I1852" i="6"/>
  <c r="Q280" i="15" s="1"/>
  <c r="I1519" i="6"/>
  <c r="T170" i="15" s="1"/>
  <c r="I1650" i="6"/>
  <c r="Q221" i="15" s="1"/>
  <c r="O221" i="15" s="1"/>
  <c r="W221" i="15" s="1"/>
  <c r="V221" i="15" s="1"/>
  <c r="U221" i="15" s="1"/>
  <c r="I1717" i="6"/>
  <c r="T244" i="15" s="1"/>
  <c r="I1746" i="6"/>
  <c r="Q253" i="15" s="1"/>
  <c r="O253" i="15" s="1"/>
  <c r="I1815" i="6"/>
  <c r="R270" i="15" s="1"/>
  <c r="I1855" i="6"/>
  <c r="T280" i="15" s="1"/>
  <c r="I1768" i="6"/>
  <c r="S258" i="15" s="1"/>
  <c r="I1682" i="6"/>
  <c r="S232" i="15" s="1"/>
  <c r="I1711" i="6"/>
  <c r="T242" i="15" s="1"/>
  <c r="I1588" i="6"/>
  <c r="Q194" i="15" s="1"/>
  <c r="I1761" i="6"/>
  <c r="T256" i="15" s="1"/>
  <c r="I1782" i="6"/>
  <c r="Q262" i="15" s="1"/>
  <c r="I1660" i="6"/>
  <c r="Q224" i="15" s="1"/>
  <c r="I1514" i="6"/>
  <c r="S169" i="15" s="1"/>
  <c r="I1645" i="6"/>
  <c r="R218" i="15" s="1"/>
  <c r="I1735" i="6"/>
  <c r="R250" i="15" s="1"/>
  <c r="I1830" i="6"/>
  <c r="S274" i="15" s="1"/>
  <c r="I1697" i="6"/>
  <c r="R236" i="15" s="1"/>
  <c r="I1776" i="6"/>
  <c r="S260" i="15" s="1"/>
  <c r="P260" i="15" s="1"/>
  <c r="F1728" i="6"/>
  <c r="I1516" i="6"/>
  <c r="Q170" i="15" s="1"/>
  <c r="I1737" i="6"/>
  <c r="T250" i="15" s="1"/>
  <c r="I1552" i="6"/>
  <c r="Q182" i="15" s="1"/>
  <c r="I1512" i="6"/>
  <c r="Q169" i="15" s="1"/>
  <c r="I1702" i="6"/>
  <c r="Q239" i="15" s="1"/>
  <c r="I1808" i="6"/>
  <c r="S268" i="15" s="1"/>
  <c r="P268" i="15" s="1"/>
  <c r="I1828" i="6"/>
  <c r="Q274" i="15" s="1"/>
  <c r="I1703" i="6"/>
  <c r="R239" i="15" s="1"/>
  <c r="I1726" i="6"/>
  <c r="Q248" i="15" s="1"/>
  <c r="I1661" i="6"/>
  <c r="R224" i="15" s="1"/>
  <c r="I1662" i="6"/>
  <c r="Q225" i="15" s="1"/>
  <c r="I1750" i="6"/>
  <c r="Q254" i="15" s="1"/>
  <c r="I1543" i="6"/>
  <c r="R179" i="15" s="1"/>
  <c r="I1572" i="6"/>
  <c r="Q188" i="15" s="1"/>
  <c r="O188" i="15" s="1"/>
  <c r="W188" i="15" s="1"/>
  <c r="V188" i="15" s="1"/>
  <c r="U188" i="15" s="1"/>
  <c r="I1626" i="6"/>
  <c r="Q209" i="15" s="1"/>
  <c r="I1694" i="6"/>
  <c r="S235" i="15" s="1"/>
  <c r="I1547" i="6"/>
  <c r="T180" i="15" s="1"/>
  <c r="I1720" i="6"/>
  <c r="Q246" i="15" s="1"/>
  <c r="I1520" i="6"/>
  <c r="Q171" i="15" s="1"/>
  <c r="L2798" i="6"/>
  <c r="L129" i="6"/>
  <c r="AJ112" i="15" s="1"/>
  <c r="K716" i="6"/>
  <c r="I1617" i="6"/>
  <c r="R204" i="15" s="1"/>
  <c r="L2769" i="6"/>
  <c r="L2741" i="6"/>
  <c r="L2760" i="6"/>
  <c r="L150" i="6"/>
  <c r="AJ126" i="15" s="1"/>
  <c r="K737" i="6"/>
  <c r="L151" i="6"/>
  <c r="K738" i="6"/>
  <c r="M4060" i="6"/>
  <c r="L4060" i="6" s="1"/>
  <c r="K701" i="6"/>
  <c r="L114" i="6"/>
  <c r="AJ102" i="15" s="1"/>
  <c r="I1683" i="6"/>
  <c r="T232" i="15" s="1"/>
  <c r="K251" i="6"/>
  <c r="I1791" i="6"/>
  <c r="R264" i="15" s="1"/>
  <c r="I1812" i="6"/>
  <c r="S269" i="15" s="1"/>
  <c r="I1865" i="6"/>
  <c r="R285" i="15" s="1"/>
  <c r="K705" i="6"/>
  <c r="L118" i="6"/>
  <c r="AJ104" i="15" s="1"/>
  <c r="K687" i="6"/>
  <c r="L100" i="6"/>
  <c r="AJ92" i="15" s="1"/>
  <c r="I750" i="6"/>
  <c r="S130" i="15" s="1"/>
  <c r="P130" i="15" s="1"/>
  <c r="I1569" i="6"/>
  <c r="R186" i="15" s="1"/>
  <c r="I1767" i="6"/>
  <c r="R258" i="15" s="1"/>
  <c r="I1568" i="6"/>
  <c r="Q186" i="15" s="1"/>
  <c r="I1640" i="6"/>
  <c r="Q216" i="15" s="1"/>
  <c r="I1748" i="6"/>
  <c r="S253" i="15" s="1"/>
  <c r="K1442" i="6"/>
  <c r="F1377" i="6"/>
  <c r="I1766" i="6"/>
  <c r="Q258" i="15" s="1"/>
  <c r="I1540" i="6"/>
  <c r="Q178" i="15" s="1"/>
  <c r="I1610" i="6"/>
  <c r="S201" i="15" s="1"/>
  <c r="I1790" i="6"/>
  <c r="Q264" i="15" s="1"/>
  <c r="I1817" i="6"/>
  <c r="T270" i="15" s="1"/>
  <c r="L105" i="6"/>
  <c r="AJ96" i="15" s="1"/>
  <c r="K1444" i="6"/>
  <c r="L1379" i="6" s="1"/>
  <c r="AJ165" i="15" s="1"/>
  <c r="I1526" i="6"/>
  <c r="Q174" i="15" s="1"/>
  <c r="I1604" i="6"/>
  <c r="Q200" i="15" s="1"/>
  <c r="O200" i="15" s="1"/>
  <c r="I1611" i="6"/>
  <c r="T201" i="15" s="1"/>
  <c r="I1690" i="6"/>
  <c r="S234" i="15" s="1"/>
  <c r="P234" i="15" s="1"/>
  <c r="I1823" i="6"/>
  <c r="R272" i="15" s="1"/>
  <c r="I1529" i="6"/>
  <c r="T174" i="15" s="1"/>
  <c r="I1845" i="6"/>
  <c r="R278" i="15" s="1"/>
  <c r="I1641" i="6"/>
  <c r="R216" i="15" s="1"/>
  <c r="I1636" i="6"/>
  <c r="Q214" i="15" s="1"/>
  <c r="O214" i="15" s="1"/>
  <c r="W214" i="15" s="1"/>
  <c r="V214" i="15" s="1"/>
  <c r="U214" i="15" s="1"/>
  <c r="I1724" i="6"/>
  <c r="Q247" i="15" s="1"/>
  <c r="I1793" i="6"/>
  <c r="T264" i="15" s="1"/>
  <c r="M4052" i="6"/>
  <c r="L4052" i="6" s="1"/>
  <c r="L138" i="6"/>
  <c r="AJ118" i="15" s="1"/>
  <c r="K260" i="6"/>
  <c r="I1527" i="6"/>
  <c r="R174" i="15" s="1"/>
  <c r="I1535" i="6"/>
  <c r="R176" i="15" s="1"/>
  <c r="I1612" i="6"/>
  <c r="Q202" i="15" s="1"/>
  <c r="I1672" i="6"/>
  <c r="Q230" i="15" s="1"/>
  <c r="I1868" i="6"/>
  <c r="S286" i="15" s="1"/>
  <c r="L2812" i="6"/>
  <c r="I1542" i="6"/>
  <c r="Q179" i="15" s="1"/>
  <c r="I1706" i="6"/>
  <c r="Q241" i="15" s="1"/>
  <c r="I1712" i="6"/>
  <c r="Q243" i="15" s="1"/>
  <c r="I1890" i="6"/>
  <c r="Q296" i="15" s="1"/>
  <c r="I1704" i="6"/>
  <c r="Q240" i="15" s="1"/>
  <c r="O240" i="15" s="1"/>
  <c r="W240" i="15" s="1"/>
  <c r="V240" i="15" s="1"/>
  <c r="U240" i="15" s="1"/>
  <c r="I1769" i="6"/>
  <c r="T258" i="15" s="1"/>
  <c r="I1744" i="6"/>
  <c r="S252" i="15" s="1"/>
  <c r="P252" i="15" s="1"/>
  <c r="I1554" i="6"/>
  <c r="S182" i="15" s="1"/>
  <c r="I1643" i="6"/>
  <c r="R217" i="15" s="1"/>
  <c r="I1699" i="6"/>
  <c r="R237" i="15" s="1"/>
  <c r="I1813" i="6"/>
  <c r="T269" i="15" s="1"/>
  <c r="I1825" i="6"/>
  <c r="T272" i="15" s="1"/>
  <c r="I1869" i="6"/>
  <c r="T286" i="15" s="1"/>
  <c r="I1874" i="6"/>
  <c r="Q288" i="15" s="1"/>
  <c r="I1758" i="6"/>
  <c r="Q256" i="15" s="1"/>
  <c r="J280" i="6"/>
  <c r="I1579" i="6"/>
  <c r="T190" i="15" s="1"/>
  <c r="I1620" i="6"/>
  <c r="Q206" i="15" s="1"/>
  <c r="I1774" i="6"/>
  <c r="Q260" i="15" s="1"/>
  <c r="O260" i="15" s="1"/>
  <c r="I1822" i="6"/>
  <c r="Q272" i="15" s="1"/>
  <c r="I1594" i="6"/>
  <c r="Q197" i="15" s="1"/>
  <c r="I1619" i="6"/>
  <c r="R205" i="15" s="1"/>
  <c r="I1836" i="6"/>
  <c r="Q276" i="15" s="1"/>
  <c r="O276" i="15" s="1"/>
  <c r="I1578" i="6"/>
  <c r="S190" i="15" s="1"/>
  <c r="I1638" i="6"/>
  <c r="Q215" i="15" s="1"/>
  <c r="I1719" i="6"/>
  <c r="R245" i="15" s="1"/>
  <c r="I1765" i="6"/>
  <c r="T257" i="15" s="1"/>
  <c r="I1592" i="6"/>
  <c r="Q196" i="15" s="1"/>
  <c r="O196" i="15" s="1"/>
  <c r="W196" i="15" s="1"/>
  <c r="V196" i="15" s="1"/>
  <c r="U196" i="15" s="1"/>
  <c r="I1842" i="6"/>
  <c r="S277" i="15" s="1"/>
  <c r="I1723" i="6"/>
  <c r="T246" i="15" s="1"/>
  <c r="I1780" i="6"/>
  <c r="S261" i="15" s="1"/>
  <c r="I1555" i="6"/>
  <c r="T182" i="15" s="1"/>
  <c r="I1700" i="6"/>
  <c r="Q238" i="15" s="1"/>
  <c r="I1707" i="6"/>
  <c r="R241" i="15" s="1"/>
  <c r="I1752" i="6"/>
  <c r="S254" i="15" s="1"/>
  <c r="F1796" i="6"/>
  <c r="I1826" i="6"/>
  <c r="Q273" i="15" s="1"/>
  <c r="I1846" i="6"/>
  <c r="S278" i="15" s="1"/>
  <c r="I1875" i="6"/>
  <c r="R288" i="15" s="1"/>
  <c r="I1585" i="6"/>
  <c r="R192" i="15" s="1"/>
  <c r="I1843" i="6"/>
  <c r="T277" i="15" s="1"/>
  <c r="I1510" i="6"/>
  <c r="S168" i="15" s="1"/>
  <c r="I1668" i="6"/>
  <c r="Q228" i="15" s="1"/>
  <c r="O228" i="15" s="1"/>
  <c r="W228" i="15" s="1"/>
  <c r="V228" i="15" s="1"/>
  <c r="U228" i="15" s="1"/>
  <c r="I1734" i="6"/>
  <c r="Q250" i="15" s="1"/>
  <c r="I1864" i="6"/>
  <c r="Q285" i="15" s="1"/>
  <c r="I1539" i="6"/>
  <c r="R177" i="15" s="1"/>
  <c r="I1632" i="6"/>
  <c r="Q212" i="15" s="1"/>
  <c r="I751" i="6"/>
  <c r="Q131" i="15" s="1"/>
  <c r="I763" i="6"/>
  <c r="T135" i="15" s="1"/>
  <c r="I758" i="6"/>
  <c r="S134" i="15" s="1"/>
  <c r="I759" i="6"/>
  <c r="T134" i="15" s="1"/>
  <c r="I752" i="6"/>
  <c r="Q132" i="15" s="1"/>
  <c r="I764" i="6"/>
  <c r="Q136" i="15" s="1"/>
  <c r="I807" i="6"/>
  <c r="R153" i="15" s="1"/>
  <c r="I769" i="6"/>
  <c r="R138" i="15" s="1"/>
  <c r="I755" i="6"/>
  <c r="R133" i="15" s="1"/>
  <c r="I770" i="6"/>
  <c r="S138" i="15" s="1"/>
  <c r="I756" i="6"/>
  <c r="Q134" i="15" s="1"/>
  <c r="I757" i="6"/>
  <c r="R134" i="15" s="1"/>
  <c r="I766" i="6"/>
  <c r="Q137" i="15" s="1"/>
  <c r="I767" i="6"/>
  <c r="R137" i="15" s="1"/>
  <c r="I753" i="6"/>
  <c r="R132" i="15" s="1"/>
  <c r="I754" i="6"/>
  <c r="Q133" i="15" s="1"/>
  <c r="I797" i="6"/>
  <c r="T149" i="15" s="1"/>
  <c r="I771" i="6"/>
  <c r="T138" i="15" s="1"/>
  <c r="I799" i="6"/>
  <c r="R150" i="15" s="1"/>
  <c r="I801" i="6"/>
  <c r="T150" i="15" s="1"/>
  <c r="M56" i="2"/>
  <c r="M55" i="2"/>
  <c r="M74" i="2"/>
  <c r="M54" i="2"/>
  <c r="M68" i="2"/>
  <c r="M73" i="2"/>
  <c r="F33" i="2" s="1"/>
  <c r="M53" i="2"/>
  <c r="F13" i="2" s="1"/>
  <c r="M72" i="2"/>
  <c r="M52" i="2"/>
  <c r="F12" i="2" s="1"/>
  <c r="M59" i="2"/>
  <c r="M58" i="2"/>
  <c r="M57" i="2"/>
  <c r="M71" i="2"/>
  <c r="M51" i="2"/>
  <c r="F11" i="2" s="1"/>
  <c r="M67" i="2"/>
  <c r="M70" i="2"/>
  <c r="M50" i="2"/>
  <c r="M69" i="2"/>
  <c r="M49" i="2"/>
  <c r="F9" i="2" s="1"/>
  <c r="M66" i="2"/>
  <c r="M65" i="2"/>
  <c r="M64" i="2"/>
  <c r="M63" i="2"/>
  <c r="M62" i="2"/>
  <c r="M61" i="2"/>
  <c r="M60" i="2"/>
  <c r="I1630" i="6"/>
  <c r="Q211" i="15" s="1"/>
  <c r="I1631" i="6"/>
  <c r="R211" i="15" s="1"/>
  <c r="I1733" i="6"/>
  <c r="T249" i="15" s="1"/>
  <c r="L2770" i="6"/>
  <c r="I1521" i="6"/>
  <c r="R171" i="15" s="1"/>
  <c r="L2828" i="6"/>
  <c r="I1673" i="6"/>
  <c r="R230" i="15" s="1"/>
  <c r="F1678" i="6"/>
  <c r="L2771" i="6"/>
  <c r="K2546" i="6"/>
  <c r="I1522" i="6"/>
  <c r="Q172" i="15" s="1"/>
  <c r="F1528" i="6"/>
  <c r="L2696" i="6"/>
  <c r="I1713" i="6"/>
  <c r="R243" i="15" s="1"/>
  <c r="L2761" i="6"/>
  <c r="I1541" i="6"/>
  <c r="R178" i="15" s="1"/>
  <c r="I1608" i="6"/>
  <c r="Q201" i="15" s="1"/>
  <c r="O201" i="15" s="1"/>
  <c r="I1566" i="6"/>
  <c r="S185" i="15" s="1"/>
  <c r="L2829" i="6"/>
  <c r="F1794" i="6"/>
  <c r="I1838" i="6"/>
  <c r="S276" i="15" s="1"/>
  <c r="P276" i="15" s="1"/>
  <c r="I1653" i="6"/>
  <c r="R222" i="15" s="1"/>
  <c r="M4072" i="6"/>
  <c r="L4072" i="6" s="1"/>
  <c r="I1670" i="6"/>
  <c r="Q229" i="15" s="1"/>
  <c r="I1759" i="6"/>
  <c r="R256" i="15" s="1"/>
  <c r="M4056" i="6"/>
  <c r="L4056" i="6" s="1"/>
  <c r="M4070" i="6"/>
  <c r="L4070" i="6" s="1"/>
  <c r="M4050" i="6"/>
  <c r="L4050" i="6" s="1"/>
  <c r="M4064" i="6"/>
  <c r="L4064" i="6" s="1"/>
  <c r="M4042" i="6"/>
  <c r="L4042" i="6" s="1"/>
  <c r="I1544" i="6"/>
  <c r="Q180" i="15" s="1"/>
  <c r="I1652" i="6"/>
  <c r="Q222" i="15" s="1"/>
  <c r="I1546" i="6"/>
  <c r="S180" i="15" s="1"/>
  <c r="I1524" i="6"/>
  <c r="Q173" i="15" s="1"/>
  <c r="F1530" i="6"/>
  <c r="I1561" i="6"/>
  <c r="R184" i="15" s="1"/>
  <c r="I1567" i="6"/>
  <c r="T185" i="15" s="1"/>
  <c r="I1628" i="6"/>
  <c r="Q210" i="15" s="1"/>
  <c r="I1710" i="6"/>
  <c r="S242" i="15" s="1"/>
  <c r="M4078" i="6"/>
  <c r="L4078" i="6" s="1"/>
  <c r="M4074" i="6"/>
  <c r="L4074" i="6" s="1"/>
  <c r="I1692" i="6"/>
  <c r="Q235" i="15" s="1"/>
  <c r="O235" i="15" s="1"/>
  <c r="I1862" i="6"/>
  <c r="Q284" i="15" s="1"/>
  <c r="O284" i="15" s="1"/>
  <c r="W284" i="15" s="1"/>
  <c r="V284" i="15" s="1"/>
  <c r="U284" i="15" s="1"/>
  <c r="I1508" i="6"/>
  <c r="Q168" i="15" s="1"/>
  <c r="I1883" i="6"/>
  <c r="R292" i="15" s="1"/>
  <c r="M4068" i="6"/>
  <c r="L4068" i="6" s="1"/>
  <c r="K4068" i="6" s="1"/>
  <c r="I1858" i="6"/>
  <c r="Q282" i="15" s="1"/>
  <c r="I1688" i="6"/>
  <c r="Q234" i="15" s="1"/>
  <c r="O234" i="15" s="1"/>
  <c r="I1891" i="6"/>
  <c r="R296" i="15" s="1"/>
  <c r="I1624" i="6"/>
  <c r="Q208" i="15" s="1"/>
  <c r="O208" i="15" s="1"/>
  <c r="W208" i="15" s="1"/>
  <c r="V208" i="15" s="1"/>
  <c r="U208" i="15" s="1"/>
  <c r="I1878" i="6"/>
  <c r="Q290" i="15" s="1"/>
  <c r="I1887" i="6"/>
  <c r="R294" i="15" s="1"/>
  <c r="F1534" i="6"/>
  <c r="L2699" i="6"/>
  <c r="I1633" i="6"/>
  <c r="R212" i="15" s="1"/>
  <c r="I1886" i="6"/>
  <c r="Q294" i="15" s="1"/>
  <c r="I1882" i="6"/>
  <c r="Q292" i="15" s="1"/>
  <c r="I1781" i="6"/>
  <c r="T261" i="15" s="1"/>
  <c r="J849" i="6"/>
  <c r="AF849" i="6" s="1"/>
  <c r="J850" i="6"/>
  <c r="AF850" i="6" s="1"/>
  <c r="J842" i="6"/>
  <c r="AF842" i="6" s="1"/>
  <c r="J949" i="6"/>
  <c r="AF949" i="6" s="1"/>
  <c r="L147" i="6"/>
  <c r="AJ124" i="15" s="1"/>
  <c r="K734" i="6"/>
  <c r="L93" i="6"/>
  <c r="AJ88" i="15" s="1"/>
  <c r="K680" i="6"/>
  <c r="K718" i="6"/>
  <c r="L131" i="6"/>
  <c r="AJ113" i="15" s="1"/>
  <c r="K736" i="6"/>
  <c r="L149" i="6"/>
  <c r="AJ125" i="15" s="1"/>
  <c r="K727" i="6"/>
  <c r="L120" i="6"/>
  <c r="AJ106" i="15" s="1"/>
  <c r="K707" i="6"/>
  <c r="K296" i="6"/>
  <c r="K710" i="6"/>
  <c r="L132" i="6"/>
  <c r="AJ114" i="15" s="1"/>
  <c r="L133" i="6"/>
  <c r="K689" i="6"/>
  <c r="K700" i="6"/>
  <c r="K696" i="6"/>
  <c r="L136" i="6"/>
  <c r="AJ116" i="15" s="1"/>
  <c r="K269" i="6"/>
  <c r="K741" i="6"/>
  <c r="L154" i="6"/>
  <c r="AJ128" i="15" s="1"/>
  <c r="D4722" i="6"/>
  <c r="D4721" i="6"/>
  <c r="F4682" i="6"/>
  <c r="AG4653" i="6"/>
  <c r="AE4653" i="6"/>
  <c r="AD4653" i="6"/>
  <c r="AC4653" i="6"/>
  <c r="AB4653" i="6"/>
  <c r="AA4653" i="6"/>
  <c r="Z4653" i="6"/>
  <c r="Y4653" i="6"/>
  <c r="X4653" i="6"/>
  <c r="H4644" i="6"/>
  <c r="H4643" i="6"/>
  <c r="H4642" i="6"/>
  <c r="H4641" i="6"/>
  <c r="H4640" i="6"/>
  <c r="H4639" i="6"/>
  <c r="H4638" i="6"/>
  <c r="H4637" i="6"/>
  <c r="H4636" i="6"/>
  <c r="H4635" i="6"/>
  <c r="H4634" i="6"/>
  <c r="H4633" i="6"/>
  <c r="H4624" i="6"/>
  <c r="H4623" i="6"/>
  <c r="H4622" i="6"/>
  <c r="H4621" i="6"/>
  <c r="DJ4616" i="6"/>
  <c r="DI4616" i="6"/>
  <c r="DH4616" i="6"/>
  <c r="DG4616" i="6"/>
  <c r="AG4616" i="6"/>
  <c r="AE4616" i="6"/>
  <c r="AD4616" i="6"/>
  <c r="AC4616" i="6"/>
  <c r="AB4616" i="6"/>
  <c r="AA4616" i="6"/>
  <c r="Z4616" i="6"/>
  <c r="Y4616" i="6"/>
  <c r="X4616" i="6"/>
  <c r="V4614" i="6"/>
  <c r="F179" i="16"/>
  <c r="AF4682" i="6" l="1"/>
  <c r="F10" i="2"/>
  <c r="AF10" i="2" s="1"/>
  <c r="Z149" i="15"/>
  <c r="I255" i="15"/>
  <c r="Z150" i="15"/>
  <c r="O211" i="15"/>
  <c r="W211" i="15" s="1"/>
  <c r="V211" i="15" s="1"/>
  <c r="U211" i="15" s="1"/>
  <c r="W234" i="15"/>
  <c r="V234" i="15" s="1"/>
  <c r="U234" i="15" s="1"/>
  <c r="W124" i="15"/>
  <c r="V124" i="15" s="1"/>
  <c r="U124" i="15" s="1"/>
  <c r="W261" i="15"/>
  <c r="V261" i="15" s="1"/>
  <c r="U261" i="15" s="1"/>
  <c r="AF4641" i="6"/>
  <c r="K342" i="15"/>
  <c r="W130" i="15"/>
  <c r="V130" i="15" s="1"/>
  <c r="U130" i="15" s="1"/>
  <c r="J181" i="15"/>
  <c r="AF4643" i="6"/>
  <c r="K343" i="15"/>
  <c r="W201" i="15"/>
  <c r="V201" i="15" s="1"/>
  <c r="U201" i="15" s="1"/>
  <c r="W277" i="15"/>
  <c r="V277" i="15" s="1"/>
  <c r="U277" i="15" s="1"/>
  <c r="W269" i="15"/>
  <c r="V269" i="15" s="1"/>
  <c r="U269" i="15" s="1"/>
  <c r="W252" i="15"/>
  <c r="V252" i="15" s="1"/>
  <c r="U252" i="15" s="1"/>
  <c r="W268" i="15"/>
  <c r="V268" i="15" s="1"/>
  <c r="U268" i="15" s="1"/>
  <c r="W253" i="15"/>
  <c r="V253" i="15" s="1"/>
  <c r="U253" i="15" s="1"/>
  <c r="W260" i="15"/>
  <c r="V260" i="15" s="1"/>
  <c r="U260" i="15" s="1"/>
  <c r="W235" i="15"/>
  <c r="V235" i="15" s="1"/>
  <c r="U235" i="15" s="1"/>
  <c r="W200" i="15"/>
  <c r="V200" i="15" s="1"/>
  <c r="U200" i="15" s="1"/>
  <c r="W276" i="15"/>
  <c r="V276" i="15" s="1"/>
  <c r="U276" i="15" s="1"/>
  <c r="J138" i="15"/>
  <c r="I189" i="15"/>
  <c r="L139" i="6"/>
  <c r="K694" i="6"/>
  <c r="K740" i="6"/>
  <c r="L94" i="6"/>
  <c r="O178" i="15"/>
  <c r="W178" i="15" s="1"/>
  <c r="V178" i="15" s="1"/>
  <c r="U178" i="15" s="1"/>
  <c r="J184" i="15"/>
  <c r="K4072" i="6"/>
  <c r="AF4072" i="6" s="1"/>
  <c r="J198" i="15"/>
  <c r="J742" i="6"/>
  <c r="AF742" i="6" s="1"/>
  <c r="AF692" i="6"/>
  <c r="AF733" i="6"/>
  <c r="J723" i="6"/>
  <c r="AF723" i="6" s="1"/>
  <c r="J719" i="6"/>
  <c r="AF719" i="6" s="1"/>
  <c r="AF709" i="6"/>
  <c r="AF724" i="6"/>
  <c r="AF741" i="6"/>
  <c r="J732" i="6"/>
  <c r="AF732" i="6" s="1"/>
  <c r="AF736" i="6"/>
  <c r="K92" i="6"/>
  <c r="DJ92" i="6" s="1"/>
  <c r="O274" i="15"/>
  <c r="W274" i="15" s="1"/>
  <c r="V274" i="15" s="1"/>
  <c r="U274" i="15" s="1"/>
  <c r="P280" i="15"/>
  <c r="AF725" i="6"/>
  <c r="J727" i="6"/>
  <c r="AF727" i="6" s="1"/>
  <c r="AF718" i="6"/>
  <c r="I760" i="6"/>
  <c r="Q135" i="15" s="1"/>
  <c r="O135" i="15" s="1"/>
  <c r="W135" i="15" s="1"/>
  <c r="V135" i="15" s="1"/>
  <c r="U135" i="15" s="1"/>
  <c r="J1259" i="6"/>
  <c r="L121" i="6"/>
  <c r="J270" i="15"/>
  <c r="J714" i="6"/>
  <c r="AF714" i="6" s="1"/>
  <c r="AF715" i="6"/>
  <c r="O177" i="15"/>
  <c r="W177" i="15" s="1"/>
  <c r="V177" i="15" s="1"/>
  <c r="U177" i="15" s="1"/>
  <c r="I244" i="15"/>
  <c r="O287" i="15"/>
  <c r="W287" i="15" s="1"/>
  <c r="V287" i="15" s="1"/>
  <c r="U287" i="15" s="1"/>
  <c r="L90" i="6"/>
  <c r="L155" i="6"/>
  <c r="AJ129" i="15" s="1"/>
  <c r="L92" i="6"/>
  <c r="AJ87" i="15" s="1"/>
  <c r="L148" i="6"/>
  <c r="L116" i="6"/>
  <c r="AJ103" i="15" s="1"/>
  <c r="K685" i="6"/>
  <c r="AF728" i="6"/>
  <c r="O236" i="15"/>
  <c r="W236" i="15" s="1"/>
  <c r="V236" i="15" s="1"/>
  <c r="U236" i="15" s="1"/>
  <c r="J275" i="15"/>
  <c r="I263" i="15"/>
  <c r="I204" i="15"/>
  <c r="I295" i="15"/>
  <c r="O134" i="15"/>
  <c r="W134" i="15" s="1"/>
  <c r="V134" i="15" s="1"/>
  <c r="U134" i="15" s="1"/>
  <c r="O194" i="15"/>
  <c r="W194" i="15" s="1"/>
  <c r="V194" i="15" s="1"/>
  <c r="U194" i="15" s="1"/>
  <c r="O202" i="15"/>
  <c r="W202" i="15" s="1"/>
  <c r="V202" i="15" s="1"/>
  <c r="U202" i="15" s="1"/>
  <c r="I169" i="15"/>
  <c r="I180" i="15"/>
  <c r="I243" i="15"/>
  <c r="I279" i="15"/>
  <c r="I288" i="15"/>
  <c r="P270" i="15"/>
  <c r="J280" i="15"/>
  <c r="O191" i="15"/>
  <c r="W191" i="15" s="1"/>
  <c r="V191" i="15" s="1"/>
  <c r="U191" i="15" s="1"/>
  <c r="P272" i="15"/>
  <c r="O174" i="15"/>
  <c r="W174" i="15" s="1"/>
  <c r="V174" i="15" s="1"/>
  <c r="U174" i="15" s="1"/>
  <c r="P258" i="15"/>
  <c r="O206" i="15"/>
  <c r="W206" i="15" s="1"/>
  <c r="V206" i="15" s="1"/>
  <c r="U206" i="15" s="1"/>
  <c r="P286" i="15"/>
  <c r="O192" i="15"/>
  <c r="W192" i="15" s="1"/>
  <c r="V192" i="15" s="1"/>
  <c r="U192" i="15" s="1"/>
  <c r="P254" i="15"/>
  <c r="O230" i="15"/>
  <c r="W230" i="15" s="1"/>
  <c r="V230" i="15" s="1"/>
  <c r="U230" i="15" s="1"/>
  <c r="P230" i="15"/>
  <c r="J259" i="15"/>
  <c r="I272" i="15"/>
  <c r="J190" i="15"/>
  <c r="P190" i="15"/>
  <c r="O229" i="15"/>
  <c r="W229" i="15" s="1"/>
  <c r="V229" i="15" s="1"/>
  <c r="U229" i="15" s="1"/>
  <c r="O210" i="15"/>
  <c r="W210" i="15" s="1"/>
  <c r="V210" i="15" s="1"/>
  <c r="U210" i="15" s="1"/>
  <c r="O256" i="15"/>
  <c r="W256" i="15" s="1"/>
  <c r="V256" i="15" s="1"/>
  <c r="U256" i="15" s="1"/>
  <c r="O246" i="15"/>
  <c r="W246" i="15" s="1"/>
  <c r="V246" i="15" s="1"/>
  <c r="U246" i="15" s="1"/>
  <c r="O182" i="15"/>
  <c r="W182" i="15" s="1"/>
  <c r="V182" i="15" s="1"/>
  <c r="U182" i="15" s="1"/>
  <c r="I185" i="15"/>
  <c r="I258" i="15"/>
  <c r="O209" i="15"/>
  <c r="W209" i="15" s="1"/>
  <c r="V209" i="15" s="1"/>
  <c r="U209" i="15" s="1"/>
  <c r="P266" i="15"/>
  <c r="J246" i="15"/>
  <c r="O289" i="15"/>
  <c r="W289" i="15" s="1"/>
  <c r="V289" i="15" s="1"/>
  <c r="U289" i="15" s="1"/>
  <c r="I289" i="15"/>
  <c r="J254" i="15"/>
  <c r="I239" i="15"/>
  <c r="O173" i="15"/>
  <c r="W173" i="15" s="1"/>
  <c r="V173" i="15" s="1"/>
  <c r="U173" i="15" s="1"/>
  <c r="I283" i="15"/>
  <c r="P274" i="15"/>
  <c r="O285" i="15"/>
  <c r="W285" i="15" s="1"/>
  <c r="V285" i="15" s="1"/>
  <c r="U285" i="15" s="1"/>
  <c r="O270" i="15"/>
  <c r="W270" i="15" s="1"/>
  <c r="V270" i="15" s="1"/>
  <c r="U270" i="15" s="1"/>
  <c r="O180" i="15"/>
  <c r="W180" i="15" s="1"/>
  <c r="V180" i="15" s="1"/>
  <c r="U180" i="15" s="1"/>
  <c r="I211" i="15"/>
  <c r="O283" i="15"/>
  <c r="W283" i="15" s="1"/>
  <c r="V283" i="15" s="1"/>
  <c r="U283" i="15" s="1"/>
  <c r="I254" i="15"/>
  <c r="I247" i="15"/>
  <c r="J263" i="15"/>
  <c r="J258" i="15"/>
  <c r="O215" i="15"/>
  <c r="W215" i="15" s="1"/>
  <c r="V215" i="15" s="1"/>
  <c r="U215" i="15" s="1"/>
  <c r="O254" i="15"/>
  <c r="W254" i="15" s="1"/>
  <c r="V254" i="15" s="1"/>
  <c r="U254" i="15" s="1"/>
  <c r="I197" i="15"/>
  <c r="P181" i="15"/>
  <c r="O181" i="15"/>
  <c r="W181" i="15" s="1"/>
  <c r="V181" i="15" s="1"/>
  <c r="U181" i="15" s="1"/>
  <c r="I225" i="15"/>
  <c r="K697" i="6"/>
  <c r="O238" i="15"/>
  <c r="W238" i="15" s="1"/>
  <c r="V238" i="15" s="1"/>
  <c r="U238" i="15" s="1"/>
  <c r="O259" i="15"/>
  <c r="W259" i="15" s="1"/>
  <c r="V259" i="15" s="1"/>
  <c r="U259" i="15" s="1"/>
  <c r="I181" i="15"/>
  <c r="J277" i="15"/>
  <c r="O290" i="15"/>
  <c r="W290" i="15" s="1"/>
  <c r="V290" i="15" s="1"/>
  <c r="U290" i="15" s="1"/>
  <c r="P261" i="15"/>
  <c r="J262" i="15"/>
  <c r="I136" i="15"/>
  <c r="O169" i="15"/>
  <c r="W169" i="15" s="1"/>
  <c r="V169" i="15" s="1"/>
  <c r="U169" i="15" s="1"/>
  <c r="J201" i="15"/>
  <c r="I282" i="15"/>
  <c r="I246" i="15"/>
  <c r="I232" i="15"/>
  <c r="J266" i="15"/>
  <c r="J233" i="15"/>
  <c r="I251" i="15"/>
  <c r="I190" i="15"/>
  <c r="O212" i="15"/>
  <c r="W212" i="15" s="1"/>
  <c r="V212" i="15" s="1"/>
  <c r="U212" i="15" s="1"/>
  <c r="P184" i="15"/>
  <c r="AF679" i="6"/>
  <c r="I238" i="15"/>
  <c r="I209" i="15"/>
  <c r="I218" i="15"/>
  <c r="I187" i="15"/>
  <c r="L119" i="6"/>
  <c r="AJ105" i="15" s="1"/>
  <c r="J232" i="15"/>
  <c r="J242" i="15"/>
  <c r="O219" i="15"/>
  <c r="W219" i="15" s="1"/>
  <c r="V219" i="15" s="1"/>
  <c r="U219" i="15" s="1"/>
  <c r="I179" i="15"/>
  <c r="P279" i="15"/>
  <c r="I183" i="15"/>
  <c r="J244" i="15"/>
  <c r="K699" i="6"/>
  <c r="O172" i="15"/>
  <c r="W172" i="15" s="1"/>
  <c r="V172" i="15" s="1"/>
  <c r="U172" i="15" s="1"/>
  <c r="O237" i="15"/>
  <c r="W237" i="15" s="1"/>
  <c r="V237" i="15" s="1"/>
  <c r="U237" i="15" s="1"/>
  <c r="P275" i="15"/>
  <c r="Z147" i="15"/>
  <c r="P198" i="15"/>
  <c r="I229" i="15"/>
  <c r="O292" i="15"/>
  <c r="W292" i="15" s="1"/>
  <c r="V292" i="15" s="1"/>
  <c r="U292" i="15" s="1"/>
  <c r="O168" i="15"/>
  <c r="W168" i="15" s="1"/>
  <c r="V168" i="15" s="1"/>
  <c r="U168" i="15" s="1"/>
  <c r="O245" i="15"/>
  <c r="W245" i="15" s="1"/>
  <c r="V245" i="15" s="1"/>
  <c r="U245" i="15" s="1"/>
  <c r="K690" i="6"/>
  <c r="P168" i="15"/>
  <c r="O218" i="15"/>
  <c r="W218" i="15" s="1"/>
  <c r="V218" i="15" s="1"/>
  <c r="U218" i="15" s="1"/>
  <c r="O170" i="15"/>
  <c r="W170" i="15" s="1"/>
  <c r="V170" i="15" s="1"/>
  <c r="U170" i="15" s="1"/>
  <c r="J251" i="15"/>
  <c r="O137" i="15"/>
  <c r="W137" i="15" s="1"/>
  <c r="V137" i="15" s="1"/>
  <c r="U137" i="15" s="1"/>
  <c r="O280" i="15"/>
  <c r="W280" i="15" s="1"/>
  <c r="V280" i="15" s="1"/>
  <c r="U280" i="15" s="1"/>
  <c r="J191" i="15"/>
  <c r="J287" i="15"/>
  <c r="I230" i="15"/>
  <c r="I186" i="15"/>
  <c r="P277" i="15"/>
  <c r="K671" i="6"/>
  <c r="AF671" i="6" s="1"/>
  <c r="I280" i="15"/>
  <c r="J199" i="15"/>
  <c r="L152" i="6"/>
  <c r="AJ127" i="15" s="1"/>
  <c r="L146" i="6"/>
  <c r="AJ123" i="15" s="1"/>
  <c r="I219" i="15"/>
  <c r="I256" i="15"/>
  <c r="O295" i="15"/>
  <c r="W295" i="15" s="1"/>
  <c r="V295" i="15" s="1"/>
  <c r="U295" i="15" s="1"/>
  <c r="J183" i="15"/>
  <c r="J235" i="15"/>
  <c r="P271" i="15"/>
  <c r="P278" i="15"/>
  <c r="P264" i="15"/>
  <c r="Z148" i="15"/>
  <c r="P263" i="15"/>
  <c r="I212" i="15"/>
  <c r="I217" i="15"/>
  <c r="I267" i="15"/>
  <c r="I210" i="15"/>
  <c r="O233" i="15"/>
  <c r="W233" i="15" s="1"/>
  <c r="V233" i="15" s="1"/>
  <c r="U233" i="15" s="1"/>
  <c r="O255" i="15"/>
  <c r="W255" i="15" s="1"/>
  <c r="V255" i="15" s="1"/>
  <c r="U255" i="15" s="1"/>
  <c r="I245" i="15"/>
  <c r="I133" i="15"/>
  <c r="I294" i="15"/>
  <c r="O222" i="15"/>
  <c r="W222" i="15" s="1"/>
  <c r="V222" i="15" s="1"/>
  <c r="U222" i="15" s="1"/>
  <c r="P138" i="15"/>
  <c r="P170" i="15"/>
  <c r="L124" i="6"/>
  <c r="O185" i="15"/>
  <c r="W185" i="15" s="1"/>
  <c r="V185" i="15" s="1"/>
  <c r="U185" i="15" s="1"/>
  <c r="P259" i="15"/>
  <c r="I182" i="15"/>
  <c r="P233" i="15"/>
  <c r="O275" i="15"/>
  <c r="W275" i="15" s="1"/>
  <c r="V275" i="15" s="1"/>
  <c r="U275" i="15" s="1"/>
  <c r="O195" i="15"/>
  <c r="W195" i="15" s="1"/>
  <c r="V195" i="15" s="1"/>
  <c r="U195" i="15" s="1"/>
  <c r="O187" i="15"/>
  <c r="W187" i="15" s="1"/>
  <c r="V187" i="15" s="1"/>
  <c r="U187" i="15" s="1"/>
  <c r="O193" i="15"/>
  <c r="W193" i="15" s="1"/>
  <c r="V193" i="15" s="1"/>
  <c r="U193" i="15" s="1"/>
  <c r="O297" i="15"/>
  <c r="W297" i="15" s="1"/>
  <c r="V297" i="15" s="1"/>
  <c r="U297" i="15" s="1"/>
  <c r="O213" i="15"/>
  <c r="W213" i="15" s="1"/>
  <c r="V213" i="15" s="1"/>
  <c r="U213" i="15" s="1"/>
  <c r="AF683" i="6"/>
  <c r="K249" i="15"/>
  <c r="I249" i="15" s="1"/>
  <c r="AF1730" i="6"/>
  <c r="J278" i="15"/>
  <c r="O263" i="15"/>
  <c r="W263" i="15" s="1"/>
  <c r="V263" i="15" s="1"/>
  <c r="U263" i="15" s="1"/>
  <c r="I236" i="15"/>
  <c r="L143" i="6"/>
  <c r="AJ121" i="15" s="1"/>
  <c r="K175" i="15"/>
  <c r="I175" i="15" s="1"/>
  <c r="AF1530" i="6"/>
  <c r="P182" i="15"/>
  <c r="O264" i="15"/>
  <c r="W264" i="15" s="1"/>
  <c r="V264" i="15" s="1"/>
  <c r="U264" i="15" s="1"/>
  <c r="M175" i="15"/>
  <c r="J175" i="15" s="1"/>
  <c r="AF1532" i="6"/>
  <c r="I1536" i="6"/>
  <c r="S176" i="15" s="1"/>
  <c r="P176" i="15" s="1"/>
  <c r="M176" i="15"/>
  <c r="J176" i="15" s="1"/>
  <c r="AF1536" i="6"/>
  <c r="AF685" i="6"/>
  <c r="I177" i="15"/>
  <c r="K298" i="6"/>
  <c r="AF298" i="6"/>
  <c r="K265" i="15"/>
  <c r="I265" i="15" s="1"/>
  <c r="AF1794" i="6"/>
  <c r="P201" i="15"/>
  <c r="O244" i="15"/>
  <c r="W244" i="15" s="1"/>
  <c r="V244" i="15" s="1"/>
  <c r="U244" i="15" s="1"/>
  <c r="O266" i="15"/>
  <c r="W266" i="15" s="1"/>
  <c r="V266" i="15" s="1"/>
  <c r="U266" i="15" s="1"/>
  <c r="Z139" i="15"/>
  <c r="W139" i="15" s="1"/>
  <c r="V139" i="15" s="1"/>
  <c r="U139" i="15" s="1"/>
  <c r="I227" i="15"/>
  <c r="K271" i="6"/>
  <c r="AF271" i="6"/>
  <c r="K139" i="15"/>
  <c r="I139" i="15" s="1"/>
  <c r="AF772" i="6"/>
  <c r="P180" i="15"/>
  <c r="O271" i="15"/>
  <c r="W271" i="15" s="1"/>
  <c r="V271" i="15" s="1"/>
  <c r="U271" i="15" s="1"/>
  <c r="O225" i="15"/>
  <c r="W225" i="15" s="1"/>
  <c r="V225" i="15" s="1"/>
  <c r="U225" i="15" s="1"/>
  <c r="P250" i="15"/>
  <c r="P135" i="15"/>
  <c r="I1764" i="6"/>
  <c r="S257" i="15" s="1"/>
  <c r="P257" i="15" s="1"/>
  <c r="M257" i="15"/>
  <c r="J257" i="15" s="1"/>
  <c r="AF1764" i="6"/>
  <c r="J267" i="15"/>
  <c r="Z140" i="15"/>
  <c r="K717" i="6"/>
  <c r="O197" i="15"/>
  <c r="W197" i="15" s="1"/>
  <c r="V197" i="15" s="1"/>
  <c r="U197" i="15" s="1"/>
  <c r="P267" i="15"/>
  <c r="O199" i="15"/>
  <c r="W199" i="15" s="1"/>
  <c r="V199" i="15" s="1"/>
  <c r="U199" i="15" s="1"/>
  <c r="K165" i="15"/>
  <c r="AF1379" i="6"/>
  <c r="AF676" i="6"/>
  <c r="M256" i="15"/>
  <c r="J256" i="15" s="1"/>
  <c r="AF1760" i="6"/>
  <c r="I237" i="15"/>
  <c r="I273" i="15"/>
  <c r="P185" i="15"/>
  <c r="O136" i="15"/>
  <c r="W136" i="15" s="1"/>
  <c r="V136" i="15" s="1"/>
  <c r="U136" i="15" s="1"/>
  <c r="O273" i="15"/>
  <c r="W273" i="15" s="1"/>
  <c r="V273" i="15" s="1"/>
  <c r="U273" i="15" s="1"/>
  <c r="O272" i="15"/>
  <c r="W272" i="15" s="1"/>
  <c r="V272" i="15" s="1"/>
  <c r="U272" i="15" s="1"/>
  <c r="O267" i="15"/>
  <c r="W267" i="15" s="1"/>
  <c r="V267" i="15" s="1"/>
  <c r="U267" i="15" s="1"/>
  <c r="L128" i="6"/>
  <c r="AJ111" i="15" s="1"/>
  <c r="L134" i="6"/>
  <c r="AJ115" i="15" s="1"/>
  <c r="M248" i="15"/>
  <c r="J248" i="15" s="1"/>
  <c r="AF1728" i="6"/>
  <c r="O226" i="15"/>
  <c r="W226" i="15" s="1"/>
  <c r="V226" i="15" s="1"/>
  <c r="U226" i="15" s="1"/>
  <c r="P246" i="15"/>
  <c r="K722" i="6"/>
  <c r="M165" i="15"/>
  <c r="AF1381" i="6"/>
  <c r="K82" i="15"/>
  <c r="I82" i="15" s="1"/>
  <c r="AF84" i="6"/>
  <c r="M223" i="15"/>
  <c r="J223" i="15" s="1"/>
  <c r="AF1658" i="6"/>
  <c r="J261" i="15"/>
  <c r="J170" i="15"/>
  <c r="I270" i="15"/>
  <c r="I285" i="15"/>
  <c r="I134" i="15"/>
  <c r="L85" i="6"/>
  <c r="M265" i="15"/>
  <c r="J265" i="15" s="1"/>
  <c r="AF1796" i="6"/>
  <c r="O296" i="15"/>
  <c r="W296" i="15" s="1"/>
  <c r="V296" i="15" s="1"/>
  <c r="U296" i="15" s="1"/>
  <c r="O258" i="15"/>
  <c r="W258" i="15" s="1"/>
  <c r="V258" i="15" s="1"/>
  <c r="U258" i="15" s="1"/>
  <c r="O293" i="15"/>
  <c r="W293" i="15" s="1"/>
  <c r="V293" i="15" s="1"/>
  <c r="U293" i="15" s="1"/>
  <c r="P244" i="15"/>
  <c r="O190" i="15"/>
  <c r="W190" i="15" s="1"/>
  <c r="V190" i="15" s="1"/>
  <c r="U190" i="15" s="1"/>
  <c r="I1760" i="6"/>
  <c r="S256" i="15" s="1"/>
  <c r="P256" i="15" s="1"/>
  <c r="O204" i="15"/>
  <c r="W204" i="15" s="1"/>
  <c r="V204" i="15" s="1"/>
  <c r="U204" i="15" s="1"/>
  <c r="K1508" i="6"/>
  <c r="DJ1508" i="6" s="1"/>
  <c r="AF4038" i="6"/>
  <c r="J269" i="15"/>
  <c r="J169" i="15"/>
  <c r="I274" i="15"/>
  <c r="I271" i="15"/>
  <c r="I207" i="15"/>
  <c r="O282" i="15"/>
  <c r="W282" i="15" s="1"/>
  <c r="V282" i="15" s="1"/>
  <c r="U282" i="15" s="1"/>
  <c r="O243" i="15"/>
  <c r="W243" i="15" s="1"/>
  <c r="V243" i="15" s="1"/>
  <c r="U243" i="15" s="1"/>
  <c r="O198" i="15"/>
  <c r="W198" i="15" s="1"/>
  <c r="V198" i="15" s="1"/>
  <c r="U198" i="15" s="1"/>
  <c r="I1658" i="6"/>
  <c r="S223" i="15" s="1"/>
  <c r="P223" i="15" s="1"/>
  <c r="O247" i="15"/>
  <c r="W247" i="15" s="1"/>
  <c r="V247" i="15" s="1"/>
  <c r="U247" i="15" s="1"/>
  <c r="K205" i="15"/>
  <c r="I205" i="15" s="1"/>
  <c r="AF1618" i="6"/>
  <c r="J1123" i="6"/>
  <c r="AF1122" i="6"/>
  <c r="I194" i="15"/>
  <c r="I198" i="15"/>
  <c r="J250" i="15"/>
  <c r="L202" i="15"/>
  <c r="I202" i="15" s="1"/>
  <c r="AF1613" i="6"/>
  <c r="I233" i="15"/>
  <c r="I132" i="15"/>
  <c r="K1538" i="6"/>
  <c r="DJ1538" i="6" s="1"/>
  <c r="AF4068" i="6"/>
  <c r="P134" i="15"/>
  <c r="O241" i="15"/>
  <c r="W241" i="15" s="1"/>
  <c r="V241" i="15" s="1"/>
  <c r="U241" i="15" s="1"/>
  <c r="O171" i="15"/>
  <c r="W171" i="15" s="1"/>
  <c r="V171" i="15" s="1"/>
  <c r="U171" i="15" s="1"/>
  <c r="P255" i="15"/>
  <c r="O184" i="15"/>
  <c r="W184" i="15" s="1"/>
  <c r="V184" i="15" s="1"/>
  <c r="U184" i="15" s="1"/>
  <c r="F776" i="6"/>
  <c r="I264" i="15"/>
  <c r="I195" i="15"/>
  <c r="M249" i="15"/>
  <c r="J249" i="15" s="1"/>
  <c r="AF1732" i="6"/>
  <c r="K253" i="6"/>
  <c r="AF253" i="6"/>
  <c r="I275" i="15"/>
  <c r="I137" i="15"/>
  <c r="J135" i="15"/>
  <c r="J255" i="15"/>
  <c r="K176" i="15"/>
  <c r="I176" i="15" s="1"/>
  <c r="AF1534" i="6"/>
  <c r="K1524" i="6"/>
  <c r="DJ1524" i="6" s="1"/>
  <c r="AF4054" i="6"/>
  <c r="J134" i="15"/>
  <c r="O179" i="15"/>
  <c r="W179" i="15" s="1"/>
  <c r="V179" i="15" s="1"/>
  <c r="U179" i="15" s="1"/>
  <c r="O183" i="15"/>
  <c r="W183" i="15" s="1"/>
  <c r="V183" i="15" s="1"/>
  <c r="U183" i="15" s="1"/>
  <c r="P269" i="15"/>
  <c r="O291" i="15"/>
  <c r="W291" i="15" s="1"/>
  <c r="V291" i="15" s="1"/>
  <c r="U291" i="15" s="1"/>
  <c r="O281" i="15"/>
  <c r="W281" i="15" s="1"/>
  <c r="V281" i="15" s="1"/>
  <c r="U281" i="15" s="1"/>
  <c r="I1654" i="6"/>
  <c r="S222" i="15" s="1"/>
  <c r="P222" i="15" s="1"/>
  <c r="M222" i="15"/>
  <c r="J222" i="15" s="1"/>
  <c r="AF1654" i="6"/>
  <c r="I224" i="15"/>
  <c r="I199" i="15"/>
  <c r="M230" i="15"/>
  <c r="J230" i="15" s="1"/>
  <c r="AF1674" i="6"/>
  <c r="I171" i="15"/>
  <c r="M164" i="15"/>
  <c r="AF1377" i="6"/>
  <c r="I1762" i="6"/>
  <c r="Q257" i="15" s="1"/>
  <c r="O257" i="15" s="1"/>
  <c r="W257" i="15" s="1"/>
  <c r="V257" i="15" s="1"/>
  <c r="U257" i="15" s="1"/>
  <c r="K257" i="15"/>
  <c r="I257" i="15" s="1"/>
  <c r="AF1762" i="6"/>
  <c r="AF673" i="6"/>
  <c r="K86" i="6"/>
  <c r="DJ86" i="6" s="1"/>
  <c r="O131" i="15"/>
  <c r="W131" i="15" s="1"/>
  <c r="V131" i="15" s="1"/>
  <c r="U131" i="15" s="1"/>
  <c r="K280" i="6"/>
  <c r="K713" i="6" s="1"/>
  <c r="AF280" i="6"/>
  <c r="O279" i="15"/>
  <c r="W279" i="15" s="1"/>
  <c r="V279" i="15" s="1"/>
  <c r="U279" i="15" s="1"/>
  <c r="P249" i="15"/>
  <c r="I773" i="6"/>
  <c r="S139" i="15" s="1"/>
  <c r="P139" i="15" s="1"/>
  <c r="M139" i="15"/>
  <c r="J139" i="15" s="1"/>
  <c r="AF773" i="6"/>
  <c r="I184" i="15"/>
  <c r="I213" i="15"/>
  <c r="M174" i="15"/>
  <c r="J174" i="15" s="1"/>
  <c r="AF1528" i="6"/>
  <c r="O251" i="15"/>
  <c r="W251" i="15" s="1"/>
  <c r="V251" i="15" s="1"/>
  <c r="U251" i="15" s="1"/>
  <c r="P199" i="15"/>
  <c r="P251" i="15"/>
  <c r="O248" i="15"/>
  <c r="W248" i="15" s="1"/>
  <c r="V248" i="15" s="1"/>
  <c r="U248" i="15" s="1"/>
  <c r="P191" i="15"/>
  <c r="O286" i="15"/>
  <c r="W286" i="15" s="1"/>
  <c r="V286" i="15" s="1"/>
  <c r="U286" i="15" s="1"/>
  <c r="O232" i="15"/>
  <c r="W232" i="15" s="1"/>
  <c r="V232" i="15" s="1"/>
  <c r="U232" i="15" s="1"/>
  <c r="I768" i="6"/>
  <c r="Q138" i="15" s="1"/>
  <c r="O138" i="15" s="1"/>
  <c r="W138" i="15" s="1"/>
  <c r="V138" i="15" s="1"/>
  <c r="U138" i="15" s="1"/>
  <c r="K138" i="15"/>
  <c r="I138" i="15" s="1"/>
  <c r="AF768" i="6"/>
  <c r="I174" i="15"/>
  <c r="K231" i="15"/>
  <c r="I231" i="15" s="1"/>
  <c r="AF1676" i="6"/>
  <c r="I292" i="15"/>
  <c r="I278" i="15"/>
  <c r="K262" i="6"/>
  <c r="AF262" i="6"/>
  <c r="M264" i="15"/>
  <c r="J264" i="15" s="1"/>
  <c r="AF1792" i="6"/>
  <c r="K135" i="15"/>
  <c r="I135" i="15" s="1"/>
  <c r="AF760" i="6"/>
  <c r="L89" i="6"/>
  <c r="AJ85" i="15" s="1"/>
  <c r="P183" i="15"/>
  <c r="P253" i="15"/>
  <c r="P287" i="15"/>
  <c r="P169" i="15"/>
  <c r="I215" i="15"/>
  <c r="I262" i="15"/>
  <c r="I192" i="15"/>
  <c r="I296" i="15"/>
  <c r="K712" i="6"/>
  <c r="AF712" i="6" s="1"/>
  <c r="K673" i="6"/>
  <c r="F1615" i="6"/>
  <c r="I1615" i="6" s="1"/>
  <c r="R203" i="15" s="1"/>
  <c r="O203" i="15" s="1"/>
  <c r="W203" i="15" s="1"/>
  <c r="V203" i="15" s="1"/>
  <c r="U203" i="15" s="1"/>
  <c r="AF2546" i="6"/>
  <c r="P232" i="15"/>
  <c r="O205" i="15"/>
  <c r="W205" i="15" s="1"/>
  <c r="V205" i="15" s="1"/>
  <c r="U205" i="15" s="1"/>
  <c r="O224" i="15"/>
  <c r="W224" i="15" s="1"/>
  <c r="V224" i="15" s="1"/>
  <c r="U224" i="15" s="1"/>
  <c r="O242" i="15"/>
  <c r="W242" i="15" s="1"/>
  <c r="V242" i="15" s="1"/>
  <c r="U242" i="15" s="1"/>
  <c r="P235" i="15"/>
  <c r="L101" i="6"/>
  <c r="AJ93" i="15" s="1"/>
  <c r="I170" i="15"/>
  <c r="J274" i="15"/>
  <c r="K223" i="15"/>
  <c r="I223" i="15" s="1"/>
  <c r="AF1656" i="6"/>
  <c r="I281" i="15"/>
  <c r="I242" i="15"/>
  <c r="I226" i="15"/>
  <c r="O133" i="15"/>
  <c r="W133" i="15" s="1"/>
  <c r="V133" i="15" s="1"/>
  <c r="U133" i="15" s="1"/>
  <c r="O288" i="15"/>
  <c r="W288" i="15" s="1"/>
  <c r="V288" i="15" s="1"/>
  <c r="U288" i="15" s="1"/>
  <c r="O216" i="15"/>
  <c r="W216" i="15" s="1"/>
  <c r="V216" i="15" s="1"/>
  <c r="U216" i="15" s="1"/>
  <c r="O217" i="15"/>
  <c r="W217" i="15" s="1"/>
  <c r="V217" i="15" s="1"/>
  <c r="U217" i="15" s="1"/>
  <c r="I1676" i="6"/>
  <c r="Q231" i="15" s="1"/>
  <c r="O231" i="15" s="1"/>
  <c r="W231" i="15" s="1"/>
  <c r="V231" i="15" s="1"/>
  <c r="U231" i="15" s="1"/>
  <c r="P262" i="15"/>
  <c r="J279" i="15"/>
  <c r="J271" i="15"/>
  <c r="I248" i="15"/>
  <c r="J182" i="15"/>
  <c r="Z155" i="15"/>
  <c r="J253" i="15"/>
  <c r="I291" i="15"/>
  <c r="J185" i="15"/>
  <c r="I216" i="15"/>
  <c r="J852" i="6"/>
  <c r="AF852" i="6" s="1"/>
  <c r="AF843" i="6"/>
  <c r="O294" i="15"/>
  <c r="W294" i="15" s="1"/>
  <c r="V294" i="15" s="1"/>
  <c r="U294" i="15" s="1"/>
  <c r="M231" i="15"/>
  <c r="J231" i="15" s="1"/>
  <c r="AF1678" i="6"/>
  <c r="O132" i="15"/>
  <c r="W132" i="15" s="1"/>
  <c r="V132" i="15" s="1"/>
  <c r="U132" i="15" s="1"/>
  <c r="O250" i="15"/>
  <c r="W250" i="15" s="1"/>
  <c r="V250" i="15" s="1"/>
  <c r="U250" i="15" s="1"/>
  <c r="L137" i="6"/>
  <c r="AJ117" i="15" s="1"/>
  <c r="O186" i="15"/>
  <c r="W186" i="15" s="1"/>
  <c r="V186" i="15" s="1"/>
  <c r="U186" i="15" s="1"/>
  <c r="O239" i="15"/>
  <c r="W239" i="15" s="1"/>
  <c r="V239" i="15" s="1"/>
  <c r="U239" i="15" s="1"/>
  <c r="O262" i="15"/>
  <c r="W262" i="15" s="1"/>
  <c r="V262" i="15" s="1"/>
  <c r="U262" i="15" s="1"/>
  <c r="O278" i="15"/>
  <c r="W278" i="15" s="1"/>
  <c r="V278" i="15" s="1"/>
  <c r="U278" i="15" s="1"/>
  <c r="I1656" i="6"/>
  <c r="Q223" i="15" s="1"/>
  <c r="O223" i="15" s="1"/>
  <c r="W223" i="15" s="1"/>
  <c r="V223" i="15" s="1"/>
  <c r="U223" i="15" s="1"/>
  <c r="AF698" i="6"/>
  <c r="I250" i="15"/>
  <c r="J180" i="15"/>
  <c r="I259" i="15"/>
  <c r="I191" i="15"/>
  <c r="Z156" i="15"/>
  <c r="I266" i="15"/>
  <c r="I193" i="15"/>
  <c r="I222" i="15"/>
  <c r="P242" i="15"/>
  <c r="O207" i="15"/>
  <c r="W207" i="15" s="1"/>
  <c r="V207" i="15" s="1"/>
  <c r="U207" i="15" s="1"/>
  <c r="O227" i="15"/>
  <c r="W227" i="15" s="1"/>
  <c r="V227" i="15" s="1"/>
  <c r="U227" i="15" s="1"/>
  <c r="O189" i="15"/>
  <c r="W189" i="15" s="1"/>
  <c r="V189" i="15" s="1"/>
  <c r="U189" i="15" s="1"/>
  <c r="I293" i="15"/>
  <c r="I172" i="15"/>
  <c r="I241" i="15"/>
  <c r="I290" i="15"/>
  <c r="I178" i="15"/>
  <c r="I206" i="15"/>
  <c r="J272" i="15"/>
  <c r="K11" i="15"/>
  <c r="AF50" i="16"/>
  <c r="K17" i="15"/>
  <c r="AF62" i="16"/>
  <c r="K14" i="15"/>
  <c r="AF56" i="16"/>
  <c r="K16" i="15"/>
  <c r="AF60" i="16"/>
  <c r="K21" i="15"/>
  <c r="AF70" i="16"/>
  <c r="I24" i="15"/>
  <c r="AF179" i="16"/>
  <c r="K19" i="15"/>
  <c r="AF66" i="16"/>
  <c r="K10" i="15"/>
  <c r="AF48" i="16"/>
  <c r="K12" i="15"/>
  <c r="AF52" i="16"/>
  <c r="K13" i="15"/>
  <c r="AF54" i="16"/>
  <c r="K15" i="15"/>
  <c r="AF58" i="16"/>
  <c r="K18" i="15"/>
  <c r="AF64" i="16"/>
  <c r="K20" i="15"/>
  <c r="AF68" i="16"/>
  <c r="K119" i="6"/>
  <c r="DJ119" i="6" s="1"/>
  <c r="AF706" i="6"/>
  <c r="K100" i="6"/>
  <c r="DJ100" i="6" s="1"/>
  <c r="AF687" i="6"/>
  <c r="K91" i="6"/>
  <c r="DJ91" i="6" s="1"/>
  <c r="AF678" i="6"/>
  <c r="K104" i="6"/>
  <c r="DJ104" i="6" s="1"/>
  <c r="AF691" i="6"/>
  <c r="K110" i="6"/>
  <c r="DJ110" i="6" s="1"/>
  <c r="AF697" i="6"/>
  <c r="K113" i="6"/>
  <c r="DJ113" i="6" s="1"/>
  <c r="AF700" i="6"/>
  <c r="K109" i="6"/>
  <c r="DJ109" i="6" s="1"/>
  <c r="AF696" i="6"/>
  <c r="K95" i="6"/>
  <c r="DJ95" i="6" s="1"/>
  <c r="AF682" i="6"/>
  <c r="K101" i="6"/>
  <c r="DJ101" i="6" s="1"/>
  <c r="AF688" i="6"/>
  <c r="K118" i="6"/>
  <c r="DJ118" i="6" s="1"/>
  <c r="AF705" i="6"/>
  <c r="AF716" i="6"/>
  <c r="AF739" i="6"/>
  <c r="AF694" i="6"/>
  <c r="AF674" i="6"/>
  <c r="AF730" i="6"/>
  <c r="AF707" i="6"/>
  <c r="AF701" i="6"/>
  <c r="AF721" i="6"/>
  <c r="AF680" i="6"/>
  <c r="AF710" i="6"/>
  <c r="AF703" i="6"/>
  <c r="AF689" i="6"/>
  <c r="AF734" i="6"/>
  <c r="AF737" i="6"/>
  <c r="K4050" i="6"/>
  <c r="AF4050" i="6" s="1"/>
  <c r="K1447" i="6"/>
  <c r="L1385" i="6" s="1"/>
  <c r="AJ167" i="15" s="1"/>
  <c r="F1385" i="6"/>
  <c r="K1448" i="6"/>
  <c r="F1387" i="6"/>
  <c r="I1532" i="6"/>
  <c r="S175" i="15" s="1"/>
  <c r="P175" i="15" s="1"/>
  <c r="I1730" i="6"/>
  <c r="Q249" i="15" s="1"/>
  <c r="O249" i="15" s="1"/>
  <c r="W249" i="15" s="1"/>
  <c r="V249" i="15" s="1"/>
  <c r="U249" i="15" s="1"/>
  <c r="I1530" i="6"/>
  <c r="Q175" i="15" s="1"/>
  <c r="O175" i="15" s="1"/>
  <c r="W175" i="15" s="1"/>
  <c r="V175" i="15" s="1"/>
  <c r="U175" i="15" s="1"/>
  <c r="I1794" i="6"/>
  <c r="Q265" i="15" s="1"/>
  <c r="O265" i="15" s="1"/>
  <c r="W265" i="15" s="1"/>
  <c r="V265" i="15" s="1"/>
  <c r="U265" i="15" s="1"/>
  <c r="I1528" i="6"/>
  <c r="S174" i="15" s="1"/>
  <c r="P174" i="15" s="1"/>
  <c r="I1678" i="6"/>
  <c r="S231" i="15" s="1"/>
  <c r="P231" i="15" s="1"/>
  <c r="I1728" i="6"/>
  <c r="S248" i="15" s="1"/>
  <c r="P248" i="15" s="1"/>
  <c r="I1534" i="6"/>
  <c r="Q176" i="15" s="1"/>
  <c r="O176" i="15" s="1"/>
  <c r="W176" i="15" s="1"/>
  <c r="V176" i="15" s="1"/>
  <c r="U176" i="15" s="1"/>
  <c r="I1796" i="6"/>
  <c r="S265" i="15" s="1"/>
  <c r="P265" i="15" s="1"/>
  <c r="L126" i="6"/>
  <c r="L97" i="6"/>
  <c r="K684" i="6"/>
  <c r="K693" i="6"/>
  <c r="L106" i="6"/>
  <c r="J844" i="6"/>
  <c r="AF844" i="6" s="1"/>
  <c r="J851" i="6"/>
  <c r="AF851" i="6" s="1"/>
  <c r="J951" i="6"/>
  <c r="J958" i="6"/>
  <c r="AF958" i="6" s="1"/>
  <c r="L115" i="6"/>
  <c r="K702" i="6"/>
  <c r="L142" i="6"/>
  <c r="K729" i="6"/>
  <c r="F4693" i="6"/>
  <c r="F4642" i="6" s="1"/>
  <c r="F4691" i="6"/>
  <c r="F4630" i="6" s="1"/>
  <c r="I4637" i="6"/>
  <c r="Q340" i="15" s="1"/>
  <c r="I4643" i="6"/>
  <c r="Q343" i="15" s="1"/>
  <c r="I4635" i="6"/>
  <c r="Q339" i="15" s="1"/>
  <c r="I4639" i="6"/>
  <c r="Q341" i="15" s="1"/>
  <c r="I4623" i="6"/>
  <c r="Q333" i="15" s="1"/>
  <c r="I4621" i="6"/>
  <c r="Q332" i="15" s="1"/>
  <c r="I4633" i="6"/>
  <c r="Q338" i="15" s="1"/>
  <c r="I4641" i="6"/>
  <c r="Q342" i="15" s="1"/>
  <c r="F4694" i="6"/>
  <c r="F4644" i="6" s="1"/>
  <c r="F4687" i="6"/>
  <c r="F4624" i="6" s="1"/>
  <c r="F4690" i="6"/>
  <c r="F4628" i="6" s="1"/>
  <c r="F4688" i="6"/>
  <c r="AF4688" i="6" s="1"/>
  <c r="F4692" i="6"/>
  <c r="F4640" i="6" s="1"/>
  <c r="F4689" i="6"/>
  <c r="F4626" i="6" s="1"/>
  <c r="F4632" i="6" l="1"/>
  <c r="F4634" i="6"/>
  <c r="F4618" i="6"/>
  <c r="F4622" i="6"/>
  <c r="L332" i="15" s="1"/>
  <c r="I332" i="15" s="1"/>
  <c r="F4620" i="6"/>
  <c r="F4636" i="6"/>
  <c r="L339" i="15" s="1"/>
  <c r="I339" i="15" s="1"/>
  <c r="F4638" i="6"/>
  <c r="L340" i="15" s="1"/>
  <c r="I340" i="15" s="1"/>
  <c r="AF1385" i="6"/>
  <c r="K167" i="15"/>
  <c r="DI1385" i="6"/>
  <c r="AE167" i="15" s="1"/>
  <c r="AF1387" i="6"/>
  <c r="DI1387" i="6"/>
  <c r="O342" i="15"/>
  <c r="V342" i="15" s="1"/>
  <c r="U342" i="15" s="1"/>
  <c r="O338" i="15"/>
  <c r="V338" i="15" s="1"/>
  <c r="U338" i="15" s="1"/>
  <c r="O332" i="15"/>
  <c r="V332" i="15" s="1"/>
  <c r="U332" i="15" s="1"/>
  <c r="O333" i="15"/>
  <c r="V333" i="15" s="1"/>
  <c r="U333" i="15" s="1"/>
  <c r="O341" i="15"/>
  <c r="V341" i="15" s="1"/>
  <c r="U341" i="15" s="1"/>
  <c r="O339" i="15"/>
  <c r="V339" i="15" s="1"/>
  <c r="U339" i="15" s="1"/>
  <c r="O343" i="15"/>
  <c r="V343" i="15" s="1"/>
  <c r="U343" i="15" s="1"/>
  <c r="O340" i="15"/>
  <c r="V340" i="15" s="1"/>
  <c r="U340" i="15" s="1"/>
  <c r="AB98" i="15"/>
  <c r="AB99" i="15"/>
  <c r="AB177" i="15"/>
  <c r="AB92" i="15"/>
  <c r="AB87" i="15"/>
  <c r="AB93" i="15"/>
  <c r="AB173" i="15"/>
  <c r="AB168" i="15"/>
  <c r="AB89" i="15"/>
  <c r="AB86" i="15"/>
  <c r="AB105" i="15"/>
  <c r="AB101" i="15"/>
  <c r="AB95" i="15"/>
  <c r="AB104" i="15"/>
  <c r="K704" i="6"/>
  <c r="L117" i="6"/>
  <c r="L342" i="15"/>
  <c r="I342" i="15" s="1"/>
  <c r="AF4693" i="6"/>
  <c r="L108" i="6"/>
  <c r="K695" i="6"/>
  <c r="L203" i="15"/>
  <c r="I203" i="15" s="1"/>
  <c r="AF1615" i="6"/>
  <c r="K686" i="6"/>
  <c r="L99" i="6"/>
  <c r="AF4689" i="6"/>
  <c r="J1124" i="6"/>
  <c r="AF1123" i="6"/>
  <c r="F778" i="6"/>
  <c r="AF4692" i="6"/>
  <c r="AF4691" i="6"/>
  <c r="K731" i="6"/>
  <c r="L144" i="6"/>
  <c r="I4628" i="6"/>
  <c r="AF4690" i="6"/>
  <c r="AF4687" i="6"/>
  <c r="I776" i="6"/>
  <c r="Q141" i="15" s="1"/>
  <c r="O141" i="15" s="1"/>
  <c r="W141" i="15" s="1"/>
  <c r="V141" i="15" s="1"/>
  <c r="U141" i="15" s="1"/>
  <c r="K141" i="15"/>
  <c r="I141" i="15" s="1"/>
  <c r="AF776" i="6"/>
  <c r="AF4694" i="6"/>
  <c r="J960" i="6"/>
  <c r="AF960" i="6" s="1"/>
  <c r="AF951" i="6"/>
  <c r="AB83" i="15"/>
  <c r="K1542" i="6"/>
  <c r="DJ1542" i="6" s="1"/>
  <c r="K1520" i="6"/>
  <c r="DJ1520" i="6" s="1"/>
  <c r="I1387" i="6"/>
  <c r="I1385" i="6"/>
  <c r="Q167" i="15" s="1"/>
  <c r="L337" i="15"/>
  <c r="I337" i="15" s="1"/>
  <c r="L334" i="15"/>
  <c r="I334" i="15" s="1"/>
  <c r="L330" i="15"/>
  <c r="I330" i="15" s="1"/>
  <c r="J853" i="6"/>
  <c r="AF853" i="6" s="1"/>
  <c r="I4625" i="6"/>
  <c r="Q334" i="15" s="1"/>
  <c r="I4627" i="6"/>
  <c r="Q335" i="15" s="1"/>
  <c r="I4619" i="6"/>
  <c r="Q331" i="15" s="1"/>
  <c r="I4631" i="6"/>
  <c r="Q337" i="15" s="1"/>
  <c r="I4617" i="6"/>
  <c r="Q330" i="15" s="1"/>
  <c r="I4629" i="6"/>
  <c r="Q336" i="15" s="1"/>
  <c r="L333" i="15"/>
  <c r="I333" i="15" s="1"/>
  <c r="AF4634" i="6" l="1"/>
  <c r="L338" i="15"/>
  <c r="I338" i="15" s="1"/>
  <c r="AF4644" i="6"/>
  <c r="L343" i="15"/>
  <c r="I343" i="15" s="1"/>
  <c r="AF4640" i="6"/>
  <c r="L341" i="15"/>
  <c r="I341" i="15" s="1"/>
  <c r="AF4628" i="6"/>
  <c r="L335" i="15"/>
  <c r="I335" i="15" s="1"/>
  <c r="AF4620" i="6"/>
  <c r="L331" i="15"/>
  <c r="I331" i="15" s="1"/>
  <c r="AF4630" i="6"/>
  <c r="L336" i="15"/>
  <c r="I336" i="15" s="1"/>
  <c r="O336" i="15"/>
  <c r="V336" i="15" s="1"/>
  <c r="U336" i="15" s="1"/>
  <c r="O330" i="15"/>
  <c r="V330" i="15" s="1"/>
  <c r="U330" i="15" s="1"/>
  <c r="O337" i="15"/>
  <c r="V337" i="15" s="1"/>
  <c r="U337" i="15" s="1"/>
  <c r="O331" i="15"/>
  <c r="V331" i="15" s="1"/>
  <c r="U331" i="15" s="1"/>
  <c r="O335" i="15"/>
  <c r="V335" i="15" s="1"/>
  <c r="U335" i="15" s="1"/>
  <c r="O334" i="15"/>
  <c r="V334" i="15" s="1"/>
  <c r="U334" i="15" s="1"/>
  <c r="I4644" i="6"/>
  <c r="I4630" i="6"/>
  <c r="AF1124" i="6"/>
  <c r="F779" i="6"/>
  <c r="J1125" i="6"/>
  <c r="I4622" i="6"/>
  <c r="AF4622" i="6"/>
  <c r="I4638" i="6"/>
  <c r="AF4638" i="6"/>
  <c r="I4636" i="6"/>
  <c r="AF4636" i="6"/>
  <c r="I778" i="6"/>
  <c r="Q143" i="15" s="1"/>
  <c r="K143" i="15"/>
  <c r="AF778" i="6"/>
  <c r="I4618" i="6"/>
  <c r="AF4618" i="6"/>
  <c r="I4626" i="6"/>
  <c r="AF4626" i="6"/>
  <c r="I4642" i="6"/>
  <c r="AF4642" i="6"/>
  <c r="I4632" i="6"/>
  <c r="AF4632" i="6"/>
  <c r="I4624" i="6"/>
  <c r="AF4624" i="6"/>
  <c r="I4620" i="6"/>
  <c r="AB171" i="15"/>
  <c r="AB179" i="15"/>
  <c r="I4640" i="6"/>
  <c r="I4634" i="6"/>
  <c r="J1126" i="6" l="1"/>
  <c r="AF1125" i="6"/>
  <c r="F782" i="6"/>
  <c r="I779" i="6"/>
  <c r="R143" i="15" s="1"/>
  <c r="O143" i="15" s="1"/>
  <c r="W143" i="15" s="1"/>
  <c r="V143" i="15" s="1"/>
  <c r="U143" i="15" s="1"/>
  <c r="L143" i="15"/>
  <c r="I143" i="15" s="1"/>
  <c r="AF779" i="6"/>
  <c r="B38" i="11"/>
  <c r="I782" i="6" l="1"/>
  <c r="Q145" i="15" s="1"/>
  <c r="K145" i="15"/>
  <c r="AF782" i="6"/>
  <c r="J1127" i="6"/>
  <c r="AF1126" i="6"/>
  <c r="F783" i="6"/>
  <c r="F34" i="2"/>
  <c r="K889" i="7"/>
  <c r="DJ889" i="7" s="1"/>
  <c r="K887" i="7"/>
  <c r="DJ887" i="7" s="1"/>
  <c r="K885" i="7"/>
  <c r="DJ885" i="7" s="1"/>
  <c r="K883" i="7"/>
  <c r="DJ883" i="7" s="1"/>
  <c r="K881" i="7"/>
  <c r="DJ881" i="7" s="1"/>
  <c r="K879" i="7"/>
  <c r="DJ879" i="7" s="1"/>
  <c r="K877" i="7"/>
  <c r="DJ877" i="7" s="1"/>
  <c r="K875" i="7"/>
  <c r="DJ875" i="7" s="1"/>
  <c r="K873" i="7"/>
  <c r="DJ873" i="7" s="1"/>
  <c r="K871" i="7"/>
  <c r="DJ871" i="7" s="1"/>
  <c r="K869" i="7"/>
  <c r="DJ869" i="7" s="1"/>
  <c r="K867" i="7"/>
  <c r="DJ867" i="7" s="1"/>
  <c r="F1149" i="7"/>
  <c r="F1147" i="7"/>
  <c r="F1145" i="7"/>
  <c r="F1143" i="7"/>
  <c r="F1141" i="7"/>
  <c r="F1139" i="7"/>
  <c r="F1137" i="7"/>
  <c r="F1135" i="7"/>
  <c r="F1133" i="7"/>
  <c r="F1131" i="7"/>
  <c r="F1129" i="7"/>
  <c r="F1127" i="7"/>
  <c r="F1128" i="7"/>
  <c r="K497" i="15" l="1"/>
  <c r="I497" i="15" s="1"/>
  <c r="AF1139" i="7"/>
  <c r="K498" i="15"/>
  <c r="I498" i="15" s="1"/>
  <c r="AF1143" i="7"/>
  <c r="K499" i="15"/>
  <c r="I499" i="15" s="1"/>
  <c r="AF1147" i="7"/>
  <c r="K511" i="15"/>
  <c r="I511" i="15" s="1"/>
  <c r="AF1149" i="7"/>
  <c r="AB449" i="15"/>
  <c r="AB452" i="15"/>
  <c r="AB453" i="15"/>
  <c r="AB454" i="15"/>
  <c r="AB455" i="15"/>
  <c r="K496" i="15"/>
  <c r="I496" i="15" s="1"/>
  <c r="AF1135" i="7"/>
  <c r="K510" i="15"/>
  <c r="I510" i="15" s="1"/>
  <c r="AF1145" i="7"/>
  <c r="K500" i="15"/>
  <c r="I500" i="15" s="1"/>
  <c r="AF1128" i="7"/>
  <c r="AB456" i="15"/>
  <c r="K494" i="15"/>
  <c r="I494" i="15" s="1"/>
  <c r="AF1127" i="7"/>
  <c r="AB457" i="15"/>
  <c r="K506" i="15"/>
  <c r="I506" i="15" s="1"/>
  <c r="AF1129" i="7"/>
  <c r="K495" i="15"/>
  <c r="I495" i="15" s="1"/>
  <c r="AF1131" i="7"/>
  <c r="AB459" i="15"/>
  <c r="K508" i="15"/>
  <c r="I508" i="15" s="1"/>
  <c r="AF1137" i="7"/>
  <c r="K509" i="15"/>
  <c r="I509" i="15" s="1"/>
  <c r="AF1141" i="7"/>
  <c r="AB450" i="15"/>
  <c r="AB451" i="15"/>
  <c r="AB458" i="15"/>
  <c r="K507" i="15"/>
  <c r="I507" i="15" s="1"/>
  <c r="AF1133" i="7"/>
  <c r="AB460" i="15"/>
  <c r="I594" i="15"/>
  <c r="AF34" i="2"/>
  <c r="I783" i="6"/>
  <c r="R145" i="15" s="1"/>
  <c r="O145" i="15" s="1"/>
  <c r="W145" i="15" s="1"/>
  <c r="V145" i="15" s="1"/>
  <c r="U145" i="15" s="1"/>
  <c r="L145" i="15"/>
  <c r="I145" i="15" s="1"/>
  <c r="AF783" i="6"/>
  <c r="J1128" i="6"/>
  <c r="AF1127" i="6"/>
  <c r="F786" i="6"/>
  <c r="F1146" i="7"/>
  <c r="F288" i="16"/>
  <c r="K493" i="15" l="1"/>
  <c r="I493" i="15" s="1"/>
  <c r="AF1146" i="7"/>
  <c r="I786" i="6"/>
  <c r="Q147" i="15" s="1"/>
  <c r="K147" i="15"/>
  <c r="AF786" i="6"/>
  <c r="J1129" i="6"/>
  <c r="AF1128" i="6"/>
  <c r="F787" i="6"/>
  <c r="AF287" i="16"/>
  <c r="I34" i="15"/>
  <c r="K34" i="15" s="1"/>
  <c r="I35" i="15"/>
  <c r="K35" i="15" s="1"/>
  <c r="AF288" i="16"/>
  <c r="I787" i="6" l="1"/>
  <c r="R147" i="15" s="1"/>
  <c r="O147" i="15" s="1"/>
  <c r="W147" i="15" s="1"/>
  <c r="V147" i="15" s="1"/>
  <c r="U147" i="15" s="1"/>
  <c r="L147" i="15"/>
  <c r="I147" i="15" s="1"/>
  <c r="AF787" i="6"/>
  <c r="AF1129" i="6"/>
  <c r="F788" i="6"/>
  <c r="J1130" i="6"/>
  <c r="F1113" i="7"/>
  <c r="AF1113" i="7" s="1"/>
  <c r="F1114" i="7"/>
  <c r="AF1114" i="7" s="1"/>
  <c r="F1115" i="7"/>
  <c r="AF1115" i="7" s="1"/>
  <c r="F1112" i="7"/>
  <c r="AF1112" i="7" s="1"/>
  <c r="F1109" i="7"/>
  <c r="AF1109" i="7" s="1"/>
  <c r="J370" i="16"/>
  <c r="J351" i="16"/>
  <c r="AG375" i="16"/>
  <c r="AE375" i="16"/>
  <c r="AD375" i="16"/>
  <c r="AC375" i="16"/>
  <c r="AB375" i="16"/>
  <c r="AA375" i="16"/>
  <c r="Z375" i="16"/>
  <c r="Y375" i="16"/>
  <c r="X375" i="16"/>
  <c r="W375" i="16"/>
  <c r="K370" i="16"/>
  <c r="H370" i="16"/>
  <c r="F370" i="16"/>
  <c r="B370" i="16"/>
  <c r="DI369" i="16"/>
  <c r="DH369" i="16"/>
  <c r="DG369" i="16"/>
  <c r="AG369" i="16"/>
  <c r="AE369" i="16"/>
  <c r="AD369" i="16"/>
  <c r="AC369" i="16"/>
  <c r="AB369" i="16"/>
  <c r="AA369" i="16"/>
  <c r="Z369" i="16"/>
  <c r="Y369" i="16"/>
  <c r="X369" i="16"/>
  <c r="V367" i="16"/>
  <c r="K351" i="16"/>
  <c r="DJ351" i="16" s="1"/>
  <c r="B351" i="16"/>
  <c r="H351" i="16"/>
  <c r="AG356" i="16"/>
  <c r="AE356" i="16"/>
  <c r="AD356" i="16"/>
  <c r="AC356" i="16"/>
  <c r="AB356" i="16"/>
  <c r="AA356" i="16"/>
  <c r="Z356" i="16"/>
  <c r="Y356" i="16"/>
  <c r="X356" i="16"/>
  <c r="W356" i="16"/>
  <c r="DI350" i="16"/>
  <c r="DH350" i="16"/>
  <c r="DG350" i="16"/>
  <c r="AG350" i="16"/>
  <c r="AE350" i="16"/>
  <c r="AD350" i="16"/>
  <c r="AC350" i="16"/>
  <c r="AB350" i="16"/>
  <c r="AA350" i="16"/>
  <c r="Z350" i="16"/>
  <c r="Y350" i="16"/>
  <c r="X350" i="16"/>
  <c r="V348" i="16"/>
  <c r="AB39" i="15" l="1"/>
  <c r="DJ370" i="16"/>
  <c r="AB38" i="15"/>
  <c r="AF370" i="16"/>
  <c r="I39" i="15"/>
  <c r="X39" i="15"/>
  <c r="Z39" i="15" s="1"/>
  <c r="DH351" i="16"/>
  <c r="X38" i="15"/>
  <c r="Z38" i="15" s="1"/>
  <c r="DH370" i="16"/>
  <c r="O39" i="15"/>
  <c r="I788" i="6"/>
  <c r="S147" i="15" s="1"/>
  <c r="M147" i="15"/>
  <c r="AF788" i="6"/>
  <c r="AF1130" i="6"/>
  <c r="J1131" i="6"/>
  <c r="J1135" i="6"/>
  <c r="F789" i="6"/>
  <c r="I370" i="16"/>
  <c r="I351" i="16"/>
  <c r="O38" i="15" s="1"/>
  <c r="W39" i="15" l="1"/>
  <c r="V39" i="15" s="1"/>
  <c r="U39" i="15" s="1"/>
  <c r="W38" i="15"/>
  <c r="V38" i="15" s="1"/>
  <c r="U38" i="15" s="1"/>
  <c r="I789" i="6"/>
  <c r="T147" i="15" s="1"/>
  <c r="P147" i="15" s="1"/>
  <c r="N147" i="15"/>
  <c r="J147" i="15" s="1"/>
  <c r="AF789" i="6"/>
  <c r="AF1131" i="6"/>
  <c r="F794" i="6"/>
  <c r="J1132" i="6"/>
  <c r="AF1135" i="6"/>
  <c r="F802" i="6"/>
  <c r="J1136" i="6"/>
  <c r="F323" i="7"/>
  <c r="F319" i="7"/>
  <c r="F346" i="7"/>
  <c r="F345" i="7"/>
  <c r="F344" i="7"/>
  <c r="F343" i="7"/>
  <c r="F342" i="7"/>
  <c r="F341" i="7"/>
  <c r="F340" i="7"/>
  <c r="F339" i="7"/>
  <c r="F338" i="7"/>
  <c r="F337" i="7"/>
  <c r="F336" i="7"/>
  <c r="F335" i="7"/>
  <c r="F334" i="7"/>
  <c r="F333" i="7"/>
  <c r="F332" i="7"/>
  <c r="F331" i="7"/>
  <c r="F330" i="7"/>
  <c r="F329" i="7"/>
  <c r="F328" i="7"/>
  <c r="F327" i="7"/>
  <c r="F326" i="7"/>
  <c r="F325" i="7"/>
  <c r="I134" i="7"/>
  <c r="F322" i="7"/>
  <c r="F321" i="7"/>
  <c r="F320" i="7"/>
  <c r="F318" i="7"/>
  <c r="I127" i="7"/>
  <c r="J131"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0" i="7"/>
  <c r="J129" i="7"/>
  <c r="J128" i="7"/>
  <c r="J127" i="7"/>
  <c r="I446" i="7"/>
  <c r="I448" i="7"/>
  <c r="I150" i="7" l="1"/>
  <c r="AF340" i="7"/>
  <c r="I131" i="7"/>
  <c r="AF321" i="7"/>
  <c r="I153" i="7"/>
  <c r="AF343" i="7"/>
  <c r="I154" i="7"/>
  <c r="AF344" i="7"/>
  <c r="I156" i="7"/>
  <c r="AF346" i="7"/>
  <c r="I133" i="7"/>
  <c r="AF323" i="7"/>
  <c r="I139" i="7"/>
  <c r="AF329" i="7"/>
  <c r="I140" i="7"/>
  <c r="AF330" i="7"/>
  <c r="I144" i="7"/>
  <c r="AF334" i="7"/>
  <c r="I145" i="7"/>
  <c r="AF335" i="7"/>
  <c r="I151" i="7"/>
  <c r="AF341" i="7"/>
  <c r="I152" i="7"/>
  <c r="AF342" i="7"/>
  <c r="I135" i="7"/>
  <c r="AF325" i="7"/>
  <c r="I136" i="7"/>
  <c r="AF326" i="7"/>
  <c r="I129" i="7"/>
  <c r="AF319" i="7"/>
  <c r="I141" i="7"/>
  <c r="AF331" i="7"/>
  <c r="I142" i="7"/>
  <c r="AF332" i="7"/>
  <c r="I143" i="7"/>
  <c r="AF333" i="7"/>
  <c r="I146" i="7"/>
  <c r="AF336" i="7"/>
  <c r="I148" i="7"/>
  <c r="AF338" i="7"/>
  <c r="I149" i="7"/>
  <c r="AF339" i="7"/>
  <c r="I128" i="7"/>
  <c r="AF318" i="7"/>
  <c r="I130" i="7"/>
  <c r="AF320" i="7"/>
  <c r="I132" i="7"/>
  <c r="AF322" i="7"/>
  <c r="I155" i="7"/>
  <c r="AF345" i="7"/>
  <c r="I137" i="7"/>
  <c r="AF327" i="7"/>
  <c r="I138" i="7"/>
  <c r="AF328" i="7"/>
  <c r="I147" i="7"/>
  <c r="AF337" i="7"/>
  <c r="AF1136" i="6"/>
  <c r="J1139" i="6"/>
  <c r="F803" i="6"/>
  <c r="I802" i="6"/>
  <c r="Q151" i="15" s="1"/>
  <c r="K151" i="15"/>
  <c r="AF802" i="6"/>
  <c r="AF1132" i="6"/>
  <c r="J1137" i="6"/>
  <c r="J1133" i="6"/>
  <c r="K149" i="15"/>
  <c r="I149" i="15" s="1"/>
  <c r="AF794" i="6"/>
  <c r="I794" i="6"/>
  <c r="Q149" i="15" s="1"/>
  <c r="O149" i="15" s="1"/>
  <c r="W149" i="15" s="1"/>
  <c r="V149" i="15" s="1"/>
  <c r="U149" i="15" s="1"/>
  <c r="K1310" i="7"/>
  <c r="DJ1310" i="7" s="1"/>
  <c r="K1311" i="7"/>
  <c r="DJ1311" i="7" s="1"/>
  <c r="K1312" i="7"/>
  <c r="DJ1312" i="7" s="1"/>
  <c r="K1313" i="7"/>
  <c r="DJ1313" i="7" s="1"/>
  <c r="K1314" i="7"/>
  <c r="DJ1314" i="7" s="1"/>
  <c r="K1315" i="7"/>
  <c r="DJ1315" i="7" s="1"/>
  <c r="K1316" i="7"/>
  <c r="DJ1316" i="7" s="1"/>
  <c r="K1309" i="7"/>
  <c r="DJ1309" i="7" s="1"/>
  <c r="J1310" i="7"/>
  <c r="J1311" i="7"/>
  <c r="J1312" i="7"/>
  <c r="J1313" i="7"/>
  <c r="J1314" i="7"/>
  <c r="J1315" i="7"/>
  <c r="J1316" i="7"/>
  <c r="J1309" i="7"/>
  <c r="D1342" i="7"/>
  <c r="D1341" i="7"/>
  <c r="V1341" i="7" s="1"/>
  <c r="V1340" i="7"/>
  <c r="V1330" i="7"/>
  <c r="AG1329" i="7"/>
  <c r="AE1329" i="7"/>
  <c r="AD1329" i="7"/>
  <c r="AC1329" i="7"/>
  <c r="AB1329" i="7"/>
  <c r="AA1329" i="7"/>
  <c r="Z1329" i="7"/>
  <c r="Y1329" i="7"/>
  <c r="X1329" i="7"/>
  <c r="W1329" i="7"/>
  <c r="H1316" i="7"/>
  <c r="B1316" i="7"/>
  <c r="H1315" i="7"/>
  <c r="B1315" i="7"/>
  <c r="H1314" i="7"/>
  <c r="B1314" i="7"/>
  <c r="H1313" i="7"/>
  <c r="B1313" i="7"/>
  <c r="H1312" i="7"/>
  <c r="B1312" i="7"/>
  <c r="H1311" i="7"/>
  <c r="B1311" i="7"/>
  <c r="H1310" i="7"/>
  <c r="B1310" i="7"/>
  <c r="B1309" i="7"/>
  <c r="V1306" i="7"/>
  <c r="G632" i="7"/>
  <c r="AF632" i="7" s="1"/>
  <c r="I76" i="6"/>
  <c r="AF76" i="6" s="1"/>
  <c r="I74" i="6"/>
  <c r="AF74" i="6" s="1"/>
  <c r="I72" i="6"/>
  <c r="AF72" i="6" s="1"/>
  <c r="I70" i="6"/>
  <c r="AF70" i="6" s="1"/>
  <c r="I485" i="7"/>
  <c r="AF6" i="11"/>
  <c r="AF37" i="11" s="1"/>
  <c r="AF6" i="22"/>
  <c r="AF6" i="7"/>
  <c r="AF6" i="6"/>
  <c r="AF165" i="6" s="1"/>
  <c r="AF8" i="2"/>
  <c r="AF6" i="16"/>
  <c r="AF6" i="5"/>
  <c r="F1045" i="7"/>
  <c r="F1044" i="7"/>
  <c r="B1045" i="7"/>
  <c r="B1044" i="7"/>
  <c r="E1043" i="7"/>
  <c r="G483" i="15" s="1"/>
  <c r="E1044" i="7"/>
  <c r="G484" i="15" s="1"/>
  <c r="AX484" i="15" s="1"/>
  <c r="E1045" i="7"/>
  <c r="G485" i="15" s="1"/>
  <c r="AX485" i="15" s="1"/>
  <c r="E1042" i="7"/>
  <c r="G482" i="15" s="1"/>
  <c r="DH1045" i="7"/>
  <c r="DH1044" i="7"/>
  <c r="V1045" i="7"/>
  <c r="K1045" i="7"/>
  <c r="DJ1045" i="7" s="1"/>
  <c r="H1045" i="7"/>
  <c r="V1044" i="7"/>
  <c r="H1044" i="7"/>
  <c r="J309" i="5"/>
  <c r="J308" i="5"/>
  <c r="K309" i="5"/>
  <c r="DJ309" i="5" s="1"/>
  <c r="K308" i="5"/>
  <c r="DJ308" i="5" s="1"/>
  <c r="K306" i="5"/>
  <c r="DJ306" i="5" s="1"/>
  <c r="B308" i="5"/>
  <c r="B309" i="5"/>
  <c r="F180" i="16"/>
  <c r="F182" i="16"/>
  <c r="F181" i="16"/>
  <c r="K182" i="16"/>
  <c r="DJ182" i="16" s="1"/>
  <c r="J182" i="16"/>
  <c r="H182" i="16"/>
  <c r="B182" i="16"/>
  <c r="K181" i="16"/>
  <c r="DJ181" i="16" s="1"/>
  <c r="J181" i="16"/>
  <c r="H181" i="16"/>
  <c r="B181" i="16"/>
  <c r="H309" i="5"/>
  <c r="H308" i="5"/>
  <c r="B201" i="16"/>
  <c r="B202" i="16"/>
  <c r="B203" i="16"/>
  <c r="B204" i="16"/>
  <c r="B253" i="16"/>
  <c r="B8" i="11"/>
  <c r="B9" i="11"/>
  <c r="B10" i="11"/>
  <c r="B7" i="11"/>
  <c r="B187" i="22"/>
  <c r="B153" i="22"/>
  <c r="B152" i="22"/>
  <c r="B117" i="22"/>
  <c r="B116" i="22"/>
  <c r="B80" i="22"/>
  <c r="B79" i="22"/>
  <c r="B52" i="22"/>
  <c r="B8" i="22"/>
  <c r="B9" i="22"/>
  <c r="B10" i="22"/>
  <c r="B11" i="22"/>
  <c r="B7" i="22"/>
  <c r="B1233" i="7"/>
  <c r="B1219" i="7"/>
  <c r="B1220" i="7"/>
  <c r="B1221" i="7"/>
  <c r="B1222" i="7"/>
  <c r="B1223" i="7"/>
  <c r="B1224" i="7"/>
  <c r="B1225" i="7"/>
  <c r="B1226" i="7"/>
  <c r="B1227" i="7"/>
  <c r="B1228" i="7"/>
  <c r="B1229" i="7"/>
  <c r="B1230" i="7"/>
  <c r="B1231" i="7"/>
  <c r="B1232" i="7"/>
  <c r="B1218" i="7"/>
  <c r="B1178" i="7"/>
  <c r="B1179" i="7"/>
  <c r="B1180" i="7"/>
  <c r="B1181" i="7"/>
  <c r="B1182" i="7"/>
  <c r="B1183" i="7"/>
  <c r="B1184" i="7"/>
  <c r="B1185" i="7"/>
  <c r="B1186" i="7"/>
  <c r="B1187" i="7"/>
  <c r="B1188" i="7"/>
  <c r="B1177" i="7"/>
  <c r="B1127" i="7"/>
  <c r="B1128" i="7"/>
  <c r="B1129" i="7"/>
  <c r="B1130" i="7"/>
  <c r="B1131" i="7"/>
  <c r="B1132" i="7"/>
  <c r="B1133" i="7"/>
  <c r="B1134" i="7"/>
  <c r="B1135" i="7"/>
  <c r="B1136" i="7"/>
  <c r="B1137" i="7"/>
  <c r="B1138" i="7"/>
  <c r="B1139" i="7"/>
  <c r="B1140" i="7"/>
  <c r="B1141" i="7"/>
  <c r="B1142" i="7"/>
  <c r="B1143" i="7"/>
  <c r="B1144" i="7"/>
  <c r="B1145" i="7"/>
  <c r="B1146" i="7"/>
  <c r="B1147" i="7"/>
  <c r="B1148" i="7"/>
  <c r="B1149" i="7"/>
  <c r="B1126" i="7"/>
  <c r="B1091" i="7"/>
  <c r="B1092" i="7"/>
  <c r="B1093" i="7"/>
  <c r="B1090" i="7"/>
  <c r="B1034" i="7"/>
  <c r="B1035" i="7"/>
  <c r="B1036" i="7"/>
  <c r="B1037" i="7"/>
  <c r="B1038" i="7"/>
  <c r="B1039" i="7"/>
  <c r="B1040" i="7"/>
  <c r="B1041" i="7"/>
  <c r="B1042" i="7"/>
  <c r="B1043" i="7"/>
  <c r="B1033" i="7"/>
  <c r="B957" i="7"/>
  <c r="B958" i="7"/>
  <c r="B959" i="7"/>
  <c r="B960" i="7"/>
  <c r="B961" i="7"/>
  <c r="B962" i="7"/>
  <c r="B963" i="7"/>
  <c r="B964" i="7"/>
  <c r="B965" i="7"/>
  <c r="B966" i="7"/>
  <c r="B967" i="7"/>
  <c r="B956" i="7"/>
  <c r="B868" i="7"/>
  <c r="B869" i="7"/>
  <c r="B870" i="7"/>
  <c r="B871" i="7"/>
  <c r="B872" i="7"/>
  <c r="B873" i="7"/>
  <c r="B874" i="7"/>
  <c r="B875" i="7"/>
  <c r="B876" i="7"/>
  <c r="B877" i="7"/>
  <c r="B878" i="7"/>
  <c r="B879" i="7"/>
  <c r="B880" i="7"/>
  <c r="B881" i="7"/>
  <c r="B882" i="7"/>
  <c r="B883" i="7"/>
  <c r="B884" i="7"/>
  <c r="B885" i="7"/>
  <c r="B886" i="7"/>
  <c r="B887" i="7"/>
  <c r="B888" i="7"/>
  <c r="B889" i="7"/>
  <c r="B890" i="7"/>
  <c r="B867" i="7"/>
  <c r="B796" i="7"/>
  <c r="B838" i="7"/>
  <c r="B839" i="7"/>
  <c r="B837" i="7"/>
  <c r="B795" i="7"/>
  <c r="B794" i="7"/>
  <c r="B793" i="7"/>
  <c r="B792" i="7"/>
  <c r="B756" i="7"/>
  <c r="B755" i="7"/>
  <c r="B754" i="7"/>
  <c r="B753" i="7"/>
  <c r="B714" i="7"/>
  <c r="B715" i="7"/>
  <c r="B716" i="7"/>
  <c r="B713" i="7"/>
  <c r="B640" i="7"/>
  <c r="B641" i="7"/>
  <c r="B642" i="7"/>
  <c r="B643" i="7"/>
  <c r="B644" i="7"/>
  <c r="B645" i="7"/>
  <c r="B646" i="7"/>
  <c r="B647" i="7"/>
  <c r="B648" i="7"/>
  <c r="B649" i="7"/>
  <c r="B650" i="7"/>
  <c r="B651" i="7"/>
  <c r="B652" i="7"/>
  <c r="B653" i="7"/>
  <c r="B654" i="7"/>
  <c r="B655" i="7"/>
  <c r="B656" i="7"/>
  <c r="B657" i="7"/>
  <c r="B658" i="7"/>
  <c r="B659" i="7"/>
  <c r="B660" i="7"/>
  <c r="B661" i="7"/>
  <c r="B662" i="7"/>
  <c r="B663" i="7"/>
  <c r="B664" i="7"/>
  <c r="B665" i="7"/>
  <c r="B666" i="7"/>
  <c r="B639" i="7"/>
  <c r="B584" i="7"/>
  <c r="B585" i="7"/>
  <c r="B586" i="7"/>
  <c r="B587" i="7"/>
  <c r="B588" i="7"/>
  <c r="B589" i="7"/>
  <c r="B590" i="7"/>
  <c r="B591" i="7"/>
  <c r="B550" i="7"/>
  <c r="B551" i="7"/>
  <c r="B552" i="7"/>
  <c r="B553" i="7"/>
  <c r="B554" i="7"/>
  <c r="B549" i="7"/>
  <c r="B515" i="7"/>
  <c r="B516" i="7"/>
  <c r="B514" i="7"/>
  <c r="B485" i="7"/>
  <c r="B484" i="7"/>
  <c r="B447" i="7"/>
  <c r="B448" i="7"/>
  <c r="B449" i="7"/>
  <c r="B450" i="7"/>
  <c r="B451" i="7"/>
  <c r="B446"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27" i="7"/>
  <c r="B60" i="7"/>
  <c r="B61" i="7"/>
  <c r="B62" i="7"/>
  <c r="B63" i="7"/>
  <c r="B64" i="7"/>
  <c r="B65" i="7"/>
  <c r="B66" i="7"/>
  <c r="B67" i="7"/>
  <c r="B59" i="7"/>
  <c r="B8" i="7"/>
  <c r="B9" i="7"/>
  <c r="B10" i="7"/>
  <c r="B11" i="7"/>
  <c r="B12" i="7"/>
  <c r="B13" i="7"/>
  <c r="B14" i="7"/>
  <c r="B15" i="7"/>
  <c r="B16" i="7"/>
  <c r="B17" i="7"/>
  <c r="B18" i="7"/>
  <c r="B19" i="7"/>
  <c r="B20" i="7"/>
  <c r="B21" i="7"/>
  <c r="B7" i="7"/>
  <c r="B4477" i="6"/>
  <c r="B4478" i="6"/>
  <c r="B4479" i="6"/>
  <c r="B4480" i="6"/>
  <c r="B4481" i="6"/>
  <c r="B4482" i="6"/>
  <c r="B4483" i="6"/>
  <c r="B4484" i="6"/>
  <c r="B4485" i="6"/>
  <c r="B4486" i="6"/>
  <c r="B4487" i="6"/>
  <c r="B4488" i="6"/>
  <c r="B4489" i="6"/>
  <c r="B4490" i="6"/>
  <c r="B4491" i="6"/>
  <c r="B4492" i="6"/>
  <c r="B4493" i="6"/>
  <c r="B4494" i="6"/>
  <c r="B4495" i="6"/>
  <c r="B4496" i="6"/>
  <c r="B4497" i="6"/>
  <c r="B4498" i="6"/>
  <c r="B4499" i="6"/>
  <c r="B4500" i="6"/>
  <c r="B4501" i="6"/>
  <c r="B4502" i="6"/>
  <c r="B4503" i="6"/>
  <c r="B4504" i="6"/>
  <c r="B4505" i="6"/>
  <c r="B4506" i="6"/>
  <c r="B4507" i="6"/>
  <c r="B4508" i="6"/>
  <c r="B4509" i="6"/>
  <c r="B4510" i="6"/>
  <c r="B4511" i="6"/>
  <c r="B4512" i="6"/>
  <c r="B4513" i="6"/>
  <c r="B4514" i="6"/>
  <c r="B4515" i="6"/>
  <c r="B4516" i="6"/>
  <c r="B4517" i="6"/>
  <c r="B4518" i="6"/>
  <c r="B4519" i="6"/>
  <c r="B4520" i="6"/>
  <c r="B4521" i="6"/>
  <c r="B4522" i="6"/>
  <c r="B4523" i="6"/>
  <c r="B4524" i="6"/>
  <c r="B4525" i="6"/>
  <c r="B4526" i="6"/>
  <c r="B4527" i="6"/>
  <c r="B4528" i="6"/>
  <c r="B4529" i="6"/>
  <c r="B4530" i="6"/>
  <c r="B4531" i="6"/>
  <c r="B4532" i="6"/>
  <c r="B4533" i="6"/>
  <c r="B4534" i="6"/>
  <c r="B4535" i="6"/>
  <c r="B4536" i="6"/>
  <c r="B4537" i="6"/>
  <c r="B4538" i="6"/>
  <c r="B4539" i="6"/>
  <c r="B4540" i="6"/>
  <c r="B4541" i="6"/>
  <c r="B4542" i="6"/>
  <c r="B4543" i="6"/>
  <c r="B4544" i="6"/>
  <c r="B4545" i="6"/>
  <c r="B4546" i="6"/>
  <c r="B4547" i="6"/>
  <c r="B4548" i="6"/>
  <c r="B4549" i="6"/>
  <c r="B4550" i="6"/>
  <c r="B4551" i="6"/>
  <c r="B4552" i="6"/>
  <c r="B4553" i="6"/>
  <c r="B4554" i="6"/>
  <c r="B4555" i="6"/>
  <c r="B4556" i="6"/>
  <c r="B4557" i="6"/>
  <c r="B4558" i="6"/>
  <c r="B4559" i="6"/>
  <c r="B4560" i="6"/>
  <c r="B4561" i="6"/>
  <c r="B4562" i="6"/>
  <c r="B4563" i="6"/>
  <c r="B4564" i="6"/>
  <c r="B4565" i="6"/>
  <c r="B4566" i="6"/>
  <c r="B4567" i="6"/>
  <c r="B4568" i="6"/>
  <c r="B4569" i="6"/>
  <c r="B4570" i="6"/>
  <c r="B4571" i="6"/>
  <c r="B4476" i="6"/>
  <c r="B1509" i="6"/>
  <c r="B1510" i="6"/>
  <c r="B1511" i="6"/>
  <c r="B1512" i="6"/>
  <c r="B1513" i="6"/>
  <c r="B1514" i="6"/>
  <c r="B1515" i="6"/>
  <c r="B1516" i="6"/>
  <c r="B1517" i="6"/>
  <c r="B1518" i="6"/>
  <c r="B1519" i="6"/>
  <c r="B1520" i="6"/>
  <c r="B1521" i="6"/>
  <c r="B1522" i="6"/>
  <c r="B1523" i="6"/>
  <c r="B1524" i="6"/>
  <c r="B1525" i="6"/>
  <c r="B1526" i="6"/>
  <c r="B1527" i="6"/>
  <c r="B1528" i="6"/>
  <c r="B1529" i="6"/>
  <c r="B1530" i="6"/>
  <c r="B1531" i="6"/>
  <c r="B1532" i="6"/>
  <c r="B1533" i="6"/>
  <c r="B1534" i="6"/>
  <c r="B1535" i="6"/>
  <c r="B1536" i="6"/>
  <c r="B1537" i="6"/>
  <c r="B1538" i="6"/>
  <c r="B1539" i="6"/>
  <c r="B1540" i="6"/>
  <c r="B1541" i="6"/>
  <c r="B1542" i="6"/>
  <c r="B1543" i="6"/>
  <c r="B1544" i="6"/>
  <c r="B1545" i="6"/>
  <c r="B1546" i="6"/>
  <c r="B1547" i="6"/>
  <c r="B1548" i="6"/>
  <c r="B1552" i="6"/>
  <c r="B1553" i="6"/>
  <c r="B1554" i="6"/>
  <c r="B1555" i="6"/>
  <c r="B1556" i="6"/>
  <c r="B1560" i="6"/>
  <c r="B1561" i="6"/>
  <c r="B1562" i="6"/>
  <c r="B1563" i="6"/>
  <c r="B1564" i="6"/>
  <c r="B1565" i="6"/>
  <c r="B1566" i="6"/>
  <c r="B1567" i="6"/>
  <c r="B1568" i="6"/>
  <c r="B1569" i="6"/>
  <c r="B1570" i="6"/>
  <c r="B1572" i="6"/>
  <c r="B1573" i="6"/>
  <c r="B1574" i="6"/>
  <c r="B1575" i="6"/>
  <c r="B1576" i="6"/>
  <c r="B1577" i="6"/>
  <c r="B1578" i="6"/>
  <c r="B1579" i="6"/>
  <c r="B1580" i="6"/>
  <c r="B1584" i="6"/>
  <c r="B1585" i="6"/>
  <c r="B1586" i="6"/>
  <c r="B1588" i="6"/>
  <c r="B1589" i="6"/>
  <c r="B1590" i="6"/>
  <c r="B1592" i="6"/>
  <c r="B1593" i="6"/>
  <c r="B1594" i="6"/>
  <c r="B1595" i="6"/>
  <c r="B1596" i="6"/>
  <c r="B1597" i="6"/>
  <c r="B1598" i="6"/>
  <c r="B1599" i="6"/>
  <c r="B1600" i="6"/>
  <c r="B1604" i="6"/>
  <c r="B1605" i="6"/>
  <c r="B1606" i="6"/>
  <c r="B1607" i="6"/>
  <c r="B1608" i="6"/>
  <c r="B1609" i="6"/>
  <c r="B1610" i="6"/>
  <c r="B1611" i="6"/>
  <c r="B1612" i="6"/>
  <c r="B1613" i="6"/>
  <c r="B1614" i="6"/>
  <c r="B1616" i="6"/>
  <c r="B1617" i="6"/>
  <c r="B1618" i="6"/>
  <c r="B1619" i="6"/>
  <c r="B1620" i="6"/>
  <c r="B1621" i="6"/>
  <c r="B1622" i="6"/>
  <c r="B1624" i="6"/>
  <c r="B1625" i="6"/>
  <c r="B1626" i="6"/>
  <c r="B1627" i="6"/>
  <c r="B1628" i="6"/>
  <c r="B1629" i="6"/>
  <c r="B1630" i="6"/>
  <c r="B1631" i="6"/>
  <c r="B1632" i="6"/>
  <c r="B1633" i="6"/>
  <c r="B1634" i="6"/>
  <c r="B1636" i="6"/>
  <c r="B1637" i="6"/>
  <c r="B1638" i="6"/>
  <c r="B1639" i="6"/>
  <c r="B1640" i="6"/>
  <c r="B1641" i="6"/>
  <c r="B1642" i="6"/>
  <c r="B1643" i="6"/>
  <c r="B1644" i="6"/>
  <c r="B1645" i="6"/>
  <c r="B1646" i="6"/>
  <c r="B1648" i="6"/>
  <c r="B1649" i="6"/>
  <c r="B1650" i="6"/>
  <c r="B1651" i="6"/>
  <c r="B1652" i="6"/>
  <c r="B1653" i="6"/>
  <c r="B1654" i="6"/>
  <c r="B1655" i="6"/>
  <c r="B1656" i="6"/>
  <c r="B1657" i="6"/>
  <c r="B1658" i="6"/>
  <c r="B1659" i="6"/>
  <c r="B1660" i="6"/>
  <c r="B1661" i="6"/>
  <c r="B1662" i="6"/>
  <c r="B1663" i="6"/>
  <c r="B1664" i="6"/>
  <c r="B1665" i="6"/>
  <c r="B1666" i="6"/>
  <c r="B1668" i="6"/>
  <c r="B1669" i="6"/>
  <c r="B1670" i="6"/>
  <c r="B1671" i="6"/>
  <c r="B1672" i="6"/>
  <c r="B1673" i="6"/>
  <c r="B1674" i="6"/>
  <c r="B1675" i="6"/>
  <c r="B1676" i="6"/>
  <c r="B1677" i="6"/>
  <c r="B1678" i="6"/>
  <c r="B1679" i="6"/>
  <c r="B1680" i="6"/>
  <c r="B1681" i="6"/>
  <c r="B1682" i="6"/>
  <c r="B1683" i="6"/>
  <c r="B1684" i="6"/>
  <c r="B1688" i="6"/>
  <c r="B1689" i="6"/>
  <c r="B1690" i="6"/>
  <c r="B1691" i="6"/>
  <c r="B1692" i="6"/>
  <c r="B1693" i="6"/>
  <c r="B1694" i="6"/>
  <c r="B1695" i="6"/>
  <c r="B1696" i="6"/>
  <c r="B1697" i="6"/>
  <c r="B1698" i="6"/>
  <c r="B1699" i="6"/>
  <c r="B1700" i="6"/>
  <c r="B1701" i="6"/>
  <c r="B1702" i="6"/>
  <c r="B1703" i="6"/>
  <c r="B1704" i="6"/>
  <c r="B1705" i="6"/>
  <c r="B1706" i="6"/>
  <c r="B1707" i="6"/>
  <c r="B1708" i="6"/>
  <c r="B1709" i="6"/>
  <c r="B1710" i="6"/>
  <c r="B1711" i="6"/>
  <c r="B1712" i="6"/>
  <c r="B1713" i="6"/>
  <c r="B1714" i="6"/>
  <c r="B1715" i="6"/>
  <c r="B1716" i="6"/>
  <c r="B1717" i="6"/>
  <c r="B1718" i="6"/>
  <c r="B1719" i="6"/>
  <c r="B1720" i="6"/>
  <c r="B1721" i="6"/>
  <c r="B1722" i="6"/>
  <c r="B1723" i="6"/>
  <c r="B1724" i="6"/>
  <c r="B1725" i="6"/>
  <c r="B1726" i="6"/>
  <c r="B1727" i="6"/>
  <c r="B1728" i="6"/>
  <c r="B1729" i="6"/>
  <c r="B1730" i="6"/>
  <c r="B1731" i="6"/>
  <c r="B1732" i="6"/>
  <c r="B1733" i="6"/>
  <c r="B1734" i="6"/>
  <c r="B1735" i="6"/>
  <c r="B1736" i="6"/>
  <c r="B1737" i="6"/>
  <c r="B1738" i="6"/>
  <c r="B1742" i="6"/>
  <c r="B1743" i="6"/>
  <c r="B1744" i="6"/>
  <c r="B1745" i="6"/>
  <c r="B1746" i="6"/>
  <c r="B1747" i="6"/>
  <c r="B1748" i="6"/>
  <c r="B1749" i="6"/>
  <c r="B1750" i="6"/>
  <c r="B1751" i="6"/>
  <c r="B1752" i="6"/>
  <c r="B1753" i="6"/>
  <c r="B1754" i="6"/>
  <c r="B1758" i="6"/>
  <c r="B1759" i="6"/>
  <c r="B1760" i="6"/>
  <c r="B1761" i="6"/>
  <c r="B1762" i="6"/>
  <c r="B1763" i="6"/>
  <c r="B1764" i="6"/>
  <c r="B1765" i="6"/>
  <c r="B1766" i="6"/>
  <c r="B1767" i="6"/>
  <c r="B1768" i="6"/>
  <c r="B1769" i="6"/>
  <c r="B1770" i="6"/>
  <c r="B1774" i="6"/>
  <c r="B1775" i="6"/>
  <c r="B1776" i="6"/>
  <c r="B1777" i="6"/>
  <c r="B1778" i="6"/>
  <c r="B1779" i="6"/>
  <c r="B1780" i="6"/>
  <c r="B1781" i="6"/>
  <c r="B1782" i="6"/>
  <c r="B1783" i="6"/>
  <c r="B1784" i="6"/>
  <c r="B1785" i="6"/>
  <c r="B1786" i="6"/>
  <c r="B1790" i="6"/>
  <c r="B1791" i="6"/>
  <c r="B1792" i="6"/>
  <c r="B1793" i="6"/>
  <c r="B1794" i="6"/>
  <c r="B1795" i="6"/>
  <c r="B1796" i="6"/>
  <c r="B1797" i="6"/>
  <c r="B1798" i="6"/>
  <c r="B1799" i="6"/>
  <c r="B1800" i="6"/>
  <c r="B1801" i="6"/>
  <c r="B1802" i="6"/>
  <c r="B1806" i="6"/>
  <c r="B1807" i="6"/>
  <c r="B1808" i="6"/>
  <c r="B1809" i="6"/>
  <c r="B1810" i="6"/>
  <c r="B1811" i="6"/>
  <c r="B1812" i="6"/>
  <c r="B1813" i="6"/>
  <c r="B1814" i="6"/>
  <c r="B1815" i="6"/>
  <c r="B1816" i="6"/>
  <c r="B1817" i="6"/>
  <c r="B1818" i="6"/>
  <c r="B1822" i="6"/>
  <c r="B1823" i="6"/>
  <c r="B1824" i="6"/>
  <c r="B1825" i="6"/>
  <c r="B1826" i="6"/>
  <c r="B1827" i="6"/>
  <c r="B1828" i="6"/>
  <c r="B1829" i="6"/>
  <c r="B1830" i="6"/>
  <c r="B1831" i="6"/>
  <c r="B1832" i="6"/>
  <c r="B1836" i="6"/>
  <c r="B1837" i="6"/>
  <c r="B1838" i="6"/>
  <c r="B1839" i="6"/>
  <c r="B1840" i="6"/>
  <c r="B1841" i="6"/>
  <c r="B1842" i="6"/>
  <c r="B1843" i="6"/>
  <c r="B1844" i="6"/>
  <c r="B1845" i="6"/>
  <c r="B1846" i="6"/>
  <c r="B1847" i="6"/>
  <c r="B1848" i="6"/>
  <c r="B1852" i="6"/>
  <c r="B1853" i="6"/>
  <c r="B1854" i="6"/>
  <c r="B1855" i="6"/>
  <c r="B1856" i="6"/>
  <c r="B1857" i="6"/>
  <c r="B1858" i="6"/>
  <c r="B1859" i="6"/>
  <c r="B1860" i="6"/>
  <c r="B1862" i="6"/>
  <c r="B1863" i="6"/>
  <c r="B1864" i="6"/>
  <c r="B1865" i="6"/>
  <c r="B1866" i="6"/>
  <c r="B1867" i="6"/>
  <c r="B1868" i="6"/>
  <c r="B1869" i="6"/>
  <c r="B1870" i="6"/>
  <c r="B1874" i="6"/>
  <c r="B1875" i="6"/>
  <c r="B1876" i="6"/>
  <c r="B1878" i="6"/>
  <c r="B1879" i="6"/>
  <c r="B1880" i="6"/>
  <c r="B1882" i="6"/>
  <c r="B1883" i="6"/>
  <c r="B1884" i="6"/>
  <c r="B1886" i="6"/>
  <c r="B1887" i="6"/>
  <c r="B1888" i="6"/>
  <c r="B1890" i="6"/>
  <c r="B1891" i="6"/>
  <c r="B1892" i="6"/>
  <c r="B1508" i="6"/>
  <c r="B1374" i="6"/>
  <c r="B1375" i="6"/>
  <c r="B1376" i="6"/>
  <c r="B1377" i="6"/>
  <c r="B1378" i="6"/>
  <c r="B1379" i="6"/>
  <c r="B1380" i="6"/>
  <c r="B1381" i="6"/>
  <c r="B1382" i="6"/>
  <c r="B1383" i="6"/>
  <c r="B1384" i="6"/>
  <c r="B1373" i="6"/>
  <c r="B1270" i="6"/>
  <c r="B1271" i="6"/>
  <c r="B1272" i="6"/>
  <c r="B1273" i="6"/>
  <c r="B1274" i="6"/>
  <c r="B1275" i="6"/>
  <c r="B1276" i="6"/>
  <c r="B1277" i="6"/>
  <c r="B1278" i="6"/>
  <c r="B1279" i="6"/>
  <c r="B1280" i="6"/>
  <c r="B1269" i="6"/>
  <c r="B750" i="6"/>
  <c r="B751" i="6"/>
  <c r="B752" i="6"/>
  <c r="B753" i="6"/>
  <c r="B754" i="6"/>
  <c r="B755" i="6"/>
  <c r="B756" i="6"/>
  <c r="B757" i="6"/>
  <c r="B758" i="6"/>
  <c r="B759" i="6"/>
  <c r="B760" i="6"/>
  <c r="B761" i="6"/>
  <c r="B762" i="6"/>
  <c r="B763" i="6"/>
  <c r="B764" i="6"/>
  <c r="B765" i="6"/>
  <c r="B766" i="6"/>
  <c r="B767" i="6"/>
  <c r="B768" i="6"/>
  <c r="B769" i="6"/>
  <c r="B770" i="6"/>
  <c r="B771" i="6"/>
  <c r="B772" i="6"/>
  <c r="B773" i="6"/>
  <c r="B774" i="6"/>
  <c r="B775" i="6"/>
  <c r="B776" i="6"/>
  <c r="B777" i="6"/>
  <c r="B778" i="6"/>
  <c r="B779" i="6"/>
  <c r="B780" i="6"/>
  <c r="B781" i="6"/>
  <c r="B782" i="6"/>
  <c r="B783" i="6"/>
  <c r="B784" i="6"/>
  <c r="B785" i="6"/>
  <c r="B786" i="6"/>
  <c r="B787" i="6"/>
  <c r="B788" i="6"/>
  <c r="B789" i="6"/>
  <c r="B790" i="6"/>
  <c r="B791" i="6"/>
  <c r="B792" i="6"/>
  <c r="B793" i="6"/>
  <c r="B794" i="6"/>
  <c r="B795" i="6"/>
  <c r="B796" i="6"/>
  <c r="B797" i="6"/>
  <c r="B798" i="6"/>
  <c r="B799" i="6"/>
  <c r="B800" i="6"/>
  <c r="B801" i="6"/>
  <c r="B802" i="6"/>
  <c r="B803" i="6"/>
  <c r="B804" i="6"/>
  <c r="B805" i="6"/>
  <c r="B806" i="6"/>
  <c r="B807" i="6"/>
  <c r="B808" i="6"/>
  <c r="B809" i="6"/>
  <c r="B810" i="6"/>
  <c r="B811" i="6"/>
  <c r="B812" i="6"/>
  <c r="B813" i="6"/>
  <c r="B814" i="6"/>
  <c r="B815" i="6"/>
  <c r="B816" i="6"/>
  <c r="B817" i="6"/>
  <c r="B749"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84" i="6"/>
  <c r="B7" i="6"/>
  <c r="B8" i="6"/>
  <c r="B9" i="6"/>
  <c r="B10" i="6"/>
  <c r="B11" i="6"/>
  <c r="B12" i="6"/>
  <c r="B13" i="6"/>
  <c r="B14" i="6"/>
  <c r="B307" i="5"/>
  <c r="B306" i="5"/>
  <c r="B274" i="5"/>
  <c r="B275" i="5"/>
  <c r="B276" i="5"/>
  <c r="B277" i="5"/>
  <c r="B278" i="5"/>
  <c r="B273" i="5"/>
  <c r="B272" i="5"/>
  <c r="B271" i="5"/>
  <c r="B270" i="5"/>
  <c r="B232" i="5"/>
  <c r="B231" i="5"/>
  <c r="B230" i="5"/>
  <c r="B184" i="5"/>
  <c r="B183" i="5"/>
  <c r="B182" i="5"/>
  <c r="B135" i="5"/>
  <c r="B134" i="5"/>
  <c r="B133" i="5"/>
  <c r="B85" i="5"/>
  <c r="B86" i="5"/>
  <c r="B84" i="5"/>
  <c r="B42" i="5"/>
  <c r="B8" i="5"/>
  <c r="B9" i="5"/>
  <c r="B10" i="5"/>
  <c r="B7" i="5"/>
  <c r="B314" i="16"/>
  <c r="B313" i="16"/>
  <c r="B288" i="16"/>
  <c r="B287" i="16"/>
  <c r="B252" i="16"/>
  <c r="B179" i="16"/>
  <c r="B180" i="16"/>
  <c r="B154" i="16"/>
  <c r="B155" i="16"/>
  <c r="B49" i="16"/>
  <c r="B50" i="16"/>
  <c r="B51" i="16"/>
  <c r="B52" i="16"/>
  <c r="B53" i="16"/>
  <c r="B54" i="16"/>
  <c r="B55" i="16"/>
  <c r="B56" i="16"/>
  <c r="B57" i="16"/>
  <c r="B58" i="16"/>
  <c r="B59" i="16"/>
  <c r="B60" i="16"/>
  <c r="B61" i="16"/>
  <c r="B62" i="16"/>
  <c r="B63" i="16"/>
  <c r="B64" i="16"/>
  <c r="B65" i="16"/>
  <c r="B66" i="16"/>
  <c r="B67" i="16"/>
  <c r="B68" i="16"/>
  <c r="B69" i="16"/>
  <c r="B70" i="16"/>
  <c r="B71" i="16"/>
  <c r="B48" i="16"/>
  <c r="B7" i="16"/>
  <c r="B924" i="2"/>
  <c r="B908" i="2"/>
  <c r="B907" i="2"/>
  <c r="B906" i="2"/>
  <c r="B887" i="2"/>
  <c r="B870" i="2"/>
  <c r="B869" i="2"/>
  <c r="B852" i="2"/>
  <c r="B851" i="2"/>
  <c r="B835" i="2"/>
  <c r="B817" i="2"/>
  <c r="B816" i="2"/>
  <c r="B815" i="2"/>
  <c r="B799" i="2"/>
  <c r="B783" i="2"/>
  <c r="B767" i="2"/>
  <c r="B751" i="2"/>
  <c r="B734" i="2"/>
  <c r="B733" i="2"/>
  <c r="B717" i="2"/>
  <c r="B699" i="2"/>
  <c r="B697" i="2"/>
  <c r="B680" i="2"/>
  <c r="B679" i="2"/>
  <c r="B657" i="2"/>
  <c r="B656" i="2"/>
  <c r="B558" i="2"/>
  <c r="B559" i="2"/>
  <c r="B560" i="2"/>
  <c r="B561" i="2"/>
  <c r="B562" i="2"/>
  <c r="B563" i="2"/>
  <c r="B583" i="2"/>
  <c r="B584" i="2"/>
  <c r="B585" i="2"/>
  <c r="B586" i="2"/>
  <c r="B587" i="2"/>
  <c r="B588" i="2"/>
  <c r="B589" i="2"/>
  <c r="B609" i="2"/>
  <c r="B610" i="2"/>
  <c r="B611" i="2"/>
  <c r="B627" i="2"/>
  <c r="B628" i="2"/>
  <c r="B629" i="2"/>
  <c r="B630" i="2"/>
  <c r="B631" i="2"/>
  <c r="B632" i="2"/>
  <c r="B633" i="2"/>
  <c r="B557" i="2"/>
  <c r="B538" i="2"/>
  <c r="B539" i="2"/>
  <c r="B518" i="2"/>
  <c r="B519" i="2"/>
  <c r="B520" i="2"/>
  <c r="B537" i="2"/>
  <c r="B517" i="2"/>
  <c r="B475" i="2"/>
  <c r="B474" i="2"/>
  <c r="B456" i="2"/>
  <c r="B455" i="2"/>
  <c r="B433" i="2"/>
  <c r="B427" i="2"/>
  <c r="B430" i="2"/>
  <c r="B431" i="2"/>
  <c r="B432" i="2"/>
  <c r="B426" i="2"/>
  <c r="B405" i="2"/>
  <c r="B406" i="2"/>
  <c r="B407" i="2"/>
  <c r="B408" i="2"/>
  <c r="B404" i="2"/>
  <c r="B374" i="2"/>
  <c r="B355" i="2"/>
  <c r="B356" i="2"/>
  <c r="B357" i="2"/>
  <c r="B354" i="2"/>
  <c r="B339" i="2"/>
  <c r="B320" i="2"/>
  <c r="B321" i="2"/>
  <c r="B319" i="2"/>
  <c r="B295" i="2"/>
  <c r="B296" i="2"/>
  <c r="B297" i="2"/>
  <c r="B294" i="2"/>
  <c r="B278" i="2"/>
  <c r="B264" i="2"/>
  <c r="B247" i="2"/>
  <c r="B246" i="2"/>
  <c r="B219" i="2"/>
  <c r="B220" i="2"/>
  <c r="B221" i="2"/>
  <c r="B222" i="2"/>
  <c r="B218" i="2"/>
  <c r="B200" i="2"/>
  <c r="B199" i="2"/>
  <c r="B154" i="2"/>
  <c r="B155" i="2"/>
  <c r="B156" i="2"/>
  <c r="B157" i="2"/>
  <c r="B158" i="2"/>
  <c r="B159" i="2"/>
  <c r="B160" i="2"/>
  <c r="B161" i="2"/>
  <c r="B162" i="2"/>
  <c r="B163" i="2"/>
  <c r="B164" i="2"/>
  <c r="B165" i="2"/>
  <c r="B166" i="2"/>
  <c r="B167" i="2"/>
  <c r="B168" i="2"/>
  <c r="B153" i="2"/>
  <c r="B99" i="2"/>
  <c r="B98" i="2"/>
  <c r="B80" i="2"/>
  <c r="B10" i="2"/>
  <c r="B11" i="2"/>
  <c r="B12" i="2"/>
  <c r="B13" i="2"/>
  <c r="B14" i="2"/>
  <c r="B15" i="2"/>
  <c r="B16" i="2"/>
  <c r="B17" i="2"/>
  <c r="B18" i="2"/>
  <c r="B19" i="2"/>
  <c r="B20" i="2"/>
  <c r="B21" i="2"/>
  <c r="B22" i="2"/>
  <c r="B23" i="2"/>
  <c r="B24" i="2"/>
  <c r="B25" i="2"/>
  <c r="B26" i="2"/>
  <c r="B27" i="2"/>
  <c r="B28" i="2"/>
  <c r="B29" i="2"/>
  <c r="B30" i="2"/>
  <c r="B31" i="2"/>
  <c r="B32" i="2"/>
  <c r="B33" i="2"/>
  <c r="B34" i="2"/>
  <c r="B9" i="2"/>
  <c r="B4" i="23"/>
  <c r="AX33" i="15"/>
  <c r="AZ33" i="15"/>
  <c r="H253" i="16"/>
  <c r="DG7" i="11"/>
  <c r="AA561" i="15" s="1"/>
  <c r="AX31" i="15"/>
  <c r="AZ31" i="15"/>
  <c r="AX30" i="15"/>
  <c r="AZ30" i="15"/>
  <c r="AX29" i="15"/>
  <c r="AZ29" i="15"/>
  <c r="AG200" i="16"/>
  <c r="AE200" i="16"/>
  <c r="AD200" i="16"/>
  <c r="AC200" i="16"/>
  <c r="AB200" i="16"/>
  <c r="AA200" i="16"/>
  <c r="Z200" i="16"/>
  <c r="Y200" i="16"/>
  <c r="X200" i="16"/>
  <c r="H204" i="16"/>
  <c r="H203" i="16"/>
  <c r="H202" i="16"/>
  <c r="DH202" i="16"/>
  <c r="DH203" i="16"/>
  <c r="DH201" i="16"/>
  <c r="AF1329" i="7" l="1"/>
  <c r="AF1052" i="7"/>
  <c r="AF1078" i="7"/>
  <c r="CP689" i="2"/>
  <c r="BQ776" i="2"/>
  <c r="AF776" i="2"/>
  <c r="AF708" i="2"/>
  <c r="BQ708" i="2"/>
  <c r="BQ760" i="2"/>
  <c r="AS776" i="2"/>
  <c r="AF726" i="2"/>
  <c r="AS689" i="2"/>
  <c r="AF760" i="2"/>
  <c r="AS708" i="2"/>
  <c r="BE776" i="2"/>
  <c r="DB689" i="2"/>
  <c r="BE689" i="2"/>
  <c r="CD708" i="2"/>
  <c r="CP708" i="2"/>
  <c r="BE708" i="2"/>
  <c r="AS760" i="2"/>
  <c r="BE760" i="2"/>
  <c r="DB708" i="2"/>
  <c r="CP668" i="2"/>
  <c r="BQ689" i="2"/>
  <c r="CD689" i="2"/>
  <c r="AF689" i="2"/>
  <c r="CD668" i="2"/>
  <c r="AB485" i="15"/>
  <c r="DH1309" i="7"/>
  <c r="X532" i="15"/>
  <c r="Z532" i="15" s="1"/>
  <c r="DH1316" i="7"/>
  <c r="X539" i="15"/>
  <c r="Z539" i="15" s="1"/>
  <c r="DH1315" i="7"/>
  <c r="X538" i="15"/>
  <c r="Z538" i="15" s="1"/>
  <c r="DH1314" i="7"/>
  <c r="X537" i="15"/>
  <c r="Z537" i="15" s="1"/>
  <c r="DH1313" i="7"/>
  <c r="X536" i="15"/>
  <c r="Z536" i="15" s="1"/>
  <c r="DH1312" i="7"/>
  <c r="X535" i="15"/>
  <c r="Z535" i="15" s="1"/>
  <c r="DH1311" i="7"/>
  <c r="X534" i="15"/>
  <c r="Z534" i="15" s="1"/>
  <c r="DH1310" i="7"/>
  <c r="X533" i="15"/>
  <c r="Z533" i="15" s="1"/>
  <c r="AB532" i="15"/>
  <c r="AB539" i="15"/>
  <c r="AB538" i="15"/>
  <c r="AB537" i="15"/>
  <c r="AB536" i="15"/>
  <c r="AB535" i="15"/>
  <c r="AB534" i="15"/>
  <c r="AB533" i="15"/>
  <c r="AB75" i="15"/>
  <c r="AB76" i="15"/>
  <c r="DH308" i="5"/>
  <c r="X75" i="15"/>
  <c r="Z75" i="15" s="1"/>
  <c r="W75" i="15" s="1"/>
  <c r="DH309" i="5"/>
  <c r="X76" i="15"/>
  <c r="Z76" i="15" s="1"/>
  <c r="W76" i="15" s="1"/>
  <c r="AB26" i="15"/>
  <c r="AF1044" i="7"/>
  <c r="I484" i="15"/>
  <c r="DH182" i="16"/>
  <c r="X27" i="15"/>
  <c r="Z27" i="15" s="1"/>
  <c r="W27" i="15" s="1"/>
  <c r="AB27" i="15"/>
  <c r="AF181" i="16"/>
  <c r="I26" i="15"/>
  <c r="AF1045" i="7"/>
  <c r="I485" i="15"/>
  <c r="AF182" i="16"/>
  <c r="I27" i="15"/>
  <c r="DH181" i="16"/>
  <c r="X26" i="15"/>
  <c r="Z26" i="15" s="1"/>
  <c r="W26" i="15" s="1"/>
  <c r="G610" i="7"/>
  <c r="G611" i="7" s="1"/>
  <c r="G612" i="7" s="1"/>
  <c r="AF609" i="7"/>
  <c r="AB73" i="15"/>
  <c r="BE529" i="2"/>
  <c r="BE233" i="2"/>
  <c r="AS668" i="2"/>
  <c r="AS598" i="2"/>
  <c r="BQ443" i="2"/>
  <c r="AF330" i="2"/>
  <c r="CD349" i="2"/>
  <c r="BE487" i="2"/>
  <c r="BE672" i="2"/>
  <c r="AF487" i="2"/>
  <c r="AS487" i="2"/>
  <c r="AF548" i="2"/>
  <c r="AF443" i="2"/>
  <c r="AF349" i="2"/>
  <c r="AS672" i="2"/>
  <c r="DN443" i="2"/>
  <c r="AS330" i="2"/>
  <c r="AS548" i="2"/>
  <c r="BQ233" i="2"/>
  <c r="AS349" i="2"/>
  <c r="AF642" i="2"/>
  <c r="BE443" i="2"/>
  <c r="BQ349" i="2"/>
  <c r="BE668" i="2"/>
  <c r="BE598" i="2"/>
  <c r="AF481" i="2"/>
  <c r="CD443" i="2"/>
  <c r="AS443" i="2"/>
  <c r="BQ668" i="2"/>
  <c r="AF529" i="2"/>
  <c r="AF233" i="2"/>
  <c r="DB443" i="2"/>
  <c r="CP443" i="2"/>
  <c r="AF366" i="2"/>
  <c r="BE330" i="2"/>
  <c r="BE349" i="2"/>
  <c r="AF672" i="2"/>
  <c r="BE548" i="2"/>
  <c r="AS529" i="2"/>
  <c r="AS366" i="2"/>
  <c r="AS233" i="2"/>
  <c r="AF668" i="2"/>
  <c r="AF598" i="2"/>
  <c r="AF308" i="2"/>
  <c r="BE308" i="2"/>
  <c r="AF181" i="2"/>
  <c r="AS308" i="2"/>
  <c r="AF256" i="2"/>
  <c r="AF1137" i="6"/>
  <c r="F806" i="6"/>
  <c r="J1138" i="6"/>
  <c r="AF1138" i="6" s="1"/>
  <c r="J1134" i="6"/>
  <c r="AF1133" i="6"/>
  <c r="I803" i="6"/>
  <c r="R151" i="15" s="1"/>
  <c r="O151" i="15" s="1"/>
  <c r="W151" i="15" s="1"/>
  <c r="V151" i="15" s="1"/>
  <c r="U151" i="15" s="1"/>
  <c r="L151" i="15"/>
  <c r="I151" i="15" s="1"/>
  <c r="AF803" i="6"/>
  <c r="AF1139" i="6"/>
  <c r="J1140" i="6"/>
  <c r="F810" i="6"/>
  <c r="I483" i="15"/>
  <c r="AF1043" i="7"/>
  <c r="AF258" i="16"/>
  <c r="AF414" i="16"/>
  <c r="AF407" i="16"/>
  <c r="AF388" i="16"/>
  <c r="AF394" i="16"/>
  <c r="I25" i="15"/>
  <c r="AF180" i="16"/>
  <c r="AF27" i="11"/>
  <c r="AF336" i="5"/>
  <c r="AF330" i="5"/>
  <c r="AF200" i="16"/>
  <c r="AF209" i="16"/>
  <c r="AS139" i="2"/>
  <c r="AF608" i="2"/>
  <c r="BE556" i="2"/>
  <c r="AS536" i="2"/>
  <c r="AF425" i="2"/>
  <c r="BQ338" i="2"/>
  <c r="BE318" i="2"/>
  <c r="AS293" i="2"/>
  <c r="CD338" i="2"/>
  <c r="AF516" i="2"/>
  <c r="BQ850" i="2"/>
  <c r="AF850" i="2"/>
  <c r="BE626" i="2"/>
  <c r="AS608" i="2"/>
  <c r="BE473" i="2"/>
  <c r="AF454" i="2"/>
  <c r="BE373" i="2"/>
  <c r="AF338" i="2"/>
  <c r="AF903" i="2"/>
  <c r="AF582" i="2"/>
  <c r="AS516" i="2"/>
  <c r="CD425" i="2"/>
  <c r="AS425" i="2"/>
  <c r="AF403" i="2"/>
  <c r="AF353" i="2"/>
  <c r="BE536" i="2"/>
  <c r="AS454" i="2"/>
  <c r="AS338" i="2"/>
  <c r="BE293" i="2"/>
  <c r="AS903" i="2"/>
  <c r="AS582" i="2"/>
  <c r="AS353" i="2"/>
  <c r="AS850" i="2"/>
  <c r="BQ425" i="2"/>
  <c r="BE608" i="2"/>
  <c r="AF556" i="2"/>
  <c r="AS403" i="2"/>
  <c r="AF318" i="2"/>
  <c r="BE516" i="2"/>
  <c r="BE425" i="2"/>
  <c r="BE903" i="2"/>
  <c r="BE850" i="2"/>
  <c r="AF626" i="2"/>
  <c r="AS556" i="2"/>
  <c r="AF473" i="2"/>
  <c r="BE454" i="2"/>
  <c r="AF373" i="2"/>
  <c r="BE338" i="2"/>
  <c r="AS318" i="2"/>
  <c r="BE582" i="2"/>
  <c r="BE353" i="2"/>
  <c r="AS626" i="2"/>
  <c r="AF536" i="2"/>
  <c r="AS473" i="2"/>
  <c r="BE403" i="2"/>
  <c r="AS373" i="2"/>
  <c r="AF293" i="2"/>
  <c r="AF4653" i="6"/>
  <c r="AF4616" i="6"/>
  <c r="AF369" i="16"/>
  <c r="AF375" i="16"/>
  <c r="AF350" i="16"/>
  <c r="AF356" i="16"/>
  <c r="I182" i="16"/>
  <c r="O27" i="15" s="1"/>
  <c r="AF1308" i="7"/>
  <c r="I1044" i="7"/>
  <c r="O484" i="15" s="1"/>
  <c r="V484" i="15" s="1"/>
  <c r="U484" i="15" s="1"/>
  <c r="I1045" i="7"/>
  <c r="O485" i="15" s="1"/>
  <c r="V485" i="15" s="1"/>
  <c r="U485" i="15" s="1"/>
  <c r="I181" i="16"/>
  <c r="O26" i="15" s="1"/>
  <c r="DH204" i="16"/>
  <c r="DH253" i="16"/>
  <c r="I253" i="16"/>
  <c r="O33" i="15" s="1"/>
  <c r="V33" i="15" s="1"/>
  <c r="U33" i="15" s="1"/>
  <c r="I202" i="16"/>
  <c r="O29" i="15" s="1"/>
  <c r="U29" i="15" s="1"/>
  <c r="I203" i="16"/>
  <c r="O30" i="15" s="1"/>
  <c r="U30" i="15" s="1"/>
  <c r="I204" i="16"/>
  <c r="O31" i="15" s="1"/>
  <c r="U31" i="15" s="1"/>
  <c r="V26" i="15" l="1"/>
  <c r="U26" i="15" s="1"/>
  <c r="V27" i="15"/>
  <c r="U27" i="15" s="1"/>
  <c r="AF610" i="7"/>
  <c r="I810" i="6"/>
  <c r="Q155" i="15" s="1"/>
  <c r="K155" i="15"/>
  <c r="AF810" i="6"/>
  <c r="AF1140" i="6"/>
  <c r="J1141" i="6"/>
  <c r="F811" i="6"/>
  <c r="F796" i="6"/>
  <c r="AF1134" i="6"/>
  <c r="K153" i="15"/>
  <c r="I153" i="15" s="1"/>
  <c r="AF806" i="6"/>
  <c r="I806" i="6"/>
  <c r="Q153" i="15" s="1"/>
  <c r="O153" i="15" s="1"/>
  <c r="W153" i="15" s="1"/>
  <c r="V153" i="15" s="1"/>
  <c r="U153" i="15" s="1"/>
  <c r="J1262" i="6"/>
  <c r="Q33" i="15"/>
  <c r="I796" i="6" l="1"/>
  <c r="S149" i="15" s="1"/>
  <c r="P149" i="15" s="1"/>
  <c r="M149" i="15"/>
  <c r="J149" i="15" s="1"/>
  <c r="AF796" i="6"/>
  <c r="J1261" i="6"/>
  <c r="I811" i="6"/>
  <c r="R155" i="15" s="1"/>
  <c r="O155" i="15" s="1"/>
  <c r="W155" i="15" s="1"/>
  <c r="V155" i="15" s="1"/>
  <c r="U155" i="15" s="1"/>
  <c r="L155" i="15"/>
  <c r="I155" i="15" s="1"/>
  <c r="AF811" i="6"/>
  <c r="AF1141" i="6"/>
  <c r="J1142" i="6"/>
  <c r="F812" i="6"/>
  <c r="AF612" i="7" l="1"/>
  <c r="AF611" i="7"/>
  <c r="I812" i="6"/>
  <c r="S155" i="15" s="1"/>
  <c r="M155" i="15"/>
  <c r="AF812" i="6"/>
  <c r="AF1142" i="6"/>
  <c r="J1143" i="6"/>
  <c r="F813" i="6"/>
  <c r="I813" i="6" l="1"/>
  <c r="T155" i="15" s="1"/>
  <c r="P155" i="15" s="1"/>
  <c r="N155" i="15"/>
  <c r="J155" i="15" s="1"/>
  <c r="AF813" i="6"/>
  <c r="AF1143" i="6"/>
  <c r="J1144" i="6"/>
  <c r="F774" i="6"/>
  <c r="I774" i="6" l="1"/>
  <c r="Q140" i="15" s="1"/>
  <c r="O140" i="15" s="1"/>
  <c r="W140" i="15" s="1"/>
  <c r="V140" i="15" s="1"/>
  <c r="U140" i="15" s="1"/>
  <c r="K140" i="15"/>
  <c r="I140" i="15" s="1"/>
  <c r="AF774" i="6"/>
  <c r="AF1144" i="6"/>
  <c r="F775" i="6"/>
  <c r="J1145" i="6"/>
  <c r="AF1145" i="6" l="1"/>
  <c r="J1146" i="6"/>
  <c r="F777" i="6"/>
  <c r="I775" i="6"/>
  <c r="S140" i="15" s="1"/>
  <c r="P140" i="15" s="1"/>
  <c r="M140" i="15"/>
  <c r="J140" i="15" s="1"/>
  <c r="AF775" i="6"/>
  <c r="I777" i="6" l="1"/>
  <c r="Q142" i="15" s="1"/>
  <c r="O142" i="15" s="1"/>
  <c r="W142" i="15" s="1"/>
  <c r="V142" i="15" s="1"/>
  <c r="U142" i="15" s="1"/>
  <c r="K142" i="15"/>
  <c r="I142" i="15" s="1"/>
  <c r="AF777" i="6"/>
  <c r="AF1146" i="6"/>
  <c r="J1147" i="6"/>
  <c r="F780" i="6"/>
  <c r="AF1147" i="6" l="1"/>
  <c r="J1148" i="6"/>
  <c r="F781" i="6"/>
  <c r="I780" i="6"/>
  <c r="Q144" i="15" s="1"/>
  <c r="K144" i="15"/>
  <c r="AF780" i="6"/>
  <c r="I781" i="6" l="1"/>
  <c r="R144" i="15" s="1"/>
  <c r="O144" i="15" s="1"/>
  <c r="W144" i="15" s="1"/>
  <c r="V144" i="15" s="1"/>
  <c r="U144" i="15" s="1"/>
  <c r="L144" i="15"/>
  <c r="I144" i="15" s="1"/>
  <c r="AF781" i="6"/>
  <c r="AF1148" i="6"/>
  <c r="F784" i="6"/>
  <c r="J1149" i="6"/>
  <c r="I784" i="6" l="1"/>
  <c r="Q146" i="15" s="1"/>
  <c r="K146" i="15"/>
  <c r="AF784" i="6"/>
  <c r="AF1149" i="6"/>
  <c r="J1150" i="6"/>
  <c r="F785" i="6"/>
  <c r="I785" i="6" l="1"/>
  <c r="R146" i="15" s="1"/>
  <c r="O146" i="15" s="1"/>
  <c r="W146" i="15" s="1"/>
  <c r="V146" i="15" s="1"/>
  <c r="U146" i="15" s="1"/>
  <c r="L146" i="15"/>
  <c r="I146" i="15" s="1"/>
  <c r="AF785" i="6"/>
  <c r="AF1150" i="6"/>
  <c r="J1151" i="6"/>
  <c r="F790" i="6"/>
  <c r="I790" i="6" l="1"/>
  <c r="Q148" i="15" s="1"/>
  <c r="K148" i="15"/>
  <c r="AF790" i="6"/>
  <c r="AF1151" i="6"/>
  <c r="J1152" i="6"/>
  <c r="F791" i="6"/>
  <c r="I791" i="6" l="1"/>
  <c r="R148" i="15" s="1"/>
  <c r="O148" i="15" s="1"/>
  <c r="W148" i="15" s="1"/>
  <c r="V148" i="15" s="1"/>
  <c r="U148" i="15" s="1"/>
  <c r="L148" i="15"/>
  <c r="I148" i="15" s="1"/>
  <c r="AF791" i="6"/>
  <c r="AF1152" i="6"/>
  <c r="J1153" i="6"/>
  <c r="F792" i="6"/>
  <c r="I792" i="6" l="1"/>
  <c r="S148" i="15" s="1"/>
  <c r="M148" i="15"/>
  <c r="AF792" i="6"/>
  <c r="AF1153" i="6"/>
  <c r="J1158" i="6"/>
  <c r="F793" i="6"/>
  <c r="J1154" i="6"/>
  <c r="AF1154" i="6" l="1"/>
  <c r="J1155" i="6"/>
  <c r="F798" i="6"/>
  <c r="AF1158" i="6"/>
  <c r="F804" i="6"/>
  <c r="J1159" i="6"/>
  <c r="I793" i="6"/>
  <c r="T148" i="15" s="1"/>
  <c r="P148" i="15" s="1"/>
  <c r="N148" i="15"/>
  <c r="J148" i="15" s="1"/>
  <c r="AF793" i="6"/>
  <c r="I798" i="6" l="1"/>
  <c r="Q150" i="15" s="1"/>
  <c r="O150" i="15" s="1"/>
  <c r="W150" i="15" s="1"/>
  <c r="V150" i="15" s="1"/>
  <c r="U150" i="15" s="1"/>
  <c r="K150" i="15"/>
  <c r="I150" i="15" s="1"/>
  <c r="AF798" i="6"/>
  <c r="AF1155" i="6"/>
  <c r="J1160" i="6"/>
  <c r="J1156" i="6"/>
  <c r="AF1159" i="6"/>
  <c r="J1162" i="6"/>
  <c r="F805" i="6"/>
  <c r="I804" i="6"/>
  <c r="Q152" i="15" s="1"/>
  <c r="K152" i="15"/>
  <c r="AF804" i="6"/>
  <c r="I805" i="6" l="1"/>
  <c r="R152" i="15" s="1"/>
  <c r="O152" i="15" s="1"/>
  <c r="W152" i="15" s="1"/>
  <c r="V152" i="15" s="1"/>
  <c r="U152" i="15" s="1"/>
  <c r="L152" i="15"/>
  <c r="I152" i="15" s="1"/>
  <c r="AF805" i="6"/>
  <c r="J1161" i="6"/>
  <c r="AF1160" i="6"/>
  <c r="J1163" i="6"/>
  <c r="AF1162" i="6"/>
  <c r="AF1156" i="6"/>
  <c r="F800" i="6"/>
  <c r="J1157" i="6"/>
  <c r="AF1157" i="6" s="1"/>
  <c r="F808" i="6" l="1"/>
  <c r="AF1161" i="6"/>
  <c r="I800" i="6"/>
  <c r="S150" i="15" s="1"/>
  <c r="P150" i="15" s="1"/>
  <c r="M150" i="15"/>
  <c r="J150" i="15" s="1"/>
  <c r="AF800" i="6"/>
  <c r="AF1163" i="6"/>
  <c r="J1164" i="6"/>
  <c r="F815" i="6"/>
  <c r="AF1164" i="6" l="1"/>
  <c r="J1165" i="6"/>
  <c r="F816" i="6"/>
  <c r="I808" i="6"/>
  <c r="Q154" i="15" s="1"/>
  <c r="O154" i="15" s="1"/>
  <c r="W154" i="15" s="1"/>
  <c r="V154" i="15" s="1"/>
  <c r="U154" i="15" s="1"/>
  <c r="K154" i="15"/>
  <c r="I154" i="15" s="1"/>
  <c r="AF808" i="6"/>
  <c r="I815" i="6"/>
  <c r="R156" i="15" s="1"/>
  <c r="L156" i="15"/>
  <c r="AF815" i="6"/>
  <c r="I816" i="6" l="1"/>
  <c r="S156" i="15" s="1"/>
  <c r="M156" i="15"/>
  <c r="AF816" i="6"/>
  <c r="AF1165" i="6"/>
  <c r="F817" i="6"/>
  <c r="F814" i="6"/>
  <c r="I814" i="6" l="1"/>
  <c r="Q156" i="15" s="1"/>
  <c r="O156" i="15" s="1"/>
  <c r="W156" i="15" s="1"/>
  <c r="V156" i="15" s="1"/>
  <c r="U156" i="15" s="1"/>
  <c r="K156" i="15"/>
  <c r="I156" i="15" s="1"/>
  <c r="AF814" i="6"/>
  <c r="I817" i="6"/>
  <c r="T156" i="15" s="1"/>
  <c r="P156" i="15" s="1"/>
  <c r="N156" i="15"/>
  <c r="J156" i="15" s="1"/>
  <c r="AF817" i="6"/>
  <c r="B21" i="12" l="1"/>
  <c r="BC4" i="15" l="1"/>
  <c r="BD139" i="15" s="1"/>
  <c r="BI139" i="15" s="1"/>
  <c r="BG89" i="15"/>
  <c r="BI89" i="15"/>
  <c r="BG90" i="15"/>
  <c r="BI90" i="15"/>
  <c r="BG91" i="15"/>
  <c r="BI91" i="15"/>
  <c r="BG92" i="15"/>
  <c r="BI92" i="15"/>
  <c r="BG93" i="15"/>
  <c r="BI93" i="15"/>
  <c r="BG94" i="15"/>
  <c r="BI94" i="15"/>
  <c r="BG95" i="15"/>
  <c r="BI95" i="15"/>
  <c r="BG96" i="15"/>
  <c r="BI96" i="15"/>
  <c r="BG97" i="15"/>
  <c r="BI97" i="15"/>
  <c r="BG98" i="15"/>
  <c r="BI98" i="15"/>
  <c r="BG99" i="15"/>
  <c r="BI99" i="15"/>
  <c r="BG100" i="15"/>
  <c r="BI100" i="15"/>
  <c r="BG101" i="15"/>
  <c r="BI101" i="15"/>
  <c r="BG102" i="15"/>
  <c r="BI102" i="15"/>
  <c r="BG103" i="15"/>
  <c r="BI103" i="15"/>
  <c r="BG104" i="15"/>
  <c r="BI104" i="15"/>
  <c r="BG105" i="15"/>
  <c r="BI105" i="15"/>
  <c r="BG106" i="15"/>
  <c r="BI106" i="15"/>
  <c r="BG107" i="15"/>
  <c r="BI107" i="15"/>
  <c r="BG108" i="15"/>
  <c r="BI108" i="15"/>
  <c r="BG109" i="15"/>
  <c r="BI109" i="15"/>
  <c r="BG110" i="15"/>
  <c r="BI110" i="15"/>
  <c r="BG111" i="15"/>
  <c r="BI111" i="15"/>
  <c r="BG112" i="15"/>
  <c r="BI112" i="15"/>
  <c r="BG113" i="15"/>
  <c r="BI113" i="15"/>
  <c r="BG114" i="15"/>
  <c r="BI114" i="15"/>
  <c r="BG115" i="15"/>
  <c r="BI115" i="15"/>
  <c r="BG116" i="15"/>
  <c r="BI116" i="15"/>
  <c r="BG117" i="15"/>
  <c r="BI117" i="15"/>
  <c r="BG118" i="15"/>
  <c r="BI118" i="15"/>
  <c r="BG119" i="15"/>
  <c r="BI119" i="15"/>
  <c r="BG120" i="15"/>
  <c r="BI120" i="15"/>
  <c r="BG121" i="15"/>
  <c r="BI121" i="15"/>
  <c r="BG122" i="15"/>
  <c r="BI122" i="15"/>
  <c r="BG123" i="15"/>
  <c r="BI123" i="15"/>
  <c r="BG124" i="15"/>
  <c r="BI124" i="15"/>
  <c r="BG125" i="15"/>
  <c r="BI125" i="15"/>
  <c r="BG126" i="15"/>
  <c r="BI126" i="15"/>
  <c r="BG127" i="15"/>
  <c r="BI127" i="15"/>
  <c r="BG128" i="15"/>
  <c r="BI128" i="15"/>
  <c r="BG129" i="15"/>
  <c r="BI129" i="15"/>
  <c r="BG130" i="15"/>
  <c r="BI130" i="15"/>
  <c r="BG131" i="15"/>
  <c r="BI131" i="15"/>
  <c r="BI88" i="15"/>
  <c r="BG88" i="15"/>
  <c r="BD162" i="15"/>
  <c r="BI162" i="15" s="1"/>
  <c r="BC162" i="15"/>
  <c r="BL162" i="15" s="1"/>
  <c r="BD161" i="15"/>
  <c r="BI161" i="15" s="1"/>
  <c r="BC161" i="15"/>
  <c r="BH161" i="15" s="1"/>
  <c r="BD160" i="15"/>
  <c r="BI160" i="15" s="1"/>
  <c r="BC160" i="15"/>
  <c r="BD159" i="15"/>
  <c r="BI159" i="15" s="1"/>
  <c r="BC159" i="15"/>
  <c r="BD158" i="15"/>
  <c r="BI158" i="15" s="1"/>
  <c r="BC158" i="15"/>
  <c r="BH158" i="15" s="1"/>
  <c r="BD157" i="15"/>
  <c r="BI157" i="15" s="1"/>
  <c r="BC157" i="15"/>
  <c r="BD142" i="15"/>
  <c r="BI142" i="15" s="1"/>
  <c r="BB142" i="15"/>
  <c r="BG142" i="15" s="1"/>
  <c r="BD141" i="15"/>
  <c r="BI141" i="15" s="1"/>
  <c r="BB141" i="15"/>
  <c r="BG141" i="15" s="1"/>
  <c r="BD140" i="15"/>
  <c r="BI140" i="15" s="1"/>
  <c r="BB140" i="15"/>
  <c r="BG140" i="15" s="1"/>
  <c r="BB139" i="15" l="1"/>
  <c r="BG139" i="15" s="1"/>
  <c r="BL159" i="15"/>
  <c r="BN158" i="15"/>
  <c r="BN161" i="15"/>
  <c r="BL157" i="15"/>
  <c r="BL160" i="15"/>
  <c r="BH160" i="15"/>
  <c r="BN160" i="15" s="1"/>
  <c r="BH157" i="15"/>
  <c r="BN157" i="15" s="1"/>
  <c r="BL158" i="15"/>
  <c r="BL161" i="15"/>
  <c r="BH162" i="15"/>
  <c r="BN162" i="15" s="1"/>
  <c r="BH159" i="15"/>
  <c r="BN159" i="15" s="1"/>
  <c r="AX699" i="15"/>
  <c r="AZ699" i="15"/>
  <c r="AX698" i="15"/>
  <c r="AZ698" i="15"/>
  <c r="AX564" i="15" l="1"/>
  <c r="AZ564" i="15"/>
  <c r="AX562" i="15"/>
  <c r="AZ562" i="15"/>
  <c r="AX560" i="15"/>
  <c r="AZ560" i="15"/>
  <c r="AZ559" i="15"/>
  <c r="AX559" i="15"/>
  <c r="AX558" i="15"/>
  <c r="AZ558" i="15"/>
  <c r="AZ557" i="15"/>
  <c r="AX557" i="15"/>
  <c r="AX556" i="15"/>
  <c r="AZ556" i="15"/>
  <c r="AZ555" i="15"/>
  <c r="AX555" i="15"/>
  <c r="AX554" i="15"/>
  <c r="AZ554" i="15"/>
  <c r="AX553" i="15"/>
  <c r="AZ553" i="15"/>
  <c r="AX549" i="15"/>
  <c r="AX550" i="15"/>
  <c r="AX551" i="15"/>
  <c r="AX552" i="15"/>
  <c r="AX548" i="15"/>
  <c r="AZ549" i="15"/>
  <c r="AZ550" i="15"/>
  <c r="AZ551" i="15"/>
  <c r="AZ552" i="15"/>
  <c r="AZ548" i="15"/>
  <c r="AB22" i="23" l="1"/>
  <c r="AA22" i="23"/>
  <c r="Z22" i="23"/>
  <c r="Y22" i="23"/>
  <c r="X22" i="23"/>
  <c r="W22" i="23"/>
  <c r="V22" i="23"/>
  <c r="U22" i="23"/>
  <c r="T22" i="23"/>
  <c r="S22" i="23"/>
  <c r="R22" i="23"/>
  <c r="Q22" i="23"/>
  <c r="P22" i="23"/>
  <c r="L22" i="23"/>
  <c r="K22" i="23"/>
  <c r="J22" i="23"/>
  <c r="I22" i="23"/>
  <c r="H22" i="23"/>
  <c r="G22" i="23"/>
  <c r="F22" i="23"/>
  <c r="E22" i="23"/>
  <c r="D22" i="23"/>
  <c r="C22" i="23"/>
  <c r="I560" i="15"/>
  <c r="DG8" i="11"/>
  <c r="AA562" i="15" s="1"/>
  <c r="DG9" i="11"/>
  <c r="AA563" i="15" s="1"/>
  <c r="DG10" i="11"/>
  <c r="AA564" i="15" s="1"/>
  <c r="V10" i="11"/>
  <c r="V8" i="11"/>
  <c r="K80" i="22"/>
  <c r="X555" i="15" s="1"/>
  <c r="Z555" i="15" s="1"/>
  <c r="W555" i="15" s="1"/>
  <c r="DI835" i="2"/>
  <c r="DI253" i="16"/>
  <c r="AE33" i="15" s="1"/>
  <c r="AC33" i="15" s="1"/>
  <c r="DI340" i="2"/>
  <c r="DI298" i="2"/>
  <c r="DI1309" i="7"/>
  <c r="AE532" i="15" s="1"/>
  <c r="AC532" i="15" s="1"/>
  <c r="DG298" i="2" l="1"/>
  <c r="AA642" i="15" s="1"/>
  <c r="AE642" i="15"/>
  <c r="AC642" i="15" s="1"/>
  <c r="DG340" i="2"/>
  <c r="AA647" i="15" s="1"/>
  <c r="AE647" i="15"/>
  <c r="AC647" i="15" s="1"/>
  <c r="DI408" i="16"/>
  <c r="DI887" i="2"/>
  <c r="DG887" i="2" s="1"/>
  <c r="AA729" i="15" s="1"/>
  <c r="DI169" i="2"/>
  <c r="DI171" i="2"/>
  <c r="DI223" i="2"/>
  <c r="DI224" i="2"/>
  <c r="DI45" i="5"/>
  <c r="DI389" i="16"/>
  <c r="DI331" i="5"/>
  <c r="DI370" i="16"/>
  <c r="DI351" i="16"/>
  <c r="DI816" i="2"/>
  <c r="DI815" i="2"/>
  <c r="DI817" i="2"/>
  <c r="DI852" i="2"/>
  <c r="DI851" i="2"/>
  <c r="DI907" i="2"/>
  <c r="DI908" i="2"/>
  <c r="DI906" i="2"/>
  <c r="DG835" i="2"/>
  <c r="AA724" i="15" s="1"/>
  <c r="AE724" i="15"/>
  <c r="AC724" i="15" s="1"/>
  <c r="DI204" i="16"/>
  <c r="DI201" i="16"/>
  <c r="AF187" i="22"/>
  <c r="DG253" i="16"/>
  <c r="AA33" i="15" s="1"/>
  <c r="DI202" i="16"/>
  <c r="DI203" i="16"/>
  <c r="DI1044" i="7"/>
  <c r="AE484" i="15" s="1"/>
  <c r="AC484" i="15" s="1"/>
  <c r="DI1045" i="7"/>
  <c r="DI181" i="16"/>
  <c r="DI182" i="16"/>
  <c r="DI904" i="2"/>
  <c r="DH610" i="2"/>
  <c r="F610" i="2"/>
  <c r="E622" i="2"/>
  <c r="D622" i="2"/>
  <c r="H610" i="2"/>
  <c r="E623" i="2"/>
  <c r="D623" i="2"/>
  <c r="DH611" i="2"/>
  <c r="H611" i="2"/>
  <c r="F611" i="2"/>
  <c r="R7" i="22"/>
  <c r="DJ7" i="22" s="1"/>
  <c r="AB548" i="15" s="1"/>
  <c r="M9" i="22"/>
  <c r="R8" i="22"/>
  <c r="DJ8" i="22" s="1"/>
  <c r="AB549" i="15" s="1"/>
  <c r="R9" i="22"/>
  <c r="DJ9" i="22" s="1"/>
  <c r="AB550" i="15" s="1"/>
  <c r="R10" i="22"/>
  <c r="DJ10" i="22" s="1"/>
  <c r="AB551" i="15" s="1"/>
  <c r="R11" i="22"/>
  <c r="DJ11" i="22" s="1"/>
  <c r="AB552" i="15" s="1"/>
  <c r="P8" i="22"/>
  <c r="X549" i="15" s="1"/>
  <c r="Z549" i="15" s="1"/>
  <c r="W549" i="15" s="1"/>
  <c r="V549" i="15" s="1"/>
  <c r="Q8" i="22"/>
  <c r="P9" i="22"/>
  <c r="X550" i="15" s="1"/>
  <c r="Z550" i="15" s="1"/>
  <c r="W550" i="15" s="1"/>
  <c r="V550" i="15" s="1"/>
  <c r="Q9" i="22"/>
  <c r="P10" i="22"/>
  <c r="X551" i="15" s="1"/>
  <c r="Z551" i="15" s="1"/>
  <c r="W551" i="15" s="1"/>
  <c r="V551" i="15" s="1"/>
  <c r="Q10" i="22"/>
  <c r="P11" i="22"/>
  <c r="X552" i="15" s="1"/>
  <c r="Z552" i="15" s="1"/>
  <c r="W552" i="15" s="1"/>
  <c r="V552" i="15" s="1"/>
  <c r="Q11" i="22"/>
  <c r="I8" i="22"/>
  <c r="K8" i="22"/>
  <c r="I9" i="22"/>
  <c r="K9" i="22"/>
  <c r="I10" i="22"/>
  <c r="K10" i="22"/>
  <c r="I11" i="22"/>
  <c r="K11" i="22"/>
  <c r="M11" i="22"/>
  <c r="M8" i="22"/>
  <c r="H32" i="22"/>
  <c r="H31" i="22"/>
  <c r="H30" i="22"/>
  <c r="H29" i="22"/>
  <c r="H27" i="22"/>
  <c r="H26" i="22"/>
  <c r="H25" i="22"/>
  <c r="H24" i="22"/>
  <c r="F32" i="22"/>
  <c r="F31" i="22"/>
  <c r="F30" i="22"/>
  <c r="F29" i="22"/>
  <c r="F27" i="22"/>
  <c r="F26" i="22"/>
  <c r="F25" i="22"/>
  <c r="F24" i="22"/>
  <c r="AE30" i="15" l="1"/>
  <c r="AC30" i="15"/>
  <c r="AE29" i="15"/>
  <c r="AC29" i="15" s="1"/>
  <c r="AE28" i="15"/>
  <c r="AC28" i="15" s="1"/>
  <c r="DG204" i="16"/>
  <c r="AA31" i="15" s="1"/>
  <c r="AE31" i="15"/>
  <c r="AC31" i="15" s="1"/>
  <c r="DG904" i="2"/>
  <c r="AA731" i="15" s="1"/>
  <c r="AE731" i="15"/>
  <c r="AC731" i="15" s="1"/>
  <c r="DG224" i="2"/>
  <c r="AA633" i="15" s="1"/>
  <c r="AE633" i="15"/>
  <c r="AC633" i="15" s="1"/>
  <c r="DG223" i="2"/>
  <c r="AA632" i="15" s="1"/>
  <c r="AE632" i="15"/>
  <c r="AC632" i="15" s="1"/>
  <c r="DG171" i="2"/>
  <c r="AA624" i="15" s="1"/>
  <c r="AE624" i="15"/>
  <c r="AC624" i="15" s="1"/>
  <c r="DG169" i="2"/>
  <c r="AA622" i="15" s="1"/>
  <c r="AE622" i="15"/>
  <c r="AC622" i="15" s="1"/>
  <c r="DG331" i="5"/>
  <c r="AA77" i="15" s="1"/>
  <c r="AE77" i="15"/>
  <c r="AC77" i="15" s="1"/>
  <c r="DG45" i="5"/>
  <c r="AA49" i="15" s="1"/>
  <c r="AE49" i="15"/>
  <c r="AC49" i="15" s="1"/>
  <c r="DG1045" i="7"/>
  <c r="AA485" i="15" s="1"/>
  <c r="AE485" i="15"/>
  <c r="AC485" i="15" s="1"/>
  <c r="DG389" i="16"/>
  <c r="AA40" i="15" s="1"/>
  <c r="AE40" i="15"/>
  <c r="AC40" i="15" s="1"/>
  <c r="DG182" i="16"/>
  <c r="AA27" i="15" s="1"/>
  <c r="AE27" i="15"/>
  <c r="AC27" i="15" s="1"/>
  <c r="DG351" i="16"/>
  <c r="AA38" i="15" s="1"/>
  <c r="AE38" i="15"/>
  <c r="AC38" i="15" s="1"/>
  <c r="DG370" i="16"/>
  <c r="AA39" i="15" s="1"/>
  <c r="AE39" i="15"/>
  <c r="AC39" i="15" s="1"/>
  <c r="DG181" i="16"/>
  <c r="AA26" i="15" s="1"/>
  <c r="AE26" i="15"/>
  <c r="AC26" i="15" s="1"/>
  <c r="DG408" i="16"/>
  <c r="AA41" i="15" s="1"/>
  <c r="AE41" i="15"/>
  <c r="AC41" i="15" s="1"/>
  <c r="AE729" i="15"/>
  <c r="AC729" i="15" s="1"/>
  <c r="I699" i="15"/>
  <c r="AF611" i="2"/>
  <c r="I698" i="15"/>
  <c r="AF610" i="2"/>
  <c r="AE733" i="15"/>
  <c r="AC733" i="15" s="1"/>
  <c r="DG906" i="2"/>
  <c r="AA733" i="15" s="1"/>
  <c r="DG908" i="2"/>
  <c r="AA735" i="15" s="1"/>
  <c r="AE735" i="15"/>
  <c r="AC735" i="15" s="1"/>
  <c r="DG907" i="2"/>
  <c r="AA734" i="15" s="1"/>
  <c r="AE734" i="15"/>
  <c r="AC734" i="15" s="1"/>
  <c r="DG851" i="2"/>
  <c r="AA725" i="15" s="1"/>
  <c r="AE725" i="15"/>
  <c r="AC725" i="15" s="1"/>
  <c r="DG852" i="2"/>
  <c r="AA726" i="15" s="1"/>
  <c r="AE726" i="15"/>
  <c r="AC726" i="15" s="1"/>
  <c r="AE723" i="15"/>
  <c r="AC723" i="15" s="1"/>
  <c r="DG817" i="2"/>
  <c r="DG815" i="2"/>
  <c r="AE721" i="15"/>
  <c r="AC721" i="15" s="1"/>
  <c r="AE722" i="15"/>
  <c r="AC722" i="15" s="1"/>
  <c r="DG816" i="2"/>
  <c r="DG201" i="16"/>
  <c r="AA28" i="15" s="1"/>
  <c r="DG203" i="16"/>
  <c r="AA30" i="15" s="1"/>
  <c r="DG202" i="16"/>
  <c r="AA29" i="15" s="1"/>
  <c r="DH11" i="22"/>
  <c r="DH8" i="22"/>
  <c r="DH10" i="22"/>
  <c r="DH9" i="22"/>
  <c r="DI611" i="2"/>
  <c r="AE699" i="15" s="1"/>
  <c r="AC699" i="15" s="1"/>
  <c r="DI610" i="2"/>
  <c r="AE698" i="15" s="1"/>
  <c r="AC698" i="15" s="1"/>
  <c r="O11" i="22"/>
  <c r="I610" i="2"/>
  <c r="O698" i="15" s="1"/>
  <c r="V698" i="15" s="1"/>
  <c r="U698" i="15" s="1"/>
  <c r="I611" i="2"/>
  <c r="O699" i="15" s="1"/>
  <c r="V699" i="15" s="1"/>
  <c r="U699" i="15" s="1"/>
  <c r="O8" i="22"/>
  <c r="M10" i="22"/>
  <c r="O10" i="22" s="1"/>
  <c r="DG610" i="2" l="1"/>
  <c r="AA698" i="15" s="1"/>
  <c r="DG611" i="2"/>
  <c r="AA699" i="15" s="1"/>
  <c r="O9" i="22"/>
  <c r="G466" i="2" l="1"/>
  <c r="J466" i="2" s="1"/>
  <c r="K455" i="2" s="1"/>
  <c r="DJ455" i="2" s="1"/>
  <c r="G482" i="2"/>
  <c r="BE455" i="2" l="1"/>
  <c r="AB666" i="15"/>
  <c r="K978" i="6"/>
  <c r="L806" i="6" s="1"/>
  <c r="AJ153" i="15" s="1"/>
  <c r="K976" i="6" l="1"/>
  <c r="L802" i="6" s="1"/>
  <c r="AJ151" i="15" s="1"/>
  <c r="BD886" i="2" l="1"/>
  <c r="AR886" i="2"/>
  <c r="AE886" i="2"/>
  <c r="BD732" i="2"/>
  <c r="BD716" i="2"/>
  <c r="AR678" i="2"/>
  <c r="BD678" i="2"/>
  <c r="W27" i="11"/>
  <c r="X27" i="11"/>
  <c r="Y27" i="11"/>
  <c r="Z27" i="11"/>
  <c r="AA27" i="11"/>
  <c r="AB27" i="11"/>
  <c r="AC27" i="11"/>
  <c r="AD27" i="11"/>
  <c r="W37" i="11"/>
  <c r="X37" i="11"/>
  <c r="Y37" i="11"/>
  <c r="Z37" i="11"/>
  <c r="AA37" i="11"/>
  <c r="AB37" i="11"/>
  <c r="AC37" i="11"/>
  <c r="AD37" i="11"/>
  <c r="AE37" i="11"/>
  <c r="AE27" i="11"/>
  <c r="AE478" i="7" l="1"/>
  <c r="AE470" i="7"/>
  <c r="AE465" i="7"/>
  <c r="AE460" i="7"/>
  <c r="L80" i="22" l="1"/>
  <c r="L79" i="22"/>
  <c r="DJ79" i="22" l="1"/>
  <c r="AB554" i="15" s="1"/>
  <c r="DJ80" i="22"/>
  <c r="AB555" i="15" s="1"/>
  <c r="I80" i="22"/>
  <c r="F80" i="22" s="1"/>
  <c r="I555" i="15" s="1"/>
  <c r="DH80" i="22"/>
  <c r="H80" i="22"/>
  <c r="AF80" i="22" l="1"/>
  <c r="J80" i="22"/>
  <c r="O555" i="15" s="1"/>
  <c r="V555" i="15" s="1"/>
  <c r="U555" i="15" s="1"/>
  <c r="DI80" i="22"/>
  <c r="AE555" i="15" s="1"/>
  <c r="AC555" i="15" s="1"/>
  <c r="DG80" i="22" l="1"/>
  <c r="H187" i="22" l="1"/>
  <c r="H153" i="22"/>
  <c r="H152" i="22"/>
  <c r="H117" i="22"/>
  <c r="H116" i="22"/>
  <c r="H79" i="22"/>
  <c r="H52" i="22"/>
  <c r="K7" i="22"/>
  <c r="V4" i="22"/>
  <c r="P7" i="22"/>
  <c r="X548" i="15" s="1"/>
  <c r="Z548" i="15" s="1"/>
  <c r="W548" i="15" s="1"/>
  <c r="V548" i="15" s="1"/>
  <c r="Q7" i="22"/>
  <c r="H22" i="22"/>
  <c r="X22" i="22"/>
  <c r="Y22" i="22"/>
  <c r="Z22" i="22"/>
  <c r="AA22" i="22"/>
  <c r="AB22" i="22"/>
  <c r="AC22" i="22"/>
  <c r="AD22" i="22"/>
  <c r="AE22" i="22"/>
  <c r="AF22" i="22"/>
  <c r="AG22" i="22"/>
  <c r="F23" i="22"/>
  <c r="H23" i="22"/>
  <c r="F28" i="22"/>
  <c r="H28" i="22"/>
  <c r="G35" i="22"/>
  <c r="AF35" i="22" s="1"/>
  <c r="V49" i="22"/>
  <c r="W51" i="22"/>
  <c r="X51" i="22"/>
  <c r="Y51" i="22"/>
  <c r="Z51" i="22"/>
  <c r="AA51" i="22"/>
  <c r="AB51" i="22"/>
  <c r="AC51" i="22"/>
  <c r="AD51" i="22"/>
  <c r="AE51" i="22"/>
  <c r="AF51" i="22"/>
  <c r="AG51" i="22"/>
  <c r="DG51" i="22"/>
  <c r="DH51" i="22"/>
  <c r="DI51" i="22"/>
  <c r="DJ51" i="22"/>
  <c r="J52" i="22"/>
  <c r="X553" i="15" s="1"/>
  <c r="Z553" i="15" s="1"/>
  <c r="W553" i="15" s="1"/>
  <c r="K52" i="22"/>
  <c r="V52" i="22"/>
  <c r="W57" i="22"/>
  <c r="X57" i="22"/>
  <c r="Y57" i="22"/>
  <c r="Z57" i="22"/>
  <c r="AA57" i="22"/>
  <c r="AB57" i="22"/>
  <c r="AC57" i="22"/>
  <c r="AD57" i="22"/>
  <c r="AE57" i="22"/>
  <c r="AF57" i="22"/>
  <c r="AG57" i="22"/>
  <c r="V58" i="22"/>
  <c r="V59" i="22"/>
  <c r="F60" i="22"/>
  <c r="V60" i="22"/>
  <c r="V204" i="22" s="1"/>
  <c r="V61" i="22"/>
  <c r="V62" i="22"/>
  <c r="V63" i="22"/>
  <c r="V64" i="22"/>
  <c r="V65" i="22"/>
  <c r="V66" i="22"/>
  <c r="V67" i="22"/>
  <c r="V68" i="22"/>
  <c r="V69" i="22"/>
  <c r="V70" i="22"/>
  <c r="V71" i="22"/>
  <c r="V72" i="22"/>
  <c r="V73" i="22"/>
  <c r="V76" i="22"/>
  <c r="W78" i="22"/>
  <c r="X78" i="22"/>
  <c r="Y78" i="22"/>
  <c r="Z78" i="22"/>
  <c r="AA78" i="22"/>
  <c r="AB78" i="22"/>
  <c r="AC78" i="22"/>
  <c r="AD78" i="22"/>
  <c r="AE78" i="22"/>
  <c r="AF78" i="22"/>
  <c r="AG78" i="22"/>
  <c r="DG78" i="22"/>
  <c r="DH78" i="22"/>
  <c r="DI78" i="22"/>
  <c r="DJ78" i="22"/>
  <c r="I79" i="22"/>
  <c r="F79" i="22" s="1"/>
  <c r="K79" i="22"/>
  <c r="X554" i="15" s="1"/>
  <c r="Z554" i="15" s="1"/>
  <c r="W554" i="15" s="1"/>
  <c r="W89" i="22"/>
  <c r="X89" i="22"/>
  <c r="Y89" i="22"/>
  <c r="Z89" i="22"/>
  <c r="AA89" i="22"/>
  <c r="AB89" i="22"/>
  <c r="AC89" i="22"/>
  <c r="AD89" i="22"/>
  <c r="AE89" i="22"/>
  <c r="AF89" i="22"/>
  <c r="AG89" i="22"/>
  <c r="V91" i="22"/>
  <c r="V92" i="22"/>
  <c r="V93" i="22"/>
  <c r="V94" i="22"/>
  <c r="V95" i="22"/>
  <c r="V97" i="22"/>
  <c r="V98" i="22"/>
  <c r="V99" i="22"/>
  <c r="V101" i="22"/>
  <c r="V102" i="22"/>
  <c r="V103" i="22"/>
  <c r="V104" i="22"/>
  <c r="V105" i="22"/>
  <c r="V106" i="22"/>
  <c r="V107" i="22"/>
  <c r="V108" i="22"/>
  <c r="V110" i="22"/>
  <c r="V113" i="22"/>
  <c r="W115" i="22"/>
  <c r="X115" i="22"/>
  <c r="Y115" i="22"/>
  <c r="Z115" i="22"/>
  <c r="AA115" i="22"/>
  <c r="AB115" i="22"/>
  <c r="AC115" i="22"/>
  <c r="AD115" i="22"/>
  <c r="AE115" i="22"/>
  <c r="AF115" i="22"/>
  <c r="AG115" i="22"/>
  <c r="DG115" i="22"/>
  <c r="DH115" i="22"/>
  <c r="DI115" i="22"/>
  <c r="DJ115" i="22"/>
  <c r="I116" i="22"/>
  <c r="F116" i="22" s="1"/>
  <c r="I556" i="15" s="1"/>
  <c r="K116" i="22"/>
  <c r="X556" i="15" s="1"/>
  <c r="Z556" i="15" s="1"/>
  <c r="W556" i="15" s="1"/>
  <c r="L116" i="22"/>
  <c r="I117" i="22"/>
  <c r="F117" i="22" s="1"/>
  <c r="I557" i="15" s="1"/>
  <c r="K117" i="22"/>
  <c r="X557" i="15" s="1"/>
  <c r="Z557" i="15" s="1"/>
  <c r="W557" i="15" s="1"/>
  <c r="L117" i="22"/>
  <c r="W127" i="22"/>
  <c r="X127" i="22"/>
  <c r="Y127" i="22"/>
  <c r="Z127" i="22"/>
  <c r="AA127" i="22"/>
  <c r="AB127" i="22"/>
  <c r="AC127" i="22"/>
  <c r="AD127" i="22"/>
  <c r="AE127" i="22"/>
  <c r="AF127" i="22"/>
  <c r="AG127" i="22"/>
  <c r="V145" i="22"/>
  <c r="V149" i="22"/>
  <c r="W151" i="22"/>
  <c r="X151" i="22"/>
  <c r="Y151" i="22"/>
  <c r="Z151" i="22"/>
  <c r="AA151" i="22"/>
  <c r="AB151" i="22"/>
  <c r="AC151" i="22"/>
  <c r="AD151" i="22"/>
  <c r="AE151" i="22"/>
  <c r="AF151" i="22"/>
  <c r="AG151" i="22"/>
  <c r="DG151" i="22"/>
  <c r="DH151" i="22"/>
  <c r="DI151" i="22"/>
  <c r="DJ151" i="22"/>
  <c r="I152" i="22"/>
  <c r="F152" i="22" s="1"/>
  <c r="I558" i="15" s="1"/>
  <c r="K152" i="22"/>
  <c r="X558" i="15" s="1"/>
  <c r="Z558" i="15" s="1"/>
  <c r="W558" i="15" s="1"/>
  <c r="L152" i="22"/>
  <c r="I153" i="22"/>
  <c r="F153" i="22" s="1"/>
  <c r="I559" i="15" s="1"/>
  <c r="K153" i="22"/>
  <c r="X559" i="15" s="1"/>
  <c r="Z559" i="15" s="1"/>
  <c r="W559" i="15" s="1"/>
  <c r="L153" i="22"/>
  <c r="W162" i="22"/>
  <c r="X162" i="22"/>
  <c r="Y162" i="22"/>
  <c r="Z162" i="22"/>
  <c r="AA162" i="22"/>
  <c r="AB162" i="22"/>
  <c r="AC162" i="22"/>
  <c r="AD162" i="22"/>
  <c r="AE162" i="22"/>
  <c r="AF162" i="22"/>
  <c r="AG162" i="22"/>
  <c r="V180" i="22"/>
  <c r="V184" i="22"/>
  <c r="X186" i="22"/>
  <c r="Y186" i="22"/>
  <c r="Z186" i="22"/>
  <c r="AA186" i="22"/>
  <c r="AB186" i="22"/>
  <c r="AC186" i="22"/>
  <c r="AD186" i="22"/>
  <c r="AE186" i="22"/>
  <c r="AF186" i="22"/>
  <c r="AG186" i="22"/>
  <c r="DG186" i="22"/>
  <c r="DH186" i="22"/>
  <c r="DI186" i="22"/>
  <c r="DJ186" i="22"/>
  <c r="K187" i="22"/>
  <c r="V187" i="22"/>
  <c r="DH187" i="22"/>
  <c r="AE193" i="22"/>
  <c r="AF193" i="22"/>
  <c r="AG193" i="22"/>
  <c r="G199" i="22"/>
  <c r="AF199" i="22" s="1"/>
  <c r="DJ187" i="22" l="1"/>
  <c r="AB560" i="15" s="1"/>
  <c r="DJ153" i="22"/>
  <c r="AB559" i="15" s="1"/>
  <c r="DJ152" i="22"/>
  <c r="AB558" i="15" s="1"/>
  <c r="DJ117" i="22"/>
  <c r="AB557" i="15" s="1"/>
  <c r="DJ116" i="22"/>
  <c r="AB556" i="15" s="1"/>
  <c r="DJ52" i="22"/>
  <c r="AB553" i="15" s="1"/>
  <c r="AF79" i="22"/>
  <c r="I554" i="15"/>
  <c r="AF117" i="22"/>
  <c r="AF116" i="22"/>
  <c r="AF152" i="22"/>
  <c r="AF153" i="22"/>
  <c r="F52" i="22"/>
  <c r="AF60" i="22"/>
  <c r="L9" i="22"/>
  <c r="L8" i="22"/>
  <c r="DH117" i="22"/>
  <c r="DI117" i="22" s="1"/>
  <c r="AE557" i="15" s="1"/>
  <c r="AC557" i="15" s="1"/>
  <c r="DH52" i="22"/>
  <c r="DH153" i="22"/>
  <c r="DI153" i="22" s="1"/>
  <c r="AE559" i="15" s="1"/>
  <c r="AC559" i="15" s="1"/>
  <c r="DH116" i="22"/>
  <c r="DI116" i="22" s="1"/>
  <c r="AE556" i="15" s="1"/>
  <c r="AC556" i="15" s="1"/>
  <c r="DH7" i="22"/>
  <c r="DH152" i="22"/>
  <c r="DI152" i="22" s="1"/>
  <c r="AE558" i="15" s="1"/>
  <c r="AC558" i="15" s="1"/>
  <c r="DH79" i="22"/>
  <c r="DI79" i="22" s="1"/>
  <c r="AE554" i="15" s="1"/>
  <c r="AC554" i="15" s="1"/>
  <c r="L7" i="22"/>
  <c r="L11" i="22"/>
  <c r="L10" i="22"/>
  <c r="DI187" i="22"/>
  <c r="AE560" i="15" s="1"/>
  <c r="AC560" i="15" s="1"/>
  <c r="J152" i="22"/>
  <c r="O558" i="15" s="1"/>
  <c r="V558" i="15" s="1"/>
  <c r="U558" i="15" s="1"/>
  <c r="V109" i="22"/>
  <c r="J153" i="22"/>
  <c r="O559" i="15" s="1"/>
  <c r="V559" i="15" s="1"/>
  <c r="U559" i="15" s="1"/>
  <c r="J116" i="22"/>
  <c r="O556" i="15" s="1"/>
  <c r="V556" i="15" s="1"/>
  <c r="U556" i="15" s="1"/>
  <c r="J117" i="22"/>
  <c r="O557" i="15" s="1"/>
  <c r="V557" i="15" s="1"/>
  <c r="U557" i="15" s="1"/>
  <c r="I187" i="22"/>
  <c r="O560" i="15" s="1"/>
  <c r="V560" i="15" s="1"/>
  <c r="U560" i="15" s="1"/>
  <c r="M7" i="22"/>
  <c r="AF52" i="22" l="1"/>
  <c r="I553" i="15"/>
  <c r="F7" i="22"/>
  <c r="I52" i="22"/>
  <c r="O553" i="15" s="1"/>
  <c r="V553" i="15" s="1"/>
  <c r="U553" i="15" s="1"/>
  <c r="DG152" i="22"/>
  <c r="DG117" i="22"/>
  <c r="DG153" i="22"/>
  <c r="DG187" i="22"/>
  <c r="AA560" i="15" s="1"/>
  <c r="DG116" i="22"/>
  <c r="N10" i="22"/>
  <c r="F10" i="22"/>
  <c r="I551" i="15" s="1"/>
  <c r="N8" i="22"/>
  <c r="F8" i="22"/>
  <c r="I549" i="15" s="1"/>
  <c r="N9" i="22"/>
  <c r="F9" i="22"/>
  <c r="I550" i="15" s="1"/>
  <c r="N11" i="22"/>
  <c r="F11" i="22"/>
  <c r="I552" i="15" s="1"/>
  <c r="O7" i="22"/>
  <c r="N7" i="22"/>
  <c r="DI52" i="22"/>
  <c r="AE553" i="15" s="1"/>
  <c r="AC553" i="15" s="1"/>
  <c r="J79" i="22"/>
  <c r="O554" i="15" s="1"/>
  <c r="V554" i="15" s="1"/>
  <c r="U554" i="15" s="1"/>
  <c r="DG79" i="22"/>
  <c r="DI7" i="22"/>
  <c r="O548" i="15" l="1"/>
  <c r="U548" i="15" s="1"/>
  <c r="AF7" i="22"/>
  <c r="I548" i="15"/>
  <c r="AE548" i="15"/>
  <c r="AC548" i="15" s="1"/>
  <c r="AF11" i="22"/>
  <c r="AF9" i="22"/>
  <c r="AF10" i="22"/>
  <c r="AF8" i="22"/>
  <c r="DG52" i="22"/>
  <c r="AA553" i="15" s="1"/>
  <c r="G11" i="22"/>
  <c r="O552" i="15" s="1"/>
  <c r="U552" i="15" s="1"/>
  <c r="DI11" i="22"/>
  <c r="AE552" i="15" s="1"/>
  <c r="AC552" i="15" s="1"/>
  <c r="G9" i="22"/>
  <c r="O550" i="15" s="1"/>
  <c r="U550" i="15" s="1"/>
  <c r="DI9" i="22"/>
  <c r="AE550" i="15" s="1"/>
  <c r="AC550" i="15" s="1"/>
  <c r="G8" i="22"/>
  <c r="DI8" i="22"/>
  <c r="G10" i="22"/>
  <c r="O551" i="15" s="1"/>
  <c r="U551" i="15" s="1"/>
  <c r="DI10" i="22"/>
  <c r="AE551" i="15" s="1"/>
  <c r="AC551" i="15" s="1"/>
  <c r="DG7" i="22"/>
  <c r="AA548" i="15" s="1"/>
  <c r="O549" i="15" l="1"/>
  <c r="U549" i="15" s="1"/>
  <c r="AE549" i="15"/>
  <c r="AC549" i="15" s="1"/>
  <c r="DG10" i="22"/>
  <c r="DG9" i="22"/>
  <c r="AA550" i="15" s="1"/>
  <c r="DG8" i="22"/>
  <c r="AA549" i="15" s="1"/>
  <c r="DG11" i="22"/>
  <c r="AA555" i="15" l="1"/>
  <c r="AA552" i="15"/>
  <c r="AA554" i="15"/>
  <c r="AA551" i="15"/>
  <c r="K128" i="6"/>
  <c r="DJ128" i="6" s="1"/>
  <c r="K127" i="6"/>
  <c r="DJ127" i="6" s="1"/>
  <c r="K122" i="6"/>
  <c r="DJ122" i="6" s="1"/>
  <c r="AB107" i="15" l="1"/>
  <c r="AB110" i="15"/>
  <c r="AB111" i="15"/>
  <c r="K145" i="6"/>
  <c r="DJ145" i="6" s="1"/>
  <c r="K146" i="6"/>
  <c r="DJ146" i="6" s="1"/>
  <c r="K140" i="6"/>
  <c r="DJ140" i="6" s="1"/>
  <c r="K131" i="6"/>
  <c r="DJ131" i="6" s="1"/>
  <c r="K137" i="6"/>
  <c r="DJ137" i="6" s="1"/>
  <c r="K136" i="6"/>
  <c r="DJ136" i="6" s="1"/>
  <c r="AB117" i="15" l="1"/>
  <c r="AB113" i="15"/>
  <c r="AB119" i="15"/>
  <c r="AB123" i="15"/>
  <c r="AB122" i="15"/>
  <c r="AB116" i="15"/>
  <c r="K149" i="6"/>
  <c r="DJ149" i="6" s="1"/>
  <c r="K155" i="6"/>
  <c r="DJ155" i="6" s="1"/>
  <c r="K154" i="6"/>
  <c r="DJ154" i="6" s="1"/>
  <c r="AB128" i="15" l="1"/>
  <c r="AB125" i="15"/>
  <c r="AB129" i="15"/>
  <c r="F123" i="6"/>
  <c r="F127" i="6"/>
  <c r="F129" i="6"/>
  <c r="F131" i="6"/>
  <c r="F132" i="6"/>
  <c r="F133" i="6"/>
  <c r="F136" i="6"/>
  <c r="F138" i="6"/>
  <c r="F140" i="6"/>
  <c r="F141" i="6"/>
  <c r="F145" i="6"/>
  <c r="F149" i="6"/>
  <c r="F150" i="6"/>
  <c r="F151" i="6"/>
  <c r="F154" i="6"/>
  <c r="I151" i="6" l="1"/>
  <c r="S126" i="15" s="1"/>
  <c r="P126" i="15" s="1"/>
  <c r="M126" i="15"/>
  <c r="J126" i="15" s="1"/>
  <c r="AF151" i="6"/>
  <c r="I149" i="6"/>
  <c r="Q125" i="15" s="1"/>
  <c r="K125" i="15"/>
  <c r="I125" i="15" s="1"/>
  <c r="AF149" i="6"/>
  <c r="I145" i="6"/>
  <c r="Q122" i="15" s="1"/>
  <c r="K122" i="15"/>
  <c r="I122" i="15" s="1"/>
  <c r="AF145" i="6"/>
  <c r="I141" i="6"/>
  <c r="Q120" i="15" s="1"/>
  <c r="O120" i="15" s="1"/>
  <c r="W120" i="15" s="1"/>
  <c r="V120" i="15" s="1"/>
  <c r="U120" i="15" s="1"/>
  <c r="K120" i="15"/>
  <c r="I120" i="15" s="1"/>
  <c r="AF141" i="6"/>
  <c r="I140" i="6"/>
  <c r="Q119" i="15" s="1"/>
  <c r="K119" i="15"/>
  <c r="I119" i="15" s="1"/>
  <c r="AF140" i="6"/>
  <c r="I154" i="6"/>
  <c r="Q128" i="15" s="1"/>
  <c r="K128" i="15"/>
  <c r="I128" i="15" s="1"/>
  <c r="AF154" i="6"/>
  <c r="I150" i="6"/>
  <c r="Q126" i="15" s="1"/>
  <c r="O126" i="15" s="1"/>
  <c r="W126" i="15" s="1"/>
  <c r="V126" i="15" s="1"/>
  <c r="U126" i="15" s="1"/>
  <c r="K126" i="15"/>
  <c r="I126" i="15" s="1"/>
  <c r="AF150" i="6"/>
  <c r="I138" i="6"/>
  <c r="Q118" i="15" s="1"/>
  <c r="O118" i="15" s="1"/>
  <c r="W118" i="15" s="1"/>
  <c r="V118" i="15" s="1"/>
  <c r="U118" i="15" s="1"/>
  <c r="K118" i="15"/>
  <c r="I118" i="15" s="1"/>
  <c r="AF138" i="6"/>
  <c r="I136" i="6"/>
  <c r="Q116" i="15" s="1"/>
  <c r="K116" i="15"/>
  <c r="I116" i="15" s="1"/>
  <c r="AF136" i="6"/>
  <c r="I133" i="6"/>
  <c r="S114" i="15" s="1"/>
  <c r="P114" i="15" s="1"/>
  <c r="M114" i="15"/>
  <c r="J114" i="15" s="1"/>
  <c r="AF133" i="6"/>
  <c r="I132" i="6"/>
  <c r="Q114" i="15" s="1"/>
  <c r="O114" i="15" s="1"/>
  <c r="W114" i="15" s="1"/>
  <c r="V114" i="15" s="1"/>
  <c r="U114" i="15" s="1"/>
  <c r="K114" i="15"/>
  <c r="I114" i="15" s="1"/>
  <c r="AF132" i="6"/>
  <c r="I131" i="6"/>
  <c r="Q113" i="15" s="1"/>
  <c r="K113" i="15"/>
  <c r="I113" i="15" s="1"/>
  <c r="AF131" i="6"/>
  <c r="I129" i="6"/>
  <c r="Q112" i="15" s="1"/>
  <c r="O112" i="15" s="1"/>
  <c r="W112" i="15" s="1"/>
  <c r="V112" i="15" s="1"/>
  <c r="U112" i="15" s="1"/>
  <c r="K112" i="15"/>
  <c r="I112" i="15" s="1"/>
  <c r="AF129" i="6"/>
  <c r="I127" i="6"/>
  <c r="Q110" i="15" s="1"/>
  <c r="K110" i="15"/>
  <c r="I110" i="15" s="1"/>
  <c r="AF127" i="6"/>
  <c r="I123" i="6"/>
  <c r="Q108" i="15" s="1"/>
  <c r="O108" i="15" s="1"/>
  <c r="W108" i="15" s="1"/>
  <c r="V108" i="15" s="1"/>
  <c r="U108" i="15" s="1"/>
  <c r="K108" i="15"/>
  <c r="I108" i="15" s="1"/>
  <c r="AF123" i="6"/>
  <c r="AX567" i="15"/>
  <c r="AZ567" i="15"/>
  <c r="DG38" i="11"/>
  <c r="AA567" i="15" s="1"/>
  <c r="V38" i="11"/>
  <c r="V35" i="11"/>
  <c r="V25" i="11"/>
  <c r="AG4584" i="6"/>
  <c r="AF4584" i="6"/>
  <c r="AE4584" i="6"/>
  <c r="AX329" i="15"/>
  <c r="AZ329" i="15"/>
  <c r="AX327" i="15"/>
  <c r="AZ327" i="15"/>
  <c r="AX326" i="15"/>
  <c r="AZ326" i="15"/>
  <c r="AX321" i="15"/>
  <c r="AZ321" i="15"/>
  <c r="AZ319" i="15"/>
  <c r="AX319" i="15"/>
  <c r="AX318" i="15"/>
  <c r="AZ318" i="15"/>
  <c r="AX313" i="15"/>
  <c r="AZ313" i="15"/>
  <c r="AX311" i="15"/>
  <c r="AZ311" i="15"/>
  <c r="AX310" i="15"/>
  <c r="AZ310" i="15"/>
  <c r="AX305" i="15"/>
  <c r="AZ305" i="15"/>
  <c r="AX303" i="15"/>
  <c r="AZ303" i="15"/>
  <c r="AX302" i="15"/>
  <c r="AZ302" i="15"/>
  <c r="AZ301" i="15"/>
  <c r="AX301" i="15"/>
  <c r="J4499" i="6"/>
  <c r="DH4499" i="6" s="1"/>
  <c r="H4499" i="6"/>
  <c r="J4498" i="6"/>
  <c r="H4498" i="6"/>
  <c r="J4495" i="6"/>
  <c r="DH4495" i="6" s="1"/>
  <c r="H4495" i="6"/>
  <c r="J4494" i="6"/>
  <c r="X303" i="15" s="1"/>
  <c r="Z303" i="15" s="1"/>
  <c r="H4494" i="6"/>
  <c r="J4493" i="6"/>
  <c r="DH4493" i="6" s="1"/>
  <c r="H4493" i="6"/>
  <c r="J4492" i="6"/>
  <c r="H4492" i="6"/>
  <c r="J4523" i="6"/>
  <c r="DH4523" i="6" s="1"/>
  <c r="H4523" i="6"/>
  <c r="J4522" i="6"/>
  <c r="X313" i="15" s="1"/>
  <c r="Z313" i="15" s="1"/>
  <c r="H4522" i="6"/>
  <c r="J4519" i="6"/>
  <c r="DH4519" i="6" s="1"/>
  <c r="H4519" i="6"/>
  <c r="J4518" i="6"/>
  <c r="X311" i="15" s="1"/>
  <c r="Z311" i="15" s="1"/>
  <c r="H4518" i="6"/>
  <c r="J4517" i="6"/>
  <c r="DH4517" i="6" s="1"/>
  <c r="H4517" i="6"/>
  <c r="J4516" i="6"/>
  <c r="H4516" i="6"/>
  <c r="J4571" i="6"/>
  <c r="DH4571" i="6" s="1"/>
  <c r="H4571" i="6"/>
  <c r="J4570" i="6"/>
  <c r="H4570" i="6"/>
  <c r="J4567" i="6"/>
  <c r="DH4567" i="6" s="1"/>
  <c r="H4567" i="6"/>
  <c r="J4566" i="6"/>
  <c r="H4566" i="6"/>
  <c r="J4565" i="6"/>
  <c r="DH4565" i="6" s="1"/>
  <c r="H4565" i="6"/>
  <c r="J4564" i="6"/>
  <c r="X326" i="15" s="1"/>
  <c r="Z326" i="15" s="1"/>
  <c r="H4564" i="6"/>
  <c r="J4547" i="6"/>
  <c r="DH4547" i="6" s="1"/>
  <c r="H4547" i="6"/>
  <c r="J4546" i="6"/>
  <c r="X321" i="15" s="1"/>
  <c r="Z321" i="15" s="1"/>
  <c r="H4546" i="6"/>
  <c r="J4543" i="6"/>
  <c r="DH4543" i="6" s="1"/>
  <c r="H4543" i="6"/>
  <c r="J4542" i="6"/>
  <c r="H4542" i="6"/>
  <c r="J4541" i="6"/>
  <c r="DH4541" i="6" s="1"/>
  <c r="H4541" i="6"/>
  <c r="J4540" i="6"/>
  <c r="H4540" i="6"/>
  <c r="AZ701" i="15"/>
  <c r="AX701" i="15"/>
  <c r="AZ702" i="15"/>
  <c r="AX702" i="15"/>
  <c r="AZ703" i="15"/>
  <c r="AX703" i="15"/>
  <c r="AZ704" i="15"/>
  <c r="AX704" i="15"/>
  <c r="AZ705" i="15"/>
  <c r="AX705" i="15"/>
  <c r="AZ706" i="15"/>
  <c r="AX706" i="15"/>
  <c r="AX700" i="15"/>
  <c r="AZ700" i="15"/>
  <c r="AZ669" i="15"/>
  <c r="AX669" i="15"/>
  <c r="AX668" i="15"/>
  <c r="AZ668" i="15"/>
  <c r="D643" i="2"/>
  <c r="F628" i="2"/>
  <c r="F629" i="2"/>
  <c r="F630" i="2"/>
  <c r="F631" i="2"/>
  <c r="F632" i="2"/>
  <c r="F633" i="2"/>
  <c r="F627" i="2"/>
  <c r="E649" i="2"/>
  <c r="D649" i="2"/>
  <c r="E648" i="2"/>
  <c r="D648" i="2"/>
  <c r="E647" i="2"/>
  <c r="D647" i="2"/>
  <c r="E646" i="2"/>
  <c r="D646" i="2"/>
  <c r="E645" i="2"/>
  <c r="D645" i="2"/>
  <c r="E644" i="2"/>
  <c r="D644" i="2"/>
  <c r="E643" i="2"/>
  <c r="DH633" i="2"/>
  <c r="H633" i="2"/>
  <c r="DH632" i="2"/>
  <c r="H632" i="2"/>
  <c r="DH631" i="2"/>
  <c r="H631" i="2"/>
  <c r="DH630" i="2"/>
  <c r="H630" i="2"/>
  <c r="DH629" i="2"/>
  <c r="H629" i="2"/>
  <c r="DH628" i="2"/>
  <c r="H628" i="2"/>
  <c r="DH627" i="2"/>
  <c r="H627" i="2"/>
  <c r="DJ626" i="2"/>
  <c r="DI626" i="2"/>
  <c r="DH626" i="2"/>
  <c r="DG626" i="2"/>
  <c r="DJ473" i="2"/>
  <c r="DI473" i="2"/>
  <c r="DH473" i="2"/>
  <c r="DG473" i="2"/>
  <c r="DH475" i="2"/>
  <c r="DH474" i="2"/>
  <c r="F475" i="2"/>
  <c r="E483" i="2"/>
  <c r="E482" i="2"/>
  <c r="D483" i="2"/>
  <c r="D482" i="2"/>
  <c r="F474" i="2"/>
  <c r="H475" i="2"/>
  <c r="H474" i="2"/>
  <c r="BT47" i="2"/>
  <c r="DJ4475" i="6"/>
  <c r="DI4475" i="6"/>
  <c r="DH4475" i="6"/>
  <c r="DG4475" i="6"/>
  <c r="J4587" i="6"/>
  <c r="AF4587" i="6" s="1"/>
  <c r="J4598" i="6"/>
  <c r="AF4598" i="6" s="1"/>
  <c r="I595" i="15"/>
  <c r="DH1619" i="6"/>
  <c r="DI1619" i="6" s="1"/>
  <c r="DH1618" i="6"/>
  <c r="DI1618" i="6" s="1"/>
  <c r="DH1631" i="6"/>
  <c r="DI1631" i="6" s="1"/>
  <c r="DH1630" i="6"/>
  <c r="DI1630" i="6" s="1"/>
  <c r="DH1643" i="6"/>
  <c r="DI1643" i="6" s="1"/>
  <c r="DH1663" i="6"/>
  <c r="DI1663" i="6" s="1"/>
  <c r="DH1662" i="6"/>
  <c r="DI1662" i="6" s="1"/>
  <c r="DH1700" i="6"/>
  <c r="DI1700" i="6" s="1"/>
  <c r="DH1699" i="6"/>
  <c r="DI1699" i="6" s="1"/>
  <c r="DH1698" i="6"/>
  <c r="DI1698" i="6" s="1"/>
  <c r="F3650" i="6"/>
  <c r="F3649" i="6"/>
  <c r="F3648" i="6"/>
  <c r="F3647" i="6"/>
  <c r="F3646" i="6"/>
  <c r="F3645" i="6"/>
  <c r="F3644" i="6"/>
  <c r="F3643" i="6"/>
  <c r="F3642" i="6"/>
  <c r="F3641" i="6"/>
  <c r="F3640" i="6"/>
  <c r="F3639" i="6"/>
  <c r="F3638" i="6"/>
  <c r="F3637" i="6"/>
  <c r="F3636" i="6"/>
  <c r="F3635" i="6"/>
  <c r="F3634" i="6"/>
  <c r="F3633" i="6"/>
  <c r="F3632" i="6"/>
  <c r="F3631" i="6"/>
  <c r="F3630" i="6"/>
  <c r="F3629" i="6"/>
  <c r="F3628" i="6"/>
  <c r="F3627" i="6"/>
  <c r="F3626" i="6"/>
  <c r="F3625" i="6"/>
  <c r="F3624" i="6"/>
  <c r="F3623" i="6"/>
  <c r="F3622" i="6"/>
  <c r="F3621" i="6"/>
  <c r="F3620" i="6"/>
  <c r="F3619" i="6"/>
  <c r="F3618" i="6"/>
  <c r="F3617" i="6"/>
  <c r="F3616" i="6"/>
  <c r="F3615" i="6"/>
  <c r="F3614" i="6"/>
  <c r="F3613" i="6"/>
  <c r="F3612" i="6"/>
  <c r="F3611" i="6"/>
  <c r="F3610" i="6"/>
  <c r="F3609" i="6"/>
  <c r="F3608" i="6"/>
  <c r="F3607" i="6"/>
  <c r="F3606" i="6"/>
  <c r="F3605" i="6"/>
  <c r="F3604" i="6"/>
  <c r="F3603" i="6"/>
  <c r="F3602" i="6"/>
  <c r="F3601" i="6"/>
  <c r="F3600" i="6"/>
  <c r="F3599" i="6"/>
  <c r="F3598" i="6"/>
  <c r="F3597" i="6"/>
  <c r="F3596" i="6"/>
  <c r="F3595" i="6"/>
  <c r="F3594" i="6"/>
  <c r="F3593" i="6"/>
  <c r="F3592" i="6"/>
  <c r="F3591" i="6"/>
  <c r="F3590" i="6"/>
  <c r="F3589" i="6"/>
  <c r="F3588" i="6"/>
  <c r="F3587" i="6"/>
  <c r="F3586" i="6"/>
  <c r="F3585" i="6"/>
  <c r="F3584" i="6"/>
  <c r="F3583" i="6"/>
  <c r="F3582" i="6"/>
  <c r="F3581" i="6"/>
  <c r="F3580" i="6"/>
  <c r="F3579" i="6"/>
  <c r="F3578" i="6"/>
  <c r="F3577" i="6"/>
  <c r="F3576" i="6"/>
  <c r="F3575" i="6"/>
  <c r="F3574" i="6"/>
  <c r="F3573" i="6"/>
  <c r="F3572" i="6"/>
  <c r="F3571" i="6"/>
  <c r="F3570" i="6"/>
  <c r="F3569" i="6"/>
  <c r="F3568" i="6"/>
  <c r="F3567" i="6"/>
  <c r="F3566" i="6"/>
  <c r="F3565" i="6"/>
  <c r="F3564" i="6"/>
  <c r="F3563" i="6"/>
  <c r="F3562" i="6"/>
  <c r="F3561" i="6"/>
  <c r="F3560" i="6"/>
  <c r="F3559" i="6"/>
  <c r="F3558" i="6"/>
  <c r="F3557" i="6"/>
  <c r="F3556" i="6"/>
  <c r="F3555" i="6"/>
  <c r="F3554" i="6"/>
  <c r="F3553" i="6"/>
  <c r="F3552" i="6"/>
  <c r="F3551" i="6"/>
  <c r="F3550" i="6"/>
  <c r="F3549" i="6"/>
  <c r="F3548" i="6"/>
  <c r="F3547" i="6"/>
  <c r="F3546" i="6"/>
  <c r="F3545" i="6"/>
  <c r="F3544" i="6"/>
  <c r="F3543" i="6"/>
  <c r="F3542" i="6"/>
  <c r="F3541" i="6"/>
  <c r="F3540" i="6"/>
  <c r="F3539" i="6"/>
  <c r="F3538" i="6"/>
  <c r="F3537" i="6"/>
  <c r="F3536" i="6"/>
  <c r="F3535" i="6"/>
  <c r="F3534" i="6"/>
  <c r="F3533" i="6"/>
  <c r="F3532" i="6"/>
  <c r="F3531" i="6"/>
  <c r="F3530" i="6"/>
  <c r="F3529" i="6"/>
  <c r="F3528" i="6"/>
  <c r="F3527" i="6"/>
  <c r="F3526" i="6"/>
  <c r="F3525" i="6"/>
  <c r="F3524" i="6"/>
  <c r="F3523" i="6"/>
  <c r="F3522" i="6"/>
  <c r="F3521" i="6"/>
  <c r="F3520" i="6"/>
  <c r="F3519" i="6"/>
  <c r="F3518" i="6"/>
  <c r="F3517" i="6"/>
  <c r="F3516" i="6"/>
  <c r="F3515" i="6"/>
  <c r="F3514" i="6"/>
  <c r="F3513" i="6"/>
  <c r="F3512" i="6"/>
  <c r="F3511" i="6"/>
  <c r="F3510" i="6"/>
  <c r="F3509" i="6"/>
  <c r="F3508" i="6"/>
  <c r="F3507" i="6"/>
  <c r="F3506" i="6"/>
  <c r="F3505" i="6"/>
  <c r="F3504" i="6"/>
  <c r="F3503" i="6"/>
  <c r="F3502" i="6"/>
  <c r="F3501" i="6"/>
  <c r="F3500" i="6"/>
  <c r="F3499" i="6"/>
  <c r="F3498" i="6"/>
  <c r="F3497" i="6"/>
  <c r="F3496" i="6"/>
  <c r="F3495" i="6"/>
  <c r="F3494" i="6"/>
  <c r="F3493" i="6"/>
  <c r="F3492" i="6"/>
  <c r="F3491" i="6"/>
  <c r="F3490" i="6"/>
  <c r="F3489" i="6"/>
  <c r="F3488" i="6"/>
  <c r="F3487" i="6"/>
  <c r="F3486" i="6"/>
  <c r="F3485" i="6"/>
  <c r="F3484" i="6"/>
  <c r="F3483" i="6"/>
  <c r="F3482" i="6"/>
  <c r="F3481" i="6"/>
  <c r="F3480" i="6"/>
  <c r="F3479" i="6"/>
  <c r="F3478" i="6"/>
  <c r="F3477" i="6"/>
  <c r="F3476" i="6"/>
  <c r="F3475" i="6"/>
  <c r="F3474" i="6"/>
  <c r="F3473" i="6"/>
  <c r="F3472" i="6"/>
  <c r="F3471" i="6"/>
  <c r="F3470" i="6"/>
  <c r="F3469" i="6"/>
  <c r="F3468" i="6"/>
  <c r="F3467" i="6"/>
  <c r="F3466" i="6"/>
  <c r="F3465" i="6"/>
  <c r="F3464" i="6"/>
  <c r="F3463" i="6"/>
  <c r="F3462" i="6"/>
  <c r="F3461" i="6"/>
  <c r="F3460" i="6"/>
  <c r="F3459" i="6"/>
  <c r="F3458" i="6"/>
  <c r="F3457" i="6"/>
  <c r="F3456" i="6"/>
  <c r="F3455" i="6"/>
  <c r="F3454" i="6"/>
  <c r="F3453" i="6"/>
  <c r="F3452" i="6"/>
  <c r="F3451" i="6"/>
  <c r="F3450" i="6"/>
  <c r="F3449" i="6"/>
  <c r="F3448" i="6"/>
  <c r="F3447" i="6"/>
  <c r="F3446" i="6"/>
  <c r="F3445" i="6"/>
  <c r="F3444" i="6"/>
  <c r="F3443" i="6"/>
  <c r="F3442" i="6"/>
  <c r="F3441" i="6"/>
  <c r="F3440" i="6"/>
  <c r="F3439" i="6"/>
  <c r="F3438" i="6"/>
  <c r="F3437" i="6"/>
  <c r="F3436" i="6"/>
  <c r="F3435" i="6"/>
  <c r="F3434" i="6"/>
  <c r="F3433" i="6"/>
  <c r="F3432" i="6"/>
  <c r="F3431" i="6"/>
  <c r="F3430" i="6"/>
  <c r="F3429" i="6"/>
  <c r="F3428" i="6"/>
  <c r="F3427" i="6"/>
  <c r="F3426" i="6"/>
  <c r="F3425" i="6"/>
  <c r="F3424" i="6"/>
  <c r="F3423" i="6"/>
  <c r="F3422" i="6"/>
  <c r="F3421" i="6"/>
  <c r="F3420" i="6"/>
  <c r="F3419" i="6"/>
  <c r="F3418" i="6"/>
  <c r="F3417" i="6"/>
  <c r="F3416" i="6"/>
  <c r="F3415" i="6"/>
  <c r="F3414" i="6"/>
  <c r="F3413" i="6"/>
  <c r="F3412" i="6"/>
  <c r="F3411" i="6"/>
  <c r="F3410" i="6"/>
  <c r="F3409" i="6"/>
  <c r="F3408" i="6"/>
  <c r="F3407" i="6"/>
  <c r="F3406" i="6"/>
  <c r="F3405" i="6"/>
  <c r="F3404" i="6"/>
  <c r="F3403" i="6"/>
  <c r="F3402" i="6"/>
  <c r="F3401" i="6"/>
  <c r="F3400" i="6"/>
  <c r="F3399" i="6"/>
  <c r="F3398" i="6"/>
  <c r="F3397" i="6"/>
  <c r="F3396" i="6"/>
  <c r="F3395" i="6"/>
  <c r="F3394" i="6"/>
  <c r="F3393" i="6"/>
  <c r="F3392" i="6"/>
  <c r="F3391" i="6"/>
  <c r="F3390" i="6"/>
  <c r="F3389" i="6"/>
  <c r="F3388" i="6"/>
  <c r="F3387" i="6"/>
  <c r="F3386" i="6"/>
  <c r="F3385" i="6"/>
  <c r="F3384" i="6"/>
  <c r="F3383" i="6"/>
  <c r="F3382" i="6"/>
  <c r="F3381" i="6"/>
  <c r="F3380" i="6"/>
  <c r="F3379" i="6"/>
  <c r="F3378" i="6"/>
  <c r="F3377" i="6"/>
  <c r="F3376" i="6"/>
  <c r="F3375" i="6"/>
  <c r="F3374" i="6"/>
  <c r="F3373" i="6"/>
  <c r="F3372" i="6"/>
  <c r="F3371" i="6"/>
  <c r="F3370" i="6"/>
  <c r="F3369" i="6"/>
  <c r="F3368" i="6"/>
  <c r="F3367" i="6"/>
  <c r="F3366" i="6"/>
  <c r="F3365" i="6"/>
  <c r="F3364" i="6"/>
  <c r="F3363" i="6"/>
  <c r="F3362" i="6"/>
  <c r="F3361" i="6"/>
  <c r="F3360" i="6"/>
  <c r="F3359" i="6"/>
  <c r="F3358" i="6"/>
  <c r="F3357" i="6"/>
  <c r="F3356" i="6"/>
  <c r="F3355" i="6"/>
  <c r="F3354" i="6"/>
  <c r="F3353" i="6"/>
  <c r="F3352" i="6"/>
  <c r="F3351" i="6"/>
  <c r="F3350" i="6"/>
  <c r="F3349" i="6"/>
  <c r="F3348" i="6"/>
  <c r="F3347" i="6"/>
  <c r="F3346" i="6"/>
  <c r="F3345" i="6"/>
  <c r="F3344" i="6"/>
  <c r="F3343" i="6"/>
  <c r="F3342" i="6"/>
  <c r="F3341" i="6"/>
  <c r="F3340" i="6"/>
  <c r="F3339" i="6"/>
  <c r="F3338" i="6"/>
  <c r="F3337" i="6"/>
  <c r="F3336" i="6"/>
  <c r="F3335" i="6"/>
  <c r="F3334" i="6"/>
  <c r="F3333" i="6"/>
  <c r="F3332" i="6"/>
  <c r="F3331" i="6"/>
  <c r="F3330" i="6"/>
  <c r="F3329" i="6"/>
  <c r="F3328" i="6"/>
  <c r="F3327" i="6"/>
  <c r="F3326" i="6"/>
  <c r="F3325" i="6"/>
  <c r="F3324" i="6"/>
  <c r="F3323" i="6"/>
  <c r="F3322" i="6"/>
  <c r="F3321" i="6"/>
  <c r="F3320" i="6"/>
  <c r="F3319" i="6"/>
  <c r="F3318" i="6"/>
  <c r="F3317" i="6"/>
  <c r="F3316" i="6"/>
  <c r="F3315" i="6"/>
  <c r="F3314" i="6"/>
  <c r="F3313" i="6"/>
  <c r="F3312" i="6"/>
  <c r="F3311" i="6"/>
  <c r="F3310" i="6"/>
  <c r="F3309" i="6"/>
  <c r="F3308" i="6"/>
  <c r="F3307" i="6"/>
  <c r="F3306" i="6"/>
  <c r="F3305" i="6"/>
  <c r="F3304" i="6"/>
  <c r="F3303" i="6"/>
  <c r="F3302" i="6"/>
  <c r="F3301" i="6"/>
  <c r="F3300" i="6"/>
  <c r="F3299" i="6"/>
  <c r="F3298" i="6"/>
  <c r="F3297" i="6"/>
  <c r="F3296" i="6"/>
  <c r="F3295" i="6"/>
  <c r="F3294" i="6"/>
  <c r="F3293" i="6"/>
  <c r="F3292" i="6"/>
  <c r="F3291" i="6"/>
  <c r="F3290" i="6"/>
  <c r="F3289" i="6"/>
  <c r="F3288" i="6"/>
  <c r="F3287" i="6"/>
  <c r="F3286" i="6"/>
  <c r="F3285" i="6"/>
  <c r="F3284" i="6"/>
  <c r="F3283" i="6"/>
  <c r="F3282" i="6"/>
  <c r="F3281" i="6"/>
  <c r="F3280" i="6"/>
  <c r="F3279" i="6"/>
  <c r="F3278" i="6"/>
  <c r="F3277" i="6"/>
  <c r="F3276" i="6"/>
  <c r="F3275" i="6"/>
  <c r="F3274" i="6"/>
  <c r="F3273" i="6"/>
  <c r="F3272" i="6"/>
  <c r="F3271" i="6"/>
  <c r="F3270" i="6"/>
  <c r="F3269" i="6"/>
  <c r="F3268" i="6"/>
  <c r="F3267" i="6"/>
  <c r="F3266" i="6"/>
  <c r="F3265" i="6"/>
  <c r="F3264" i="6"/>
  <c r="F3263" i="6"/>
  <c r="F3262" i="6"/>
  <c r="F3261" i="6"/>
  <c r="F3260" i="6"/>
  <c r="F3259" i="6"/>
  <c r="F3258" i="6"/>
  <c r="F3257" i="6"/>
  <c r="F3256" i="6"/>
  <c r="F3255" i="6"/>
  <c r="F3254" i="6"/>
  <c r="F3253" i="6"/>
  <c r="F3252" i="6"/>
  <c r="F3251" i="6"/>
  <c r="F3250" i="6"/>
  <c r="F3249" i="6"/>
  <c r="F3248" i="6"/>
  <c r="F3247" i="6"/>
  <c r="F3246" i="6"/>
  <c r="F3245" i="6"/>
  <c r="F3244" i="6"/>
  <c r="F3243" i="6"/>
  <c r="F3242" i="6"/>
  <c r="F3241" i="6"/>
  <c r="F3240" i="6"/>
  <c r="F3239" i="6"/>
  <c r="F3238" i="6"/>
  <c r="F3237" i="6"/>
  <c r="F3236" i="6"/>
  <c r="F3235" i="6"/>
  <c r="F3234" i="6"/>
  <c r="F3233" i="6"/>
  <c r="F3232" i="6"/>
  <c r="F3231" i="6"/>
  <c r="F3230" i="6"/>
  <c r="F3229" i="6"/>
  <c r="F3228" i="6"/>
  <c r="F3227" i="6"/>
  <c r="F3226" i="6"/>
  <c r="F3225" i="6"/>
  <c r="F3224" i="6"/>
  <c r="F3223" i="6"/>
  <c r="F3222" i="6"/>
  <c r="F3221" i="6"/>
  <c r="F3220" i="6"/>
  <c r="F3219" i="6"/>
  <c r="F3218" i="6"/>
  <c r="F3217" i="6"/>
  <c r="F3216" i="6"/>
  <c r="F3215" i="6"/>
  <c r="F3214" i="6"/>
  <c r="F3213" i="6"/>
  <c r="F3212" i="6"/>
  <c r="F3211" i="6"/>
  <c r="F3210" i="6"/>
  <c r="F3209" i="6"/>
  <c r="F3208" i="6"/>
  <c r="F3207" i="6"/>
  <c r="F3206" i="6"/>
  <c r="F3205" i="6"/>
  <c r="F3204" i="6"/>
  <c r="F3203" i="6"/>
  <c r="F3202" i="6"/>
  <c r="F3201" i="6"/>
  <c r="F3200" i="6"/>
  <c r="F3199" i="6"/>
  <c r="F3198" i="6"/>
  <c r="F3197" i="6"/>
  <c r="F3196" i="6"/>
  <c r="F3195" i="6"/>
  <c r="F3194" i="6"/>
  <c r="F3193" i="6"/>
  <c r="F3192" i="6"/>
  <c r="F3191" i="6"/>
  <c r="F3190" i="6"/>
  <c r="F3189" i="6"/>
  <c r="F3188" i="6"/>
  <c r="F3187" i="6"/>
  <c r="F3186" i="6"/>
  <c r="F3185" i="6"/>
  <c r="F3184" i="6"/>
  <c r="F3183" i="6"/>
  <c r="F3182" i="6"/>
  <c r="F3181" i="6"/>
  <c r="F3180" i="6"/>
  <c r="F3179" i="6"/>
  <c r="F3178" i="6"/>
  <c r="F3177" i="6"/>
  <c r="F3176" i="6"/>
  <c r="F3175" i="6"/>
  <c r="F3174" i="6"/>
  <c r="F3173" i="6"/>
  <c r="F3172" i="6"/>
  <c r="F3171" i="6"/>
  <c r="F3170" i="6"/>
  <c r="F3169" i="6"/>
  <c r="F3168" i="6"/>
  <c r="F3167" i="6"/>
  <c r="F3166" i="6"/>
  <c r="F3165" i="6"/>
  <c r="F3164" i="6"/>
  <c r="F3163" i="6"/>
  <c r="F3162" i="6"/>
  <c r="F3161" i="6"/>
  <c r="F3160" i="6"/>
  <c r="F3159" i="6"/>
  <c r="F3158" i="6"/>
  <c r="F3157" i="6"/>
  <c r="F3156" i="6"/>
  <c r="F3155" i="6"/>
  <c r="F3154" i="6"/>
  <c r="F3153" i="6"/>
  <c r="F3152" i="6"/>
  <c r="F3151" i="6"/>
  <c r="F3150" i="6"/>
  <c r="F3149" i="6"/>
  <c r="F3148" i="6"/>
  <c r="F3147" i="6"/>
  <c r="F3146" i="6"/>
  <c r="F3145" i="6"/>
  <c r="F3144" i="6"/>
  <c r="F3143" i="6"/>
  <c r="F3142" i="6"/>
  <c r="F3141" i="6"/>
  <c r="F3140" i="6"/>
  <c r="F3139" i="6"/>
  <c r="F3138" i="6"/>
  <c r="F3137" i="6"/>
  <c r="F3136" i="6"/>
  <c r="F3135" i="6"/>
  <c r="F3134" i="6"/>
  <c r="F3133" i="6"/>
  <c r="F3132" i="6"/>
  <c r="F3131" i="6"/>
  <c r="F3130" i="6"/>
  <c r="F3129" i="6"/>
  <c r="F3128" i="6"/>
  <c r="F3127" i="6"/>
  <c r="F3126" i="6"/>
  <c r="F3125" i="6"/>
  <c r="F3124" i="6"/>
  <c r="F3123" i="6"/>
  <c r="F3122" i="6"/>
  <c r="F3121" i="6"/>
  <c r="F3120" i="6"/>
  <c r="F3119" i="6"/>
  <c r="F3118" i="6"/>
  <c r="F3117" i="6"/>
  <c r="F3116" i="6"/>
  <c r="F3115" i="6"/>
  <c r="F3114" i="6"/>
  <c r="F3113" i="6"/>
  <c r="F3112" i="6"/>
  <c r="F3111" i="6"/>
  <c r="F3110" i="6"/>
  <c r="F3109" i="6"/>
  <c r="F3108" i="6"/>
  <c r="F3107" i="6"/>
  <c r="F3106" i="6"/>
  <c r="F3105" i="6"/>
  <c r="F3104" i="6"/>
  <c r="F3103" i="6"/>
  <c r="F3102" i="6"/>
  <c r="F3101" i="6"/>
  <c r="F3100" i="6"/>
  <c r="F3099" i="6"/>
  <c r="F3098" i="6"/>
  <c r="F3097" i="6"/>
  <c r="F3096" i="6"/>
  <c r="F3095" i="6"/>
  <c r="F3094" i="6"/>
  <c r="F3093" i="6"/>
  <c r="F3092" i="6"/>
  <c r="F3091" i="6"/>
  <c r="F3090" i="6"/>
  <c r="F3089" i="6"/>
  <c r="F3088" i="6"/>
  <c r="F3087" i="6"/>
  <c r="F3086" i="6"/>
  <c r="F3085" i="6"/>
  <c r="F3084" i="6"/>
  <c r="F3083" i="6"/>
  <c r="F3082" i="6"/>
  <c r="F3081" i="6"/>
  <c r="F3080" i="6"/>
  <c r="F3079" i="6"/>
  <c r="F3078" i="6"/>
  <c r="F3077" i="6"/>
  <c r="F3076" i="6"/>
  <c r="F3075" i="6"/>
  <c r="F3074" i="6"/>
  <c r="F3073" i="6"/>
  <c r="F3072" i="6"/>
  <c r="F3071" i="6"/>
  <c r="F3070" i="6"/>
  <c r="F3069" i="6"/>
  <c r="F3068" i="6"/>
  <c r="F3067" i="6"/>
  <c r="F3066" i="6"/>
  <c r="F3065" i="6"/>
  <c r="F3064" i="6"/>
  <c r="F3063" i="6"/>
  <c r="F3062" i="6"/>
  <c r="F3061" i="6"/>
  <c r="F3060" i="6"/>
  <c r="F3059" i="6"/>
  <c r="F3058" i="6"/>
  <c r="F3057" i="6"/>
  <c r="F3056" i="6"/>
  <c r="F3055" i="6"/>
  <c r="F3054" i="6"/>
  <c r="F3053" i="6"/>
  <c r="F3052" i="6"/>
  <c r="F3051" i="6"/>
  <c r="F3050" i="6"/>
  <c r="F3049" i="6"/>
  <c r="F3048" i="6"/>
  <c r="F3047" i="6"/>
  <c r="F3046" i="6"/>
  <c r="F3045" i="6"/>
  <c r="F3044" i="6"/>
  <c r="F3043" i="6"/>
  <c r="F3042" i="6"/>
  <c r="F3041" i="6"/>
  <c r="F3040" i="6"/>
  <c r="F3039" i="6"/>
  <c r="F3038" i="6"/>
  <c r="F3037" i="6"/>
  <c r="F3036" i="6"/>
  <c r="F3035" i="6"/>
  <c r="F3034" i="6"/>
  <c r="F3033" i="6"/>
  <c r="F3032" i="6"/>
  <c r="F3031" i="6"/>
  <c r="F3030" i="6"/>
  <c r="F3029" i="6"/>
  <c r="F3028" i="6"/>
  <c r="F3027" i="6"/>
  <c r="F3026" i="6"/>
  <c r="F3025" i="6"/>
  <c r="F3024" i="6"/>
  <c r="F3023" i="6"/>
  <c r="F3022" i="6"/>
  <c r="F3021" i="6"/>
  <c r="F3020" i="6"/>
  <c r="F3019" i="6"/>
  <c r="F3018" i="6"/>
  <c r="F3017" i="6"/>
  <c r="F3016" i="6"/>
  <c r="F3015" i="6"/>
  <c r="F3014" i="6"/>
  <c r="F3013" i="6"/>
  <c r="F3012" i="6"/>
  <c r="F3011" i="6"/>
  <c r="F3010" i="6"/>
  <c r="F3009" i="6"/>
  <c r="F3008" i="6"/>
  <c r="F3007" i="6"/>
  <c r="F3006" i="6"/>
  <c r="F3005" i="6"/>
  <c r="F3004" i="6"/>
  <c r="F3003" i="6"/>
  <c r="F3002" i="6"/>
  <c r="F3001" i="6"/>
  <c r="F3000" i="6"/>
  <c r="F2999" i="6"/>
  <c r="F2998" i="6"/>
  <c r="F2997" i="6"/>
  <c r="F2996" i="6"/>
  <c r="F2995" i="6"/>
  <c r="F2994" i="6"/>
  <c r="F2993" i="6"/>
  <c r="F2992" i="6"/>
  <c r="F2991" i="6"/>
  <c r="F2990" i="6"/>
  <c r="F2989" i="6"/>
  <c r="F2988" i="6"/>
  <c r="F2987" i="6"/>
  <c r="F2986" i="6"/>
  <c r="F2985" i="6"/>
  <c r="F2984" i="6"/>
  <c r="F2983" i="6"/>
  <c r="F2982" i="6"/>
  <c r="F2981" i="6"/>
  <c r="F2980" i="6"/>
  <c r="F2979" i="6"/>
  <c r="F2978" i="6"/>
  <c r="F2977" i="6"/>
  <c r="F2976" i="6"/>
  <c r="F2975" i="6"/>
  <c r="F2974" i="6"/>
  <c r="F2973" i="6"/>
  <c r="F2972" i="6"/>
  <c r="F2971" i="6"/>
  <c r="F2970" i="6"/>
  <c r="F2969" i="6"/>
  <c r="F2968" i="6"/>
  <c r="F2967" i="6"/>
  <c r="F2966" i="6"/>
  <c r="F2965" i="6"/>
  <c r="F2964" i="6"/>
  <c r="F2963" i="6"/>
  <c r="F2962" i="6"/>
  <c r="F2961" i="6"/>
  <c r="F2960" i="6"/>
  <c r="F2959" i="6"/>
  <c r="F2958" i="6"/>
  <c r="F2957" i="6"/>
  <c r="F2956" i="6"/>
  <c r="F2955" i="6"/>
  <c r="F2954" i="6"/>
  <c r="F2953" i="6"/>
  <c r="F2952" i="6"/>
  <c r="F2951" i="6"/>
  <c r="F2950" i="6"/>
  <c r="F2949" i="6"/>
  <c r="F2948" i="6"/>
  <c r="F2947" i="6"/>
  <c r="F2946" i="6"/>
  <c r="F2945" i="6"/>
  <c r="F2944" i="6"/>
  <c r="F2943" i="6"/>
  <c r="F2942" i="6"/>
  <c r="F2941" i="6"/>
  <c r="F2940" i="6"/>
  <c r="F2939" i="6"/>
  <c r="F2938" i="6"/>
  <c r="F2937" i="6"/>
  <c r="F2936" i="6"/>
  <c r="F2935" i="6"/>
  <c r="F2934" i="6"/>
  <c r="F2933" i="6"/>
  <c r="F2932" i="6"/>
  <c r="F2931" i="6"/>
  <c r="F2930" i="6"/>
  <c r="F2929" i="6"/>
  <c r="F2928" i="6"/>
  <c r="F2927" i="6"/>
  <c r="F2926" i="6"/>
  <c r="F2925" i="6"/>
  <c r="F2924" i="6"/>
  <c r="F2923" i="6"/>
  <c r="F2922" i="6"/>
  <c r="F2921" i="6"/>
  <c r="F2920" i="6"/>
  <c r="F2919" i="6"/>
  <c r="F2918" i="6"/>
  <c r="F2917" i="6"/>
  <c r="F2916" i="6"/>
  <c r="F2915" i="6"/>
  <c r="F2914" i="6"/>
  <c r="F2913" i="6"/>
  <c r="F2912" i="6"/>
  <c r="F2911" i="6"/>
  <c r="F2910" i="6"/>
  <c r="F2909" i="6"/>
  <c r="F2908" i="6"/>
  <c r="F2907" i="6"/>
  <c r="F2906" i="6"/>
  <c r="F2905" i="6"/>
  <c r="F2904" i="6"/>
  <c r="F2903" i="6"/>
  <c r="F2902" i="6"/>
  <c r="F2901" i="6"/>
  <c r="F2900" i="6"/>
  <c r="F2899" i="6"/>
  <c r="F2898" i="6"/>
  <c r="F2897" i="6"/>
  <c r="F2896" i="6"/>
  <c r="F2895" i="6"/>
  <c r="F2894" i="6"/>
  <c r="F2893" i="6"/>
  <c r="F2892" i="6"/>
  <c r="F2891" i="6"/>
  <c r="F2890" i="6"/>
  <c r="F2889" i="6"/>
  <c r="F2888" i="6"/>
  <c r="F2887" i="6"/>
  <c r="F2886" i="6"/>
  <c r="F2885" i="6"/>
  <c r="F2884" i="6"/>
  <c r="F2883" i="6"/>
  <c r="F2882" i="6"/>
  <c r="F2881" i="6"/>
  <c r="F2880" i="6"/>
  <c r="F2879" i="6"/>
  <c r="F2878" i="6"/>
  <c r="F2877" i="6"/>
  <c r="F2876" i="6"/>
  <c r="F2875" i="6"/>
  <c r="F2874" i="6"/>
  <c r="F2873" i="6"/>
  <c r="F2872" i="6"/>
  <c r="F2871" i="6"/>
  <c r="F2870" i="6"/>
  <c r="F2869" i="6"/>
  <c r="F2868" i="6"/>
  <c r="F2867" i="6"/>
  <c r="F2866" i="6"/>
  <c r="F2865" i="6"/>
  <c r="F2864" i="6"/>
  <c r="F2863" i="6"/>
  <c r="F2862" i="6"/>
  <c r="F2861" i="6"/>
  <c r="F2860" i="6"/>
  <c r="F2859" i="6"/>
  <c r="F2858" i="6"/>
  <c r="F2857" i="6"/>
  <c r="F2856" i="6"/>
  <c r="F2855" i="6"/>
  <c r="F2854" i="6"/>
  <c r="F2853" i="6"/>
  <c r="F2852" i="6"/>
  <c r="F2851" i="6"/>
  <c r="F2850" i="6"/>
  <c r="F2849" i="6"/>
  <c r="F2848" i="6"/>
  <c r="F2847" i="6"/>
  <c r="F2846" i="6"/>
  <c r="F2845" i="6"/>
  <c r="F2844" i="6"/>
  <c r="F2843" i="6"/>
  <c r="F2842" i="6"/>
  <c r="F2841" i="6"/>
  <c r="F2840" i="6"/>
  <c r="F2839" i="6"/>
  <c r="F2838" i="6"/>
  <c r="F2837" i="6"/>
  <c r="F2836" i="6"/>
  <c r="F2835" i="6"/>
  <c r="F2834" i="6"/>
  <c r="F2833" i="6"/>
  <c r="F2832" i="6"/>
  <c r="F2831" i="6"/>
  <c r="F2830" i="6"/>
  <c r="F2829" i="6"/>
  <c r="F2828" i="6"/>
  <c r="F2827" i="6"/>
  <c r="F2826" i="6"/>
  <c r="F2825" i="6"/>
  <c r="F2824" i="6"/>
  <c r="F2823" i="6"/>
  <c r="F2822" i="6"/>
  <c r="F2821" i="6"/>
  <c r="F2820" i="6"/>
  <c r="F2819" i="6"/>
  <c r="F2818" i="6"/>
  <c r="F2817" i="6"/>
  <c r="F2816" i="6"/>
  <c r="F2815" i="6"/>
  <c r="F2814" i="6"/>
  <c r="F2813" i="6"/>
  <c r="F2812" i="6"/>
  <c r="F2811" i="6"/>
  <c r="F2810" i="6"/>
  <c r="F2809" i="6"/>
  <c r="F2808" i="6"/>
  <c r="F2807" i="6"/>
  <c r="F2806" i="6"/>
  <c r="F2805" i="6"/>
  <c r="F2804" i="6"/>
  <c r="F2803" i="6"/>
  <c r="F2802" i="6"/>
  <c r="F2801" i="6"/>
  <c r="F2800" i="6"/>
  <c r="F2799" i="6"/>
  <c r="F2798" i="6"/>
  <c r="F2797" i="6"/>
  <c r="F2796" i="6"/>
  <c r="F2795" i="6"/>
  <c r="F2794" i="6"/>
  <c r="F2793" i="6"/>
  <c r="F2792" i="6"/>
  <c r="F2791" i="6"/>
  <c r="F2790" i="6"/>
  <c r="F2789" i="6"/>
  <c r="F2788" i="6"/>
  <c r="F2787" i="6"/>
  <c r="F2786" i="6"/>
  <c r="F2785" i="6"/>
  <c r="F2784" i="6"/>
  <c r="F2783" i="6"/>
  <c r="F2782" i="6"/>
  <c r="F2781" i="6"/>
  <c r="F2780" i="6"/>
  <c r="F2779" i="6"/>
  <c r="F2778" i="6"/>
  <c r="F2777" i="6"/>
  <c r="F2776" i="6"/>
  <c r="F2775" i="6"/>
  <c r="F2774" i="6"/>
  <c r="F2773" i="6"/>
  <c r="F2772" i="6"/>
  <c r="F2771" i="6"/>
  <c r="F2770" i="6"/>
  <c r="F2769" i="6"/>
  <c r="F2768" i="6"/>
  <c r="F2767" i="6"/>
  <c r="F2766" i="6"/>
  <c r="F2765" i="6"/>
  <c r="F2764" i="6"/>
  <c r="F2763" i="6"/>
  <c r="F2762" i="6"/>
  <c r="F2761" i="6"/>
  <c r="F2760" i="6"/>
  <c r="F2759" i="6"/>
  <c r="F2758" i="6"/>
  <c r="F2757" i="6"/>
  <c r="F2756" i="6"/>
  <c r="F2755" i="6"/>
  <c r="F2754" i="6"/>
  <c r="F2753" i="6"/>
  <c r="F2752" i="6"/>
  <c r="F2751" i="6"/>
  <c r="F2750" i="6"/>
  <c r="F2749" i="6"/>
  <c r="F2748" i="6"/>
  <c r="F2747" i="6"/>
  <c r="F2746" i="6"/>
  <c r="F2745" i="6"/>
  <c r="F2744" i="6"/>
  <c r="F2743" i="6"/>
  <c r="F2742" i="6"/>
  <c r="F2741" i="6"/>
  <c r="F2740" i="6"/>
  <c r="F2739" i="6"/>
  <c r="F2738" i="6"/>
  <c r="F2737" i="6"/>
  <c r="F2736" i="6"/>
  <c r="F2735" i="6"/>
  <c r="F2734" i="6"/>
  <c r="F2733" i="6"/>
  <c r="F2732" i="6"/>
  <c r="F2731" i="6"/>
  <c r="F2730" i="6"/>
  <c r="F2729" i="6"/>
  <c r="F2728" i="6"/>
  <c r="F2727" i="6"/>
  <c r="F2726" i="6"/>
  <c r="F2725" i="6"/>
  <c r="F2724" i="6"/>
  <c r="F2723" i="6"/>
  <c r="F2722" i="6"/>
  <c r="F2721" i="6"/>
  <c r="F2720" i="6"/>
  <c r="F2719" i="6"/>
  <c r="F2718" i="6"/>
  <c r="F2717" i="6"/>
  <c r="F2716" i="6"/>
  <c r="F2715" i="6"/>
  <c r="F2714" i="6"/>
  <c r="F2713" i="6"/>
  <c r="F2712" i="6"/>
  <c r="F2711" i="6"/>
  <c r="F2710" i="6"/>
  <c r="F2709" i="6"/>
  <c r="F2708" i="6"/>
  <c r="F2707" i="6"/>
  <c r="F2706" i="6"/>
  <c r="F2705" i="6"/>
  <c r="F2704" i="6"/>
  <c r="F2703" i="6"/>
  <c r="F2702" i="6"/>
  <c r="F2701" i="6"/>
  <c r="F2700" i="6"/>
  <c r="F2699" i="6"/>
  <c r="F2698" i="6"/>
  <c r="F2697" i="6"/>
  <c r="F2696" i="6"/>
  <c r="F2695" i="6"/>
  <c r="F2694" i="6"/>
  <c r="F2693" i="6"/>
  <c r="F2692" i="6"/>
  <c r="F2691" i="6"/>
  <c r="F2690" i="6"/>
  <c r="F2689" i="6"/>
  <c r="F2688" i="6"/>
  <c r="F2687" i="6"/>
  <c r="F2686" i="6"/>
  <c r="F2685" i="6"/>
  <c r="F2684" i="6"/>
  <c r="F2683" i="6"/>
  <c r="F2682" i="6"/>
  <c r="F2681" i="6"/>
  <c r="F2680" i="6"/>
  <c r="F2679" i="6"/>
  <c r="F2678" i="6"/>
  <c r="F2677" i="6"/>
  <c r="F2676" i="6"/>
  <c r="F2675" i="6"/>
  <c r="F2674" i="6"/>
  <c r="F2673" i="6"/>
  <c r="F2672" i="6"/>
  <c r="F2671" i="6"/>
  <c r="F2670" i="6"/>
  <c r="F2669" i="6"/>
  <c r="F2668" i="6"/>
  <c r="F2667" i="6"/>
  <c r="F2666" i="6"/>
  <c r="F2665" i="6"/>
  <c r="F2664" i="6"/>
  <c r="F2663" i="6"/>
  <c r="F2662" i="6"/>
  <c r="F2661" i="6"/>
  <c r="F2660" i="6"/>
  <c r="F2659" i="6"/>
  <c r="F2658" i="6"/>
  <c r="F2657" i="6"/>
  <c r="F2656" i="6"/>
  <c r="F2655" i="6"/>
  <c r="F2654" i="6"/>
  <c r="F2653" i="6"/>
  <c r="F2652" i="6"/>
  <c r="F2651" i="6"/>
  <c r="F2650" i="6"/>
  <c r="F2649" i="6"/>
  <c r="F2648" i="6"/>
  <c r="F2647" i="6"/>
  <c r="F2646" i="6"/>
  <c r="F2645" i="6"/>
  <c r="F2644" i="6"/>
  <c r="F2643" i="6"/>
  <c r="F2642" i="6"/>
  <c r="F2641" i="6"/>
  <c r="F2640" i="6"/>
  <c r="F2639" i="6"/>
  <c r="F2638" i="6"/>
  <c r="F2637" i="6"/>
  <c r="F2636" i="6"/>
  <c r="F2635" i="6"/>
  <c r="F2634" i="6"/>
  <c r="F2633" i="6"/>
  <c r="F2632" i="6"/>
  <c r="F2631" i="6"/>
  <c r="F2630" i="6"/>
  <c r="F2629" i="6"/>
  <c r="F2628" i="6"/>
  <c r="F2627" i="6"/>
  <c r="F2626" i="6"/>
  <c r="F2625" i="6"/>
  <c r="F2624" i="6"/>
  <c r="F2623" i="6"/>
  <c r="F2622" i="6"/>
  <c r="F2621" i="6"/>
  <c r="F2620" i="6"/>
  <c r="F2619" i="6"/>
  <c r="F2618" i="6"/>
  <c r="F2617" i="6"/>
  <c r="F2616" i="6"/>
  <c r="F2615" i="6"/>
  <c r="F2614" i="6"/>
  <c r="F2613" i="6"/>
  <c r="F2612" i="6"/>
  <c r="F2611" i="6"/>
  <c r="F2610" i="6"/>
  <c r="F2609" i="6"/>
  <c r="F2608" i="6"/>
  <c r="F2607" i="6"/>
  <c r="F2606" i="6"/>
  <c r="F2605" i="6"/>
  <c r="F2604" i="6"/>
  <c r="F2603" i="6"/>
  <c r="F2602" i="6"/>
  <c r="F2601" i="6"/>
  <c r="F2600" i="6"/>
  <c r="F2599" i="6"/>
  <c r="F2598" i="6"/>
  <c r="F2597" i="6"/>
  <c r="F2596" i="6"/>
  <c r="F2595" i="6"/>
  <c r="F2594" i="6"/>
  <c r="F2593" i="6"/>
  <c r="F2592" i="6"/>
  <c r="F2591" i="6"/>
  <c r="F2590" i="6"/>
  <c r="F2589" i="6"/>
  <c r="F2588" i="6"/>
  <c r="F2587" i="6"/>
  <c r="F2586" i="6"/>
  <c r="F2585" i="6"/>
  <c r="F2584" i="6"/>
  <c r="F2583" i="6"/>
  <c r="F2582" i="6"/>
  <c r="F2581" i="6"/>
  <c r="F2580" i="6"/>
  <c r="F2579" i="6"/>
  <c r="F2578" i="6"/>
  <c r="F2577" i="6"/>
  <c r="F2576" i="6"/>
  <c r="F2575" i="6"/>
  <c r="F2574" i="6"/>
  <c r="F2573" i="6"/>
  <c r="F2572" i="6"/>
  <c r="F2571" i="6"/>
  <c r="F2570" i="6"/>
  <c r="F2569" i="6"/>
  <c r="F2568" i="6"/>
  <c r="F2567" i="6"/>
  <c r="F2566" i="6"/>
  <c r="F2565" i="6"/>
  <c r="F2564" i="6"/>
  <c r="F2563" i="6"/>
  <c r="F2562" i="6"/>
  <c r="F2561" i="6"/>
  <c r="F2560" i="6"/>
  <c r="F2559" i="6"/>
  <c r="F2558" i="6"/>
  <c r="F2557" i="6"/>
  <c r="F2556" i="6"/>
  <c r="F2555" i="6"/>
  <c r="F2554" i="6"/>
  <c r="F2553" i="6"/>
  <c r="F2552" i="6"/>
  <c r="F2551" i="6"/>
  <c r="F2550" i="6"/>
  <c r="F2549" i="6"/>
  <c r="F2548" i="6"/>
  <c r="F2547" i="6"/>
  <c r="F2546" i="6"/>
  <c r="F2545" i="6"/>
  <c r="F2544" i="6"/>
  <c r="F2543" i="6"/>
  <c r="F2542" i="6"/>
  <c r="F2541" i="6"/>
  <c r="F2540" i="6"/>
  <c r="F2539" i="6"/>
  <c r="F2538" i="6"/>
  <c r="F2537" i="6"/>
  <c r="F2536" i="6"/>
  <c r="F2535" i="6"/>
  <c r="F2534" i="6"/>
  <c r="F2533" i="6"/>
  <c r="F2532" i="6"/>
  <c r="F2531" i="6"/>
  <c r="F2530" i="6"/>
  <c r="F2529" i="6"/>
  <c r="F2528" i="6"/>
  <c r="F2527" i="6"/>
  <c r="F2526" i="6"/>
  <c r="F2525" i="6"/>
  <c r="F2524" i="6"/>
  <c r="F2523" i="6"/>
  <c r="F2522" i="6"/>
  <c r="F2521" i="6"/>
  <c r="F2520" i="6"/>
  <c r="F2519" i="6"/>
  <c r="F2518" i="6"/>
  <c r="F2517" i="6"/>
  <c r="F2516" i="6"/>
  <c r="F2515" i="6"/>
  <c r="F2514" i="6"/>
  <c r="F2513" i="6"/>
  <c r="F2512" i="6"/>
  <c r="F2511" i="6"/>
  <c r="F2510" i="6"/>
  <c r="F2509" i="6"/>
  <c r="F2508" i="6"/>
  <c r="F2507" i="6"/>
  <c r="F2506" i="6"/>
  <c r="F2505" i="6"/>
  <c r="F2504" i="6"/>
  <c r="F2503" i="6"/>
  <c r="F2502" i="6"/>
  <c r="F2501" i="6"/>
  <c r="F2500" i="6"/>
  <c r="F2499" i="6"/>
  <c r="F2498" i="6"/>
  <c r="F2497" i="6"/>
  <c r="F2496" i="6"/>
  <c r="F2495" i="6"/>
  <c r="F2494" i="6"/>
  <c r="F2493" i="6"/>
  <c r="F2492" i="6"/>
  <c r="F2491" i="6"/>
  <c r="F2490" i="6"/>
  <c r="F2489" i="6"/>
  <c r="F2488" i="6"/>
  <c r="F2487" i="6"/>
  <c r="F2486" i="6"/>
  <c r="F2485" i="6"/>
  <c r="F2484" i="6"/>
  <c r="F2483" i="6"/>
  <c r="F2482" i="6"/>
  <c r="F2481" i="6"/>
  <c r="F2480" i="6"/>
  <c r="F2479" i="6"/>
  <c r="F2478" i="6"/>
  <c r="F2477" i="6"/>
  <c r="F2476" i="6"/>
  <c r="F2475" i="6"/>
  <c r="F2474" i="6"/>
  <c r="F2473" i="6"/>
  <c r="F2472" i="6"/>
  <c r="F2471" i="6"/>
  <c r="F2470" i="6"/>
  <c r="F2469" i="6"/>
  <c r="F2468" i="6"/>
  <c r="F2467" i="6"/>
  <c r="F2466" i="6"/>
  <c r="F2465" i="6"/>
  <c r="F2464" i="6"/>
  <c r="F2463" i="6"/>
  <c r="F2462" i="6"/>
  <c r="F2461" i="6"/>
  <c r="F2460" i="6"/>
  <c r="F2459" i="6"/>
  <c r="F2458" i="6"/>
  <c r="F2457" i="6"/>
  <c r="F2456" i="6"/>
  <c r="F2455" i="6"/>
  <c r="F2454" i="6"/>
  <c r="F2453" i="6"/>
  <c r="F2452" i="6"/>
  <c r="F2451" i="6"/>
  <c r="F2450" i="6"/>
  <c r="F2449" i="6"/>
  <c r="F2448" i="6"/>
  <c r="F2447" i="6"/>
  <c r="F2446" i="6"/>
  <c r="F2445" i="6"/>
  <c r="F2444" i="6"/>
  <c r="F2443" i="6"/>
  <c r="F2442" i="6"/>
  <c r="F2441" i="6"/>
  <c r="F2440" i="6"/>
  <c r="F2439" i="6"/>
  <c r="F2438" i="6"/>
  <c r="F2437" i="6"/>
  <c r="F2436" i="6"/>
  <c r="F2435" i="6"/>
  <c r="F2434" i="6"/>
  <c r="F2433" i="6"/>
  <c r="F2432" i="6"/>
  <c r="F2431" i="6"/>
  <c r="F2430" i="6"/>
  <c r="F2429" i="6"/>
  <c r="F2428" i="6"/>
  <c r="F2427" i="6"/>
  <c r="F2426" i="6"/>
  <c r="F2425" i="6"/>
  <c r="F2424" i="6"/>
  <c r="F2423" i="6"/>
  <c r="F2422" i="6"/>
  <c r="F2421" i="6"/>
  <c r="F2420" i="6"/>
  <c r="F2419" i="6"/>
  <c r="F2418" i="6"/>
  <c r="F2417" i="6"/>
  <c r="F2416" i="6"/>
  <c r="F2415" i="6"/>
  <c r="F2414" i="6"/>
  <c r="F2413" i="6"/>
  <c r="F2412" i="6"/>
  <c r="F2411" i="6"/>
  <c r="F2410" i="6"/>
  <c r="F2409" i="6"/>
  <c r="F2408" i="6"/>
  <c r="F2407" i="6"/>
  <c r="F2406" i="6"/>
  <c r="F2405" i="6"/>
  <c r="F2404" i="6"/>
  <c r="F2403" i="6"/>
  <c r="F2402" i="6"/>
  <c r="F2401" i="6"/>
  <c r="F2400" i="6"/>
  <c r="F2399" i="6"/>
  <c r="F2398" i="6"/>
  <c r="F2397" i="6"/>
  <c r="F2396" i="6"/>
  <c r="F2395" i="6"/>
  <c r="F2394" i="6"/>
  <c r="F2393" i="6"/>
  <c r="F2392" i="6"/>
  <c r="F2391" i="6"/>
  <c r="F2390" i="6"/>
  <c r="F2389" i="6"/>
  <c r="F2388" i="6"/>
  <c r="F2387" i="6"/>
  <c r="F2386" i="6"/>
  <c r="F2385" i="6"/>
  <c r="F2384" i="6"/>
  <c r="F2383" i="6"/>
  <c r="F2382" i="6"/>
  <c r="F2381" i="6"/>
  <c r="F2380" i="6"/>
  <c r="F2379" i="6"/>
  <c r="F2378" i="6"/>
  <c r="F2377" i="6"/>
  <c r="F2376" i="6"/>
  <c r="F2375" i="6"/>
  <c r="F2374" i="6"/>
  <c r="F2373" i="6"/>
  <c r="F2372" i="6"/>
  <c r="F2371" i="6"/>
  <c r="F2370" i="6"/>
  <c r="F2369" i="6"/>
  <c r="F2368" i="6"/>
  <c r="F2367" i="6"/>
  <c r="F2366" i="6"/>
  <c r="F2365" i="6"/>
  <c r="F2364" i="6"/>
  <c r="F2363" i="6"/>
  <c r="F2362" i="6"/>
  <c r="F2361" i="6"/>
  <c r="F2360" i="6"/>
  <c r="F2359" i="6"/>
  <c r="F2358" i="6"/>
  <c r="F2357" i="6"/>
  <c r="F2356" i="6"/>
  <c r="F2355" i="6"/>
  <c r="F2354" i="6"/>
  <c r="F2353" i="6"/>
  <c r="F2352" i="6"/>
  <c r="F2351" i="6"/>
  <c r="F2350" i="6"/>
  <c r="F2349" i="6"/>
  <c r="F2348" i="6"/>
  <c r="F2347" i="6"/>
  <c r="F2346" i="6"/>
  <c r="F2345" i="6"/>
  <c r="F2344" i="6"/>
  <c r="F2343" i="6"/>
  <c r="F2342" i="6"/>
  <c r="F2341" i="6"/>
  <c r="F2340" i="6"/>
  <c r="F2339" i="6"/>
  <c r="F2338" i="6"/>
  <c r="F2337" i="6"/>
  <c r="F2336" i="6"/>
  <c r="F2335" i="6"/>
  <c r="F2334" i="6"/>
  <c r="F2333" i="6"/>
  <c r="F2332" i="6"/>
  <c r="F2331" i="6"/>
  <c r="F2330" i="6"/>
  <c r="F2329" i="6"/>
  <c r="F2328" i="6"/>
  <c r="F2327" i="6"/>
  <c r="F2326" i="6"/>
  <c r="F2325" i="6"/>
  <c r="F2324" i="6"/>
  <c r="F2323" i="6"/>
  <c r="F2322" i="6"/>
  <c r="F2321" i="6"/>
  <c r="F2320" i="6"/>
  <c r="F2319" i="6"/>
  <c r="F2318" i="6"/>
  <c r="F2317" i="6"/>
  <c r="F2316" i="6"/>
  <c r="F2315" i="6"/>
  <c r="F2314" i="6"/>
  <c r="F2313" i="6"/>
  <c r="F2312" i="6"/>
  <c r="F2311" i="6"/>
  <c r="F2310" i="6"/>
  <c r="F2309" i="6"/>
  <c r="F2308" i="6"/>
  <c r="F2307" i="6"/>
  <c r="F2306" i="6"/>
  <c r="F2305" i="6"/>
  <c r="F2304" i="6"/>
  <c r="F2303" i="6"/>
  <c r="F2302" i="6"/>
  <c r="F2301" i="6"/>
  <c r="F2300" i="6"/>
  <c r="F3652" i="6"/>
  <c r="F3653" i="6"/>
  <c r="F3654" i="6"/>
  <c r="F3655" i="6"/>
  <c r="F3656" i="6"/>
  <c r="F3657" i="6"/>
  <c r="F3658" i="6"/>
  <c r="F3659" i="6"/>
  <c r="F3660" i="6"/>
  <c r="F3661" i="6"/>
  <c r="F3662" i="6"/>
  <c r="F3663" i="6"/>
  <c r="F3664" i="6"/>
  <c r="F3665" i="6"/>
  <c r="F3666" i="6"/>
  <c r="F3667" i="6"/>
  <c r="F3668" i="6"/>
  <c r="F3669" i="6"/>
  <c r="F3670" i="6"/>
  <c r="F3671" i="6"/>
  <c r="F3672" i="6"/>
  <c r="F3673" i="6"/>
  <c r="F3674" i="6"/>
  <c r="F3675" i="6"/>
  <c r="F3676" i="6"/>
  <c r="F3677" i="6"/>
  <c r="F3678" i="6"/>
  <c r="F3679" i="6"/>
  <c r="F3680" i="6"/>
  <c r="F3681" i="6"/>
  <c r="F3682" i="6"/>
  <c r="F3683" i="6"/>
  <c r="F3684" i="6"/>
  <c r="F3685" i="6"/>
  <c r="F3686" i="6"/>
  <c r="F3687" i="6"/>
  <c r="F3688" i="6"/>
  <c r="F3689" i="6"/>
  <c r="F3690" i="6"/>
  <c r="F3691" i="6"/>
  <c r="F3692" i="6"/>
  <c r="F3693" i="6"/>
  <c r="F3694" i="6"/>
  <c r="F3695" i="6"/>
  <c r="F3696" i="6"/>
  <c r="F3697" i="6"/>
  <c r="F3698" i="6"/>
  <c r="F3699" i="6"/>
  <c r="F3700" i="6"/>
  <c r="F3701" i="6"/>
  <c r="F3702" i="6"/>
  <c r="F3703" i="6"/>
  <c r="F3704" i="6"/>
  <c r="F3705" i="6"/>
  <c r="F3706" i="6"/>
  <c r="F3707" i="6"/>
  <c r="F3708" i="6"/>
  <c r="F3709" i="6"/>
  <c r="F3710" i="6"/>
  <c r="F3711" i="6"/>
  <c r="F3712" i="6"/>
  <c r="F3713" i="6"/>
  <c r="F3714" i="6"/>
  <c r="F3715" i="6"/>
  <c r="F3716" i="6"/>
  <c r="F3717" i="6"/>
  <c r="F3718" i="6"/>
  <c r="F3719" i="6"/>
  <c r="F3720" i="6"/>
  <c r="F3721" i="6"/>
  <c r="F3722" i="6"/>
  <c r="F3723" i="6"/>
  <c r="F3724" i="6"/>
  <c r="F3725" i="6"/>
  <c r="F3726" i="6"/>
  <c r="F3727" i="6"/>
  <c r="F3728" i="6"/>
  <c r="F3729" i="6"/>
  <c r="F3730" i="6"/>
  <c r="F3731" i="6"/>
  <c r="F3732" i="6"/>
  <c r="F3733" i="6"/>
  <c r="F3734" i="6"/>
  <c r="F3735" i="6"/>
  <c r="F3736" i="6"/>
  <c r="F3737" i="6"/>
  <c r="F3738" i="6"/>
  <c r="F3739" i="6"/>
  <c r="F3740" i="6"/>
  <c r="F3741" i="6"/>
  <c r="F3742" i="6"/>
  <c r="F3743" i="6"/>
  <c r="F3744" i="6"/>
  <c r="F3745" i="6"/>
  <c r="F3746" i="6"/>
  <c r="F3747" i="6"/>
  <c r="F3748" i="6"/>
  <c r="F3749" i="6"/>
  <c r="F3750" i="6"/>
  <c r="F3751" i="6"/>
  <c r="F3752" i="6"/>
  <c r="F3753" i="6"/>
  <c r="F3754" i="6"/>
  <c r="F3755" i="6"/>
  <c r="F3756" i="6"/>
  <c r="F3757" i="6"/>
  <c r="F3758" i="6"/>
  <c r="F3759" i="6"/>
  <c r="F3760" i="6"/>
  <c r="F3761" i="6"/>
  <c r="F3762" i="6"/>
  <c r="F3763" i="6"/>
  <c r="F3764" i="6"/>
  <c r="F3765" i="6"/>
  <c r="F3766" i="6"/>
  <c r="F3767" i="6"/>
  <c r="F3768" i="6"/>
  <c r="F3769" i="6"/>
  <c r="F3770" i="6"/>
  <c r="F3771" i="6"/>
  <c r="F3772" i="6"/>
  <c r="F3773" i="6"/>
  <c r="F3774" i="6"/>
  <c r="F3775" i="6"/>
  <c r="F3776" i="6"/>
  <c r="F3777" i="6"/>
  <c r="F3778" i="6"/>
  <c r="F3779" i="6"/>
  <c r="F3780" i="6"/>
  <c r="F3781" i="6"/>
  <c r="F3782" i="6"/>
  <c r="F3783" i="6"/>
  <c r="F3784" i="6"/>
  <c r="F3785" i="6"/>
  <c r="F3786" i="6"/>
  <c r="F3787" i="6"/>
  <c r="F3788" i="6"/>
  <c r="F3789" i="6"/>
  <c r="F3790" i="6"/>
  <c r="F3791" i="6"/>
  <c r="F3792" i="6"/>
  <c r="F3793" i="6"/>
  <c r="F3794" i="6"/>
  <c r="F3795" i="6"/>
  <c r="F3796" i="6"/>
  <c r="F3797" i="6"/>
  <c r="F3798" i="6"/>
  <c r="F3799" i="6"/>
  <c r="F3800" i="6"/>
  <c r="F3801" i="6"/>
  <c r="F3802" i="6"/>
  <c r="F3803" i="6"/>
  <c r="F3804" i="6"/>
  <c r="F3805" i="6"/>
  <c r="F3806" i="6"/>
  <c r="F3807" i="6"/>
  <c r="F3808" i="6"/>
  <c r="F3809" i="6"/>
  <c r="F3810" i="6"/>
  <c r="F3811" i="6"/>
  <c r="F3812" i="6"/>
  <c r="F3813" i="6"/>
  <c r="F3814" i="6"/>
  <c r="F3815" i="6"/>
  <c r="F3816" i="6"/>
  <c r="F3817" i="6"/>
  <c r="F3818" i="6"/>
  <c r="F3819" i="6"/>
  <c r="F3820" i="6"/>
  <c r="F3821" i="6"/>
  <c r="F3822" i="6"/>
  <c r="F3823" i="6"/>
  <c r="F3824" i="6"/>
  <c r="F3825" i="6"/>
  <c r="F3826" i="6"/>
  <c r="F3827" i="6"/>
  <c r="F3828" i="6"/>
  <c r="F3829" i="6"/>
  <c r="F3830" i="6"/>
  <c r="F3831" i="6"/>
  <c r="F3832" i="6"/>
  <c r="F3833" i="6"/>
  <c r="F3834" i="6"/>
  <c r="F3835" i="6"/>
  <c r="F3836" i="6"/>
  <c r="F3837" i="6"/>
  <c r="F3838" i="6"/>
  <c r="F3839" i="6"/>
  <c r="F3840" i="6"/>
  <c r="F3841" i="6"/>
  <c r="F3842" i="6"/>
  <c r="F3843" i="6"/>
  <c r="F3844" i="6"/>
  <c r="F4229" i="6"/>
  <c r="F4228" i="6"/>
  <c r="F4193" i="6"/>
  <c r="F4192" i="6"/>
  <c r="F4173" i="6"/>
  <c r="F4172" i="6"/>
  <c r="F4161" i="6"/>
  <c r="F4160" i="6"/>
  <c r="F4149" i="6"/>
  <c r="F4148" i="6"/>
  <c r="AX217" i="15"/>
  <c r="AZ217" i="15"/>
  <c r="AX225" i="15"/>
  <c r="AZ225" i="15"/>
  <c r="AX237" i="15"/>
  <c r="AZ237" i="15"/>
  <c r="AX211" i="15"/>
  <c r="AZ211" i="15"/>
  <c r="AX205" i="15"/>
  <c r="AZ205" i="15"/>
  <c r="I314" i="16"/>
  <c r="F314" i="16" s="1"/>
  <c r="I313" i="16"/>
  <c r="F313" i="16" s="1"/>
  <c r="AX178" i="15"/>
  <c r="AZ178" i="15"/>
  <c r="F4071" i="6"/>
  <c r="F4070" i="6"/>
  <c r="DH1541" i="6"/>
  <c r="DI1541" i="6" s="1"/>
  <c r="AX361" i="15"/>
  <c r="AZ361" i="15"/>
  <c r="J61" i="7"/>
  <c r="F61" i="7" s="1"/>
  <c r="I62" i="7"/>
  <c r="AD94" i="7"/>
  <c r="AD103" i="7"/>
  <c r="F115" i="7"/>
  <c r="AF115" i="7" s="1"/>
  <c r="E76" i="7"/>
  <c r="E85" i="7" s="1"/>
  <c r="E94" i="7" s="1"/>
  <c r="L61" i="7"/>
  <c r="M61" i="7"/>
  <c r="DJ61" i="7" s="1"/>
  <c r="N61" i="7"/>
  <c r="H61" i="7"/>
  <c r="AX531" i="15"/>
  <c r="AZ531" i="15"/>
  <c r="AX530" i="15"/>
  <c r="AZ530" i="15"/>
  <c r="AX529" i="15"/>
  <c r="AZ529" i="15"/>
  <c r="AX528" i="15"/>
  <c r="AZ528" i="15"/>
  <c r="AX527" i="15"/>
  <c r="AZ527" i="15"/>
  <c r="AX526" i="15"/>
  <c r="AZ526" i="15"/>
  <c r="AX525" i="15"/>
  <c r="AZ525" i="15"/>
  <c r="AX524" i="15"/>
  <c r="AZ524" i="15"/>
  <c r="AX328" i="15"/>
  <c r="AZ328" i="15"/>
  <c r="AX325" i="15"/>
  <c r="AZ325" i="15"/>
  <c r="AX324" i="15"/>
  <c r="AZ324" i="15"/>
  <c r="AX323" i="15"/>
  <c r="AZ323" i="15"/>
  <c r="AX322" i="15"/>
  <c r="AZ322" i="15"/>
  <c r="AX320" i="15"/>
  <c r="AZ320" i="15"/>
  <c r="AX317" i="15"/>
  <c r="AZ317" i="15"/>
  <c r="AX316" i="15"/>
  <c r="AZ316" i="15"/>
  <c r="AX315" i="15"/>
  <c r="AZ315" i="15"/>
  <c r="AX314" i="15"/>
  <c r="AZ314" i="15"/>
  <c r="AX312" i="15"/>
  <c r="AZ312" i="15"/>
  <c r="AX309" i="15"/>
  <c r="AZ309" i="15"/>
  <c r="AX308" i="15"/>
  <c r="AZ308" i="15"/>
  <c r="AX307" i="15"/>
  <c r="AZ307" i="15"/>
  <c r="AX306" i="15"/>
  <c r="AZ306" i="15"/>
  <c r="AX304" i="15"/>
  <c r="AZ304" i="15"/>
  <c r="AX300" i="15"/>
  <c r="AZ300" i="15"/>
  <c r="AX299" i="15"/>
  <c r="AZ299" i="15"/>
  <c r="AX298" i="15"/>
  <c r="AZ298" i="15"/>
  <c r="AX154" i="15"/>
  <c r="AZ154" i="15"/>
  <c r="AX153" i="15"/>
  <c r="AZ153" i="15"/>
  <c r="AX150" i="15"/>
  <c r="AZ150" i="15"/>
  <c r="AX149" i="15"/>
  <c r="AZ149" i="15"/>
  <c r="AX137" i="15"/>
  <c r="AZ137" i="15"/>
  <c r="AX135" i="15"/>
  <c r="AZ135" i="15"/>
  <c r="AX37" i="15"/>
  <c r="AZ37" i="15"/>
  <c r="AX36" i="15"/>
  <c r="AZ36" i="15"/>
  <c r="CD47" i="2"/>
  <c r="CC47" i="2"/>
  <c r="CB47" i="2"/>
  <c r="CA47" i="2"/>
  <c r="BZ47" i="2"/>
  <c r="BX47" i="2"/>
  <c r="BW47" i="2"/>
  <c r="BV47" i="2"/>
  <c r="BU47" i="2"/>
  <c r="CD90" i="2"/>
  <c r="CC90" i="2"/>
  <c r="CB90" i="2"/>
  <c r="CA90" i="2"/>
  <c r="BZ90" i="2"/>
  <c r="BX90" i="2"/>
  <c r="BW90" i="2"/>
  <c r="BV90" i="2"/>
  <c r="BU90" i="2"/>
  <c r="BT90" i="2"/>
  <c r="CD113" i="2"/>
  <c r="CC113" i="2"/>
  <c r="CB113" i="2"/>
  <c r="CA113" i="2"/>
  <c r="BZ113" i="2"/>
  <c r="BX113" i="2"/>
  <c r="BW113" i="2"/>
  <c r="BV113" i="2"/>
  <c r="BU113" i="2"/>
  <c r="BT113" i="2"/>
  <c r="CP139" i="2"/>
  <c r="CO139" i="2"/>
  <c r="CN139" i="2"/>
  <c r="CM139" i="2"/>
  <c r="CL139" i="2"/>
  <c r="CJ139" i="2"/>
  <c r="CI139" i="2"/>
  <c r="CH139" i="2"/>
  <c r="CG139" i="2"/>
  <c r="CF139" i="2"/>
  <c r="DC47" i="2"/>
  <c r="DB47" i="2"/>
  <c r="DA47" i="2"/>
  <c r="CZ47" i="2"/>
  <c r="CX47" i="2"/>
  <c r="CW47" i="2"/>
  <c r="CV47" i="2"/>
  <c r="CU47" i="2"/>
  <c r="CT47" i="2"/>
  <c r="CP47" i="2"/>
  <c r="CO47" i="2"/>
  <c r="CN47" i="2"/>
  <c r="CM47" i="2"/>
  <c r="CK47" i="2"/>
  <c r="CJ47" i="2"/>
  <c r="CI47" i="2"/>
  <c r="CH47" i="2"/>
  <c r="CG47" i="2"/>
  <c r="BQ47" i="2"/>
  <c r="BP47" i="2"/>
  <c r="BO47" i="2"/>
  <c r="BN47" i="2"/>
  <c r="BL47" i="2"/>
  <c r="BK47" i="2"/>
  <c r="BJ47" i="2"/>
  <c r="BI47" i="2"/>
  <c r="BH47" i="2"/>
  <c r="BE47" i="2"/>
  <c r="BD47" i="2"/>
  <c r="BC47" i="2"/>
  <c r="BB47" i="2"/>
  <c r="AZ47" i="2"/>
  <c r="AY47" i="2"/>
  <c r="AX47" i="2"/>
  <c r="AW47" i="2"/>
  <c r="AV47" i="2"/>
  <c r="AS47" i="2"/>
  <c r="AR47" i="2"/>
  <c r="AQ47" i="2"/>
  <c r="AP47" i="2"/>
  <c r="AN47" i="2"/>
  <c r="AM47" i="2"/>
  <c r="AL47" i="2"/>
  <c r="AK47" i="2"/>
  <c r="AJ47" i="2"/>
  <c r="K314" i="16"/>
  <c r="X37" i="15" s="1"/>
  <c r="Z37" i="15" s="1"/>
  <c r="W37" i="15" s="1"/>
  <c r="K313" i="16"/>
  <c r="X36" i="15" s="1"/>
  <c r="Z36" i="15" s="1"/>
  <c r="W36" i="15" s="1"/>
  <c r="V310" i="16"/>
  <c r="L314" i="16"/>
  <c r="DJ314" i="16" s="1"/>
  <c r="L313" i="16"/>
  <c r="DJ313" i="16" s="1"/>
  <c r="E1250" i="7"/>
  <c r="E1258" i="7" s="1"/>
  <c r="E1249" i="7"/>
  <c r="E1257" i="7" s="1"/>
  <c r="E1248" i="7"/>
  <c r="E1256" i="7" s="1"/>
  <c r="E1247" i="7"/>
  <c r="E1255" i="7" s="1"/>
  <c r="E1246" i="7"/>
  <c r="E1254" i="7" s="1"/>
  <c r="E1245" i="7"/>
  <c r="E1253" i="7" s="1"/>
  <c r="E1244" i="7"/>
  <c r="E1282" i="7" s="1"/>
  <c r="E1243" i="7"/>
  <c r="E1251" i="7" s="1"/>
  <c r="F1267" i="7"/>
  <c r="G40" i="7"/>
  <c r="AD478" i="7"/>
  <c r="AD470" i="7"/>
  <c r="AD465" i="7"/>
  <c r="AD460" i="7"/>
  <c r="L1383" i="6"/>
  <c r="AJ166" i="15" s="1"/>
  <c r="L1375" i="6"/>
  <c r="AJ164" i="15" s="1"/>
  <c r="J4569" i="6"/>
  <c r="DH4569" i="6" s="1"/>
  <c r="J4568" i="6"/>
  <c r="X328" i="15" s="1"/>
  <c r="Z328" i="15" s="1"/>
  <c r="J4563" i="6"/>
  <c r="DH4563" i="6" s="1"/>
  <c r="J4562" i="6"/>
  <c r="Y325" i="15" s="1"/>
  <c r="J4561" i="6"/>
  <c r="DH4561" i="6" s="1"/>
  <c r="J4560" i="6"/>
  <c r="X325" i="15" s="1"/>
  <c r="J4559" i="6"/>
  <c r="DH4559" i="6" s="1"/>
  <c r="J4558" i="6"/>
  <c r="Y324" i="15" s="1"/>
  <c r="J4557" i="6"/>
  <c r="DH4557" i="6" s="1"/>
  <c r="J4556" i="6"/>
  <c r="X324" i="15" s="1"/>
  <c r="J4555" i="6"/>
  <c r="DH4555" i="6" s="1"/>
  <c r="J4554" i="6"/>
  <c r="J4553" i="6"/>
  <c r="DH4553" i="6" s="1"/>
  <c r="J4552" i="6"/>
  <c r="X323" i="15" s="1"/>
  <c r="J4551" i="6"/>
  <c r="DH4551" i="6" s="1"/>
  <c r="J4550" i="6"/>
  <c r="Y322" i="15" s="1"/>
  <c r="J4549" i="6"/>
  <c r="DH4549" i="6" s="1"/>
  <c r="J4548" i="6"/>
  <c r="X322" i="15" s="1"/>
  <c r="J4545" i="6"/>
  <c r="DH4545" i="6" s="1"/>
  <c r="J4544" i="6"/>
  <c r="J4539" i="6"/>
  <c r="DH4539" i="6" s="1"/>
  <c r="J4538" i="6"/>
  <c r="Y317" i="15" s="1"/>
  <c r="J4537" i="6"/>
  <c r="DH4537" i="6" s="1"/>
  <c r="J4536" i="6"/>
  <c r="X317" i="15" s="1"/>
  <c r="J4535" i="6"/>
  <c r="DH4535" i="6" s="1"/>
  <c r="J4534" i="6"/>
  <c r="Y316" i="15" s="1"/>
  <c r="J4533" i="6"/>
  <c r="DH4533" i="6" s="1"/>
  <c r="J4532" i="6"/>
  <c r="X316" i="15" s="1"/>
  <c r="J4531" i="6"/>
  <c r="DH4531" i="6" s="1"/>
  <c r="J4530" i="6"/>
  <c r="Y315" i="15" s="1"/>
  <c r="J4529" i="6"/>
  <c r="DH4529" i="6" s="1"/>
  <c r="J4528" i="6"/>
  <c r="X315" i="15" s="1"/>
  <c r="J4527" i="6"/>
  <c r="DH4527" i="6" s="1"/>
  <c r="J4526" i="6"/>
  <c r="J4525" i="6"/>
  <c r="DH4525" i="6" s="1"/>
  <c r="J4524" i="6"/>
  <c r="J4521" i="6"/>
  <c r="DH4521" i="6" s="1"/>
  <c r="J4520" i="6"/>
  <c r="J4515" i="6"/>
  <c r="DH4515" i="6" s="1"/>
  <c r="J4514" i="6"/>
  <c r="J4513" i="6"/>
  <c r="DH4513" i="6" s="1"/>
  <c r="J4512" i="6"/>
  <c r="X309" i="15" s="1"/>
  <c r="J4511" i="6"/>
  <c r="DH4511" i="6" s="1"/>
  <c r="J4510" i="6"/>
  <c r="Y308" i="15" s="1"/>
  <c r="J4509" i="6"/>
  <c r="DH4509" i="6" s="1"/>
  <c r="J4508" i="6"/>
  <c r="J4507" i="6"/>
  <c r="DH4507" i="6" s="1"/>
  <c r="J4506" i="6"/>
  <c r="Y307" i="15" s="1"/>
  <c r="J4505" i="6"/>
  <c r="DH4505" i="6" s="1"/>
  <c r="J4504" i="6"/>
  <c r="J4503" i="6"/>
  <c r="DH4503" i="6" s="1"/>
  <c r="J4502" i="6"/>
  <c r="Y306" i="15" s="1"/>
  <c r="J4501" i="6"/>
  <c r="DH4501" i="6" s="1"/>
  <c r="J4500" i="6"/>
  <c r="J4497" i="6"/>
  <c r="DH4497" i="6" s="1"/>
  <c r="J4496" i="6"/>
  <c r="J4491" i="6"/>
  <c r="DH4491" i="6" s="1"/>
  <c r="J4490" i="6"/>
  <c r="Y301" i="15" s="1"/>
  <c r="J4489" i="6"/>
  <c r="DH4489" i="6" s="1"/>
  <c r="J4488" i="6"/>
  <c r="X301" i="15" s="1"/>
  <c r="J4487" i="6"/>
  <c r="DH4487" i="6" s="1"/>
  <c r="J4486" i="6"/>
  <c r="Y300" i="15" s="1"/>
  <c r="J4485" i="6"/>
  <c r="DH4485" i="6" s="1"/>
  <c r="J4484" i="6"/>
  <c r="J4483" i="6"/>
  <c r="DH4483" i="6" s="1"/>
  <c r="J4482" i="6"/>
  <c r="Y299" i="15" s="1"/>
  <c r="J4481" i="6"/>
  <c r="DH4481" i="6" s="1"/>
  <c r="J4480" i="6"/>
  <c r="J4479" i="6"/>
  <c r="DH4479" i="6" s="1"/>
  <c r="J4478" i="6"/>
  <c r="J4477" i="6"/>
  <c r="DH4477" i="6" s="1"/>
  <c r="J4476" i="6"/>
  <c r="X298" i="15" s="1"/>
  <c r="H4563" i="6"/>
  <c r="H4562" i="6"/>
  <c r="H4561" i="6"/>
  <c r="H4560" i="6"/>
  <c r="H4559" i="6"/>
  <c r="H4558" i="6"/>
  <c r="H4557" i="6"/>
  <c r="H4556" i="6"/>
  <c r="H4555" i="6"/>
  <c r="H4554" i="6"/>
  <c r="H4553" i="6"/>
  <c r="H4552" i="6"/>
  <c r="H4551" i="6"/>
  <c r="H4550" i="6"/>
  <c r="H4549" i="6"/>
  <c r="H4548" i="6"/>
  <c r="H4539" i="6"/>
  <c r="H4538" i="6"/>
  <c r="H4537" i="6"/>
  <c r="H4536" i="6"/>
  <c r="H4535" i="6"/>
  <c r="H4534" i="6"/>
  <c r="H4533" i="6"/>
  <c r="H4532" i="6"/>
  <c r="H4531" i="6"/>
  <c r="H4530" i="6"/>
  <c r="H4529" i="6"/>
  <c r="H4528" i="6"/>
  <c r="H4527" i="6"/>
  <c r="H4526" i="6"/>
  <c r="H4525" i="6"/>
  <c r="H4524" i="6"/>
  <c r="H4515" i="6"/>
  <c r="H4514" i="6"/>
  <c r="H4513" i="6"/>
  <c r="H4512" i="6"/>
  <c r="H4511" i="6"/>
  <c r="H4510" i="6"/>
  <c r="H4509" i="6"/>
  <c r="H4508" i="6"/>
  <c r="H4507" i="6"/>
  <c r="H4506" i="6"/>
  <c r="H4505" i="6"/>
  <c r="H4504" i="6"/>
  <c r="H4503" i="6"/>
  <c r="H4502" i="6"/>
  <c r="H4501" i="6"/>
  <c r="H4500" i="6"/>
  <c r="H4491" i="6"/>
  <c r="H4490" i="6"/>
  <c r="H4489" i="6"/>
  <c r="H4488" i="6"/>
  <c r="H4487" i="6"/>
  <c r="H4486" i="6"/>
  <c r="H4485" i="6"/>
  <c r="H4484" i="6"/>
  <c r="H4483" i="6"/>
  <c r="H4482" i="6"/>
  <c r="H4481" i="6"/>
  <c r="H4480" i="6"/>
  <c r="H4479" i="6"/>
  <c r="H4478" i="6"/>
  <c r="H4477" i="6"/>
  <c r="H4476" i="6"/>
  <c r="J4596" i="6"/>
  <c r="AF4596" i="6" s="1"/>
  <c r="J4585" i="6"/>
  <c r="K981" i="6"/>
  <c r="K972" i="6"/>
  <c r="K848" i="6"/>
  <c r="K847" i="6"/>
  <c r="K841" i="6"/>
  <c r="F118" i="6"/>
  <c r="I1138" i="6"/>
  <c r="I1137" i="6"/>
  <c r="I1132" i="6"/>
  <c r="I1133" i="6"/>
  <c r="I1134" i="6"/>
  <c r="I1131" i="6"/>
  <c r="I1111" i="6"/>
  <c r="I1110" i="6"/>
  <c r="I1109" i="6"/>
  <c r="I1108" i="6"/>
  <c r="I1107" i="6"/>
  <c r="I1097" i="6"/>
  <c r="J1413" i="6"/>
  <c r="AF1413" i="6" s="1"/>
  <c r="J1412" i="6"/>
  <c r="J1414" i="6"/>
  <c r="AF1414" i="6" s="1"/>
  <c r="J1411" i="6"/>
  <c r="AD4584" i="6"/>
  <c r="AC4584" i="6"/>
  <c r="AB4584" i="6"/>
  <c r="AA4584" i="6"/>
  <c r="Z4584" i="6"/>
  <c r="Y4584" i="6"/>
  <c r="X4584" i="6"/>
  <c r="W4584" i="6"/>
  <c r="AG4475" i="6"/>
  <c r="AF4475" i="6"/>
  <c r="AE4475" i="6"/>
  <c r="AD4475" i="6"/>
  <c r="AC4475" i="6"/>
  <c r="AB4475" i="6"/>
  <c r="AA4475" i="6"/>
  <c r="Z4475" i="6"/>
  <c r="Y4475" i="6"/>
  <c r="X4475" i="6"/>
  <c r="W4475" i="6"/>
  <c r="H4496" i="6"/>
  <c r="H4497" i="6"/>
  <c r="H4520" i="6"/>
  <c r="H4521" i="6"/>
  <c r="H4544" i="6"/>
  <c r="H4545" i="6"/>
  <c r="H4568" i="6"/>
  <c r="H4569" i="6"/>
  <c r="V4472" i="6"/>
  <c r="I852" i="6"/>
  <c r="I851" i="6"/>
  <c r="I833" i="6"/>
  <c r="I834" i="6"/>
  <c r="I843" i="6"/>
  <c r="I842" i="6"/>
  <c r="DH809" i="6"/>
  <c r="DI809" i="6" s="1"/>
  <c r="DH795" i="6"/>
  <c r="DI795" i="6" s="1"/>
  <c r="DH767" i="6"/>
  <c r="DI767" i="6" s="1"/>
  <c r="DH768" i="6"/>
  <c r="DI768" i="6" s="1"/>
  <c r="DH769" i="6"/>
  <c r="DI769" i="6" s="1"/>
  <c r="DH761" i="6"/>
  <c r="DI761" i="6" s="1"/>
  <c r="DH763" i="6"/>
  <c r="DI763" i="6" s="1"/>
  <c r="DH765" i="6"/>
  <c r="DI765" i="6" s="1"/>
  <c r="F1161" i="6"/>
  <c r="F1160" i="6"/>
  <c r="F1157" i="6"/>
  <c r="F1156" i="6"/>
  <c r="F1155" i="6"/>
  <c r="F1154" i="6"/>
  <c r="F1138" i="6"/>
  <c r="F1208" i="6" s="1"/>
  <c r="F1254" i="6" s="1"/>
  <c r="F1137" i="6"/>
  <c r="F1207" i="6" s="1"/>
  <c r="F1253" i="6" s="1"/>
  <c r="F1134" i="6"/>
  <c r="F1204" i="6" s="1"/>
  <c r="F1250" i="6" s="1"/>
  <c r="F1133" i="6"/>
  <c r="F1203" i="6" s="1"/>
  <c r="F1249" i="6" s="1"/>
  <c r="F1132" i="6"/>
  <c r="F1202" i="6" s="1"/>
  <c r="F1248" i="6" s="1"/>
  <c r="F1131" i="6"/>
  <c r="F1201" i="6" s="1"/>
  <c r="F1247" i="6" s="1"/>
  <c r="K966" i="6"/>
  <c r="L756" i="6" s="1"/>
  <c r="AJ134" i="15" s="1"/>
  <c r="I1161" i="6"/>
  <c r="I1160" i="6"/>
  <c r="I1157" i="6"/>
  <c r="I1156" i="6"/>
  <c r="I1155" i="6"/>
  <c r="I1154" i="6"/>
  <c r="I1115" i="6"/>
  <c r="F1115" i="6"/>
  <c r="F1185" i="6" s="1"/>
  <c r="F1231" i="6" s="1"/>
  <c r="I1114" i="6"/>
  <c r="F1114" i="6"/>
  <c r="F1184" i="6" s="1"/>
  <c r="F1230" i="6" s="1"/>
  <c r="F1109" i="6"/>
  <c r="F1179" i="6" s="1"/>
  <c r="F1225" i="6" s="1"/>
  <c r="F1110" i="6"/>
  <c r="F1180" i="6" s="1"/>
  <c r="F1226" i="6" s="1"/>
  <c r="F1111" i="6"/>
  <c r="F1181" i="6" s="1"/>
  <c r="F1227" i="6" s="1"/>
  <c r="F1108" i="6"/>
  <c r="F1178" i="6" s="1"/>
  <c r="F1224" i="6" s="1"/>
  <c r="F852" i="6"/>
  <c r="F879" i="6" s="1"/>
  <c r="F906" i="6" s="1"/>
  <c r="F933" i="6" s="1"/>
  <c r="F960" i="6" s="1"/>
  <c r="F987" i="6" s="1"/>
  <c r="F1014" i="6" s="1"/>
  <c r="F1041" i="6" s="1"/>
  <c r="F1068" i="6" s="1"/>
  <c r="F1095" i="6" s="1"/>
  <c r="F851" i="6"/>
  <c r="F878" i="6" s="1"/>
  <c r="F905" i="6" s="1"/>
  <c r="F932" i="6" s="1"/>
  <c r="F959" i="6" s="1"/>
  <c r="F986" i="6" s="1"/>
  <c r="F1013" i="6" s="1"/>
  <c r="F1040" i="6" s="1"/>
  <c r="F1067" i="6" s="1"/>
  <c r="F1094" i="6" s="1"/>
  <c r="F843" i="6"/>
  <c r="F870" i="6" s="1"/>
  <c r="F897" i="6" s="1"/>
  <c r="F924" i="6" s="1"/>
  <c r="F951" i="6" s="1"/>
  <c r="F978" i="6" s="1"/>
  <c r="F1005" i="6" s="1"/>
  <c r="F1032" i="6" s="1"/>
  <c r="F1059" i="6" s="1"/>
  <c r="F1086" i="6" s="1"/>
  <c r="F842" i="6"/>
  <c r="F869" i="6" s="1"/>
  <c r="F896" i="6" s="1"/>
  <c r="F923" i="6" s="1"/>
  <c r="F950" i="6" s="1"/>
  <c r="F977" i="6" s="1"/>
  <c r="F1004" i="6" s="1"/>
  <c r="F1031" i="6" s="1"/>
  <c r="F1058" i="6" s="1"/>
  <c r="F1085" i="6" s="1"/>
  <c r="F834" i="6"/>
  <c r="F861" i="6" s="1"/>
  <c r="F888" i="6" s="1"/>
  <c r="F915" i="6" s="1"/>
  <c r="F942" i="6" s="1"/>
  <c r="F969" i="6" s="1"/>
  <c r="F996" i="6" s="1"/>
  <c r="F1023" i="6" s="1"/>
  <c r="F1050" i="6" s="1"/>
  <c r="F1077" i="6" s="1"/>
  <c r="F833" i="6"/>
  <c r="F860" i="6" s="1"/>
  <c r="F887" i="6" s="1"/>
  <c r="F914" i="6" s="1"/>
  <c r="F941" i="6" s="1"/>
  <c r="F968" i="6" s="1"/>
  <c r="F995" i="6" s="1"/>
  <c r="F1022" i="6" s="1"/>
  <c r="F1049" i="6" s="1"/>
  <c r="F1076" i="6" s="1"/>
  <c r="K834" i="6"/>
  <c r="K833" i="6"/>
  <c r="V345" i="16"/>
  <c r="V344" i="16"/>
  <c r="V342" i="16"/>
  <c r="V341" i="16"/>
  <c r="V340" i="16"/>
  <c r="V339" i="16"/>
  <c r="V338" i="16"/>
  <c r="V337" i="16"/>
  <c r="V336" i="16"/>
  <c r="V335" i="16"/>
  <c r="V333" i="16"/>
  <c r="V332" i="16"/>
  <c r="V331" i="16"/>
  <c r="V329" i="16"/>
  <c r="V328" i="16"/>
  <c r="V327" i="16"/>
  <c r="V326" i="16"/>
  <c r="V325" i="16"/>
  <c r="AG323" i="16"/>
  <c r="AF323" i="16"/>
  <c r="AE323" i="16"/>
  <c r="AD323" i="16"/>
  <c r="AC323" i="16"/>
  <c r="AB323" i="16"/>
  <c r="AA323" i="16"/>
  <c r="Z323" i="16"/>
  <c r="Y323" i="16"/>
  <c r="X323" i="16"/>
  <c r="W323" i="16"/>
  <c r="H314" i="16"/>
  <c r="H313" i="16"/>
  <c r="DI312" i="16"/>
  <c r="DH312" i="16"/>
  <c r="DG312" i="16"/>
  <c r="AG312" i="16"/>
  <c r="AF312" i="16"/>
  <c r="AE312" i="16"/>
  <c r="AD312" i="16"/>
  <c r="AC312" i="16"/>
  <c r="AB312" i="16"/>
  <c r="AA312" i="16"/>
  <c r="Z312" i="16"/>
  <c r="Y312" i="16"/>
  <c r="X312" i="16"/>
  <c r="W312" i="16"/>
  <c r="J1233" i="7"/>
  <c r="DH1233" i="7" s="1"/>
  <c r="J1232" i="7"/>
  <c r="X531" i="15" s="1"/>
  <c r="Z531" i="15" s="1"/>
  <c r="W531" i="15" s="1"/>
  <c r="J1231" i="7"/>
  <c r="DH1231" i="7" s="1"/>
  <c r="J1230" i="7"/>
  <c r="J1229" i="7"/>
  <c r="DH1229" i="7" s="1"/>
  <c r="J1228" i="7"/>
  <c r="J1227" i="7"/>
  <c r="DH1227" i="7" s="1"/>
  <c r="J1226" i="7"/>
  <c r="X528" i="15" s="1"/>
  <c r="Z528" i="15" s="1"/>
  <c r="W528" i="15" s="1"/>
  <c r="J1225" i="7"/>
  <c r="DH1225" i="7" s="1"/>
  <c r="J1224" i="7"/>
  <c r="J1223" i="7"/>
  <c r="DH1223" i="7" s="1"/>
  <c r="J1222" i="7"/>
  <c r="J1221" i="7"/>
  <c r="DH1221" i="7" s="1"/>
  <c r="J1220" i="7"/>
  <c r="J1219" i="7"/>
  <c r="DH1219" i="7" s="1"/>
  <c r="H1218" i="7"/>
  <c r="J1218" i="7"/>
  <c r="X524" i="15" s="1"/>
  <c r="Z524" i="15" s="1"/>
  <c r="W524" i="15" s="1"/>
  <c r="K1232" i="7"/>
  <c r="DJ1232" i="7" s="1"/>
  <c r="K1230" i="7"/>
  <c r="DJ1230" i="7" s="1"/>
  <c r="K1228" i="7"/>
  <c r="DJ1228" i="7" s="1"/>
  <c r="K1226" i="7"/>
  <c r="DJ1226" i="7" s="1"/>
  <c r="K1224" i="7"/>
  <c r="DJ1224" i="7" s="1"/>
  <c r="K1222" i="7"/>
  <c r="DJ1222" i="7" s="1"/>
  <c r="K1220" i="7"/>
  <c r="DJ1220" i="7" s="1"/>
  <c r="K1218" i="7"/>
  <c r="DJ1218" i="7" s="1"/>
  <c r="K48" i="16"/>
  <c r="DJ48" i="16" s="1"/>
  <c r="E81" i="16"/>
  <c r="E115" i="16" s="1"/>
  <c r="V1219" i="7"/>
  <c r="V1220" i="7"/>
  <c r="V1221" i="7"/>
  <c r="V1222" i="7"/>
  <c r="V1223" i="7"/>
  <c r="V1224" i="7"/>
  <c r="V1225" i="7"/>
  <c r="V1226" i="7"/>
  <c r="V1227" i="7"/>
  <c r="V1228" i="7"/>
  <c r="V1229" i="7"/>
  <c r="V1230" i="7"/>
  <c r="V1231" i="7"/>
  <c r="V1232" i="7"/>
  <c r="V1233" i="7"/>
  <c r="V1218" i="7"/>
  <c r="V48" i="16"/>
  <c r="V1304" i="7"/>
  <c r="V1303" i="7"/>
  <c r="V1302" i="7"/>
  <c r="V1294" i="7"/>
  <c r="V1293" i="7"/>
  <c r="V1292" i="7"/>
  <c r="V1291" i="7"/>
  <c r="V1290" i="7"/>
  <c r="V1289" i="7"/>
  <c r="V1281" i="7"/>
  <c r="V1280" i="7"/>
  <c r="V1272" i="7"/>
  <c r="V1271" i="7"/>
  <c r="V1267" i="7"/>
  <c r="V1259" i="7"/>
  <c r="V1251" i="7"/>
  <c r="V1243" i="7"/>
  <c r="AG1242" i="7"/>
  <c r="AF1242" i="7"/>
  <c r="AE1242" i="7"/>
  <c r="AD1242" i="7"/>
  <c r="AC1242" i="7"/>
  <c r="AB1242" i="7"/>
  <c r="AA1242" i="7"/>
  <c r="Z1242" i="7"/>
  <c r="Y1242" i="7"/>
  <c r="X1242" i="7"/>
  <c r="H1233" i="7"/>
  <c r="H1232" i="7"/>
  <c r="H1231" i="7"/>
  <c r="H1230" i="7"/>
  <c r="H1229" i="7"/>
  <c r="H1228" i="7"/>
  <c r="H1227" i="7"/>
  <c r="H1226" i="7"/>
  <c r="H1225" i="7"/>
  <c r="H1224" i="7"/>
  <c r="H1223" i="7"/>
  <c r="H1222" i="7"/>
  <c r="H1221" i="7"/>
  <c r="H1220" i="7"/>
  <c r="H1219" i="7"/>
  <c r="DJ1217" i="7"/>
  <c r="DI1217" i="7"/>
  <c r="DH1217" i="7"/>
  <c r="DG1217" i="7"/>
  <c r="AG1217" i="7"/>
  <c r="AF1217" i="7"/>
  <c r="AE1217" i="7"/>
  <c r="AD1217" i="7"/>
  <c r="AC1217" i="7"/>
  <c r="AB1217" i="7"/>
  <c r="AA1217" i="7"/>
  <c r="Z1217" i="7"/>
  <c r="Y1217" i="7"/>
  <c r="X1217" i="7"/>
  <c r="V1215" i="7"/>
  <c r="I484" i="7"/>
  <c r="I584" i="7"/>
  <c r="K964" i="7"/>
  <c r="I796" i="7"/>
  <c r="F796" i="7" s="1"/>
  <c r="I795" i="7"/>
  <c r="F795" i="7" s="1"/>
  <c r="DH966" i="7"/>
  <c r="DH967" i="7"/>
  <c r="AX667" i="15"/>
  <c r="AZ667" i="15"/>
  <c r="AX595" i="15"/>
  <c r="AZ595" i="15"/>
  <c r="AX594" i="15"/>
  <c r="AZ594" i="15"/>
  <c r="AX592" i="15"/>
  <c r="AZ592" i="15"/>
  <c r="AX589" i="15"/>
  <c r="AZ589" i="15"/>
  <c r="AX586" i="15"/>
  <c r="AZ586" i="15"/>
  <c r="AX563" i="15"/>
  <c r="AZ563" i="15"/>
  <c r="AX472" i="15"/>
  <c r="AZ472" i="15"/>
  <c r="AX432" i="15"/>
  <c r="AZ432" i="15"/>
  <c r="AX431" i="15"/>
  <c r="AZ431" i="15"/>
  <c r="AX430" i="15"/>
  <c r="AZ430" i="15"/>
  <c r="AX358" i="15"/>
  <c r="AZ358" i="15"/>
  <c r="AX357" i="15"/>
  <c r="AZ357" i="15"/>
  <c r="AX356" i="15"/>
  <c r="AZ356" i="15"/>
  <c r="AX285" i="15"/>
  <c r="AZ285" i="15"/>
  <c r="AX284" i="15"/>
  <c r="AZ284" i="15"/>
  <c r="AX277" i="15"/>
  <c r="AZ277" i="15"/>
  <c r="AX276" i="15"/>
  <c r="AZ276" i="15"/>
  <c r="AX269" i="15"/>
  <c r="AZ269" i="15"/>
  <c r="AX268" i="15"/>
  <c r="AZ268" i="15"/>
  <c r="AX265" i="15"/>
  <c r="AZ265" i="15"/>
  <c r="AX261" i="15"/>
  <c r="AZ261" i="15"/>
  <c r="AX260" i="15"/>
  <c r="AZ260" i="15"/>
  <c r="AX257" i="15"/>
  <c r="AZ257" i="15"/>
  <c r="AX253" i="15"/>
  <c r="AZ253" i="15"/>
  <c r="AX252" i="15"/>
  <c r="AZ252" i="15"/>
  <c r="AX249" i="15"/>
  <c r="AZ249" i="15"/>
  <c r="AX241" i="15"/>
  <c r="AZ241" i="15"/>
  <c r="AX240" i="15"/>
  <c r="AZ240" i="15"/>
  <c r="AX235" i="15"/>
  <c r="AZ235" i="15"/>
  <c r="AX234" i="15"/>
  <c r="AZ234" i="15"/>
  <c r="AX231" i="15"/>
  <c r="AZ231" i="15"/>
  <c r="AX229" i="15"/>
  <c r="AZ229" i="15"/>
  <c r="AX228" i="15"/>
  <c r="AZ228" i="15"/>
  <c r="AX223" i="15"/>
  <c r="AZ223" i="15"/>
  <c r="AX221" i="15"/>
  <c r="AZ221" i="15"/>
  <c r="AX220" i="15"/>
  <c r="AZ220" i="15"/>
  <c r="AX215" i="15"/>
  <c r="AZ215" i="15"/>
  <c r="AX214" i="15"/>
  <c r="AZ214" i="15"/>
  <c r="AX209" i="15"/>
  <c r="AZ209" i="15"/>
  <c r="AX208" i="15"/>
  <c r="AZ208" i="15"/>
  <c r="AX201" i="15"/>
  <c r="AZ201" i="15"/>
  <c r="AX200" i="15"/>
  <c r="AZ200" i="15"/>
  <c r="AX197" i="15"/>
  <c r="AZ197" i="15"/>
  <c r="AX196" i="15"/>
  <c r="AZ196" i="15"/>
  <c r="AX189" i="15"/>
  <c r="AZ189" i="15"/>
  <c r="AX188" i="15"/>
  <c r="AZ188" i="15"/>
  <c r="AX185" i="15"/>
  <c r="AZ185" i="15"/>
  <c r="AX184" i="15"/>
  <c r="AZ184" i="15"/>
  <c r="AX175" i="15"/>
  <c r="AZ175" i="15"/>
  <c r="AX172" i="15"/>
  <c r="AZ172" i="15"/>
  <c r="AX169" i="15"/>
  <c r="AZ169" i="15"/>
  <c r="AZ170" i="15"/>
  <c r="AX170" i="15"/>
  <c r="AX46" i="15"/>
  <c r="AZ46" i="15"/>
  <c r="AX23" i="15"/>
  <c r="AZ23" i="15"/>
  <c r="K155" i="16"/>
  <c r="DJ155" i="16" s="1"/>
  <c r="K19" i="7"/>
  <c r="DJ19" i="7" s="1"/>
  <c r="R698" i="7"/>
  <c r="R697" i="7"/>
  <c r="R699" i="7"/>
  <c r="R700" i="7"/>
  <c r="R701" i="7"/>
  <c r="AC674" i="7"/>
  <c r="AC675" i="7"/>
  <c r="AC676" i="7"/>
  <c r="AC677" i="7"/>
  <c r="AC678" i="7"/>
  <c r="AC679" i="7"/>
  <c r="AC680" i="7"/>
  <c r="AC682" i="7"/>
  <c r="AC683" i="7"/>
  <c r="AC684" i="7"/>
  <c r="AC685" i="7"/>
  <c r="AC686" i="7"/>
  <c r="AC687" i="7"/>
  <c r="AC688" i="7"/>
  <c r="AC689" i="7"/>
  <c r="AC691" i="7"/>
  <c r="AC692" i="7"/>
  <c r="AC693" i="7"/>
  <c r="AC694" i="7"/>
  <c r="AC695" i="7"/>
  <c r="AC697" i="7"/>
  <c r="AC698" i="7"/>
  <c r="AC699" i="7"/>
  <c r="AC700" i="7"/>
  <c r="AC701" i="7"/>
  <c r="AC702" i="7"/>
  <c r="AC703" i="7"/>
  <c r="AC704" i="7"/>
  <c r="AC705" i="7"/>
  <c r="AC706" i="7"/>
  <c r="AC673" i="7"/>
  <c r="G690" i="7"/>
  <c r="K20" i="7"/>
  <c r="DJ20" i="7" s="1"/>
  <c r="DH374" i="2"/>
  <c r="DI373" i="2"/>
  <c r="DH373" i="2"/>
  <c r="DG373" i="2"/>
  <c r="BE91" i="2"/>
  <c r="BD91" i="2"/>
  <c r="BC91" i="2"/>
  <c r="BB91" i="2"/>
  <c r="BA91" i="2"/>
  <c r="AZ91" i="2"/>
  <c r="AY91" i="2"/>
  <c r="AX91" i="2"/>
  <c r="AW91" i="2"/>
  <c r="AV91" i="2"/>
  <c r="DH456" i="2"/>
  <c r="K21" i="7"/>
  <c r="DJ21" i="7" s="1"/>
  <c r="K665" i="7"/>
  <c r="DJ665" i="7" s="1"/>
  <c r="K663" i="7"/>
  <c r="DJ663" i="7" s="1"/>
  <c r="K661" i="7"/>
  <c r="DJ661" i="7" s="1"/>
  <c r="G681" i="7"/>
  <c r="AF681" i="7" s="1"/>
  <c r="G696" i="7"/>
  <c r="V661" i="7"/>
  <c r="V662" i="7"/>
  <c r="V663" i="7"/>
  <c r="V664" i="7"/>
  <c r="V665" i="7"/>
  <c r="V666" i="7"/>
  <c r="J661" i="7"/>
  <c r="J662" i="7"/>
  <c r="DH662" i="7" s="1"/>
  <c r="J663" i="7"/>
  <c r="X431" i="15" s="1"/>
  <c r="Z431" i="15" s="1"/>
  <c r="W431" i="15" s="1"/>
  <c r="V431" i="15" s="1"/>
  <c r="J664" i="7"/>
  <c r="DH664" i="7" s="1"/>
  <c r="J665" i="7"/>
  <c r="X432" i="15" s="1"/>
  <c r="Z432" i="15" s="1"/>
  <c r="W432" i="15" s="1"/>
  <c r="V432" i="15" s="1"/>
  <c r="J666" i="7"/>
  <c r="DH666" i="7" s="1"/>
  <c r="H662" i="7"/>
  <c r="H663" i="7"/>
  <c r="H664" i="7"/>
  <c r="H665" i="7"/>
  <c r="H666" i="7"/>
  <c r="H661" i="7"/>
  <c r="J20" i="7"/>
  <c r="X357" i="15" s="1"/>
  <c r="Z357" i="15" s="1"/>
  <c r="W357" i="15" s="1"/>
  <c r="V357" i="15" s="1"/>
  <c r="J21" i="7"/>
  <c r="J19" i="7"/>
  <c r="X356" i="15" s="1"/>
  <c r="Z356" i="15" s="1"/>
  <c r="W356" i="15" s="1"/>
  <c r="V356" i="15" s="1"/>
  <c r="H20" i="7"/>
  <c r="H21" i="7"/>
  <c r="H19" i="7"/>
  <c r="G36" i="7"/>
  <c r="I1165" i="6"/>
  <c r="I1164" i="6"/>
  <c r="I1163" i="6"/>
  <c r="I1162" i="6"/>
  <c r="I1159" i="6"/>
  <c r="I1158" i="6"/>
  <c r="I1153" i="6"/>
  <c r="I1152" i="6"/>
  <c r="I1151" i="6"/>
  <c r="I1150" i="6"/>
  <c r="I1149" i="6"/>
  <c r="I1148" i="6"/>
  <c r="I1147" i="6"/>
  <c r="I1146" i="6"/>
  <c r="I1145" i="6"/>
  <c r="I1144" i="6"/>
  <c r="I1143" i="6"/>
  <c r="I1142" i="6"/>
  <c r="I1141" i="6"/>
  <c r="I1140" i="6"/>
  <c r="I1139" i="6"/>
  <c r="I1136" i="6"/>
  <c r="I1135" i="6"/>
  <c r="I1130" i="6"/>
  <c r="I1129" i="6"/>
  <c r="I1128" i="6"/>
  <c r="I1127" i="6"/>
  <c r="I1126" i="6"/>
  <c r="I1125" i="6"/>
  <c r="I1124" i="6"/>
  <c r="I1123" i="6"/>
  <c r="I1122" i="6"/>
  <c r="I1121" i="6"/>
  <c r="I1120" i="6"/>
  <c r="I1119" i="6"/>
  <c r="I1118" i="6"/>
  <c r="I1117" i="6"/>
  <c r="I1116" i="6"/>
  <c r="I1113" i="6"/>
  <c r="I1112" i="6"/>
  <c r="I1106" i="6"/>
  <c r="I1105" i="6"/>
  <c r="I1104" i="6"/>
  <c r="I1103" i="6"/>
  <c r="I1102" i="6"/>
  <c r="I1101" i="6"/>
  <c r="I1100" i="6"/>
  <c r="I1099" i="6"/>
  <c r="I1098" i="6"/>
  <c r="F639" i="7"/>
  <c r="H639" i="7"/>
  <c r="J639" i="7"/>
  <c r="K639" i="7"/>
  <c r="DJ639" i="7" s="1"/>
  <c r="V639" i="7"/>
  <c r="I853" i="6"/>
  <c r="I850" i="6"/>
  <c r="I849" i="6"/>
  <c r="I848" i="6"/>
  <c r="I847" i="6"/>
  <c r="I846" i="6"/>
  <c r="I845" i="6"/>
  <c r="I844" i="6"/>
  <c r="I841" i="6"/>
  <c r="I840" i="6"/>
  <c r="I839" i="6"/>
  <c r="I838" i="6"/>
  <c r="I837" i="6"/>
  <c r="I836" i="6"/>
  <c r="I835" i="6"/>
  <c r="I832" i="6"/>
  <c r="I831" i="6"/>
  <c r="I830" i="6"/>
  <c r="I829" i="6"/>
  <c r="I828" i="6"/>
  <c r="I827" i="6"/>
  <c r="K827" i="6"/>
  <c r="K828" i="6"/>
  <c r="K829" i="6"/>
  <c r="K830" i="6"/>
  <c r="K831" i="6"/>
  <c r="K832" i="6"/>
  <c r="K835" i="6"/>
  <c r="K836" i="6"/>
  <c r="K837" i="6"/>
  <c r="K838" i="6"/>
  <c r="K839" i="6"/>
  <c r="K845" i="6"/>
  <c r="K846" i="6"/>
  <c r="H467" i="2"/>
  <c r="E467" i="2"/>
  <c r="D467" i="2"/>
  <c r="H456" i="2"/>
  <c r="E92" i="2"/>
  <c r="D92" i="2"/>
  <c r="BQ90" i="2"/>
  <c r="BP90" i="2"/>
  <c r="BO90" i="2"/>
  <c r="BN90" i="2"/>
  <c r="BL90" i="2"/>
  <c r="BK90" i="2"/>
  <c r="BJ90" i="2"/>
  <c r="BI90" i="2"/>
  <c r="BH90" i="2"/>
  <c r="AO90" i="2"/>
  <c r="AG90" i="2"/>
  <c r="AF90" i="2"/>
  <c r="AE90" i="2"/>
  <c r="AD90" i="2"/>
  <c r="AQ90" i="2" s="1"/>
  <c r="AC90" i="2"/>
  <c r="AA90" i="2"/>
  <c r="AZ90" i="2" s="1"/>
  <c r="Z90" i="2"/>
  <c r="AM90" i="2" s="1"/>
  <c r="Y90" i="2"/>
  <c r="X90" i="2"/>
  <c r="W90" i="2"/>
  <c r="AV90" i="2" s="1"/>
  <c r="DH80" i="2"/>
  <c r="DI79" i="2"/>
  <c r="DH79" i="2"/>
  <c r="DG79" i="2"/>
  <c r="AO79" i="2"/>
  <c r="AG79" i="2"/>
  <c r="AF79" i="2"/>
  <c r="BE79" i="2" s="1"/>
  <c r="AE79" i="2"/>
  <c r="BD79" i="2" s="1"/>
  <c r="AD79" i="2"/>
  <c r="BC79" i="2" s="1"/>
  <c r="AC79" i="2"/>
  <c r="AP79" i="2" s="1"/>
  <c r="AA79" i="2"/>
  <c r="AN79" i="2" s="1"/>
  <c r="Z79" i="2"/>
  <c r="AM79" i="2" s="1"/>
  <c r="Y79" i="2"/>
  <c r="AL79" i="2" s="1"/>
  <c r="X79" i="2"/>
  <c r="AW79" i="2" s="1"/>
  <c r="W79" i="2"/>
  <c r="AV79" i="2" s="1"/>
  <c r="V77" i="2"/>
  <c r="J32" i="2"/>
  <c r="X592" i="15" s="1"/>
  <c r="Z592" i="15" s="1"/>
  <c r="W592" i="15" s="1"/>
  <c r="J29" i="2"/>
  <c r="J26" i="2"/>
  <c r="D72" i="2"/>
  <c r="D69" i="2"/>
  <c r="E50" i="2"/>
  <c r="E51" i="2"/>
  <c r="E52" i="2"/>
  <c r="E53" i="2"/>
  <c r="E54" i="2"/>
  <c r="E55" i="2"/>
  <c r="E56" i="2"/>
  <c r="E57" i="2"/>
  <c r="E58" i="2"/>
  <c r="E59" i="2"/>
  <c r="E60" i="2"/>
  <c r="E61" i="2"/>
  <c r="E62" i="2"/>
  <c r="E63" i="2"/>
  <c r="E64" i="2"/>
  <c r="E65" i="2"/>
  <c r="E66" i="2"/>
  <c r="E67" i="2"/>
  <c r="E68" i="2"/>
  <c r="E69" i="2"/>
  <c r="E70" i="2"/>
  <c r="E71" i="2"/>
  <c r="E72" i="2"/>
  <c r="E73" i="2"/>
  <c r="D66" i="2"/>
  <c r="J10" i="2"/>
  <c r="X570" i="15" s="1"/>
  <c r="Z570" i="15" s="1"/>
  <c r="W570" i="15" s="1"/>
  <c r="J11" i="2"/>
  <c r="J12" i="2"/>
  <c r="J13" i="2"/>
  <c r="X573" i="15" s="1"/>
  <c r="Z573" i="15" s="1"/>
  <c r="W573" i="15" s="1"/>
  <c r="J14" i="2"/>
  <c r="X574" i="15" s="1"/>
  <c r="Z574" i="15" s="1"/>
  <c r="J15" i="2"/>
  <c r="X575" i="15" s="1"/>
  <c r="Z575" i="15" s="1"/>
  <c r="J16" i="2"/>
  <c r="J17" i="2"/>
  <c r="X577" i="15" s="1"/>
  <c r="Z577" i="15" s="1"/>
  <c r="J18" i="2"/>
  <c r="J19" i="2"/>
  <c r="X579" i="15" s="1"/>
  <c r="Z579" i="15" s="1"/>
  <c r="J20" i="2"/>
  <c r="J21" i="2"/>
  <c r="X581" i="15" s="1"/>
  <c r="Z581" i="15" s="1"/>
  <c r="J22" i="2"/>
  <c r="J23" i="2"/>
  <c r="J24" i="2"/>
  <c r="J25" i="2"/>
  <c r="X585" i="15" s="1"/>
  <c r="Z585" i="15" s="1"/>
  <c r="J27" i="2"/>
  <c r="X587" i="15" s="1"/>
  <c r="Z587" i="15" s="1"/>
  <c r="W587" i="15" s="1"/>
  <c r="J28" i="2"/>
  <c r="X588" i="15" s="1"/>
  <c r="Z588" i="15" s="1"/>
  <c r="J30" i="2"/>
  <c r="J31" i="2"/>
  <c r="X591" i="15" s="1"/>
  <c r="Z591" i="15" s="1"/>
  <c r="J33" i="2"/>
  <c r="X593" i="15" s="1"/>
  <c r="Z593" i="15" s="1"/>
  <c r="W593" i="15" s="1"/>
  <c r="J34" i="2"/>
  <c r="X594" i="15" s="1"/>
  <c r="Z594" i="15" s="1"/>
  <c r="J9" i="2"/>
  <c r="X569" i="15" s="1"/>
  <c r="Z569" i="15" s="1"/>
  <c r="W569" i="15" s="1"/>
  <c r="D74" i="2"/>
  <c r="E74" i="2"/>
  <c r="V9" i="11"/>
  <c r="K589" i="7"/>
  <c r="L591" i="7"/>
  <c r="J591" i="7"/>
  <c r="J589" i="7"/>
  <c r="L587" i="7"/>
  <c r="J587" i="7"/>
  <c r="K585" i="7"/>
  <c r="J585" i="7"/>
  <c r="I591" i="7"/>
  <c r="I589" i="7"/>
  <c r="I587" i="7"/>
  <c r="I585" i="7"/>
  <c r="AC478" i="7"/>
  <c r="AC470" i="7"/>
  <c r="AC465" i="7"/>
  <c r="AC460" i="7"/>
  <c r="AC3650" i="6"/>
  <c r="AC3648" i="6"/>
  <c r="AC3646" i="6"/>
  <c r="AC3642" i="6"/>
  <c r="AC3640" i="6"/>
  <c r="AC3639" i="6"/>
  <c r="AC3635" i="6"/>
  <c r="AC3634" i="6"/>
  <c r="AC3636" i="6" s="1"/>
  <c r="AC3629" i="6"/>
  <c r="AC3628" i="6"/>
  <c r="AC3621" i="6"/>
  <c r="AC3623" i="6" s="1"/>
  <c r="AC3625" i="6" s="1"/>
  <c r="AC3620" i="6"/>
  <c r="AC3622" i="6" s="1"/>
  <c r="AC3624" i="6" s="1"/>
  <c r="AC3614" i="6"/>
  <c r="AC3613" i="6"/>
  <c r="AC3606" i="6"/>
  <c r="AC3608" i="6" s="1"/>
  <c r="AC3610" i="6" s="1"/>
  <c r="AC3605" i="6"/>
  <c r="AC3607" i="6" s="1"/>
  <c r="AC3609" i="6" s="1"/>
  <c r="AC3598" i="6"/>
  <c r="AC3597" i="6"/>
  <c r="AC3590" i="6"/>
  <c r="AC3592" i="6" s="1"/>
  <c r="AC3594" i="6" s="1"/>
  <c r="AC3589" i="6"/>
  <c r="AC3591" i="6" s="1"/>
  <c r="AC3593" i="6" s="1"/>
  <c r="AC3582" i="6"/>
  <c r="AC3581" i="6"/>
  <c r="AC3578" i="6"/>
  <c r="AC3577" i="6"/>
  <c r="AC3574" i="6"/>
  <c r="AC3573" i="6"/>
  <c r="AC3556" i="6"/>
  <c r="AC3557" i="6" s="1"/>
  <c r="AC3547" i="6"/>
  <c r="AC3548" i="6" s="1"/>
  <c r="AC3549" i="6" s="1"/>
  <c r="AC3550" i="6" s="1"/>
  <c r="AC3551" i="6" s="1"/>
  <c r="AC3546" i="6"/>
  <c r="AC3537" i="6"/>
  <c r="AC3538" i="6" s="1"/>
  <c r="AC3539" i="6" s="1"/>
  <c r="AC3527" i="6"/>
  <c r="AC3528" i="6" s="1"/>
  <c r="AC3529" i="6" s="1"/>
  <c r="AC3521" i="6"/>
  <c r="AC3522" i="6" s="1"/>
  <c r="AC3523" i="6" s="1"/>
  <c r="AC3515" i="6"/>
  <c r="AC3516" i="6" s="1"/>
  <c r="AC3517" i="6" s="1"/>
  <c r="AC3511" i="6"/>
  <c r="AC3505" i="6"/>
  <c r="AC3506" i="6" s="1"/>
  <c r="AC3507" i="6" s="1"/>
  <c r="AC3508" i="6" s="1"/>
  <c r="AC3509" i="6" s="1"/>
  <c r="AC3504" i="6"/>
  <c r="AC3501" i="6"/>
  <c r="AC3499" i="6"/>
  <c r="AC3497" i="6"/>
  <c r="AC3495" i="6"/>
  <c r="AC3494" i="6"/>
  <c r="AC3487" i="6"/>
  <c r="AC3486" i="6"/>
  <c r="AC3483" i="6"/>
  <c r="AC3482" i="6"/>
  <c r="AC3479" i="6"/>
  <c r="AC3478" i="6"/>
  <c r="AC3438" i="6"/>
  <c r="AC3423" i="6"/>
  <c r="AC3409" i="6"/>
  <c r="AC3407" i="6"/>
  <c r="AC3405" i="6"/>
  <c r="AC3403" i="6"/>
  <c r="AC3399" i="6"/>
  <c r="AC3400" i="6" s="1"/>
  <c r="AC3401" i="6" s="1"/>
  <c r="AC3395" i="6"/>
  <c r="AC3396" i="6" s="1"/>
  <c r="AC3397" i="6" s="1"/>
  <c r="AC3393" i="6"/>
  <c r="AC3391" i="6"/>
  <c r="AC3377" i="6"/>
  <c r="AC3375" i="6"/>
  <c r="AC3372" i="6"/>
  <c r="AC3369" i="6"/>
  <c r="AC3366" i="6"/>
  <c r="AC3350" i="6"/>
  <c r="AC3348" i="6"/>
  <c r="AC3340" i="6"/>
  <c r="AC3338" i="6"/>
  <c r="AC3330" i="6"/>
  <c r="AC3328" i="6"/>
  <c r="AC3314" i="6"/>
  <c r="AC3315" i="6" s="1"/>
  <c r="AC3316" i="6" s="1"/>
  <c r="AC3310" i="6"/>
  <c r="AC3311" i="6" s="1"/>
  <c r="AC3312" i="6" s="1"/>
  <c r="AC3308" i="6"/>
  <c r="AC3306" i="6"/>
  <c r="AC3300" i="6"/>
  <c r="AC3292" i="6"/>
  <c r="AC3288" i="6"/>
  <c r="AC3284" i="6"/>
  <c r="AC3285" i="6" s="1"/>
  <c r="AC3286" i="6" s="1"/>
  <c r="AC3279" i="6"/>
  <c r="AC3277" i="6"/>
  <c r="AC3275" i="6"/>
  <c r="AC3270" i="6"/>
  <c r="AC3268" i="6"/>
  <c r="AC3266" i="6"/>
  <c r="AC3071" i="6"/>
  <c r="AC3069" i="6"/>
  <c r="AC3067" i="6"/>
  <c r="AC3065" i="6"/>
  <c r="AC3063" i="6"/>
  <c r="AC3061" i="6"/>
  <c r="AC3060" i="6"/>
  <c r="AC3057" i="6"/>
  <c r="AC3055" i="6"/>
  <c r="AC3050" i="6"/>
  <c r="AC3049" i="6"/>
  <c r="AC3046" i="6"/>
  <c r="AC3045" i="6"/>
  <c r="AC3042" i="6"/>
  <c r="AC3041" i="6"/>
  <c r="AC3035" i="6"/>
  <c r="AC3034" i="6"/>
  <c r="AC3031" i="6"/>
  <c r="AC3030" i="6"/>
  <c r="AC3027" i="6"/>
  <c r="AC3026" i="6"/>
  <c r="AC3019" i="6"/>
  <c r="AC3018" i="6"/>
  <c r="AC3015" i="6"/>
  <c r="AC3014" i="6"/>
  <c r="AC3011" i="6"/>
  <c r="AC3010" i="6"/>
  <c r="AC3003" i="6"/>
  <c r="AC3002" i="6"/>
  <c r="AC2999" i="6"/>
  <c r="AC2998" i="6"/>
  <c r="AC2995" i="6"/>
  <c r="AC2994" i="6"/>
  <c r="AC2972" i="6"/>
  <c r="AC2971" i="6"/>
  <c r="AC2968" i="6"/>
  <c r="AC2967" i="6"/>
  <c r="AC2960" i="6"/>
  <c r="AC2958" i="6"/>
  <c r="AC2950" i="6"/>
  <c r="AC2948" i="6"/>
  <c r="AC2944" i="6"/>
  <c r="AC2942" i="6"/>
  <c r="AC2938" i="6"/>
  <c r="AC2936" i="6"/>
  <c r="AC2932" i="6"/>
  <c r="AC2930" i="6"/>
  <c r="AC2929" i="6"/>
  <c r="AC2926" i="6"/>
  <c r="AC2925" i="6"/>
  <c r="AC2922" i="6"/>
  <c r="AC2920" i="6"/>
  <c r="AC2918" i="6"/>
  <c r="AC2916" i="6"/>
  <c r="AC2915" i="6"/>
  <c r="AC2912" i="6"/>
  <c r="AC2910" i="6"/>
  <c r="AC2908" i="6"/>
  <c r="AC2907" i="6"/>
  <c r="AC2904" i="6"/>
  <c r="AC2903" i="6"/>
  <c r="AC2900" i="6"/>
  <c r="AC2878" i="6"/>
  <c r="AC2876" i="6"/>
  <c r="AC2874" i="6"/>
  <c r="AC2872" i="6"/>
  <c r="AC2870" i="6"/>
  <c r="AC2868" i="6"/>
  <c r="AC2867" i="6"/>
  <c r="AC2864" i="6"/>
  <c r="AC2862" i="6"/>
  <c r="AC2859" i="6"/>
  <c r="AC2857" i="6"/>
  <c r="AC2856" i="6"/>
  <c r="AC2853" i="6"/>
  <c r="AC2852" i="6"/>
  <c r="AC2849" i="6"/>
  <c r="AC2848" i="6"/>
  <c r="AC2844" i="6"/>
  <c r="AC2842" i="6"/>
  <c r="AC2841" i="6"/>
  <c r="AC2838" i="6"/>
  <c r="AC2837" i="6"/>
  <c r="AC2834" i="6"/>
  <c r="AC2833" i="6"/>
  <c r="AC2830" i="6"/>
  <c r="AC2828" i="6"/>
  <c r="AC2825" i="6"/>
  <c r="AC2824" i="6"/>
  <c r="AC2826" i="6" s="1"/>
  <c r="AC2821" i="6"/>
  <c r="AC2820" i="6"/>
  <c r="AC2822" i="6" s="1"/>
  <c r="AC2817" i="6"/>
  <c r="AC2816" i="6"/>
  <c r="AC2818" i="6" s="1"/>
  <c r="AC2814" i="6"/>
  <c r="AC2812" i="6"/>
  <c r="AC2810" i="6"/>
  <c r="AC2809" i="6"/>
  <c r="AC2806" i="6"/>
  <c r="AC2805" i="6"/>
  <c r="AC2802" i="6"/>
  <c r="AC2801" i="6"/>
  <c r="AC2793" i="6"/>
  <c r="AC2790" i="6"/>
  <c r="AC2787" i="6"/>
  <c r="AC2779" i="6"/>
  <c r="AC2778" i="6"/>
  <c r="AC2775" i="6"/>
  <c r="AC2774" i="6"/>
  <c r="AC2771" i="6"/>
  <c r="AC2769" i="6"/>
  <c r="AC2767" i="6"/>
  <c r="AC2765" i="6"/>
  <c r="AC2761" i="6"/>
  <c r="AC2759" i="6"/>
  <c r="AC2757" i="6"/>
  <c r="AC2755" i="6"/>
  <c r="AC2751" i="6"/>
  <c r="AC2749" i="6"/>
  <c r="AC2745" i="6"/>
  <c r="AC2743" i="6"/>
  <c r="AC2739" i="6"/>
  <c r="AC2736" i="6"/>
  <c r="AC2735" i="6"/>
  <c r="AC2737" i="6" s="1"/>
  <c r="AC2732" i="6"/>
  <c r="AC2731" i="6"/>
  <c r="AC2733" i="6" s="1"/>
  <c r="AC2729" i="6"/>
  <c r="AC2727" i="6"/>
  <c r="AC2725" i="6"/>
  <c r="AC2722" i="6"/>
  <c r="AC2721" i="6"/>
  <c r="AC2723" i="6" s="1"/>
  <c r="AC2719" i="6"/>
  <c r="AC2717" i="6"/>
  <c r="AC2714" i="6"/>
  <c r="AC2713" i="6"/>
  <c r="AC2715" i="6" s="1"/>
  <c r="AC2710" i="6"/>
  <c r="AC2709" i="6"/>
  <c r="AC2711" i="6" s="1"/>
  <c r="AC2706" i="6"/>
  <c r="AC2705" i="6"/>
  <c r="AC2707" i="6" s="1"/>
  <c r="AC2700" i="6"/>
  <c r="AC2698" i="6"/>
  <c r="AC2696" i="6"/>
  <c r="AC2691" i="6"/>
  <c r="AC2689" i="6"/>
  <c r="AC2687" i="6"/>
  <c r="AC2666" i="6"/>
  <c r="AC2651" i="6"/>
  <c r="AC2637" i="6"/>
  <c r="AC2635" i="6"/>
  <c r="AC2631" i="6"/>
  <c r="AC2628" i="6"/>
  <c r="AC2627" i="6"/>
  <c r="AC2629" i="6" s="1"/>
  <c r="AC2624" i="6"/>
  <c r="AC2623" i="6"/>
  <c r="AC2625" i="6" s="1"/>
  <c r="AC2621" i="6"/>
  <c r="AC2619" i="6"/>
  <c r="AC2605" i="6"/>
  <c r="AC2603" i="6"/>
  <c r="AC2600" i="6"/>
  <c r="AC2597" i="6"/>
  <c r="AC2594" i="6"/>
  <c r="AC2578" i="6"/>
  <c r="AC2576" i="6"/>
  <c r="AC2568" i="6"/>
  <c r="AC2566" i="6"/>
  <c r="AC2542" i="6"/>
  <c r="AC2538" i="6"/>
  <c r="AC2536" i="6"/>
  <c r="AC2534" i="6"/>
  <c r="AC2532" i="6"/>
  <c r="AC2529" i="6"/>
  <c r="AC2528" i="6"/>
  <c r="AC2530" i="6" s="1"/>
  <c r="AC2526" i="6"/>
  <c r="AC2524" i="6"/>
  <c r="AC2521" i="6"/>
  <c r="AC2520" i="6"/>
  <c r="AC2522" i="6" s="1"/>
  <c r="AC2517" i="6"/>
  <c r="AC2516" i="6"/>
  <c r="AC2518" i="6" s="1"/>
  <c r="AC2513" i="6"/>
  <c r="AC2512" i="6"/>
  <c r="AC2514" i="6" s="1"/>
  <c r="AC2507" i="6"/>
  <c r="AC2505" i="6"/>
  <c r="AC2503" i="6"/>
  <c r="AC2498" i="6"/>
  <c r="AC2496" i="6"/>
  <c r="AC2494" i="6"/>
  <c r="AC2106" i="6"/>
  <c r="AC2104" i="6"/>
  <c r="AC2102" i="6"/>
  <c r="AC2100" i="6"/>
  <c r="AC2098" i="6"/>
  <c r="AC2096" i="6"/>
  <c r="AC2095" i="6"/>
  <c r="AC2092" i="6"/>
  <c r="AC2090" i="6"/>
  <c r="AC2087" i="6"/>
  <c r="AC2085" i="6"/>
  <c r="AC2084" i="6"/>
  <c r="AC2081" i="6"/>
  <c r="AC2080" i="6"/>
  <c r="AC2077" i="6"/>
  <c r="AC2076" i="6"/>
  <c r="AC2072" i="6"/>
  <c r="AC2070" i="6"/>
  <c r="AC2069" i="6"/>
  <c r="AC2066" i="6"/>
  <c r="AC2065" i="6"/>
  <c r="AC2062" i="6"/>
  <c r="AC2061" i="6"/>
  <c r="AC2058" i="6"/>
  <c r="AC2056" i="6"/>
  <c r="AC2053" i="6"/>
  <c r="AC2052" i="6"/>
  <c r="AC2054" i="6" s="1"/>
  <c r="AC2049" i="6"/>
  <c r="AC2048" i="6"/>
  <c r="AC2050" i="6" s="1"/>
  <c r="AC2045" i="6"/>
  <c r="AC2044" i="6"/>
  <c r="AC2046" i="6" s="1"/>
  <c r="AC2042" i="6"/>
  <c r="AC2040" i="6"/>
  <c r="AC2038" i="6"/>
  <c r="AC2037" i="6"/>
  <c r="AC2034" i="6"/>
  <c r="AC2033" i="6"/>
  <c r="AC2030" i="6"/>
  <c r="AC2029" i="6"/>
  <c r="AC2021" i="6"/>
  <c r="AC2018" i="6"/>
  <c r="AC2015" i="6"/>
  <c r="AC2007" i="6"/>
  <c r="AC2006" i="6"/>
  <c r="AC2003" i="6"/>
  <c r="AC2002" i="6"/>
  <c r="AC1999" i="6"/>
  <c r="AC1997" i="6"/>
  <c r="AC1995" i="6"/>
  <c r="AC1993" i="6"/>
  <c r="AC1989" i="6"/>
  <c r="AC1987" i="6"/>
  <c r="AC1985" i="6"/>
  <c r="AC1983" i="6"/>
  <c r="AC1979" i="6"/>
  <c r="AC1977" i="6"/>
  <c r="AC1973" i="6"/>
  <c r="AC1971" i="6"/>
  <c r="AC1967" i="6"/>
  <c r="AC1964" i="6"/>
  <c r="AC1963" i="6"/>
  <c r="AC1965" i="6" s="1"/>
  <c r="AC1960" i="6"/>
  <c r="AC1959" i="6"/>
  <c r="AC1961" i="6" s="1"/>
  <c r="AC1957" i="6"/>
  <c r="AC1955" i="6"/>
  <c r="AC1953" i="6"/>
  <c r="AC1950" i="6"/>
  <c r="AC1949" i="6"/>
  <c r="AC1951" i="6" s="1"/>
  <c r="AC1947" i="6"/>
  <c r="AC1945" i="6"/>
  <c r="AC1942" i="6"/>
  <c r="AC1941" i="6"/>
  <c r="AC1943" i="6" s="1"/>
  <c r="AC1938" i="6"/>
  <c r="AC1937" i="6"/>
  <c r="AC1939" i="6" s="1"/>
  <c r="AC1934" i="6"/>
  <c r="AC1933" i="6"/>
  <c r="AC1935" i="6" s="1"/>
  <c r="AC1928" i="6"/>
  <c r="AC1926" i="6"/>
  <c r="AC1924" i="6"/>
  <c r="AC1919" i="6"/>
  <c r="AC1917" i="6"/>
  <c r="AC1915" i="6"/>
  <c r="DH1891" i="6"/>
  <c r="DH1887" i="6"/>
  <c r="DI1887" i="6" s="1"/>
  <c r="DH1883" i="6"/>
  <c r="DI1883" i="6" s="1"/>
  <c r="DH1882" i="6"/>
  <c r="DI1882" i="6" s="1"/>
  <c r="DH1879" i="6"/>
  <c r="DI1879" i="6" s="1"/>
  <c r="DH1878" i="6"/>
  <c r="DI1878" i="6" s="1"/>
  <c r="DH1875" i="6"/>
  <c r="DI1875" i="6" s="1"/>
  <c r="DH1869" i="6"/>
  <c r="DI1869" i="6" s="1"/>
  <c r="DH1868" i="6"/>
  <c r="DI1868" i="6" s="1"/>
  <c r="DH1867" i="6"/>
  <c r="DI1867" i="6" s="1"/>
  <c r="DH1866" i="6"/>
  <c r="DI1866" i="6" s="1"/>
  <c r="DH1865" i="6"/>
  <c r="DI1865" i="6" s="1"/>
  <c r="DH1864" i="6"/>
  <c r="DI1864" i="6" s="1"/>
  <c r="DH1863" i="6"/>
  <c r="DH1862" i="6"/>
  <c r="DI1862" i="6" s="1"/>
  <c r="DH1859" i="6"/>
  <c r="DI1859" i="6" s="1"/>
  <c r="DH1858" i="6"/>
  <c r="DI1858" i="6" s="1"/>
  <c r="DH1857" i="6"/>
  <c r="DI1857" i="6" s="1"/>
  <c r="DH1856" i="6"/>
  <c r="DI1856" i="6" s="1"/>
  <c r="DH1855" i="6"/>
  <c r="DI1855" i="6" s="1"/>
  <c r="DH1854" i="6"/>
  <c r="DI1854" i="6" s="1"/>
  <c r="DH1853" i="6"/>
  <c r="DI1853" i="6" s="1"/>
  <c r="DH1852" i="6"/>
  <c r="DI1852" i="6" s="1"/>
  <c r="DH1847" i="6"/>
  <c r="DI1847" i="6" s="1"/>
  <c r="DH1846" i="6"/>
  <c r="DI1846" i="6" s="1"/>
  <c r="DH1845" i="6"/>
  <c r="DI1845" i="6" s="1"/>
  <c r="DH1843" i="6"/>
  <c r="DI1843" i="6" s="1"/>
  <c r="DH1842" i="6"/>
  <c r="DH1841" i="6"/>
  <c r="DH1840" i="6"/>
  <c r="DI1840" i="6" s="1"/>
  <c r="DH1839" i="6"/>
  <c r="DH1837" i="6"/>
  <c r="DH1836" i="6"/>
  <c r="DI1836" i="6" s="1"/>
  <c r="DH1831" i="6"/>
  <c r="DI1831" i="6" s="1"/>
  <c r="DH1830" i="6"/>
  <c r="DI1830" i="6" s="1"/>
  <c r="DH1829" i="6"/>
  <c r="DI1829" i="6" s="1"/>
  <c r="DH1828" i="6"/>
  <c r="DI1828" i="6" s="1"/>
  <c r="DH1827" i="6"/>
  <c r="DI1827" i="6" s="1"/>
  <c r="DH1826" i="6"/>
  <c r="DI1826" i="6" s="1"/>
  <c r="DH1825" i="6"/>
  <c r="DI1825" i="6" s="1"/>
  <c r="DH1823" i="6"/>
  <c r="DI1823" i="6" s="1"/>
  <c r="DH1822" i="6"/>
  <c r="DI1822" i="6" s="1"/>
  <c r="DH1817" i="6"/>
  <c r="DI1817" i="6" s="1"/>
  <c r="DH1816" i="6"/>
  <c r="DI1816" i="6" s="1"/>
  <c r="DH1815" i="6"/>
  <c r="DI1815" i="6" s="1"/>
  <c r="DH1814" i="6"/>
  <c r="DI1814" i="6" s="1"/>
  <c r="DH1813" i="6"/>
  <c r="DI1813" i="6" s="1"/>
  <c r="DH1812" i="6"/>
  <c r="DI1812" i="6" s="1"/>
  <c r="DH1811" i="6"/>
  <c r="DH1809" i="6"/>
  <c r="DH1808" i="6"/>
  <c r="DI1808" i="6" s="1"/>
  <c r="DH1807" i="6"/>
  <c r="DH1806" i="6"/>
  <c r="DI1806" i="6" s="1"/>
  <c r="DH1801" i="6"/>
  <c r="DI1801" i="6" s="1"/>
  <c r="DH1800" i="6"/>
  <c r="DI1800" i="6" s="1"/>
  <c r="DH1799" i="6"/>
  <c r="DI1799" i="6" s="1"/>
  <c r="DH1798" i="6"/>
  <c r="DI1798" i="6" s="1"/>
  <c r="DH1797" i="6"/>
  <c r="DI1797" i="6" s="1"/>
  <c r="DH1796" i="6"/>
  <c r="DI1796" i="6" s="1"/>
  <c r="DH1795" i="6"/>
  <c r="DH1793" i="6"/>
  <c r="DI1793" i="6" s="1"/>
  <c r="DH1792" i="6"/>
  <c r="DI1792" i="6" s="1"/>
  <c r="DH1791" i="6"/>
  <c r="DI1791" i="6" s="1"/>
  <c r="DH1785" i="6"/>
  <c r="DI1785" i="6" s="1"/>
  <c r="DH1783" i="6"/>
  <c r="DI1783" i="6" s="1"/>
  <c r="DH1782" i="6"/>
  <c r="DI1782" i="6" s="1"/>
  <c r="DH1781" i="6"/>
  <c r="DI1781" i="6" s="1"/>
  <c r="DH1780" i="6"/>
  <c r="DI1780" i="6" s="1"/>
  <c r="DH1779" i="6"/>
  <c r="DH1778" i="6"/>
  <c r="DI1778" i="6" s="1"/>
  <c r="DH1777" i="6"/>
  <c r="DH1775" i="6"/>
  <c r="DH1774" i="6"/>
  <c r="DI1774" i="6" s="1"/>
  <c r="DH1769" i="6"/>
  <c r="DI1769" i="6" s="1"/>
  <c r="DH1768" i="6"/>
  <c r="DI1768" i="6" s="1"/>
  <c r="DH1767" i="6"/>
  <c r="DI1767" i="6" s="1"/>
  <c r="DH1766" i="6"/>
  <c r="DI1766" i="6" s="1"/>
  <c r="DH1765" i="6"/>
  <c r="DI1765" i="6" s="1"/>
  <c r="DH1763" i="6"/>
  <c r="DH1761" i="6"/>
  <c r="DI1761" i="6" s="1"/>
  <c r="DH1760" i="6"/>
  <c r="DI1760" i="6" s="1"/>
  <c r="DH1759" i="6"/>
  <c r="DI1759" i="6" s="1"/>
  <c r="DH1758" i="6"/>
  <c r="DI1758" i="6" s="1"/>
  <c r="DH1753" i="6"/>
  <c r="DI1753" i="6" s="1"/>
  <c r="DH1752" i="6"/>
  <c r="DI1752" i="6" s="1"/>
  <c r="DH1751" i="6"/>
  <c r="DI1751" i="6" s="1"/>
  <c r="DH1750" i="6"/>
  <c r="DI1750" i="6" s="1"/>
  <c r="DH1749" i="6"/>
  <c r="DI1749" i="6" s="1"/>
  <c r="DH1748" i="6"/>
  <c r="DI1748" i="6" s="1"/>
  <c r="DH1747" i="6"/>
  <c r="DH1746" i="6"/>
  <c r="DI1746" i="6" s="1"/>
  <c r="DH1745" i="6"/>
  <c r="DH1744" i="6"/>
  <c r="DI1744" i="6" s="1"/>
  <c r="DH1743" i="6"/>
  <c r="DH1742" i="6"/>
  <c r="DI1742" i="6" s="1"/>
  <c r="DH1737" i="6"/>
  <c r="DI1737" i="6" s="1"/>
  <c r="DH1736" i="6"/>
  <c r="DI1736" i="6" s="1"/>
  <c r="DH1735" i="6"/>
  <c r="DI1735" i="6" s="1"/>
  <c r="DH1734" i="6"/>
  <c r="DI1734" i="6" s="1"/>
  <c r="DH1733" i="6"/>
  <c r="DI1733" i="6" s="1"/>
  <c r="DH1732" i="6"/>
  <c r="DI1732" i="6" s="1"/>
  <c r="DH1731" i="6"/>
  <c r="DH1730" i="6"/>
  <c r="DI1730" i="6" s="1"/>
  <c r="DH1729" i="6"/>
  <c r="DI1729" i="6" s="1"/>
  <c r="DH1728" i="6"/>
  <c r="DI1728" i="6" s="1"/>
  <c r="DH1727" i="6"/>
  <c r="DI1727" i="6" s="1"/>
  <c r="DH1726" i="6"/>
  <c r="DI1726" i="6" s="1"/>
  <c r="DH1725" i="6"/>
  <c r="DI1725" i="6" s="1"/>
  <c r="DH1724" i="6"/>
  <c r="DI1724" i="6" s="1"/>
  <c r="DH1723" i="6"/>
  <c r="DI1723" i="6" s="1"/>
  <c r="DH1722" i="6"/>
  <c r="DI1722" i="6" s="1"/>
  <c r="DH1721" i="6"/>
  <c r="DI1721" i="6" s="1"/>
  <c r="DH1720" i="6"/>
  <c r="DI1720" i="6" s="1"/>
  <c r="DH1719" i="6"/>
  <c r="DI1719" i="6" s="1"/>
  <c r="DH1718" i="6"/>
  <c r="DI1718" i="6" s="1"/>
  <c r="DH1717" i="6"/>
  <c r="DI1717" i="6" s="1"/>
  <c r="DH1716" i="6"/>
  <c r="DI1716" i="6" s="1"/>
  <c r="DH1715" i="6"/>
  <c r="DI1715" i="6" s="1"/>
  <c r="DH1714" i="6"/>
  <c r="DI1714" i="6" s="1"/>
  <c r="DH1713" i="6"/>
  <c r="DI1713" i="6" s="1"/>
  <c r="DH1712" i="6"/>
  <c r="DI1712" i="6" s="1"/>
  <c r="DH1711" i="6"/>
  <c r="DI1711" i="6" s="1"/>
  <c r="DH1710" i="6"/>
  <c r="DI1710" i="6" s="1"/>
  <c r="DH1709" i="6"/>
  <c r="DI1709" i="6" s="1"/>
  <c r="DH1707" i="6"/>
  <c r="DI1707" i="6" s="1"/>
  <c r="DH1705" i="6"/>
  <c r="DH1703" i="6"/>
  <c r="DI1703" i="6" s="1"/>
  <c r="DH1702" i="6"/>
  <c r="DI1702" i="6" s="1"/>
  <c r="DH1701" i="6"/>
  <c r="DI1701" i="6" s="1"/>
  <c r="DH1697" i="6"/>
  <c r="DI1697" i="6" s="1"/>
  <c r="DH1696" i="6"/>
  <c r="DI1696" i="6" s="1"/>
  <c r="DH1695" i="6"/>
  <c r="DI1695" i="6" s="1"/>
  <c r="DH1694" i="6"/>
  <c r="DI1694" i="6" s="1"/>
  <c r="DH1693" i="6"/>
  <c r="DH1692" i="6"/>
  <c r="DI1692" i="6" s="1"/>
  <c r="DH1691" i="6"/>
  <c r="DH1690" i="6"/>
  <c r="DI1690" i="6" s="1"/>
  <c r="DH1689" i="6"/>
  <c r="DH1688" i="6"/>
  <c r="DI1688" i="6" s="1"/>
  <c r="DH1683" i="6"/>
  <c r="DI1683" i="6" s="1"/>
  <c r="DH1682" i="6"/>
  <c r="DI1682" i="6" s="1"/>
  <c r="DH1681" i="6"/>
  <c r="DI1681" i="6" s="1"/>
  <c r="DH1680" i="6"/>
  <c r="DI1680" i="6" s="1"/>
  <c r="DH1679" i="6"/>
  <c r="DI1679" i="6" s="1"/>
  <c r="DH1678" i="6"/>
  <c r="DI1678" i="6" s="1"/>
  <c r="DH1677" i="6"/>
  <c r="DH1676" i="6"/>
  <c r="DI1676" i="6" s="1"/>
  <c r="DH1675" i="6"/>
  <c r="DI1675" i="6" s="1"/>
  <c r="DH1674" i="6"/>
  <c r="DI1674" i="6" s="1"/>
  <c r="DH1673" i="6"/>
  <c r="DI1673" i="6" s="1"/>
  <c r="DH1672" i="6"/>
  <c r="DI1672" i="6" s="1"/>
  <c r="DH1671" i="6"/>
  <c r="DI1671" i="6" s="1"/>
  <c r="DH1669" i="6"/>
  <c r="DH1668" i="6"/>
  <c r="DI1668" i="6" s="1"/>
  <c r="DH1665" i="6"/>
  <c r="DI1665" i="6" s="1"/>
  <c r="DH1664" i="6"/>
  <c r="DI1664" i="6" s="1"/>
  <c r="DH1661" i="6"/>
  <c r="DI1661" i="6" s="1"/>
  <c r="DH1660" i="6"/>
  <c r="DI1660" i="6" s="1"/>
  <c r="DH1659" i="6"/>
  <c r="DI1659" i="6" s="1"/>
  <c r="DH1658" i="6"/>
  <c r="DI1658" i="6" s="1"/>
  <c r="DH1657" i="6"/>
  <c r="DH1655" i="6"/>
  <c r="DI1655" i="6" s="1"/>
  <c r="DH1654" i="6"/>
  <c r="DI1654" i="6" s="1"/>
  <c r="DH1653" i="6"/>
  <c r="DI1653" i="6" s="1"/>
  <c r="DH1652" i="6"/>
  <c r="DI1652" i="6" s="1"/>
  <c r="DH1651" i="6"/>
  <c r="DH1649" i="6"/>
  <c r="DH1648" i="6"/>
  <c r="DI1648" i="6" s="1"/>
  <c r="DH1645" i="6"/>
  <c r="DI1645" i="6" s="1"/>
  <c r="DH1644" i="6"/>
  <c r="DI1644" i="6" s="1"/>
  <c r="DH1641" i="6"/>
  <c r="DI1641" i="6" s="1"/>
  <c r="DH1639" i="6"/>
  <c r="DI1639" i="6" s="1"/>
  <c r="DH1638" i="6"/>
  <c r="DI1638" i="6" s="1"/>
  <c r="DH1637" i="6"/>
  <c r="DH1636" i="6"/>
  <c r="DI1636" i="6" s="1"/>
  <c r="DH1633" i="6"/>
  <c r="DI1633" i="6" s="1"/>
  <c r="DH1632" i="6"/>
  <c r="DI1632" i="6" s="1"/>
  <c r="DH1629" i="6"/>
  <c r="DI1629" i="6" s="1"/>
  <c r="DH1628" i="6"/>
  <c r="DI1628" i="6" s="1"/>
  <c r="DH1627" i="6"/>
  <c r="DI1627" i="6" s="1"/>
  <c r="DH1625" i="6"/>
  <c r="DH1624" i="6"/>
  <c r="DI1624" i="6" s="1"/>
  <c r="DH1621" i="6"/>
  <c r="DI1621" i="6" s="1"/>
  <c r="DH1620" i="6"/>
  <c r="DI1620" i="6" s="1"/>
  <c r="DH1617" i="6"/>
  <c r="DI1617" i="6" s="1"/>
  <c r="DH1613" i="6"/>
  <c r="DI1613" i="6" s="1"/>
  <c r="DH1612" i="6"/>
  <c r="DI1612" i="6" s="1"/>
  <c r="DH1611" i="6"/>
  <c r="DI1611" i="6" s="1"/>
  <c r="DH1610" i="6"/>
  <c r="DI1610" i="6" s="1"/>
  <c r="DH1609" i="6"/>
  <c r="DH1608" i="6"/>
  <c r="DI1608" i="6" s="1"/>
  <c r="DH1607" i="6"/>
  <c r="DH1606" i="6"/>
  <c r="DI1606" i="6" s="1"/>
  <c r="DH1605" i="6"/>
  <c r="DH1599" i="6"/>
  <c r="DI1599" i="6" s="1"/>
  <c r="DH1597" i="6"/>
  <c r="DI1597" i="6" s="1"/>
  <c r="DH1596" i="6"/>
  <c r="DI1596" i="6" s="1"/>
  <c r="DH1595" i="6"/>
  <c r="DI1595" i="6" s="1"/>
  <c r="DH1594" i="6"/>
  <c r="DI1594" i="6" s="1"/>
  <c r="DH1593" i="6"/>
  <c r="DH1592" i="6"/>
  <c r="DI1592" i="6" s="1"/>
  <c r="DH1589" i="6"/>
  <c r="DI1589" i="6" s="1"/>
  <c r="DH1588" i="6"/>
  <c r="DI1588" i="6" s="1"/>
  <c r="DH1585" i="6"/>
  <c r="DI1585" i="6" s="1"/>
  <c r="DH1584" i="6"/>
  <c r="DI1584" i="6" s="1"/>
  <c r="DH1579" i="6"/>
  <c r="DI1579" i="6" s="1"/>
  <c r="DH1578" i="6"/>
  <c r="DI1578" i="6" s="1"/>
  <c r="DH1577" i="6"/>
  <c r="DI1577" i="6" s="1"/>
  <c r="DH1576" i="6"/>
  <c r="DI1576" i="6" s="1"/>
  <c r="DH1575" i="6"/>
  <c r="DI1575" i="6" s="1"/>
  <c r="DH1573" i="6"/>
  <c r="DH1572" i="6"/>
  <c r="DI1572" i="6" s="1"/>
  <c r="DH1569" i="6"/>
  <c r="DI1569" i="6" s="1"/>
  <c r="DH1568" i="6"/>
  <c r="DI1568" i="6" s="1"/>
  <c r="DH1567" i="6"/>
  <c r="DI1567" i="6" s="1"/>
  <c r="DH1565" i="6"/>
  <c r="DI1565" i="6" s="1"/>
  <c r="DH1563" i="6"/>
  <c r="DI1563" i="6" s="1"/>
  <c r="DH1562" i="6"/>
  <c r="DI1562" i="6" s="1"/>
  <c r="DH1561" i="6"/>
  <c r="DI1561" i="6" s="1"/>
  <c r="DH1555" i="6"/>
  <c r="DI1555" i="6" s="1"/>
  <c r="DH1553" i="6"/>
  <c r="DI1553" i="6" s="1"/>
  <c r="DH1552" i="6"/>
  <c r="DI1552" i="6" s="1"/>
  <c r="DH1547" i="6"/>
  <c r="DI1547" i="6" s="1"/>
  <c r="DH1545" i="6"/>
  <c r="DI1545" i="6" s="1"/>
  <c r="DH1543" i="6"/>
  <c r="DI1543" i="6" s="1"/>
  <c r="DH1539" i="6"/>
  <c r="DI1539" i="6" s="1"/>
  <c r="DH1538" i="6"/>
  <c r="DI1538" i="6" s="1"/>
  <c r="DH1537" i="6"/>
  <c r="DI1537" i="6" s="1"/>
  <c r="DH1535" i="6"/>
  <c r="DI1535" i="6" s="1"/>
  <c r="DH1533" i="6"/>
  <c r="DI1533" i="6" s="1"/>
  <c r="DH1532" i="6"/>
  <c r="DI1532" i="6" s="1"/>
  <c r="DH1531" i="6"/>
  <c r="DH1529" i="6"/>
  <c r="DI1529" i="6" s="1"/>
  <c r="DH1528" i="6"/>
  <c r="DI1528" i="6" s="1"/>
  <c r="DH1527" i="6"/>
  <c r="DI1527" i="6" s="1"/>
  <c r="DH1526" i="6"/>
  <c r="DI1526" i="6" s="1"/>
  <c r="DH1525" i="6"/>
  <c r="DI1525" i="6" s="1"/>
  <c r="DH1524" i="6"/>
  <c r="DI1524" i="6" s="1"/>
  <c r="DH1523" i="6"/>
  <c r="DI1523" i="6" s="1"/>
  <c r="DH1521" i="6"/>
  <c r="DI1521" i="6" s="1"/>
  <c r="DH1520" i="6"/>
  <c r="DI1520" i="6" s="1"/>
  <c r="DH1519" i="6"/>
  <c r="DI1519" i="6" s="1"/>
  <c r="DH1517" i="6"/>
  <c r="DI1517" i="6" s="1"/>
  <c r="DH1516" i="6"/>
  <c r="DI1516" i="6" s="1"/>
  <c r="DH1515" i="6"/>
  <c r="DI1515" i="6" s="1"/>
  <c r="DH1513" i="6"/>
  <c r="DI1513" i="6" s="1"/>
  <c r="DH1511" i="6"/>
  <c r="DI1511" i="6" s="1"/>
  <c r="DH1510" i="6"/>
  <c r="DI1510" i="6" s="1"/>
  <c r="DH1509" i="6"/>
  <c r="DI1509" i="6" s="1"/>
  <c r="F4423" i="6"/>
  <c r="F4046" i="6"/>
  <c r="F4047" i="6"/>
  <c r="F4048" i="6"/>
  <c r="F4049" i="6"/>
  <c r="F4050" i="6"/>
  <c r="F4051" i="6"/>
  <c r="F4052" i="6"/>
  <c r="F4053" i="6"/>
  <c r="F4054" i="6"/>
  <c r="F4055" i="6"/>
  <c r="F4056" i="6"/>
  <c r="F4057" i="6"/>
  <c r="F4058" i="6"/>
  <c r="F4059" i="6"/>
  <c r="F4060" i="6"/>
  <c r="F4061" i="6"/>
  <c r="F4062" i="6"/>
  <c r="F4063" i="6"/>
  <c r="F4064" i="6"/>
  <c r="F4065" i="6"/>
  <c r="F4066" i="6"/>
  <c r="F4067" i="6"/>
  <c r="F4068" i="6"/>
  <c r="F4069" i="6"/>
  <c r="F4072" i="6"/>
  <c r="F4073" i="6"/>
  <c r="F4074" i="6"/>
  <c r="F4075" i="6"/>
  <c r="F4076" i="6"/>
  <c r="F4077" i="6"/>
  <c r="F4078" i="6"/>
  <c r="F4079" i="6"/>
  <c r="F4080" i="6"/>
  <c r="F4081" i="6"/>
  <c r="F4082" i="6"/>
  <c r="F4083" i="6"/>
  <c r="F4084" i="6"/>
  <c r="F4085" i="6"/>
  <c r="F4086" i="6"/>
  <c r="F4087" i="6"/>
  <c r="F4088" i="6"/>
  <c r="F4089" i="6"/>
  <c r="F4090" i="6"/>
  <c r="F4091" i="6"/>
  <c r="F4092" i="6"/>
  <c r="F4093" i="6"/>
  <c r="F4094" i="6"/>
  <c r="F4095" i="6"/>
  <c r="F4096" i="6"/>
  <c r="F4097" i="6"/>
  <c r="F4098" i="6"/>
  <c r="F4099" i="6"/>
  <c r="F4100" i="6"/>
  <c r="F4101" i="6"/>
  <c r="F4102" i="6"/>
  <c r="F4103" i="6"/>
  <c r="F4104" i="6"/>
  <c r="F4105" i="6"/>
  <c r="F4106" i="6"/>
  <c r="F4107" i="6"/>
  <c r="F4108" i="6"/>
  <c r="F4109" i="6"/>
  <c r="F4110" i="6"/>
  <c r="F4111" i="6"/>
  <c r="F4112" i="6"/>
  <c r="F4113" i="6"/>
  <c r="F4114" i="6"/>
  <c r="F4115" i="6"/>
  <c r="F4116" i="6"/>
  <c r="F4117" i="6"/>
  <c r="F4118" i="6"/>
  <c r="F4119" i="6"/>
  <c r="F4120" i="6"/>
  <c r="F4121" i="6"/>
  <c r="F4122" i="6"/>
  <c r="F4123" i="6"/>
  <c r="F4124" i="6"/>
  <c r="F4125" i="6"/>
  <c r="F4126" i="6"/>
  <c r="F4127" i="6"/>
  <c r="F4128" i="6"/>
  <c r="F4129" i="6"/>
  <c r="F4130" i="6"/>
  <c r="F4131" i="6"/>
  <c r="F4132" i="6"/>
  <c r="F4133" i="6"/>
  <c r="F4134" i="6"/>
  <c r="F4135" i="6"/>
  <c r="F4136" i="6"/>
  <c r="F4137" i="6"/>
  <c r="F4138" i="6"/>
  <c r="F4139" i="6"/>
  <c r="F4140" i="6"/>
  <c r="F4141" i="6"/>
  <c r="F4142" i="6"/>
  <c r="F4143" i="6"/>
  <c r="F4144" i="6"/>
  <c r="F4145" i="6"/>
  <c r="F4146" i="6"/>
  <c r="F4147" i="6"/>
  <c r="F4150" i="6"/>
  <c r="F4151" i="6"/>
  <c r="F4152" i="6"/>
  <c r="F4153" i="6"/>
  <c r="F4154" i="6"/>
  <c r="F4155" i="6"/>
  <c r="F4156" i="6"/>
  <c r="F4157" i="6"/>
  <c r="F4158" i="6"/>
  <c r="F4159" i="6"/>
  <c r="F4162" i="6"/>
  <c r="F4163" i="6"/>
  <c r="F4164" i="6"/>
  <c r="F4165" i="6"/>
  <c r="F4166" i="6"/>
  <c r="F4167" i="6"/>
  <c r="F4168" i="6"/>
  <c r="F4169" i="6"/>
  <c r="F4170" i="6"/>
  <c r="F4171" i="6"/>
  <c r="F4174" i="6"/>
  <c r="F4175" i="6"/>
  <c r="F4176" i="6"/>
  <c r="F4177" i="6"/>
  <c r="F4178" i="6"/>
  <c r="F4179" i="6"/>
  <c r="F4180" i="6"/>
  <c r="F4181" i="6"/>
  <c r="F4182" i="6"/>
  <c r="F4183" i="6"/>
  <c r="F4184" i="6"/>
  <c r="F4185" i="6"/>
  <c r="F4186" i="6"/>
  <c r="F4187" i="6"/>
  <c r="F4188" i="6"/>
  <c r="F4189" i="6"/>
  <c r="F4190" i="6"/>
  <c r="F4191" i="6"/>
  <c r="F4194" i="6"/>
  <c r="F4195" i="6"/>
  <c r="F4196" i="6"/>
  <c r="F4197" i="6"/>
  <c r="F4198" i="6"/>
  <c r="F4199" i="6"/>
  <c r="F4200" i="6"/>
  <c r="F4201" i="6"/>
  <c r="F4202" i="6"/>
  <c r="F4203" i="6"/>
  <c r="F4204" i="6"/>
  <c r="F4205" i="6"/>
  <c r="F4206" i="6"/>
  <c r="F4207" i="6"/>
  <c r="F4208" i="6"/>
  <c r="F4209" i="6"/>
  <c r="F4210" i="6"/>
  <c r="F4211" i="6"/>
  <c r="F4212" i="6"/>
  <c r="F4213" i="6"/>
  <c r="F4214" i="6"/>
  <c r="F4215" i="6"/>
  <c r="F4216" i="6"/>
  <c r="F4217" i="6"/>
  <c r="F4218" i="6"/>
  <c r="F4219" i="6"/>
  <c r="F4220" i="6"/>
  <c r="F4221" i="6"/>
  <c r="F4222" i="6"/>
  <c r="F4223" i="6"/>
  <c r="F4224" i="6"/>
  <c r="F4225" i="6"/>
  <c r="F4226" i="6"/>
  <c r="F4227" i="6"/>
  <c r="F4230" i="6"/>
  <c r="F4231" i="6"/>
  <c r="F4232" i="6"/>
  <c r="F4233" i="6"/>
  <c r="F4234" i="6"/>
  <c r="F4235" i="6"/>
  <c r="F4236" i="6"/>
  <c r="F4237" i="6"/>
  <c r="F4238" i="6"/>
  <c r="F4239" i="6"/>
  <c r="F4240" i="6"/>
  <c r="F4241" i="6"/>
  <c r="F4242" i="6"/>
  <c r="F4243" i="6"/>
  <c r="F4244" i="6"/>
  <c r="F4245" i="6"/>
  <c r="F4246" i="6"/>
  <c r="F4247" i="6"/>
  <c r="F4248" i="6"/>
  <c r="F4249" i="6"/>
  <c r="F4250" i="6"/>
  <c r="F4251" i="6"/>
  <c r="F4252" i="6"/>
  <c r="F4253" i="6"/>
  <c r="F4254" i="6"/>
  <c r="F4255" i="6"/>
  <c r="F4256" i="6"/>
  <c r="F4257" i="6"/>
  <c r="F4258" i="6"/>
  <c r="F4259" i="6"/>
  <c r="F4260" i="6"/>
  <c r="F4261" i="6"/>
  <c r="F4262" i="6"/>
  <c r="F4263" i="6"/>
  <c r="F4264" i="6"/>
  <c r="F4265" i="6"/>
  <c r="F4266" i="6"/>
  <c r="F4267" i="6"/>
  <c r="F4268" i="6"/>
  <c r="F4269" i="6"/>
  <c r="F4270" i="6"/>
  <c r="F4271" i="6"/>
  <c r="F4272" i="6"/>
  <c r="F4273" i="6"/>
  <c r="F4274" i="6"/>
  <c r="F4275" i="6"/>
  <c r="F4276" i="6"/>
  <c r="F4277" i="6"/>
  <c r="F4278" i="6"/>
  <c r="F4279" i="6"/>
  <c r="F4280" i="6"/>
  <c r="F4281" i="6"/>
  <c r="F4282" i="6"/>
  <c r="F4283" i="6"/>
  <c r="F4284" i="6"/>
  <c r="F4285" i="6"/>
  <c r="F4286" i="6"/>
  <c r="F4287" i="6"/>
  <c r="F4288" i="6"/>
  <c r="F4289" i="6"/>
  <c r="F4290" i="6"/>
  <c r="F4291" i="6"/>
  <c r="F4292" i="6"/>
  <c r="F4293" i="6"/>
  <c r="F4294" i="6"/>
  <c r="F4295" i="6"/>
  <c r="F4296" i="6"/>
  <c r="F4297" i="6"/>
  <c r="F4298" i="6"/>
  <c r="F4299" i="6"/>
  <c r="F4300" i="6"/>
  <c r="F4301" i="6"/>
  <c r="F4302" i="6"/>
  <c r="F4303" i="6"/>
  <c r="F4304" i="6"/>
  <c r="F4305" i="6"/>
  <c r="F4306" i="6"/>
  <c r="F4307" i="6"/>
  <c r="F4308" i="6"/>
  <c r="F4309" i="6"/>
  <c r="F4310" i="6"/>
  <c r="F4311" i="6"/>
  <c r="F4312" i="6"/>
  <c r="F4313" i="6"/>
  <c r="F4314" i="6"/>
  <c r="F4315" i="6"/>
  <c r="F4316" i="6"/>
  <c r="F4317" i="6"/>
  <c r="F4318" i="6"/>
  <c r="F4319" i="6"/>
  <c r="F4320" i="6"/>
  <c r="F4321" i="6"/>
  <c r="F4322" i="6"/>
  <c r="F4323" i="6"/>
  <c r="F4324" i="6"/>
  <c r="F4325" i="6"/>
  <c r="F4326" i="6"/>
  <c r="F4327" i="6"/>
  <c r="F4328" i="6"/>
  <c r="F4329" i="6"/>
  <c r="F4330" i="6"/>
  <c r="F4331" i="6"/>
  <c r="F4332" i="6"/>
  <c r="F4333" i="6"/>
  <c r="F4334" i="6"/>
  <c r="F4335" i="6"/>
  <c r="F4336" i="6"/>
  <c r="F4337" i="6"/>
  <c r="F4338" i="6"/>
  <c r="F4339" i="6"/>
  <c r="F4340" i="6"/>
  <c r="F4341" i="6"/>
  <c r="F4342" i="6"/>
  <c r="F4343" i="6"/>
  <c r="F4344" i="6"/>
  <c r="F4345" i="6"/>
  <c r="F4346" i="6"/>
  <c r="F4347" i="6"/>
  <c r="F4348" i="6"/>
  <c r="F4349" i="6"/>
  <c r="F4350" i="6"/>
  <c r="F4351" i="6"/>
  <c r="F4352" i="6"/>
  <c r="F4353" i="6"/>
  <c r="F4354" i="6"/>
  <c r="F4355" i="6"/>
  <c r="F4356" i="6"/>
  <c r="F4357" i="6"/>
  <c r="F4358" i="6"/>
  <c r="F4359" i="6"/>
  <c r="F4360" i="6"/>
  <c r="F4361" i="6"/>
  <c r="F4362" i="6"/>
  <c r="F4363" i="6"/>
  <c r="F4364" i="6"/>
  <c r="F4365" i="6"/>
  <c r="F4366" i="6"/>
  <c r="F4367" i="6"/>
  <c r="F4368" i="6"/>
  <c r="F4369" i="6"/>
  <c r="F4370" i="6"/>
  <c r="F4371" i="6"/>
  <c r="F4372" i="6"/>
  <c r="F4373" i="6"/>
  <c r="F4374" i="6"/>
  <c r="F4375" i="6"/>
  <c r="F4376" i="6"/>
  <c r="F4377" i="6"/>
  <c r="F4378" i="6"/>
  <c r="F4379" i="6"/>
  <c r="F4380" i="6"/>
  <c r="F4381" i="6"/>
  <c r="F4382" i="6"/>
  <c r="F4383" i="6"/>
  <c r="F4384" i="6"/>
  <c r="F4385" i="6"/>
  <c r="F4386" i="6"/>
  <c r="F4387" i="6"/>
  <c r="F4388" i="6"/>
  <c r="F4389" i="6"/>
  <c r="F4390" i="6"/>
  <c r="F4391" i="6"/>
  <c r="F4392" i="6"/>
  <c r="F4393" i="6"/>
  <c r="F4394" i="6"/>
  <c r="F4395" i="6"/>
  <c r="F4396" i="6"/>
  <c r="F4397" i="6"/>
  <c r="F4398" i="6"/>
  <c r="F4399" i="6"/>
  <c r="F4400" i="6"/>
  <c r="F4401" i="6"/>
  <c r="F4402" i="6"/>
  <c r="F4403" i="6"/>
  <c r="F4404" i="6"/>
  <c r="F4405" i="6"/>
  <c r="F4406" i="6"/>
  <c r="F4407" i="6"/>
  <c r="F4408" i="6"/>
  <c r="F4409" i="6"/>
  <c r="F4410" i="6"/>
  <c r="F4411" i="6"/>
  <c r="F4412" i="6"/>
  <c r="F4413" i="6"/>
  <c r="F4414" i="6"/>
  <c r="F4415" i="6"/>
  <c r="F4416" i="6"/>
  <c r="F4417" i="6"/>
  <c r="F4418" i="6"/>
  <c r="F4419" i="6"/>
  <c r="F4420" i="6"/>
  <c r="F4421" i="6"/>
  <c r="F4422" i="6"/>
  <c r="F4042" i="6"/>
  <c r="F4043" i="6"/>
  <c r="F4044" i="6"/>
  <c r="F4045" i="6"/>
  <c r="F4036" i="6"/>
  <c r="F4037" i="6"/>
  <c r="F3845" i="6"/>
  <c r="F3846" i="6"/>
  <c r="F3847" i="6"/>
  <c r="F3848" i="6"/>
  <c r="F3849" i="6"/>
  <c r="F3850" i="6"/>
  <c r="F3851" i="6"/>
  <c r="F3852" i="6"/>
  <c r="F3853" i="6"/>
  <c r="F3854" i="6"/>
  <c r="F3855" i="6"/>
  <c r="F3856" i="6"/>
  <c r="F3857" i="6"/>
  <c r="F3858" i="6"/>
  <c r="F3859" i="6"/>
  <c r="F3860" i="6"/>
  <c r="F3861" i="6"/>
  <c r="F3862" i="6"/>
  <c r="F3863" i="6"/>
  <c r="F3864" i="6"/>
  <c r="F3865" i="6"/>
  <c r="F3866" i="6"/>
  <c r="F3867" i="6"/>
  <c r="F3868" i="6"/>
  <c r="F3869" i="6"/>
  <c r="F3870" i="6"/>
  <c r="F3871" i="6"/>
  <c r="F3872" i="6"/>
  <c r="F3873" i="6"/>
  <c r="F3874" i="6"/>
  <c r="F3875" i="6"/>
  <c r="F3876" i="6"/>
  <c r="F3877" i="6"/>
  <c r="F3878" i="6"/>
  <c r="F3879" i="6"/>
  <c r="F3880" i="6"/>
  <c r="F3881" i="6"/>
  <c r="F3882" i="6"/>
  <c r="F3883" i="6"/>
  <c r="F3884" i="6"/>
  <c r="F3885" i="6"/>
  <c r="F3886" i="6"/>
  <c r="F3887" i="6"/>
  <c r="F3888" i="6"/>
  <c r="F3889" i="6"/>
  <c r="F3890" i="6"/>
  <c r="F3891" i="6"/>
  <c r="F3892" i="6"/>
  <c r="F3893" i="6"/>
  <c r="F3894" i="6"/>
  <c r="F3895" i="6"/>
  <c r="F3896" i="6"/>
  <c r="F3897" i="6"/>
  <c r="F3898" i="6"/>
  <c r="F3899" i="6"/>
  <c r="F3900" i="6"/>
  <c r="F3901" i="6"/>
  <c r="F3902" i="6"/>
  <c r="F3903" i="6"/>
  <c r="F3904" i="6"/>
  <c r="F3905" i="6"/>
  <c r="F3906" i="6"/>
  <c r="F3907" i="6"/>
  <c r="F3908" i="6"/>
  <c r="F3909" i="6"/>
  <c r="F3910" i="6"/>
  <c r="F3911" i="6"/>
  <c r="F3912" i="6"/>
  <c r="F3913" i="6"/>
  <c r="F3914" i="6"/>
  <c r="F3915" i="6"/>
  <c r="F3916" i="6"/>
  <c r="F3917" i="6"/>
  <c r="F3918" i="6"/>
  <c r="F3919" i="6"/>
  <c r="F3920" i="6"/>
  <c r="F3921" i="6"/>
  <c r="F3922" i="6"/>
  <c r="F3923" i="6"/>
  <c r="F3924" i="6"/>
  <c r="F3925" i="6"/>
  <c r="F3926" i="6"/>
  <c r="F3927" i="6"/>
  <c r="F3928" i="6"/>
  <c r="F3929" i="6"/>
  <c r="F3930" i="6"/>
  <c r="F3931" i="6"/>
  <c r="F3932" i="6"/>
  <c r="F3933" i="6"/>
  <c r="F3934" i="6"/>
  <c r="F3935" i="6"/>
  <c r="F3936" i="6"/>
  <c r="F3937" i="6"/>
  <c r="F3938" i="6"/>
  <c r="F3939" i="6"/>
  <c r="F3940" i="6"/>
  <c r="F3941" i="6"/>
  <c r="F3942" i="6"/>
  <c r="F3943" i="6"/>
  <c r="F3944" i="6"/>
  <c r="F3945" i="6"/>
  <c r="F3946" i="6"/>
  <c r="F3947" i="6"/>
  <c r="F3948" i="6"/>
  <c r="F3949" i="6"/>
  <c r="F3950" i="6"/>
  <c r="F3951" i="6"/>
  <c r="F3952" i="6"/>
  <c r="F3953" i="6"/>
  <c r="F3954" i="6"/>
  <c r="F3955" i="6"/>
  <c r="F3956" i="6"/>
  <c r="F3957" i="6"/>
  <c r="F3958" i="6"/>
  <c r="F3959" i="6"/>
  <c r="F3960" i="6"/>
  <c r="F3961" i="6"/>
  <c r="F3962" i="6"/>
  <c r="F3963" i="6"/>
  <c r="F3964" i="6"/>
  <c r="F3965" i="6"/>
  <c r="F3966" i="6"/>
  <c r="F3967" i="6"/>
  <c r="F3968" i="6"/>
  <c r="F3969" i="6"/>
  <c r="F3970" i="6"/>
  <c r="F3971" i="6"/>
  <c r="F3972" i="6"/>
  <c r="F3973" i="6"/>
  <c r="F3974" i="6"/>
  <c r="F3975" i="6"/>
  <c r="F3976" i="6"/>
  <c r="F3977" i="6"/>
  <c r="F3978" i="6"/>
  <c r="F3979" i="6"/>
  <c r="F3980" i="6"/>
  <c r="F3981" i="6"/>
  <c r="F3982" i="6"/>
  <c r="F3983" i="6"/>
  <c r="F3984" i="6"/>
  <c r="F3985" i="6"/>
  <c r="F3986" i="6"/>
  <c r="F3987" i="6"/>
  <c r="F3988" i="6"/>
  <c r="F3989" i="6"/>
  <c r="F3990" i="6"/>
  <c r="F3991" i="6"/>
  <c r="F3992" i="6"/>
  <c r="F3993" i="6"/>
  <c r="F3994" i="6"/>
  <c r="F3995" i="6"/>
  <c r="F3996" i="6"/>
  <c r="F3997" i="6"/>
  <c r="F3998" i="6"/>
  <c r="F3999" i="6"/>
  <c r="F4000" i="6"/>
  <c r="F4001" i="6"/>
  <c r="F4002" i="6"/>
  <c r="F4003" i="6"/>
  <c r="F4004" i="6"/>
  <c r="F4005" i="6"/>
  <c r="F4006" i="6"/>
  <c r="F4007" i="6"/>
  <c r="F4008" i="6"/>
  <c r="F4009" i="6"/>
  <c r="F4010" i="6"/>
  <c r="F4011" i="6"/>
  <c r="F4012" i="6"/>
  <c r="F4013" i="6"/>
  <c r="F4014" i="6"/>
  <c r="F4015" i="6"/>
  <c r="F4016" i="6"/>
  <c r="F4017" i="6"/>
  <c r="F4018" i="6"/>
  <c r="F4019" i="6"/>
  <c r="F4020" i="6"/>
  <c r="F4021" i="6"/>
  <c r="F4022" i="6"/>
  <c r="F4023" i="6"/>
  <c r="F4024" i="6"/>
  <c r="F4025" i="6"/>
  <c r="F4026" i="6"/>
  <c r="F4027" i="6"/>
  <c r="F4028" i="6"/>
  <c r="F4029" i="6"/>
  <c r="F4030" i="6"/>
  <c r="F4031" i="6"/>
  <c r="F4032" i="6"/>
  <c r="F4033" i="6"/>
  <c r="F4034" i="6"/>
  <c r="F4035" i="6"/>
  <c r="F4038" i="6"/>
  <c r="F4039" i="6"/>
  <c r="F4040" i="6"/>
  <c r="F4041" i="6"/>
  <c r="BC205" i="15"/>
  <c r="F1457" i="6"/>
  <c r="F1458" i="6"/>
  <c r="F1459" i="6"/>
  <c r="F1460" i="6"/>
  <c r="F1461" i="6"/>
  <c r="F1462" i="6"/>
  <c r="F1438" i="6"/>
  <c r="F1437" i="6"/>
  <c r="F1436" i="6"/>
  <c r="F1435" i="6"/>
  <c r="F1434" i="6"/>
  <c r="F1433" i="6"/>
  <c r="F1430" i="6"/>
  <c r="F1429" i="6"/>
  <c r="F1428" i="6"/>
  <c r="F1427" i="6"/>
  <c r="F1426" i="6"/>
  <c r="F1425" i="6"/>
  <c r="F1422" i="6"/>
  <c r="F1421" i="6"/>
  <c r="F1420" i="6"/>
  <c r="F1419" i="6"/>
  <c r="F1418" i="6"/>
  <c r="F1417" i="6"/>
  <c r="K10" i="6"/>
  <c r="K8" i="6"/>
  <c r="J8" i="6"/>
  <c r="J10" i="6"/>
  <c r="J12" i="6"/>
  <c r="J14" i="6"/>
  <c r="I14" i="6"/>
  <c r="I12" i="6"/>
  <c r="I10" i="6"/>
  <c r="I8" i="6"/>
  <c r="AG238" i="5"/>
  <c r="AF238" i="5"/>
  <c r="AE238" i="5"/>
  <c r="AD238" i="5"/>
  <c r="AC238" i="5"/>
  <c r="AB238" i="5"/>
  <c r="AA238" i="5"/>
  <c r="Z238" i="5"/>
  <c r="Y238" i="5"/>
  <c r="X238" i="5"/>
  <c r="W238" i="5"/>
  <c r="G223" i="5"/>
  <c r="J154" i="16"/>
  <c r="X22" i="15" s="1"/>
  <c r="Z22" i="15" s="1"/>
  <c r="W22" i="15" s="1"/>
  <c r="J155" i="16"/>
  <c r="V168" i="16"/>
  <c r="V167" i="16"/>
  <c r="V166" i="16"/>
  <c r="V165" i="16"/>
  <c r="V164" i="16"/>
  <c r="H155" i="16"/>
  <c r="AC109" i="16"/>
  <c r="AC100" i="16"/>
  <c r="AC97" i="16"/>
  <c r="AC93" i="16"/>
  <c r="AC91" i="16"/>
  <c r="I8" i="5"/>
  <c r="F89" i="6"/>
  <c r="L967" i="7"/>
  <c r="K967" i="7"/>
  <c r="J966" i="7"/>
  <c r="K966" i="7"/>
  <c r="L966" i="7"/>
  <c r="J967" i="7"/>
  <c r="H967" i="7"/>
  <c r="H42" i="5"/>
  <c r="J42" i="5"/>
  <c r="J554" i="7"/>
  <c r="F1148" i="7"/>
  <c r="F1144" i="7"/>
  <c r="F1142" i="7"/>
  <c r="F1140" i="7"/>
  <c r="F1138" i="7"/>
  <c r="F1136" i="7"/>
  <c r="F1134" i="7"/>
  <c r="F1132" i="7"/>
  <c r="F1130" i="7"/>
  <c r="L960" i="7"/>
  <c r="K960" i="7"/>
  <c r="J960" i="7"/>
  <c r="L796" i="7"/>
  <c r="DJ796" i="7" s="1"/>
  <c r="J553" i="7"/>
  <c r="N550" i="7"/>
  <c r="N551" i="7"/>
  <c r="N552" i="7"/>
  <c r="N553" i="7"/>
  <c r="N554" i="7"/>
  <c r="N549" i="7"/>
  <c r="K154" i="16"/>
  <c r="DJ154" i="16" s="1"/>
  <c r="L8" i="5"/>
  <c r="X43" i="15" s="1"/>
  <c r="Z43" i="15" s="1"/>
  <c r="W43" i="15" s="1"/>
  <c r="V43" i="15" s="1"/>
  <c r="L9" i="5"/>
  <c r="X44" i="15" s="1"/>
  <c r="Z44" i="15" s="1"/>
  <c r="W44" i="15" s="1"/>
  <c r="V44" i="15" s="1"/>
  <c r="L10" i="5"/>
  <c r="M8" i="5"/>
  <c r="DJ8" i="5" s="1"/>
  <c r="M7" i="5"/>
  <c r="DJ7" i="5" s="1"/>
  <c r="J271" i="5"/>
  <c r="X65" i="15" s="1"/>
  <c r="Z65" i="15" s="1"/>
  <c r="W65" i="15" s="1"/>
  <c r="J272" i="5"/>
  <c r="X66" i="15" s="1"/>
  <c r="Z66" i="15" s="1"/>
  <c r="W66" i="15" s="1"/>
  <c r="J273" i="5"/>
  <c r="J274" i="5"/>
  <c r="J275" i="5"/>
  <c r="X69" i="15" s="1"/>
  <c r="Z69" i="15" s="1"/>
  <c r="W69" i="15" s="1"/>
  <c r="J276" i="5"/>
  <c r="X70" i="15" s="1"/>
  <c r="Z70" i="15" s="1"/>
  <c r="W70" i="15" s="1"/>
  <c r="J277" i="5"/>
  <c r="X71" i="15" s="1"/>
  <c r="Z71" i="15" s="1"/>
  <c r="W71" i="15" s="1"/>
  <c r="J278" i="5"/>
  <c r="K85" i="5"/>
  <c r="K86" i="5"/>
  <c r="J8" i="5"/>
  <c r="AX73" i="15"/>
  <c r="AZ73" i="15"/>
  <c r="J306" i="5"/>
  <c r="X73" i="15" s="1"/>
  <c r="Z73" i="15" s="1"/>
  <c r="W73" i="15" s="1"/>
  <c r="G62" i="5"/>
  <c r="H306" i="5"/>
  <c r="G293" i="5"/>
  <c r="AF293" i="5" s="1"/>
  <c r="G294" i="5"/>
  <c r="G295" i="5"/>
  <c r="G292" i="5"/>
  <c r="V95" i="2"/>
  <c r="V123" i="2"/>
  <c r="W113" i="2"/>
  <c r="X113" i="2"/>
  <c r="Y113" i="2"/>
  <c r="AX113" i="2" s="1"/>
  <c r="Z113" i="2"/>
  <c r="AA113" i="2"/>
  <c r="AN113" i="2" s="1"/>
  <c r="AC113" i="2"/>
  <c r="BB113" i="2" s="1"/>
  <c r="AD113" i="2"/>
  <c r="AE113" i="2"/>
  <c r="AR113" i="2" s="1"/>
  <c r="AF113" i="2"/>
  <c r="AS113" i="2" s="1"/>
  <c r="AG113" i="2"/>
  <c r="AO113" i="2"/>
  <c r="BH113" i="2"/>
  <c r="BI113" i="2"/>
  <c r="BJ113" i="2"/>
  <c r="BK113" i="2"/>
  <c r="BL113" i="2"/>
  <c r="BN113" i="2"/>
  <c r="BO113" i="2"/>
  <c r="BP113" i="2"/>
  <c r="BQ113" i="2"/>
  <c r="AO8" i="2"/>
  <c r="BA8" i="2"/>
  <c r="AX591" i="15"/>
  <c r="AZ591" i="15"/>
  <c r="AX588" i="15"/>
  <c r="AZ588" i="15"/>
  <c r="AX585" i="15"/>
  <c r="AZ585" i="15"/>
  <c r="AX474" i="15"/>
  <c r="AZ474" i="15"/>
  <c r="DJ1176" i="7"/>
  <c r="DI1176" i="7"/>
  <c r="DH1176" i="7"/>
  <c r="DG1176" i="7"/>
  <c r="AZ512" i="15"/>
  <c r="AX512" i="15"/>
  <c r="AX523" i="15"/>
  <c r="AZ523" i="15"/>
  <c r="AX522" i="15"/>
  <c r="AZ522" i="15"/>
  <c r="AX521" i="15"/>
  <c r="AZ521" i="15"/>
  <c r="AX520" i="15"/>
  <c r="AZ520" i="15"/>
  <c r="AX519" i="15"/>
  <c r="AZ519" i="15"/>
  <c r="AX518" i="15"/>
  <c r="AZ518" i="15"/>
  <c r="AX517" i="15"/>
  <c r="AZ517" i="15"/>
  <c r="AX516" i="15"/>
  <c r="AZ516" i="15"/>
  <c r="AX515" i="15"/>
  <c r="AZ515" i="15"/>
  <c r="AX514" i="15"/>
  <c r="AZ514" i="15"/>
  <c r="AX513" i="15"/>
  <c r="AZ513" i="15"/>
  <c r="AX483" i="15"/>
  <c r="AZ483" i="15"/>
  <c r="AX480" i="15"/>
  <c r="AZ480" i="15"/>
  <c r="AX477" i="15"/>
  <c r="AZ477" i="15"/>
  <c r="DH1040" i="7"/>
  <c r="DH1041" i="7"/>
  <c r="DH1042" i="7"/>
  <c r="DH1043" i="7"/>
  <c r="DH1034" i="7"/>
  <c r="DH1035" i="7"/>
  <c r="DH1036" i="7"/>
  <c r="DH1037" i="7"/>
  <c r="DH1038" i="7"/>
  <c r="DH1039" i="7"/>
  <c r="DJ1043" i="7"/>
  <c r="K1040" i="7"/>
  <c r="DJ1040" i="7" s="1"/>
  <c r="K1037" i="7"/>
  <c r="DJ1037" i="7" s="1"/>
  <c r="K1041" i="7"/>
  <c r="DJ1041" i="7" s="1"/>
  <c r="K1039" i="7"/>
  <c r="DJ1039" i="7" s="1"/>
  <c r="K1038" i="7"/>
  <c r="DJ1038" i="7" s="1"/>
  <c r="K1036" i="7"/>
  <c r="DJ1036" i="7" s="1"/>
  <c r="K1035" i="7"/>
  <c r="DJ1035" i="7" s="1"/>
  <c r="K1034" i="7"/>
  <c r="DJ1034" i="7" s="1"/>
  <c r="K1033" i="7"/>
  <c r="DJ1033" i="7" s="1"/>
  <c r="DH960" i="7"/>
  <c r="AX471" i="15"/>
  <c r="AZ471" i="15"/>
  <c r="AX465" i="15"/>
  <c r="AZ465" i="15"/>
  <c r="L754" i="7"/>
  <c r="DJ754" i="7" s="1"/>
  <c r="L753" i="7"/>
  <c r="DJ753" i="7" s="1"/>
  <c r="L755" i="7"/>
  <c r="DJ755" i="7" s="1"/>
  <c r="L756" i="7"/>
  <c r="DJ756" i="7" s="1"/>
  <c r="K754" i="7"/>
  <c r="X438" i="15" s="1"/>
  <c r="Z438" i="15" s="1"/>
  <c r="W438" i="15" s="1"/>
  <c r="K755" i="7"/>
  <c r="X439" i="15" s="1"/>
  <c r="Z439" i="15" s="1"/>
  <c r="W439" i="15" s="1"/>
  <c r="K756" i="7"/>
  <c r="X440" i="15" s="1"/>
  <c r="Z440" i="15" s="1"/>
  <c r="W440" i="15" s="1"/>
  <c r="K753" i="7"/>
  <c r="X437" i="15" s="1"/>
  <c r="Z437" i="15" s="1"/>
  <c r="W437" i="15" s="1"/>
  <c r="AX440" i="15"/>
  <c r="AZ440" i="15"/>
  <c r="AX439" i="15"/>
  <c r="AZ439" i="15"/>
  <c r="AX437" i="15"/>
  <c r="AZ437" i="15"/>
  <c r="AX438" i="15"/>
  <c r="AZ438" i="15"/>
  <c r="AX434" i="15"/>
  <c r="AZ434" i="15"/>
  <c r="AX412" i="15"/>
  <c r="AZ412" i="15"/>
  <c r="AX411" i="15"/>
  <c r="AZ411" i="15"/>
  <c r="AX74" i="15"/>
  <c r="AZ74" i="15"/>
  <c r="AX71" i="15"/>
  <c r="AZ71" i="15"/>
  <c r="AX68" i="15"/>
  <c r="AZ68" i="15"/>
  <c r="AX65" i="15"/>
  <c r="AZ65" i="15"/>
  <c r="AX63" i="15"/>
  <c r="AZ63" i="15"/>
  <c r="AX60" i="15"/>
  <c r="AZ60" i="15"/>
  <c r="AX57" i="15"/>
  <c r="AZ57" i="15"/>
  <c r="AX54" i="15"/>
  <c r="AZ54" i="15"/>
  <c r="DJ305" i="5"/>
  <c r="DI305" i="5"/>
  <c r="DH305" i="5"/>
  <c r="DG305" i="5"/>
  <c r="AX43" i="15"/>
  <c r="AZ43" i="15"/>
  <c r="K180" i="16"/>
  <c r="DJ180" i="16" s="1"/>
  <c r="K179" i="16"/>
  <c r="DJ179" i="16" s="1"/>
  <c r="J179" i="16"/>
  <c r="J180" i="16"/>
  <c r="AX25" i="15"/>
  <c r="AZ25" i="15"/>
  <c r="DI125" i="2"/>
  <c r="DH125" i="2"/>
  <c r="DG125" i="2"/>
  <c r="AG125" i="2"/>
  <c r="AF125" i="2"/>
  <c r="BE125" i="2" s="1"/>
  <c r="AE125" i="2"/>
  <c r="AR125" i="2" s="1"/>
  <c r="AD125" i="2"/>
  <c r="BC125" i="2" s="1"/>
  <c r="AC125" i="2"/>
  <c r="BB125" i="2" s="1"/>
  <c r="AO125" i="2"/>
  <c r="AA125" i="2"/>
  <c r="AN125" i="2" s="1"/>
  <c r="Z125" i="2"/>
  <c r="AY125" i="2" s="1"/>
  <c r="Y125" i="2"/>
  <c r="X125" i="2"/>
  <c r="AK125" i="2" s="1"/>
  <c r="W125" i="2"/>
  <c r="AJ125" i="2" s="1"/>
  <c r="BQ140" i="2"/>
  <c r="BP140" i="2"/>
  <c r="BO140" i="2"/>
  <c r="BN140" i="2"/>
  <c r="BL140" i="2"/>
  <c r="BK140" i="2"/>
  <c r="BJ140" i="2"/>
  <c r="BI140" i="2"/>
  <c r="BH140" i="2"/>
  <c r="BE140" i="2"/>
  <c r="BD140" i="2"/>
  <c r="BC140" i="2"/>
  <c r="BB140" i="2"/>
  <c r="BA140" i="2"/>
  <c r="AZ140" i="2"/>
  <c r="AY140" i="2"/>
  <c r="AX140" i="2"/>
  <c r="AW140" i="2"/>
  <c r="AV140" i="2"/>
  <c r="CC139" i="2"/>
  <c r="CB139" i="2"/>
  <c r="CA139" i="2"/>
  <c r="BZ139" i="2"/>
  <c r="BX139" i="2"/>
  <c r="BW139" i="2"/>
  <c r="BV139" i="2"/>
  <c r="BU139" i="2"/>
  <c r="BT139" i="2"/>
  <c r="AG139" i="2"/>
  <c r="AF139" i="2"/>
  <c r="BQ139" i="2" s="1"/>
  <c r="AE139" i="2"/>
  <c r="BD139" i="2" s="1"/>
  <c r="AD139" i="2"/>
  <c r="BO139" i="2" s="1"/>
  <c r="AC139" i="2"/>
  <c r="BN139" i="2" s="1"/>
  <c r="AA139" i="2"/>
  <c r="AZ139" i="2" s="1"/>
  <c r="Z139" i="2"/>
  <c r="BK139" i="2" s="1"/>
  <c r="Y139" i="2"/>
  <c r="AX139" i="2" s="1"/>
  <c r="X139" i="2"/>
  <c r="BI139" i="2" s="1"/>
  <c r="W139" i="2"/>
  <c r="BH139" i="2" s="1"/>
  <c r="BA139" i="2"/>
  <c r="DI425" i="2"/>
  <c r="H714" i="7"/>
  <c r="H756" i="7"/>
  <c r="H755" i="7"/>
  <c r="H754" i="7"/>
  <c r="H753" i="7"/>
  <c r="H960" i="7"/>
  <c r="H966" i="7"/>
  <c r="H1178" i="7"/>
  <c r="H1179" i="7"/>
  <c r="H1180" i="7"/>
  <c r="H1181" i="7"/>
  <c r="H1182" i="7"/>
  <c r="H1183" i="7"/>
  <c r="H1184" i="7"/>
  <c r="H1185" i="7"/>
  <c r="H1186" i="7"/>
  <c r="H1187" i="7"/>
  <c r="H1188" i="7"/>
  <c r="H1177" i="7"/>
  <c r="H8" i="5"/>
  <c r="H86" i="5"/>
  <c r="H232" i="5"/>
  <c r="H307" i="5"/>
  <c r="H277" i="5"/>
  <c r="H274" i="5"/>
  <c r="H271" i="5"/>
  <c r="G321" i="5"/>
  <c r="AF321" i="5" s="1"/>
  <c r="G320" i="5"/>
  <c r="AF320" i="5" s="1"/>
  <c r="V1362" i="6"/>
  <c r="V1356" i="6"/>
  <c r="AX561" i="15"/>
  <c r="AZ561" i="15"/>
  <c r="J231" i="5"/>
  <c r="J232" i="5"/>
  <c r="J230" i="5"/>
  <c r="X61" i="15" s="1"/>
  <c r="Z61" i="15" s="1"/>
  <c r="W61" i="15" s="1"/>
  <c r="K232" i="5"/>
  <c r="DJ232" i="5" s="1"/>
  <c r="K231" i="5"/>
  <c r="DJ231" i="5" s="1"/>
  <c r="K230" i="5"/>
  <c r="DJ230" i="5" s="1"/>
  <c r="F109" i="16"/>
  <c r="BL49" i="2"/>
  <c r="BP91" i="2"/>
  <c r="BO91" i="2"/>
  <c r="BN91" i="2"/>
  <c r="BL91" i="2"/>
  <c r="BK91" i="2"/>
  <c r="BJ91" i="2"/>
  <c r="BI91" i="2"/>
  <c r="BQ91" i="2"/>
  <c r="BH91" i="2"/>
  <c r="BZ140" i="2"/>
  <c r="BV140" i="2"/>
  <c r="CA140" i="2"/>
  <c r="BW140" i="2"/>
  <c r="CC140" i="2"/>
  <c r="BU140" i="2"/>
  <c r="CB140" i="2"/>
  <c r="BX140" i="2"/>
  <c r="BT140" i="2"/>
  <c r="G1211" i="7"/>
  <c r="G1205" i="7"/>
  <c r="AF1205" i="7" s="1"/>
  <c r="G1204" i="7"/>
  <c r="AF1204" i="7" s="1"/>
  <c r="G1203" i="7"/>
  <c r="AF1203" i="7" s="1"/>
  <c r="G1202" i="7"/>
  <c r="AF1202" i="7" s="1"/>
  <c r="G1200" i="7"/>
  <c r="AF1200" i="7" s="1"/>
  <c r="G1199" i="7"/>
  <c r="G1198" i="7"/>
  <c r="AF1198" i="7" s="1"/>
  <c r="G1197" i="7"/>
  <c r="AF1197" i="7" s="1"/>
  <c r="AG1195" i="7"/>
  <c r="AF1195" i="7"/>
  <c r="AE1195" i="7"/>
  <c r="AD1195" i="7"/>
  <c r="AC1195" i="7"/>
  <c r="AB1195" i="7"/>
  <c r="AA1195" i="7"/>
  <c r="Z1195" i="7"/>
  <c r="Y1195" i="7"/>
  <c r="X1195" i="7"/>
  <c r="J1188" i="7"/>
  <c r="J1187" i="7"/>
  <c r="J1186" i="7"/>
  <c r="X521" i="15" s="1"/>
  <c r="Z521" i="15" s="1"/>
  <c r="J1185" i="7"/>
  <c r="J1184" i="7"/>
  <c r="J1183" i="7"/>
  <c r="X518" i="15" s="1"/>
  <c r="Z518" i="15" s="1"/>
  <c r="J1182" i="7"/>
  <c r="X517" i="15" s="1"/>
  <c r="Z517" i="15" s="1"/>
  <c r="J1181" i="7"/>
  <c r="J1180" i="7"/>
  <c r="X515" i="15" s="1"/>
  <c r="Z515" i="15" s="1"/>
  <c r="J1179" i="7"/>
  <c r="J1178" i="7"/>
  <c r="X513" i="15" s="1"/>
  <c r="Z513" i="15" s="1"/>
  <c r="J1177" i="7"/>
  <c r="AG1176" i="7"/>
  <c r="AF1176" i="7"/>
  <c r="AE1176" i="7"/>
  <c r="AD1176" i="7"/>
  <c r="AC1176" i="7"/>
  <c r="AB1176" i="7"/>
  <c r="AA1176" i="7"/>
  <c r="Z1176" i="7"/>
  <c r="Y1176" i="7"/>
  <c r="X1176" i="7"/>
  <c r="V1174" i="7"/>
  <c r="V1034" i="7"/>
  <c r="V1035" i="7"/>
  <c r="V1036" i="7"/>
  <c r="V1037" i="7"/>
  <c r="V1038" i="7"/>
  <c r="V1039" i="7"/>
  <c r="V1040" i="7"/>
  <c r="V1041" i="7"/>
  <c r="V1043" i="7"/>
  <c r="F1038" i="7"/>
  <c r="F1036" i="7"/>
  <c r="F1035" i="7"/>
  <c r="F1034" i="7"/>
  <c r="G1059" i="7"/>
  <c r="AF1059" i="7" s="1"/>
  <c r="G1058" i="7"/>
  <c r="AF1058" i="7" s="1"/>
  <c r="H1034" i="7"/>
  <c r="H1035" i="7"/>
  <c r="H1036" i="7"/>
  <c r="H1037" i="7"/>
  <c r="H1038" i="7"/>
  <c r="H1039" i="7"/>
  <c r="H1040" i="7"/>
  <c r="H1041" i="7"/>
  <c r="H1042" i="7"/>
  <c r="H1043" i="7"/>
  <c r="AN1026" i="7"/>
  <c r="V785" i="7"/>
  <c r="V784" i="7"/>
  <c r="I756" i="7"/>
  <c r="F756" i="7" s="1"/>
  <c r="I755" i="7"/>
  <c r="F755" i="7" s="1"/>
  <c r="I754" i="7"/>
  <c r="I753" i="7"/>
  <c r="AG765" i="7"/>
  <c r="AF765" i="7"/>
  <c r="AE765" i="7"/>
  <c r="AD765" i="7"/>
  <c r="AC765" i="7"/>
  <c r="AB765" i="7"/>
  <c r="AA765" i="7"/>
  <c r="Z765" i="7"/>
  <c r="Y765" i="7"/>
  <c r="X765" i="7"/>
  <c r="W765" i="7"/>
  <c r="V753" i="7"/>
  <c r="V754" i="7" s="1"/>
  <c r="V755" i="7" s="1"/>
  <c r="V756" i="7" s="1"/>
  <c r="DJ752" i="7"/>
  <c r="DI752" i="7"/>
  <c r="DH752" i="7"/>
  <c r="DG752" i="7"/>
  <c r="AG752" i="7"/>
  <c r="AF752" i="7"/>
  <c r="AE752" i="7"/>
  <c r="AD752" i="7"/>
  <c r="AC752" i="7"/>
  <c r="AB752" i="7"/>
  <c r="AA752" i="7"/>
  <c r="Z752" i="7"/>
  <c r="Y752" i="7"/>
  <c r="X752" i="7"/>
  <c r="W752" i="7"/>
  <c r="V750" i="7"/>
  <c r="L714" i="7"/>
  <c r="DJ714" i="7" s="1"/>
  <c r="K714" i="7"/>
  <c r="X434" i="15" s="1"/>
  <c r="Z434" i="15" s="1"/>
  <c r="W434" i="15" s="1"/>
  <c r="I714" i="7"/>
  <c r="I715" i="7"/>
  <c r="F715" i="7" s="1"/>
  <c r="I716" i="7"/>
  <c r="F716" i="7" s="1"/>
  <c r="I713" i="7"/>
  <c r="F714" i="7" s="1"/>
  <c r="L590" i="7"/>
  <c r="L586" i="7"/>
  <c r="K588" i="7"/>
  <c r="K584" i="7"/>
  <c r="J590" i="7"/>
  <c r="J588" i="7"/>
  <c r="J586" i="7"/>
  <c r="J584" i="7"/>
  <c r="I590" i="7"/>
  <c r="I588" i="7"/>
  <c r="I586" i="7"/>
  <c r="V551" i="7"/>
  <c r="V552" i="7"/>
  <c r="L551" i="7"/>
  <c r="X411" i="15" s="1"/>
  <c r="Z411" i="15" s="1"/>
  <c r="L552" i="7"/>
  <c r="X412" i="15" s="1"/>
  <c r="Z412" i="15" s="1"/>
  <c r="I552" i="7"/>
  <c r="J551" i="7"/>
  <c r="I551" i="7"/>
  <c r="H551" i="7"/>
  <c r="H552" i="7"/>
  <c r="AA632" i="7"/>
  <c r="Z632" i="7"/>
  <c r="AA630" i="7"/>
  <c r="Z630" i="7"/>
  <c r="AA543" i="7"/>
  <c r="Z543" i="7"/>
  <c r="AA526" i="7"/>
  <c r="Z526" i="7"/>
  <c r="AA525" i="7"/>
  <c r="Z525" i="7"/>
  <c r="Z73" i="7"/>
  <c r="V67" i="7"/>
  <c r="V66" i="7"/>
  <c r="V65" i="7"/>
  <c r="V64" i="7"/>
  <c r="V63" i="7"/>
  <c r="V62" i="7"/>
  <c r="V60" i="7"/>
  <c r="AA40" i="7"/>
  <c r="Z40" i="7"/>
  <c r="AA39" i="7"/>
  <c r="Z39" i="7"/>
  <c r="AA38" i="7"/>
  <c r="Z38" i="7"/>
  <c r="AA37" i="7"/>
  <c r="Z37" i="7"/>
  <c r="AB1913" i="6"/>
  <c r="F1469" i="6"/>
  <c r="F1453" i="6"/>
  <c r="L1373" i="6"/>
  <c r="AJ163" i="15" s="1"/>
  <c r="F1445" i="6"/>
  <c r="F1414" i="6"/>
  <c r="F1413" i="6"/>
  <c r="F1412" i="6"/>
  <c r="F1409" i="6"/>
  <c r="F1411" i="6"/>
  <c r="F1410" i="6"/>
  <c r="K974" i="6"/>
  <c r="K973" i="6"/>
  <c r="K970" i="6"/>
  <c r="L768" i="6" s="1"/>
  <c r="AJ138" i="15" s="1"/>
  <c r="K967" i="6"/>
  <c r="K965" i="6"/>
  <c r="K964" i="6"/>
  <c r="K962" i="6"/>
  <c r="F86" i="6"/>
  <c r="F85" i="6"/>
  <c r="F122" i="6"/>
  <c r="F120" i="6"/>
  <c r="F114" i="6"/>
  <c r="F113" i="6"/>
  <c r="F111" i="6"/>
  <c r="F109" i="6"/>
  <c r="F105" i="6"/>
  <c r="F104" i="6"/>
  <c r="F102" i="6"/>
  <c r="F100" i="6"/>
  <c r="F96" i="6"/>
  <c r="F95" i="6"/>
  <c r="F93" i="6"/>
  <c r="F91" i="6"/>
  <c r="F88" i="6"/>
  <c r="F87" i="6"/>
  <c r="AA3071" i="6"/>
  <c r="Z3071" i="6"/>
  <c r="AA3069" i="6"/>
  <c r="Z3069" i="6"/>
  <c r="AA3067" i="6"/>
  <c r="Z3067" i="6"/>
  <c r="AA3065" i="6"/>
  <c r="Z3065" i="6"/>
  <c r="AA3063" i="6"/>
  <c r="Z3063" i="6"/>
  <c r="AA3061" i="6"/>
  <c r="Z3061" i="6"/>
  <c r="AA3060" i="6"/>
  <c r="Z3060" i="6"/>
  <c r="AA3055" i="6"/>
  <c r="Z3055" i="6"/>
  <c r="AA3050" i="6"/>
  <c r="Z3050" i="6"/>
  <c r="AA3049" i="6"/>
  <c r="Z3049" i="6"/>
  <c r="AA3042" i="6"/>
  <c r="Z3042" i="6"/>
  <c r="AA3041" i="6"/>
  <c r="Z3041" i="6"/>
  <c r="AA3035" i="6"/>
  <c r="Z3035" i="6"/>
  <c r="AA3034" i="6"/>
  <c r="Z3034" i="6"/>
  <c r="AA3027" i="6"/>
  <c r="Z3027" i="6"/>
  <c r="AA3026" i="6"/>
  <c r="Z3026" i="6"/>
  <c r="AA3019" i="6"/>
  <c r="Z3019" i="6"/>
  <c r="AA3018" i="6"/>
  <c r="Z3018" i="6"/>
  <c r="AA3011" i="6"/>
  <c r="Z3011" i="6"/>
  <c r="AA3010" i="6"/>
  <c r="Z3010" i="6"/>
  <c r="AA3003" i="6"/>
  <c r="Z3003" i="6"/>
  <c r="AA3002" i="6"/>
  <c r="Z3002" i="6"/>
  <c r="AA2995" i="6"/>
  <c r="Z2995" i="6"/>
  <c r="AA2994" i="6"/>
  <c r="Z2994" i="6"/>
  <c r="AA2968" i="6"/>
  <c r="Z2968" i="6"/>
  <c r="AA2967" i="6"/>
  <c r="Z2967" i="6"/>
  <c r="AA2958" i="6"/>
  <c r="Z2958" i="6"/>
  <c r="AA2948" i="6"/>
  <c r="Z2948" i="6"/>
  <c r="AA2942" i="6"/>
  <c r="Z2942" i="6"/>
  <c r="AA2936" i="6"/>
  <c r="Z2936" i="6"/>
  <c r="AA2932" i="6"/>
  <c r="Z2932" i="6"/>
  <c r="AA2926" i="6"/>
  <c r="Z2926" i="6"/>
  <c r="AA2925" i="6"/>
  <c r="Z2925" i="6"/>
  <c r="AA2920" i="6"/>
  <c r="Z2920" i="6"/>
  <c r="AA2918" i="6"/>
  <c r="Z2918" i="6"/>
  <c r="AA2916" i="6"/>
  <c r="Z2916" i="6"/>
  <c r="AA2915" i="6"/>
  <c r="Z2915" i="6"/>
  <c r="AA2910" i="6"/>
  <c r="Z2910" i="6"/>
  <c r="AA2904" i="6"/>
  <c r="Z2904" i="6"/>
  <c r="AA2903" i="6"/>
  <c r="Z2903" i="6"/>
  <c r="AA2900" i="6"/>
  <c r="Z2900" i="6"/>
  <c r="AA1438" i="6"/>
  <c r="Z1438" i="6"/>
  <c r="AA1437" i="6"/>
  <c r="Z1437" i="6"/>
  <c r="AA1435" i="6"/>
  <c r="Z1435" i="6"/>
  <c r="AA1434" i="6"/>
  <c r="Z1434" i="6"/>
  <c r="AA1433" i="6"/>
  <c r="Z1433" i="6"/>
  <c r="AA1414" i="6"/>
  <c r="AA1446" i="6" s="1"/>
  <c r="Z1414" i="6"/>
  <c r="Z1446" i="6" s="1"/>
  <c r="AA1413" i="6"/>
  <c r="AA1444" i="6" s="1"/>
  <c r="Z1413" i="6"/>
  <c r="Z1444" i="6" s="1"/>
  <c r="AA1409" i="6"/>
  <c r="AA1443" i="6" s="1"/>
  <c r="Z1409" i="6"/>
  <c r="Z1443" i="6" s="1"/>
  <c r="AA1411" i="6"/>
  <c r="AA1442" i="6" s="1"/>
  <c r="Z1411" i="6"/>
  <c r="Z1442" i="6" s="1"/>
  <c r="AA1410" i="6"/>
  <c r="AA1441" i="6" s="1"/>
  <c r="Z1410" i="6"/>
  <c r="Z1441" i="6" s="1"/>
  <c r="AG316" i="5"/>
  <c r="AF316" i="5"/>
  <c r="AE316" i="5"/>
  <c r="AD316" i="5"/>
  <c r="AC316" i="5"/>
  <c r="AB316" i="5"/>
  <c r="AA316" i="5"/>
  <c r="Z316" i="5"/>
  <c r="Y316" i="5"/>
  <c r="X316" i="5"/>
  <c r="W316" i="5"/>
  <c r="AG305" i="5"/>
  <c r="AF305" i="5"/>
  <c r="AE305" i="5"/>
  <c r="AD305" i="5"/>
  <c r="AC305" i="5"/>
  <c r="AB305" i="5"/>
  <c r="AA305" i="5"/>
  <c r="Z305" i="5"/>
  <c r="Y305" i="5"/>
  <c r="X305" i="5"/>
  <c r="W305" i="5"/>
  <c r="V303" i="5"/>
  <c r="V270" i="5"/>
  <c r="V271" i="5" s="1"/>
  <c r="V272" i="5" s="1"/>
  <c r="V273" i="5" s="1"/>
  <c r="V274" i="5" s="1"/>
  <c r="V275" i="5" s="1"/>
  <c r="V276" i="5" s="1"/>
  <c r="V277" i="5" s="1"/>
  <c r="V278" i="5" s="1"/>
  <c r="Z257" i="5"/>
  <c r="AA257" i="5" s="1"/>
  <c r="Z252" i="5"/>
  <c r="AA252" i="5" s="1"/>
  <c r="V8" i="5"/>
  <c r="V9" i="5"/>
  <c r="V10" i="5"/>
  <c r="V7" i="5"/>
  <c r="H180" i="16"/>
  <c r="X955" i="7"/>
  <c r="Y955" i="7"/>
  <c r="Z955" i="7"/>
  <c r="AA955" i="7"/>
  <c r="AB955" i="7"/>
  <c r="AC955" i="7"/>
  <c r="AD955" i="7"/>
  <c r="AE955" i="7"/>
  <c r="AF955" i="7"/>
  <c r="AG955" i="7"/>
  <c r="W955" i="7"/>
  <c r="F1026" i="7"/>
  <c r="L13" i="6"/>
  <c r="L11" i="6"/>
  <c r="K9" i="6"/>
  <c r="K7" i="6"/>
  <c r="AG1507" i="6"/>
  <c r="AF1507" i="6"/>
  <c r="AE1507" i="6"/>
  <c r="AD1507" i="6"/>
  <c r="AC1507" i="6"/>
  <c r="AB1507" i="6"/>
  <c r="AA1507" i="6"/>
  <c r="Z1507" i="6"/>
  <c r="Y1507" i="6"/>
  <c r="X1507" i="6"/>
  <c r="W1507" i="6"/>
  <c r="AG1372" i="6"/>
  <c r="AF1372" i="6"/>
  <c r="AE1372" i="6"/>
  <c r="AD1372" i="6"/>
  <c r="AC1372" i="6"/>
  <c r="AB1372" i="6"/>
  <c r="AA1372" i="6"/>
  <c r="Z1372" i="6"/>
  <c r="Y1372" i="6"/>
  <c r="X1372" i="6"/>
  <c r="W1372" i="6"/>
  <c r="AG1268" i="6"/>
  <c r="AF1268" i="6"/>
  <c r="AE1268" i="6"/>
  <c r="AD1268" i="6"/>
  <c r="AC1268" i="6"/>
  <c r="AB1268" i="6"/>
  <c r="AA1268" i="6"/>
  <c r="Z1268" i="6"/>
  <c r="Y1268" i="6"/>
  <c r="X1268" i="6"/>
  <c r="W1268" i="6"/>
  <c r="AG748" i="6"/>
  <c r="AF748" i="6"/>
  <c r="AE748" i="6"/>
  <c r="AD748" i="6"/>
  <c r="AC748" i="6"/>
  <c r="AB748" i="6"/>
  <c r="AA748" i="6"/>
  <c r="Z748" i="6"/>
  <c r="Y748" i="6"/>
  <c r="X748" i="6"/>
  <c r="W748" i="6"/>
  <c r="X83" i="6"/>
  <c r="Y83" i="6"/>
  <c r="Z83" i="6"/>
  <c r="AA83" i="6"/>
  <c r="AB83" i="6"/>
  <c r="AC83" i="6"/>
  <c r="AD83" i="6"/>
  <c r="AE83" i="6"/>
  <c r="AF83" i="6"/>
  <c r="AG83" i="6"/>
  <c r="W83" i="6"/>
  <c r="V1507" i="6"/>
  <c r="V7" i="11"/>
  <c r="G245" i="5"/>
  <c r="G244" i="5"/>
  <c r="AF244" i="5" s="1"/>
  <c r="K307" i="5"/>
  <c r="DJ307" i="5" s="1"/>
  <c r="J307" i="5"/>
  <c r="K277" i="5"/>
  <c r="DJ277" i="5" s="1"/>
  <c r="K274" i="5"/>
  <c r="DJ274" i="5" s="1"/>
  <c r="K271" i="5"/>
  <c r="DJ271" i="5" s="1"/>
  <c r="K278" i="5"/>
  <c r="DJ278" i="5" s="1"/>
  <c r="K276" i="5"/>
  <c r="DJ276" i="5" s="1"/>
  <c r="K275" i="5"/>
  <c r="DJ275" i="5" s="1"/>
  <c r="K273" i="5"/>
  <c r="DJ273" i="5" s="1"/>
  <c r="K272" i="5"/>
  <c r="DJ272" i="5" s="1"/>
  <c r="K270" i="5"/>
  <c r="DJ270" i="5" s="1"/>
  <c r="F275" i="5"/>
  <c r="I69" i="15" s="1"/>
  <c r="F274" i="5"/>
  <c r="I68" i="15" s="1"/>
  <c r="J270" i="5"/>
  <c r="I184" i="5"/>
  <c r="I183" i="5"/>
  <c r="L184" i="5"/>
  <c r="DJ184" i="5" s="1"/>
  <c r="K184" i="5"/>
  <c r="L183" i="5"/>
  <c r="DJ183" i="5" s="1"/>
  <c r="K183" i="5"/>
  <c r="L182" i="5"/>
  <c r="DJ182" i="5" s="1"/>
  <c r="K182" i="5"/>
  <c r="X58" i="15" s="1"/>
  <c r="Z58" i="15" s="1"/>
  <c r="W58" i="15" s="1"/>
  <c r="H184" i="5"/>
  <c r="L135" i="5"/>
  <c r="DJ135" i="5" s="1"/>
  <c r="K135" i="5"/>
  <c r="L134" i="5"/>
  <c r="DJ134" i="5" s="1"/>
  <c r="K134" i="5"/>
  <c r="L133" i="5"/>
  <c r="DJ133" i="5" s="1"/>
  <c r="K133" i="5"/>
  <c r="I135" i="5"/>
  <c r="F135" i="5" s="1"/>
  <c r="I134" i="5"/>
  <c r="F134" i="5" s="1"/>
  <c r="I56" i="15" s="1"/>
  <c r="I133" i="5"/>
  <c r="F133" i="5" s="1"/>
  <c r="H135" i="5"/>
  <c r="L86" i="5"/>
  <c r="DJ86" i="5" s="1"/>
  <c r="L85" i="5"/>
  <c r="DJ85" i="5" s="1"/>
  <c r="L84" i="5"/>
  <c r="DJ84" i="5" s="1"/>
  <c r="I86" i="5"/>
  <c r="F86" i="5" s="1"/>
  <c r="I54" i="15" s="1"/>
  <c r="I85" i="5"/>
  <c r="F85" i="5" s="1"/>
  <c r="I84" i="5"/>
  <c r="F84" i="5" s="1"/>
  <c r="I52" i="15" s="1"/>
  <c r="J7" i="5"/>
  <c r="I7" i="5"/>
  <c r="I9" i="5"/>
  <c r="I10" i="5"/>
  <c r="AM923" i="2"/>
  <c r="AN923" i="2"/>
  <c r="CY48" i="2"/>
  <c r="CL48" i="2"/>
  <c r="AO48" i="2"/>
  <c r="DK433" i="2"/>
  <c r="DK432" i="2"/>
  <c r="DK431" i="2"/>
  <c r="DK430" i="2"/>
  <c r="DK427" i="2"/>
  <c r="DK426" i="2"/>
  <c r="DL425" i="2"/>
  <c r="DK425" i="2"/>
  <c r="DG425" i="2"/>
  <c r="DH425" i="2"/>
  <c r="DJ425" i="2"/>
  <c r="G426" i="2"/>
  <c r="AS426" i="2" s="1"/>
  <c r="H426" i="2"/>
  <c r="DH426" i="2"/>
  <c r="DH427" i="2"/>
  <c r="H430" i="2"/>
  <c r="DH430" i="2"/>
  <c r="H431" i="2"/>
  <c r="DH431" i="2"/>
  <c r="H31" i="2"/>
  <c r="H28" i="2"/>
  <c r="H25" i="2"/>
  <c r="D68" i="2"/>
  <c r="D70" i="2"/>
  <c r="D71" i="2"/>
  <c r="D65" i="2"/>
  <c r="G431" i="2"/>
  <c r="G432" i="2"/>
  <c r="G433" i="2"/>
  <c r="G430" i="2"/>
  <c r="H356" i="2"/>
  <c r="H357" i="2"/>
  <c r="H98" i="2"/>
  <c r="H99" i="2"/>
  <c r="H733" i="2"/>
  <c r="H734" i="2"/>
  <c r="AX735" i="15"/>
  <c r="AZ735" i="15"/>
  <c r="AX734" i="15"/>
  <c r="AZ734" i="15"/>
  <c r="AX733" i="15"/>
  <c r="AZ733" i="15"/>
  <c r="V901" i="2"/>
  <c r="D918" i="2"/>
  <c r="D917" i="2"/>
  <c r="D916" i="2"/>
  <c r="D744" i="2"/>
  <c r="E744" i="2"/>
  <c r="D745" i="2"/>
  <c r="E745" i="2"/>
  <c r="AX716" i="15"/>
  <c r="AZ716" i="15"/>
  <c r="AX715" i="15"/>
  <c r="AZ715" i="15"/>
  <c r="F734" i="2"/>
  <c r="I716" i="15" s="1"/>
  <c r="F733" i="2"/>
  <c r="I715" i="15" s="1"/>
  <c r="DH734" i="2"/>
  <c r="DH733" i="2"/>
  <c r="L665" i="15"/>
  <c r="H432" i="2"/>
  <c r="K657" i="15"/>
  <c r="I657" i="15" s="1"/>
  <c r="K656" i="15"/>
  <c r="I656" i="15" s="1"/>
  <c r="K655" i="15"/>
  <c r="I655" i="15" s="1"/>
  <c r="K654" i="15"/>
  <c r="I654" i="15" s="1"/>
  <c r="K653" i="15"/>
  <c r="I653" i="15" s="1"/>
  <c r="AX651" i="15"/>
  <c r="AZ651" i="15"/>
  <c r="AX650" i="15"/>
  <c r="AZ650" i="15"/>
  <c r="F357" i="2"/>
  <c r="AF357" i="2" s="1"/>
  <c r="F356" i="2"/>
  <c r="AF356" i="2" s="1"/>
  <c r="E370" i="2"/>
  <c r="E369" i="2"/>
  <c r="D370" i="2"/>
  <c r="D369" i="2"/>
  <c r="DH357" i="2"/>
  <c r="DH356" i="2"/>
  <c r="AX597" i="15"/>
  <c r="AZ597" i="15"/>
  <c r="AX596" i="15"/>
  <c r="AZ596" i="15"/>
  <c r="DH99" i="2"/>
  <c r="F99" i="2"/>
  <c r="AF99" i="2" s="1"/>
  <c r="DH98" i="2"/>
  <c r="E116" i="2"/>
  <c r="D116" i="2"/>
  <c r="E115" i="2"/>
  <c r="D115" i="2"/>
  <c r="AX736" i="15"/>
  <c r="AZ736" i="15"/>
  <c r="AX729" i="15"/>
  <c r="AZ729" i="15"/>
  <c r="AX728" i="15"/>
  <c r="AZ728" i="15"/>
  <c r="AX727" i="15"/>
  <c r="AZ727" i="15"/>
  <c r="AX726" i="15"/>
  <c r="AZ726" i="15"/>
  <c r="AX725" i="15"/>
  <c r="AZ725" i="15"/>
  <c r="AX724" i="15"/>
  <c r="AZ724" i="15"/>
  <c r="AX723" i="15"/>
  <c r="AZ723" i="15"/>
  <c r="AX722" i="15"/>
  <c r="AZ722" i="15"/>
  <c r="AX721" i="15"/>
  <c r="AZ721" i="15"/>
  <c r="AX720" i="15"/>
  <c r="AZ720" i="15"/>
  <c r="AX719" i="15"/>
  <c r="AZ719" i="15"/>
  <c r="AX718" i="15"/>
  <c r="AZ718" i="15"/>
  <c r="AX717" i="15"/>
  <c r="AZ717" i="15"/>
  <c r="AX714" i="15"/>
  <c r="AZ714" i="15"/>
  <c r="AX713" i="15"/>
  <c r="AZ713" i="15"/>
  <c r="AX711" i="15"/>
  <c r="AZ711" i="15"/>
  <c r="AX710" i="15"/>
  <c r="AZ710" i="15"/>
  <c r="AX709" i="15"/>
  <c r="AZ709" i="15"/>
  <c r="AX708" i="15"/>
  <c r="AZ708" i="15"/>
  <c r="AX707" i="15"/>
  <c r="AZ707" i="15"/>
  <c r="AX697" i="15"/>
  <c r="AZ697" i="15"/>
  <c r="AX696" i="15"/>
  <c r="AZ696" i="15"/>
  <c r="AX695" i="15"/>
  <c r="AZ695" i="15"/>
  <c r="AX694" i="15"/>
  <c r="AZ694" i="15"/>
  <c r="AX693" i="15"/>
  <c r="AZ693" i="15"/>
  <c r="AX692" i="15"/>
  <c r="AZ692" i="15"/>
  <c r="AX691" i="15"/>
  <c r="AZ691" i="15"/>
  <c r="AX690" i="15"/>
  <c r="AZ690" i="15"/>
  <c r="AX689" i="15"/>
  <c r="AZ689" i="15"/>
  <c r="AX688" i="15"/>
  <c r="AZ688" i="15"/>
  <c r="AX687" i="15"/>
  <c r="AZ687" i="15"/>
  <c r="AX686" i="15"/>
  <c r="AZ686" i="15"/>
  <c r="AX685" i="15"/>
  <c r="AZ685" i="15"/>
  <c r="AX684" i="15"/>
  <c r="AZ684" i="15"/>
  <c r="AX683" i="15"/>
  <c r="AZ683" i="15"/>
  <c r="AX682" i="15"/>
  <c r="AZ682" i="15"/>
  <c r="AX681" i="15"/>
  <c r="AZ681" i="15"/>
  <c r="AX680" i="15"/>
  <c r="AZ680" i="15"/>
  <c r="AX679" i="15"/>
  <c r="AZ679" i="15"/>
  <c r="AX678" i="15"/>
  <c r="AZ678" i="15"/>
  <c r="AX677" i="15"/>
  <c r="AZ677" i="15"/>
  <c r="AX676" i="15"/>
  <c r="AZ676" i="15"/>
  <c r="AX666" i="15"/>
  <c r="AZ666" i="15"/>
  <c r="AX665" i="15"/>
  <c r="AZ665" i="15"/>
  <c r="AX664" i="15"/>
  <c r="AZ664" i="15"/>
  <c r="AX663" i="15"/>
  <c r="AZ663" i="15"/>
  <c r="AX662" i="15"/>
  <c r="AZ662" i="15"/>
  <c r="AX659" i="15"/>
  <c r="AZ659" i="15"/>
  <c r="AX658" i="15"/>
  <c r="AZ658" i="15"/>
  <c r="AX657" i="15"/>
  <c r="AZ657" i="15"/>
  <c r="AX656" i="15"/>
  <c r="AZ656" i="15"/>
  <c r="AX655" i="15"/>
  <c r="AZ655" i="15"/>
  <c r="AX654" i="15"/>
  <c r="AZ654" i="15"/>
  <c r="AX653" i="15"/>
  <c r="AZ653" i="15"/>
  <c r="AX652" i="15"/>
  <c r="AZ652" i="15"/>
  <c r="AX649" i="15"/>
  <c r="AZ649" i="15"/>
  <c r="AX648" i="15"/>
  <c r="AZ648" i="15"/>
  <c r="AX646" i="15"/>
  <c r="AZ646" i="15"/>
  <c r="AX645" i="15"/>
  <c r="AZ645" i="15"/>
  <c r="AX644" i="15"/>
  <c r="AZ644" i="15"/>
  <c r="AX643" i="15"/>
  <c r="AZ643" i="15"/>
  <c r="AX641" i="15"/>
  <c r="AZ641" i="15"/>
  <c r="AX640" i="15"/>
  <c r="AZ640" i="15"/>
  <c r="AX639" i="15"/>
  <c r="AZ639" i="15"/>
  <c r="AX638" i="15"/>
  <c r="AZ638" i="15"/>
  <c r="AX637" i="15"/>
  <c r="AZ637" i="15"/>
  <c r="AX636" i="15"/>
  <c r="AZ636" i="15"/>
  <c r="AX635" i="15"/>
  <c r="AZ635" i="15"/>
  <c r="AX634" i="15"/>
  <c r="AZ634" i="15"/>
  <c r="AX631" i="15"/>
  <c r="AZ631" i="15"/>
  <c r="AX630" i="15"/>
  <c r="AZ630" i="15"/>
  <c r="AX629" i="15"/>
  <c r="AZ629" i="15"/>
  <c r="AX628" i="15"/>
  <c r="AZ628" i="15"/>
  <c r="AX627" i="15"/>
  <c r="AZ627" i="15"/>
  <c r="AX626" i="15"/>
  <c r="AZ626" i="15"/>
  <c r="AX625" i="15"/>
  <c r="AZ625" i="15"/>
  <c r="AX623" i="15"/>
  <c r="AZ623" i="15"/>
  <c r="AX621" i="15"/>
  <c r="AZ621" i="15"/>
  <c r="AX620" i="15"/>
  <c r="AZ620" i="15"/>
  <c r="AX619" i="15"/>
  <c r="AZ619" i="15"/>
  <c r="AX618" i="15"/>
  <c r="AZ618" i="15"/>
  <c r="AX617" i="15"/>
  <c r="AZ617" i="15"/>
  <c r="AX616" i="15"/>
  <c r="AZ616" i="15"/>
  <c r="AX615" i="15"/>
  <c r="AZ615" i="15"/>
  <c r="AX614" i="15"/>
  <c r="AZ614" i="15"/>
  <c r="AX613" i="15"/>
  <c r="AZ613" i="15"/>
  <c r="AX612" i="15"/>
  <c r="AZ612" i="15"/>
  <c r="AX611" i="15"/>
  <c r="AZ611" i="15"/>
  <c r="AX610" i="15"/>
  <c r="AZ610" i="15"/>
  <c r="AX609" i="15"/>
  <c r="AZ609" i="15"/>
  <c r="AX608" i="15"/>
  <c r="AZ608" i="15"/>
  <c r="AX607" i="15"/>
  <c r="AZ607" i="15"/>
  <c r="AX606" i="15"/>
  <c r="AZ606" i="15"/>
  <c r="AX593" i="15"/>
  <c r="AZ593" i="15"/>
  <c r="AX590" i="15"/>
  <c r="AZ590" i="15"/>
  <c r="AX587" i="15"/>
  <c r="AZ587" i="15"/>
  <c r="AX584" i="15"/>
  <c r="AZ584" i="15"/>
  <c r="AX583" i="15"/>
  <c r="AZ583" i="15"/>
  <c r="AX582" i="15"/>
  <c r="AZ582" i="15"/>
  <c r="AX581" i="15"/>
  <c r="AZ581" i="15"/>
  <c r="AX580" i="15"/>
  <c r="AZ580" i="15"/>
  <c r="AX579" i="15"/>
  <c r="AZ579" i="15"/>
  <c r="AX578" i="15"/>
  <c r="AZ578" i="15"/>
  <c r="AX577" i="15"/>
  <c r="AZ577" i="15"/>
  <c r="AX576" i="15"/>
  <c r="AZ576" i="15"/>
  <c r="AX575" i="15"/>
  <c r="AZ575" i="15"/>
  <c r="AX574" i="15"/>
  <c r="AZ574" i="15"/>
  <c r="AX573" i="15"/>
  <c r="AZ573" i="15"/>
  <c r="AX572" i="15"/>
  <c r="AZ572" i="15"/>
  <c r="AX571" i="15"/>
  <c r="AZ571" i="15"/>
  <c r="AX570" i="15"/>
  <c r="AZ570" i="15"/>
  <c r="AX569" i="15"/>
  <c r="AZ569" i="15"/>
  <c r="V238" i="6"/>
  <c r="F460" i="7"/>
  <c r="AZ401" i="15"/>
  <c r="AZ402" i="15"/>
  <c r="AZ403" i="15"/>
  <c r="AX401" i="15"/>
  <c r="AX402" i="15"/>
  <c r="AX403" i="15"/>
  <c r="AX107" i="15"/>
  <c r="AX108" i="15"/>
  <c r="AZ106" i="15"/>
  <c r="AZ107" i="15"/>
  <c r="AZ108" i="15"/>
  <c r="AZ109" i="15"/>
  <c r="AZ110" i="15"/>
  <c r="AZ111" i="15"/>
  <c r="AZ112" i="15"/>
  <c r="AZ113" i="15"/>
  <c r="AZ114" i="15"/>
  <c r="AZ115" i="15"/>
  <c r="AZ116" i="15"/>
  <c r="AZ117" i="15"/>
  <c r="AZ118" i="15"/>
  <c r="AZ119" i="15"/>
  <c r="AZ120" i="15"/>
  <c r="AZ121" i="15"/>
  <c r="AZ122" i="15"/>
  <c r="AZ123" i="15"/>
  <c r="AZ124" i="15"/>
  <c r="AZ125" i="15"/>
  <c r="AZ126" i="15"/>
  <c r="AZ127" i="15"/>
  <c r="AZ128" i="15"/>
  <c r="AZ129" i="15"/>
  <c r="AX120" i="15"/>
  <c r="AX122" i="15"/>
  <c r="AX124" i="15"/>
  <c r="AX125" i="15"/>
  <c r="AX126" i="15"/>
  <c r="AX128" i="15"/>
  <c r="AX116" i="15"/>
  <c r="AX118" i="15"/>
  <c r="AX119" i="15"/>
  <c r="AX112" i="15"/>
  <c r="AX113" i="15"/>
  <c r="AX114" i="15"/>
  <c r="AX106" i="15"/>
  <c r="AX110" i="15"/>
  <c r="AX129" i="15"/>
  <c r="DH154" i="6"/>
  <c r="DI154" i="6" s="1"/>
  <c r="DH152" i="6"/>
  <c r="DH150" i="6"/>
  <c r="DI150" i="6" s="1"/>
  <c r="DH148" i="6"/>
  <c r="DH146" i="6"/>
  <c r="DH144" i="6"/>
  <c r="DH139" i="6"/>
  <c r="DH138" i="6"/>
  <c r="DI138" i="6" s="1"/>
  <c r="DH137" i="6"/>
  <c r="AX117" i="15"/>
  <c r="DH136" i="6"/>
  <c r="DI136" i="6" s="1"/>
  <c r="DH135" i="6"/>
  <c r="DH132" i="6"/>
  <c r="DI132" i="6" s="1"/>
  <c r="DH130" i="6"/>
  <c r="DH128" i="6"/>
  <c r="AX111" i="15"/>
  <c r="DH127" i="6"/>
  <c r="DI127" i="6" s="1"/>
  <c r="DH126" i="6"/>
  <c r="DH124" i="6"/>
  <c r="DH123" i="6"/>
  <c r="DI123" i="6" s="1"/>
  <c r="DH122" i="6"/>
  <c r="DH121" i="6"/>
  <c r="DH120" i="6"/>
  <c r="W1302" i="6"/>
  <c r="AX115" i="15"/>
  <c r="V451" i="7"/>
  <c r="N451" i="7"/>
  <c r="L451" i="7"/>
  <c r="H451" i="7"/>
  <c r="V450" i="7"/>
  <c r="N450" i="7"/>
  <c r="L450" i="7"/>
  <c r="H450" i="7"/>
  <c r="V449" i="7"/>
  <c r="N449" i="7"/>
  <c r="L449" i="7"/>
  <c r="X401" i="15" s="1"/>
  <c r="Z401" i="15" s="1"/>
  <c r="H449" i="7"/>
  <c r="AX494" i="15"/>
  <c r="AX500" i="15"/>
  <c r="AX506" i="15"/>
  <c r="AX489" i="15"/>
  <c r="AX495" i="15"/>
  <c r="AX501" i="15"/>
  <c r="AX507" i="15"/>
  <c r="AX490" i="15"/>
  <c r="AX496" i="15"/>
  <c r="AX502" i="15"/>
  <c r="AX508" i="15"/>
  <c r="AX491" i="15"/>
  <c r="AX497" i="15"/>
  <c r="AX503" i="15"/>
  <c r="AX509" i="15"/>
  <c r="AX492" i="15"/>
  <c r="AX498" i="15"/>
  <c r="AX504" i="15"/>
  <c r="AX510" i="15"/>
  <c r="AX493" i="15"/>
  <c r="AX499" i="15"/>
  <c r="AX505" i="15"/>
  <c r="AX511" i="15"/>
  <c r="AX488" i="15"/>
  <c r="AZ493" i="15"/>
  <c r="AZ499" i="15"/>
  <c r="AZ505" i="15"/>
  <c r="AZ511" i="15"/>
  <c r="AZ494" i="15"/>
  <c r="AZ500" i="15"/>
  <c r="AZ506" i="15"/>
  <c r="AZ489" i="15"/>
  <c r="AZ495" i="15"/>
  <c r="AZ501" i="15"/>
  <c r="AZ507" i="15"/>
  <c r="AZ490" i="15"/>
  <c r="AZ496" i="15"/>
  <c r="AZ502" i="15"/>
  <c r="AZ508" i="15"/>
  <c r="AZ491" i="15"/>
  <c r="AZ497" i="15"/>
  <c r="AZ503" i="15"/>
  <c r="AZ509" i="15"/>
  <c r="AZ492" i="15"/>
  <c r="AZ498" i="15"/>
  <c r="AZ504" i="15"/>
  <c r="AZ510" i="15"/>
  <c r="AZ488" i="15"/>
  <c r="AX487" i="15"/>
  <c r="AX486" i="15"/>
  <c r="AZ487" i="15"/>
  <c r="AZ486" i="15"/>
  <c r="AX475" i="15"/>
  <c r="AX476" i="15"/>
  <c r="AX478" i="15"/>
  <c r="AX479" i="15"/>
  <c r="AX481" i="15"/>
  <c r="AX482" i="15"/>
  <c r="AX473" i="15"/>
  <c r="AZ475" i="15"/>
  <c r="AZ476" i="15"/>
  <c r="AZ478" i="15"/>
  <c r="AZ479" i="15"/>
  <c r="AZ481" i="15"/>
  <c r="AZ482" i="15"/>
  <c r="AZ473" i="15"/>
  <c r="AX462" i="15"/>
  <c r="AX463" i="15"/>
  <c r="AX464" i="15"/>
  <c r="AX466" i="15"/>
  <c r="AX467" i="15"/>
  <c r="AX468" i="15"/>
  <c r="AX469" i="15"/>
  <c r="AX470" i="15"/>
  <c r="AX461" i="15"/>
  <c r="AZ462" i="15"/>
  <c r="AZ463" i="15"/>
  <c r="AZ464" i="15"/>
  <c r="AZ466" i="15"/>
  <c r="AZ467" i="15"/>
  <c r="AZ468" i="15"/>
  <c r="AZ469" i="15"/>
  <c r="AZ470" i="15"/>
  <c r="AZ461" i="15"/>
  <c r="AX451" i="15"/>
  <c r="AX452" i="15"/>
  <c r="AX454" i="15"/>
  <c r="AX455" i="15"/>
  <c r="AX457" i="15"/>
  <c r="AX458" i="15"/>
  <c r="AX460" i="15"/>
  <c r="AX449" i="15"/>
  <c r="AZ450" i="15"/>
  <c r="AZ451" i="15"/>
  <c r="AZ452" i="15"/>
  <c r="AZ453" i="15"/>
  <c r="AZ454" i="15"/>
  <c r="AZ455" i="15"/>
  <c r="AZ456" i="15"/>
  <c r="AZ457" i="15"/>
  <c r="AZ458" i="15"/>
  <c r="AZ459" i="15"/>
  <c r="AZ460" i="15"/>
  <c r="AZ449" i="15"/>
  <c r="AX447" i="15"/>
  <c r="AX448" i="15"/>
  <c r="AX446" i="15"/>
  <c r="AZ447" i="15"/>
  <c r="AZ448" i="15"/>
  <c r="AZ446" i="15"/>
  <c r="AX442" i="15"/>
  <c r="AX443" i="15"/>
  <c r="AX444" i="15"/>
  <c r="AX445" i="15"/>
  <c r="AX441" i="15"/>
  <c r="AZ442" i="15"/>
  <c r="AZ443" i="15"/>
  <c r="AZ444" i="15"/>
  <c r="AZ445" i="15"/>
  <c r="AZ441" i="15"/>
  <c r="AX435" i="15"/>
  <c r="AX436" i="15"/>
  <c r="AX433" i="15"/>
  <c r="AZ435" i="15"/>
  <c r="AZ436" i="15"/>
  <c r="AZ433" i="15"/>
  <c r="AX420" i="15"/>
  <c r="AX421" i="15"/>
  <c r="AX422" i="15"/>
  <c r="AX424" i="15"/>
  <c r="AX425" i="15"/>
  <c r="AX427" i="15"/>
  <c r="AX428" i="15"/>
  <c r="AX419" i="15"/>
  <c r="AZ429" i="15"/>
  <c r="AZ420" i="15"/>
  <c r="AZ421" i="15"/>
  <c r="AZ422" i="15"/>
  <c r="AZ423" i="15"/>
  <c r="AZ424" i="15"/>
  <c r="AZ425" i="15"/>
  <c r="AZ426" i="15"/>
  <c r="AZ427" i="15"/>
  <c r="AZ428" i="15"/>
  <c r="AZ419" i="15"/>
  <c r="AX415" i="15"/>
  <c r="AX416" i="15"/>
  <c r="AX417" i="15"/>
  <c r="AX418" i="15"/>
  <c r="AZ418" i="15"/>
  <c r="AZ415" i="15"/>
  <c r="AZ416" i="15"/>
  <c r="AZ417" i="15"/>
  <c r="AX413" i="15"/>
  <c r="AX414" i="15"/>
  <c r="AX410" i="15"/>
  <c r="AX409" i="15"/>
  <c r="AZ410" i="15"/>
  <c r="AZ413" i="15"/>
  <c r="AZ414" i="15"/>
  <c r="AZ409" i="15"/>
  <c r="AX407" i="15"/>
  <c r="AX408" i="15"/>
  <c r="AX406" i="15"/>
  <c r="AZ407" i="15"/>
  <c r="AZ408" i="15"/>
  <c r="AZ406" i="15"/>
  <c r="AX404" i="15"/>
  <c r="AX399" i="15"/>
  <c r="AX400" i="15"/>
  <c r="AX398" i="15"/>
  <c r="AZ405" i="15"/>
  <c r="AZ404" i="15"/>
  <c r="AZ399" i="15"/>
  <c r="AZ400" i="15"/>
  <c r="AZ398" i="15"/>
  <c r="AX369" i="15"/>
  <c r="AX370" i="15"/>
  <c r="AX371" i="15"/>
  <c r="AX372" i="15"/>
  <c r="AX373" i="15"/>
  <c r="AX374" i="15"/>
  <c r="AX375" i="15"/>
  <c r="AX376" i="15"/>
  <c r="AX377" i="15"/>
  <c r="AX378" i="15"/>
  <c r="AX379" i="15"/>
  <c r="AX380" i="15"/>
  <c r="AX381" i="15"/>
  <c r="AX382" i="15"/>
  <c r="AX383" i="15"/>
  <c r="AX384" i="15"/>
  <c r="AX385" i="15"/>
  <c r="AX386" i="15"/>
  <c r="AX387" i="15"/>
  <c r="AX388" i="15"/>
  <c r="AX389" i="15"/>
  <c r="AX390" i="15"/>
  <c r="AX391" i="15"/>
  <c r="AX392" i="15"/>
  <c r="AX393" i="15"/>
  <c r="AX394" i="15"/>
  <c r="AX395" i="15"/>
  <c r="AX396" i="15"/>
  <c r="AX397" i="15"/>
  <c r="AX368" i="15"/>
  <c r="AZ395" i="15"/>
  <c r="AZ396" i="15"/>
  <c r="AZ397" i="15"/>
  <c r="AZ391" i="15"/>
  <c r="AZ392" i="15"/>
  <c r="AZ393" i="15"/>
  <c r="AZ394" i="15"/>
  <c r="AZ369" i="15"/>
  <c r="AZ370" i="15"/>
  <c r="AZ371" i="15"/>
  <c r="AZ372" i="15"/>
  <c r="AZ373" i="15"/>
  <c r="AZ374" i="15"/>
  <c r="AZ375" i="15"/>
  <c r="AZ376" i="15"/>
  <c r="AZ377" i="15"/>
  <c r="AZ378" i="15"/>
  <c r="AZ379" i="15"/>
  <c r="AZ380" i="15"/>
  <c r="AZ381" i="15"/>
  <c r="AZ382" i="15"/>
  <c r="AZ383" i="15"/>
  <c r="AZ384" i="15"/>
  <c r="AZ385" i="15"/>
  <c r="AZ386" i="15"/>
  <c r="AZ387" i="15"/>
  <c r="AZ388" i="15"/>
  <c r="AZ389" i="15"/>
  <c r="AZ390" i="15"/>
  <c r="AZ368" i="15"/>
  <c r="AX360" i="15"/>
  <c r="AX362" i="15"/>
  <c r="AX363" i="15"/>
  <c r="AX364" i="15"/>
  <c r="AX365" i="15"/>
  <c r="AX366" i="15"/>
  <c r="AX367" i="15"/>
  <c r="AX359" i="15"/>
  <c r="AZ360" i="15"/>
  <c r="AZ362" i="15"/>
  <c r="AZ363" i="15"/>
  <c r="AZ364" i="15"/>
  <c r="AZ365" i="15"/>
  <c r="AZ366" i="15"/>
  <c r="AZ367" i="15"/>
  <c r="AZ359" i="15"/>
  <c r="AX345" i="15"/>
  <c r="AX347" i="15"/>
  <c r="AX348" i="15"/>
  <c r="AX350" i="15"/>
  <c r="AX351" i="15"/>
  <c r="AX353" i="15"/>
  <c r="AX354" i="15"/>
  <c r="AX344" i="15"/>
  <c r="AZ345" i="15"/>
  <c r="AZ346" i="15"/>
  <c r="AZ347" i="15"/>
  <c r="AZ348" i="15"/>
  <c r="AZ349" i="15"/>
  <c r="AZ350" i="15"/>
  <c r="AZ351" i="15"/>
  <c r="AZ352" i="15"/>
  <c r="AZ353" i="15"/>
  <c r="AZ354" i="15"/>
  <c r="AZ355" i="15"/>
  <c r="AZ344" i="15"/>
  <c r="AX171" i="15"/>
  <c r="AZ173" i="15"/>
  <c r="AX173" i="15"/>
  <c r="AZ174" i="15"/>
  <c r="AX174" i="15"/>
  <c r="AZ176" i="15"/>
  <c r="AX176" i="15"/>
  <c r="AZ177" i="15"/>
  <c r="AX177" i="15"/>
  <c r="AZ179" i="15"/>
  <c r="AX179" i="15"/>
  <c r="AZ180" i="15"/>
  <c r="AX180" i="15"/>
  <c r="AZ181" i="15"/>
  <c r="AZ182" i="15"/>
  <c r="AX182" i="15"/>
  <c r="AZ183" i="15"/>
  <c r="AZ186" i="15"/>
  <c r="AX186" i="15"/>
  <c r="AZ187" i="15"/>
  <c r="AZ190" i="15"/>
  <c r="AX190" i="15"/>
  <c r="AZ191" i="15"/>
  <c r="AZ192" i="15"/>
  <c r="AX192" i="15"/>
  <c r="AZ193" i="15"/>
  <c r="AZ194" i="15"/>
  <c r="AX194" i="15"/>
  <c r="AZ195" i="15"/>
  <c r="AZ198" i="15"/>
  <c r="AX198" i="15"/>
  <c r="AZ199" i="15"/>
  <c r="AZ202" i="15"/>
  <c r="AX202" i="15"/>
  <c r="AZ203" i="15"/>
  <c r="AZ204" i="15"/>
  <c r="AX204" i="15"/>
  <c r="AZ206" i="15"/>
  <c r="AX206" i="15"/>
  <c r="AZ207" i="15"/>
  <c r="AZ210" i="15"/>
  <c r="AX210" i="15"/>
  <c r="AZ212" i="15"/>
  <c r="AX212" i="15"/>
  <c r="AZ213" i="15"/>
  <c r="AZ216" i="15"/>
  <c r="AX216" i="15"/>
  <c r="AZ218" i="15"/>
  <c r="AX218" i="15"/>
  <c r="AZ219" i="15"/>
  <c r="AZ222" i="15"/>
  <c r="AX222" i="15"/>
  <c r="AZ224" i="15"/>
  <c r="AX224" i="15"/>
  <c r="AZ226" i="15"/>
  <c r="AX226" i="15"/>
  <c r="AZ227" i="15"/>
  <c r="AZ230" i="15"/>
  <c r="AX230" i="15"/>
  <c r="AZ232" i="15"/>
  <c r="AX232" i="15"/>
  <c r="AZ233" i="15"/>
  <c r="AZ236" i="15"/>
  <c r="AX236" i="15"/>
  <c r="AZ238" i="15"/>
  <c r="AX238" i="15"/>
  <c r="AZ239" i="15"/>
  <c r="AZ242" i="15"/>
  <c r="AX242" i="15"/>
  <c r="AZ243" i="15"/>
  <c r="AX243" i="15"/>
  <c r="AZ244" i="15"/>
  <c r="AX244" i="15"/>
  <c r="AZ245" i="15"/>
  <c r="AX245" i="15"/>
  <c r="AZ246" i="15"/>
  <c r="AX246" i="15"/>
  <c r="AZ247" i="15"/>
  <c r="AX247" i="15"/>
  <c r="AZ248" i="15"/>
  <c r="AX248" i="15"/>
  <c r="AZ250" i="15"/>
  <c r="AX250" i="15"/>
  <c r="AZ251" i="15"/>
  <c r="AZ254" i="15"/>
  <c r="AX254" i="15"/>
  <c r="AZ255" i="15"/>
  <c r="AZ256" i="15"/>
  <c r="AX256" i="15"/>
  <c r="AZ258" i="15"/>
  <c r="AX258" i="15"/>
  <c r="AZ259" i="15"/>
  <c r="AZ262" i="15"/>
  <c r="AX262" i="15"/>
  <c r="AZ263" i="15"/>
  <c r="AZ264" i="15"/>
  <c r="AX264" i="15"/>
  <c r="AZ266" i="15"/>
  <c r="AX266" i="15"/>
  <c r="AZ267" i="15"/>
  <c r="AZ270" i="15"/>
  <c r="AX270" i="15"/>
  <c r="AZ271" i="15"/>
  <c r="AZ272" i="15"/>
  <c r="AX272" i="15"/>
  <c r="AZ273" i="15"/>
  <c r="AX273" i="15"/>
  <c r="AZ274" i="15"/>
  <c r="AX274" i="15"/>
  <c r="AZ275" i="15"/>
  <c r="AZ278" i="15"/>
  <c r="AX278" i="15"/>
  <c r="AZ279" i="15"/>
  <c r="AZ280" i="15"/>
  <c r="AX280" i="15"/>
  <c r="AZ281" i="15"/>
  <c r="AX281" i="15"/>
  <c r="AZ282" i="15"/>
  <c r="AX282" i="15"/>
  <c r="AZ283" i="15"/>
  <c r="AZ286" i="15"/>
  <c r="AX286" i="15"/>
  <c r="AZ287" i="15"/>
  <c r="AZ288" i="15"/>
  <c r="AX288" i="15"/>
  <c r="AZ289" i="15"/>
  <c r="AZ290" i="15"/>
  <c r="AX290" i="15"/>
  <c r="AZ291" i="15"/>
  <c r="AZ292" i="15"/>
  <c r="AX292" i="15"/>
  <c r="AZ293" i="15"/>
  <c r="AZ294" i="15"/>
  <c r="AX294" i="15"/>
  <c r="AZ295" i="15"/>
  <c r="AZ296" i="15"/>
  <c r="AX296" i="15"/>
  <c r="AZ297" i="15"/>
  <c r="AX168" i="15"/>
  <c r="AZ168" i="15"/>
  <c r="AX164" i="15"/>
  <c r="AX165" i="15"/>
  <c r="AX166" i="15"/>
  <c r="AX163" i="15"/>
  <c r="AZ164" i="15"/>
  <c r="AZ165" i="15"/>
  <c r="AZ166" i="15"/>
  <c r="AZ163" i="15"/>
  <c r="AX159" i="15"/>
  <c r="AX161" i="15"/>
  <c r="AX157" i="15"/>
  <c r="AZ158" i="15"/>
  <c r="AZ159" i="15"/>
  <c r="AZ160" i="15"/>
  <c r="AZ161" i="15"/>
  <c r="AZ162" i="15"/>
  <c r="AZ157" i="15"/>
  <c r="AX131" i="15"/>
  <c r="AX132" i="15"/>
  <c r="AX133" i="15"/>
  <c r="AX134" i="15"/>
  <c r="AX136" i="15"/>
  <c r="AX138" i="15"/>
  <c r="AX139" i="15"/>
  <c r="AX141" i="15"/>
  <c r="AX143" i="15"/>
  <c r="AX145" i="15"/>
  <c r="AX147" i="15"/>
  <c r="AX151" i="15"/>
  <c r="AX155" i="15"/>
  <c r="AX130" i="15"/>
  <c r="AZ131" i="15"/>
  <c r="AZ132" i="15"/>
  <c r="AZ133" i="15"/>
  <c r="AZ134" i="15"/>
  <c r="AZ136" i="15"/>
  <c r="AZ138" i="15"/>
  <c r="AZ139" i="15"/>
  <c r="AZ140" i="15"/>
  <c r="AZ141" i="15"/>
  <c r="AZ142" i="15"/>
  <c r="AZ143" i="15"/>
  <c r="AZ144" i="15"/>
  <c r="AZ145" i="15"/>
  <c r="AZ146" i="15"/>
  <c r="AZ147" i="15"/>
  <c r="AZ148" i="15"/>
  <c r="AZ151" i="15"/>
  <c r="AZ152" i="15"/>
  <c r="AZ155" i="15"/>
  <c r="AZ156" i="15"/>
  <c r="AX66" i="15"/>
  <c r="AX67" i="15"/>
  <c r="AX69" i="15"/>
  <c r="AX70" i="15"/>
  <c r="AX72" i="15"/>
  <c r="AX64" i="15"/>
  <c r="AX78" i="15"/>
  <c r="AX79" i="15"/>
  <c r="AX80" i="15"/>
  <c r="AX81" i="15"/>
  <c r="AX83" i="15"/>
  <c r="AX84" i="15"/>
  <c r="AX86" i="15"/>
  <c r="AX88" i="15"/>
  <c r="AX89" i="15"/>
  <c r="AX90" i="15"/>
  <c r="AX92" i="15"/>
  <c r="AX94" i="15"/>
  <c r="AX95" i="15"/>
  <c r="AX96" i="15"/>
  <c r="AX98" i="15"/>
  <c r="AX100" i="15"/>
  <c r="AX101" i="15"/>
  <c r="AX102" i="15"/>
  <c r="AX104" i="15"/>
  <c r="AX82" i="15"/>
  <c r="AZ97" i="15"/>
  <c r="AZ98" i="15"/>
  <c r="AZ99" i="15"/>
  <c r="AZ100" i="15"/>
  <c r="AZ101" i="15"/>
  <c r="AZ102" i="15"/>
  <c r="AZ103" i="15"/>
  <c r="AZ104" i="15"/>
  <c r="AZ105" i="15"/>
  <c r="AZ83" i="15"/>
  <c r="AZ85" i="15"/>
  <c r="AZ86" i="15"/>
  <c r="AZ87" i="15"/>
  <c r="AZ88" i="15"/>
  <c r="AZ89" i="15"/>
  <c r="AZ90" i="15"/>
  <c r="AZ91" i="15"/>
  <c r="AZ92" i="15"/>
  <c r="AZ93" i="15"/>
  <c r="AZ94" i="15"/>
  <c r="AZ95" i="15"/>
  <c r="AZ96" i="15"/>
  <c r="AZ82" i="15"/>
  <c r="AZ78" i="15"/>
  <c r="AZ79" i="15"/>
  <c r="AZ80" i="15"/>
  <c r="AZ81" i="15"/>
  <c r="AZ66" i="15"/>
  <c r="AZ67" i="15"/>
  <c r="AZ69" i="15"/>
  <c r="AZ70" i="15"/>
  <c r="AZ72" i="15"/>
  <c r="AZ64" i="15"/>
  <c r="AX62" i="15"/>
  <c r="AX61" i="15"/>
  <c r="AZ62" i="15"/>
  <c r="AZ61" i="15"/>
  <c r="AZ59" i="15"/>
  <c r="AX59" i="15"/>
  <c r="AX58" i="15"/>
  <c r="AZ58" i="15"/>
  <c r="AZ56" i="15"/>
  <c r="AX55" i="15"/>
  <c r="AZ55" i="15"/>
  <c r="AX53" i="15"/>
  <c r="AX52" i="15"/>
  <c r="AZ53" i="15"/>
  <c r="AZ52" i="15"/>
  <c r="AX44" i="15"/>
  <c r="AX42" i="15"/>
  <c r="AZ44" i="15"/>
  <c r="AZ45" i="15"/>
  <c r="AZ42" i="15"/>
  <c r="AX35" i="15"/>
  <c r="AX34" i="15"/>
  <c r="AX32" i="15"/>
  <c r="AX28" i="15"/>
  <c r="AX24" i="15"/>
  <c r="AZ35" i="15"/>
  <c r="AZ34" i="15"/>
  <c r="AZ32" i="15"/>
  <c r="AZ28" i="15"/>
  <c r="AZ24" i="15"/>
  <c r="AX22" i="15"/>
  <c r="AZ22" i="15"/>
  <c r="V4" i="16"/>
  <c r="H7" i="16"/>
  <c r="I7" i="16"/>
  <c r="F7" i="16" s="1"/>
  <c r="N7" i="16"/>
  <c r="O7" i="16"/>
  <c r="DJ7" i="16" s="1"/>
  <c r="V7" i="16"/>
  <c r="X15" i="16"/>
  <c r="Y15" i="16"/>
  <c r="Z15" i="16"/>
  <c r="AA15" i="16"/>
  <c r="AB15" i="16"/>
  <c r="AC15" i="16"/>
  <c r="AD15" i="16"/>
  <c r="AE15" i="16"/>
  <c r="AF15" i="16"/>
  <c r="AG15" i="16"/>
  <c r="V16" i="16"/>
  <c r="V17" i="16"/>
  <c r="V18" i="16"/>
  <c r="W18" i="16"/>
  <c r="V19" i="16"/>
  <c r="V20" i="16"/>
  <c r="V21" i="16"/>
  <c r="V22" i="16"/>
  <c r="V23" i="16"/>
  <c r="V24" i="16"/>
  <c r="V25" i="16"/>
  <c r="V26" i="16"/>
  <c r="V27" i="16"/>
  <c r="V28" i="16"/>
  <c r="V29" i="16"/>
  <c r="V35" i="16"/>
  <c r="V36" i="16"/>
  <c r="V38" i="16"/>
  <c r="V39" i="16"/>
  <c r="V40" i="16"/>
  <c r="D41" i="16"/>
  <c r="V41" i="16" s="1"/>
  <c r="E41" i="16"/>
  <c r="E171" i="16" s="1"/>
  <c r="D42" i="16"/>
  <c r="E42" i="16"/>
  <c r="V45" i="16"/>
  <c r="X47" i="16"/>
  <c r="Y47" i="16"/>
  <c r="Z47" i="16"/>
  <c r="AA47" i="16"/>
  <c r="AB47" i="16"/>
  <c r="AC47" i="16"/>
  <c r="AD47" i="16"/>
  <c r="AE47" i="16"/>
  <c r="AF47" i="16"/>
  <c r="AG47" i="16"/>
  <c r="DG47" i="16"/>
  <c r="DH47" i="16"/>
  <c r="DI47" i="16"/>
  <c r="H48" i="16"/>
  <c r="J48" i="16"/>
  <c r="H49" i="16"/>
  <c r="J49" i="16"/>
  <c r="DH49" i="16" s="1"/>
  <c r="V49" i="16"/>
  <c r="H50" i="16"/>
  <c r="J50" i="16"/>
  <c r="K50" i="16"/>
  <c r="DJ50" i="16" s="1"/>
  <c r="V50" i="16"/>
  <c r="H51" i="16"/>
  <c r="J51" i="16"/>
  <c r="DH51" i="16" s="1"/>
  <c r="V51" i="16"/>
  <c r="D52" i="16"/>
  <c r="H12" i="15" s="1"/>
  <c r="E52" i="16"/>
  <c r="G12" i="15" s="1"/>
  <c r="H52" i="16"/>
  <c r="J52" i="16"/>
  <c r="K52" i="16"/>
  <c r="DJ52" i="16" s="1"/>
  <c r="V52" i="16"/>
  <c r="D53" i="16"/>
  <c r="E53" i="16"/>
  <c r="H53" i="16"/>
  <c r="J53" i="16"/>
  <c r="DH53" i="16" s="1"/>
  <c r="V53" i="16"/>
  <c r="H54" i="16"/>
  <c r="J54" i="16"/>
  <c r="X13" i="15" s="1"/>
  <c r="Z13" i="15" s="1"/>
  <c r="W13" i="15" s="1"/>
  <c r="K54" i="16"/>
  <c r="DJ54" i="16" s="1"/>
  <c r="V54" i="16"/>
  <c r="H55" i="16"/>
  <c r="J55" i="16"/>
  <c r="DH55" i="16" s="1"/>
  <c r="V55" i="16"/>
  <c r="D56" i="16"/>
  <c r="H14" i="15" s="1"/>
  <c r="E56" i="16"/>
  <c r="G14" i="15" s="1"/>
  <c r="H56" i="16"/>
  <c r="J56" i="16"/>
  <c r="X14" i="15" s="1"/>
  <c r="Z14" i="15" s="1"/>
  <c r="W14" i="15" s="1"/>
  <c r="K56" i="16"/>
  <c r="DJ56" i="16" s="1"/>
  <c r="V56" i="16"/>
  <c r="D57" i="16"/>
  <c r="E57" i="16"/>
  <c r="H57" i="16"/>
  <c r="J57" i="16"/>
  <c r="DH57" i="16" s="1"/>
  <c r="V57" i="16"/>
  <c r="H58" i="16"/>
  <c r="J58" i="16"/>
  <c r="X15" i="15" s="1"/>
  <c r="Z15" i="15" s="1"/>
  <c r="W15" i="15" s="1"/>
  <c r="K58" i="16"/>
  <c r="DJ58" i="16" s="1"/>
  <c r="V58" i="16"/>
  <c r="H59" i="16"/>
  <c r="J59" i="16"/>
  <c r="DH59" i="16" s="1"/>
  <c r="V59" i="16"/>
  <c r="H60" i="16"/>
  <c r="J60" i="16"/>
  <c r="K60" i="16"/>
  <c r="DJ60" i="16" s="1"/>
  <c r="V60" i="16"/>
  <c r="H61" i="16"/>
  <c r="J61" i="16"/>
  <c r="DH61" i="16" s="1"/>
  <c r="V61" i="16"/>
  <c r="H62" i="16"/>
  <c r="J62" i="16"/>
  <c r="X17" i="15" s="1"/>
  <c r="Z17" i="15" s="1"/>
  <c r="W17" i="15" s="1"/>
  <c r="K62" i="16"/>
  <c r="DJ62" i="16" s="1"/>
  <c r="V62" i="16"/>
  <c r="H63" i="16"/>
  <c r="J63" i="16"/>
  <c r="DH63" i="16" s="1"/>
  <c r="V63" i="16"/>
  <c r="D64" i="16"/>
  <c r="H18" i="15" s="1"/>
  <c r="H64" i="16"/>
  <c r="J64" i="16"/>
  <c r="K64" i="16"/>
  <c r="DJ64" i="16" s="1"/>
  <c r="V64" i="16"/>
  <c r="D65" i="16"/>
  <c r="H65" i="16"/>
  <c r="J65" i="16"/>
  <c r="DH65" i="16" s="1"/>
  <c r="V65" i="16"/>
  <c r="H66" i="16"/>
  <c r="J66" i="16"/>
  <c r="K66" i="16"/>
  <c r="DJ66" i="16" s="1"/>
  <c r="V66" i="16"/>
  <c r="H67" i="16"/>
  <c r="J67" i="16"/>
  <c r="DH67" i="16" s="1"/>
  <c r="V67" i="16"/>
  <c r="H68" i="16"/>
  <c r="J68" i="16"/>
  <c r="K68" i="16"/>
  <c r="DJ68" i="16" s="1"/>
  <c r="V68" i="16"/>
  <c r="H69" i="16"/>
  <c r="J69" i="16"/>
  <c r="DH69" i="16" s="1"/>
  <c r="V69" i="16"/>
  <c r="D70" i="16"/>
  <c r="H21" i="15" s="1"/>
  <c r="H70" i="16"/>
  <c r="J70" i="16"/>
  <c r="K70" i="16"/>
  <c r="DJ70" i="16" s="1"/>
  <c r="V70" i="16"/>
  <c r="D71" i="16"/>
  <c r="H71" i="16"/>
  <c r="J71" i="16"/>
  <c r="DH71" i="16" s="1"/>
  <c r="V71" i="16"/>
  <c r="X80" i="16"/>
  <c r="Y80" i="16"/>
  <c r="Z80" i="16"/>
  <c r="AA80" i="16"/>
  <c r="AB80" i="16"/>
  <c r="AC80" i="16"/>
  <c r="AD80" i="16"/>
  <c r="AE80" i="16"/>
  <c r="AF80" i="16"/>
  <c r="AG80" i="16"/>
  <c r="V81" i="16"/>
  <c r="E82" i="16"/>
  <c r="E90" i="16" s="1"/>
  <c r="E83" i="16"/>
  <c r="E92" i="16" s="1"/>
  <c r="E84" i="16"/>
  <c r="E127" i="16" s="1"/>
  <c r="E85" i="16"/>
  <c r="E142" i="16" s="1"/>
  <c r="E86" i="16"/>
  <c r="E120" i="16" s="1"/>
  <c r="E87" i="16"/>
  <c r="E121" i="16" s="1"/>
  <c r="E88" i="16"/>
  <c r="E131" i="16" s="1"/>
  <c r="V89" i="16"/>
  <c r="X89" i="16"/>
  <c r="F91" i="16"/>
  <c r="W92" i="16"/>
  <c r="F93" i="16"/>
  <c r="X94" i="16"/>
  <c r="X92" i="16" s="1"/>
  <c r="E97" i="16"/>
  <c r="F97" i="16"/>
  <c r="E100" i="16"/>
  <c r="F100" i="16"/>
  <c r="V101" i="16"/>
  <c r="V109" i="16"/>
  <c r="V113" i="16"/>
  <c r="V115" i="16"/>
  <c r="W115" i="16"/>
  <c r="X115" i="16"/>
  <c r="W117" i="16"/>
  <c r="X117" i="16"/>
  <c r="W118" i="16"/>
  <c r="X118" i="16"/>
  <c r="W119" i="16"/>
  <c r="X119" i="16"/>
  <c r="W121" i="16"/>
  <c r="X121" i="16"/>
  <c r="V123" i="16"/>
  <c r="V124" i="16"/>
  <c r="V132" i="16"/>
  <c r="V134" i="16"/>
  <c r="V135" i="16"/>
  <c r="X135" i="16"/>
  <c r="V136" i="16"/>
  <c r="V137" i="16"/>
  <c r="V138" i="16"/>
  <c r="V146" i="16"/>
  <c r="V151" i="16"/>
  <c r="X153" i="16"/>
  <c r="Y153" i="16"/>
  <c r="Z153" i="16"/>
  <c r="AA153" i="16"/>
  <c r="AB153" i="16"/>
  <c r="AC153" i="16"/>
  <c r="AD153" i="16"/>
  <c r="AE153" i="16"/>
  <c r="AF153" i="16"/>
  <c r="AG153" i="16"/>
  <c r="DG153" i="16"/>
  <c r="DH153" i="16"/>
  <c r="DI153" i="16"/>
  <c r="H154" i="16"/>
  <c r="X162" i="16"/>
  <c r="Y162" i="16"/>
  <c r="Z162" i="16"/>
  <c r="AA162" i="16"/>
  <c r="AB162" i="16"/>
  <c r="AC162" i="16"/>
  <c r="AD162" i="16"/>
  <c r="AE162" i="16"/>
  <c r="AF162" i="16"/>
  <c r="AG162" i="16"/>
  <c r="AJ162" i="16"/>
  <c r="AK162" i="16"/>
  <c r="AL162" i="16"/>
  <c r="AM162" i="16"/>
  <c r="AN162" i="16"/>
  <c r="AO162" i="16"/>
  <c r="AP162" i="16"/>
  <c r="AQ162" i="16"/>
  <c r="AR162" i="16"/>
  <c r="AS162" i="16"/>
  <c r="V169" i="16"/>
  <c r="V170" i="16"/>
  <c r="V176" i="16"/>
  <c r="X178" i="16"/>
  <c r="Y178" i="16"/>
  <c r="Z178" i="16"/>
  <c r="AA178" i="16"/>
  <c r="AB178" i="16"/>
  <c r="AC178" i="16"/>
  <c r="AD178" i="16"/>
  <c r="AE178" i="16"/>
  <c r="AF178" i="16"/>
  <c r="AG178" i="16"/>
  <c r="DG178" i="16"/>
  <c r="DH178" i="16"/>
  <c r="DI178" i="16"/>
  <c r="H179" i="16"/>
  <c r="X187" i="16"/>
  <c r="Y187" i="16"/>
  <c r="Z187" i="16"/>
  <c r="AA187" i="16"/>
  <c r="AB187" i="16"/>
  <c r="AC187" i="16"/>
  <c r="AD187" i="16"/>
  <c r="AE187" i="16"/>
  <c r="AF187" i="16"/>
  <c r="AG187" i="16"/>
  <c r="V198" i="16"/>
  <c r="DG200" i="16"/>
  <c r="DH200" i="16"/>
  <c r="DI200" i="16"/>
  <c r="H201" i="16"/>
  <c r="V249" i="16"/>
  <c r="X251" i="16"/>
  <c r="Y251" i="16"/>
  <c r="Z251" i="16"/>
  <c r="AA251" i="16"/>
  <c r="AB251" i="16"/>
  <c r="AC251" i="16"/>
  <c r="AD251" i="16"/>
  <c r="AE251" i="16"/>
  <c r="AF251" i="16"/>
  <c r="AG251" i="16"/>
  <c r="DG251" i="16"/>
  <c r="DH251" i="16"/>
  <c r="DI251" i="16"/>
  <c r="H252" i="16"/>
  <c r="V284" i="16"/>
  <c r="X286" i="16"/>
  <c r="Y286" i="16"/>
  <c r="Z286" i="16"/>
  <c r="AA286" i="16"/>
  <c r="AB286" i="16"/>
  <c r="AC286" i="16"/>
  <c r="AD286" i="16"/>
  <c r="AE286" i="16"/>
  <c r="AF286" i="16"/>
  <c r="AG286" i="16"/>
  <c r="DG286" i="16"/>
  <c r="DH286" i="16"/>
  <c r="DI286" i="16"/>
  <c r="H287" i="16"/>
  <c r="J287" i="16"/>
  <c r="K287" i="16"/>
  <c r="DJ287" i="16" s="1"/>
  <c r="H288" i="16"/>
  <c r="J288" i="16"/>
  <c r="K288" i="16"/>
  <c r="DJ288" i="16" s="1"/>
  <c r="X296" i="16"/>
  <c r="Y296" i="16"/>
  <c r="Z296" i="16"/>
  <c r="AA296" i="16"/>
  <c r="AB296" i="16"/>
  <c r="AC296" i="16"/>
  <c r="AD296" i="16"/>
  <c r="AE296" i="16"/>
  <c r="AF296" i="16"/>
  <c r="AG296" i="16"/>
  <c r="AX20" i="15"/>
  <c r="AX21" i="15"/>
  <c r="AX11" i="15"/>
  <c r="AX13" i="15"/>
  <c r="AX15" i="15"/>
  <c r="AX16" i="15"/>
  <c r="AX17" i="15"/>
  <c r="AX18" i="15"/>
  <c r="AX19" i="15"/>
  <c r="AX10" i="15"/>
  <c r="AX9" i="15"/>
  <c r="AZ11" i="15"/>
  <c r="AZ12" i="15"/>
  <c r="AZ13" i="15"/>
  <c r="AZ14" i="15"/>
  <c r="AZ15" i="15"/>
  <c r="AZ16" i="15"/>
  <c r="AZ17" i="15"/>
  <c r="AZ18" i="15"/>
  <c r="AZ19" i="15"/>
  <c r="AZ20" i="15"/>
  <c r="AZ21" i="15"/>
  <c r="AZ10" i="15"/>
  <c r="L794" i="7"/>
  <c r="DJ794" i="7" s="1"/>
  <c r="L795" i="7"/>
  <c r="DJ795" i="7" s="1"/>
  <c r="L793" i="7"/>
  <c r="DJ793" i="7" s="1"/>
  <c r="L792" i="7"/>
  <c r="DJ792" i="7" s="1"/>
  <c r="V4" i="11"/>
  <c r="AS1154" i="7"/>
  <c r="AR1154" i="7"/>
  <c r="AQ1154" i="7"/>
  <c r="AP1154" i="7"/>
  <c r="AO1154" i="7"/>
  <c r="AN1154" i="7"/>
  <c r="AM1154" i="7"/>
  <c r="AL1154" i="7"/>
  <c r="AK1154" i="7"/>
  <c r="AJ1154" i="7"/>
  <c r="AG1154" i="7"/>
  <c r="AF1154" i="7"/>
  <c r="AE1154" i="7"/>
  <c r="AD1154" i="7"/>
  <c r="AC1154" i="7"/>
  <c r="AB1154" i="7"/>
  <c r="AA1154" i="7"/>
  <c r="Z1154" i="7"/>
  <c r="Y1154" i="7"/>
  <c r="X1154" i="7"/>
  <c r="K1149" i="7"/>
  <c r="DJ1149" i="7" s="1"/>
  <c r="J1149" i="7"/>
  <c r="H1149" i="7"/>
  <c r="K1148" i="7"/>
  <c r="DJ1148" i="7" s="1"/>
  <c r="J1148" i="7"/>
  <c r="X505" i="15" s="1"/>
  <c r="Z505" i="15" s="1"/>
  <c r="W505" i="15" s="1"/>
  <c r="H1148" i="7"/>
  <c r="K1147" i="7"/>
  <c r="DJ1147" i="7" s="1"/>
  <c r="J1147" i="7"/>
  <c r="X499" i="15" s="1"/>
  <c r="Z499" i="15" s="1"/>
  <c r="W499" i="15" s="1"/>
  <c r="H1147" i="7"/>
  <c r="K1146" i="7"/>
  <c r="DJ1146" i="7" s="1"/>
  <c r="J1146" i="7"/>
  <c r="X493" i="15" s="1"/>
  <c r="Z493" i="15" s="1"/>
  <c r="W493" i="15" s="1"/>
  <c r="H1146" i="7"/>
  <c r="K1145" i="7"/>
  <c r="DJ1145" i="7" s="1"/>
  <c r="J1145" i="7"/>
  <c r="X510" i="15" s="1"/>
  <c r="Z510" i="15" s="1"/>
  <c r="W510" i="15" s="1"/>
  <c r="H1145" i="7"/>
  <c r="K1144" i="7"/>
  <c r="DJ1144" i="7" s="1"/>
  <c r="J1144" i="7"/>
  <c r="H1144" i="7"/>
  <c r="K1143" i="7"/>
  <c r="DJ1143" i="7" s="1"/>
  <c r="J1143" i="7"/>
  <c r="X498" i="15" s="1"/>
  <c r="Z498" i="15" s="1"/>
  <c r="W498" i="15" s="1"/>
  <c r="H1143" i="7"/>
  <c r="K1142" i="7"/>
  <c r="DJ1142" i="7" s="1"/>
  <c r="J1142" i="7"/>
  <c r="X492" i="15" s="1"/>
  <c r="Z492" i="15" s="1"/>
  <c r="W492" i="15" s="1"/>
  <c r="H1142" i="7"/>
  <c r="K1141" i="7"/>
  <c r="DJ1141" i="7" s="1"/>
  <c r="J1141" i="7"/>
  <c r="X509" i="15" s="1"/>
  <c r="Z509" i="15" s="1"/>
  <c r="W509" i="15" s="1"/>
  <c r="H1141" i="7"/>
  <c r="K1140" i="7"/>
  <c r="DJ1140" i="7" s="1"/>
  <c r="J1140" i="7"/>
  <c r="X503" i="15" s="1"/>
  <c r="Z503" i="15" s="1"/>
  <c r="W503" i="15" s="1"/>
  <c r="H1140" i="7"/>
  <c r="K1139" i="7"/>
  <c r="DJ1139" i="7" s="1"/>
  <c r="J1139" i="7"/>
  <c r="X497" i="15" s="1"/>
  <c r="Z497" i="15" s="1"/>
  <c r="W497" i="15" s="1"/>
  <c r="H1139" i="7"/>
  <c r="K1138" i="7"/>
  <c r="DJ1138" i="7" s="1"/>
  <c r="J1138" i="7"/>
  <c r="X491" i="15" s="1"/>
  <c r="Z491" i="15" s="1"/>
  <c r="W491" i="15" s="1"/>
  <c r="H1138" i="7"/>
  <c r="K1137" i="7"/>
  <c r="DJ1137" i="7" s="1"/>
  <c r="J1137" i="7"/>
  <c r="H1137" i="7"/>
  <c r="K1136" i="7"/>
  <c r="DJ1136" i="7" s="1"/>
  <c r="J1136" i="7"/>
  <c r="X502" i="15" s="1"/>
  <c r="Z502" i="15" s="1"/>
  <c r="W502" i="15" s="1"/>
  <c r="H1136" i="7"/>
  <c r="K1135" i="7"/>
  <c r="DJ1135" i="7" s="1"/>
  <c r="J1135" i="7"/>
  <c r="X496" i="15" s="1"/>
  <c r="Z496" i="15" s="1"/>
  <c r="W496" i="15" s="1"/>
  <c r="H1135" i="7"/>
  <c r="K1134" i="7"/>
  <c r="DJ1134" i="7" s="1"/>
  <c r="J1134" i="7"/>
  <c r="X490" i="15" s="1"/>
  <c r="Z490" i="15" s="1"/>
  <c r="W490" i="15" s="1"/>
  <c r="H1134" i="7"/>
  <c r="K1133" i="7"/>
  <c r="DJ1133" i="7" s="1"/>
  <c r="J1133" i="7"/>
  <c r="X507" i="15" s="1"/>
  <c r="Z507" i="15" s="1"/>
  <c r="W507" i="15" s="1"/>
  <c r="H1133" i="7"/>
  <c r="K1132" i="7"/>
  <c r="DJ1132" i="7" s="1"/>
  <c r="J1132" i="7"/>
  <c r="X501" i="15" s="1"/>
  <c r="Z501" i="15" s="1"/>
  <c r="W501" i="15" s="1"/>
  <c r="H1132" i="7"/>
  <c r="K1131" i="7"/>
  <c r="DJ1131" i="7" s="1"/>
  <c r="J1131" i="7"/>
  <c r="X495" i="15" s="1"/>
  <c r="Z495" i="15" s="1"/>
  <c r="W495" i="15" s="1"/>
  <c r="H1131" i="7"/>
  <c r="K1130" i="7"/>
  <c r="DJ1130" i="7" s="1"/>
  <c r="J1130" i="7"/>
  <c r="X489" i="15" s="1"/>
  <c r="Z489" i="15" s="1"/>
  <c r="W489" i="15" s="1"/>
  <c r="H1130" i="7"/>
  <c r="K1129" i="7"/>
  <c r="DJ1129" i="7" s="1"/>
  <c r="J1129" i="7"/>
  <c r="X506" i="15" s="1"/>
  <c r="Z506" i="15" s="1"/>
  <c r="W506" i="15" s="1"/>
  <c r="H1129" i="7"/>
  <c r="K1128" i="7"/>
  <c r="DJ1128" i="7" s="1"/>
  <c r="J1128" i="7"/>
  <c r="X500" i="15" s="1"/>
  <c r="Z500" i="15" s="1"/>
  <c r="W500" i="15" s="1"/>
  <c r="H1128" i="7"/>
  <c r="K1127" i="7"/>
  <c r="DJ1127" i="7" s="1"/>
  <c r="J1127" i="7"/>
  <c r="X494" i="15" s="1"/>
  <c r="Z494" i="15" s="1"/>
  <c r="W494" i="15" s="1"/>
  <c r="H1127" i="7"/>
  <c r="K1126" i="7"/>
  <c r="DJ1126" i="7" s="1"/>
  <c r="J1126" i="7"/>
  <c r="X488" i="15" s="1"/>
  <c r="Z488" i="15" s="1"/>
  <c r="W488" i="15" s="1"/>
  <c r="H1126" i="7"/>
  <c r="DJ1125" i="7"/>
  <c r="DI1125" i="7"/>
  <c r="DH1125" i="7"/>
  <c r="DG1125" i="7"/>
  <c r="AG1125" i="7"/>
  <c r="AF1125" i="7"/>
  <c r="AE1125" i="7"/>
  <c r="AD1125" i="7"/>
  <c r="AC1125" i="7"/>
  <c r="AB1125" i="7"/>
  <c r="AA1125" i="7"/>
  <c r="Z1125" i="7"/>
  <c r="Y1125" i="7"/>
  <c r="X1125" i="7"/>
  <c r="V1123" i="7"/>
  <c r="E1119" i="7"/>
  <c r="E1118" i="7"/>
  <c r="V1117" i="7"/>
  <c r="V1116" i="7"/>
  <c r="V1115" i="7"/>
  <c r="V1114" i="7"/>
  <c r="V1113" i="7"/>
  <c r="V1112" i="7"/>
  <c r="X1111" i="7"/>
  <c r="V1111" i="7"/>
  <c r="F1111" i="7"/>
  <c r="AF1111" i="7" s="1"/>
  <c r="X1110" i="7"/>
  <c r="V1110" i="7"/>
  <c r="F1110" i="7"/>
  <c r="AF1110" i="7" s="1"/>
  <c r="X1109" i="7"/>
  <c r="V1109" i="7"/>
  <c r="X1108" i="7"/>
  <c r="V1108" i="7"/>
  <c r="F1108" i="7"/>
  <c r="AF1108" i="7" s="1"/>
  <c r="X1107" i="7"/>
  <c r="V1107" i="7"/>
  <c r="F1107" i="7"/>
  <c r="AF1107" i="7" s="1"/>
  <c r="X1106" i="7"/>
  <c r="V1106" i="7"/>
  <c r="X1104" i="7"/>
  <c r="V1105" i="7"/>
  <c r="AG1100" i="7"/>
  <c r="AF1100" i="7"/>
  <c r="AE1100" i="7"/>
  <c r="AD1100" i="7"/>
  <c r="AC1100" i="7"/>
  <c r="AB1100" i="7"/>
  <c r="AA1100" i="7"/>
  <c r="Z1100" i="7"/>
  <c r="Y1100" i="7"/>
  <c r="X1100" i="7"/>
  <c r="W1100" i="7"/>
  <c r="J1093" i="7"/>
  <c r="H1093" i="7"/>
  <c r="K1092" i="7"/>
  <c r="DJ1092" i="7" s="1"/>
  <c r="J1092" i="7"/>
  <c r="X487" i="15" s="1"/>
  <c r="H1092" i="7"/>
  <c r="J1091" i="7"/>
  <c r="Y486" i="15" s="1"/>
  <c r="H1091" i="7"/>
  <c r="V1090" i="7"/>
  <c r="V1091" i="7" s="1"/>
  <c r="V1092" i="7" s="1"/>
  <c r="V1093" i="7" s="1"/>
  <c r="K1090" i="7"/>
  <c r="DJ1090" i="7" s="1"/>
  <c r="J1090" i="7"/>
  <c r="X486" i="15" s="1"/>
  <c r="H1090" i="7"/>
  <c r="DJ1089" i="7"/>
  <c r="DI1089" i="7"/>
  <c r="DH1089" i="7"/>
  <c r="DG1089" i="7"/>
  <c r="AG1089" i="7"/>
  <c r="AF1089" i="7"/>
  <c r="AE1089" i="7"/>
  <c r="AD1089" i="7"/>
  <c r="AC1089" i="7"/>
  <c r="AB1089" i="7"/>
  <c r="AA1089" i="7"/>
  <c r="Z1089" i="7"/>
  <c r="Y1089" i="7"/>
  <c r="X1089" i="7"/>
  <c r="V1087" i="7"/>
  <c r="V1042" i="7"/>
  <c r="DH1033" i="7"/>
  <c r="V1033" i="7"/>
  <c r="H1033" i="7"/>
  <c r="DJ1032" i="7"/>
  <c r="DI1032" i="7"/>
  <c r="DH1032" i="7"/>
  <c r="DG1032" i="7"/>
  <c r="AG1032" i="7"/>
  <c r="AF1032" i="7"/>
  <c r="AE1032" i="7"/>
  <c r="AD1032" i="7"/>
  <c r="AC1032" i="7"/>
  <c r="AB1032" i="7"/>
  <c r="AA1032" i="7"/>
  <c r="Z1032" i="7"/>
  <c r="Y1032" i="7"/>
  <c r="X1032" i="7"/>
  <c r="V1030" i="7"/>
  <c r="AS1015" i="7"/>
  <c r="AR1015" i="7"/>
  <c r="AQ1015" i="7"/>
  <c r="AP1015" i="7"/>
  <c r="AO1015" i="7"/>
  <c r="AN1015" i="7"/>
  <c r="AM1015" i="7"/>
  <c r="AL1015" i="7"/>
  <c r="AK1015" i="7"/>
  <c r="AJ1015" i="7"/>
  <c r="AI1015" i="7"/>
  <c r="AS1014" i="7"/>
  <c r="AR1014" i="7"/>
  <c r="AQ1014" i="7"/>
  <c r="AP1014" i="7"/>
  <c r="AO1014" i="7"/>
  <c r="AN1014" i="7"/>
  <c r="AM1014" i="7"/>
  <c r="AL1014" i="7"/>
  <c r="AK1014" i="7"/>
  <c r="AJ1014" i="7"/>
  <c r="AI1014" i="7"/>
  <c r="AG972" i="7"/>
  <c r="AF972" i="7"/>
  <c r="AE972" i="7"/>
  <c r="AD972" i="7"/>
  <c r="AC972" i="7"/>
  <c r="AB972" i="7"/>
  <c r="AA972" i="7"/>
  <c r="Z972" i="7"/>
  <c r="Y972" i="7"/>
  <c r="X972" i="7"/>
  <c r="W972" i="7"/>
  <c r="V971" i="7"/>
  <c r="V970" i="7"/>
  <c r="DH965" i="7"/>
  <c r="L965" i="7"/>
  <c r="K965" i="7"/>
  <c r="J965" i="7"/>
  <c r="H965" i="7"/>
  <c r="DH964" i="7"/>
  <c r="L964" i="7"/>
  <c r="J964" i="7"/>
  <c r="H964" i="7"/>
  <c r="DH963" i="7"/>
  <c r="L963" i="7"/>
  <c r="J963" i="7"/>
  <c r="H963" i="7"/>
  <c r="DH962" i="7"/>
  <c r="L962" i="7"/>
  <c r="K962" i="7"/>
  <c r="J962" i="7"/>
  <c r="H962" i="7"/>
  <c r="DH961" i="7"/>
  <c r="L961" i="7"/>
  <c r="K961" i="7"/>
  <c r="J961" i="7"/>
  <c r="H961" i="7"/>
  <c r="DH959" i="7"/>
  <c r="L959" i="7"/>
  <c r="K959" i="7"/>
  <c r="J959" i="7"/>
  <c r="H959" i="7"/>
  <c r="DH958" i="7"/>
  <c r="L958" i="7"/>
  <c r="K958" i="7"/>
  <c r="J958" i="7"/>
  <c r="H958" i="7"/>
  <c r="DH957" i="7"/>
  <c r="L957" i="7"/>
  <c r="F957" i="7" s="1"/>
  <c r="J957" i="7"/>
  <c r="H957" i="7"/>
  <c r="DH956" i="7"/>
  <c r="V956" i="7"/>
  <c r="V957" i="7" s="1"/>
  <c r="V958" i="7" s="1"/>
  <c r="V959" i="7" s="1"/>
  <c r="V960" i="7" s="1"/>
  <c r="V961" i="7" s="1"/>
  <c r="V962" i="7" s="1"/>
  <c r="V963" i="7" s="1"/>
  <c r="V964" i="7" s="1"/>
  <c r="V965" i="7" s="1"/>
  <c r="V966" i="7" s="1"/>
  <c r="V967" i="7" s="1"/>
  <c r="Q956" i="7"/>
  <c r="P956" i="7"/>
  <c r="DJ956" i="7" s="1"/>
  <c r="L956" i="7"/>
  <c r="F956" i="7" s="1"/>
  <c r="J956" i="7"/>
  <c r="H956" i="7"/>
  <c r="DJ955" i="7"/>
  <c r="DI955" i="7"/>
  <c r="DH955" i="7"/>
  <c r="DG955" i="7"/>
  <c r="V952" i="7"/>
  <c r="V948" i="7"/>
  <c r="E947" i="7"/>
  <c r="E946" i="7"/>
  <c r="E944" i="7"/>
  <c r="V943" i="7"/>
  <c r="V942" i="7"/>
  <c r="V941" i="7"/>
  <c r="X940" i="7"/>
  <c r="F940" i="7"/>
  <c r="AF940" i="7" s="1"/>
  <c r="X939" i="7"/>
  <c r="F939" i="7"/>
  <c r="AF939" i="7" s="1"/>
  <c r="X936" i="7"/>
  <c r="F936" i="7"/>
  <c r="F878" i="7" s="1"/>
  <c r="X935" i="7"/>
  <c r="F935" i="7"/>
  <c r="V933" i="7"/>
  <c r="V925" i="7"/>
  <c r="V923" i="7"/>
  <c r="X922" i="7"/>
  <c r="W922" i="7"/>
  <c r="F922" i="7"/>
  <c r="X921" i="7"/>
  <c r="W921" i="7"/>
  <c r="F921" i="7"/>
  <c r="V915" i="7"/>
  <c r="V914" i="7"/>
  <c r="V913" i="7"/>
  <c r="V912" i="7"/>
  <c r="V911" i="7"/>
  <c r="W909" i="7"/>
  <c r="W907" i="7"/>
  <c r="W905" i="7"/>
  <c r="W903" i="7"/>
  <c r="V903" i="7"/>
  <c r="V901" i="7"/>
  <c r="AG900" i="7"/>
  <c r="AF900" i="7"/>
  <c r="AE900" i="7"/>
  <c r="AD900" i="7"/>
  <c r="AC900" i="7"/>
  <c r="AB900" i="7"/>
  <c r="AA900" i="7"/>
  <c r="Z900" i="7"/>
  <c r="Y900" i="7"/>
  <c r="X900" i="7"/>
  <c r="W900" i="7"/>
  <c r="V899" i="7"/>
  <c r="V898" i="7"/>
  <c r="V897" i="7"/>
  <c r="V896" i="7"/>
  <c r="V895" i="7"/>
  <c r="V894" i="7"/>
  <c r="V893" i="7"/>
  <c r="J890" i="7"/>
  <c r="DH890" i="7" s="1"/>
  <c r="H890" i="7"/>
  <c r="J889" i="7"/>
  <c r="H889" i="7"/>
  <c r="J888" i="7"/>
  <c r="DH888" i="7" s="1"/>
  <c r="H888" i="7"/>
  <c r="E888" i="7"/>
  <c r="J887" i="7"/>
  <c r="X459" i="15" s="1"/>
  <c r="Z459" i="15" s="1"/>
  <c r="W459" i="15" s="1"/>
  <c r="H887" i="7"/>
  <c r="E887" i="7"/>
  <c r="J886" i="7"/>
  <c r="DH886" i="7" s="1"/>
  <c r="H886" i="7"/>
  <c r="J885" i="7"/>
  <c r="X458" i="15" s="1"/>
  <c r="Z458" i="15" s="1"/>
  <c r="W458" i="15" s="1"/>
  <c r="H885" i="7"/>
  <c r="J884" i="7"/>
  <c r="DH884" i="7" s="1"/>
  <c r="DI884" i="7" s="1"/>
  <c r="AF457" i="15" s="1"/>
  <c r="H884" i="7"/>
  <c r="I884" i="7" s="1"/>
  <c r="R457" i="15" s="1"/>
  <c r="J883" i="7"/>
  <c r="H883" i="7"/>
  <c r="J882" i="7"/>
  <c r="DH882" i="7" s="1"/>
  <c r="DI882" i="7" s="1"/>
  <c r="AF456" i="15" s="1"/>
  <c r="H882" i="7"/>
  <c r="I882" i="7" s="1"/>
  <c r="R456" i="15" s="1"/>
  <c r="E882" i="7"/>
  <c r="J881" i="7"/>
  <c r="X456" i="15" s="1"/>
  <c r="Z456" i="15" s="1"/>
  <c r="W456" i="15" s="1"/>
  <c r="H881" i="7"/>
  <c r="E881" i="7"/>
  <c r="J880" i="7"/>
  <c r="DH880" i="7" s="1"/>
  <c r="DI880" i="7" s="1"/>
  <c r="AF455" i="15" s="1"/>
  <c r="H880" i="7"/>
  <c r="I880" i="7" s="1"/>
  <c r="R455" i="15" s="1"/>
  <c r="J879" i="7"/>
  <c r="X455" i="15" s="1"/>
  <c r="Z455" i="15" s="1"/>
  <c r="W455" i="15" s="1"/>
  <c r="H879" i="7"/>
  <c r="J878" i="7"/>
  <c r="DH878" i="7" s="1"/>
  <c r="H878" i="7"/>
  <c r="J877" i="7"/>
  <c r="X454" i="15" s="1"/>
  <c r="Z454" i="15" s="1"/>
  <c r="W454" i="15" s="1"/>
  <c r="H877" i="7"/>
  <c r="J876" i="7"/>
  <c r="DH876" i="7" s="1"/>
  <c r="H876" i="7"/>
  <c r="E876" i="7"/>
  <c r="J875" i="7"/>
  <c r="X453" i="15" s="1"/>
  <c r="Z453" i="15" s="1"/>
  <c r="W453" i="15" s="1"/>
  <c r="H875" i="7"/>
  <c r="E875" i="7"/>
  <c r="J874" i="7"/>
  <c r="DH874" i="7" s="1"/>
  <c r="H874" i="7"/>
  <c r="J873" i="7"/>
  <c r="H873" i="7"/>
  <c r="J872" i="7"/>
  <c r="DH872" i="7" s="1"/>
  <c r="H872" i="7"/>
  <c r="J871" i="7"/>
  <c r="H871" i="7"/>
  <c r="J870" i="7"/>
  <c r="DH870" i="7" s="1"/>
  <c r="H870" i="7"/>
  <c r="E870" i="7"/>
  <c r="J869" i="7"/>
  <c r="H869" i="7"/>
  <c r="E869" i="7"/>
  <c r="J868" i="7"/>
  <c r="DH868" i="7" s="1"/>
  <c r="H868" i="7"/>
  <c r="V867" i="7"/>
  <c r="V868" i="7" s="1"/>
  <c r="V869" i="7" s="1"/>
  <c r="V870" i="7" s="1"/>
  <c r="V871" i="7" s="1"/>
  <c r="V872" i="7" s="1"/>
  <c r="V873" i="7" s="1"/>
  <c r="V874" i="7" s="1"/>
  <c r="V875" i="7" s="1"/>
  <c r="V876" i="7" s="1"/>
  <c r="V877" i="7" s="1"/>
  <c r="V878" i="7" s="1"/>
  <c r="V879" i="7" s="1"/>
  <c r="V880" i="7" s="1"/>
  <c r="V881" i="7" s="1"/>
  <c r="V882" i="7" s="1"/>
  <c r="V883" i="7" s="1"/>
  <c r="V884" i="7" s="1"/>
  <c r="V885" i="7" s="1"/>
  <c r="V886" i="7" s="1"/>
  <c r="V887" i="7" s="1"/>
  <c r="V888" i="7" s="1"/>
  <c r="V889" i="7" s="1"/>
  <c r="V890" i="7" s="1"/>
  <c r="J867" i="7"/>
  <c r="X449" i="15" s="1"/>
  <c r="Z449" i="15" s="1"/>
  <c r="W449" i="15" s="1"/>
  <c r="H867" i="7"/>
  <c r="DJ866" i="7"/>
  <c r="DI866" i="7"/>
  <c r="DH866" i="7"/>
  <c r="DG866" i="7"/>
  <c r="AG866" i="7"/>
  <c r="AF866" i="7"/>
  <c r="AE866" i="7"/>
  <c r="AD866" i="7"/>
  <c r="AC866" i="7"/>
  <c r="AB866" i="7"/>
  <c r="AA866" i="7"/>
  <c r="Z866" i="7"/>
  <c r="Y866" i="7"/>
  <c r="X866" i="7"/>
  <c r="W866" i="7"/>
  <c r="V864" i="7"/>
  <c r="V858" i="7"/>
  <c r="V857" i="7"/>
  <c r="V856" i="7"/>
  <c r="V855" i="7"/>
  <c r="V854" i="7"/>
  <c r="V853" i="7"/>
  <c r="V852" i="7"/>
  <c r="V851" i="7"/>
  <c r="V850" i="7"/>
  <c r="V849" i="7"/>
  <c r="W848" i="7"/>
  <c r="V848" i="7"/>
  <c r="X847" i="7"/>
  <c r="W847" i="7"/>
  <c r="V847" i="7"/>
  <c r="F847" i="7"/>
  <c r="AF847" i="7" s="1"/>
  <c r="V846" i="7"/>
  <c r="X845" i="7"/>
  <c r="W845" i="7"/>
  <c r="V845" i="7"/>
  <c r="AG844" i="7"/>
  <c r="AF844" i="7"/>
  <c r="AE844" i="7"/>
  <c r="AD844" i="7"/>
  <c r="AC844" i="7"/>
  <c r="AB844" i="7"/>
  <c r="AA844" i="7"/>
  <c r="Z844" i="7"/>
  <c r="Y844" i="7"/>
  <c r="X844" i="7"/>
  <c r="W844" i="7"/>
  <c r="K839" i="7"/>
  <c r="DJ839" i="7" s="1"/>
  <c r="J839" i="7"/>
  <c r="X448" i="15" s="1"/>
  <c r="Z448" i="15" s="1"/>
  <c r="W448" i="15" s="1"/>
  <c r="H839" i="7"/>
  <c r="K838" i="7"/>
  <c r="DJ838" i="7" s="1"/>
  <c r="J838" i="7"/>
  <c r="X447" i="15" s="1"/>
  <c r="Z447" i="15" s="1"/>
  <c r="W447" i="15" s="1"/>
  <c r="H838" i="7"/>
  <c r="V837" i="7"/>
  <c r="V838" i="7" s="1"/>
  <c r="V839" i="7" s="1"/>
  <c r="K837" i="7"/>
  <c r="DJ837" i="7" s="1"/>
  <c r="J837" i="7"/>
  <c r="X446" i="15" s="1"/>
  <c r="Z446" i="15" s="1"/>
  <c r="W446" i="15" s="1"/>
  <c r="H837" i="7"/>
  <c r="DJ836" i="7"/>
  <c r="DI836" i="7"/>
  <c r="DH836" i="7"/>
  <c r="DG836" i="7"/>
  <c r="AG836" i="7"/>
  <c r="AF836" i="7"/>
  <c r="AE836" i="7"/>
  <c r="AD836" i="7"/>
  <c r="AC836" i="7"/>
  <c r="AB836" i="7"/>
  <c r="AA836" i="7"/>
  <c r="Z836" i="7"/>
  <c r="Y836" i="7"/>
  <c r="X836" i="7"/>
  <c r="W836" i="7"/>
  <c r="V834" i="7"/>
  <c r="V824" i="7"/>
  <c r="V823" i="7"/>
  <c r="V822" i="7"/>
  <c r="V821" i="7"/>
  <c r="V820" i="7"/>
  <c r="V819" i="7"/>
  <c r="V818" i="7"/>
  <c r="V817" i="7"/>
  <c r="V815" i="7"/>
  <c r="V814" i="7"/>
  <c r="V813" i="7"/>
  <c r="V811" i="7"/>
  <c r="V810" i="7"/>
  <c r="V809" i="7"/>
  <c r="V808" i="7"/>
  <c r="X807" i="7"/>
  <c r="X809" i="7" s="1"/>
  <c r="V807" i="7"/>
  <c r="AG805" i="7"/>
  <c r="AF805" i="7"/>
  <c r="AE805" i="7"/>
  <c r="AD805" i="7"/>
  <c r="AC805" i="7"/>
  <c r="AB805" i="7"/>
  <c r="AA805" i="7"/>
  <c r="Z805" i="7"/>
  <c r="Y805" i="7"/>
  <c r="X805" i="7"/>
  <c r="W805" i="7"/>
  <c r="K796" i="7"/>
  <c r="H796" i="7"/>
  <c r="K795" i="7"/>
  <c r="H795" i="7"/>
  <c r="K794" i="7"/>
  <c r="X443" i="15" s="1"/>
  <c r="Z443" i="15" s="1"/>
  <c r="W443" i="15" s="1"/>
  <c r="I794" i="7"/>
  <c r="F794" i="7" s="1"/>
  <c r="H794" i="7"/>
  <c r="K793" i="7"/>
  <c r="X442" i="15" s="1"/>
  <c r="Z442" i="15" s="1"/>
  <c r="W442" i="15" s="1"/>
  <c r="I793" i="7"/>
  <c r="F793" i="7" s="1"/>
  <c r="H793" i="7"/>
  <c r="V792" i="7"/>
  <c r="V793" i="7" s="1"/>
  <c r="V794" i="7" s="1"/>
  <c r="V795" i="7" s="1"/>
  <c r="V796" i="7" s="1"/>
  <c r="K792" i="7"/>
  <c r="X441" i="15" s="1"/>
  <c r="Z441" i="15" s="1"/>
  <c r="W441" i="15" s="1"/>
  <c r="I792" i="7"/>
  <c r="F792" i="7" s="1"/>
  <c r="H792" i="7"/>
  <c r="DJ791" i="7"/>
  <c r="DI791" i="7"/>
  <c r="DH791" i="7"/>
  <c r="DG791" i="7"/>
  <c r="AG791" i="7"/>
  <c r="AF791" i="7"/>
  <c r="AE791" i="7"/>
  <c r="AD791" i="7"/>
  <c r="AC791" i="7"/>
  <c r="AB791" i="7"/>
  <c r="AA791" i="7"/>
  <c r="Z791" i="7"/>
  <c r="Y791" i="7"/>
  <c r="X791" i="7"/>
  <c r="W791" i="7"/>
  <c r="V789" i="7"/>
  <c r="AG726" i="7"/>
  <c r="AF726" i="7"/>
  <c r="AE726" i="7"/>
  <c r="AD726" i="7"/>
  <c r="AC726" i="7"/>
  <c r="AB726" i="7"/>
  <c r="AA726" i="7"/>
  <c r="Z726" i="7"/>
  <c r="Y726" i="7"/>
  <c r="X726" i="7"/>
  <c r="W726" i="7"/>
  <c r="L716" i="7"/>
  <c r="DJ716" i="7" s="1"/>
  <c r="K716" i="7"/>
  <c r="X436" i="15" s="1"/>
  <c r="Z436" i="15" s="1"/>
  <c r="W436" i="15" s="1"/>
  <c r="H716" i="7"/>
  <c r="L715" i="7"/>
  <c r="DJ715" i="7" s="1"/>
  <c r="K715" i="7"/>
  <c r="X435" i="15" s="1"/>
  <c r="Z435" i="15" s="1"/>
  <c r="W435" i="15" s="1"/>
  <c r="H715" i="7"/>
  <c r="V713" i="7"/>
  <c r="V714" i="7" s="1"/>
  <c r="V715" i="7" s="1"/>
  <c r="V716" i="7" s="1"/>
  <c r="L713" i="7"/>
  <c r="DJ713" i="7" s="1"/>
  <c r="K713" i="7"/>
  <c r="H713" i="7"/>
  <c r="DJ712" i="7"/>
  <c r="DI712" i="7"/>
  <c r="DH712" i="7"/>
  <c r="DG712" i="7"/>
  <c r="AG712" i="7"/>
  <c r="AF712" i="7"/>
  <c r="AE712" i="7"/>
  <c r="AD712" i="7"/>
  <c r="AC712" i="7"/>
  <c r="AB712" i="7"/>
  <c r="AA712" i="7"/>
  <c r="Z712" i="7"/>
  <c r="Y712" i="7"/>
  <c r="X712" i="7"/>
  <c r="W712" i="7"/>
  <c r="V710" i="7"/>
  <c r="W676" i="7"/>
  <c r="AG672" i="7"/>
  <c r="AF672" i="7"/>
  <c r="AE672" i="7"/>
  <c r="AD672" i="7"/>
  <c r="AC672" i="7"/>
  <c r="AB672" i="7"/>
  <c r="AA672" i="7"/>
  <c r="Z672" i="7"/>
  <c r="Y672" i="7"/>
  <c r="X672" i="7"/>
  <c r="W672" i="7"/>
  <c r="V660" i="7"/>
  <c r="J660" i="7"/>
  <c r="DH660" i="7" s="1"/>
  <c r="H660" i="7"/>
  <c r="F660" i="7"/>
  <c r="E660" i="7"/>
  <c r="V659" i="7"/>
  <c r="K659" i="7"/>
  <c r="DJ659" i="7" s="1"/>
  <c r="J659" i="7"/>
  <c r="H659" i="7"/>
  <c r="F659" i="7"/>
  <c r="E659" i="7"/>
  <c r="V658" i="7"/>
  <c r="J658" i="7"/>
  <c r="DH658" i="7" s="1"/>
  <c r="H658" i="7"/>
  <c r="F658" i="7"/>
  <c r="V657" i="7"/>
  <c r="K657" i="7"/>
  <c r="DJ657" i="7" s="1"/>
  <c r="J657" i="7"/>
  <c r="X428" i="15" s="1"/>
  <c r="Z428" i="15" s="1"/>
  <c r="W428" i="15" s="1"/>
  <c r="V428" i="15" s="1"/>
  <c r="H657" i="7"/>
  <c r="F657" i="7"/>
  <c r="V656" i="7"/>
  <c r="J656" i="7"/>
  <c r="DH656" i="7" s="1"/>
  <c r="H656" i="7"/>
  <c r="V655" i="7"/>
  <c r="K655" i="7"/>
  <c r="DJ655" i="7" s="1"/>
  <c r="J655" i="7"/>
  <c r="H655" i="7"/>
  <c r="F655" i="7"/>
  <c r="V654" i="7"/>
  <c r="J654" i="7"/>
  <c r="DH654" i="7" s="1"/>
  <c r="H654" i="7"/>
  <c r="F654" i="7"/>
  <c r="E654" i="7"/>
  <c r="V653" i="7"/>
  <c r="K653" i="7"/>
  <c r="DJ653" i="7" s="1"/>
  <c r="J653" i="7"/>
  <c r="X426" i="15" s="1"/>
  <c r="Z426" i="15" s="1"/>
  <c r="W426" i="15" s="1"/>
  <c r="V426" i="15" s="1"/>
  <c r="H653" i="7"/>
  <c r="F653" i="7"/>
  <c r="E653" i="7"/>
  <c r="V652" i="7"/>
  <c r="J652" i="7"/>
  <c r="DH652" i="7" s="1"/>
  <c r="H652" i="7"/>
  <c r="F652" i="7"/>
  <c r="V651" i="7"/>
  <c r="K651" i="7"/>
  <c r="DJ651" i="7" s="1"/>
  <c r="J651" i="7"/>
  <c r="X425" i="15" s="1"/>
  <c r="Z425" i="15" s="1"/>
  <c r="W425" i="15" s="1"/>
  <c r="V425" i="15" s="1"/>
  <c r="H651" i="7"/>
  <c r="F651" i="7"/>
  <c r="V650" i="7"/>
  <c r="J650" i="7"/>
  <c r="DH650" i="7" s="1"/>
  <c r="H650" i="7"/>
  <c r="V649" i="7"/>
  <c r="K649" i="7"/>
  <c r="DJ649" i="7" s="1"/>
  <c r="J649" i="7"/>
  <c r="X424" i="15" s="1"/>
  <c r="Z424" i="15" s="1"/>
  <c r="W424" i="15" s="1"/>
  <c r="V424" i="15" s="1"/>
  <c r="H649" i="7"/>
  <c r="F649" i="7"/>
  <c r="V648" i="7"/>
  <c r="J648" i="7"/>
  <c r="DH648" i="7" s="1"/>
  <c r="H648" i="7"/>
  <c r="F648" i="7"/>
  <c r="E648" i="7"/>
  <c r="V647" i="7"/>
  <c r="K647" i="7"/>
  <c r="DJ647" i="7" s="1"/>
  <c r="J647" i="7"/>
  <c r="H647" i="7"/>
  <c r="F647" i="7"/>
  <c r="E647" i="7"/>
  <c r="V646" i="7"/>
  <c r="J646" i="7"/>
  <c r="DH646" i="7" s="1"/>
  <c r="H646" i="7"/>
  <c r="F646" i="7"/>
  <c r="V645" i="7"/>
  <c r="K645" i="7"/>
  <c r="DJ645" i="7" s="1"/>
  <c r="J645" i="7"/>
  <c r="X422" i="15" s="1"/>
  <c r="Z422" i="15" s="1"/>
  <c r="W422" i="15" s="1"/>
  <c r="V422" i="15" s="1"/>
  <c r="H645" i="7"/>
  <c r="F645" i="7"/>
  <c r="V644" i="7"/>
  <c r="J644" i="7"/>
  <c r="DH644" i="7" s="1"/>
  <c r="H644" i="7"/>
  <c r="V643" i="7"/>
  <c r="K643" i="7"/>
  <c r="DJ643" i="7" s="1"/>
  <c r="J643" i="7"/>
  <c r="H643" i="7"/>
  <c r="F643" i="7"/>
  <c r="V642" i="7"/>
  <c r="J642" i="7"/>
  <c r="DH642" i="7" s="1"/>
  <c r="H642" i="7"/>
  <c r="F642" i="7"/>
  <c r="V641" i="7"/>
  <c r="K641" i="7"/>
  <c r="DJ641" i="7" s="1"/>
  <c r="J641" i="7"/>
  <c r="H641" i="7"/>
  <c r="F641" i="7"/>
  <c r="V640" i="7"/>
  <c r="J640" i="7"/>
  <c r="DH640" i="7" s="1"/>
  <c r="H640" i="7"/>
  <c r="DJ638" i="7"/>
  <c r="DI638" i="7"/>
  <c r="DH638" i="7"/>
  <c r="DG638" i="7"/>
  <c r="AG638" i="7"/>
  <c r="AF638" i="7"/>
  <c r="AE638" i="7"/>
  <c r="AD638" i="7"/>
  <c r="AC638" i="7"/>
  <c r="AB638" i="7"/>
  <c r="AA638" i="7"/>
  <c r="Z638" i="7"/>
  <c r="Y638" i="7"/>
  <c r="X638" i="7"/>
  <c r="W638" i="7"/>
  <c r="V636" i="7"/>
  <c r="Y632" i="7"/>
  <c r="O590" i="7"/>
  <c r="DJ590" i="7" s="1"/>
  <c r="Y630" i="7"/>
  <c r="O584" i="7"/>
  <c r="DJ584" i="7" s="1"/>
  <c r="F612" i="7"/>
  <c r="F611" i="7"/>
  <c r="F610" i="7"/>
  <c r="F609" i="7"/>
  <c r="AG601" i="7"/>
  <c r="AF601" i="7"/>
  <c r="AE601" i="7"/>
  <c r="AD601" i="7"/>
  <c r="AC601" i="7"/>
  <c r="AB601" i="7"/>
  <c r="AA601" i="7"/>
  <c r="Z601" i="7"/>
  <c r="Y601" i="7"/>
  <c r="X601" i="7"/>
  <c r="W601" i="7"/>
  <c r="V591" i="7"/>
  <c r="O591" i="7"/>
  <c r="DJ591" i="7" s="1"/>
  <c r="N591" i="7"/>
  <c r="Y418" i="15" s="1"/>
  <c r="G591" i="7"/>
  <c r="V590" i="7"/>
  <c r="N590" i="7"/>
  <c r="X418" i="15" s="1"/>
  <c r="H590" i="7"/>
  <c r="V589" i="7"/>
  <c r="O589" i="7"/>
  <c r="DJ589" i="7" s="1"/>
  <c r="N589" i="7"/>
  <c r="Y417" i="15" s="1"/>
  <c r="G589" i="7"/>
  <c r="V588" i="7"/>
  <c r="N588" i="7"/>
  <c r="X417" i="15" s="1"/>
  <c r="H588" i="7"/>
  <c r="V587" i="7"/>
  <c r="O587" i="7"/>
  <c r="DJ587" i="7" s="1"/>
  <c r="N587" i="7"/>
  <c r="Y416" i="15" s="1"/>
  <c r="G587" i="7"/>
  <c r="D416" i="15" s="1"/>
  <c r="V586" i="7"/>
  <c r="N586" i="7"/>
  <c r="H586" i="7"/>
  <c r="V585" i="7"/>
  <c r="O585" i="7"/>
  <c r="DJ585" i="7" s="1"/>
  <c r="N585" i="7"/>
  <c r="Y415" i="15" s="1"/>
  <c r="G585" i="7"/>
  <c r="D415" i="15" s="1"/>
  <c r="V584" i="7"/>
  <c r="N584" i="7"/>
  <c r="H584" i="7"/>
  <c r="DJ583" i="7"/>
  <c r="DI583" i="7"/>
  <c r="DH583" i="7"/>
  <c r="DG583" i="7"/>
  <c r="AG583" i="7"/>
  <c r="AF583" i="7"/>
  <c r="AE583" i="7"/>
  <c r="AD583" i="7"/>
  <c r="AC583" i="7"/>
  <c r="AB583" i="7"/>
  <c r="AA583" i="7"/>
  <c r="Z583" i="7"/>
  <c r="Y583" i="7"/>
  <c r="X583" i="7"/>
  <c r="W583" i="7"/>
  <c r="B581" i="7"/>
  <c r="G578" i="7"/>
  <c r="V576" i="7"/>
  <c r="V575" i="7"/>
  <c r="V574" i="7"/>
  <c r="V573" i="7"/>
  <c r="V572" i="7"/>
  <c r="V566" i="7"/>
  <c r="W565" i="7"/>
  <c r="V565" i="7"/>
  <c r="V562" i="7"/>
  <c r="AG561" i="7"/>
  <c r="AF561" i="7"/>
  <c r="AE561" i="7"/>
  <c r="AD561" i="7"/>
  <c r="AC561" i="7"/>
  <c r="AB561" i="7"/>
  <c r="AA561" i="7"/>
  <c r="Z561" i="7"/>
  <c r="Y561" i="7"/>
  <c r="X561" i="7"/>
  <c r="W561" i="7"/>
  <c r="V554" i="7"/>
  <c r="L554" i="7"/>
  <c r="X414" i="15" s="1"/>
  <c r="Z414" i="15" s="1"/>
  <c r="I554" i="7"/>
  <c r="H554" i="7"/>
  <c r="V553" i="7"/>
  <c r="L553" i="7"/>
  <c r="I553" i="7"/>
  <c r="H553" i="7"/>
  <c r="V550" i="7"/>
  <c r="L550" i="7"/>
  <c r="X410" i="15" s="1"/>
  <c r="Z410" i="15" s="1"/>
  <c r="I550" i="7"/>
  <c r="H550" i="7"/>
  <c r="V549" i="7"/>
  <c r="L549" i="7"/>
  <c r="X409" i="15" s="1"/>
  <c r="Z409" i="15" s="1"/>
  <c r="J549" i="7"/>
  <c r="H549" i="7"/>
  <c r="DJ548" i="7"/>
  <c r="DI548" i="7"/>
  <c r="DH548" i="7"/>
  <c r="DG548" i="7"/>
  <c r="AG548" i="7"/>
  <c r="AF548" i="7"/>
  <c r="AE548" i="7"/>
  <c r="AD548" i="7"/>
  <c r="AC548" i="7"/>
  <c r="AB548" i="7"/>
  <c r="AA548" i="7"/>
  <c r="Z548" i="7"/>
  <c r="Y548" i="7"/>
  <c r="X548" i="7"/>
  <c r="W548" i="7"/>
  <c r="V546" i="7"/>
  <c r="Y543" i="7"/>
  <c r="G543" i="7"/>
  <c r="V541" i="7"/>
  <c r="V540" i="7"/>
  <c r="V539" i="7"/>
  <c r="V538" i="7"/>
  <c r="V537" i="7"/>
  <c r="V536" i="7"/>
  <c r="V535" i="7"/>
  <c r="V534" i="7"/>
  <c r="V533" i="7"/>
  <c r="V532" i="7"/>
  <c r="V531" i="7"/>
  <c r="V530" i="7"/>
  <c r="V529" i="7"/>
  <c r="V528" i="7"/>
  <c r="V527" i="7"/>
  <c r="Y526" i="7"/>
  <c r="X526" i="7"/>
  <c r="V526" i="7"/>
  <c r="G526" i="7"/>
  <c r="Y525" i="7"/>
  <c r="X525" i="7"/>
  <c r="W525" i="7"/>
  <c r="V525" i="7"/>
  <c r="G525" i="7"/>
  <c r="V524" i="7"/>
  <c r="V523" i="7"/>
  <c r="AG522" i="7"/>
  <c r="AF522" i="7"/>
  <c r="AE522" i="7"/>
  <c r="AD522" i="7"/>
  <c r="AC522" i="7"/>
  <c r="AB522" i="7"/>
  <c r="AA522" i="7"/>
  <c r="Z522" i="7"/>
  <c r="Y522" i="7"/>
  <c r="X522" i="7"/>
  <c r="W522" i="7"/>
  <c r="V516" i="7"/>
  <c r="M516" i="7"/>
  <c r="X408" i="15" s="1"/>
  <c r="Z408" i="15" s="1"/>
  <c r="H516" i="7"/>
  <c r="V515" i="7"/>
  <c r="M515" i="7"/>
  <c r="H515" i="7"/>
  <c r="V514" i="7"/>
  <c r="M514" i="7"/>
  <c r="X406" i="15" s="1"/>
  <c r="Z406" i="15" s="1"/>
  <c r="H514" i="7"/>
  <c r="DJ513" i="7"/>
  <c r="DI513" i="7"/>
  <c r="DH513" i="7"/>
  <c r="DG513" i="7"/>
  <c r="AG513" i="7"/>
  <c r="AF513" i="7"/>
  <c r="AE513" i="7"/>
  <c r="AD513" i="7"/>
  <c r="AC513" i="7"/>
  <c r="AB513" i="7"/>
  <c r="AA513" i="7"/>
  <c r="Z513" i="7"/>
  <c r="Y513" i="7"/>
  <c r="X513" i="7"/>
  <c r="W513" i="7"/>
  <c r="V511" i="7"/>
  <c r="V506" i="7"/>
  <c r="AG495" i="7"/>
  <c r="AF495" i="7"/>
  <c r="AE495" i="7"/>
  <c r="AD495" i="7"/>
  <c r="AC495" i="7"/>
  <c r="AB495" i="7"/>
  <c r="AA495" i="7"/>
  <c r="Z495" i="7"/>
  <c r="Y495" i="7"/>
  <c r="X495" i="7"/>
  <c r="W495" i="7"/>
  <c r="L485" i="7"/>
  <c r="X405" i="15" s="1"/>
  <c r="Z405" i="15" s="1"/>
  <c r="W405" i="15" s="1"/>
  <c r="V405" i="15" s="1"/>
  <c r="J485" i="7"/>
  <c r="H485" i="7"/>
  <c r="E485" i="7"/>
  <c r="V484" i="7"/>
  <c r="V485" i="7" s="1"/>
  <c r="M484" i="7"/>
  <c r="DJ484" i="7" s="1"/>
  <c r="L484" i="7"/>
  <c r="J484" i="7"/>
  <c r="H484" i="7"/>
  <c r="DJ483" i="7"/>
  <c r="DI483" i="7"/>
  <c r="DH483" i="7"/>
  <c r="DG483" i="7"/>
  <c r="AG483" i="7"/>
  <c r="AF483" i="7"/>
  <c r="AE483" i="7"/>
  <c r="AD483" i="7"/>
  <c r="AC483" i="7"/>
  <c r="AB483" i="7"/>
  <c r="Z483" i="7"/>
  <c r="Y483" i="7"/>
  <c r="X483" i="7"/>
  <c r="W483" i="7"/>
  <c r="V481" i="7"/>
  <c r="F478" i="7"/>
  <c r="E478" i="7"/>
  <c r="E508" i="7" s="1"/>
  <c r="E543" i="7" s="1"/>
  <c r="E578" i="7" s="1"/>
  <c r="E703" i="7" s="1"/>
  <c r="E746" i="7" s="1"/>
  <c r="D478" i="7"/>
  <c r="V478" i="7" s="1"/>
  <c r="E477" i="7"/>
  <c r="E507" i="7" s="1"/>
  <c r="E542" i="7" s="1"/>
  <c r="E577" i="7" s="1"/>
  <c r="E702" i="7" s="1"/>
  <c r="E745" i="7" s="1"/>
  <c r="E827" i="7" s="1"/>
  <c r="D477" i="7"/>
  <c r="V477" i="7" s="1"/>
  <c r="V476" i="7"/>
  <c r="V475" i="7"/>
  <c r="E474" i="7"/>
  <c r="E473" i="7"/>
  <c r="V472" i="7"/>
  <c r="E472" i="7"/>
  <c r="E471" i="7"/>
  <c r="E470" i="7"/>
  <c r="V469" i="7"/>
  <c r="E469" i="7"/>
  <c r="V467" i="7"/>
  <c r="E466" i="7"/>
  <c r="F465" i="7"/>
  <c r="E465" i="7"/>
  <c r="V464" i="7"/>
  <c r="E464" i="7"/>
  <c r="V463" i="7"/>
  <c r="W462" i="7"/>
  <c r="V462" i="7"/>
  <c r="V461" i="7"/>
  <c r="V459" i="7"/>
  <c r="AG458" i="7"/>
  <c r="AF458" i="7"/>
  <c r="AE458" i="7"/>
  <c r="AD458" i="7"/>
  <c r="AC458" i="7"/>
  <c r="AB458" i="7"/>
  <c r="AA458" i="7"/>
  <c r="Z458" i="7"/>
  <c r="Y458" i="7"/>
  <c r="X458" i="7"/>
  <c r="W458" i="7"/>
  <c r="V448" i="7"/>
  <c r="N448" i="7"/>
  <c r="L448" i="7"/>
  <c r="J448" i="7"/>
  <c r="H448" i="7"/>
  <c r="V447" i="7"/>
  <c r="N447" i="7"/>
  <c r="L447" i="7"/>
  <c r="J447" i="7"/>
  <c r="H447" i="7"/>
  <c r="V446" i="7"/>
  <c r="N446" i="7"/>
  <c r="L446" i="7"/>
  <c r="J446" i="7"/>
  <c r="H446" i="7"/>
  <c r="DJ445" i="7"/>
  <c r="DI445" i="7"/>
  <c r="DH445" i="7"/>
  <c r="DG445" i="7"/>
  <c r="AG445" i="7"/>
  <c r="AF445" i="7"/>
  <c r="AE445" i="7"/>
  <c r="AD445" i="7"/>
  <c r="AC445" i="7"/>
  <c r="AB445" i="7"/>
  <c r="AA445" i="7"/>
  <c r="Z445" i="7"/>
  <c r="Y445" i="7"/>
  <c r="X445" i="7"/>
  <c r="W445" i="7"/>
  <c r="V443" i="7"/>
  <c r="F440" i="7"/>
  <c r="F439" i="7"/>
  <c r="F438" i="7"/>
  <c r="I437" i="7"/>
  <c r="F437" i="7"/>
  <c r="I436" i="7"/>
  <c r="F436" i="7"/>
  <c r="I435" i="7"/>
  <c r="F435" i="7"/>
  <c r="F434" i="7"/>
  <c r="F433" i="7"/>
  <c r="F432" i="7"/>
  <c r="I431" i="7"/>
  <c r="F431" i="7"/>
  <c r="I430" i="7"/>
  <c r="F430" i="7"/>
  <c r="I429" i="7"/>
  <c r="F429" i="7"/>
  <c r="F428" i="7"/>
  <c r="F427" i="7"/>
  <c r="F426" i="7"/>
  <c r="I425" i="7"/>
  <c r="F425" i="7"/>
  <c r="I424" i="7"/>
  <c r="M140" i="7"/>
  <c r="DJ140" i="7" s="1"/>
  <c r="I423" i="7"/>
  <c r="F423" i="7"/>
  <c r="F422" i="7"/>
  <c r="F421" i="7"/>
  <c r="F420" i="7"/>
  <c r="I419" i="7"/>
  <c r="F419" i="7"/>
  <c r="I418" i="7"/>
  <c r="F418" i="7"/>
  <c r="I417" i="7"/>
  <c r="F417" i="7"/>
  <c r="F416" i="7"/>
  <c r="F415" i="7"/>
  <c r="F414" i="7"/>
  <c r="I413" i="7"/>
  <c r="F413" i="7"/>
  <c r="I412" i="7"/>
  <c r="F412" i="7"/>
  <c r="I411" i="7"/>
  <c r="F411" i="7"/>
  <c r="V380" i="7"/>
  <c r="V350" i="7"/>
  <c r="V349" i="7"/>
  <c r="V348" i="7"/>
  <c r="V347" i="7"/>
  <c r="W346" i="7"/>
  <c r="W344" i="7"/>
  <c r="W340" i="7"/>
  <c r="W338" i="7"/>
  <c r="W334" i="7"/>
  <c r="W332" i="7"/>
  <c r="W328" i="7"/>
  <c r="W326" i="7"/>
  <c r="W322" i="7"/>
  <c r="W320" i="7"/>
  <c r="V317" i="7"/>
  <c r="W315" i="7"/>
  <c r="W345" i="7" s="1"/>
  <c r="W312" i="7"/>
  <c r="W309" i="7"/>
  <c r="W339" i="7" s="1"/>
  <c r="W306" i="7"/>
  <c r="W303" i="7"/>
  <c r="W333" i="7" s="1"/>
  <c r="W300" i="7"/>
  <c r="W297" i="7"/>
  <c r="W327" i="7" s="1"/>
  <c r="W294" i="7"/>
  <c r="W291" i="7"/>
  <c r="W321" i="7" s="1"/>
  <c r="W288" i="7"/>
  <c r="V287" i="7"/>
  <c r="V285" i="7"/>
  <c r="V284" i="7"/>
  <c r="V283" i="7"/>
  <c r="W279" i="7"/>
  <c r="W343" i="7" s="1"/>
  <c r="W278" i="7"/>
  <c r="W277" i="7"/>
  <c r="W341" i="7" s="1"/>
  <c r="W273" i="7"/>
  <c r="W337" i="7" s="1"/>
  <c r="W272" i="7"/>
  <c r="W271" i="7"/>
  <c r="W335" i="7" s="1"/>
  <c r="W267" i="7"/>
  <c r="W331" i="7" s="1"/>
  <c r="W266" i="7"/>
  <c r="W265" i="7"/>
  <c r="W329" i="7" s="1"/>
  <c r="W261" i="7"/>
  <c r="W325" i="7" s="1"/>
  <c r="W260" i="7"/>
  <c r="W259" i="7"/>
  <c r="W323" i="7" s="1"/>
  <c r="W255" i="7"/>
  <c r="W319" i="7" s="1"/>
  <c r="W254" i="7"/>
  <c r="W253" i="7"/>
  <c r="W317" i="7" s="1"/>
  <c r="V253" i="7"/>
  <c r="V223" i="7"/>
  <c r="V193" i="7"/>
  <c r="V163" i="7"/>
  <c r="AG162" i="7"/>
  <c r="AF162" i="7"/>
  <c r="AE162" i="7"/>
  <c r="AD162" i="7"/>
  <c r="AC162" i="7"/>
  <c r="AB162" i="7"/>
  <c r="AA162" i="7"/>
  <c r="Z162" i="7"/>
  <c r="Y162" i="7"/>
  <c r="X162" i="7"/>
  <c r="W162" i="7"/>
  <c r="V156" i="7"/>
  <c r="N156" i="7"/>
  <c r="L156" i="7"/>
  <c r="H156" i="7"/>
  <c r="V155" i="7"/>
  <c r="N155" i="7"/>
  <c r="L155" i="7"/>
  <c r="H155" i="7"/>
  <c r="V154" i="7"/>
  <c r="N154" i="7"/>
  <c r="L154" i="7"/>
  <c r="H154" i="7"/>
  <c r="V153" i="7"/>
  <c r="N153" i="7"/>
  <c r="L153" i="7"/>
  <c r="X394" i="15" s="1"/>
  <c r="Z394" i="15" s="1"/>
  <c r="H153" i="7"/>
  <c r="V152" i="7"/>
  <c r="N152" i="7"/>
  <c r="L152" i="7"/>
  <c r="X393" i="15" s="1"/>
  <c r="Z393" i="15" s="1"/>
  <c r="H152" i="7"/>
  <c r="V151" i="7"/>
  <c r="N151" i="7"/>
  <c r="L151" i="7"/>
  <c r="X392" i="15" s="1"/>
  <c r="Z392" i="15" s="1"/>
  <c r="H151" i="7"/>
  <c r="V150" i="7"/>
  <c r="N150" i="7"/>
  <c r="L150" i="7"/>
  <c r="X391" i="15" s="1"/>
  <c r="Z391" i="15" s="1"/>
  <c r="H150" i="7"/>
  <c r="V149" i="7"/>
  <c r="N149" i="7"/>
  <c r="L149" i="7"/>
  <c r="H149" i="7"/>
  <c r="V148" i="7"/>
  <c r="N148" i="7"/>
  <c r="L148" i="7"/>
  <c r="H148" i="7"/>
  <c r="V147" i="7"/>
  <c r="N147" i="7"/>
  <c r="L147" i="7"/>
  <c r="X388" i="15" s="1"/>
  <c r="Z388" i="15" s="1"/>
  <c r="H147" i="7"/>
  <c r="V146" i="7"/>
  <c r="N146" i="7"/>
  <c r="L146" i="7"/>
  <c r="X387" i="15" s="1"/>
  <c r="Z387" i="15" s="1"/>
  <c r="H146" i="7"/>
  <c r="V145" i="7"/>
  <c r="N145" i="7"/>
  <c r="L145" i="7"/>
  <c r="X386" i="15" s="1"/>
  <c r="Z386" i="15" s="1"/>
  <c r="H145" i="7"/>
  <c r="V144" i="7"/>
  <c r="N144" i="7"/>
  <c r="L144" i="7"/>
  <c r="H144" i="7"/>
  <c r="V143" i="7"/>
  <c r="N143" i="7"/>
  <c r="L143" i="7"/>
  <c r="H143" i="7"/>
  <c r="V142" i="7"/>
  <c r="N142" i="7"/>
  <c r="L142" i="7"/>
  <c r="H142" i="7"/>
  <c r="V141" i="7"/>
  <c r="N141" i="7"/>
  <c r="L141" i="7"/>
  <c r="H141" i="7"/>
  <c r="V140" i="7"/>
  <c r="N140" i="7"/>
  <c r="L140" i="7"/>
  <c r="H140" i="7"/>
  <c r="V139" i="7"/>
  <c r="N139" i="7"/>
  <c r="L139" i="7"/>
  <c r="H139" i="7"/>
  <c r="V138" i="7"/>
  <c r="N138" i="7"/>
  <c r="L138" i="7"/>
  <c r="H138" i="7"/>
  <c r="V137" i="7"/>
  <c r="N137" i="7"/>
  <c r="L137" i="7"/>
  <c r="X378" i="15" s="1"/>
  <c r="Z378" i="15" s="1"/>
  <c r="H137" i="7"/>
  <c r="V136" i="7"/>
  <c r="N136" i="7"/>
  <c r="L136" i="7"/>
  <c r="H136" i="7"/>
  <c r="V135" i="7"/>
  <c r="N135" i="7"/>
  <c r="L135" i="7"/>
  <c r="X376" i="15" s="1"/>
  <c r="Z376" i="15" s="1"/>
  <c r="H135" i="7"/>
  <c r="V134" i="7"/>
  <c r="N134" i="7"/>
  <c r="L134" i="7"/>
  <c r="H134" i="7"/>
  <c r="V133" i="7"/>
  <c r="N133" i="7"/>
  <c r="L133" i="7"/>
  <c r="X374" i="15" s="1"/>
  <c r="Z374" i="15" s="1"/>
  <c r="H133" i="7"/>
  <c r="V132" i="7"/>
  <c r="N132" i="7"/>
  <c r="L132" i="7"/>
  <c r="H132" i="7"/>
  <c r="V131" i="7"/>
  <c r="N131" i="7"/>
  <c r="L131" i="7"/>
  <c r="X372" i="15" s="1"/>
  <c r="Z372" i="15" s="1"/>
  <c r="H131" i="7"/>
  <c r="V130" i="7"/>
  <c r="N130" i="7"/>
  <c r="L130" i="7"/>
  <c r="X371" i="15" s="1"/>
  <c r="Z371" i="15" s="1"/>
  <c r="H130" i="7"/>
  <c r="V129" i="7"/>
  <c r="N129" i="7"/>
  <c r="L129" i="7"/>
  <c r="H129" i="7"/>
  <c r="V128" i="7"/>
  <c r="N128" i="7"/>
  <c r="L128" i="7"/>
  <c r="H128" i="7"/>
  <c r="V127" i="7"/>
  <c r="N127" i="7"/>
  <c r="L127" i="7"/>
  <c r="X368" i="15" s="1"/>
  <c r="Z368" i="15" s="1"/>
  <c r="H127" i="7"/>
  <c r="DJ126" i="7"/>
  <c r="DI126" i="7"/>
  <c r="DH126" i="7"/>
  <c r="DG126" i="7"/>
  <c r="AG126" i="7"/>
  <c r="AF126" i="7"/>
  <c r="AE126" i="7"/>
  <c r="AD126" i="7"/>
  <c r="AC126" i="7"/>
  <c r="AB126" i="7"/>
  <c r="AA126" i="7"/>
  <c r="Z126" i="7"/>
  <c r="Y126" i="7"/>
  <c r="X126" i="7"/>
  <c r="W126" i="7"/>
  <c r="V124" i="7"/>
  <c r="F121" i="7"/>
  <c r="AF121" i="7" s="1"/>
  <c r="F120" i="7"/>
  <c r="AF120" i="7" s="1"/>
  <c r="F119" i="7"/>
  <c r="AF119" i="7" s="1"/>
  <c r="F118" i="7"/>
  <c r="AF118" i="7" s="1"/>
  <c r="F117" i="7"/>
  <c r="AF117" i="7" s="1"/>
  <c r="F116" i="7"/>
  <c r="AF116" i="7" s="1"/>
  <c r="F114" i="7"/>
  <c r="AF114" i="7" s="1"/>
  <c r="F113" i="7"/>
  <c r="AF113" i="7" s="1"/>
  <c r="D113" i="7"/>
  <c r="V113" i="7" s="1"/>
  <c r="D112" i="7"/>
  <c r="V112" i="7" s="1"/>
  <c r="V111" i="7"/>
  <c r="V110" i="7"/>
  <c r="F99" i="7"/>
  <c r="F96" i="7"/>
  <c r="V92" i="7"/>
  <c r="W89" i="7"/>
  <c r="W526" i="7" s="1"/>
  <c r="W84" i="7"/>
  <c r="W83" i="7"/>
  <c r="V83" i="7"/>
  <c r="E82" i="7"/>
  <c r="E91" i="7" s="1"/>
  <c r="E100" i="7" s="1"/>
  <c r="E81" i="7"/>
  <c r="E90" i="7" s="1"/>
  <c r="E99" i="7" s="1"/>
  <c r="E80" i="7"/>
  <c r="E89" i="7" s="1"/>
  <c r="E98" i="7" s="1"/>
  <c r="E107" i="7" s="1"/>
  <c r="E79" i="7"/>
  <c r="E88" i="7" s="1"/>
  <c r="E97" i="7" s="1"/>
  <c r="E78" i="7"/>
  <c r="E87" i="7" s="1"/>
  <c r="E96" i="7" s="1"/>
  <c r="E77" i="7"/>
  <c r="E86" i="7" s="1"/>
  <c r="E95" i="7" s="1"/>
  <c r="E75" i="7"/>
  <c r="E84" i="7" s="1"/>
  <c r="E93" i="7" s="1"/>
  <c r="V74" i="7"/>
  <c r="E74" i="7"/>
  <c r="E83" i="7" s="1"/>
  <c r="E92" i="7" s="1"/>
  <c r="AG73" i="7"/>
  <c r="AF73" i="7"/>
  <c r="AE73" i="7"/>
  <c r="AD73" i="7"/>
  <c r="AC73" i="7"/>
  <c r="AB73" i="7"/>
  <c r="AA73" i="7"/>
  <c r="Y73" i="7"/>
  <c r="X73" i="7"/>
  <c r="W73" i="7"/>
  <c r="N67" i="7"/>
  <c r="M67" i="7"/>
  <c r="DJ67" i="7" s="1"/>
  <c r="L67" i="7"/>
  <c r="X367" i="15" s="1"/>
  <c r="Z367" i="15" s="1"/>
  <c r="I67" i="7"/>
  <c r="H67" i="7"/>
  <c r="N66" i="7"/>
  <c r="M66" i="7"/>
  <c r="DJ66" i="7" s="1"/>
  <c r="L66" i="7"/>
  <c r="I66" i="7"/>
  <c r="H66" i="7"/>
  <c r="N65" i="7"/>
  <c r="M65" i="7"/>
  <c r="DJ65" i="7" s="1"/>
  <c r="L65" i="7"/>
  <c r="J65" i="7"/>
  <c r="I65" i="7"/>
  <c r="H65" i="7"/>
  <c r="N64" i="7"/>
  <c r="M64" i="7"/>
  <c r="DJ64" i="7" s="1"/>
  <c r="L64" i="7"/>
  <c r="J64" i="7"/>
  <c r="I64" i="7"/>
  <c r="H64" i="7"/>
  <c r="N63" i="7"/>
  <c r="M63" i="7"/>
  <c r="DJ63" i="7" s="1"/>
  <c r="L63" i="7"/>
  <c r="X363" i="15" s="1"/>
  <c r="Z363" i="15" s="1"/>
  <c r="I63" i="7"/>
  <c r="H63" i="7"/>
  <c r="N62" i="7"/>
  <c r="M62" i="7"/>
  <c r="DJ62" i="7" s="1"/>
  <c r="L62" i="7"/>
  <c r="X362" i="15" s="1"/>
  <c r="Z362" i="15" s="1"/>
  <c r="J62" i="7"/>
  <c r="H62" i="7"/>
  <c r="N60" i="7"/>
  <c r="M60" i="7"/>
  <c r="DJ60" i="7" s="1"/>
  <c r="L60" i="7"/>
  <c r="J60" i="7"/>
  <c r="I60" i="7"/>
  <c r="H60" i="7"/>
  <c r="V59" i="7"/>
  <c r="N59" i="7"/>
  <c r="M59" i="7"/>
  <c r="DJ59" i="7" s="1"/>
  <c r="L59" i="7"/>
  <c r="J59" i="7"/>
  <c r="I59" i="7"/>
  <c r="H59" i="7"/>
  <c r="DJ58" i="7"/>
  <c r="DI58" i="7"/>
  <c r="DH58" i="7"/>
  <c r="DG58" i="7"/>
  <c r="AG58" i="7"/>
  <c r="AF58" i="7"/>
  <c r="AE58" i="7"/>
  <c r="AD58" i="7"/>
  <c r="AC58" i="7"/>
  <c r="AB58" i="7"/>
  <c r="AA58" i="7"/>
  <c r="Z58" i="7"/>
  <c r="Y58" i="7"/>
  <c r="X58" i="7"/>
  <c r="W58" i="7"/>
  <c r="V56" i="7"/>
  <c r="F51" i="7"/>
  <c r="F50" i="7"/>
  <c r="F49" i="7"/>
  <c r="F48" i="7"/>
  <c r="F47" i="7"/>
  <c r="F46" i="7"/>
  <c r="F45" i="7"/>
  <c r="F44" i="7"/>
  <c r="D44" i="7"/>
  <c r="D43" i="7"/>
  <c r="D410" i="7" s="1"/>
  <c r="V410" i="7" s="1"/>
  <c r="V42" i="7"/>
  <c r="Y40" i="7"/>
  <c r="X40" i="7"/>
  <c r="Y39" i="7"/>
  <c r="X39" i="7"/>
  <c r="G39" i="7"/>
  <c r="AF39" i="7" s="1"/>
  <c r="Y38" i="7"/>
  <c r="X38" i="7"/>
  <c r="G38" i="7"/>
  <c r="AF38" i="7" s="1"/>
  <c r="Y37" i="7"/>
  <c r="X37" i="7"/>
  <c r="V37" i="7"/>
  <c r="V32" i="7"/>
  <c r="V30" i="7"/>
  <c r="V28" i="7"/>
  <c r="AG27" i="7"/>
  <c r="AF27" i="7"/>
  <c r="AE27" i="7"/>
  <c r="AD27" i="7"/>
  <c r="AC27" i="7"/>
  <c r="AB27" i="7"/>
  <c r="AA27" i="7"/>
  <c r="Z27" i="7"/>
  <c r="Y27" i="7"/>
  <c r="X27" i="7"/>
  <c r="W27" i="7"/>
  <c r="J18" i="7"/>
  <c r="X355" i="15" s="1"/>
  <c r="Z355" i="15" s="1"/>
  <c r="W355" i="15" s="1"/>
  <c r="V355" i="15" s="1"/>
  <c r="H18" i="7"/>
  <c r="E18" i="7"/>
  <c r="K17" i="7"/>
  <c r="DJ17" i="7" s="1"/>
  <c r="J17" i="7"/>
  <c r="X354" i="15" s="1"/>
  <c r="Z354" i="15" s="1"/>
  <c r="W354" i="15" s="1"/>
  <c r="V354" i="15" s="1"/>
  <c r="H17" i="7"/>
  <c r="K16" i="7"/>
  <c r="DJ16" i="7" s="1"/>
  <c r="J16" i="7"/>
  <c r="X353" i="15" s="1"/>
  <c r="Z353" i="15" s="1"/>
  <c r="W353" i="15" s="1"/>
  <c r="V353" i="15" s="1"/>
  <c r="H16" i="7"/>
  <c r="J15" i="7"/>
  <c r="X352" i="15" s="1"/>
  <c r="Z352" i="15" s="1"/>
  <c r="W352" i="15" s="1"/>
  <c r="V352" i="15" s="1"/>
  <c r="H15" i="7"/>
  <c r="E15" i="7"/>
  <c r="K14" i="7"/>
  <c r="DJ14" i="7" s="1"/>
  <c r="J14" i="7"/>
  <c r="H14" i="7"/>
  <c r="K13" i="7"/>
  <c r="DJ13" i="7" s="1"/>
  <c r="J13" i="7"/>
  <c r="H13" i="7"/>
  <c r="J12" i="7"/>
  <c r="H12" i="7"/>
  <c r="K11" i="7"/>
  <c r="DJ11" i="7" s="1"/>
  <c r="J11" i="7"/>
  <c r="H11" i="7"/>
  <c r="K10" i="7"/>
  <c r="DJ10" i="7" s="1"/>
  <c r="J10" i="7"/>
  <c r="H10" i="7"/>
  <c r="J9" i="7"/>
  <c r="X346" i="15" s="1"/>
  <c r="Z346" i="15" s="1"/>
  <c r="W346" i="15" s="1"/>
  <c r="V346" i="15" s="1"/>
  <c r="H9" i="7"/>
  <c r="E9" i="7"/>
  <c r="K8" i="7"/>
  <c r="DJ8" i="7" s="1"/>
  <c r="J8" i="7"/>
  <c r="X345" i="15" s="1"/>
  <c r="Z345" i="15" s="1"/>
  <c r="W345" i="15" s="1"/>
  <c r="V345" i="15" s="1"/>
  <c r="H8" i="7"/>
  <c r="K7" i="7"/>
  <c r="DJ7" i="7" s="1"/>
  <c r="J7" i="7"/>
  <c r="H7" i="7"/>
  <c r="V4" i="7"/>
  <c r="Y3071" i="6"/>
  <c r="Y3069" i="6"/>
  <c r="Y3067" i="6"/>
  <c r="Y3065" i="6"/>
  <c r="Y3063" i="6"/>
  <c r="Y3061" i="6"/>
  <c r="Y3060" i="6"/>
  <c r="Y3055" i="6"/>
  <c r="Y3050" i="6"/>
  <c r="Y3049" i="6"/>
  <c r="Y3042" i="6"/>
  <c r="Y3041" i="6"/>
  <c r="Y3035" i="6"/>
  <c r="Y3034" i="6"/>
  <c r="Y3027" i="6"/>
  <c r="Y3026" i="6"/>
  <c r="Y3019" i="6"/>
  <c r="Y3018" i="6"/>
  <c r="Y3011" i="6"/>
  <c r="Y3010" i="6"/>
  <c r="Y3003" i="6"/>
  <c r="Y3002" i="6"/>
  <c r="Y2995" i="6"/>
  <c r="Y2994" i="6"/>
  <c r="Y2968" i="6"/>
  <c r="Y2967" i="6"/>
  <c r="Y2958" i="6"/>
  <c r="Y2948" i="6"/>
  <c r="Y2942" i="6"/>
  <c r="Y2936" i="6"/>
  <c r="Y2932" i="6"/>
  <c r="Y2926" i="6"/>
  <c r="Y2925" i="6"/>
  <c r="Y2920" i="6"/>
  <c r="Y2918" i="6"/>
  <c r="Y2916" i="6"/>
  <c r="Y2915" i="6"/>
  <c r="Y2910" i="6"/>
  <c r="Y2904" i="6"/>
  <c r="Y2903" i="6"/>
  <c r="Y2900" i="6"/>
  <c r="X2703" i="6"/>
  <c r="X2701" i="6"/>
  <c r="X2700" i="6"/>
  <c r="X2699" i="6"/>
  <c r="X2696" i="6"/>
  <c r="X2695" i="6"/>
  <c r="X2694" i="6"/>
  <c r="X2692" i="6"/>
  <c r="X2691" i="6"/>
  <c r="X2690" i="6"/>
  <c r="X2687" i="6"/>
  <c r="X2686" i="6"/>
  <c r="X1931" i="6"/>
  <c r="X1929" i="6"/>
  <c r="X1928" i="6"/>
  <c r="X1927" i="6"/>
  <c r="X1924" i="6"/>
  <c r="X1923" i="6"/>
  <c r="X1922" i="6"/>
  <c r="X1920" i="6"/>
  <c r="X1919" i="6"/>
  <c r="X1918" i="6"/>
  <c r="X1915" i="6"/>
  <c r="X1914" i="6"/>
  <c r="AG1913" i="6"/>
  <c r="AF1913" i="6"/>
  <c r="AE1913" i="6"/>
  <c r="AD1913" i="6"/>
  <c r="AC1913" i="6"/>
  <c r="AA1913" i="6"/>
  <c r="Z1913" i="6"/>
  <c r="Y1913" i="6"/>
  <c r="X1913" i="6"/>
  <c r="C1893" i="6"/>
  <c r="K1893" i="6" s="1"/>
  <c r="DJ1893" i="6" s="1"/>
  <c r="AX297" i="15"/>
  <c r="C1889" i="6"/>
  <c r="AX295" i="15"/>
  <c r="C1885" i="6"/>
  <c r="C1881" i="6"/>
  <c r="AX291" i="15"/>
  <c r="C1877" i="6"/>
  <c r="C1871" i="6"/>
  <c r="K1871" i="6" s="1"/>
  <c r="DJ1871" i="6" s="1"/>
  <c r="AX287" i="15"/>
  <c r="C1861" i="6"/>
  <c r="C1849" i="6"/>
  <c r="K1849" i="6" s="1"/>
  <c r="DJ1849" i="6" s="1"/>
  <c r="AX279" i="15"/>
  <c r="C1833" i="6"/>
  <c r="K1833" i="6" s="1"/>
  <c r="DJ1833" i="6" s="1"/>
  <c r="AX275" i="15"/>
  <c r="C1819" i="6"/>
  <c r="K1819" i="6" s="1"/>
  <c r="DJ1819" i="6" s="1"/>
  <c r="AX271" i="15"/>
  <c r="C1803" i="6"/>
  <c r="K1803" i="6" s="1"/>
  <c r="DJ1803" i="6" s="1"/>
  <c r="AX267" i="15"/>
  <c r="C1787" i="6"/>
  <c r="K1787" i="6" s="1"/>
  <c r="DJ1787" i="6" s="1"/>
  <c r="AX263" i="15"/>
  <c r="C1771" i="6"/>
  <c r="K1771" i="6" s="1"/>
  <c r="DJ1771" i="6" s="1"/>
  <c r="AX259" i="15"/>
  <c r="C1755" i="6"/>
  <c r="K1755" i="6" s="1"/>
  <c r="DJ1755" i="6" s="1"/>
  <c r="AX255" i="15"/>
  <c r="C1739" i="6"/>
  <c r="K1739" i="6" s="1"/>
  <c r="DJ1739" i="6" s="1"/>
  <c r="AX251" i="15"/>
  <c r="AX239" i="15"/>
  <c r="C1685" i="6"/>
  <c r="K1685" i="6" s="1"/>
  <c r="DJ1685" i="6" s="1"/>
  <c r="AX233" i="15"/>
  <c r="C1667" i="6"/>
  <c r="AX227" i="15"/>
  <c r="C1647" i="6"/>
  <c r="C1635" i="6"/>
  <c r="AX213" i="15"/>
  <c r="C1623" i="6"/>
  <c r="C1615" i="6"/>
  <c r="AX203" i="15"/>
  <c r="C1601" i="6"/>
  <c r="K1601" i="6" s="1"/>
  <c r="DJ1601" i="6" s="1"/>
  <c r="AX199" i="15"/>
  <c r="C1591" i="6"/>
  <c r="AX195" i="15"/>
  <c r="C1587" i="6"/>
  <c r="C1581" i="6"/>
  <c r="K1581" i="6" s="1"/>
  <c r="DJ1581" i="6" s="1"/>
  <c r="AX191" i="15"/>
  <c r="C1571" i="6"/>
  <c r="AX187" i="15"/>
  <c r="C1557" i="6"/>
  <c r="K1557" i="6" s="1"/>
  <c r="DJ1557" i="6" s="1"/>
  <c r="AX183" i="15"/>
  <c r="C1549" i="6"/>
  <c r="AX181" i="15"/>
  <c r="DJ1507" i="6"/>
  <c r="DI1507" i="6"/>
  <c r="DH1507" i="6"/>
  <c r="DG1507" i="6"/>
  <c r="V1504" i="6"/>
  <c r="F1499" i="6"/>
  <c r="F1498" i="6"/>
  <c r="F1497" i="6"/>
  <c r="F1496" i="6"/>
  <c r="F1495" i="6"/>
  <c r="F1494" i="6"/>
  <c r="F1493" i="6"/>
  <c r="F1492" i="6"/>
  <c r="F1491" i="6"/>
  <c r="F1490" i="6"/>
  <c r="F1489" i="6"/>
  <c r="F1488" i="6"/>
  <c r="F1485" i="6"/>
  <c r="F1484" i="6"/>
  <c r="F1483" i="6"/>
  <c r="F1482" i="6"/>
  <c r="F1481" i="6"/>
  <c r="F1480" i="6"/>
  <c r="F1479" i="6"/>
  <c r="F1478" i="6"/>
  <c r="F1477" i="6"/>
  <c r="F1476" i="6"/>
  <c r="F1475" i="6"/>
  <c r="F1474" i="6"/>
  <c r="F1470" i="6"/>
  <c r="F1468" i="6"/>
  <c r="F1467" i="6"/>
  <c r="F1466" i="6"/>
  <c r="F1465" i="6"/>
  <c r="F1454" i="6"/>
  <c r="F1452" i="6"/>
  <c r="F1451" i="6"/>
  <c r="F1450" i="6"/>
  <c r="F1449" i="6"/>
  <c r="X1446" i="6"/>
  <c r="F1446" i="6"/>
  <c r="X1444" i="6"/>
  <c r="F1444" i="6"/>
  <c r="X1443" i="6"/>
  <c r="F1443" i="6"/>
  <c r="X1442" i="6"/>
  <c r="F1442" i="6"/>
  <c r="X1441" i="6"/>
  <c r="F1441" i="6"/>
  <c r="Y1438" i="6"/>
  <c r="W1438" i="6"/>
  <c r="Y1437" i="6"/>
  <c r="W1437" i="6"/>
  <c r="Y1435" i="6"/>
  <c r="W1435" i="6"/>
  <c r="Y1434" i="6"/>
  <c r="W1434" i="6"/>
  <c r="Y1433" i="6"/>
  <c r="W1433" i="6"/>
  <c r="Y1414" i="6"/>
  <c r="Y1446" i="6" s="1"/>
  <c r="X1414" i="6"/>
  <c r="Y1413" i="6"/>
  <c r="Y1444" i="6" s="1"/>
  <c r="X1413" i="6"/>
  <c r="Y1409" i="6"/>
  <c r="Y1443" i="6" s="1"/>
  <c r="X1409" i="6"/>
  <c r="Y1411" i="6"/>
  <c r="Y1442" i="6" s="1"/>
  <c r="X1411" i="6"/>
  <c r="Y1410" i="6"/>
  <c r="Y1441" i="6" s="1"/>
  <c r="X1410" i="6"/>
  <c r="AG1408" i="6"/>
  <c r="AF1408" i="6"/>
  <c r="AE1408" i="6"/>
  <c r="AD1408" i="6"/>
  <c r="AC1408" i="6"/>
  <c r="AB1408" i="6"/>
  <c r="AA1408" i="6"/>
  <c r="Z1408" i="6"/>
  <c r="Y1408" i="6"/>
  <c r="X1408" i="6"/>
  <c r="DH1384" i="6"/>
  <c r="H1384" i="6"/>
  <c r="DH1383" i="6"/>
  <c r="DI1383" i="6" s="1"/>
  <c r="H1383" i="6"/>
  <c r="DH1382" i="6"/>
  <c r="H1382" i="6"/>
  <c r="DH1381" i="6"/>
  <c r="DI1381" i="6" s="1"/>
  <c r="H1381" i="6"/>
  <c r="DH1380" i="6"/>
  <c r="H1380" i="6"/>
  <c r="DH1379" i="6"/>
  <c r="DI1379" i="6" s="1"/>
  <c r="H1379" i="6"/>
  <c r="DH1378" i="6"/>
  <c r="H1378" i="6"/>
  <c r="DH1377" i="6"/>
  <c r="DI1377" i="6" s="1"/>
  <c r="H1377" i="6"/>
  <c r="DH1376" i="6"/>
  <c r="DI1376" i="6" s="1"/>
  <c r="H1376" i="6"/>
  <c r="DH1375" i="6"/>
  <c r="DI1375" i="6" s="1"/>
  <c r="H1375" i="6"/>
  <c r="DH1374" i="6"/>
  <c r="DI1374" i="6" s="1"/>
  <c r="H1374" i="6"/>
  <c r="DH1373" i="6"/>
  <c r="DI1373" i="6" s="1"/>
  <c r="H1373" i="6"/>
  <c r="DJ1372" i="6"/>
  <c r="DI1372" i="6"/>
  <c r="DH1372" i="6"/>
  <c r="DG1372" i="6"/>
  <c r="V1370" i="6"/>
  <c r="K1331" i="6"/>
  <c r="L1279" i="6" s="1"/>
  <c r="AJ162" i="15" s="1"/>
  <c r="K1330" i="6"/>
  <c r="L1275" i="6"/>
  <c r="AJ160" i="15" s="1"/>
  <c r="K1328" i="6"/>
  <c r="K1327" i="6"/>
  <c r="L1271" i="6" s="1"/>
  <c r="AJ158" i="15" s="1"/>
  <c r="K1326" i="6"/>
  <c r="W1326" i="6" s="1"/>
  <c r="K1307" i="6"/>
  <c r="K1306" i="6"/>
  <c r="W1306" i="6" s="1"/>
  <c r="F1306" i="6"/>
  <c r="F1360" i="6" s="1"/>
  <c r="K1305" i="6"/>
  <c r="K1304" i="6"/>
  <c r="W1304" i="6" s="1"/>
  <c r="F1304" i="6"/>
  <c r="F1352" i="6" s="1"/>
  <c r="K1303" i="6"/>
  <c r="F1302" i="6"/>
  <c r="F1362" i="6" s="1"/>
  <c r="AG1300" i="6"/>
  <c r="AF1300" i="6"/>
  <c r="AE1300" i="6"/>
  <c r="AD1300" i="6"/>
  <c r="AC1300" i="6"/>
  <c r="AB1300" i="6"/>
  <c r="AA1300" i="6"/>
  <c r="Z1300" i="6"/>
  <c r="Y1300" i="6"/>
  <c r="X1300" i="6"/>
  <c r="H1280" i="6"/>
  <c r="F1280" i="6"/>
  <c r="J1279" i="6"/>
  <c r="X162" i="15" s="1"/>
  <c r="Z162" i="15" s="1"/>
  <c r="H1279" i="6"/>
  <c r="F1279" i="6"/>
  <c r="AX162" i="15"/>
  <c r="H1278" i="6"/>
  <c r="F1278" i="6"/>
  <c r="L161" i="15" s="1"/>
  <c r="J1277" i="6"/>
  <c r="H1277" i="6"/>
  <c r="F1277" i="6"/>
  <c r="H1276" i="6"/>
  <c r="F1276" i="6"/>
  <c r="J1275" i="6"/>
  <c r="H1275" i="6"/>
  <c r="F1275" i="6"/>
  <c r="H1274" i="6"/>
  <c r="F1274" i="6"/>
  <c r="L159" i="15" s="1"/>
  <c r="J1273" i="6"/>
  <c r="H1273" i="6"/>
  <c r="F1273" i="6"/>
  <c r="H1272" i="6"/>
  <c r="F1272" i="6"/>
  <c r="J1271" i="6"/>
  <c r="H1271" i="6"/>
  <c r="F1271" i="6"/>
  <c r="K158" i="15" s="1"/>
  <c r="AX158" i="15"/>
  <c r="H1270" i="6"/>
  <c r="F1270" i="6"/>
  <c r="J1269" i="6"/>
  <c r="X157" i="15" s="1"/>
  <c r="Z157" i="15" s="1"/>
  <c r="H1269" i="6"/>
  <c r="K157" i="15"/>
  <c r="DJ1268" i="6"/>
  <c r="DI1268" i="6"/>
  <c r="DH1268" i="6"/>
  <c r="DG1268" i="6"/>
  <c r="V1265" i="6"/>
  <c r="Y1236" i="6"/>
  <c r="Y1232" i="6"/>
  <c r="Y1228" i="6"/>
  <c r="Y1220" i="6"/>
  <c r="Y1218" i="6"/>
  <c r="Y1216" i="6"/>
  <c r="Y1215" i="6"/>
  <c r="Y1213" i="6"/>
  <c r="F1142" i="6"/>
  <c r="F1212" i="6" s="1"/>
  <c r="F1258" i="6" s="1"/>
  <c r="F1141" i="6"/>
  <c r="F1211" i="6" s="1"/>
  <c r="F1257" i="6" s="1"/>
  <c r="F1140" i="6"/>
  <c r="F1210" i="6" s="1"/>
  <c r="F1256" i="6" s="1"/>
  <c r="F1139" i="6"/>
  <c r="F1209" i="6" s="1"/>
  <c r="F1255" i="6" s="1"/>
  <c r="F1136" i="6"/>
  <c r="F1206" i="6" s="1"/>
  <c r="F1252" i="6" s="1"/>
  <c r="F1135" i="6"/>
  <c r="F1205" i="6" s="1"/>
  <c r="F1251" i="6" s="1"/>
  <c r="F1130" i="6"/>
  <c r="F1200" i="6" s="1"/>
  <c r="F1246" i="6" s="1"/>
  <c r="F1129" i="6"/>
  <c r="F1199" i="6" s="1"/>
  <c r="F1245" i="6" s="1"/>
  <c r="F1128" i="6"/>
  <c r="F1198" i="6" s="1"/>
  <c r="F1244" i="6" s="1"/>
  <c r="F1127" i="6"/>
  <c r="F1197" i="6" s="1"/>
  <c r="F1243" i="6" s="1"/>
  <c r="F1126" i="6"/>
  <c r="F1196" i="6" s="1"/>
  <c r="F1242" i="6" s="1"/>
  <c r="F1125" i="6"/>
  <c r="F1195" i="6" s="1"/>
  <c r="F1241" i="6" s="1"/>
  <c r="F1124" i="6"/>
  <c r="F1194" i="6" s="1"/>
  <c r="F1240" i="6" s="1"/>
  <c r="F1123" i="6"/>
  <c r="F1193" i="6" s="1"/>
  <c r="F1239" i="6" s="1"/>
  <c r="F1122" i="6"/>
  <c r="F1192" i="6" s="1"/>
  <c r="F1238" i="6" s="1"/>
  <c r="Y1121" i="6"/>
  <c r="Y1122" i="6" s="1"/>
  <c r="Y1238" i="6" s="1"/>
  <c r="F1121" i="6"/>
  <c r="F1191" i="6" s="1"/>
  <c r="F1237" i="6" s="1"/>
  <c r="F1120" i="6"/>
  <c r="F1190" i="6" s="1"/>
  <c r="F1236" i="6" s="1"/>
  <c r="F1119" i="6"/>
  <c r="F1189" i="6" s="1"/>
  <c r="F1235" i="6" s="1"/>
  <c r="F1118" i="6"/>
  <c r="F1188" i="6" s="1"/>
  <c r="F1234" i="6" s="1"/>
  <c r="F1117" i="6"/>
  <c r="F1187" i="6" s="1"/>
  <c r="F1233" i="6" s="1"/>
  <c r="F1116" i="6"/>
  <c r="F1186" i="6" s="1"/>
  <c r="F1232" i="6" s="1"/>
  <c r="F1113" i="6"/>
  <c r="F1183" i="6" s="1"/>
  <c r="F1229" i="6" s="1"/>
  <c r="F1112" i="6"/>
  <c r="F1182" i="6" s="1"/>
  <c r="F1228" i="6" s="1"/>
  <c r="F1107" i="6"/>
  <c r="F1177" i="6" s="1"/>
  <c r="F1223" i="6" s="1"/>
  <c r="F1106" i="6"/>
  <c r="F1176" i="6" s="1"/>
  <c r="F1222" i="6" s="1"/>
  <c r="F1105" i="6"/>
  <c r="F1175" i="6" s="1"/>
  <c r="F1221" i="6" s="1"/>
  <c r="F1104" i="6"/>
  <c r="F1174" i="6" s="1"/>
  <c r="F1220" i="6" s="1"/>
  <c r="F1103" i="6"/>
  <c r="F1173" i="6" s="1"/>
  <c r="F1219" i="6" s="1"/>
  <c r="F1102" i="6"/>
  <c r="F1172" i="6" s="1"/>
  <c r="F1218" i="6" s="1"/>
  <c r="F1101" i="6"/>
  <c r="F1171" i="6" s="1"/>
  <c r="F1217" i="6" s="1"/>
  <c r="F1100" i="6"/>
  <c r="F1170" i="6" s="1"/>
  <c r="F1216" i="6" s="1"/>
  <c r="F1099" i="6"/>
  <c r="F1169" i="6" s="1"/>
  <c r="F1215" i="6" s="1"/>
  <c r="F1098" i="6"/>
  <c r="F1168" i="6" s="1"/>
  <c r="F1214" i="6" s="1"/>
  <c r="F1097" i="6"/>
  <c r="F1167" i="6" s="1"/>
  <c r="F1213" i="6" s="1"/>
  <c r="X970" i="6"/>
  <c r="X1232" i="6" s="1"/>
  <c r="X967" i="6"/>
  <c r="X1228" i="6" s="1"/>
  <c r="X966" i="6"/>
  <c r="X1220" i="6" s="1"/>
  <c r="X965" i="6"/>
  <c r="X1241" i="6" s="1"/>
  <c r="X964" i="6"/>
  <c r="X1216" i="6" s="1"/>
  <c r="X963" i="6"/>
  <c r="X1215" i="6" s="1"/>
  <c r="X962" i="6"/>
  <c r="X1213" i="6" s="1"/>
  <c r="F844" i="6"/>
  <c r="F871" i="6" s="1"/>
  <c r="F898" i="6" s="1"/>
  <c r="F925" i="6" s="1"/>
  <c r="F952" i="6" s="1"/>
  <c r="F979" i="6" s="1"/>
  <c r="F1006" i="6" s="1"/>
  <c r="F1033" i="6" s="1"/>
  <c r="F1060" i="6" s="1"/>
  <c r="F1087" i="6" s="1"/>
  <c r="F841" i="6"/>
  <c r="F868" i="6" s="1"/>
  <c r="F895" i="6" s="1"/>
  <c r="F922" i="6" s="1"/>
  <c r="F949" i="6" s="1"/>
  <c r="F976" i="6" s="1"/>
  <c r="F1003" i="6" s="1"/>
  <c r="F1030" i="6" s="1"/>
  <c r="F1057" i="6" s="1"/>
  <c r="F1084" i="6" s="1"/>
  <c r="F840" i="6"/>
  <c r="F867" i="6" s="1"/>
  <c r="F894" i="6" s="1"/>
  <c r="F921" i="6" s="1"/>
  <c r="F948" i="6" s="1"/>
  <c r="F975" i="6" s="1"/>
  <c r="F1002" i="6" s="1"/>
  <c r="F1029" i="6" s="1"/>
  <c r="F1056" i="6" s="1"/>
  <c r="F1083" i="6" s="1"/>
  <c r="F839" i="6"/>
  <c r="F866" i="6" s="1"/>
  <c r="F893" i="6" s="1"/>
  <c r="F920" i="6" s="1"/>
  <c r="F947" i="6" s="1"/>
  <c r="F974" i="6" s="1"/>
  <c r="F1001" i="6" s="1"/>
  <c r="F1028" i="6" s="1"/>
  <c r="F1055" i="6" s="1"/>
  <c r="F1082" i="6" s="1"/>
  <c r="F838" i="6"/>
  <c r="F865" i="6" s="1"/>
  <c r="F892" i="6" s="1"/>
  <c r="F919" i="6" s="1"/>
  <c r="F946" i="6" s="1"/>
  <c r="F973" i="6" s="1"/>
  <c r="F1000" i="6" s="1"/>
  <c r="F1027" i="6" s="1"/>
  <c r="F1054" i="6" s="1"/>
  <c r="F1081" i="6" s="1"/>
  <c r="F837" i="6"/>
  <c r="F864" i="6" s="1"/>
  <c r="F891" i="6" s="1"/>
  <c r="F918" i="6" s="1"/>
  <c r="F945" i="6" s="1"/>
  <c r="F972" i="6" s="1"/>
  <c r="F999" i="6" s="1"/>
  <c r="F1026" i="6" s="1"/>
  <c r="F1053" i="6" s="1"/>
  <c r="F1080" i="6" s="1"/>
  <c r="F836" i="6"/>
  <c r="F863" i="6" s="1"/>
  <c r="F890" i="6" s="1"/>
  <c r="F917" i="6" s="1"/>
  <c r="F944" i="6" s="1"/>
  <c r="F971" i="6" s="1"/>
  <c r="F998" i="6" s="1"/>
  <c r="F1025" i="6" s="1"/>
  <c r="F1052" i="6" s="1"/>
  <c r="F1079" i="6" s="1"/>
  <c r="X835" i="6"/>
  <c r="F835" i="6"/>
  <c r="F862" i="6" s="1"/>
  <c r="F889" i="6" s="1"/>
  <c r="F916" i="6" s="1"/>
  <c r="F943" i="6" s="1"/>
  <c r="F970" i="6" s="1"/>
  <c r="F997" i="6" s="1"/>
  <c r="F1024" i="6" s="1"/>
  <c r="F1051" i="6" s="1"/>
  <c r="F1078" i="6" s="1"/>
  <c r="X832" i="6"/>
  <c r="F832" i="6"/>
  <c r="F859" i="6" s="1"/>
  <c r="F886" i="6" s="1"/>
  <c r="F913" i="6" s="1"/>
  <c r="F940" i="6" s="1"/>
  <c r="F967" i="6" s="1"/>
  <c r="F994" i="6" s="1"/>
  <c r="F1021" i="6" s="1"/>
  <c r="F1048" i="6" s="1"/>
  <c r="F1075" i="6" s="1"/>
  <c r="X831" i="6"/>
  <c r="F831" i="6"/>
  <c r="F858" i="6" s="1"/>
  <c r="F885" i="6" s="1"/>
  <c r="F912" i="6" s="1"/>
  <c r="F939" i="6" s="1"/>
  <c r="F966" i="6" s="1"/>
  <c r="F993" i="6" s="1"/>
  <c r="F1020" i="6" s="1"/>
  <c r="F1047" i="6" s="1"/>
  <c r="F1074" i="6" s="1"/>
  <c r="X830" i="6"/>
  <c r="F830" i="6"/>
  <c r="F857" i="6" s="1"/>
  <c r="F884" i="6" s="1"/>
  <c r="F911" i="6" s="1"/>
  <c r="F938" i="6" s="1"/>
  <c r="F965" i="6" s="1"/>
  <c r="F992" i="6" s="1"/>
  <c r="F1019" i="6" s="1"/>
  <c r="F1046" i="6" s="1"/>
  <c r="F1073" i="6" s="1"/>
  <c r="X829" i="6"/>
  <c r="F829" i="6"/>
  <c r="F856" i="6" s="1"/>
  <c r="F883" i="6" s="1"/>
  <c r="F910" i="6" s="1"/>
  <c r="F937" i="6" s="1"/>
  <c r="F964" i="6" s="1"/>
  <c r="F991" i="6" s="1"/>
  <c r="F1018" i="6" s="1"/>
  <c r="F1045" i="6" s="1"/>
  <c r="F1072" i="6" s="1"/>
  <c r="F828" i="6"/>
  <c r="F855" i="6" s="1"/>
  <c r="F882" i="6" s="1"/>
  <c r="F909" i="6" s="1"/>
  <c r="F936" i="6" s="1"/>
  <c r="F963" i="6" s="1"/>
  <c r="F990" i="6" s="1"/>
  <c r="F1017" i="6" s="1"/>
  <c r="F1044" i="6" s="1"/>
  <c r="F1071" i="6" s="1"/>
  <c r="F827" i="6"/>
  <c r="F854" i="6" s="1"/>
  <c r="F881" i="6" s="1"/>
  <c r="F908" i="6" s="1"/>
  <c r="F935" i="6" s="1"/>
  <c r="F962" i="6" s="1"/>
  <c r="F989" i="6" s="1"/>
  <c r="F1016" i="6" s="1"/>
  <c r="F1043" i="6" s="1"/>
  <c r="F1070" i="6" s="1"/>
  <c r="AG826" i="6"/>
  <c r="AF826" i="6"/>
  <c r="AE826" i="6"/>
  <c r="AD826" i="6"/>
  <c r="AC826" i="6"/>
  <c r="AB826" i="6"/>
  <c r="AA826" i="6"/>
  <c r="Z826" i="6"/>
  <c r="Y826" i="6"/>
  <c r="X826" i="6"/>
  <c r="F1165" i="6"/>
  <c r="F1164" i="6"/>
  <c r="F1163" i="6"/>
  <c r="DH813" i="6"/>
  <c r="DI813" i="6" s="1"/>
  <c r="DH814" i="6"/>
  <c r="DI814" i="6" s="1"/>
  <c r="F1159" i="6"/>
  <c r="DH803" i="6"/>
  <c r="DI803" i="6" s="1"/>
  <c r="F1153" i="6"/>
  <c r="F1152" i="6"/>
  <c r="F1151" i="6"/>
  <c r="F1150" i="6"/>
  <c r="DH793" i="6"/>
  <c r="DI793" i="6" s="1"/>
  <c r="DH791" i="6"/>
  <c r="DI791" i="6" s="1"/>
  <c r="F1149" i="6"/>
  <c r="AX146" i="15"/>
  <c r="F1147" i="6"/>
  <c r="F847" i="6"/>
  <c r="F874" i="6" s="1"/>
  <c r="F901" i="6" s="1"/>
  <c r="F928" i="6" s="1"/>
  <c r="F955" i="6" s="1"/>
  <c r="F982" i="6" s="1"/>
  <c r="F1009" i="6" s="1"/>
  <c r="F1036" i="6" s="1"/>
  <c r="F1063" i="6" s="1"/>
  <c r="F1090" i="6" s="1"/>
  <c r="DH779" i="6"/>
  <c r="DI779" i="6" s="1"/>
  <c r="DH778" i="6"/>
  <c r="DI778" i="6" s="1"/>
  <c r="F1145" i="6"/>
  <c r="DH776" i="6"/>
  <c r="DI776" i="6" s="1"/>
  <c r="F1144" i="6"/>
  <c r="AX140" i="15"/>
  <c r="DH772" i="6"/>
  <c r="DI772" i="6" s="1"/>
  <c r="DH771" i="6"/>
  <c r="DI771" i="6" s="1"/>
  <c r="DH759" i="6"/>
  <c r="DI759" i="6" s="1"/>
  <c r="DH758" i="6"/>
  <c r="DI758" i="6" s="1"/>
  <c r="DH757" i="6"/>
  <c r="DI757" i="6" s="1"/>
  <c r="DH756" i="6"/>
  <c r="DI756" i="6" s="1"/>
  <c r="DH755" i="6"/>
  <c r="DI755" i="6" s="1"/>
  <c r="DH753" i="6"/>
  <c r="DI753" i="6" s="1"/>
  <c r="DH751" i="6"/>
  <c r="DI751" i="6" s="1"/>
  <c r="DH750" i="6"/>
  <c r="DI750" i="6" s="1"/>
  <c r="DJ748" i="6"/>
  <c r="DI748" i="6"/>
  <c r="DH748" i="6"/>
  <c r="DG748" i="6"/>
  <c r="V745" i="6"/>
  <c r="V671" i="6"/>
  <c r="E1167" i="6"/>
  <c r="V1167" i="6"/>
  <c r="X555" i="6"/>
  <c r="X554" i="6"/>
  <c r="X553" i="6"/>
  <c r="X546" i="6"/>
  <c r="X545" i="6"/>
  <c r="X544" i="6"/>
  <c r="X537" i="6"/>
  <c r="X536" i="6"/>
  <c r="X535" i="6"/>
  <c r="X528" i="6"/>
  <c r="X527" i="6"/>
  <c r="X526" i="6"/>
  <c r="V526" i="6"/>
  <c r="V454" i="6"/>
  <c r="X416" i="6"/>
  <c r="X413" i="6"/>
  <c r="X412" i="6"/>
  <c r="X411" i="6"/>
  <c r="X410" i="6"/>
  <c r="X409" i="6"/>
  <c r="X384" i="6"/>
  <c r="V382" i="6"/>
  <c r="V310" i="6"/>
  <c r="X272" i="6"/>
  <c r="X269" i="6"/>
  <c r="X268" i="6"/>
  <c r="X267" i="6"/>
  <c r="X266" i="6"/>
  <c r="X265" i="6"/>
  <c r="X258" i="6"/>
  <c r="X257" i="6"/>
  <c r="X256" i="6"/>
  <c r="X254" i="6"/>
  <c r="X251" i="6"/>
  <c r="X250" i="6"/>
  <c r="X249" i="6"/>
  <c r="X248" i="6"/>
  <c r="X247" i="6"/>
  <c r="X240" i="6"/>
  <c r="X239" i="6"/>
  <c r="X238" i="6"/>
  <c r="X200" i="6"/>
  <c r="X197" i="6"/>
  <c r="X196" i="6"/>
  <c r="X195" i="6"/>
  <c r="X194" i="6"/>
  <c r="X193" i="6"/>
  <c r="X186" i="6"/>
  <c r="X185" i="6"/>
  <c r="X184" i="6"/>
  <c r="X177" i="6"/>
  <c r="X176" i="6"/>
  <c r="X175" i="6"/>
  <c r="X168" i="6"/>
  <c r="X167" i="6"/>
  <c r="X166" i="6"/>
  <c r="V166" i="6"/>
  <c r="AG165" i="6"/>
  <c r="AE165" i="6"/>
  <c r="AD165" i="6"/>
  <c r="AC165" i="6"/>
  <c r="AB165" i="6"/>
  <c r="AA165" i="6"/>
  <c r="Z165" i="6"/>
  <c r="Y165" i="6"/>
  <c r="X165" i="6"/>
  <c r="DH119" i="6"/>
  <c r="AX105" i="15"/>
  <c r="DH118" i="6"/>
  <c r="DH117" i="6"/>
  <c r="DH116" i="6"/>
  <c r="AX103" i="15"/>
  <c r="DH113" i="6"/>
  <c r="DH111" i="6"/>
  <c r="DH110" i="6"/>
  <c r="AX99" i="15"/>
  <c r="DH109" i="6"/>
  <c r="DH107" i="6"/>
  <c r="AX97" i="15"/>
  <c r="DH102" i="6"/>
  <c r="DH101" i="6"/>
  <c r="AX93" i="15"/>
  <c r="DH100" i="6"/>
  <c r="DH98" i="6"/>
  <c r="DH96" i="6"/>
  <c r="DH94" i="6"/>
  <c r="DH92" i="6"/>
  <c r="DH91" i="6"/>
  <c r="DH90" i="6"/>
  <c r="DH89" i="6"/>
  <c r="AX85" i="15"/>
  <c r="DH87" i="6"/>
  <c r="DH86" i="6"/>
  <c r="DJ83" i="6"/>
  <c r="DI83" i="6"/>
  <c r="DH83" i="6"/>
  <c r="DG83" i="6"/>
  <c r="V80" i="6"/>
  <c r="F77" i="6"/>
  <c r="F76" i="6"/>
  <c r="F75" i="6"/>
  <c r="F74" i="6"/>
  <c r="F73" i="6"/>
  <c r="F72" i="6"/>
  <c r="F71" i="6"/>
  <c r="F70" i="6"/>
  <c r="F69" i="6"/>
  <c r="F68" i="6"/>
  <c r="F67" i="6"/>
  <c r="F66" i="6"/>
  <c r="F65" i="6"/>
  <c r="F64" i="6"/>
  <c r="F63" i="6"/>
  <c r="F62" i="6"/>
  <c r="F60" i="6"/>
  <c r="F59" i="6"/>
  <c r="F58" i="6"/>
  <c r="F57" i="6"/>
  <c r="F56" i="6"/>
  <c r="F55" i="6"/>
  <c r="F54" i="6"/>
  <c r="F53" i="6"/>
  <c r="X44" i="6"/>
  <c r="F44" i="6"/>
  <c r="X43" i="6"/>
  <c r="F43" i="6"/>
  <c r="X42" i="6"/>
  <c r="F42" i="6"/>
  <c r="X41" i="6"/>
  <c r="F41" i="6"/>
  <c r="X40" i="6"/>
  <c r="F40" i="6"/>
  <c r="X39" i="6"/>
  <c r="F39" i="6"/>
  <c r="X38" i="6"/>
  <c r="F38" i="6"/>
  <c r="X37" i="6"/>
  <c r="F37" i="6"/>
  <c r="X33" i="6"/>
  <c r="F33" i="6"/>
  <c r="X32" i="6"/>
  <c r="F32" i="6"/>
  <c r="X29" i="6"/>
  <c r="F29" i="6"/>
  <c r="X28" i="6"/>
  <c r="F28" i="6"/>
  <c r="X27" i="6"/>
  <c r="F27" i="6"/>
  <c r="X26" i="6"/>
  <c r="F26" i="6"/>
  <c r="AG25" i="6"/>
  <c r="AF25" i="6"/>
  <c r="AE25" i="6"/>
  <c r="AD25" i="6"/>
  <c r="AC25" i="6"/>
  <c r="AB25" i="6"/>
  <c r="AA25" i="6"/>
  <c r="Z25" i="6"/>
  <c r="Y25" i="6"/>
  <c r="X25" i="6"/>
  <c r="O14" i="6"/>
  <c r="DJ14" i="6" s="1"/>
  <c r="N14" i="6"/>
  <c r="Y81" i="15" s="1"/>
  <c r="G14" i="6"/>
  <c r="N13" i="6"/>
  <c r="H13" i="6"/>
  <c r="O12" i="6"/>
  <c r="DJ12" i="6" s="1"/>
  <c r="N12" i="6"/>
  <c r="Y80" i="15" s="1"/>
  <c r="G12" i="6"/>
  <c r="N11" i="6"/>
  <c r="X80" i="15" s="1"/>
  <c r="H11" i="6"/>
  <c r="O10" i="6"/>
  <c r="DJ10" i="6" s="1"/>
  <c r="N10" i="6"/>
  <c r="Y79" i="15" s="1"/>
  <c r="G10" i="6"/>
  <c r="D79" i="15" s="1"/>
  <c r="N9" i="6"/>
  <c r="H9" i="6"/>
  <c r="O8" i="6"/>
  <c r="DJ8" i="6" s="1"/>
  <c r="N8" i="6"/>
  <c r="G8" i="6"/>
  <c r="N7" i="6"/>
  <c r="H7" i="6"/>
  <c r="V4" i="6"/>
  <c r="AG285" i="5"/>
  <c r="AF285" i="5"/>
  <c r="AE285" i="5"/>
  <c r="AD285" i="5"/>
  <c r="AC285" i="5"/>
  <c r="AB285" i="5"/>
  <c r="AA285" i="5"/>
  <c r="Z285" i="5"/>
  <c r="Y285" i="5"/>
  <c r="X285" i="5"/>
  <c r="W285" i="5"/>
  <c r="H278" i="5"/>
  <c r="H276" i="5"/>
  <c r="H275" i="5"/>
  <c r="H273" i="5"/>
  <c r="H272" i="5"/>
  <c r="H270" i="5"/>
  <c r="DJ269" i="5"/>
  <c r="DI269" i="5"/>
  <c r="DH269" i="5"/>
  <c r="DG269" i="5"/>
  <c r="AG269" i="5"/>
  <c r="AF269" i="5"/>
  <c r="AE269" i="5"/>
  <c r="AD269" i="5"/>
  <c r="AC269" i="5"/>
  <c r="AB269" i="5"/>
  <c r="AA269" i="5"/>
  <c r="Z269" i="5"/>
  <c r="Y269" i="5"/>
  <c r="X269" i="5"/>
  <c r="W269" i="5"/>
  <c r="V267" i="5"/>
  <c r="Z264" i="5"/>
  <c r="AA264" i="5" s="1"/>
  <c r="Z263" i="5"/>
  <c r="AA263" i="5" s="1"/>
  <c r="Z255" i="5"/>
  <c r="AA255" i="5" s="1"/>
  <c r="Z251" i="5"/>
  <c r="AA251" i="5" s="1"/>
  <c r="Z250" i="5"/>
  <c r="AA250" i="5" s="1"/>
  <c r="Z249" i="5"/>
  <c r="AA249" i="5" s="1"/>
  <c r="Z247" i="5"/>
  <c r="AA247" i="5" s="1"/>
  <c r="Z246" i="5"/>
  <c r="AA246" i="5" s="1"/>
  <c r="Y244" i="5"/>
  <c r="Z244" i="5" s="1"/>
  <c r="AA244" i="5" s="1"/>
  <c r="X244" i="5"/>
  <c r="W244" i="5"/>
  <c r="Y242" i="5"/>
  <c r="Z242" i="5" s="1"/>
  <c r="AA242" i="5" s="1"/>
  <c r="X242" i="5"/>
  <c r="W242" i="5"/>
  <c r="Z241" i="5"/>
  <c r="AA241" i="5" s="1"/>
  <c r="Y239" i="5"/>
  <c r="Z239" i="5" s="1"/>
  <c r="AA239" i="5" s="1"/>
  <c r="X239" i="5"/>
  <c r="W239" i="5"/>
  <c r="H231" i="5"/>
  <c r="V230" i="5"/>
  <c r="V231" i="5" s="1"/>
  <c r="V232" i="5" s="1"/>
  <c r="H230" i="5"/>
  <c r="DJ229" i="5"/>
  <c r="DI229" i="5"/>
  <c r="DH229" i="5"/>
  <c r="DG229" i="5"/>
  <c r="AG229" i="5"/>
  <c r="AF229" i="5"/>
  <c r="AE229" i="5"/>
  <c r="AD229" i="5"/>
  <c r="AC229" i="5"/>
  <c r="AB229" i="5"/>
  <c r="AA229" i="5"/>
  <c r="Z229" i="5"/>
  <c r="Y229" i="5"/>
  <c r="X229" i="5"/>
  <c r="W229" i="5"/>
  <c r="V227" i="5"/>
  <c r="AG192" i="5"/>
  <c r="AF192" i="5"/>
  <c r="AE192" i="5"/>
  <c r="AD192" i="5"/>
  <c r="AC192" i="5"/>
  <c r="AB192" i="5"/>
  <c r="AA192" i="5"/>
  <c r="Z192" i="5"/>
  <c r="Y192" i="5"/>
  <c r="X192" i="5"/>
  <c r="W192" i="5"/>
  <c r="H183" i="5"/>
  <c r="V182" i="5"/>
  <c r="V183" i="5" s="1"/>
  <c r="V184" i="5" s="1"/>
  <c r="I182" i="5"/>
  <c r="H182" i="5"/>
  <c r="DJ181" i="5"/>
  <c r="DI181" i="5"/>
  <c r="DH181" i="5"/>
  <c r="DG181" i="5"/>
  <c r="AG181" i="5"/>
  <c r="AF181" i="5"/>
  <c r="AE181" i="5"/>
  <c r="AD181" i="5"/>
  <c r="AC181" i="5"/>
  <c r="AB181" i="5"/>
  <c r="AA181" i="5"/>
  <c r="Z181" i="5"/>
  <c r="Y181" i="5"/>
  <c r="X181" i="5"/>
  <c r="W181" i="5"/>
  <c r="V179" i="5"/>
  <c r="AG143" i="5"/>
  <c r="AF143" i="5"/>
  <c r="AE143" i="5"/>
  <c r="AD143" i="5"/>
  <c r="AC143" i="5"/>
  <c r="AB143" i="5"/>
  <c r="AA143" i="5"/>
  <c r="Z143" i="5"/>
  <c r="Y143" i="5"/>
  <c r="X143" i="5"/>
  <c r="W143" i="5"/>
  <c r="H134" i="5"/>
  <c r="E134" i="5"/>
  <c r="V133" i="5"/>
  <c r="V134" i="5" s="1"/>
  <c r="V135" i="5" s="1"/>
  <c r="H133" i="5"/>
  <c r="DJ132" i="5"/>
  <c r="DI132" i="5"/>
  <c r="DH132" i="5"/>
  <c r="DG132" i="5"/>
  <c r="AG132" i="5"/>
  <c r="AF132" i="5"/>
  <c r="AE132" i="5"/>
  <c r="AD132" i="5"/>
  <c r="AC132" i="5"/>
  <c r="AB132" i="5"/>
  <c r="AA132" i="5"/>
  <c r="Z132" i="5"/>
  <c r="Y132" i="5"/>
  <c r="X132" i="5"/>
  <c r="W132" i="5"/>
  <c r="V130" i="5"/>
  <c r="AG94" i="5"/>
  <c r="AF94" i="5"/>
  <c r="AE94" i="5"/>
  <c r="AD94" i="5"/>
  <c r="AC94" i="5"/>
  <c r="AB94" i="5"/>
  <c r="AA94" i="5"/>
  <c r="Z94" i="5"/>
  <c r="Y94" i="5"/>
  <c r="X94" i="5"/>
  <c r="W94" i="5"/>
  <c r="H85" i="5"/>
  <c r="V84" i="5"/>
  <c r="V85" i="5" s="1"/>
  <c r="V86" i="5" s="1"/>
  <c r="H84" i="5"/>
  <c r="DJ83" i="5"/>
  <c r="DI83" i="5"/>
  <c r="DH83" i="5"/>
  <c r="DG83" i="5"/>
  <c r="AG83" i="5"/>
  <c r="AF83" i="5"/>
  <c r="AE83" i="5"/>
  <c r="AD83" i="5"/>
  <c r="AC83" i="5"/>
  <c r="AB83" i="5"/>
  <c r="AA83" i="5"/>
  <c r="Z83" i="5"/>
  <c r="Y83" i="5"/>
  <c r="X83" i="5"/>
  <c r="W83" i="5"/>
  <c r="V81" i="5"/>
  <c r="AG53" i="5"/>
  <c r="AF53" i="5"/>
  <c r="AE53" i="5"/>
  <c r="AD53" i="5"/>
  <c r="AC53" i="5"/>
  <c r="AB53" i="5"/>
  <c r="AA53" i="5"/>
  <c r="Z53" i="5"/>
  <c r="Y53" i="5"/>
  <c r="X53" i="5"/>
  <c r="W53" i="5"/>
  <c r="DJ41" i="5"/>
  <c r="DI41" i="5"/>
  <c r="DH41" i="5"/>
  <c r="DG41" i="5"/>
  <c r="AG41" i="5"/>
  <c r="AF41" i="5"/>
  <c r="AE41" i="5"/>
  <c r="AD41" i="5"/>
  <c r="AC41" i="5"/>
  <c r="AB41" i="5"/>
  <c r="AA41" i="5"/>
  <c r="Z41" i="5"/>
  <c r="Y41" i="5"/>
  <c r="X41" i="5"/>
  <c r="W41" i="5"/>
  <c r="V39" i="5"/>
  <c r="V37" i="5"/>
  <c r="V35" i="5"/>
  <c r="V34" i="5"/>
  <c r="V32" i="5"/>
  <c r="W31" i="5"/>
  <c r="V30" i="5"/>
  <c r="V24" i="5"/>
  <c r="V22" i="5"/>
  <c r="V21" i="5"/>
  <c r="W20" i="5"/>
  <c r="V19" i="5"/>
  <c r="AG18" i="5"/>
  <c r="AF18" i="5"/>
  <c r="AE18" i="5"/>
  <c r="AD18" i="5"/>
  <c r="AC18" i="5"/>
  <c r="AB18" i="5"/>
  <c r="AA18" i="5"/>
  <c r="Z18" i="5"/>
  <c r="Y18" i="5"/>
  <c r="X18" i="5"/>
  <c r="W18" i="5"/>
  <c r="M10" i="5"/>
  <c r="DJ10" i="5" s="1"/>
  <c r="J10" i="5"/>
  <c r="H10" i="5"/>
  <c r="G45" i="15"/>
  <c r="M9" i="5"/>
  <c r="DJ9" i="5" s="1"/>
  <c r="J9" i="5"/>
  <c r="H9" i="5"/>
  <c r="L7" i="5"/>
  <c r="X42" i="15" s="1"/>
  <c r="Z42" i="15" s="1"/>
  <c r="W42" i="15" s="1"/>
  <c r="V42" i="15" s="1"/>
  <c r="H7" i="5"/>
  <c r="V4" i="5"/>
  <c r="DH924" i="2"/>
  <c r="DJ923" i="2"/>
  <c r="DI923" i="2"/>
  <c r="DH923" i="2"/>
  <c r="DG923" i="2"/>
  <c r="BE923" i="2"/>
  <c r="BD923" i="2"/>
  <c r="BC923" i="2"/>
  <c r="BB923" i="2"/>
  <c r="AZ923" i="2"/>
  <c r="AY923" i="2"/>
  <c r="AX923" i="2"/>
  <c r="AW923" i="2"/>
  <c r="AS923" i="2"/>
  <c r="AR923" i="2"/>
  <c r="AQ923" i="2"/>
  <c r="AP923" i="2"/>
  <c r="AO923" i="2"/>
  <c r="AL923" i="2"/>
  <c r="AK923" i="2"/>
  <c r="AG923" i="2"/>
  <c r="AF923" i="2"/>
  <c r="AE923" i="2"/>
  <c r="AD923" i="2"/>
  <c r="AC923" i="2"/>
  <c r="AA923" i="2"/>
  <c r="Z923" i="2"/>
  <c r="Y923" i="2"/>
  <c r="X923" i="2"/>
  <c r="W923" i="2"/>
  <c r="V921" i="2"/>
  <c r="E898" i="2"/>
  <c r="D898" i="2"/>
  <c r="DJ886" i="2"/>
  <c r="DI886" i="2"/>
  <c r="DH886" i="2"/>
  <c r="DG886" i="2"/>
  <c r="BE886" i="2"/>
  <c r="BC886" i="2"/>
  <c r="BB886" i="2"/>
  <c r="AZ886" i="2"/>
  <c r="AY886" i="2"/>
  <c r="AX886" i="2"/>
  <c r="AW886" i="2"/>
  <c r="AS886" i="2"/>
  <c r="AQ886" i="2"/>
  <c r="AP886" i="2"/>
  <c r="AO886" i="2"/>
  <c r="AN886" i="2"/>
  <c r="AM886" i="2"/>
  <c r="AL886" i="2"/>
  <c r="AK886" i="2"/>
  <c r="AG886" i="2"/>
  <c r="AF886" i="2"/>
  <c r="AD886" i="2"/>
  <c r="AC886" i="2"/>
  <c r="AA886" i="2"/>
  <c r="Z886" i="2"/>
  <c r="Y886" i="2"/>
  <c r="X886" i="2"/>
  <c r="W886" i="2"/>
  <c r="V884" i="2"/>
  <c r="G881" i="2"/>
  <c r="F881" i="2"/>
  <c r="E881" i="2"/>
  <c r="D881" i="2"/>
  <c r="G880" i="2"/>
  <c r="F880" i="2"/>
  <c r="E880" i="2"/>
  <c r="D880" i="2"/>
  <c r="DJ868" i="2"/>
  <c r="DI868" i="2"/>
  <c r="DH868" i="2"/>
  <c r="DG868" i="2"/>
  <c r="BE868" i="2"/>
  <c r="BD868" i="2"/>
  <c r="BC868" i="2"/>
  <c r="BB868" i="2"/>
  <c r="AZ868" i="2"/>
  <c r="AY868" i="2"/>
  <c r="AX868" i="2"/>
  <c r="AW868" i="2"/>
  <c r="AS868" i="2"/>
  <c r="AR868" i="2"/>
  <c r="AQ868" i="2"/>
  <c r="AP868" i="2"/>
  <c r="AO868" i="2"/>
  <c r="AN868" i="2"/>
  <c r="AM868" i="2"/>
  <c r="AL868" i="2"/>
  <c r="AK868" i="2"/>
  <c r="AG868" i="2"/>
  <c r="AF868" i="2"/>
  <c r="AE868" i="2"/>
  <c r="AD868" i="2"/>
  <c r="AC868" i="2"/>
  <c r="AA868" i="2"/>
  <c r="Z868" i="2"/>
  <c r="Y868" i="2"/>
  <c r="X868" i="2"/>
  <c r="W868" i="2"/>
  <c r="V866" i="2"/>
  <c r="E863" i="2"/>
  <c r="D863" i="2"/>
  <c r="E862" i="2"/>
  <c r="D862" i="2"/>
  <c r="V848" i="2"/>
  <c r="E845" i="2"/>
  <c r="D845" i="2"/>
  <c r="DJ834" i="2"/>
  <c r="DI834" i="2"/>
  <c r="DH834" i="2"/>
  <c r="DG834" i="2"/>
  <c r="BE834" i="2"/>
  <c r="BD834" i="2"/>
  <c r="BC834" i="2"/>
  <c r="BB834" i="2"/>
  <c r="AZ834" i="2"/>
  <c r="AY834" i="2"/>
  <c r="AX834" i="2"/>
  <c r="AW834" i="2"/>
  <c r="AS834" i="2"/>
  <c r="AR834" i="2"/>
  <c r="AQ834" i="2"/>
  <c r="AP834" i="2"/>
  <c r="AO834" i="2"/>
  <c r="AN834" i="2"/>
  <c r="AM834" i="2"/>
  <c r="AL834" i="2"/>
  <c r="AK834" i="2"/>
  <c r="AG834" i="2"/>
  <c r="AF834" i="2"/>
  <c r="AE834" i="2"/>
  <c r="AD834" i="2"/>
  <c r="AC834" i="2"/>
  <c r="AA834" i="2"/>
  <c r="Z834" i="2"/>
  <c r="Y834" i="2"/>
  <c r="X834" i="2"/>
  <c r="W834" i="2"/>
  <c r="V832" i="2"/>
  <c r="E829" i="2"/>
  <c r="D829" i="2"/>
  <c r="E828" i="2"/>
  <c r="D828" i="2"/>
  <c r="E827" i="2"/>
  <c r="D827" i="2"/>
  <c r="DJ814" i="2"/>
  <c r="DI814" i="2"/>
  <c r="DH814" i="2"/>
  <c r="DG814" i="2"/>
  <c r="BE814" i="2"/>
  <c r="BD814" i="2"/>
  <c r="BC814" i="2"/>
  <c r="BB814" i="2"/>
  <c r="AZ814" i="2"/>
  <c r="AY814" i="2"/>
  <c r="AX814" i="2"/>
  <c r="AW814" i="2"/>
  <c r="AS814" i="2"/>
  <c r="AR814" i="2"/>
  <c r="AQ814" i="2"/>
  <c r="AP814" i="2"/>
  <c r="AO814" i="2"/>
  <c r="AN814" i="2"/>
  <c r="AM814" i="2"/>
  <c r="AL814" i="2"/>
  <c r="AK814" i="2"/>
  <c r="AG814" i="2"/>
  <c r="AF814" i="2"/>
  <c r="AE814" i="2"/>
  <c r="AD814" i="2"/>
  <c r="AC814" i="2"/>
  <c r="AA814" i="2"/>
  <c r="Z814" i="2"/>
  <c r="Y814" i="2"/>
  <c r="X814" i="2"/>
  <c r="W814" i="2"/>
  <c r="V812" i="2"/>
  <c r="E809" i="2"/>
  <c r="D809" i="2"/>
  <c r="DH799" i="2"/>
  <c r="H799" i="2"/>
  <c r="DJ798" i="2"/>
  <c r="DI798" i="2"/>
  <c r="DH798" i="2"/>
  <c r="DG798" i="2"/>
  <c r="BE798" i="2"/>
  <c r="BD798" i="2"/>
  <c r="BC798" i="2"/>
  <c r="BB798" i="2"/>
  <c r="AZ798" i="2"/>
  <c r="AY798" i="2"/>
  <c r="AX798" i="2"/>
  <c r="AW798" i="2"/>
  <c r="AS798" i="2"/>
  <c r="AR798" i="2"/>
  <c r="AQ798" i="2"/>
  <c r="AP798" i="2"/>
  <c r="AO798" i="2"/>
  <c r="AN798" i="2"/>
  <c r="AM798" i="2"/>
  <c r="AL798" i="2"/>
  <c r="AK798" i="2"/>
  <c r="AG798" i="2"/>
  <c r="AF798" i="2"/>
  <c r="AE798" i="2"/>
  <c r="AD798" i="2"/>
  <c r="AC798" i="2"/>
  <c r="AA798" i="2"/>
  <c r="Z798" i="2"/>
  <c r="Y798" i="2"/>
  <c r="X798" i="2"/>
  <c r="W798" i="2"/>
  <c r="V796" i="2"/>
  <c r="E793" i="2"/>
  <c r="D793" i="2"/>
  <c r="DH783" i="2"/>
  <c r="H783" i="2"/>
  <c r="F783" i="2"/>
  <c r="I719" i="15" s="1"/>
  <c r="DJ782" i="2"/>
  <c r="DI782" i="2"/>
  <c r="DH782" i="2"/>
  <c r="DG782" i="2"/>
  <c r="BE782" i="2"/>
  <c r="BD782" i="2"/>
  <c r="BC782" i="2"/>
  <c r="BB782" i="2"/>
  <c r="AZ782" i="2"/>
  <c r="AY782" i="2"/>
  <c r="AX782" i="2"/>
  <c r="AW782" i="2"/>
  <c r="AS782" i="2"/>
  <c r="AR782" i="2"/>
  <c r="AQ782" i="2"/>
  <c r="AP782" i="2"/>
  <c r="AO782" i="2"/>
  <c r="AN782" i="2"/>
  <c r="AM782" i="2"/>
  <c r="AL782" i="2"/>
  <c r="AK782" i="2"/>
  <c r="AG782" i="2"/>
  <c r="AF782" i="2"/>
  <c r="AE782" i="2"/>
  <c r="AD782" i="2"/>
  <c r="AC782" i="2"/>
  <c r="AA782" i="2"/>
  <c r="Z782" i="2"/>
  <c r="Y782" i="2"/>
  <c r="X782" i="2"/>
  <c r="W782" i="2"/>
  <c r="V780" i="2"/>
  <c r="J777" i="2"/>
  <c r="F767" i="2" s="1"/>
  <c r="E777" i="2"/>
  <c r="D777" i="2"/>
  <c r="DH767" i="2"/>
  <c r="H767" i="2"/>
  <c r="DJ766" i="2"/>
  <c r="DI766" i="2"/>
  <c r="DH766" i="2"/>
  <c r="DG766" i="2"/>
  <c r="BE766" i="2"/>
  <c r="BD766" i="2"/>
  <c r="BC766" i="2"/>
  <c r="BB766" i="2"/>
  <c r="AZ766" i="2"/>
  <c r="AY766" i="2"/>
  <c r="AX766" i="2"/>
  <c r="AW766" i="2"/>
  <c r="AS766" i="2"/>
  <c r="AR766" i="2"/>
  <c r="AQ766" i="2"/>
  <c r="AP766" i="2"/>
  <c r="AO766" i="2"/>
  <c r="AN766" i="2"/>
  <c r="AM766" i="2"/>
  <c r="AL766" i="2"/>
  <c r="AK766" i="2"/>
  <c r="AG766" i="2"/>
  <c r="AF766" i="2"/>
  <c r="AE766" i="2"/>
  <c r="AD766" i="2"/>
  <c r="AC766" i="2"/>
  <c r="AA766" i="2"/>
  <c r="Z766" i="2"/>
  <c r="Y766" i="2"/>
  <c r="X766" i="2"/>
  <c r="W766" i="2"/>
  <c r="V764" i="2"/>
  <c r="K761" i="2"/>
  <c r="F761" i="2"/>
  <c r="E761" i="2"/>
  <c r="D761" i="2"/>
  <c r="DH751" i="2"/>
  <c r="H751" i="2"/>
  <c r="DJ750" i="2"/>
  <c r="DI750" i="2"/>
  <c r="DH750" i="2"/>
  <c r="DG750" i="2"/>
  <c r="BE750" i="2"/>
  <c r="BD750" i="2"/>
  <c r="BC750" i="2"/>
  <c r="BB750" i="2"/>
  <c r="AZ750" i="2"/>
  <c r="AY750" i="2"/>
  <c r="AX750" i="2"/>
  <c r="AW750" i="2"/>
  <c r="AS750" i="2"/>
  <c r="AR750" i="2"/>
  <c r="AQ750" i="2"/>
  <c r="AP750" i="2"/>
  <c r="AO750" i="2"/>
  <c r="AN750" i="2"/>
  <c r="AM750" i="2"/>
  <c r="AL750" i="2"/>
  <c r="AK750" i="2"/>
  <c r="AG750" i="2"/>
  <c r="AF750" i="2"/>
  <c r="AE750" i="2"/>
  <c r="AD750" i="2"/>
  <c r="AC750" i="2"/>
  <c r="AA750" i="2"/>
  <c r="Z750" i="2"/>
  <c r="Y750" i="2"/>
  <c r="X750" i="2"/>
  <c r="W750" i="2"/>
  <c r="V748" i="2"/>
  <c r="DJ732" i="2"/>
  <c r="DI732" i="2"/>
  <c r="DH732" i="2"/>
  <c r="DG732" i="2"/>
  <c r="BE732" i="2"/>
  <c r="BC732" i="2"/>
  <c r="BB732" i="2"/>
  <c r="AZ732" i="2"/>
  <c r="AY732" i="2"/>
  <c r="AX732" i="2"/>
  <c r="AW732" i="2"/>
  <c r="AS732" i="2"/>
  <c r="AR732" i="2"/>
  <c r="AQ732" i="2"/>
  <c r="AP732" i="2"/>
  <c r="AO732" i="2"/>
  <c r="AN732" i="2"/>
  <c r="AM732" i="2"/>
  <c r="AL732" i="2"/>
  <c r="AK732" i="2"/>
  <c r="AG732" i="2"/>
  <c r="AF732" i="2"/>
  <c r="AE732" i="2"/>
  <c r="AD732" i="2"/>
  <c r="AC732" i="2"/>
  <c r="AA732" i="2"/>
  <c r="Z732" i="2"/>
  <c r="Y732" i="2"/>
  <c r="X732" i="2"/>
  <c r="W732" i="2"/>
  <c r="V730" i="2"/>
  <c r="E727" i="2"/>
  <c r="D727" i="2"/>
  <c r="DH717" i="2"/>
  <c r="H717" i="2"/>
  <c r="I714" i="15"/>
  <c r="DJ716" i="2"/>
  <c r="DI716" i="2"/>
  <c r="DH716" i="2"/>
  <c r="DG716" i="2"/>
  <c r="BE716" i="2"/>
  <c r="BC716" i="2"/>
  <c r="BB716" i="2"/>
  <c r="AZ716" i="2"/>
  <c r="AY716" i="2"/>
  <c r="AX716" i="2"/>
  <c r="AW716" i="2"/>
  <c r="AS716" i="2"/>
  <c r="AR716" i="2"/>
  <c r="AQ716" i="2"/>
  <c r="AP716" i="2"/>
  <c r="AO716" i="2"/>
  <c r="AN716" i="2"/>
  <c r="AM716" i="2"/>
  <c r="AL716" i="2"/>
  <c r="AK716" i="2"/>
  <c r="AG716" i="2"/>
  <c r="AF716" i="2"/>
  <c r="AE716" i="2"/>
  <c r="AD716" i="2"/>
  <c r="AC716" i="2"/>
  <c r="AA716" i="2"/>
  <c r="Z716" i="2"/>
  <c r="Y716" i="2"/>
  <c r="X716" i="2"/>
  <c r="W716" i="2"/>
  <c r="V714" i="2"/>
  <c r="D711" i="2"/>
  <c r="D709" i="2"/>
  <c r="DH699" i="2"/>
  <c r="H699" i="2"/>
  <c r="DH697" i="2"/>
  <c r="H697" i="2"/>
  <c r="I711" i="15"/>
  <c r="DJ696" i="2"/>
  <c r="DI696" i="2"/>
  <c r="DH696" i="2"/>
  <c r="DG696" i="2"/>
  <c r="BE696" i="2"/>
  <c r="BD696" i="2"/>
  <c r="BC696" i="2"/>
  <c r="BB696" i="2"/>
  <c r="AZ696" i="2"/>
  <c r="AY696" i="2"/>
  <c r="AX696" i="2"/>
  <c r="AW696" i="2"/>
  <c r="AS696" i="2"/>
  <c r="AR696" i="2"/>
  <c r="AQ696" i="2"/>
  <c r="AP696" i="2"/>
  <c r="AO696" i="2"/>
  <c r="AN696" i="2"/>
  <c r="AM696" i="2"/>
  <c r="AL696" i="2"/>
  <c r="AK696" i="2"/>
  <c r="AG696" i="2"/>
  <c r="AF696" i="2"/>
  <c r="AE696" i="2"/>
  <c r="AD696" i="2"/>
  <c r="AC696" i="2"/>
  <c r="AA696" i="2"/>
  <c r="Z696" i="2"/>
  <c r="Y696" i="2"/>
  <c r="X696" i="2"/>
  <c r="W696" i="2"/>
  <c r="V694" i="2"/>
  <c r="E691" i="2"/>
  <c r="D691" i="2"/>
  <c r="E690" i="2"/>
  <c r="D690" i="2"/>
  <c r="DH680" i="2"/>
  <c r="H680" i="2"/>
  <c r="DH679" i="2"/>
  <c r="H679" i="2"/>
  <c r="DJ678" i="2"/>
  <c r="DI678" i="2"/>
  <c r="DH678" i="2"/>
  <c r="DG678" i="2"/>
  <c r="BE678" i="2"/>
  <c r="BC678" i="2"/>
  <c r="BB678" i="2"/>
  <c r="AZ678" i="2"/>
  <c r="AY678" i="2"/>
  <c r="AX678" i="2"/>
  <c r="AW678" i="2"/>
  <c r="AS678" i="2"/>
  <c r="AQ678" i="2"/>
  <c r="AP678" i="2"/>
  <c r="AO678" i="2"/>
  <c r="AN678" i="2"/>
  <c r="AM678" i="2"/>
  <c r="AL678" i="2"/>
  <c r="AK678" i="2"/>
  <c r="AG678" i="2"/>
  <c r="AF678" i="2"/>
  <c r="AE678" i="2"/>
  <c r="AD678" i="2"/>
  <c r="AC678" i="2"/>
  <c r="AA678" i="2"/>
  <c r="Z678" i="2"/>
  <c r="Y678" i="2"/>
  <c r="X678" i="2"/>
  <c r="W678" i="2"/>
  <c r="V676" i="2"/>
  <c r="E674" i="2"/>
  <c r="D674" i="2"/>
  <c r="E673" i="2"/>
  <c r="D673" i="2"/>
  <c r="N670" i="2"/>
  <c r="F657" i="2" s="1"/>
  <c r="AF657" i="2" s="1"/>
  <c r="E670" i="2"/>
  <c r="D670" i="2"/>
  <c r="N669" i="2"/>
  <c r="F656" i="2" s="1"/>
  <c r="D669" i="2"/>
  <c r="DH657" i="2"/>
  <c r="H657" i="2"/>
  <c r="DH656" i="2"/>
  <c r="H656" i="2"/>
  <c r="DJ655" i="2"/>
  <c r="DI655" i="2"/>
  <c r="DH655" i="2"/>
  <c r="DG655" i="2"/>
  <c r="BE655" i="2"/>
  <c r="BD655" i="2"/>
  <c r="BC655" i="2"/>
  <c r="BB655" i="2"/>
  <c r="AZ655" i="2"/>
  <c r="AY655" i="2"/>
  <c r="AX655" i="2"/>
  <c r="AW655" i="2"/>
  <c r="AS655" i="2"/>
  <c r="AR655" i="2"/>
  <c r="AQ655" i="2"/>
  <c r="AP655" i="2"/>
  <c r="AO655" i="2"/>
  <c r="AN655" i="2"/>
  <c r="AM655" i="2"/>
  <c r="AL655" i="2"/>
  <c r="AK655" i="2"/>
  <c r="AG655" i="2"/>
  <c r="AF655" i="2"/>
  <c r="AE655" i="2"/>
  <c r="AD655" i="2"/>
  <c r="AC655" i="2"/>
  <c r="AA655" i="2"/>
  <c r="Z655" i="2"/>
  <c r="Y655" i="2"/>
  <c r="X655" i="2"/>
  <c r="W655" i="2"/>
  <c r="V653" i="2"/>
  <c r="E621" i="2"/>
  <c r="D621" i="2"/>
  <c r="DH609" i="2"/>
  <c r="H609" i="2"/>
  <c r="F609" i="2"/>
  <c r="DJ608" i="2"/>
  <c r="DI608" i="2"/>
  <c r="DH608" i="2"/>
  <c r="DG608" i="2"/>
  <c r="E605" i="2"/>
  <c r="D605" i="2"/>
  <c r="E604" i="2"/>
  <c r="D604" i="2"/>
  <c r="E603" i="2"/>
  <c r="D603" i="2"/>
  <c r="E602" i="2"/>
  <c r="D602" i="2"/>
  <c r="E601" i="2"/>
  <c r="D601" i="2"/>
  <c r="E600" i="2"/>
  <c r="D600" i="2"/>
  <c r="E599" i="2"/>
  <c r="D599" i="2"/>
  <c r="DH589" i="2"/>
  <c r="H589" i="2"/>
  <c r="F589" i="2"/>
  <c r="DH588" i="2"/>
  <c r="H588" i="2"/>
  <c r="F588" i="2"/>
  <c r="DH587" i="2"/>
  <c r="H587" i="2"/>
  <c r="F587" i="2"/>
  <c r="DH586" i="2"/>
  <c r="H586" i="2"/>
  <c r="F586" i="2"/>
  <c r="DH585" i="2"/>
  <c r="H585" i="2"/>
  <c r="F585" i="2"/>
  <c r="DH584" i="2"/>
  <c r="H584" i="2"/>
  <c r="F584" i="2"/>
  <c r="DH583" i="2"/>
  <c r="H583" i="2"/>
  <c r="I690" i="15"/>
  <c r="DJ582" i="2"/>
  <c r="DI582" i="2"/>
  <c r="DH582" i="2"/>
  <c r="DG582" i="2"/>
  <c r="E579" i="2"/>
  <c r="D579" i="2"/>
  <c r="E578" i="2"/>
  <c r="D578" i="2"/>
  <c r="E577" i="2"/>
  <c r="D577" i="2"/>
  <c r="E576" i="2"/>
  <c r="D576" i="2"/>
  <c r="E575" i="2"/>
  <c r="D575" i="2"/>
  <c r="E574" i="2"/>
  <c r="D574" i="2"/>
  <c r="E573" i="2"/>
  <c r="D573" i="2"/>
  <c r="DH563" i="2"/>
  <c r="H563" i="2"/>
  <c r="F563" i="2"/>
  <c r="DH562" i="2"/>
  <c r="H562" i="2"/>
  <c r="F562" i="2"/>
  <c r="DH561" i="2"/>
  <c r="H561" i="2"/>
  <c r="F561" i="2"/>
  <c r="DH560" i="2"/>
  <c r="H560" i="2"/>
  <c r="F560" i="2"/>
  <c r="DH559" i="2"/>
  <c r="H559" i="2"/>
  <c r="F559" i="2"/>
  <c r="DH558" i="2"/>
  <c r="H558" i="2"/>
  <c r="F558" i="2"/>
  <c r="DH557" i="2"/>
  <c r="H557" i="2"/>
  <c r="F557" i="2"/>
  <c r="DJ556" i="2"/>
  <c r="DI556" i="2"/>
  <c r="DH556" i="2"/>
  <c r="DG556" i="2"/>
  <c r="E551" i="2"/>
  <c r="D551" i="2"/>
  <c r="E550" i="2"/>
  <c r="D550" i="2"/>
  <c r="E549" i="2"/>
  <c r="D549" i="2"/>
  <c r="DH539" i="2"/>
  <c r="H539" i="2"/>
  <c r="F539" i="2"/>
  <c r="I682" i="15" s="1"/>
  <c r="DH538" i="2"/>
  <c r="H538" i="2"/>
  <c r="I681" i="15"/>
  <c r="DH537" i="2"/>
  <c r="H537" i="2"/>
  <c r="I680" i="15"/>
  <c r="DJ536" i="2"/>
  <c r="DI536" i="2"/>
  <c r="DH536" i="2"/>
  <c r="DG536" i="2"/>
  <c r="E533" i="2"/>
  <c r="D533" i="2"/>
  <c r="E532" i="2"/>
  <c r="D532" i="2"/>
  <c r="E531" i="2"/>
  <c r="D531" i="2"/>
  <c r="E530" i="2"/>
  <c r="D530" i="2"/>
  <c r="DH520" i="2"/>
  <c r="H520" i="2"/>
  <c r="F520" i="2"/>
  <c r="DH519" i="2"/>
  <c r="H519" i="2"/>
  <c r="F519" i="2"/>
  <c r="DH518" i="2"/>
  <c r="H518" i="2"/>
  <c r="F518" i="2"/>
  <c r="DH517" i="2"/>
  <c r="H517" i="2"/>
  <c r="F517" i="2"/>
  <c r="DJ516" i="2"/>
  <c r="DI516" i="2"/>
  <c r="DH516" i="2"/>
  <c r="DG516" i="2"/>
  <c r="F455" i="2"/>
  <c r="AF455" i="2" s="1"/>
  <c r="E466" i="2"/>
  <c r="D466" i="2"/>
  <c r="DH455" i="2"/>
  <c r="H455" i="2"/>
  <c r="DJ454" i="2"/>
  <c r="DI454" i="2"/>
  <c r="DH454" i="2"/>
  <c r="DG454" i="2"/>
  <c r="E444" i="2"/>
  <c r="D444" i="2"/>
  <c r="DH433" i="2"/>
  <c r="DH432" i="2"/>
  <c r="D422" i="2"/>
  <c r="E421" i="2"/>
  <c r="D421" i="2"/>
  <c r="E420" i="2"/>
  <c r="D420" i="2"/>
  <c r="E419" i="2"/>
  <c r="D419" i="2"/>
  <c r="E418" i="2"/>
  <c r="D418" i="2"/>
  <c r="DH408" i="2"/>
  <c r="H408" i="2"/>
  <c r="DH407" i="2"/>
  <c r="H407" i="2"/>
  <c r="DH406" i="2"/>
  <c r="H406" i="2"/>
  <c r="DH405" i="2"/>
  <c r="H405" i="2"/>
  <c r="DH404" i="2"/>
  <c r="H404" i="2"/>
  <c r="DI403" i="2"/>
  <c r="DH403" i="2"/>
  <c r="DG403" i="2"/>
  <c r="E400" i="2"/>
  <c r="D400" i="2"/>
  <c r="H374" i="2"/>
  <c r="F374" i="2"/>
  <c r="E368" i="2"/>
  <c r="D368" i="2"/>
  <c r="E367" i="2"/>
  <c r="D367" i="2"/>
  <c r="DH355" i="2"/>
  <c r="H355" i="2"/>
  <c r="F355" i="2"/>
  <c r="AF355" i="2" s="1"/>
  <c r="DH354" i="2"/>
  <c r="H354" i="2"/>
  <c r="F354" i="2"/>
  <c r="AF354" i="2" s="1"/>
  <c r="DI353" i="2"/>
  <c r="DH353" i="2"/>
  <c r="DG353" i="2"/>
  <c r="E350" i="2"/>
  <c r="D350" i="2"/>
  <c r="DH339" i="2"/>
  <c r="DI338" i="2"/>
  <c r="DH338" i="2"/>
  <c r="DG338" i="2"/>
  <c r="I333" i="2"/>
  <c r="E333" i="2"/>
  <c r="D333" i="2"/>
  <c r="E332" i="2"/>
  <c r="D332" i="2"/>
  <c r="I331" i="2"/>
  <c r="E331" i="2"/>
  <c r="D331" i="2"/>
  <c r="DH321" i="2"/>
  <c r="H321" i="2"/>
  <c r="DH320" i="2"/>
  <c r="H320" i="2"/>
  <c r="DH319" i="2"/>
  <c r="H319" i="2"/>
  <c r="DI318" i="2"/>
  <c r="DH318" i="2"/>
  <c r="DG318" i="2"/>
  <c r="G312" i="2"/>
  <c r="E312" i="2"/>
  <c r="D312" i="2"/>
  <c r="G311" i="2"/>
  <c r="E311" i="2"/>
  <c r="D311" i="2"/>
  <c r="G310" i="2"/>
  <c r="F310" i="2"/>
  <c r="E310" i="2"/>
  <c r="D310" i="2"/>
  <c r="G309" i="2"/>
  <c r="F309" i="2"/>
  <c r="E309" i="2"/>
  <c r="D309" i="2"/>
  <c r="DH297" i="2"/>
  <c r="H297" i="2"/>
  <c r="DH296" i="2"/>
  <c r="H296" i="2"/>
  <c r="DH295" i="2"/>
  <c r="H295" i="2"/>
  <c r="DH294" i="2"/>
  <c r="H294" i="2"/>
  <c r="DI293" i="2"/>
  <c r="DH293" i="2"/>
  <c r="DG293" i="2"/>
  <c r="E288" i="2"/>
  <c r="D288" i="2"/>
  <c r="DH278" i="2"/>
  <c r="H278" i="2"/>
  <c r="I637" i="15"/>
  <c r="DI277" i="2"/>
  <c r="DH277" i="2"/>
  <c r="DG277" i="2"/>
  <c r="BE277" i="2"/>
  <c r="BD277" i="2"/>
  <c r="BC277" i="2"/>
  <c r="BB277" i="2"/>
  <c r="AZ277" i="2"/>
  <c r="AY277" i="2"/>
  <c r="AX277" i="2"/>
  <c r="AW277" i="2"/>
  <c r="AS277" i="2"/>
  <c r="AR277" i="2"/>
  <c r="AQ277" i="2"/>
  <c r="AP277" i="2"/>
  <c r="AO277" i="2"/>
  <c r="AN277" i="2"/>
  <c r="AM277" i="2"/>
  <c r="AL277" i="2"/>
  <c r="AK277" i="2"/>
  <c r="AG277" i="2"/>
  <c r="AF277" i="2"/>
  <c r="AE277" i="2"/>
  <c r="AD277" i="2"/>
  <c r="AC277" i="2"/>
  <c r="AA277" i="2"/>
  <c r="Z277" i="2"/>
  <c r="Y277" i="2"/>
  <c r="X277" i="2"/>
  <c r="W277" i="2"/>
  <c r="E274" i="2"/>
  <c r="D274" i="2"/>
  <c r="DH264" i="2"/>
  <c r="K264" i="2"/>
  <c r="DJ264" i="2" s="1"/>
  <c r="H264" i="2"/>
  <c r="F264" i="2"/>
  <c r="DI263" i="2"/>
  <c r="DH263" i="2"/>
  <c r="DG263" i="2"/>
  <c r="BE263" i="2"/>
  <c r="BD263" i="2"/>
  <c r="BC263" i="2"/>
  <c r="BB263" i="2"/>
  <c r="AZ263" i="2"/>
  <c r="AY263" i="2"/>
  <c r="AX263" i="2"/>
  <c r="AW263" i="2"/>
  <c r="AS263" i="2"/>
  <c r="AR263" i="2"/>
  <c r="AQ263" i="2"/>
  <c r="AP263" i="2"/>
  <c r="AO263" i="2"/>
  <c r="AN263" i="2"/>
  <c r="AM263" i="2"/>
  <c r="AL263" i="2"/>
  <c r="AK263" i="2"/>
  <c r="AG263" i="2"/>
  <c r="AF263" i="2"/>
  <c r="AE263" i="2"/>
  <c r="AD263" i="2"/>
  <c r="AC263" i="2"/>
  <c r="AA263" i="2"/>
  <c r="Z263" i="2"/>
  <c r="Y263" i="2"/>
  <c r="X263" i="2"/>
  <c r="W263" i="2"/>
  <c r="V261" i="2"/>
  <c r="F258" i="2"/>
  <c r="F247" i="2" s="1"/>
  <c r="E258" i="2"/>
  <c r="D258" i="2"/>
  <c r="F257" i="2"/>
  <c r="F246" i="2" s="1"/>
  <c r="E257" i="2"/>
  <c r="D257" i="2"/>
  <c r="DH247" i="2"/>
  <c r="H247" i="2"/>
  <c r="DH246" i="2"/>
  <c r="AU246" i="2"/>
  <c r="AU247" i="2" s="1"/>
  <c r="H246" i="2"/>
  <c r="DI245" i="2"/>
  <c r="DH245" i="2"/>
  <c r="DG245" i="2"/>
  <c r="BE245" i="2"/>
  <c r="BD245" i="2"/>
  <c r="BC245" i="2"/>
  <c r="BB245" i="2"/>
  <c r="AZ245" i="2"/>
  <c r="AY245" i="2"/>
  <c r="AX245" i="2"/>
  <c r="AW245" i="2"/>
  <c r="AS245" i="2"/>
  <c r="AR245" i="2"/>
  <c r="AQ245" i="2"/>
  <c r="AP245" i="2"/>
  <c r="AO245" i="2"/>
  <c r="AN245" i="2"/>
  <c r="AM245" i="2"/>
  <c r="AL245" i="2"/>
  <c r="AK245" i="2"/>
  <c r="AG245" i="2"/>
  <c r="AF245" i="2"/>
  <c r="AE245" i="2"/>
  <c r="AD245" i="2"/>
  <c r="AC245" i="2"/>
  <c r="AA245" i="2"/>
  <c r="Z245" i="2"/>
  <c r="Y245" i="2"/>
  <c r="X245" i="2"/>
  <c r="W245" i="2"/>
  <c r="V243" i="2"/>
  <c r="H238" i="2"/>
  <c r="N238" i="2" s="1"/>
  <c r="E238" i="2"/>
  <c r="D238" i="2"/>
  <c r="H237" i="2"/>
  <c r="N237" i="2" s="1"/>
  <c r="E237" i="2"/>
  <c r="D237" i="2"/>
  <c r="H236" i="2"/>
  <c r="N236" i="2" s="1"/>
  <c r="E236" i="2"/>
  <c r="D236" i="2"/>
  <c r="H235" i="2"/>
  <c r="N235" i="2" s="1"/>
  <c r="E235" i="2"/>
  <c r="D235" i="2"/>
  <c r="H234" i="2"/>
  <c r="N234" i="2" s="1"/>
  <c r="E234" i="2"/>
  <c r="D234" i="2"/>
  <c r="DH222" i="2"/>
  <c r="H222" i="2"/>
  <c r="DH221" i="2"/>
  <c r="H221" i="2"/>
  <c r="DH220" i="2"/>
  <c r="H220" i="2"/>
  <c r="DH219" i="2"/>
  <c r="H219" i="2"/>
  <c r="DH218" i="2"/>
  <c r="H218" i="2"/>
  <c r="DI217" i="2"/>
  <c r="DH217" i="2"/>
  <c r="DG217" i="2"/>
  <c r="BE217" i="2"/>
  <c r="BD217" i="2"/>
  <c r="BC217" i="2"/>
  <c r="BB217" i="2"/>
  <c r="AZ217" i="2"/>
  <c r="AY217" i="2"/>
  <c r="AX217" i="2"/>
  <c r="AW217" i="2"/>
  <c r="AS217" i="2"/>
  <c r="AR217" i="2"/>
  <c r="AQ217" i="2"/>
  <c r="AP217" i="2"/>
  <c r="AO217" i="2"/>
  <c r="AN217" i="2"/>
  <c r="AM217" i="2"/>
  <c r="AL217" i="2"/>
  <c r="AK217" i="2"/>
  <c r="AG217" i="2"/>
  <c r="AF217" i="2"/>
  <c r="AE217" i="2"/>
  <c r="AD217" i="2"/>
  <c r="AC217" i="2"/>
  <c r="AA217" i="2"/>
  <c r="Z217" i="2"/>
  <c r="Y217" i="2"/>
  <c r="X217" i="2"/>
  <c r="W217" i="2"/>
  <c r="V215" i="2"/>
  <c r="E212" i="2"/>
  <c r="E211" i="2"/>
  <c r="DH200" i="2"/>
  <c r="H200" i="2"/>
  <c r="DH199" i="2"/>
  <c r="AU199" i="2"/>
  <c r="AU200" i="2" s="1"/>
  <c r="V199" i="2"/>
  <c r="V200" i="2" s="1"/>
  <c r="H199" i="2"/>
  <c r="F199" i="2"/>
  <c r="DI198" i="2"/>
  <c r="DH198" i="2"/>
  <c r="DG198" i="2"/>
  <c r="BE198" i="2"/>
  <c r="BD198" i="2"/>
  <c r="BC198" i="2"/>
  <c r="BB198" i="2"/>
  <c r="AZ198" i="2"/>
  <c r="AY198" i="2"/>
  <c r="AX198" i="2"/>
  <c r="AW198" i="2"/>
  <c r="AS198" i="2"/>
  <c r="AR198" i="2"/>
  <c r="AQ198" i="2"/>
  <c r="AP198" i="2"/>
  <c r="AO198" i="2"/>
  <c r="AN198" i="2"/>
  <c r="AM198" i="2"/>
  <c r="AL198" i="2"/>
  <c r="AK198" i="2"/>
  <c r="AG198" i="2"/>
  <c r="AF198" i="2"/>
  <c r="AE198" i="2"/>
  <c r="AD198" i="2"/>
  <c r="AC198" i="2"/>
  <c r="AA198" i="2"/>
  <c r="Z198" i="2"/>
  <c r="Y198" i="2"/>
  <c r="X198" i="2"/>
  <c r="W198" i="2"/>
  <c r="DH170" i="2"/>
  <c r="H170" i="2"/>
  <c r="I170" i="2" s="1"/>
  <c r="I623" i="15"/>
  <c r="DH168" i="2"/>
  <c r="H168" i="2"/>
  <c r="I168" i="2" s="1"/>
  <c r="I621" i="15"/>
  <c r="DH167" i="2"/>
  <c r="H167" i="2"/>
  <c r="I167" i="2" s="1"/>
  <c r="I620" i="15"/>
  <c r="DH166" i="2"/>
  <c r="H166" i="2"/>
  <c r="I619" i="15"/>
  <c r="DH165" i="2"/>
  <c r="H165" i="2"/>
  <c r="I618" i="15"/>
  <c r="DH164" i="2"/>
  <c r="H164" i="2"/>
  <c r="I617" i="15"/>
  <c r="DH163" i="2"/>
  <c r="H163" i="2"/>
  <c r="I616" i="15"/>
  <c r="DH162" i="2"/>
  <c r="H162" i="2"/>
  <c r="I615" i="15"/>
  <c r="DH161" i="2"/>
  <c r="H161" i="2"/>
  <c r="I614" i="15"/>
  <c r="J160" i="2"/>
  <c r="X613" i="15" s="1"/>
  <c r="Z613" i="15" s="1"/>
  <c r="W613" i="15" s="1"/>
  <c r="H160" i="2"/>
  <c r="I613" i="15"/>
  <c r="J159" i="2"/>
  <c r="X612" i="15" s="1"/>
  <c r="Z612" i="15" s="1"/>
  <c r="W612" i="15" s="1"/>
  <c r="H159" i="2"/>
  <c r="I612" i="15"/>
  <c r="J158" i="2"/>
  <c r="X611" i="15" s="1"/>
  <c r="Z611" i="15" s="1"/>
  <c r="W611" i="15" s="1"/>
  <c r="H158" i="2"/>
  <c r="I611" i="15"/>
  <c r="J157" i="2"/>
  <c r="X610" i="15" s="1"/>
  <c r="Z610" i="15" s="1"/>
  <c r="W610" i="15" s="1"/>
  <c r="H157" i="2"/>
  <c r="I610" i="15"/>
  <c r="J156" i="2"/>
  <c r="H156" i="2"/>
  <c r="I609" i="15"/>
  <c r="J155" i="2"/>
  <c r="H155" i="2"/>
  <c r="I608" i="15"/>
  <c r="J154" i="2"/>
  <c r="H154" i="2"/>
  <c r="I607" i="15"/>
  <c r="DH153" i="2"/>
  <c r="H153" i="2"/>
  <c r="I606" i="15"/>
  <c r="DI152" i="2"/>
  <c r="DH152" i="2"/>
  <c r="DG152" i="2"/>
  <c r="BE152" i="2"/>
  <c r="BD152" i="2"/>
  <c r="BC152" i="2"/>
  <c r="BB152" i="2"/>
  <c r="AZ152" i="2"/>
  <c r="AY152" i="2"/>
  <c r="AX152" i="2"/>
  <c r="AW152" i="2"/>
  <c r="AS152" i="2"/>
  <c r="AR152" i="2"/>
  <c r="AQ152" i="2"/>
  <c r="AP152" i="2"/>
  <c r="AO152" i="2"/>
  <c r="AN152" i="2"/>
  <c r="AM152" i="2"/>
  <c r="AL152" i="2"/>
  <c r="AK152" i="2"/>
  <c r="AG152" i="2"/>
  <c r="AF152" i="2"/>
  <c r="AE152" i="2"/>
  <c r="AD152" i="2"/>
  <c r="AC152" i="2"/>
  <c r="AA152" i="2"/>
  <c r="Z152" i="2"/>
  <c r="Y152" i="2"/>
  <c r="X152" i="2"/>
  <c r="W152" i="2"/>
  <c r="V150" i="2"/>
  <c r="BQ114" i="2"/>
  <c r="BP114" i="2"/>
  <c r="BO114" i="2"/>
  <c r="BN114" i="2"/>
  <c r="BL114" i="2"/>
  <c r="BK114" i="2"/>
  <c r="BJ114" i="2"/>
  <c r="BI114" i="2"/>
  <c r="BH114" i="2"/>
  <c r="BE114" i="2"/>
  <c r="BD114" i="2"/>
  <c r="BC114" i="2"/>
  <c r="BB114" i="2"/>
  <c r="AZ114" i="2"/>
  <c r="AY114" i="2"/>
  <c r="AX114" i="2"/>
  <c r="AW114" i="2"/>
  <c r="AV114" i="2"/>
  <c r="AS114" i="2"/>
  <c r="AR114" i="2"/>
  <c r="AQ114" i="2"/>
  <c r="AP114" i="2"/>
  <c r="AO114" i="2"/>
  <c r="AN114" i="2"/>
  <c r="AM114" i="2"/>
  <c r="AL114" i="2"/>
  <c r="AK114" i="2"/>
  <c r="AJ114" i="2"/>
  <c r="AG114" i="2"/>
  <c r="AF114" i="2"/>
  <c r="AE114" i="2"/>
  <c r="AD114" i="2"/>
  <c r="AC114" i="2"/>
  <c r="AA114" i="2"/>
  <c r="Z114" i="2"/>
  <c r="Y114" i="2"/>
  <c r="X114" i="2"/>
  <c r="W114" i="2"/>
  <c r="DI97" i="2"/>
  <c r="DH97" i="2"/>
  <c r="DG97" i="2"/>
  <c r="AG97" i="2"/>
  <c r="AF97" i="2"/>
  <c r="AS97" i="2" s="1"/>
  <c r="AE97" i="2"/>
  <c r="BD97" i="2" s="1"/>
  <c r="AD97" i="2"/>
  <c r="BC97" i="2" s="1"/>
  <c r="AC97" i="2"/>
  <c r="BB97" i="2" s="1"/>
  <c r="AA97" i="2"/>
  <c r="AN97" i="2" s="1"/>
  <c r="Z97" i="2"/>
  <c r="AM97" i="2" s="1"/>
  <c r="Y97" i="2"/>
  <c r="AL97" i="2" s="1"/>
  <c r="X97" i="2"/>
  <c r="AK97" i="2" s="1"/>
  <c r="W97" i="2"/>
  <c r="AV97" i="2" s="1"/>
  <c r="D73" i="2"/>
  <c r="D67" i="2"/>
  <c r="D64" i="2"/>
  <c r="D63" i="2"/>
  <c r="D62" i="2"/>
  <c r="D61" i="2"/>
  <c r="D60" i="2"/>
  <c r="D59" i="2"/>
  <c r="D58" i="2"/>
  <c r="D57" i="2"/>
  <c r="D56" i="2"/>
  <c r="D55" i="2"/>
  <c r="D54" i="2"/>
  <c r="D53" i="2"/>
  <c r="D52" i="2"/>
  <c r="D51" i="2"/>
  <c r="D50" i="2"/>
  <c r="E49" i="2"/>
  <c r="D49" i="2"/>
  <c r="DD48" i="2"/>
  <c r="DC48" i="2"/>
  <c r="DB48" i="2"/>
  <c r="DA48" i="2"/>
  <c r="CZ48" i="2"/>
  <c r="CX48" i="2"/>
  <c r="CW48" i="2"/>
  <c r="CV48" i="2"/>
  <c r="CU48" i="2"/>
  <c r="CT48" i="2"/>
  <c r="CQ48" i="2"/>
  <c r="CP48" i="2"/>
  <c r="CO48" i="2"/>
  <c r="CN48" i="2"/>
  <c r="CM48" i="2"/>
  <c r="CK48" i="2"/>
  <c r="CJ48" i="2"/>
  <c r="CI48" i="2"/>
  <c r="CH48" i="2"/>
  <c r="CG48" i="2"/>
  <c r="BQ48" i="2"/>
  <c r="BP48" i="2"/>
  <c r="BO48" i="2"/>
  <c r="BN48" i="2"/>
  <c r="BL48" i="2"/>
  <c r="BK48" i="2"/>
  <c r="BJ48" i="2"/>
  <c r="BI48" i="2"/>
  <c r="BH48" i="2"/>
  <c r="BE48" i="2"/>
  <c r="BD48" i="2"/>
  <c r="BC48" i="2"/>
  <c r="BB48" i="2"/>
  <c r="AZ48" i="2"/>
  <c r="AY48" i="2"/>
  <c r="AX48" i="2"/>
  <c r="AW48" i="2"/>
  <c r="AV48" i="2"/>
  <c r="AS48" i="2"/>
  <c r="AR48" i="2"/>
  <c r="AQ48" i="2"/>
  <c r="AP48" i="2"/>
  <c r="AN48" i="2"/>
  <c r="AM48" i="2"/>
  <c r="AL48" i="2"/>
  <c r="AK48" i="2"/>
  <c r="AJ48" i="2"/>
  <c r="AG48" i="2"/>
  <c r="AF48" i="2"/>
  <c r="AE48" i="2"/>
  <c r="AD48" i="2"/>
  <c r="AC48" i="2"/>
  <c r="AA48" i="2"/>
  <c r="Z48" i="2"/>
  <c r="Y48" i="2"/>
  <c r="X48" i="2"/>
  <c r="W48" i="2"/>
  <c r="DD47" i="2"/>
  <c r="CQ47" i="2"/>
  <c r="AG47" i="2"/>
  <c r="AF47" i="2"/>
  <c r="AE47" i="2"/>
  <c r="AD47" i="2"/>
  <c r="AC47" i="2"/>
  <c r="AA47" i="2"/>
  <c r="Z47" i="2"/>
  <c r="Y47" i="2"/>
  <c r="X47" i="2"/>
  <c r="W47" i="2"/>
  <c r="H33" i="2"/>
  <c r="H30" i="2"/>
  <c r="H27" i="2"/>
  <c r="H24" i="2"/>
  <c r="H23" i="2"/>
  <c r="H22" i="2"/>
  <c r="H21" i="2"/>
  <c r="H20" i="2"/>
  <c r="H19" i="2"/>
  <c r="H18" i="2"/>
  <c r="H17" i="2"/>
  <c r="H16" i="2"/>
  <c r="H15" i="2"/>
  <c r="H14" i="2"/>
  <c r="H13" i="2"/>
  <c r="H12" i="2"/>
  <c r="H11" i="2"/>
  <c r="H10" i="2"/>
  <c r="H9" i="2"/>
  <c r="BE8" i="2"/>
  <c r="BD8" i="2"/>
  <c r="BC8" i="2"/>
  <c r="BB8" i="2"/>
  <c r="AZ8" i="2"/>
  <c r="AY8" i="2"/>
  <c r="AX8" i="2"/>
  <c r="AW8" i="2"/>
  <c r="AV8" i="2"/>
  <c r="AS8" i="2"/>
  <c r="AR8" i="2"/>
  <c r="AQ8" i="2"/>
  <c r="AP8" i="2"/>
  <c r="AN8" i="2"/>
  <c r="AM8" i="2"/>
  <c r="AL8" i="2"/>
  <c r="AK8" i="2"/>
  <c r="AJ8" i="2"/>
  <c r="V6" i="2"/>
  <c r="F1143" i="6"/>
  <c r="F845" i="6"/>
  <c r="F872" i="6" s="1"/>
  <c r="F899" i="6" s="1"/>
  <c r="F926" i="6" s="1"/>
  <c r="F953" i="6" s="1"/>
  <c r="F980" i="6" s="1"/>
  <c r="F1007" i="6" s="1"/>
  <c r="F1034" i="6" s="1"/>
  <c r="F1061" i="6" s="1"/>
  <c r="F1088" i="6" s="1"/>
  <c r="V599" i="6"/>
  <c r="F1303" i="6"/>
  <c r="F1363" i="6" s="1"/>
  <c r="AX283" i="15"/>
  <c r="AX123" i="15"/>
  <c r="F1307" i="6"/>
  <c r="F1355" i="6" s="1"/>
  <c r="AX142" i="15"/>
  <c r="AX91" i="15"/>
  <c r="AX121" i="15"/>
  <c r="AX144" i="15"/>
  <c r="F1146" i="6"/>
  <c r="F849" i="6"/>
  <c r="F876" i="6" s="1"/>
  <c r="F903" i="6" s="1"/>
  <c r="F930" i="6" s="1"/>
  <c r="F957" i="6" s="1"/>
  <c r="F984" i="6" s="1"/>
  <c r="F1011" i="6" s="1"/>
  <c r="F1038" i="6" s="1"/>
  <c r="F1065" i="6" s="1"/>
  <c r="F1092" i="6" s="1"/>
  <c r="AX148" i="15"/>
  <c r="AX293" i="15"/>
  <c r="AX207" i="15"/>
  <c r="V1213" i="6"/>
  <c r="F846" i="6"/>
  <c r="F873" i="6" s="1"/>
  <c r="F900" i="6" s="1"/>
  <c r="F927" i="6" s="1"/>
  <c r="F954" i="6" s="1"/>
  <c r="F981" i="6" s="1"/>
  <c r="F1008" i="6" s="1"/>
  <c r="F1035" i="6" s="1"/>
  <c r="F1062" i="6" s="1"/>
  <c r="F1089" i="6" s="1"/>
  <c r="F1148" i="6"/>
  <c r="F848" i="6"/>
  <c r="F875" i="6" s="1"/>
  <c r="F902" i="6" s="1"/>
  <c r="F929" i="6" s="1"/>
  <c r="F956" i="6" s="1"/>
  <c r="F983" i="6" s="1"/>
  <c r="F1010" i="6" s="1"/>
  <c r="F1037" i="6" s="1"/>
  <c r="F1064" i="6" s="1"/>
  <c r="F1091" i="6" s="1"/>
  <c r="AX193" i="15"/>
  <c r="AX156" i="15"/>
  <c r="F1162" i="6"/>
  <c r="F853" i="6"/>
  <c r="F880" i="6" s="1"/>
  <c r="F907" i="6" s="1"/>
  <c r="F934" i="6" s="1"/>
  <c r="F961" i="6" s="1"/>
  <c r="F988" i="6" s="1"/>
  <c r="F1015" i="6" s="1"/>
  <c r="F1042" i="6" s="1"/>
  <c r="F1069" i="6" s="1"/>
  <c r="F1096" i="6" s="1"/>
  <c r="AX152" i="15"/>
  <c r="F1158" i="6"/>
  <c r="F850" i="6"/>
  <c r="F877" i="6" s="1"/>
  <c r="F904" i="6" s="1"/>
  <c r="F931" i="6" s="1"/>
  <c r="F958" i="6" s="1"/>
  <c r="F985" i="6" s="1"/>
  <c r="F1012" i="6" s="1"/>
  <c r="F1039" i="6" s="1"/>
  <c r="F1066" i="6" s="1"/>
  <c r="F1093" i="6" s="1"/>
  <c r="AX289" i="15"/>
  <c r="AX109" i="15"/>
  <c r="AX127" i="15"/>
  <c r="AX87" i="15"/>
  <c r="AX219" i="15"/>
  <c r="F1305" i="6"/>
  <c r="F1317" i="6" s="1"/>
  <c r="AX160" i="15"/>
  <c r="AO97" i="2"/>
  <c r="D1169" i="7"/>
  <c r="V1169" i="7" s="1"/>
  <c r="V1118" i="7"/>
  <c r="DI118" i="6" l="1"/>
  <c r="AF922" i="7"/>
  <c r="F890" i="7"/>
  <c r="AF921" i="7"/>
  <c r="F888" i="7"/>
  <c r="F886" i="7"/>
  <c r="F876" i="7"/>
  <c r="F874" i="7"/>
  <c r="AF1267" i="7"/>
  <c r="AF93" i="16"/>
  <c r="AF91" i="16"/>
  <c r="AF100" i="16"/>
  <c r="AF97" i="16"/>
  <c r="AF62" i="5"/>
  <c r="F44" i="5"/>
  <c r="F43" i="5"/>
  <c r="M135" i="7"/>
  <c r="AF419" i="7"/>
  <c r="L454" i="15"/>
  <c r="AF936" i="7"/>
  <c r="M128" i="7"/>
  <c r="DJ128" i="7" s="1"/>
  <c r="AF412" i="7"/>
  <c r="M144" i="7"/>
  <c r="AF428" i="7"/>
  <c r="H589" i="7"/>
  <c r="D417" i="15"/>
  <c r="M130" i="7"/>
  <c r="DJ130" i="7" s="1"/>
  <c r="AF414" i="7"/>
  <c r="M139" i="7"/>
  <c r="AF423" i="7"/>
  <c r="M154" i="7"/>
  <c r="AF438" i="7"/>
  <c r="K1178" i="7"/>
  <c r="DJ1178" i="7" s="1"/>
  <c r="AF1211" i="7"/>
  <c r="M131" i="7"/>
  <c r="AF415" i="7"/>
  <c r="M147" i="7"/>
  <c r="AF431" i="7"/>
  <c r="M155" i="7"/>
  <c r="AF439" i="7"/>
  <c r="N516" i="7"/>
  <c r="AF543" i="7"/>
  <c r="M132" i="7"/>
  <c r="AF416" i="7"/>
  <c r="M156" i="7"/>
  <c r="DJ156" i="7" s="1"/>
  <c r="AF440" i="7"/>
  <c r="M138" i="7"/>
  <c r="AF422" i="7"/>
  <c r="M141" i="7"/>
  <c r="DJ141" i="7" s="1"/>
  <c r="AF425" i="7"/>
  <c r="M134" i="7"/>
  <c r="DJ134" i="7" s="1"/>
  <c r="AF418" i="7"/>
  <c r="M150" i="7"/>
  <c r="DJ150" i="7" s="1"/>
  <c r="AF434" i="7"/>
  <c r="AF876" i="7"/>
  <c r="AF935" i="7"/>
  <c r="M143" i="7"/>
  <c r="AF427" i="7"/>
  <c r="M554" i="7"/>
  <c r="DJ554" i="7" s="1"/>
  <c r="AF578" i="7"/>
  <c r="M152" i="7"/>
  <c r="DJ152" i="7" s="1"/>
  <c r="AF436" i="7"/>
  <c r="M136" i="7"/>
  <c r="DJ136" i="7" s="1"/>
  <c r="AF420" i="7"/>
  <c r="M145" i="7"/>
  <c r="AF429" i="7"/>
  <c r="H591" i="7"/>
  <c r="D418" i="15"/>
  <c r="M129" i="7"/>
  <c r="DJ129" i="7" s="1"/>
  <c r="AF413" i="7"/>
  <c r="M137" i="7"/>
  <c r="AF421" i="7"/>
  <c r="M153" i="7"/>
  <c r="DJ153" i="7" s="1"/>
  <c r="AF437" i="7"/>
  <c r="M446" i="7"/>
  <c r="AF478" i="7"/>
  <c r="M146" i="7"/>
  <c r="AF430" i="7"/>
  <c r="M133" i="7"/>
  <c r="AF417" i="7"/>
  <c r="M148" i="7"/>
  <c r="DJ148" i="7" s="1"/>
  <c r="AF432" i="7"/>
  <c r="M149" i="7"/>
  <c r="AF433" i="7"/>
  <c r="M127" i="7"/>
  <c r="DJ127" i="7" s="1"/>
  <c r="AF411" i="7"/>
  <c r="M142" i="7"/>
  <c r="DJ142" i="7" s="1"/>
  <c r="AF426" i="7"/>
  <c r="M151" i="7"/>
  <c r="AF435" i="7"/>
  <c r="F1185" i="7"/>
  <c r="AF1185" i="7" s="1"/>
  <c r="AF1199" i="7"/>
  <c r="Y78" i="15"/>
  <c r="AF223" i="5"/>
  <c r="DI799" i="2"/>
  <c r="DG799" i="2" s="1"/>
  <c r="DI96" i="6"/>
  <c r="DI100" i="6"/>
  <c r="AE92" i="15" s="1"/>
  <c r="AC92" i="15" s="1"/>
  <c r="DI120" i="6"/>
  <c r="AE106" i="15" s="1"/>
  <c r="AC106" i="15" s="1"/>
  <c r="DI111" i="6"/>
  <c r="AE100" i="15" s="1"/>
  <c r="AC100" i="15" s="1"/>
  <c r="DI122" i="6"/>
  <c r="AE107" i="15" s="1"/>
  <c r="AC107" i="15" s="1"/>
  <c r="DI86" i="6"/>
  <c r="AE83" i="15" s="1"/>
  <c r="AC83" i="15" s="1"/>
  <c r="DI113" i="6"/>
  <c r="AE101" i="15" s="1"/>
  <c r="AC101" i="15" s="1"/>
  <c r="DI91" i="6"/>
  <c r="AE86" i="15" s="1"/>
  <c r="AC86" i="15" s="1"/>
  <c r="DI1625" i="6"/>
  <c r="AF208" i="15" s="1"/>
  <c r="DI1657" i="6"/>
  <c r="AF223" i="15" s="1"/>
  <c r="DI1593" i="6"/>
  <c r="AF196" i="15" s="1"/>
  <c r="DI1795" i="6"/>
  <c r="AF265" i="15" s="1"/>
  <c r="DI1763" i="6"/>
  <c r="AF257" i="15" s="1"/>
  <c r="DI1689" i="6"/>
  <c r="AF234" i="15" s="1"/>
  <c r="DI102" i="6"/>
  <c r="AE94" i="15" s="1"/>
  <c r="AC94" i="15" s="1"/>
  <c r="DI1691" i="6"/>
  <c r="AH234" i="15" s="1"/>
  <c r="DI1605" i="6"/>
  <c r="AF200" i="15" s="1"/>
  <c r="DI1637" i="6"/>
  <c r="AF214" i="15" s="1"/>
  <c r="DI1693" i="6"/>
  <c r="AF235" i="15" s="1"/>
  <c r="DI1743" i="6"/>
  <c r="AF252" i="15" s="1"/>
  <c r="DI1863" i="6"/>
  <c r="AF284" i="15" s="1"/>
  <c r="DI109" i="6"/>
  <c r="AE98" i="15" s="1"/>
  <c r="AC98" i="15" s="1"/>
  <c r="DI1669" i="6"/>
  <c r="AF228" i="15" s="1"/>
  <c r="DI1731" i="6"/>
  <c r="AF249" i="15" s="1"/>
  <c r="DI1891" i="6"/>
  <c r="AF296" i="15" s="1"/>
  <c r="DI1531" i="6"/>
  <c r="AF175" i="15" s="1"/>
  <c r="DI1607" i="6"/>
  <c r="AH200" i="15" s="1"/>
  <c r="DI1745" i="6"/>
  <c r="AH252" i="15" s="1"/>
  <c r="DI1775" i="6"/>
  <c r="AF260" i="15" s="1"/>
  <c r="DI1807" i="6"/>
  <c r="AF268" i="15" s="1"/>
  <c r="DI1837" i="6"/>
  <c r="AF276" i="15" s="1"/>
  <c r="DI1573" i="6"/>
  <c r="AF188" i="15" s="1"/>
  <c r="DI1777" i="6"/>
  <c r="AH260" i="15" s="1"/>
  <c r="DI1839" i="6"/>
  <c r="AH276" i="15" s="1"/>
  <c r="DI1609" i="6"/>
  <c r="AF201" i="15" s="1"/>
  <c r="DI1747" i="6"/>
  <c r="AF253" i="15" s="1"/>
  <c r="DI1809" i="6"/>
  <c r="AH268" i="15" s="1"/>
  <c r="DI1779" i="6"/>
  <c r="AF261" i="15" s="1"/>
  <c r="DI1811" i="6"/>
  <c r="AF269" i="15" s="1"/>
  <c r="DI1841" i="6"/>
  <c r="AF277" i="15" s="1"/>
  <c r="DI87" i="6"/>
  <c r="AE84" i="15" s="1"/>
  <c r="AC84" i="15" s="1"/>
  <c r="DI1842" i="6"/>
  <c r="AG277" i="15" s="1"/>
  <c r="DI1649" i="6"/>
  <c r="AF220" i="15" s="1"/>
  <c r="DI89" i="6"/>
  <c r="AE85" i="15" s="1"/>
  <c r="AC85" i="15" s="1"/>
  <c r="DI1651" i="6"/>
  <c r="AF221" i="15" s="1"/>
  <c r="DI1677" i="6"/>
  <c r="AF231" i="15" s="1"/>
  <c r="DI1705" i="6"/>
  <c r="AF240" i="15" s="1"/>
  <c r="Z418" i="15"/>
  <c r="W418" i="15" s="1"/>
  <c r="V418" i="15" s="1"/>
  <c r="Z486" i="15"/>
  <c r="Z417" i="15"/>
  <c r="W417" i="15" s="1"/>
  <c r="V417" i="15" s="1"/>
  <c r="DH7" i="7"/>
  <c r="X344" i="15"/>
  <c r="Z344" i="15" s="1"/>
  <c r="W344" i="15" s="1"/>
  <c r="V344" i="15" s="1"/>
  <c r="AB344" i="15"/>
  <c r="AB345" i="15"/>
  <c r="G346" i="15"/>
  <c r="AX346" i="15" s="1"/>
  <c r="DH10" i="7"/>
  <c r="X347" i="15"/>
  <c r="Z347" i="15" s="1"/>
  <c r="W347" i="15" s="1"/>
  <c r="V347" i="15" s="1"/>
  <c r="AB347" i="15"/>
  <c r="DH11" i="7"/>
  <c r="X348" i="15"/>
  <c r="Z348" i="15" s="1"/>
  <c r="W348" i="15" s="1"/>
  <c r="V348" i="15" s="1"/>
  <c r="AB348" i="15"/>
  <c r="DH12" i="7"/>
  <c r="X349" i="15"/>
  <c r="Z349" i="15" s="1"/>
  <c r="W349" i="15" s="1"/>
  <c r="V349" i="15" s="1"/>
  <c r="DH13" i="7"/>
  <c r="X350" i="15"/>
  <c r="Z350" i="15" s="1"/>
  <c r="W350" i="15" s="1"/>
  <c r="V350" i="15" s="1"/>
  <c r="AB350" i="15"/>
  <c r="DH14" i="7"/>
  <c r="X351" i="15"/>
  <c r="Z351" i="15" s="1"/>
  <c r="W351" i="15" s="1"/>
  <c r="V351" i="15" s="1"/>
  <c r="AB351" i="15"/>
  <c r="G352" i="15"/>
  <c r="AX352" i="15" s="1"/>
  <c r="AB353" i="15"/>
  <c r="AB354" i="15"/>
  <c r="G355" i="15"/>
  <c r="AX355" i="15" s="1"/>
  <c r="DH59" i="7"/>
  <c r="X359" i="15"/>
  <c r="Z359" i="15" s="1"/>
  <c r="AB359" i="15"/>
  <c r="DH60" i="7"/>
  <c r="X360" i="15"/>
  <c r="Z360" i="15" s="1"/>
  <c r="AB360" i="15"/>
  <c r="AB362" i="15"/>
  <c r="AB363" i="15"/>
  <c r="DH64" i="7"/>
  <c r="X364" i="15"/>
  <c r="Z364" i="15" s="1"/>
  <c r="AB364" i="15"/>
  <c r="DH65" i="7"/>
  <c r="X365" i="15"/>
  <c r="Z365" i="15" s="1"/>
  <c r="AB365" i="15"/>
  <c r="DH66" i="7"/>
  <c r="X366" i="15"/>
  <c r="Z366" i="15" s="1"/>
  <c r="AB366" i="15"/>
  <c r="AB367" i="15"/>
  <c r="J63" i="7"/>
  <c r="F63" i="7" s="1"/>
  <c r="AF96" i="7"/>
  <c r="F100" i="7"/>
  <c r="AF99" i="7"/>
  <c r="DH128" i="7"/>
  <c r="X369" i="15"/>
  <c r="Z369" i="15" s="1"/>
  <c r="DH129" i="7"/>
  <c r="X370" i="15"/>
  <c r="Z370" i="15" s="1"/>
  <c r="DH132" i="7"/>
  <c r="X373" i="15"/>
  <c r="Z373" i="15" s="1"/>
  <c r="DH134" i="7"/>
  <c r="X375" i="15"/>
  <c r="Z375" i="15" s="1"/>
  <c r="DH136" i="7"/>
  <c r="X377" i="15"/>
  <c r="Z377" i="15" s="1"/>
  <c r="DH138" i="7"/>
  <c r="X379" i="15"/>
  <c r="Z379" i="15" s="1"/>
  <c r="DH139" i="7"/>
  <c r="X380" i="15"/>
  <c r="Z380" i="15" s="1"/>
  <c r="DH140" i="7"/>
  <c r="X381" i="15"/>
  <c r="Z381" i="15" s="1"/>
  <c r="DH141" i="7"/>
  <c r="X382" i="15"/>
  <c r="Z382" i="15" s="1"/>
  <c r="DH142" i="7"/>
  <c r="X383" i="15"/>
  <c r="Z383" i="15" s="1"/>
  <c r="DH143" i="7"/>
  <c r="X384" i="15"/>
  <c r="Z384" i="15" s="1"/>
  <c r="DH144" i="7"/>
  <c r="X385" i="15"/>
  <c r="Z385" i="15" s="1"/>
  <c r="DH148" i="7"/>
  <c r="X389" i="15"/>
  <c r="Z389" i="15" s="1"/>
  <c r="DH149" i="7"/>
  <c r="X390" i="15"/>
  <c r="Z390" i="15" s="1"/>
  <c r="DH154" i="7"/>
  <c r="X395" i="15"/>
  <c r="Z395" i="15" s="1"/>
  <c r="DH155" i="7"/>
  <c r="X396" i="15"/>
  <c r="Z396" i="15" s="1"/>
  <c r="DH156" i="7"/>
  <c r="X397" i="15"/>
  <c r="Z397" i="15" s="1"/>
  <c r="AB381" i="15"/>
  <c r="DH446" i="7"/>
  <c r="X398" i="15"/>
  <c r="Z398" i="15" s="1"/>
  <c r="DH447" i="7"/>
  <c r="X399" i="15"/>
  <c r="Z399" i="15" s="1"/>
  <c r="DH448" i="7"/>
  <c r="X400" i="15"/>
  <c r="Z400" i="15" s="1"/>
  <c r="I447" i="7"/>
  <c r="F447" i="7" s="1"/>
  <c r="AF465" i="7"/>
  <c r="DH484" i="7"/>
  <c r="X404" i="15"/>
  <c r="Z404" i="15" s="1"/>
  <c r="W404" i="15" s="1"/>
  <c r="V404" i="15" s="1"/>
  <c r="AB404" i="15"/>
  <c r="G405" i="15"/>
  <c r="AX405" i="15" s="1"/>
  <c r="DH515" i="7"/>
  <c r="X407" i="15"/>
  <c r="Z407" i="15" s="1"/>
  <c r="K516" i="7"/>
  <c r="J516" i="7" s="1"/>
  <c r="AF525" i="7"/>
  <c r="I515" i="7"/>
  <c r="AF526" i="7"/>
  <c r="DH553" i="7"/>
  <c r="X413" i="15"/>
  <c r="Z413" i="15" s="1"/>
  <c r="DH584" i="7"/>
  <c r="X415" i="15"/>
  <c r="Z415" i="15" s="1"/>
  <c r="W415" i="15" s="1"/>
  <c r="V415" i="15" s="1"/>
  <c r="DH586" i="7"/>
  <c r="X416" i="15"/>
  <c r="Z416" i="15" s="1"/>
  <c r="W416" i="15" s="1"/>
  <c r="V416" i="15" s="1"/>
  <c r="AB415" i="15"/>
  <c r="AB418" i="15"/>
  <c r="K420" i="15"/>
  <c r="AF641" i="7"/>
  <c r="DH641" i="7"/>
  <c r="DI641" i="7" s="1"/>
  <c r="AE420" i="15" s="1"/>
  <c r="X420" i="15"/>
  <c r="Z420" i="15" s="1"/>
  <c r="W420" i="15" s="1"/>
  <c r="V420" i="15" s="1"/>
  <c r="AB420" i="15"/>
  <c r="L420" i="15"/>
  <c r="AF642" i="7"/>
  <c r="K421" i="15"/>
  <c r="AF643" i="7"/>
  <c r="DH643" i="7"/>
  <c r="DI643" i="7" s="1"/>
  <c r="AE421" i="15" s="1"/>
  <c r="X421" i="15"/>
  <c r="Z421" i="15" s="1"/>
  <c r="W421" i="15" s="1"/>
  <c r="V421" i="15" s="1"/>
  <c r="AB421" i="15"/>
  <c r="K422" i="15"/>
  <c r="AF645" i="7"/>
  <c r="AB422" i="15"/>
  <c r="AC646" i="7"/>
  <c r="L422" i="15"/>
  <c r="AF646" i="7"/>
  <c r="G423" i="15"/>
  <c r="AX423" i="15" s="1"/>
  <c r="AC647" i="7"/>
  <c r="K423" i="15"/>
  <c r="AF647" i="7"/>
  <c r="DH647" i="7"/>
  <c r="DI647" i="7" s="1"/>
  <c r="AE423" i="15" s="1"/>
  <c r="X423" i="15"/>
  <c r="Z423" i="15" s="1"/>
  <c r="W423" i="15" s="1"/>
  <c r="V423" i="15" s="1"/>
  <c r="AB423" i="15"/>
  <c r="AC648" i="7"/>
  <c r="L423" i="15"/>
  <c r="AF648" i="7"/>
  <c r="AC649" i="7"/>
  <c r="K424" i="15"/>
  <c r="AF649" i="7"/>
  <c r="AB424" i="15"/>
  <c r="K425" i="15"/>
  <c r="AF651" i="7"/>
  <c r="AB425" i="15"/>
  <c r="L425" i="15"/>
  <c r="AF652" i="7"/>
  <c r="G426" i="15"/>
  <c r="AX426" i="15" s="1"/>
  <c r="K426" i="15"/>
  <c r="AF653" i="7"/>
  <c r="AB426" i="15"/>
  <c r="L426" i="15"/>
  <c r="AF654" i="7"/>
  <c r="K427" i="15"/>
  <c r="AF655" i="7"/>
  <c r="DH655" i="7"/>
  <c r="DI655" i="7" s="1"/>
  <c r="AE427" i="15" s="1"/>
  <c r="X427" i="15"/>
  <c r="Z427" i="15" s="1"/>
  <c r="W427" i="15" s="1"/>
  <c r="V427" i="15" s="1"/>
  <c r="AB427" i="15"/>
  <c r="AC657" i="7"/>
  <c r="K428" i="15"/>
  <c r="AF657" i="7"/>
  <c r="AB428" i="15"/>
  <c r="L428" i="15"/>
  <c r="AF658" i="7"/>
  <c r="G429" i="15"/>
  <c r="AX429" i="15" s="1"/>
  <c r="K429" i="15"/>
  <c r="AF659" i="7"/>
  <c r="DH659" i="7"/>
  <c r="DI659" i="7" s="1"/>
  <c r="AE429" i="15" s="1"/>
  <c r="X429" i="15"/>
  <c r="Z429" i="15" s="1"/>
  <c r="W429" i="15" s="1"/>
  <c r="V429" i="15" s="1"/>
  <c r="AB429" i="15"/>
  <c r="L429" i="15"/>
  <c r="AF660" i="7"/>
  <c r="DH713" i="7"/>
  <c r="X433" i="15"/>
  <c r="Z433" i="15" s="1"/>
  <c r="W433" i="15" s="1"/>
  <c r="AB433" i="15"/>
  <c r="AB435" i="15"/>
  <c r="AB436" i="15"/>
  <c r="I441" i="15"/>
  <c r="AF792" i="7"/>
  <c r="I442" i="15"/>
  <c r="AF793" i="7"/>
  <c r="I443" i="15"/>
  <c r="AF794" i="7"/>
  <c r="DH795" i="7"/>
  <c r="DI795" i="7" s="1"/>
  <c r="AE444" i="15" s="1"/>
  <c r="AC444" i="15" s="1"/>
  <c r="X444" i="15"/>
  <c r="Z444" i="15" s="1"/>
  <c r="W444" i="15" s="1"/>
  <c r="DH796" i="7"/>
  <c r="DI796" i="7" s="1"/>
  <c r="AE445" i="15" s="1"/>
  <c r="AC445" i="15" s="1"/>
  <c r="X445" i="15"/>
  <c r="Z445" i="15" s="1"/>
  <c r="W445" i="15" s="1"/>
  <c r="AB446" i="15"/>
  <c r="AB447" i="15"/>
  <c r="AB448" i="15"/>
  <c r="K449" i="15"/>
  <c r="AF867" i="7"/>
  <c r="L449" i="15"/>
  <c r="AF868" i="7"/>
  <c r="G450" i="15"/>
  <c r="AX450" i="15" s="1"/>
  <c r="K450" i="15"/>
  <c r="AF869" i="7"/>
  <c r="DH869" i="7"/>
  <c r="DI869" i="7" s="1"/>
  <c r="AE450" i="15" s="1"/>
  <c r="X450" i="15"/>
  <c r="Z450" i="15" s="1"/>
  <c r="W450" i="15" s="1"/>
  <c r="L450" i="15"/>
  <c r="AF870" i="7"/>
  <c r="K451" i="15"/>
  <c r="AF871" i="7"/>
  <c r="DH871" i="7"/>
  <c r="DI871" i="7" s="1"/>
  <c r="AE451" i="15" s="1"/>
  <c r="X451" i="15"/>
  <c r="Z451" i="15" s="1"/>
  <c r="W451" i="15" s="1"/>
  <c r="L451" i="15"/>
  <c r="AF872" i="7"/>
  <c r="K452" i="15"/>
  <c r="AF873" i="7"/>
  <c r="DH873" i="7"/>
  <c r="DI873" i="7" s="1"/>
  <c r="AE452" i="15" s="1"/>
  <c r="X452" i="15"/>
  <c r="Z452" i="15" s="1"/>
  <c r="W452" i="15" s="1"/>
  <c r="G453" i="15"/>
  <c r="AX453" i="15" s="1"/>
  <c r="K453" i="15"/>
  <c r="AF875" i="7"/>
  <c r="K454" i="15"/>
  <c r="AF877" i="7"/>
  <c r="K455" i="15"/>
  <c r="I455" i="15" s="1"/>
  <c r="AF879" i="7"/>
  <c r="G456" i="15"/>
  <c r="AX456" i="15" s="1"/>
  <c r="K456" i="15"/>
  <c r="I456" i="15" s="1"/>
  <c r="AF881" i="7"/>
  <c r="K457" i="15"/>
  <c r="I457" i="15" s="1"/>
  <c r="AF883" i="7"/>
  <c r="DH883" i="7"/>
  <c r="DI883" i="7" s="1"/>
  <c r="AE457" i="15" s="1"/>
  <c r="AC457" i="15" s="1"/>
  <c r="X457" i="15"/>
  <c r="Z457" i="15" s="1"/>
  <c r="W457" i="15" s="1"/>
  <c r="K458" i="15"/>
  <c r="AF885" i="7"/>
  <c r="G459" i="15"/>
  <c r="AX459" i="15" s="1"/>
  <c r="K459" i="15"/>
  <c r="AF887" i="7"/>
  <c r="K460" i="15"/>
  <c r="AF889" i="7"/>
  <c r="DH889" i="7"/>
  <c r="DI889" i="7" s="1"/>
  <c r="AE460" i="15" s="1"/>
  <c r="X460" i="15"/>
  <c r="Z460" i="15" s="1"/>
  <c r="W460" i="15" s="1"/>
  <c r="I461" i="15"/>
  <c r="AF956" i="7"/>
  <c r="AB461" i="15"/>
  <c r="I462" i="15"/>
  <c r="AF957" i="7"/>
  <c r="AB486" i="15"/>
  <c r="AB487" i="15"/>
  <c r="DH1093" i="7"/>
  <c r="DI1093" i="7" s="1"/>
  <c r="AG487" i="15" s="1"/>
  <c r="AD487" i="15" s="1"/>
  <c r="Y487" i="15"/>
  <c r="Z487" i="15" s="1"/>
  <c r="AB488" i="15"/>
  <c r="AB494" i="15"/>
  <c r="AB500" i="15"/>
  <c r="AB506" i="15"/>
  <c r="AB489" i="15"/>
  <c r="AB495" i="15"/>
  <c r="AB501" i="15"/>
  <c r="AB507" i="15"/>
  <c r="AB490" i="15"/>
  <c r="AB496" i="15"/>
  <c r="AB502" i="15"/>
  <c r="DH1137" i="7"/>
  <c r="DI1137" i="7" s="1"/>
  <c r="AE508" i="15" s="1"/>
  <c r="AC508" i="15" s="1"/>
  <c r="X508" i="15"/>
  <c r="Z508" i="15" s="1"/>
  <c r="W508" i="15" s="1"/>
  <c r="AB508" i="15"/>
  <c r="AB491" i="15"/>
  <c r="AB497" i="15"/>
  <c r="AB503" i="15"/>
  <c r="AB509" i="15"/>
  <c r="AB492" i="15"/>
  <c r="AB498" i="15"/>
  <c r="DH1144" i="7"/>
  <c r="DI1144" i="7" s="1"/>
  <c r="AE504" i="15" s="1"/>
  <c r="AC504" i="15" s="1"/>
  <c r="X504" i="15"/>
  <c r="Z504" i="15" s="1"/>
  <c r="W504" i="15" s="1"/>
  <c r="AB504" i="15"/>
  <c r="AB510" i="15"/>
  <c r="AB493" i="15"/>
  <c r="AB499" i="15"/>
  <c r="AB505" i="15"/>
  <c r="DH1149" i="7"/>
  <c r="DI1149" i="7" s="1"/>
  <c r="AE511" i="15" s="1"/>
  <c r="AC511" i="15" s="1"/>
  <c r="X511" i="15"/>
  <c r="Z511" i="15" s="1"/>
  <c r="W511" i="15" s="1"/>
  <c r="AB511" i="15"/>
  <c r="AB441" i="15"/>
  <c r="AB442" i="15"/>
  <c r="AB444" i="15"/>
  <c r="AB443" i="15"/>
  <c r="DH450" i="7"/>
  <c r="X402" i="15"/>
  <c r="Z402" i="15" s="1"/>
  <c r="DH451" i="7"/>
  <c r="X403" i="15"/>
  <c r="Z403" i="15" s="1"/>
  <c r="I451" i="7"/>
  <c r="AF460" i="7"/>
  <c r="AF1026" i="7"/>
  <c r="AR1026" i="7"/>
  <c r="I434" i="15"/>
  <c r="AF714" i="7"/>
  <c r="I436" i="15"/>
  <c r="AF716" i="7"/>
  <c r="I435" i="15"/>
  <c r="AF715" i="7"/>
  <c r="AB434" i="15"/>
  <c r="I439" i="15"/>
  <c r="AF755" i="7"/>
  <c r="I440" i="15"/>
  <c r="AF756" i="7"/>
  <c r="F1040" i="7"/>
  <c r="DI1040" i="7" s="1"/>
  <c r="AE480" i="15" s="1"/>
  <c r="AC480" i="15" s="1"/>
  <c r="F1041" i="7"/>
  <c r="I1041" i="7" s="1"/>
  <c r="O481" i="15" s="1"/>
  <c r="V481" i="15" s="1"/>
  <c r="U481" i="15" s="1"/>
  <c r="I474" i="15"/>
  <c r="AF1034" i="7"/>
  <c r="I475" i="15"/>
  <c r="AF1035" i="7"/>
  <c r="I476" i="15"/>
  <c r="AF1036" i="7"/>
  <c r="I478" i="15"/>
  <c r="AF1038" i="7"/>
  <c r="DH1177" i="7"/>
  <c r="X512" i="15"/>
  <c r="Z512" i="15" s="1"/>
  <c r="DH1179" i="7"/>
  <c r="X514" i="15"/>
  <c r="Z514" i="15" s="1"/>
  <c r="DH1181" i="7"/>
  <c r="X516" i="15"/>
  <c r="Z516" i="15" s="1"/>
  <c r="DH1184" i="7"/>
  <c r="X519" i="15"/>
  <c r="Z519" i="15" s="1"/>
  <c r="DH1185" i="7"/>
  <c r="X520" i="15"/>
  <c r="Z520" i="15" s="1"/>
  <c r="DH1187" i="7"/>
  <c r="X522" i="15"/>
  <c r="Z522" i="15" s="1"/>
  <c r="DH1188" i="7"/>
  <c r="X523" i="15"/>
  <c r="Z523" i="15" s="1"/>
  <c r="AB440" i="15"/>
  <c r="AB439" i="15"/>
  <c r="AB437" i="15"/>
  <c r="AB438" i="15"/>
  <c r="AB473" i="15"/>
  <c r="AB474" i="15"/>
  <c r="AB475" i="15"/>
  <c r="AB476" i="15"/>
  <c r="AB478" i="15"/>
  <c r="AB479" i="15"/>
  <c r="AB481" i="15"/>
  <c r="AB477" i="15"/>
  <c r="AB480" i="15"/>
  <c r="AB483" i="15"/>
  <c r="AB445" i="15"/>
  <c r="K489" i="15"/>
  <c r="I489" i="15" s="1"/>
  <c r="AF1130" i="7"/>
  <c r="K501" i="15"/>
  <c r="I501" i="15" s="1"/>
  <c r="AF1132" i="7"/>
  <c r="K490" i="15"/>
  <c r="I490" i="15" s="1"/>
  <c r="AF1134" i="7"/>
  <c r="K502" i="15"/>
  <c r="I502" i="15" s="1"/>
  <c r="AF1136" i="7"/>
  <c r="K491" i="15"/>
  <c r="I491" i="15" s="1"/>
  <c r="AF1138" i="7"/>
  <c r="K503" i="15"/>
  <c r="I503" i="15" s="1"/>
  <c r="AF1140" i="7"/>
  <c r="K492" i="15"/>
  <c r="I492" i="15" s="1"/>
  <c r="AF1142" i="7"/>
  <c r="K504" i="15"/>
  <c r="I504" i="15" s="1"/>
  <c r="AF1144" i="7"/>
  <c r="K505" i="15"/>
  <c r="I505" i="15" s="1"/>
  <c r="AF1148" i="7"/>
  <c r="AB419" i="15"/>
  <c r="DH639" i="7"/>
  <c r="DI639" i="7" s="1"/>
  <c r="AE419" i="15" s="1"/>
  <c r="X419" i="15"/>
  <c r="Z419" i="15" s="1"/>
  <c r="W419" i="15" s="1"/>
  <c r="V419" i="15" s="1"/>
  <c r="AC639" i="7"/>
  <c r="K419" i="15"/>
  <c r="AF639" i="7"/>
  <c r="F19" i="7"/>
  <c r="I19" i="7" s="1"/>
  <c r="Q356" i="15" s="1"/>
  <c r="O356" i="15" s="1"/>
  <c r="U356" i="15" s="1"/>
  <c r="AF36" i="7"/>
  <c r="DH21" i="7"/>
  <c r="X358" i="15"/>
  <c r="Z358" i="15" s="1"/>
  <c r="W358" i="15" s="1"/>
  <c r="V358" i="15" s="1"/>
  <c r="DH661" i="7"/>
  <c r="X430" i="15"/>
  <c r="Z430" i="15" s="1"/>
  <c r="W430" i="15" s="1"/>
  <c r="V430" i="15" s="1"/>
  <c r="P698" i="7"/>
  <c r="AF696" i="7"/>
  <c r="AB430" i="15"/>
  <c r="AB431" i="15"/>
  <c r="AB432" i="15"/>
  <c r="AB358" i="15"/>
  <c r="AB357" i="15"/>
  <c r="F656" i="7"/>
  <c r="AC656" i="7" s="1"/>
  <c r="AF690" i="7"/>
  <c r="AB356" i="15"/>
  <c r="I444" i="15"/>
  <c r="AF795" i="7"/>
  <c r="I445" i="15"/>
  <c r="AF796" i="7"/>
  <c r="AB524" i="15"/>
  <c r="AB525" i="15"/>
  <c r="AB526" i="15"/>
  <c r="AB527" i="15"/>
  <c r="AB528" i="15"/>
  <c r="AB529" i="15"/>
  <c r="AB530" i="15"/>
  <c r="AB531" i="15"/>
  <c r="DH1220" i="7"/>
  <c r="DI1220" i="7" s="1"/>
  <c r="AE525" i="15" s="1"/>
  <c r="X525" i="15"/>
  <c r="Z525" i="15" s="1"/>
  <c r="W525" i="15" s="1"/>
  <c r="DH1222" i="7"/>
  <c r="DI1222" i="7" s="1"/>
  <c r="AE526" i="15" s="1"/>
  <c r="X526" i="15"/>
  <c r="Z526" i="15" s="1"/>
  <c r="W526" i="15" s="1"/>
  <c r="DH1224" i="7"/>
  <c r="DI1224" i="7" s="1"/>
  <c r="AE527" i="15" s="1"/>
  <c r="X527" i="15"/>
  <c r="Z527" i="15" s="1"/>
  <c r="W527" i="15" s="1"/>
  <c r="DH1228" i="7"/>
  <c r="DI1228" i="7" s="1"/>
  <c r="AE529" i="15" s="1"/>
  <c r="X529" i="15"/>
  <c r="Z529" i="15" s="1"/>
  <c r="W529" i="15" s="1"/>
  <c r="DH1230" i="7"/>
  <c r="DI1230" i="7" s="1"/>
  <c r="AE530" i="15" s="1"/>
  <c r="X530" i="15"/>
  <c r="Z530" i="15" s="1"/>
  <c r="W530" i="15" s="1"/>
  <c r="K525" i="15"/>
  <c r="AF1220" i="7"/>
  <c r="K526" i="15"/>
  <c r="AF1222" i="7"/>
  <c r="K527" i="15"/>
  <c r="AF1224" i="7"/>
  <c r="K528" i="15"/>
  <c r="AF1226" i="7"/>
  <c r="K530" i="15"/>
  <c r="AF1230" i="7"/>
  <c r="K531" i="15"/>
  <c r="AF1232" i="7"/>
  <c r="F16" i="7"/>
  <c r="I16" i="7" s="1"/>
  <c r="Q353" i="15" s="1"/>
  <c r="O353" i="15" s="1"/>
  <c r="U353" i="15" s="1"/>
  <c r="AF40" i="7"/>
  <c r="K524" i="15"/>
  <c r="AF1218" i="7"/>
  <c r="K529" i="15"/>
  <c r="AF1228" i="7"/>
  <c r="AB361" i="15"/>
  <c r="DH61" i="7"/>
  <c r="X361" i="15"/>
  <c r="Z361" i="15" s="1"/>
  <c r="I361" i="15"/>
  <c r="AF61" i="7"/>
  <c r="K1488" i="6"/>
  <c r="J1488" i="6" s="1"/>
  <c r="K1373" i="6" s="1"/>
  <c r="K1362" i="6"/>
  <c r="J1362" i="6" s="1"/>
  <c r="AF1362" i="6" s="1"/>
  <c r="AF292" i="5"/>
  <c r="AF109" i="16"/>
  <c r="DI474" i="2"/>
  <c r="AE668" i="15" s="1"/>
  <c r="AC668" i="15" s="1"/>
  <c r="DI475" i="2"/>
  <c r="I626" i="15"/>
  <c r="AF200" i="2"/>
  <c r="F294" i="2"/>
  <c r="AF294" i="2" s="1"/>
  <c r="AF309" i="2"/>
  <c r="BE309" i="2" s="1"/>
  <c r="I634" i="15"/>
  <c r="AF246" i="2"/>
  <c r="I636" i="15"/>
  <c r="AF264" i="2"/>
  <c r="AF310" i="2"/>
  <c r="BE310" i="2" s="1"/>
  <c r="F295" i="2"/>
  <c r="AF295" i="2" s="1"/>
  <c r="I625" i="15"/>
  <c r="AF199" i="2"/>
  <c r="I635" i="15"/>
  <c r="AF247" i="2"/>
  <c r="AF656" i="2"/>
  <c r="G349" i="15"/>
  <c r="AX349" i="15" s="1"/>
  <c r="I685" i="15"/>
  <c r="AF559" i="2"/>
  <c r="I597" i="15"/>
  <c r="I686" i="15"/>
  <c r="AF560" i="2"/>
  <c r="I683" i="15"/>
  <c r="AF557" i="2"/>
  <c r="I687" i="15"/>
  <c r="AF561" i="2"/>
  <c r="I689" i="15"/>
  <c r="AF563" i="2"/>
  <c r="I684" i="15"/>
  <c r="AF558" i="2"/>
  <c r="I688" i="15"/>
  <c r="AF562" i="2"/>
  <c r="I652" i="15"/>
  <c r="AF374" i="2"/>
  <c r="I691" i="15"/>
  <c r="AF584" i="2"/>
  <c r="I695" i="15"/>
  <c r="AF588" i="2"/>
  <c r="I697" i="15"/>
  <c r="AF609" i="2"/>
  <c r="L658" i="15"/>
  <c r="BE426" i="2"/>
  <c r="I705" i="15"/>
  <c r="AF632" i="2"/>
  <c r="I704" i="15"/>
  <c r="AF631" i="2"/>
  <c r="I703" i="15"/>
  <c r="AF630" i="2"/>
  <c r="I692" i="15"/>
  <c r="AF585" i="2"/>
  <c r="I696" i="15"/>
  <c r="AF589" i="2"/>
  <c r="I720" i="15"/>
  <c r="AF799" i="2"/>
  <c r="K668" i="15"/>
  <c r="I668" i="15" s="1"/>
  <c r="AF474" i="2"/>
  <c r="I702" i="15"/>
  <c r="AF629" i="2"/>
  <c r="I701" i="15"/>
  <c r="AF628" i="2"/>
  <c r="I693" i="15"/>
  <c r="AF586" i="2"/>
  <c r="F456" i="2"/>
  <c r="AF456" i="2" s="1"/>
  <c r="J467" i="2"/>
  <c r="K456" i="2" s="1"/>
  <c r="DJ456" i="2" s="1"/>
  <c r="K662" i="15"/>
  <c r="AS430" i="2"/>
  <c r="L663" i="15"/>
  <c r="BE431" i="2"/>
  <c r="K666" i="15"/>
  <c r="I666" i="15" s="1"/>
  <c r="K665" i="15"/>
  <c r="I665" i="15" s="1"/>
  <c r="AS433" i="2"/>
  <c r="K669" i="15"/>
  <c r="I669" i="15" s="1"/>
  <c r="AF475" i="2"/>
  <c r="I694" i="15"/>
  <c r="AF587" i="2"/>
  <c r="L662" i="15"/>
  <c r="BE430" i="2"/>
  <c r="K663" i="15"/>
  <c r="AS431" i="2"/>
  <c r="I700" i="15"/>
  <c r="AF627" i="2"/>
  <c r="I706" i="15"/>
  <c r="AF633" i="2"/>
  <c r="I718" i="15"/>
  <c r="AF767" i="2"/>
  <c r="I676" i="15"/>
  <c r="AF517" i="2"/>
  <c r="I677" i="15"/>
  <c r="AF518" i="2"/>
  <c r="I678" i="15"/>
  <c r="AF519" i="2"/>
  <c r="I679" i="15"/>
  <c r="AF520" i="2"/>
  <c r="L664" i="15"/>
  <c r="BE432" i="2"/>
  <c r="K664" i="15"/>
  <c r="AS432" i="2"/>
  <c r="I650" i="15"/>
  <c r="I651" i="15"/>
  <c r="I648" i="15"/>
  <c r="I649" i="15"/>
  <c r="L646" i="15"/>
  <c r="K646" i="15"/>
  <c r="F297" i="2"/>
  <c r="AF297" i="2" s="1"/>
  <c r="F296" i="2"/>
  <c r="AF296" i="2" s="1"/>
  <c r="Z324" i="15"/>
  <c r="O110" i="15"/>
  <c r="W110" i="15" s="1"/>
  <c r="V110" i="15" s="1"/>
  <c r="U110" i="15" s="1"/>
  <c r="O128" i="15"/>
  <c r="W128" i="15" s="1"/>
  <c r="V128" i="15" s="1"/>
  <c r="U128" i="15" s="1"/>
  <c r="O119" i="15"/>
  <c r="W119" i="15" s="1"/>
  <c r="V119" i="15" s="1"/>
  <c r="U119" i="15" s="1"/>
  <c r="K161" i="15"/>
  <c r="I161" i="15" s="1"/>
  <c r="I87" i="6"/>
  <c r="Q84" i="15" s="1"/>
  <c r="O84" i="15" s="1"/>
  <c r="W84" i="15" s="1"/>
  <c r="V84" i="15" s="1"/>
  <c r="U84" i="15" s="1"/>
  <c r="K84" i="15"/>
  <c r="I84" i="15" s="1"/>
  <c r="AF87" i="6"/>
  <c r="K1412" i="6"/>
  <c r="K1494" i="6" s="1"/>
  <c r="J1494" i="6" s="1"/>
  <c r="AF1412" i="6"/>
  <c r="F4493" i="6"/>
  <c r="L302" i="15" s="1"/>
  <c r="AF4585" i="6"/>
  <c r="F4557" i="6"/>
  <c r="L324" i="15" s="1"/>
  <c r="Z301" i="15"/>
  <c r="DH4520" i="6"/>
  <c r="X312" i="15"/>
  <c r="Z312" i="15" s="1"/>
  <c r="L157" i="15"/>
  <c r="I157" i="15" s="1"/>
  <c r="K86" i="15"/>
  <c r="I86" i="15" s="1"/>
  <c r="AF91" i="6"/>
  <c r="DH4496" i="6"/>
  <c r="X304" i="15"/>
  <c r="Z304" i="15" s="1"/>
  <c r="O113" i="15"/>
  <c r="W113" i="15" s="1"/>
  <c r="V113" i="15" s="1"/>
  <c r="U113" i="15" s="1"/>
  <c r="K162" i="15"/>
  <c r="I96" i="6"/>
  <c r="Q90" i="15" s="1"/>
  <c r="O90" i="15" s="1"/>
  <c r="W90" i="15" s="1"/>
  <c r="V90" i="15" s="1"/>
  <c r="U90" i="15" s="1"/>
  <c r="K90" i="15"/>
  <c r="I90" i="15" s="1"/>
  <c r="AF96" i="6"/>
  <c r="DH1271" i="6"/>
  <c r="X158" i="15"/>
  <c r="Z158" i="15" s="1"/>
  <c r="I100" i="6"/>
  <c r="Q92" i="15" s="1"/>
  <c r="K92" i="15"/>
  <c r="I92" i="15" s="1"/>
  <c r="AF100" i="6"/>
  <c r="DH4554" i="6"/>
  <c r="Y323" i="15"/>
  <c r="Z323" i="15" s="1"/>
  <c r="L158" i="15"/>
  <c r="I158" i="15" s="1"/>
  <c r="I102" i="6"/>
  <c r="Q94" i="15" s="1"/>
  <c r="O94" i="15" s="1"/>
  <c r="W94" i="15" s="1"/>
  <c r="V94" i="15" s="1"/>
  <c r="U94" i="15" s="1"/>
  <c r="K94" i="15"/>
  <c r="I94" i="15" s="1"/>
  <c r="AF102" i="6"/>
  <c r="DH4566" i="6"/>
  <c r="X327" i="15"/>
  <c r="Z327" i="15" s="1"/>
  <c r="DH4492" i="6"/>
  <c r="X302" i="15"/>
  <c r="Z302" i="15" s="1"/>
  <c r="D80" i="15"/>
  <c r="L162" i="15"/>
  <c r="BB162" i="15" s="1"/>
  <c r="BG162" i="15" s="1"/>
  <c r="K1490" i="6"/>
  <c r="J1490" i="6" s="1"/>
  <c r="K95" i="15"/>
  <c r="I95" i="15" s="1"/>
  <c r="AF104" i="6"/>
  <c r="DH4478" i="6"/>
  <c r="Y298" i="15"/>
  <c r="Z298" i="15" s="1"/>
  <c r="DH4504" i="6"/>
  <c r="X307" i="15"/>
  <c r="Z307" i="15" s="1"/>
  <c r="Z315" i="15"/>
  <c r="K1363" i="6"/>
  <c r="J1363" i="6" s="1"/>
  <c r="Z80" i="15"/>
  <c r="W80" i="15" s="1"/>
  <c r="V80" i="15" s="1"/>
  <c r="I7" i="6"/>
  <c r="K159" i="15"/>
  <c r="I159" i="15" s="1"/>
  <c r="K96" i="15"/>
  <c r="I96" i="15" s="1"/>
  <c r="AF105" i="6"/>
  <c r="K85" i="15"/>
  <c r="I85" i="15" s="1"/>
  <c r="AF89" i="6"/>
  <c r="O122" i="15"/>
  <c r="W122" i="15" s="1"/>
  <c r="V122" i="15" s="1"/>
  <c r="U122" i="15" s="1"/>
  <c r="O125" i="15"/>
  <c r="W125" i="15" s="1"/>
  <c r="V125" i="15" s="1"/>
  <c r="U125" i="15" s="1"/>
  <c r="DH4514" i="6"/>
  <c r="Y309" i="15"/>
  <c r="Z309" i="15" s="1"/>
  <c r="DH4500" i="6"/>
  <c r="X306" i="15"/>
  <c r="Z306" i="15" s="1"/>
  <c r="K98" i="15"/>
  <c r="I98" i="15" s="1"/>
  <c r="AF109" i="6"/>
  <c r="DH4524" i="6"/>
  <c r="X314" i="15"/>
  <c r="DH4526" i="6"/>
  <c r="Y314" i="15"/>
  <c r="K101" i="15"/>
  <c r="I101" i="15" s="1"/>
  <c r="AF113" i="6"/>
  <c r="DH4508" i="6"/>
  <c r="X308" i="15"/>
  <c r="Z308" i="15" s="1"/>
  <c r="D78" i="15"/>
  <c r="AF37" i="6"/>
  <c r="DH4484" i="6"/>
  <c r="X300" i="15"/>
  <c r="Z300" i="15" s="1"/>
  <c r="DH1275" i="6"/>
  <c r="X160" i="15"/>
  <c r="Z160" i="15" s="1"/>
  <c r="M82" i="15"/>
  <c r="J82" i="15" s="1"/>
  <c r="AF85" i="6"/>
  <c r="Z317" i="15"/>
  <c r="DH9" i="6"/>
  <c r="X79" i="15"/>
  <c r="Z79" i="15" s="1"/>
  <c r="W79" i="15" s="1"/>
  <c r="V79" i="15" s="1"/>
  <c r="K1411" i="6"/>
  <c r="AF1411" i="6"/>
  <c r="DH4544" i="6"/>
  <c r="X320" i="15"/>
  <c r="Z320" i="15" s="1"/>
  <c r="DH1277" i="6"/>
  <c r="X161" i="15"/>
  <c r="Z161" i="15" s="1"/>
  <c r="M84" i="15"/>
  <c r="J84" i="15" s="1"/>
  <c r="AF88" i="6"/>
  <c r="Z322" i="15"/>
  <c r="K88" i="15"/>
  <c r="I88" i="15" s="1"/>
  <c r="AF93" i="6"/>
  <c r="K89" i="15"/>
  <c r="I89" i="15" s="1"/>
  <c r="AF95" i="6"/>
  <c r="DH4480" i="6"/>
  <c r="X299" i="15"/>
  <c r="Z299" i="15" s="1"/>
  <c r="J1274" i="6"/>
  <c r="DH1274" i="6" s="1"/>
  <c r="X159" i="15"/>
  <c r="Z159" i="15" s="1"/>
  <c r="K100" i="15"/>
  <c r="I100" i="15" s="1"/>
  <c r="AF111" i="6"/>
  <c r="DH4540" i="6"/>
  <c r="X318" i="15"/>
  <c r="Z318" i="15" s="1"/>
  <c r="DH4570" i="6"/>
  <c r="X329" i="15"/>
  <c r="Z329" i="15" s="1"/>
  <c r="DH13" i="6"/>
  <c r="X81" i="15"/>
  <c r="Z81" i="15" s="1"/>
  <c r="W81" i="15" s="1"/>
  <c r="V81" i="15" s="1"/>
  <c r="Z316" i="15"/>
  <c r="DH7" i="6"/>
  <c r="X78" i="15"/>
  <c r="H14" i="6"/>
  <c r="D81" i="15"/>
  <c r="K102" i="15"/>
  <c r="I102" i="15" s="1"/>
  <c r="AF114" i="6"/>
  <c r="O116" i="15"/>
  <c r="W116" i="15" s="1"/>
  <c r="V116" i="15" s="1"/>
  <c r="U116" i="15" s="1"/>
  <c r="K160" i="15"/>
  <c r="BA160" i="15" s="1"/>
  <c r="I120" i="6"/>
  <c r="Q106" i="15" s="1"/>
  <c r="O106" i="15" s="1"/>
  <c r="W106" i="15" s="1"/>
  <c r="V106" i="15" s="1"/>
  <c r="U106" i="15" s="1"/>
  <c r="K106" i="15"/>
  <c r="I106" i="15" s="1"/>
  <c r="AF120" i="6"/>
  <c r="I118" i="6"/>
  <c r="Q104" i="15" s="1"/>
  <c r="K104" i="15"/>
  <c r="I104" i="15" s="1"/>
  <c r="AF118" i="6"/>
  <c r="Z325" i="15"/>
  <c r="K107" i="15"/>
  <c r="I107" i="15" s="1"/>
  <c r="AF122" i="6"/>
  <c r="DH4542" i="6"/>
  <c r="X319" i="15"/>
  <c r="Z319" i="15" s="1"/>
  <c r="DH4516" i="6"/>
  <c r="X310" i="15"/>
  <c r="Z310" i="15" s="1"/>
  <c r="DH4498" i="6"/>
  <c r="X305" i="15"/>
  <c r="Z305" i="15" s="1"/>
  <c r="L160" i="15"/>
  <c r="BB160" i="15" s="1"/>
  <c r="BG160" i="15" s="1"/>
  <c r="I86" i="6"/>
  <c r="Q83" i="15" s="1"/>
  <c r="K83" i="15"/>
  <c r="I83" i="15" s="1"/>
  <c r="AF86" i="6"/>
  <c r="DH24" i="2"/>
  <c r="X584" i="15"/>
  <c r="Z584" i="15" s="1"/>
  <c r="W584" i="15" s="1"/>
  <c r="DH12" i="2"/>
  <c r="X572" i="15"/>
  <c r="Z572" i="15" s="1"/>
  <c r="W572" i="15" s="1"/>
  <c r="DH23" i="2"/>
  <c r="X583" i="15"/>
  <c r="Z583" i="15" s="1"/>
  <c r="W583" i="15" s="1"/>
  <c r="V583" i="15" s="1"/>
  <c r="DH11" i="2"/>
  <c r="X571" i="15"/>
  <c r="Z571" i="15" s="1"/>
  <c r="W571" i="15" s="1"/>
  <c r="DH155" i="2"/>
  <c r="DI155" i="2" s="1"/>
  <c r="AE608" i="15" s="1"/>
  <c r="AC608" i="15" s="1"/>
  <c r="X608" i="15"/>
  <c r="Z608" i="15" s="1"/>
  <c r="W608" i="15" s="1"/>
  <c r="DH22" i="2"/>
  <c r="X582" i="15"/>
  <c r="Z582" i="15" s="1"/>
  <c r="DH16" i="2"/>
  <c r="X576" i="15"/>
  <c r="Z576" i="15" s="1"/>
  <c r="I707" i="15"/>
  <c r="DH20" i="2"/>
  <c r="X580" i="15"/>
  <c r="Z580" i="15" s="1"/>
  <c r="DH156" i="2"/>
  <c r="DI156" i="2" s="1"/>
  <c r="AE609" i="15" s="1"/>
  <c r="AC609" i="15" s="1"/>
  <c r="X609" i="15"/>
  <c r="Z609" i="15" s="1"/>
  <c r="W609" i="15" s="1"/>
  <c r="L427" i="2"/>
  <c r="Q659" i="15" s="1"/>
  <c r="O659" i="15" s="1"/>
  <c r="W659" i="15" s="1"/>
  <c r="V659" i="15" s="1"/>
  <c r="U659" i="15" s="1"/>
  <c r="K659" i="15"/>
  <c r="I659" i="15" s="1"/>
  <c r="DH18" i="2"/>
  <c r="X578" i="15"/>
  <c r="Z578" i="15" s="1"/>
  <c r="DH26" i="2"/>
  <c r="X586" i="15"/>
  <c r="Z586" i="15" s="1"/>
  <c r="W586" i="15" s="1"/>
  <c r="F682" i="2"/>
  <c r="I709" i="15"/>
  <c r="DH29" i="2"/>
  <c r="X589" i="15"/>
  <c r="Z589" i="15" s="1"/>
  <c r="W589" i="15" s="1"/>
  <c r="AB636" i="15"/>
  <c r="AB649" i="15"/>
  <c r="L426" i="2"/>
  <c r="Q658" i="15" s="1"/>
  <c r="O658" i="15" s="1"/>
  <c r="W658" i="15" s="1"/>
  <c r="V658" i="15" s="1"/>
  <c r="U658" i="15" s="1"/>
  <c r="K658" i="15"/>
  <c r="DH30" i="2"/>
  <c r="X590" i="15"/>
  <c r="Z590" i="15" s="1"/>
  <c r="W590" i="15" s="1"/>
  <c r="DH154" i="2"/>
  <c r="DI154" i="2" s="1"/>
  <c r="X607" i="15"/>
  <c r="Z607" i="15" s="1"/>
  <c r="W607" i="15" s="1"/>
  <c r="AB35" i="15"/>
  <c r="DH288" i="16"/>
  <c r="DI288" i="16" s="1"/>
  <c r="AE35" i="15" s="1"/>
  <c r="AC35" i="15" s="1"/>
  <c r="X35" i="15"/>
  <c r="Z35" i="15" s="1"/>
  <c r="W35" i="15" s="1"/>
  <c r="AB34" i="15"/>
  <c r="DH287" i="16"/>
  <c r="DI287" i="16" s="1"/>
  <c r="AE34" i="15" s="1"/>
  <c r="AC34" i="15" s="1"/>
  <c r="X34" i="15"/>
  <c r="Z34" i="15" s="1"/>
  <c r="W34" i="15" s="1"/>
  <c r="AB21" i="15"/>
  <c r="DH70" i="16"/>
  <c r="DI70" i="16" s="1"/>
  <c r="AE21" i="15" s="1"/>
  <c r="X21" i="15"/>
  <c r="Z21" i="15" s="1"/>
  <c r="W21" i="15" s="1"/>
  <c r="AB20" i="15"/>
  <c r="DH68" i="16"/>
  <c r="DI68" i="16" s="1"/>
  <c r="AE20" i="15" s="1"/>
  <c r="X20" i="15"/>
  <c r="Z20" i="15" s="1"/>
  <c r="W20" i="15" s="1"/>
  <c r="AB19" i="15"/>
  <c r="DH66" i="16"/>
  <c r="DI66" i="16" s="1"/>
  <c r="AE19" i="15" s="1"/>
  <c r="X19" i="15"/>
  <c r="Z19" i="15" s="1"/>
  <c r="W19" i="15" s="1"/>
  <c r="AB18" i="15"/>
  <c r="DH64" i="16"/>
  <c r="DI64" i="16" s="1"/>
  <c r="AE18" i="15" s="1"/>
  <c r="X18" i="15"/>
  <c r="Z18" i="15" s="1"/>
  <c r="W18" i="15" s="1"/>
  <c r="AB17" i="15"/>
  <c r="AB16" i="15"/>
  <c r="DH60" i="16"/>
  <c r="DI60" i="16" s="1"/>
  <c r="AE16" i="15" s="1"/>
  <c r="X16" i="15"/>
  <c r="Z16" i="15" s="1"/>
  <c r="W16" i="15" s="1"/>
  <c r="AB15" i="15"/>
  <c r="AB14" i="15"/>
  <c r="AB13" i="15"/>
  <c r="AB12" i="15"/>
  <c r="DH52" i="16"/>
  <c r="DI52" i="16" s="1"/>
  <c r="AE12" i="15" s="1"/>
  <c r="X12" i="15"/>
  <c r="Z12" i="15" s="1"/>
  <c r="W12" i="15" s="1"/>
  <c r="AB11" i="15"/>
  <c r="DH50" i="16"/>
  <c r="DI50" i="16" s="1"/>
  <c r="AE11" i="15" s="1"/>
  <c r="X11" i="15"/>
  <c r="Z11" i="15" s="1"/>
  <c r="W11" i="15" s="1"/>
  <c r="DH48" i="16"/>
  <c r="DI48" i="16" s="1"/>
  <c r="AE10" i="15" s="1"/>
  <c r="X10" i="15"/>
  <c r="Z10" i="15" s="1"/>
  <c r="W10" i="15" s="1"/>
  <c r="AB9" i="15"/>
  <c r="DH7" i="16"/>
  <c r="X9" i="15"/>
  <c r="Z9" i="15" s="1"/>
  <c r="W9" i="15" s="1"/>
  <c r="I9" i="15"/>
  <c r="AF7" i="16"/>
  <c r="DH180" i="16"/>
  <c r="X25" i="15"/>
  <c r="Z25" i="15" s="1"/>
  <c r="W25" i="15" s="1"/>
  <c r="DH179" i="16"/>
  <c r="X24" i="15"/>
  <c r="Z24" i="15" s="1"/>
  <c r="W24" i="15" s="1"/>
  <c r="AB24" i="15"/>
  <c r="AB25" i="15"/>
  <c r="AB22" i="15"/>
  <c r="DH155" i="16"/>
  <c r="DI155" i="16" s="1"/>
  <c r="X23" i="15"/>
  <c r="Z23" i="15" s="1"/>
  <c r="W23" i="15" s="1"/>
  <c r="AB23" i="15"/>
  <c r="AB10" i="15"/>
  <c r="AB36" i="15"/>
  <c r="AB37" i="15"/>
  <c r="I36" i="15"/>
  <c r="AF313" i="16"/>
  <c r="I37" i="15"/>
  <c r="AF314" i="16"/>
  <c r="G56" i="15"/>
  <c r="AX56" i="15" s="1"/>
  <c r="DH184" i="5"/>
  <c r="X60" i="15"/>
  <c r="Z60" i="15" s="1"/>
  <c r="W60" i="15" s="1"/>
  <c r="AB70" i="15"/>
  <c r="AB63" i="15"/>
  <c r="AB44" i="15"/>
  <c r="AB53" i="15"/>
  <c r="AB62" i="15"/>
  <c r="AB54" i="15"/>
  <c r="AB60" i="15"/>
  <c r="AB72" i="15"/>
  <c r="DH135" i="5"/>
  <c r="DI135" i="5" s="1"/>
  <c r="X57" i="15"/>
  <c r="Z57" i="15" s="1"/>
  <c r="W57" i="15" s="1"/>
  <c r="AB65" i="15"/>
  <c r="DH232" i="5"/>
  <c r="X63" i="15"/>
  <c r="Z63" i="15" s="1"/>
  <c r="W63" i="15" s="1"/>
  <c r="DH84" i="5"/>
  <c r="DI84" i="5" s="1"/>
  <c r="AE52" i="15" s="1"/>
  <c r="AC52" i="15" s="1"/>
  <c r="X52" i="15"/>
  <c r="Z52" i="15" s="1"/>
  <c r="W52" i="15" s="1"/>
  <c r="AB42" i="15"/>
  <c r="AB45" i="15"/>
  <c r="AB57" i="15"/>
  <c r="AB68" i="15"/>
  <c r="DH231" i="5"/>
  <c r="X62" i="15"/>
  <c r="Z62" i="15" s="1"/>
  <c r="W62" i="15" s="1"/>
  <c r="DH86" i="5"/>
  <c r="DI86" i="5" s="1"/>
  <c r="AE54" i="15" s="1"/>
  <c r="AC54" i="15" s="1"/>
  <c r="X54" i="15"/>
  <c r="Z54" i="15" s="1"/>
  <c r="W54" i="15" s="1"/>
  <c r="AB46" i="15"/>
  <c r="AF133" i="5"/>
  <c r="I55" i="15"/>
  <c r="AB71" i="15"/>
  <c r="DH85" i="5"/>
  <c r="DI85" i="5" s="1"/>
  <c r="AE53" i="15" s="1"/>
  <c r="AC53" i="15" s="1"/>
  <c r="X53" i="15"/>
  <c r="Z53" i="15" s="1"/>
  <c r="W53" i="15" s="1"/>
  <c r="AB43" i="15"/>
  <c r="DH42" i="5"/>
  <c r="DI42" i="5" s="1"/>
  <c r="X46" i="15"/>
  <c r="Z46" i="15" s="1"/>
  <c r="F7" i="5"/>
  <c r="DH270" i="5"/>
  <c r="X64" i="15"/>
  <c r="Z64" i="15" s="1"/>
  <c r="W64" i="15" s="1"/>
  <c r="DH307" i="5"/>
  <c r="X74" i="15"/>
  <c r="Z74" i="15" s="1"/>
  <c r="W74" i="15" s="1"/>
  <c r="DH10" i="5"/>
  <c r="X45" i="15"/>
  <c r="Z45" i="15" s="1"/>
  <c r="W45" i="15" s="1"/>
  <c r="V45" i="15" s="1"/>
  <c r="AB74" i="15"/>
  <c r="DH278" i="5"/>
  <c r="X72" i="15"/>
  <c r="Z72" i="15" s="1"/>
  <c r="W72" i="15" s="1"/>
  <c r="AB56" i="15"/>
  <c r="AF135" i="5"/>
  <c r="I57" i="15"/>
  <c r="AB58" i="15"/>
  <c r="F46" i="5"/>
  <c r="I50" i="15" s="1"/>
  <c r="F47" i="5"/>
  <c r="I51" i="15" s="1"/>
  <c r="AB69" i="15"/>
  <c r="AF85" i="5"/>
  <c r="I53" i="15"/>
  <c r="DH133" i="5"/>
  <c r="DI133" i="5" s="1"/>
  <c r="X55" i="15"/>
  <c r="Z55" i="15" s="1"/>
  <c r="W55" i="15" s="1"/>
  <c r="DH183" i="5"/>
  <c r="X59" i="15"/>
  <c r="Z59" i="15" s="1"/>
  <c r="W59" i="15" s="1"/>
  <c r="AB64" i="15"/>
  <c r="AB55" i="15"/>
  <c r="AB59" i="15"/>
  <c r="AB66" i="15"/>
  <c r="AB61" i="15"/>
  <c r="DH273" i="5"/>
  <c r="DI273" i="5" s="1"/>
  <c r="AE67" i="15" s="1"/>
  <c r="AC67" i="15" s="1"/>
  <c r="X67" i="15"/>
  <c r="Z67" i="15" s="1"/>
  <c r="W67" i="15" s="1"/>
  <c r="AB52" i="15"/>
  <c r="DH134" i="5"/>
  <c r="DI134" i="5" s="1"/>
  <c r="AE56" i="15" s="1"/>
  <c r="AC56" i="15" s="1"/>
  <c r="X56" i="15"/>
  <c r="Z56" i="15" s="1"/>
  <c r="W56" i="15" s="1"/>
  <c r="AB67" i="15"/>
  <c r="DH274" i="5"/>
  <c r="DI274" i="5" s="1"/>
  <c r="X68" i="15"/>
  <c r="Z68" i="15" s="1"/>
  <c r="W68" i="15" s="1"/>
  <c r="K1044" i="7"/>
  <c r="AF84" i="5"/>
  <c r="AF86" i="5"/>
  <c r="AF134" i="5"/>
  <c r="AF274" i="5"/>
  <c r="AF275" i="5"/>
  <c r="F232" i="5"/>
  <c r="AF245" i="5"/>
  <c r="F278" i="5"/>
  <c r="AF295" i="5"/>
  <c r="F277" i="5"/>
  <c r="AF294" i="5"/>
  <c r="AF42" i="5"/>
  <c r="M956" i="7"/>
  <c r="O461" i="15" s="1"/>
  <c r="U461" i="15" s="1"/>
  <c r="F965" i="7"/>
  <c r="P966" i="7"/>
  <c r="DJ966" i="7" s="1"/>
  <c r="G1026" i="7"/>
  <c r="Q966" i="7" s="1"/>
  <c r="I708" i="15"/>
  <c r="M957" i="7"/>
  <c r="O462" i="15" s="1"/>
  <c r="U462" i="15" s="1"/>
  <c r="K1228" i="6"/>
  <c r="K1213" i="6"/>
  <c r="K1241" i="6"/>
  <c r="K1232" i="6"/>
  <c r="K1215" i="6"/>
  <c r="K1230" i="6"/>
  <c r="K1216" i="6"/>
  <c r="K1218" i="6"/>
  <c r="K1251" i="6"/>
  <c r="K1238" i="6"/>
  <c r="K1239" i="6"/>
  <c r="K1220" i="6"/>
  <c r="K1224" i="6"/>
  <c r="K1549" i="6"/>
  <c r="DJ1549" i="6" s="1"/>
  <c r="BB222" i="15"/>
  <c r="BB224" i="15" s="1"/>
  <c r="BG224" i="15" s="1"/>
  <c r="F1275" i="7"/>
  <c r="F1225" i="7" s="1"/>
  <c r="F1273" i="7"/>
  <c r="AF1273" i="7" s="1"/>
  <c r="F1276" i="7"/>
  <c r="AF1276" i="7" s="1"/>
  <c r="K1647" i="6"/>
  <c r="DJ1647" i="6" s="1"/>
  <c r="K1667" i="6"/>
  <c r="DJ1667" i="6" s="1"/>
  <c r="K1881" i="6"/>
  <c r="DJ1881" i="6" s="1"/>
  <c r="K1615" i="6"/>
  <c r="DJ1615" i="6" s="1"/>
  <c r="K1885" i="6"/>
  <c r="DJ1885" i="6" s="1"/>
  <c r="K1587" i="6"/>
  <c r="DJ1587" i="6" s="1"/>
  <c r="K1861" i="6"/>
  <c r="DJ1861" i="6" s="1"/>
  <c r="K1623" i="6"/>
  <c r="DJ1623" i="6" s="1"/>
  <c r="K1889" i="6"/>
  <c r="DJ1889" i="6" s="1"/>
  <c r="K1591" i="6"/>
  <c r="DJ1591" i="6" s="1"/>
  <c r="K1635" i="6"/>
  <c r="DJ1635" i="6" s="1"/>
  <c r="K1877" i="6"/>
  <c r="DJ1877" i="6" s="1"/>
  <c r="K1571" i="6"/>
  <c r="DJ1571" i="6" s="1"/>
  <c r="F1101" i="7"/>
  <c r="F230" i="5"/>
  <c r="BA184" i="15"/>
  <c r="BF184" i="15" s="1"/>
  <c r="BA222" i="15"/>
  <c r="BF222" i="15" s="1"/>
  <c r="BD169" i="15"/>
  <c r="BD172" i="15" s="1"/>
  <c r="BI172" i="15" s="1"/>
  <c r="BB246" i="15"/>
  <c r="BG246" i="15" s="1"/>
  <c r="BA163" i="15"/>
  <c r="BF163" i="15" s="1"/>
  <c r="J1416" i="6"/>
  <c r="AF1416" i="6" s="1"/>
  <c r="J1415" i="6"/>
  <c r="F1382" i="6"/>
  <c r="DI1382" i="6" s="1"/>
  <c r="F1380" i="6"/>
  <c r="DI1380" i="6" s="1"/>
  <c r="K4046" i="6"/>
  <c r="K4074" i="6"/>
  <c r="K4078" i="6"/>
  <c r="K4064" i="6"/>
  <c r="K4056" i="6"/>
  <c r="BB223" i="15"/>
  <c r="BB225" i="15" s="1"/>
  <c r="BG225" i="15" s="1"/>
  <c r="BB214" i="15"/>
  <c r="BB260" i="15" s="1"/>
  <c r="BG260" i="15" s="1"/>
  <c r="BD214" i="15"/>
  <c r="BI214" i="15" s="1"/>
  <c r="BB235" i="15"/>
  <c r="BB285" i="15" s="1"/>
  <c r="BG285" i="15" s="1"/>
  <c r="F869" i="2"/>
  <c r="I727" i="15" s="1"/>
  <c r="F870" i="2"/>
  <c r="BB217" i="15"/>
  <c r="BB265" i="15" s="1"/>
  <c r="BG265" i="15" s="1"/>
  <c r="BC223" i="15"/>
  <c r="BH223" i="15" s="1"/>
  <c r="J4087" i="6"/>
  <c r="J3963" i="6"/>
  <c r="J4349" i="6"/>
  <c r="J4117" i="6"/>
  <c r="J3931" i="6"/>
  <c r="J4317" i="6"/>
  <c r="J4401" i="6"/>
  <c r="J4015" i="6"/>
  <c r="B1549" i="6"/>
  <c r="J4079" i="6"/>
  <c r="J4407" i="6"/>
  <c r="J4021" i="6"/>
  <c r="J4269" i="6"/>
  <c r="J3883" i="6"/>
  <c r="J4363" i="6"/>
  <c r="J3977" i="6"/>
  <c r="J4153" i="6"/>
  <c r="B1755" i="6"/>
  <c r="J4285" i="6"/>
  <c r="J3899" i="6"/>
  <c r="F1378" i="6"/>
  <c r="DI1378" i="6" s="1"/>
  <c r="J4197" i="6"/>
  <c r="J4121" i="6"/>
  <c r="J4215" i="6"/>
  <c r="J4145" i="6"/>
  <c r="J4029" i="6"/>
  <c r="J4415" i="6"/>
  <c r="J4101" i="6"/>
  <c r="J4165" i="6"/>
  <c r="J4301" i="6"/>
  <c r="J3915" i="6"/>
  <c r="J3993" i="6"/>
  <c r="J4379" i="6"/>
  <c r="J4423" i="6"/>
  <c r="J4037" i="6"/>
  <c r="J4177" i="6"/>
  <c r="J4391" i="6"/>
  <c r="J4005" i="6"/>
  <c r="K1414" i="6"/>
  <c r="K1498" i="6" s="1"/>
  <c r="J1498" i="6" s="1"/>
  <c r="F1384" i="6"/>
  <c r="DI1384" i="6" s="1"/>
  <c r="J4333" i="6"/>
  <c r="J3947" i="6"/>
  <c r="J4131" i="6"/>
  <c r="J4025" i="6"/>
  <c r="J4411" i="6"/>
  <c r="J4033" i="6"/>
  <c r="J4419" i="6"/>
  <c r="J4111" i="6"/>
  <c r="BC194" i="15"/>
  <c r="BC198" i="15" s="1"/>
  <c r="BC184" i="15"/>
  <c r="BC188" i="15" s="1"/>
  <c r="BD211" i="15"/>
  <c r="BD257" i="15" s="1"/>
  <c r="BI257" i="15" s="1"/>
  <c r="BA190" i="15"/>
  <c r="BF190" i="15" s="1"/>
  <c r="BB280" i="15"/>
  <c r="BB281" i="15" s="1"/>
  <c r="BG281" i="15" s="1"/>
  <c r="BC190" i="15"/>
  <c r="BC192" i="15" s="1"/>
  <c r="BD221" i="15"/>
  <c r="BD269" i="15" s="1"/>
  <c r="BI269" i="15" s="1"/>
  <c r="E1259" i="7"/>
  <c r="F118" i="16"/>
  <c r="F59" i="16" s="1"/>
  <c r="F122" i="16"/>
  <c r="F71" i="16" s="1"/>
  <c r="F120" i="16"/>
  <c r="F65" i="16" s="1"/>
  <c r="F119" i="16"/>
  <c r="F61" i="16" s="1"/>
  <c r="F121" i="16"/>
  <c r="F67" i="16" s="1"/>
  <c r="F117" i="16"/>
  <c r="F57" i="16" s="1"/>
  <c r="F116" i="16"/>
  <c r="AF116" i="16" s="1"/>
  <c r="F115" i="16"/>
  <c r="F53" i="16" s="1"/>
  <c r="BC213" i="15"/>
  <c r="BH213" i="15" s="1"/>
  <c r="BD215" i="15"/>
  <c r="BD261" i="15" s="1"/>
  <c r="BI261" i="15" s="1"/>
  <c r="BD217" i="15"/>
  <c r="BD265" i="15" s="1"/>
  <c r="BI265" i="15" s="1"/>
  <c r="L772" i="6"/>
  <c r="AJ139" i="15" s="1"/>
  <c r="L749" i="6"/>
  <c r="AJ130" i="15" s="1"/>
  <c r="L778" i="6"/>
  <c r="AJ143" i="15" s="1"/>
  <c r="L752" i="6"/>
  <c r="AJ132" i="15" s="1"/>
  <c r="L754" i="6"/>
  <c r="AJ133" i="15" s="1"/>
  <c r="L782" i="6"/>
  <c r="AJ145" i="15" s="1"/>
  <c r="L764" i="6"/>
  <c r="AJ136" i="15" s="1"/>
  <c r="L777" i="6"/>
  <c r="AJ142" i="15" s="1"/>
  <c r="L751" i="6"/>
  <c r="AJ131" i="15" s="1"/>
  <c r="L776" i="6"/>
  <c r="AJ141" i="15" s="1"/>
  <c r="I105" i="6"/>
  <c r="Q96" i="15" s="1"/>
  <c r="O96" i="15" s="1"/>
  <c r="W96" i="15" s="1"/>
  <c r="V96" i="15" s="1"/>
  <c r="U96" i="15" s="1"/>
  <c r="I85" i="6"/>
  <c r="S82" i="15" s="1"/>
  <c r="P82" i="15" s="1"/>
  <c r="I109" i="6"/>
  <c r="Q98" i="15" s="1"/>
  <c r="I89" i="6"/>
  <c r="Q85" i="15" s="1"/>
  <c r="O85" i="15" s="1"/>
  <c r="W85" i="15" s="1"/>
  <c r="V85" i="15" s="1"/>
  <c r="U85" i="15" s="1"/>
  <c r="I111" i="6"/>
  <c r="Q100" i="15" s="1"/>
  <c r="O100" i="15" s="1"/>
  <c r="W100" i="15" s="1"/>
  <c r="V100" i="15" s="1"/>
  <c r="U100" i="15" s="1"/>
  <c r="I113" i="6"/>
  <c r="Q101" i="15" s="1"/>
  <c r="I114" i="6"/>
  <c r="Q102" i="15" s="1"/>
  <c r="O102" i="15" s="1"/>
  <c r="W102" i="15" s="1"/>
  <c r="V102" i="15" s="1"/>
  <c r="U102" i="15" s="1"/>
  <c r="I122" i="6"/>
  <c r="Q107" i="15" s="1"/>
  <c r="I95" i="6"/>
  <c r="Q89" i="15" s="1"/>
  <c r="I91" i="6"/>
  <c r="Q86" i="15" s="1"/>
  <c r="I104" i="6"/>
  <c r="Q95" i="15" s="1"/>
  <c r="I88" i="6"/>
  <c r="S84" i="15" s="1"/>
  <c r="P84" i="15" s="1"/>
  <c r="I93" i="6"/>
  <c r="Q88" i="15" s="1"/>
  <c r="O88" i="15" s="1"/>
  <c r="W88" i="15" s="1"/>
  <c r="V88" i="15" s="1"/>
  <c r="U88" i="15" s="1"/>
  <c r="BD175" i="15"/>
  <c r="BD178" i="15" s="1"/>
  <c r="BI178" i="15" s="1"/>
  <c r="V4632" i="6"/>
  <c r="V4630" i="6"/>
  <c r="V4628" i="6"/>
  <c r="V4626" i="6"/>
  <c r="V4631" i="6"/>
  <c r="V4629" i="6"/>
  <c r="V4627" i="6"/>
  <c r="V4625" i="6"/>
  <c r="V4620" i="6"/>
  <c r="V4618" i="6"/>
  <c r="V4619" i="6"/>
  <c r="V4617" i="6"/>
  <c r="BB169" i="15"/>
  <c r="BG169" i="15" s="1"/>
  <c r="BD246" i="15"/>
  <c r="BD247" i="15" s="1"/>
  <c r="BI247" i="15" s="1"/>
  <c r="BC280" i="15"/>
  <c r="BH280" i="15" s="1"/>
  <c r="BB196" i="15"/>
  <c r="BB200" i="15" s="1"/>
  <c r="BG200" i="15" s="1"/>
  <c r="BB229" i="15"/>
  <c r="BG229" i="15" s="1"/>
  <c r="BB242" i="15"/>
  <c r="BG242" i="15" s="1"/>
  <c r="BD280" i="15"/>
  <c r="BD281" i="15" s="1"/>
  <c r="BI281" i="15" s="1"/>
  <c r="BB182" i="15"/>
  <c r="BG182" i="15" s="1"/>
  <c r="BB185" i="15"/>
  <c r="BG185" i="15" s="1"/>
  <c r="BD185" i="15"/>
  <c r="BD189" i="15" s="1"/>
  <c r="BI189" i="15" s="1"/>
  <c r="BB213" i="15"/>
  <c r="BG213" i="15" s="1"/>
  <c r="BA182" i="15"/>
  <c r="BF182" i="15" s="1"/>
  <c r="V4640" i="6"/>
  <c r="V4644" i="6"/>
  <c r="V4636" i="6"/>
  <c r="V4623" i="6"/>
  <c r="V4638" i="6"/>
  <c r="V4642" i="6"/>
  <c r="V4637" i="6"/>
  <c r="V4639" i="6"/>
  <c r="V4635" i="6"/>
  <c r="V4643" i="6"/>
  <c r="V4634" i="6"/>
  <c r="V4622" i="6"/>
  <c r="V4633" i="6"/>
  <c r="V4621" i="6"/>
  <c r="V4624" i="6"/>
  <c r="V4641" i="6"/>
  <c r="BD196" i="15"/>
  <c r="BD200" i="15" s="1"/>
  <c r="BI200" i="15" s="1"/>
  <c r="BB184" i="15"/>
  <c r="BA216" i="15"/>
  <c r="BA264" i="15" s="1"/>
  <c r="BB149" i="15"/>
  <c r="BB153" i="15" s="1"/>
  <c r="BG153" i="15" s="1"/>
  <c r="BD149" i="15"/>
  <c r="BI149" i="15" s="1"/>
  <c r="BD184" i="15"/>
  <c r="BD188" i="15" s="1"/>
  <c r="BI188" i="15" s="1"/>
  <c r="BC210" i="15"/>
  <c r="BH210" i="15" s="1"/>
  <c r="BD212" i="15"/>
  <c r="BI212" i="15" s="1"/>
  <c r="F1102" i="7"/>
  <c r="F182" i="5"/>
  <c r="I58" i="15" s="1"/>
  <c r="F183" i="5"/>
  <c r="I59" i="15" s="1"/>
  <c r="F306" i="5"/>
  <c r="I73" i="15" s="1"/>
  <c r="F308" i="5"/>
  <c r="I75" i="15" s="1"/>
  <c r="DH314" i="16"/>
  <c r="DI314" i="16" s="1"/>
  <c r="AE37" i="15" s="1"/>
  <c r="AC37" i="15" s="1"/>
  <c r="W342" i="7"/>
  <c r="J451" i="7"/>
  <c r="I450" i="7"/>
  <c r="F1177" i="7"/>
  <c r="F1179" i="7"/>
  <c r="F1178" i="7"/>
  <c r="F1182" i="7"/>
  <c r="F1180" i="7"/>
  <c r="F1181" i="7"/>
  <c r="F1183" i="7"/>
  <c r="F1184" i="7"/>
  <c r="F1188" i="7"/>
  <c r="F1187" i="7"/>
  <c r="F1186" i="7"/>
  <c r="M451" i="7"/>
  <c r="DJ451" i="7" s="1"/>
  <c r="K1186" i="7"/>
  <c r="DJ1186" i="7" s="1"/>
  <c r="M448" i="7"/>
  <c r="DJ448" i="7" s="1"/>
  <c r="F7" i="7"/>
  <c r="F10" i="7"/>
  <c r="F13" i="7"/>
  <c r="G322" i="5"/>
  <c r="M450" i="7"/>
  <c r="DJ450" i="7" s="1"/>
  <c r="M449" i="7"/>
  <c r="DJ449" i="7" s="1"/>
  <c r="M447" i="7"/>
  <c r="DJ447" i="7" s="1"/>
  <c r="DH867" i="7"/>
  <c r="DI867" i="7" s="1"/>
  <c r="AE449" i="15" s="1"/>
  <c r="F4516" i="6"/>
  <c r="K310" i="15" s="1"/>
  <c r="F4476" i="6"/>
  <c r="K298" i="15" s="1"/>
  <c r="AX45" i="15"/>
  <c r="E93" i="16"/>
  <c r="E91" i="16"/>
  <c r="DJ1042" i="7"/>
  <c r="DI783" i="2"/>
  <c r="AE719" i="15" s="1"/>
  <c r="AC719" i="15" s="1"/>
  <c r="I783" i="2"/>
  <c r="O719" i="15" s="1"/>
  <c r="W719" i="15" s="1"/>
  <c r="V719" i="15" s="1"/>
  <c r="U719" i="15" s="1"/>
  <c r="L339" i="2"/>
  <c r="Q646" i="15" s="1"/>
  <c r="O646" i="15" s="1"/>
  <c r="U646" i="15" s="1"/>
  <c r="I80" i="2"/>
  <c r="O595" i="15" s="1"/>
  <c r="W595" i="15" s="1"/>
  <c r="V595" i="15" s="1"/>
  <c r="U595" i="15" s="1"/>
  <c r="E101" i="16"/>
  <c r="B1889" i="6"/>
  <c r="B1893" i="6"/>
  <c r="B1571" i="6"/>
  <c r="C1772" i="6"/>
  <c r="K1772" i="6" s="1"/>
  <c r="DJ1772" i="6" s="1"/>
  <c r="B1771" i="6"/>
  <c r="B1615" i="6"/>
  <c r="BD219" i="15"/>
  <c r="BI219" i="15" s="1"/>
  <c r="C1582" i="6"/>
  <c r="K1582" i="6" s="1"/>
  <c r="DJ1582" i="6" s="1"/>
  <c r="B1581" i="6"/>
  <c r="B1833" i="6"/>
  <c r="B1877" i="6"/>
  <c r="B1601" i="6"/>
  <c r="B1623" i="6"/>
  <c r="B1787" i="6"/>
  <c r="BB215" i="15"/>
  <c r="BB261" i="15" s="1"/>
  <c r="BG261" i="15" s="1"/>
  <c r="B1557" i="6"/>
  <c r="B1667" i="6"/>
  <c r="C1820" i="6"/>
  <c r="K1820" i="6" s="1"/>
  <c r="DJ1820" i="6" s="1"/>
  <c r="B1819" i="6"/>
  <c r="C1872" i="6"/>
  <c r="K1872" i="6" s="1"/>
  <c r="DJ1872" i="6" s="1"/>
  <c r="B1871" i="6"/>
  <c r="B1685" i="6"/>
  <c r="B1587" i="6"/>
  <c r="B1635" i="6"/>
  <c r="B1885" i="6"/>
  <c r="B1803" i="6"/>
  <c r="B1861" i="6"/>
  <c r="C1740" i="6"/>
  <c r="K1740" i="6" s="1"/>
  <c r="DJ1740" i="6" s="1"/>
  <c r="B1739" i="6"/>
  <c r="B1881" i="6"/>
  <c r="B1849" i="6"/>
  <c r="B1591" i="6"/>
  <c r="B1647" i="6"/>
  <c r="F553" i="7"/>
  <c r="I1138" i="7"/>
  <c r="Q491" i="15" s="1"/>
  <c r="O491" i="15" s="1"/>
  <c r="V491" i="15" s="1"/>
  <c r="U491" i="15" s="1"/>
  <c r="I1132" i="7"/>
  <c r="Q501" i="15" s="1"/>
  <c r="O501" i="15" s="1"/>
  <c r="V501" i="15" s="1"/>
  <c r="U501" i="15" s="1"/>
  <c r="E98" i="16"/>
  <c r="BC196" i="15"/>
  <c r="BA195" i="15"/>
  <c r="BA199" i="15" s="1"/>
  <c r="BD210" i="15"/>
  <c r="BD256" i="15" s="1"/>
  <c r="BI256" i="15" s="1"/>
  <c r="BD206" i="15"/>
  <c r="BB272" i="15"/>
  <c r="BG272" i="15" s="1"/>
  <c r="BA208" i="15"/>
  <c r="BF208" i="15" s="1"/>
  <c r="BB233" i="15"/>
  <c r="BB283" i="15" s="1"/>
  <c r="BG283" i="15" s="1"/>
  <c r="BC230" i="15"/>
  <c r="BH230" i="15" s="1"/>
  <c r="BA206" i="15"/>
  <c r="BF206" i="15" s="1"/>
  <c r="BA231" i="15"/>
  <c r="BA237" i="15" s="1"/>
  <c r="BD213" i="15"/>
  <c r="BD259" i="15" s="1"/>
  <c r="BI259" i="15" s="1"/>
  <c r="BC206" i="15"/>
  <c r="BH206" i="15" s="1"/>
  <c r="BA272" i="15"/>
  <c r="BA273" i="15" s="1"/>
  <c r="BD272" i="15"/>
  <c r="BI272" i="15" s="1"/>
  <c r="BC208" i="15"/>
  <c r="BH208" i="15" s="1"/>
  <c r="BA228" i="15"/>
  <c r="BA276" i="15" s="1"/>
  <c r="BA207" i="15"/>
  <c r="BA251" i="15" s="1"/>
  <c r="BA227" i="15"/>
  <c r="BF227" i="15" s="1"/>
  <c r="AZ171" i="15"/>
  <c r="AX14" i="15"/>
  <c r="I48" i="16"/>
  <c r="Q10" i="15" s="1"/>
  <c r="E107" i="16"/>
  <c r="I56" i="16"/>
  <c r="Q14" i="15" s="1"/>
  <c r="E138" i="16"/>
  <c r="E89" i="16"/>
  <c r="E124" i="16"/>
  <c r="BA211" i="15"/>
  <c r="BF211" i="15" s="1"/>
  <c r="BC138" i="15"/>
  <c r="BH138" i="15" s="1"/>
  <c r="BA210" i="15"/>
  <c r="BF210" i="15" s="1"/>
  <c r="BD235" i="15"/>
  <c r="BD285" i="15" s="1"/>
  <c r="BI285" i="15" s="1"/>
  <c r="BD223" i="15"/>
  <c r="BD225" i="15" s="1"/>
  <c r="BI225" i="15" s="1"/>
  <c r="BA194" i="15"/>
  <c r="BF194" i="15" s="1"/>
  <c r="BB205" i="15"/>
  <c r="BB249" i="15" s="1"/>
  <c r="BG249" i="15" s="1"/>
  <c r="BA205" i="15"/>
  <c r="BA249" i="15" s="1"/>
  <c r="BB138" i="15"/>
  <c r="BB133" i="15" s="1"/>
  <c r="BC207" i="15"/>
  <c r="BB183" i="15"/>
  <c r="BG183" i="15" s="1"/>
  <c r="BC231" i="15"/>
  <c r="BH231" i="15" s="1"/>
  <c r="BB212" i="15"/>
  <c r="BB258" i="15" s="1"/>
  <c r="BG258" i="15" s="1"/>
  <c r="BC249" i="15"/>
  <c r="BH205" i="15"/>
  <c r="BA240" i="15"/>
  <c r="BC240" i="15"/>
  <c r="BD137" i="15"/>
  <c r="BI137" i="15" s="1"/>
  <c r="BD135" i="15"/>
  <c r="BI135" i="15" s="1"/>
  <c r="BB219" i="15"/>
  <c r="BB216" i="15"/>
  <c r="BA241" i="15"/>
  <c r="BC241" i="15"/>
  <c r="BB197" i="15"/>
  <c r="BB135" i="15"/>
  <c r="BG135" i="15" s="1"/>
  <c r="BB137" i="15"/>
  <c r="BG137" i="15" s="1"/>
  <c r="BD216" i="15"/>
  <c r="BC217" i="15"/>
  <c r="BD181" i="15"/>
  <c r="BI181" i="15" s="1"/>
  <c r="BD203" i="15"/>
  <c r="BI203" i="15" s="1"/>
  <c r="BB218" i="15"/>
  <c r="BB228" i="15"/>
  <c r="BC218" i="15"/>
  <c r="BD228" i="15"/>
  <c r="BD183" i="15"/>
  <c r="BA204" i="15"/>
  <c r="BD218" i="15"/>
  <c r="BB209" i="15"/>
  <c r="BD195" i="15"/>
  <c r="BB191" i="15"/>
  <c r="BC244" i="15"/>
  <c r="BB231" i="15"/>
  <c r="BB220" i="15"/>
  <c r="BA213" i="15"/>
  <c r="BD191" i="15"/>
  <c r="BA134" i="15"/>
  <c r="BA136" i="15"/>
  <c r="BA223" i="15"/>
  <c r="BD220" i="15"/>
  <c r="BC136" i="15"/>
  <c r="BC134" i="15"/>
  <c r="BB232" i="15"/>
  <c r="BB239" i="15"/>
  <c r="BG239" i="15" s="1"/>
  <c r="BD239" i="15"/>
  <c r="BI239" i="15" s="1"/>
  <c r="BB211" i="15"/>
  <c r="BA131" i="15"/>
  <c r="BA130" i="15"/>
  <c r="BC214" i="15"/>
  <c r="BD227" i="15"/>
  <c r="BC219" i="15"/>
  <c r="BD138" i="15"/>
  <c r="BB210" i="15"/>
  <c r="BB226" i="15"/>
  <c r="BA209" i="15"/>
  <c r="BD234" i="15"/>
  <c r="BB221" i="15"/>
  <c r="BB150" i="15"/>
  <c r="BC130" i="15"/>
  <c r="BC131" i="15"/>
  <c r="BC182" i="15"/>
  <c r="BD197" i="15"/>
  <c r="BD232" i="15"/>
  <c r="BB240" i="15"/>
  <c r="BG240" i="15" s="1"/>
  <c r="BD240" i="15"/>
  <c r="BI240" i="15" s="1"/>
  <c r="BD244" i="15"/>
  <c r="BA217" i="15"/>
  <c r="BD207" i="15"/>
  <c r="BD231" i="15"/>
  <c r="BD233" i="15"/>
  <c r="BA244" i="15"/>
  <c r="BA212" i="15"/>
  <c r="BC226" i="15"/>
  <c r="BC209" i="15"/>
  <c r="BD205" i="15"/>
  <c r="BL205" i="15" s="1"/>
  <c r="BB175" i="15"/>
  <c r="BB208" i="15"/>
  <c r="BD150" i="15"/>
  <c r="BB134" i="15"/>
  <c r="BG134" i="15" s="1"/>
  <c r="BB136" i="15"/>
  <c r="BG136" i="15" s="1"/>
  <c r="BB195" i="15"/>
  <c r="BD136" i="15"/>
  <c r="BI136" i="15" s="1"/>
  <c r="BD134" i="15"/>
  <c r="BI134" i="15" s="1"/>
  <c r="BC238" i="15"/>
  <c r="BA238" i="15"/>
  <c r="BA219" i="15"/>
  <c r="BB207" i="15"/>
  <c r="BA226" i="15"/>
  <c r="BB234" i="15"/>
  <c r="BB227" i="15"/>
  <c r="BB244" i="15"/>
  <c r="BD226" i="15"/>
  <c r="BC215" i="15"/>
  <c r="BD209" i="15"/>
  <c r="BD208" i="15"/>
  <c r="BB163" i="15"/>
  <c r="BA113" i="15"/>
  <c r="BA112" i="15"/>
  <c r="BC114" i="15"/>
  <c r="BC116" i="15"/>
  <c r="BA119" i="15"/>
  <c r="BA118" i="15"/>
  <c r="BA128" i="15"/>
  <c r="BA126" i="15"/>
  <c r="BA125" i="15"/>
  <c r="BA124" i="15"/>
  <c r="BC128" i="15"/>
  <c r="BC126" i="15"/>
  <c r="BA110" i="15"/>
  <c r="BA108" i="15"/>
  <c r="AH175" i="15"/>
  <c r="D306" i="16"/>
  <c r="V306" i="16" s="1"/>
  <c r="DL427" i="2"/>
  <c r="E143" i="16"/>
  <c r="E106" i="16"/>
  <c r="DL426" i="2"/>
  <c r="AX79" i="2"/>
  <c r="DL430" i="2"/>
  <c r="DL431" i="2"/>
  <c r="DL432" i="2"/>
  <c r="DL433" i="2"/>
  <c r="I58" i="16"/>
  <c r="Q15" i="15" s="1"/>
  <c r="E144" i="16"/>
  <c r="E129" i="16"/>
  <c r="E96" i="16"/>
  <c r="E130" i="16"/>
  <c r="AF135" i="15"/>
  <c r="DH32" i="2"/>
  <c r="BD278" i="15"/>
  <c r="BC271" i="15"/>
  <c r="BA286" i="15"/>
  <c r="BA279" i="15"/>
  <c r="BD286" i="15"/>
  <c r="BD255" i="15"/>
  <c r="BA254" i="15"/>
  <c r="BD271" i="15"/>
  <c r="BB254" i="15"/>
  <c r="BD279" i="15"/>
  <c r="BA262" i="15"/>
  <c r="BD263" i="15"/>
  <c r="BC255" i="15"/>
  <c r="BC270" i="15"/>
  <c r="BB270" i="15"/>
  <c r="BC278" i="15"/>
  <c r="AC641" i="7"/>
  <c r="E1297" i="7"/>
  <c r="DH277" i="5"/>
  <c r="I273" i="5"/>
  <c r="O67" i="15" s="1"/>
  <c r="M236" i="2"/>
  <c r="F220" i="2" s="1"/>
  <c r="AF220" i="2" s="1"/>
  <c r="DI80" i="2"/>
  <c r="AE595" i="15" s="1"/>
  <c r="AC595" i="15" s="1"/>
  <c r="AQ97" i="2"/>
  <c r="DH28" i="2"/>
  <c r="AJ79" i="2"/>
  <c r="DH15" i="2"/>
  <c r="I52" i="16"/>
  <c r="Q12" i="15" s="1"/>
  <c r="DH252" i="16"/>
  <c r="DI252" i="16" s="1"/>
  <c r="D147" i="16"/>
  <c r="V147" i="16" s="1"/>
  <c r="D171" i="16"/>
  <c r="V171" i="16" s="1"/>
  <c r="DH9" i="5"/>
  <c r="DH1820" i="6"/>
  <c r="AC655" i="7"/>
  <c r="E1277" i="7"/>
  <c r="DH67" i="7"/>
  <c r="AC642" i="7"/>
  <c r="AY97" i="2"/>
  <c r="I629" i="2"/>
  <c r="O702" i="15" s="1"/>
  <c r="U702" i="15" s="1"/>
  <c r="I153" i="2"/>
  <c r="O606" i="15" s="1"/>
  <c r="V606" i="15" s="1"/>
  <c r="U606" i="15" s="1"/>
  <c r="O621" i="15"/>
  <c r="V621" i="15" s="1"/>
  <c r="U621" i="15" s="1"/>
  <c r="BE139" i="2"/>
  <c r="I589" i="2"/>
  <c r="O696" i="15" s="1"/>
  <c r="W696" i="15" s="1"/>
  <c r="V696" i="15" s="1"/>
  <c r="U696" i="15" s="1"/>
  <c r="AW97" i="2"/>
  <c r="I539" i="2"/>
  <c r="O682" i="15" s="1"/>
  <c r="V682" i="15" s="1"/>
  <c r="U682" i="15" s="1"/>
  <c r="I585" i="2"/>
  <c r="O692" i="15" s="1"/>
  <c r="W692" i="15" s="1"/>
  <c r="V692" i="15" s="1"/>
  <c r="U692" i="15" s="1"/>
  <c r="BB139" i="2"/>
  <c r="I609" i="2"/>
  <c r="O697" i="15" s="1"/>
  <c r="V697" i="15" s="1"/>
  <c r="U697" i="15" s="1"/>
  <c r="I563" i="2"/>
  <c r="O689" i="15" s="1"/>
  <c r="V689" i="15" s="1"/>
  <c r="U689" i="15" s="1"/>
  <c r="I697" i="2"/>
  <c r="O711" i="15" s="1"/>
  <c r="V711" i="15" s="1"/>
  <c r="U711" i="15" s="1"/>
  <c r="I561" i="2"/>
  <c r="O687" i="15" s="1"/>
  <c r="V687" i="15" s="1"/>
  <c r="U687" i="15" s="1"/>
  <c r="M237" i="2"/>
  <c r="F221" i="2" s="1"/>
  <c r="AF221" i="2" s="1"/>
  <c r="I557" i="2"/>
  <c r="O683" i="15" s="1"/>
  <c r="V683" i="15" s="1"/>
  <c r="U683" i="15" s="1"/>
  <c r="DH25" i="2"/>
  <c r="F320" i="2"/>
  <c r="I474" i="2"/>
  <c r="Q668" i="15" s="1"/>
  <c r="O668" i="15" s="1"/>
  <c r="U668" i="15" s="1"/>
  <c r="I1141" i="7"/>
  <c r="Q509" i="15" s="1"/>
  <c r="O509" i="15" s="1"/>
  <c r="V509" i="15" s="1"/>
  <c r="U509" i="15" s="1"/>
  <c r="F959" i="7"/>
  <c r="F484" i="7"/>
  <c r="DH1803" i="6"/>
  <c r="I1203" i="6"/>
  <c r="I1249" i="6" s="1"/>
  <c r="I854" i="6"/>
  <c r="I881" i="6" s="1"/>
  <c r="I868" i="6"/>
  <c r="I895" i="6" s="1"/>
  <c r="I1182" i="6"/>
  <c r="I1228" i="6" s="1"/>
  <c r="I1196" i="6"/>
  <c r="I1242" i="6" s="1"/>
  <c r="I1179" i="6"/>
  <c r="I1225" i="6" s="1"/>
  <c r="I855" i="6"/>
  <c r="I882" i="6" s="1"/>
  <c r="I871" i="6"/>
  <c r="I898" i="6" s="1"/>
  <c r="I1183" i="6"/>
  <c r="I1229" i="6" s="1"/>
  <c r="I1197" i="6"/>
  <c r="I1243" i="6" s="1"/>
  <c r="I1180" i="6"/>
  <c r="I856" i="6"/>
  <c r="I883" i="6" s="1"/>
  <c r="I872" i="6"/>
  <c r="I1186" i="6"/>
  <c r="I1232" i="6" s="1"/>
  <c r="I1198" i="6"/>
  <c r="I1244" i="6" s="1"/>
  <c r="I1181" i="6"/>
  <c r="I1227" i="6" s="1"/>
  <c r="I857" i="6"/>
  <c r="I884" i="6" s="1"/>
  <c r="I873" i="6"/>
  <c r="I900" i="6" s="1"/>
  <c r="I1168" i="6"/>
  <c r="I1214" i="6" s="1"/>
  <c r="I1187" i="6"/>
  <c r="I1233" i="6" s="1"/>
  <c r="I1199" i="6"/>
  <c r="I1245" i="6" s="1"/>
  <c r="I1201" i="6"/>
  <c r="I1247" i="6" s="1"/>
  <c r="I1195" i="6"/>
  <c r="I1241" i="6" s="1"/>
  <c r="I879" i="6"/>
  <c r="I906" i="6" s="1"/>
  <c r="I858" i="6"/>
  <c r="I885" i="6" s="1"/>
  <c r="I874" i="6"/>
  <c r="I901" i="6" s="1"/>
  <c r="I1169" i="6"/>
  <c r="I1215" i="6" s="1"/>
  <c r="I1188" i="6"/>
  <c r="I1234" i="6" s="1"/>
  <c r="I1200" i="6"/>
  <c r="I1246" i="6" s="1"/>
  <c r="I1204" i="6"/>
  <c r="I1250" i="6" s="1"/>
  <c r="I1176" i="6"/>
  <c r="I1222" i="6" s="1"/>
  <c r="I859" i="6"/>
  <c r="I886" i="6" s="1"/>
  <c r="I875" i="6"/>
  <c r="I902" i="6" s="1"/>
  <c r="I1170" i="6"/>
  <c r="I1216" i="6" s="1"/>
  <c r="I1189" i="6"/>
  <c r="I1235" i="6" s="1"/>
  <c r="I1205" i="6"/>
  <c r="I1251" i="6" s="1"/>
  <c r="I862" i="6"/>
  <c r="I889" i="6" s="1"/>
  <c r="I876" i="6"/>
  <c r="I903" i="6" s="1"/>
  <c r="I1171" i="6"/>
  <c r="I1217" i="6" s="1"/>
  <c r="I1190" i="6"/>
  <c r="I1236" i="6" s="1"/>
  <c r="I1206" i="6"/>
  <c r="I1252" i="6" s="1"/>
  <c r="I869" i="6"/>
  <c r="I896" i="6" s="1"/>
  <c r="I1202" i="6"/>
  <c r="I1248" i="6" s="1"/>
  <c r="I867" i="6"/>
  <c r="I894" i="6" s="1"/>
  <c r="I1178" i="6"/>
  <c r="I1224" i="6" s="1"/>
  <c r="I863" i="6"/>
  <c r="I890" i="6" s="1"/>
  <c r="I877" i="6"/>
  <c r="I904" i="6" s="1"/>
  <c r="I1172" i="6"/>
  <c r="I1218" i="6" s="1"/>
  <c r="I1191" i="6"/>
  <c r="I1237" i="6" s="1"/>
  <c r="I1209" i="6"/>
  <c r="I1255" i="6" s="1"/>
  <c r="I870" i="6"/>
  <c r="I897" i="6" s="1"/>
  <c r="I1207" i="6"/>
  <c r="I1253" i="6" s="1"/>
  <c r="I864" i="6"/>
  <c r="I891" i="6" s="1"/>
  <c r="I880" i="6"/>
  <c r="I907" i="6" s="1"/>
  <c r="I1173" i="6"/>
  <c r="I1219" i="6" s="1"/>
  <c r="I1192" i="6"/>
  <c r="I1238" i="6" s="1"/>
  <c r="I1210" i="6"/>
  <c r="I1256" i="6" s="1"/>
  <c r="I861" i="6"/>
  <c r="I1208" i="6"/>
  <c r="I1254" i="6" s="1"/>
  <c r="I1185" i="6"/>
  <c r="I1231" i="6" s="1"/>
  <c r="I865" i="6"/>
  <c r="I892" i="6" s="1"/>
  <c r="I1174" i="6"/>
  <c r="I1220" i="6" s="1"/>
  <c r="I1193" i="6"/>
  <c r="I1239" i="6" s="1"/>
  <c r="I1211" i="6"/>
  <c r="I1257" i="6" s="1"/>
  <c r="I1184" i="6"/>
  <c r="I1230" i="6" s="1"/>
  <c r="I860" i="6"/>
  <c r="I887" i="6" s="1"/>
  <c r="I1167" i="6"/>
  <c r="I1213" i="6" s="1"/>
  <c r="I866" i="6"/>
  <c r="I893" i="6" s="1"/>
  <c r="I1175" i="6"/>
  <c r="I1221" i="6" s="1"/>
  <c r="I1194" i="6"/>
  <c r="I1240" i="6" s="1"/>
  <c r="I1212" i="6"/>
  <c r="I1258" i="6" s="1"/>
  <c r="I878" i="6"/>
  <c r="I905" i="6" s="1"/>
  <c r="I1177" i="6"/>
  <c r="I1223" i="6" s="1"/>
  <c r="K982" i="6"/>
  <c r="K983" i="6"/>
  <c r="K985" i="6"/>
  <c r="K987" i="6"/>
  <c r="DH770" i="6"/>
  <c r="DH817" i="6"/>
  <c r="DI817" i="6" s="1"/>
  <c r="AH138" i="15"/>
  <c r="DH754" i="6"/>
  <c r="DH1789" i="6"/>
  <c r="DH1851" i="6"/>
  <c r="AG134" i="15"/>
  <c r="F134" i="6"/>
  <c r="DH1889" i="6"/>
  <c r="DH550" i="7"/>
  <c r="I1220" i="7"/>
  <c r="Q525" i="15" s="1"/>
  <c r="F143" i="6"/>
  <c r="DH99" i="6"/>
  <c r="F146" i="6"/>
  <c r="DI146" i="6" s="1"/>
  <c r="F152" i="6"/>
  <c r="DI152" i="6" s="1"/>
  <c r="AF132" i="15"/>
  <c r="DH276" i="5"/>
  <c r="J134" i="5"/>
  <c r="O56" i="15" s="1"/>
  <c r="DH275" i="5"/>
  <c r="DI275" i="5" s="1"/>
  <c r="AE69" i="15" s="1"/>
  <c r="AC69" i="15" s="1"/>
  <c r="DH8" i="5"/>
  <c r="F8" i="5"/>
  <c r="I43" i="15" s="1"/>
  <c r="I68" i="16"/>
  <c r="Q20" i="15" s="1"/>
  <c r="DH54" i="16"/>
  <c r="DI54" i="16" s="1"/>
  <c r="AE13" i="15" s="1"/>
  <c r="I406" i="2"/>
  <c r="Q655" i="15" s="1"/>
  <c r="O655" i="15" s="1"/>
  <c r="W655" i="15" s="1"/>
  <c r="V655" i="15" s="1"/>
  <c r="U655" i="15" s="1"/>
  <c r="I560" i="2"/>
  <c r="O686" i="15" s="1"/>
  <c r="V686" i="15" s="1"/>
  <c r="U686" i="15" s="1"/>
  <c r="DH160" i="2"/>
  <c r="DI160" i="2" s="1"/>
  <c r="AE613" i="15" s="1"/>
  <c r="AC613" i="15" s="1"/>
  <c r="I164" i="2"/>
  <c r="O617" i="15" s="1"/>
  <c r="V617" i="15" s="1"/>
  <c r="U617" i="15" s="1"/>
  <c r="AP125" i="2"/>
  <c r="AS79" i="2"/>
  <c r="AK79" i="2"/>
  <c r="AJ97" i="2"/>
  <c r="F319" i="2"/>
  <c r="AZ113" i="2"/>
  <c r="I405" i="2"/>
  <c r="Q654" i="15" s="1"/>
  <c r="O654" i="15" s="1"/>
  <c r="W654" i="15" s="1"/>
  <c r="V654" i="15" s="1"/>
  <c r="U654" i="15" s="1"/>
  <c r="DH17" i="2"/>
  <c r="DH31" i="2"/>
  <c r="I799" i="2"/>
  <c r="O720" i="15" s="1"/>
  <c r="U720" i="15" s="1"/>
  <c r="I680" i="2"/>
  <c r="O710" i="15" s="1"/>
  <c r="V710" i="15" s="1"/>
  <c r="U710" i="15" s="1"/>
  <c r="I767" i="2"/>
  <c r="O718" i="15" s="1"/>
  <c r="V718" i="15" s="1"/>
  <c r="U718" i="15" s="1"/>
  <c r="I627" i="2"/>
  <c r="O700" i="15" s="1"/>
  <c r="U700" i="15" s="1"/>
  <c r="I587" i="2"/>
  <c r="O694" i="15" s="1"/>
  <c r="W694" i="15" s="1"/>
  <c r="V694" i="15" s="1"/>
  <c r="U694" i="15" s="1"/>
  <c r="I584" i="2"/>
  <c r="O691" i="15" s="1"/>
  <c r="W691" i="15" s="1"/>
  <c r="V691" i="15" s="1"/>
  <c r="U691" i="15" s="1"/>
  <c r="I588" i="2"/>
  <c r="O695" i="15" s="1"/>
  <c r="W695" i="15" s="1"/>
  <c r="V695" i="15" s="1"/>
  <c r="U695" i="15" s="1"/>
  <c r="I559" i="2"/>
  <c r="O685" i="15" s="1"/>
  <c r="V685" i="15" s="1"/>
  <c r="U685" i="15" s="1"/>
  <c r="I519" i="2"/>
  <c r="O678" i="15" s="1"/>
  <c r="V678" i="15" s="1"/>
  <c r="U678" i="15" s="1"/>
  <c r="I520" i="2"/>
  <c r="O679" i="15" s="1"/>
  <c r="V679" i="15" s="1"/>
  <c r="U679" i="15" s="1"/>
  <c r="I200" i="2"/>
  <c r="O626" i="15" s="1"/>
  <c r="V626" i="15" s="1"/>
  <c r="U626" i="15" s="1"/>
  <c r="I247" i="2"/>
  <c r="O635" i="15" s="1"/>
  <c r="W635" i="15" s="1"/>
  <c r="V635" i="15" s="1"/>
  <c r="U635" i="15" s="1"/>
  <c r="M235" i="2"/>
  <c r="F219" i="2" s="1"/>
  <c r="AF219" i="2" s="1"/>
  <c r="I160" i="2"/>
  <c r="O613" i="15" s="1"/>
  <c r="V613" i="15" s="1"/>
  <c r="U613" i="15" s="1"/>
  <c r="DH10" i="2"/>
  <c r="I155" i="2"/>
  <c r="O608" i="15" s="1"/>
  <c r="F751" i="2"/>
  <c r="I408" i="2"/>
  <c r="Q657" i="15" s="1"/>
  <c r="O657" i="15" s="1"/>
  <c r="W657" i="15" s="1"/>
  <c r="V657" i="15" s="1"/>
  <c r="U657" i="15" s="1"/>
  <c r="BJ139" i="2"/>
  <c r="L433" i="2"/>
  <c r="Q665" i="15" s="1"/>
  <c r="O665" i="15" s="1"/>
  <c r="W665" i="15" s="1"/>
  <c r="V665" i="15" s="1"/>
  <c r="U665" i="15" s="1"/>
  <c r="I157" i="2"/>
  <c r="O610" i="15" s="1"/>
  <c r="V610" i="15" s="1"/>
  <c r="U610" i="15" s="1"/>
  <c r="AN90" i="2"/>
  <c r="DI734" i="2"/>
  <c r="AE716" i="15" s="1"/>
  <c r="AC716" i="15" s="1"/>
  <c r="BC90" i="2"/>
  <c r="I264" i="2"/>
  <c r="O636" i="15" s="1"/>
  <c r="V636" i="15" s="1"/>
  <c r="U636" i="15" s="1"/>
  <c r="I355" i="2"/>
  <c r="O649" i="15" s="1"/>
  <c r="W649" i="15" s="1"/>
  <c r="V649" i="15" s="1"/>
  <c r="U649" i="15" s="1"/>
  <c r="DI408" i="2"/>
  <c r="AE657" i="15" s="1"/>
  <c r="AC657" i="15" s="1"/>
  <c r="I558" i="2"/>
  <c r="O684" i="15" s="1"/>
  <c r="V684" i="15" s="1"/>
  <c r="U684" i="15" s="1"/>
  <c r="I562" i="2"/>
  <c r="O688" i="15" s="1"/>
  <c r="V688" i="15" s="1"/>
  <c r="U688" i="15" s="1"/>
  <c r="I734" i="2"/>
  <c r="O716" i="15" s="1"/>
  <c r="W716" i="15" s="1"/>
  <c r="V716" i="15" s="1"/>
  <c r="U716" i="15" s="1"/>
  <c r="M238" i="2"/>
  <c r="F222" i="2" s="1"/>
  <c r="AF222" i="2" s="1"/>
  <c r="AS125" i="2"/>
  <c r="AC654" i="7"/>
  <c r="J715" i="7"/>
  <c r="O435" i="15" s="1"/>
  <c r="V435" i="15" s="1"/>
  <c r="U435" i="15" s="1"/>
  <c r="F964" i="7"/>
  <c r="I1224" i="7"/>
  <c r="Q527" i="15" s="1"/>
  <c r="F713" i="7"/>
  <c r="F272" i="5"/>
  <c r="I66" i="15" s="1"/>
  <c r="DH7" i="5"/>
  <c r="DH230" i="5"/>
  <c r="E147" i="16"/>
  <c r="E105" i="16"/>
  <c r="D148" i="16"/>
  <c r="V148" i="16" s="1"/>
  <c r="D194" i="16"/>
  <c r="V42" i="16"/>
  <c r="E104" i="16"/>
  <c r="I60" i="16"/>
  <c r="Q16" i="15" s="1"/>
  <c r="I50" i="16"/>
  <c r="Q11" i="15" s="1"/>
  <c r="AC121" i="16"/>
  <c r="I99" i="2"/>
  <c r="O597" i="15" s="1"/>
  <c r="V597" i="15" s="1"/>
  <c r="U597" i="15" s="1"/>
  <c r="DH159" i="2"/>
  <c r="DI159" i="2" s="1"/>
  <c r="AE612" i="15" s="1"/>
  <c r="AC612" i="15" s="1"/>
  <c r="DH19" i="2"/>
  <c r="I156" i="2"/>
  <c r="O609" i="15" s="1"/>
  <c r="I163" i="2"/>
  <c r="O616" i="15" s="1"/>
  <c r="V616" i="15" s="1"/>
  <c r="U616" i="15" s="1"/>
  <c r="I538" i="2"/>
  <c r="O681" i="15" s="1"/>
  <c r="V681" i="15" s="1"/>
  <c r="U681" i="15" s="1"/>
  <c r="I583" i="2"/>
  <c r="O690" i="15" s="1"/>
  <c r="W690" i="15" s="1"/>
  <c r="V690" i="15" s="1"/>
  <c r="U690" i="15" s="1"/>
  <c r="I679" i="2"/>
  <c r="O709" i="15" s="1"/>
  <c r="V709" i="15" s="1"/>
  <c r="U709" i="15" s="1"/>
  <c r="I717" i="2"/>
  <c r="O714" i="15" s="1"/>
  <c r="V714" i="15" s="1"/>
  <c r="U714" i="15" s="1"/>
  <c r="I357" i="2"/>
  <c r="O651" i="15" s="1"/>
  <c r="W651" i="15" s="1"/>
  <c r="V651" i="15" s="1"/>
  <c r="U651" i="15" s="1"/>
  <c r="I631" i="2"/>
  <c r="O704" i="15" s="1"/>
  <c r="U704" i="15" s="1"/>
  <c r="O620" i="15"/>
  <c r="V620" i="15" s="1"/>
  <c r="U620" i="15" s="1"/>
  <c r="I356" i="2"/>
  <c r="O650" i="15" s="1"/>
  <c r="W650" i="15" s="1"/>
  <c r="V650" i="15" s="1"/>
  <c r="U650" i="15" s="1"/>
  <c r="BD125" i="2"/>
  <c r="AR79" i="2"/>
  <c r="DI631" i="2"/>
  <c r="BE97" i="2"/>
  <c r="I632" i="2"/>
  <c r="O705" i="15" s="1"/>
  <c r="U705" i="15" s="1"/>
  <c r="M234" i="2"/>
  <c r="F218" i="2" s="1"/>
  <c r="AF218" i="2" s="1"/>
  <c r="BL139" i="2"/>
  <c r="DI632" i="2"/>
  <c r="AE705" i="15" s="1"/>
  <c r="AC705" i="15" s="1"/>
  <c r="AY90" i="2"/>
  <c r="I633" i="2"/>
  <c r="O706" i="15" s="1"/>
  <c r="U706" i="15" s="1"/>
  <c r="I374" i="2"/>
  <c r="O652" i="15" s="1"/>
  <c r="W652" i="15" s="1"/>
  <c r="V652" i="15" s="1"/>
  <c r="U652" i="15" s="1"/>
  <c r="I158" i="2"/>
  <c r="O611" i="15" s="1"/>
  <c r="V611" i="15" s="1"/>
  <c r="U611" i="15" s="1"/>
  <c r="I161" i="2"/>
  <c r="O614" i="15" s="1"/>
  <c r="V614" i="15" s="1"/>
  <c r="U614" i="15" s="1"/>
  <c r="I165" i="2"/>
  <c r="O618" i="15" s="1"/>
  <c r="V618" i="15" s="1"/>
  <c r="U618" i="15" s="1"/>
  <c r="I278" i="2"/>
  <c r="O637" i="15" s="1"/>
  <c r="V637" i="15" s="1"/>
  <c r="U637" i="15" s="1"/>
  <c r="F321" i="2"/>
  <c r="AF321" i="2" s="1"/>
  <c r="I98" i="2"/>
  <c r="O596" i="15" s="1"/>
  <c r="V596" i="15" s="1"/>
  <c r="U596" i="15" s="1"/>
  <c r="DI733" i="2"/>
  <c r="AE715" i="15" s="1"/>
  <c r="AC715" i="15" s="1"/>
  <c r="BP139" i="2"/>
  <c r="F432" i="2"/>
  <c r="AF432" i="2" s="1"/>
  <c r="L432" i="2"/>
  <c r="Q664" i="15" s="1"/>
  <c r="O664" i="15" s="1"/>
  <c r="W664" i="15" s="1"/>
  <c r="V664" i="15" s="1"/>
  <c r="U664" i="15" s="1"/>
  <c r="DH21" i="2"/>
  <c r="I154" i="2"/>
  <c r="O607" i="15" s="1"/>
  <c r="DI354" i="2"/>
  <c r="AE648" i="15" s="1"/>
  <c r="AC648" i="15" s="1"/>
  <c r="AW139" i="2"/>
  <c r="BC139" i="2"/>
  <c r="I199" i="2"/>
  <c r="O625" i="15" s="1"/>
  <c r="V625" i="15" s="1"/>
  <c r="U625" i="15" s="1"/>
  <c r="DH9" i="2"/>
  <c r="AQ79" i="2"/>
  <c r="DI633" i="2"/>
  <c r="AX97" i="2"/>
  <c r="AZ97" i="2"/>
  <c r="DI404" i="2"/>
  <c r="AE653" i="15" s="1"/>
  <c r="AC653" i="15" s="1"/>
  <c r="AP97" i="2"/>
  <c r="DH157" i="2"/>
  <c r="DI157" i="2" s="1"/>
  <c r="AE610" i="15" s="1"/>
  <c r="AC610" i="15" s="1"/>
  <c r="AZ125" i="2"/>
  <c r="AZ79" i="2"/>
  <c r="DI628" i="2"/>
  <c r="AJ90" i="2"/>
  <c r="DH158" i="2"/>
  <c r="DI158" i="2" s="1"/>
  <c r="AE611" i="15" s="1"/>
  <c r="AC611" i="15" s="1"/>
  <c r="DI405" i="2"/>
  <c r="AE654" i="15" s="1"/>
  <c r="AC654" i="15" s="1"/>
  <c r="DI427" i="2"/>
  <c r="AE659" i="15" s="1"/>
  <c r="AC659" i="15" s="1"/>
  <c r="AY79" i="2"/>
  <c r="I455" i="2"/>
  <c r="Q666" i="15" s="1"/>
  <c r="O666" i="15" s="1"/>
  <c r="W666" i="15" s="1"/>
  <c r="V666" i="15" s="1"/>
  <c r="U666" i="15" s="1"/>
  <c r="BE113" i="2"/>
  <c r="I586" i="2"/>
  <c r="O693" i="15" s="1"/>
  <c r="W693" i="15" s="1"/>
  <c r="V693" i="15" s="1"/>
  <c r="U693" i="15" s="1"/>
  <c r="AP113" i="2"/>
  <c r="F17" i="7"/>
  <c r="F153" i="6"/>
  <c r="DH794" i="6"/>
  <c r="DI794" i="6" s="1"/>
  <c r="DH272" i="5"/>
  <c r="F10" i="5"/>
  <c r="I45" i="15" s="1"/>
  <c r="I274" i="5"/>
  <c r="O68" i="15" s="1"/>
  <c r="F9" i="5"/>
  <c r="F270" i="5"/>
  <c r="I64" i="15" s="1"/>
  <c r="DH271" i="5"/>
  <c r="DH306" i="5"/>
  <c r="J84" i="5"/>
  <c r="O52" i="15" s="1"/>
  <c r="I275" i="5"/>
  <c r="O69" i="15" s="1"/>
  <c r="V69" i="15" s="1"/>
  <c r="U69" i="15" s="1"/>
  <c r="DH182" i="5"/>
  <c r="F271" i="5"/>
  <c r="F430" i="2"/>
  <c r="AF430" i="2" s="1"/>
  <c r="I537" i="2"/>
  <c r="O680" i="15" s="1"/>
  <c r="V680" i="15" s="1"/>
  <c r="U680" i="15" s="1"/>
  <c r="DI426" i="2"/>
  <c r="AE658" i="15" s="1"/>
  <c r="AC658" i="15" s="1"/>
  <c r="AV125" i="2"/>
  <c r="DI374" i="2"/>
  <c r="AE652" i="15" s="1"/>
  <c r="AC652" i="15" s="1"/>
  <c r="I1230" i="7"/>
  <c r="Q530" i="15" s="1"/>
  <c r="DI629" i="2"/>
  <c r="DI406" i="2"/>
  <c r="AE655" i="15" s="1"/>
  <c r="AC655" i="15" s="1"/>
  <c r="F426" i="2"/>
  <c r="AF426" i="2" s="1"/>
  <c r="AW125" i="2"/>
  <c r="F184" i="5"/>
  <c r="I475" i="2"/>
  <c r="Q669" i="15" s="1"/>
  <c r="O669" i="15" s="1"/>
  <c r="U669" i="15" s="1"/>
  <c r="DI356" i="2"/>
  <c r="AE650" i="15" s="1"/>
  <c r="AC650" i="15" s="1"/>
  <c r="AQ125" i="2"/>
  <c r="I42" i="5"/>
  <c r="O46" i="15" s="1"/>
  <c r="I1232" i="7"/>
  <c r="Q531" i="15" s="1"/>
  <c r="I407" i="2"/>
  <c r="Q656" i="15" s="1"/>
  <c r="O656" i="15" s="1"/>
  <c r="W656" i="15" s="1"/>
  <c r="V656" i="15" s="1"/>
  <c r="U656" i="15" s="1"/>
  <c r="I699" i="2"/>
  <c r="O713" i="15" s="1"/>
  <c r="V713" i="15" s="1"/>
  <c r="U713" i="15" s="1"/>
  <c r="DI357" i="2"/>
  <c r="AE651" i="15" s="1"/>
  <c r="AC651" i="15" s="1"/>
  <c r="J86" i="5"/>
  <c r="O54" i="15" s="1"/>
  <c r="AM125" i="2"/>
  <c r="I159" i="2"/>
  <c r="O612" i="15" s="1"/>
  <c r="V612" i="15" s="1"/>
  <c r="U612" i="15" s="1"/>
  <c r="I162" i="2"/>
  <c r="O615" i="15" s="1"/>
  <c r="V615" i="15" s="1"/>
  <c r="U615" i="15" s="1"/>
  <c r="I166" i="2"/>
  <c r="O619" i="15" s="1"/>
  <c r="V619" i="15" s="1"/>
  <c r="U619" i="15" s="1"/>
  <c r="DI407" i="2"/>
  <c r="AE656" i="15" s="1"/>
  <c r="AC656" i="15" s="1"/>
  <c r="DI264" i="2"/>
  <c r="AE636" i="15" s="1"/>
  <c r="AC636" i="15" s="1"/>
  <c r="I404" i="2"/>
  <c r="Q653" i="15" s="1"/>
  <c r="O653" i="15" s="1"/>
  <c r="W653" i="15" s="1"/>
  <c r="V653" i="15" s="1"/>
  <c r="U653" i="15" s="1"/>
  <c r="AV139" i="2"/>
  <c r="DI99" i="2"/>
  <c r="DI1043" i="7"/>
  <c r="AE483" i="15" s="1"/>
  <c r="AC483" i="15" s="1"/>
  <c r="I179" i="16"/>
  <c r="O24" i="15" s="1"/>
  <c r="DI355" i="2"/>
  <c r="AE649" i="15" s="1"/>
  <c r="AC649" i="15" s="1"/>
  <c r="DI519" i="2"/>
  <c r="AE678" i="15" s="1"/>
  <c r="AC678" i="15" s="1"/>
  <c r="DI538" i="2"/>
  <c r="AE681" i="15" s="1"/>
  <c r="AC681" i="15" s="1"/>
  <c r="DI559" i="2"/>
  <c r="AE685" i="15" s="1"/>
  <c r="AC685" i="15" s="1"/>
  <c r="DI563" i="2"/>
  <c r="AE689" i="15" s="1"/>
  <c r="AC689" i="15" s="1"/>
  <c r="DI583" i="2"/>
  <c r="AE690" i="15" s="1"/>
  <c r="AC690" i="15" s="1"/>
  <c r="DI587" i="2"/>
  <c r="AE694" i="15" s="1"/>
  <c r="AC694" i="15" s="1"/>
  <c r="AL113" i="2"/>
  <c r="I628" i="2"/>
  <c r="O701" i="15" s="1"/>
  <c r="U701" i="15" s="1"/>
  <c r="I354" i="2"/>
  <c r="O648" i="15" s="1"/>
  <c r="W648" i="15" s="1"/>
  <c r="V648" i="15" s="1"/>
  <c r="U648" i="15" s="1"/>
  <c r="DI153" i="2"/>
  <c r="AE606" i="15" s="1"/>
  <c r="AC606" i="15" s="1"/>
  <c r="DI164" i="2"/>
  <c r="AE617" i="15" s="1"/>
  <c r="AC617" i="15" s="1"/>
  <c r="DI168" i="2"/>
  <c r="AE621" i="15" s="1"/>
  <c r="AC621" i="15" s="1"/>
  <c r="I201" i="16"/>
  <c r="O28" i="15" s="1"/>
  <c r="U28" i="15" s="1"/>
  <c r="BB79" i="2"/>
  <c r="F967" i="7"/>
  <c r="AC653" i="7"/>
  <c r="F485" i="7"/>
  <c r="DH63" i="7"/>
  <c r="D508" i="7"/>
  <c r="V508" i="7" s="1"/>
  <c r="DH715" i="7"/>
  <c r="DI715" i="7" s="1"/>
  <c r="AE435" i="15" s="1"/>
  <c r="AC435" i="15" s="1"/>
  <c r="DH1147" i="7"/>
  <c r="DI1147" i="7" s="1"/>
  <c r="AE499" i="15" s="1"/>
  <c r="AC499" i="15" s="1"/>
  <c r="DH1143" i="7"/>
  <c r="DI1143" i="7" s="1"/>
  <c r="AE498" i="15" s="1"/>
  <c r="AC498" i="15" s="1"/>
  <c r="DH1090" i="7"/>
  <c r="I66" i="16"/>
  <c r="Q19" i="15" s="1"/>
  <c r="I642" i="7"/>
  <c r="R420" i="15" s="1"/>
  <c r="I655" i="7"/>
  <c r="Q427" i="15" s="1"/>
  <c r="I1135" i="7"/>
  <c r="Q496" i="15" s="1"/>
  <c r="O496" i="15" s="1"/>
  <c r="V496" i="15" s="1"/>
  <c r="U496" i="15" s="1"/>
  <c r="W318" i="7"/>
  <c r="F59" i="7"/>
  <c r="I64" i="16"/>
  <c r="Q18" i="15" s="1"/>
  <c r="I1133" i="7"/>
  <c r="Q507" i="15" s="1"/>
  <c r="O507" i="15" s="1"/>
  <c r="V507" i="15" s="1"/>
  <c r="U507" i="15" s="1"/>
  <c r="DH1146" i="7"/>
  <c r="DI1146" i="7" s="1"/>
  <c r="AE493" i="15" s="1"/>
  <c r="AC493" i="15" s="1"/>
  <c r="E95" i="16"/>
  <c r="I1038" i="7"/>
  <c r="O478" i="15" s="1"/>
  <c r="V478" i="15" s="1"/>
  <c r="U478" i="15" s="1"/>
  <c r="DH1142" i="7"/>
  <c r="DI1142" i="7" s="1"/>
  <c r="W324" i="7"/>
  <c r="E128" i="16"/>
  <c r="I62" i="16"/>
  <c r="Q17" i="15" s="1"/>
  <c r="AC117" i="16"/>
  <c r="I649" i="7"/>
  <c r="Q424" i="15" s="1"/>
  <c r="I654" i="7"/>
  <c r="R426" i="15" s="1"/>
  <c r="M550" i="7"/>
  <c r="DJ550" i="7" s="1"/>
  <c r="E119" i="16"/>
  <c r="F144" i="7"/>
  <c r="D172" i="16"/>
  <c r="V172" i="16" s="1"/>
  <c r="I1147" i="7"/>
  <c r="Q499" i="15" s="1"/>
  <c r="O499" i="15" s="1"/>
  <c r="V499" i="15" s="1"/>
  <c r="U499" i="15" s="1"/>
  <c r="I287" i="16"/>
  <c r="O34" i="15" s="1"/>
  <c r="I54" i="16"/>
  <c r="Q13" i="15" s="1"/>
  <c r="DH58" i="16"/>
  <c r="DI58" i="16" s="1"/>
  <c r="AE15" i="15" s="1"/>
  <c r="DH56" i="16"/>
  <c r="DI56" i="16" s="1"/>
  <c r="AE14" i="15" s="1"/>
  <c r="DH62" i="16"/>
  <c r="DI62" i="16" s="1"/>
  <c r="AE17" i="15" s="1"/>
  <c r="E94" i="16"/>
  <c r="DH587" i="7"/>
  <c r="AC116" i="16"/>
  <c r="DH645" i="7"/>
  <c r="DI645" i="7" s="1"/>
  <c r="AE422" i="15" s="1"/>
  <c r="DH1136" i="7"/>
  <c r="DI1136" i="7" s="1"/>
  <c r="AE502" i="15" s="1"/>
  <c r="AC502" i="15" s="1"/>
  <c r="I889" i="7"/>
  <c r="Q460" i="15" s="1"/>
  <c r="I1134" i="7"/>
  <c r="Q490" i="15" s="1"/>
  <c r="O490" i="15" s="1"/>
  <c r="V490" i="15" s="1"/>
  <c r="U490" i="15" s="1"/>
  <c r="F62" i="7"/>
  <c r="DH1092" i="7"/>
  <c r="DH1140" i="7"/>
  <c r="DI1140" i="7" s="1"/>
  <c r="AE503" i="15" s="1"/>
  <c r="AC503" i="15" s="1"/>
  <c r="K1177" i="7"/>
  <c r="DJ1177" i="7" s="1"/>
  <c r="AC120" i="16"/>
  <c r="I154" i="16"/>
  <c r="O22" i="15" s="1"/>
  <c r="V22" i="15" s="1"/>
  <c r="U22" i="15" s="1"/>
  <c r="I1146" i="7"/>
  <c r="Q493" i="15" s="1"/>
  <c r="O493" i="15" s="1"/>
  <c r="V493" i="15" s="1"/>
  <c r="U493" i="15" s="1"/>
  <c r="I180" i="16"/>
  <c r="O25" i="15" s="1"/>
  <c r="F587" i="7"/>
  <c r="DH589" i="7"/>
  <c r="DH313" i="16"/>
  <c r="DI313" i="16" s="1"/>
  <c r="AE36" i="15" s="1"/>
  <c r="AC36" i="15" s="1"/>
  <c r="DH137" i="7"/>
  <c r="DH147" i="7"/>
  <c r="I252" i="16"/>
  <c r="O32" i="15" s="1"/>
  <c r="V32" i="15" s="1"/>
  <c r="U32" i="15" s="1"/>
  <c r="J314" i="16"/>
  <c r="O37" i="15" s="1"/>
  <c r="V37" i="15" s="1"/>
  <c r="U37" i="15" s="1"/>
  <c r="H587" i="7"/>
  <c r="E118" i="16"/>
  <c r="W330" i="7"/>
  <c r="E141" i="16"/>
  <c r="I288" i="16"/>
  <c r="O35" i="15" s="1"/>
  <c r="F136" i="7"/>
  <c r="F147" i="7"/>
  <c r="F554" i="7"/>
  <c r="DI642" i="7"/>
  <c r="AF420" i="15" s="1"/>
  <c r="E1272" i="7"/>
  <c r="I883" i="7"/>
  <c r="Q457" i="15" s="1"/>
  <c r="O457" i="15" s="1"/>
  <c r="I1131" i="7"/>
  <c r="Q495" i="15" s="1"/>
  <c r="O495" i="15" s="1"/>
  <c r="V495" i="15" s="1"/>
  <c r="U495" i="15" s="1"/>
  <c r="I872" i="7"/>
  <c r="R451" i="15" s="1"/>
  <c r="DH1141" i="7"/>
  <c r="DI1141" i="7" s="1"/>
  <c r="F963" i="7"/>
  <c r="I1144" i="7"/>
  <c r="Q504" i="15" s="1"/>
  <c r="O504" i="15" s="1"/>
  <c r="J449" i="7"/>
  <c r="I1126" i="7"/>
  <c r="Q488" i="15" s="1"/>
  <c r="O488" i="15" s="1"/>
  <c r="V488" i="15" s="1"/>
  <c r="U488" i="15" s="1"/>
  <c r="DH554" i="7"/>
  <c r="DH516" i="7"/>
  <c r="DH1145" i="7"/>
  <c r="DI1145" i="7" s="1"/>
  <c r="AE510" i="15" s="1"/>
  <c r="AC510" i="15" s="1"/>
  <c r="I449" i="7"/>
  <c r="DH875" i="7"/>
  <c r="DI875" i="7" s="1"/>
  <c r="AE453" i="15" s="1"/>
  <c r="D411" i="7"/>
  <c r="V411" i="7" s="1"/>
  <c r="I1142" i="7"/>
  <c r="Q492" i="15" s="1"/>
  <c r="O492" i="15" s="1"/>
  <c r="V492" i="15" s="1"/>
  <c r="U492" i="15" s="1"/>
  <c r="DH17" i="7"/>
  <c r="I1218" i="7"/>
  <c r="Q524" i="15" s="1"/>
  <c r="I869" i="7"/>
  <c r="Q450" i="15" s="1"/>
  <c r="F446" i="7"/>
  <c r="I1033" i="7"/>
  <c r="O473" i="15" s="1"/>
  <c r="V473" i="15" s="1"/>
  <c r="U473" i="15" s="1"/>
  <c r="I1143" i="7"/>
  <c r="Q498" i="15" s="1"/>
  <c r="O498" i="15" s="1"/>
  <c r="V498" i="15" s="1"/>
  <c r="U498" i="15" s="1"/>
  <c r="DH1186" i="7"/>
  <c r="F960" i="7"/>
  <c r="DH1226" i="7"/>
  <c r="DI1226" i="7" s="1"/>
  <c r="AE528" i="15" s="1"/>
  <c r="I1140" i="7"/>
  <c r="Q503" i="15" s="1"/>
  <c r="O503" i="15" s="1"/>
  <c r="V503" i="15" s="1"/>
  <c r="U503" i="15" s="1"/>
  <c r="DH1138" i="7"/>
  <c r="DI1138" i="7" s="1"/>
  <c r="AE491" i="15" s="1"/>
  <c r="AC491" i="15" s="1"/>
  <c r="DH839" i="7"/>
  <c r="F12" i="7"/>
  <c r="J450" i="7"/>
  <c r="DI1033" i="7"/>
  <c r="AE473" i="15" s="1"/>
  <c r="AC473" i="15" s="1"/>
  <c r="I1130" i="7"/>
  <c r="Q489" i="15" s="1"/>
  <c r="O489" i="15" s="1"/>
  <c r="V489" i="15" s="1"/>
  <c r="U489" i="15" s="1"/>
  <c r="I155" i="16"/>
  <c r="O23" i="15" s="1"/>
  <c r="DH154" i="16"/>
  <c r="DI154" i="16" s="1"/>
  <c r="AE22" i="15" s="1"/>
  <c r="AC22" i="15" s="1"/>
  <c r="E102" i="16"/>
  <c r="E139" i="16"/>
  <c r="E99" i="16"/>
  <c r="E116" i="16"/>
  <c r="V194" i="16"/>
  <c r="E145" i="16"/>
  <c r="E125" i="16"/>
  <c r="E122" i="16"/>
  <c r="AX12" i="15"/>
  <c r="AC118" i="16"/>
  <c r="AC119" i="16"/>
  <c r="E108" i="16"/>
  <c r="E117" i="16"/>
  <c r="AC122" i="16"/>
  <c r="E140" i="16"/>
  <c r="AC115" i="16"/>
  <c r="I70" i="16"/>
  <c r="Q21" i="15" s="1"/>
  <c r="D307" i="16"/>
  <c r="V307" i="16" s="1"/>
  <c r="E126" i="16"/>
  <c r="E103" i="16"/>
  <c r="J793" i="7"/>
  <c r="O442" i="15" s="1"/>
  <c r="V442" i="15" s="1"/>
  <c r="U442" i="15" s="1"/>
  <c r="J313" i="16"/>
  <c r="O36" i="15" s="1"/>
  <c r="V36" i="15" s="1"/>
  <c r="U36" i="15" s="1"/>
  <c r="I1128" i="7"/>
  <c r="Q500" i="15" s="1"/>
  <c r="O500" i="15" s="1"/>
  <c r="V500" i="15" s="1"/>
  <c r="U500" i="15" s="1"/>
  <c r="I1145" i="7"/>
  <c r="Q510" i="15" s="1"/>
  <c r="O510" i="15" s="1"/>
  <c r="V510" i="15" s="1"/>
  <c r="U510" i="15" s="1"/>
  <c r="F18" i="7"/>
  <c r="M549" i="7"/>
  <c r="DJ549" i="7" s="1"/>
  <c r="K12" i="7"/>
  <c r="DJ12" i="7" s="1"/>
  <c r="DH1139" i="7"/>
  <c r="DI1139" i="7" s="1"/>
  <c r="AE497" i="15" s="1"/>
  <c r="AC497" i="15" s="1"/>
  <c r="D507" i="7"/>
  <c r="D542" i="7" s="1"/>
  <c r="V542" i="7" s="1"/>
  <c r="F65" i="7"/>
  <c r="K1184" i="7"/>
  <c r="DJ1184" i="7" s="1"/>
  <c r="E1281" i="7"/>
  <c r="F21" i="7"/>
  <c r="DH449" i="7"/>
  <c r="I873" i="7"/>
  <c r="Q452" i="15" s="1"/>
  <c r="N515" i="7"/>
  <c r="DJ515" i="7" s="1"/>
  <c r="N514" i="7"/>
  <c r="DJ514" i="7" s="1"/>
  <c r="K1180" i="7"/>
  <c r="DJ1180" i="7" s="1"/>
  <c r="E1288" i="7"/>
  <c r="K1188" i="7"/>
  <c r="DJ1188" i="7" s="1"/>
  <c r="I514" i="7"/>
  <c r="I1129" i="7"/>
  <c r="Q506" i="15" s="1"/>
  <c r="O506" i="15" s="1"/>
  <c r="V506" i="15" s="1"/>
  <c r="U506" i="15" s="1"/>
  <c r="K1187" i="7"/>
  <c r="DJ1187" i="7" s="1"/>
  <c r="E1266" i="7"/>
  <c r="I1226" i="7"/>
  <c r="Q528" i="15" s="1"/>
  <c r="M552" i="7"/>
  <c r="DJ552" i="7" s="1"/>
  <c r="DH551" i="7"/>
  <c r="K1183" i="7"/>
  <c r="DJ1183" i="7" s="1"/>
  <c r="E1279" i="7"/>
  <c r="DH716" i="7"/>
  <c r="DI716" i="7" s="1"/>
  <c r="AE436" i="15" s="1"/>
  <c r="AC436" i="15" s="1"/>
  <c r="DH1132" i="7"/>
  <c r="DI1132" i="7" s="1"/>
  <c r="DH657" i="7"/>
  <c r="DI657" i="7" s="1"/>
  <c r="AE428" i="15" s="1"/>
  <c r="M551" i="7"/>
  <c r="DJ551" i="7" s="1"/>
  <c r="DH1128" i="7"/>
  <c r="DI1128" i="7" s="1"/>
  <c r="K1185" i="7"/>
  <c r="DJ1185" i="7" s="1"/>
  <c r="K1179" i="7"/>
  <c r="DJ1179" i="7" s="1"/>
  <c r="E1301" i="7"/>
  <c r="I1228" i="7"/>
  <c r="Q529" i="15" s="1"/>
  <c r="M553" i="7"/>
  <c r="DJ553" i="7" s="1"/>
  <c r="DH1130" i="7"/>
  <c r="DI1130" i="7" s="1"/>
  <c r="K1181" i="7"/>
  <c r="DJ1181" i="7" s="1"/>
  <c r="K1182" i="7"/>
  <c r="DJ1182" i="7" s="1"/>
  <c r="E1294" i="7"/>
  <c r="I639" i="7"/>
  <c r="Q419" i="15" s="1"/>
  <c r="AC690" i="7"/>
  <c r="F585" i="7"/>
  <c r="F135" i="7"/>
  <c r="I653" i="7"/>
  <c r="Q426" i="15" s="1"/>
  <c r="I877" i="7"/>
  <c r="Q454" i="15" s="1"/>
  <c r="DH591" i="7"/>
  <c r="DH1131" i="7"/>
  <c r="DI1131" i="7" s="1"/>
  <c r="AE495" i="15" s="1"/>
  <c r="AC495" i="15" s="1"/>
  <c r="DH1180" i="7"/>
  <c r="DH794" i="7"/>
  <c r="DI794" i="7" s="1"/>
  <c r="AE443" i="15" s="1"/>
  <c r="AC443" i="15" s="1"/>
  <c r="DH1133" i="7"/>
  <c r="DI1133" i="7" s="1"/>
  <c r="AE507" i="15" s="1"/>
  <c r="AC507" i="15" s="1"/>
  <c r="DH585" i="7"/>
  <c r="H585" i="7"/>
  <c r="F966" i="7"/>
  <c r="E1284" i="7"/>
  <c r="DH9" i="7"/>
  <c r="J66" i="7"/>
  <c r="F66" i="7" s="1"/>
  <c r="DH1135" i="7"/>
  <c r="DI1135" i="7" s="1"/>
  <c r="AE496" i="15" s="1"/>
  <c r="AC496" i="15" s="1"/>
  <c r="F64" i="7"/>
  <c r="E1262" i="7"/>
  <c r="K18" i="7"/>
  <c r="DJ18" i="7" s="1"/>
  <c r="I1035" i="7"/>
  <c r="O475" i="15" s="1"/>
  <c r="V475" i="15" s="1"/>
  <c r="U475" i="15" s="1"/>
  <c r="I1034" i="7"/>
  <c r="O474" i="15" s="1"/>
  <c r="V474" i="15" s="1"/>
  <c r="U474" i="15" s="1"/>
  <c r="E1275" i="7"/>
  <c r="I879" i="7"/>
  <c r="Q455" i="15" s="1"/>
  <c r="O455" i="15" s="1"/>
  <c r="V455" i="15" s="1"/>
  <c r="U455" i="15" s="1"/>
  <c r="O588" i="7"/>
  <c r="DJ588" i="7" s="1"/>
  <c r="DH1129" i="7"/>
  <c r="DI1129" i="7" s="1"/>
  <c r="AE506" i="15" s="1"/>
  <c r="AC506" i="15" s="1"/>
  <c r="DH62" i="7"/>
  <c r="F586" i="7"/>
  <c r="F60" i="7"/>
  <c r="F155" i="7"/>
  <c r="DH131" i="7"/>
  <c r="DH150" i="7"/>
  <c r="W336" i="7"/>
  <c r="DH1091" i="7"/>
  <c r="DI1091" i="7" s="1"/>
  <c r="AG486" i="15" s="1"/>
  <c r="AD486" i="15" s="1"/>
  <c r="DH1232" i="7"/>
  <c r="DI1232" i="7" s="1"/>
  <c r="AE531" i="15" s="1"/>
  <c r="F11" i="7"/>
  <c r="I652" i="7"/>
  <c r="R425" i="15" s="1"/>
  <c r="F958" i="7"/>
  <c r="F591" i="7"/>
  <c r="F153" i="7"/>
  <c r="I1137" i="7"/>
  <c r="Q508" i="15" s="1"/>
  <c r="O508" i="15" s="1"/>
  <c r="J796" i="7"/>
  <c r="O445" i="15" s="1"/>
  <c r="DH552" i="7"/>
  <c r="F551" i="7"/>
  <c r="F134" i="7"/>
  <c r="F143" i="7"/>
  <c r="I646" i="7"/>
  <c r="R422" i="15" s="1"/>
  <c r="I651" i="7"/>
  <c r="Q425" i="15" s="1"/>
  <c r="DH1183" i="7"/>
  <c r="F589" i="7"/>
  <c r="I1037" i="7"/>
  <c r="O477" i="15" s="1"/>
  <c r="V477" i="15" s="1"/>
  <c r="U477" i="15" s="1"/>
  <c r="E108" i="7"/>
  <c r="E120" i="7"/>
  <c r="DH885" i="7"/>
  <c r="DI885" i="7" s="1"/>
  <c r="AE458" i="15" s="1"/>
  <c r="DH1218" i="7"/>
  <c r="DI1218" i="7" s="1"/>
  <c r="AE524" i="15" s="1"/>
  <c r="AC651" i="7"/>
  <c r="I868" i="7"/>
  <c r="R449" i="15" s="1"/>
  <c r="F20" i="7"/>
  <c r="J795" i="7"/>
  <c r="O444" i="15" s="1"/>
  <c r="V43" i="7"/>
  <c r="F130" i="7"/>
  <c r="F137" i="7"/>
  <c r="I875" i="7"/>
  <c r="Q453" i="15" s="1"/>
  <c r="F962" i="7"/>
  <c r="F590" i="7"/>
  <c r="AC643" i="7"/>
  <c r="X1101" i="7"/>
  <c r="E1274" i="7"/>
  <c r="F549" i="7"/>
  <c r="J714" i="7"/>
  <c r="O434" i="15" s="1"/>
  <c r="V434" i="15" s="1"/>
  <c r="U434" i="15" s="1"/>
  <c r="F552" i="7"/>
  <c r="E1261" i="7"/>
  <c r="DH588" i="7"/>
  <c r="I1148" i="7"/>
  <c r="Q505" i="15" s="1"/>
  <c r="O505" i="15" s="1"/>
  <c r="V505" i="15" s="1"/>
  <c r="U505" i="15" s="1"/>
  <c r="DH127" i="7"/>
  <c r="K9" i="7"/>
  <c r="DJ9" i="7" s="1"/>
  <c r="DI872" i="7"/>
  <c r="AF451" i="15" s="1"/>
  <c r="F961" i="7"/>
  <c r="E1296" i="7"/>
  <c r="I1136" i="7"/>
  <c r="Q502" i="15" s="1"/>
  <c r="O502" i="15" s="1"/>
  <c r="V502" i="15" s="1"/>
  <c r="U502" i="15" s="1"/>
  <c r="I648" i="7"/>
  <c r="R423" i="15" s="1"/>
  <c r="F132" i="7"/>
  <c r="DH753" i="7"/>
  <c r="E1283" i="7"/>
  <c r="DH153" i="7"/>
  <c r="I647" i="7"/>
  <c r="Q423" i="15" s="1"/>
  <c r="I1222" i="7"/>
  <c r="Q526" i="15" s="1"/>
  <c r="DH146" i="7"/>
  <c r="F838" i="7"/>
  <c r="J794" i="7"/>
  <c r="O443" i="15" s="1"/>
  <c r="V443" i="15" s="1"/>
  <c r="U443" i="15" s="1"/>
  <c r="DH1182" i="7"/>
  <c r="I643" i="7"/>
  <c r="Q421" i="15" s="1"/>
  <c r="I1127" i="7"/>
  <c r="Q494" i="15" s="1"/>
  <c r="O494" i="15" s="1"/>
  <c r="V494" i="15" s="1"/>
  <c r="U494" i="15" s="1"/>
  <c r="O586" i="7"/>
  <c r="DJ586" i="7" s="1"/>
  <c r="F139" i="7"/>
  <c r="F151" i="7"/>
  <c r="F640" i="7"/>
  <c r="E1286" i="7"/>
  <c r="DH18" i="7"/>
  <c r="F131" i="7"/>
  <c r="F650" i="7"/>
  <c r="DI652" i="7"/>
  <c r="AF425" i="15" s="1"/>
  <c r="DI654" i="7"/>
  <c r="AF426" i="15" s="1"/>
  <c r="DH881" i="7"/>
  <c r="DI881" i="7" s="1"/>
  <c r="AE456" i="15" s="1"/>
  <c r="AC456" i="15" s="1"/>
  <c r="DH665" i="7"/>
  <c r="E1264" i="7"/>
  <c r="E1299" i="7"/>
  <c r="E1287" i="7"/>
  <c r="E1263" i="7"/>
  <c r="I871" i="7"/>
  <c r="Q451" i="15" s="1"/>
  <c r="E1265" i="7"/>
  <c r="E1276" i="7"/>
  <c r="DH549" i="7"/>
  <c r="I659" i="7"/>
  <c r="Q429" i="15" s="1"/>
  <c r="F837" i="7"/>
  <c r="F15" i="7"/>
  <c r="DH1134" i="7"/>
  <c r="DI1134" i="7" s="1"/>
  <c r="AE490" i="15" s="1"/>
  <c r="AC490" i="15" s="1"/>
  <c r="I641" i="7"/>
  <c r="Q420" i="15" s="1"/>
  <c r="J792" i="7"/>
  <c r="O441" i="15" s="1"/>
  <c r="V441" i="15" s="1"/>
  <c r="U441" i="15" s="1"/>
  <c r="E1278" i="7"/>
  <c r="E1298" i="7"/>
  <c r="E1252" i="7"/>
  <c r="E499" i="7"/>
  <c r="E505" i="7"/>
  <c r="F152" i="7"/>
  <c r="F839" i="7"/>
  <c r="F550" i="7"/>
  <c r="DI648" i="7"/>
  <c r="AF423" i="15" s="1"/>
  <c r="DH714" i="7"/>
  <c r="DI714" i="7" s="1"/>
  <c r="F588" i="7"/>
  <c r="E1300" i="7"/>
  <c r="E1285" i="7"/>
  <c r="I887" i="7"/>
  <c r="Q459" i="15" s="1"/>
  <c r="J515" i="7"/>
  <c r="F138" i="7"/>
  <c r="DH8" i="7"/>
  <c r="F14" i="7"/>
  <c r="AC659" i="7"/>
  <c r="AC652" i="7"/>
  <c r="F644" i="7"/>
  <c r="F1039" i="7"/>
  <c r="DH1148" i="7"/>
  <c r="DI1148" i="7" s="1"/>
  <c r="AE505" i="15" s="1"/>
  <c r="AC505" i="15" s="1"/>
  <c r="I1139" i="7"/>
  <c r="Q497" i="15" s="1"/>
  <c r="O497" i="15" s="1"/>
  <c r="V497" i="15" s="1"/>
  <c r="U497" i="15" s="1"/>
  <c r="F584" i="7"/>
  <c r="F142" i="7"/>
  <c r="DH16" i="7"/>
  <c r="DH649" i="7"/>
  <c r="DI649" i="7" s="1"/>
  <c r="AE424" i="15" s="1"/>
  <c r="DH1126" i="7"/>
  <c r="DI1126" i="7" s="1"/>
  <c r="AE488" i="15" s="1"/>
  <c r="AC488" i="15" s="1"/>
  <c r="DH663" i="7"/>
  <c r="F448" i="7"/>
  <c r="DH152" i="7"/>
  <c r="F129" i="7"/>
  <c r="DH145" i="7"/>
  <c r="F141" i="7"/>
  <c r="DH135" i="7"/>
  <c r="F146" i="7"/>
  <c r="F145" i="7"/>
  <c r="F128" i="7"/>
  <c r="F149" i="7"/>
  <c r="F127" i="7"/>
  <c r="F140" i="7"/>
  <c r="DH15" i="7"/>
  <c r="M485" i="7"/>
  <c r="DJ485" i="7" s="1"/>
  <c r="I867" i="7"/>
  <c r="Q449" i="15" s="1"/>
  <c r="DH514" i="7"/>
  <c r="DH887" i="7"/>
  <c r="DI887" i="7" s="1"/>
  <c r="AE459" i="15" s="1"/>
  <c r="F753" i="7"/>
  <c r="F754" i="7"/>
  <c r="P686" i="7"/>
  <c r="F663" i="7"/>
  <c r="P683" i="7"/>
  <c r="P685" i="7"/>
  <c r="P684" i="7"/>
  <c r="DH133" i="7"/>
  <c r="DH653" i="7"/>
  <c r="DI653" i="7" s="1"/>
  <c r="AE426" i="15" s="1"/>
  <c r="DH792" i="7"/>
  <c r="DI792" i="7" s="1"/>
  <c r="AE441" i="15" s="1"/>
  <c r="AC441" i="15" s="1"/>
  <c r="I885" i="7"/>
  <c r="Q458" i="15" s="1"/>
  <c r="DH1127" i="7"/>
  <c r="DI1127" i="7" s="1"/>
  <c r="AE494" i="15" s="1"/>
  <c r="AC494" i="15" s="1"/>
  <c r="DH756" i="7"/>
  <c r="DI756" i="7" s="1"/>
  <c r="AE440" i="15" s="1"/>
  <c r="AC440" i="15" s="1"/>
  <c r="DH19" i="7"/>
  <c r="DH837" i="7"/>
  <c r="I660" i="7"/>
  <c r="R429" i="15" s="1"/>
  <c r="F9" i="7"/>
  <c r="F8" i="7"/>
  <c r="DH651" i="7"/>
  <c r="DI651" i="7" s="1"/>
  <c r="AE425" i="15" s="1"/>
  <c r="DI658" i="7"/>
  <c r="AF428" i="15" s="1"/>
  <c r="DI660" i="7"/>
  <c r="AF429" i="15" s="1"/>
  <c r="J716" i="7"/>
  <c r="O436" i="15" s="1"/>
  <c r="V436" i="15" s="1"/>
  <c r="U436" i="15" s="1"/>
  <c r="J755" i="7"/>
  <c r="O439" i="15" s="1"/>
  <c r="V439" i="15" s="1"/>
  <c r="U439" i="15" s="1"/>
  <c r="DH1178" i="7"/>
  <c r="I1036" i="7"/>
  <c r="O476" i="15" s="1"/>
  <c r="V476" i="15" s="1"/>
  <c r="U476" i="15" s="1"/>
  <c r="DH879" i="7"/>
  <c r="DI879" i="7" s="1"/>
  <c r="AE455" i="15" s="1"/>
  <c r="AC455" i="15" s="1"/>
  <c r="DH754" i="7"/>
  <c r="P682" i="7"/>
  <c r="DH20" i="7"/>
  <c r="DH590" i="7"/>
  <c r="DH838" i="7"/>
  <c r="I1149" i="7"/>
  <c r="Q511" i="15" s="1"/>
  <c r="O511" i="15" s="1"/>
  <c r="AC681" i="7"/>
  <c r="E119" i="7"/>
  <c r="F156" i="7"/>
  <c r="DH485" i="7"/>
  <c r="AC645" i="7"/>
  <c r="I645" i="7"/>
  <c r="Q422" i="15" s="1"/>
  <c r="DH793" i="7"/>
  <c r="DI793" i="7" s="1"/>
  <c r="AE442" i="15" s="1"/>
  <c r="AC442" i="15" s="1"/>
  <c r="I870" i="7"/>
  <c r="R450" i="15" s="1"/>
  <c r="I658" i="7"/>
  <c r="R428" i="15" s="1"/>
  <c r="AC658" i="7"/>
  <c r="I657" i="7"/>
  <c r="Q428" i="15" s="1"/>
  <c r="F661" i="7"/>
  <c r="AC660" i="7"/>
  <c r="F665" i="7"/>
  <c r="DH130" i="7"/>
  <c r="DH151" i="7"/>
  <c r="J514" i="7"/>
  <c r="I516" i="7"/>
  <c r="DH877" i="7"/>
  <c r="DI877" i="7" s="1"/>
  <c r="AE454" i="15" s="1"/>
  <c r="I881" i="7"/>
  <c r="Q456" i="15" s="1"/>
  <c r="O456" i="15" s="1"/>
  <c r="V456" i="15" s="1"/>
  <c r="U456" i="15" s="1"/>
  <c r="F148" i="7"/>
  <c r="F150" i="7"/>
  <c r="DI646" i="7"/>
  <c r="AF422" i="15" s="1"/>
  <c r="DH755" i="7"/>
  <c r="DI755" i="7" s="1"/>
  <c r="AE439" i="15" s="1"/>
  <c r="AC439" i="15" s="1"/>
  <c r="E1260" i="7"/>
  <c r="F133" i="7"/>
  <c r="F154" i="7"/>
  <c r="DI878" i="7"/>
  <c r="AF454" i="15" s="1"/>
  <c r="DI1038" i="7"/>
  <c r="AE478" i="15" s="1"/>
  <c r="AC478" i="15" s="1"/>
  <c r="AC696" i="7"/>
  <c r="E1273" i="7"/>
  <c r="DI1037" i="7"/>
  <c r="E1295" i="7"/>
  <c r="DI1036" i="7"/>
  <c r="AE476" i="15" s="1"/>
  <c r="AC476" i="15" s="1"/>
  <c r="DI1035" i="7"/>
  <c r="AE475" i="15" s="1"/>
  <c r="AC475" i="15" s="1"/>
  <c r="DI1034" i="7"/>
  <c r="X4046" i="6"/>
  <c r="F142" i="6"/>
  <c r="AR97" i="2"/>
  <c r="DH33" i="2"/>
  <c r="DH14" i="2"/>
  <c r="DH13" i="2"/>
  <c r="F16" i="2"/>
  <c r="F22" i="2"/>
  <c r="F18" i="2"/>
  <c r="DH34" i="2"/>
  <c r="DI34" i="2" s="1"/>
  <c r="AE594" i="15" s="1"/>
  <c r="AC594" i="15" s="1"/>
  <c r="F26" i="2"/>
  <c r="F23" i="2"/>
  <c r="F29" i="2"/>
  <c r="F21" i="2"/>
  <c r="F28" i="2"/>
  <c r="F20" i="2"/>
  <c r="I570" i="15"/>
  <c r="F24" i="2"/>
  <c r="DH1755" i="6"/>
  <c r="DH1741" i="6"/>
  <c r="F137" i="6"/>
  <c r="DI137" i="6" s="1"/>
  <c r="F124" i="6"/>
  <c r="DI124" i="6" s="1"/>
  <c r="F130" i="6"/>
  <c r="DI130" i="6" s="1"/>
  <c r="F139" i="6"/>
  <c r="DI139" i="6" s="1"/>
  <c r="F128" i="6"/>
  <c r="DI128" i="6" s="1"/>
  <c r="F148" i="6"/>
  <c r="DI148" i="6" s="1"/>
  <c r="F155" i="6"/>
  <c r="F135" i="6"/>
  <c r="DI135" i="6" s="1"/>
  <c r="F125" i="6"/>
  <c r="K971" i="6"/>
  <c r="DH149" i="6"/>
  <c r="DH1602" i="6"/>
  <c r="AE231" i="15"/>
  <c r="DH1877" i="6"/>
  <c r="DH1647" i="6"/>
  <c r="AE236" i="15"/>
  <c r="F110" i="6"/>
  <c r="DI110" i="6" s="1"/>
  <c r="DH798" i="6"/>
  <c r="DI798" i="6" s="1"/>
  <c r="AE237" i="15"/>
  <c r="AE177" i="15"/>
  <c r="AE116" i="15"/>
  <c r="AC116" i="15" s="1"/>
  <c r="C1834" i="6"/>
  <c r="K1834" i="6" s="1"/>
  <c r="DJ1834" i="6" s="1"/>
  <c r="AE163" i="15"/>
  <c r="DH749" i="6"/>
  <c r="I246" i="2"/>
  <c r="O634" i="15" s="1"/>
  <c r="W634" i="15" s="1"/>
  <c r="V634" i="15" s="1"/>
  <c r="U634" i="15" s="1"/>
  <c r="F433" i="2"/>
  <c r="AF433" i="2" s="1"/>
  <c r="DI630" i="2"/>
  <c r="DH27" i="2"/>
  <c r="AQ113" i="2"/>
  <c r="BC113" i="2"/>
  <c r="I34" i="2"/>
  <c r="O594" i="15" s="1"/>
  <c r="W594" i="15" s="1"/>
  <c r="V594" i="15" s="1"/>
  <c r="U594" i="15" s="1"/>
  <c r="I517" i="2"/>
  <c r="O676" i="15" s="1"/>
  <c r="V676" i="15" s="1"/>
  <c r="U676" i="15" s="1"/>
  <c r="L431" i="2"/>
  <c r="Q663" i="15" s="1"/>
  <c r="O663" i="15" s="1"/>
  <c r="W663" i="15" s="1"/>
  <c r="V663" i="15" s="1"/>
  <c r="U663" i="15" s="1"/>
  <c r="F431" i="2"/>
  <c r="AF431" i="2" s="1"/>
  <c r="DI431" i="2"/>
  <c r="AE663" i="15" s="1"/>
  <c r="AC663" i="15" s="1"/>
  <c r="DI517" i="2"/>
  <c r="AE676" i="15" s="1"/>
  <c r="AC676" i="15" s="1"/>
  <c r="DI539" i="2"/>
  <c r="AE682" i="15" s="1"/>
  <c r="AC682" i="15" s="1"/>
  <c r="DI557" i="2"/>
  <c r="AE683" i="15" s="1"/>
  <c r="AC683" i="15" s="1"/>
  <c r="DI561" i="2"/>
  <c r="AE687" i="15" s="1"/>
  <c r="AC687" i="15" s="1"/>
  <c r="DI585" i="2"/>
  <c r="AE692" i="15" s="1"/>
  <c r="AC692" i="15" s="1"/>
  <c r="DI589" i="2"/>
  <c r="AE696" i="15" s="1"/>
  <c r="AC696" i="15" s="1"/>
  <c r="I518" i="2"/>
  <c r="O677" i="15" s="1"/>
  <c r="V677" i="15" s="1"/>
  <c r="U677" i="15" s="1"/>
  <c r="BE90" i="2"/>
  <c r="AS90" i="2"/>
  <c r="DI162" i="2"/>
  <c r="AE615" i="15" s="1"/>
  <c r="AC615" i="15" s="1"/>
  <c r="DI166" i="2"/>
  <c r="AE619" i="15" s="1"/>
  <c r="AC619" i="15" s="1"/>
  <c r="DI199" i="2"/>
  <c r="AE625" i="15" s="1"/>
  <c r="AC625" i="15" s="1"/>
  <c r="DI339" i="2"/>
  <c r="AE646" i="15" s="1"/>
  <c r="AC646" i="15" s="1"/>
  <c r="DI697" i="2"/>
  <c r="DI98" i="2"/>
  <c r="AE596" i="15" s="1"/>
  <c r="AC596" i="15" s="1"/>
  <c r="O623" i="15"/>
  <c r="V623" i="15" s="1"/>
  <c r="U623" i="15" s="1"/>
  <c r="DI163" i="2"/>
  <c r="AE616" i="15" s="1"/>
  <c r="AC616" i="15" s="1"/>
  <c r="DI167" i="2"/>
  <c r="AE620" i="15" s="1"/>
  <c r="AC620" i="15" s="1"/>
  <c r="DI200" i="2"/>
  <c r="AE626" i="15" s="1"/>
  <c r="AC626" i="15" s="1"/>
  <c r="DI609" i="2"/>
  <c r="AE697" i="15" s="1"/>
  <c r="AC697" i="15" s="1"/>
  <c r="DI699" i="2"/>
  <c r="AW90" i="2"/>
  <c r="AK90" i="2"/>
  <c r="DI518" i="2"/>
  <c r="AE677" i="15" s="1"/>
  <c r="AC677" i="15" s="1"/>
  <c r="DI537" i="2"/>
  <c r="AE680" i="15" s="1"/>
  <c r="AC680" i="15" s="1"/>
  <c r="DI558" i="2"/>
  <c r="AE684" i="15" s="1"/>
  <c r="AC684" i="15" s="1"/>
  <c r="DI562" i="2"/>
  <c r="AE688" i="15" s="1"/>
  <c r="AC688" i="15" s="1"/>
  <c r="DI586" i="2"/>
  <c r="AE693" i="15" s="1"/>
  <c r="AC693" i="15" s="1"/>
  <c r="DI430" i="2"/>
  <c r="AE662" i="15" s="1"/>
  <c r="AC662" i="15" s="1"/>
  <c r="AY113" i="2"/>
  <c r="AM113" i="2"/>
  <c r="AL90" i="2"/>
  <c r="AX90" i="2"/>
  <c r="DI767" i="2"/>
  <c r="AE718" i="15" s="1"/>
  <c r="AC718" i="15" s="1"/>
  <c r="L430" i="2"/>
  <c r="Q662" i="15" s="1"/>
  <c r="O662" i="15" s="1"/>
  <c r="W662" i="15" s="1"/>
  <c r="V662" i="15" s="1"/>
  <c r="U662" i="15" s="1"/>
  <c r="AL125" i="2"/>
  <c r="AX125" i="2"/>
  <c r="DI278" i="2"/>
  <c r="AE637" i="15" s="1"/>
  <c r="AC637" i="15" s="1"/>
  <c r="DI432" i="2"/>
  <c r="AE664" i="15" s="1"/>
  <c r="AC664" i="15" s="1"/>
  <c r="DI679" i="2"/>
  <c r="AE709" i="15" s="1"/>
  <c r="AC709" i="15" s="1"/>
  <c r="DI717" i="2"/>
  <c r="BD113" i="2"/>
  <c r="AW113" i="2"/>
  <c r="AK113" i="2"/>
  <c r="AJ113" i="2"/>
  <c r="AV113" i="2"/>
  <c r="AP90" i="2"/>
  <c r="BB90" i="2"/>
  <c r="DI246" i="2"/>
  <c r="AE634" i="15" s="1"/>
  <c r="AC634" i="15" s="1"/>
  <c r="F427" i="2"/>
  <c r="AF427" i="2" s="1"/>
  <c r="DI161" i="2"/>
  <c r="AE614" i="15" s="1"/>
  <c r="AC614" i="15" s="1"/>
  <c r="DI165" i="2"/>
  <c r="AE618" i="15" s="1"/>
  <c r="AC618" i="15" s="1"/>
  <c r="DI170" i="2"/>
  <c r="DI433" i="2"/>
  <c r="AE665" i="15" s="1"/>
  <c r="AC665" i="15" s="1"/>
  <c r="DI680" i="2"/>
  <c r="DI247" i="2"/>
  <c r="AE635" i="15" s="1"/>
  <c r="AC635" i="15" s="1"/>
  <c r="DI455" i="2"/>
  <c r="AE666" i="15" s="1"/>
  <c r="AC666" i="15" s="1"/>
  <c r="DI520" i="2"/>
  <c r="AE679" i="15" s="1"/>
  <c r="AC679" i="15" s="1"/>
  <c r="DI560" i="2"/>
  <c r="AE686" i="15" s="1"/>
  <c r="AC686" i="15" s="1"/>
  <c r="DI584" i="2"/>
  <c r="AE691" i="15" s="1"/>
  <c r="AC691" i="15" s="1"/>
  <c r="DI588" i="2"/>
  <c r="AE695" i="15" s="1"/>
  <c r="AC695" i="15" s="1"/>
  <c r="BD90" i="2"/>
  <c r="AR90" i="2"/>
  <c r="I630" i="2"/>
  <c r="O703" i="15" s="1"/>
  <c r="U703" i="15" s="1"/>
  <c r="I733" i="2"/>
  <c r="O715" i="15" s="1"/>
  <c r="W715" i="15" s="1"/>
  <c r="V715" i="15" s="1"/>
  <c r="U715" i="15" s="1"/>
  <c r="F14" i="2"/>
  <c r="F25" i="2"/>
  <c r="F19" i="2"/>
  <c r="F32" i="2"/>
  <c r="DI627" i="2"/>
  <c r="F31" i="2"/>
  <c r="AY139" i="2"/>
  <c r="F17" i="2"/>
  <c r="F15" i="2"/>
  <c r="F27" i="2"/>
  <c r="F30" i="2"/>
  <c r="AE114" i="15"/>
  <c r="AC114" i="15" s="1"/>
  <c r="J133" i="5"/>
  <c r="O55" i="15" s="1"/>
  <c r="J85" i="5"/>
  <c r="O53" i="15" s="1"/>
  <c r="J135" i="5"/>
  <c r="O57" i="15" s="1"/>
  <c r="F231" i="5"/>
  <c r="I62" i="15" s="1"/>
  <c r="F276" i="5"/>
  <c r="DH4538" i="6"/>
  <c r="BA138" i="15"/>
  <c r="DH1546" i="6"/>
  <c r="AH257" i="15"/>
  <c r="AE205" i="15"/>
  <c r="BC163" i="15"/>
  <c r="AF189" i="15"/>
  <c r="DH1600" i="6"/>
  <c r="F1364" i="6"/>
  <c r="K1364" i="6" s="1"/>
  <c r="J1364" i="6" s="1"/>
  <c r="DH4560" i="6"/>
  <c r="DH777" i="6"/>
  <c r="DI777" i="6" s="1"/>
  <c r="DH810" i="6"/>
  <c r="DI810" i="6" s="1"/>
  <c r="J1278" i="6"/>
  <c r="DH1278" i="6" s="1"/>
  <c r="C1602" i="6"/>
  <c r="K1602" i="6" s="1"/>
  <c r="DJ1602" i="6" s="1"/>
  <c r="DH147" i="6"/>
  <c r="AF184" i="15"/>
  <c r="DH789" i="6"/>
  <c r="DI789" i="6" s="1"/>
  <c r="AH235" i="15"/>
  <c r="DH805" i="6"/>
  <c r="DI805" i="6" s="1"/>
  <c r="AE188" i="15"/>
  <c r="DH145" i="6"/>
  <c r="DH140" i="6"/>
  <c r="AF133" i="15"/>
  <c r="BD242" i="15"/>
  <c r="I1270" i="6"/>
  <c r="R157" i="15" s="1"/>
  <c r="DH11" i="6"/>
  <c r="AE134" i="15"/>
  <c r="I1373" i="6"/>
  <c r="Q163" i="15" s="1"/>
  <c r="AE128" i="15"/>
  <c r="AC128" i="15" s="1"/>
  <c r="DH1634" i="6"/>
  <c r="I1376" i="6"/>
  <c r="R164" i="15" s="1"/>
  <c r="AF164" i="15"/>
  <c r="X1326" i="6"/>
  <c r="I1279" i="6"/>
  <c r="Q162" i="15" s="1"/>
  <c r="L1269" i="6"/>
  <c r="AJ157" i="15" s="1"/>
  <c r="DH1756" i="6"/>
  <c r="DH1874" i="6"/>
  <c r="DH1890" i="6"/>
  <c r="AF154" i="15"/>
  <c r="F1319" i="6"/>
  <c r="F1310" i="6"/>
  <c r="F1358" i="6"/>
  <c r="I1272" i="6"/>
  <c r="R158" i="15" s="1"/>
  <c r="I1277" i="6"/>
  <c r="Q161" i="15" s="1"/>
  <c r="F1367" i="6"/>
  <c r="K1367" i="6" s="1"/>
  <c r="J1367" i="6" s="1"/>
  <c r="F1346" i="6"/>
  <c r="F1313" i="6"/>
  <c r="F1316" i="6"/>
  <c r="DH1794" i="6"/>
  <c r="F1337" i="6"/>
  <c r="F1334" i="6"/>
  <c r="DH1582" i="6"/>
  <c r="F1325" i="6"/>
  <c r="F1340" i="6"/>
  <c r="F4509" i="6"/>
  <c r="DI4509" i="6" s="1"/>
  <c r="F1343" i="6"/>
  <c r="F1322" i="6"/>
  <c r="AE126" i="15"/>
  <c r="AC126" i="15" s="1"/>
  <c r="DH4530" i="6"/>
  <c r="F1349" i="6"/>
  <c r="F1331" i="6"/>
  <c r="DH88" i="6"/>
  <c r="DH1554" i="6"/>
  <c r="F1328" i="6"/>
  <c r="F1361" i="6"/>
  <c r="AE110" i="15"/>
  <c r="AC110" i="15" s="1"/>
  <c r="F10" i="6"/>
  <c r="AF134" i="15"/>
  <c r="AH134" i="15"/>
  <c r="DH1881" i="6"/>
  <c r="BA218" i="15"/>
  <c r="BA242" i="15"/>
  <c r="H8" i="6"/>
  <c r="DH1687" i="6"/>
  <c r="DH8" i="6"/>
  <c r="DH1548" i="6"/>
  <c r="DH1583" i="6"/>
  <c r="AE182" i="15"/>
  <c r="DH1884" i="6"/>
  <c r="DH93" i="6"/>
  <c r="DH1508" i="6"/>
  <c r="DH1788" i="6"/>
  <c r="AF168" i="15"/>
  <c r="DH103" i="6"/>
  <c r="DH782" i="6"/>
  <c r="DI782" i="6" s="1"/>
  <c r="F116" i="6"/>
  <c r="DI116" i="6" s="1"/>
  <c r="DH1536" i="6"/>
  <c r="DH1892" i="6"/>
  <c r="DH1559" i="6"/>
  <c r="AH180" i="15"/>
  <c r="C1788" i="6"/>
  <c r="K1788" i="6" s="1"/>
  <c r="DJ1788" i="6" s="1"/>
  <c r="DH812" i="6"/>
  <c r="DI812" i="6" s="1"/>
  <c r="X1239" i="6"/>
  <c r="DH816" i="6"/>
  <c r="DI816" i="6" s="1"/>
  <c r="DH1876" i="6"/>
  <c r="AH223" i="15"/>
  <c r="DH125" i="6"/>
  <c r="DH1684" i="6"/>
  <c r="AF182" i="15"/>
  <c r="AE108" i="15"/>
  <c r="AC108" i="15" s="1"/>
  <c r="E172" i="16"/>
  <c r="E194" i="16"/>
  <c r="DH143" i="6"/>
  <c r="DH752" i="6"/>
  <c r="DH1819" i="6"/>
  <c r="AF169" i="15"/>
  <c r="DH799" i="6"/>
  <c r="DH796" i="6"/>
  <c r="DI796" i="6" s="1"/>
  <c r="DH764" i="6"/>
  <c r="DH114" i="6"/>
  <c r="X1218" i="6"/>
  <c r="F92" i="6"/>
  <c r="DI92" i="6" s="1"/>
  <c r="DH1706" i="6"/>
  <c r="AF197" i="15"/>
  <c r="DH4522" i="6"/>
  <c r="AE118" i="15"/>
  <c r="AC118" i="15" s="1"/>
  <c r="DH800" i="6"/>
  <c r="DI800" i="6" s="1"/>
  <c r="AG130" i="15"/>
  <c r="AD130" i="15" s="1"/>
  <c r="C1804" i="6"/>
  <c r="K1804" i="6" s="1"/>
  <c r="DJ1804" i="6" s="1"/>
  <c r="I1375" i="6"/>
  <c r="Q164" i="15" s="1"/>
  <c r="F12" i="6"/>
  <c r="X1236" i="6"/>
  <c r="AE164" i="15"/>
  <c r="AH261" i="15"/>
  <c r="DH1872" i="6"/>
  <c r="DH1704" i="6"/>
  <c r="AE104" i="15"/>
  <c r="AC104" i="15" s="1"/>
  <c r="BC229" i="15"/>
  <c r="DH4552" i="6"/>
  <c r="J1272" i="6"/>
  <c r="DH1272" i="6" s="1"/>
  <c r="AH184" i="15"/>
  <c r="DH1667" i="6"/>
  <c r="DH1601" i="6"/>
  <c r="X1238" i="6"/>
  <c r="DH1802" i="6"/>
  <c r="DH115" i="6"/>
  <c r="AE292" i="15"/>
  <c r="F90" i="6"/>
  <c r="DI90" i="6" s="1"/>
  <c r="F1329" i="6"/>
  <c r="DH1566" i="6"/>
  <c r="DH106" i="6"/>
  <c r="DH804" i="6"/>
  <c r="DI804" i="6" s="1"/>
  <c r="DH802" i="6"/>
  <c r="DI802" i="6" s="1"/>
  <c r="I1276" i="6"/>
  <c r="R160" i="15" s="1"/>
  <c r="DH153" i="6"/>
  <c r="DH1888" i="6"/>
  <c r="DH1880" i="6"/>
  <c r="DH129" i="6"/>
  <c r="DH1754" i="6"/>
  <c r="DH1587" i="6"/>
  <c r="DH1738" i="6"/>
  <c r="DH1870" i="6"/>
  <c r="C1686" i="6"/>
  <c r="K1686" i="6" s="1"/>
  <c r="DJ1686" i="6" s="1"/>
  <c r="BC222" i="15"/>
  <c r="I1275" i="6"/>
  <c r="Q160" i="15" s="1"/>
  <c r="AF185" i="15"/>
  <c r="AH249" i="15"/>
  <c r="DH1786" i="6"/>
  <c r="I1271" i="6"/>
  <c r="Q158" i="15" s="1"/>
  <c r="DH14" i="6"/>
  <c r="F107" i="6"/>
  <c r="DI107" i="6" s="1"/>
  <c r="AF136" i="15"/>
  <c r="AF172" i="15"/>
  <c r="DH4494" i="6"/>
  <c r="I1278" i="6"/>
  <c r="R161" i="15" s="1"/>
  <c r="AF229" i="15"/>
  <c r="DH1848" i="6"/>
  <c r="DH1818" i="6"/>
  <c r="AF288" i="15"/>
  <c r="AF292" i="15"/>
  <c r="DH1833" i="6"/>
  <c r="AE210" i="15"/>
  <c r="AF149" i="15"/>
  <c r="AF179" i="15"/>
  <c r="DH1550" i="6"/>
  <c r="DH1534" i="6"/>
  <c r="BA158" i="15"/>
  <c r="O13" i="6"/>
  <c r="DJ13" i="6" s="1"/>
  <c r="DH4532" i="6"/>
  <c r="DH104" i="6"/>
  <c r="AF177" i="15"/>
  <c r="AH269" i="15"/>
  <c r="DH1512" i="6"/>
  <c r="F1341" i="6"/>
  <c r="BA215" i="15"/>
  <c r="F1323" i="6"/>
  <c r="I1280" i="6"/>
  <c r="R162" i="15" s="1"/>
  <c r="DH95" i="6"/>
  <c r="DH155" i="6"/>
  <c r="C1850" i="6"/>
  <c r="K1850" i="6" s="1"/>
  <c r="DJ1850" i="6" s="1"/>
  <c r="DH1591" i="6"/>
  <c r="F4504" i="6"/>
  <c r="K307" i="15" s="1"/>
  <c r="F1311" i="6"/>
  <c r="F1335" i="6"/>
  <c r="DH1557" i="6"/>
  <c r="DH1805" i="6"/>
  <c r="F14" i="6"/>
  <c r="AE290" i="15"/>
  <c r="F4528" i="6"/>
  <c r="K315" i="15" s="1"/>
  <c r="F1344" i="6"/>
  <c r="F1326" i="6"/>
  <c r="DH806" i="6"/>
  <c r="DI806" i="6" s="1"/>
  <c r="F1347" i="6"/>
  <c r="F1353" i="6"/>
  <c r="V581" i="7"/>
  <c r="F1332" i="6"/>
  <c r="AF285" i="15"/>
  <c r="F1350" i="6"/>
  <c r="F1320" i="6"/>
  <c r="F98" i="6"/>
  <c r="DI98" i="6" s="1"/>
  <c r="F4544" i="6"/>
  <c r="F1365" i="6"/>
  <c r="K1365" i="6" s="1"/>
  <c r="J1365" i="6" s="1"/>
  <c r="AF294" i="15"/>
  <c r="F1338" i="6"/>
  <c r="DH1279" i="6"/>
  <c r="DH1514" i="6"/>
  <c r="DH1564" i="6"/>
  <c r="F4568" i="6"/>
  <c r="K328" i="15" s="1"/>
  <c r="DH141" i="6"/>
  <c r="Y1123" i="6"/>
  <c r="F1356" i="6"/>
  <c r="J1280" i="6"/>
  <c r="DH1280" i="6" s="1"/>
  <c r="J1276" i="6"/>
  <c r="DH1276" i="6" s="1"/>
  <c r="DH1574" i="6"/>
  <c r="AF178" i="15"/>
  <c r="F1308" i="6"/>
  <c r="F1314" i="6"/>
  <c r="DH1861" i="6"/>
  <c r="AE252" i="15"/>
  <c r="AG252" i="15"/>
  <c r="DH1556" i="6"/>
  <c r="DH1570" i="6"/>
  <c r="AH201" i="15"/>
  <c r="AF209" i="15"/>
  <c r="AH265" i="15"/>
  <c r="DH4506" i="6"/>
  <c r="BA191" i="15"/>
  <c r="DH97" i="6"/>
  <c r="DH1542" i="6"/>
  <c r="BA214" i="15"/>
  <c r="F1330" i="6"/>
  <c r="F101" i="6"/>
  <c r="DI101" i="6" s="1"/>
  <c r="DH1885" i="6"/>
  <c r="DH151" i="6"/>
  <c r="DH1886" i="6"/>
  <c r="F1354" i="6"/>
  <c r="F1342" i="6"/>
  <c r="F1312" i="6"/>
  <c r="DH1580" i="6"/>
  <c r="F1324" i="6"/>
  <c r="F1318" i="6"/>
  <c r="DH1821" i="6"/>
  <c r="F1336" i="6"/>
  <c r="F1366" i="6"/>
  <c r="K1366" i="6" s="1"/>
  <c r="J1366" i="6" s="1"/>
  <c r="DH1646" i="6"/>
  <c r="DH1849" i="6"/>
  <c r="F8" i="6"/>
  <c r="DH1626" i="6"/>
  <c r="C1558" i="6"/>
  <c r="K1558" i="6" s="1"/>
  <c r="DJ1558" i="6" s="1"/>
  <c r="DH786" i="6"/>
  <c r="DI786" i="6" s="1"/>
  <c r="DH105" i="6"/>
  <c r="DH1739" i="6"/>
  <c r="DH766" i="6"/>
  <c r="DI766" i="6" s="1"/>
  <c r="I1374" i="6"/>
  <c r="R163" i="15" s="1"/>
  <c r="DH1787" i="6"/>
  <c r="AH231" i="15"/>
  <c r="DH787" i="6"/>
  <c r="DI787" i="6" s="1"/>
  <c r="F1348" i="6"/>
  <c r="AF163" i="15"/>
  <c r="DH1273" i="6"/>
  <c r="DH1871" i="6"/>
  <c r="DH1670" i="6"/>
  <c r="F4554" i="6"/>
  <c r="DH1590" i="6"/>
  <c r="DH1860" i="6"/>
  <c r="BC221" i="15"/>
  <c r="DH84" i="6"/>
  <c r="DI84" i="6" s="1"/>
  <c r="DH1622" i="6"/>
  <c r="AH253" i="15"/>
  <c r="F4497" i="6"/>
  <c r="DI4497" i="6" s="1"/>
  <c r="F1309" i="6"/>
  <c r="AH168" i="15"/>
  <c r="DH1623" i="6"/>
  <c r="DH807" i="6"/>
  <c r="F4525" i="6"/>
  <c r="DI4525" i="6" s="1"/>
  <c r="DH1770" i="6"/>
  <c r="AF138" i="15"/>
  <c r="DH1522" i="6"/>
  <c r="F1339" i="6"/>
  <c r="BD222" i="15"/>
  <c r="DH1838" i="6"/>
  <c r="F4487" i="6"/>
  <c r="N300" i="15" s="1"/>
  <c r="F1327" i="6"/>
  <c r="DH12" i="6"/>
  <c r="F1321" i="6"/>
  <c r="F1351" i="6"/>
  <c r="DH131" i="6"/>
  <c r="AF176" i="15"/>
  <c r="DH1551" i="6"/>
  <c r="AE225" i="15"/>
  <c r="F1315" i="6"/>
  <c r="F1345" i="6"/>
  <c r="F1357" i="6"/>
  <c r="DH1832" i="6"/>
  <c r="DH1581" i="6"/>
  <c r="AE196" i="15"/>
  <c r="K969" i="6"/>
  <c r="BC220" i="15"/>
  <c r="F1333" i="6"/>
  <c r="H12" i="6"/>
  <c r="I1273" i="6"/>
  <c r="Q159" i="15" s="1"/>
  <c r="F103" i="6"/>
  <c r="DH4510" i="6"/>
  <c r="BC246" i="15"/>
  <c r="BA280" i="15"/>
  <c r="F119" i="6"/>
  <c r="DI119" i="6" s="1"/>
  <c r="DH1666" i="6"/>
  <c r="DH808" i="6"/>
  <c r="DI808" i="6" s="1"/>
  <c r="L1277" i="6"/>
  <c r="AJ161" i="15" s="1"/>
  <c r="W1330" i="6"/>
  <c r="X1330" i="6"/>
  <c r="DH784" i="6"/>
  <c r="DI784" i="6" s="1"/>
  <c r="DH1615" i="6"/>
  <c r="DH108" i="6"/>
  <c r="DH811" i="6"/>
  <c r="DI811" i="6" s="1"/>
  <c r="DH815" i="6"/>
  <c r="DI815" i="6" s="1"/>
  <c r="C1550" i="6"/>
  <c r="K1550" i="6" s="1"/>
  <c r="DJ1550" i="6" s="1"/>
  <c r="DH1708" i="6"/>
  <c r="DH1762" i="6"/>
  <c r="DH1776" i="6"/>
  <c r="DH1810" i="6"/>
  <c r="DH788" i="6"/>
  <c r="DI788" i="6" s="1"/>
  <c r="J1270" i="6"/>
  <c r="DH1270" i="6" s="1"/>
  <c r="DH1269" i="6"/>
  <c r="I1274" i="6"/>
  <c r="R159" i="15" s="1"/>
  <c r="BA233" i="15"/>
  <c r="H10" i="6"/>
  <c r="DH10" i="6"/>
  <c r="DH85" i="6"/>
  <c r="DH1640" i="6"/>
  <c r="DH1650" i="6"/>
  <c r="DH773" i="6"/>
  <c r="DI773" i="6" s="1"/>
  <c r="DH1873" i="6"/>
  <c r="DH1893" i="6"/>
  <c r="DH142" i="6"/>
  <c r="DH1616" i="6"/>
  <c r="DH1540" i="6"/>
  <c r="C1756" i="6"/>
  <c r="K1756" i="6" s="1"/>
  <c r="DJ1756" i="6" s="1"/>
  <c r="DH1773" i="6"/>
  <c r="DH133" i="6"/>
  <c r="K1413" i="6"/>
  <c r="DH1604" i="6"/>
  <c r="DH1544" i="6"/>
  <c r="DH1685" i="6"/>
  <c r="DH4534" i="6"/>
  <c r="AE131" i="15"/>
  <c r="AC131" i="15" s="1"/>
  <c r="DH1686" i="6"/>
  <c r="AE211" i="15"/>
  <c r="DH1571" i="6"/>
  <c r="F94" i="6"/>
  <c r="DI94" i="6" s="1"/>
  <c r="AH185" i="15"/>
  <c r="F4510" i="6"/>
  <c r="DH1850" i="6"/>
  <c r="F4530" i="6"/>
  <c r="F112" i="6"/>
  <c r="F1359" i="6"/>
  <c r="DH1558" i="6"/>
  <c r="AF290" i="15"/>
  <c r="DH785" i="6"/>
  <c r="DI785" i="6" s="1"/>
  <c r="DH783" i="6"/>
  <c r="DI783" i="6" s="1"/>
  <c r="I1269" i="6"/>
  <c r="Q157" i="15" s="1"/>
  <c r="BA157" i="15"/>
  <c r="DH1614" i="6"/>
  <c r="DH1635" i="6"/>
  <c r="DH4512" i="6"/>
  <c r="BA230" i="15"/>
  <c r="F121" i="6"/>
  <c r="DI121" i="6" s="1"/>
  <c r="DH1835" i="6"/>
  <c r="DH1656" i="6"/>
  <c r="DH1549" i="6"/>
  <c r="DH4486" i="6"/>
  <c r="BA234" i="15"/>
  <c r="DH1757" i="6"/>
  <c r="AZ84" i="15"/>
  <c r="DH1598" i="6"/>
  <c r="DH1790" i="6"/>
  <c r="DH1824" i="6"/>
  <c r="DH1844" i="6"/>
  <c r="DH1740" i="6"/>
  <c r="DH1784" i="6"/>
  <c r="DH1586" i="6"/>
  <c r="DH1764" i="6"/>
  <c r="DH1560" i="6"/>
  <c r="DH1518" i="6"/>
  <c r="DH112" i="6"/>
  <c r="X1328" i="6"/>
  <c r="W1328" i="6"/>
  <c r="L1273" i="6"/>
  <c r="AJ159" i="15" s="1"/>
  <c r="K853" i="6"/>
  <c r="K844" i="6"/>
  <c r="K1255" i="6" s="1"/>
  <c r="K984" i="6"/>
  <c r="K975" i="6"/>
  <c r="DH4528" i="6"/>
  <c r="F4479" i="6"/>
  <c r="DI4479" i="6" s="1"/>
  <c r="AF180" i="15"/>
  <c r="F4533" i="6"/>
  <c r="DI4533" i="6" s="1"/>
  <c r="AF211" i="15"/>
  <c r="DH1804" i="6"/>
  <c r="K968" i="6"/>
  <c r="AF241" i="15"/>
  <c r="F4485" i="6"/>
  <c r="DI4485" i="6" s="1"/>
  <c r="F4559" i="6"/>
  <c r="DI4559" i="6" s="1"/>
  <c r="AH169" i="15"/>
  <c r="F4477" i="6"/>
  <c r="DI4477" i="6" s="1"/>
  <c r="F4535" i="6"/>
  <c r="DI4535" i="6" s="1"/>
  <c r="DH4488" i="6"/>
  <c r="F4549" i="6"/>
  <c r="DI4549" i="6" s="1"/>
  <c r="DH1771" i="6"/>
  <c r="AG168" i="15"/>
  <c r="AG184" i="15"/>
  <c r="F4521" i="6"/>
  <c r="DI4521" i="6" s="1"/>
  <c r="F4511" i="6"/>
  <c r="DI4511" i="6" s="1"/>
  <c r="F4545" i="6"/>
  <c r="DI4545" i="6" s="1"/>
  <c r="F4551" i="6"/>
  <c r="N322" i="15" s="1"/>
  <c r="DH4558" i="6"/>
  <c r="F4569" i="6"/>
  <c r="DI4569" i="6" s="1"/>
  <c r="F4527" i="6"/>
  <c r="N314" i="15" s="1"/>
  <c r="AH135" i="15"/>
  <c r="F4489" i="6"/>
  <c r="DI4489" i="6" s="1"/>
  <c r="F4501" i="6"/>
  <c r="DI4501" i="6" s="1"/>
  <c r="F4503" i="6"/>
  <c r="DI4503" i="6" s="1"/>
  <c r="DH4548" i="6"/>
  <c r="DH1603" i="6"/>
  <c r="DH1772" i="6"/>
  <c r="AZ130" i="15"/>
  <c r="DH134" i="6"/>
  <c r="DH762" i="6"/>
  <c r="DI762" i="6" s="1"/>
  <c r="BA197" i="15"/>
  <c r="F4531" i="6"/>
  <c r="N315" i="15" s="1"/>
  <c r="F4481" i="6"/>
  <c r="L299" i="15" s="1"/>
  <c r="F4555" i="6"/>
  <c r="DI4555" i="6" s="1"/>
  <c r="F4553" i="6"/>
  <c r="DI4553" i="6" s="1"/>
  <c r="F4529" i="6"/>
  <c r="DI4529" i="6" s="1"/>
  <c r="F4539" i="6"/>
  <c r="N317" i="15" s="1"/>
  <c r="F4515" i="6"/>
  <c r="DI4515" i="6" s="1"/>
  <c r="F4505" i="6"/>
  <c r="DI4505" i="6" s="1"/>
  <c r="F4563" i="6"/>
  <c r="F4507" i="6"/>
  <c r="DI4507" i="6" s="1"/>
  <c r="F4561" i="6"/>
  <c r="DI4561" i="6" s="1"/>
  <c r="F4483" i="6"/>
  <c r="N299" i="15" s="1"/>
  <c r="F4537" i="6"/>
  <c r="F4491" i="6"/>
  <c r="N301" i="15" s="1"/>
  <c r="F4513" i="6"/>
  <c r="L309" i="15" s="1"/>
  <c r="DH1530" i="6"/>
  <c r="AH176" i="15"/>
  <c r="AH170" i="15"/>
  <c r="DH4564" i="6"/>
  <c r="F115" i="6"/>
  <c r="K986" i="6"/>
  <c r="K977" i="6"/>
  <c r="F4492" i="6"/>
  <c r="BD229" i="15"/>
  <c r="K840" i="6"/>
  <c r="K1243" i="6" s="1"/>
  <c r="K849" i="6"/>
  <c r="DH4550" i="6"/>
  <c r="DH4562" i="6"/>
  <c r="AF194" i="15"/>
  <c r="DH4482" i="6"/>
  <c r="AG253" i="15"/>
  <c r="F4482" i="6"/>
  <c r="M299" i="15" s="1"/>
  <c r="F4562" i="6"/>
  <c r="M325" i="15" s="1"/>
  <c r="F4520" i="6"/>
  <c r="F4548" i="6"/>
  <c r="K322" i="15" s="1"/>
  <c r="F4514" i="6"/>
  <c r="F4486" i="6"/>
  <c r="M300" i="15" s="1"/>
  <c r="F4496" i="6"/>
  <c r="F4502" i="6"/>
  <c r="M306" i="15" s="1"/>
  <c r="F4556" i="6"/>
  <c r="K324" i="15" s="1"/>
  <c r="F4526" i="6"/>
  <c r="K4596" i="6"/>
  <c r="J4610" i="6" s="1"/>
  <c r="AF4610" i="6" s="1"/>
  <c r="F4550" i="6"/>
  <c r="M322" i="15" s="1"/>
  <c r="F4508" i="6"/>
  <c r="K308" i="15" s="1"/>
  <c r="F4560" i="6"/>
  <c r="K325" i="15" s="1"/>
  <c r="F4564" i="6"/>
  <c r="K326" i="15" s="1"/>
  <c r="F4478" i="6"/>
  <c r="F4490" i="6"/>
  <c r="M301" i="15" s="1"/>
  <c r="F4484" i="6"/>
  <c r="K300" i="15" s="1"/>
  <c r="F4536" i="6"/>
  <c r="K317" i="15" s="1"/>
  <c r="F4506" i="6"/>
  <c r="M307" i="15" s="1"/>
  <c r="F4532" i="6"/>
  <c r="K316" i="15" s="1"/>
  <c r="F4512" i="6"/>
  <c r="K309" i="15" s="1"/>
  <c r="F4540" i="6"/>
  <c r="F4534" i="6"/>
  <c r="M316" i="15" s="1"/>
  <c r="F4488" i="6"/>
  <c r="K301" i="15" s="1"/>
  <c r="F4558" i="6"/>
  <c r="M324" i="15" s="1"/>
  <c r="F4524" i="6"/>
  <c r="F4480" i="6"/>
  <c r="F4500" i="6"/>
  <c r="F4552" i="6"/>
  <c r="K323" i="15" s="1"/>
  <c r="DH1834" i="6"/>
  <c r="DH1642" i="6"/>
  <c r="F106" i="6"/>
  <c r="F4538" i="6"/>
  <c r="M317" i="15" s="1"/>
  <c r="DH4490" i="6"/>
  <c r="AF217" i="15"/>
  <c r="AF190" i="15"/>
  <c r="F4517" i="6"/>
  <c r="AE171" i="15"/>
  <c r="AF236" i="15"/>
  <c r="F4543" i="6"/>
  <c r="DI4543" i="6" s="1"/>
  <c r="AE249" i="15"/>
  <c r="AG175" i="15"/>
  <c r="AG190" i="15"/>
  <c r="F4567" i="6"/>
  <c r="DI4567" i="6" s="1"/>
  <c r="AF232" i="15"/>
  <c r="AG250" i="15"/>
  <c r="AH277" i="15"/>
  <c r="DH4536" i="6"/>
  <c r="AF237" i="15"/>
  <c r="F4519" i="6"/>
  <c r="DI4519" i="6" s="1"/>
  <c r="F4541" i="6"/>
  <c r="L318" i="15" s="1"/>
  <c r="AE186" i="15"/>
  <c r="AF243" i="15"/>
  <c r="AF245" i="15"/>
  <c r="AF137" i="15"/>
  <c r="F4547" i="6"/>
  <c r="DI4547" i="6" s="1"/>
  <c r="AG249" i="15"/>
  <c r="AE170" i="15"/>
  <c r="F4571" i="6"/>
  <c r="DI4571" i="6" s="1"/>
  <c r="F4565" i="6"/>
  <c r="AG174" i="15"/>
  <c r="AE222" i="15"/>
  <c r="AF226" i="15"/>
  <c r="AE244" i="15"/>
  <c r="F4495" i="6"/>
  <c r="DI4495" i="6" s="1"/>
  <c r="AH198" i="15"/>
  <c r="AF215" i="15"/>
  <c r="K4585" i="6"/>
  <c r="AF225" i="15"/>
  <c r="F4523" i="6"/>
  <c r="DI4523" i="6" s="1"/>
  <c r="AG231" i="15"/>
  <c r="AH174" i="15"/>
  <c r="AF239" i="15"/>
  <c r="AF205" i="15"/>
  <c r="F4499" i="6"/>
  <c r="DI4499" i="6" s="1"/>
  <c r="AG223" i="15"/>
  <c r="F4570" i="6"/>
  <c r="DH4546" i="6"/>
  <c r="E102" i="7"/>
  <c r="E114" i="7"/>
  <c r="E121" i="7"/>
  <c r="E109" i="7"/>
  <c r="E101" i="7"/>
  <c r="E113" i="7"/>
  <c r="E116" i="7"/>
  <c r="E104" i="7"/>
  <c r="E105" i="7"/>
  <c r="E117" i="7"/>
  <c r="E106" i="7"/>
  <c r="E118" i="7"/>
  <c r="E115" i="7"/>
  <c r="E103" i="7"/>
  <c r="J756" i="7"/>
  <c r="O440" i="15" s="1"/>
  <c r="V440" i="15" s="1"/>
  <c r="U440" i="15" s="1"/>
  <c r="DI868" i="7"/>
  <c r="AF449" i="15" s="1"/>
  <c r="DI870" i="7"/>
  <c r="AF450" i="15" s="1"/>
  <c r="F662" i="7"/>
  <c r="F1274" i="7"/>
  <c r="F1223" i="7" s="1"/>
  <c r="F666" i="7"/>
  <c r="F1272" i="7"/>
  <c r="F1219" i="7" s="1"/>
  <c r="F664" i="7"/>
  <c r="F1279" i="7"/>
  <c r="F1233" i="7" s="1"/>
  <c r="P701" i="7"/>
  <c r="F1278" i="7"/>
  <c r="F1231" i="7" s="1"/>
  <c r="P700" i="7"/>
  <c r="F1277" i="7"/>
  <c r="F1229" i="7" s="1"/>
  <c r="P699" i="7"/>
  <c r="P697" i="7"/>
  <c r="DH781" i="6"/>
  <c r="DI781" i="6" s="1"/>
  <c r="AF174" i="15"/>
  <c r="AG201" i="15"/>
  <c r="BA185" i="15"/>
  <c r="F97" i="6"/>
  <c r="AF173" i="15"/>
  <c r="AE192" i="15"/>
  <c r="AE220" i="15"/>
  <c r="AE284" i="15"/>
  <c r="AG268" i="15"/>
  <c r="AE228" i="15"/>
  <c r="AE226" i="15"/>
  <c r="AE248" i="15"/>
  <c r="AF262" i="15"/>
  <c r="AF278" i="15"/>
  <c r="AF281" i="15"/>
  <c r="AE235" i="15"/>
  <c r="AE173" i="15"/>
  <c r="AE212" i="15"/>
  <c r="AH242" i="15"/>
  <c r="AG244" i="15"/>
  <c r="AG246" i="15"/>
  <c r="AF248" i="15"/>
  <c r="AG254" i="15"/>
  <c r="AE256" i="15"/>
  <c r="AH266" i="15"/>
  <c r="AE270" i="15"/>
  <c r="AG200" i="15"/>
  <c r="AE234" i="15"/>
  <c r="AE276" i="15"/>
  <c r="AE202" i="15"/>
  <c r="AE206" i="15"/>
  <c r="AF212" i="15"/>
  <c r="AF222" i="15"/>
  <c r="AF270" i="15"/>
  <c r="AE273" i="15"/>
  <c r="AG278" i="15"/>
  <c r="AE280" i="15"/>
  <c r="AE282" i="15"/>
  <c r="AE215" i="15"/>
  <c r="AG234" i="15"/>
  <c r="AF202" i="15"/>
  <c r="AF206" i="15"/>
  <c r="AE230" i="15"/>
  <c r="AF238" i="15"/>
  <c r="AE243" i="15"/>
  <c r="AF256" i="15"/>
  <c r="AF264" i="15"/>
  <c r="AF273" i="15"/>
  <c r="AF280" i="15"/>
  <c r="AF282" i="15"/>
  <c r="AE286" i="15"/>
  <c r="AE268" i="15"/>
  <c r="AE285" i="15"/>
  <c r="AE261" i="15"/>
  <c r="AF186" i="15"/>
  <c r="AF192" i="15"/>
  <c r="AG222" i="15"/>
  <c r="AH244" i="15"/>
  <c r="AH246" i="15"/>
  <c r="AG248" i="15"/>
  <c r="AH254" i="15"/>
  <c r="AH262" i="15"/>
  <c r="AE272" i="15"/>
  <c r="AH278" i="15"/>
  <c r="AE214" i="15"/>
  <c r="AH190" i="15"/>
  <c r="AE198" i="15"/>
  <c r="AF230" i="15"/>
  <c r="AE239" i="15"/>
  <c r="AE250" i="15"/>
  <c r="AG256" i="15"/>
  <c r="AE258" i="15"/>
  <c r="AG270" i="15"/>
  <c r="AE274" i="15"/>
  <c r="AG269" i="15"/>
  <c r="AE260" i="15"/>
  <c r="AE277" i="15"/>
  <c r="AF171" i="15"/>
  <c r="AE174" i="15"/>
  <c r="AF198" i="15"/>
  <c r="AF216" i="15"/>
  <c r="AH232" i="15"/>
  <c r="AE245" i="15"/>
  <c r="AF250" i="15"/>
  <c r="AF258" i="15"/>
  <c r="AG264" i="15"/>
  <c r="AF272" i="15"/>
  <c r="AF274" i="15"/>
  <c r="AG280" i="15"/>
  <c r="AG235" i="15"/>
  <c r="AF170" i="15"/>
  <c r="AH222" i="15"/>
  <c r="AE224" i="15"/>
  <c r="AG230" i="15"/>
  <c r="AF242" i="15"/>
  <c r="AH248" i="15"/>
  <c r="AH256" i="15"/>
  <c r="AE266" i="15"/>
  <c r="AH270" i="15"/>
  <c r="AG286" i="15"/>
  <c r="AG265" i="15"/>
  <c r="AG258" i="15"/>
  <c r="AF266" i="15"/>
  <c r="AG274" i="15"/>
  <c r="AE208" i="15"/>
  <c r="AE190" i="15"/>
  <c r="AE218" i="15"/>
  <c r="AF224" i="15"/>
  <c r="AF247" i="15"/>
  <c r="AH264" i="15"/>
  <c r="AH280" i="15"/>
  <c r="AH286" i="15"/>
  <c r="AG261" i="15"/>
  <c r="AE197" i="15"/>
  <c r="AE253" i="15"/>
  <c r="AH182" i="15"/>
  <c r="AE194" i="15"/>
  <c r="AF210" i="15"/>
  <c r="AH230" i="15"/>
  <c r="AE232" i="15"/>
  <c r="AG242" i="15"/>
  <c r="AF244" i="15"/>
  <c r="AE246" i="15"/>
  <c r="AE254" i="15"/>
  <c r="AH258" i="15"/>
  <c r="AH274" i="15"/>
  <c r="AE201" i="15"/>
  <c r="AF204" i="15"/>
  <c r="AF218" i="15"/>
  <c r="AF246" i="15"/>
  <c r="AH250" i="15"/>
  <c r="AF254" i="15"/>
  <c r="AE262" i="15"/>
  <c r="AG266" i="15"/>
  <c r="AH272" i="15"/>
  <c r="AE281" i="15"/>
  <c r="AF286" i="15"/>
  <c r="AG232" i="15"/>
  <c r="AE238" i="15"/>
  <c r="AE247" i="15"/>
  <c r="DH760" i="6"/>
  <c r="DI760" i="6" s="1"/>
  <c r="DH4476" i="6"/>
  <c r="DH797" i="6"/>
  <c r="DH801" i="6"/>
  <c r="K842" i="6"/>
  <c r="K1247" i="6" s="1"/>
  <c r="K851" i="6"/>
  <c r="DH4568" i="6"/>
  <c r="DH4502" i="6"/>
  <c r="DH4556" i="6"/>
  <c r="F4494" i="6"/>
  <c r="K303" i="15" s="1"/>
  <c r="DH4518" i="6"/>
  <c r="F4522" i="6"/>
  <c r="K313" i="15" s="1"/>
  <c r="F4498" i="6"/>
  <c r="F4542" i="6"/>
  <c r="F4566" i="6"/>
  <c r="K327" i="15" s="1"/>
  <c r="F4518" i="6"/>
  <c r="K311" i="15" s="1"/>
  <c r="F4546" i="6"/>
  <c r="K321" i="15" s="1"/>
  <c r="AE720" i="15" l="1"/>
  <c r="AC720" i="15" s="1"/>
  <c r="AB388" i="15"/>
  <c r="DJ147" i="7"/>
  <c r="AB390" i="15"/>
  <c r="DJ149" i="7"/>
  <c r="AB378" i="15"/>
  <c r="DJ137" i="7"/>
  <c r="AB379" i="15"/>
  <c r="DJ138" i="7"/>
  <c r="AB372" i="15"/>
  <c r="DJ131" i="7"/>
  <c r="AB385" i="15"/>
  <c r="DJ144" i="7"/>
  <c r="AB384" i="15"/>
  <c r="DJ143" i="7"/>
  <c r="AB376" i="15"/>
  <c r="DJ135" i="7"/>
  <c r="AB398" i="15"/>
  <c r="DJ446" i="7"/>
  <c r="AB396" i="15"/>
  <c r="DJ155" i="7"/>
  <c r="AB374" i="15"/>
  <c r="DJ133" i="7"/>
  <c r="AB373" i="15"/>
  <c r="DJ132" i="7"/>
  <c r="AB395" i="15"/>
  <c r="DJ154" i="7"/>
  <c r="AB392" i="15"/>
  <c r="DJ151" i="7"/>
  <c r="AB387" i="15"/>
  <c r="DJ146" i="7"/>
  <c r="AB386" i="15"/>
  <c r="DJ145" i="7"/>
  <c r="AB408" i="15"/>
  <c r="DJ516" i="7"/>
  <c r="AB380" i="15"/>
  <c r="DJ139" i="7"/>
  <c r="AB484" i="15"/>
  <c r="DJ1044" i="7"/>
  <c r="F1227" i="7"/>
  <c r="AF1227" i="7" s="1"/>
  <c r="F1221" i="7"/>
  <c r="F55" i="16"/>
  <c r="F49" i="16"/>
  <c r="F69" i="16"/>
  <c r="F51" i="16"/>
  <c r="DI51" i="16" s="1"/>
  <c r="AF11" i="15" s="1"/>
  <c r="AC11" i="15" s="1"/>
  <c r="F63" i="16"/>
  <c r="I63" i="16" s="1"/>
  <c r="AF43" i="5"/>
  <c r="I43" i="5"/>
  <c r="O47" i="15" s="1"/>
  <c r="U47" i="15" s="1"/>
  <c r="I47" i="15"/>
  <c r="DI43" i="5"/>
  <c r="I44" i="5"/>
  <c r="O48" i="15" s="1"/>
  <c r="U48" i="15" s="1"/>
  <c r="AF44" i="5"/>
  <c r="I48" i="15"/>
  <c r="DI44" i="5"/>
  <c r="AB391" i="15"/>
  <c r="AB370" i="15"/>
  <c r="AB513" i="15"/>
  <c r="AB369" i="15"/>
  <c r="L453" i="15"/>
  <c r="I453" i="15" s="1"/>
  <c r="AB389" i="15"/>
  <c r="I520" i="15"/>
  <c r="I878" i="7"/>
  <c r="R454" i="15" s="1"/>
  <c r="O454" i="15" s="1"/>
  <c r="V454" i="15" s="1"/>
  <c r="U454" i="15" s="1"/>
  <c r="AF878" i="7"/>
  <c r="AB371" i="15"/>
  <c r="AB397" i="15"/>
  <c r="DI876" i="7"/>
  <c r="AF453" i="15" s="1"/>
  <c r="AC453" i="15" s="1"/>
  <c r="AB383" i="15"/>
  <c r="AB394" i="15"/>
  <c r="AB393" i="15"/>
  <c r="AB375" i="15"/>
  <c r="AB414" i="15"/>
  <c r="I876" i="7"/>
  <c r="R453" i="15" s="1"/>
  <c r="O453" i="15" s="1"/>
  <c r="V453" i="15" s="1"/>
  <c r="U453" i="15" s="1"/>
  <c r="AB368" i="15"/>
  <c r="AB377" i="15"/>
  <c r="AB382" i="15"/>
  <c r="AC262" i="15"/>
  <c r="Z78" i="15"/>
  <c r="W78" i="15" s="1"/>
  <c r="V78" i="15" s="1"/>
  <c r="V444" i="15"/>
  <c r="U444" i="15" s="1"/>
  <c r="DI4520" i="6"/>
  <c r="AG311" i="15" s="1"/>
  <c r="DI4522" i="6"/>
  <c r="AE313" i="15" s="1"/>
  <c r="DI4568" i="6"/>
  <c r="DI4483" i="6"/>
  <c r="AH299" i="15" s="1"/>
  <c r="DI97" i="6"/>
  <c r="AG90" i="15" s="1"/>
  <c r="AD90" i="15" s="1"/>
  <c r="DI4498" i="6"/>
  <c r="AE305" i="15" s="1"/>
  <c r="DI4548" i="6"/>
  <c r="AE322" i="15" s="1"/>
  <c r="DI4508" i="6"/>
  <c r="AE308" i="15" s="1"/>
  <c r="DI4527" i="6"/>
  <c r="AH314" i="15" s="1"/>
  <c r="DI143" i="6"/>
  <c r="AE121" i="15" s="1"/>
  <c r="AC121" i="15" s="1"/>
  <c r="DI4542" i="6"/>
  <c r="AG318" i="15" s="1"/>
  <c r="DI4566" i="6"/>
  <c r="V57" i="15"/>
  <c r="U57" i="15" s="1"/>
  <c r="V56" i="15"/>
  <c r="U56" i="15" s="1"/>
  <c r="V67" i="15"/>
  <c r="U67" i="15" s="1"/>
  <c r="AC208" i="15"/>
  <c r="V25" i="15"/>
  <c r="U25" i="15" s="1"/>
  <c r="V608" i="15"/>
  <c r="U608" i="15" s="1"/>
  <c r="I638" i="15"/>
  <c r="V609" i="15"/>
  <c r="U609" i="15" s="1"/>
  <c r="V607" i="15"/>
  <c r="U607" i="15" s="1"/>
  <c r="DI19" i="7"/>
  <c r="AE356" i="15" s="1"/>
  <c r="AC356" i="15" s="1"/>
  <c r="V508" i="15"/>
  <c r="U508" i="15" s="1"/>
  <c r="DI4551" i="6"/>
  <c r="AH322" i="15" s="1"/>
  <c r="DI4570" i="6"/>
  <c r="AE329" i="15" s="1"/>
  <c r="DI4544" i="6"/>
  <c r="DI4526" i="6"/>
  <c r="AG314" i="15" s="1"/>
  <c r="DI4552" i="6"/>
  <c r="AE323" i="15" s="1"/>
  <c r="DI4557" i="6"/>
  <c r="AF324" i="15" s="1"/>
  <c r="DI4518" i="6"/>
  <c r="DI4488" i="6"/>
  <c r="AE301" i="15" s="1"/>
  <c r="DI4540" i="6"/>
  <c r="AE318" i="15" s="1"/>
  <c r="DI4524" i="6"/>
  <c r="AE314" i="15" s="1"/>
  <c r="DI4531" i="6"/>
  <c r="AH315" i="15" s="1"/>
  <c r="V445" i="15"/>
  <c r="U445" i="15" s="1"/>
  <c r="DI4556" i="6"/>
  <c r="AE324" i="15" s="1"/>
  <c r="DI112" i="6"/>
  <c r="AG100" i="15" s="1"/>
  <c r="AD100" i="15" s="1"/>
  <c r="DI4492" i="6"/>
  <c r="AE302" i="15" s="1"/>
  <c r="DI4502" i="6"/>
  <c r="AG306" i="15" s="1"/>
  <c r="DI4546" i="6"/>
  <c r="AE321" i="15" s="1"/>
  <c r="DI4486" i="6"/>
  <c r="AG300" i="15" s="1"/>
  <c r="DI153" i="6"/>
  <c r="AG127" i="15" s="1"/>
  <c r="AD127" i="15" s="1"/>
  <c r="AF1488" i="6"/>
  <c r="DI4541" i="6"/>
  <c r="AF318" i="15" s="1"/>
  <c r="DI4550" i="6"/>
  <c r="AG322" i="15" s="1"/>
  <c r="DI16" i="7"/>
  <c r="AE353" i="15" s="1"/>
  <c r="AC353" i="15" s="1"/>
  <c r="DI4514" i="6"/>
  <c r="AG309" i="15" s="1"/>
  <c r="DI4476" i="6"/>
  <c r="AE298" i="15" s="1"/>
  <c r="DI4534" i="6"/>
  <c r="AG316" i="15" s="1"/>
  <c r="DI4513" i="6"/>
  <c r="AF309" i="15" s="1"/>
  <c r="V68" i="15"/>
  <c r="U68" i="15" s="1"/>
  <c r="V52" i="15"/>
  <c r="U52" i="15" s="1"/>
  <c r="V54" i="15"/>
  <c r="U54" i="15" s="1"/>
  <c r="W46" i="15"/>
  <c r="V46" i="15" s="1"/>
  <c r="U46" i="15" s="1"/>
  <c r="V53" i="15"/>
  <c r="U53" i="15" s="1"/>
  <c r="V55" i="15"/>
  <c r="U55" i="15" s="1"/>
  <c r="V34" i="15"/>
  <c r="U34" i="15" s="1"/>
  <c r="V24" i="15"/>
  <c r="U24" i="15" s="1"/>
  <c r="V35" i="15"/>
  <c r="U35" i="15" s="1"/>
  <c r="V23" i="15"/>
  <c r="U23" i="15" s="1"/>
  <c r="V504" i="15"/>
  <c r="U504" i="15" s="1"/>
  <c r="V457" i="15"/>
  <c r="U457" i="15" s="1"/>
  <c r="V511" i="15"/>
  <c r="U511" i="15" s="1"/>
  <c r="AC214" i="15"/>
  <c r="I662" i="15"/>
  <c r="AD200" i="15"/>
  <c r="AC231" i="15"/>
  <c r="AC284" i="15"/>
  <c r="AC276" i="15"/>
  <c r="AD268" i="15"/>
  <c r="AC201" i="15"/>
  <c r="DI1885" i="6"/>
  <c r="AF293" i="15" s="1"/>
  <c r="DI1587" i="6"/>
  <c r="AF193" i="15" s="1"/>
  <c r="DI1272" i="6"/>
  <c r="AF158" i="15" s="1"/>
  <c r="DI1687" i="6"/>
  <c r="AH233" i="15" s="1"/>
  <c r="DI105" i="6"/>
  <c r="AE96" i="15" s="1"/>
  <c r="AC96" i="15" s="1"/>
  <c r="DI1276" i="6"/>
  <c r="AF160" i="15" s="1"/>
  <c r="DI1848" i="6"/>
  <c r="AE279" i="15" s="1"/>
  <c r="DI1754" i="6"/>
  <c r="AE255" i="15" s="1"/>
  <c r="DI1277" i="6"/>
  <c r="AE161" i="15" s="1"/>
  <c r="DI1893" i="6"/>
  <c r="AF297" i="15" s="1"/>
  <c r="DI1280" i="6"/>
  <c r="AF162" i="15" s="1"/>
  <c r="DI114" i="6"/>
  <c r="AE102" i="15" s="1"/>
  <c r="AC102" i="15" s="1"/>
  <c r="DI1850" i="6"/>
  <c r="AG279" i="15" s="1"/>
  <c r="DI764" i="6"/>
  <c r="AE136" i="15" s="1"/>
  <c r="AC136" i="15" s="1"/>
  <c r="DI1888" i="6"/>
  <c r="AE295" i="15" s="1"/>
  <c r="DI1559" i="6"/>
  <c r="AH183" i="15" s="1"/>
  <c r="AC234" i="15"/>
  <c r="DI4482" i="6"/>
  <c r="AG299" i="15" s="1"/>
  <c r="DI1518" i="6"/>
  <c r="AG170" i="15" s="1"/>
  <c r="AD170" i="15" s="1"/>
  <c r="DI1650" i="6"/>
  <c r="AE221" i="15" s="1"/>
  <c r="AC221" i="15" s="1"/>
  <c r="DI1542" i="6"/>
  <c r="DG1542" i="6" s="1"/>
  <c r="AA179" i="15" s="1"/>
  <c r="DI141" i="6"/>
  <c r="AE120" i="15" s="1"/>
  <c r="AC120" i="15" s="1"/>
  <c r="DI1704" i="6"/>
  <c r="AE240" i="15" s="1"/>
  <c r="AC240" i="15" s="1"/>
  <c r="DI799" i="6"/>
  <c r="AF150" i="15" s="1"/>
  <c r="DI1892" i="6"/>
  <c r="AE297" i="15" s="1"/>
  <c r="DI1278" i="6"/>
  <c r="AF161" i="15" s="1"/>
  <c r="AC220" i="15"/>
  <c r="L310" i="15"/>
  <c r="I310" i="15" s="1"/>
  <c r="DI4517" i="6"/>
  <c r="AF310" i="15" s="1"/>
  <c r="N325" i="15"/>
  <c r="J325" i="15" s="1"/>
  <c r="DI4563" i="6"/>
  <c r="AH325" i="15" s="1"/>
  <c r="DI1560" i="6"/>
  <c r="AE184" i="15" s="1"/>
  <c r="AC184" i="15" s="1"/>
  <c r="DI1549" i="6"/>
  <c r="AF181" i="15" s="1"/>
  <c r="DI1640" i="6"/>
  <c r="AE216" i="15" s="1"/>
  <c r="AC216" i="15" s="1"/>
  <c r="DI4562" i="6"/>
  <c r="AG325" i="15" s="1"/>
  <c r="DI1764" i="6"/>
  <c r="AG257" i="15" s="1"/>
  <c r="AD257" i="15" s="1"/>
  <c r="DI1656" i="6"/>
  <c r="AE223" i="15" s="1"/>
  <c r="AC223" i="15" s="1"/>
  <c r="DI1571" i="6"/>
  <c r="AF187" i="15" s="1"/>
  <c r="DI85" i="6"/>
  <c r="AG82" i="15" s="1"/>
  <c r="AD82" i="15" s="1"/>
  <c r="DI1877" i="6"/>
  <c r="AF289" i="15" s="1"/>
  <c r="DI1739" i="6"/>
  <c r="AF251" i="15" s="1"/>
  <c r="DI1574" i="6"/>
  <c r="AE189" i="15" s="1"/>
  <c r="AC189" i="15" s="1"/>
  <c r="DI1818" i="6"/>
  <c r="AE271" i="15" s="1"/>
  <c r="DI770" i="6"/>
  <c r="AG138" i="15" s="1"/>
  <c r="AD138" i="15" s="1"/>
  <c r="DI1602" i="6"/>
  <c r="AG199" i="15" s="1"/>
  <c r="AC249" i="15"/>
  <c r="L317" i="15"/>
  <c r="I317" i="15" s="1"/>
  <c r="DI4537" i="6"/>
  <c r="AF317" i="15" s="1"/>
  <c r="DI1551" i="6"/>
  <c r="AH181" i="15" s="1"/>
  <c r="DI129" i="6"/>
  <c r="AE112" i="15" s="1"/>
  <c r="AC112" i="15" s="1"/>
  <c r="DI149" i="6"/>
  <c r="AE125" i="15" s="1"/>
  <c r="AC125" i="15" s="1"/>
  <c r="AC228" i="15"/>
  <c r="L326" i="15"/>
  <c r="I326" i="15" s="1"/>
  <c r="DI4565" i="6"/>
  <c r="AF326" i="15" s="1"/>
  <c r="DI1772" i="6"/>
  <c r="AG259" i="15" s="1"/>
  <c r="DI1757" i="6"/>
  <c r="AH255" i="15" s="1"/>
  <c r="DI1873" i="6"/>
  <c r="AH287" i="15" s="1"/>
  <c r="DI1622" i="6"/>
  <c r="AE207" i="15" s="1"/>
  <c r="DI1512" i="6"/>
  <c r="AE169" i="15" s="1"/>
  <c r="AC169" i="15" s="1"/>
  <c r="DI1880" i="6"/>
  <c r="AE291" i="15" s="1"/>
  <c r="DI1582" i="6"/>
  <c r="AG191" i="15" s="1"/>
  <c r="DI147" i="6"/>
  <c r="AE124" i="15" s="1"/>
  <c r="AC124" i="15" s="1"/>
  <c r="DI1603" i="6"/>
  <c r="AH199" i="15" s="1"/>
  <c r="DI1666" i="6"/>
  <c r="AE227" i="15" s="1"/>
  <c r="DI131" i="6"/>
  <c r="AE113" i="15" s="1"/>
  <c r="AC113" i="15" s="1"/>
  <c r="DI1626" i="6"/>
  <c r="AE209" i="15" s="1"/>
  <c r="AC209" i="15" s="1"/>
  <c r="DI1881" i="6"/>
  <c r="AF291" i="15" s="1"/>
  <c r="DI1586" i="6"/>
  <c r="AE193" i="15" s="1"/>
  <c r="DI1835" i="6"/>
  <c r="AH275" i="15" s="1"/>
  <c r="DI4494" i="6"/>
  <c r="DI1794" i="6"/>
  <c r="AE265" i="15" s="1"/>
  <c r="AC265" i="15" s="1"/>
  <c r="DI801" i="6"/>
  <c r="AH150" i="15" s="1"/>
  <c r="DI4490" i="6"/>
  <c r="AG301" i="15" s="1"/>
  <c r="DI1784" i="6"/>
  <c r="AG262" i="15" s="1"/>
  <c r="AD262" i="15" s="1"/>
  <c r="DI1686" i="6"/>
  <c r="AG233" i="15" s="1"/>
  <c r="DI1590" i="6"/>
  <c r="AE195" i="15" s="1"/>
  <c r="DI1849" i="6"/>
  <c r="AF279" i="15" s="1"/>
  <c r="DI1564" i="6"/>
  <c r="AE185" i="15" s="1"/>
  <c r="AC185" i="15" s="1"/>
  <c r="DI1819" i="6"/>
  <c r="AF271" i="15" s="1"/>
  <c r="DI797" i="6"/>
  <c r="AH149" i="15" s="1"/>
  <c r="DI1804" i="6"/>
  <c r="AG267" i="15" s="1"/>
  <c r="DI1740" i="6"/>
  <c r="AG251" i="15" s="1"/>
  <c r="DI1838" i="6"/>
  <c r="AG276" i="15" s="1"/>
  <c r="AD276" i="15" s="1"/>
  <c r="DI1646" i="6"/>
  <c r="AE219" i="15" s="1"/>
  <c r="DI4506" i="6"/>
  <c r="AG307" i="15" s="1"/>
  <c r="DI1514" i="6"/>
  <c r="AG169" i="15" s="1"/>
  <c r="AD169" i="15" s="1"/>
  <c r="DI104" i="6"/>
  <c r="DG104" i="6" s="1"/>
  <c r="AA95" i="15" s="1"/>
  <c r="DI752" i="6"/>
  <c r="AE132" i="15" s="1"/>
  <c r="AC132" i="15" s="1"/>
  <c r="DI4560" i="6"/>
  <c r="AE325" i="15" s="1"/>
  <c r="DI4496" i="6"/>
  <c r="AE304" i="15" s="1"/>
  <c r="DI4539" i="6"/>
  <c r="AH317" i="15" s="1"/>
  <c r="DI1844" i="6"/>
  <c r="AE278" i="15" s="1"/>
  <c r="AC278" i="15" s="1"/>
  <c r="DI4512" i="6"/>
  <c r="AE309" i="15" s="1"/>
  <c r="DI1279" i="6"/>
  <c r="AE162" i="15" s="1"/>
  <c r="DI4532" i="6"/>
  <c r="AE316" i="15" s="1"/>
  <c r="DI106" i="6"/>
  <c r="AG96" i="15" s="1"/>
  <c r="AD96" i="15" s="1"/>
  <c r="DI103" i="6"/>
  <c r="AG94" i="15" s="1"/>
  <c r="AD94" i="15" s="1"/>
  <c r="DI749" i="6"/>
  <c r="AE130" i="15" s="1"/>
  <c r="AC130" i="15" s="1"/>
  <c r="DI4554" i="6"/>
  <c r="AG323" i="15" s="1"/>
  <c r="DI4487" i="6"/>
  <c r="AH300" i="15" s="1"/>
  <c r="DI1642" i="6"/>
  <c r="AE217" i="15" s="1"/>
  <c r="AC217" i="15" s="1"/>
  <c r="DI1824" i="6"/>
  <c r="AG272" i="15" s="1"/>
  <c r="AD272" i="15" s="1"/>
  <c r="DI1635" i="6"/>
  <c r="AF213" i="15" s="1"/>
  <c r="DI1685" i="6"/>
  <c r="AF233" i="15" s="1"/>
  <c r="DI1269" i="6"/>
  <c r="AE157" i="15" s="1"/>
  <c r="DI1670" i="6"/>
  <c r="AE229" i="15" s="1"/>
  <c r="AC229" i="15" s="1"/>
  <c r="DI1805" i="6"/>
  <c r="AH267" i="15" s="1"/>
  <c r="DI1566" i="6"/>
  <c r="AG185" i="15" s="1"/>
  <c r="AD185" i="15" s="1"/>
  <c r="DI1600" i="6"/>
  <c r="AE199" i="15" s="1"/>
  <c r="BK160" i="15"/>
  <c r="DI1274" i="6"/>
  <c r="AF159" i="15" s="1"/>
  <c r="DI4504" i="6"/>
  <c r="AE307" i="15" s="1"/>
  <c r="AD234" i="15"/>
  <c r="DI1834" i="6"/>
  <c r="AG275" i="15" s="1"/>
  <c r="DI4558" i="6"/>
  <c r="AG324" i="15" s="1"/>
  <c r="DI1790" i="6"/>
  <c r="AE264" i="15" s="1"/>
  <c r="AC264" i="15" s="1"/>
  <c r="DI1614" i="6"/>
  <c r="AE203" i="15" s="1"/>
  <c r="DI1544" i="6"/>
  <c r="AE180" i="15" s="1"/>
  <c r="AC180" i="15" s="1"/>
  <c r="DI1270" i="6"/>
  <c r="AF157" i="15" s="1"/>
  <c r="DI1522" i="6"/>
  <c r="AE172" i="15" s="1"/>
  <c r="AC172" i="15" s="1"/>
  <c r="DI1871" i="6"/>
  <c r="AF287" i="15" s="1"/>
  <c r="DI1821" i="6"/>
  <c r="AH271" i="15" s="1"/>
  <c r="DI1557" i="6"/>
  <c r="AF183" i="15" s="1"/>
  <c r="DI1788" i="6"/>
  <c r="AG263" i="15" s="1"/>
  <c r="DI1554" i="6"/>
  <c r="AG182" i="15" s="1"/>
  <c r="AD182" i="15" s="1"/>
  <c r="DI1598" i="6"/>
  <c r="AG198" i="15" s="1"/>
  <c r="AD198" i="15" s="1"/>
  <c r="DI1604" i="6"/>
  <c r="AE200" i="15" s="1"/>
  <c r="AC200" i="15" s="1"/>
  <c r="DI1273" i="6"/>
  <c r="AE159" i="15" s="1"/>
  <c r="DI1570" i="6"/>
  <c r="AE187" i="15" s="1"/>
  <c r="DI1534" i="6"/>
  <c r="AE176" i="15" s="1"/>
  <c r="AC176" i="15" s="1"/>
  <c r="DI1786" i="6"/>
  <c r="AE263" i="15" s="1"/>
  <c r="DI1508" i="6"/>
  <c r="AE168" i="15" s="1"/>
  <c r="AC168" i="15" s="1"/>
  <c r="DI88" i="6"/>
  <c r="AG84" i="15" s="1"/>
  <c r="AD84" i="15" s="1"/>
  <c r="DI4480" i="6"/>
  <c r="AE299" i="15" s="1"/>
  <c r="DI4500" i="6"/>
  <c r="AE306" i="15" s="1"/>
  <c r="DI4478" i="6"/>
  <c r="AG298" i="15" s="1"/>
  <c r="DI4493" i="6"/>
  <c r="AF302" i="15" s="1"/>
  <c r="DI4510" i="6"/>
  <c r="AG308" i="15" s="1"/>
  <c r="DI1860" i="6"/>
  <c r="AE283" i="15" s="1"/>
  <c r="DI1872" i="6"/>
  <c r="AG287" i="15" s="1"/>
  <c r="DI1536" i="6"/>
  <c r="AG176" i="15" s="1"/>
  <c r="AD176" i="15" s="1"/>
  <c r="DI1634" i="6"/>
  <c r="AE213" i="15" s="1"/>
  <c r="DI4536" i="6"/>
  <c r="AE317" i="15" s="1"/>
  <c r="DI1810" i="6"/>
  <c r="AE269" i="15" s="1"/>
  <c r="AC269" i="15" s="1"/>
  <c r="AC196" i="15"/>
  <c r="DI1770" i="6"/>
  <c r="AE259" i="15" s="1"/>
  <c r="DI1556" i="6"/>
  <c r="AE183" i="15" s="1"/>
  <c r="DI1550" i="6"/>
  <c r="AG181" i="15" s="1"/>
  <c r="DI93" i="6"/>
  <c r="AE88" i="15" s="1"/>
  <c r="AC88" i="15" s="1"/>
  <c r="DI1889" i="6"/>
  <c r="AF295" i="15" s="1"/>
  <c r="DI1275" i="6"/>
  <c r="AE160" i="15" s="1"/>
  <c r="AC277" i="15"/>
  <c r="AD277" i="15"/>
  <c r="DI4564" i="6"/>
  <c r="AE326" i="15" s="1"/>
  <c r="DI4528" i="6"/>
  <c r="AE315" i="15" s="1"/>
  <c r="DI133" i="6"/>
  <c r="AG114" i="15" s="1"/>
  <c r="AD114" i="15" s="1"/>
  <c r="DI1776" i="6"/>
  <c r="AG260" i="15" s="1"/>
  <c r="AD260" i="15" s="1"/>
  <c r="DI1581" i="6"/>
  <c r="AF191" i="15" s="1"/>
  <c r="DI1580" i="6"/>
  <c r="AE191" i="15" s="1"/>
  <c r="AD252" i="15"/>
  <c r="DI115" i="6"/>
  <c r="AG102" i="15" s="1"/>
  <c r="AD102" i="15" s="1"/>
  <c r="DI1884" i="6"/>
  <c r="AE293" i="15" s="1"/>
  <c r="DI1741" i="6"/>
  <c r="AH251" i="15" s="1"/>
  <c r="DI1820" i="6"/>
  <c r="AG271" i="15" s="1"/>
  <c r="AC260" i="15"/>
  <c r="AC235" i="15"/>
  <c r="DI134" i="6"/>
  <c r="AE115" i="15" s="1"/>
  <c r="AC115" i="15" s="1"/>
  <c r="DI1773" i="6"/>
  <c r="AH259" i="15" s="1"/>
  <c r="DI1762" i="6"/>
  <c r="AE257" i="15" s="1"/>
  <c r="AC257" i="15" s="1"/>
  <c r="DI1615" i="6"/>
  <c r="AF203" i="15" s="1"/>
  <c r="DI1832" i="6"/>
  <c r="AE275" i="15" s="1"/>
  <c r="DI807" i="6"/>
  <c r="AF153" i="15" s="1"/>
  <c r="AC252" i="15"/>
  <c r="DI1591" i="6"/>
  <c r="AF195" i="15" s="1"/>
  <c r="DI1802" i="6"/>
  <c r="AE267" i="15" s="1"/>
  <c r="DI1684" i="6"/>
  <c r="AE233" i="15" s="1"/>
  <c r="DI1546" i="6"/>
  <c r="AG180" i="15" s="1"/>
  <c r="AD180" i="15" s="1"/>
  <c r="DI1755" i="6"/>
  <c r="AF255" i="15" s="1"/>
  <c r="DI4484" i="6"/>
  <c r="AE300" i="15" s="1"/>
  <c r="AC253" i="15"/>
  <c r="DI1708" i="6"/>
  <c r="AE242" i="15" s="1"/>
  <c r="AC242" i="15" s="1"/>
  <c r="DI1623" i="6"/>
  <c r="AF207" i="15" s="1"/>
  <c r="DI1861" i="6"/>
  <c r="AF283" i="15" s="1"/>
  <c r="DI125" i="6"/>
  <c r="AE109" i="15" s="1"/>
  <c r="AC109" i="15" s="1"/>
  <c r="DI4530" i="6"/>
  <c r="AG315" i="15" s="1"/>
  <c r="DI140" i="6"/>
  <c r="AE119" i="15" s="1"/>
  <c r="AC119" i="15" s="1"/>
  <c r="DI1851" i="6"/>
  <c r="AH279" i="15" s="1"/>
  <c r="DI1271" i="6"/>
  <c r="AE158" i="15" s="1"/>
  <c r="AC261" i="15"/>
  <c r="DI1530" i="6"/>
  <c r="AE175" i="15" s="1"/>
  <c r="AC175" i="15" s="1"/>
  <c r="DI1558" i="6"/>
  <c r="AG183" i="15" s="1"/>
  <c r="DI1540" i="6"/>
  <c r="AE178" i="15" s="1"/>
  <c r="AC178" i="15" s="1"/>
  <c r="DI1787" i="6"/>
  <c r="AF263" i="15" s="1"/>
  <c r="DI155" i="6"/>
  <c r="AE129" i="15" s="1"/>
  <c r="AC129" i="15" s="1"/>
  <c r="DI1833" i="6"/>
  <c r="AF275" i="15" s="1"/>
  <c r="DI1601" i="6"/>
  <c r="AF199" i="15" s="1"/>
  <c r="DI1583" i="6"/>
  <c r="AH191" i="15" s="1"/>
  <c r="DI1890" i="6"/>
  <c r="AE296" i="15" s="1"/>
  <c r="AC296" i="15" s="1"/>
  <c r="DI145" i="6"/>
  <c r="AE122" i="15" s="1"/>
  <c r="AC122" i="15" s="1"/>
  <c r="DI4538" i="6"/>
  <c r="AG317" i="15" s="1"/>
  <c r="DI1789" i="6"/>
  <c r="AH263" i="15" s="1"/>
  <c r="DI1771" i="6"/>
  <c r="AF259" i="15" s="1"/>
  <c r="DI1616" i="6"/>
  <c r="AE204" i="15" s="1"/>
  <c r="AC204" i="15" s="1"/>
  <c r="DI1886" i="6"/>
  <c r="AE294" i="15" s="1"/>
  <c r="AC294" i="15" s="1"/>
  <c r="DI95" i="6"/>
  <c r="AE89" i="15" s="1"/>
  <c r="AC89" i="15" s="1"/>
  <c r="DI1870" i="6"/>
  <c r="AE287" i="15" s="1"/>
  <c r="DI1667" i="6"/>
  <c r="AF227" i="15" s="1"/>
  <c r="DI1876" i="6"/>
  <c r="AE289" i="15" s="1"/>
  <c r="DI1548" i="6"/>
  <c r="AE181" i="15" s="1"/>
  <c r="DI1874" i="6"/>
  <c r="AE288" i="15" s="1"/>
  <c r="AC288" i="15" s="1"/>
  <c r="AC188" i="15"/>
  <c r="DI1647" i="6"/>
  <c r="AF219" i="15" s="1"/>
  <c r="DI754" i="6"/>
  <c r="AE133" i="15" s="1"/>
  <c r="AC133" i="15" s="1"/>
  <c r="DI4516" i="6"/>
  <c r="AE310" i="15" s="1"/>
  <c r="DI4481" i="6"/>
  <c r="AF299" i="15" s="1"/>
  <c r="AC268" i="15"/>
  <c r="DI142" i="6"/>
  <c r="AG120" i="15" s="1"/>
  <c r="AD120" i="15" s="1"/>
  <c r="DI151" i="6"/>
  <c r="AG126" i="15" s="1"/>
  <c r="AD126" i="15" s="1"/>
  <c r="DI1738" i="6"/>
  <c r="AE251" i="15" s="1"/>
  <c r="DI1706" i="6"/>
  <c r="AE241" i="15" s="1"/>
  <c r="AC241" i="15" s="1"/>
  <c r="DI1756" i="6"/>
  <c r="AG255" i="15" s="1"/>
  <c r="DI1803" i="6"/>
  <c r="AF267" i="15" s="1"/>
  <c r="DI4491" i="6"/>
  <c r="AH301" i="15" s="1"/>
  <c r="K1269" i="6"/>
  <c r="DJ1269" i="6" s="1"/>
  <c r="O449" i="15"/>
  <c r="V449" i="15" s="1"/>
  <c r="U449" i="15" s="1"/>
  <c r="F451" i="7"/>
  <c r="I403" i="15" s="1"/>
  <c r="I449" i="15"/>
  <c r="O451" i="15"/>
  <c r="V451" i="15" s="1"/>
  <c r="U451" i="15" s="1"/>
  <c r="DI656" i="7"/>
  <c r="AF427" i="15" s="1"/>
  <c r="AC427" i="15" s="1"/>
  <c r="O450" i="15"/>
  <c r="V450" i="15" s="1"/>
  <c r="U450" i="15" s="1"/>
  <c r="I422" i="15"/>
  <c r="I1040" i="7"/>
  <c r="O480" i="15" s="1"/>
  <c r="V480" i="15" s="1"/>
  <c r="U480" i="15" s="1"/>
  <c r="I656" i="7"/>
  <c r="R427" i="15" s="1"/>
  <c r="O427" i="15" s="1"/>
  <c r="U427" i="15" s="1"/>
  <c r="I451" i="15"/>
  <c r="DI1041" i="7"/>
  <c r="AE481" i="15" s="1"/>
  <c r="AC481" i="15" s="1"/>
  <c r="F516" i="7"/>
  <c r="I408" i="15" s="1"/>
  <c r="O425" i="15"/>
  <c r="U425" i="15" s="1"/>
  <c r="F515" i="7"/>
  <c r="L515" i="7" s="1"/>
  <c r="O407" i="15" s="1"/>
  <c r="W407" i="15" s="1"/>
  <c r="V407" i="15" s="1"/>
  <c r="U407" i="15" s="1"/>
  <c r="O429" i="15"/>
  <c r="U429" i="15" s="1"/>
  <c r="O423" i="15"/>
  <c r="U423" i="15" s="1"/>
  <c r="I420" i="15"/>
  <c r="I450" i="15"/>
  <c r="I423" i="15"/>
  <c r="O426" i="15"/>
  <c r="U426" i="15" s="1"/>
  <c r="I425" i="15"/>
  <c r="O428" i="15"/>
  <c r="U428" i="15" s="1"/>
  <c r="O422" i="15"/>
  <c r="U422" i="15" s="1"/>
  <c r="I429" i="15"/>
  <c r="I426" i="15"/>
  <c r="I454" i="15"/>
  <c r="O420" i="15"/>
  <c r="U420" i="15" s="1"/>
  <c r="AF1221" i="7"/>
  <c r="I428" i="15"/>
  <c r="I1229" i="7"/>
  <c r="AF1277" i="7"/>
  <c r="I1231" i="7"/>
  <c r="AF1278" i="7"/>
  <c r="DI1233" i="7"/>
  <c r="AF531" i="15" s="1"/>
  <c r="AC531" i="15" s="1"/>
  <c r="AF1279" i="7"/>
  <c r="DI664" i="7"/>
  <c r="AF431" i="15" s="1"/>
  <c r="L431" i="15"/>
  <c r="AF664" i="7"/>
  <c r="I1219" i="7"/>
  <c r="AF1272" i="7"/>
  <c r="L432" i="15"/>
  <c r="AF666" i="7"/>
  <c r="I1223" i="7"/>
  <c r="AF1274" i="7"/>
  <c r="DI662" i="7"/>
  <c r="AF430" i="15" s="1"/>
  <c r="L430" i="15"/>
  <c r="AF662" i="7"/>
  <c r="I395" i="15"/>
  <c r="AF154" i="7"/>
  <c r="I374" i="15"/>
  <c r="AF133" i="7"/>
  <c r="I391" i="15"/>
  <c r="AF150" i="7"/>
  <c r="DI148" i="7"/>
  <c r="AE389" i="15" s="1"/>
  <c r="AC389" i="15" s="1"/>
  <c r="I389" i="15"/>
  <c r="AF148" i="7"/>
  <c r="K432" i="15"/>
  <c r="AF665" i="7"/>
  <c r="DI661" i="7"/>
  <c r="AE430" i="15" s="1"/>
  <c r="K430" i="15"/>
  <c r="AF661" i="7"/>
  <c r="I397" i="15"/>
  <c r="AF156" i="7"/>
  <c r="K345" i="15"/>
  <c r="I345" i="15" s="1"/>
  <c r="AF8" i="7"/>
  <c r="K346" i="15"/>
  <c r="I346" i="15" s="1"/>
  <c r="AF9" i="7"/>
  <c r="K431" i="15"/>
  <c r="AF663" i="7"/>
  <c r="I438" i="15"/>
  <c r="AF754" i="7"/>
  <c r="I437" i="15"/>
  <c r="AF753" i="7"/>
  <c r="AB405" i="15"/>
  <c r="DI140" i="7"/>
  <c r="AE381" i="15" s="1"/>
  <c r="AC381" i="15" s="1"/>
  <c r="I381" i="15"/>
  <c r="AF140" i="7"/>
  <c r="I368" i="15"/>
  <c r="AF127" i="7"/>
  <c r="I390" i="15"/>
  <c r="AF149" i="7"/>
  <c r="I369" i="15"/>
  <c r="AF128" i="7"/>
  <c r="I386" i="15"/>
  <c r="AF145" i="7"/>
  <c r="I387" i="15"/>
  <c r="AF146" i="7"/>
  <c r="DI141" i="7"/>
  <c r="AE382" i="15" s="1"/>
  <c r="AC382" i="15" s="1"/>
  <c r="I382" i="15"/>
  <c r="AF141" i="7"/>
  <c r="I370" i="15"/>
  <c r="AF129" i="7"/>
  <c r="DI448" i="7"/>
  <c r="AE400" i="15" s="1"/>
  <c r="AC400" i="15" s="1"/>
  <c r="I400" i="15"/>
  <c r="AF448" i="7"/>
  <c r="I383" i="15"/>
  <c r="AF142" i="7"/>
  <c r="I415" i="15"/>
  <c r="AF584" i="7"/>
  <c r="DI1039" i="7"/>
  <c r="AE479" i="15" s="1"/>
  <c r="AC479" i="15" s="1"/>
  <c r="I479" i="15"/>
  <c r="AF1039" i="7"/>
  <c r="DI644" i="7"/>
  <c r="AF421" i="15" s="1"/>
  <c r="AC421" i="15" s="1"/>
  <c r="L421" i="15"/>
  <c r="I421" i="15" s="1"/>
  <c r="AF644" i="7"/>
  <c r="DI14" i="7"/>
  <c r="AE351" i="15" s="1"/>
  <c r="AC351" i="15" s="1"/>
  <c r="K351" i="15"/>
  <c r="I351" i="15" s="1"/>
  <c r="AF14" i="7"/>
  <c r="I379" i="15"/>
  <c r="AF138" i="7"/>
  <c r="M588" i="7"/>
  <c r="O417" i="15" s="1"/>
  <c r="U417" i="15" s="1"/>
  <c r="I417" i="15"/>
  <c r="AF588" i="7"/>
  <c r="I410" i="15"/>
  <c r="AF550" i="7"/>
  <c r="I448" i="15"/>
  <c r="AF839" i="7"/>
  <c r="I393" i="15"/>
  <c r="AF152" i="7"/>
  <c r="K352" i="15"/>
  <c r="I352" i="15" s="1"/>
  <c r="AF15" i="7"/>
  <c r="I446" i="15"/>
  <c r="AF837" i="7"/>
  <c r="DI650" i="7"/>
  <c r="AF424" i="15" s="1"/>
  <c r="AC424" i="15" s="1"/>
  <c r="L424" i="15"/>
  <c r="I424" i="15" s="1"/>
  <c r="AF650" i="7"/>
  <c r="I372" i="15"/>
  <c r="AF131" i="7"/>
  <c r="I640" i="7"/>
  <c r="R419" i="15" s="1"/>
  <c r="O419" i="15" s="1"/>
  <c r="U419" i="15" s="1"/>
  <c r="L419" i="15"/>
  <c r="I419" i="15" s="1"/>
  <c r="AF640" i="7"/>
  <c r="K151" i="7"/>
  <c r="O392" i="15" s="1"/>
  <c r="W392" i="15" s="1"/>
  <c r="V392" i="15" s="1"/>
  <c r="U392" i="15" s="1"/>
  <c r="I392" i="15"/>
  <c r="AF151" i="7"/>
  <c r="K139" i="7"/>
  <c r="O380" i="15" s="1"/>
  <c r="W380" i="15" s="1"/>
  <c r="V380" i="15" s="1"/>
  <c r="U380" i="15" s="1"/>
  <c r="I380" i="15"/>
  <c r="AF139" i="7"/>
  <c r="AB416" i="15"/>
  <c r="I447" i="15"/>
  <c r="AF838" i="7"/>
  <c r="O526" i="15"/>
  <c r="V526" i="15" s="1"/>
  <c r="U526" i="15" s="1"/>
  <c r="K132" i="7"/>
  <c r="O373" i="15" s="1"/>
  <c r="W373" i="15" s="1"/>
  <c r="V373" i="15" s="1"/>
  <c r="U373" i="15" s="1"/>
  <c r="I373" i="15"/>
  <c r="AF132" i="7"/>
  <c r="I466" i="15"/>
  <c r="AF961" i="7"/>
  <c r="AB346" i="15"/>
  <c r="I412" i="15"/>
  <c r="AF552" i="7"/>
  <c r="I409" i="15"/>
  <c r="AF549" i="7"/>
  <c r="I363" i="15"/>
  <c r="AF63" i="7"/>
  <c r="I418" i="15"/>
  <c r="AF590" i="7"/>
  <c r="I467" i="15"/>
  <c r="AF962" i="7"/>
  <c r="I378" i="15"/>
  <c r="AF137" i="7"/>
  <c r="I371" i="15"/>
  <c r="AF130" i="7"/>
  <c r="I20" i="7"/>
  <c r="Q357" i="15" s="1"/>
  <c r="O357" i="15" s="1"/>
  <c r="U357" i="15" s="1"/>
  <c r="K357" i="15"/>
  <c r="I357" i="15" s="1"/>
  <c r="AF20" i="7"/>
  <c r="L458" i="15"/>
  <c r="I458" i="15" s="1"/>
  <c r="AF886" i="7"/>
  <c r="J417" i="15"/>
  <c r="AF589" i="7"/>
  <c r="K143" i="7"/>
  <c r="O384" i="15" s="1"/>
  <c r="W384" i="15" s="1"/>
  <c r="V384" i="15" s="1"/>
  <c r="U384" i="15" s="1"/>
  <c r="I384" i="15"/>
  <c r="AF143" i="7"/>
  <c r="I375" i="15"/>
  <c r="AF134" i="7"/>
  <c r="K551" i="7"/>
  <c r="O411" i="15" s="1"/>
  <c r="W411" i="15" s="1"/>
  <c r="V411" i="15" s="1"/>
  <c r="U411" i="15" s="1"/>
  <c r="I411" i="15"/>
  <c r="AF551" i="7"/>
  <c r="K153" i="7"/>
  <c r="O394" i="15" s="1"/>
  <c r="W394" i="15" s="1"/>
  <c r="V394" i="15" s="1"/>
  <c r="U394" i="15" s="1"/>
  <c r="I394" i="15"/>
  <c r="AF153" i="7"/>
  <c r="J418" i="15"/>
  <c r="AF591" i="7"/>
  <c r="I463" i="15"/>
  <c r="AF958" i="7"/>
  <c r="DI11" i="7"/>
  <c r="AE348" i="15" s="1"/>
  <c r="AC348" i="15" s="1"/>
  <c r="K348" i="15"/>
  <c r="I348" i="15" s="1"/>
  <c r="AF11" i="7"/>
  <c r="I399" i="15"/>
  <c r="AF447" i="7"/>
  <c r="K155" i="7"/>
  <c r="O396" i="15" s="1"/>
  <c r="W396" i="15" s="1"/>
  <c r="V396" i="15" s="1"/>
  <c r="U396" i="15" s="1"/>
  <c r="I396" i="15"/>
  <c r="AF155" i="7"/>
  <c r="K60" i="7"/>
  <c r="O360" i="15" s="1"/>
  <c r="W360" i="15" s="1"/>
  <c r="V360" i="15" s="1"/>
  <c r="U360" i="15" s="1"/>
  <c r="I360" i="15"/>
  <c r="AF60" i="7"/>
  <c r="I416" i="15"/>
  <c r="AF586" i="7"/>
  <c r="AB417" i="15"/>
  <c r="AB355" i="15"/>
  <c r="I364" i="15"/>
  <c r="AF64" i="7"/>
  <c r="I366" i="15"/>
  <c r="AF66" i="7"/>
  <c r="I471" i="15"/>
  <c r="AF966" i="7"/>
  <c r="K135" i="7"/>
  <c r="O376" i="15" s="1"/>
  <c r="W376" i="15" s="1"/>
  <c r="V376" i="15" s="1"/>
  <c r="U376" i="15" s="1"/>
  <c r="I376" i="15"/>
  <c r="AF135" i="7"/>
  <c r="J415" i="15"/>
  <c r="AF585" i="7"/>
  <c r="AB517" i="15"/>
  <c r="AB516" i="15"/>
  <c r="AB413" i="15"/>
  <c r="O529" i="15"/>
  <c r="V529" i="15" s="1"/>
  <c r="U529" i="15" s="1"/>
  <c r="AB514" i="15"/>
  <c r="AB520" i="15"/>
  <c r="AB411" i="15"/>
  <c r="AB518" i="15"/>
  <c r="DI890" i="7"/>
  <c r="AF460" i="15" s="1"/>
  <c r="AC460" i="15" s="1"/>
  <c r="L460" i="15"/>
  <c r="I460" i="15" s="1"/>
  <c r="AF890" i="7"/>
  <c r="AB412" i="15"/>
  <c r="O528" i="15"/>
  <c r="V528" i="15" s="1"/>
  <c r="U528" i="15" s="1"/>
  <c r="AB522" i="15"/>
  <c r="AB523" i="15"/>
  <c r="AB515" i="15"/>
  <c r="AB406" i="15"/>
  <c r="AB407" i="15"/>
  <c r="K358" i="15"/>
  <c r="I358" i="15" s="1"/>
  <c r="AF21" i="7"/>
  <c r="AB519" i="15"/>
  <c r="K65" i="7"/>
  <c r="O365" i="15" s="1"/>
  <c r="W365" i="15" s="1"/>
  <c r="V365" i="15" s="1"/>
  <c r="U365" i="15" s="1"/>
  <c r="I365" i="15"/>
  <c r="AF65" i="7"/>
  <c r="AB349" i="15"/>
  <c r="AB409" i="15"/>
  <c r="I18" i="7"/>
  <c r="Q355" i="15" s="1"/>
  <c r="O355" i="15" s="1"/>
  <c r="U355" i="15" s="1"/>
  <c r="K355" i="15"/>
  <c r="I355" i="15" s="1"/>
  <c r="AF18" i="7"/>
  <c r="K349" i="15"/>
  <c r="I349" i="15" s="1"/>
  <c r="AF12" i="7"/>
  <c r="I465" i="15"/>
  <c r="AF960" i="7"/>
  <c r="I398" i="15"/>
  <c r="AF446" i="7"/>
  <c r="O524" i="15"/>
  <c r="V524" i="15" s="1"/>
  <c r="U524" i="15" s="1"/>
  <c r="I468" i="15"/>
  <c r="AF963" i="7"/>
  <c r="I414" i="15"/>
  <c r="AF554" i="7"/>
  <c r="I388" i="15"/>
  <c r="AF147" i="7"/>
  <c r="I377" i="15"/>
  <c r="AF136" i="7"/>
  <c r="J416" i="15"/>
  <c r="AF587" i="7"/>
  <c r="AB512" i="15"/>
  <c r="I362" i="15"/>
  <c r="AF62" i="7"/>
  <c r="DI888" i="7"/>
  <c r="AF459" i="15" s="1"/>
  <c r="AC459" i="15" s="1"/>
  <c r="L459" i="15"/>
  <c r="I459" i="15" s="1"/>
  <c r="AF888" i="7"/>
  <c r="I385" i="15"/>
  <c r="AF144" i="7"/>
  <c r="AB410" i="15"/>
  <c r="I359" i="15"/>
  <c r="AF59" i="7"/>
  <c r="I405" i="15"/>
  <c r="AF485" i="7"/>
  <c r="I472" i="15"/>
  <c r="AF967" i="7"/>
  <c r="O531" i="15"/>
  <c r="V531" i="15" s="1"/>
  <c r="U531" i="15" s="1"/>
  <c r="O530" i="15"/>
  <c r="V530" i="15" s="1"/>
  <c r="U530" i="15" s="1"/>
  <c r="I17" i="7"/>
  <c r="Q354" i="15" s="1"/>
  <c r="O354" i="15" s="1"/>
  <c r="U354" i="15" s="1"/>
  <c r="K354" i="15"/>
  <c r="I354" i="15" s="1"/>
  <c r="AF17" i="7"/>
  <c r="I433" i="15"/>
  <c r="AF713" i="7"/>
  <c r="O527" i="15"/>
  <c r="V527" i="15" s="1"/>
  <c r="U527" i="15" s="1"/>
  <c r="I469" i="15"/>
  <c r="AF964" i="7"/>
  <c r="O525" i="15"/>
  <c r="V525" i="15" s="1"/>
  <c r="U525" i="15" s="1"/>
  <c r="I404" i="15"/>
  <c r="AF484" i="7"/>
  <c r="I464" i="15"/>
  <c r="AF959" i="7"/>
  <c r="DI553" i="7"/>
  <c r="AE413" i="15" s="1"/>
  <c r="AC413" i="15" s="1"/>
  <c r="I413" i="15"/>
  <c r="AF553" i="7"/>
  <c r="L452" i="15"/>
  <c r="I452" i="15" s="1"/>
  <c r="AF874" i="7"/>
  <c r="AB399" i="15"/>
  <c r="AB401" i="15"/>
  <c r="AB402" i="15"/>
  <c r="DI13" i="7"/>
  <c r="AE350" i="15" s="1"/>
  <c r="AC350" i="15" s="1"/>
  <c r="K350" i="15"/>
  <c r="I350" i="15" s="1"/>
  <c r="AF13" i="7"/>
  <c r="I10" i="7"/>
  <c r="Q347" i="15" s="1"/>
  <c r="O347" i="15" s="1"/>
  <c r="U347" i="15" s="1"/>
  <c r="K347" i="15"/>
  <c r="I347" i="15" s="1"/>
  <c r="AF10" i="7"/>
  <c r="DI7" i="7"/>
  <c r="AE344" i="15" s="1"/>
  <c r="AC344" i="15" s="1"/>
  <c r="K344" i="15"/>
  <c r="I344" i="15" s="1"/>
  <c r="AF7" i="7"/>
  <c r="AB400" i="15"/>
  <c r="AB521" i="15"/>
  <c r="AB403" i="15"/>
  <c r="I521" i="15"/>
  <c r="AF1186" i="7"/>
  <c r="DI1187" i="7"/>
  <c r="AE522" i="15" s="1"/>
  <c r="AC522" i="15" s="1"/>
  <c r="I522" i="15"/>
  <c r="AF1187" i="7"/>
  <c r="I523" i="15"/>
  <c r="AF1188" i="7"/>
  <c r="I519" i="15"/>
  <c r="AF1184" i="7"/>
  <c r="I1183" i="7"/>
  <c r="O518" i="15" s="1"/>
  <c r="W518" i="15" s="1"/>
  <c r="V518" i="15" s="1"/>
  <c r="U518" i="15" s="1"/>
  <c r="I518" i="15"/>
  <c r="AF1183" i="7"/>
  <c r="DI1181" i="7"/>
  <c r="AE516" i="15" s="1"/>
  <c r="AC516" i="15" s="1"/>
  <c r="I516" i="15"/>
  <c r="AF1181" i="7"/>
  <c r="I515" i="15"/>
  <c r="AF1180" i="7"/>
  <c r="I517" i="15"/>
  <c r="AF1182" i="7"/>
  <c r="I513" i="15"/>
  <c r="AF1178" i="7"/>
  <c r="I1179" i="7"/>
  <c r="O514" i="15" s="1"/>
  <c r="W514" i="15" s="1"/>
  <c r="V514" i="15" s="1"/>
  <c r="U514" i="15" s="1"/>
  <c r="I514" i="15"/>
  <c r="AF1179" i="7"/>
  <c r="I512" i="15"/>
  <c r="AF1177" i="7"/>
  <c r="F1092" i="7"/>
  <c r="AF1102" i="7"/>
  <c r="F1090" i="7"/>
  <c r="AF1101" i="7"/>
  <c r="AF1275" i="7"/>
  <c r="AB471" i="15"/>
  <c r="I470" i="15"/>
  <c r="AF965" i="7"/>
  <c r="K353" i="15"/>
  <c r="I353" i="15" s="1"/>
  <c r="AF16" i="7"/>
  <c r="L427" i="15"/>
  <c r="I427" i="15" s="1"/>
  <c r="AF656" i="7"/>
  <c r="K356" i="15"/>
  <c r="I356" i="15" s="1"/>
  <c r="AF19" i="7"/>
  <c r="I481" i="15"/>
  <c r="AF1041" i="7"/>
  <c r="I480" i="15"/>
  <c r="AF1040" i="7"/>
  <c r="J67" i="7"/>
  <c r="F67" i="7" s="1"/>
  <c r="DI67" i="7" s="1"/>
  <c r="AE367" i="15" s="1"/>
  <c r="AC367" i="15" s="1"/>
  <c r="AF100" i="7"/>
  <c r="J299" i="15"/>
  <c r="M1224" i="6"/>
  <c r="AC186" i="15"/>
  <c r="AC281" i="15"/>
  <c r="M1220" i="6"/>
  <c r="O163" i="15"/>
  <c r="W163" i="15" s="1"/>
  <c r="V163" i="15" s="1"/>
  <c r="U163" i="15" s="1"/>
  <c r="M1213" i="6"/>
  <c r="I456" i="2"/>
  <c r="Q667" i="15" s="1"/>
  <c r="O667" i="15" s="1"/>
  <c r="W667" i="15" s="1"/>
  <c r="V667" i="15" s="1"/>
  <c r="U667" i="15" s="1"/>
  <c r="DI869" i="2"/>
  <c r="DG869" i="2" s="1"/>
  <c r="AA727" i="15" s="1"/>
  <c r="I641" i="15"/>
  <c r="I640" i="15"/>
  <c r="DI456" i="2"/>
  <c r="AE667" i="15" s="1"/>
  <c r="AC667" i="15" s="1"/>
  <c r="I658" i="15"/>
  <c r="I663" i="15"/>
  <c r="I664" i="15"/>
  <c r="I582" i="15"/>
  <c r="AF22" i="2"/>
  <c r="I591" i="15"/>
  <c r="AF31" i="2"/>
  <c r="I580" i="15"/>
  <c r="AF20" i="2"/>
  <c r="I576" i="15"/>
  <c r="AF16" i="2"/>
  <c r="I588" i="15"/>
  <c r="AF28" i="2"/>
  <c r="I592" i="15"/>
  <c r="AF32" i="2"/>
  <c r="I581" i="15"/>
  <c r="AF21" i="2"/>
  <c r="I569" i="15"/>
  <c r="AF9" i="2"/>
  <c r="I589" i="15"/>
  <c r="AF29" i="2"/>
  <c r="I593" i="15"/>
  <c r="AF33" i="2"/>
  <c r="I583" i="15"/>
  <c r="AF23" i="2"/>
  <c r="I579" i="15"/>
  <c r="AF19" i="2"/>
  <c r="I586" i="15"/>
  <c r="AF26" i="2"/>
  <c r="I585" i="15"/>
  <c r="AF25" i="2"/>
  <c r="I573" i="15"/>
  <c r="AF13" i="2"/>
  <c r="I590" i="15"/>
  <c r="AF30" i="2"/>
  <c r="I574" i="15"/>
  <c r="AF14" i="2"/>
  <c r="I571" i="15"/>
  <c r="AF11" i="2"/>
  <c r="I587" i="15"/>
  <c r="AF27" i="2"/>
  <c r="I575" i="15"/>
  <c r="AF15" i="2"/>
  <c r="I578" i="15"/>
  <c r="AF18" i="2"/>
  <c r="I577" i="15"/>
  <c r="AF17" i="2"/>
  <c r="I584" i="15"/>
  <c r="AF24" i="2"/>
  <c r="I572" i="15"/>
  <c r="AF12" i="2"/>
  <c r="AC211" i="15"/>
  <c r="AE90" i="15"/>
  <c r="AC90" i="15" s="1"/>
  <c r="AC420" i="15"/>
  <c r="AD280" i="15"/>
  <c r="I639" i="15"/>
  <c r="BE456" i="2"/>
  <c r="AB667" i="15"/>
  <c r="K667" i="15"/>
  <c r="I667" i="15" s="1"/>
  <c r="I717" i="15"/>
  <c r="AF751" i="2"/>
  <c r="I644" i="15"/>
  <c r="AF320" i="2"/>
  <c r="I646" i="15"/>
  <c r="I643" i="15"/>
  <c r="AF319" i="2"/>
  <c r="I631" i="15"/>
  <c r="I628" i="15"/>
  <c r="I630" i="15"/>
  <c r="I629" i="15"/>
  <c r="I627" i="15"/>
  <c r="AE623" i="15"/>
  <c r="AC623" i="15" s="1"/>
  <c r="DG170" i="2"/>
  <c r="AA623" i="15" s="1"/>
  <c r="AD253" i="15"/>
  <c r="AD201" i="15"/>
  <c r="AD249" i="15"/>
  <c r="J301" i="15"/>
  <c r="I38" i="6"/>
  <c r="I39" i="6" s="1"/>
  <c r="J9" i="6" s="1"/>
  <c r="J7" i="6"/>
  <c r="F7" i="6" s="1"/>
  <c r="DI7" i="6" s="1"/>
  <c r="BA164" i="15"/>
  <c r="BF164" i="15" s="1"/>
  <c r="O161" i="15"/>
  <c r="W161" i="15" s="1"/>
  <c r="V161" i="15" s="1"/>
  <c r="U161" i="15" s="1"/>
  <c r="J317" i="15"/>
  <c r="AD231" i="15"/>
  <c r="I162" i="15"/>
  <c r="BG222" i="15"/>
  <c r="BM222" i="15" s="1"/>
  <c r="Z314" i="15"/>
  <c r="AC244" i="15"/>
  <c r="AC190" i="15"/>
  <c r="AD175" i="15"/>
  <c r="O162" i="15"/>
  <c r="W162" i="15" s="1"/>
  <c r="V162" i="15" s="1"/>
  <c r="U162" i="15" s="1"/>
  <c r="AC243" i="15"/>
  <c r="I309" i="15"/>
  <c r="AD168" i="15"/>
  <c r="BB247" i="15"/>
  <c r="BG247" i="15" s="1"/>
  <c r="AD278" i="15"/>
  <c r="O164" i="15"/>
  <c r="W164" i="15" s="1"/>
  <c r="V164" i="15" s="1"/>
  <c r="U164" i="15" s="1"/>
  <c r="J300" i="15"/>
  <c r="AC254" i="15"/>
  <c r="AC245" i="15"/>
  <c r="O158" i="15"/>
  <c r="W158" i="15" s="1"/>
  <c r="V158" i="15" s="1"/>
  <c r="U158" i="15" s="1"/>
  <c r="BF160" i="15"/>
  <c r="BM160" i="15" s="1"/>
  <c r="BI169" i="15"/>
  <c r="BK222" i="15"/>
  <c r="AD242" i="15"/>
  <c r="AD265" i="15"/>
  <c r="AD246" i="15"/>
  <c r="BD260" i="15"/>
  <c r="BI260" i="15" s="1"/>
  <c r="BB158" i="15"/>
  <c r="BG158" i="15" s="1"/>
  <c r="I324" i="15"/>
  <c r="BA162" i="15"/>
  <c r="I4493" i="6"/>
  <c r="R302" i="15" s="1"/>
  <c r="O160" i="15"/>
  <c r="W160" i="15" s="1"/>
  <c r="V160" i="15" s="1"/>
  <c r="U160" i="15" s="1"/>
  <c r="BA161" i="15"/>
  <c r="BF161" i="15" s="1"/>
  <c r="AC194" i="15"/>
  <c r="AD248" i="15"/>
  <c r="J322" i="15"/>
  <c r="AD230" i="15"/>
  <c r="BG214" i="15"/>
  <c r="BA159" i="15"/>
  <c r="BF159" i="15" s="1"/>
  <c r="AC232" i="15"/>
  <c r="AC215" i="15"/>
  <c r="O157" i="15"/>
  <c r="W157" i="15" s="1"/>
  <c r="V157" i="15" s="1"/>
  <c r="U157" i="15" s="1"/>
  <c r="O159" i="15"/>
  <c r="W159" i="15" s="1"/>
  <c r="V159" i="15" s="1"/>
  <c r="U159" i="15" s="1"/>
  <c r="AC197" i="15"/>
  <c r="AD270" i="15"/>
  <c r="I160" i="15"/>
  <c r="BB157" i="15"/>
  <c r="BG157" i="15" s="1"/>
  <c r="K319" i="15"/>
  <c r="K305" i="15"/>
  <c r="I97" i="6"/>
  <c r="S90" i="15" s="1"/>
  <c r="P90" i="15" s="1"/>
  <c r="M90" i="15"/>
  <c r="J90" i="15" s="1"/>
  <c r="AF97" i="6"/>
  <c r="K329" i="15"/>
  <c r="AF305" i="15"/>
  <c r="L305" i="15"/>
  <c r="BD301" i="15" s="1"/>
  <c r="AF313" i="15"/>
  <c r="L313" i="15"/>
  <c r="BB309" i="15" s="1"/>
  <c r="AH302" i="15"/>
  <c r="L303" i="15"/>
  <c r="I303" i="15" s="1"/>
  <c r="AF329" i="15"/>
  <c r="L329" i="15"/>
  <c r="AF321" i="15"/>
  <c r="L321" i="15"/>
  <c r="I321" i="15" s="1"/>
  <c r="AF311" i="15"/>
  <c r="L311" i="15"/>
  <c r="I311" i="15" s="1"/>
  <c r="AF327" i="15"/>
  <c r="L327" i="15"/>
  <c r="I327" i="15" s="1"/>
  <c r="AH318" i="15"/>
  <c r="L319" i="15"/>
  <c r="BD315" i="15" s="1"/>
  <c r="I106" i="6"/>
  <c r="S96" i="15" s="1"/>
  <c r="P96" i="15" s="1"/>
  <c r="M96" i="15"/>
  <c r="J96" i="15" s="1"/>
  <c r="AF106" i="6"/>
  <c r="I4500" i="6"/>
  <c r="Q306" i="15" s="1"/>
  <c r="K306" i="15"/>
  <c r="I4480" i="6"/>
  <c r="Q299" i="15" s="1"/>
  <c r="K299" i="15"/>
  <c r="I299" i="15" s="1"/>
  <c r="K314" i="15"/>
  <c r="K318" i="15"/>
  <c r="I318" i="15" s="1"/>
  <c r="M298" i="15"/>
  <c r="M314" i="15"/>
  <c r="J314" i="15" s="1"/>
  <c r="K304" i="15"/>
  <c r="M309" i="15"/>
  <c r="K312" i="15"/>
  <c r="BA308" i="15" s="1"/>
  <c r="K302" i="15"/>
  <c r="I302" i="15" s="1"/>
  <c r="I115" i="6"/>
  <c r="S102" i="15" s="1"/>
  <c r="P102" i="15" s="1"/>
  <c r="M102" i="15"/>
  <c r="J102" i="15" s="1"/>
  <c r="AF115" i="6"/>
  <c r="AF325" i="15"/>
  <c r="L325" i="15"/>
  <c r="I325" i="15" s="1"/>
  <c r="AH307" i="15"/>
  <c r="N307" i="15"/>
  <c r="J307" i="15" s="1"/>
  <c r="AF307" i="15"/>
  <c r="L307" i="15"/>
  <c r="I307" i="15" s="1"/>
  <c r="AH309" i="15"/>
  <c r="N309" i="15"/>
  <c r="AF315" i="15"/>
  <c r="L315" i="15"/>
  <c r="I315" i="15" s="1"/>
  <c r="AF323" i="15"/>
  <c r="L323" i="15"/>
  <c r="I323" i="15" s="1"/>
  <c r="AH323" i="15"/>
  <c r="N323" i="15"/>
  <c r="AH306" i="15"/>
  <c r="N306" i="15"/>
  <c r="J306" i="15" s="1"/>
  <c r="I4501" i="6"/>
  <c r="R306" i="15" s="1"/>
  <c r="L306" i="15"/>
  <c r="I4489" i="6"/>
  <c r="R301" i="15" s="1"/>
  <c r="L301" i="15"/>
  <c r="I301" i="15" s="1"/>
  <c r="I4569" i="6"/>
  <c r="L328" i="15"/>
  <c r="I328" i="15" s="1"/>
  <c r="I4545" i="6"/>
  <c r="L320" i="15"/>
  <c r="I4511" i="6"/>
  <c r="T308" i="15" s="1"/>
  <c r="N308" i="15"/>
  <c r="I4521" i="6"/>
  <c r="L312" i="15"/>
  <c r="AF322" i="15"/>
  <c r="L322" i="15"/>
  <c r="I322" i="15" s="1"/>
  <c r="AH316" i="15"/>
  <c r="N316" i="15"/>
  <c r="J316" i="15" s="1"/>
  <c r="AF298" i="15"/>
  <c r="L298" i="15"/>
  <c r="I298" i="15" s="1"/>
  <c r="AH324" i="15"/>
  <c r="N324" i="15"/>
  <c r="J324" i="15" s="1"/>
  <c r="AF300" i="15"/>
  <c r="L300" i="15"/>
  <c r="I300" i="15" s="1"/>
  <c r="AF316" i="15"/>
  <c r="L316" i="15"/>
  <c r="I316" i="15" s="1"/>
  <c r="I4479" i="6"/>
  <c r="T298" i="15" s="1"/>
  <c r="N298" i="15"/>
  <c r="BD298" i="15" s="1"/>
  <c r="M106" i="15"/>
  <c r="J106" i="15" s="1"/>
  <c r="AF121" i="6"/>
  <c r="M100" i="15"/>
  <c r="J100" i="15" s="1"/>
  <c r="AF112" i="6"/>
  <c r="I4530" i="6"/>
  <c r="S315" i="15" s="1"/>
  <c r="M315" i="15"/>
  <c r="J315" i="15" s="1"/>
  <c r="I4510" i="6"/>
  <c r="S308" i="15" s="1"/>
  <c r="M308" i="15"/>
  <c r="M88" i="15"/>
  <c r="J88" i="15" s="1"/>
  <c r="AF94" i="6"/>
  <c r="I119" i="6"/>
  <c r="Q105" i="15" s="1"/>
  <c r="K105" i="15"/>
  <c r="I105" i="15" s="1"/>
  <c r="AF119" i="6"/>
  <c r="I103" i="6"/>
  <c r="S94" i="15" s="1"/>
  <c r="P94" i="15" s="1"/>
  <c r="M94" i="15"/>
  <c r="J94" i="15" s="1"/>
  <c r="AF103" i="6"/>
  <c r="I4525" i="6"/>
  <c r="R314" i="15" s="1"/>
  <c r="L314" i="15"/>
  <c r="AF304" i="15"/>
  <c r="L304" i="15"/>
  <c r="BD300" i="15" s="1"/>
  <c r="I4554" i="6"/>
  <c r="S323" i="15" s="1"/>
  <c r="M323" i="15"/>
  <c r="J78" i="15"/>
  <c r="AF8" i="6"/>
  <c r="AF1366" i="6"/>
  <c r="K1277" i="6"/>
  <c r="DJ1277" i="6" s="1"/>
  <c r="I101" i="6"/>
  <c r="Q93" i="15" s="1"/>
  <c r="K93" i="15"/>
  <c r="I93" i="15" s="1"/>
  <c r="AF101" i="6"/>
  <c r="AF1365" i="6"/>
  <c r="K1275" i="6"/>
  <c r="DJ1275" i="6" s="1"/>
  <c r="I4544" i="6"/>
  <c r="K320" i="15"/>
  <c r="BA316" i="15" s="1"/>
  <c r="I98" i="6"/>
  <c r="Q91" i="15" s="1"/>
  <c r="O91" i="15" s="1"/>
  <c r="W91" i="15" s="1"/>
  <c r="V91" i="15" s="1"/>
  <c r="U91" i="15" s="1"/>
  <c r="K91" i="15"/>
  <c r="I91" i="15" s="1"/>
  <c r="AF98" i="6"/>
  <c r="J81" i="15"/>
  <c r="AF14" i="6"/>
  <c r="AB81" i="15"/>
  <c r="K97" i="15"/>
  <c r="I97" i="15" s="1"/>
  <c r="AF107" i="6"/>
  <c r="M85" i="15"/>
  <c r="J85" i="15" s="1"/>
  <c r="AF90" i="6"/>
  <c r="J80" i="15"/>
  <c r="AF12" i="6"/>
  <c r="K87" i="15"/>
  <c r="I87" i="15" s="1"/>
  <c r="AF92" i="6"/>
  <c r="K103" i="15"/>
  <c r="I103" i="15" s="1"/>
  <c r="AF116" i="6"/>
  <c r="J79" i="15"/>
  <c r="AF10" i="6"/>
  <c r="I4509" i="6"/>
  <c r="R308" i="15" s="1"/>
  <c r="L308" i="15"/>
  <c r="I308" i="15" s="1"/>
  <c r="AF1367" i="6"/>
  <c r="K1279" i="6"/>
  <c r="DJ1279" i="6" s="1"/>
  <c r="AF1364" i="6"/>
  <c r="K1273" i="6"/>
  <c r="DJ1273" i="6" s="1"/>
  <c r="K99" i="15"/>
  <c r="I99" i="15" s="1"/>
  <c r="AF110" i="6"/>
  <c r="I125" i="6"/>
  <c r="Q109" i="15" s="1"/>
  <c r="O109" i="15" s="1"/>
  <c r="W109" i="15" s="1"/>
  <c r="V109" i="15" s="1"/>
  <c r="U109" i="15" s="1"/>
  <c r="K109" i="15"/>
  <c r="I109" i="15" s="1"/>
  <c r="AF125" i="6"/>
  <c r="M115" i="15"/>
  <c r="J115" i="15" s="1"/>
  <c r="AF135" i="6"/>
  <c r="K129" i="15"/>
  <c r="I129" i="15" s="1"/>
  <c r="AF155" i="6"/>
  <c r="M124" i="15"/>
  <c r="J124" i="15" s="1"/>
  <c r="AF148" i="6"/>
  <c r="K111" i="15"/>
  <c r="I111" i="15" s="1"/>
  <c r="AF128" i="6"/>
  <c r="I139" i="6"/>
  <c r="S118" i="15" s="1"/>
  <c r="P118" i="15" s="1"/>
  <c r="M118" i="15"/>
  <c r="J118" i="15" s="1"/>
  <c r="AF139" i="6"/>
  <c r="I130" i="6"/>
  <c r="S112" i="15" s="1"/>
  <c r="P112" i="15" s="1"/>
  <c r="M112" i="15"/>
  <c r="J112" i="15" s="1"/>
  <c r="AF130" i="6"/>
  <c r="M108" i="15"/>
  <c r="J108" i="15" s="1"/>
  <c r="AF124" i="6"/>
  <c r="K117" i="15"/>
  <c r="I117" i="15" s="1"/>
  <c r="AF137" i="6"/>
  <c r="M120" i="15"/>
  <c r="J120" i="15" s="1"/>
  <c r="AF142" i="6"/>
  <c r="I153" i="6"/>
  <c r="S127" i="15" s="1"/>
  <c r="P127" i="15" s="1"/>
  <c r="M127" i="15"/>
  <c r="J127" i="15" s="1"/>
  <c r="AF153" i="6"/>
  <c r="K127" i="15"/>
  <c r="I127" i="15" s="1"/>
  <c r="AF152" i="6"/>
  <c r="K123" i="15"/>
  <c r="I123" i="15" s="1"/>
  <c r="AF146" i="6"/>
  <c r="I143" i="6"/>
  <c r="Q121" i="15" s="1"/>
  <c r="O121" i="15" s="1"/>
  <c r="W121" i="15" s="1"/>
  <c r="V121" i="15" s="1"/>
  <c r="U121" i="15" s="1"/>
  <c r="K121" i="15"/>
  <c r="I121" i="15" s="1"/>
  <c r="AF143" i="6"/>
  <c r="K115" i="15"/>
  <c r="I115" i="15" s="1"/>
  <c r="AF134" i="6"/>
  <c r="O95" i="15"/>
  <c r="W95" i="15" s="1"/>
  <c r="V95" i="15" s="1"/>
  <c r="U95" i="15" s="1"/>
  <c r="O86" i="15"/>
  <c r="W86" i="15" s="1"/>
  <c r="V86" i="15" s="1"/>
  <c r="U86" i="15" s="1"/>
  <c r="O89" i="15"/>
  <c r="W89" i="15" s="1"/>
  <c r="V89" i="15" s="1"/>
  <c r="U89" i="15" s="1"/>
  <c r="O107" i="15"/>
  <c r="W107" i="15" s="1"/>
  <c r="V107" i="15" s="1"/>
  <c r="U107" i="15" s="1"/>
  <c r="O101" i="15"/>
  <c r="W101" i="15" s="1"/>
  <c r="V101" i="15" s="1"/>
  <c r="U101" i="15" s="1"/>
  <c r="O98" i="15"/>
  <c r="W98" i="15" s="1"/>
  <c r="V98" i="15" s="1"/>
  <c r="U98" i="15" s="1"/>
  <c r="L166" i="15"/>
  <c r="I166" i="15" s="1"/>
  <c r="AF1384" i="6"/>
  <c r="N164" i="15"/>
  <c r="J164" i="15" s="1"/>
  <c r="AF1378" i="6"/>
  <c r="K1526" i="6"/>
  <c r="DJ1526" i="6" s="1"/>
  <c r="AF4056" i="6"/>
  <c r="K1534" i="6"/>
  <c r="DJ1534" i="6" s="1"/>
  <c r="AF4064" i="6"/>
  <c r="K1548" i="6"/>
  <c r="DJ1548" i="6" s="1"/>
  <c r="AF4078" i="6"/>
  <c r="K1544" i="6"/>
  <c r="DJ1544" i="6" s="1"/>
  <c r="AF4074" i="6"/>
  <c r="K1516" i="6"/>
  <c r="DJ1516" i="6" s="1"/>
  <c r="AF4046" i="6"/>
  <c r="L165" i="15"/>
  <c r="I165" i="15" s="1"/>
  <c r="AF1380" i="6"/>
  <c r="N165" i="15"/>
  <c r="J165" i="15" s="1"/>
  <c r="AF1382" i="6"/>
  <c r="K1415" i="6"/>
  <c r="K1500" i="6" s="1"/>
  <c r="J1500" i="6" s="1"/>
  <c r="K1385" i="6" s="1"/>
  <c r="AF1415" i="6"/>
  <c r="O83" i="15"/>
  <c r="W83" i="15" s="1"/>
  <c r="V83" i="15" s="1"/>
  <c r="U83" i="15" s="1"/>
  <c r="O104" i="15"/>
  <c r="W104" i="15" s="1"/>
  <c r="V104" i="15" s="1"/>
  <c r="U104" i="15" s="1"/>
  <c r="K1379" i="6"/>
  <c r="AF1494" i="6"/>
  <c r="K1383" i="6"/>
  <c r="AF1498" i="6"/>
  <c r="I27" i="6"/>
  <c r="AF26" i="6"/>
  <c r="AF1363" i="6"/>
  <c r="K1271" i="6"/>
  <c r="DJ1271" i="6" s="1"/>
  <c r="K1375" i="6"/>
  <c r="AF1490" i="6"/>
  <c r="O92" i="15"/>
  <c r="W92" i="15" s="1"/>
  <c r="V92" i="15" s="1"/>
  <c r="U92" i="15" s="1"/>
  <c r="DG1373" i="6"/>
  <c r="AA163" i="15" s="1"/>
  <c r="AB163" i="15"/>
  <c r="I869" i="2"/>
  <c r="O727" i="15" s="1"/>
  <c r="V727" i="15" s="1"/>
  <c r="U727" i="15" s="1"/>
  <c r="I870" i="2"/>
  <c r="O728" i="15" s="1"/>
  <c r="V728" i="15" s="1"/>
  <c r="U728" i="15" s="1"/>
  <c r="I728" i="15"/>
  <c r="DI321" i="2"/>
  <c r="AE645" i="15" s="1"/>
  <c r="AC645" i="15" s="1"/>
  <c r="I645" i="15"/>
  <c r="O21" i="15"/>
  <c r="V21" i="15" s="1"/>
  <c r="U21" i="15" s="1"/>
  <c r="Q35" i="15"/>
  <c r="Q32" i="15"/>
  <c r="O13" i="15"/>
  <c r="V13" i="15" s="1"/>
  <c r="U13" i="15" s="1"/>
  <c r="Q34" i="15"/>
  <c r="O17" i="15"/>
  <c r="V17" i="15" s="1"/>
  <c r="U17" i="15" s="1"/>
  <c r="O18" i="15"/>
  <c r="V18" i="15" s="1"/>
  <c r="U18" i="15" s="1"/>
  <c r="O19" i="15"/>
  <c r="V19" i="15" s="1"/>
  <c r="U19" i="15" s="1"/>
  <c r="O11" i="15"/>
  <c r="V11" i="15" s="1"/>
  <c r="U11" i="15" s="1"/>
  <c r="O16" i="15"/>
  <c r="V16" i="15" s="1"/>
  <c r="U16" i="15" s="1"/>
  <c r="O20" i="15"/>
  <c r="V20" i="15" s="1"/>
  <c r="U20" i="15" s="1"/>
  <c r="O12" i="15"/>
  <c r="V12" i="15" s="1"/>
  <c r="U12" i="15" s="1"/>
  <c r="O15" i="15"/>
  <c r="V15" i="15" s="1"/>
  <c r="U15" i="15" s="1"/>
  <c r="O14" i="15"/>
  <c r="V14" i="15" s="1"/>
  <c r="U14" i="15" s="1"/>
  <c r="O10" i="15"/>
  <c r="V10" i="15" s="1"/>
  <c r="U10" i="15" s="1"/>
  <c r="AB482" i="15"/>
  <c r="AF115" i="16"/>
  <c r="I57" i="16"/>
  <c r="AF117" i="16"/>
  <c r="DI67" i="16"/>
  <c r="AF19" i="15" s="1"/>
  <c r="AC19" i="15" s="1"/>
  <c r="AF121" i="16"/>
  <c r="AF119" i="16"/>
  <c r="AF120" i="16"/>
  <c r="I71" i="16"/>
  <c r="AF122" i="16"/>
  <c r="DI59" i="16"/>
  <c r="AF15" i="15" s="1"/>
  <c r="AC15" i="15" s="1"/>
  <c r="AF118" i="16"/>
  <c r="AF7" i="5"/>
  <c r="K7" i="5"/>
  <c r="O42" i="15" s="1"/>
  <c r="U42" i="15" s="1"/>
  <c r="AC451" i="15"/>
  <c r="AD258" i="15"/>
  <c r="AC164" i="15"/>
  <c r="AC198" i="15"/>
  <c r="AC205" i="15"/>
  <c r="AD232" i="15"/>
  <c r="AD134" i="15"/>
  <c r="AC256" i="15"/>
  <c r="AC285" i="15"/>
  <c r="AD269" i="15"/>
  <c r="AC224" i="15"/>
  <c r="AC182" i="15"/>
  <c r="AC226" i="15"/>
  <c r="AD190" i="15"/>
  <c r="AD274" i="15"/>
  <c r="AC173" i="15"/>
  <c r="AD261" i="15"/>
  <c r="AC222" i="15"/>
  <c r="AD184" i="15"/>
  <c r="AC286" i="15"/>
  <c r="AC248" i="15"/>
  <c r="AD235" i="15"/>
  <c r="AC202" i="15"/>
  <c r="AC239" i="15"/>
  <c r="I42" i="15"/>
  <c r="AF271" i="5"/>
  <c r="I65" i="15"/>
  <c r="AF232" i="5"/>
  <c r="I63" i="15"/>
  <c r="AF9" i="5"/>
  <c r="I44" i="15"/>
  <c r="AF47" i="5"/>
  <c r="DI47" i="5"/>
  <c r="I47" i="5"/>
  <c r="O51" i="15" s="1"/>
  <c r="W51" i="15" s="1"/>
  <c r="V51" i="15" s="1"/>
  <c r="U51" i="15" s="1"/>
  <c r="AF230" i="5"/>
  <c r="I61" i="15"/>
  <c r="AF277" i="5"/>
  <c r="I71" i="15"/>
  <c r="AF46" i="5"/>
  <c r="I46" i="5"/>
  <c r="O50" i="15" s="1"/>
  <c r="W50" i="15" s="1"/>
  <c r="V50" i="15" s="1"/>
  <c r="U50" i="15" s="1"/>
  <c r="DI46" i="5"/>
  <c r="AF276" i="5"/>
  <c r="I70" i="15"/>
  <c r="AF278" i="5"/>
  <c r="I72" i="15"/>
  <c r="AF184" i="5"/>
  <c r="I60" i="15"/>
  <c r="DG475" i="2"/>
  <c r="AA669" i="15" s="1"/>
  <c r="AE669" i="15"/>
  <c r="AC669" i="15" s="1"/>
  <c r="AC425" i="15"/>
  <c r="AD286" i="15"/>
  <c r="AC246" i="15"/>
  <c r="AD223" i="15"/>
  <c r="AC177" i="15"/>
  <c r="AC272" i="15"/>
  <c r="AD266" i="15"/>
  <c r="AC266" i="15"/>
  <c r="AD264" i="15"/>
  <c r="AC274" i="15"/>
  <c r="AC282" i="15"/>
  <c r="AC270" i="15"/>
  <c r="AC170" i="15"/>
  <c r="AD250" i="15"/>
  <c r="AC292" i="15"/>
  <c r="AC237" i="15"/>
  <c r="AC423" i="15"/>
  <c r="AC454" i="15"/>
  <c r="AC428" i="15"/>
  <c r="AC422" i="15"/>
  <c r="AC258" i="15"/>
  <c r="AC225" i="15"/>
  <c r="AC218" i="15"/>
  <c r="AD256" i="15"/>
  <c r="AC273" i="15"/>
  <c r="AD254" i="15"/>
  <c r="AC236" i="15"/>
  <c r="AC247" i="15"/>
  <c r="AC280" i="15"/>
  <c r="AC250" i="15"/>
  <c r="AD244" i="15"/>
  <c r="AC210" i="15"/>
  <c r="AC429" i="15"/>
  <c r="AC450" i="15"/>
  <c r="AD222" i="15"/>
  <c r="AC238" i="15"/>
  <c r="AC174" i="15"/>
  <c r="AC230" i="15"/>
  <c r="AC206" i="15"/>
  <c r="AC290" i="15"/>
  <c r="AC163" i="15"/>
  <c r="AC192" i="15"/>
  <c r="AC426" i="15"/>
  <c r="AC449" i="15"/>
  <c r="AC212" i="15"/>
  <c r="AC171" i="15"/>
  <c r="AD174" i="15"/>
  <c r="AC134" i="15"/>
  <c r="DG627" i="2"/>
  <c r="AE700" i="15"/>
  <c r="AC700" i="15" s="1"/>
  <c r="DG680" i="2"/>
  <c r="AE710" i="15"/>
  <c r="AC710" i="15" s="1"/>
  <c r="DG717" i="2"/>
  <c r="AE714" i="15"/>
  <c r="AC714" i="15" s="1"/>
  <c r="DG699" i="2"/>
  <c r="AE713" i="15"/>
  <c r="AC713" i="15" s="1"/>
  <c r="DG697" i="2"/>
  <c r="AE711" i="15"/>
  <c r="AC711" i="15" s="1"/>
  <c r="DG630" i="2"/>
  <c r="AE703" i="15"/>
  <c r="AC703" i="15" s="1"/>
  <c r="DG1034" i="7"/>
  <c r="AA474" i="15" s="1"/>
  <c r="AE474" i="15"/>
  <c r="AC474" i="15" s="1"/>
  <c r="DG1037" i="7"/>
  <c r="AA477" i="15" s="1"/>
  <c r="AE477" i="15"/>
  <c r="AC477" i="15" s="1"/>
  <c r="DG714" i="7"/>
  <c r="AA434" i="15" s="1"/>
  <c r="AE434" i="15"/>
  <c r="AC434" i="15" s="1"/>
  <c r="DG1130" i="7"/>
  <c r="AA489" i="15" s="1"/>
  <c r="AE489" i="15"/>
  <c r="AC489" i="15" s="1"/>
  <c r="DG1128" i="7"/>
  <c r="AA500" i="15" s="1"/>
  <c r="AE500" i="15"/>
  <c r="AC500" i="15" s="1"/>
  <c r="DG1132" i="7"/>
  <c r="AA501" i="15" s="1"/>
  <c r="AE501" i="15"/>
  <c r="AC501" i="15" s="1"/>
  <c r="DG1141" i="7"/>
  <c r="AA509" i="15" s="1"/>
  <c r="AE509" i="15"/>
  <c r="AC509" i="15" s="1"/>
  <c r="DG1142" i="7"/>
  <c r="AA492" i="15" s="1"/>
  <c r="AE492" i="15"/>
  <c r="AC492" i="15" s="1"/>
  <c r="DG133" i="5"/>
  <c r="AA55" i="15" s="1"/>
  <c r="AE55" i="15"/>
  <c r="AC55" i="15" s="1"/>
  <c r="DG155" i="16"/>
  <c r="AA23" i="15" s="1"/>
  <c r="AE23" i="15"/>
  <c r="AC23" i="15" s="1"/>
  <c r="DG99" i="2"/>
  <c r="AA597" i="15" s="1"/>
  <c r="AE597" i="15"/>
  <c r="AC597" i="15" s="1"/>
  <c r="DG42" i="5"/>
  <c r="AA46" i="15" s="1"/>
  <c r="AE46" i="15"/>
  <c r="AC46" i="15" s="1"/>
  <c r="DG629" i="2"/>
  <c r="AE702" i="15"/>
  <c r="AC702" i="15" s="1"/>
  <c r="DG274" i="5"/>
  <c r="AA68" i="15" s="1"/>
  <c r="AE68" i="15"/>
  <c r="AC68" i="15" s="1"/>
  <c r="DG628" i="2"/>
  <c r="AE701" i="15"/>
  <c r="AC701" i="15" s="1"/>
  <c r="DG633" i="2"/>
  <c r="AE706" i="15"/>
  <c r="AC706" i="15" s="1"/>
  <c r="DG631" i="2"/>
  <c r="AE704" i="15"/>
  <c r="AC704" i="15" s="1"/>
  <c r="DG154" i="2"/>
  <c r="AA607" i="15" s="1"/>
  <c r="AE607" i="15"/>
  <c r="AC607" i="15" s="1"/>
  <c r="DG135" i="5"/>
  <c r="AA57" i="15" s="1"/>
  <c r="AE57" i="15"/>
  <c r="AC57" i="15" s="1"/>
  <c r="DG252" i="16"/>
  <c r="AA32" i="15" s="1"/>
  <c r="AE32" i="15"/>
  <c r="AC32" i="15" s="1"/>
  <c r="I277" i="5"/>
  <c r="O71" i="15" s="1"/>
  <c r="V71" i="15" s="1"/>
  <c r="U71" i="15" s="1"/>
  <c r="I278" i="5"/>
  <c r="O72" i="15" s="1"/>
  <c r="V72" i="15" s="1"/>
  <c r="U72" i="15" s="1"/>
  <c r="DI232" i="5"/>
  <c r="DI277" i="5"/>
  <c r="AF322" i="5"/>
  <c r="DI278" i="5"/>
  <c r="I232" i="5"/>
  <c r="O63" i="15" s="1"/>
  <c r="V63" i="15" s="1"/>
  <c r="U63" i="15" s="1"/>
  <c r="DI231" i="5"/>
  <c r="AE62" i="15" s="1"/>
  <c r="AC62" i="15" s="1"/>
  <c r="AF231" i="5"/>
  <c r="AF270" i="5"/>
  <c r="DI10" i="5"/>
  <c r="AE45" i="15" s="1"/>
  <c r="AC45" i="15" s="1"/>
  <c r="AF10" i="5"/>
  <c r="I272" i="5"/>
  <c r="O66" i="15" s="1"/>
  <c r="V66" i="15" s="1"/>
  <c r="U66" i="15" s="1"/>
  <c r="AF272" i="5"/>
  <c r="K8" i="5"/>
  <c r="O43" i="15" s="1"/>
  <c r="U43" i="15" s="1"/>
  <c r="AF8" i="5"/>
  <c r="DI308" i="5"/>
  <c r="AF308" i="5"/>
  <c r="I306" i="5"/>
  <c r="O73" i="15" s="1"/>
  <c r="V73" i="15" s="1"/>
  <c r="U73" i="15" s="1"/>
  <c r="AF306" i="5"/>
  <c r="AF183" i="5"/>
  <c r="J182" i="5"/>
  <c r="O58" i="15" s="1"/>
  <c r="V58" i="15" s="1"/>
  <c r="U58" i="15" s="1"/>
  <c r="AF182" i="5"/>
  <c r="BA224" i="15"/>
  <c r="BF224" i="15" s="1"/>
  <c r="BM224" i="15" s="1"/>
  <c r="BG223" i="15"/>
  <c r="BA188" i="15"/>
  <c r="BF188" i="15" s="1"/>
  <c r="BK184" i="15"/>
  <c r="M965" i="7"/>
  <c r="O470" i="15" s="1"/>
  <c r="U470" i="15" s="1"/>
  <c r="M966" i="7"/>
  <c r="O471" i="15" s="1"/>
  <c r="U471" i="15" s="1"/>
  <c r="M962" i="7"/>
  <c r="O467" i="15" s="1"/>
  <c r="U467" i="15" s="1"/>
  <c r="M963" i="7"/>
  <c r="O468" i="15" s="1"/>
  <c r="U468" i="15" s="1"/>
  <c r="M959" i="7"/>
  <c r="O464" i="15" s="1"/>
  <c r="U464" i="15" s="1"/>
  <c r="M961" i="7"/>
  <c r="O466" i="15" s="1"/>
  <c r="U466" i="15" s="1"/>
  <c r="M967" i="7"/>
  <c r="O472" i="15" s="1"/>
  <c r="U472" i="15" s="1"/>
  <c r="M958" i="7"/>
  <c r="O463" i="15" s="1"/>
  <c r="U463" i="15" s="1"/>
  <c r="M964" i="7"/>
  <c r="O469" i="15" s="1"/>
  <c r="U469" i="15" s="1"/>
  <c r="M960" i="7"/>
  <c r="O465" i="15" s="1"/>
  <c r="U465" i="15" s="1"/>
  <c r="DI870" i="2"/>
  <c r="K1236" i="6"/>
  <c r="K446" i="7"/>
  <c r="O398" i="15" s="1"/>
  <c r="W398" i="15" s="1"/>
  <c r="V398" i="15" s="1"/>
  <c r="U398" i="15" s="1"/>
  <c r="DI69" i="16"/>
  <c r="AF20" i="15" s="1"/>
  <c r="AC20" i="15" s="1"/>
  <c r="K1416" i="6"/>
  <c r="F1388" i="6"/>
  <c r="F1386" i="6"/>
  <c r="L167" i="15" s="1"/>
  <c r="I167" i="15" s="1"/>
  <c r="BG235" i="15"/>
  <c r="BC225" i="15"/>
  <c r="BH225" i="15" s="1"/>
  <c r="BN225" i="15" s="1"/>
  <c r="BG217" i="15"/>
  <c r="BC259" i="15"/>
  <c r="BL259" i="15" s="1"/>
  <c r="BH194" i="15"/>
  <c r="BI211" i="15"/>
  <c r="BH184" i="15"/>
  <c r="J2038" i="6"/>
  <c r="J3900" i="6"/>
  <c r="J4286" i="6"/>
  <c r="J4302" i="6"/>
  <c r="J3916" i="6"/>
  <c r="J2046" i="6"/>
  <c r="B1872" i="6"/>
  <c r="J4402" i="6"/>
  <c r="J2096" i="6"/>
  <c r="J4016" i="6"/>
  <c r="J4216" i="6"/>
  <c r="J2003" i="6"/>
  <c r="J2070" i="6"/>
  <c r="J3964" i="6"/>
  <c r="J4350" i="6"/>
  <c r="J1939" i="6"/>
  <c r="J4088" i="6"/>
  <c r="J1961" i="6"/>
  <c r="J4132" i="6"/>
  <c r="J4364" i="6"/>
  <c r="J2077" i="6"/>
  <c r="J3978" i="6"/>
  <c r="J3932" i="6"/>
  <c r="J4318" i="6"/>
  <c r="J2054" i="6"/>
  <c r="J4334" i="6"/>
  <c r="J2062" i="6"/>
  <c r="J3948" i="6"/>
  <c r="J4080" i="6"/>
  <c r="J1935" i="6"/>
  <c r="J4270" i="6"/>
  <c r="J2030" i="6"/>
  <c r="J3884" i="6"/>
  <c r="J1951" i="6"/>
  <c r="J4112" i="6"/>
  <c r="B1850" i="6"/>
  <c r="J3994" i="6"/>
  <c r="J4380" i="6"/>
  <c r="J2085" i="6"/>
  <c r="K123" i="6"/>
  <c r="DJ123" i="6" s="1"/>
  <c r="K120" i="6"/>
  <c r="DJ120" i="6" s="1"/>
  <c r="K125" i="6"/>
  <c r="DJ125" i="6" s="1"/>
  <c r="K89" i="6"/>
  <c r="DJ89" i="6" s="1"/>
  <c r="K111" i="6"/>
  <c r="DJ111" i="6" s="1"/>
  <c r="K105" i="6"/>
  <c r="DJ105" i="6" s="1"/>
  <c r="K93" i="6"/>
  <c r="DJ93" i="6" s="1"/>
  <c r="K102" i="6"/>
  <c r="DJ102" i="6" s="1"/>
  <c r="K98" i="6"/>
  <c r="DJ98" i="6" s="1"/>
  <c r="K96" i="6"/>
  <c r="DJ96" i="6" s="1"/>
  <c r="K87" i="6"/>
  <c r="DJ87" i="6" s="1"/>
  <c r="K116" i="6"/>
  <c r="DJ116" i="6" s="1"/>
  <c r="K84" i="6"/>
  <c r="DJ84" i="6" s="1"/>
  <c r="K114" i="6"/>
  <c r="DJ114" i="6" s="1"/>
  <c r="K107" i="6"/>
  <c r="DJ107" i="6" s="1"/>
  <c r="K138" i="6"/>
  <c r="DJ138" i="6" s="1"/>
  <c r="K141" i="6"/>
  <c r="DJ141" i="6" s="1"/>
  <c r="K143" i="6"/>
  <c r="DJ143" i="6" s="1"/>
  <c r="K132" i="6"/>
  <c r="DJ132" i="6" s="1"/>
  <c r="K129" i="6"/>
  <c r="DJ129" i="6" s="1"/>
  <c r="K134" i="6"/>
  <c r="DJ134" i="6" s="1"/>
  <c r="K152" i="6"/>
  <c r="DJ152" i="6" s="1"/>
  <c r="K147" i="6"/>
  <c r="DJ147" i="6" s="1"/>
  <c r="K150" i="6"/>
  <c r="DJ150" i="6" s="1"/>
  <c r="BA192" i="15"/>
  <c r="BF192" i="15" s="1"/>
  <c r="BG280" i="15"/>
  <c r="BI221" i="15"/>
  <c r="BI215" i="15"/>
  <c r="BI175" i="15"/>
  <c r="BI217" i="15"/>
  <c r="BA98" i="15"/>
  <c r="BF98" i="15" s="1"/>
  <c r="BM98" i="15" s="1"/>
  <c r="BH190" i="15"/>
  <c r="BA96" i="15"/>
  <c r="BF96" i="15" s="1"/>
  <c r="BM96" i="15" s="1"/>
  <c r="DI182" i="5"/>
  <c r="AE58" i="15" s="1"/>
  <c r="AC58" i="15" s="1"/>
  <c r="BC281" i="15"/>
  <c r="BL281" i="15" s="1"/>
  <c r="L808" i="6"/>
  <c r="AJ154" i="15" s="1"/>
  <c r="L804" i="6"/>
  <c r="AJ152" i="15" s="1"/>
  <c r="L786" i="6"/>
  <c r="AJ147" i="15" s="1"/>
  <c r="L780" i="6"/>
  <c r="AJ144" i="15" s="1"/>
  <c r="L794" i="6"/>
  <c r="AJ149" i="15" s="1"/>
  <c r="L784" i="6"/>
  <c r="AJ146" i="15" s="1"/>
  <c r="L790" i="6"/>
  <c r="AJ148" i="15" s="1"/>
  <c r="L760" i="6"/>
  <c r="AJ135" i="15" s="1"/>
  <c r="L798" i="6"/>
  <c r="AJ150" i="15" s="1"/>
  <c r="L766" i="6"/>
  <c r="AJ137" i="15" s="1"/>
  <c r="I152" i="6"/>
  <c r="Q127" i="15" s="1"/>
  <c r="O127" i="15" s="1"/>
  <c r="W127" i="15" s="1"/>
  <c r="V127" i="15" s="1"/>
  <c r="U127" i="15" s="1"/>
  <c r="I112" i="6"/>
  <c r="S100" i="15" s="1"/>
  <c r="P100" i="15" s="1"/>
  <c r="AG88" i="15"/>
  <c r="AD88" i="15" s="1"/>
  <c r="I94" i="6"/>
  <c r="S88" i="15" s="1"/>
  <c r="P88" i="15" s="1"/>
  <c r="I84" i="6"/>
  <c r="Q82" i="15" s="1"/>
  <c r="O82" i="15" s="1"/>
  <c r="W82" i="15" s="1"/>
  <c r="V82" i="15" s="1"/>
  <c r="U82" i="15" s="1"/>
  <c r="AE123" i="15"/>
  <c r="AC123" i="15" s="1"/>
  <c r="I146" i="6"/>
  <c r="Q123" i="15" s="1"/>
  <c r="I134" i="6"/>
  <c r="Q115" i="15" s="1"/>
  <c r="O115" i="15" s="1"/>
  <c r="W115" i="15" s="1"/>
  <c r="V115" i="15" s="1"/>
  <c r="U115" i="15" s="1"/>
  <c r="I92" i="6"/>
  <c r="Q87" i="15" s="1"/>
  <c r="I155" i="6"/>
  <c r="Q129" i="15" s="1"/>
  <c r="AE97" i="15"/>
  <c r="AC97" i="15" s="1"/>
  <c r="I107" i="6"/>
  <c r="Q97" i="15" s="1"/>
  <c r="O97" i="15" s="1"/>
  <c r="W97" i="15" s="1"/>
  <c r="V97" i="15" s="1"/>
  <c r="U97" i="15" s="1"/>
  <c r="AG124" i="15"/>
  <c r="AD124" i="15" s="1"/>
  <c r="I148" i="6"/>
  <c r="S124" i="15" s="1"/>
  <c r="P124" i="15" s="1"/>
  <c r="AG108" i="15"/>
  <c r="AD108" i="15" s="1"/>
  <c r="I124" i="6"/>
  <c r="S108" i="15" s="1"/>
  <c r="P108" i="15" s="1"/>
  <c r="I137" i="6"/>
  <c r="Q117" i="15" s="1"/>
  <c r="BA88" i="15"/>
  <c r="BF88" i="15" s="1"/>
  <c r="BM88" i="15" s="1"/>
  <c r="BA89" i="15"/>
  <c r="BF89" i="15" s="1"/>
  <c r="BM89" i="15" s="1"/>
  <c r="I116" i="6"/>
  <c r="Q103" i="15" s="1"/>
  <c r="O103" i="15" s="1"/>
  <c r="W103" i="15" s="1"/>
  <c r="V103" i="15" s="1"/>
  <c r="U103" i="15" s="1"/>
  <c r="BA101" i="15"/>
  <c r="BF101" i="15" s="1"/>
  <c r="BM101" i="15" s="1"/>
  <c r="I128" i="6"/>
  <c r="Q111" i="15" s="1"/>
  <c r="I121" i="6"/>
  <c r="S106" i="15" s="1"/>
  <c r="P106" i="15" s="1"/>
  <c r="I142" i="6"/>
  <c r="S120" i="15" s="1"/>
  <c r="P120" i="15" s="1"/>
  <c r="I90" i="6"/>
  <c r="S85" i="15" s="1"/>
  <c r="P85" i="15" s="1"/>
  <c r="I110" i="6"/>
  <c r="Q99" i="15" s="1"/>
  <c r="BA100" i="15"/>
  <c r="BF100" i="15" s="1"/>
  <c r="BM100" i="15" s="1"/>
  <c r="AG115" i="15"/>
  <c r="AD115" i="15" s="1"/>
  <c r="I135" i="6"/>
  <c r="S115" i="15" s="1"/>
  <c r="P115" i="15" s="1"/>
  <c r="BB277" i="15"/>
  <c r="BG277" i="15" s="1"/>
  <c r="BG196" i="15"/>
  <c r="BI246" i="15"/>
  <c r="BB172" i="15"/>
  <c r="BG172" i="15" s="1"/>
  <c r="DH4632" i="6"/>
  <c r="DI4632" i="6" s="1"/>
  <c r="AF337" i="15" s="1"/>
  <c r="DH4630" i="6"/>
  <c r="DI4630" i="6" s="1"/>
  <c r="AF336" i="15" s="1"/>
  <c r="DH4628" i="6"/>
  <c r="DI4628" i="6" s="1"/>
  <c r="AF335" i="15" s="1"/>
  <c r="DH4626" i="6"/>
  <c r="DI4626" i="6" s="1"/>
  <c r="AF334" i="15" s="1"/>
  <c r="DH4631" i="6"/>
  <c r="DI4631" i="6" s="1"/>
  <c r="AE337" i="15" s="1"/>
  <c r="DH4629" i="6"/>
  <c r="DI4629" i="6" s="1"/>
  <c r="AE336" i="15" s="1"/>
  <c r="DH4627" i="6"/>
  <c r="DI4627" i="6" s="1"/>
  <c r="AE335" i="15" s="1"/>
  <c r="DH4625" i="6"/>
  <c r="DI4625" i="6" s="1"/>
  <c r="AE334" i="15" s="1"/>
  <c r="BI280" i="15"/>
  <c r="BN280" i="15" s="1"/>
  <c r="BB186" i="15"/>
  <c r="BG186" i="15" s="1"/>
  <c r="BL280" i="15"/>
  <c r="BB243" i="15"/>
  <c r="BG243" i="15" s="1"/>
  <c r="DH4620" i="6"/>
  <c r="DI4620" i="6" s="1"/>
  <c r="AF331" i="15" s="1"/>
  <c r="DH4618" i="6"/>
  <c r="DI4618" i="6" s="1"/>
  <c r="AF330" i="15" s="1"/>
  <c r="DH4619" i="6"/>
  <c r="DI4619" i="6" s="1"/>
  <c r="AE331" i="15" s="1"/>
  <c r="DH4617" i="6"/>
  <c r="DI4617" i="6" s="1"/>
  <c r="AE330" i="15" s="1"/>
  <c r="BL184" i="15"/>
  <c r="BI185" i="15"/>
  <c r="BB188" i="15"/>
  <c r="BG188" i="15" s="1"/>
  <c r="BG184" i="15"/>
  <c r="BM184" i="15" s="1"/>
  <c r="BB189" i="15"/>
  <c r="BG189" i="15" s="1"/>
  <c r="BB259" i="15"/>
  <c r="BG259" i="15" s="1"/>
  <c r="BA186" i="15"/>
  <c r="BF186" i="15" s="1"/>
  <c r="BK231" i="15"/>
  <c r="C1773" i="6"/>
  <c r="BK182" i="15"/>
  <c r="BA102" i="15"/>
  <c r="BK102" i="15" s="1"/>
  <c r="BG149" i="15"/>
  <c r="BK216" i="15"/>
  <c r="BF216" i="15"/>
  <c r="BI196" i="15"/>
  <c r="BD273" i="15"/>
  <c r="BI273" i="15" s="1"/>
  <c r="BA94" i="15"/>
  <c r="BK94" i="15" s="1"/>
  <c r="BD153" i="15"/>
  <c r="BI153" i="15" s="1"/>
  <c r="BA95" i="15"/>
  <c r="BF95" i="15" s="1"/>
  <c r="BM95" i="15" s="1"/>
  <c r="BA106" i="15"/>
  <c r="BK106" i="15" s="1"/>
  <c r="BA107" i="15"/>
  <c r="BF107" i="15" s="1"/>
  <c r="BM107" i="15" s="1"/>
  <c r="BD258" i="15"/>
  <c r="BI258" i="15" s="1"/>
  <c r="BL196" i="15"/>
  <c r="DH4641" i="6"/>
  <c r="DI4641" i="6" s="1"/>
  <c r="AE342" i="15" s="1"/>
  <c r="DH4640" i="6"/>
  <c r="DI4640" i="6" s="1"/>
  <c r="AF341" i="15" s="1"/>
  <c r="DH4644" i="6"/>
  <c r="DI4644" i="6" s="1"/>
  <c r="AF343" i="15" s="1"/>
  <c r="DH4636" i="6"/>
  <c r="DI4636" i="6" s="1"/>
  <c r="AF339" i="15" s="1"/>
  <c r="DH4623" i="6"/>
  <c r="DI4623" i="6" s="1"/>
  <c r="AE333" i="15" s="1"/>
  <c r="DH4622" i="6"/>
  <c r="DI4622" i="6" s="1"/>
  <c r="AF332" i="15" s="1"/>
  <c r="DH4638" i="6"/>
  <c r="DI4638" i="6" s="1"/>
  <c r="AF340" i="15" s="1"/>
  <c r="DH4642" i="6"/>
  <c r="DI4642" i="6" s="1"/>
  <c r="AF342" i="15" s="1"/>
  <c r="DH4633" i="6"/>
  <c r="DI4633" i="6" s="1"/>
  <c r="AE338" i="15" s="1"/>
  <c r="DH4637" i="6"/>
  <c r="DI4637" i="6" s="1"/>
  <c r="AE340" i="15" s="1"/>
  <c r="DH4621" i="6"/>
  <c r="DI4621" i="6" s="1"/>
  <c r="AE332" i="15" s="1"/>
  <c r="DH4624" i="6"/>
  <c r="DI4624" i="6" s="1"/>
  <c r="AF333" i="15" s="1"/>
  <c r="DH4639" i="6"/>
  <c r="DI4639" i="6" s="1"/>
  <c r="AE341" i="15" s="1"/>
  <c r="DH4635" i="6"/>
  <c r="DI4635" i="6" s="1"/>
  <c r="AE339" i="15" s="1"/>
  <c r="DH4643" i="6"/>
  <c r="DI4643" i="6" s="1"/>
  <c r="AE343" i="15" s="1"/>
  <c r="DH4634" i="6"/>
  <c r="DI4634" i="6" s="1"/>
  <c r="AF338" i="15" s="1"/>
  <c r="C1873" i="6"/>
  <c r="BL213" i="15"/>
  <c r="BA90" i="15"/>
  <c r="BF90" i="15" s="1"/>
  <c r="BM90" i="15" s="1"/>
  <c r="BA92" i="15"/>
  <c r="BF92" i="15" s="1"/>
  <c r="BM92" i="15" s="1"/>
  <c r="BF231" i="15"/>
  <c r="C1821" i="6"/>
  <c r="BA104" i="15"/>
  <c r="BF104" i="15" s="1"/>
  <c r="BM104" i="15" s="1"/>
  <c r="BI184" i="15"/>
  <c r="BC256" i="15"/>
  <c r="BL256" i="15" s="1"/>
  <c r="BI213" i="15"/>
  <c r="BN213" i="15" s="1"/>
  <c r="AE91" i="15"/>
  <c r="AC91" i="15" s="1"/>
  <c r="I308" i="5"/>
  <c r="O75" i="15" s="1"/>
  <c r="V75" i="15" s="1"/>
  <c r="U75" i="15" s="1"/>
  <c r="F307" i="5"/>
  <c r="F309" i="5"/>
  <c r="DI10" i="7"/>
  <c r="AE347" i="15" s="1"/>
  <c r="AC347" i="15" s="1"/>
  <c r="DI1179" i="7"/>
  <c r="AE514" i="15" s="1"/>
  <c r="AC514" i="15" s="1"/>
  <c r="DI446" i="7"/>
  <c r="AE398" i="15" s="1"/>
  <c r="AC398" i="15" s="1"/>
  <c r="DI184" i="5"/>
  <c r="AE60" i="15" s="1"/>
  <c r="AC60" i="15" s="1"/>
  <c r="DI1188" i="7"/>
  <c r="I1188" i="7"/>
  <c r="O523" i="15" s="1"/>
  <c r="W523" i="15" s="1"/>
  <c r="V523" i="15" s="1"/>
  <c r="U523" i="15" s="1"/>
  <c r="I7" i="7"/>
  <c r="Q344" i="15" s="1"/>
  <c r="O344" i="15" s="1"/>
  <c r="U344" i="15" s="1"/>
  <c r="I13" i="7"/>
  <c r="Q350" i="15" s="1"/>
  <c r="O350" i="15" s="1"/>
  <c r="U350" i="15" s="1"/>
  <c r="DI1182" i="7"/>
  <c r="AE517" i="15" s="1"/>
  <c r="AC517" i="15" s="1"/>
  <c r="I1182" i="7"/>
  <c r="O517" i="15" s="1"/>
  <c r="W517" i="15" s="1"/>
  <c r="V517" i="15" s="1"/>
  <c r="U517" i="15" s="1"/>
  <c r="I1310" i="7"/>
  <c r="O533" i="15" s="1"/>
  <c r="W533" i="15" s="1"/>
  <c r="V533" i="15" s="1"/>
  <c r="U533" i="15" s="1"/>
  <c r="DI1310" i="7"/>
  <c r="I1314" i="7"/>
  <c r="O537" i="15" s="1"/>
  <c r="W537" i="15" s="1"/>
  <c r="V537" i="15" s="1"/>
  <c r="U537" i="15" s="1"/>
  <c r="DI1314" i="7"/>
  <c r="I1313" i="7"/>
  <c r="O536" i="15" s="1"/>
  <c r="W536" i="15" s="1"/>
  <c r="V536" i="15" s="1"/>
  <c r="U536" i="15" s="1"/>
  <c r="DI1313" i="7"/>
  <c r="I1311" i="7"/>
  <c r="O534" i="15" s="1"/>
  <c r="W534" i="15" s="1"/>
  <c r="V534" i="15" s="1"/>
  <c r="U534" i="15" s="1"/>
  <c r="DI1311" i="7"/>
  <c r="I1316" i="7"/>
  <c r="O539" i="15" s="1"/>
  <c r="W539" i="15" s="1"/>
  <c r="V539" i="15" s="1"/>
  <c r="U539" i="15" s="1"/>
  <c r="DI1316" i="7"/>
  <c r="I1315" i="7"/>
  <c r="O538" i="15" s="1"/>
  <c r="W538" i="15" s="1"/>
  <c r="V538" i="15" s="1"/>
  <c r="U538" i="15" s="1"/>
  <c r="DI1315" i="7"/>
  <c r="I1312" i="7"/>
  <c r="O535" i="15" s="1"/>
  <c r="W535" i="15" s="1"/>
  <c r="V535" i="15" s="1"/>
  <c r="U535" i="15" s="1"/>
  <c r="DI1312" i="7"/>
  <c r="I1309" i="7"/>
  <c r="O532" i="15" s="1"/>
  <c r="W532" i="15" s="1"/>
  <c r="V532" i="15" s="1"/>
  <c r="U532" i="15" s="1"/>
  <c r="DG1309" i="7"/>
  <c r="AA532" i="15" s="1"/>
  <c r="DG632" i="2"/>
  <c r="DI874" i="7"/>
  <c r="AF452" i="15" s="1"/>
  <c r="AC452" i="15" s="1"/>
  <c r="B1582" i="6"/>
  <c r="C1583" i="6"/>
  <c r="I4516" i="6"/>
  <c r="Q310" i="15" s="1"/>
  <c r="C1741" i="6"/>
  <c r="K138" i="7"/>
  <c r="O379" i="15" s="1"/>
  <c r="W379" i="15" s="1"/>
  <c r="V379" i="15" s="1"/>
  <c r="U379" i="15" s="1"/>
  <c r="DI138" i="7"/>
  <c r="AE379" i="15" s="1"/>
  <c r="AC379" i="15" s="1"/>
  <c r="BI206" i="15"/>
  <c r="BN206" i="15" s="1"/>
  <c r="BD250" i="15"/>
  <c r="BI250" i="15" s="1"/>
  <c r="BG215" i="15"/>
  <c r="K553" i="7"/>
  <c r="O413" i="15" s="1"/>
  <c r="W413" i="15" s="1"/>
  <c r="V413" i="15" s="1"/>
  <c r="U413" i="15" s="1"/>
  <c r="I874" i="7"/>
  <c r="R452" i="15" s="1"/>
  <c r="O452" i="15" s="1"/>
  <c r="V452" i="15" s="1"/>
  <c r="U452" i="15" s="1"/>
  <c r="DI1183" i="7"/>
  <c r="AE518" i="15" s="1"/>
  <c r="AC518" i="15" s="1"/>
  <c r="BD267" i="15"/>
  <c r="BI267" i="15" s="1"/>
  <c r="DG783" i="2"/>
  <c r="AA719" i="15" s="1"/>
  <c r="DI20" i="2"/>
  <c r="DI23" i="2"/>
  <c r="AE583" i="15" s="1"/>
  <c r="AC583" i="15" s="1"/>
  <c r="DI26" i="2"/>
  <c r="DI12" i="2"/>
  <c r="DI16" i="2"/>
  <c r="DI657" i="2"/>
  <c r="DI656" i="2"/>
  <c r="AE707" i="15" s="1"/>
  <c r="AC707" i="15" s="1"/>
  <c r="I294" i="2"/>
  <c r="O638" i="15" s="1"/>
  <c r="V638" i="15" s="1"/>
  <c r="U638" i="15" s="1"/>
  <c r="I751" i="2"/>
  <c r="O717" i="15" s="1"/>
  <c r="U717" i="15" s="1"/>
  <c r="I221" i="2"/>
  <c r="O630" i="15" s="1"/>
  <c r="W630" i="15" s="1"/>
  <c r="V630" i="15" s="1"/>
  <c r="U630" i="15" s="1"/>
  <c r="B1550" i="6"/>
  <c r="C1789" i="6"/>
  <c r="B1788" i="6"/>
  <c r="B1558" i="6"/>
  <c r="B1756" i="6"/>
  <c r="B1602" i="6"/>
  <c r="BD204" i="15"/>
  <c r="BD248" i="15" s="1"/>
  <c r="BI248" i="15" s="1"/>
  <c r="B1834" i="6"/>
  <c r="B1804" i="6"/>
  <c r="BC250" i="15"/>
  <c r="B1820" i="6"/>
  <c r="BB176" i="15"/>
  <c r="BG176" i="15" s="1"/>
  <c r="B1772" i="6"/>
  <c r="B1740" i="6"/>
  <c r="B1686" i="6"/>
  <c r="BH196" i="15"/>
  <c r="BC200" i="15"/>
  <c r="BL200" i="15" s="1"/>
  <c r="BF195" i="15"/>
  <c r="BL210" i="15"/>
  <c r="DI590" i="7"/>
  <c r="F450" i="7"/>
  <c r="DI134" i="7"/>
  <c r="I1184" i="7"/>
  <c r="O519" i="15" s="1"/>
  <c r="W519" i="15" s="1"/>
  <c r="V519" i="15" s="1"/>
  <c r="U519" i="15" s="1"/>
  <c r="BA250" i="15"/>
  <c r="BF250" i="15" s="1"/>
  <c r="BI210" i="15"/>
  <c r="BN210" i="15" s="1"/>
  <c r="BK208" i="15"/>
  <c r="BB273" i="15"/>
  <c r="BA252" i="15"/>
  <c r="BF252" i="15" s="1"/>
  <c r="BA183" i="15"/>
  <c r="BA187" i="15" s="1"/>
  <c r="BC237" i="15"/>
  <c r="BH237" i="15" s="1"/>
  <c r="BC279" i="15"/>
  <c r="BL279" i="15" s="1"/>
  <c r="AZ9" i="15"/>
  <c r="DI7" i="16"/>
  <c r="BB255" i="15"/>
  <c r="BB289" i="15" s="1"/>
  <c r="BG289" i="15" s="1"/>
  <c r="BL206" i="15"/>
  <c r="BG233" i="15"/>
  <c r="BC252" i="15"/>
  <c r="BH252" i="15" s="1"/>
  <c r="BC176" i="15"/>
  <c r="BC179" i="15" s="1"/>
  <c r="BL208" i="15"/>
  <c r="BL138" i="15"/>
  <c r="BA176" i="15"/>
  <c r="BA179" i="15" s="1"/>
  <c r="BF207" i="15"/>
  <c r="BA257" i="15"/>
  <c r="BF257" i="15" s="1"/>
  <c r="BI223" i="15"/>
  <c r="BN223" i="15" s="1"/>
  <c r="BC236" i="15"/>
  <c r="BH236" i="15" s="1"/>
  <c r="BF272" i="15"/>
  <c r="BM272" i="15" s="1"/>
  <c r="BK211" i="15"/>
  <c r="BA255" i="15"/>
  <c r="BL223" i="15"/>
  <c r="BA275" i="15"/>
  <c r="BF275" i="15" s="1"/>
  <c r="BF205" i="15"/>
  <c r="BF228" i="15"/>
  <c r="BK205" i="15"/>
  <c r="BK272" i="15"/>
  <c r="BI235" i="15"/>
  <c r="BK227" i="15"/>
  <c r="BG138" i="15"/>
  <c r="BK207" i="15"/>
  <c r="BA256" i="15"/>
  <c r="BF256" i="15" s="1"/>
  <c r="BK228" i="15"/>
  <c r="BC133" i="15"/>
  <c r="BB174" i="15"/>
  <c r="BB177" i="15" s="1"/>
  <c r="BG177" i="15" s="1"/>
  <c r="BC185" i="15"/>
  <c r="BC189" i="15" s="1"/>
  <c r="BL207" i="15"/>
  <c r="I61" i="16"/>
  <c r="DI61" i="16"/>
  <c r="AF16" i="15" s="1"/>
  <c r="AC16" i="15" s="1"/>
  <c r="DI9" i="5"/>
  <c r="J183" i="5"/>
  <c r="O59" i="15" s="1"/>
  <c r="V59" i="15" s="1"/>
  <c r="U59" i="15" s="1"/>
  <c r="DI183" i="5"/>
  <c r="AE59" i="15" s="1"/>
  <c r="AC59" i="15" s="1"/>
  <c r="BG205" i="15"/>
  <c r="BA246" i="15"/>
  <c r="BF246" i="15" s="1"/>
  <c r="BM246" i="15" s="1"/>
  <c r="BG212" i="15"/>
  <c r="BL231" i="15"/>
  <c r="BB279" i="15"/>
  <c r="BB295" i="15" s="1"/>
  <c r="BG295" i="15" s="1"/>
  <c r="BC251" i="15"/>
  <c r="BH251" i="15" s="1"/>
  <c r="BD287" i="15"/>
  <c r="BD297" i="15" s="1"/>
  <c r="BI297" i="15" s="1"/>
  <c r="BA198" i="15"/>
  <c r="BF198" i="15" s="1"/>
  <c r="BB187" i="15"/>
  <c r="BG187" i="15" s="1"/>
  <c r="BH207" i="15"/>
  <c r="BB278" i="15"/>
  <c r="BB294" i="15" s="1"/>
  <c r="BG294" i="15" s="1"/>
  <c r="BC286" i="15"/>
  <c r="BL286" i="15" s="1"/>
  <c r="BB271" i="15"/>
  <c r="BB293" i="15" s="1"/>
  <c r="BG293" i="15" s="1"/>
  <c r="BB194" i="15"/>
  <c r="BK194" i="15" s="1"/>
  <c r="BC170" i="15"/>
  <c r="BH170" i="15" s="1"/>
  <c r="BC287" i="15"/>
  <c r="BC297" i="15" s="1"/>
  <c r="BA270" i="15"/>
  <c r="BK270" i="15" s="1"/>
  <c r="BA235" i="15"/>
  <c r="BK235" i="15" s="1"/>
  <c r="BB287" i="15"/>
  <c r="BB297" i="15" s="1"/>
  <c r="BG297" i="15" s="1"/>
  <c r="BA278" i="15"/>
  <c r="BA294" i="15" s="1"/>
  <c r="BB190" i="15"/>
  <c r="BK190" i="15" s="1"/>
  <c r="BG254" i="15"/>
  <c r="BB288" i="15"/>
  <c r="BG288" i="15" s="1"/>
  <c r="BF279" i="15"/>
  <c r="BA295" i="15"/>
  <c r="BL220" i="15"/>
  <c r="BC268" i="15"/>
  <c r="BH220" i="15"/>
  <c r="BC294" i="15"/>
  <c r="BL278" i="15"/>
  <c r="BH278" i="15"/>
  <c r="BA288" i="15"/>
  <c r="BF254" i="15"/>
  <c r="BK254" i="15"/>
  <c r="BF197" i="15"/>
  <c r="BA201" i="15"/>
  <c r="BK197" i="15"/>
  <c r="BF191" i="15"/>
  <c r="BK191" i="15"/>
  <c r="BA193" i="15"/>
  <c r="BD291" i="15"/>
  <c r="BI291" i="15" s="1"/>
  <c r="BI263" i="15"/>
  <c r="BD296" i="15"/>
  <c r="BI296" i="15" s="1"/>
  <c r="BI286" i="15"/>
  <c r="BF242" i="15"/>
  <c r="BM242" i="15" s="1"/>
  <c r="BA243" i="15"/>
  <c r="BK242" i="15"/>
  <c r="BA290" i="15"/>
  <c r="BF262" i="15"/>
  <c r="BC293" i="15"/>
  <c r="BL271" i="15"/>
  <c r="BH271" i="15"/>
  <c r="BC292" i="15"/>
  <c r="BH270" i="15"/>
  <c r="BC247" i="15"/>
  <c r="BH246" i="15"/>
  <c r="BL246" i="15"/>
  <c r="BD295" i="15"/>
  <c r="BI295" i="15" s="1"/>
  <c r="BI279" i="15"/>
  <c r="BC254" i="15"/>
  <c r="BF238" i="15"/>
  <c r="BF237" i="15"/>
  <c r="BK218" i="15"/>
  <c r="BA266" i="15"/>
  <c r="BF218" i="15"/>
  <c r="BC175" i="15"/>
  <c r="BC195" i="15"/>
  <c r="BC242" i="15"/>
  <c r="BB267" i="15"/>
  <c r="BG267" i="15" s="1"/>
  <c r="BG219" i="15"/>
  <c r="BF158" i="15"/>
  <c r="BD182" i="15"/>
  <c r="BB180" i="15"/>
  <c r="BG180" i="15" s="1"/>
  <c r="BB202" i="15"/>
  <c r="BG202" i="15" s="1"/>
  <c r="BA267" i="15"/>
  <c r="BF219" i="15"/>
  <c r="BK219" i="15"/>
  <c r="BK244" i="15"/>
  <c r="BA245" i="15"/>
  <c r="BF244" i="15"/>
  <c r="BD275" i="15"/>
  <c r="BI275" i="15" s="1"/>
  <c r="BI227" i="15"/>
  <c r="BK185" i="15"/>
  <c r="BF185" i="15"/>
  <c r="BM185" i="15" s="1"/>
  <c r="BA189" i="15"/>
  <c r="BD230" i="15"/>
  <c r="BC183" i="15"/>
  <c r="BC227" i="15"/>
  <c r="BA196" i="15"/>
  <c r="BD180" i="15"/>
  <c r="BI180" i="15" s="1"/>
  <c r="BD202" i="15"/>
  <c r="BI202" i="15" s="1"/>
  <c r="BI255" i="15"/>
  <c r="BD289" i="15"/>
  <c r="BI289" i="15" s="1"/>
  <c r="BI232" i="15"/>
  <c r="BD282" i="15"/>
  <c r="BI282" i="15" s="1"/>
  <c r="BL214" i="15"/>
  <c r="BC260" i="15"/>
  <c r="BH214" i="15"/>
  <c r="BN214" i="15" s="1"/>
  <c r="BK234" i="15"/>
  <c r="BA284" i="15"/>
  <c r="BF234" i="15"/>
  <c r="BD243" i="15"/>
  <c r="BI243" i="15" s="1"/>
  <c r="BI242" i="15"/>
  <c r="BD283" i="15"/>
  <c r="BI283" i="15" s="1"/>
  <c r="BI233" i="15"/>
  <c r="BK130" i="15"/>
  <c r="BF130" i="15"/>
  <c r="BM130" i="15" s="1"/>
  <c r="BB204" i="15"/>
  <c r="BK204" i="15" s="1"/>
  <c r="BD170" i="15"/>
  <c r="BA181" i="15"/>
  <c r="BA203" i="15"/>
  <c r="BB161" i="15"/>
  <c r="BC174" i="15"/>
  <c r="BB168" i="15"/>
  <c r="BA169" i="15"/>
  <c r="BC262" i="15"/>
  <c r="BD237" i="15"/>
  <c r="BI237" i="15" s="1"/>
  <c r="BI231" i="15"/>
  <c r="BN231" i="15" s="1"/>
  <c r="BF276" i="15"/>
  <c r="BF131" i="15"/>
  <c r="BM131" i="15" s="1"/>
  <c r="BK131" i="15"/>
  <c r="BD268" i="15"/>
  <c r="BI268" i="15" s="1"/>
  <c r="BI220" i="15"/>
  <c r="BC245" i="15"/>
  <c r="BH244" i="15"/>
  <c r="BL244" i="15"/>
  <c r="BG197" i="15"/>
  <c r="BB201" i="15"/>
  <c r="BG201" i="15" s="1"/>
  <c r="BH249" i="15"/>
  <c r="BD174" i="15"/>
  <c r="BA229" i="15"/>
  <c r="BA263" i="15"/>
  <c r="BC277" i="15"/>
  <c r="BH229" i="15"/>
  <c r="BL229" i="15"/>
  <c r="BG195" i="15"/>
  <c r="BB199" i="15"/>
  <c r="BG199" i="15" s="1"/>
  <c r="BI197" i="15"/>
  <c r="BD201" i="15"/>
  <c r="BI201" i="15" s="1"/>
  <c r="BA225" i="15"/>
  <c r="BK223" i="15"/>
  <c r="BF223" i="15"/>
  <c r="BG191" i="15"/>
  <c r="BB193" i="15"/>
  <c r="BG193" i="15" s="1"/>
  <c r="BL217" i="15"/>
  <c r="BC265" i="15"/>
  <c r="BH217" i="15"/>
  <c r="BG234" i="15"/>
  <c r="BB284" i="15"/>
  <c r="BG284" i="15" s="1"/>
  <c r="BK226" i="15"/>
  <c r="BF226" i="15"/>
  <c r="BA274" i="15"/>
  <c r="BD245" i="15"/>
  <c r="BI245" i="15" s="1"/>
  <c r="BI244" i="15"/>
  <c r="BD276" i="15"/>
  <c r="BI276" i="15" s="1"/>
  <c r="BI228" i="15"/>
  <c r="BB206" i="15"/>
  <c r="BK138" i="15"/>
  <c r="BF138" i="15"/>
  <c r="BA133" i="15"/>
  <c r="BC168" i="15"/>
  <c r="BK212" i="15"/>
  <c r="BA258" i="15"/>
  <c r="BF212" i="15"/>
  <c r="BB286" i="15"/>
  <c r="BK286" i="15" s="1"/>
  <c r="BI208" i="15"/>
  <c r="BN208" i="15" s="1"/>
  <c r="BD252" i="15"/>
  <c r="BI252" i="15" s="1"/>
  <c r="BH131" i="15"/>
  <c r="BN131" i="15" s="1"/>
  <c r="BL131" i="15"/>
  <c r="BC212" i="15"/>
  <c r="BA202" i="15"/>
  <c r="BA180" i="15"/>
  <c r="BC197" i="15"/>
  <c r="BG209" i="15"/>
  <c r="BB253" i="15"/>
  <c r="BG253" i="15" s="1"/>
  <c r="BF273" i="15"/>
  <c r="BF241" i="15"/>
  <c r="BI226" i="15"/>
  <c r="BD274" i="15"/>
  <c r="BI274" i="15" s="1"/>
  <c r="BB154" i="15"/>
  <c r="BG154" i="15" s="1"/>
  <c r="BG150" i="15"/>
  <c r="BB230" i="15"/>
  <c r="BB170" i="15"/>
  <c r="BK233" i="15"/>
  <c r="BA283" i="15"/>
  <c r="BF233" i="15"/>
  <c r="BK280" i="15"/>
  <c r="BA281" i="15"/>
  <c r="BF280" i="15"/>
  <c r="BD266" i="15"/>
  <c r="BI266" i="15" s="1"/>
  <c r="BI218" i="15"/>
  <c r="BH240" i="15"/>
  <c r="BN240" i="15" s="1"/>
  <c r="BL240" i="15"/>
  <c r="BA260" i="15"/>
  <c r="BF214" i="15"/>
  <c r="BK214" i="15"/>
  <c r="BC165" i="15"/>
  <c r="BC166" i="15" s="1"/>
  <c r="BC167" i="15" s="1"/>
  <c r="BB245" i="15"/>
  <c r="BG245" i="15" s="1"/>
  <c r="BG244" i="15"/>
  <c r="BD254" i="15"/>
  <c r="BD190" i="15"/>
  <c r="BF199" i="15"/>
  <c r="BC191" i="15"/>
  <c r="BA271" i="15"/>
  <c r="BB262" i="15"/>
  <c r="BK262" i="15" s="1"/>
  <c r="BB263" i="15"/>
  <c r="BM182" i="15"/>
  <c r="BC186" i="15"/>
  <c r="BH182" i="15"/>
  <c r="BK195" i="15"/>
  <c r="BH238" i="15"/>
  <c r="BI205" i="15"/>
  <c r="BN205" i="15" s="1"/>
  <c r="BD249" i="15"/>
  <c r="BI249" i="15" s="1"/>
  <c r="BH188" i="15"/>
  <c r="BN188" i="15" s="1"/>
  <c r="BL188" i="15"/>
  <c r="BB268" i="15"/>
  <c r="BG268" i="15" s="1"/>
  <c r="BG220" i="15"/>
  <c r="BH209" i="15"/>
  <c r="BL209" i="15"/>
  <c r="BC253" i="15"/>
  <c r="BB237" i="15"/>
  <c r="BG237" i="15" s="1"/>
  <c r="BG231" i="15"/>
  <c r="BC234" i="15"/>
  <c r="BL221" i="15"/>
  <c r="BH221" i="15"/>
  <c r="BC269" i="15"/>
  <c r="BF157" i="15"/>
  <c r="BD199" i="15"/>
  <c r="BI199" i="15" s="1"/>
  <c r="BI195" i="15"/>
  <c r="BK215" i="15"/>
  <c r="BF215" i="15"/>
  <c r="BA261" i="15"/>
  <c r="BA287" i="15"/>
  <c r="BD168" i="15"/>
  <c r="BA168" i="15"/>
  <c r="BD253" i="15"/>
  <c r="BI253" i="15" s="1"/>
  <c r="BI209" i="15"/>
  <c r="BF249" i="15"/>
  <c r="BM249" i="15" s="1"/>
  <c r="BK249" i="15"/>
  <c r="BH241" i="15"/>
  <c r="BC233" i="15"/>
  <c r="BA232" i="15"/>
  <c r="BD251" i="15"/>
  <c r="BI251" i="15" s="1"/>
  <c r="BI207" i="15"/>
  <c r="BC211" i="15"/>
  <c r="BC169" i="15"/>
  <c r="BD294" i="15"/>
  <c r="BI294" i="15" s="1"/>
  <c r="BI278" i="15"/>
  <c r="BC204" i="15"/>
  <c r="BB269" i="15"/>
  <c r="BG269" i="15" s="1"/>
  <c r="BG221" i="15"/>
  <c r="BH134" i="15"/>
  <c r="BN134" i="15" s="1"/>
  <c r="BL134" i="15"/>
  <c r="BF136" i="15"/>
  <c r="BM136" i="15" s="1"/>
  <c r="BK136" i="15"/>
  <c r="BA174" i="15"/>
  <c r="BD284" i="15"/>
  <c r="BI284" i="15" s="1"/>
  <c r="BI234" i="15"/>
  <c r="BF134" i="15"/>
  <c r="BM134" i="15" s="1"/>
  <c r="BK134" i="15"/>
  <c r="BC228" i="15"/>
  <c r="BC216" i="15"/>
  <c r="BD224" i="15"/>
  <c r="BI224" i="15" s="1"/>
  <c r="BI222" i="15"/>
  <c r="BC181" i="15"/>
  <c r="BC203" i="15"/>
  <c r="BB238" i="15"/>
  <c r="BG238" i="15" s="1"/>
  <c r="BD238" i="15"/>
  <c r="BI238" i="15" s="1"/>
  <c r="BL222" i="15"/>
  <c r="BC224" i="15"/>
  <c r="BH222" i="15"/>
  <c r="BB181" i="15"/>
  <c r="BG181" i="15" s="1"/>
  <c r="BB203" i="15"/>
  <c r="BG203" i="15" s="1"/>
  <c r="BB275" i="15"/>
  <c r="BG275" i="15" s="1"/>
  <c r="BG227" i="15"/>
  <c r="BM227" i="15" s="1"/>
  <c r="BD154" i="15"/>
  <c r="BI154" i="15" s="1"/>
  <c r="BI150" i="15"/>
  <c r="BB132" i="15"/>
  <c r="BG132" i="15" s="1"/>
  <c r="BG133" i="15"/>
  <c r="BA253" i="15"/>
  <c r="BK209" i="15"/>
  <c r="BF209" i="15"/>
  <c r="BH198" i="15"/>
  <c r="BB159" i="15"/>
  <c r="BG175" i="15"/>
  <c r="BB178" i="15"/>
  <c r="BG178" i="15" s="1"/>
  <c r="BG210" i="15"/>
  <c r="BM210" i="15" s="1"/>
  <c r="BB256" i="15"/>
  <c r="BG256" i="15" s="1"/>
  <c r="BF213" i="15"/>
  <c r="BM213" i="15" s="1"/>
  <c r="BK213" i="15"/>
  <c r="BA259" i="15"/>
  <c r="BA239" i="15"/>
  <c r="BC239" i="15"/>
  <c r="BD133" i="15"/>
  <c r="BI138" i="15"/>
  <c r="BN138" i="15" s="1"/>
  <c r="BL255" i="15"/>
  <c r="BC289" i="15"/>
  <c r="BH255" i="15"/>
  <c r="BD293" i="15"/>
  <c r="BI293" i="15" s="1"/>
  <c r="BI271" i="15"/>
  <c r="BL226" i="15"/>
  <c r="BC274" i="15"/>
  <c r="BH226" i="15"/>
  <c r="BL219" i="15"/>
  <c r="BH219" i="15"/>
  <c r="BN219" i="15" s="1"/>
  <c r="BC267" i="15"/>
  <c r="BB251" i="15"/>
  <c r="BG251" i="15" s="1"/>
  <c r="BG207" i="15"/>
  <c r="BD277" i="15"/>
  <c r="BI277" i="15" s="1"/>
  <c r="BI229" i="15"/>
  <c r="BD241" i="15"/>
  <c r="BI241" i="15" s="1"/>
  <c r="BB241" i="15"/>
  <c r="BG241" i="15" s="1"/>
  <c r="BK210" i="15"/>
  <c r="BC235" i="15"/>
  <c r="BH218" i="15"/>
  <c r="BL218" i="15"/>
  <c r="BC266" i="15"/>
  <c r="BB266" i="15"/>
  <c r="BG266" i="15" s="1"/>
  <c r="BG218" i="15"/>
  <c r="BH130" i="15"/>
  <c r="BN130" i="15" s="1"/>
  <c r="BL130" i="15"/>
  <c r="BB292" i="15"/>
  <c r="BG292" i="15" s="1"/>
  <c r="BG270" i="15"/>
  <c r="BD262" i="15"/>
  <c r="BH215" i="15"/>
  <c r="BC261" i="15"/>
  <c r="BL215" i="15"/>
  <c r="BF286" i="15"/>
  <c r="BA296" i="15"/>
  <c r="BH192" i="15"/>
  <c r="BD264" i="15"/>
  <c r="BI264" i="15" s="1"/>
  <c r="BI216" i="15"/>
  <c r="BF251" i="15"/>
  <c r="BD176" i="15"/>
  <c r="BB282" i="15"/>
  <c r="BG282" i="15" s="1"/>
  <c r="BG232" i="15"/>
  <c r="BF230" i="15"/>
  <c r="BA236" i="15"/>
  <c r="BA220" i="15"/>
  <c r="BB264" i="15"/>
  <c r="BG264" i="15" s="1"/>
  <c r="BG216" i="15"/>
  <c r="BC263" i="15"/>
  <c r="BC202" i="15"/>
  <c r="BC180" i="15"/>
  <c r="BA265" i="15"/>
  <c r="BF217" i="15"/>
  <c r="BK217" i="15"/>
  <c r="BH136" i="15"/>
  <c r="BN136" i="15" s="1"/>
  <c r="BL136" i="15"/>
  <c r="BA248" i="15"/>
  <c r="BF204" i="15"/>
  <c r="BK240" i="15"/>
  <c r="BF240" i="15"/>
  <c r="BM240" i="15" s="1"/>
  <c r="BC272" i="15"/>
  <c r="BD194" i="15"/>
  <c r="BA170" i="15"/>
  <c r="BA221" i="15"/>
  <c r="BD270" i="15"/>
  <c r="BL270" i="15" s="1"/>
  <c r="BC232" i="15"/>
  <c r="BA175" i="15"/>
  <c r="BB252" i="15"/>
  <c r="BG252" i="15" s="1"/>
  <c r="BG208" i="15"/>
  <c r="BM208" i="15" s="1"/>
  <c r="BB274" i="15"/>
  <c r="BG274" i="15" s="1"/>
  <c r="BG226" i="15"/>
  <c r="BB257" i="15"/>
  <c r="BG257" i="15" s="1"/>
  <c r="BG211" i="15"/>
  <c r="BM211" i="15" s="1"/>
  <c r="BD193" i="15"/>
  <c r="BI193" i="15" s="1"/>
  <c r="BI191" i="15"/>
  <c r="BI183" i="15"/>
  <c r="BD187" i="15"/>
  <c r="BI187" i="15" s="1"/>
  <c r="BG228" i="15"/>
  <c r="BB276" i="15"/>
  <c r="BG276" i="15" s="1"/>
  <c r="BF264" i="15"/>
  <c r="BA165" i="15"/>
  <c r="BG163" i="15"/>
  <c r="BM163" i="15" s="1"/>
  <c r="BB164" i="15"/>
  <c r="BG164" i="15" s="1"/>
  <c r="BH163" i="15"/>
  <c r="BC164" i="15"/>
  <c r="BK163" i="15"/>
  <c r="DG288" i="16"/>
  <c r="AA35" i="15" s="1"/>
  <c r="BA116" i="15"/>
  <c r="BA114" i="15"/>
  <c r="BF124" i="15"/>
  <c r="BM124" i="15" s="1"/>
  <c r="BK124" i="15"/>
  <c r="BA120" i="15"/>
  <c r="BH116" i="15"/>
  <c r="BN116" i="15" s="1"/>
  <c r="BL116" i="15"/>
  <c r="BF125" i="15"/>
  <c r="BM125" i="15" s="1"/>
  <c r="BK125" i="15"/>
  <c r="BA122" i="15"/>
  <c r="BH114" i="15"/>
  <c r="BN114" i="15" s="1"/>
  <c r="BL114" i="15"/>
  <c r="BF108" i="15"/>
  <c r="BM108" i="15" s="1"/>
  <c r="BK108" i="15"/>
  <c r="BF126" i="15"/>
  <c r="BM126" i="15" s="1"/>
  <c r="BK126" i="15"/>
  <c r="BF110" i="15"/>
  <c r="BM110" i="15" s="1"/>
  <c r="BK110" i="15"/>
  <c r="BF128" i="15"/>
  <c r="BM128" i="15" s="1"/>
  <c r="BK128" i="15"/>
  <c r="BH126" i="15"/>
  <c r="BN126" i="15" s="1"/>
  <c r="BL126" i="15"/>
  <c r="BF118" i="15"/>
  <c r="BM118" i="15" s="1"/>
  <c r="BK118" i="15"/>
  <c r="BF112" i="15"/>
  <c r="BM112" i="15" s="1"/>
  <c r="BK112" i="15"/>
  <c r="BH128" i="15"/>
  <c r="BN128" i="15" s="1"/>
  <c r="BL128" i="15"/>
  <c r="BF119" i="15"/>
  <c r="BM119" i="15" s="1"/>
  <c r="BK119" i="15"/>
  <c r="BF113" i="15"/>
  <c r="BM113" i="15" s="1"/>
  <c r="BK113" i="15"/>
  <c r="DI65" i="7"/>
  <c r="DI143" i="7"/>
  <c r="DI272" i="5"/>
  <c r="DI32" i="2"/>
  <c r="DI8" i="5"/>
  <c r="DI64" i="7"/>
  <c r="AE364" i="15" s="1"/>
  <c r="AC364" i="15" s="1"/>
  <c r="DG80" i="2"/>
  <c r="AA595" i="15" s="1"/>
  <c r="DI713" i="7"/>
  <c r="AE433" i="15" s="1"/>
  <c r="AC433" i="15" s="1"/>
  <c r="J713" i="7"/>
  <c r="O433" i="15" s="1"/>
  <c r="V433" i="15" s="1"/>
  <c r="U433" i="15" s="1"/>
  <c r="DI15" i="7"/>
  <c r="DI179" i="16"/>
  <c r="AE24" i="15" s="1"/>
  <c r="AC24" i="15" s="1"/>
  <c r="DI147" i="7"/>
  <c r="K554" i="7"/>
  <c r="O414" i="15" s="1"/>
  <c r="W414" i="15" s="1"/>
  <c r="V414" i="15" s="1"/>
  <c r="U414" i="15" s="1"/>
  <c r="DI959" i="7"/>
  <c r="AE464" i="15" s="1"/>
  <c r="AC464" i="15" s="1"/>
  <c r="DI554" i="7"/>
  <c r="AE414" i="15" s="1"/>
  <c r="AC414" i="15" s="1"/>
  <c r="AE141" i="15"/>
  <c r="AC141" i="15" s="1"/>
  <c r="DI21" i="7"/>
  <c r="AE358" i="15" s="1"/>
  <c r="AC358" i="15" s="1"/>
  <c r="K10" i="5"/>
  <c r="O45" i="15" s="1"/>
  <c r="U45" i="15" s="1"/>
  <c r="DI320" i="2"/>
  <c r="AE644" i="15" s="1"/>
  <c r="AC644" i="15" s="1"/>
  <c r="DI319" i="2"/>
  <c r="AE643" i="15" s="1"/>
  <c r="AC643" i="15" s="1"/>
  <c r="DI221" i="2"/>
  <c r="AE630" i="15" s="1"/>
  <c r="AC630" i="15" s="1"/>
  <c r="DI296" i="2"/>
  <c r="I320" i="2"/>
  <c r="O644" i="15" s="1"/>
  <c r="V644" i="15" s="1"/>
  <c r="U644" i="15" s="1"/>
  <c r="DI751" i="2"/>
  <c r="DI297" i="2"/>
  <c r="I297" i="2"/>
  <c r="O641" i="15" s="1"/>
  <c r="V641" i="15" s="1"/>
  <c r="U641" i="15" s="1"/>
  <c r="DG109" i="6"/>
  <c r="AA98" i="15" s="1"/>
  <c r="DI965" i="7"/>
  <c r="AE470" i="15" s="1"/>
  <c r="AC470" i="15" s="1"/>
  <c r="DG1036" i="7"/>
  <c r="AA476" i="15" s="1"/>
  <c r="DI962" i="7"/>
  <c r="AE467" i="15" s="1"/>
  <c r="AC467" i="15" s="1"/>
  <c r="DI958" i="7"/>
  <c r="AE463" i="15" s="1"/>
  <c r="AC463" i="15" s="1"/>
  <c r="DI19" i="2"/>
  <c r="AE579" i="15" s="1"/>
  <c r="AC579" i="15" s="1"/>
  <c r="DI220" i="2"/>
  <c r="AE629" i="15" s="1"/>
  <c r="AC629" i="15" s="1"/>
  <c r="I319" i="2"/>
  <c r="O643" i="15" s="1"/>
  <c r="V643" i="15" s="1"/>
  <c r="U643" i="15" s="1"/>
  <c r="I220" i="2"/>
  <c r="O629" i="15" s="1"/>
  <c r="W629" i="15" s="1"/>
  <c r="V629" i="15" s="1"/>
  <c r="U629" i="15" s="1"/>
  <c r="DG155" i="2"/>
  <c r="AA608" i="15" s="1"/>
  <c r="DG354" i="2"/>
  <c r="AA648" i="15" s="1"/>
  <c r="DG427" i="2"/>
  <c r="AA659" i="15" s="1"/>
  <c r="AH298" i="15"/>
  <c r="DI484" i="7"/>
  <c r="AE404" i="15" s="1"/>
  <c r="AC404" i="15" s="1"/>
  <c r="K484" i="7"/>
  <c r="O404" i="15" s="1"/>
  <c r="U404" i="15" s="1"/>
  <c r="DI145" i="7"/>
  <c r="DI18" i="7"/>
  <c r="AE355" i="15" s="1"/>
  <c r="AC355" i="15" s="1"/>
  <c r="DI838" i="7"/>
  <c r="DI17" i="7"/>
  <c r="I888" i="6"/>
  <c r="I915" i="6" s="1"/>
  <c r="AF314" i="15"/>
  <c r="I1226" i="6"/>
  <c r="I4504" i="6"/>
  <c r="Q307" i="15" s="1"/>
  <c r="AG139" i="15"/>
  <c r="AD139" i="15" s="1"/>
  <c r="AE139" i="15"/>
  <c r="AC139" i="15" s="1"/>
  <c r="AF308" i="15"/>
  <c r="I899" i="6"/>
  <c r="I926" i="6" s="1"/>
  <c r="I4528" i="6"/>
  <c r="Q315" i="15" s="1"/>
  <c r="I4527" i="6"/>
  <c r="T314" i="15" s="1"/>
  <c r="I927" i="6"/>
  <c r="I924" i="6"/>
  <c r="I920" i="6"/>
  <c r="I929" i="6"/>
  <c r="I911" i="6"/>
  <c r="I930" i="6"/>
  <c r="I932" i="6"/>
  <c r="I919" i="6"/>
  <c r="I917" i="6"/>
  <c r="I928" i="6"/>
  <c r="I923" i="6"/>
  <c r="I910" i="6"/>
  <c r="I925" i="6"/>
  <c r="I922" i="6"/>
  <c r="I931" i="6"/>
  <c r="I934" i="6"/>
  <c r="I914" i="6"/>
  <c r="I912" i="6"/>
  <c r="I916" i="6"/>
  <c r="I909" i="6"/>
  <c r="I908" i="6"/>
  <c r="I918" i="6"/>
  <c r="I933" i="6"/>
  <c r="I921" i="6"/>
  <c r="I913" i="6"/>
  <c r="AF143" i="15"/>
  <c r="AE137" i="15"/>
  <c r="AC137" i="15" s="1"/>
  <c r="M8" i="6"/>
  <c r="P78" i="15" s="1"/>
  <c r="I1181" i="7"/>
  <c r="O516" i="15" s="1"/>
  <c r="W516" i="15" s="1"/>
  <c r="V516" i="15" s="1"/>
  <c r="U516" i="15" s="1"/>
  <c r="K136" i="7"/>
  <c r="O377" i="15" s="1"/>
  <c r="W377" i="15" s="1"/>
  <c r="V377" i="15" s="1"/>
  <c r="U377" i="15" s="1"/>
  <c r="DI964" i="7"/>
  <c r="AE469" i="15" s="1"/>
  <c r="AC469" i="15" s="1"/>
  <c r="DI136" i="7"/>
  <c r="I888" i="7"/>
  <c r="R459" i="15" s="1"/>
  <c r="O459" i="15" s="1"/>
  <c r="V459" i="15" s="1"/>
  <c r="U459" i="15" s="1"/>
  <c r="K64" i="7"/>
  <c r="O364" i="15" s="1"/>
  <c r="W364" i="15" s="1"/>
  <c r="V364" i="15" s="1"/>
  <c r="U364" i="15" s="1"/>
  <c r="DI485" i="7"/>
  <c r="AE405" i="15" s="1"/>
  <c r="AC405" i="15" s="1"/>
  <c r="M10" i="6"/>
  <c r="P79" i="15" s="1"/>
  <c r="AF306" i="15"/>
  <c r="DG84" i="5"/>
  <c r="AA52" i="15" s="1"/>
  <c r="I1043" i="7"/>
  <c r="O483" i="15" s="1"/>
  <c r="V483" i="15" s="1"/>
  <c r="U483" i="15" s="1"/>
  <c r="DI219" i="2"/>
  <c r="I219" i="2"/>
  <c r="O628" i="15" s="1"/>
  <c r="W628" i="15" s="1"/>
  <c r="V628" i="15" s="1"/>
  <c r="U628" i="15" s="1"/>
  <c r="DG474" i="2"/>
  <c r="AA668" i="15" s="1"/>
  <c r="I295" i="2"/>
  <c r="O639" i="15" s="1"/>
  <c r="V639" i="15" s="1"/>
  <c r="U639" i="15" s="1"/>
  <c r="DI294" i="2"/>
  <c r="DI295" i="2"/>
  <c r="AE639" i="15" s="1"/>
  <c r="AC639" i="15" s="1"/>
  <c r="I218" i="2"/>
  <c r="O627" i="15" s="1"/>
  <c r="W627" i="15" s="1"/>
  <c r="V627" i="15" s="1"/>
  <c r="U627" i="15" s="1"/>
  <c r="DI218" i="2"/>
  <c r="AE627" i="15" s="1"/>
  <c r="AC627" i="15" s="1"/>
  <c r="I222" i="2"/>
  <c r="O631" i="15" s="1"/>
  <c r="W631" i="15" s="1"/>
  <c r="V631" i="15" s="1"/>
  <c r="U631" i="15" s="1"/>
  <c r="DI222" i="2"/>
  <c r="AE631" i="15" s="1"/>
  <c r="AC631" i="15" s="1"/>
  <c r="DG156" i="2"/>
  <c r="AA609" i="15" s="1"/>
  <c r="DG408" i="2"/>
  <c r="AA657" i="15" s="1"/>
  <c r="DG734" i="2"/>
  <c r="AA716" i="15" s="1"/>
  <c r="DG158" i="2"/>
  <c r="AA611" i="15" s="1"/>
  <c r="DG1143" i="7"/>
  <c r="AA498" i="15" s="1"/>
  <c r="K144" i="7"/>
  <c r="O385" i="15" s="1"/>
  <c r="W385" i="15" s="1"/>
  <c r="V385" i="15" s="1"/>
  <c r="U385" i="15" s="1"/>
  <c r="DI20" i="7"/>
  <c r="DI1042" i="7"/>
  <c r="AE482" i="15" s="1"/>
  <c r="AC482" i="15" s="1"/>
  <c r="DI137" i="7"/>
  <c r="DI139" i="7"/>
  <c r="AE380" i="15" s="1"/>
  <c r="AC380" i="15" s="1"/>
  <c r="DG1035" i="7"/>
  <c r="AA475" i="15" s="1"/>
  <c r="DI155" i="7"/>
  <c r="AE396" i="15" s="1"/>
  <c r="AC396" i="15" s="1"/>
  <c r="K485" i="7"/>
  <c r="O405" i="15" s="1"/>
  <c r="U405" i="15" s="1"/>
  <c r="DI957" i="7"/>
  <c r="AE462" i="15" s="1"/>
  <c r="AC462" i="15" s="1"/>
  <c r="DI967" i="7"/>
  <c r="AE472" i="15" s="1"/>
  <c r="AC472" i="15" s="1"/>
  <c r="DI839" i="7"/>
  <c r="DI886" i="7"/>
  <c r="AF458" i="15" s="1"/>
  <c r="AC458" i="15" s="1"/>
  <c r="DI270" i="5"/>
  <c r="AE64" i="15" s="1"/>
  <c r="AC64" i="15" s="1"/>
  <c r="DG134" i="5"/>
  <c r="AA56" i="15" s="1"/>
  <c r="J184" i="5"/>
  <c r="O60" i="15" s="1"/>
  <c r="V60" i="15" s="1"/>
  <c r="U60" i="15" s="1"/>
  <c r="DG85" i="5"/>
  <c r="AA53" i="15" s="1"/>
  <c r="DI306" i="5"/>
  <c r="AE73" i="15" s="1"/>
  <c r="AC73" i="15" s="1"/>
  <c r="K9" i="5"/>
  <c r="O44" i="15" s="1"/>
  <c r="U44" i="15" s="1"/>
  <c r="I270" i="5"/>
  <c r="O64" i="15" s="1"/>
  <c r="V64" i="15" s="1"/>
  <c r="U64" i="15" s="1"/>
  <c r="DG275" i="5"/>
  <c r="AA69" i="15" s="1"/>
  <c r="DG287" i="16"/>
  <c r="AA34" i="15" s="1"/>
  <c r="M7" i="16"/>
  <c r="O9" i="15" s="1"/>
  <c r="V9" i="15" s="1"/>
  <c r="U9" i="15" s="1"/>
  <c r="DG157" i="2"/>
  <c r="AA610" i="15" s="1"/>
  <c r="DI14" i="2"/>
  <c r="DG733" i="2"/>
  <c r="AA715" i="15" s="1"/>
  <c r="I321" i="2"/>
  <c r="O645" i="15" s="1"/>
  <c r="V645" i="15" s="1"/>
  <c r="U645" i="15" s="1"/>
  <c r="I296" i="2"/>
  <c r="O640" i="15" s="1"/>
  <c r="V640" i="15" s="1"/>
  <c r="U640" i="15" s="1"/>
  <c r="DG355" i="2"/>
  <c r="AA649" i="15" s="1"/>
  <c r="DG404" i="2"/>
  <c r="AA653" i="15" s="1"/>
  <c r="DI9" i="2"/>
  <c r="I656" i="2"/>
  <c r="O707" i="15" s="1"/>
  <c r="V707" i="15" s="1"/>
  <c r="U707" i="15" s="1"/>
  <c r="DG405" i="2"/>
  <c r="AA654" i="15" s="1"/>
  <c r="AF166" i="15"/>
  <c r="I1384" i="6"/>
  <c r="R166" i="15" s="1"/>
  <c r="O9" i="6"/>
  <c r="DJ9" i="6" s="1"/>
  <c r="DI7" i="5"/>
  <c r="DI271" i="5"/>
  <c r="AE65" i="15" s="1"/>
  <c r="AC65" i="15" s="1"/>
  <c r="DG86" i="5"/>
  <c r="AA54" i="15" s="1"/>
  <c r="DG273" i="5"/>
  <c r="AA67" i="15" s="1"/>
  <c r="I271" i="5"/>
  <c r="O65" i="15" s="1"/>
  <c r="V65" i="15" s="1"/>
  <c r="U65" i="15" s="1"/>
  <c r="DI180" i="16"/>
  <c r="AE25" i="15" s="1"/>
  <c r="AC25" i="15" s="1"/>
  <c r="DG168" i="2"/>
  <c r="AA621" i="15" s="1"/>
  <c r="DG356" i="2"/>
  <c r="AA650" i="15" s="1"/>
  <c r="DI61" i="7"/>
  <c r="AE361" i="15" s="1"/>
  <c r="AC361" i="15" s="1"/>
  <c r="DG164" i="2"/>
  <c r="AA617" i="15" s="1"/>
  <c r="DG407" i="2"/>
  <c r="AA656" i="15" s="1"/>
  <c r="DG264" i="2"/>
  <c r="AA636" i="15" s="1"/>
  <c r="DG153" i="2"/>
  <c r="AA606" i="15" s="1"/>
  <c r="DG587" i="2"/>
  <c r="AA694" i="15" s="1"/>
  <c r="DG426" i="2"/>
  <c r="AA658" i="15" s="1"/>
  <c r="I29" i="2"/>
  <c r="O589" i="15" s="1"/>
  <c r="V589" i="15" s="1"/>
  <c r="U589" i="15" s="1"/>
  <c r="DI753" i="7"/>
  <c r="AE437" i="15" s="1"/>
  <c r="AC437" i="15" s="1"/>
  <c r="DI152" i="7"/>
  <c r="AE393" i="15" s="1"/>
  <c r="AC393" i="15" s="1"/>
  <c r="I21" i="7"/>
  <c r="Q358" i="15" s="1"/>
  <c r="O358" i="15" s="1"/>
  <c r="U358" i="15" s="1"/>
  <c r="DG583" i="2"/>
  <c r="AA690" i="15" s="1"/>
  <c r="DG406" i="2"/>
  <c r="AA655" i="15" s="1"/>
  <c r="DG563" i="2"/>
  <c r="DG559" i="2"/>
  <c r="DG160" i="2"/>
  <c r="AA613" i="15" s="1"/>
  <c r="DG159" i="2"/>
  <c r="AA612" i="15" s="1"/>
  <c r="DG538" i="2"/>
  <c r="AA681" i="15" s="1"/>
  <c r="DI63" i="7"/>
  <c r="DG519" i="2"/>
  <c r="AA678" i="15" s="1"/>
  <c r="I657" i="2"/>
  <c r="O708" i="15" s="1"/>
  <c r="V708" i="15" s="1"/>
  <c r="U708" i="15" s="1"/>
  <c r="DI29" i="2"/>
  <c r="AE589" i="15" s="1"/>
  <c r="AC589" i="15" s="1"/>
  <c r="DG374" i="2"/>
  <c r="DI1184" i="7"/>
  <c r="DG357" i="2"/>
  <c r="AA651" i="15" s="1"/>
  <c r="D543" i="7"/>
  <c r="D578" i="7" s="1"/>
  <c r="D630" i="7" s="1"/>
  <c r="DI150" i="7"/>
  <c r="AE391" i="15" s="1"/>
  <c r="AC391" i="15" s="1"/>
  <c r="DI837" i="7"/>
  <c r="DI550" i="7"/>
  <c r="AE410" i="15" s="1"/>
  <c r="AC410" i="15" s="1"/>
  <c r="I12" i="7"/>
  <c r="Q349" i="15" s="1"/>
  <c r="O349" i="15" s="1"/>
  <c r="U349" i="15" s="1"/>
  <c r="I886" i="7"/>
  <c r="R458" i="15" s="1"/>
  <c r="O458" i="15" s="1"/>
  <c r="V458" i="15" s="1"/>
  <c r="U458" i="15" s="1"/>
  <c r="DI12" i="7"/>
  <c r="AE349" i="15" s="1"/>
  <c r="AC349" i="15" s="1"/>
  <c r="K62" i="7"/>
  <c r="O362" i="15" s="1"/>
  <c r="W362" i="15" s="1"/>
  <c r="V362" i="15" s="1"/>
  <c r="U362" i="15" s="1"/>
  <c r="DI59" i="7"/>
  <c r="AE359" i="15" s="1"/>
  <c r="AC359" i="15" s="1"/>
  <c r="DI62" i="7"/>
  <c r="AE362" i="15" s="1"/>
  <c r="AC362" i="15" s="1"/>
  <c r="K59" i="7"/>
  <c r="O359" i="15" s="1"/>
  <c r="W359" i="15" s="1"/>
  <c r="V359" i="15" s="1"/>
  <c r="U359" i="15" s="1"/>
  <c r="K63" i="7"/>
  <c r="O363" i="15" s="1"/>
  <c r="W363" i="15" s="1"/>
  <c r="V363" i="15" s="1"/>
  <c r="U363" i="15" s="1"/>
  <c r="DI1185" i="7"/>
  <c r="DI1186" i="7"/>
  <c r="AE521" i="15" s="1"/>
  <c r="AC521" i="15" s="1"/>
  <c r="I1186" i="7"/>
  <c r="O521" i="15" s="1"/>
  <c r="W521" i="15" s="1"/>
  <c r="V521" i="15" s="1"/>
  <c r="U521" i="15" s="1"/>
  <c r="DG1146" i="7"/>
  <c r="AA493" i="15" s="1"/>
  <c r="DG1145" i="7"/>
  <c r="AA510" i="15" s="1"/>
  <c r="DI961" i="7"/>
  <c r="AE466" i="15" s="1"/>
  <c r="AC466" i="15" s="1"/>
  <c r="DI60" i="7"/>
  <c r="M585" i="7"/>
  <c r="P415" i="15" s="1"/>
  <c r="K147" i="7"/>
  <c r="O388" i="15" s="1"/>
  <c r="W388" i="15" s="1"/>
  <c r="V388" i="15" s="1"/>
  <c r="U388" i="15" s="1"/>
  <c r="DI131" i="7"/>
  <c r="K137" i="7"/>
  <c r="O378" i="15" s="1"/>
  <c r="W378" i="15" s="1"/>
  <c r="V378" i="15" s="1"/>
  <c r="U378" i="15" s="1"/>
  <c r="DI966" i="7"/>
  <c r="AE471" i="15" s="1"/>
  <c r="AC471" i="15" s="1"/>
  <c r="DG1038" i="7"/>
  <c r="AA478" i="15" s="1"/>
  <c r="DI963" i="7"/>
  <c r="AE468" i="15" s="1"/>
  <c r="AC468" i="15" s="1"/>
  <c r="DG1033" i="7"/>
  <c r="AA473" i="15" s="1"/>
  <c r="K130" i="7"/>
  <c r="O371" i="15" s="1"/>
  <c r="W371" i="15" s="1"/>
  <c r="V371" i="15" s="1"/>
  <c r="U371" i="15" s="1"/>
  <c r="DI153" i="7"/>
  <c r="DI130" i="7"/>
  <c r="DI144" i="7"/>
  <c r="AE385" i="15" s="1"/>
  <c r="AC385" i="15" s="1"/>
  <c r="F449" i="7"/>
  <c r="M587" i="7"/>
  <c r="P416" i="15" s="1"/>
  <c r="F514" i="7"/>
  <c r="DG313" i="16"/>
  <c r="AA36" i="15" s="1"/>
  <c r="K134" i="7"/>
  <c r="O375" i="15" s="1"/>
  <c r="W375" i="15" s="1"/>
  <c r="V375" i="15" s="1"/>
  <c r="U375" i="15" s="1"/>
  <c r="DI151" i="7"/>
  <c r="AE392" i="15" s="1"/>
  <c r="AC392" i="15" s="1"/>
  <c r="DG1129" i="7"/>
  <c r="AA506" i="15" s="1"/>
  <c r="DG314" i="16"/>
  <c r="AA37" i="15" s="1"/>
  <c r="I1042" i="7"/>
  <c r="O482" i="15" s="1"/>
  <c r="V482" i="15" s="1"/>
  <c r="U482" i="15" s="1"/>
  <c r="I1187" i="7"/>
  <c r="O522" i="15" s="1"/>
  <c r="W522" i="15" s="1"/>
  <c r="V522" i="15" s="1"/>
  <c r="U522" i="15" s="1"/>
  <c r="DI549" i="7"/>
  <c r="DI588" i="7"/>
  <c r="I1185" i="7"/>
  <c r="O520" i="15" s="1"/>
  <c r="W520" i="15" s="1"/>
  <c r="V520" i="15" s="1"/>
  <c r="U520" i="15" s="1"/>
  <c r="DI8" i="7"/>
  <c r="DI1178" i="7"/>
  <c r="AE513" i="15" s="1"/>
  <c r="AC513" i="15" s="1"/>
  <c r="D577" i="7"/>
  <c r="V507" i="7"/>
  <c r="DG1138" i="7"/>
  <c r="AA491" i="15" s="1"/>
  <c r="I890" i="7"/>
  <c r="R460" i="15" s="1"/>
  <c r="O460" i="15" s="1"/>
  <c r="V460" i="15" s="1"/>
  <c r="U460" i="15" s="1"/>
  <c r="DI551" i="7"/>
  <c r="AE411" i="15" s="1"/>
  <c r="AC411" i="15" s="1"/>
  <c r="DI66" i="7"/>
  <c r="AE366" i="15" s="1"/>
  <c r="AC366" i="15" s="1"/>
  <c r="K66" i="7"/>
  <c r="O366" i="15" s="1"/>
  <c r="W366" i="15" s="1"/>
  <c r="V366" i="15" s="1"/>
  <c r="U366" i="15" s="1"/>
  <c r="DI447" i="7"/>
  <c r="AE399" i="15" s="1"/>
  <c r="AC399" i="15" s="1"/>
  <c r="DG1139" i="7"/>
  <c r="AA497" i="15" s="1"/>
  <c r="K61" i="7"/>
  <c r="O361" i="15" s="1"/>
  <c r="W361" i="15" s="1"/>
  <c r="V361" i="15" s="1"/>
  <c r="U361" i="15" s="1"/>
  <c r="DI127" i="7"/>
  <c r="DI956" i="7"/>
  <c r="AE461" i="15" s="1"/>
  <c r="AC461" i="15" s="1"/>
  <c r="DI9" i="7"/>
  <c r="AE346" i="15" s="1"/>
  <c r="AC346" i="15" s="1"/>
  <c r="I1177" i="7"/>
  <c r="O512" i="15" s="1"/>
  <c r="W512" i="15" s="1"/>
  <c r="V512" i="15" s="1"/>
  <c r="U512" i="15" s="1"/>
  <c r="DI135" i="7"/>
  <c r="M586" i="7"/>
  <c r="O416" i="15" s="1"/>
  <c r="U416" i="15" s="1"/>
  <c r="DI586" i="7"/>
  <c r="AE416" i="15" s="1"/>
  <c r="AC416" i="15" s="1"/>
  <c r="DI960" i="7"/>
  <c r="AE465" i="15" s="1"/>
  <c r="AC465" i="15" s="1"/>
  <c r="DI132" i="7"/>
  <c r="DI1177" i="7"/>
  <c r="AE512" i="15" s="1"/>
  <c r="AC512" i="15" s="1"/>
  <c r="DG154" i="16"/>
  <c r="AA22" i="15" s="1"/>
  <c r="I1093" i="7"/>
  <c r="P487" i="15" s="1"/>
  <c r="DG1144" i="7"/>
  <c r="AA504" i="15" s="1"/>
  <c r="DI584" i="7"/>
  <c r="AE415" i="15" s="1"/>
  <c r="AC415" i="15" s="1"/>
  <c r="I1180" i="7"/>
  <c r="O515" i="15" s="1"/>
  <c r="W515" i="15" s="1"/>
  <c r="V515" i="15" s="1"/>
  <c r="U515" i="15" s="1"/>
  <c r="DI1180" i="7"/>
  <c r="I1178" i="7"/>
  <c r="O513" i="15" s="1"/>
  <c r="W513" i="15" s="1"/>
  <c r="V513" i="15" s="1"/>
  <c r="U513" i="15" s="1"/>
  <c r="M584" i="7"/>
  <c r="O415" i="15" s="1"/>
  <c r="U415" i="15" s="1"/>
  <c r="DG1131" i="7"/>
  <c r="AA495" i="15" s="1"/>
  <c r="DI663" i="7"/>
  <c r="AE431" i="15" s="1"/>
  <c r="K549" i="7"/>
  <c r="O409" i="15" s="1"/>
  <c r="W409" i="15" s="1"/>
  <c r="V409" i="15" s="1"/>
  <c r="U409" i="15" s="1"/>
  <c r="DG1147" i="7"/>
  <c r="AA499" i="15" s="1"/>
  <c r="DG1133" i="7"/>
  <c r="AA507" i="15" s="1"/>
  <c r="DG1135" i="7"/>
  <c r="AA496" i="15" s="1"/>
  <c r="I650" i="7"/>
  <c r="R424" i="15" s="1"/>
  <c r="O424" i="15" s="1"/>
  <c r="U424" i="15" s="1"/>
  <c r="I11" i="7"/>
  <c r="Q348" i="15" s="1"/>
  <c r="O348" i="15" s="1"/>
  <c r="U348" i="15" s="1"/>
  <c r="M591" i="7"/>
  <c r="P418" i="15" s="1"/>
  <c r="K129" i="7"/>
  <c r="O370" i="15" s="1"/>
  <c r="W370" i="15" s="1"/>
  <c r="V370" i="15" s="1"/>
  <c r="U370" i="15" s="1"/>
  <c r="M589" i="7"/>
  <c r="P417" i="15" s="1"/>
  <c r="K550" i="7"/>
  <c r="O410" i="15" s="1"/>
  <c r="W410" i="15" s="1"/>
  <c r="V410" i="15" s="1"/>
  <c r="U410" i="15" s="1"/>
  <c r="DI128" i="7"/>
  <c r="DI142" i="7"/>
  <c r="AE383" i="15" s="1"/>
  <c r="AC383" i="15" s="1"/>
  <c r="I838" i="7"/>
  <c r="O447" i="15" s="1"/>
  <c r="V447" i="15" s="1"/>
  <c r="U447" i="15" s="1"/>
  <c r="DG1136" i="7"/>
  <c r="AA502" i="15" s="1"/>
  <c r="K128" i="7"/>
  <c r="O369" i="15" s="1"/>
  <c r="W369" i="15" s="1"/>
  <c r="V369" i="15" s="1"/>
  <c r="U369" i="15" s="1"/>
  <c r="DI640" i="7"/>
  <c r="AF419" i="15" s="1"/>
  <c r="AC419" i="15" s="1"/>
  <c r="DI133" i="7"/>
  <c r="DG1134" i="7"/>
  <c r="AA490" i="15" s="1"/>
  <c r="K552" i="7"/>
  <c r="O412" i="15" s="1"/>
  <c r="W412" i="15" s="1"/>
  <c r="V412" i="15" s="1"/>
  <c r="U412" i="15" s="1"/>
  <c r="DI552" i="7"/>
  <c r="AE412" i="15" s="1"/>
  <c r="AC412" i="15" s="1"/>
  <c r="DG1043" i="7"/>
  <c r="AA483" i="15" s="1"/>
  <c r="AC640" i="7"/>
  <c r="K152" i="7"/>
  <c r="O393" i="15" s="1"/>
  <c r="W393" i="15" s="1"/>
  <c r="V393" i="15" s="1"/>
  <c r="U393" i="15" s="1"/>
  <c r="DI156" i="7"/>
  <c r="AE397" i="15" s="1"/>
  <c r="AC397" i="15" s="1"/>
  <c r="M590" i="7"/>
  <c r="O418" i="15" s="1"/>
  <c r="U418" i="15" s="1"/>
  <c r="DG796" i="7"/>
  <c r="AA445" i="15" s="1"/>
  <c r="K131" i="7"/>
  <c r="O372" i="15" s="1"/>
  <c r="W372" i="15" s="1"/>
  <c r="V372" i="15" s="1"/>
  <c r="U372" i="15" s="1"/>
  <c r="DG1126" i="7"/>
  <c r="AA488" i="15" s="1"/>
  <c r="I644" i="7"/>
  <c r="R421" i="15" s="1"/>
  <c r="O421" i="15" s="1"/>
  <c r="U421" i="15" s="1"/>
  <c r="AC644" i="7"/>
  <c r="I839" i="7"/>
  <c r="O448" i="15" s="1"/>
  <c r="V448" i="15" s="1"/>
  <c r="U448" i="15" s="1"/>
  <c r="DG1148" i="7"/>
  <c r="AA505" i="15" s="1"/>
  <c r="I15" i="7"/>
  <c r="Q352" i="15" s="1"/>
  <c r="O352" i="15" s="1"/>
  <c r="U352" i="15" s="1"/>
  <c r="DG1140" i="7"/>
  <c r="AA503" i="15" s="1"/>
  <c r="I837" i="7"/>
  <c r="O446" i="15" s="1"/>
  <c r="V446" i="15" s="1"/>
  <c r="U446" i="15" s="1"/>
  <c r="DG795" i="7"/>
  <c r="AA444" i="15" s="1"/>
  <c r="DG871" i="7"/>
  <c r="AA451" i="15" s="1"/>
  <c r="K142" i="7"/>
  <c r="O383" i="15" s="1"/>
  <c r="W383" i="15" s="1"/>
  <c r="V383" i="15" s="1"/>
  <c r="U383" i="15" s="1"/>
  <c r="DG641" i="7"/>
  <c r="AA420" i="15" s="1"/>
  <c r="DI754" i="7"/>
  <c r="AE438" i="15" s="1"/>
  <c r="AC438" i="15" s="1"/>
  <c r="I14" i="7"/>
  <c r="Q351" i="15" s="1"/>
  <c r="O351" i="15" s="1"/>
  <c r="U351" i="15" s="1"/>
  <c r="I1039" i="7"/>
  <c r="O479" i="15" s="1"/>
  <c r="V479" i="15" s="1"/>
  <c r="U479" i="15" s="1"/>
  <c r="DI129" i="7"/>
  <c r="AE370" i="15" s="1"/>
  <c r="AC370" i="15" s="1"/>
  <c r="AC650" i="7"/>
  <c r="K448" i="7"/>
  <c r="O400" i="15" s="1"/>
  <c r="W400" i="15" s="1"/>
  <c r="V400" i="15" s="1"/>
  <c r="U400" i="15" s="1"/>
  <c r="K447" i="7"/>
  <c r="O399" i="15" s="1"/>
  <c r="W399" i="15" s="1"/>
  <c r="V399" i="15" s="1"/>
  <c r="U399" i="15" s="1"/>
  <c r="K156" i="7"/>
  <c r="O397" i="15" s="1"/>
  <c r="W397" i="15" s="1"/>
  <c r="V397" i="15" s="1"/>
  <c r="U397" i="15" s="1"/>
  <c r="K146" i="7"/>
  <c r="O387" i="15" s="1"/>
  <c r="W387" i="15" s="1"/>
  <c r="V387" i="15" s="1"/>
  <c r="U387" i="15" s="1"/>
  <c r="K141" i="7"/>
  <c r="O382" i="15" s="1"/>
  <c r="W382" i="15" s="1"/>
  <c r="V382" i="15" s="1"/>
  <c r="U382" i="15" s="1"/>
  <c r="K127" i="7"/>
  <c r="O368" i="15" s="1"/>
  <c r="W368" i="15" s="1"/>
  <c r="V368" i="15" s="1"/>
  <c r="U368" i="15" s="1"/>
  <c r="K140" i="7"/>
  <c r="O381" i="15" s="1"/>
  <c r="W381" i="15" s="1"/>
  <c r="V381" i="15" s="1"/>
  <c r="U381" i="15" s="1"/>
  <c r="DI146" i="7"/>
  <c r="K149" i="7"/>
  <c r="O390" i="15" s="1"/>
  <c r="W390" i="15" s="1"/>
  <c r="V390" i="15" s="1"/>
  <c r="U390" i="15" s="1"/>
  <c r="DI149" i="7"/>
  <c r="AE390" i="15" s="1"/>
  <c r="AC390" i="15" s="1"/>
  <c r="K145" i="7"/>
  <c r="O386" i="15" s="1"/>
  <c r="W386" i="15" s="1"/>
  <c r="V386" i="15" s="1"/>
  <c r="U386" i="15" s="1"/>
  <c r="DG1149" i="7"/>
  <c r="AA511" i="15" s="1"/>
  <c r="K154" i="7"/>
  <c r="O395" i="15" s="1"/>
  <c r="W395" i="15" s="1"/>
  <c r="V395" i="15" s="1"/>
  <c r="U395" i="15" s="1"/>
  <c r="DG715" i="7"/>
  <c r="AA435" i="15" s="1"/>
  <c r="AC665" i="7"/>
  <c r="I665" i="7"/>
  <c r="Q432" i="15" s="1"/>
  <c r="DG879" i="7"/>
  <c r="AA455" i="15" s="1"/>
  <c r="K133" i="7"/>
  <c r="O374" i="15" s="1"/>
  <c r="W374" i="15" s="1"/>
  <c r="V374" i="15" s="1"/>
  <c r="U374" i="15" s="1"/>
  <c r="DG793" i="7"/>
  <c r="AA442" i="15" s="1"/>
  <c r="DG653" i="7"/>
  <c r="AA426" i="15" s="1"/>
  <c r="I663" i="7"/>
  <c r="Q431" i="15" s="1"/>
  <c r="AC663" i="7"/>
  <c r="DG794" i="7"/>
  <c r="AA443" i="15" s="1"/>
  <c r="DI665" i="7"/>
  <c r="AE432" i="15" s="1"/>
  <c r="DG659" i="7"/>
  <c r="AA429" i="15" s="1"/>
  <c r="DG657" i="7"/>
  <c r="AA428" i="15" s="1"/>
  <c r="J754" i="7"/>
  <c r="O438" i="15" s="1"/>
  <c r="V438" i="15" s="1"/>
  <c r="U438" i="15" s="1"/>
  <c r="DG755" i="7"/>
  <c r="AA439" i="15" s="1"/>
  <c r="J753" i="7"/>
  <c r="O437" i="15" s="1"/>
  <c r="V437" i="15" s="1"/>
  <c r="U437" i="15" s="1"/>
  <c r="DG645" i="7"/>
  <c r="AA422" i="15" s="1"/>
  <c r="DG651" i="7"/>
  <c r="AA425" i="15" s="1"/>
  <c r="I8" i="7"/>
  <c r="Q345" i="15" s="1"/>
  <c r="O345" i="15" s="1"/>
  <c r="U345" i="15" s="1"/>
  <c r="DG1127" i="7"/>
  <c r="AA494" i="15" s="1"/>
  <c r="K150" i="7"/>
  <c r="O391" i="15" s="1"/>
  <c r="W391" i="15" s="1"/>
  <c r="V391" i="15" s="1"/>
  <c r="U391" i="15" s="1"/>
  <c r="K148" i="7"/>
  <c r="O389" i="15" s="1"/>
  <c r="W389" i="15" s="1"/>
  <c r="V389" i="15" s="1"/>
  <c r="U389" i="15" s="1"/>
  <c r="I9" i="7"/>
  <c r="Q346" i="15" s="1"/>
  <c r="O346" i="15" s="1"/>
  <c r="U346" i="15" s="1"/>
  <c r="DI154" i="7"/>
  <c r="AE395" i="15" s="1"/>
  <c r="AC395" i="15" s="1"/>
  <c r="DG716" i="7"/>
  <c r="AA436" i="15" s="1"/>
  <c r="DG877" i="7"/>
  <c r="AA454" i="15" s="1"/>
  <c r="AC661" i="7"/>
  <c r="I661" i="7"/>
  <c r="Q430" i="15" s="1"/>
  <c r="DG647" i="7"/>
  <c r="AA423" i="15" s="1"/>
  <c r="DG1137" i="7"/>
  <c r="AA508" i="15" s="1"/>
  <c r="DI11" i="2"/>
  <c r="DG122" i="6"/>
  <c r="AA107" i="15" s="1"/>
  <c r="I22" i="2"/>
  <c r="O582" i="15" s="1"/>
  <c r="W582" i="15" s="1"/>
  <c r="V582" i="15" s="1"/>
  <c r="U582" i="15" s="1"/>
  <c r="I16" i="2"/>
  <c r="O576" i="15" s="1"/>
  <c r="W576" i="15" s="1"/>
  <c r="V576" i="15" s="1"/>
  <c r="U576" i="15" s="1"/>
  <c r="I11" i="2"/>
  <c r="O571" i="15" s="1"/>
  <c r="V571" i="15" s="1"/>
  <c r="U571" i="15" s="1"/>
  <c r="I31" i="2"/>
  <c r="O591" i="15" s="1"/>
  <c r="W591" i="15" s="1"/>
  <c r="V591" i="15" s="1"/>
  <c r="U591" i="15" s="1"/>
  <c r="I15" i="2"/>
  <c r="O575" i="15" s="1"/>
  <c r="W575" i="15" s="1"/>
  <c r="V575" i="15" s="1"/>
  <c r="U575" i="15" s="1"/>
  <c r="DI22" i="2"/>
  <c r="AE582" i="15" s="1"/>
  <c r="AC582" i="15" s="1"/>
  <c r="I10" i="2"/>
  <c r="O570" i="15" s="1"/>
  <c r="V570" i="15" s="1"/>
  <c r="U570" i="15" s="1"/>
  <c r="I13" i="2"/>
  <c r="O573" i="15" s="1"/>
  <c r="V573" i="15" s="1"/>
  <c r="U573" i="15" s="1"/>
  <c r="DI21" i="2"/>
  <c r="AE581" i="15" s="1"/>
  <c r="AC581" i="15" s="1"/>
  <c r="DI28" i="2"/>
  <c r="AE588" i="15" s="1"/>
  <c r="AC588" i="15" s="1"/>
  <c r="I24" i="2"/>
  <c r="O584" i="15" s="1"/>
  <c r="V584" i="15" s="1"/>
  <c r="U584" i="15" s="1"/>
  <c r="I28" i="2"/>
  <c r="O588" i="15" s="1"/>
  <c r="W588" i="15" s="1"/>
  <c r="V588" i="15" s="1"/>
  <c r="U588" i="15" s="1"/>
  <c r="I21" i="2"/>
  <c r="O581" i="15" s="1"/>
  <c r="W581" i="15" s="1"/>
  <c r="V581" i="15" s="1"/>
  <c r="U581" i="15" s="1"/>
  <c r="DI25" i="2"/>
  <c r="I23" i="2"/>
  <c r="O583" i="15" s="1"/>
  <c r="U583" i="15" s="1"/>
  <c r="I18" i="2"/>
  <c r="O578" i="15" s="1"/>
  <c r="W578" i="15" s="1"/>
  <c r="V578" i="15" s="1"/>
  <c r="U578" i="15" s="1"/>
  <c r="DI10" i="2"/>
  <c r="AE570" i="15" s="1"/>
  <c r="AC570" i="15" s="1"/>
  <c r="I20" i="2"/>
  <c r="O580" i="15" s="1"/>
  <c r="W580" i="15" s="1"/>
  <c r="V580" i="15" s="1"/>
  <c r="U580" i="15" s="1"/>
  <c r="DI24" i="2"/>
  <c r="AE584" i="15" s="1"/>
  <c r="AC584" i="15" s="1"/>
  <c r="DI13" i="2"/>
  <c r="AE573" i="15" s="1"/>
  <c r="AC573" i="15" s="1"/>
  <c r="DI18" i="2"/>
  <c r="AE578" i="15" s="1"/>
  <c r="AC578" i="15" s="1"/>
  <c r="I12" i="2"/>
  <c r="O572" i="15" s="1"/>
  <c r="V572" i="15" s="1"/>
  <c r="U572" i="15" s="1"/>
  <c r="I26" i="2"/>
  <c r="O586" i="15" s="1"/>
  <c r="V586" i="15" s="1"/>
  <c r="U586" i="15" s="1"/>
  <c r="F126" i="6"/>
  <c r="DI126" i="6" s="1"/>
  <c r="AE99" i="15"/>
  <c r="AC99" i="15" s="1"/>
  <c r="F144" i="6"/>
  <c r="DI144" i="6" s="1"/>
  <c r="AG135" i="15"/>
  <c r="AD135" i="15" s="1"/>
  <c r="AE143" i="15"/>
  <c r="I1377" i="6"/>
  <c r="S164" i="15" s="1"/>
  <c r="X1243" i="6"/>
  <c r="AF147" i="15"/>
  <c r="AE117" i="15"/>
  <c r="AC117" i="15" s="1"/>
  <c r="AE103" i="15"/>
  <c r="AC103" i="15" s="1"/>
  <c r="AG106" i="15"/>
  <c r="AD106" i="15" s="1"/>
  <c r="DG100" i="6"/>
  <c r="AA92" i="15" s="1"/>
  <c r="AH164" i="15"/>
  <c r="I1378" i="6"/>
  <c r="T164" i="15" s="1"/>
  <c r="AE145" i="15"/>
  <c r="AE93" i="15"/>
  <c r="AC93" i="15" s="1"/>
  <c r="AE82" i="15"/>
  <c r="AC82" i="15" s="1"/>
  <c r="I4537" i="6"/>
  <c r="R317" i="15" s="1"/>
  <c r="C1835" i="6"/>
  <c r="C1559" i="6"/>
  <c r="I4551" i="6"/>
  <c r="T322" i="15" s="1"/>
  <c r="C1603" i="6"/>
  <c r="AE166" i="15"/>
  <c r="AG85" i="15"/>
  <c r="AD85" i="15" s="1"/>
  <c r="AE138" i="15"/>
  <c r="AC138" i="15" s="1"/>
  <c r="DG127" i="6"/>
  <c r="AA110" i="15" s="1"/>
  <c r="I1383" i="6"/>
  <c r="Q166" i="15" s="1"/>
  <c r="DG247" i="2"/>
  <c r="AA635" i="15" s="1"/>
  <c r="I25" i="2"/>
  <c r="O585" i="15" s="1"/>
  <c r="W585" i="15" s="1"/>
  <c r="V585" i="15" s="1"/>
  <c r="U585" i="15" s="1"/>
  <c r="DG679" i="2"/>
  <c r="AA709" i="15" s="1"/>
  <c r="DG200" i="2"/>
  <c r="AA626" i="15" s="1"/>
  <c r="DI15" i="2"/>
  <c r="AE575" i="15" s="1"/>
  <c r="AC575" i="15" s="1"/>
  <c r="DG589" i="2"/>
  <c r="AA696" i="15" s="1"/>
  <c r="DG161" i="2"/>
  <c r="AA614" i="15" s="1"/>
  <c r="I27" i="2"/>
  <c r="O587" i="15" s="1"/>
  <c r="V587" i="15" s="1"/>
  <c r="U587" i="15" s="1"/>
  <c r="I14" i="2"/>
  <c r="O574" i="15" s="1"/>
  <c r="W574" i="15" s="1"/>
  <c r="V574" i="15" s="1"/>
  <c r="U574" i="15" s="1"/>
  <c r="DG767" i="2"/>
  <c r="AA718" i="15" s="1"/>
  <c r="DG430" i="2"/>
  <c r="AA662" i="15" s="1"/>
  <c r="DI30" i="2"/>
  <c r="AE590" i="15" s="1"/>
  <c r="AC590" i="15" s="1"/>
  <c r="DG98" i="2"/>
  <c r="AA596" i="15" s="1"/>
  <c r="DG557" i="2"/>
  <c r="DI31" i="2"/>
  <c r="AE591" i="15" s="1"/>
  <c r="AC591" i="15" s="1"/>
  <c r="DG585" i="2"/>
  <c r="AA692" i="15" s="1"/>
  <c r="DG246" i="2"/>
  <c r="AA634" i="15" s="1"/>
  <c r="DG163" i="2"/>
  <c r="AA616" i="15" s="1"/>
  <c r="DG561" i="2"/>
  <c r="I30" i="2"/>
  <c r="O590" i="15" s="1"/>
  <c r="V590" i="15" s="1"/>
  <c r="U590" i="15" s="1"/>
  <c r="AA720" i="15"/>
  <c r="DG278" i="2"/>
  <c r="AA637" i="15" s="1"/>
  <c r="DG539" i="2"/>
  <c r="AA682" i="15" s="1"/>
  <c r="DG431" i="2"/>
  <c r="AA663" i="15" s="1"/>
  <c r="DG432" i="2"/>
  <c r="AA664" i="15" s="1"/>
  <c r="DG167" i="2"/>
  <c r="AA620" i="15" s="1"/>
  <c r="I17" i="2"/>
  <c r="O577" i="15" s="1"/>
  <c r="W577" i="15" s="1"/>
  <c r="V577" i="15" s="1"/>
  <c r="U577" i="15" s="1"/>
  <c r="DG588" i="2"/>
  <c r="AA695" i="15" s="1"/>
  <c r="DG586" i="2"/>
  <c r="AA693" i="15" s="1"/>
  <c r="DG339" i="2"/>
  <c r="AA646" i="15" s="1"/>
  <c r="DG517" i="2"/>
  <c r="AA676" i="15" s="1"/>
  <c r="I33" i="2"/>
  <c r="O593" i="15" s="1"/>
  <c r="V593" i="15" s="1"/>
  <c r="U593" i="15" s="1"/>
  <c r="DI17" i="2"/>
  <c r="AE577" i="15" s="1"/>
  <c r="AC577" i="15" s="1"/>
  <c r="DG165" i="2"/>
  <c r="AA618" i="15" s="1"/>
  <c r="DG584" i="2"/>
  <c r="AA691" i="15" s="1"/>
  <c r="DG562" i="2"/>
  <c r="DI27" i="2"/>
  <c r="AE587" i="15" s="1"/>
  <c r="AC587" i="15" s="1"/>
  <c r="I9" i="2"/>
  <c r="O569" i="15" s="1"/>
  <c r="V569" i="15" s="1"/>
  <c r="U569" i="15" s="1"/>
  <c r="DG560" i="2"/>
  <c r="DG558" i="2"/>
  <c r="DG199" i="2"/>
  <c r="AA625" i="15" s="1"/>
  <c r="DG34" i="2"/>
  <c r="AA594" i="15" s="1"/>
  <c r="DG166" i="2"/>
  <c r="AA619" i="15" s="1"/>
  <c r="DI33" i="2"/>
  <c r="AE593" i="15" s="1"/>
  <c r="AC593" i="15" s="1"/>
  <c r="I19" i="2"/>
  <c r="O579" i="15" s="1"/>
  <c r="W579" i="15" s="1"/>
  <c r="V579" i="15" s="1"/>
  <c r="U579" i="15" s="1"/>
  <c r="DG520" i="2"/>
  <c r="AA679" i="15" s="1"/>
  <c r="DG537" i="2"/>
  <c r="DG162" i="2"/>
  <c r="AA615" i="15" s="1"/>
  <c r="I32" i="2"/>
  <c r="O592" i="15" s="1"/>
  <c r="V592" i="15" s="1"/>
  <c r="U592" i="15" s="1"/>
  <c r="DG455" i="2"/>
  <c r="DG433" i="2"/>
  <c r="AA665" i="15" s="1"/>
  <c r="DG518" i="2"/>
  <c r="AA677" i="15" s="1"/>
  <c r="DG609" i="2"/>
  <c r="AA697" i="15" s="1"/>
  <c r="AH308" i="15"/>
  <c r="O11" i="6"/>
  <c r="DJ11" i="6" s="1"/>
  <c r="O7" i="6"/>
  <c r="DJ7" i="6" s="1"/>
  <c r="I4487" i="6"/>
  <c r="T300" i="15" s="1"/>
  <c r="AG164" i="15"/>
  <c r="I231" i="5"/>
  <c r="O62" i="15" s="1"/>
  <c r="V62" i="15" s="1"/>
  <c r="U62" i="15" s="1"/>
  <c r="I230" i="5"/>
  <c r="O61" i="15" s="1"/>
  <c r="V61" i="15" s="1"/>
  <c r="U61" i="15" s="1"/>
  <c r="DI230" i="5"/>
  <c r="AE61" i="15" s="1"/>
  <c r="AC61" i="15" s="1"/>
  <c r="I276" i="5"/>
  <c r="O70" i="15" s="1"/>
  <c r="V70" i="15" s="1"/>
  <c r="U70" i="15" s="1"/>
  <c r="DI276" i="5"/>
  <c r="AE70" i="15" s="1"/>
  <c r="AC70" i="15" s="1"/>
  <c r="I4560" i="6"/>
  <c r="Q325" i="15" s="1"/>
  <c r="AG165" i="15"/>
  <c r="AF301" i="15"/>
  <c r="I4513" i="6"/>
  <c r="R309" i="15" s="1"/>
  <c r="I4508" i="6"/>
  <c r="Q308" i="15" s="1"/>
  <c r="I4539" i="6"/>
  <c r="T317" i="15" s="1"/>
  <c r="F117" i="6"/>
  <c r="DI117" i="6" s="1"/>
  <c r="AH165" i="15"/>
  <c r="DG118" i="6"/>
  <c r="AA104" i="15" s="1"/>
  <c r="X4038" i="6"/>
  <c r="M12" i="6"/>
  <c r="P80" i="15" s="1"/>
  <c r="F99" i="6"/>
  <c r="DI99" i="6" s="1"/>
  <c r="C1805" i="6"/>
  <c r="I1381" i="6"/>
  <c r="S165" i="15" s="1"/>
  <c r="Y1243" i="6"/>
  <c r="I4563" i="6"/>
  <c r="T325" i="15" s="1"/>
  <c r="M14" i="6"/>
  <c r="P81" i="15" s="1"/>
  <c r="DH780" i="6"/>
  <c r="DI780" i="6" s="1"/>
  <c r="C1687" i="6"/>
  <c r="DG1538" i="6"/>
  <c r="AA177" i="15" s="1"/>
  <c r="I4491" i="6"/>
  <c r="T301" i="15" s="1"/>
  <c r="DG91" i="6"/>
  <c r="AA86" i="15" s="1"/>
  <c r="AF165" i="15"/>
  <c r="DH774" i="6"/>
  <c r="DI774" i="6" s="1"/>
  <c r="W76" i="6"/>
  <c r="Z72" i="6"/>
  <c r="Y70" i="6"/>
  <c r="AA74" i="6"/>
  <c r="Y72" i="6"/>
  <c r="AA70" i="6"/>
  <c r="W72" i="6"/>
  <c r="Z74" i="6"/>
  <c r="W70" i="6"/>
  <c r="Z76" i="6"/>
  <c r="Z70" i="6"/>
  <c r="Y74" i="6"/>
  <c r="X76" i="6"/>
  <c r="AA76" i="6"/>
  <c r="X70" i="6"/>
  <c r="AA72" i="6"/>
  <c r="W74" i="6"/>
  <c r="X74" i="6"/>
  <c r="X72" i="6"/>
  <c r="Y76" i="6"/>
  <c r="C1851" i="6"/>
  <c r="AE127" i="15"/>
  <c r="AC127" i="15" s="1"/>
  <c r="BA324" i="15"/>
  <c r="BA328" i="15" s="1"/>
  <c r="I4568" i="6"/>
  <c r="Y1239" i="6"/>
  <c r="Y1124" i="6"/>
  <c r="Y1125" i="6" s="1"/>
  <c r="I1379" i="6"/>
  <c r="Q165" i="15" s="1"/>
  <c r="I1382" i="6"/>
  <c r="T165" i="15" s="1"/>
  <c r="I1380" i="6"/>
  <c r="R165" i="15" s="1"/>
  <c r="I4536" i="6"/>
  <c r="Q317" i="15" s="1"/>
  <c r="I4531" i="6"/>
  <c r="T315" i="15" s="1"/>
  <c r="DH790" i="6"/>
  <c r="DI790" i="6" s="1"/>
  <c r="AE165" i="15"/>
  <c r="I4497" i="6"/>
  <c r="I4483" i="6"/>
  <c r="T299" i="15" s="1"/>
  <c r="DH792" i="6"/>
  <c r="DI792" i="6" s="1"/>
  <c r="F108" i="6"/>
  <c r="DI108" i="6" s="1"/>
  <c r="I4517" i="6"/>
  <c r="R310" i="15" s="1"/>
  <c r="C1551" i="6"/>
  <c r="AG118" i="15"/>
  <c r="AD118" i="15" s="1"/>
  <c r="DH775" i="6"/>
  <c r="DI775" i="6" s="1"/>
  <c r="C1757" i="6"/>
  <c r="I4556" i="6"/>
  <c r="Q324" i="15" s="1"/>
  <c r="I4548" i="6"/>
  <c r="Q322" i="15" s="1"/>
  <c r="I4549" i="6"/>
  <c r="R322" i="15" s="1"/>
  <c r="I4557" i="6"/>
  <c r="R324" i="15" s="1"/>
  <c r="I4535" i="6"/>
  <c r="T316" i="15" s="1"/>
  <c r="I4477" i="6"/>
  <c r="R298" i="15" s="1"/>
  <c r="AG112" i="15"/>
  <c r="AD112" i="15" s="1"/>
  <c r="I4533" i="6"/>
  <c r="R316" i="15" s="1"/>
  <c r="I4526" i="6"/>
  <c r="S314" i="15" s="1"/>
  <c r="DG86" i="6"/>
  <c r="AA83" i="15" s="1"/>
  <c r="I4559" i="6"/>
  <c r="T324" i="15" s="1"/>
  <c r="I4503" i="6"/>
  <c r="T306" i="15" s="1"/>
  <c r="I4485" i="6"/>
  <c r="R300" i="15" s="1"/>
  <c r="DG113" i="6"/>
  <c r="AA101" i="15" s="1"/>
  <c r="I4532" i="6"/>
  <c r="Q316" i="15" s="1"/>
  <c r="I4506" i="6"/>
  <c r="S307" i="15" s="1"/>
  <c r="DG136" i="6"/>
  <c r="AA116" i="15" s="1"/>
  <c r="I4571" i="6"/>
  <c r="R329" i="15" s="1"/>
  <c r="I4502" i="6"/>
  <c r="S306" i="15" s="1"/>
  <c r="BC306" i="15"/>
  <c r="I4495" i="6"/>
  <c r="I4552" i="6"/>
  <c r="Q323" i="15" s="1"/>
  <c r="I4484" i="6"/>
  <c r="Q300" i="15" s="1"/>
  <c r="I4496" i="6"/>
  <c r="K980" i="6"/>
  <c r="L774" i="6" s="1"/>
  <c r="AJ140" i="15" s="1"/>
  <c r="K979" i="6"/>
  <c r="L810" i="6" s="1"/>
  <c r="AJ155" i="15" s="1"/>
  <c r="K988" i="6"/>
  <c r="I4561" i="6"/>
  <c r="R325" i="15" s="1"/>
  <c r="I4481" i="6"/>
  <c r="R299" i="15" s="1"/>
  <c r="I4490" i="6"/>
  <c r="S301" i="15" s="1"/>
  <c r="I4486" i="6"/>
  <c r="S300" i="15" s="1"/>
  <c r="I4507" i="6"/>
  <c r="T307" i="15" s="1"/>
  <c r="I4523" i="6"/>
  <c r="R313" i="15" s="1"/>
  <c r="I4547" i="6"/>
  <c r="R321" i="15" s="1"/>
  <c r="I4565" i="6"/>
  <c r="R326" i="15" s="1"/>
  <c r="I4478" i="6"/>
  <c r="S298" i="15" s="1"/>
  <c r="I4514" i="6"/>
  <c r="S309" i="15" s="1"/>
  <c r="I4570" i="6"/>
  <c r="Q329" i="15" s="1"/>
  <c r="I4541" i="6"/>
  <c r="R318" i="15" s="1"/>
  <c r="BD314" i="15"/>
  <c r="I4524" i="6"/>
  <c r="Q314" i="15" s="1"/>
  <c r="BA322" i="15"/>
  <c r="I4564" i="6"/>
  <c r="Q326" i="15" s="1"/>
  <c r="I4505" i="6"/>
  <c r="R307" i="15" s="1"/>
  <c r="I4492" i="6"/>
  <c r="Q302" i="15" s="1"/>
  <c r="I4558" i="6"/>
  <c r="S324" i="15" s="1"/>
  <c r="I4520" i="6"/>
  <c r="I4515" i="6"/>
  <c r="T309" i="15" s="1"/>
  <c r="I4543" i="6"/>
  <c r="I4488" i="6"/>
  <c r="Q301" i="15" s="1"/>
  <c r="I4562" i="6"/>
  <c r="S325" i="15" s="1"/>
  <c r="I4519" i="6"/>
  <c r="I4567" i="6"/>
  <c r="I4538" i="6"/>
  <c r="S317" i="15" s="1"/>
  <c r="I4534" i="6"/>
  <c r="S316" i="15" s="1"/>
  <c r="I4550" i="6"/>
  <c r="S322" i="15" s="1"/>
  <c r="I4482" i="6"/>
  <c r="S299" i="15" s="1"/>
  <c r="I4529" i="6"/>
  <c r="R315" i="15" s="1"/>
  <c r="I4499" i="6"/>
  <c r="R305" i="15" s="1"/>
  <c r="I4540" i="6"/>
  <c r="Q318" i="15" s="1"/>
  <c r="J4611" i="6"/>
  <c r="AF4611" i="6" s="1"/>
  <c r="I4553" i="6"/>
  <c r="R323" i="15" s="1"/>
  <c r="L4496" i="6"/>
  <c r="AJ304" i="15" s="1"/>
  <c r="L4500" i="6"/>
  <c r="AJ306" i="15" s="1"/>
  <c r="L4520" i="6"/>
  <c r="AJ312" i="15" s="1"/>
  <c r="L4494" i="6"/>
  <c r="AJ303" i="15" s="1"/>
  <c r="L4556" i="6"/>
  <c r="AJ324" i="15" s="1"/>
  <c r="L4560" i="6"/>
  <c r="AJ325" i="15" s="1"/>
  <c r="L4566" i="6"/>
  <c r="AJ327" i="15" s="1"/>
  <c r="L4532" i="6"/>
  <c r="AJ316" i="15" s="1"/>
  <c r="L4512" i="6"/>
  <c r="AJ309" i="15" s="1"/>
  <c r="L4508" i="6"/>
  <c r="AJ308" i="15" s="1"/>
  <c r="L4570" i="6"/>
  <c r="AJ329" i="15" s="1"/>
  <c r="L4542" i="6"/>
  <c r="AJ319" i="15" s="1"/>
  <c r="L4552" i="6"/>
  <c r="AJ323" i="15" s="1"/>
  <c r="L4546" i="6"/>
  <c r="AJ321" i="15" s="1"/>
  <c r="L4484" i="6"/>
  <c r="AJ300" i="15" s="1"/>
  <c r="L4528" i="6"/>
  <c r="AJ315" i="15" s="1"/>
  <c r="L4522" i="6"/>
  <c r="AJ313" i="15" s="1"/>
  <c r="L4518" i="6"/>
  <c r="AJ311" i="15" s="1"/>
  <c r="L4504" i="6"/>
  <c r="AJ307" i="15" s="1"/>
  <c r="L4492" i="6"/>
  <c r="AJ302" i="15" s="1"/>
  <c r="L4476" i="6"/>
  <c r="AJ298" i="15" s="1"/>
  <c r="L4536" i="6"/>
  <c r="AJ317" i="15" s="1"/>
  <c r="L4498" i="6"/>
  <c r="AJ305" i="15" s="1"/>
  <c r="L4564" i="6"/>
  <c r="AJ326" i="15" s="1"/>
  <c r="L4480" i="6"/>
  <c r="AJ299" i="15" s="1"/>
  <c r="L4548" i="6"/>
  <c r="AJ322" i="15" s="1"/>
  <c r="L4540" i="6"/>
  <c r="AJ318" i="15" s="1"/>
  <c r="L4568" i="6"/>
  <c r="AJ328" i="15" s="1"/>
  <c r="L4544" i="6"/>
  <c r="AJ320" i="15" s="1"/>
  <c r="L4516" i="6"/>
  <c r="AJ310" i="15" s="1"/>
  <c r="L4524" i="6"/>
  <c r="AJ314" i="15" s="1"/>
  <c r="L4488" i="6"/>
  <c r="AJ301" i="15" s="1"/>
  <c r="I4512" i="6"/>
  <c r="Q309" i="15" s="1"/>
  <c r="I4476" i="6"/>
  <c r="Q298" i="15" s="1"/>
  <c r="I4555" i="6"/>
  <c r="T323" i="15" s="1"/>
  <c r="DG883" i="7"/>
  <c r="AA457" i="15" s="1"/>
  <c r="DG1040" i="7"/>
  <c r="AA480" i="15" s="1"/>
  <c r="DG867" i="7"/>
  <c r="AA449" i="15" s="1"/>
  <c r="DG792" i="7"/>
  <c r="AA441" i="15" s="1"/>
  <c r="DG881" i="7"/>
  <c r="AA456" i="15" s="1"/>
  <c r="I664" i="7"/>
  <c r="R431" i="15" s="1"/>
  <c r="AC664" i="7"/>
  <c r="AC662" i="7"/>
  <c r="I662" i="7"/>
  <c r="R430" i="15" s="1"/>
  <c r="DG869" i="7"/>
  <c r="AA450" i="15" s="1"/>
  <c r="AC666" i="7"/>
  <c r="I666" i="7"/>
  <c r="R432" i="15" s="1"/>
  <c r="DI666" i="7"/>
  <c r="AF432" i="15" s="1"/>
  <c r="DG756" i="7"/>
  <c r="AA440" i="15" s="1"/>
  <c r="DG1520" i="6"/>
  <c r="AA171" i="15" s="1"/>
  <c r="K852" i="6"/>
  <c r="K843" i="6"/>
  <c r="K1253" i="6" s="1"/>
  <c r="K850" i="6"/>
  <c r="DG1524" i="6"/>
  <c r="AA173" i="15" s="1"/>
  <c r="I4494" i="6"/>
  <c r="I4542" i="6"/>
  <c r="I4498" i="6"/>
  <c r="Q305" i="15" s="1"/>
  <c r="I4522" i="6"/>
  <c r="Q313" i="15" s="1"/>
  <c r="I4566" i="6"/>
  <c r="AE135" i="15"/>
  <c r="AC135" i="15" s="1"/>
  <c r="I4546" i="6"/>
  <c r="Q321" i="15" s="1"/>
  <c r="BA317" i="15"/>
  <c r="BA307" i="15"/>
  <c r="I4518" i="6"/>
  <c r="AE727" i="15" l="1"/>
  <c r="AC727" i="15" s="1"/>
  <c r="DG44" i="5"/>
  <c r="AA48" i="15" s="1"/>
  <c r="AE48" i="15"/>
  <c r="AC48" i="15" s="1"/>
  <c r="DG43" i="5"/>
  <c r="AA47" i="15" s="1"/>
  <c r="AE47" i="15"/>
  <c r="AC47" i="15" s="1"/>
  <c r="D626" i="7"/>
  <c r="DI515" i="7"/>
  <c r="AE407" i="15" s="1"/>
  <c r="AC407" i="15" s="1"/>
  <c r="DG19" i="7"/>
  <c r="AA356" i="15" s="1"/>
  <c r="I407" i="15"/>
  <c r="DG875" i="7"/>
  <c r="AA453" i="15" s="1"/>
  <c r="AD275" i="15"/>
  <c r="K451" i="7"/>
  <c r="O403" i="15" s="1"/>
  <c r="W403" i="15" s="1"/>
  <c r="V403" i="15" s="1"/>
  <c r="U403" i="15" s="1"/>
  <c r="AF515" i="7"/>
  <c r="DG887" i="7"/>
  <c r="AA459" i="15" s="1"/>
  <c r="AC331" i="15"/>
  <c r="AC335" i="15"/>
  <c r="AC336" i="15"/>
  <c r="AC330" i="15"/>
  <c r="AC339" i="15"/>
  <c r="AC343" i="15"/>
  <c r="AC334" i="15"/>
  <c r="AC342" i="15"/>
  <c r="AC338" i="15"/>
  <c r="AC340" i="15"/>
  <c r="AC333" i="15"/>
  <c r="BH167" i="15"/>
  <c r="BK224" i="15"/>
  <c r="DG16" i="7"/>
  <c r="AA353" i="15" s="1"/>
  <c r="L516" i="7"/>
  <c r="O408" i="15" s="1"/>
  <c r="W408" i="15" s="1"/>
  <c r="V408" i="15" s="1"/>
  <c r="U408" i="15" s="1"/>
  <c r="DI516" i="7"/>
  <c r="AE408" i="15" s="1"/>
  <c r="AC408" i="15" s="1"/>
  <c r="AC297" i="15"/>
  <c r="DI1221" i="7"/>
  <c r="AF525" i="15" s="1"/>
  <c r="AC525" i="15" s="1"/>
  <c r="AC341" i="15"/>
  <c r="AD279" i="15"/>
  <c r="AC263" i="15"/>
  <c r="AC291" i="15"/>
  <c r="DG1041" i="7"/>
  <c r="AA481" i="15" s="1"/>
  <c r="DG661" i="7"/>
  <c r="AA430" i="15" s="1"/>
  <c r="AC332" i="15"/>
  <c r="AB157" i="15"/>
  <c r="AD181" i="15"/>
  <c r="AC187" i="15"/>
  <c r="AC207" i="15"/>
  <c r="DG95" i="6"/>
  <c r="AA89" i="15" s="1"/>
  <c r="DG1269" i="6"/>
  <c r="AA157" i="15" s="1"/>
  <c r="DG14" i="7"/>
  <c r="AA351" i="15" s="1"/>
  <c r="AF67" i="7"/>
  <c r="AC337" i="15"/>
  <c r="DG1312" i="7"/>
  <c r="AA535" i="15" s="1"/>
  <c r="AE535" i="15"/>
  <c r="AC535" i="15" s="1"/>
  <c r="DG1315" i="7"/>
  <c r="AA538" i="15" s="1"/>
  <c r="AE538" i="15"/>
  <c r="AC538" i="15" s="1"/>
  <c r="DG1316" i="7"/>
  <c r="AA539" i="15" s="1"/>
  <c r="AE539" i="15"/>
  <c r="AC539" i="15" s="1"/>
  <c r="DG1311" i="7"/>
  <c r="AA534" i="15" s="1"/>
  <c r="AE534" i="15"/>
  <c r="AC534" i="15" s="1"/>
  <c r="DG1313" i="7"/>
  <c r="AA536" i="15" s="1"/>
  <c r="AE536" i="15"/>
  <c r="AC536" i="15" s="1"/>
  <c r="DG1314" i="7"/>
  <c r="AA537" i="15" s="1"/>
  <c r="AE537" i="15"/>
  <c r="AC537" i="15" s="1"/>
  <c r="DG1310" i="7"/>
  <c r="AA533" i="15" s="1"/>
  <c r="AE533" i="15"/>
  <c r="AC533" i="15" s="1"/>
  <c r="AB167" i="15"/>
  <c r="AF309" i="5"/>
  <c r="I76" i="15"/>
  <c r="DG308" i="5"/>
  <c r="AA75" i="15" s="1"/>
  <c r="AE75" i="15"/>
  <c r="AC75" i="15" s="1"/>
  <c r="DG46" i="5"/>
  <c r="AA50" i="15" s="1"/>
  <c r="AE50" i="15"/>
  <c r="AC50" i="15" s="1"/>
  <c r="DG47" i="5"/>
  <c r="AA51" i="15" s="1"/>
  <c r="AE51" i="15"/>
  <c r="AC51" i="15" s="1"/>
  <c r="AD191" i="15"/>
  <c r="AD183" i="15"/>
  <c r="AC289" i="15"/>
  <c r="AD267" i="15"/>
  <c r="AC161" i="15"/>
  <c r="AD287" i="15"/>
  <c r="BD322" i="15"/>
  <c r="BD326" i="15" s="1"/>
  <c r="AD199" i="15"/>
  <c r="AC271" i="15"/>
  <c r="AC162" i="15"/>
  <c r="AC199" i="15"/>
  <c r="AC193" i="15"/>
  <c r="AC293" i="15"/>
  <c r="AC195" i="15"/>
  <c r="AC159" i="15"/>
  <c r="AC157" i="15"/>
  <c r="AC191" i="15"/>
  <c r="AD233" i="15"/>
  <c r="AC295" i="15"/>
  <c r="I430" i="15"/>
  <c r="AC283" i="15"/>
  <c r="AC227" i="15"/>
  <c r="AC160" i="15"/>
  <c r="AC279" i="15"/>
  <c r="I432" i="15"/>
  <c r="AD255" i="15"/>
  <c r="AC275" i="15"/>
  <c r="AC430" i="15"/>
  <c r="AC255" i="15"/>
  <c r="AC259" i="15"/>
  <c r="AD259" i="15"/>
  <c r="AD271" i="15"/>
  <c r="AC287" i="15"/>
  <c r="AC183" i="15"/>
  <c r="AC267" i="15"/>
  <c r="AC251" i="15"/>
  <c r="AD251" i="15"/>
  <c r="AC158" i="15"/>
  <c r="AC213" i="15"/>
  <c r="AE179" i="15"/>
  <c r="AC179" i="15" s="1"/>
  <c r="AC181" i="15"/>
  <c r="AE95" i="15"/>
  <c r="AC95" i="15" s="1"/>
  <c r="AC203" i="15"/>
  <c r="AC233" i="15"/>
  <c r="AC219" i="15"/>
  <c r="DG131" i="6"/>
  <c r="AA113" i="15" s="1"/>
  <c r="AD263" i="15"/>
  <c r="BD325" i="15"/>
  <c r="BD329" i="15" s="1"/>
  <c r="BI329" i="15" s="1"/>
  <c r="BB306" i="15"/>
  <c r="BG306" i="15" s="1"/>
  <c r="AF1386" i="6"/>
  <c r="DI1386" i="6"/>
  <c r="AF167" i="15" s="1"/>
  <c r="AC167" i="15" s="1"/>
  <c r="AF1388" i="6"/>
  <c r="DI1388" i="6"/>
  <c r="AF1500" i="6"/>
  <c r="DI451" i="7"/>
  <c r="AE403" i="15" s="1"/>
  <c r="AC403" i="15" s="1"/>
  <c r="AF451" i="7"/>
  <c r="I1233" i="7"/>
  <c r="DG7" i="7"/>
  <c r="AA344" i="15" s="1"/>
  <c r="I1221" i="7"/>
  <c r="DG140" i="7"/>
  <c r="AA381" i="15" s="1"/>
  <c r="DG11" i="7"/>
  <c r="AA348" i="15" s="1"/>
  <c r="L528" i="15"/>
  <c r="I528" i="15" s="1"/>
  <c r="DI1227" i="7"/>
  <c r="I1227" i="7"/>
  <c r="DG448" i="7"/>
  <c r="AA400" i="15" s="1"/>
  <c r="I367" i="15"/>
  <c r="K67" i="7"/>
  <c r="O367" i="15" s="1"/>
  <c r="W367" i="15" s="1"/>
  <c r="V367" i="15" s="1"/>
  <c r="U367" i="15" s="1"/>
  <c r="DG1181" i="7"/>
  <c r="AA516" i="15" s="1"/>
  <c r="AF516" i="7"/>
  <c r="AC431" i="15"/>
  <c r="DG655" i="7"/>
  <c r="AA427" i="15" s="1"/>
  <c r="DG553" i="7"/>
  <c r="AA413" i="15" s="1"/>
  <c r="DG148" i="7"/>
  <c r="AA389" i="15" s="1"/>
  <c r="O431" i="15"/>
  <c r="U431" i="15" s="1"/>
  <c r="DG1187" i="7"/>
  <c r="AA522" i="15" s="1"/>
  <c r="L525" i="15"/>
  <c r="I525" i="15" s="1"/>
  <c r="O432" i="15"/>
  <c r="U432" i="15" s="1"/>
  <c r="DG141" i="7"/>
  <c r="AA382" i="15" s="1"/>
  <c r="DG13" i="7"/>
  <c r="AA350" i="15" s="1"/>
  <c r="DG1039" i="7"/>
  <c r="AA479" i="15" s="1"/>
  <c r="DG643" i="7"/>
  <c r="AA421" i="15" s="1"/>
  <c r="DG649" i="7"/>
  <c r="AA424" i="15" s="1"/>
  <c r="DG889" i="7"/>
  <c r="AA460" i="15" s="1"/>
  <c r="O430" i="15"/>
  <c r="U430" i="15" s="1"/>
  <c r="I431" i="15"/>
  <c r="DI1225" i="7"/>
  <c r="I1225" i="7"/>
  <c r="I406" i="15"/>
  <c r="AF514" i="7"/>
  <c r="I401" i="15"/>
  <c r="AF449" i="7"/>
  <c r="K450" i="7"/>
  <c r="O402" i="15" s="1"/>
  <c r="W402" i="15" s="1"/>
  <c r="V402" i="15" s="1"/>
  <c r="U402" i="15" s="1"/>
  <c r="I402" i="15"/>
  <c r="AF450" i="7"/>
  <c r="L527" i="15"/>
  <c r="I527" i="15" s="1"/>
  <c r="AF1225" i="7"/>
  <c r="I486" i="15"/>
  <c r="AF1090" i="7"/>
  <c r="I487" i="15"/>
  <c r="AF1092" i="7"/>
  <c r="DI1223" i="7"/>
  <c r="L526" i="15"/>
  <c r="I526" i="15" s="1"/>
  <c r="AF1223" i="7"/>
  <c r="DI1219" i="7"/>
  <c r="L524" i="15"/>
  <c r="I524" i="15" s="1"/>
  <c r="AF1219" i="7"/>
  <c r="L531" i="15"/>
  <c r="I531" i="15" s="1"/>
  <c r="AF1233" i="7"/>
  <c r="DI1231" i="7"/>
  <c r="L530" i="15"/>
  <c r="I530" i="15" s="1"/>
  <c r="AF1231" i="7"/>
  <c r="DI1229" i="7"/>
  <c r="L529" i="15"/>
  <c r="I529" i="15" s="1"/>
  <c r="AF1229" i="7"/>
  <c r="F4425" i="6"/>
  <c r="M4425" i="6" s="1"/>
  <c r="K4425" i="6" s="1"/>
  <c r="K4052" i="6" s="1"/>
  <c r="M4424" i="6"/>
  <c r="K4424" i="6" s="1"/>
  <c r="K4042" i="6" s="1"/>
  <c r="I304" i="15"/>
  <c r="AD307" i="15"/>
  <c r="F4427" i="6"/>
  <c r="M4427" i="6" s="1"/>
  <c r="K4427" i="6" s="1"/>
  <c r="K4070" i="6" s="1"/>
  <c r="F4426" i="6"/>
  <c r="M4426" i="6" s="1"/>
  <c r="K4426" i="6" s="1"/>
  <c r="AB124" i="15"/>
  <c r="AB180" i="15"/>
  <c r="DG1544" i="6"/>
  <c r="AA180" i="15" s="1"/>
  <c r="P165" i="15"/>
  <c r="M1255" i="6"/>
  <c r="AC325" i="15"/>
  <c r="AB176" i="15"/>
  <c r="DG1534" i="6"/>
  <c r="AA176" i="15" s="1"/>
  <c r="M1247" i="6"/>
  <c r="AB170" i="15"/>
  <c r="DG1516" i="6"/>
  <c r="AA170" i="15" s="1"/>
  <c r="I305" i="15"/>
  <c r="AB174" i="15"/>
  <c r="DG1526" i="6"/>
  <c r="AA174" i="15" s="1"/>
  <c r="AB181" i="15"/>
  <c r="M1243" i="6"/>
  <c r="O300" i="15"/>
  <c r="W300" i="15" s="1"/>
  <c r="V300" i="15" s="1"/>
  <c r="U300" i="15" s="1"/>
  <c r="M1232" i="6"/>
  <c r="AB126" i="15"/>
  <c r="AF38" i="6"/>
  <c r="P298" i="15"/>
  <c r="AB127" i="15"/>
  <c r="M1236" i="6"/>
  <c r="DG1044" i="7"/>
  <c r="AA484" i="15" s="1"/>
  <c r="DG456" i="2"/>
  <c r="AA667" i="15" s="1"/>
  <c r="AE345" i="15"/>
  <c r="AC345" i="15" s="1"/>
  <c r="AE42" i="15"/>
  <c r="AC42" i="15" s="1"/>
  <c r="AE9" i="15"/>
  <c r="AC9" i="15" s="1"/>
  <c r="DG96" i="6"/>
  <c r="AA90" i="15" s="1"/>
  <c r="AC314" i="15"/>
  <c r="AA680" i="15"/>
  <c r="AA666" i="15"/>
  <c r="AA652" i="15"/>
  <c r="AA688" i="15"/>
  <c r="AA685" i="15"/>
  <c r="AA687" i="15"/>
  <c r="AA689" i="15"/>
  <c r="AA684" i="15"/>
  <c r="AA686" i="15"/>
  <c r="AA683" i="15"/>
  <c r="DG321" i="2"/>
  <c r="AA645" i="15" s="1"/>
  <c r="AC316" i="15"/>
  <c r="AC143" i="15"/>
  <c r="AC307" i="15"/>
  <c r="AC166" i="15"/>
  <c r="AD322" i="15"/>
  <c r="AE312" i="15"/>
  <c r="AF319" i="15"/>
  <c r="I306" i="15"/>
  <c r="AC165" i="15"/>
  <c r="AH310" i="15"/>
  <c r="BB317" i="15"/>
  <c r="BK317" i="15" s="1"/>
  <c r="AF303" i="15"/>
  <c r="I329" i="15"/>
  <c r="O310" i="15"/>
  <c r="W310" i="15" s="1"/>
  <c r="V310" i="15" s="1"/>
  <c r="U310" i="15" s="1"/>
  <c r="AC324" i="15"/>
  <c r="O318" i="15"/>
  <c r="W318" i="15" s="1"/>
  <c r="V318" i="15" s="1"/>
  <c r="U318" i="15" s="1"/>
  <c r="P324" i="15"/>
  <c r="AC329" i="15"/>
  <c r="P306" i="15"/>
  <c r="O302" i="15"/>
  <c r="W302" i="15" s="1"/>
  <c r="V302" i="15" s="1"/>
  <c r="U302" i="15" s="1"/>
  <c r="AC302" i="15"/>
  <c r="I313" i="15"/>
  <c r="AD306" i="15"/>
  <c r="BM214" i="15"/>
  <c r="BB298" i="15"/>
  <c r="BG298" i="15" s="1"/>
  <c r="I319" i="15"/>
  <c r="P308" i="15"/>
  <c r="AC318" i="15"/>
  <c r="O329" i="15"/>
  <c r="W329" i="15" s="1"/>
  <c r="V329" i="15" s="1"/>
  <c r="U329" i="15" s="1"/>
  <c r="AD165" i="15"/>
  <c r="AC313" i="15"/>
  <c r="J323" i="15"/>
  <c r="P323" i="15"/>
  <c r="P315" i="15"/>
  <c r="J298" i="15"/>
  <c r="AC300" i="15"/>
  <c r="O325" i="15"/>
  <c r="W325" i="15" s="1"/>
  <c r="V325" i="15" s="1"/>
  <c r="U325" i="15" s="1"/>
  <c r="O316" i="15"/>
  <c r="W316" i="15" s="1"/>
  <c r="V316" i="15" s="1"/>
  <c r="U316" i="15" s="1"/>
  <c r="AD324" i="15"/>
  <c r="O305" i="15"/>
  <c r="W305" i="15" s="1"/>
  <c r="V305" i="15" s="1"/>
  <c r="U305" i="15" s="1"/>
  <c r="O307" i="15"/>
  <c r="W307" i="15" s="1"/>
  <c r="V307" i="15" s="1"/>
  <c r="U307" i="15" s="1"/>
  <c r="AC298" i="15"/>
  <c r="AD323" i="15"/>
  <c r="O326" i="15"/>
  <c r="W326" i="15" s="1"/>
  <c r="V326" i="15" s="1"/>
  <c r="U326" i="15" s="1"/>
  <c r="BD306" i="15"/>
  <c r="BL306" i="15" s="1"/>
  <c r="P164" i="15"/>
  <c r="O317" i="15"/>
  <c r="W317" i="15" s="1"/>
  <c r="V317" i="15" s="1"/>
  <c r="U317" i="15" s="1"/>
  <c r="AC305" i="15"/>
  <c r="O165" i="15"/>
  <c r="W165" i="15" s="1"/>
  <c r="V165" i="15" s="1"/>
  <c r="U165" i="15" s="1"/>
  <c r="AC322" i="15"/>
  <c r="O306" i="15"/>
  <c r="W306" i="15" s="1"/>
  <c r="V306" i="15" s="1"/>
  <c r="U306" i="15" s="1"/>
  <c r="AC304" i="15"/>
  <c r="BM158" i="15"/>
  <c r="O308" i="15"/>
  <c r="W308" i="15" s="1"/>
  <c r="V308" i="15" s="1"/>
  <c r="U308" i="15" s="1"/>
  <c r="BK157" i="15"/>
  <c r="AE319" i="15"/>
  <c r="BD163" i="15"/>
  <c r="P300" i="15"/>
  <c r="BC94" i="15"/>
  <c r="BH94" i="15" s="1"/>
  <c r="BN94" i="15" s="1"/>
  <c r="P301" i="15"/>
  <c r="O322" i="15"/>
  <c r="W322" i="15" s="1"/>
  <c r="V322" i="15" s="1"/>
  <c r="U322" i="15" s="1"/>
  <c r="I320" i="15"/>
  <c r="O298" i="15"/>
  <c r="W298" i="15" s="1"/>
  <c r="V298" i="15" s="1"/>
  <c r="U298" i="15" s="1"/>
  <c r="P307" i="15"/>
  <c r="BA306" i="15"/>
  <c r="BF306" i="15" s="1"/>
  <c r="O309" i="15"/>
  <c r="W309" i="15" s="1"/>
  <c r="V309" i="15" s="1"/>
  <c r="U309" i="15" s="1"/>
  <c r="P299" i="15"/>
  <c r="O324" i="15"/>
  <c r="W324" i="15" s="1"/>
  <c r="V324" i="15" s="1"/>
  <c r="U324" i="15" s="1"/>
  <c r="BB165" i="15"/>
  <c r="BB166" i="15" s="1"/>
  <c r="AH303" i="15"/>
  <c r="I314" i="15"/>
  <c r="P322" i="15"/>
  <c r="BM223" i="15"/>
  <c r="BC100" i="15"/>
  <c r="BH100" i="15" s="1"/>
  <c r="BN100" i="15" s="1"/>
  <c r="O321" i="15"/>
  <c r="W321" i="15" s="1"/>
  <c r="V321" i="15" s="1"/>
  <c r="U321" i="15" s="1"/>
  <c r="P316" i="15"/>
  <c r="O314" i="15"/>
  <c r="W314" i="15" s="1"/>
  <c r="V314" i="15" s="1"/>
  <c r="U314" i="15" s="1"/>
  <c r="BD165" i="15"/>
  <c r="BI165" i="15" s="1"/>
  <c r="O299" i="15"/>
  <c r="W299" i="15" s="1"/>
  <c r="V299" i="15" s="1"/>
  <c r="U299" i="15" s="1"/>
  <c r="BK158" i="15"/>
  <c r="BM157" i="15"/>
  <c r="P317" i="15"/>
  <c r="AD316" i="15"/>
  <c r="AG303" i="15"/>
  <c r="AD314" i="15"/>
  <c r="AD298" i="15"/>
  <c r="AD318" i="15"/>
  <c r="O313" i="15"/>
  <c r="W313" i="15" s="1"/>
  <c r="V313" i="15" s="1"/>
  <c r="U313" i="15" s="1"/>
  <c r="O323" i="15"/>
  <c r="W323" i="15" s="1"/>
  <c r="V323" i="15" s="1"/>
  <c r="U323" i="15" s="1"/>
  <c r="I312" i="15"/>
  <c r="BF162" i="15"/>
  <c r="BM162" i="15" s="1"/>
  <c r="BK162" i="15"/>
  <c r="P309" i="15"/>
  <c r="BD299" i="15"/>
  <c r="BI299" i="15" s="1"/>
  <c r="P314" i="15"/>
  <c r="AC315" i="15"/>
  <c r="AH326" i="15"/>
  <c r="BA315" i="15"/>
  <c r="BF315" i="15" s="1"/>
  <c r="P325" i="15"/>
  <c r="O315" i="15"/>
  <c r="W315" i="15" s="1"/>
  <c r="V315" i="15" s="1"/>
  <c r="U315" i="15" s="1"/>
  <c r="J309" i="15"/>
  <c r="O301" i="15"/>
  <c r="W301" i="15" s="1"/>
  <c r="V301" i="15" s="1"/>
  <c r="U301" i="15" s="1"/>
  <c r="AC321" i="15"/>
  <c r="O166" i="15"/>
  <c r="W166" i="15" s="1"/>
  <c r="V166" i="15" s="1"/>
  <c r="U166" i="15" s="1"/>
  <c r="AC323" i="15"/>
  <c r="J308" i="15"/>
  <c r="AD309" i="15"/>
  <c r="S310" i="15"/>
  <c r="Q311" i="15"/>
  <c r="Q327" i="15"/>
  <c r="S326" i="15"/>
  <c r="Q319" i="15"/>
  <c r="S318" i="15"/>
  <c r="Q303" i="15"/>
  <c r="S302" i="15"/>
  <c r="R327" i="15"/>
  <c r="T326" i="15"/>
  <c r="T310" i="15"/>
  <c r="R311" i="15"/>
  <c r="R319" i="15"/>
  <c r="T318" i="15"/>
  <c r="Q312" i="15"/>
  <c r="S311" i="15"/>
  <c r="S303" i="15"/>
  <c r="Q304" i="15"/>
  <c r="R303" i="15"/>
  <c r="T302" i="15"/>
  <c r="M97" i="15"/>
  <c r="J97" i="15" s="1"/>
  <c r="AF108" i="6"/>
  <c r="T303" i="15"/>
  <c r="R304" i="15"/>
  <c r="Q328" i="15"/>
  <c r="S327" i="15"/>
  <c r="M7" i="6"/>
  <c r="O78" i="15" s="1"/>
  <c r="U78" i="15" s="1"/>
  <c r="I78" i="15"/>
  <c r="AF7" i="6"/>
  <c r="I99" i="6"/>
  <c r="S91" i="15" s="1"/>
  <c r="P91" i="15" s="1"/>
  <c r="M91" i="15"/>
  <c r="J91" i="15" s="1"/>
  <c r="AF99" i="6"/>
  <c r="M103" i="15"/>
  <c r="J103" i="15" s="1"/>
  <c r="AF117" i="6"/>
  <c r="AB78" i="15"/>
  <c r="AB80" i="15"/>
  <c r="M121" i="15"/>
  <c r="J121" i="15" s="1"/>
  <c r="AF144" i="6"/>
  <c r="M109" i="15"/>
  <c r="J109" i="15" s="1"/>
  <c r="AF126" i="6"/>
  <c r="AB79" i="15"/>
  <c r="O99" i="15"/>
  <c r="W99" i="15" s="1"/>
  <c r="V99" i="15" s="1"/>
  <c r="U99" i="15" s="1"/>
  <c r="O111" i="15"/>
  <c r="W111" i="15" s="1"/>
  <c r="V111" i="15" s="1"/>
  <c r="U111" i="15" s="1"/>
  <c r="O117" i="15"/>
  <c r="W117" i="15" s="1"/>
  <c r="V117" i="15" s="1"/>
  <c r="U117" i="15" s="1"/>
  <c r="O129" i="15"/>
  <c r="W129" i="15" s="1"/>
  <c r="V129" i="15" s="1"/>
  <c r="U129" i="15" s="1"/>
  <c r="O87" i="15"/>
  <c r="W87" i="15" s="1"/>
  <c r="V87" i="15" s="1"/>
  <c r="U87" i="15" s="1"/>
  <c r="O123" i="15"/>
  <c r="W123" i="15" s="1"/>
  <c r="V123" i="15" s="1"/>
  <c r="U123" i="15" s="1"/>
  <c r="DG134" i="6"/>
  <c r="AA115" i="15" s="1"/>
  <c r="AB115" i="15"/>
  <c r="AB112" i="15"/>
  <c r="DG132" i="6"/>
  <c r="AA114" i="15" s="1"/>
  <c r="AB114" i="15"/>
  <c r="AB121" i="15"/>
  <c r="DG141" i="6"/>
  <c r="AA120" i="15" s="1"/>
  <c r="AB120" i="15"/>
  <c r="DG138" i="6"/>
  <c r="AA118" i="15" s="1"/>
  <c r="AB118" i="15"/>
  <c r="AB97" i="15"/>
  <c r="AB102" i="15"/>
  <c r="DG84" i="6"/>
  <c r="AA82" i="15" s="1"/>
  <c r="AB82" i="15"/>
  <c r="AB103" i="15"/>
  <c r="DG87" i="6"/>
  <c r="AA84" i="15" s="1"/>
  <c r="AB84" i="15"/>
  <c r="AB91" i="15"/>
  <c r="DG102" i="6"/>
  <c r="AA94" i="15" s="1"/>
  <c r="AB94" i="15"/>
  <c r="DG93" i="6"/>
  <c r="AA88" i="15" s="1"/>
  <c r="AB88" i="15"/>
  <c r="DG105" i="6"/>
  <c r="AA96" i="15" s="1"/>
  <c r="AB96" i="15"/>
  <c r="DG89" i="6"/>
  <c r="AA85" i="15" s="1"/>
  <c r="AB85" i="15"/>
  <c r="AB109" i="15"/>
  <c r="DG120" i="6"/>
  <c r="AA106" i="15" s="1"/>
  <c r="AB106" i="15"/>
  <c r="DG123" i="6"/>
  <c r="AA108" i="15" s="1"/>
  <c r="AB108" i="15"/>
  <c r="AB164" i="15"/>
  <c r="DG1375" i="6"/>
  <c r="AA164" i="15" s="1"/>
  <c r="DG1271" i="6"/>
  <c r="AA158" i="15" s="1"/>
  <c r="AB158" i="15"/>
  <c r="I28" i="6"/>
  <c r="I29" i="6" s="1"/>
  <c r="I30" i="6" s="1"/>
  <c r="AF27" i="6"/>
  <c r="AB166" i="15"/>
  <c r="DG1383" i="6"/>
  <c r="AA166" i="15" s="1"/>
  <c r="AB165" i="15"/>
  <c r="DG1379" i="6"/>
  <c r="AA165" i="15" s="1"/>
  <c r="DG1273" i="6"/>
  <c r="AA159" i="15" s="1"/>
  <c r="AB159" i="15"/>
  <c r="DG1279" i="6"/>
  <c r="AA162" i="15" s="1"/>
  <c r="AB162" i="15"/>
  <c r="Q320" i="15"/>
  <c r="S319" i="15"/>
  <c r="DG1275" i="6"/>
  <c r="AA160" i="15" s="1"/>
  <c r="AB160" i="15"/>
  <c r="O93" i="15"/>
  <c r="W93" i="15" s="1"/>
  <c r="V93" i="15" s="1"/>
  <c r="U93" i="15" s="1"/>
  <c r="DG1277" i="6"/>
  <c r="AA161" i="15" s="1"/>
  <c r="AB161" i="15"/>
  <c r="I40" i="6"/>
  <c r="I41" i="6" s="1"/>
  <c r="AF39" i="6"/>
  <c r="O105" i="15"/>
  <c r="W105" i="15" s="1"/>
  <c r="V105" i="15" s="1"/>
  <c r="U105" i="15" s="1"/>
  <c r="R312" i="15"/>
  <c r="T311" i="15"/>
  <c r="T319" i="15"/>
  <c r="R320" i="15"/>
  <c r="R328" i="15"/>
  <c r="T327" i="15"/>
  <c r="AB90" i="15"/>
  <c r="AB100" i="15"/>
  <c r="DI57" i="16"/>
  <c r="AF14" i="15" s="1"/>
  <c r="AC14" i="15" s="1"/>
  <c r="I51" i="16"/>
  <c r="L17" i="15"/>
  <c r="I17" i="15" s="1"/>
  <c r="AF63" i="16"/>
  <c r="L10" i="15"/>
  <c r="I10" i="15" s="1"/>
  <c r="AF49" i="16"/>
  <c r="L11" i="15"/>
  <c r="I11" i="15" s="1"/>
  <c r="AF51" i="16"/>
  <c r="I55" i="16"/>
  <c r="L13" i="15"/>
  <c r="I13" i="15" s="1"/>
  <c r="AF55" i="16"/>
  <c r="I69" i="16"/>
  <c r="L20" i="15"/>
  <c r="I20" i="15" s="1"/>
  <c r="AF69" i="16"/>
  <c r="I59" i="16"/>
  <c r="L15" i="15"/>
  <c r="I15" i="15" s="1"/>
  <c r="AF59" i="16"/>
  <c r="DI71" i="16"/>
  <c r="L21" i="15"/>
  <c r="I21" i="15" s="1"/>
  <c r="AF71" i="16"/>
  <c r="L18" i="15"/>
  <c r="I18" i="15" s="1"/>
  <c r="AF65" i="16"/>
  <c r="L16" i="15"/>
  <c r="I16" i="15" s="1"/>
  <c r="AF61" i="16"/>
  <c r="I67" i="16"/>
  <c r="L19" i="15"/>
  <c r="I19" i="15" s="1"/>
  <c r="AF67" i="16"/>
  <c r="L14" i="15"/>
  <c r="I14" i="15" s="1"/>
  <c r="AF57" i="16"/>
  <c r="L12" i="15"/>
  <c r="I12" i="15" s="1"/>
  <c r="AF53" i="16"/>
  <c r="AC306" i="15"/>
  <c r="AC326" i="15"/>
  <c r="AD164" i="15"/>
  <c r="AC308" i="15"/>
  <c r="AD325" i="15"/>
  <c r="AC301" i="15"/>
  <c r="AC309" i="15"/>
  <c r="I74" i="15"/>
  <c r="AD301" i="15"/>
  <c r="AC310" i="15"/>
  <c r="AD317" i="15"/>
  <c r="AD299" i="15"/>
  <c r="AD300" i="15"/>
  <c r="AD315" i="15"/>
  <c r="AC432" i="15"/>
  <c r="AD308" i="15"/>
  <c r="AC317" i="15"/>
  <c r="AC299" i="15"/>
  <c r="AE303" i="15"/>
  <c r="AG302" i="15"/>
  <c r="AD302" i="15" s="1"/>
  <c r="AE327" i="15"/>
  <c r="AC327" i="15" s="1"/>
  <c r="AG326" i="15"/>
  <c r="AG310" i="15"/>
  <c r="AE311" i="15"/>
  <c r="AC311" i="15" s="1"/>
  <c r="AF312" i="15"/>
  <c r="AH311" i="15"/>
  <c r="AD311" i="15" s="1"/>
  <c r="DG25" i="2"/>
  <c r="AA585" i="15" s="1"/>
  <c r="AE585" i="15"/>
  <c r="AC585" i="15" s="1"/>
  <c r="DG11" i="2"/>
  <c r="AA571" i="15" s="1"/>
  <c r="AE571" i="15"/>
  <c r="AC571" i="15" s="1"/>
  <c r="DG146" i="7"/>
  <c r="AA387" i="15" s="1"/>
  <c r="AE387" i="15"/>
  <c r="AC387" i="15" s="1"/>
  <c r="DG133" i="7"/>
  <c r="AA374" i="15" s="1"/>
  <c r="AE374" i="15"/>
  <c r="AC374" i="15" s="1"/>
  <c r="DG128" i="7"/>
  <c r="AA369" i="15" s="1"/>
  <c r="AE369" i="15"/>
  <c r="AC369" i="15" s="1"/>
  <c r="DG1180" i="7"/>
  <c r="AA515" i="15" s="1"/>
  <c r="AE515" i="15"/>
  <c r="AC515" i="15" s="1"/>
  <c r="DG132" i="7"/>
  <c r="AA373" i="15" s="1"/>
  <c r="AE373" i="15"/>
  <c r="AC373" i="15" s="1"/>
  <c r="DG135" i="7"/>
  <c r="AA376" i="15" s="1"/>
  <c r="AE376" i="15"/>
  <c r="AC376" i="15" s="1"/>
  <c r="DG127" i="7"/>
  <c r="AA368" i="15" s="1"/>
  <c r="AE368" i="15"/>
  <c r="AC368" i="15" s="1"/>
  <c r="DG588" i="7"/>
  <c r="AA417" i="15" s="1"/>
  <c r="AE417" i="15"/>
  <c r="AC417" i="15" s="1"/>
  <c r="DG549" i="7"/>
  <c r="AA409" i="15" s="1"/>
  <c r="AE409" i="15"/>
  <c r="AC409" i="15" s="1"/>
  <c r="DG130" i="7"/>
  <c r="AA371" i="15" s="1"/>
  <c r="AE371" i="15"/>
  <c r="AC371" i="15" s="1"/>
  <c r="DG153" i="7"/>
  <c r="AA394" i="15" s="1"/>
  <c r="AE394" i="15"/>
  <c r="AC394" i="15" s="1"/>
  <c r="DG131" i="7"/>
  <c r="AA372" i="15" s="1"/>
  <c r="AE372" i="15"/>
  <c r="AC372" i="15" s="1"/>
  <c r="DG60" i="7"/>
  <c r="AA360" i="15" s="1"/>
  <c r="AE360" i="15"/>
  <c r="AC360" i="15" s="1"/>
  <c r="DG1185" i="7"/>
  <c r="AA520" i="15" s="1"/>
  <c r="AE520" i="15"/>
  <c r="AC520" i="15" s="1"/>
  <c r="DG837" i="7"/>
  <c r="AA446" i="15" s="1"/>
  <c r="AE446" i="15"/>
  <c r="AC446" i="15" s="1"/>
  <c r="DG1184" i="7"/>
  <c r="AA519" i="15" s="1"/>
  <c r="AE519" i="15"/>
  <c r="AC519" i="15" s="1"/>
  <c r="DG63" i="7"/>
  <c r="AA363" i="15" s="1"/>
  <c r="AE363" i="15"/>
  <c r="AC363" i="15" s="1"/>
  <c r="DG9" i="2"/>
  <c r="AE569" i="15"/>
  <c r="AC569" i="15" s="1"/>
  <c r="DG14" i="2"/>
  <c r="AA574" i="15" s="1"/>
  <c r="AE574" i="15"/>
  <c r="AC574" i="15" s="1"/>
  <c r="DG839" i="7"/>
  <c r="AA448" i="15" s="1"/>
  <c r="AE448" i="15"/>
  <c r="AC448" i="15" s="1"/>
  <c r="DG137" i="7"/>
  <c r="AA378" i="15" s="1"/>
  <c r="AE378" i="15"/>
  <c r="AC378" i="15" s="1"/>
  <c r="DG20" i="7"/>
  <c r="AA357" i="15" s="1"/>
  <c r="AE357" i="15"/>
  <c r="AC357" i="15" s="1"/>
  <c r="DG294" i="2"/>
  <c r="AA638" i="15" s="1"/>
  <c r="AE638" i="15"/>
  <c r="AC638" i="15" s="1"/>
  <c r="DG219" i="2"/>
  <c r="AA628" i="15" s="1"/>
  <c r="AE628" i="15"/>
  <c r="AC628" i="15" s="1"/>
  <c r="AG319" i="15"/>
  <c r="AE320" i="15"/>
  <c r="DG136" i="7"/>
  <c r="AA377" i="15" s="1"/>
  <c r="AE377" i="15"/>
  <c r="AC377" i="15" s="1"/>
  <c r="AF328" i="15"/>
  <c r="AH327" i="15"/>
  <c r="AH319" i="15"/>
  <c r="AF320" i="15"/>
  <c r="AE328" i="15"/>
  <c r="AG327" i="15"/>
  <c r="DG17" i="7"/>
  <c r="AA354" i="15" s="1"/>
  <c r="AE354" i="15"/>
  <c r="AC354" i="15" s="1"/>
  <c r="DG838" i="7"/>
  <c r="AA447" i="15" s="1"/>
  <c r="AE447" i="15"/>
  <c r="AC447" i="15" s="1"/>
  <c r="DG145" i="7"/>
  <c r="AA386" i="15" s="1"/>
  <c r="AE386" i="15"/>
  <c r="AC386" i="15" s="1"/>
  <c r="DG297" i="2"/>
  <c r="AA641" i="15" s="1"/>
  <c r="AE641" i="15"/>
  <c r="AC641" i="15" s="1"/>
  <c r="DG751" i="2"/>
  <c r="AE717" i="15"/>
  <c r="AC717" i="15" s="1"/>
  <c r="DG296" i="2"/>
  <c r="AA640" i="15" s="1"/>
  <c r="AE640" i="15"/>
  <c r="AC640" i="15" s="1"/>
  <c r="DG147" i="7"/>
  <c r="AA388" i="15" s="1"/>
  <c r="AE388" i="15"/>
  <c r="AC388" i="15" s="1"/>
  <c r="DG15" i="7"/>
  <c r="AA352" i="15" s="1"/>
  <c r="AE352" i="15"/>
  <c r="AC352" i="15" s="1"/>
  <c r="DG8" i="5"/>
  <c r="AA43" i="15" s="1"/>
  <c r="AE43" i="15"/>
  <c r="AC43" i="15" s="1"/>
  <c r="DG32" i="2"/>
  <c r="AA592" i="15" s="1"/>
  <c r="AE592" i="15"/>
  <c r="AC592" i="15" s="1"/>
  <c r="DG272" i="5"/>
  <c r="AA66" i="15" s="1"/>
  <c r="AE66" i="15"/>
  <c r="AC66" i="15" s="1"/>
  <c r="DG143" i="7"/>
  <c r="AA384" i="15" s="1"/>
  <c r="AE384" i="15"/>
  <c r="AC384" i="15" s="1"/>
  <c r="DG65" i="7"/>
  <c r="AA365" i="15" s="1"/>
  <c r="AE365" i="15"/>
  <c r="AC365" i="15" s="1"/>
  <c r="DG9" i="5"/>
  <c r="AA44" i="15" s="1"/>
  <c r="AE44" i="15"/>
  <c r="AC44" i="15" s="1"/>
  <c r="DG134" i="7"/>
  <c r="AA375" i="15" s="1"/>
  <c r="AE375" i="15"/>
  <c r="AC375" i="15" s="1"/>
  <c r="DG590" i="7"/>
  <c r="AA418" i="15" s="1"/>
  <c r="AE418" i="15"/>
  <c r="AC418" i="15" s="1"/>
  <c r="DG657" i="2"/>
  <c r="AA708" i="15" s="1"/>
  <c r="AE708" i="15"/>
  <c r="AC708" i="15" s="1"/>
  <c r="DG16" i="2"/>
  <c r="AA576" i="15" s="1"/>
  <c r="AE576" i="15"/>
  <c r="AC576" i="15" s="1"/>
  <c r="DG12" i="2"/>
  <c r="AA572" i="15" s="1"/>
  <c r="AE572" i="15"/>
  <c r="AC572" i="15" s="1"/>
  <c r="DG26" i="2"/>
  <c r="AA586" i="15" s="1"/>
  <c r="AE586" i="15"/>
  <c r="AC586" i="15" s="1"/>
  <c r="DG20" i="2"/>
  <c r="AA580" i="15" s="1"/>
  <c r="AE580" i="15"/>
  <c r="AC580" i="15" s="1"/>
  <c r="DG1188" i="7"/>
  <c r="AA523" i="15" s="1"/>
  <c r="AE523" i="15"/>
  <c r="AC523" i="15" s="1"/>
  <c r="DG119" i="6"/>
  <c r="AA105" i="15" s="1"/>
  <c r="AE105" i="15"/>
  <c r="AC105" i="15" s="1"/>
  <c r="DG128" i="6"/>
  <c r="AA111" i="15" s="1"/>
  <c r="AE111" i="15"/>
  <c r="AC111" i="15" s="1"/>
  <c r="DG92" i="6"/>
  <c r="AA87" i="15" s="1"/>
  <c r="AE87" i="15"/>
  <c r="AC87" i="15" s="1"/>
  <c r="DG870" i="2"/>
  <c r="AA728" i="15" s="1"/>
  <c r="AE728" i="15"/>
  <c r="AC728" i="15" s="1"/>
  <c r="DG278" i="5"/>
  <c r="AA72" i="15" s="1"/>
  <c r="AE72" i="15"/>
  <c r="AC72" i="15" s="1"/>
  <c r="DG277" i="5"/>
  <c r="AA71" i="15" s="1"/>
  <c r="AE71" i="15"/>
  <c r="AC71" i="15" s="1"/>
  <c r="DG232" i="5"/>
  <c r="AA63" i="15" s="1"/>
  <c r="AE63" i="15"/>
  <c r="AC63" i="15" s="1"/>
  <c r="DG182" i="5"/>
  <c r="AA58" i="15" s="1"/>
  <c r="DG231" i="5"/>
  <c r="AA62" i="15" s="1"/>
  <c r="DG10" i="5"/>
  <c r="AA45" i="15" s="1"/>
  <c r="I307" i="5"/>
  <c r="O74" i="15" s="1"/>
  <c r="V74" i="15" s="1"/>
  <c r="U74" i="15" s="1"/>
  <c r="AF307" i="5"/>
  <c r="DG967" i="7"/>
  <c r="AA472" i="15" s="1"/>
  <c r="DG959" i="7"/>
  <c r="AA464" i="15" s="1"/>
  <c r="DG957" i="7"/>
  <c r="AA462" i="15" s="1"/>
  <c r="DG958" i="7"/>
  <c r="AA463" i="15" s="1"/>
  <c r="DG962" i="7"/>
  <c r="AA467" i="15" s="1"/>
  <c r="DG963" i="7"/>
  <c r="AA468" i="15" s="1"/>
  <c r="DG961" i="7"/>
  <c r="AA466" i="15" s="1"/>
  <c r="DG966" i="7"/>
  <c r="AA471" i="15" s="1"/>
  <c r="DG960" i="7"/>
  <c r="AA465" i="15" s="1"/>
  <c r="DG956" i="7"/>
  <c r="AA461" i="15" s="1"/>
  <c r="DG965" i="7"/>
  <c r="AA470" i="15" s="1"/>
  <c r="DG964" i="7"/>
  <c r="AA469" i="15" s="1"/>
  <c r="BL225" i="15"/>
  <c r="F4467" i="6"/>
  <c r="M4467" i="6" s="1"/>
  <c r="K4467" i="6" s="1"/>
  <c r="F4435" i="6"/>
  <c r="M4435" i="6" s="1"/>
  <c r="K4435" i="6" s="1"/>
  <c r="F4436" i="6"/>
  <c r="M4436" i="6" s="1"/>
  <c r="K4436" i="6" s="1"/>
  <c r="F4441" i="6"/>
  <c r="M4441" i="6" s="1"/>
  <c r="K4441" i="6" s="1"/>
  <c r="F4450" i="6"/>
  <c r="M4450" i="6" s="1"/>
  <c r="K4450" i="6" s="1"/>
  <c r="F4451" i="6"/>
  <c r="M4451" i="6" s="1"/>
  <c r="K4451" i="6" s="1"/>
  <c r="F4437" i="6"/>
  <c r="M4437" i="6" s="1"/>
  <c r="K4437" i="6" s="1"/>
  <c r="F4442" i="6"/>
  <c r="M4442" i="6" s="1"/>
  <c r="K4442" i="6" s="1"/>
  <c r="F4431" i="6"/>
  <c r="M4431" i="6" s="1"/>
  <c r="K4431" i="6" s="1"/>
  <c r="F4440" i="6"/>
  <c r="M4440" i="6" s="1"/>
  <c r="K4440" i="6" s="1"/>
  <c r="F4444" i="6"/>
  <c r="M4444" i="6" s="1"/>
  <c r="K4444" i="6" s="1"/>
  <c r="F4433" i="6"/>
  <c r="M4433" i="6" s="1"/>
  <c r="K4433" i="6" s="1"/>
  <c r="F4434" i="6"/>
  <c r="M4434" i="6" s="1"/>
  <c r="K4434" i="6" s="1"/>
  <c r="F4447" i="6"/>
  <c r="M4447" i="6" s="1"/>
  <c r="K4447" i="6" s="1"/>
  <c r="F4448" i="6"/>
  <c r="M4448" i="6" s="1"/>
  <c r="K4448" i="6" s="1"/>
  <c r="F4449" i="6"/>
  <c r="M4449" i="6" s="1"/>
  <c r="K4449" i="6" s="1"/>
  <c r="F4462" i="6"/>
  <c r="M4462" i="6" s="1"/>
  <c r="K4462" i="6" s="1"/>
  <c r="F4463" i="6"/>
  <c r="M4463" i="6" s="1"/>
  <c r="K4463" i="6" s="1"/>
  <c r="F4452" i="6"/>
  <c r="M4452" i="6" s="1"/>
  <c r="K4452" i="6" s="1"/>
  <c r="F4454" i="6"/>
  <c r="M4454" i="6" s="1"/>
  <c r="K4454" i="6" s="1"/>
  <c r="F4445" i="6"/>
  <c r="M4445" i="6" s="1"/>
  <c r="K4445" i="6" s="1"/>
  <c r="F4446" i="6"/>
  <c r="M4446" i="6" s="1"/>
  <c r="K4446" i="6" s="1"/>
  <c r="F4456" i="6"/>
  <c r="M4456" i="6" s="1"/>
  <c r="K4456" i="6" s="1"/>
  <c r="F4460" i="6"/>
  <c r="M4460" i="6" s="1"/>
  <c r="K4460" i="6" s="1"/>
  <c r="F4461" i="6"/>
  <c r="M4461" i="6" s="1"/>
  <c r="K4461" i="6" s="1"/>
  <c r="F4453" i="6"/>
  <c r="M4453" i="6" s="1"/>
  <c r="K4453" i="6" s="1"/>
  <c r="F4459" i="6"/>
  <c r="M4459" i="6" s="1"/>
  <c r="K4459" i="6" s="1"/>
  <c r="F4465" i="6"/>
  <c r="M4465" i="6" s="1"/>
  <c r="K4465" i="6" s="1"/>
  <c r="F4464" i="6"/>
  <c r="M4464" i="6" s="1"/>
  <c r="K4464" i="6" s="1"/>
  <c r="F4438" i="6"/>
  <c r="M4438" i="6" s="1"/>
  <c r="K4438" i="6" s="1"/>
  <c r="F4439" i="6"/>
  <c r="M4439" i="6" s="1"/>
  <c r="K4439" i="6" s="1"/>
  <c r="F4457" i="6"/>
  <c r="M4457" i="6" s="1"/>
  <c r="K4457" i="6" s="1"/>
  <c r="F4458" i="6"/>
  <c r="M4458" i="6" s="1"/>
  <c r="K4458" i="6" s="1"/>
  <c r="F4430" i="6"/>
  <c r="M4430" i="6" s="1"/>
  <c r="K4430" i="6" s="1"/>
  <c r="F4466" i="6"/>
  <c r="M4466" i="6" s="1"/>
  <c r="K4466" i="6" s="1"/>
  <c r="F4443" i="6"/>
  <c r="M4443" i="6" s="1"/>
  <c r="K4443" i="6" s="1"/>
  <c r="F4455" i="6"/>
  <c r="M4455" i="6" s="1"/>
  <c r="K4455" i="6" s="1"/>
  <c r="F4432" i="6"/>
  <c r="M4432" i="6" s="1"/>
  <c r="K4432" i="6" s="1"/>
  <c r="F4429" i="6"/>
  <c r="M4429" i="6" s="1"/>
  <c r="K4429" i="6" s="1"/>
  <c r="F4428" i="6"/>
  <c r="M4428" i="6" s="1"/>
  <c r="K4428" i="6" s="1"/>
  <c r="K1789" i="6"/>
  <c r="DJ1789" i="6" s="1"/>
  <c r="K1559" i="6"/>
  <c r="DJ1559" i="6" s="1"/>
  <c r="K1835" i="6"/>
  <c r="DJ1835" i="6" s="1"/>
  <c r="K1741" i="6"/>
  <c r="DJ1741" i="6" s="1"/>
  <c r="K1873" i="6"/>
  <c r="DJ1873" i="6" s="1"/>
  <c r="K1805" i="6"/>
  <c r="DJ1805" i="6" s="1"/>
  <c r="K1603" i="6"/>
  <c r="DJ1603" i="6" s="1"/>
  <c r="K1583" i="6"/>
  <c r="DJ1583" i="6" s="1"/>
  <c r="K1757" i="6"/>
  <c r="DJ1757" i="6" s="1"/>
  <c r="K1821" i="6"/>
  <c r="DJ1821" i="6" s="1"/>
  <c r="K1851" i="6"/>
  <c r="DJ1851" i="6" s="1"/>
  <c r="K1687" i="6"/>
  <c r="DJ1687" i="6" s="1"/>
  <c r="K1551" i="6"/>
  <c r="DJ1551" i="6" s="1"/>
  <c r="K1773" i="6"/>
  <c r="DJ1773" i="6" s="1"/>
  <c r="I1386" i="6"/>
  <c r="R167" i="15" s="1"/>
  <c r="O167" i="15" s="1"/>
  <c r="I1388" i="6"/>
  <c r="BM217" i="15"/>
  <c r="BH259" i="15"/>
  <c r="BN259" i="15" s="1"/>
  <c r="BH281" i="15"/>
  <c r="BN281" i="15" s="1"/>
  <c r="DG4619" i="6"/>
  <c r="AA331" i="15" s="1"/>
  <c r="BN184" i="15"/>
  <c r="B1851" i="6"/>
  <c r="J4381" i="6"/>
  <c r="J3995" i="6"/>
  <c r="B1603" i="6"/>
  <c r="J4133" i="6"/>
  <c r="B1873" i="6"/>
  <c r="J4403" i="6"/>
  <c r="J4017" i="6"/>
  <c r="B1551" i="6"/>
  <c r="J4081" i="6"/>
  <c r="M4374" i="6"/>
  <c r="L4374" i="6" s="1"/>
  <c r="K4374" i="6" s="1"/>
  <c r="AF4374" i="6" s="1"/>
  <c r="M4138" i="6"/>
  <c r="L4138" i="6" s="1"/>
  <c r="M4324" i="6"/>
  <c r="L4324" i="6" s="1"/>
  <c r="M4404" i="6"/>
  <c r="L4404" i="6" s="1"/>
  <c r="K4404" i="6" s="1"/>
  <c r="AF4404" i="6" s="1"/>
  <c r="M4168" i="6"/>
  <c r="L4168" i="6" s="1"/>
  <c r="M4156" i="6"/>
  <c r="L4156" i="6" s="1"/>
  <c r="M4406" i="6"/>
  <c r="L4406" i="6" s="1"/>
  <c r="K4406" i="6" s="1"/>
  <c r="AF4406" i="6" s="1"/>
  <c r="M4182" i="6"/>
  <c r="L4182" i="6" s="1"/>
  <c r="M4238" i="6"/>
  <c r="L4238" i="6" s="1"/>
  <c r="K4238" i="6" s="1"/>
  <c r="AF4238" i="6" s="1"/>
  <c r="M4160" i="6"/>
  <c r="L4160" i="6" s="1"/>
  <c r="M4178" i="6"/>
  <c r="L4178" i="6" s="1"/>
  <c r="M4328" i="6"/>
  <c r="L4328" i="6" s="1"/>
  <c r="M4418" i="6"/>
  <c r="L4418" i="6" s="1"/>
  <c r="M4312" i="6"/>
  <c r="L4312" i="6" s="1"/>
  <c r="K4312" i="6" s="1"/>
  <c r="AF4312" i="6" s="1"/>
  <c r="M4316" i="6"/>
  <c r="L4316" i="6" s="1"/>
  <c r="K4316" i="6" s="1"/>
  <c r="AF4316" i="6" s="1"/>
  <c r="M4296" i="6"/>
  <c r="L4296" i="6" s="1"/>
  <c r="M4222" i="6"/>
  <c r="L4222" i="6" s="1"/>
  <c r="M4390" i="6"/>
  <c r="L4390" i="6" s="1"/>
  <c r="K4390" i="6" s="1"/>
  <c r="AF4390" i="6" s="1"/>
  <c r="M4420" i="6"/>
  <c r="L4420" i="6" s="1"/>
  <c r="K4420" i="6" s="1"/>
  <c r="AF4420" i="6" s="1"/>
  <c r="M4382" i="6"/>
  <c r="L4382" i="6" s="1"/>
  <c r="K4382" i="6" s="1"/>
  <c r="AF4382" i="6" s="1"/>
  <c r="M4126" i="6"/>
  <c r="L4126" i="6" s="1"/>
  <c r="M4236" i="6"/>
  <c r="L4236" i="6" s="1"/>
  <c r="M4206" i="6"/>
  <c r="L4206" i="6" s="1"/>
  <c r="M4214" i="6"/>
  <c r="L4214" i="6" s="1"/>
  <c r="K4214" i="6" s="1"/>
  <c r="AF4214" i="6" s="1"/>
  <c r="M4336" i="6"/>
  <c r="L4336" i="6" s="1"/>
  <c r="M4194" i="6"/>
  <c r="L4194" i="6" s="1"/>
  <c r="K4194" i="6" s="1"/>
  <c r="AF4194" i="6" s="1"/>
  <c r="M4260" i="6"/>
  <c r="L4260" i="6" s="1"/>
  <c r="M4300" i="6"/>
  <c r="L4300" i="6" s="1"/>
  <c r="M4172" i="6"/>
  <c r="L4172" i="6" s="1"/>
  <c r="M4150" i="6"/>
  <c r="L4150" i="6" s="1"/>
  <c r="K4150" i="6" s="1"/>
  <c r="AF4150" i="6" s="1"/>
  <c r="M4248" i="6"/>
  <c r="L4248" i="6" s="1"/>
  <c r="K4248" i="6" s="1"/>
  <c r="AF4248" i="6" s="1"/>
  <c r="M4106" i="6"/>
  <c r="L4106" i="6" s="1"/>
  <c r="K4106" i="6" s="1"/>
  <c r="AF4106" i="6" s="1"/>
  <c r="M4320" i="6"/>
  <c r="L4320" i="6" s="1"/>
  <c r="M4110" i="6"/>
  <c r="L4110" i="6" s="1"/>
  <c r="K4110" i="6" s="1"/>
  <c r="AF4110" i="6" s="1"/>
  <c r="M4234" i="6"/>
  <c r="L4234" i="6" s="1"/>
  <c r="M4308" i="6"/>
  <c r="L4308" i="6" s="1"/>
  <c r="M4152" i="6"/>
  <c r="L4152" i="6" s="1"/>
  <c r="K4152" i="6" s="1"/>
  <c r="AF4152" i="6" s="1"/>
  <c r="M4146" i="6"/>
  <c r="L4146" i="6" s="1"/>
  <c r="K4146" i="6" s="1"/>
  <c r="AF4146" i="6" s="1"/>
  <c r="M4094" i="6"/>
  <c r="L4094" i="6" s="1"/>
  <c r="M4162" i="6"/>
  <c r="L4162" i="6" s="1"/>
  <c r="K4162" i="6" s="1"/>
  <c r="AF4162" i="6" s="1"/>
  <c r="M4378" i="6"/>
  <c r="L4378" i="6" s="1"/>
  <c r="K4378" i="6" s="1"/>
  <c r="AF4378" i="6" s="1"/>
  <c r="M4158" i="6"/>
  <c r="L4158" i="6" s="1"/>
  <c r="K4158" i="6" s="1"/>
  <c r="AF4158" i="6" s="1"/>
  <c r="M4226" i="6"/>
  <c r="L4226" i="6" s="1"/>
  <c r="K4226" i="6" s="1"/>
  <c r="AF4226" i="6" s="1"/>
  <c r="M4198" i="6"/>
  <c r="L4198" i="6" s="1"/>
  <c r="M4366" i="6"/>
  <c r="L4366" i="6" s="1"/>
  <c r="M4362" i="6"/>
  <c r="L4362" i="6" s="1"/>
  <c r="M4408" i="6"/>
  <c r="L4408" i="6" s="1"/>
  <c r="K4408" i="6" s="1"/>
  <c r="AF4408" i="6" s="1"/>
  <c r="M4176" i="6"/>
  <c r="L4176" i="6" s="1"/>
  <c r="K4176" i="6" s="1"/>
  <c r="AF4176" i="6" s="1"/>
  <c r="M4304" i="6"/>
  <c r="M4288" i="6"/>
  <c r="L4288" i="6" s="1"/>
  <c r="M4124" i="6"/>
  <c r="L4124" i="6" s="1"/>
  <c r="M4396" i="6"/>
  <c r="L4396" i="6" s="1"/>
  <c r="K4396" i="6" s="1"/>
  <c r="AF4396" i="6" s="1"/>
  <c r="M4114" i="6"/>
  <c r="L4114" i="6" s="1"/>
  <c r="K4114" i="6" s="1"/>
  <c r="AF4114" i="6" s="1"/>
  <c r="M4118" i="6"/>
  <c r="L4118" i="6" s="1"/>
  <c r="K4118" i="6" s="1"/>
  <c r="AF4118" i="6" s="1"/>
  <c r="M4340" i="6"/>
  <c r="L4340" i="6" s="1"/>
  <c r="M4082" i="6"/>
  <c r="L4082" i="6" s="1"/>
  <c r="M4086" i="6"/>
  <c r="L4086" i="6" s="1"/>
  <c r="M4202" i="6"/>
  <c r="L4202" i="6" s="1"/>
  <c r="K4202" i="6" s="1"/>
  <c r="AF4202" i="6" s="1"/>
  <c r="M4090" i="6"/>
  <c r="L4090" i="6" s="1"/>
  <c r="M4410" i="6"/>
  <c r="L4410" i="6" s="1"/>
  <c r="K4410" i="6" s="1"/>
  <c r="AF4410" i="6" s="1"/>
  <c r="M4414" i="6"/>
  <c r="L4414" i="6" s="1"/>
  <c r="M4148" i="6"/>
  <c r="L4148" i="6" s="1"/>
  <c r="M4272" i="6"/>
  <c r="L4272" i="6" s="1"/>
  <c r="M4256" i="6"/>
  <c r="L4256" i="6" s="1"/>
  <c r="M4166" i="6"/>
  <c r="L4166" i="6" s="1"/>
  <c r="M4116" i="6"/>
  <c r="L4116" i="6" s="1"/>
  <c r="K4116" i="6" s="1"/>
  <c r="AF4116" i="6" s="1"/>
  <c r="M4348" i="6"/>
  <c r="L4348" i="6" s="1"/>
  <c r="K4348" i="6" s="1"/>
  <c r="AF4348" i="6" s="1"/>
  <c r="M4098" i="6"/>
  <c r="L4098" i="6" s="1"/>
  <c r="K4098" i="6" s="1"/>
  <c r="AF4098" i="6" s="1"/>
  <c r="M4144" i="6"/>
  <c r="L4144" i="6" s="1"/>
  <c r="K4144" i="6" s="1"/>
  <c r="AF4144" i="6" s="1"/>
  <c r="M4284" i="6"/>
  <c r="L4284" i="6" s="1"/>
  <c r="K4284" i="6" s="1"/>
  <c r="AF4284" i="6" s="1"/>
  <c r="M4352" i="6"/>
  <c r="L4352" i="6" s="1"/>
  <c r="K4352" i="6" s="1"/>
  <c r="AF4352" i="6" s="1"/>
  <c r="M4244" i="6"/>
  <c r="L4244" i="6" s="1"/>
  <c r="K4244" i="6" s="1"/>
  <c r="AF4244" i="6" s="1"/>
  <c r="M4122" i="6"/>
  <c r="L4122" i="6" s="1"/>
  <c r="M4200" i="6"/>
  <c r="L4200" i="6" s="1"/>
  <c r="M4130" i="6"/>
  <c r="L4130" i="6" s="1"/>
  <c r="M4400" i="6"/>
  <c r="L4400" i="6" s="1"/>
  <c r="K4400" i="6" s="1"/>
  <c r="AF4400" i="6" s="1"/>
  <c r="M4230" i="6"/>
  <c r="L4230" i="6" s="1"/>
  <c r="K4230" i="6" s="1"/>
  <c r="AF4230" i="6" s="1"/>
  <c r="M4228" i="6"/>
  <c r="L4228" i="6" s="1"/>
  <c r="M4180" i="6"/>
  <c r="L4180" i="6" s="1"/>
  <c r="M4268" i="6"/>
  <c r="L4268" i="6" s="1"/>
  <c r="M4370" i="6"/>
  <c r="L4370" i="6" s="1"/>
  <c r="M4344" i="6"/>
  <c r="L4344" i="6" s="1"/>
  <c r="K4344" i="6" s="1"/>
  <c r="AF4344" i="6" s="1"/>
  <c r="M4210" i="6"/>
  <c r="L4210" i="6" s="1"/>
  <c r="K4210" i="6" s="1"/>
  <c r="AF4210" i="6" s="1"/>
  <c r="M4356" i="6"/>
  <c r="L4356" i="6" s="1"/>
  <c r="K4356" i="6" s="1"/>
  <c r="AF4356" i="6" s="1"/>
  <c r="M4232" i="6"/>
  <c r="L4232" i="6" s="1"/>
  <c r="K4232" i="6" s="1"/>
  <c r="AF4232" i="6" s="1"/>
  <c r="M4174" i="6"/>
  <c r="L4174" i="6" s="1"/>
  <c r="K4174" i="6" s="1"/>
  <c r="AF4174" i="6" s="1"/>
  <c r="M4292" i="6"/>
  <c r="L4292" i="6" s="1"/>
  <c r="M4154" i="6"/>
  <c r="L4154" i="6" s="1"/>
  <c r="M4104" i="6"/>
  <c r="L4104" i="6" s="1"/>
  <c r="M4142" i="6"/>
  <c r="L4142" i="6" s="1"/>
  <c r="K4142" i="6" s="1"/>
  <c r="AF4142" i="6" s="1"/>
  <c r="M4386" i="6"/>
  <c r="L4386" i="6" s="1"/>
  <c r="K4386" i="6" s="1"/>
  <c r="AF4386" i="6" s="1"/>
  <c r="M4250" i="6"/>
  <c r="L4250" i="6" s="1"/>
  <c r="K4250" i="6" s="1"/>
  <c r="AF4250" i="6" s="1"/>
  <c r="M4100" i="6"/>
  <c r="L4100" i="6" s="1"/>
  <c r="K4100" i="6" s="1"/>
  <c r="AF4100" i="6" s="1"/>
  <c r="M4332" i="6"/>
  <c r="L4332" i="6" s="1"/>
  <c r="M4388" i="6"/>
  <c r="L4388" i="6" s="1"/>
  <c r="K4388" i="6" s="1"/>
  <c r="AF4388" i="6" s="1"/>
  <c r="M4264" i="6"/>
  <c r="L4264" i="6" s="1"/>
  <c r="M4120" i="6"/>
  <c r="L4120" i="6" s="1"/>
  <c r="K4120" i="6" s="1"/>
  <c r="AF4120" i="6" s="1"/>
  <c r="M4190" i="6"/>
  <c r="L4190" i="6" s="1"/>
  <c r="K4190" i="6" s="1"/>
  <c r="AF4190" i="6" s="1"/>
  <c r="M4422" i="6"/>
  <c r="L4422" i="6" s="1"/>
  <c r="K4422" i="6" s="1"/>
  <c r="M4412" i="6"/>
  <c r="L4412" i="6" s="1"/>
  <c r="M4254" i="6"/>
  <c r="L4254" i="6" s="1"/>
  <c r="M4276" i="6"/>
  <c r="L4276" i="6" s="1"/>
  <c r="M4164" i="6"/>
  <c r="L4164" i="6" s="1"/>
  <c r="K4164" i="6" s="1"/>
  <c r="AF4164" i="6" s="1"/>
  <c r="M4280" i="6"/>
  <c r="L4280" i="6" s="1"/>
  <c r="K4280" i="6" s="1"/>
  <c r="AF4280" i="6" s="1"/>
  <c r="M4196" i="6"/>
  <c r="L4196" i="6" s="1"/>
  <c r="K4196" i="6" s="1"/>
  <c r="AF4196" i="6" s="1"/>
  <c r="M4192" i="6"/>
  <c r="L4192" i="6" s="1"/>
  <c r="M4394" i="6"/>
  <c r="L4394" i="6" s="1"/>
  <c r="M4134" i="6"/>
  <c r="L4134" i="6" s="1"/>
  <c r="M4186" i="6"/>
  <c r="L4186" i="6" s="1"/>
  <c r="M4392" i="6"/>
  <c r="L4392" i="6" s="1"/>
  <c r="M4170" i="6"/>
  <c r="L4170" i="6" s="1"/>
  <c r="K4170" i="6" s="1"/>
  <c r="AF4170" i="6" s="1"/>
  <c r="M4242" i="6"/>
  <c r="L4242" i="6" s="1"/>
  <c r="K4242" i="6" s="1"/>
  <c r="AF4242" i="6" s="1"/>
  <c r="M4358" i="6"/>
  <c r="L4358" i="6" s="1"/>
  <c r="M4416" i="6"/>
  <c r="L4416" i="6" s="1"/>
  <c r="M4218" i="6"/>
  <c r="L4218" i="6" s="1"/>
  <c r="M4102" i="6"/>
  <c r="L4102" i="6" s="1"/>
  <c r="B1757" i="6"/>
  <c r="J3901" i="6"/>
  <c r="J4287" i="6"/>
  <c r="J4365" i="6"/>
  <c r="J3979" i="6"/>
  <c r="B1741" i="6"/>
  <c r="J3885" i="6"/>
  <c r="J4271" i="6"/>
  <c r="B1687" i="6"/>
  <c r="J4217" i="6"/>
  <c r="BN221" i="15"/>
  <c r="J4113" i="6"/>
  <c r="J4303" i="6"/>
  <c r="J3917" i="6"/>
  <c r="B1805" i="6"/>
  <c r="J3949" i="6"/>
  <c r="J4335" i="6"/>
  <c r="B1789" i="6"/>
  <c r="J3933" i="6"/>
  <c r="J4319" i="6"/>
  <c r="J4089" i="6"/>
  <c r="BM280" i="15"/>
  <c r="J3965" i="6"/>
  <c r="J4351" i="6"/>
  <c r="BN215" i="15"/>
  <c r="BK98" i="15"/>
  <c r="BN217" i="15"/>
  <c r="BK96" i="15"/>
  <c r="BK89" i="15"/>
  <c r="BC101" i="15"/>
  <c r="BH101" i="15" s="1"/>
  <c r="BN101" i="15" s="1"/>
  <c r="BK88" i="15"/>
  <c r="BK101" i="15"/>
  <c r="DG1179" i="7"/>
  <c r="AA514" i="15" s="1"/>
  <c r="DI63" i="16"/>
  <c r="AF17" i="15" s="1"/>
  <c r="AC17" i="15" s="1"/>
  <c r="DI55" i="16"/>
  <c r="AF13" i="15" s="1"/>
  <c r="AC13" i="15" s="1"/>
  <c r="L814" i="6"/>
  <c r="AJ156" i="15" s="1"/>
  <c r="AG103" i="15"/>
  <c r="AD103" i="15" s="1"/>
  <c r="I117" i="6"/>
  <c r="S103" i="15" s="1"/>
  <c r="P103" i="15" s="1"/>
  <c r="BK100" i="15"/>
  <c r="AG97" i="15"/>
  <c r="AD97" i="15" s="1"/>
  <c r="I108" i="6"/>
  <c r="S97" i="15" s="1"/>
  <c r="P97" i="15" s="1"/>
  <c r="BC106" i="15"/>
  <c r="BH106" i="15" s="1"/>
  <c r="BN106" i="15" s="1"/>
  <c r="BC107" i="15"/>
  <c r="BH107" i="15" s="1"/>
  <c r="BN107" i="15" s="1"/>
  <c r="AG109" i="15"/>
  <c r="AD109" i="15" s="1"/>
  <c r="I126" i="6"/>
  <c r="S109" i="15" s="1"/>
  <c r="P109" i="15" s="1"/>
  <c r="BA129" i="15"/>
  <c r="BK129" i="15" s="1"/>
  <c r="AG121" i="15"/>
  <c r="AD121" i="15" s="1"/>
  <c r="I144" i="6"/>
  <c r="S121" i="15" s="1"/>
  <c r="P121" i="15" s="1"/>
  <c r="BA127" i="15"/>
  <c r="BF127" i="15" s="1"/>
  <c r="BM127" i="15" s="1"/>
  <c r="BC122" i="15"/>
  <c r="BH122" i="15" s="1"/>
  <c r="BN122" i="15" s="1"/>
  <c r="BC120" i="15"/>
  <c r="BL120" i="15" s="1"/>
  <c r="BN246" i="15"/>
  <c r="DG4617" i="6"/>
  <c r="AA330" i="15" s="1"/>
  <c r="DG4629" i="6"/>
  <c r="AA336" i="15" s="1"/>
  <c r="DG4625" i="6"/>
  <c r="AA334" i="15" s="1"/>
  <c r="DG4627" i="6"/>
  <c r="AA335" i="15" s="1"/>
  <c r="DG4631" i="6"/>
  <c r="AA337" i="15" s="1"/>
  <c r="BM186" i="15"/>
  <c r="BK186" i="15"/>
  <c r="BK188" i="15"/>
  <c r="B1773" i="6"/>
  <c r="BM188" i="15"/>
  <c r="BN196" i="15"/>
  <c r="BF102" i="15"/>
  <c r="BM102" i="15" s="1"/>
  <c r="BK92" i="15"/>
  <c r="DG4633" i="6"/>
  <c r="AA338" i="15" s="1"/>
  <c r="BF106" i="15"/>
  <c r="BM106" i="15" s="1"/>
  <c r="BC95" i="15"/>
  <c r="BH95" i="15" s="1"/>
  <c r="BN95" i="15" s="1"/>
  <c r="BK95" i="15"/>
  <c r="BK107" i="15"/>
  <c r="BM216" i="15"/>
  <c r="DG4635" i="6"/>
  <c r="AA339" i="15" s="1"/>
  <c r="BA247" i="15"/>
  <c r="BK247" i="15" s="1"/>
  <c r="DG4639" i="6"/>
  <c r="AA341" i="15" s="1"/>
  <c r="BF94" i="15"/>
  <c r="BM94" i="15" s="1"/>
  <c r="BK90" i="15"/>
  <c r="BK246" i="15"/>
  <c r="DG4643" i="6"/>
  <c r="AA343" i="15" s="1"/>
  <c r="BK279" i="15"/>
  <c r="BM231" i="15"/>
  <c r="DG4623" i="6"/>
  <c r="AA333" i="15" s="1"/>
  <c r="DG4641" i="6"/>
  <c r="AA342" i="15" s="1"/>
  <c r="DG4637" i="6"/>
  <c r="AA340" i="15" s="1"/>
  <c r="DG4621" i="6"/>
  <c r="AA332" i="15" s="1"/>
  <c r="BK104" i="15"/>
  <c r="B1821" i="6"/>
  <c r="BH256" i="15"/>
  <c r="BN256" i="15" s="1"/>
  <c r="BM195" i="15"/>
  <c r="BG255" i="15"/>
  <c r="AG91" i="15"/>
  <c r="AD91" i="15" s="1"/>
  <c r="DI309" i="5"/>
  <c r="I309" i="5"/>
  <c r="O76" i="15" s="1"/>
  <c r="V76" i="15" s="1"/>
  <c r="U76" i="15" s="1"/>
  <c r="DI307" i="5"/>
  <c r="DG10" i="7"/>
  <c r="AA347" i="15" s="1"/>
  <c r="DI49" i="16"/>
  <c r="DG68" i="16"/>
  <c r="AA20" i="15" s="1"/>
  <c r="I53" i="16"/>
  <c r="DG50" i="16"/>
  <c r="AA11" i="15" s="1"/>
  <c r="DI53" i="16"/>
  <c r="AF12" i="15" s="1"/>
  <c r="AC12" i="15" s="1"/>
  <c r="I49" i="16"/>
  <c r="DG184" i="5"/>
  <c r="AA60" i="15" s="1"/>
  <c r="DG873" i="7"/>
  <c r="AA452" i="15" s="1"/>
  <c r="DG1182" i="7"/>
  <c r="AA517" i="15" s="1"/>
  <c r="DG138" i="7"/>
  <c r="AA379" i="15" s="1"/>
  <c r="DG1183" i="7"/>
  <c r="AA518" i="15" s="1"/>
  <c r="DG58" i="16"/>
  <c r="AA15" i="15" s="1"/>
  <c r="I65" i="16"/>
  <c r="DI65" i="16"/>
  <c r="AF18" i="15" s="1"/>
  <c r="AC18" i="15" s="1"/>
  <c r="DG656" i="2"/>
  <c r="BC132" i="15"/>
  <c r="BH132" i="15" s="1"/>
  <c r="BH133" i="15"/>
  <c r="B1583" i="6"/>
  <c r="BG273" i="15"/>
  <c r="BM273" i="15" s="1"/>
  <c r="BK273" i="15"/>
  <c r="BM215" i="15"/>
  <c r="DG64" i="7"/>
  <c r="AA364" i="15" s="1"/>
  <c r="BH200" i="15"/>
  <c r="BN200" i="15" s="1"/>
  <c r="DI450" i="7"/>
  <c r="AE402" i="15" s="1"/>
  <c r="AC402" i="15" s="1"/>
  <c r="BL250" i="15"/>
  <c r="K449" i="7"/>
  <c r="O401" i="15" s="1"/>
  <c r="W401" i="15" s="1"/>
  <c r="V401" i="15" s="1"/>
  <c r="U401" i="15" s="1"/>
  <c r="DG23" i="2"/>
  <c r="AA583" i="15" s="1"/>
  <c r="DG66" i="16"/>
  <c r="AA19" i="15" s="1"/>
  <c r="DG554" i="7"/>
  <c r="AA414" i="15" s="1"/>
  <c r="BH279" i="15"/>
  <c r="BN279" i="15" s="1"/>
  <c r="BB179" i="15"/>
  <c r="BI204" i="15"/>
  <c r="B1835" i="6"/>
  <c r="BC295" i="15"/>
  <c r="BH295" i="15" s="1"/>
  <c r="BN295" i="15" s="1"/>
  <c r="BM233" i="15"/>
  <c r="B1559" i="6"/>
  <c r="BM138" i="15"/>
  <c r="BH250" i="15"/>
  <c r="BN250" i="15" s="1"/>
  <c r="BC296" i="15"/>
  <c r="BH296" i="15" s="1"/>
  <c r="BN296" i="15" s="1"/>
  <c r="DG21" i="7"/>
  <c r="AA358" i="15" s="1"/>
  <c r="BK176" i="15"/>
  <c r="BF176" i="15"/>
  <c r="BM176" i="15" s="1"/>
  <c r="BH185" i="15"/>
  <c r="BN185" i="15" s="1"/>
  <c r="BG174" i="15"/>
  <c r="BK183" i="15"/>
  <c r="BK255" i="15"/>
  <c r="BM205" i="15"/>
  <c r="BF183" i="15"/>
  <c r="BM183" i="15" s="1"/>
  <c r="BH286" i="15"/>
  <c r="BN286" i="15" s="1"/>
  <c r="BM207" i="15"/>
  <c r="BL185" i="15"/>
  <c r="BL133" i="15"/>
  <c r="DG60" i="16"/>
  <c r="AA16" i="15" s="1"/>
  <c r="BG279" i="15"/>
  <c r="BM279" i="15" s="1"/>
  <c r="BA289" i="15"/>
  <c r="BF289" i="15" s="1"/>
  <c r="BM289" i="15" s="1"/>
  <c r="BM228" i="15"/>
  <c r="BG190" i="15"/>
  <c r="BM190" i="15" s="1"/>
  <c r="BB192" i="15"/>
  <c r="BG192" i="15" s="1"/>
  <c r="BM192" i="15" s="1"/>
  <c r="BH176" i="15"/>
  <c r="BD309" i="15"/>
  <c r="BD313" i="15" s="1"/>
  <c r="BI313" i="15" s="1"/>
  <c r="BK164" i="15"/>
  <c r="BM164" i="15"/>
  <c r="BF255" i="15"/>
  <c r="BM212" i="15"/>
  <c r="BF278" i="15"/>
  <c r="BI287" i="15"/>
  <c r="DG7" i="16"/>
  <c r="DG183" i="5"/>
  <c r="AA59" i="15" s="1"/>
  <c r="BN278" i="15"/>
  <c r="BK237" i="15"/>
  <c r="BN207" i="15"/>
  <c r="BG194" i="15"/>
  <c r="BM194" i="15" s="1"/>
  <c r="BM209" i="15"/>
  <c r="BF270" i="15"/>
  <c r="BM270" i="15" s="1"/>
  <c r="BG278" i="15"/>
  <c r="BF235" i="15"/>
  <c r="BM235" i="15" s="1"/>
  <c r="BK256" i="15"/>
  <c r="BG271" i="15"/>
  <c r="BG287" i="15"/>
  <c r="BM237" i="15"/>
  <c r="BK251" i="15"/>
  <c r="BK275" i="15"/>
  <c r="BK278" i="15"/>
  <c r="BN209" i="15"/>
  <c r="BL252" i="15"/>
  <c r="BC173" i="15"/>
  <c r="BH173" i="15" s="1"/>
  <c r="BM238" i="15"/>
  <c r="BB198" i="15"/>
  <c r="BG198" i="15" s="1"/>
  <c r="BM198" i="15" s="1"/>
  <c r="BA292" i="15"/>
  <c r="BK292" i="15" s="1"/>
  <c r="BK238" i="15"/>
  <c r="BM275" i="15"/>
  <c r="BA285" i="15"/>
  <c r="BK285" i="15" s="1"/>
  <c r="BM191" i="15"/>
  <c r="BM251" i="15"/>
  <c r="BA309" i="15"/>
  <c r="BA313" i="15" s="1"/>
  <c r="BM197" i="15"/>
  <c r="BM252" i="15"/>
  <c r="BL241" i="15"/>
  <c r="BK252" i="15"/>
  <c r="BN226" i="15"/>
  <c r="BL238" i="15"/>
  <c r="BM254" i="15"/>
  <c r="BN218" i="15"/>
  <c r="BK276" i="15"/>
  <c r="BN238" i="15"/>
  <c r="BM257" i="15"/>
  <c r="BM226" i="15"/>
  <c r="BM276" i="15"/>
  <c r="BL287" i="15"/>
  <c r="BH287" i="15"/>
  <c r="BK257" i="15"/>
  <c r="BM218" i="15"/>
  <c r="BN229" i="15"/>
  <c r="BH267" i="15"/>
  <c r="BN267" i="15" s="1"/>
  <c r="BL267" i="15"/>
  <c r="BH253" i="15"/>
  <c r="BN253" i="15" s="1"/>
  <c r="BL253" i="15"/>
  <c r="BF258" i="15"/>
  <c r="BM258" i="15" s="1"/>
  <c r="BK258" i="15"/>
  <c r="BA139" i="15"/>
  <c r="BA141" i="15"/>
  <c r="BH186" i="15"/>
  <c r="BF296" i="15"/>
  <c r="BG263" i="15"/>
  <c r="BB291" i="15"/>
  <c r="BG291" i="15" s="1"/>
  <c r="BF180" i="15"/>
  <c r="BM180" i="15" s="1"/>
  <c r="BK180" i="15"/>
  <c r="BF274" i="15"/>
  <c r="BM274" i="15" s="1"/>
  <c r="BK274" i="15"/>
  <c r="BL247" i="15"/>
  <c r="BH247" i="15"/>
  <c r="BN247" i="15" s="1"/>
  <c r="BL235" i="15"/>
  <c r="BH235" i="15"/>
  <c r="BN235" i="15" s="1"/>
  <c r="BC285" i="15"/>
  <c r="BH212" i="15"/>
  <c r="BN212" i="15" s="1"/>
  <c r="BL212" i="15"/>
  <c r="BC258" i="15"/>
  <c r="BL175" i="15"/>
  <c r="BH175" i="15"/>
  <c r="BN175" i="15" s="1"/>
  <c r="BC178" i="15"/>
  <c r="BN251" i="15"/>
  <c r="BG206" i="15"/>
  <c r="BM206" i="15" s="1"/>
  <c r="BB250" i="15"/>
  <c r="BK206" i="15"/>
  <c r="BN271" i="15"/>
  <c r="BD290" i="15"/>
  <c r="BI290" i="15" s="1"/>
  <c r="BI262" i="15"/>
  <c r="BL228" i="15"/>
  <c r="BH228" i="15"/>
  <c r="BN228" i="15" s="1"/>
  <c r="BC276" i="15"/>
  <c r="BL204" i="15"/>
  <c r="BC248" i="15"/>
  <c r="BH204" i="15"/>
  <c r="BA293" i="15"/>
  <c r="BF271" i="15"/>
  <c r="BK271" i="15"/>
  <c r="BC290" i="15"/>
  <c r="BH262" i="15"/>
  <c r="BL262" i="15"/>
  <c r="BK288" i="15"/>
  <c r="BF288" i="15"/>
  <c r="BM288" i="15" s="1"/>
  <c r="BF248" i="15"/>
  <c r="BN255" i="15"/>
  <c r="BH265" i="15"/>
  <c r="BN265" i="15" s="1"/>
  <c r="BL265" i="15"/>
  <c r="BK169" i="15"/>
  <c r="BA172" i="15"/>
  <c r="BF169" i="15"/>
  <c r="BM169" i="15" s="1"/>
  <c r="BM234" i="15"/>
  <c r="BH183" i="15"/>
  <c r="BN183" i="15" s="1"/>
  <c r="BC187" i="15"/>
  <c r="BL183" i="15"/>
  <c r="BL293" i="15"/>
  <c r="BH293" i="15"/>
  <c r="BN293" i="15" s="1"/>
  <c r="BH165" i="15"/>
  <c r="BK175" i="15"/>
  <c r="BF175" i="15"/>
  <c r="BM175" i="15" s="1"/>
  <c r="BA178" i="15"/>
  <c r="BH289" i="15"/>
  <c r="BN289" i="15" s="1"/>
  <c r="BL289" i="15"/>
  <c r="BN241" i="15"/>
  <c r="BL234" i="15"/>
  <c r="BC284" i="15"/>
  <c r="BH234" i="15"/>
  <c r="BN234" i="15" s="1"/>
  <c r="BH191" i="15"/>
  <c r="BN191" i="15" s="1"/>
  <c r="BC193" i="15"/>
  <c r="BL191" i="15"/>
  <c r="BK241" i="15"/>
  <c r="BD177" i="15"/>
  <c r="BI177" i="15" s="1"/>
  <c r="BI174" i="15"/>
  <c r="BB171" i="15"/>
  <c r="BG171" i="15" s="1"/>
  <c r="BG168" i="15"/>
  <c r="BF284" i="15"/>
  <c r="BM284" i="15" s="1"/>
  <c r="BK284" i="15"/>
  <c r="BM219" i="15"/>
  <c r="BC282" i="15"/>
  <c r="BH232" i="15"/>
  <c r="BN232" i="15" s="1"/>
  <c r="BL232" i="15"/>
  <c r="BM241" i="15"/>
  <c r="BN249" i="15"/>
  <c r="BL174" i="15"/>
  <c r="BC177" i="15"/>
  <c r="BH174" i="15"/>
  <c r="BD236" i="15"/>
  <c r="BI230" i="15"/>
  <c r="BN230" i="15" s="1"/>
  <c r="BL230" i="15"/>
  <c r="BF267" i="15"/>
  <c r="BM267" i="15" s="1"/>
  <c r="BK267" i="15"/>
  <c r="BH294" i="15"/>
  <c r="BN294" i="15" s="1"/>
  <c r="BL294" i="15"/>
  <c r="BD308" i="15"/>
  <c r="BD312" i="15" s="1"/>
  <c r="BI312" i="15" s="1"/>
  <c r="BK264" i="15"/>
  <c r="BN252" i="15"/>
  <c r="BL249" i="15"/>
  <c r="BG161" i="15"/>
  <c r="BM161" i="15" s="1"/>
  <c r="BK161" i="15"/>
  <c r="BF290" i="15"/>
  <c r="BN220" i="15"/>
  <c r="BL211" i="15"/>
  <c r="BH211" i="15"/>
  <c r="BN211" i="15" s="1"/>
  <c r="BC257" i="15"/>
  <c r="BL168" i="15"/>
  <c r="BH168" i="15"/>
  <c r="BC171" i="15"/>
  <c r="BL242" i="15"/>
  <c r="BC243" i="15"/>
  <c r="BH242" i="15"/>
  <c r="BN242" i="15" s="1"/>
  <c r="BM244" i="15"/>
  <c r="BC264" i="15"/>
  <c r="BL216" i="15"/>
  <c r="BH216" i="15"/>
  <c r="BN216" i="15" s="1"/>
  <c r="BH269" i="15"/>
  <c r="BN269" i="15" s="1"/>
  <c r="BL269" i="15"/>
  <c r="BH292" i="15"/>
  <c r="BH227" i="15"/>
  <c r="BN227" i="15" s="1"/>
  <c r="BL227" i="15"/>
  <c r="BC275" i="15"/>
  <c r="BK229" i="15"/>
  <c r="BA277" i="15"/>
  <c r="BF229" i="15"/>
  <c r="BM229" i="15" s="1"/>
  <c r="BD179" i="15"/>
  <c r="BI179" i="15" s="1"/>
  <c r="BI176" i="15"/>
  <c r="BD132" i="15"/>
  <c r="BI132" i="15" s="1"/>
  <c r="BI133" i="15"/>
  <c r="BK199" i="15"/>
  <c r="BB296" i="15"/>
  <c r="BG296" i="15" s="1"/>
  <c r="BG286" i="15"/>
  <c r="BM286" i="15" s="1"/>
  <c r="BM199" i="15"/>
  <c r="BN237" i="15"/>
  <c r="BG159" i="15"/>
  <c r="BM159" i="15" s="1"/>
  <c r="BK159" i="15"/>
  <c r="BK168" i="15"/>
  <c r="BF168" i="15"/>
  <c r="BA171" i="15"/>
  <c r="BD192" i="15"/>
  <c r="BI190" i="15"/>
  <c r="BN190" i="15" s="1"/>
  <c r="BL190" i="15"/>
  <c r="BF181" i="15"/>
  <c r="BM181" i="15" s="1"/>
  <c r="BK181" i="15"/>
  <c r="BF295" i="15"/>
  <c r="BM295" i="15" s="1"/>
  <c r="BK295" i="15"/>
  <c r="BL239" i="15"/>
  <c r="BH239" i="15"/>
  <c r="BN239" i="15" s="1"/>
  <c r="BH179" i="15"/>
  <c r="BD173" i="15"/>
  <c r="BI173" i="15" s="1"/>
  <c r="BI170" i="15"/>
  <c r="BN170" i="15" s="1"/>
  <c r="BI182" i="15"/>
  <c r="BN182" i="15" s="1"/>
  <c r="BD186" i="15"/>
  <c r="BI186" i="15" s="1"/>
  <c r="BD316" i="15"/>
  <c r="BI316" i="15" s="1"/>
  <c r="BH202" i="15"/>
  <c r="BN202" i="15" s="1"/>
  <c r="BL202" i="15"/>
  <c r="BF239" i="15"/>
  <c r="BM239" i="15" s="1"/>
  <c r="BK239" i="15"/>
  <c r="BL170" i="15"/>
  <c r="BK287" i="15"/>
  <c r="BF287" i="15"/>
  <c r="BA297" i="15"/>
  <c r="BL260" i="15"/>
  <c r="BH260" i="15"/>
  <c r="BN260" i="15" s="1"/>
  <c r="BL254" i="15"/>
  <c r="BC288" i="15"/>
  <c r="BH254" i="15"/>
  <c r="BB248" i="15"/>
  <c r="BG248" i="15" s="1"/>
  <c r="BG204" i="15"/>
  <c r="BM204" i="15" s="1"/>
  <c r="BF193" i="15"/>
  <c r="BM193" i="15" s="1"/>
  <c r="BK193" i="15"/>
  <c r="BG170" i="15"/>
  <c r="BB173" i="15"/>
  <c r="BG173" i="15" s="1"/>
  <c r="BK133" i="15"/>
  <c r="BA132" i="15"/>
  <c r="BF133" i="15"/>
  <c r="BM133" i="15" s="1"/>
  <c r="BC199" i="15"/>
  <c r="BH195" i="15"/>
  <c r="BN195" i="15" s="1"/>
  <c r="BL195" i="15"/>
  <c r="BL189" i="15"/>
  <c r="BH189" i="15"/>
  <c r="BN189" i="15" s="1"/>
  <c r="BF202" i="15"/>
  <c r="BM202" i="15" s="1"/>
  <c r="BK202" i="15"/>
  <c r="BF201" i="15"/>
  <c r="BM201" i="15" s="1"/>
  <c r="BK201" i="15"/>
  <c r="BB300" i="15"/>
  <c r="BG300" i="15" s="1"/>
  <c r="BK232" i="15"/>
  <c r="BA282" i="15"/>
  <c r="BF232" i="15"/>
  <c r="BM232" i="15" s="1"/>
  <c r="BL251" i="15"/>
  <c r="BL277" i="15"/>
  <c r="BH277" i="15"/>
  <c r="BN277" i="15" s="1"/>
  <c r="BK196" i="15"/>
  <c r="BA200" i="15"/>
  <c r="BF196" i="15"/>
  <c r="BM196" i="15" s="1"/>
  <c r="BK259" i="15"/>
  <c r="BF259" i="15"/>
  <c r="BM259" i="15" s="1"/>
  <c r="BF245" i="15"/>
  <c r="BM245" i="15" s="1"/>
  <c r="BK245" i="15"/>
  <c r="BC283" i="15"/>
  <c r="BH233" i="15"/>
  <c r="BN233" i="15" s="1"/>
  <c r="BL233" i="15"/>
  <c r="BA137" i="15"/>
  <c r="BA135" i="15"/>
  <c r="BM264" i="15"/>
  <c r="BH297" i="15"/>
  <c r="BN297" i="15" s="1"/>
  <c r="BL297" i="15"/>
  <c r="BH268" i="15"/>
  <c r="BN268" i="15" s="1"/>
  <c r="BL268" i="15"/>
  <c r="BF243" i="15"/>
  <c r="BM243" i="15" s="1"/>
  <c r="BK243" i="15"/>
  <c r="BK221" i="15"/>
  <c r="BA269" i="15"/>
  <c r="BF221" i="15"/>
  <c r="BM221" i="15" s="1"/>
  <c r="BH180" i="15"/>
  <c r="BN180" i="15" s="1"/>
  <c r="BL180" i="15"/>
  <c r="BH224" i="15"/>
  <c r="BN224" i="15" s="1"/>
  <c r="BL224" i="15"/>
  <c r="BF281" i="15"/>
  <c r="BM281" i="15" s="1"/>
  <c r="BK281" i="15"/>
  <c r="BF225" i="15"/>
  <c r="BM225" i="15" s="1"/>
  <c r="BK225" i="15"/>
  <c r="BA173" i="15"/>
  <c r="BK170" i="15"/>
  <c r="BF170" i="15"/>
  <c r="BL263" i="15"/>
  <c r="BH263" i="15"/>
  <c r="BN263" i="15" s="1"/>
  <c r="BC291" i="15"/>
  <c r="BF261" i="15"/>
  <c r="BM261" i="15" s="1"/>
  <c r="BK261" i="15"/>
  <c r="BF187" i="15"/>
  <c r="BM187" i="15" s="1"/>
  <c r="BK187" i="15"/>
  <c r="BN244" i="15"/>
  <c r="BD198" i="15"/>
  <c r="BI194" i="15"/>
  <c r="BN194" i="15" s="1"/>
  <c r="BL194" i="15"/>
  <c r="BH203" i="15"/>
  <c r="BN203" i="15" s="1"/>
  <c r="BL203" i="15"/>
  <c r="BF220" i="15"/>
  <c r="BM220" i="15" s="1"/>
  <c r="BA268" i="15"/>
  <c r="BK220" i="15"/>
  <c r="BL181" i="15"/>
  <c r="BH181" i="15"/>
  <c r="BN181" i="15" s="1"/>
  <c r="BH272" i="15"/>
  <c r="BN272" i="15" s="1"/>
  <c r="BC273" i="15"/>
  <c r="BL272" i="15"/>
  <c r="BG230" i="15"/>
  <c r="BM230" i="15" s="1"/>
  <c r="BB236" i="15"/>
  <c r="BG236" i="15" s="1"/>
  <c r="BK230" i="15"/>
  <c r="BH274" i="15"/>
  <c r="BN274" i="15" s="1"/>
  <c r="BL274" i="15"/>
  <c r="BF236" i="15"/>
  <c r="BF260" i="15"/>
  <c r="BM260" i="15" s="1"/>
  <c r="BK260" i="15"/>
  <c r="BL261" i="15"/>
  <c r="BH261" i="15"/>
  <c r="BN261" i="15" s="1"/>
  <c r="BF253" i="15"/>
  <c r="BM253" i="15" s="1"/>
  <c r="BK253" i="15"/>
  <c r="BB290" i="15"/>
  <c r="BG290" i="15" s="1"/>
  <c r="BG262" i="15"/>
  <c r="BM262" i="15" s="1"/>
  <c r="BA291" i="15"/>
  <c r="BK263" i="15"/>
  <c r="BF263" i="15"/>
  <c r="BC141" i="15"/>
  <c r="BC139" i="15"/>
  <c r="BF266" i="15"/>
  <c r="BM266" i="15" s="1"/>
  <c r="BK266" i="15"/>
  <c r="BD292" i="15"/>
  <c r="BI292" i="15" s="1"/>
  <c r="BI270" i="15"/>
  <c r="BN270" i="15" s="1"/>
  <c r="BF179" i="15"/>
  <c r="BL237" i="15"/>
  <c r="BL176" i="15"/>
  <c r="BF203" i="15"/>
  <c r="BM203" i="15" s="1"/>
  <c r="BK203" i="15"/>
  <c r="BK189" i="15"/>
  <c r="BF189" i="15"/>
  <c r="BM189" i="15" s="1"/>
  <c r="BC137" i="15"/>
  <c r="BC135" i="15"/>
  <c r="BF265" i="15"/>
  <c r="BM265" i="15" s="1"/>
  <c r="BK265" i="15"/>
  <c r="BN222" i="15"/>
  <c r="BI168" i="15"/>
  <c r="BD171" i="15"/>
  <c r="BI171" i="15" s="1"/>
  <c r="BA301" i="15"/>
  <c r="BA305" i="15" s="1"/>
  <c r="BH266" i="15"/>
  <c r="BN266" i="15" s="1"/>
  <c r="BL266" i="15"/>
  <c r="BA177" i="15"/>
  <c r="BF174" i="15"/>
  <c r="BK174" i="15"/>
  <c r="BC172" i="15"/>
  <c r="BL169" i="15"/>
  <c r="BH169" i="15"/>
  <c r="BN169" i="15" s="1"/>
  <c r="BL182" i="15"/>
  <c r="BD288" i="15"/>
  <c r="BI288" i="15" s="1"/>
  <c r="BI254" i="15"/>
  <c r="BF283" i="15"/>
  <c r="BM283" i="15" s="1"/>
  <c r="BK283" i="15"/>
  <c r="BH197" i="15"/>
  <c r="BN197" i="15" s="1"/>
  <c r="BL197" i="15"/>
  <c r="BC201" i="15"/>
  <c r="BM256" i="15"/>
  <c r="BH245" i="15"/>
  <c r="BN245" i="15" s="1"/>
  <c r="BL245" i="15"/>
  <c r="BF294" i="15"/>
  <c r="BM294" i="15" s="1"/>
  <c r="BK294" i="15"/>
  <c r="BH164" i="15"/>
  <c r="BF165" i="15"/>
  <c r="BA166" i="15"/>
  <c r="BA167" i="15" s="1"/>
  <c r="BH166" i="15"/>
  <c r="BF322" i="15"/>
  <c r="BA326" i="15"/>
  <c r="BD305" i="15"/>
  <c r="BI305" i="15" s="1"/>
  <c r="BI301" i="15"/>
  <c r="BD318" i="15"/>
  <c r="BI318" i="15" s="1"/>
  <c r="BI314" i="15"/>
  <c r="BG309" i="15"/>
  <c r="BB313" i="15"/>
  <c r="BG313" i="15" s="1"/>
  <c r="BA311" i="15"/>
  <c r="BF307" i="15"/>
  <c r="BF324" i="15"/>
  <c r="BF317" i="15"/>
  <c r="BA321" i="15"/>
  <c r="BA312" i="15"/>
  <c r="BF308" i="15"/>
  <c r="BB308" i="15"/>
  <c r="BA323" i="15"/>
  <c r="BC307" i="15"/>
  <c r="BD302" i="15"/>
  <c r="BI302" i="15" s="1"/>
  <c r="BI298" i="15"/>
  <c r="BD317" i="15"/>
  <c r="BA314" i="15"/>
  <c r="BC300" i="15"/>
  <c r="BD324" i="15"/>
  <c r="BB314" i="15"/>
  <c r="BB322" i="15"/>
  <c r="BK322" i="15" s="1"/>
  <c r="BB301" i="15"/>
  <c r="BC299" i="15"/>
  <c r="BC309" i="15"/>
  <c r="BB299" i="15"/>
  <c r="BH306" i="15"/>
  <c r="BC310" i="15"/>
  <c r="BD304" i="15"/>
  <c r="BI304" i="15" s="1"/>
  <c r="BI300" i="15"/>
  <c r="BA300" i="15"/>
  <c r="BD319" i="15"/>
  <c r="BI319" i="15" s="1"/>
  <c r="BI315" i="15"/>
  <c r="BC301" i="15"/>
  <c r="BB307" i="15"/>
  <c r="BK307" i="15" s="1"/>
  <c r="BC324" i="15"/>
  <c r="BC314" i="15"/>
  <c r="BB323" i="15"/>
  <c r="BC298" i="15"/>
  <c r="BC308" i="15"/>
  <c r="BD307" i="15"/>
  <c r="BC325" i="15"/>
  <c r="BA325" i="15"/>
  <c r="BC322" i="15"/>
  <c r="BD323" i="15"/>
  <c r="BA299" i="15"/>
  <c r="BC323" i="15"/>
  <c r="BF316" i="15"/>
  <c r="BA320" i="15"/>
  <c r="BC316" i="15"/>
  <c r="BB325" i="15"/>
  <c r="BB315" i="15"/>
  <c r="BA298" i="15"/>
  <c r="BF298" i="15" s="1"/>
  <c r="BC317" i="15"/>
  <c r="BB316" i="15"/>
  <c r="BK316" i="15" s="1"/>
  <c r="BB324" i="15"/>
  <c r="BC315" i="15"/>
  <c r="BC125" i="15"/>
  <c r="BC124" i="15"/>
  <c r="BC102" i="15"/>
  <c r="BC104" i="15"/>
  <c r="BA91" i="15"/>
  <c r="BA93" i="15"/>
  <c r="BF120" i="15"/>
  <c r="BM120" i="15" s="1"/>
  <c r="BK120" i="15"/>
  <c r="BC89" i="15"/>
  <c r="BC88" i="15"/>
  <c r="BC119" i="15"/>
  <c r="BC118" i="15"/>
  <c r="BC96" i="15"/>
  <c r="BC98" i="15"/>
  <c r="BA121" i="15"/>
  <c r="BA123" i="15"/>
  <c r="BC90" i="15"/>
  <c r="BC92" i="15"/>
  <c r="BA105" i="15"/>
  <c r="BA109" i="15"/>
  <c r="BA111" i="15"/>
  <c r="BA115" i="15"/>
  <c r="BA117" i="15"/>
  <c r="BA103" i="15"/>
  <c r="BF122" i="15"/>
  <c r="BM122" i="15" s="1"/>
  <c r="BK122" i="15"/>
  <c r="BF114" i="15"/>
  <c r="BM114" i="15" s="1"/>
  <c r="BK114" i="15"/>
  <c r="BC115" i="15"/>
  <c r="BC117" i="15"/>
  <c r="BF116" i="15"/>
  <c r="BM116" i="15" s="1"/>
  <c r="BK116" i="15"/>
  <c r="BC108" i="15"/>
  <c r="BC110" i="15"/>
  <c r="BC127" i="15"/>
  <c r="BC129" i="15"/>
  <c r="BC113" i="15"/>
  <c r="BC112" i="15"/>
  <c r="BA97" i="15"/>
  <c r="BA99" i="15"/>
  <c r="DG67" i="7"/>
  <c r="AA367" i="15" s="1"/>
  <c r="DG713" i="7"/>
  <c r="AA433" i="15" s="1"/>
  <c r="DG179" i="16"/>
  <c r="AA24" i="15" s="1"/>
  <c r="DG639" i="7"/>
  <c r="AA419" i="15" s="1"/>
  <c r="DG319" i="2"/>
  <c r="AA643" i="15" s="1"/>
  <c r="DG221" i="2"/>
  <c r="AA630" i="15" s="1"/>
  <c r="DG18" i="7"/>
  <c r="AA355" i="15" s="1"/>
  <c r="DG320" i="2"/>
  <c r="DG484" i="7"/>
  <c r="AA404" i="15" s="1"/>
  <c r="DG485" i="7"/>
  <c r="AA405" i="15" s="1"/>
  <c r="AF145" i="15"/>
  <c r="AC145" i="15" s="1"/>
  <c r="V543" i="7"/>
  <c r="DG220" i="2"/>
  <c r="AA629" i="15" s="1"/>
  <c r="DG19" i="2"/>
  <c r="AA579" i="15" s="1"/>
  <c r="DG306" i="5"/>
  <c r="AA73" i="15" s="1"/>
  <c r="DI1090" i="7"/>
  <c r="AE486" i="15" s="1"/>
  <c r="AC486" i="15" s="1"/>
  <c r="DG1042" i="7"/>
  <c r="I1090" i="7"/>
  <c r="O486" i="15" s="1"/>
  <c r="W486" i="15" s="1"/>
  <c r="V486" i="15" s="1"/>
  <c r="U486" i="15" s="1"/>
  <c r="DG1508" i="6"/>
  <c r="AA168" i="15" s="1"/>
  <c r="DG295" i="2"/>
  <c r="AA639" i="15" s="1"/>
  <c r="DG885" i="7"/>
  <c r="AA458" i="15" s="1"/>
  <c r="DG151" i="7"/>
  <c r="AA392" i="15" s="1"/>
  <c r="DI449" i="7"/>
  <c r="V577" i="7"/>
  <c r="V626" i="7" s="1"/>
  <c r="I1091" i="7"/>
  <c r="P486" i="15" s="1"/>
  <c r="DG8" i="7"/>
  <c r="X4312" i="6"/>
  <c r="I941" i="6"/>
  <c r="I953" i="6"/>
  <c r="I942" i="6"/>
  <c r="I961" i="6"/>
  <c r="I955" i="6"/>
  <c r="I938" i="6"/>
  <c r="I935" i="6"/>
  <c r="I958" i="6"/>
  <c r="I944" i="6"/>
  <c r="I956" i="6"/>
  <c r="I940" i="6"/>
  <c r="I936" i="6"/>
  <c r="I949" i="6"/>
  <c r="I946" i="6"/>
  <c r="I947" i="6"/>
  <c r="I948" i="6"/>
  <c r="I943" i="6"/>
  <c r="I952" i="6"/>
  <c r="I959" i="6"/>
  <c r="I945" i="6"/>
  <c r="I951" i="6"/>
  <c r="I950" i="6"/>
  <c r="I960" i="6"/>
  <c r="I939" i="6"/>
  <c r="I937" i="6"/>
  <c r="I957" i="6"/>
  <c r="I954" i="6"/>
  <c r="DG114" i="6"/>
  <c r="AA102" i="15" s="1"/>
  <c r="DG110" i="6"/>
  <c r="AA99" i="15" s="1"/>
  <c r="DG111" i="6"/>
  <c r="AA100" i="15" s="1"/>
  <c r="DG150" i="7"/>
  <c r="AA391" i="15" s="1"/>
  <c r="DG62" i="7"/>
  <c r="AA362" i="15" s="1"/>
  <c r="DG155" i="7"/>
  <c r="AA396" i="15" s="1"/>
  <c r="L514" i="7"/>
  <c r="O406" i="15" s="1"/>
  <c r="W406" i="15" s="1"/>
  <c r="V406" i="15" s="1"/>
  <c r="U406" i="15" s="1"/>
  <c r="DI514" i="7"/>
  <c r="AE406" i="15" s="1"/>
  <c r="AC406" i="15" s="1"/>
  <c r="DG59" i="7"/>
  <c r="AA359" i="15" s="1"/>
  <c r="DG218" i="2"/>
  <c r="AA627" i="15" s="1"/>
  <c r="DG222" i="2"/>
  <c r="AA631" i="15" s="1"/>
  <c r="DG447" i="7"/>
  <c r="AA399" i="15" s="1"/>
  <c r="DG152" i="7"/>
  <c r="AA393" i="15" s="1"/>
  <c r="DG66" i="7"/>
  <c r="AA366" i="15" s="1"/>
  <c r="DG139" i="7"/>
  <c r="AA380" i="15" s="1"/>
  <c r="DG753" i="7"/>
  <c r="AA437" i="15" s="1"/>
  <c r="DG551" i="7"/>
  <c r="AA411" i="15" s="1"/>
  <c r="DG142" i="7"/>
  <c r="AA383" i="15" s="1"/>
  <c r="DG270" i="5"/>
  <c r="AA64" i="15" s="1"/>
  <c r="DG180" i="16"/>
  <c r="AA25" i="15" s="1"/>
  <c r="DG29" i="2"/>
  <c r="AA589" i="15" s="1"/>
  <c r="DG7" i="5"/>
  <c r="DG271" i="5"/>
  <c r="AA65" i="15" s="1"/>
  <c r="DG61" i="7"/>
  <c r="AA361" i="15" s="1"/>
  <c r="DG144" i="7"/>
  <c r="AA385" i="15" s="1"/>
  <c r="DG12" i="7"/>
  <c r="AA349" i="15" s="1"/>
  <c r="DG156" i="7"/>
  <c r="AA397" i="15" s="1"/>
  <c r="DG550" i="7"/>
  <c r="AA410" i="15" s="1"/>
  <c r="DG663" i="7"/>
  <c r="AA431" i="15" s="1"/>
  <c r="DI1092" i="7"/>
  <c r="AE487" i="15" s="1"/>
  <c r="AC487" i="15" s="1"/>
  <c r="I1092" i="7"/>
  <c r="O487" i="15" s="1"/>
  <c r="W487" i="15" s="1"/>
  <c r="V487" i="15" s="1"/>
  <c r="U487" i="15" s="1"/>
  <c r="DG1186" i="7"/>
  <c r="AA521" i="15" s="1"/>
  <c r="DG446" i="7"/>
  <c r="AA398" i="15" s="1"/>
  <c r="DG552" i="7"/>
  <c r="AA412" i="15" s="1"/>
  <c r="DG586" i="7"/>
  <c r="AA416" i="15" s="1"/>
  <c r="DG1178" i="7"/>
  <c r="AA513" i="15" s="1"/>
  <c r="DG1177" i="7"/>
  <c r="AA512" i="15" s="1"/>
  <c r="DG9" i="7"/>
  <c r="AA346" i="15" s="1"/>
  <c r="DG584" i="7"/>
  <c r="AA415" i="15" s="1"/>
  <c r="DG129" i="7"/>
  <c r="AA370" i="15" s="1"/>
  <c r="DG149" i="7"/>
  <c r="AA390" i="15" s="1"/>
  <c r="DG754" i="7"/>
  <c r="AA438" i="15" s="1"/>
  <c r="D745" i="7"/>
  <c r="C745" i="7" s="1"/>
  <c r="V702" i="7"/>
  <c r="V578" i="7"/>
  <c r="V630" i="7" s="1"/>
  <c r="D703" i="7"/>
  <c r="DG154" i="7"/>
  <c r="AA395" i="15" s="1"/>
  <c r="DG129" i="6"/>
  <c r="AA112" i="15" s="1"/>
  <c r="DG22" i="2"/>
  <c r="AA582" i="15" s="1"/>
  <c r="DG10" i="2"/>
  <c r="AA570" i="15" s="1"/>
  <c r="DG18" i="2"/>
  <c r="AA578" i="15" s="1"/>
  <c r="DG13" i="2"/>
  <c r="AA573" i="15" s="1"/>
  <c r="DG28" i="2"/>
  <c r="AA588" i="15" s="1"/>
  <c r="DG24" i="2"/>
  <c r="AA584" i="15" s="1"/>
  <c r="DG21" i="2"/>
  <c r="AA581" i="15" s="1"/>
  <c r="DG101" i="6"/>
  <c r="AA93" i="15" s="1"/>
  <c r="DG137" i="6"/>
  <c r="AA117" i="15" s="1"/>
  <c r="DG15" i="2"/>
  <c r="AA575" i="15" s="1"/>
  <c r="DG30" i="2"/>
  <c r="AA590" i="15" s="1"/>
  <c r="DG17" i="2"/>
  <c r="AA577" i="15" s="1"/>
  <c r="DG33" i="2"/>
  <c r="AA593" i="15" s="1"/>
  <c r="DG27" i="2"/>
  <c r="AA587" i="15" s="1"/>
  <c r="DG31" i="2"/>
  <c r="AA591" i="15" s="1"/>
  <c r="DG230" i="5"/>
  <c r="AA61" i="15" s="1"/>
  <c r="DG276" i="5"/>
  <c r="AA70" i="15" s="1"/>
  <c r="Y1241" i="6"/>
  <c r="Y1126" i="6"/>
  <c r="Y1127" i="6" s="1"/>
  <c r="Y1128" i="6" s="1"/>
  <c r="Y1129" i="6" s="1"/>
  <c r="Y1130" i="6" s="1"/>
  <c r="Y1135" i="6" s="1"/>
  <c r="Y1136" i="6" s="1"/>
  <c r="Y1139" i="6" s="1"/>
  <c r="Y1140" i="6" s="1"/>
  <c r="Y1141" i="6" s="1"/>
  <c r="Y1142" i="6" s="1"/>
  <c r="Y1143" i="6" s="1"/>
  <c r="Y1144" i="6" s="1"/>
  <c r="Y1145" i="6" s="1"/>
  <c r="Y1146" i="6" s="1"/>
  <c r="Y1147" i="6" s="1"/>
  <c r="Y1148" i="6" s="1"/>
  <c r="Y1149" i="6" s="1"/>
  <c r="Y1150" i="6" s="1"/>
  <c r="Y1151" i="6" s="1"/>
  <c r="Y1152" i="6" s="1"/>
  <c r="Y1153" i="6" s="1"/>
  <c r="Y1158" i="6" s="1"/>
  <c r="Y1159" i="6" s="1"/>
  <c r="Y1162" i="6" s="1"/>
  <c r="Y1163" i="6" s="1"/>
  <c r="Y1164" i="6" s="1"/>
  <c r="Y1165" i="6" s="1"/>
  <c r="DG145" i="6"/>
  <c r="AA122" i="15" s="1"/>
  <c r="K4536" i="6"/>
  <c r="DJ4536" i="6" s="1"/>
  <c r="K4512" i="6"/>
  <c r="DJ4512" i="6" s="1"/>
  <c r="K4552" i="6"/>
  <c r="DJ4552" i="6" s="1"/>
  <c r="K4488" i="6"/>
  <c r="DJ4488" i="6" s="1"/>
  <c r="K4556" i="6"/>
  <c r="DJ4556" i="6" s="1"/>
  <c r="K4560" i="6"/>
  <c r="DJ4560" i="6" s="1"/>
  <c r="K4528" i="6"/>
  <c r="DJ4528" i="6" s="1"/>
  <c r="K4508" i="6"/>
  <c r="DJ4508" i="6" s="1"/>
  <c r="K4476" i="6"/>
  <c r="DJ4476" i="6" s="1"/>
  <c r="K4500" i="6"/>
  <c r="DJ4500" i="6" s="1"/>
  <c r="K4480" i="6"/>
  <c r="DJ4480" i="6" s="1"/>
  <c r="K4532" i="6"/>
  <c r="DJ4532" i="6" s="1"/>
  <c r="K4548" i="6"/>
  <c r="DJ4548" i="6" s="1"/>
  <c r="K4484" i="6"/>
  <c r="DJ4484" i="6" s="1"/>
  <c r="K4504" i="6"/>
  <c r="DJ4504" i="6" s="1"/>
  <c r="K4524" i="6"/>
  <c r="DJ4524" i="6" s="1"/>
  <c r="K4522" i="6"/>
  <c r="DJ4522" i="6" s="1"/>
  <c r="K4520" i="6"/>
  <c r="DJ4520" i="6" s="1"/>
  <c r="K4564" i="6"/>
  <c r="DJ4564" i="6" s="1"/>
  <c r="K4516" i="6"/>
  <c r="DJ4516" i="6" s="1"/>
  <c r="K4492" i="6"/>
  <c r="DJ4492" i="6" s="1"/>
  <c r="K4542" i="6"/>
  <c r="DJ4542" i="6" s="1"/>
  <c r="K4498" i="6"/>
  <c r="DJ4498" i="6" s="1"/>
  <c r="K4566" i="6"/>
  <c r="DJ4566" i="6" s="1"/>
  <c r="K4540" i="6"/>
  <c r="DJ4540" i="6" s="1"/>
  <c r="K4518" i="6"/>
  <c r="DJ4518" i="6" s="1"/>
  <c r="K4494" i="6"/>
  <c r="DJ4494" i="6" s="1"/>
  <c r="K4544" i="6"/>
  <c r="DJ4544" i="6" s="1"/>
  <c r="K4570" i="6"/>
  <c r="DJ4570" i="6" s="1"/>
  <c r="K4568" i="6"/>
  <c r="DJ4568" i="6" s="1"/>
  <c r="K4496" i="6"/>
  <c r="DJ4496" i="6" s="1"/>
  <c r="K4546" i="6"/>
  <c r="DJ4546" i="6" s="1"/>
  <c r="DG146" i="6"/>
  <c r="AA123" i="15" s="1"/>
  <c r="DG140" i="6"/>
  <c r="AA119" i="15" s="1"/>
  <c r="DG665" i="7"/>
  <c r="AA432" i="15" s="1"/>
  <c r="DG1232" i="7"/>
  <c r="AA531" i="15" s="1"/>
  <c r="DG515" i="7" l="1"/>
  <c r="AA407" i="15" s="1"/>
  <c r="I31" i="6"/>
  <c r="AF30" i="6"/>
  <c r="W167" i="15"/>
  <c r="V167" i="15" s="1"/>
  <c r="U167" i="15" s="1"/>
  <c r="DG1220" i="7"/>
  <c r="AA525" i="15" s="1"/>
  <c r="BF167" i="15"/>
  <c r="BG166" i="15"/>
  <c r="BB167" i="15"/>
  <c r="BG167" i="15" s="1"/>
  <c r="DG451" i="7"/>
  <c r="AA403" i="15" s="1"/>
  <c r="DG516" i="7"/>
  <c r="AA408" i="15" s="1"/>
  <c r="K4370" i="6"/>
  <c r="AF4370" i="6" s="1"/>
  <c r="DG309" i="5"/>
  <c r="AA76" i="15" s="1"/>
  <c r="AE76" i="15"/>
  <c r="AC76" i="15" s="1"/>
  <c r="BI326" i="15"/>
  <c r="BI322" i="15"/>
  <c r="AC303" i="15"/>
  <c r="BI325" i="15"/>
  <c r="K4148" i="6"/>
  <c r="AF4148" i="6" s="1"/>
  <c r="BG317" i="15"/>
  <c r="BM317" i="15" s="1"/>
  <c r="BB310" i="15"/>
  <c r="BG310" i="15" s="1"/>
  <c r="K4172" i="6"/>
  <c r="AF4172" i="6" s="1"/>
  <c r="K4200" i="6"/>
  <c r="AF4200" i="6" s="1"/>
  <c r="AF528" i="15"/>
  <c r="AC528" i="15" s="1"/>
  <c r="DG1226" i="7"/>
  <c r="AA528" i="15" s="1"/>
  <c r="AF529" i="15"/>
  <c r="AC529" i="15" s="1"/>
  <c r="DG1228" i="7"/>
  <c r="AA529" i="15" s="1"/>
  <c r="AF530" i="15"/>
  <c r="AC530" i="15" s="1"/>
  <c r="DG1230" i="7"/>
  <c r="AA530" i="15" s="1"/>
  <c r="AF527" i="15"/>
  <c r="AC527" i="15" s="1"/>
  <c r="DG1224" i="7"/>
  <c r="AA527" i="15" s="1"/>
  <c r="AF526" i="15"/>
  <c r="AC526" i="15" s="1"/>
  <c r="DG1222" i="7"/>
  <c r="AA526" i="15" s="1"/>
  <c r="AF524" i="15"/>
  <c r="AC524" i="15" s="1"/>
  <c r="DG1218" i="7"/>
  <c r="AA524" i="15" s="1"/>
  <c r="O319" i="15"/>
  <c r="W319" i="15" s="1"/>
  <c r="V319" i="15" s="1"/>
  <c r="U319" i="15" s="1"/>
  <c r="P327" i="15"/>
  <c r="BL165" i="15"/>
  <c r="BD166" i="15"/>
  <c r="P318" i="15"/>
  <c r="BB302" i="15"/>
  <c r="BG302" i="15" s="1"/>
  <c r="K4186" i="6"/>
  <c r="AF4186" i="6" s="1"/>
  <c r="K4134" i="6"/>
  <c r="AF4134" i="6" s="1"/>
  <c r="DG56" i="16"/>
  <c r="AA14" i="15" s="1"/>
  <c r="AA482" i="15"/>
  <c r="AA707" i="15"/>
  <c r="AE78" i="15"/>
  <c r="AC78" i="15" s="1"/>
  <c r="AF10" i="15"/>
  <c r="AC10" i="15" s="1"/>
  <c r="AE74" i="15"/>
  <c r="AC74" i="15" s="1"/>
  <c r="AA569" i="15"/>
  <c r="AA345" i="15"/>
  <c r="AA644" i="15"/>
  <c r="AA717" i="15"/>
  <c r="K4392" i="6"/>
  <c r="AF4392" i="6" s="1"/>
  <c r="BB321" i="15"/>
  <c r="BG321" i="15" s="1"/>
  <c r="AC312" i="15"/>
  <c r="AD303" i="15"/>
  <c r="AC319" i="15"/>
  <c r="K4180" i="6"/>
  <c r="AF4180" i="6" s="1"/>
  <c r="DG1548" i="6"/>
  <c r="AA181" i="15" s="1"/>
  <c r="BI306" i="15"/>
  <c r="BN306" i="15" s="1"/>
  <c r="BD310" i="15"/>
  <c r="BI310" i="15" s="1"/>
  <c r="O304" i="15"/>
  <c r="W304" i="15" s="1"/>
  <c r="V304" i="15" s="1"/>
  <c r="U304" i="15" s="1"/>
  <c r="AD310" i="15"/>
  <c r="K4272" i="6"/>
  <c r="AF4272" i="6" s="1"/>
  <c r="K4324" i="6"/>
  <c r="AF4324" i="6" s="1"/>
  <c r="P319" i="15"/>
  <c r="K4138" i="6"/>
  <c r="AF4138" i="6" s="1"/>
  <c r="O320" i="15"/>
  <c r="W320" i="15" s="1"/>
  <c r="V320" i="15" s="1"/>
  <c r="U320" i="15" s="1"/>
  <c r="BN165" i="15"/>
  <c r="BD303" i="15"/>
  <c r="BI303" i="15" s="1"/>
  <c r="P326" i="15"/>
  <c r="O327" i="15"/>
  <c r="W327" i="15" s="1"/>
  <c r="V327" i="15" s="1"/>
  <c r="U327" i="15" s="1"/>
  <c r="BL94" i="15"/>
  <c r="BA319" i="15"/>
  <c r="BF319" i="15" s="1"/>
  <c r="AD326" i="15"/>
  <c r="BL100" i="15"/>
  <c r="P311" i="15"/>
  <c r="O312" i="15"/>
  <c r="W312" i="15" s="1"/>
  <c r="V312" i="15" s="1"/>
  <c r="U312" i="15" s="1"/>
  <c r="P302" i="15"/>
  <c r="O303" i="15"/>
  <c r="W303" i="15" s="1"/>
  <c r="V303" i="15" s="1"/>
  <c r="U303" i="15" s="1"/>
  <c r="BL163" i="15"/>
  <c r="BD164" i="15"/>
  <c r="BI163" i="15"/>
  <c r="BN163" i="15" s="1"/>
  <c r="BA310" i="15"/>
  <c r="BF310" i="15" s="1"/>
  <c r="BK165" i="15"/>
  <c r="AF29" i="6"/>
  <c r="BK306" i="15"/>
  <c r="O328" i="15"/>
  <c r="W328" i="15" s="1"/>
  <c r="V328" i="15" s="1"/>
  <c r="U328" i="15" s="1"/>
  <c r="K4394" i="6"/>
  <c r="AF4394" i="6" s="1"/>
  <c r="K4292" i="6"/>
  <c r="AF4292" i="6" s="1"/>
  <c r="K4260" i="6"/>
  <c r="AF4260" i="6" s="1"/>
  <c r="BG165" i="15"/>
  <c r="BM165" i="15" s="1"/>
  <c r="P303" i="15"/>
  <c r="O311" i="15"/>
  <c r="W311" i="15" s="1"/>
  <c r="V311" i="15" s="1"/>
  <c r="U311" i="15" s="1"/>
  <c r="P310" i="15"/>
  <c r="DG4546" i="6"/>
  <c r="AA321" i="15" s="1"/>
  <c r="AB321" i="15"/>
  <c r="AB304" i="15"/>
  <c r="DG4568" i="6"/>
  <c r="AA328" i="15" s="1"/>
  <c r="AB328" i="15"/>
  <c r="AB329" i="15"/>
  <c r="DG4544" i="6"/>
  <c r="AA320" i="15" s="1"/>
  <c r="AB320" i="15"/>
  <c r="AB303" i="15"/>
  <c r="AB311" i="15"/>
  <c r="AB318" i="15"/>
  <c r="DG4566" i="6"/>
  <c r="AA327" i="15" s="1"/>
  <c r="AB327" i="15"/>
  <c r="DG4498" i="6"/>
  <c r="AA305" i="15" s="1"/>
  <c r="AB305" i="15"/>
  <c r="DG4542" i="6"/>
  <c r="AA319" i="15" s="1"/>
  <c r="AB319" i="15"/>
  <c r="DG4492" i="6"/>
  <c r="AA302" i="15" s="1"/>
  <c r="AB302" i="15"/>
  <c r="AB310" i="15"/>
  <c r="DG4564" i="6"/>
  <c r="AA326" i="15" s="1"/>
  <c r="AB326" i="15"/>
  <c r="DG4520" i="6"/>
  <c r="AA312" i="15" s="1"/>
  <c r="AB312" i="15"/>
  <c r="DG4522" i="6"/>
  <c r="AA313" i="15" s="1"/>
  <c r="AB313" i="15"/>
  <c r="AB314" i="15"/>
  <c r="DG4504" i="6"/>
  <c r="AA307" i="15" s="1"/>
  <c r="AB307" i="15"/>
  <c r="DG4484" i="6"/>
  <c r="AA300" i="15" s="1"/>
  <c r="AB300" i="15"/>
  <c r="DG4548" i="6"/>
  <c r="AA322" i="15" s="1"/>
  <c r="AB322" i="15"/>
  <c r="DG4532" i="6"/>
  <c r="AA316" i="15" s="1"/>
  <c r="AB316" i="15"/>
  <c r="AB299" i="15"/>
  <c r="DG4500" i="6"/>
  <c r="AA306" i="15" s="1"/>
  <c r="AB306" i="15"/>
  <c r="DG4476" i="6"/>
  <c r="AA298" i="15" s="1"/>
  <c r="AB298" i="15"/>
  <c r="DG4508" i="6"/>
  <c r="AA308" i="15" s="1"/>
  <c r="AB308" i="15"/>
  <c r="DG4528" i="6"/>
  <c r="AA315" i="15" s="1"/>
  <c r="AB315" i="15"/>
  <c r="DG4560" i="6"/>
  <c r="AA325" i="15" s="1"/>
  <c r="AB325" i="15"/>
  <c r="DG4556" i="6"/>
  <c r="AA324" i="15" s="1"/>
  <c r="AB324" i="15"/>
  <c r="DG4488" i="6"/>
  <c r="AA301" i="15" s="1"/>
  <c r="AB301" i="15"/>
  <c r="DG4552" i="6"/>
  <c r="AA323" i="15" s="1"/>
  <c r="AB323" i="15"/>
  <c r="DG4512" i="6"/>
  <c r="AA309" i="15" s="1"/>
  <c r="AB309" i="15"/>
  <c r="AB317" i="15"/>
  <c r="K1588" i="6"/>
  <c r="DJ1588" i="6" s="1"/>
  <c r="AF4422" i="6"/>
  <c r="K4060" i="6"/>
  <c r="AF4060" i="6" s="1"/>
  <c r="K1540" i="6"/>
  <c r="DJ1540" i="6" s="1"/>
  <c r="AF4070" i="6"/>
  <c r="K1512" i="6"/>
  <c r="DJ1512" i="6" s="1"/>
  <c r="AF4042" i="6"/>
  <c r="K1522" i="6"/>
  <c r="DJ1522" i="6" s="1"/>
  <c r="AF4052" i="6"/>
  <c r="AF40" i="6"/>
  <c r="I9" i="6"/>
  <c r="F9" i="6" s="1"/>
  <c r="DI9" i="6" s="1"/>
  <c r="AF28" i="6"/>
  <c r="AF21" i="15"/>
  <c r="AC21" i="15" s="1"/>
  <c r="DG70" i="16"/>
  <c r="AA21" i="15" s="1"/>
  <c r="AA9" i="15"/>
  <c r="AD319" i="15"/>
  <c r="AC328" i="15"/>
  <c r="AA42" i="15"/>
  <c r="AC320" i="15"/>
  <c r="AD327" i="15"/>
  <c r="DG449" i="7"/>
  <c r="AE401" i="15"/>
  <c r="AC401" i="15" s="1"/>
  <c r="DG1090" i="7"/>
  <c r="AA486" i="15" s="1"/>
  <c r="K4366" i="6"/>
  <c r="AF4366" i="6" s="1"/>
  <c r="K4154" i="6"/>
  <c r="AF4154" i="6" s="1"/>
  <c r="K4094" i="6"/>
  <c r="AF4094" i="6" s="1"/>
  <c r="K4104" i="6"/>
  <c r="AF4104" i="6" s="1"/>
  <c r="K4090" i="6"/>
  <c r="AF4090" i="6" s="1"/>
  <c r="K4160" i="6"/>
  <c r="AF4160" i="6" s="1"/>
  <c r="K4122" i="6"/>
  <c r="AF4122" i="6" s="1"/>
  <c r="L1228" i="6"/>
  <c r="J1228" i="6" s="1"/>
  <c r="L1230" i="6"/>
  <c r="J1230" i="6" s="1"/>
  <c r="L1243" i="6"/>
  <c r="J1243" i="6" s="1"/>
  <c r="L1216" i="6"/>
  <c r="J1216" i="6" s="1"/>
  <c r="L1238" i="6"/>
  <c r="J1238" i="6" s="1"/>
  <c r="L1213" i="6"/>
  <c r="J1213" i="6" s="1"/>
  <c r="L1241" i="6"/>
  <c r="J1241" i="6" s="1"/>
  <c r="L1218" i="6"/>
  <c r="J1218" i="6" s="1"/>
  <c r="L1255" i="6"/>
  <c r="J1255" i="6" s="1"/>
  <c r="L1232" i="6"/>
  <c r="J1232" i="6" s="1"/>
  <c r="L1236" i="6"/>
  <c r="J1236" i="6" s="1"/>
  <c r="L1239" i="6"/>
  <c r="J1239" i="6" s="1"/>
  <c r="L1251" i="6"/>
  <c r="J1251" i="6" s="1"/>
  <c r="L1220" i="6"/>
  <c r="J1220" i="6" s="1"/>
  <c r="L1247" i="6"/>
  <c r="J1247" i="6" s="1"/>
  <c r="L1253" i="6"/>
  <c r="J1253" i="6" s="1"/>
  <c r="L1224" i="6"/>
  <c r="J1224" i="6" s="1"/>
  <c r="L1215" i="6"/>
  <c r="J1215" i="6" s="1"/>
  <c r="K4234" i="6"/>
  <c r="K4192" i="6"/>
  <c r="AF4192" i="6" s="1"/>
  <c r="K4206" i="6"/>
  <c r="K4102" i="6"/>
  <c r="AF4102" i="6" s="1"/>
  <c r="K4198" i="6"/>
  <c r="K4218" i="6"/>
  <c r="AF4218" i="6" s="1"/>
  <c r="K4340" i="6"/>
  <c r="AF4340" i="6" s="1"/>
  <c r="K4228" i="6"/>
  <c r="AF4228" i="6" s="1"/>
  <c r="K4156" i="6"/>
  <c r="K4166" i="6"/>
  <c r="K4222" i="6"/>
  <c r="K4168" i="6"/>
  <c r="K4336" i="6"/>
  <c r="AF4336" i="6" s="1"/>
  <c r="K4308" i="6"/>
  <c r="K4276" i="6"/>
  <c r="K4124" i="6"/>
  <c r="AF4124" i="6" s="1"/>
  <c r="K4236" i="6"/>
  <c r="AF4236" i="6" s="1"/>
  <c r="K4178" i="6"/>
  <c r="AF4178" i="6" s="1"/>
  <c r="K1866" i="6"/>
  <c r="DJ1866" i="6" s="1"/>
  <c r="K1822" i="6"/>
  <c r="DJ1822" i="6" s="1"/>
  <c r="K1754" i="6"/>
  <c r="DJ1754" i="6" s="1"/>
  <c r="K1660" i="6"/>
  <c r="DJ1660" i="6" s="1"/>
  <c r="K1702" i="6"/>
  <c r="DJ1702" i="6" s="1"/>
  <c r="K1616" i="6"/>
  <c r="DJ1616" i="6" s="1"/>
  <c r="K1852" i="6"/>
  <c r="DJ1852" i="6" s="1"/>
  <c r="K1718" i="6"/>
  <c r="DJ1718" i="6" s="1"/>
  <c r="K1680" i="6"/>
  <c r="DJ1680" i="6" s="1"/>
  <c r="K1844" i="6"/>
  <c r="DJ1844" i="6" s="1"/>
  <c r="K1628" i="6"/>
  <c r="DJ1628" i="6" s="1"/>
  <c r="K1570" i="6"/>
  <c r="DJ1570" i="6" s="1"/>
  <c r="K1878" i="6"/>
  <c r="DJ1878" i="6" s="1"/>
  <c r="K1750" i="6"/>
  <c r="DJ1750" i="6" s="1"/>
  <c r="K1696" i="6"/>
  <c r="DJ1696" i="6" s="1"/>
  <c r="K1644" i="6"/>
  <c r="DJ1644" i="6" s="1"/>
  <c r="K1848" i="6"/>
  <c r="DJ1848" i="6" s="1"/>
  <c r="K1720" i="6"/>
  <c r="DJ1720" i="6" s="1"/>
  <c r="K1614" i="6"/>
  <c r="DJ1614" i="6" s="1"/>
  <c r="K1666" i="6"/>
  <c r="DJ1666" i="6" s="1"/>
  <c r="K1672" i="6"/>
  <c r="DJ1672" i="6" s="1"/>
  <c r="K1634" i="6"/>
  <c r="DJ1634" i="6" s="1"/>
  <c r="K1880" i="6"/>
  <c r="DJ1880" i="6" s="1"/>
  <c r="K1856" i="6"/>
  <c r="DJ1856" i="6" s="1"/>
  <c r="K1814" i="6"/>
  <c r="DJ1814" i="6" s="1"/>
  <c r="K1874" i="6"/>
  <c r="DJ1874" i="6" s="1"/>
  <c r="K1858" i="6"/>
  <c r="DJ1858" i="6" s="1"/>
  <c r="K1612" i="6"/>
  <c r="DJ1612" i="6" s="1"/>
  <c r="K1826" i="6"/>
  <c r="DJ1826" i="6" s="1"/>
  <c r="K1786" i="6"/>
  <c r="DJ1786" i="6" s="1"/>
  <c r="K1568" i="6"/>
  <c r="DJ1568" i="6" s="1"/>
  <c r="K1586" i="6"/>
  <c r="DJ1586" i="6" s="1"/>
  <c r="K1620" i="6"/>
  <c r="DJ1620" i="6" s="1"/>
  <c r="K1700" i="6"/>
  <c r="DJ1700" i="6" s="1"/>
  <c r="K1870" i="6"/>
  <c r="DJ1870" i="6" s="1"/>
  <c r="K1580" i="6"/>
  <c r="DJ1580" i="6" s="1"/>
  <c r="K1646" i="6"/>
  <c r="DJ1646" i="6" s="1"/>
  <c r="K1684" i="6"/>
  <c r="DJ1684" i="6" s="1"/>
  <c r="K1860" i="6"/>
  <c r="DJ1860" i="6" s="1"/>
  <c r="K1640" i="6"/>
  <c r="DJ1640" i="6" s="1"/>
  <c r="K1664" i="6"/>
  <c r="DJ1664" i="6" s="1"/>
  <c r="K1622" i="6"/>
  <c r="DJ1622" i="6" s="1"/>
  <c r="K1632" i="6"/>
  <c r="DJ1632" i="6" s="1"/>
  <c r="K1708" i="6"/>
  <c r="DJ1708" i="6" s="1"/>
  <c r="K1782" i="6"/>
  <c r="DJ1782" i="6" s="1"/>
  <c r="K1818" i="6"/>
  <c r="DJ1818" i="6" s="1"/>
  <c r="K1590" i="6"/>
  <c r="DJ1590" i="6" s="1"/>
  <c r="K1714" i="6"/>
  <c r="DJ1714" i="6" s="1"/>
  <c r="K1712" i="6"/>
  <c r="DJ1712" i="6" s="1"/>
  <c r="K1584" i="6"/>
  <c r="DJ1584" i="6" s="1"/>
  <c r="K1576" i="6"/>
  <c r="DJ1576" i="6" s="1"/>
  <c r="K1876" i="6"/>
  <c r="DJ1876" i="6" s="1"/>
  <c r="K1890" i="6"/>
  <c r="DJ1890" i="6" s="1"/>
  <c r="K1892" i="6"/>
  <c r="DJ1892" i="6" s="1"/>
  <c r="DG48" i="16"/>
  <c r="DG62" i="16"/>
  <c r="AA17" i="15" s="1"/>
  <c r="DG1385" i="6"/>
  <c r="AA167" i="15" s="1"/>
  <c r="BH120" i="15"/>
  <c r="BN120" i="15" s="1"/>
  <c r="K4416" i="6"/>
  <c r="K4254" i="6"/>
  <c r="K4412" i="6"/>
  <c r="K4414" i="6"/>
  <c r="K4418" i="6"/>
  <c r="K4358" i="6"/>
  <c r="K4264" i="6"/>
  <c r="K4332" i="6"/>
  <c r="K4268" i="6"/>
  <c r="K4130" i="6"/>
  <c r="AF4130" i="6" s="1"/>
  <c r="K4256" i="6"/>
  <c r="AF4256" i="6" s="1"/>
  <c r="K4086" i="6"/>
  <c r="K4082" i="6"/>
  <c r="AF4082" i="6" s="1"/>
  <c r="K4288" i="6"/>
  <c r="AF4288" i="6" s="1"/>
  <c r="K4362" i="6"/>
  <c r="AF4362" i="6" s="1"/>
  <c r="K4320" i="6"/>
  <c r="K4300" i="6"/>
  <c r="K4126" i="6"/>
  <c r="K4296" i="6"/>
  <c r="K4328" i="6"/>
  <c r="K4182" i="6"/>
  <c r="L4304" i="6"/>
  <c r="K4304" i="6" s="1"/>
  <c r="AF4304" i="6" s="1"/>
  <c r="DG125" i="6"/>
  <c r="AA109" i="15" s="1"/>
  <c r="BL107" i="15"/>
  <c r="BL101" i="15"/>
  <c r="DG143" i="6"/>
  <c r="AA121" i="15" s="1"/>
  <c r="BK127" i="15"/>
  <c r="DG107" i="6"/>
  <c r="AA97" i="15" s="1"/>
  <c r="DG116" i="6"/>
  <c r="AA103" i="15" s="1"/>
  <c r="BF129" i="15"/>
  <c r="BM129" i="15" s="1"/>
  <c r="DG54" i="16"/>
  <c r="AA13" i="15" s="1"/>
  <c r="BL122" i="15"/>
  <c r="BL106" i="15"/>
  <c r="BL95" i="15"/>
  <c r="BF247" i="15"/>
  <c r="BM247" i="15" s="1"/>
  <c r="BM255" i="15"/>
  <c r="DG98" i="6"/>
  <c r="AA91" i="15" s="1"/>
  <c r="BI309" i="15"/>
  <c r="DG307" i="5"/>
  <c r="DG52" i="16"/>
  <c r="AA12" i="15" s="1"/>
  <c r="DG450" i="7"/>
  <c r="AA402" i="15" s="1"/>
  <c r="DG64" i="16"/>
  <c r="AA18" i="15" s="1"/>
  <c r="BG179" i="15"/>
  <c r="BM179" i="15" s="1"/>
  <c r="BK179" i="15"/>
  <c r="BM174" i="15"/>
  <c r="BN133" i="15"/>
  <c r="BK192" i="15"/>
  <c r="BL295" i="15"/>
  <c r="BL296" i="15"/>
  <c r="BN204" i="15"/>
  <c r="BK289" i="15"/>
  <c r="BD320" i="15"/>
  <c r="BI320" i="15" s="1"/>
  <c r="BF301" i="15"/>
  <c r="BN176" i="15"/>
  <c r="BN287" i="15"/>
  <c r="BM287" i="15"/>
  <c r="BM278" i="15"/>
  <c r="BK309" i="15"/>
  <c r="BF309" i="15"/>
  <c r="BM309" i="15" s="1"/>
  <c r="BK301" i="15"/>
  <c r="BL179" i="15"/>
  <c r="BF292" i="15"/>
  <c r="BM292" i="15" s="1"/>
  <c r="BN179" i="15"/>
  <c r="BM271" i="15"/>
  <c r="BF285" i="15"/>
  <c r="BM285" i="15" s="1"/>
  <c r="BM306" i="15"/>
  <c r="BK198" i="15"/>
  <c r="BN254" i="15"/>
  <c r="BK298" i="15"/>
  <c r="BA302" i="15"/>
  <c r="BF302" i="15" s="1"/>
  <c r="BB304" i="15"/>
  <c r="BG304" i="15" s="1"/>
  <c r="BL186" i="15"/>
  <c r="BM263" i="15"/>
  <c r="BN186" i="15"/>
  <c r="BK236" i="15"/>
  <c r="BM236" i="15"/>
  <c r="BK290" i="15"/>
  <c r="BM290" i="15"/>
  <c r="BL132" i="15"/>
  <c r="BI308" i="15"/>
  <c r="BN132" i="15"/>
  <c r="BK248" i="15"/>
  <c r="BM298" i="15"/>
  <c r="BM248" i="15"/>
  <c r="BI198" i="15"/>
  <c r="BN198" i="15" s="1"/>
  <c r="BL198" i="15"/>
  <c r="BL283" i="15"/>
  <c r="BH283" i="15"/>
  <c r="BN283" i="15" s="1"/>
  <c r="BL173" i="15"/>
  <c r="BN173" i="15"/>
  <c r="BH282" i="15"/>
  <c r="BN282" i="15" s="1"/>
  <c r="BL282" i="15"/>
  <c r="BG250" i="15"/>
  <c r="BM250" i="15" s="1"/>
  <c r="BK250" i="15"/>
  <c r="BK296" i="15"/>
  <c r="BH199" i="15"/>
  <c r="BN199" i="15" s="1"/>
  <c r="BL199" i="15"/>
  <c r="BF178" i="15"/>
  <c r="BM178" i="15" s="1"/>
  <c r="BK178" i="15"/>
  <c r="BM296" i="15"/>
  <c r="BH201" i="15"/>
  <c r="BN201" i="15" s="1"/>
  <c r="BL201" i="15"/>
  <c r="BL139" i="15"/>
  <c r="BH139" i="15"/>
  <c r="BN139" i="15" s="1"/>
  <c r="BF297" i="15"/>
  <c r="BM297" i="15" s="1"/>
  <c r="BK297" i="15"/>
  <c r="BF135" i="15"/>
  <c r="BM135" i="15" s="1"/>
  <c r="BK135" i="15"/>
  <c r="BH273" i="15"/>
  <c r="BN273" i="15" s="1"/>
  <c r="BL273" i="15"/>
  <c r="BF277" i="15"/>
  <c r="BM277" i="15" s="1"/>
  <c r="BK277" i="15"/>
  <c r="BH258" i="15"/>
  <c r="BN258" i="15" s="1"/>
  <c r="BL258" i="15"/>
  <c r="BH135" i="15"/>
  <c r="BN135" i="15" s="1"/>
  <c r="BL135" i="15"/>
  <c r="BF291" i="15"/>
  <c r="BM291" i="15" s="1"/>
  <c r="BK291" i="15"/>
  <c r="BH275" i="15"/>
  <c r="BN275" i="15" s="1"/>
  <c r="BL275" i="15"/>
  <c r="BH171" i="15"/>
  <c r="BN171" i="15" s="1"/>
  <c r="BL171" i="15"/>
  <c r="BL137" i="15"/>
  <c r="BH137" i="15"/>
  <c r="BN137" i="15" s="1"/>
  <c r="BH187" i="15"/>
  <c r="BN187" i="15" s="1"/>
  <c r="BL187" i="15"/>
  <c r="BI192" i="15"/>
  <c r="BN192" i="15" s="1"/>
  <c r="BL192" i="15"/>
  <c r="BI236" i="15"/>
  <c r="BN236" i="15" s="1"/>
  <c r="BL236" i="15"/>
  <c r="BH285" i="15"/>
  <c r="BN285" i="15" s="1"/>
  <c r="BL285" i="15"/>
  <c r="BK268" i="15"/>
  <c r="BF268" i="15"/>
  <c r="BM268" i="15" s="1"/>
  <c r="BF173" i="15"/>
  <c r="BM173" i="15" s="1"/>
  <c r="BK173" i="15"/>
  <c r="BF282" i="15"/>
  <c r="BM282" i="15" s="1"/>
  <c r="BK282" i="15"/>
  <c r="BK171" i="15"/>
  <c r="BF171" i="15"/>
  <c r="BM171" i="15" s="1"/>
  <c r="BL292" i="15"/>
  <c r="BH257" i="15"/>
  <c r="BN257" i="15" s="1"/>
  <c r="BL257" i="15"/>
  <c r="BN174" i="15"/>
  <c r="BH193" i="15"/>
  <c r="BN193" i="15" s="1"/>
  <c r="BL193" i="15"/>
  <c r="BF137" i="15"/>
  <c r="BM137" i="15" s="1"/>
  <c r="BK137" i="15"/>
  <c r="BH264" i="15"/>
  <c r="BN264" i="15" s="1"/>
  <c r="BL264" i="15"/>
  <c r="BF269" i="15"/>
  <c r="BM269" i="15" s="1"/>
  <c r="BK269" i="15"/>
  <c r="BF132" i="15"/>
  <c r="BM132" i="15" s="1"/>
  <c r="BK132" i="15"/>
  <c r="BN262" i="15"/>
  <c r="BK200" i="15"/>
  <c r="BF200" i="15"/>
  <c r="BM200" i="15" s="1"/>
  <c r="BL290" i="15"/>
  <c r="BH290" i="15"/>
  <c r="BN290" i="15" s="1"/>
  <c r="BF139" i="15"/>
  <c r="BM139" i="15" s="1"/>
  <c r="BK139" i="15"/>
  <c r="BM170" i="15"/>
  <c r="BN168" i="15"/>
  <c r="BM168" i="15"/>
  <c r="BN292" i="15"/>
  <c r="BH177" i="15"/>
  <c r="BN177" i="15" s="1"/>
  <c r="BL177" i="15"/>
  <c r="BL276" i="15"/>
  <c r="BH276" i="15"/>
  <c r="BN276" i="15" s="1"/>
  <c r="BK177" i="15"/>
  <c r="BF177" i="15"/>
  <c r="BM177" i="15" s="1"/>
  <c r="BL288" i="15"/>
  <c r="BH288" i="15"/>
  <c r="BN288" i="15" s="1"/>
  <c r="BH284" i="15"/>
  <c r="BN284" i="15" s="1"/>
  <c r="BL284" i="15"/>
  <c r="BH141" i="15"/>
  <c r="BN141" i="15" s="1"/>
  <c r="BL141" i="15"/>
  <c r="BH178" i="15"/>
  <c r="BN178" i="15" s="1"/>
  <c r="BL178" i="15"/>
  <c r="BF141" i="15"/>
  <c r="BM141" i="15" s="1"/>
  <c r="BK141" i="15"/>
  <c r="BH291" i="15"/>
  <c r="BN291" i="15" s="1"/>
  <c r="BL291" i="15"/>
  <c r="BH243" i="15"/>
  <c r="BN243" i="15" s="1"/>
  <c r="BL243" i="15"/>
  <c r="BK293" i="15"/>
  <c r="BF293" i="15"/>
  <c r="BM293" i="15" s="1"/>
  <c r="BH248" i="15"/>
  <c r="BN248" i="15" s="1"/>
  <c r="BL248" i="15"/>
  <c r="BH172" i="15"/>
  <c r="BN172" i="15" s="1"/>
  <c r="BL172" i="15"/>
  <c r="BF172" i="15"/>
  <c r="BM172" i="15" s="1"/>
  <c r="BK172" i="15"/>
  <c r="BF166" i="15"/>
  <c r="BK166" i="15"/>
  <c r="BC321" i="15"/>
  <c r="BL317" i="15"/>
  <c r="BH317" i="15"/>
  <c r="BH322" i="15"/>
  <c r="BC326" i="15"/>
  <c r="BL322" i="15"/>
  <c r="BF300" i="15"/>
  <c r="BM300" i="15" s="1"/>
  <c r="BK300" i="15"/>
  <c r="BA304" i="15"/>
  <c r="BB318" i="15"/>
  <c r="BG318" i="15" s="1"/>
  <c r="BG314" i="15"/>
  <c r="BG308" i="15"/>
  <c r="BM308" i="15" s="1"/>
  <c r="BB312" i="15"/>
  <c r="BG312" i="15" s="1"/>
  <c r="BC328" i="15"/>
  <c r="BH324" i="15"/>
  <c r="BL324" i="15"/>
  <c r="BB305" i="15"/>
  <c r="BG305" i="15" s="1"/>
  <c r="BG301" i="15"/>
  <c r="BG324" i="15"/>
  <c r="BM324" i="15" s="1"/>
  <c r="BB328" i="15"/>
  <c r="BL315" i="15"/>
  <c r="BH315" i="15"/>
  <c r="BN315" i="15" s="1"/>
  <c r="BC319" i="15"/>
  <c r="BF305" i="15"/>
  <c r="BF325" i="15"/>
  <c r="BA329" i="15"/>
  <c r="BK325" i="15"/>
  <c r="BF312" i="15"/>
  <c r="BG315" i="15"/>
  <c r="BM315" i="15" s="1"/>
  <c r="BB319" i="15"/>
  <c r="BG319" i="15" s="1"/>
  <c r="BH325" i="15"/>
  <c r="BC329" i="15"/>
  <c r="BL325" i="15"/>
  <c r="BD328" i="15"/>
  <c r="BI324" i="15"/>
  <c r="BD311" i="15"/>
  <c r="BI311" i="15" s="1"/>
  <c r="BI307" i="15"/>
  <c r="BH310" i="15"/>
  <c r="BF321" i="15"/>
  <c r="BF311" i="15"/>
  <c r="BK308" i="15"/>
  <c r="BC304" i="15"/>
  <c r="BL300" i="15"/>
  <c r="BH300" i="15"/>
  <c r="BN300" i="15" s="1"/>
  <c r="BH308" i="15"/>
  <c r="BL308" i="15"/>
  <c r="BC312" i="15"/>
  <c r="BA318" i="15"/>
  <c r="BF314" i="15"/>
  <c r="BK314" i="15"/>
  <c r="BF326" i="15"/>
  <c r="BH309" i="15"/>
  <c r="BL309" i="15"/>
  <c r="BC313" i="15"/>
  <c r="BA303" i="15"/>
  <c r="BK299" i="15"/>
  <c r="BF299" i="15"/>
  <c r="BD327" i="15"/>
  <c r="BI327" i="15" s="1"/>
  <c r="BI323" i="15"/>
  <c r="BL298" i="15"/>
  <c r="BC302" i="15"/>
  <c r="BH298" i="15"/>
  <c r="BN298" i="15" s="1"/>
  <c r="BC303" i="15"/>
  <c r="BL299" i="15"/>
  <c r="BH299" i="15"/>
  <c r="BN299" i="15" s="1"/>
  <c r="BG323" i="15"/>
  <c r="BB327" i="15"/>
  <c r="BG327" i="15" s="1"/>
  <c r="BA327" i="15"/>
  <c r="BK323" i="15"/>
  <c r="BF323" i="15"/>
  <c r="BF320" i="15"/>
  <c r="BH301" i="15"/>
  <c r="BN301" i="15" s="1"/>
  <c r="BC305" i="15"/>
  <c r="BL301" i="15"/>
  <c r="BB320" i="15"/>
  <c r="BG320" i="15" s="1"/>
  <c r="BG316" i="15"/>
  <c r="BM316" i="15" s="1"/>
  <c r="BC320" i="15"/>
  <c r="BH316" i="15"/>
  <c r="BN316" i="15" s="1"/>
  <c r="BL316" i="15"/>
  <c r="BH307" i="15"/>
  <c r="BC311" i="15"/>
  <c r="BL307" i="15"/>
  <c r="BB311" i="15"/>
  <c r="BG311" i="15" s="1"/>
  <c r="BG307" i="15"/>
  <c r="BM307" i="15" s="1"/>
  <c r="BC327" i="15"/>
  <c r="BL323" i="15"/>
  <c r="BH323" i="15"/>
  <c r="BB326" i="15"/>
  <c r="BG322" i="15"/>
  <c r="BM322" i="15" s="1"/>
  <c r="BK324" i="15"/>
  <c r="BL314" i="15"/>
  <c r="BC318" i="15"/>
  <c r="BH314" i="15"/>
  <c r="BN314" i="15" s="1"/>
  <c r="BF313" i="15"/>
  <c r="BM313" i="15" s="1"/>
  <c r="BK313" i="15"/>
  <c r="BF328" i="15"/>
  <c r="BK315" i="15"/>
  <c r="BB329" i="15"/>
  <c r="BG329" i="15" s="1"/>
  <c r="BG325" i="15"/>
  <c r="BB303" i="15"/>
  <c r="BG303" i="15" s="1"/>
  <c r="BG299" i="15"/>
  <c r="BD321" i="15"/>
  <c r="BI321" i="15" s="1"/>
  <c r="BI317" i="15"/>
  <c r="BH112" i="15"/>
  <c r="BN112" i="15" s="1"/>
  <c r="BL112" i="15"/>
  <c r="BH119" i="15"/>
  <c r="BN119" i="15" s="1"/>
  <c r="BL119" i="15"/>
  <c r="BH113" i="15"/>
  <c r="BN113" i="15" s="1"/>
  <c r="BL113" i="15"/>
  <c r="BF103" i="15"/>
  <c r="BM103" i="15" s="1"/>
  <c r="BK103" i="15"/>
  <c r="BC109" i="15"/>
  <c r="BC111" i="15"/>
  <c r="BF117" i="15"/>
  <c r="BM117" i="15" s="1"/>
  <c r="BK117" i="15"/>
  <c r="BF93" i="15"/>
  <c r="BM93" i="15" s="1"/>
  <c r="BK93" i="15"/>
  <c r="BF115" i="15"/>
  <c r="BM115" i="15" s="1"/>
  <c r="BK115" i="15"/>
  <c r="BF91" i="15"/>
  <c r="BM91" i="15" s="1"/>
  <c r="BK91" i="15"/>
  <c r="BC91" i="15"/>
  <c r="BC93" i="15"/>
  <c r="BH117" i="15"/>
  <c r="BN117" i="15" s="1"/>
  <c r="BL117" i="15"/>
  <c r="BF123" i="15"/>
  <c r="BM123" i="15" s="1"/>
  <c r="BK123" i="15"/>
  <c r="BC121" i="15"/>
  <c r="BC123" i="15"/>
  <c r="BH115" i="15"/>
  <c r="BN115" i="15" s="1"/>
  <c r="BL115" i="15"/>
  <c r="BF111" i="15"/>
  <c r="BM111" i="15" s="1"/>
  <c r="BK111" i="15"/>
  <c r="BF121" i="15"/>
  <c r="BM121" i="15" s="1"/>
  <c r="BK121" i="15"/>
  <c r="BH104" i="15"/>
  <c r="BN104" i="15" s="1"/>
  <c r="BL104" i="15"/>
  <c r="BC97" i="15"/>
  <c r="BC99" i="15"/>
  <c r="BH129" i="15"/>
  <c r="BN129" i="15" s="1"/>
  <c r="BL129" i="15"/>
  <c r="BF109" i="15"/>
  <c r="BM109" i="15" s="1"/>
  <c r="BK109" i="15"/>
  <c r="BH102" i="15"/>
  <c r="BN102" i="15" s="1"/>
  <c r="BL102" i="15"/>
  <c r="BH127" i="15"/>
  <c r="BN127" i="15" s="1"/>
  <c r="BL127" i="15"/>
  <c r="BH98" i="15"/>
  <c r="BN98" i="15" s="1"/>
  <c r="BL98" i="15"/>
  <c r="BH88" i="15"/>
  <c r="BN88" i="15" s="1"/>
  <c r="BL88" i="15"/>
  <c r="BF99" i="15"/>
  <c r="BM99" i="15" s="1"/>
  <c r="BK99" i="15"/>
  <c r="BF105" i="15"/>
  <c r="BM105" i="15" s="1"/>
  <c r="BK105" i="15"/>
  <c r="BH96" i="15"/>
  <c r="BN96" i="15" s="1"/>
  <c r="BL96" i="15"/>
  <c r="BH89" i="15"/>
  <c r="BN89" i="15" s="1"/>
  <c r="BL89" i="15"/>
  <c r="BH124" i="15"/>
  <c r="BN124" i="15" s="1"/>
  <c r="BL124" i="15"/>
  <c r="BC103" i="15"/>
  <c r="BC105" i="15"/>
  <c r="BF97" i="15"/>
  <c r="BM97" i="15" s="1"/>
  <c r="BK97" i="15"/>
  <c r="BH110" i="15"/>
  <c r="BN110" i="15" s="1"/>
  <c r="BL110" i="15"/>
  <c r="BH92" i="15"/>
  <c r="BN92" i="15" s="1"/>
  <c r="BL92" i="15"/>
  <c r="BH125" i="15"/>
  <c r="BN125" i="15" s="1"/>
  <c r="BL125" i="15"/>
  <c r="BH108" i="15"/>
  <c r="BN108" i="15" s="1"/>
  <c r="BL108" i="15"/>
  <c r="BH90" i="15"/>
  <c r="BN90" i="15" s="1"/>
  <c r="BL90" i="15"/>
  <c r="BH118" i="15"/>
  <c r="BN118" i="15" s="1"/>
  <c r="BL118" i="15"/>
  <c r="DG514" i="7"/>
  <c r="AA406" i="15" s="1"/>
  <c r="I979" i="6"/>
  <c r="I963" i="6"/>
  <c r="I965" i="6"/>
  <c r="I987" i="6"/>
  <c r="I970" i="6"/>
  <c r="I967" i="6"/>
  <c r="I982" i="6"/>
  <c r="I977" i="6"/>
  <c r="I975" i="6"/>
  <c r="I983" i="6"/>
  <c r="I988" i="6"/>
  <c r="I966" i="6"/>
  <c r="I981" i="6"/>
  <c r="I978" i="6"/>
  <c r="I974" i="6"/>
  <c r="I971" i="6"/>
  <c r="I969" i="6"/>
  <c r="I984" i="6"/>
  <c r="I972" i="6"/>
  <c r="I973" i="6"/>
  <c r="I985" i="6"/>
  <c r="I980" i="6"/>
  <c r="X1251" i="6"/>
  <c r="I964" i="6"/>
  <c r="I986" i="6"/>
  <c r="I976" i="6"/>
  <c r="I962" i="6"/>
  <c r="I968" i="6"/>
  <c r="DG1092" i="7"/>
  <c r="AA487" i="15" s="1"/>
  <c r="D827" i="7"/>
  <c r="V745" i="7"/>
  <c r="D746" i="7"/>
  <c r="C746" i="7" s="1"/>
  <c r="V703" i="7"/>
  <c r="DG7" i="6"/>
  <c r="AA78" i="15" s="1"/>
  <c r="DG147" i="6"/>
  <c r="AA124" i="15" s="1"/>
  <c r="DG4518" i="6"/>
  <c r="AA311" i="15" s="1"/>
  <c r="DG4524" i="6"/>
  <c r="AA314" i="15" s="1"/>
  <c r="DG152" i="6"/>
  <c r="AA127" i="15" s="1"/>
  <c r="DG4540" i="6"/>
  <c r="AA318" i="15" s="1"/>
  <c r="DG4536" i="6"/>
  <c r="AA317" i="15" s="1"/>
  <c r="DG4480" i="6"/>
  <c r="AA299" i="15" s="1"/>
  <c r="DG150" i="6"/>
  <c r="AA126" i="15" s="1"/>
  <c r="DG4494" i="6"/>
  <c r="AA303" i="15" s="1"/>
  <c r="DG4516" i="6"/>
  <c r="AA310" i="15" s="1"/>
  <c r="DG149" i="6"/>
  <c r="AA125" i="15" s="1"/>
  <c r="DG4496" i="6"/>
  <c r="AA304" i="15" s="1"/>
  <c r="DG4570" i="6"/>
  <c r="AA329" i="15" s="1"/>
  <c r="DG155" i="6"/>
  <c r="AA129" i="15" s="1"/>
  <c r="DG154" i="6"/>
  <c r="AA128" i="15" s="1"/>
  <c r="AF31" i="6" l="1"/>
  <c r="I32" i="6"/>
  <c r="I33" i="6" s="1"/>
  <c r="K1670" i="6"/>
  <c r="K1840" i="6"/>
  <c r="K1592" i="6"/>
  <c r="BM166" i="15"/>
  <c r="BM167" i="15"/>
  <c r="BK167" i="15"/>
  <c r="BI166" i="15"/>
  <c r="BN166" i="15" s="1"/>
  <c r="BD167" i="15"/>
  <c r="K1618" i="6"/>
  <c r="K1642" i="6"/>
  <c r="BN325" i="15"/>
  <c r="BN322" i="15"/>
  <c r="BI328" i="15"/>
  <c r="BG328" i="15"/>
  <c r="BM328" i="15" s="1"/>
  <c r="BG326" i="15"/>
  <c r="BM326" i="15" s="1"/>
  <c r="BM310" i="15"/>
  <c r="K1594" i="6"/>
  <c r="K1560" i="6"/>
  <c r="BK321" i="15"/>
  <c r="BM321" i="15"/>
  <c r="K1650" i="6"/>
  <c r="BM302" i="15"/>
  <c r="K1810" i="6"/>
  <c r="K1706" i="6"/>
  <c r="BL166" i="15"/>
  <c r="K1862" i="6"/>
  <c r="AB289" i="15"/>
  <c r="DG1876" i="6"/>
  <c r="AA289" i="15" s="1"/>
  <c r="AB192" i="15"/>
  <c r="DG1584" i="6"/>
  <c r="AA192" i="15" s="1"/>
  <c r="AB243" i="15"/>
  <c r="DG1712" i="6"/>
  <c r="AA243" i="15" s="1"/>
  <c r="AB244" i="15"/>
  <c r="DG1714" i="6"/>
  <c r="AA244" i="15" s="1"/>
  <c r="AB207" i="15"/>
  <c r="DG1622" i="6"/>
  <c r="AA207" i="15" s="1"/>
  <c r="AB193" i="15"/>
  <c r="DG1586" i="6"/>
  <c r="AA193" i="15" s="1"/>
  <c r="AB186" i="15"/>
  <c r="DG1568" i="6"/>
  <c r="AA186" i="15" s="1"/>
  <c r="AB273" i="15"/>
  <c r="DG1826" i="6"/>
  <c r="AA273" i="15" s="1"/>
  <c r="AB202" i="15"/>
  <c r="DG1612" i="6"/>
  <c r="AA202" i="15" s="1"/>
  <c r="AB288" i="15"/>
  <c r="DG1874" i="6"/>
  <c r="AA288" i="15" s="1"/>
  <c r="AB291" i="15"/>
  <c r="DG1880" i="6"/>
  <c r="AA291" i="15" s="1"/>
  <c r="AB213" i="15"/>
  <c r="DG1634" i="6"/>
  <c r="AA213" i="15" s="1"/>
  <c r="AB230" i="15"/>
  <c r="DG1672" i="6"/>
  <c r="AA230" i="15" s="1"/>
  <c r="AB279" i="15"/>
  <c r="DG1848" i="6"/>
  <c r="AA279" i="15" s="1"/>
  <c r="AB218" i="15"/>
  <c r="DG1644" i="6"/>
  <c r="AA218" i="15" s="1"/>
  <c r="AB254" i="15"/>
  <c r="DG1750" i="6"/>
  <c r="AA254" i="15" s="1"/>
  <c r="AB187" i="15"/>
  <c r="DG1570" i="6"/>
  <c r="AA187" i="15" s="1"/>
  <c r="AB210" i="15"/>
  <c r="DG1628" i="6"/>
  <c r="AA210" i="15" s="1"/>
  <c r="AB278" i="15"/>
  <c r="DG1844" i="6"/>
  <c r="AA278" i="15" s="1"/>
  <c r="AB245" i="15"/>
  <c r="DG1718" i="6"/>
  <c r="AA245" i="15" s="1"/>
  <c r="AB204" i="15"/>
  <c r="DG1616" i="6"/>
  <c r="AA204" i="15" s="1"/>
  <c r="AB286" i="15"/>
  <c r="DG1866" i="6"/>
  <c r="AA286" i="15" s="1"/>
  <c r="AB172" i="15"/>
  <c r="DG1522" i="6"/>
  <c r="AA172" i="15" s="1"/>
  <c r="DG1512" i="6"/>
  <c r="AA169" i="15" s="1"/>
  <c r="AB178" i="15"/>
  <c r="DG1540" i="6"/>
  <c r="AA178" i="15" s="1"/>
  <c r="AB194" i="15"/>
  <c r="DG1588" i="6"/>
  <c r="AA194" i="15" s="1"/>
  <c r="AA401" i="15"/>
  <c r="K1662" i="6"/>
  <c r="K1608" i="6"/>
  <c r="K1624" i="6"/>
  <c r="AF1255" i="6"/>
  <c r="BN310" i="15"/>
  <c r="K1742" i="6"/>
  <c r="DJ1742" i="6" s="1"/>
  <c r="K1688" i="6"/>
  <c r="DJ1688" i="6" s="1"/>
  <c r="K1574" i="6"/>
  <c r="DJ1574" i="6" s="1"/>
  <c r="BL310" i="15"/>
  <c r="K806" i="6"/>
  <c r="DJ806" i="6" s="1"/>
  <c r="AF1236" i="6"/>
  <c r="AF1230" i="6"/>
  <c r="BK310" i="15"/>
  <c r="K1530" i="6"/>
  <c r="DJ1530" i="6" s="1"/>
  <c r="AB169" i="15"/>
  <c r="K1572" i="6"/>
  <c r="DJ1572" i="6" s="1"/>
  <c r="BI164" i="15"/>
  <c r="BN164" i="15" s="1"/>
  <c r="BL164" i="15"/>
  <c r="K1698" i="6"/>
  <c r="DJ1698" i="6" s="1"/>
  <c r="AF9" i="6"/>
  <c r="M9" i="6"/>
  <c r="O79" i="15" s="1"/>
  <c r="U79" i="15" s="1"/>
  <c r="I79" i="15"/>
  <c r="K1864" i="6"/>
  <c r="DJ1864" i="6" s="1"/>
  <c r="K1630" i="6"/>
  <c r="DJ1630" i="6" s="1"/>
  <c r="K1564" i="6"/>
  <c r="DJ1564" i="6" s="1"/>
  <c r="K1648" i="6"/>
  <c r="DJ1648" i="6" s="1"/>
  <c r="K1652" i="6"/>
  <c r="DJ1652" i="6" s="1"/>
  <c r="AF4182" i="6"/>
  <c r="K1798" i="6"/>
  <c r="DJ1798" i="6" s="1"/>
  <c r="AF4328" i="6"/>
  <c r="K1766" i="6"/>
  <c r="DJ1766" i="6" s="1"/>
  <c r="AF4296" i="6"/>
  <c r="K1596" i="6"/>
  <c r="DJ1596" i="6" s="1"/>
  <c r="AF4126" i="6"/>
  <c r="K1770" i="6"/>
  <c r="DJ1770" i="6" s="1"/>
  <c r="AF4300" i="6"/>
  <c r="K1790" i="6"/>
  <c r="DJ1790" i="6" s="1"/>
  <c r="AF4320" i="6"/>
  <c r="K1556" i="6"/>
  <c r="DJ1556" i="6" s="1"/>
  <c r="AF4086" i="6"/>
  <c r="K1738" i="6"/>
  <c r="DJ1738" i="6" s="1"/>
  <c r="AF4268" i="6"/>
  <c r="K1802" i="6"/>
  <c r="DJ1802" i="6" s="1"/>
  <c r="AF4332" i="6"/>
  <c r="K1734" i="6"/>
  <c r="DJ1734" i="6" s="1"/>
  <c r="AF4264" i="6"/>
  <c r="K1828" i="6"/>
  <c r="DJ1828" i="6" s="1"/>
  <c r="AF4358" i="6"/>
  <c r="K1888" i="6"/>
  <c r="DJ1888" i="6" s="1"/>
  <c r="AF4418" i="6"/>
  <c r="K1884" i="6"/>
  <c r="DJ1884" i="6" s="1"/>
  <c r="AF4414" i="6"/>
  <c r="K1882" i="6"/>
  <c r="DJ1882" i="6" s="1"/>
  <c r="AF4412" i="6"/>
  <c r="K1724" i="6"/>
  <c r="DJ1724" i="6" s="1"/>
  <c r="AF4254" i="6"/>
  <c r="K1886" i="6"/>
  <c r="DJ1886" i="6" s="1"/>
  <c r="AF4416" i="6"/>
  <c r="K1746" i="6"/>
  <c r="DJ1746" i="6" s="1"/>
  <c r="AF4276" i="6"/>
  <c r="K1778" i="6"/>
  <c r="DJ1778" i="6" s="1"/>
  <c r="AF4308" i="6"/>
  <c r="K1638" i="6"/>
  <c r="DJ1638" i="6" s="1"/>
  <c r="AF4168" i="6"/>
  <c r="K1692" i="6"/>
  <c r="DJ1692" i="6" s="1"/>
  <c r="AF4222" i="6"/>
  <c r="K1636" i="6"/>
  <c r="DJ1636" i="6" s="1"/>
  <c r="AF4166" i="6"/>
  <c r="K1626" i="6"/>
  <c r="DJ1626" i="6" s="1"/>
  <c r="AF4156" i="6"/>
  <c r="K1668" i="6"/>
  <c r="DJ1668" i="6" s="1"/>
  <c r="AF4198" i="6"/>
  <c r="K1676" i="6"/>
  <c r="DJ1676" i="6" s="1"/>
  <c r="AF4206" i="6"/>
  <c r="K1704" i="6"/>
  <c r="DJ1704" i="6" s="1"/>
  <c r="AF4234" i="6"/>
  <c r="AF1215" i="6"/>
  <c r="K756" i="6"/>
  <c r="DJ756" i="6" s="1"/>
  <c r="AF1220" i="6"/>
  <c r="AF1251" i="6"/>
  <c r="K778" i="6"/>
  <c r="DJ778" i="6" s="1"/>
  <c r="AF1239" i="6"/>
  <c r="K754" i="6"/>
  <c r="DJ754" i="6" s="1"/>
  <c r="AF1218" i="6"/>
  <c r="K782" i="6"/>
  <c r="DJ782" i="6" s="1"/>
  <c r="AF1241" i="6"/>
  <c r="K776" i="6"/>
  <c r="DJ776" i="6" s="1"/>
  <c r="AF1238" i="6"/>
  <c r="K752" i="6"/>
  <c r="DJ752" i="6" s="1"/>
  <c r="AF1216" i="6"/>
  <c r="K764" i="6"/>
  <c r="DJ764" i="6" s="1"/>
  <c r="AF1228" i="6"/>
  <c r="DG1892" i="6"/>
  <c r="AA297" i="15" s="1"/>
  <c r="AB297" i="15"/>
  <c r="DG1890" i="6"/>
  <c r="AA296" i="15" s="1"/>
  <c r="AB296" i="15"/>
  <c r="DG1576" i="6"/>
  <c r="AA190" i="15" s="1"/>
  <c r="AB190" i="15"/>
  <c r="DG1590" i="6"/>
  <c r="AA195" i="15" s="1"/>
  <c r="AB195" i="15"/>
  <c r="DG1818" i="6"/>
  <c r="AA271" i="15" s="1"/>
  <c r="AB271" i="15"/>
  <c r="DG1782" i="6"/>
  <c r="AA262" i="15" s="1"/>
  <c r="AB262" i="15"/>
  <c r="DG1708" i="6"/>
  <c r="AA242" i="15" s="1"/>
  <c r="AB242" i="15"/>
  <c r="DG1632" i="6"/>
  <c r="AA212" i="15" s="1"/>
  <c r="AB212" i="15"/>
  <c r="DG1664" i="6"/>
  <c r="AA226" i="15" s="1"/>
  <c r="AB226" i="15"/>
  <c r="DG1640" i="6"/>
  <c r="AA216" i="15" s="1"/>
  <c r="AB216" i="15"/>
  <c r="DG1860" i="6"/>
  <c r="AA283" i="15" s="1"/>
  <c r="AB283" i="15"/>
  <c r="DG1684" i="6"/>
  <c r="AA233" i="15" s="1"/>
  <c r="AB233" i="15"/>
  <c r="DG1646" i="6"/>
  <c r="AA219" i="15" s="1"/>
  <c r="AB219" i="15"/>
  <c r="AB191" i="15"/>
  <c r="DG1870" i="6"/>
  <c r="AA287" i="15" s="1"/>
  <c r="AB287" i="15"/>
  <c r="DG1700" i="6"/>
  <c r="AA238" i="15" s="1"/>
  <c r="AB238" i="15"/>
  <c r="DG1620" i="6"/>
  <c r="AA206" i="15" s="1"/>
  <c r="AB206" i="15"/>
  <c r="DG1786" i="6"/>
  <c r="AA263" i="15" s="1"/>
  <c r="AB263" i="15"/>
  <c r="AB282" i="15"/>
  <c r="DG1814" i="6"/>
  <c r="AA270" i="15" s="1"/>
  <c r="AB270" i="15"/>
  <c r="DG1856" i="6"/>
  <c r="AA281" i="15" s="1"/>
  <c r="AB281" i="15"/>
  <c r="DG1666" i="6"/>
  <c r="AA227" i="15" s="1"/>
  <c r="AB227" i="15"/>
  <c r="DG1614" i="6"/>
  <c r="AA203" i="15" s="1"/>
  <c r="AB203" i="15"/>
  <c r="DG1720" i="6"/>
  <c r="AA246" i="15" s="1"/>
  <c r="AB246" i="15"/>
  <c r="DG1696" i="6"/>
  <c r="AA236" i="15" s="1"/>
  <c r="AB236" i="15"/>
  <c r="DG1878" i="6"/>
  <c r="AA290" i="15" s="1"/>
  <c r="AB290" i="15"/>
  <c r="DG1680" i="6"/>
  <c r="AA232" i="15" s="1"/>
  <c r="AB232" i="15"/>
  <c r="DG1852" i="6"/>
  <c r="AA280" i="15" s="1"/>
  <c r="AB280" i="15"/>
  <c r="DG1702" i="6"/>
  <c r="AA239" i="15" s="1"/>
  <c r="AB239" i="15"/>
  <c r="DG1660" i="6"/>
  <c r="AA224" i="15" s="1"/>
  <c r="AB224" i="15"/>
  <c r="DG1754" i="6"/>
  <c r="AA255" i="15" s="1"/>
  <c r="AB255" i="15"/>
  <c r="AB272" i="15"/>
  <c r="K749" i="6"/>
  <c r="DJ749" i="6" s="1"/>
  <c r="AF1213" i="6"/>
  <c r="K768" i="6"/>
  <c r="DJ768" i="6" s="1"/>
  <c r="AF1232" i="6"/>
  <c r="K786" i="6"/>
  <c r="DJ786" i="6" s="1"/>
  <c r="AF1243" i="6"/>
  <c r="AA74" i="15"/>
  <c r="AA10" i="15"/>
  <c r="K766" i="6"/>
  <c r="DJ766" i="6" s="1"/>
  <c r="K772" i="6"/>
  <c r="DJ772" i="6" s="1"/>
  <c r="K1656" i="6"/>
  <c r="DJ1656" i="6" s="1"/>
  <c r="K1806" i="6"/>
  <c r="DJ1806" i="6" s="1"/>
  <c r="K1762" i="6"/>
  <c r="DJ1762" i="6" s="1"/>
  <c r="K1600" i="6"/>
  <c r="DJ1600" i="6" s="1"/>
  <c r="K1604" i="6"/>
  <c r="DJ1604" i="6" s="1"/>
  <c r="K1730" i="6"/>
  <c r="DJ1730" i="6" s="1"/>
  <c r="K1794" i="6"/>
  <c r="DJ1794" i="6" s="1"/>
  <c r="K1726" i="6"/>
  <c r="DJ1726" i="6" s="1"/>
  <c r="K1758" i="6"/>
  <c r="DJ1758" i="6" s="1"/>
  <c r="K1832" i="6"/>
  <c r="DJ1832" i="6" s="1"/>
  <c r="K1552" i="6"/>
  <c r="DJ1552" i="6" s="1"/>
  <c r="K1836" i="6"/>
  <c r="DJ1836" i="6" s="1"/>
  <c r="BM314" i="15"/>
  <c r="K1774" i="6"/>
  <c r="DJ1774" i="6" s="1"/>
  <c r="BN309" i="15"/>
  <c r="BM301" i="15"/>
  <c r="BK302" i="15"/>
  <c r="BM319" i="15"/>
  <c r="BK326" i="15"/>
  <c r="BK328" i="15"/>
  <c r="BN308" i="15"/>
  <c r="BH311" i="15"/>
  <c r="BN311" i="15" s="1"/>
  <c r="BL311" i="15"/>
  <c r="BH328" i="15"/>
  <c r="BL328" i="15"/>
  <c r="BH303" i="15"/>
  <c r="BN303" i="15" s="1"/>
  <c r="BL303" i="15"/>
  <c r="BH318" i="15"/>
  <c r="BN318" i="15" s="1"/>
  <c r="BL318" i="15"/>
  <c r="BH305" i="15"/>
  <c r="BN305" i="15" s="1"/>
  <c r="BL305" i="15"/>
  <c r="BK312" i="15"/>
  <c r="BM312" i="15"/>
  <c r="BK320" i="15"/>
  <c r="BN323" i="15"/>
  <c r="BK311" i="15"/>
  <c r="BK305" i="15"/>
  <c r="BF318" i="15"/>
  <c r="BM318" i="15" s="1"/>
  <c r="BK318" i="15"/>
  <c r="BN307" i="15"/>
  <c r="BN324" i="15"/>
  <c r="BH320" i="15"/>
  <c r="BN320" i="15" s="1"/>
  <c r="BL320" i="15"/>
  <c r="BL329" i="15"/>
  <c r="BH329" i="15"/>
  <c r="BN329" i="15" s="1"/>
  <c r="BH312" i="15"/>
  <c r="BN312" i="15" s="1"/>
  <c r="BL312" i="15"/>
  <c r="BH302" i="15"/>
  <c r="BN302" i="15" s="1"/>
  <c r="BL302" i="15"/>
  <c r="BK304" i="15"/>
  <c r="BF304" i="15"/>
  <c r="BM304" i="15" s="1"/>
  <c r="BM320" i="15"/>
  <c r="BF329" i="15"/>
  <c r="BM329" i="15" s="1"/>
  <c r="BK329" i="15"/>
  <c r="BM325" i="15"/>
  <c r="BF327" i="15"/>
  <c r="BM327" i="15" s="1"/>
  <c r="BK327" i="15"/>
  <c r="BM299" i="15"/>
  <c r="BM305" i="15"/>
  <c r="BH326" i="15"/>
  <c r="BN326" i="15" s="1"/>
  <c r="BL326" i="15"/>
  <c r="BH327" i="15"/>
  <c r="BN327" i="15" s="1"/>
  <c r="BL327" i="15"/>
  <c r="BH319" i="15"/>
  <c r="BN319" i="15" s="1"/>
  <c r="BL319" i="15"/>
  <c r="BH304" i="15"/>
  <c r="BN304" i="15" s="1"/>
  <c r="BL304" i="15"/>
  <c r="BM323" i="15"/>
  <c r="BM311" i="15"/>
  <c r="BK319" i="15"/>
  <c r="BF303" i="15"/>
  <c r="BM303" i="15" s="1"/>
  <c r="BK303" i="15"/>
  <c r="BN317" i="15"/>
  <c r="BH313" i="15"/>
  <c r="BN313" i="15" s="1"/>
  <c r="BL313" i="15"/>
  <c r="BH321" i="15"/>
  <c r="BN321" i="15" s="1"/>
  <c r="BL321" i="15"/>
  <c r="BH111" i="15"/>
  <c r="BN111" i="15" s="1"/>
  <c r="BL111" i="15"/>
  <c r="BH93" i="15"/>
  <c r="BN93" i="15" s="1"/>
  <c r="BL93" i="15"/>
  <c r="BH109" i="15"/>
  <c r="BN109" i="15" s="1"/>
  <c r="BL109" i="15"/>
  <c r="BH91" i="15"/>
  <c r="BN91" i="15" s="1"/>
  <c r="BL91" i="15"/>
  <c r="BH105" i="15"/>
  <c r="BN105" i="15" s="1"/>
  <c r="BL105" i="15"/>
  <c r="BH123" i="15"/>
  <c r="BN123" i="15" s="1"/>
  <c r="BL123" i="15"/>
  <c r="BH103" i="15"/>
  <c r="BN103" i="15" s="1"/>
  <c r="BL103" i="15"/>
  <c r="BH99" i="15"/>
  <c r="BN99" i="15" s="1"/>
  <c r="BL99" i="15"/>
  <c r="BH121" i="15"/>
  <c r="BN121" i="15" s="1"/>
  <c r="BL121" i="15"/>
  <c r="BH97" i="15"/>
  <c r="BN97" i="15" s="1"/>
  <c r="BL97" i="15"/>
  <c r="DG1580" i="6"/>
  <c r="AA191" i="15" s="1"/>
  <c r="DG1822" i="6"/>
  <c r="AA272" i="15" s="1"/>
  <c r="AH147" i="15"/>
  <c r="I1013" i="6"/>
  <c r="I1011" i="6"/>
  <c r="I993" i="6"/>
  <c r="I994" i="6"/>
  <c r="I999" i="6"/>
  <c r="I996" i="6"/>
  <c r="X1255" i="6"/>
  <c r="I1007" i="6"/>
  <c r="I998" i="6"/>
  <c r="I1010" i="6"/>
  <c r="I1014" i="6"/>
  <c r="I1006" i="6"/>
  <c r="I995" i="6"/>
  <c r="I1009" i="6"/>
  <c r="Y1251" i="6"/>
  <c r="I1012" i="6"/>
  <c r="I1001" i="6"/>
  <c r="I1002" i="6"/>
  <c r="I992" i="6"/>
  <c r="I991" i="6"/>
  <c r="I1015" i="6"/>
  <c r="I989" i="6"/>
  <c r="I1000" i="6"/>
  <c r="I1005" i="6"/>
  <c r="I1004" i="6"/>
  <c r="I990" i="6"/>
  <c r="I1008" i="6"/>
  <c r="I997" i="6"/>
  <c r="I1003" i="6"/>
  <c r="V827" i="7"/>
  <c r="D859" i="7"/>
  <c r="V746" i="7"/>
  <c r="DG1858" i="6"/>
  <c r="AA282" i="15" s="1"/>
  <c r="DJ1624" i="6" l="1"/>
  <c r="DG1624" i="6" s="1"/>
  <c r="AA208" i="15" s="1"/>
  <c r="DJ1662" i="6"/>
  <c r="DG1662" i="6" s="1"/>
  <c r="AA225" i="15" s="1"/>
  <c r="DJ1560" i="6"/>
  <c r="DG1560" i="6" s="1"/>
  <c r="AA184" i="15" s="1"/>
  <c r="DJ1594" i="6"/>
  <c r="DG1594" i="6" s="1"/>
  <c r="AA197" i="15" s="1"/>
  <c r="DJ1862" i="6"/>
  <c r="DG1862" i="6" s="1"/>
  <c r="AA284" i="15" s="1"/>
  <c r="AB229" i="15"/>
  <c r="DJ1670" i="6"/>
  <c r="DG1670" i="6" s="1"/>
  <c r="AA229" i="15" s="1"/>
  <c r="DJ1650" i="6"/>
  <c r="DG1650" i="6" s="1"/>
  <c r="AA221" i="15" s="1"/>
  <c r="DJ1840" i="6"/>
  <c r="DG1840" i="6" s="1"/>
  <c r="AA277" i="15" s="1"/>
  <c r="DJ1706" i="6"/>
  <c r="DG1706" i="6" s="1"/>
  <c r="AA241" i="15" s="1"/>
  <c r="DJ1642" i="6"/>
  <c r="DG1642" i="6" s="1"/>
  <c r="AA217" i="15" s="1"/>
  <c r="DJ1618" i="6"/>
  <c r="DG1618" i="6" s="1"/>
  <c r="AA205" i="15" s="1"/>
  <c r="DJ1608" i="6"/>
  <c r="DG1608" i="6" s="1"/>
  <c r="AA201" i="15" s="1"/>
  <c r="DJ1592" i="6"/>
  <c r="DG1592" i="6" s="1"/>
  <c r="AA196" i="15" s="1"/>
  <c r="DJ1810" i="6"/>
  <c r="DG1810" i="6" s="1"/>
  <c r="AA269" i="15" s="1"/>
  <c r="AB196" i="15"/>
  <c r="AB277" i="15"/>
  <c r="AB205" i="15"/>
  <c r="AB184" i="15"/>
  <c r="AB217" i="15"/>
  <c r="BI167" i="15"/>
  <c r="BN167" i="15" s="1"/>
  <c r="BL167" i="15"/>
  <c r="BN328" i="15"/>
  <c r="AB284" i="15"/>
  <c r="AB208" i="15"/>
  <c r="AB241" i="15"/>
  <c r="AB197" i="15"/>
  <c r="AB269" i="15"/>
  <c r="AB221" i="15"/>
  <c r="AB225" i="15"/>
  <c r="AB201" i="15"/>
  <c r="AB260" i="15"/>
  <c r="AB276" i="15"/>
  <c r="DG1836" i="6"/>
  <c r="AA276" i="15" s="1"/>
  <c r="AB248" i="15"/>
  <c r="DG1726" i="6"/>
  <c r="AA248" i="15" s="1"/>
  <c r="AB265" i="15"/>
  <c r="DG1794" i="6"/>
  <c r="AA265" i="15" s="1"/>
  <c r="AB139" i="15"/>
  <c r="AB137" i="15"/>
  <c r="DG766" i="6"/>
  <c r="AA137" i="15" s="1"/>
  <c r="AB138" i="15"/>
  <c r="DG768" i="6"/>
  <c r="AA138" i="15" s="1"/>
  <c r="AB130" i="15"/>
  <c r="AB136" i="15"/>
  <c r="DG764" i="6"/>
  <c r="AA136" i="15" s="1"/>
  <c r="AB132" i="15"/>
  <c r="DG752" i="6"/>
  <c r="AA132" i="15" s="1"/>
  <c r="AB141" i="15"/>
  <c r="DG776" i="6"/>
  <c r="AA141" i="15" s="1"/>
  <c r="AB145" i="15"/>
  <c r="DG782" i="6"/>
  <c r="AA145" i="15" s="1"/>
  <c r="AB133" i="15"/>
  <c r="DG754" i="6"/>
  <c r="AA133" i="15" s="1"/>
  <c r="AB143" i="15"/>
  <c r="DG778" i="6"/>
  <c r="AA143" i="15" s="1"/>
  <c r="AB134" i="15"/>
  <c r="DG756" i="6"/>
  <c r="AA134" i="15" s="1"/>
  <c r="DG1704" i="6"/>
  <c r="AA240" i="15" s="1"/>
  <c r="DG1676" i="6"/>
  <c r="AA231" i="15" s="1"/>
  <c r="DG1668" i="6"/>
  <c r="AA228" i="15" s="1"/>
  <c r="AB209" i="15"/>
  <c r="DG1626" i="6"/>
  <c r="AA209" i="15" s="1"/>
  <c r="AB214" i="15"/>
  <c r="DG1636" i="6"/>
  <c r="AA214" i="15" s="1"/>
  <c r="DG1692" i="6"/>
  <c r="AA235" i="15" s="1"/>
  <c r="AB215" i="15"/>
  <c r="DG1638" i="6"/>
  <c r="AA215" i="15" s="1"/>
  <c r="AB261" i="15"/>
  <c r="DG1778" i="6"/>
  <c r="AA261" i="15" s="1"/>
  <c r="AB253" i="15"/>
  <c r="DG1746" i="6"/>
  <c r="AA253" i="15" s="1"/>
  <c r="AB294" i="15"/>
  <c r="DG1886" i="6"/>
  <c r="AA294" i="15" s="1"/>
  <c r="AB247" i="15"/>
  <c r="DG1724" i="6"/>
  <c r="AA247" i="15" s="1"/>
  <c r="AB292" i="15"/>
  <c r="DG1882" i="6"/>
  <c r="AA292" i="15" s="1"/>
  <c r="AB293" i="15"/>
  <c r="DG1884" i="6"/>
  <c r="AA293" i="15" s="1"/>
  <c r="AB295" i="15"/>
  <c r="DG1888" i="6"/>
  <c r="AA295" i="15" s="1"/>
  <c r="AB274" i="15"/>
  <c r="DG1828" i="6"/>
  <c r="AA274" i="15" s="1"/>
  <c r="AB250" i="15"/>
  <c r="DG1734" i="6"/>
  <c r="AA250" i="15" s="1"/>
  <c r="AB267" i="15"/>
  <c r="DG1802" i="6"/>
  <c r="AA267" i="15" s="1"/>
  <c r="AB251" i="15"/>
  <c r="DG1738" i="6"/>
  <c r="AA251" i="15" s="1"/>
  <c r="AB183" i="15"/>
  <c r="DG1556" i="6"/>
  <c r="AA183" i="15" s="1"/>
  <c r="AB264" i="15"/>
  <c r="DG1790" i="6"/>
  <c r="AA264" i="15" s="1"/>
  <c r="AB259" i="15"/>
  <c r="DG1770" i="6"/>
  <c r="AA259" i="15" s="1"/>
  <c r="AB198" i="15"/>
  <c r="DG1596" i="6"/>
  <c r="AA198" i="15" s="1"/>
  <c r="AB258" i="15"/>
  <c r="DG1766" i="6"/>
  <c r="AA258" i="15" s="1"/>
  <c r="AB266" i="15"/>
  <c r="DG1798" i="6"/>
  <c r="AA266" i="15" s="1"/>
  <c r="AB222" i="15"/>
  <c r="DG1652" i="6"/>
  <c r="AA222" i="15" s="1"/>
  <c r="DG1648" i="6"/>
  <c r="AA220" i="15" s="1"/>
  <c r="AB185" i="15"/>
  <c r="DG1564" i="6"/>
  <c r="AA185" i="15" s="1"/>
  <c r="DG1630" i="6"/>
  <c r="AA211" i="15" s="1"/>
  <c r="AB285" i="15"/>
  <c r="DG1864" i="6"/>
  <c r="AA285" i="15" s="1"/>
  <c r="AB237" i="15"/>
  <c r="DG1698" i="6"/>
  <c r="AA237" i="15" s="1"/>
  <c r="AB188" i="15"/>
  <c r="DG1572" i="6"/>
  <c r="AA188" i="15" s="1"/>
  <c r="AB153" i="15"/>
  <c r="DG1574" i="6"/>
  <c r="AA189" i="15" s="1"/>
  <c r="DG1688" i="6"/>
  <c r="AA234" i="15" s="1"/>
  <c r="AB252" i="15"/>
  <c r="DG1742" i="6"/>
  <c r="AA252" i="15" s="1"/>
  <c r="AB234" i="15"/>
  <c r="K810" i="6"/>
  <c r="DJ810" i="6" s="1"/>
  <c r="K784" i="6"/>
  <c r="DJ784" i="6" s="1"/>
  <c r="AF1253" i="6"/>
  <c r="AB231" i="15"/>
  <c r="AB189" i="15"/>
  <c r="AB228" i="15"/>
  <c r="K780" i="6"/>
  <c r="DJ780" i="6" s="1"/>
  <c r="AB235" i="15"/>
  <c r="AB211" i="15"/>
  <c r="AB220" i="15"/>
  <c r="AE79" i="15"/>
  <c r="AC79" i="15" s="1"/>
  <c r="DG9" i="6"/>
  <c r="AA79" i="15" s="1"/>
  <c r="K751" i="6"/>
  <c r="DJ751" i="6" s="1"/>
  <c r="AB240" i="15"/>
  <c r="DG1530" i="6"/>
  <c r="AA175" i="15" s="1"/>
  <c r="AB175" i="15"/>
  <c r="J11" i="6"/>
  <c r="K802" i="6"/>
  <c r="DJ802" i="6" s="1"/>
  <c r="K777" i="6"/>
  <c r="DJ777" i="6" s="1"/>
  <c r="DG1552" i="6"/>
  <c r="AA182" i="15" s="1"/>
  <c r="AB182" i="15"/>
  <c r="DG1832" i="6"/>
  <c r="AA275" i="15" s="1"/>
  <c r="AB275" i="15"/>
  <c r="DG1758" i="6"/>
  <c r="AA256" i="15" s="1"/>
  <c r="AB256" i="15"/>
  <c r="DG1730" i="6"/>
  <c r="AA249" i="15" s="1"/>
  <c r="AB249" i="15"/>
  <c r="DG1604" i="6"/>
  <c r="AA200" i="15" s="1"/>
  <c r="AB200" i="15"/>
  <c r="DG1600" i="6"/>
  <c r="AA199" i="15" s="1"/>
  <c r="AB199" i="15"/>
  <c r="DG1762" i="6"/>
  <c r="AA257" i="15" s="1"/>
  <c r="AB257" i="15"/>
  <c r="DG1806" i="6"/>
  <c r="AA268" i="15" s="1"/>
  <c r="AB268" i="15"/>
  <c r="DG1656" i="6"/>
  <c r="AA223" i="15" s="1"/>
  <c r="AB223" i="15"/>
  <c r="K794" i="6"/>
  <c r="DJ794" i="6" s="1"/>
  <c r="AF1247" i="6"/>
  <c r="K760" i="6"/>
  <c r="DJ760" i="6" s="1"/>
  <c r="AF1224" i="6"/>
  <c r="K790" i="6"/>
  <c r="DJ790" i="6" s="1"/>
  <c r="AB147" i="15"/>
  <c r="K774" i="6"/>
  <c r="DJ774" i="6" s="1"/>
  <c r="K808" i="6"/>
  <c r="DJ808" i="6" s="1"/>
  <c r="Y1255" i="6"/>
  <c r="I1033" i="6"/>
  <c r="I1026" i="6"/>
  <c r="I1031" i="6"/>
  <c r="I1022" i="6"/>
  <c r="I1041" i="6"/>
  <c r="I1028" i="6"/>
  <c r="I1021" i="6"/>
  <c r="I1019" i="6"/>
  <c r="I1032" i="6"/>
  <c r="I1030" i="6"/>
  <c r="I1037" i="6"/>
  <c r="I1016" i="6"/>
  <c r="I1039" i="6"/>
  <c r="I1020" i="6"/>
  <c r="I1023" i="6"/>
  <c r="I1035" i="6"/>
  <c r="I1025" i="6"/>
  <c r="I1029" i="6"/>
  <c r="I1024" i="6"/>
  <c r="I1038" i="6"/>
  <c r="I1042" i="6"/>
  <c r="I1034" i="6"/>
  <c r="I1027" i="6"/>
  <c r="I1017" i="6"/>
  <c r="I1036" i="6"/>
  <c r="I1018" i="6"/>
  <c r="I1040" i="6"/>
  <c r="D944" i="7"/>
  <c r="V944" i="7" s="1"/>
  <c r="V859" i="7"/>
  <c r="V828" i="7"/>
  <c r="D860" i="7"/>
  <c r="AB155" i="15" l="1"/>
  <c r="K814" i="6"/>
  <c r="DJ814" i="6" s="1"/>
  <c r="DG749" i="6"/>
  <c r="AA130" i="15" s="1"/>
  <c r="AB140" i="15"/>
  <c r="AB135" i="15"/>
  <c r="AB149" i="15"/>
  <c r="AB142" i="15"/>
  <c r="AB144" i="15"/>
  <c r="AB146" i="15"/>
  <c r="I11" i="6"/>
  <c r="F11" i="6" s="1"/>
  <c r="DI11" i="6" s="1"/>
  <c r="AB131" i="15"/>
  <c r="DG751" i="6"/>
  <c r="AA131" i="15" s="1"/>
  <c r="I42" i="6"/>
  <c r="AF41" i="6"/>
  <c r="AB151" i="15"/>
  <c r="K804" i="6"/>
  <c r="DJ804" i="6" s="1"/>
  <c r="K798" i="6"/>
  <c r="DJ798" i="6" s="1"/>
  <c r="AB154" i="15"/>
  <c r="AB148" i="15"/>
  <c r="DG772" i="6"/>
  <c r="AA139" i="15" s="1"/>
  <c r="DG1774" i="6"/>
  <c r="AA260" i="15" s="1"/>
  <c r="AF151" i="15"/>
  <c r="I1043" i="6"/>
  <c r="I1055" i="6"/>
  <c r="I1044" i="6"/>
  <c r="I1064" i="6"/>
  <c r="I1068" i="6"/>
  <c r="I1062" i="6"/>
  <c r="I1056" i="6"/>
  <c r="I1057" i="6"/>
  <c r="I1049" i="6"/>
  <c r="I1069" i="6"/>
  <c r="I1054" i="6"/>
  <c r="I1052" i="6"/>
  <c r="I1067" i="6"/>
  <c r="I1050" i="6"/>
  <c r="I1059" i="6"/>
  <c r="I1058" i="6"/>
  <c r="I1047" i="6"/>
  <c r="I1046" i="6"/>
  <c r="I1053" i="6"/>
  <c r="I1065" i="6"/>
  <c r="I1063" i="6"/>
  <c r="I1051" i="6"/>
  <c r="I1061" i="6"/>
  <c r="I1045" i="6"/>
  <c r="I1066" i="6"/>
  <c r="I1048" i="6"/>
  <c r="I1060" i="6"/>
  <c r="D946" i="7"/>
  <c r="V860" i="7"/>
  <c r="AB156" i="15" l="1"/>
  <c r="DG760" i="6"/>
  <c r="AA135" i="15" s="1"/>
  <c r="AB150" i="15"/>
  <c r="I80" i="15"/>
  <c r="AF11" i="6"/>
  <c r="M11" i="6"/>
  <c r="O80" i="15" s="1"/>
  <c r="U80" i="15" s="1"/>
  <c r="I43" i="6"/>
  <c r="J13" i="6" s="1"/>
  <c r="AF42" i="6"/>
  <c r="AB152" i="15"/>
  <c r="AF155" i="15"/>
  <c r="BB155" i="15"/>
  <c r="BB143" i="15" s="1"/>
  <c r="BG143" i="15" s="1"/>
  <c r="BB147" i="15"/>
  <c r="BD147" i="15"/>
  <c r="I1072" i="6"/>
  <c r="I1073" i="6"/>
  <c r="I1079" i="6"/>
  <c r="I1089" i="6"/>
  <c r="I1074" i="6"/>
  <c r="I1081" i="6"/>
  <c r="I1095" i="6"/>
  <c r="I1088" i="6"/>
  <c r="I1078" i="6"/>
  <c r="I1085" i="6"/>
  <c r="I1096" i="6"/>
  <c r="I1091" i="6"/>
  <c r="I1087" i="6"/>
  <c r="I1090" i="6"/>
  <c r="I1086" i="6"/>
  <c r="I1076" i="6"/>
  <c r="I1071" i="6"/>
  <c r="I1075" i="6"/>
  <c r="I1092" i="6"/>
  <c r="I1077" i="6"/>
  <c r="I1084" i="6"/>
  <c r="I1082" i="6"/>
  <c r="I1093" i="6"/>
  <c r="I1080" i="6"/>
  <c r="I1094" i="6"/>
  <c r="I1083" i="6"/>
  <c r="I1070" i="6"/>
  <c r="V946" i="7"/>
  <c r="I13" i="6" l="1"/>
  <c r="F13" i="6" s="1"/>
  <c r="DI13" i="6" s="1"/>
  <c r="AF33" i="6"/>
  <c r="AF32" i="6"/>
  <c r="AE80" i="15"/>
  <c r="AC80" i="15" s="1"/>
  <c r="DG11" i="6"/>
  <c r="AA80" i="15" s="1"/>
  <c r="I44" i="6"/>
  <c r="AF44" i="6" s="1"/>
  <c r="AF43" i="6"/>
  <c r="BG155" i="15"/>
  <c r="BB145" i="15"/>
  <c r="BG145" i="15" s="1"/>
  <c r="BD151" i="15"/>
  <c r="BI151" i="15" s="1"/>
  <c r="BI147" i="15"/>
  <c r="BB151" i="15"/>
  <c r="BG151" i="15" s="1"/>
  <c r="BG147" i="15"/>
  <c r="AH155" i="15"/>
  <c r="BD155" i="15"/>
  <c r="M13" i="6" l="1"/>
  <c r="O81" i="15" s="1"/>
  <c r="U81" i="15" s="1"/>
  <c r="I81" i="15"/>
  <c r="AF13" i="6"/>
  <c r="BD143" i="15"/>
  <c r="BI143" i="15" s="1"/>
  <c r="BI155" i="15"/>
  <c r="BD145" i="15"/>
  <c r="BI145" i="15" s="1"/>
  <c r="AE81" i="15" l="1"/>
  <c r="AC81" i="15" s="1"/>
  <c r="DG13" i="6"/>
  <c r="AA81" i="15" s="1"/>
  <c r="AE142" i="15" l="1"/>
  <c r="AC142" i="15" s="1"/>
  <c r="V1016" i="7" l="1"/>
  <c r="D1120" i="7"/>
  <c r="DG777" i="6"/>
  <c r="AA142" i="15" s="1"/>
  <c r="AE144" i="15"/>
  <c r="D1170" i="7" l="1"/>
  <c r="V1170" i="7" s="1"/>
  <c r="V1120" i="7"/>
  <c r="AF144" i="15"/>
  <c r="AC144" i="15" s="1"/>
  <c r="AE146" i="15" l="1"/>
  <c r="DG780" i="6"/>
  <c r="AA144" i="15" s="1"/>
  <c r="AF146" i="15" l="1"/>
  <c r="AC146" i="15" s="1"/>
  <c r="DG784" i="6" l="1"/>
  <c r="AA146" i="15" s="1"/>
  <c r="AF148" i="15" l="1"/>
  <c r="AH148" i="15" l="1"/>
  <c r="AF152" i="15" l="1"/>
  <c r="BB148" i="15" l="1"/>
  <c r="BD148" i="15"/>
  <c r="BB156" i="15"/>
  <c r="AF156" i="15"/>
  <c r="BD152" i="15" l="1"/>
  <c r="BI152" i="15" s="1"/>
  <c r="BI148" i="15"/>
  <c r="BB146" i="15"/>
  <c r="BG146" i="15" s="1"/>
  <c r="BB144" i="15"/>
  <c r="BG144" i="15" s="1"/>
  <c r="BG156" i="15"/>
  <c r="BG148" i="15"/>
  <c r="BB152" i="15"/>
  <c r="BG152" i="15" s="1"/>
  <c r="BD156" i="15" l="1"/>
  <c r="AH156" i="15"/>
  <c r="BD144" i="15" l="1"/>
  <c r="BI144" i="15" s="1"/>
  <c r="BD146" i="15"/>
  <c r="BI146" i="15" s="1"/>
  <c r="BI156" i="15"/>
  <c r="AE151" i="15" l="1"/>
  <c r="AC151" i="15" s="1"/>
  <c r="AE147" i="15"/>
  <c r="AC147" i="15" s="1"/>
  <c r="AE153" i="15"/>
  <c r="AC153" i="15" s="1"/>
  <c r="DG804" i="6" l="1"/>
  <c r="AA152" i="15" s="1"/>
  <c r="AE152" i="15"/>
  <c r="AC152" i="15" s="1"/>
  <c r="BA147" i="15"/>
  <c r="BK147" i="15" s="1"/>
  <c r="AE154" i="15"/>
  <c r="AC154" i="15" s="1"/>
  <c r="DG802" i="6"/>
  <c r="AA151" i="15" s="1"/>
  <c r="AG149" i="15"/>
  <c r="AD149" i="15" s="1"/>
  <c r="AE148" i="15"/>
  <c r="AC148" i="15" s="1"/>
  <c r="DG806" i="6"/>
  <c r="AA153" i="15" s="1"/>
  <c r="BA149" i="15"/>
  <c r="AE149" i="15"/>
  <c r="AC149" i="15" s="1"/>
  <c r="AG147" i="15"/>
  <c r="AD147" i="15" s="1"/>
  <c r="AG155" i="15"/>
  <c r="AD155" i="15" s="1"/>
  <c r="BA155" i="15"/>
  <c r="AE155" i="15"/>
  <c r="AC155" i="15" s="1"/>
  <c r="AG150" i="15"/>
  <c r="AD150" i="15" s="1"/>
  <c r="AE150" i="15" l="1"/>
  <c r="AC150" i="15" s="1"/>
  <c r="DG798" i="6"/>
  <c r="AA150" i="15" s="1"/>
  <c r="BF147" i="15"/>
  <c r="BM147" i="15" s="1"/>
  <c r="BA151" i="15"/>
  <c r="BF151" i="15" s="1"/>
  <c r="BM151" i="15" s="1"/>
  <c r="BA150" i="15"/>
  <c r="BA154" i="15" s="1"/>
  <c r="BC149" i="15"/>
  <c r="BA143" i="15"/>
  <c r="BA145" i="15"/>
  <c r="BF155" i="15"/>
  <c r="BM155" i="15" s="1"/>
  <c r="BK155" i="15"/>
  <c r="BA148" i="15"/>
  <c r="BC147" i="15"/>
  <c r="BA153" i="15"/>
  <c r="BF149" i="15"/>
  <c r="BM149" i="15" s="1"/>
  <c r="BK149" i="15"/>
  <c r="BC150" i="15"/>
  <c r="BC155" i="15"/>
  <c r="DG808" i="6"/>
  <c r="AA154" i="15" s="1"/>
  <c r="AG148" i="15"/>
  <c r="AD148" i="15" s="1"/>
  <c r="BA156" i="15"/>
  <c r="AE156" i="15"/>
  <c r="AC156" i="15" s="1"/>
  <c r="AG156" i="15"/>
  <c r="AD156" i="15" s="1"/>
  <c r="DG794" i="6"/>
  <c r="AA149" i="15" s="1"/>
  <c r="DG786" i="6"/>
  <c r="AA147" i="15" s="1"/>
  <c r="DG810" i="6"/>
  <c r="AA155" i="15" s="1"/>
  <c r="AG140" i="15"/>
  <c r="AD140" i="15" s="1"/>
  <c r="AE140" i="15" l="1"/>
  <c r="AC140" i="15" s="1"/>
  <c r="BK151" i="15"/>
  <c r="BK150" i="15"/>
  <c r="BF150" i="15"/>
  <c r="BM150" i="15" s="1"/>
  <c r="BF154" i="15"/>
  <c r="BM154" i="15" s="1"/>
  <c r="BK154" i="15"/>
  <c r="BF153" i="15"/>
  <c r="BM153" i="15" s="1"/>
  <c r="BK153" i="15"/>
  <c r="BC156" i="15"/>
  <c r="BL147" i="15"/>
  <c r="BC151" i="15"/>
  <c r="BH147" i="15"/>
  <c r="BN147" i="15" s="1"/>
  <c r="BA152" i="15"/>
  <c r="BF148" i="15"/>
  <c r="BM148" i="15" s="1"/>
  <c r="BK148" i="15"/>
  <c r="BC140" i="15"/>
  <c r="BC142" i="15"/>
  <c r="BF145" i="15"/>
  <c r="BM145" i="15" s="1"/>
  <c r="BK145" i="15"/>
  <c r="BH149" i="15"/>
  <c r="BN149" i="15" s="1"/>
  <c r="BL149" i="15"/>
  <c r="BC153" i="15"/>
  <c r="BA140" i="15"/>
  <c r="BA142" i="15"/>
  <c r="BC154" i="15"/>
  <c r="BH150" i="15"/>
  <c r="BN150" i="15" s="1"/>
  <c r="BL150" i="15"/>
  <c r="BA144" i="15"/>
  <c r="BK156" i="15"/>
  <c r="BA146" i="15"/>
  <c r="BF156" i="15"/>
  <c r="BM156" i="15" s="1"/>
  <c r="BC148" i="15"/>
  <c r="BC143" i="15"/>
  <c r="BH155" i="15"/>
  <c r="BN155" i="15" s="1"/>
  <c r="BC145" i="15"/>
  <c r="BL155" i="15"/>
  <c r="BF143" i="15"/>
  <c r="BM143" i="15" s="1"/>
  <c r="BK143" i="15"/>
  <c r="DG790" i="6"/>
  <c r="AA148" i="15" s="1"/>
  <c r="DG814" i="6"/>
  <c r="AA156" i="15" s="1"/>
  <c r="DG774" i="6"/>
  <c r="AA140" i="15" s="1"/>
  <c r="BH145" i="15" l="1"/>
  <c r="BN145" i="15" s="1"/>
  <c r="BL145" i="15"/>
  <c r="BH153" i="15"/>
  <c r="BN153" i="15" s="1"/>
  <c r="BL153" i="15"/>
  <c r="BH142" i="15"/>
  <c r="BN142" i="15" s="1"/>
  <c r="BL142" i="15"/>
  <c r="BH143" i="15"/>
  <c r="BN143" i="15" s="1"/>
  <c r="BL143" i="15"/>
  <c r="BF152" i="15"/>
  <c r="BM152" i="15" s="1"/>
  <c r="BK152" i="15"/>
  <c r="BK146" i="15"/>
  <c r="BF146" i="15"/>
  <c r="BM146" i="15" s="1"/>
  <c r="BL156" i="15"/>
  <c r="BC144" i="15"/>
  <c r="BH156" i="15"/>
  <c r="BN156" i="15" s="1"/>
  <c r="BC146" i="15"/>
  <c r="BF140" i="15"/>
  <c r="BM140" i="15" s="1"/>
  <c r="BK140" i="15"/>
  <c r="BL140" i="15"/>
  <c r="BH140" i="15"/>
  <c r="BN140" i="15" s="1"/>
  <c r="BC152" i="15"/>
  <c r="BH148" i="15"/>
  <c r="BN148" i="15" s="1"/>
  <c r="BL148" i="15"/>
  <c r="BH151" i="15"/>
  <c r="BN151" i="15" s="1"/>
  <c r="BL151" i="15"/>
  <c r="BF144" i="15"/>
  <c r="BM144" i="15" s="1"/>
  <c r="BK144" i="15"/>
  <c r="BH154" i="15"/>
  <c r="BN154" i="15" s="1"/>
  <c r="BL154" i="15"/>
  <c r="BF142" i="15"/>
  <c r="BM142" i="15" s="1"/>
  <c r="BK142" i="15"/>
  <c r="BH144" i="15" l="1"/>
  <c r="BN144" i="15" s="1"/>
  <c r="BL144" i="15"/>
  <c r="BH146" i="15"/>
  <c r="BN146" i="15" s="1"/>
  <c r="BL146" i="15"/>
  <c r="BH152" i="15"/>
  <c r="BN152" i="15" s="1"/>
  <c r="BL152"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tc={229520D7-7016-42E4-8C7A-C79132BFAEF2}</author>
  </authors>
  <commentList>
    <comment ref="B8" authorId="0" shapeId="0" xr:uid="{229520D7-7016-42E4-8C7A-C79132BFAEF2}">
      <text>
        <t>[Threaded comment]
Your version of Excel allows you to read this threaded comment; however, any edits to it will get removed if the file is opened in a newer version of Excel. Learn more: https://go.microsoft.com/fwlink/?linkid=870924
Comment:
    [Mention was removed] I would start over with Revision 1 for this filing</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21" authorId="0" shapeId="0" xr:uid="{B3A1CF24-84AF-48A8-93B5-A4721489C605}">
      <text>
        <r>
          <rPr>
            <b/>
            <sz val="9"/>
            <color indexed="81"/>
            <rFont val="Tahoma"/>
            <family val="2"/>
          </rPr>
          <t>Value was previously listed as 0.0001286107 , which was a static value for a single year (2035) rather than the average of (2016-2035) values, corrected to match appendix G has little or no impact.</t>
        </r>
        <r>
          <rPr>
            <sz val="9"/>
            <color indexed="81"/>
            <rFont val="Tahoma"/>
            <family val="2"/>
          </rPr>
          <t xml:space="preserve">
</t>
        </r>
      </text>
    </comment>
    <comment ref="B22" authorId="0" shapeId="0" xr:uid="{1EF67EBD-2735-4F9B-BBA5-E64ED51AEC41}">
      <text>
        <r>
          <rPr>
            <b/>
            <sz val="9"/>
            <color indexed="81"/>
            <rFont val="Tahoma"/>
            <family val="2"/>
          </rPr>
          <t>Value was previously listed as 0.0001286107 , which was a static value for a single year (2035) rather than the average of (2016-2035) values, corrected to match appendix G has little or no impact.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tc={1F79EB30-40E6-4FEE-8081-264A0DD3316F}</author>
    <author>tc={4FD58C77-BC14-487C-A631-ECCF90B20D10}</author>
    <author>tc={3FD83065-96A6-464C-9E8E-273A11926546}</author>
    <author>tc={109B7D96-496F-49F3-A4EB-E4D20B2F633F}</author>
    <author>tc={032AEE45-646D-4A2E-93EE-ADA5B4D4ED52}</author>
    <author>tc={9A5B632C-620F-4DEF-870E-DEB9BAABB0E4}</author>
    <author>tc={F24F4E8F-98C0-4133-9385-04E85E29C6B5}</author>
    <author>tc={02C142E9-5B6D-479B-AF8F-203809E105F8}</author>
    <author>tc={6FA16D5E-F5F5-4EA9-95C4-3ACB1336652A}</author>
    <author>tc={68A376A1-7560-48F6-863F-A71AE02B15F7}</author>
    <author>tc={FDD28FC1-819C-49C6-BB0B-DA13E9838726}</author>
    <author>tc={22887473-0942-4054-8884-17737EA9E0DF}</author>
    <author>tc={E946C9F2-7054-4A91-A570-359D26BE5220}</author>
  </authors>
  <commentList>
    <comment ref="J8" authorId="0" shapeId="0" xr:uid="{00000000-0006-0000-0B00-000001000000}">
      <text>
        <r>
          <rPr>
            <b/>
            <sz val="9"/>
            <color indexed="81"/>
            <rFont val="Tahoma"/>
            <family val="2"/>
          </rPr>
          <t xml:space="preserve">Opinion Dynamics:
</t>
        </r>
        <r>
          <rPr>
            <sz val="9"/>
            <color indexed="81"/>
            <rFont val="Tahoma"/>
            <family val="2"/>
          </rPr>
          <t xml:space="preserve">EUL values updated to match TRC Memo, source of EUL values used in PY19 Evaluation; PY20 Evaluation will reflect values discussed during ongoing stakeholder collaborative meetings.
</t>
        </r>
      </text>
    </comment>
    <comment ref="Z8" authorId="0" shapeId="0" xr:uid="{00000000-0006-0000-0B00-000002000000}">
      <text>
        <r>
          <rPr>
            <b/>
            <sz val="9"/>
            <color indexed="81"/>
            <rFont val="Tahoma"/>
            <family val="2"/>
          </rPr>
          <t>11 Step updates</t>
        </r>
      </text>
    </comment>
    <comment ref="CA47" authorId="1" shapeId="0" xr:uid="{1F79EB30-40E6-4FEE-8081-264A0DD3316F}">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F48" authorId="0" shapeId="0" xr:uid="{00000000-0006-0000-0B00-000003000000}">
      <text>
        <r>
          <rPr>
            <sz val="9"/>
            <color indexed="81"/>
            <rFont val="Tahoma"/>
            <family val="2"/>
          </rPr>
          <t>Average wattage values based on program tracking data, unless otherwise noted; Updated with PY2022 tracking data</t>
        </r>
      </text>
    </comment>
    <comment ref="G48" authorId="0" shapeId="0" xr:uid="{00000000-0006-0000-0B00-000004000000}">
      <text>
        <r>
          <rPr>
            <sz val="9"/>
            <color indexed="81"/>
            <rFont val="Tahoma"/>
            <family val="2"/>
          </rPr>
          <t>Average wattage values based on program tracking data; Updated with PY2021 tracking data</t>
        </r>
      </text>
    </comment>
    <comment ref="H48" authorId="0" shapeId="0" xr:uid="{00000000-0006-0000-0B00-000005000000}">
      <text>
        <r>
          <rPr>
            <sz val="9"/>
            <color indexed="81"/>
            <rFont val="Tahoma"/>
            <family val="2"/>
          </rPr>
          <t>Average Hours values based on program tracking data; updated with PY2022 tracking data</t>
        </r>
      </text>
    </comment>
    <comment ref="I48" authorId="0" shapeId="0" xr:uid="{00000000-0006-0000-0B00-00000600000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J48" authorId="2" shapeId="0" xr:uid="{4FD58C77-BC14-487C-A631-ECCF90B20D10}">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L48" authorId="0" shapeId="0" xr:uid="{00000000-0006-0000-0B00-000007000000}">
      <text>
        <r>
          <rPr>
            <b/>
            <sz val="9"/>
            <color indexed="81"/>
            <rFont val="Tahoma"/>
            <family val="2"/>
          </rPr>
          <t xml:space="preserve">Opinion Dynamics:
</t>
        </r>
        <r>
          <rPr>
            <sz val="9"/>
            <color indexed="81"/>
            <rFont val="Tahoma"/>
            <family val="2"/>
          </rPr>
          <t xml:space="preserve">EUL values updated to match EUL values developed through stakeholder process in 2020. EUL values are documented in 1/6/2021 Memo: Recommended EUL Values for Ameren Missouri Business Lighting Measures
</t>
        </r>
      </text>
    </comment>
    <comment ref="M48" authorId="0" shapeId="0" xr:uid="{00000000-0006-0000-0B00-000008000000}">
      <text>
        <r>
          <rPr>
            <b/>
            <sz val="9"/>
            <color indexed="81"/>
            <rFont val="Tahoma"/>
            <family val="2"/>
          </rPr>
          <t>Opinion Dynamics:</t>
        </r>
        <r>
          <rPr>
            <sz val="9"/>
            <color indexed="81"/>
            <rFont val="Tahoma"/>
            <family val="2"/>
          </rPr>
          <t xml:space="preserve">
Value is a weighted avaerage value across programs based on PY2019 EM&amp;V results including fixture/lamp kW and quantity adjustments.  This value applies only when new evaluation results are not conducted.
</t>
        </r>
      </text>
    </comment>
    <comment ref="F49" authorId="0" shapeId="0" xr:uid="{36DB1641-D377-4C70-8BD6-6663BF42A957}">
      <text>
        <r>
          <rPr>
            <sz val="9"/>
            <color indexed="81"/>
            <rFont val="Tahoma"/>
            <family val="2"/>
          </rPr>
          <t>2023 Update: EISA Backstop 45 lumen/watt based on EE wattage. Effective 8/1/23</t>
        </r>
      </text>
    </comment>
    <comment ref="F50" authorId="0" shapeId="0" xr:uid="{06C3012A-FB1C-4A79-BB9D-4F778A930100}">
      <text>
        <r>
          <rPr>
            <sz val="9"/>
            <color indexed="81"/>
            <rFont val="Tahoma"/>
            <family val="2"/>
          </rPr>
          <t>2023 Update: EISA Backstop 45 lumen/watt based on EE wattage. Effective 8/1/23</t>
        </r>
      </text>
    </comment>
    <comment ref="F51" authorId="0" shapeId="0" xr:uid="{A6380A4D-25F1-479A-99F0-6E14610A504C}">
      <text>
        <r>
          <rPr>
            <sz val="9"/>
            <color indexed="81"/>
            <rFont val="Tahoma"/>
            <family val="2"/>
          </rPr>
          <t>2023 Update: EISA Backstop 45 lumen/watt based on EE wattage. Effective 8/1/23</t>
        </r>
      </text>
    </comment>
    <comment ref="F52" authorId="0" shapeId="0" xr:uid="{A458249A-6C83-4C6F-A6FA-FB5CDF571173}">
      <text>
        <r>
          <rPr>
            <b/>
            <sz val="9"/>
            <color indexed="81"/>
            <rFont val="Tahoma"/>
            <family val="2"/>
          </rPr>
          <t>Author:</t>
        </r>
        <r>
          <rPr>
            <sz val="9"/>
            <color indexed="81"/>
            <rFont val="Tahoma"/>
            <family val="2"/>
          </rPr>
          <t xml:space="preserve">
MR-16 is exempt from the EISA backstop provision. Effective 8/1/23</t>
        </r>
      </text>
    </comment>
    <comment ref="F53" authorId="0" shapeId="0" xr:uid="{99D310B8-86EB-46F3-A647-26E63F06D5B0}">
      <text>
        <r>
          <rPr>
            <sz val="9"/>
            <color indexed="81"/>
            <rFont val="Tahoma"/>
            <family val="2"/>
          </rPr>
          <t>2023 Update: EISA Backstop 45 lumen/watt based on EE wattage. Effective 8/1/23</t>
        </r>
      </text>
    </comment>
    <comment ref="X67" authorId="0" shapeId="0" xr:uid="{00000000-0006-0000-0B00-00000A000000}">
      <text>
        <r>
          <rPr>
            <b/>
            <sz val="9"/>
            <color indexed="81"/>
            <rFont val="Tahoma"/>
            <family val="2"/>
          </rPr>
          <t>Average of measures 3023,3024,3025 from ADM</t>
        </r>
      </text>
    </comment>
    <comment ref="Y67" authorId="0" shapeId="0" xr:uid="{00000000-0006-0000-0B00-00000B000000}">
      <text>
        <r>
          <rPr>
            <b/>
            <sz val="9"/>
            <color indexed="81"/>
            <rFont val="Tahoma"/>
            <family val="2"/>
          </rPr>
          <t>Average of measures 3023,3024,3025 from ADM</t>
        </r>
      </text>
    </comment>
    <comment ref="F73" authorId="0" shapeId="0" xr:uid="{C2597653-CD72-48F0-A482-CB3A8BCD7D40}">
      <text>
        <r>
          <rPr>
            <sz val="9"/>
            <color indexed="81"/>
            <rFont val="Tahoma"/>
            <family val="2"/>
          </rPr>
          <t>2023 Update: EISA Backstop 45 lumen/watt based on EE wattage. Effective 8/1/23</t>
        </r>
      </text>
    </comment>
    <comment ref="K79" authorId="0" shapeId="0" xr:uid="{00000000-0006-0000-0B00-00000C000000}">
      <text>
        <r>
          <rPr>
            <b/>
            <sz val="9"/>
            <color indexed="81"/>
            <rFont val="Tahoma"/>
            <family val="2"/>
          </rPr>
          <t xml:space="preserve">Opinion Dynamics:
</t>
        </r>
        <r>
          <rPr>
            <sz val="9"/>
            <color indexed="81"/>
            <rFont val="Tahoma"/>
            <family val="2"/>
          </rPr>
          <t xml:space="preserve">Estimated incremental cost ($/sqft) for a 10% improvement over baseline, based on three Wisconsin FOE LPD measures .
</t>
        </r>
      </text>
    </comment>
    <comment ref="CA90" authorId="3" shapeId="0" xr:uid="{3FD83065-96A6-464C-9E8E-273A11926546}">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J91" authorId="0" shapeId="0" xr:uid="{00000000-0006-0000-0B00-00000E000000}">
      <text>
        <r>
          <rPr>
            <b/>
            <sz val="9"/>
            <color indexed="81"/>
            <rFont val="Tahoma"/>
            <family val="2"/>
          </rPr>
          <t xml:space="preserve">Opinion Dynamics: 
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t>
        </r>
        <r>
          <rPr>
            <sz val="9"/>
            <color indexed="81"/>
            <rFont val="Tahoma"/>
            <family val="2"/>
          </rPr>
          <t>Source of values: 1.00 is used for exterior and unconditioned spaced; 1.071  represents the weighted average HCIF value from the PY19 Standard, SBDI, and BSS evaluation.</t>
        </r>
      </text>
    </comment>
    <comment ref="K91" authorId="4" shapeId="0" xr:uid="{109B7D96-496F-49F3-A4EB-E4D20B2F633F}">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C97" authorId="0" shapeId="0" xr:uid="{00000000-0006-0000-0B00-00000F000000}">
      <text>
        <r>
          <rPr>
            <b/>
            <sz val="9"/>
            <color indexed="81"/>
            <rFont val="Tahoma"/>
            <family val="2"/>
          </rPr>
          <t>Retired REF. IDS - June 2020:
801000
801050
801100
801150
801200</t>
        </r>
        <r>
          <rPr>
            <sz val="9"/>
            <color indexed="81"/>
            <rFont val="Tahoma"/>
            <family val="2"/>
          </rPr>
          <t xml:space="preserve">
Replaced with two New Measures 801110 &amp; 801120</t>
        </r>
      </text>
    </comment>
    <comment ref="K98" authorId="0" shapeId="0" xr:uid="{D14B57ED-1D53-4A61-9CA7-37447D256E07}">
      <text>
        <r>
          <rPr>
            <b/>
            <sz val="9"/>
            <color indexed="81"/>
            <rFont val="Tahoma"/>
            <family val="2"/>
          </rPr>
          <t>Author:</t>
        </r>
        <r>
          <rPr>
            <sz val="9"/>
            <color indexed="81"/>
            <rFont val="Tahoma"/>
            <family val="2"/>
          </rPr>
          <t xml:space="preserve">
TRC tracking data, 5 program years</t>
        </r>
      </text>
    </comment>
    <comment ref="K99" authorId="0" shapeId="0" xr:uid="{8E4FFA02-707B-4500-A8D4-CDC3E720F65E}">
      <text>
        <r>
          <rPr>
            <b/>
            <sz val="9"/>
            <color indexed="81"/>
            <rFont val="Tahoma"/>
            <family val="2"/>
          </rPr>
          <t>Author:</t>
        </r>
        <r>
          <rPr>
            <sz val="9"/>
            <color indexed="81"/>
            <rFont val="Tahoma"/>
            <family val="2"/>
          </rPr>
          <t xml:space="preserve">
TRC tracking data, 5 program years</t>
        </r>
      </text>
    </comment>
    <comment ref="O100" authorId="0" shapeId="0" xr:uid="{802B3295-AB0B-49E7-B121-00F5F93A5A4E}">
      <text>
        <r>
          <rPr>
            <b/>
            <sz val="9"/>
            <color indexed="81"/>
            <rFont val="Tahoma"/>
            <family val="2"/>
          </rPr>
          <t>Author:</t>
        </r>
        <r>
          <rPr>
            <sz val="9"/>
            <color indexed="81"/>
            <rFont val="Tahoma"/>
            <family val="2"/>
          </rPr>
          <t xml:space="preserve">
IECC 2018 Office building 0.79 Watts/SF</t>
        </r>
      </text>
    </comment>
    <comment ref="O101" authorId="0" shapeId="0" xr:uid="{C187D479-13D2-4323-AB4D-0C8A042EE3EF}">
      <text>
        <r>
          <rPr>
            <b/>
            <sz val="9"/>
            <color indexed="81"/>
            <rFont val="Tahoma"/>
            <family val="2"/>
          </rPr>
          <t>Author:</t>
        </r>
        <r>
          <rPr>
            <sz val="9"/>
            <color indexed="81"/>
            <rFont val="Tahoma"/>
            <family val="2"/>
          </rPr>
          <t xml:space="preserve">
Assumed LLLC fixture wattage</t>
        </r>
      </text>
    </comment>
    <comment ref="CA113" authorId="5" shapeId="0" xr:uid="{032AEE45-646D-4A2E-93EE-ADA5B4D4ED52}">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F114" authorId="0" shapeId="0" xr:uid="{00000000-0006-0000-0B00-000010000000}">
      <text>
        <r>
          <rPr>
            <sz val="9"/>
            <color indexed="81"/>
            <rFont val="Tahoma"/>
            <family val="2"/>
          </rPr>
          <t>Lighting_Controls Tables</t>
        </r>
      </text>
    </comment>
    <comment ref="G114" authorId="0" shapeId="0" xr:uid="{00000000-0006-0000-0B00-000011000000}">
      <text>
        <r>
          <rPr>
            <sz val="9"/>
            <color indexed="81"/>
            <rFont val="Tahoma"/>
            <family val="2"/>
          </rPr>
          <t>Lighting Reference Table</t>
        </r>
      </text>
    </comment>
    <comment ref="H114" authorId="0" shapeId="0" xr:uid="{00000000-0006-0000-0B00-000012000000}">
      <text>
        <r>
          <rPr>
            <sz val="9"/>
            <color indexed="81"/>
            <rFont val="Tahoma"/>
            <family val="2"/>
          </rPr>
          <t>Lighting_Controls Tables</t>
        </r>
      </text>
    </comment>
    <comment ref="I114" authorId="0" shapeId="0" xr:uid="{00000000-0006-0000-0B00-000013000000}">
      <text>
        <r>
          <rPr>
            <sz val="9"/>
            <color indexed="81"/>
            <rFont val="Tahoma"/>
            <family val="2"/>
          </rPr>
          <t>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t>
        </r>
      </text>
    </comment>
    <comment ref="J114" authorId="6" shapeId="0" xr:uid="{9A5B632C-620F-4DEF-870E-DEB9BAABB0E4}">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D120" authorId="0" shapeId="0" xr:uid="{00000000-0006-0000-0B00-000014000000}">
      <text>
        <r>
          <rPr>
            <b/>
            <sz val="9"/>
            <color indexed="81"/>
            <rFont val="Tahoma"/>
            <family val="2"/>
          </rPr>
          <t>Lawrence Berkeley National Laboratory. A Meta-Analysis of Energy Savings from Lighting Controls in Commercial Buildings. Page &amp; Associates Inc. 2011.</t>
        </r>
      </text>
    </comment>
    <comment ref="CM139" authorId="7" shapeId="0" xr:uid="{F24F4E8F-98C0-4133-9385-04E85E29C6B5}">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F140" authorId="0" shapeId="0" xr:uid="{00000000-0006-0000-0B00-000016000000}">
      <text>
        <r>
          <rPr>
            <sz val="9"/>
            <color indexed="81"/>
            <rFont val="Tahoma"/>
            <family val="2"/>
          </rPr>
          <t>LED New and Baseline Assumptions</t>
        </r>
      </text>
    </comment>
    <comment ref="G140" authorId="0" shapeId="0" xr:uid="{00000000-0006-0000-0B00-000017000000}">
      <text>
        <r>
          <rPr>
            <sz val="9"/>
            <color indexed="81"/>
            <rFont val="Tahoma"/>
            <family val="2"/>
          </rPr>
          <t>LED New and Baseline Assumptions</t>
        </r>
      </text>
    </comment>
    <comment ref="J140" authorId="0" shapeId="0" xr:uid="{00000000-0006-0000-0B00-00001800000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K140" authorId="8" shapeId="0" xr:uid="{02C142E9-5B6D-479B-AF8F-203809E105F8}">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C169" authorId="0" shapeId="0" xr:uid="{29B301EF-1063-4E5A-9229-A2619C3C7175}">
      <text>
        <r>
          <rPr>
            <b/>
            <sz val="11"/>
            <color indexed="81"/>
            <rFont val="Tahoma"/>
            <family val="2"/>
          </rPr>
          <t>These are not in numerical order with measures above, but left this way to align with Appendix H tables order</t>
        </r>
      </text>
    </comment>
    <comment ref="F233" authorId="0" shapeId="0" xr:uid="{00000000-0006-0000-0B00-00001C000000}">
      <text>
        <r>
          <rPr>
            <sz val="9"/>
            <color indexed="81"/>
            <rFont val="Tahoma"/>
            <family val="2"/>
          </rPr>
          <t>Heat Pump Water Heater Tables</t>
        </r>
      </text>
    </comment>
    <comment ref="G233" authorId="9" shapeId="0" xr:uid="{6FA16D5E-F5F5-4EA9-95C4-3ACB1336652A}">
      <text>
        <t>[Threaded comment]
Your version of Excel allows you to read this threaded comment; however, any edits to it will get removed if the file is opened in a newer version of Excel. Learn more: https://go.microsoft.com/fwlink/?linkid=870924
Comment:
    AO Smith heat pump water heater eff</t>
      </text>
    </comment>
    <comment ref="H233" authorId="0" shapeId="0" xr:uid="{00000000-0006-0000-0B00-00001D000000}">
      <text>
        <r>
          <rPr>
            <sz val="9"/>
            <color indexed="81"/>
            <rFont val="Tahoma"/>
            <family val="2"/>
          </rPr>
          <t>Heat Pump Water Heater Tables</t>
        </r>
      </text>
    </comment>
    <comment ref="Q233" authorId="0" shapeId="0" xr:uid="{00000000-0006-0000-0B00-00001E000000}">
      <text>
        <r>
          <rPr>
            <sz val="9"/>
            <color indexed="81"/>
            <rFont val="Tahoma"/>
            <family val="2"/>
          </rPr>
          <t>Heat Pump Water Heater Tables</t>
        </r>
      </text>
    </comment>
    <comment ref="R233" authorId="0" shapeId="0" xr:uid="{00000000-0006-0000-0B00-00001F000000}">
      <text>
        <r>
          <rPr>
            <sz val="9"/>
            <color indexed="81"/>
            <rFont val="Tahoma"/>
            <family val="2"/>
          </rPr>
          <t>Heat Pump Water Heater Tables</t>
        </r>
      </text>
    </comment>
    <comment ref="S233" authorId="0" shapeId="0" xr:uid="{00000000-0006-0000-0B00-000020000000}">
      <text>
        <r>
          <rPr>
            <sz val="9"/>
            <color indexed="81"/>
            <rFont val="Tahoma"/>
            <family val="2"/>
          </rPr>
          <t>Heat Pump Water Heater Tables</t>
        </r>
      </text>
    </comment>
    <comment ref="I330" authorId="0" shapeId="0" xr:uid="{00000000-0006-0000-0B00-000023000000}">
      <text>
        <r>
          <rPr>
            <sz val="9"/>
            <color indexed="81"/>
            <rFont val="Tahoma"/>
            <family val="2"/>
          </rPr>
          <t>Stm Cooker &amp; Holding Cab Tables</t>
        </r>
      </text>
    </comment>
    <comment ref="G339" authorId="0" shapeId="0" xr:uid="{3102BAC9-680B-40BE-89F0-59A4D84B510A}">
      <text>
        <r>
          <rPr>
            <b/>
            <sz val="9"/>
            <color indexed="81"/>
            <rFont val="Tahoma"/>
            <family val="2"/>
          </rPr>
          <t>O kWh savings for thermostats per MEEIA 4 Stipulation (added "*0" in formula to retain formula structure and inputs)</t>
        </r>
        <r>
          <rPr>
            <sz val="9"/>
            <color indexed="81"/>
            <rFont val="Tahoma"/>
            <family val="2"/>
          </rPr>
          <t xml:space="preserve">
</t>
        </r>
      </text>
    </comment>
    <comment ref="H339" authorId="0" shapeId="0" xr:uid="{16D22946-4366-4924-93FC-50053FD50073}">
      <text>
        <r>
          <rPr>
            <b/>
            <sz val="9"/>
            <color indexed="81"/>
            <rFont val="Tahoma"/>
            <family val="2"/>
          </rPr>
          <t>O kWh savings for thermostats per MEEIA 4 Stipulation (added "*0" in formula to retain formula structure and inputs)</t>
        </r>
        <r>
          <rPr>
            <sz val="9"/>
            <color indexed="81"/>
            <rFont val="Tahoma"/>
            <family val="2"/>
          </rPr>
          <t xml:space="preserve">
</t>
        </r>
      </text>
    </comment>
    <comment ref="G340" authorId="0" shapeId="0" xr:uid="{EAF63104-A701-4DC5-B27A-286BC57515A0}">
      <text>
        <r>
          <rPr>
            <b/>
            <sz val="9"/>
            <color indexed="81"/>
            <rFont val="Tahoma"/>
            <family val="2"/>
          </rPr>
          <t>O kWh savings for thermostats per MEEIA 4 Stipulation (added "*0" in formula to retain formula structure and inputs)</t>
        </r>
      </text>
    </comment>
    <comment ref="E374" authorId="0" shapeId="0" xr:uid="{00000000-0006-0000-0B00-000029000000}">
      <text>
        <r>
          <rPr>
            <b/>
            <sz val="9"/>
            <color indexed="81"/>
            <rFont val="Tahoma"/>
            <family val="2"/>
          </rPr>
          <t>Jun- 2020 Removed 1-75HP and adjusted to allow measures &gt;= 1HP</t>
        </r>
      </text>
    </comment>
    <comment ref="I399" authorId="0" shapeId="0" xr:uid="{00000000-0006-0000-0B00-00002B000000}">
      <text>
        <r>
          <rPr>
            <sz val="9"/>
            <color indexed="81"/>
            <rFont val="Tahoma"/>
            <family val="2"/>
          </rPr>
          <t>VFD Supply_Return Fan Tables</t>
        </r>
      </text>
    </comment>
    <comment ref="J399" authorId="0" shapeId="0" xr:uid="{00000000-0006-0000-0B00-00002C000000}">
      <text>
        <r>
          <rPr>
            <sz val="9"/>
            <color indexed="81"/>
            <rFont val="Tahoma"/>
            <family val="2"/>
          </rPr>
          <t>VFD Supply_Return Fan Tables</t>
        </r>
      </text>
    </comment>
    <comment ref="K399" authorId="0" shapeId="0" xr:uid="{00000000-0006-0000-0B00-00002D000000}">
      <text>
        <r>
          <rPr>
            <sz val="9"/>
            <color indexed="81"/>
            <rFont val="Tahoma"/>
            <family val="2"/>
          </rPr>
          <t>VFD Supply_Return Fan Tables</t>
        </r>
      </text>
    </comment>
    <comment ref="H400" authorId="0" shapeId="0" xr:uid="{00000000-0006-0000-0B00-00002E000000}">
      <text>
        <r>
          <rPr>
            <sz val="9"/>
            <color indexed="81"/>
            <rFont val="Tahoma"/>
            <family val="2"/>
          </rPr>
          <t>Assumed 20HP ODP 4-pole 1800RPM</t>
        </r>
      </text>
    </comment>
    <comment ref="DG425" authorId="0" shapeId="0" xr:uid="{00000000-0006-0000-0B00-000031000000}">
      <text>
        <r>
          <rPr>
            <b/>
            <sz val="9"/>
            <color indexed="81"/>
            <rFont val="Tahoma"/>
            <family val="2"/>
          </rPr>
          <t xml:space="preserve">Opinion Dynamics: 
</t>
        </r>
        <r>
          <rPr>
            <sz val="9"/>
            <color indexed="81"/>
            <rFont val="Tahoma"/>
            <family val="2"/>
          </rPr>
          <t>Updated TRC calculation to include heating benefits</t>
        </r>
      </text>
    </comment>
    <comment ref="E426" authorId="0" shapeId="0" xr:uid="{1E772773-1A2D-496F-89EF-B5059CD1F8B4}">
      <text>
        <r>
          <rPr>
            <b/>
            <sz val="9"/>
            <color indexed="10"/>
            <rFont val="Tahoma"/>
            <family val="2"/>
          </rPr>
          <t>Combined prior measures 803500 &amp; 803550 (GSHP &lt;135kbtu; ≥17EER &amp; GSHP &lt;135kbtu; ≥19EER)</t>
        </r>
        <r>
          <rPr>
            <sz val="9"/>
            <color indexed="81"/>
            <rFont val="Tahoma"/>
            <family val="2"/>
          </rPr>
          <t xml:space="preserve">
</t>
        </r>
      </text>
    </comment>
    <comment ref="L443" authorId="0" shapeId="0" xr:uid="{44813BCC-1919-4939-B517-F61B9772ED5B}">
      <text>
        <r>
          <rPr>
            <b/>
            <sz val="9"/>
            <color indexed="81"/>
            <rFont val="Tahoma"/>
            <family val="2"/>
          </rPr>
          <t>Author:</t>
        </r>
        <r>
          <rPr>
            <sz val="9"/>
            <color indexed="81"/>
            <rFont val="Tahoma"/>
            <family val="2"/>
          </rPr>
          <t xml:space="preserve">
2015 IECC, GSHP - 50F entering water; ASHP - 17db / 15wb; effective 1/1/2024</t>
        </r>
      </text>
    </comment>
    <comment ref="R443" authorId="0" shapeId="0" xr:uid="{EBE3D46E-6DB2-4921-8607-4BFA8C3874E1}">
      <text>
        <r>
          <rPr>
            <b/>
            <sz val="9"/>
            <color indexed="81"/>
            <rFont val="Tahoma"/>
            <family val="2"/>
          </rPr>
          <t>Author:</t>
        </r>
        <r>
          <rPr>
            <sz val="9"/>
            <color indexed="81"/>
            <rFont val="Tahoma"/>
            <family val="2"/>
          </rPr>
          <t xml:space="preserve">
Incremental cost 104 per ton per IEER based on large unitary, adjusted for smaller units. Also adjusted for IEER not in the cost study, IEER 20 and 21
</t>
        </r>
      </text>
    </comment>
    <comment ref="K466" authorId="0" shapeId="0" xr:uid="{49806A04-4BEA-4390-B4C5-A56F2DAC9B42}">
      <text>
        <r>
          <rPr>
            <b/>
            <sz val="9"/>
            <color indexed="81"/>
            <rFont val="Tahoma"/>
            <family val="2"/>
          </rPr>
          <t>Author:</t>
        </r>
        <r>
          <rPr>
            <sz val="9"/>
            <color indexed="81"/>
            <rFont val="Tahoma"/>
            <family val="2"/>
          </rPr>
          <t xml:space="preserve">
Thisis the water cooled screw incremental cost from Appendix H applied to air, assumed it is a screw chiller</t>
        </r>
      </text>
    </comment>
    <comment ref="F487" authorId="10" shapeId="0" xr:uid="{68A376A1-7560-48F6-863F-A71AE02B15F7}">
      <text>
        <t>[Threaded comment]
Your version of Excel allows you to read this threaded comment; however, any edits to it will get removed if the file is opened in a newer version of Excel. Learn more: https://go.microsoft.com/fwlink/?linkid=870924
Comment:
    Measure up to 324 lb/hr</t>
      </text>
    </comment>
    <comment ref="N487" authorId="11" shapeId="0" xr:uid="{FDD28FC1-819C-49C6-BB0B-DA13E9838726}">
      <text>
        <t>[Threaded comment]
Your version of Excel allows you to read this threaded comment; however, any edits to it will get removed if the file is opened in a newer version of Excel. Learn more: https://go.microsoft.com/fwlink/?linkid=870924
Comment:
    $2 per CFM, $4.6 per CFM with VRS</t>
      </text>
    </comment>
    <comment ref="G504" authorId="12" shapeId="0" xr:uid="{22887473-0942-4054-8884-17737EA9E0DF}">
      <text>
        <t>[Threaded comment]
Your version of Excel allows you to read this threaded comment; however, any edits to it will get removed if the file is opened in a newer version of Excel. Learn more: https://go.microsoft.com/fwlink/?linkid=870924
Comment:
    Both with and without VRS have same non VRS baseline</t>
      </text>
    </comment>
    <comment ref="N504" authorId="13" shapeId="0" xr:uid="{E946C9F2-7054-4A91-A570-359D26BE5220}">
      <text>
        <t>[Threaded comment]
Your version of Excel allows you to read this threaded comment; however, any edits to it will get removed if the file is opened in a newer version of Excel. Learn more: https://go.microsoft.com/fwlink/?linkid=870924
Comment:
    Sample of units MRC32 4.2 tons, MRC 43 6 tons, MRC 70 11 tongs
Reply:
    Value is used to normalize measure to lb/hr</t>
      </text>
    </comment>
    <comment ref="G620" authorId="0" shapeId="0" xr:uid="{ED5A01D5-229F-402B-88C6-39D807637BDF}">
      <text>
        <r>
          <rPr>
            <b/>
            <sz val="9"/>
            <color indexed="81"/>
            <rFont val="Tahoma"/>
            <family val="2"/>
          </rPr>
          <t>Author:</t>
        </r>
        <r>
          <rPr>
            <sz val="9"/>
            <color indexed="81"/>
            <rFont val="Tahoma"/>
            <family val="2"/>
          </rPr>
          <t xml:space="preserve">
Applies unknown weighted average Hours</t>
        </r>
      </text>
    </comment>
    <comment ref="H620" authorId="0" shapeId="0" xr:uid="{8E9F8020-8EE8-486A-9547-27FF0A8C774C}">
      <text>
        <r>
          <rPr>
            <b/>
            <sz val="9"/>
            <color indexed="81"/>
            <rFont val="Tahoma"/>
            <family val="2"/>
          </rPr>
          <t xml:space="preserve">Author:
</t>
        </r>
        <r>
          <rPr>
            <sz val="9"/>
            <color indexed="81"/>
            <rFont val="Tahoma"/>
            <family val="2"/>
          </rPr>
          <t xml:space="preserve">Assumes Modulating w/ Blowdown
</t>
        </r>
      </text>
    </comment>
    <comment ref="E656" authorId="0" shapeId="0" xr:uid="{0737D56B-A3F2-41DC-A074-109FFD04AE95}">
      <text>
        <r>
          <rPr>
            <b/>
            <strike/>
            <sz val="9"/>
            <color indexed="10"/>
            <rFont val="Tahoma"/>
            <family val="2"/>
          </rPr>
          <t>Combination Oven (Pan Capacity ≥ 15)</t>
        </r>
        <r>
          <rPr>
            <sz val="9"/>
            <color indexed="81"/>
            <rFont val="Tahoma"/>
            <family val="2"/>
          </rPr>
          <t xml:space="preserve">
</t>
        </r>
      </text>
    </comment>
    <comment ref="E657" authorId="0" shapeId="0" xr:uid="{53D0F378-C0EB-4A73-ABCE-6D22515EC12B}">
      <text>
        <r>
          <rPr>
            <b/>
            <strike/>
            <sz val="9"/>
            <color indexed="10"/>
            <rFont val="Tahoma"/>
            <family val="2"/>
          </rPr>
          <t>Combination Oven (Pan Capacity ≥ 15)</t>
        </r>
        <r>
          <rPr>
            <sz val="9"/>
            <color indexed="81"/>
            <rFont val="Tahoma"/>
            <family val="2"/>
          </rPr>
          <t xml:space="preserve">
</t>
        </r>
      </text>
    </comment>
    <comment ref="N672" authorId="0" shapeId="0" xr:uid="{00000000-0006-0000-0B00-000037000000}">
      <text>
        <r>
          <rPr>
            <b/>
            <sz val="9"/>
            <color indexed="81"/>
            <rFont val="Tahoma"/>
            <family val="2"/>
          </rPr>
          <t xml:space="preserve">Cut and pasted this entire section of inputs below the inputs above to allow room room for revision updates to the right of column "U" </t>
        </r>
      </text>
    </comment>
    <comment ref="E697" authorId="0" shapeId="0" xr:uid="{974359AB-887C-4D08-80C9-DC3AD37C1938}">
      <text>
        <r>
          <rPr>
            <b/>
            <strike/>
            <sz val="9"/>
            <color indexed="10"/>
            <rFont val="Tahoma"/>
            <family val="2"/>
          </rPr>
          <t>Convection Oven (Full Size)</t>
        </r>
        <r>
          <rPr>
            <sz val="9"/>
            <color indexed="81"/>
            <rFont val="Tahoma"/>
            <family val="2"/>
          </rPr>
          <t xml:space="preserve">
</t>
        </r>
      </text>
    </comment>
    <comment ref="C732" authorId="0" shapeId="0" xr:uid="{00000000-0006-0000-0B00-000038000000}">
      <text>
        <r>
          <rPr>
            <b/>
            <sz val="9"/>
            <color indexed="81"/>
            <rFont val="Tahoma"/>
            <family val="2"/>
          </rPr>
          <t>Retired REF. IDS - June 2020:
805400</t>
        </r>
        <r>
          <rPr>
            <sz val="9"/>
            <color indexed="81"/>
            <rFont val="Tahoma"/>
            <family val="2"/>
          </rPr>
          <t xml:space="preserve">
Replaced with two New Measures 805405 &amp; 805410</t>
        </r>
      </text>
    </comment>
    <comment ref="F799" authorId="0" shapeId="0" xr:uid="{2EBC1CF9-8C98-4AD5-9D6E-B310ACC3DE3D}">
      <text>
        <r>
          <rPr>
            <b/>
            <sz val="9"/>
            <color indexed="81"/>
            <rFont val="Tahoma"/>
            <family val="2"/>
          </rPr>
          <t>O kWh savings for thermostats per MEEIA 4 Stipulation (added "*0" in formula to retain formula structure and inputs)</t>
        </r>
        <r>
          <rPr>
            <sz val="9"/>
            <color indexed="81"/>
            <rFont val="Tahoma"/>
            <family val="2"/>
          </rPr>
          <t xml:space="preserve">
</t>
        </r>
      </text>
    </comment>
    <comment ref="G827" authorId="0" shapeId="0" xr:uid="{00000000-0006-0000-0B00-000039000000}">
      <text>
        <r>
          <rPr>
            <sz val="9"/>
            <color indexed="81"/>
            <rFont val="Tahoma"/>
            <family val="2"/>
          </rPr>
          <t>Average of Table</t>
        </r>
      </text>
    </comment>
    <comment ref="H827" authorId="0" shapeId="0" xr:uid="{00000000-0006-0000-0B00-00003A000000}">
      <text>
        <r>
          <rPr>
            <sz val="9"/>
            <color indexed="81"/>
            <rFont val="Tahoma"/>
            <family val="2"/>
          </rPr>
          <t>Average of Table</t>
        </r>
      </text>
    </comment>
    <comment ref="E887" authorId="0" shapeId="0" xr:uid="{A3F5FB76-EA57-4C4F-9E45-D9E00BC3CE3F}">
      <text>
        <r>
          <rPr>
            <b/>
            <strike/>
            <sz val="9"/>
            <color indexed="10"/>
            <rFont val="Tahoma"/>
            <family val="2"/>
          </rPr>
          <t>ECM for Walk-in &amp; Reach-in Coolers/Freezers</t>
        </r>
      </text>
    </comment>
    <comment ref="V901" authorId="0" shapeId="0" xr:uid="{00000000-0006-0000-0B00-00003B000000}">
      <text>
        <r>
          <rPr>
            <b/>
            <sz val="9"/>
            <color indexed="81"/>
            <rFont val="Tahoma"/>
            <family val="2"/>
          </rPr>
          <t>New measure addded June 2020</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6" authorId="0" shapeId="0" xr:uid="{00000000-0006-0000-0300-000001000000}">
      <text>
        <r>
          <rPr>
            <b/>
            <sz val="9"/>
            <color indexed="81"/>
            <rFont val="Tahoma"/>
            <family val="2"/>
          </rPr>
          <t>Author:</t>
        </r>
        <r>
          <rPr>
            <sz val="9"/>
            <color indexed="81"/>
            <rFont val="Tahoma"/>
            <family val="2"/>
          </rPr>
          <t xml:space="preserve">
PY18 EM&amp;V</t>
        </r>
      </text>
    </comment>
    <comment ref="Z6" authorId="0" shapeId="0" xr:uid="{00000000-0006-0000-0300-000002000000}">
      <text>
        <r>
          <rPr>
            <b/>
            <sz val="9"/>
            <color indexed="81"/>
            <rFont val="Tahoma"/>
            <family val="2"/>
          </rPr>
          <t>11 Step updates</t>
        </r>
      </text>
    </comment>
    <comment ref="W18" authorId="0" shapeId="0" xr:uid="{00000000-0006-0000-0300-000003000000}">
      <text>
        <r>
          <rPr>
            <b/>
            <sz val="9"/>
            <color indexed="81"/>
            <rFont val="Tahoma"/>
            <family val="2"/>
          </rPr>
          <t>Cadmus EM&amp;V 2016 value for gallons per day, 64, divided by people per household.  
Cadmus source for gallons per a day is 'DOE Federal Energy Management Program Energy Cost Calculator'</t>
        </r>
        <r>
          <rPr>
            <sz val="9"/>
            <color indexed="81"/>
            <rFont val="Tahoma"/>
            <family val="2"/>
          </rPr>
          <t xml:space="preserve">
</t>
        </r>
      </text>
    </comment>
    <comment ref="W22" authorId="0" shapeId="0" xr:uid="{00000000-0006-0000-0300-000004000000}">
      <text>
        <r>
          <rPr>
            <b/>
            <sz val="9"/>
            <color indexed="81"/>
            <rFont val="Tahoma"/>
            <family val="2"/>
          </rPr>
          <t>Ameren TRM</t>
        </r>
      </text>
    </comment>
    <comment ref="D27" authorId="0" shapeId="0" xr:uid="{00000000-0006-0000-0300-000005000000}">
      <text>
        <r>
          <rPr>
            <sz val="9"/>
            <color indexed="81"/>
            <rFont val="Tahoma"/>
            <family val="2"/>
          </rPr>
          <t xml:space="preserve">Changed these from descriptions to actual factors in the equation - just formating change no update to the values or how they were used
</t>
        </r>
      </text>
    </comment>
    <comment ref="W35" authorId="0" shapeId="0" xr:uid="{00000000-0006-0000-0300-000006000000}">
      <text>
        <r>
          <rPr>
            <b/>
            <sz val="9"/>
            <color indexed="81"/>
            <rFont val="Tahoma"/>
            <family val="2"/>
          </rPr>
          <t>Infiltration Factor Calculation Methodology by Bruce Harley, Senior Manager, Applied Building Science, CLEAResult 11/18/2015</t>
        </r>
      </text>
    </comment>
    <comment ref="X38" authorId="0" shapeId="0" xr:uid="{00000000-0006-0000-0300-000007000000}">
      <text>
        <r>
          <rPr>
            <b/>
            <sz val="9"/>
            <color indexed="81"/>
            <rFont val="Tahoma"/>
            <family val="2"/>
          </rPr>
          <t>PY16 Efficient Products Survey Results (customers with HPWH)</t>
        </r>
        <r>
          <rPr>
            <sz val="9"/>
            <color indexed="81"/>
            <rFont val="Tahoma"/>
            <family val="2"/>
          </rPr>
          <t xml:space="preserve">
</t>
        </r>
      </text>
    </comment>
    <comment ref="X39" authorId="0" shapeId="0" xr:uid="{00000000-0006-0000-0300-000008000000}">
      <text>
        <r>
          <rPr>
            <b/>
            <sz val="9"/>
            <color indexed="81"/>
            <rFont val="Tahoma"/>
            <family val="2"/>
          </rPr>
          <t>PY16 Efficient Products Survey Results (customers with HPWH)</t>
        </r>
        <r>
          <rPr>
            <sz val="9"/>
            <color indexed="81"/>
            <rFont val="Tahoma"/>
            <family val="2"/>
          </rPr>
          <t xml:space="preserve">
</t>
        </r>
      </text>
    </comment>
    <comment ref="F47" authorId="0" shapeId="0" xr:uid="{E6D74747-5DD7-462F-BC44-7E4917363997}">
      <text>
        <r>
          <rPr>
            <b/>
            <sz val="12"/>
            <color indexed="81"/>
            <rFont val="Tahoma"/>
            <family val="2"/>
          </rPr>
          <t xml:space="preserve">O kWh savings for thermostats per MEEIA 4 Stipulation (added "*0" in formula to retain formula structure and inputs)
</t>
        </r>
        <r>
          <rPr>
            <sz val="9"/>
            <color indexed="81"/>
            <rFont val="Tahoma"/>
            <family val="2"/>
          </rPr>
          <t xml:space="preserve">
</t>
        </r>
      </text>
    </comment>
    <comment ref="W89" authorId="0" shapeId="0" xr:uid="{00000000-0006-0000-0300-00000B000000}">
      <text>
        <r>
          <rPr>
            <b/>
            <sz val="9"/>
            <color indexed="81"/>
            <rFont val="Tahoma"/>
            <family val="2"/>
          </rPr>
          <t>St Louis - Heat Pump- MO TRM</t>
        </r>
        <r>
          <rPr>
            <sz val="9"/>
            <color indexed="81"/>
            <rFont val="Tahoma"/>
            <family val="2"/>
          </rPr>
          <t xml:space="preserve">
</t>
        </r>
      </text>
    </comment>
    <comment ref="X89" authorId="0" shapeId="0" xr:uid="{00000000-0006-0000-0300-00000C000000}">
      <text>
        <r>
          <rPr>
            <sz val="9"/>
            <color indexed="81"/>
            <rFont val="Tahoma"/>
            <family val="2"/>
          </rPr>
          <t xml:space="preserve">Filterd data on "Cooling"  for Heat Pump measures - took average
</t>
        </r>
      </text>
    </comment>
    <comment ref="Y89" authorId="0" shapeId="0" xr:uid="{00000000-0006-0000-0300-00000D000000}">
      <text>
        <r>
          <rPr>
            <sz val="9"/>
            <color indexed="81"/>
            <rFont val="Tahoma"/>
            <family val="2"/>
          </rPr>
          <t xml:space="preserve"> updated values by filtering thermostat data by heating/cooling type.</t>
        </r>
      </text>
    </comment>
    <comment ref="W92" authorId="0" shapeId="0" xr:uid="{00000000-0006-0000-0300-00000E000000}">
      <text>
        <r>
          <rPr>
            <b/>
            <sz val="9"/>
            <color indexed="81"/>
            <rFont val="Tahoma"/>
            <family val="2"/>
          </rPr>
          <t>St Louis - Resistance - MO TRM</t>
        </r>
        <r>
          <rPr>
            <sz val="9"/>
            <color indexed="81"/>
            <rFont val="Tahoma"/>
            <family val="2"/>
          </rPr>
          <t xml:space="preserve">
</t>
        </r>
      </text>
    </comment>
    <comment ref="W94" authorId="0" shapeId="0" xr:uid="{00000000-0006-0000-0300-00000F000000}">
      <text>
        <r>
          <rPr>
            <b/>
            <sz val="9"/>
            <color indexed="81"/>
            <rFont val="Tahoma"/>
            <family val="2"/>
          </rPr>
          <t xml:space="preserve">St Louis - Resistance - MO TRM
</t>
        </r>
        <r>
          <rPr>
            <sz val="9"/>
            <color indexed="81"/>
            <rFont val="Tahoma"/>
            <family val="2"/>
          </rPr>
          <t xml:space="preserve">
</t>
        </r>
      </text>
    </comment>
    <comment ref="X98" authorId="0" shapeId="0" xr:uid="{00000000-0006-0000-0300-000010000000}">
      <text>
        <r>
          <rPr>
            <sz val="9"/>
            <color indexed="81"/>
            <rFont val="Tahoma"/>
            <family val="2"/>
          </rPr>
          <t xml:space="preserve">If you exclude gas systems from Gas data, this average value is 12,382.71  Used this value as gas measures have own line item (set as "0")
</t>
        </r>
      </text>
    </comment>
    <comment ref="W109" authorId="0" shapeId="0" xr:uid="{00000000-0006-0000-0300-000011000000}">
      <text>
        <r>
          <rPr>
            <b/>
            <sz val="9"/>
            <color indexed="81"/>
            <rFont val="Tahoma"/>
            <family val="2"/>
          </rPr>
          <t>MO - TRM</t>
        </r>
      </text>
    </comment>
    <comment ref="X109" authorId="0" shapeId="0" xr:uid="{00000000-0006-0000-0300-000012000000}">
      <text>
        <r>
          <rPr>
            <sz val="9"/>
            <color indexed="81"/>
            <rFont val="Tahoma"/>
            <family val="2"/>
          </rPr>
          <t>This is a weighted average of the types shown in the Word TRM document
Frequency was 41,55,4</t>
        </r>
      </text>
    </comment>
    <comment ref="F114" authorId="0" shapeId="0" xr:uid="{00000000-0006-0000-0300-000013000000}">
      <text>
        <r>
          <rPr>
            <sz val="11"/>
            <color theme="1"/>
            <rFont val="Calibri"/>
            <family val="2"/>
            <scheme val="minor"/>
          </rPr>
          <t xml:space="preserve">
    Cell not referenced in this tab, but added the results of the HVAC evaluation.</t>
        </r>
      </text>
    </comment>
    <comment ref="AF114" authorId="0" shapeId="0" xr:uid="{46C5387F-E226-48F6-8865-DB18D20F3825}">
      <text>
        <r>
          <rPr>
            <sz val="11"/>
            <color theme="1"/>
            <rFont val="Calibri"/>
            <family val="2"/>
            <scheme val="minor"/>
          </rPr>
          <t xml:space="preserve">
    Cell not referenced in this tab, but added the results of the HVAC evaluation.</t>
        </r>
      </text>
    </comment>
    <comment ref="F135" authorId="0" shapeId="0" xr:uid="{00000000-0006-0000-0300-000016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X135" authorId="0" shapeId="0" xr:uid="{00000000-0006-0000-0300-000017000000}">
      <text>
        <r>
          <rPr>
            <sz val="9"/>
            <color indexed="81"/>
            <rFont val="Tahoma"/>
            <family val="2"/>
          </rPr>
          <t>Used default value for MF (SF x 65%)</t>
        </r>
      </text>
    </comment>
    <comment ref="Y135" authorId="0" shapeId="0" xr:uid="{00000000-0006-0000-0300-000018000000}">
      <text>
        <r>
          <rPr>
            <sz val="9"/>
            <color indexed="81"/>
            <rFont val="Tahoma"/>
            <family val="2"/>
          </rPr>
          <t xml:space="preserve">Corrected  to match SF value - The 65% factor is being applied to adjust SF capacities &amp;  heating consumption downward for MF to calculate savings
</t>
        </r>
      </text>
    </comment>
    <comment ref="AC135" authorId="0" shapeId="0" xr:uid="{00000000-0006-0000-0300-000019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W144" authorId="0" shapeId="0" xr:uid="{00000000-0006-0000-0300-00001A000000}">
      <text>
        <r>
          <rPr>
            <b/>
            <sz val="9"/>
            <color indexed="81"/>
            <rFont val="Tahoma"/>
            <family val="2"/>
          </rPr>
          <t>MO - TRM</t>
        </r>
      </text>
    </comment>
    <comment ref="W298" authorId="0" shapeId="0" xr:uid="{00000000-0006-0000-0300-000023000000}">
      <text>
        <r>
          <rPr>
            <b/>
            <sz val="9"/>
            <color indexed="81"/>
            <rFont val="Tahoma"/>
            <family val="2"/>
          </rPr>
          <t>PY13 RebateSavers Database (average BTU)</t>
        </r>
        <r>
          <rPr>
            <sz val="9"/>
            <color indexed="81"/>
            <rFont val="Tahoma"/>
            <family val="2"/>
          </rPr>
          <t xml:space="preserve">
</t>
        </r>
      </text>
    </comment>
    <comment ref="W299" authorId="0" shapeId="0" xr:uid="{00000000-0006-0000-0300-000024000000}">
      <text>
        <r>
          <rPr>
            <b/>
            <sz val="9"/>
            <color indexed="81"/>
            <rFont val="Tahoma"/>
            <family val="2"/>
          </rPr>
          <t>Federal minimum efficiency standard (updated from EER to CEER in March 2017)</t>
        </r>
        <r>
          <rPr>
            <sz val="9"/>
            <color indexed="81"/>
            <rFont val="Tahoma"/>
            <family val="2"/>
          </rPr>
          <t xml:space="preserve">
</t>
        </r>
      </text>
    </comment>
    <comment ref="X299" authorId="0" shapeId="0" xr:uid="{00000000-0006-0000-0300-000025000000}">
      <text>
        <r>
          <rPr>
            <b/>
            <sz val="9"/>
            <color indexed="81"/>
            <rFont val="Tahoma"/>
            <family val="2"/>
          </rPr>
          <t>https://www.energystar.gov/products/heating_cooling/air_conditioning_room/key_product_criteria
Federal minimum efficiency standard (updated from EER to CEER in March 2017) based on size of rebated unit</t>
        </r>
      </text>
    </comment>
    <comment ref="X302" authorId="0" shapeId="0" xr:uid="{00000000-0006-0000-0300-000026000000}">
      <text>
        <r>
          <rPr>
            <b/>
            <sz val="9"/>
            <color indexed="81"/>
            <rFont val="Tahoma"/>
            <family val="2"/>
          </rPr>
          <t>Cadmus did not identify secondary vs primary unit, therefore did not update these values</t>
        </r>
        <r>
          <rPr>
            <sz val="9"/>
            <color indexed="81"/>
            <rFont val="Tahoma"/>
            <family val="2"/>
          </rPr>
          <t xml:space="preserve">
</t>
        </r>
      </text>
    </comment>
    <comment ref="Y302" authorId="0" shapeId="0" xr:uid="{00000000-0006-0000-0300-000027000000}">
      <text>
        <r>
          <rPr>
            <b/>
            <sz val="9"/>
            <color indexed="81"/>
            <rFont val="Tahoma"/>
            <family val="2"/>
          </rPr>
          <t>EM&amp;V did not identify secondary vs primary unit, therefore did not update these values</t>
        </r>
        <r>
          <rPr>
            <sz val="9"/>
            <color indexed="81"/>
            <rFont val="Tahoma"/>
            <family val="2"/>
          </rPr>
          <t xml:space="preserve">
PY18 EM&amp;V specified a different input based upon location (weighted average ended up 537)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6" authorId="0" shapeId="0" xr:uid="{00000000-0006-0000-0400-000001000000}">
      <text>
        <r>
          <rPr>
            <b/>
            <sz val="9"/>
            <color indexed="81"/>
            <rFont val="Tahoma"/>
            <family val="2"/>
          </rPr>
          <t>Author:</t>
        </r>
        <r>
          <rPr>
            <sz val="9"/>
            <color indexed="81"/>
            <rFont val="Tahoma"/>
            <family val="2"/>
          </rPr>
          <t xml:space="preserve">
PY18 EM&amp;V</t>
        </r>
      </text>
    </comment>
    <comment ref="Z6" authorId="0" shapeId="0" xr:uid="{00000000-0006-0000-0400-000002000000}">
      <text>
        <r>
          <rPr>
            <b/>
            <sz val="9"/>
            <color indexed="81"/>
            <rFont val="Tahoma"/>
            <family val="2"/>
          </rPr>
          <t>11 Step updates</t>
        </r>
      </text>
    </comment>
    <comment ref="X37" authorId="0" shapeId="0" xr:uid="{00000000-0006-0000-0400-000004000000}">
      <text>
        <r>
          <rPr>
            <b/>
            <sz val="9"/>
            <color indexed="81"/>
            <rFont val="Tahoma"/>
            <family val="2"/>
          </rPr>
          <t>In PY2017 this was included in the ISR rate but may need to be considered in future</t>
        </r>
        <r>
          <rPr>
            <sz val="9"/>
            <color indexed="81"/>
            <rFont val="Tahoma"/>
            <family val="2"/>
          </rPr>
          <t xml:space="preserve">
</t>
        </r>
      </text>
    </comment>
    <comment ref="AB62" authorId="0" shapeId="0" xr:uid="{00000000-0006-0000-0400-000007000000}">
      <text>
        <r>
          <rPr>
            <b/>
            <sz val="9"/>
            <color indexed="81"/>
            <rFont val="Tahoma"/>
            <family val="2"/>
          </rPr>
          <t>changed to take hours and days into account to match to formats of other deemed tables</t>
        </r>
      </text>
    </comment>
    <comment ref="W66" authorId="0" shapeId="0" xr:uid="{00000000-0006-0000-0400-000008000000}">
      <text>
        <r>
          <rPr>
            <b/>
            <sz val="9"/>
            <color indexed="81"/>
            <rFont val="Tahoma"/>
            <family val="2"/>
          </rPr>
          <t>PY16 Engineering Simulation Modeling adjusted for heating and cooling saturations</t>
        </r>
      </text>
    </comment>
    <comment ref="W68" authorId="0" shapeId="0" xr:uid="{00000000-0006-0000-0400-000009000000}">
      <text>
        <r>
          <rPr>
            <b/>
            <sz val="9"/>
            <color indexed="81"/>
            <rFont val="Tahoma"/>
            <family val="2"/>
          </rPr>
          <t xml:space="preserve">PY16 Energy Efficiency Kits School Survey Results </t>
        </r>
        <r>
          <rPr>
            <sz val="9"/>
            <color indexed="81"/>
            <rFont val="Tahoma"/>
            <family val="2"/>
          </rPr>
          <t xml:space="preserve">
</t>
        </r>
      </text>
    </comment>
    <comment ref="W71" authorId="0" shapeId="0" xr:uid="{00000000-0006-0000-0400-00000A000000}">
      <text>
        <r>
          <rPr>
            <b/>
            <sz val="9"/>
            <color indexed="81"/>
            <rFont val="Tahoma"/>
            <family val="2"/>
          </rPr>
          <t xml:space="preserve">PY16 Energy Efficiency Kits School Survey Results </t>
        </r>
        <r>
          <rPr>
            <sz val="9"/>
            <color indexed="81"/>
            <rFont val="Tahoma"/>
            <family val="2"/>
          </rPr>
          <t xml:space="preserve">
</t>
        </r>
      </text>
    </comment>
    <comment ref="W96" authorId="0" shapeId="0" xr:uid="{00000000-0006-0000-0400-00000C000000}">
      <text>
        <r>
          <rPr>
            <b/>
            <sz val="9"/>
            <color indexed="81"/>
            <rFont val="Tahoma"/>
            <family val="2"/>
          </rPr>
          <t>PY16 Energy Efficiency Kits School Survey Results</t>
        </r>
        <r>
          <rPr>
            <sz val="9"/>
            <color indexed="81"/>
            <rFont val="Tahoma"/>
            <family val="2"/>
          </rPr>
          <t xml:space="preserve">
</t>
        </r>
      </text>
    </comment>
    <comment ref="W107" authorId="0" shapeId="0" xr:uid="{00000000-0006-0000-0400-00000D000000}">
      <text>
        <r>
          <rPr>
            <b/>
            <sz val="9"/>
            <color indexed="81"/>
            <rFont val="Tahoma"/>
            <family val="2"/>
          </rPr>
          <t>PY16 Energy Efficiency Kits School Survey Results</t>
        </r>
        <r>
          <rPr>
            <sz val="9"/>
            <color indexed="81"/>
            <rFont val="Tahoma"/>
            <family val="2"/>
          </rPr>
          <t xml:space="preserve">
</t>
        </r>
      </text>
    </comment>
    <comment ref="W122" authorId="0" shapeId="0" xr:uid="{00000000-0006-0000-0400-00000E000000}">
      <text>
        <r>
          <rPr>
            <b/>
            <sz val="9"/>
            <color indexed="81"/>
            <rFont val="Tahoma"/>
            <family val="2"/>
          </rPr>
          <t>PY16 Energy Efficiency Kits School Survey Results</t>
        </r>
        <r>
          <rPr>
            <sz val="9"/>
            <color indexed="81"/>
            <rFont val="Tahoma"/>
            <family val="2"/>
          </rPr>
          <t xml:space="preserve">
</t>
        </r>
      </text>
    </comment>
    <comment ref="W124" authorId="0" shapeId="0" xr:uid="{00000000-0006-0000-0400-00000F000000}">
      <text>
        <r>
          <rPr>
            <b/>
            <sz val="9"/>
            <color indexed="81"/>
            <rFont val="Tahoma"/>
            <family val="2"/>
          </rPr>
          <t>PY16 Energy Efficiency Kits School Survey Results</t>
        </r>
        <r>
          <rPr>
            <sz val="9"/>
            <color indexed="81"/>
            <rFont val="Tahoma"/>
            <family val="2"/>
          </rPr>
          <t xml:space="preserve">
</t>
        </r>
      </text>
    </comment>
    <comment ref="W145" authorId="0" shapeId="0" xr:uid="{00000000-0006-0000-0400-000011000000}">
      <text>
        <r>
          <rPr>
            <b/>
            <sz val="9"/>
            <color indexed="81"/>
            <rFont val="Tahoma"/>
            <family val="2"/>
          </rPr>
          <t xml:space="preserve">PY16 Energy Efficiency Kits School Survey Results </t>
        </r>
        <r>
          <rPr>
            <sz val="9"/>
            <color indexed="81"/>
            <rFont val="Tahoma"/>
            <family val="2"/>
          </rPr>
          <t xml:space="preserve">
</t>
        </r>
      </text>
    </comment>
    <comment ref="W154" authorId="0" shapeId="0" xr:uid="{00000000-0006-0000-0400-000012000000}">
      <text>
        <r>
          <rPr>
            <b/>
            <sz val="9"/>
            <color indexed="81"/>
            <rFont val="Tahoma"/>
            <family val="2"/>
          </rPr>
          <t xml:space="preserve">PY16 Energy Efficiency Kits School Survey Results </t>
        </r>
        <r>
          <rPr>
            <sz val="9"/>
            <color indexed="81"/>
            <rFont val="Tahoma"/>
            <family val="2"/>
          </rPr>
          <t xml:space="preserve">
</t>
        </r>
      </text>
    </comment>
    <comment ref="W160" authorId="0" shapeId="0" xr:uid="{00000000-0006-0000-0400-000013000000}">
      <text>
        <r>
          <rPr>
            <b/>
            <sz val="9"/>
            <color indexed="81"/>
            <rFont val="Tahoma"/>
            <family val="2"/>
          </rPr>
          <t xml:space="preserve">PY16 Energy Efficiency Kits School Survey Results </t>
        </r>
        <r>
          <rPr>
            <sz val="9"/>
            <color indexed="81"/>
            <rFont val="Tahoma"/>
            <family val="2"/>
          </rPr>
          <t xml:space="preserve">
</t>
        </r>
      </text>
    </comment>
    <comment ref="W170" authorId="0" shapeId="0" xr:uid="{00000000-0006-0000-0400-000014000000}">
      <text>
        <r>
          <rPr>
            <b/>
            <sz val="9"/>
            <color indexed="81"/>
            <rFont val="Tahoma"/>
            <family val="2"/>
          </rPr>
          <t xml:space="preserve">PY16 Energy Efficiency Kits School Survey Results </t>
        </r>
      </text>
    </comment>
    <comment ref="W172" authorId="0" shapeId="0" xr:uid="{00000000-0006-0000-0400-000015000000}">
      <text>
        <r>
          <rPr>
            <b/>
            <sz val="9"/>
            <color indexed="81"/>
            <rFont val="Tahoma"/>
            <family val="2"/>
          </rPr>
          <t xml:space="preserve">PY16 Energy Efficiency Kits School Survey Results </t>
        </r>
        <r>
          <rPr>
            <sz val="9"/>
            <color indexed="81"/>
            <rFont val="Tahoma"/>
            <family val="2"/>
          </rPr>
          <t xml:space="preserve">
</t>
        </r>
      </text>
    </comment>
    <comment ref="W194" authorId="0" shapeId="0" xr:uid="{00000000-0006-0000-0400-000017000000}">
      <text>
        <r>
          <rPr>
            <b/>
            <sz val="9"/>
            <color indexed="81"/>
            <rFont val="Tahoma"/>
            <family val="2"/>
          </rPr>
          <t>PY16 Energy Efficiency Kits School Survey Results</t>
        </r>
        <r>
          <rPr>
            <sz val="9"/>
            <color indexed="81"/>
            <rFont val="Tahoma"/>
            <family val="2"/>
          </rPr>
          <t xml:space="preserve">
</t>
        </r>
      </text>
    </comment>
    <comment ref="W204" authorId="0" shapeId="0" xr:uid="{00000000-0006-0000-0400-000018000000}">
      <text>
        <r>
          <rPr>
            <b/>
            <sz val="9"/>
            <color indexed="81"/>
            <rFont val="Tahoma"/>
            <family val="2"/>
          </rPr>
          <t>PY16 Energy Efficiency Kits School Survey Results </t>
        </r>
        <r>
          <rPr>
            <sz val="9"/>
            <color indexed="81"/>
            <rFont val="Tahoma"/>
            <family val="2"/>
          </rPr>
          <t xml:space="preserve">
</t>
        </r>
      </text>
    </comment>
    <comment ref="W210" authorId="0" shapeId="0" xr:uid="{00000000-0006-0000-0400-000019000000}">
      <text>
        <r>
          <rPr>
            <b/>
            <sz val="9"/>
            <color indexed="81"/>
            <rFont val="Tahoma"/>
            <family val="2"/>
          </rPr>
          <t>PY16 Energy Efficiency Kits School Survey Results </t>
        </r>
      </text>
    </comment>
    <comment ref="W219" authorId="0" shapeId="0" xr:uid="{00000000-0006-0000-0400-00001A000000}">
      <text>
        <r>
          <rPr>
            <b/>
            <sz val="9"/>
            <color indexed="81"/>
            <rFont val="Tahoma"/>
            <family val="2"/>
          </rPr>
          <t>PY16 Energy Efficiency Kits School Survey Results </t>
        </r>
        <r>
          <rPr>
            <sz val="9"/>
            <color indexed="81"/>
            <rFont val="Tahoma"/>
            <family val="2"/>
          </rPr>
          <t xml:space="preserve">
</t>
        </r>
      </text>
    </comment>
    <comment ref="W221" authorId="0" shapeId="0" xr:uid="{00000000-0006-0000-0400-00001B000000}">
      <text>
        <r>
          <rPr>
            <b/>
            <sz val="9"/>
            <color indexed="81"/>
            <rFont val="Tahoma"/>
            <family val="2"/>
          </rPr>
          <t>PY16 Energy Efficiency Kits School Survey Results </t>
        </r>
        <r>
          <rPr>
            <sz val="9"/>
            <color indexed="81"/>
            <rFont val="Tahoma"/>
            <family val="2"/>
          </rPr>
          <t xml:space="preserve">
</t>
        </r>
      </text>
    </comment>
    <comment ref="W252" authorId="0" shapeId="0" xr:uid="{00000000-0006-0000-0400-00001D000000}">
      <text>
        <r>
          <rPr>
            <b/>
            <sz val="9"/>
            <color indexed="81"/>
            <rFont val="Tahoma"/>
            <family val="2"/>
          </rPr>
          <t xml:space="preserve">PY16 Energy Efficiency Kits School Survey Results </t>
        </r>
        <r>
          <rPr>
            <sz val="9"/>
            <color indexed="81"/>
            <rFont val="Tahoma"/>
            <family val="2"/>
          </rPr>
          <t xml:space="preserve">
</t>
        </r>
      </text>
    </comment>
    <comment ref="W255" authorId="0" shapeId="0" xr:uid="{00000000-0006-0000-0400-00001E000000}">
      <text>
        <r>
          <rPr>
            <b/>
            <sz val="9"/>
            <color indexed="81"/>
            <rFont val="Tahoma"/>
            <family val="2"/>
          </rPr>
          <t xml:space="preserve">PY16 Energy Efficiency Kits School Survey Results </t>
        </r>
        <r>
          <rPr>
            <sz val="9"/>
            <color indexed="81"/>
            <rFont val="Tahoma"/>
            <family val="2"/>
          </rPr>
          <t xml:space="preserve">
</t>
        </r>
      </text>
    </comment>
    <comment ref="AI255" authorId="0" shapeId="0" xr:uid="{00000000-0006-0000-0400-00001F000000}">
      <text>
        <r>
          <rPr>
            <b/>
            <sz val="9"/>
            <color indexed="81"/>
            <rFont val="Tahoma"/>
            <family val="2"/>
          </rPr>
          <t>Assumption based on program design</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tc={58353720-9FD7-401B-A6E9-79C2EF090359}</author>
    <author>tc={964B95CF-B44E-481D-8797-EC09060FC94D}</author>
    <author>tc={F77C096A-F478-48D9-B3E2-408CC9EB5843}</author>
    <author>tc={AF5CD540-E7BC-4181-833E-49D2D926D927}</author>
    <author>tc={AC0C4346-ACA4-4C58-8BAB-09A3CDAFEE7B}</author>
    <author>tc={F323E481-1993-4B82-917C-67D249CB87DE}</author>
    <author>tc={7AF596AA-FA3D-42FF-A62B-D225BEE3CB60}</author>
    <author>tc={D33F3C28-9C7D-4C8B-A43A-D5A62E829534}</author>
  </authors>
  <commentList>
    <comment ref="Y6" authorId="0" shapeId="0" xr:uid="{00000000-0006-0000-0500-000001000000}">
      <text>
        <r>
          <rPr>
            <b/>
            <sz val="9"/>
            <color indexed="81"/>
            <rFont val="Tahoma"/>
            <family val="2"/>
          </rPr>
          <t>Author:</t>
        </r>
        <r>
          <rPr>
            <sz val="9"/>
            <color indexed="81"/>
            <rFont val="Tahoma"/>
            <family val="2"/>
          </rPr>
          <t xml:space="preserve">
PY18 EM&amp;V</t>
        </r>
      </text>
    </comment>
    <comment ref="Z6" authorId="0" shapeId="0" xr:uid="{00000000-0006-0000-0500-000002000000}">
      <text>
        <r>
          <rPr>
            <b/>
            <sz val="9"/>
            <color indexed="81"/>
            <rFont val="Tahoma"/>
            <family val="2"/>
          </rPr>
          <t>11 Step updates</t>
        </r>
      </text>
    </comment>
    <comment ref="E34" authorId="0" shapeId="0" xr:uid="{00000000-0006-0000-0500-000004000000}">
      <text>
        <r>
          <rPr>
            <b/>
            <sz val="9"/>
            <color indexed="81"/>
            <rFont val="Tahoma"/>
            <family val="2"/>
          </rPr>
          <t>Added this row as this was not shown in inputs table previously but was just a number in the equation - just formating change no update to the values or how they were used and allows showing source for this value</t>
        </r>
        <r>
          <rPr>
            <sz val="9"/>
            <color indexed="81"/>
            <rFont val="Tahoma"/>
            <family val="2"/>
          </rPr>
          <t xml:space="preserve">
</t>
        </r>
      </text>
    </comment>
    <comment ref="Y34" authorId="0" shapeId="0" xr:uid="{00000000-0006-0000-0500-000005000000}">
      <text>
        <r>
          <rPr>
            <b/>
            <sz val="9"/>
            <color indexed="81"/>
            <rFont val="Tahoma"/>
            <family val="2"/>
          </rPr>
          <t>This value is not new just including it in the input table (previously only shown in the equation)</t>
        </r>
      </text>
    </comment>
    <comment ref="Y35" authorId="0" shapeId="0" xr:uid="{00000000-0006-0000-0500-000006000000}">
      <text>
        <r>
          <rPr>
            <b/>
            <sz val="9"/>
            <color indexed="81"/>
            <rFont val="Tahoma"/>
            <family val="2"/>
          </rPr>
          <t xml:space="preserve">This values should remain 2009 
The formula compares a ratio of the Wisconsin vs St. Louis values </t>
        </r>
        <r>
          <rPr>
            <sz val="9"/>
            <color indexed="81"/>
            <rFont val="Tahoma"/>
            <family val="2"/>
          </rPr>
          <t xml:space="preserve">
</t>
        </r>
      </text>
    </comment>
    <comment ref="Y45" authorId="0" shapeId="0" xr:uid="{00000000-0006-0000-0500-000007000000}">
      <text>
        <r>
          <rPr>
            <b/>
            <sz val="9"/>
            <color indexed="81"/>
            <rFont val="Tahoma"/>
            <family val="2"/>
          </rPr>
          <t>This value is not new just including it in the input table (previously only shown in the equation)</t>
        </r>
      </text>
    </comment>
    <comment ref="I46" authorId="0" shapeId="0" xr:uid="{00000000-0006-0000-0500-000008000000}">
      <text>
        <r>
          <rPr>
            <sz val="12"/>
            <color indexed="81"/>
            <rFont val="Tahoma"/>
            <family val="2"/>
          </rPr>
          <t xml:space="preserve">THIS VALUE SHOULD REMAIN 1215 
The formula compares uses a ratio of the Wisconsin vs St. Louis values </t>
        </r>
      </text>
    </comment>
    <comment ref="X46" authorId="0" shapeId="0" xr:uid="{00000000-0006-0000-0500-000009000000}">
      <text>
        <r>
          <rPr>
            <sz val="12"/>
            <color indexed="81"/>
            <rFont val="Tahoma"/>
            <family val="2"/>
          </rPr>
          <t xml:space="preserve">THIS VALUE SHOULD REMAIN 1215 
The formula compares uses a ratio of the Wisconsin vs St. Louis values </t>
        </r>
      </text>
    </comment>
    <comment ref="Y46" authorId="0" shapeId="0" xr:uid="{00000000-0006-0000-0500-00000A000000}">
      <text>
        <r>
          <rPr>
            <sz val="12"/>
            <color indexed="81"/>
            <rFont val="Tahoma"/>
            <family val="2"/>
          </rPr>
          <t xml:space="preserve">This values should remain 1215 
The formula compares a ratio of the Wisconsin vs St. Louis values </t>
        </r>
      </text>
    </comment>
    <comment ref="AF46" authorId="0" shapeId="0" xr:uid="{5E9C08CE-EFCD-4F66-8E72-5B4AD5E33914}">
      <text>
        <r>
          <rPr>
            <sz val="12"/>
            <color indexed="81"/>
            <rFont val="Tahoma"/>
            <family val="2"/>
          </rPr>
          <t xml:space="preserve">THIS VALUE SHOULD REMAIN 1215 
The formula compares uses a ratio of the Wisconsin vs St. Louis values </t>
        </r>
      </text>
    </comment>
    <comment ref="X169" authorId="0" shapeId="0" xr:uid="{00000000-0006-0000-0500-000010000000}">
      <text>
        <r>
          <rPr>
            <b/>
            <sz val="9"/>
            <color indexed="81"/>
            <rFont val="Tahoma"/>
            <family val="2"/>
          </rPr>
          <t>update from Community Savers - ADM</t>
        </r>
        <r>
          <rPr>
            <sz val="9"/>
            <color indexed="81"/>
            <rFont val="Tahoma"/>
            <family val="2"/>
          </rPr>
          <t xml:space="preserve">
</t>
        </r>
      </text>
    </comment>
    <comment ref="X170" authorId="0" shapeId="0" xr:uid="{00000000-0006-0000-0500-000011000000}">
      <text>
        <r>
          <rPr>
            <b/>
            <sz val="9"/>
            <color indexed="81"/>
            <rFont val="Tahoma"/>
            <family val="2"/>
          </rPr>
          <t>update from Community Savers - ADM</t>
        </r>
        <r>
          <rPr>
            <sz val="9"/>
            <color indexed="81"/>
            <rFont val="Tahoma"/>
            <family val="2"/>
          </rPr>
          <t xml:space="preserve">
</t>
        </r>
      </text>
    </comment>
    <comment ref="X173" authorId="0" shapeId="0" xr:uid="{00000000-0006-0000-0500-000012000000}">
      <text>
        <r>
          <rPr>
            <b/>
            <sz val="9"/>
            <color indexed="81"/>
            <rFont val="Tahoma"/>
            <family val="2"/>
          </rPr>
          <t>update from Community Savers - ADM</t>
        </r>
        <r>
          <rPr>
            <sz val="9"/>
            <color indexed="81"/>
            <rFont val="Tahoma"/>
            <family val="2"/>
          </rPr>
          <t xml:space="preserve">
</t>
        </r>
      </text>
    </comment>
    <comment ref="X178" authorId="0" shapeId="0" xr:uid="{00000000-0006-0000-0500-000013000000}">
      <text>
        <r>
          <rPr>
            <b/>
            <sz val="9"/>
            <color indexed="81"/>
            <rFont val="Tahoma"/>
            <family val="2"/>
          </rPr>
          <t>update from Community Savers - ADM</t>
        </r>
        <r>
          <rPr>
            <sz val="9"/>
            <color indexed="81"/>
            <rFont val="Tahoma"/>
            <family val="2"/>
          </rPr>
          <t xml:space="preserve">
</t>
        </r>
      </text>
    </comment>
    <comment ref="X179" authorId="0" shapeId="0" xr:uid="{00000000-0006-0000-0500-000014000000}">
      <text>
        <r>
          <rPr>
            <b/>
            <sz val="9"/>
            <color indexed="81"/>
            <rFont val="Tahoma"/>
            <family val="2"/>
          </rPr>
          <t>update from Community Savers - ADM</t>
        </r>
        <r>
          <rPr>
            <sz val="9"/>
            <color indexed="81"/>
            <rFont val="Tahoma"/>
            <family val="2"/>
          </rPr>
          <t xml:space="preserve">
</t>
        </r>
      </text>
    </comment>
    <comment ref="X182" authorId="0" shapeId="0" xr:uid="{00000000-0006-0000-0500-000015000000}">
      <text>
        <r>
          <rPr>
            <b/>
            <sz val="9"/>
            <color indexed="81"/>
            <rFont val="Tahoma"/>
            <family val="2"/>
          </rPr>
          <t>update from Community Savers - ADM</t>
        </r>
        <r>
          <rPr>
            <sz val="9"/>
            <color indexed="81"/>
            <rFont val="Tahoma"/>
            <family val="2"/>
          </rPr>
          <t xml:space="preserve">
</t>
        </r>
      </text>
    </comment>
    <comment ref="X187" authorId="0" shapeId="0" xr:uid="{00000000-0006-0000-0500-000016000000}">
      <text>
        <r>
          <rPr>
            <b/>
            <sz val="9"/>
            <color indexed="81"/>
            <rFont val="Tahoma"/>
            <family val="2"/>
          </rPr>
          <t>update from Community Savers - ADM</t>
        </r>
        <r>
          <rPr>
            <sz val="9"/>
            <color indexed="81"/>
            <rFont val="Tahoma"/>
            <family val="2"/>
          </rPr>
          <t xml:space="preserve">
</t>
        </r>
      </text>
    </comment>
    <comment ref="X188" authorId="0" shapeId="0" xr:uid="{00000000-0006-0000-0500-000017000000}">
      <text>
        <r>
          <rPr>
            <b/>
            <sz val="9"/>
            <color indexed="81"/>
            <rFont val="Tahoma"/>
            <family val="2"/>
          </rPr>
          <t>update from Community Savers - ADM</t>
        </r>
        <r>
          <rPr>
            <sz val="9"/>
            <color indexed="81"/>
            <rFont val="Tahoma"/>
            <family val="2"/>
          </rPr>
          <t xml:space="preserve">
</t>
        </r>
      </text>
    </comment>
    <comment ref="X191" authorId="0" shapeId="0" xr:uid="{00000000-0006-0000-0500-000018000000}">
      <text>
        <r>
          <rPr>
            <b/>
            <sz val="9"/>
            <color indexed="81"/>
            <rFont val="Tahoma"/>
            <family val="2"/>
          </rPr>
          <t>update from Community Savers - ADM</t>
        </r>
        <r>
          <rPr>
            <sz val="9"/>
            <color indexed="81"/>
            <rFont val="Tahoma"/>
            <family val="2"/>
          </rPr>
          <t xml:space="preserve">
</t>
        </r>
      </text>
    </comment>
    <comment ref="X241" authorId="0" shapeId="0" xr:uid="{00000000-0006-0000-0500-000019000000}">
      <text>
        <r>
          <rPr>
            <b/>
            <sz val="9"/>
            <color indexed="81"/>
            <rFont val="Tahoma"/>
            <family val="2"/>
          </rPr>
          <t>update from Community Savers - ADM</t>
        </r>
        <r>
          <rPr>
            <sz val="9"/>
            <color indexed="81"/>
            <rFont val="Tahoma"/>
            <family val="2"/>
          </rPr>
          <t xml:space="preserve">
</t>
        </r>
      </text>
    </comment>
    <comment ref="X242" authorId="0" shapeId="0" xr:uid="{00000000-0006-0000-0500-00001A000000}">
      <text>
        <r>
          <rPr>
            <b/>
            <sz val="9"/>
            <color indexed="81"/>
            <rFont val="Tahoma"/>
            <family val="2"/>
          </rPr>
          <t>update from Community Savers - ADM</t>
        </r>
        <r>
          <rPr>
            <sz val="9"/>
            <color indexed="81"/>
            <rFont val="Tahoma"/>
            <family val="2"/>
          </rPr>
          <t xml:space="preserve">
</t>
        </r>
      </text>
    </comment>
    <comment ref="X245" authorId="0" shapeId="0" xr:uid="{00000000-0006-0000-0500-00001B000000}">
      <text>
        <r>
          <rPr>
            <b/>
            <sz val="9"/>
            <color indexed="81"/>
            <rFont val="Tahoma"/>
            <family val="2"/>
          </rPr>
          <t>update from Community Savers - ADM</t>
        </r>
        <r>
          <rPr>
            <sz val="9"/>
            <color indexed="81"/>
            <rFont val="Tahoma"/>
            <family val="2"/>
          </rPr>
          <t xml:space="preserve">
</t>
        </r>
      </text>
    </comment>
    <comment ref="X259" authorId="0" shapeId="0" xr:uid="{00000000-0006-0000-0500-00001C000000}">
      <text>
        <r>
          <rPr>
            <b/>
            <sz val="9"/>
            <color indexed="81"/>
            <rFont val="Tahoma"/>
            <family val="2"/>
          </rPr>
          <t>update from Community Savers - ADM</t>
        </r>
        <r>
          <rPr>
            <sz val="9"/>
            <color indexed="81"/>
            <rFont val="Tahoma"/>
            <family val="2"/>
          </rPr>
          <t xml:space="preserve">
</t>
        </r>
      </text>
    </comment>
    <comment ref="X260" authorId="0" shapeId="0" xr:uid="{00000000-0006-0000-0500-00001D000000}">
      <text>
        <r>
          <rPr>
            <b/>
            <sz val="9"/>
            <color indexed="81"/>
            <rFont val="Tahoma"/>
            <family val="2"/>
          </rPr>
          <t>update from Community Savers - ADM</t>
        </r>
        <r>
          <rPr>
            <sz val="9"/>
            <color indexed="81"/>
            <rFont val="Tahoma"/>
            <family val="2"/>
          </rPr>
          <t xml:space="preserve">
</t>
        </r>
      </text>
    </comment>
    <comment ref="X263" authorId="0" shapeId="0" xr:uid="{00000000-0006-0000-0500-00001E000000}">
      <text>
        <r>
          <rPr>
            <b/>
            <sz val="9"/>
            <color indexed="81"/>
            <rFont val="Tahoma"/>
            <family val="2"/>
          </rPr>
          <t>update from Community Savers - ADM</t>
        </r>
        <r>
          <rPr>
            <sz val="9"/>
            <color indexed="81"/>
            <rFont val="Tahoma"/>
            <family val="2"/>
          </rPr>
          <t xml:space="preserve">
</t>
        </r>
      </text>
    </comment>
    <comment ref="X385" authorId="0" shapeId="0" xr:uid="{00000000-0006-0000-0500-00001F000000}">
      <text>
        <r>
          <rPr>
            <b/>
            <sz val="9"/>
            <color indexed="81"/>
            <rFont val="Tahoma"/>
            <family val="2"/>
          </rPr>
          <t>update from Community Savers - ADM</t>
        </r>
        <r>
          <rPr>
            <sz val="9"/>
            <color indexed="81"/>
            <rFont val="Tahoma"/>
            <family val="2"/>
          </rPr>
          <t xml:space="preserve">
</t>
        </r>
      </text>
    </comment>
    <comment ref="X386" authorId="0" shapeId="0" xr:uid="{00000000-0006-0000-0500-000020000000}">
      <text>
        <r>
          <rPr>
            <b/>
            <sz val="9"/>
            <color indexed="81"/>
            <rFont val="Tahoma"/>
            <family val="2"/>
          </rPr>
          <t>update from Community Savers - ADM</t>
        </r>
        <r>
          <rPr>
            <sz val="9"/>
            <color indexed="81"/>
            <rFont val="Tahoma"/>
            <family val="2"/>
          </rPr>
          <t xml:space="preserve">
</t>
        </r>
      </text>
    </comment>
    <comment ref="X389" authorId="0" shapeId="0" xr:uid="{00000000-0006-0000-0500-000021000000}">
      <text>
        <r>
          <rPr>
            <b/>
            <sz val="9"/>
            <color indexed="81"/>
            <rFont val="Tahoma"/>
            <family val="2"/>
          </rPr>
          <t>update from Community Savers - ADM</t>
        </r>
        <r>
          <rPr>
            <sz val="9"/>
            <color indexed="81"/>
            <rFont val="Tahoma"/>
            <family val="2"/>
          </rPr>
          <t xml:space="preserve">
</t>
        </r>
      </text>
    </comment>
    <comment ref="X400" authorId="0" shapeId="0" xr:uid="{00000000-0006-0000-0500-00002200000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403" authorId="0" shapeId="0" xr:uid="{00000000-0006-0000-0500-000023000000}">
      <text>
        <r>
          <rPr>
            <b/>
            <sz val="9"/>
            <color indexed="81"/>
            <rFont val="Tahoma"/>
            <family val="2"/>
          </rPr>
          <t>update from Community Savers - ADM</t>
        </r>
        <r>
          <rPr>
            <sz val="9"/>
            <color indexed="81"/>
            <rFont val="Tahoma"/>
            <family val="2"/>
          </rPr>
          <t xml:space="preserve">
</t>
        </r>
      </text>
    </comment>
    <comment ref="X404" authorId="0" shapeId="0" xr:uid="{00000000-0006-0000-0500-000024000000}">
      <text>
        <r>
          <rPr>
            <b/>
            <sz val="9"/>
            <color indexed="81"/>
            <rFont val="Tahoma"/>
            <family val="2"/>
          </rPr>
          <t>update from Community Savers - ADM</t>
        </r>
        <r>
          <rPr>
            <sz val="9"/>
            <color indexed="81"/>
            <rFont val="Tahoma"/>
            <family val="2"/>
          </rPr>
          <t xml:space="preserve">
</t>
        </r>
      </text>
    </comment>
    <comment ref="X407" authorId="0" shapeId="0" xr:uid="{00000000-0006-0000-0500-000025000000}">
      <text>
        <r>
          <rPr>
            <b/>
            <sz val="9"/>
            <color indexed="81"/>
            <rFont val="Tahoma"/>
            <family val="2"/>
          </rPr>
          <t>update from Community Savers - ADM</t>
        </r>
        <r>
          <rPr>
            <sz val="9"/>
            <color indexed="81"/>
            <rFont val="Tahoma"/>
            <family val="2"/>
          </rPr>
          <t xml:space="preserve">
</t>
        </r>
      </text>
    </comment>
    <comment ref="X529" authorId="0" shapeId="0" xr:uid="{00000000-0006-0000-0500-000026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30" authorId="0" shapeId="0" xr:uid="{00000000-0006-0000-0500-000027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33" authorId="0" shapeId="0" xr:uid="{00000000-0006-0000-0500-000028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38" authorId="0" shapeId="0" xr:uid="{00000000-0006-0000-0500-000029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39" authorId="0" shapeId="0" xr:uid="{00000000-0006-0000-0500-00002A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42" authorId="0" shapeId="0" xr:uid="{00000000-0006-0000-0500-00002B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47" authorId="0" shapeId="0" xr:uid="{00000000-0006-0000-0500-00002C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48" authorId="0" shapeId="0" xr:uid="{00000000-0006-0000-0500-00002D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51" authorId="0" shapeId="0" xr:uid="{00000000-0006-0000-0500-00002E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56" authorId="0" shapeId="0" xr:uid="{00000000-0006-0000-0500-00002F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57" authorId="0" shapeId="0" xr:uid="{00000000-0006-0000-0500-000030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0" authorId="0" shapeId="0" xr:uid="{00000000-0006-0000-0500-000031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606" authorId="0" shapeId="0" xr:uid="{00000000-0006-0000-0500-000032000000}">
      <text>
        <r>
          <rPr>
            <b/>
            <sz val="9"/>
            <color indexed="81"/>
            <rFont val="Tahoma"/>
            <family val="2"/>
          </rPr>
          <t xml:space="preserve">corrected typo error
</t>
        </r>
      </text>
    </comment>
    <comment ref="X671" authorId="0" shapeId="0" xr:uid="{00000000-0006-0000-0500-000033000000}">
      <text>
        <r>
          <rPr>
            <b/>
            <sz val="9"/>
            <color indexed="81"/>
            <rFont val="Tahoma"/>
            <family val="2"/>
          </rPr>
          <t>capacities updated</t>
        </r>
        <r>
          <rPr>
            <sz val="9"/>
            <color indexed="81"/>
            <rFont val="Tahoma"/>
            <family val="2"/>
          </rPr>
          <t xml:space="preserve">
</t>
        </r>
      </text>
    </comment>
    <comment ref="Y671" authorId="0" shapeId="0" xr:uid="{00000000-0006-0000-0500-000034000000}">
      <text>
        <r>
          <rPr>
            <b/>
            <sz val="9"/>
            <color indexed="81"/>
            <rFont val="Tahoma"/>
            <family val="2"/>
          </rPr>
          <t>Formula updated in this calculation 
Also Updates if capacities change</t>
        </r>
      </text>
    </comment>
    <comment ref="F751" authorId="0" shapeId="0" xr:uid="{28EE2460-9B6D-413B-8EE8-FF43E55B5054}">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F776" authorId="0" shapeId="0" xr:uid="{F6B8C22A-00B1-4771-974B-4917D2F51465}">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F804" authorId="1" shapeId="0" xr:uid="{58353720-9FD7-401B-A6E9-79C2EF090359}">
      <text>
        <t>[Threaded comment]
Your version of Excel allows you to read this threaded comment; however, any edits to it will get removed if the file is opened in a newer version of Excel. Learn more: https://go.microsoft.com/fwlink/?linkid=870924
Comment:
    Updated the formula, the HF value for #351851 was used by mistake</t>
      </text>
    </comment>
    <comment ref="W883" authorId="0" shapeId="0" xr:uid="{00000000-0006-0000-0500-000038000000}">
      <text>
        <r>
          <rPr>
            <sz val="11"/>
            <color indexed="81"/>
            <rFont val="Tahoma"/>
            <family val="2"/>
          </rPr>
          <t>MO TRM includes 7.7 for manufacture dates prior to 1/2/2017 and 8.0 for manufacture dates after 1/1/2017</t>
        </r>
      </text>
    </comment>
    <comment ref="X883" authorId="0" shapeId="0" xr:uid="{00000000-0006-0000-0500-000039000000}">
      <text>
        <r>
          <rPr>
            <sz val="11"/>
            <color indexed="81"/>
            <rFont val="Tahoma"/>
            <family val="2"/>
          </rPr>
          <t>MO TRM includes 7.7 for manufacture dates prior to 1/2/2017 and 8.0 for manufacture dates after 1/1/2017</t>
        </r>
      </text>
    </comment>
    <comment ref="J887" authorId="2" shapeId="0" xr:uid="{964B95CF-B44E-481D-8797-EC09060FC94D}">
      <text>
        <t>[Threaded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t>
      </text>
    </comment>
    <comment ref="J888" authorId="3" shapeId="0" xr:uid="{F77C096A-F478-48D9-B3E2-408CC9EB5843}">
      <text>
        <t xml:space="preserve">[Threaded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
</t>
      </text>
    </comment>
    <comment ref="J896" authorId="4" shapeId="0" xr:uid="{AF5CD540-E7BC-4181-833E-49D2D926D927}">
      <text>
        <t xml:space="preserve">[Threaded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
</t>
      </text>
    </comment>
    <comment ref="J897" authorId="5" shapeId="0" xr:uid="{AC0C4346-ACA4-4C58-8BAB-09A3CDAFEE7B}">
      <text>
        <t xml:space="preserve">[Threaded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
</t>
      </text>
    </comment>
    <comment ref="J905" authorId="6" shapeId="0" xr:uid="{F323E481-1993-4B82-917C-67D249CB87DE}">
      <text>
        <t xml:space="preserve">[Threaded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
</t>
      </text>
    </comment>
    <comment ref="J906" authorId="7" shapeId="0" xr:uid="{7AF596AA-FA3D-42FF-A62B-D225BEE3CB60}">
      <text>
        <t xml:space="preserve">[Threaded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
</t>
      </text>
    </comment>
    <comment ref="W962" authorId="0" shapeId="0" xr:uid="{00000000-0006-0000-0500-00003A000000}">
      <text>
        <r>
          <rPr>
            <sz val="9"/>
            <color indexed="81"/>
            <rFont val="Tahoma"/>
            <family val="2"/>
          </rPr>
          <t>Assumed same size as similar ASHP</t>
        </r>
      </text>
    </comment>
    <comment ref="X962" authorId="0" shapeId="0" xr:uid="{00000000-0006-0000-0500-00003B000000}">
      <text>
        <r>
          <rPr>
            <sz val="11"/>
            <color indexed="81"/>
            <rFont val="Tahoma"/>
            <family val="2"/>
          </rPr>
          <t>CADMUS PROVIDED A SINGLE "Tonnage" value" used same for heating and cooling</t>
        </r>
        <r>
          <rPr>
            <sz val="9"/>
            <color indexed="81"/>
            <rFont val="Tahoma"/>
            <family val="2"/>
          </rPr>
          <t xml:space="preserve">
</t>
        </r>
      </text>
    </comment>
    <comment ref="W963" authorId="0" shapeId="0" xr:uid="{00000000-0006-0000-0500-00003C000000}">
      <text>
        <r>
          <rPr>
            <sz val="9"/>
            <color indexed="81"/>
            <rFont val="Tahoma"/>
            <family val="2"/>
          </rPr>
          <t xml:space="preserve">Assumed Same Size as similar ASHP
</t>
        </r>
      </text>
    </comment>
    <comment ref="W1016" authorId="0" shapeId="0" xr:uid="{00000000-0006-0000-0500-00003D000000}">
      <text>
        <r>
          <rPr>
            <sz val="11"/>
            <color indexed="81"/>
            <rFont val="Tahoma"/>
            <family val="2"/>
          </rPr>
          <t>MO TRM includes 13 for manufacture dates prior to 1/2/2017 and 14 for manufacture dates after 1/1/2017</t>
        </r>
      </text>
    </comment>
    <comment ref="X1016" authorId="0" shapeId="0" xr:uid="{00000000-0006-0000-0500-00003E000000}">
      <text>
        <r>
          <rPr>
            <sz val="11"/>
            <color indexed="81"/>
            <rFont val="Tahoma"/>
            <family val="2"/>
          </rPr>
          <t>MO TRM includes 13 for manufacture dates prior to 1/2/2017 and 14 for manufacture dates after 1/1/2017</t>
        </r>
      </text>
    </comment>
    <comment ref="X1120" authorId="0" shapeId="0" xr:uid="{00000000-0006-0000-0500-00003F000000}">
      <text>
        <r>
          <rPr>
            <sz val="11"/>
            <color indexed="81"/>
            <rFont val="Tahoma"/>
            <family val="2"/>
          </rPr>
          <t>Used Cadmus data to update the tonnage of the units  but the updated tonnage was for SF only therfore left the application here to convert for MF</t>
        </r>
      </text>
    </comment>
    <comment ref="X1143" authorId="0" shapeId="0" xr:uid="{00000000-0006-0000-0500-000040000000}">
      <text>
        <r>
          <rPr>
            <sz val="11"/>
            <color indexed="81"/>
            <rFont val="Tahoma"/>
            <family val="2"/>
          </rPr>
          <t>Used Cadmus data to update the tonnage of the units  but the updated tonnage was for SF only therfore left the application here to convert for MF</t>
        </r>
      </text>
    </comment>
    <comment ref="X1213" authorId="0" shapeId="0" xr:uid="{00000000-0006-0000-0500-000041000000}">
      <text>
        <r>
          <rPr>
            <b/>
            <sz val="9"/>
            <color indexed="81"/>
            <rFont val="Tahoma"/>
            <family val="2"/>
          </rPr>
          <t>Capacity of units adjusted which impacts cost/ton calculation</t>
        </r>
      </text>
    </comment>
    <comment ref="Y1213" authorId="0" shapeId="0" xr:uid="{00000000-0006-0000-0500-000042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Z1213" authorId="0" shapeId="0" xr:uid="{00000000-0006-0000-0500-000043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AA1213" authorId="0" shapeId="0" xr:uid="{00000000-0006-0000-0500-000044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X1302" authorId="0" shapeId="0" xr:uid="{00000000-0006-0000-0500-00004600000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1350" authorId="0" shapeId="0" xr:uid="{00000000-0006-0000-0500-000047000000}">
      <text>
        <r>
          <rPr>
            <sz val="14"/>
            <color indexed="81"/>
            <rFont val="Tahoma"/>
            <family val="2"/>
          </rPr>
          <t>Left these at 65% because  did not adjust the capacity based upon MF capacities above - If we obtain evaluation data on capacities of MF units this should then be adjusted to 100%</t>
        </r>
      </text>
    </comment>
    <comment ref="F1373" authorId="0" shapeId="0" xr:uid="{F14D1796-8AD7-4066-A931-4ABD3B54A663}">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1375" authorId="0" shapeId="0" xr:uid="{69062C6C-5E1D-4544-85AC-78173180DA7B}">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1377" authorId="0" shapeId="0" xr:uid="{4D42A742-3299-4C65-B8A6-FB4C1B71045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1409" authorId="0" shapeId="0" xr:uid="{00000000-0006-0000-0500-00004C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F1417" authorId="0" shapeId="0" xr:uid="{00000000-0006-0000-0500-00004D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F1425" authorId="0" shapeId="0" xr:uid="{00000000-0006-0000-0500-00004E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X1428" authorId="0" shapeId="0" xr:uid="{00000000-0006-0000-0500-00004F000000}">
      <text>
        <r>
          <rPr>
            <b/>
            <sz val="9"/>
            <color indexed="81"/>
            <rFont val="Tahoma"/>
            <family val="2"/>
          </rPr>
          <t>Added this line item - needs a separate base for ER1 vs ER2</t>
        </r>
      </text>
    </comment>
    <comment ref="Y1433" authorId="0" shapeId="0" xr:uid="{00000000-0006-0000-0500-000050000000}">
      <text>
        <r>
          <rPr>
            <b/>
            <sz val="9"/>
            <color indexed="81"/>
            <rFont val="Tahoma"/>
            <family val="2"/>
          </rPr>
          <t>Author:</t>
        </r>
        <r>
          <rPr>
            <sz val="9"/>
            <color indexed="81"/>
            <rFont val="Tahoma"/>
            <family val="2"/>
          </rPr>
          <t xml:space="preserve">
COP of 4.44 from report table 15 *3.41
</t>
        </r>
      </text>
    </comment>
    <comment ref="Z1433" authorId="0" shapeId="0" xr:uid="{00000000-0006-0000-0500-000051000000}">
      <text>
        <r>
          <rPr>
            <b/>
            <sz val="9"/>
            <color indexed="81"/>
            <rFont val="Tahoma"/>
            <family val="2"/>
          </rPr>
          <t>Author:</t>
        </r>
        <r>
          <rPr>
            <sz val="9"/>
            <color indexed="81"/>
            <rFont val="Tahoma"/>
            <family val="2"/>
          </rPr>
          <t xml:space="preserve">
COP of 4.44 from report table 15 *3.41
</t>
        </r>
      </text>
    </comment>
    <comment ref="AA1433" authorId="0" shapeId="0" xr:uid="{00000000-0006-0000-0500-000052000000}">
      <text>
        <r>
          <rPr>
            <b/>
            <sz val="9"/>
            <color indexed="81"/>
            <rFont val="Tahoma"/>
            <family val="2"/>
          </rPr>
          <t>Author:</t>
        </r>
        <r>
          <rPr>
            <sz val="9"/>
            <color indexed="81"/>
            <rFont val="Tahoma"/>
            <family val="2"/>
          </rPr>
          <t xml:space="preserve">
COP of 4.44 from report table 15 *3.41
</t>
        </r>
      </text>
    </comment>
    <comment ref="X1465" authorId="0" shapeId="0" xr:uid="{00000000-0006-0000-0500-000053000000}">
      <text>
        <r>
          <rPr>
            <b/>
            <sz val="9"/>
            <color indexed="81"/>
            <rFont val="Tahoma"/>
            <family val="2"/>
          </rPr>
          <t xml:space="preserve">Changed to EER rather than SEER in calc </t>
        </r>
        <r>
          <rPr>
            <sz val="9"/>
            <color indexed="81"/>
            <rFont val="Tahoma"/>
            <family val="2"/>
          </rPr>
          <t xml:space="preserve">
</t>
        </r>
      </text>
    </comment>
    <comment ref="C1718" authorId="0" shapeId="0" xr:uid="{00000000-0006-0000-0500-000057000000}">
      <text>
        <r>
          <rPr>
            <b/>
            <sz val="9"/>
            <color indexed="81"/>
            <rFont val="Tahoma"/>
            <family val="2"/>
          </rPr>
          <t xml:space="preserve">353900 was a duplicate measure to this and was removed in PY2019 </t>
        </r>
      </text>
    </comment>
    <comment ref="W2107" authorId="0" shapeId="0" xr:uid="{00000000-0006-0000-0500-000058000000}">
      <text>
        <r>
          <rPr>
            <b/>
            <sz val="9"/>
            <color indexed="81"/>
            <rFont val="Tahoma"/>
            <family val="2"/>
          </rPr>
          <t>MO TRM</t>
        </r>
        <r>
          <rPr>
            <sz val="9"/>
            <color indexed="81"/>
            <rFont val="Tahoma"/>
            <family val="2"/>
          </rPr>
          <t xml:space="preserve">
</t>
        </r>
      </text>
    </comment>
    <comment ref="X2107" authorId="0" shapeId="0" xr:uid="{00000000-0006-0000-0500-000059000000}">
      <text>
        <r>
          <rPr>
            <b/>
            <sz val="9"/>
            <color indexed="81"/>
            <rFont val="Tahoma"/>
            <family val="2"/>
          </rPr>
          <t>2017 Cadmus EM&amp;V - 2016 -2017 AMR Data &amp; HP</t>
        </r>
        <r>
          <rPr>
            <sz val="9"/>
            <color indexed="81"/>
            <rFont val="Tahoma"/>
            <family val="2"/>
          </rPr>
          <t xml:space="preserve">
</t>
        </r>
      </text>
    </comment>
    <comment ref="X3274" authorId="0" shapeId="0" xr:uid="{00000000-0006-0000-0500-00005A00000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Y3274" authorId="0" shapeId="0" xr:uid="{00000000-0006-0000-0500-00005B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Z3274" authorId="0" shapeId="0" xr:uid="{00000000-0006-0000-0500-00005C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AA3274" authorId="0" shapeId="0" xr:uid="{00000000-0006-0000-0500-00005D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L4038" authorId="0" shapeId="0" xr:uid="{4DECB618-85EB-491E-9B84-D0530A69E823}">
      <text>
        <r>
          <rPr>
            <b/>
            <sz val="9"/>
            <color indexed="81"/>
            <rFont val="Tahoma"/>
            <family val="2"/>
          </rPr>
          <t>Author:</t>
        </r>
        <r>
          <rPr>
            <sz val="9"/>
            <color indexed="81"/>
            <rFont val="Tahoma"/>
            <family val="2"/>
          </rPr>
          <t xml:space="preserve">
Adjusted Capacity based upon HF Factor</t>
        </r>
      </text>
    </comment>
    <comment ref="Y4038" authorId="0" shapeId="0" xr:uid="{00000000-0006-0000-0500-000060000000}">
      <text>
        <r>
          <rPr>
            <b/>
            <sz val="14"/>
            <color indexed="81"/>
            <rFont val="Tahoma"/>
            <family val="2"/>
          </rPr>
          <t>Adjusted Formula so that it all calculations were driven off column J and not J&amp;K so that this could be copied over with each new TRM update 8/13/2019</t>
        </r>
      </text>
    </comment>
    <comment ref="Z4038" authorId="0" shapeId="0" xr:uid="{00000000-0006-0000-0500-000061000000}">
      <text>
        <r>
          <rPr>
            <b/>
            <sz val="14"/>
            <color indexed="81"/>
            <rFont val="Tahoma"/>
            <family val="2"/>
          </rPr>
          <t>Adjusted Formula so that it all calculations were driven off column J and not J&amp;K so that this could be copied over with each new TRM update 8/13/2019</t>
        </r>
      </text>
    </comment>
    <comment ref="AA4038" authorId="0" shapeId="0" xr:uid="{00000000-0006-0000-0500-000062000000}">
      <text>
        <r>
          <rPr>
            <b/>
            <sz val="14"/>
            <color indexed="81"/>
            <rFont val="Tahoma"/>
            <family val="2"/>
          </rPr>
          <t>Adjusted Formula so that it all calculations were driven off column J and not J&amp;K so that this could be copied over with each new TRM update 8/13/2019</t>
        </r>
      </text>
    </comment>
    <comment ref="AB4038" authorId="0" shapeId="0" xr:uid="{00000000-0006-0000-0500-00006300000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C4038" authorId="0" shapeId="0" xr:uid="{00000000-0006-0000-0500-00006400000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D4038" authorId="0" shapeId="0" xr:uid="{396144DB-1276-4943-A657-80AB24DBBDF1}">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E4038" authorId="0" shapeId="0" xr:uid="{C65D107A-08C2-40E0-A837-67E3FEC4843D}">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4042" authorId="0" shapeId="0" xr:uid="{D3C1AC68-D5DC-47BA-90CF-CECD0945C731}">
      <text>
        <r>
          <rPr>
            <b/>
            <sz val="9"/>
            <color indexed="81"/>
            <rFont val="Tahoma"/>
            <family val="2"/>
          </rPr>
          <t>Author:</t>
        </r>
        <r>
          <rPr>
            <sz val="9"/>
            <color indexed="81"/>
            <rFont val="Tahoma"/>
            <family val="2"/>
          </rPr>
          <t xml:space="preserve">
Adjusted Capacity based upon HF Factor</t>
        </r>
      </text>
    </comment>
    <comment ref="L4046" authorId="0" shapeId="0" xr:uid="{1A4C062D-DE8B-46AB-B21F-34E23F919E4D}">
      <text>
        <r>
          <rPr>
            <b/>
            <sz val="9"/>
            <color indexed="81"/>
            <rFont val="Tahoma"/>
            <family val="2"/>
          </rPr>
          <t>Author:</t>
        </r>
        <r>
          <rPr>
            <sz val="9"/>
            <color indexed="81"/>
            <rFont val="Tahoma"/>
            <family val="2"/>
          </rPr>
          <t xml:space="preserve">
Adjusted Capacity based upon HF Factor</t>
        </r>
      </text>
    </comment>
    <comment ref="L4050" authorId="0" shapeId="0" xr:uid="{067C99B4-D93E-437E-AAD7-DC41CC06B0BA}">
      <text>
        <r>
          <rPr>
            <b/>
            <sz val="9"/>
            <color indexed="81"/>
            <rFont val="Tahoma"/>
            <family val="2"/>
          </rPr>
          <t>Author:</t>
        </r>
        <r>
          <rPr>
            <sz val="9"/>
            <color indexed="81"/>
            <rFont val="Tahoma"/>
            <family val="2"/>
          </rPr>
          <t xml:space="preserve">
Adjusted Capacity based upon HF Factor</t>
        </r>
      </text>
    </comment>
    <comment ref="L4052" authorId="0" shapeId="0" xr:uid="{39E9AA5F-DF04-4DF7-AB23-EB6E63DD8E7A}">
      <text>
        <r>
          <rPr>
            <b/>
            <sz val="9"/>
            <color indexed="81"/>
            <rFont val="Tahoma"/>
            <family val="2"/>
          </rPr>
          <t>Author:</t>
        </r>
        <r>
          <rPr>
            <sz val="9"/>
            <color indexed="81"/>
            <rFont val="Tahoma"/>
            <family val="2"/>
          </rPr>
          <t xml:space="preserve">
Adjusted Capacity based upon HF Factor</t>
        </r>
      </text>
    </comment>
    <comment ref="L4054" authorId="0" shapeId="0" xr:uid="{E2E93B1A-167C-417A-8726-84C99B5E7E1B}">
      <text>
        <r>
          <rPr>
            <b/>
            <sz val="9"/>
            <color indexed="81"/>
            <rFont val="Tahoma"/>
            <family val="2"/>
          </rPr>
          <t>Author:</t>
        </r>
        <r>
          <rPr>
            <sz val="9"/>
            <color indexed="81"/>
            <rFont val="Tahoma"/>
            <family val="2"/>
          </rPr>
          <t xml:space="preserve">
Adjusted Capacity based upon HF Factor</t>
        </r>
      </text>
    </comment>
    <comment ref="L4056" authorId="0" shapeId="0" xr:uid="{4DDC54F9-751D-44B9-8A65-7FEC0B57AAD4}">
      <text>
        <r>
          <rPr>
            <b/>
            <sz val="9"/>
            <color indexed="81"/>
            <rFont val="Tahoma"/>
            <family val="2"/>
          </rPr>
          <t>Author:</t>
        </r>
        <r>
          <rPr>
            <sz val="9"/>
            <color indexed="81"/>
            <rFont val="Tahoma"/>
            <family val="2"/>
          </rPr>
          <t xml:space="preserve">
Adjusted Capacity based upon HF Factor</t>
        </r>
      </text>
    </comment>
    <comment ref="L4060" authorId="0" shapeId="0" xr:uid="{E686CA69-3318-45B0-AC60-C060AFF13B30}">
      <text>
        <r>
          <rPr>
            <b/>
            <sz val="9"/>
            <color indexed="81"/>
            <rFont val="Tahoma"/>
            <family val="2"/>
          </rPr>
          <t>Author:</t>
        </r>
        <r>
          <rPr>
            <sz val="9"/>
            <color indexed="81"/>
            <rFont val="Tahoma"/>
            <family val="2"/>
          </rPr>
          <t xml:space="preserve">
Adjusted Capacity based upon HF Factor</t>
        </r>
      </text>
    </comment>
    <comment ref="L4064" authorId="0" shapeId="0" xr:uid="{6D2CFA62-30CE-4C72-999A-FF374EEA3EDC}">
      <text>
        <r>
          <rPr>
            <b/>
            <sz val="9"/>
            <color indexed="81"/>
            <rFont val="Tahoma"/>
            <family val="2"/>
          </rPr>
          <t>Author:</t>
        </r>
        <r>
          <rPr>
            <sz val="9"/>
            <color indexed="81"/>
            <rFont val="Tahoma"/>
            <family val="2"/>
          </rPr>
          <t xml:space="preserve">
Adjusted Capacity based upon HF Factor</t>
        </r>
      </text>
    </comment>
    <comment ref="L4068" authorId="0" shapeId="0" xr:uid="{32BE7BE5-0DA2-4298-866C-E44432801391}">
      <text>
        <r>
          <rPr>
            <b/>
            <sz val="9"/>
            <color indexed="81"/>
            <rFont val="Tahoma"/>
            <family val="2"/>
          </rPr>
          <t>Author:</t>
        </r>
        <r>
          <rPr>
            <sz val="9"/>
            <color indexed="81"/>
            <rFont val="Tahoma"/>
            <family val="2"/>
          </rPr>
          <t xml:space="preserve">
Adjusted Capacity based upon HF Factor</t>
        </r>
      </text>
    </comment>
    <comment ref="L4070" authorId="0" shapeId="0" xr:uid="{C2F9C63A-4427-4F63-B181-29E9B5258CD0}">
      <text>
        <r>
          <rPr>
            <b/>
            <sz val="9"/>
            <color indexed="81"/>
            <rFont val="Tahoma"/>
            <family val="2"/>
          </rPr>
          <t>Author:</t>
        </r>
        <r>
          <rPr>
            <sz val="9"/>
            <color indexed="81"/>
            <rFont val="Tahoma"/>
            <family val="2"/>
          </rPr>
          <t xml:space="preserve">
Adjusted Capacity based upon HF Factor</t>
        </r>
      </text>
    </comment>
    <comment ref="L4072" authorId="0" shapeId="0" xr:uid="{36A03CBE-61D9-4D69-B5C9-61BCDE8BA9EF}">
      <text>
        <r>
          <rPr>
            <b/>
            <sz val="9"/>
            <color indexed="81"/>
            <rFont val="Tahoma"/>
            <family val="2"/>
          </rPr>
          <t>Author:</t>
        </r>
        <r>
          <rPr>
            <sz val="9"/>
            <color indexed="81"/>
            <rFont val="Tahoma"/>
            <family val="2"/>
          </rPr>
          <t xml:space="preserve">
Adjusted Capacity based upon HF Factor</t>
        </r>
      </text>
    </comment>
    <comment ref="L4074" authorId="0" shapeId="0" xr:uid="{AEB1FBBF-8C3D-4BD4-B8A9-00B44E58F1B6}">
      <text>
        <r>
          <rPr>
            <b/>
            <sz val="9"/>
            <color indexed="81"/>
            <rFont val="Tahoma"/>
            <family val="2"/>
          </rPr>
          <t>Author:</t>
        </r>
        <r>
          <rPr>
            <sz val="9"/>
            <color indexed="81"/>
            <rFont val="Tahoma"/>
            <family val="2"/>
          </rPr>
          <t xml:space="preserve">
Adjusted Capacity based upon HF Factor</t>
        </r>
      </text>
    </comment>
    <comment ref="L4078" authorId="0" shapeId="0" xr:uid="{6E219F17-F4A2-4E67-BF81-06FC8AEDAB78}">
      <text>
        <r>
          <rPr>
            <b/>
            <sz val="9"/>
            <color indexed="81"/>
            <rFont val="Tahoma"/>
            <family val="2"/>
          </rPr>
          <t>Author:</t>
        </r>
        <r>
          <rPr>
            <sz val="9"/>
            <color indexed="81"/>
            <rFont val="Tahoma"/>
            <family val="2"/>
          </rPr>
          <t xml:space="preserve">
Adjusted Capacity based upon HF Factor</t>
        </r>
      </text>
    </comment>
    <comment ref="L4082" authorId="0" shapeId="0" xr:uid="{4BF284E8-4DB9-4B77-A33B-9F48A8CDD89E}">
      <text>
        <r>
          <rPr>
            <b/>
            <sz val="9"/>
            <color indexed="81"/>
            <rFont val="Tahoma"/>
            <family val="2"/>
          </rPr>
          <t>Author:</t>
        </r>
        <r>
          <rPr>
            <sz val="9"/>
            <color indexed="81"/>
            <rFont val="Tahoma"/>
            <family val="2"/>
          </rPr>
          <t xml:space="preserve">
Adjusted Capacity based upon HF Factor</t>
        </r>
      </text>
    </comment>
    <comment ref="L4086" authorId="0" shapeId="0" xr:uid="{F5D38236-B12E-4B0C-A0E4-E644D0A6E5DC}">
      <text>
        <r>
          <rPr>
            <b/>
            <sz val="9"/>
            <color indexed="81"/>
            <rFont val="Tahoma"/>
            <family val="2"/>
          </rPr>
          <t>Author:</t>
        </r>
        <r>
          <rPr>
            <sz val="9"/>
            <color indexed="81"/>
            <rFont val="Tahoma"/>
            <family val="2"/>
          </rPr>
          <t xml:space="preserve">
Adjusted Capacity based upon HF Factor</t>
        </r>
      </text>
    </comment>
    <comment ref="L4090" authorId="0" shapeId="0" xr:uid="{B2B661ED-6D70-4FBC-952F-94CD1E1F265A}">
      <text>
        <r>
          <rPr>
            <b/>
            <sz val="9"/>
            <color indexed="81"/>
            <rFont val="Tahoma"/>
            <family val="2"/>
          </rPr>
          <t>Author:</t>
        </r>
        <r>
          <rPr>
            <sz val="9"/>
            <color indexed="81"/>
            <rFont val="Tahoma"/>
            <family val="2"/>
          </rPr>
          <t xml:space="preserve">
Adjusted Capacity based upon HF Factor</t>
        </r>
      </text>
    </comment>
    <comment ref="L4094" authorId="0" shapeId="0" xr:uid="{ED3CA8F5-BB76-4FB1-98EA-B2D35896DD64}">
      <text>
        <r>
          <rPr>
            <b/>
            <sz val="9"/>
            <color indexed="81"/>
            <rFont val="Tahoma"/>
            <family val="2"/>
          </rPr>
          <t>Author:</t>
        </r>
        <r>
          <rPr>
            <sz val="9"/>
            <color indexed="81"/>
            <rFont val="Tahoma"/>
            <family val="2"/>
          </rPr>
          <t xml:space="preserve">
Adjusted Capacity based upon HF Factor</t>
        </r>
      </text>
    </comment>
    <comment ref="L4098" authorId="0" shapeId="0" xr:uid="{75D4F73C-0C87-49E9-925A-FBBA95251ED7}">
      <text>
        <r>
          <rPr>
            <b/>
            <sz val="9"/>
            <color indexed="81"/>
            <rFont val="Tahoma"/>
            <family val="2"/>
          </rPr>
          <t>Author:</t>
        </r>
        <r>
          <rPr>
            <sz val="9"/>
            <color indexed="81"/>
            <rFont val="Tahoma"/>
            <family val="2"/>
          </rPr>
          <t xml:space="preserve">
Adjusted Capacity based upon HF Factor</t>
        </r>
      </text>
    </comment>
    <comment ref="L4100" authorId="0" shapeId="0" xr:uid="{341E8F2B-467F-410B-998A-A34B31FED21D}">
      <text>
        <r>
          <rPr>
            <b/>
            <sz val="9"/>
            <color indexed="81"/>
            <rFont val="Tahoma"/>
            <family val="2"/>
          </rPr>
          <t>Author:</t>
        </r>
        <r>
          <rPr>
            <sz val="9"/>
            <color indexed="81"/>
            <rFont val="Tahoma"/>
            <family val="2"/>
          </rPr>
          <t xml:space="preserve">
Adjusted Capacity based upon HF Factor</t>
        </r>
      </text>
    </comment>
    <comment ref="L4102" authorId="0" shapeId="0" xr:uid="{206FF56F-F9B1-4C02-B7B0-73AD96F2EA4A}">
      <text>
        <r>
          <rPr>
            <b/>
            <sz val="9"/>
            <color indexed="81"/>
            <rFont val="Tahoma"/>
            <family val="2"/>
          </rPr>
          <t>Author:</t>
        </r>
        <r>
          <rPr>
            <sz val="9"/>
            <color indexed="81"/>
            <rFont val="Tahoma"/>
            <family val="2"/>
          </rPr>
          <t xml:space="preserve">
Adjusted Capacity based upon HF Factor</t>
        </r>
      </text>
    </comment>
    <comment ref="L4104" authorId="0" shapeId="0" xr:uid="{7FF5D800-15EF-427F-9A8F-8CABC637BF9A}">
      <text>
        <r>
          <rPr>
            <b/>
            <sz val="9"/>
            <color indexed="81"/>
            <rFont val="Tahoma"/>
            <family val="2"/>
          </rPr>
          <t>Author:</t>
        </r>
        <r>
          <rPr>
            <sz val="9"/>
            <color indexed="81"/>
            <rFont val="Tahoma"/>
            <family val="2"/>
          </rPr>
          <t xml:space="preserve">
Adjusted Capacity based upon HF Factor</t>
        </r>
      </text>
    </comment>
    <comment ref="L4106" authorId="0" shapeId="0" xr:uid="{5B17EB0B-0243-40D9-B9DC-5DFDC812EE3C}">
      <text>
        <r>
          <rPr>
            <b/>
            <sz val="9"/>
            <color indexed="81"/>
            <rFont val="Tahoma"/>
            <family val="2"/>
          </rPr>
          <t>Author:</t>
        </r>
        <r>
          <rPr>
            <sz val="9"/>
            <color indexed="81"/>
            <rFont val="Tahoma"/>
            <family val="2"/>
          </rPr>
          <t xml:space="preserve">
Adjusted Capacity based upon HF Factor</t>
        </r>
      </text>
    </comment>
    <comment ref="L4110" authorId="0" shapeId="0" xr:uid="{D301A1C5-988B-4B1F-B602-F9D6B7446E93}">
      <text>
        <r>
          <rPr>
            <b/>
            <sz val="9"/>
            <color indexed="81"/>
            <rFont val="Tahoma"/>
            <family val="2"/>
          </rPr>
          <t>Author:</t>
        </r>
        <r>
          <rPr>
            <sz val="9"/>
            <color indexed="81"/>
            <rFont val="Tahoma"/>
            <family val="2"/>
          </rPr>
          <t xml:space="preserve">
Adjusted Capacity based upon HF Factor</t>
        </r>
      </text>
    </comment>
    <comment ref="L4114" authorId="0" shapeId="0" xr:uid="{7144418A-608F-46B0-9AAE-837618566629}">
      <text>
        <r>
          <rPr>
            <b/>
            <sz val="9"/>
            <color indexed="81"/>
            <rFont val="Tahoma"/>
            <family val="2"/>
          </rPr>
          <t>Author:</t>
        </r>
        <r>
          <rPr>
            <sz val="9"/>
            <color indexed="81"/>
            <rFont val="Tahoma"/>
            <family val="2"/>
          </rPr>
          <t xml:space="preserve">
Adjusted Capacity based upon HF Factor</t>
        </r>
      </text>
    </comment>
    <comment ref="L4116" authorId="0" shapeId="0" xr:uid="{1251E391-CD08-45A9-B840-B251C30B319E}">
      <text>
        <r>
          <rPr>
            <b/>
            <sz val="9"/>
            <color indexed="81"/>
            <rFont val="Tahoma"/>
            <family val="2"/>
          </rPr>
          <t>Author:</t>
        </r>
        <r>
          <rPr>
            <sz val="9"/>
            <color indexed="81"/>
            <rFont val="Tahoma"/>
            <family val="2"/>
          </rPr>
          <t xml:space="preserve">
Adjusted Capacity based upon HF Factor</t>
        </r>
      </text>
    </comment>
    <comment ref="L4118" authorId="0" shapeId="0" xr:uid="{7ACCDAEF-08A6-46D7-9142-E7E356DA4276}">
      <text>
        <r>
          <rPr>
            <b/>
            <sz val="9"/>
            <color indexed="81"/>
            <rFont val="Tahoma"/>
            <family val="2"/>
          </rPr>
          <t>Author:</t>
        </r>
        <r>
          <rPr>
            <sz val="9"/>
            <color indexed="81"/>
            <rFont val="Tahoma"/>
            <family val="2"/>
          </rPr>
          <t xml:space="preserve">
Adjusted Capacity based upon HF Factor</t>
        </r>
      </text>
    </comment>
    <comment ref="L4120" authorId="0" shapeId="0" xr:uid="{37F4AABF-C9DA-46EA-88D5-DAADF473E03D}">
      <text>
        <r>
          <rPr>
            <b/>
            <sz val="9"/>
            <color indexed="81"/>
            <rFont val="Tahoma"/>
            <family val="2"/>
          </rPr>
          <t>Author:</t>
        </r>
        <r>
          <rPr>
            <sz val="9"/>
            <color indexed="81"/>
            <rFont val="Tahoma"/>
            <family val="2"/>
          </rPr>
          <t xml:space="preserve">
Adjusted Capacity based upon HF Factor</t>
        </r>
      </text>
    </comment>
    <comment ref="L4122" authorId="0" shapeId="0" xr:uid="{5F6852F9-5027-4ADD-AC6E-DB7D20428FCB}">
      <text>
        <r>
          <rPr>
            <b/>
            <sz val="9"/>
            <color indexed="81"/>
            <rFont val="Tahoma"/>
            <family val="2"/>
          </rPr>
          <t>Author:</t>
        </r>
        <r>
          <rPr>
            <sz val="9"/>
            <color indexed="81"/>
            <rFont val="Tahoma"/>
            <family val="2"/>
          </rPr>
          <t xml:space="preserve">
Adjusted Capacity based upon HF Factor</t>
        </r>
      </text>
    </comment>
    <comment ref="L4124" authorId="0" shapeId="0" xr:uid="{5691C506-9BC6-4205-A9A5-89D40BD5692E}">
      <text>
        <r>
          <rPr>
            <b/>
            <sz val="9"/>
            <color indexed="81"/>
            <rFont val="Tahoma"/>
            <family val="2"/>
          </rPr>
          <t>Author:</t>
        </r>
        <r>
          <rPr>
            <sz val="9"/>
            <color indexed="81"/>
            <rFont val="Tahoma"/>
            <family val="2"/>
          </rPr>
          <t xml:space="preserve">
Adjusted Capacity based upon HF Factor</t>
        </r>
      </text>
    </comment>
    <comment ref="L4126" authorId="0" shapeId="0" xr:uid="{174604AB-402C-4222-9854-559A7245AC76}">
      <text>
        <r>
          <rPr>
            <b/>
            <sz val="9"/>
            <color indexed="81"/>
            <rFont val="Tahoma"/>
            <family val="2"/>
          </rPr>
          <t>Author:</t>
        </r>
        <r>
          <rPr>
            <sz val="9"/>
            <color indexed="81"/>
            <rFont val="Tahoma"/>
            <family val="2"/>
          </rPr>
          <t xml:space="preserve">
Adjusted Capacity based upon HF Factor</t>
        </r>
      </text>
    </comment>
    <comment ref="L4130" authorId="0" shapeId="0" xr:uid="{E184640D-C8B7-48C0-86CB-9C48E7B68F8C}">
      <text>
        <r>
          <rPr>
            <b/>
            <sz val="9"/>
            <color indexed="81"/>
            <rFont val="Tahoma"/>
            <family val="2"/>
          </rPr>
          <t>Author:</t>
        </r>
        <r>
          <rPr>
            <sz val="9"/>
            <color indexed="81"/>
            <rFont val="Tahoma"/>
            <family val="2"/>
          </rPr>
          <t xml:space="preserve">
Adjusted Capacity based upon HF Factor</t>
        </r>
      </text>
    </comment>
    <comment ref="L4134" authorId="0" shapeId="0" xr:uid="{D1888AD2-BB29-4D34-82A8-8E5822766930}">
      <text>
        <r>
          <rPr>
            <b/>
            <sz val="9"/>
            <color indexed="81"/>
            <rFont val="Tahoma"/>
            <family val="2"/>
          </rPr>
          <t>Author:</t>
        </r>
        <r>
          <rPr>
            <sz val="9"/>
            <color indexed="81"/>
            <rFont val="Tahoma"/>
            <family val="2"/>
          </rPr>
          <t xml:space="preserve">
Adjusted Capacity based upon HF Factor</t>
        </r>
      </text>
    </comment>
    <comment ref="L4138" authorId="0" shapeId="0" xr:uid="{CA5DE0D1-0CC6-42DF-A9B0-0DD96E89C0E4}">
      <text>
        <r>
          <rPr>
            <b/>
            <sz val="9"/>
            <color indexed="81"/>
            <rFont val="Tahoma"/>
            <family val="2"/>
          </rPr>
          <t>Author:</t>
        </r>
        <r>
          <rPr>
            <sz val="9"/>
            <color indexed="81"/>
            <rFont val="Tahoma"/>
            <family val="2"/>
          </rPr>
          <t xml:space="preserve">
Adjusted Capacity based upon HF Factor</t>
        </r>
      </text>
    </comment>
    <comment ref="L4142" authorId="0" shapeId="0" xr:uid="{416D85DE-7D7C-4A40-80B9-9FC81C40F1DC}">
      <text>
        <r>
          <rPr>
            <b/>
            <sz val="9"/>
            <color indexed="81"/>
            <rFont val="Tahoma"/>
            <family val="2"/>
          </rPr>
          <t>Author:</t>
        </r>
        <r>
          <rPr>
            <sz val="9"/>
            <color indexed="81"/>
            <rFont val="Tahoma"/>
            <family val="2"/>
          </rPr>
          <t xml:space="preserve">
Adjusted Capacity based upon HF Factor</t>
        </r>
      </text>
    </comment>
    <comment ref="L4144" authorId="0" shapeId="0" xr:uid="{8523C318-43A6-4990-8C60-C6249CCA1EBA}">
      <text>
        <r>
          <rPr>
            <b/>
            <sz val="9"/>
            <color indexed="81"/>
            <rFont val="Tahoma"/>
            <family val="2"/>
          </rPr>
          <t>Author:</t>
        </r>
        <r>
          <rPr>
            <sz val="9"/>
            <color indexed="81"/>
            <rFont val="Tahoma"/>
            <family val="2"/>
          </rPr>
          <t xml:space="preserve">
Adjusted Capacity based upon HF Factor</t>
        </r>
      </text>
    </comment>
    <comment ref="L4146" authorId="0" shapeId="0" xr:uid="{9156A7C1-33BB-48F3-A22B-4B57AE468B7C}">
      <text>
        <r>
          <rPr>
            <b/>
            <sz val="9"/>
            <color indexed="81"/>
            <rFont val="Tahoma"/>
            <family val="2"/>
          </rPr>
          <t>Author:</t>
        </r>
        <r>
          <rPr>
            <sz val="9"/>
            <color indexed="81"/>
            <rFont val="Tahoma"/>
            <family val="2"/>
          </rPr>
          <t xml:space="preserve">
Adjusted Capacity based upon HF Factor</t>
        </r>
      </text>
    </comment>
    <comment ref="L4148" authorId="0" shapeId="0" xr:uid="{C59EE608-9429-49C4-9D99-55739ADDF720}">
      <text>
        <r>
          <rPr>
            <b/>
            <sz val="9"/>
            <color indexed="81"/>
            <rFont val="Tahoma"/>
            <family val="2"/>
          </rPr>
          <t>Author:</t>
        </r>
        <r>
          <rPr>
            <sz val="9"/>
            <color indexed="81"/>
            <rFont val="Tahoma"/>
            <family val="2"/>
          </rPr>
          <t xml:space="preserve">
Adjusted Capacity based upon HF Factor</t>
        </r>
      </text>
    </comment>
    <comment ref="L4150" authorId="0" shapeId="0" xr:uid="{FD63EAC8-CCFF-464B-9D78-C5224BD3F375}">
      <text>
        <r>
          <rPr>
            <b/>
            <sz val="9"/>
            <color indexed="81"/>
            <rFont val="Tahoma"/>
            <family val="2"/>
          </rPr>
          <t>Author:</t>
        </r>
        <r>
          <rPr>
            <sz val="9"/>
            <color indexed="81"/>
            <rFont val="Tahoma"/>
            <family val="2"/>
          </rPr>
          <t xml:space="preserve">
Adjusted Capacity based upon HF Factor</t>
        </r>
      </text>
    </comment>
    <comment ref="L4152" authorId="0" shapeId="0" xr:uid="{22BBD764-3B27-44C4-9B05-5C7F76089DB4}">
      <text>
        <r>
          <rPr>
            <b/>
            <sz val="9"/>
            <color indexed="81"/>
            <rFont val="Tahoma"/>
            <family val="2"/>
          </rPr>
          <t>Author:</t>
        </r>
        <r>
          <rPr>
            <sz val="9"/>
            <color indexed="81"/>
            <rFont val="Tahoma"/>
            <family val="2"/>
          </rPr>
          <t xml:space="preserve">
Adjusted Capacity based upon HF Factor</t>
        </r>
      </text>
    </comment>
    <comment ref="L4154" authorId="0" shapeId="0" xr:uid="{4D9471B3-A260-4F1C-AD18-CC6B9CDA209B}">
      <text>
        <r>
          <rPr>
            <b/>
            <sz val="9"/>
            <color indexed="81"/>
            <rFont val="Tahoma"/>
            <family val="2"/>
          </rPr>
          <t>Author:</t>
        </r>
        <r>
          <rPr>
            <sz val="9"/>
            <color indexed="81"/>
            <rFont val="Tahoma"/>
            <family val="2"/>
          </rPr>
          <t xml:space="preserve">
Adjusted Capacity based upon HF Factor</t>
        </r>
      </text>
    </comment>
    <comment ref="L4156" authorId="0" shapeId="0" xr:uid="{13AC08BA-3D76-42AF-8B61-A81DD8B1E940}">
      <text>
        <r>
          <rPr>
            <b/>
            <sz val="9"/>
            <color indexed="81"/>
            <rFont val="Tahoma"/>
            <family val="2"/>
          </rPr>
          <t>Author:</t>
        </r>
        <r>
          <rPr>
            <sz val="9"/>
            <color indexed="81"/>
            <rFont val="Tahoma"/>
            <family val="2"/>
          </rPr>
          <t xml:space="preserve">
Adjusted Capacity based upon HF Factor</t>
        </r>
      </text>
    </comment>
    <comment ref="L4158" authorId="0" shapeId="0" xr:uid="{8F8CF2B2-4FB6-4057-ACAD-38AFE164C8E9}">
      <text>
        <r>
          <rPr>
            <b/>
            <sz val="9"/>
            <color indexed="81"/>
            <rFont val="Tahoma"/>
            <family val="2"/>
          </rPr>
          <t>Author:</t>
        </r>
        <r>
          <rPr>
            <sz val="9"/>
            <color indexed="81"/>
            <rFont val="Tahoma"/>
            <family val="2"/>
          </rPr>
          <t xml:space="preserve">
Adjusted Capacity based upon HF Factor</t>
        </r>
      </text>
    </comment>
    <comment ref="L4160" authorId="0" shapeId="0" xr:uid="{B7AC179D-3CF1-4A89-BABB-BE079D125200}">
      <text>
        <r>
          <rPr>
            <b/>
            <sz val="9"/>
            <color indexed="81"/>
            <rFont val="Tahoma"/>
            <family val="2"/>
          </rPr>
          <t>Author:</t>
        </r>
        <r>
          <rPr>
            <sz val="9"/>
            <color indexed="81"/>
            <rFont val="Tahoma"/>
            <family val="2"/>
          </rPr>
          <t xml:space="preserve">
Adjusted Capacity based upon HF Factor</t>
        </r>
      </text>
    </comment>
    <comment ref="L4162" authorId="0" shapeId="0" xr:uid="{A33DCFBA-20B0-4A0F-88A5-8DCD893156E9}">
      <text>
        <r>
          <rPr>
            <b/>
            <sz val="9"/>
            <color indexed="81"/>
            <rFont val="Tahoma"/>
            <family val="2"/>
          </rPr>
          <t>Author:</t>
        </r>
        <r>
          <rPr>
            <sz val="9"/>
            <color indexed="81"/>
            <rFont val="Tahoma"/>
            <family val="2"/>
          </rPr>
          <t xml:space="preserve">
Adjusted Capacity based upon HF Factor</t>
        </r>
      </text>
    </comment>
    <comment ref="L4164" authorId="0" shapeId="0" xr:uid="{4AA31300-0C42-47D0-8D71-B2CD41D6841F}">
      <text>
        <r>
          <rPr>
            <b/>
            <sz val="9"/>
            <color indexed="81"/>
            <rFont val="Tahoma"/>
            <family val="2"/>
          </rPr>
          <t>Author:</t>
        </r>
        <r>
          <rPr>
            <sz val="9"/>
            <color indexed="81"/>
            <rFont val="Tahoma"/>
            <family val="2"/>
          </rPr>
          <t xml:space="preserve">
Adjusted Capacity based upon HF Factor</t>
        </r>
      </text>
    </comment>
    <comment ref="L4166" authorId="0" shapeId="0" xr:uid="{DDAD4FFB-C360-4FD4-88F8-D4D1C3E2C83A}">
      <text>
        <r>
          <rPr>
            <b/>
            <sz val="9"/>
            <color indexed="81"/>
            <rFont val="Tahoma"/>
            <family val="2"/>
          </rPr>
          <t>Author:</t>
        </r>
        <r>
          <rPr>
            <sz val="9"/>
            <color indexed="81"/>
            <rFont val="Tahoma"/>
            <family val="2"/>
          </rPr>
          <t xml:space="preserve">
Adjusted Capacity based upon HF Factor</t>
        </r>
      </text>
    </comment>
    <comment ref="L4168" authorId="0" shapeId="0" xr:uid="{857F4CF1-0524-4777-A704-15B09114EF27}">
      <text>
        <r>
          <rPr>
            <b/>
            <sz val="9"/>
            <color indexed="81"/>
            <rFont val="Tahoma"/>
            <family val="2"/>
          </rPr>
          <t>Author:</t>
        </r>
        <r>
          <rPr>
            <sz val="9"/>
            <color indexed="81"/>
            <rFont val="Tahoma"/>
            <family val="2"/>
          </rPr>
          <t xml:space="preserve">
Adjusted Capacity based upon HF Factor</t>
        </r>
      </text>
    </comment>
    <comment ref="L4170" authorId="0" shapeId="0" xr:uid="{52B76436-5777-418A-9612-AFE99C8A59F4}">
      <text>
        <r>
          <rPr>
            <b/>
            <sz val="9"/>
            <color indexed="81"/>
            <rFont val="Tahoma"/>
            <family val="2"/>
          </rPr>
          <t>Author:</t>
        </r>
        <r>
          <rPr>
            <sz val="9"/>
            <color indexed="81"/>
            <rFont val="Tahoma"/>
            <family val="2"/>
          </rPr>
          <t xml:space="preserve">
Adjusted Capacity based upon HF Factor</t>
        </r>
      </text>
    </comment>
    <comment ref="L4172" authorId="0" shapeId="0" xr:uid="{DDF53841-D379-421B-9A07-9CAE9D993549}">
      <text>
        <r>
          <rPr>
            <b/>
            <sz val="9"/>
            <color indexed="81"/>
            <rFont val="Tahoma"/>
            <family val="2"/>
          </rPr>
          <t>Author:</t>
        </r>
        <r>
          <rPr>
            <sz val="9"/>
            <color indexed="81"/>
            <rFont val="Tahoma"/>
            <family val="2"/>
          </rPr>
          <t xml:space="preserve">
Adjusted Capacity based upon HF Factor</t>
        </r>
      </text>
    </comment>
    <comment ref="L4174" authorId="0" shapeId="0" xr:uid="{32555D08-4F01-436A-A7B0-7297EF73D2E6}">
      <text>
        <r>
          <rPr>
            <b/>
            <sz val="9"/>
            <color indexed="81"/>
            <rFont val="Tahoma"/>
            <family val="2"/>
          </rPr>
          <t>Author:</t>
        </r>
        <r>
          <rPr>
            <sz val="9"/>
            <color indexed="81"/>
            <rFont val="Tahoma"/>
            <family val="2"/>
          </rPr>
          <t xml:space="preserve">
Adjusted Capacity based upon HF Factor</t>
        </r>
      </text>
    </comment>
    <comment ref="L4176" authorId="0" shapeId="0" xr:uid="{7B3A2CDB-EC7E-464D-B1A1-4E8B0251E80E}">
      <text>
        <r>
          <rPr>
            <b/>
            <sz val="9"/>
            <color indexed="81"/>
            <rFont val="Tahoma"/>
            <family val="2"/>
          </rPr>
          <t>Author:</t>
        </r>
        <r>
          <rPr>
            <sz val="9"/>
            <color indexed="81"/>
            <rFont val="Tahoma"/>
            <family val="2"/>
          </rPr>
          <t xml:space="preserve">
Adjusted Capacity based upon HF Factor</t>
        </r>
      </text>
    </comment>
    <comment ref="L4178" authorId="0" shapeId="0" xr:uid="{07BA2DF4-C25C-497A-98C3-0099CE56D966}">
      <text>
        <r>
          <rPr>
            <b/>
            <sz val="9"/>
            <color indexed="81"/>
            <rFont val="Tahoma"/>
            <family val="2"/>
          </rPr>
          <t>Author:</t>
        </r>
        <r>
          <rPr>
            <sz val="9"/>
            <color indexed="81"/>
            <rFont val="Tahoma"/>
            <family val="2"/>
          </rPr>
          <t xml:space="preserve">
Adjusted Capacity based upon HF Factor</t>
        </r>
      </text>
    </comment>
    <comment ref="L4180" authorId="0" shapeId="0" xr:uid="{DBFA28DA-4892-4AF3-A7D2-0B9CF28A0084}">
      <text>
        <r>
          <rPr>
            <b/>
            <sz val="9"/>
            <color indexed="81"/>
            <rFont val="Tahoma"/>
            <family val="2"/>
          </rPr>
          <t>Author:</t>
        </r>
        <r>
          <rPr>
            <sz val="9"/>
            <color indexed="81"/>
            <rFont val="Tahoma"/>
            <family val="2"/>
          </rPr>
          <t xml:space="preserve">
Adjusted Capacity based upon HF Factor</t>
        </r>
      </text>
    </comment>
    <comment ref="L4182" authorId="0" shapeId="0" xr:uid="{AAC303AF-61D1-4C68-9C60-CF4242264ACF}">
      <text>
        <r>
          <rPr>
            <b/>
            <sz val="9"/>
            <color indexed="81"/>
            <rFont val="Tahoma"/>
            <family val="2"/>
          </rPr>
          <t>Author:</t>
        </r>
        <r>
          <rPr>
            <sz val="9"/>
            <color indexed="81"/>
            <rFont val="Tahoma"/>
            <family val="2"/>
          </rPr>
          <t xml:space="preserve">
Adjusted Capacity based upon HF Factor</t>
        </r>
      </text>
    </comment>
    <comment ref="L4186" authorId="0" shapeId="0" xr:uid="{BE1A5A77-3777-49A2-9DA3-4C3E68E146C8}">
      <text>
        <r>
          <rPr>
            <b/>
            <sz val="9"/>
            <color indexed="81"/>
            <rFont val="Tahoma"/>
            <family val="2"/>
          </rPr>
          <t>Author:</t>
        </r>
        <r>
          <rPr>
            <sz val="9"/>
            <color indexed="81"/>
            <rFont val="Tahoma"/>
            <family val="2"/>
          </rPr>
          <t xml:space="preserve">
Adjusted Capacity based upon HF Factor</t>
        </r>
      </text>
    </comment>
    <comment ref="L4190" authorId="0" shapeId="0" xr:uid="{9EABC60B-E45A-4B36-8B04-3EB83C71649A}">
      <text>
        <r>
          <rPr>
            <b/>
            <sz val="9"/>
            <color indexed="81"/>
            <rFont val="Tahoma"/>
            <family val="2"/>
          </rPr>
          <t>Author:</t>
        </r>
        <r>
          <rPr>
            <sz val="9"/>
            <color indexed="81"/>
            <rFont val="Tahoma"/>
            <family val="2"/>
          </rPr>
          <t xml:space="preserve">
Adjusted Capacity based upon HF Factor</t>
        </r>
      </text>
    </comment>
    <comment ref="L4192" authorId="0" shapeId="0" xr:uid="{926D01FB-A5A4-4BF1-8719-72B45ABAE103}">
      <text>
        <r>
          <rPr>
            <b/>
            <sz val="9"/>
            <color indexed="81"/>
            <rFont val="Tahoma"/>
            <family val="2"/>
          </rPr>
          <t>Author:</t>
        </r>
        <r>
          <rPr>
            <sz val="9"/>
            <color indexed="81"/>
            <rFont val="Tahoma"/>
            <family val="2"/>
          </rPr>
          <t xml:space="preserve">
Adjusted Capacity based upon HF Factor</t>
        </r>
      </text>
    </comment>
    <comment ref="L4194" authorId="0" shapeId="0" xr:uid="{DE488C95-EEB4-425D-A042-7DCC48BF9615}">
      <text>
        <r>
          <rPr>
            <b/>
            <sz val="9"/>
            <color indexed="81"/>
            <rFont val="Tahoma"/>
            <family val="2"/>
          </rPr>
          <t>Author:</t>
        </r>
        <r>
          <rPr>
            <sz val="9"/>
            <color indexed="81"/>
            <rFont val="Tahoma"/>
            <family val="2"/>
          </rPr>
          <t xml:space="preserve">
Adjusted Capacity based upon HF Factor</t>
        </r>
      </text>
    </comment>
    <comment ref="L4196" authorId="0" shapeId="0" xr:uid="{087FD4AA-470F-4BC1-B126-3FE6E709146F}">
      <text>
        <r>
          <rPr>
            <b/>
            <sz val="9"/>
            <color indexed="81"/>
            <rFont val="Tahoma"/>
            <family val="2"/>
          </rPr>
          <t>Author:</t>
        </r>
        <r>
          <rPr>
            <sz val="9"/>
            <color indexed="81"/>
            <rFont val="Tahoma"/>
            <family val="2"/>
          </rPr>
          <t xml:space="preserve">
Adjusted Capacity based upon HF Factor</t>
        </r>
      </text>
    </comment>
    <comment ref="L4198" authorId="0" shapeId="0" xr:uid="{4822837E-B937-415C-A49C-4FCF6E046E3B}">
      <text>
        <r>
          <rPr>
            <b/>
            <sz val="9"/>
            <color indexed="81"/>
            <rFont val="Tahoma"/>
            <family val="2"/>
          </rPr>
          <t>Author:</t>
        </r>
        <r>
          <rPr>
            <sz val="9"/>
            <color indexed="81"/>
            <rFont val="Tahoma"/>
            <family val="2"/>
          </rPr>
          <t xml:space="preserve">
Adjusted Capacity based upon HF Factor</t>
        </r>
      </text>
    </comment>
    <comment ref="L4200" authorId="0" shapeId="0" xr:uid="{CCF9303B-B4F8-4B9D-8137-538FAC3F5E58}">
      <text>
        <r>
          <rPr>
            <b/>
            <sz val="9"/>
            <color indexed="81"/>
            <rFont val="Tahoma"/>
            <family val="2"/>
          </rPr>
          <t>Author:</t>
        </r>
        <r>
          <rPr>
            <sz val="9"/>
            <color indexed="81"/>
            <rFont val="Tahoma"/>
            <family val="2"/>
          </rPr>
          <t xml:space="preserve">
Adjusted Capacity based upon HF Factor</t>
        </r>
      </text>
    </comment>
    <comment ref="L4202" authorId="0" shapeId="0" xr:uid="{39AB86F9-B6C4-4571-AF02-95B9C681BACE}">
      <text>
        <r>
          <rPr>
            <b/>
            <sz val="9"/>
            <color indexed="81"/>
            <rFont val="Tahoma"/>
            <family val="2"/>
          </rPr>
          <t>Author:</t>
        </r>
        <r>
          <rPr>
            <sz val="9"/>
            <color indexed="81"/>
            <rFont val="Tahoma"/>
            <family val="2"/>
          </rPr>
          <t xml:space="preserve">
Adjusted Capacity based upon HF Factor</t>
        </r>
      </text>
    </comment>
    <comment ref="L4206" authorId="0" shapeId="0" xr:uid="{F780C312-3C44-4D12-B2D6-55E60455CAAB}">
      <text>
        <r>
          <rPr>
            <b/>
            <sz val="9"/>
            <color indexed="81"/>
            <rFont val="Tahoma"/>
            <family val="2"/>
          </rPr>
          <t>Author:</t>
        </r>
        <r>
          <rPr>
            <sz val="9"/>
            <color indexed="81"/>
            <rFont val="Tahoma"/>
            <family val="2"/>
          </rPr>
          <t xml:space="preserve">
Adjusted Capacity based upon HF Factor</t>
        </r>
      </text>
    </comment>
    <comment ref="L4210" authorId="0" shapeId="0" xr:uid="{2196F454-681A-4989-AC1C-3A1BB9975884}">
      <text>
        <r>
          <rPr>
            <b/>
            <sz val="9"/>
            <color indexed="81"/>
            <rFont val="Tahoma"/>
            <family val="2"/>
          </rPr>
          <t>Author:</t>
        </r>
        <r>
          <rPr>
            <sz val="9"/>
            <color indexed="81"/>
            <rFont val="Tahoma"/>
            <family val="2"/>
          </rPr>
          <t xml:space="preserve">
Adjusted Capacity based upon HF Factor</t>
        </r>
      </text>
    </comment>
    <comment ref="L4214" authorId="0" shapeId="0" xr:uid="{3C9851A6-5208-49D0-B820-8AE3E2CB49D1}">
      <text>
        <r>
          <rPr>
            <b/>
            <sz val="9"/>
            <color indexed="81"/>
            <rFont val="Tahoma"/>
            <family val="2"/>
          </rPr>
          <t>Author:</t>
        </r>
        <r>
          <rPr>
            <sz val="9"/>
            <color indexed="81"/>
            <rFont val="Tahoma"/>
            <family val="2"/>
          </rPr>
          <t xml:space="preserve">
Adjusted Capacity based upon HF Factor</t>
        </r>
      </text>
    </comment>
    <comment ref="L4218" authorId="0" shapeId="0" xr:uid="{6176954F-0AA1-4D95-B447-8163CFC9DD5B}">
      <text>
        <r>
          <rPr>
            <b/>
            <sz val="9"/>
            <color indexed="81"/>
            <rFont val="Tahoma"/>
            <family val="2"/>
          </rPr>
          <t>Author:</t>
        </r>
        <r>
          <rPr>
            <sz val="9"/>
            <color indexed="81"/>
            <rFont val="Tahoma"/>
            <family val="2"/>
          </rPr>
          <t xml:space="preserve">
Adjusted Capacity based upon HF Factor</t>
        </r>
      </text>
    </comment>
    <comment ref="L4222" authorId="0" shapeId="0" xr:uid="{2F81BFE9-B2F4-46B7-BE99-E8B85D7C42C2}">
      <text>
        <r>
          <rPr>
            <b/>
            <sz val="9"/>
            <color indexed="81"/>
            <rFont val="Tahoma"/>
            <family val="2"/>
          </rPr>
          <t>Author:</t>
        </r>
        <r>
          <rPr>
            <sz val="9"/>
            <color indexed="81"/>
            <rFont val="Tahoma"/>
            <family val="2"/>
          </rPr>
          <t xml:space="preserve">
Adjusted Capacity based upon HF Factor</t>
        </r>
      </text>
    </comment>
    <comment ref="L4226" authorId="0" shapeId="0" xr:uid="{473FD859-15C3-47A6-87EE-4A5FC4D47D99}">
      <text>
        <r>
          <rPr>
            <b/>
            <sz val="9"/>
            <color indexed="81"/>
            <rFont val="Tahoma"/>
            <family val="2"/>
          </rPr>
          <t>Author:</t>
        </r>
        <r>
          <rPr>
            <sz val="9"/>
            <color indexed="81"/>
            <rFont val="Tahoma"/>
            <family val="2"/>
          </rPr>
          <t xml:space="preserve">
Adjusted Capacity based upon HF Factor</t>
        </r>
      </text>
    </comment>
    <comment ref="L4228" authorId="0" shapeId="0" xr:uid="{EC2BDD14-9998-4980-B836-898F131E4E31}">
      <text>
        <r>
          <rPr>
            <b/>
            <sz val="9"/>
            <color indexed="81"/>
            <rFont val="Tahoma"/>
            <family val="2"/>
          </rPr>
          <t>Author:</t>
        </r>
        <r>
          <rPr>
            <sz val="9"/>
            <color indexed="81"/>
            <rFont val="Tahoma"/>
            <family val="2"/>
          </rPr>
          <t xml:space="preserve">
Adjusted Capacity based upon HF Factor</t>
        </r>
      </text>
    </comment>
    <comment ref="L4230" authorId="0" shapeId="0" xr:uid="{EB48B997-7A16-4F48-B9CC-80BF891EF232}">
      <text>
        <r>
          <rPr>
            <b/>
            <sz val="9"/>
            <color indexed="81"/>
            <rFont val="Tahoma"/>
            <family val="2"/>
          </rPr>
          <t>Author:</t>
        </r>
        <r>
          <rPr>
            <sz val="9"/>
            <color indexed="81"/>
            <rFont val="Tahoma"/>
            <family val="2"/>
          </rPr>
          <t xml:space="preserve">
Adjusted Capacity based upon HF Factor</t>
        </r>
      </text>
    </comment>
    <comment ref="L4232" authorId="0" shapeId="0" xr:uid="{DAD34702-BF7A-42D4-9834-D289CABCE32B}">
      <text>
        <r>
          <rPr>
            <b/>
            <sz val="9"/>
            <color indexed="81"/>
            <rFont val="Tahoma"/>
            <family val="2"/>
          </rPr>
          <t>Author:</t>
        </r>
        <r>
          <rPr>
            <sz val="9"/>
            <color indexed="81"/>
            <rFont val="Tahoma"/>
            <family val="2"/>
          </rPr>
          <t xml:space="preserve">
Adjusted Capacity based upon HF Factor</t>
        </r>
      </text>
    </comment>
    <comment ref="L4234" authorId="0" shapeId="0" xr:uid="{D33D855A-9085-471C-9B62-3889D322ACD6}">
      <text>
        <r>
          <rPr>
            <b/>
            <sz val="9"/>
            <color indexed="81"/>
            <rFont val="Tahoma"/>
            <family val="2"/>
          </rPr>
          <t>Author:</t>
        </r>
        <r>
          <rPr>
            <sz val="9"/>
            <color indexed="81"/>
            <rFont val="Tahoma"/>
            <family val="2"/>
          </rPr>
          <t xml:space="preserve">
Adjusted Capacity based upon HF Factor</t>
        </r>
      </text>
    </comment>
    <comment ref="L4236" authorId="0" shapeId="0" xr:uid="{D8903436-2B2B-41C0-A6F5-0D68F6901601}">
      <text>
        <r>
          <rPr>
            <b/>
            <sz val="9"/>
            <color indexed="81"/>
            <rFont val="Tahoma"/>
            <family val="2"/>
          </rPr>
          <t>Author:</t>
        </r>
        <r>
          <rPr>
            <sz val="9"/>
            <color indexed="81"/>
            <rFont val="Tahoma"/>
            <family val="2"/>
          </rPr>
          <t xml:space="preserve">
Adjusted Capacity based upon HF Factor</t>
        </r>
      </text>
    </comment>
    <comment ref="L4238" authorId="0" shapeId="0" xr:uid="{FF7F1618-14FC-4FD2-B6E7-21BA8C7D7051}">
      <text>
        <r>
          <rPr>
            <b/>
            <sz val="9"/>
            <color indexed="81"/>
            <rFont val="Tahoma"/>
            <family val="2"/>
          </rPr>
          <t>Author:</t>
        </r>
        <r>
          <rPr>
            <sz val="9"/>
            <color indexed="81"/>
            <rFont val="Tahoma"/>
            <family val="2"/>
          </rPr>
          <t xml:space="preserve">
Adjusted Capacity based upon HF Factor</t>
        </r>
      </text>
    </comment>
    <comment ref="L4242" authorId="0" shapeId="0" xr:uid="{73DD1CC6-37C4-4EE8-8C30-AB44E3A6F044}">
      <text>
        <r>
          <rPr>
            <b/>
            <sz val="9"/>
            <color indexed="81"/>
            <rFont val="Tahoma"/>
            <family val="2"/>
          </rPr>
          <t>Author:</t>
        </r>
        <r>
          <rPr>
            <sz val="9"/>
            <color indexed="81"/>
            <rFont val="Tahoma"/>
            <family val="2"/>
          </rPr>
          <t xml:space="preserve">
Adjusted Capacity based upon HF Factor</t>
        </r>
      </text>
    </comment>
    <comment ref="L4244" authorId="0" shapeId="0" xr:uid="{2E4F4EC7-7E14-48CF-807D-7DC0D269E113}">
      <text>
        <r>
          <rPr>
            <b/>
            <sz val="9"/>
            <color indexed="81"/>
            <rFont val="Tahoma"/>
            <family val="2"/>
          </rPr>
          <t>Author:</t>
        </r>
        <r>
          <rPr>
            <sz val="9"/>
            <color indexed="81"/>
            <rFont val="Tahoma"/>
            <family val="2"/>
          </rPr>
          <t xml:space="preserve">
Adjusted Capacity based upon HF Factor</t>
        </r>
      </text>
    </comment>
    <comment ref="L4248" authorId="0" shapeId="0" xr:uid="{544558C6-44DF-4C5D-AD31-391AF36301BA}">
      <text>
        <r>
          <rPr>
            <b/>
            <sz val="9"/>
            <color indexed="81"/>
            <rFont val="Tahoma"/>
            <family val="2"/>
          </rPr>
          <t>Author:</t>
        </r>
        <r>
          <rPr>
            <sz val="9"/>
            <color indexed="81"/>
            <rFont val="Tahoma"/>
            <family val="2"/>
          </rPr>
          <t xml:space="preserve">
Adjusted Capacity based upon HF Factor</t>
        </r>
      </text>
    </comment>
    <comment ref="L4250" authorId="0" shapeId="0" xr:uid="{92833482-CC01-4D8E-A9F3-65629E16F53A}">
      <text>
        <r>
          <rPr>
            <b/>
            <sz val="9"/>
            <color indexed="81"/>
            <rFont val="Tahoma"/>
            <family val="2"/>
          </rPr>
          <t>Author:</t>
        </r>
        <r>
          <rPr>
            <sz val="9"/>
            <color indexed="81"/>
            <rFont val="Tahoma"/>
            <family val="2"/>
          </rPr>
          <t xml:space="preserve">
Adjusted Capacity based upon HF Factor</t>
        </r>
      </text>
    </comment>
    <comment ref="L4254" authorId="0" shapeId="0" xr:uid="{B1C655CE-58EB-46C0-A9C6-09861A020407}">
      <text>
        <r>
          <rPr>
            <b/>
            <sz val="9"/>
            <color indexed="81"/>
            <rFont val="Tahoma"/>
            <family val="2"/>
          </rPr>
          <t>Author:</t>
        </r>
        <r>
          <rPr>
            <sz val="9"/>
            <color indexed="81"/>
            <rFont val="Tahoma"/>
            <family val="2"/>
          </rPr>
          <t xml:space="preserve">
Adjusted Capacity based upon HF Factor</t>
        </r>
      </text>
    </comment>
    <comment ref="L4256" authorId="0" shapeId="0" xr:uid="{4720BF11-B8C1-4222-A781-822CFFE646A8}">
      <text>
        <r>
          <rPr>
            <b/>
            <sz val="9"/>
            <color indexed="81"/>
            <rFont val="Tahoma"/>
            <family val="2"/>
          </rPr>
          <t>Author:</t>
        </r>
        <r>
          <rPr>
            <sz val="9"/>
            <color indexed="81"/>
            <rFont val="Tahoma"/>
            <family val="2"/>
          </rPr>
          <t xml:space="preserve">
Adjusted Capacity based upon HF Factor</t>
        </r>
      </text>
    </comment>
    <comment ref="L4260" authorId="0" shapeId="0" xr:uid="{2F2F0EFF-F43D-4AEB-A851-266C6DC1760A}">
      <text>
        <r>
          <rPr>
            <b/>
            <sz val="9"/>
            <color indexed="81"/>
            <rFont val="Tahoma"/>
            <family val="2"/>
          </rPr>
          <t>Author:</t>
        </r>
        <r>
          <rPr>
            <sz val="9"/>
            <color indexed="81"/>
            <rFont val="Tahoma"/>
            <family val="2"/>
          </rPr>
          <t xml:space="preserve">
Adjusted Capacity based upon HF Factor</t>
        </r>
      </text>
    </comment>
    <comment ref="L4264" authorId="0" shapeId="0" xr:uid="{24EC4CDB-AE4A-4455-BCEE-9621DAFAE036}">
      <text>
        <r>
          <rPr>
            <b/>
            <sz val="9"/>
            <color indexed="81"/>
            <rFont val="Tahoma"/>
            <family val="2"/>
          </rPr>
          <t>Author:</t>
        </r>
        <r>
          <rPr>
            <sz val="9"/>
            <color indexed="81"/>
            <rFont val="Tahoma"/>
            <family val="2"/>
          </rPr>
          <t xml:space="preserve">
Adjusted Capacity based upon HF Factor</t>
        </r>
      </text>
    </comment>
    <comment ref="L4268" authorId="0" shapeId="0" xr:uid="{6CE4001A-CA69-4747-B6F6-4476F4DA30AB}">
      <text>
        <r>
          <rPr>
            <b/>
            <sz val="9"/>
            <color indexed="81"/>
            <rFont val="Tahoma"/>
            <family val="2"/>
          </rPr>
          <t>Author:</t>
        </r>
        <r>
          <rPr>
            <sz val="9"/>
            <color indexed="81"/>
            <rFont val="Tahoma"/>
            <family val="2"/>
          </rPr>
          <t xml:space="preserve">
Adjusted Capacity based upon HF Factor</t>
        </r>
      </text>
    </comment>
    <comment ref="L4272" authorId="0" shapeId="0" xr:uid="{C79387A6-26F3-4AC3-88A9-2020861AA05E}">
      <text>
        <r>
          <rPr>
            <b/>
            <sz val="9"/>
            <color indexed="81"/>
            <rFont val="Tahoma"/>
            <family val="2"/>
          </rPr>
          <t>Author:</t>
        </r>
        <r>
          <rPr>
            <sz val="9"/>
            <color indexed="81"/>
            <rFont val="Tahoma"/>
            <family val="2"/>
          </rPr>
          <t xml:space="preserve">
Adjusted Capacity based upon HF Factor</t>
        </r>
      </text>
    </comment>
    <comment ref="L4276" authorId="0" shapeId="0" xr:uid="{3EF749AF-53E2-4250-AF5B-F5B5CAB5E142}">
      <text>
        <r>
          <rPr>
            <b/>
            <sz val="9"/>
            <color indexed="81"/>
            <rFont val="Tahoma"/>
            <family val="2"/>
          </rPr>
          <t>Author:</t>
        </r>
        <r>
          <rPr>
            <sz val="9"/>
            <color indexed="81"/>
            <rFont val="Tahoma"/>
            <family val="2"/>
          </rPr>
          <t xml:space="preserve">
Adjusted Capacity based upon HF Factor</t>
        </r>
      </text>
    </comment>
    <comment ref="L4280" authorId="0" shapeId="0" xr:uid="{B372CA0C-1B1D-466B-BFC3-084E2B7E4B2D}">
      <text>
        <r>
          <rPr>
            <b/>
            <sz val="9"/>
            <color indexed="81"/>
            <rFont val="Tahoma"/>
            <family val="2"/>
          </rPr>
          <t>Author:</t>
        </r>
        <r>
          <rPr>
            <sz val="9"/>
            <color indexed="81"/>
            <rFont val="Tahoma"/>
            <family val="2"/>
          </rPr>
          <t xml:space="preserve">
Adjusted Capacity based upon HF Factor</t>
        </r>
      </text>
    </comment>
    <comment ref="X4280" authorId="0" shapeId="0" xr:uid="{00000000-0006-0000-0500-0000B5000000}">
      <text>
        <r>
          <rPr>
            <b/>
            <sz val="14"/>
            <color indexed="81"/>
            <rFont val="Tahoma"/>
            <family val="2"/>
          </rPr>
          <t xml:space="preserve">These highlighted "Green" include a corrections to the forumula. It was previously pointing to an incorrect cell reference
</t>
        </r>
      </text>
    </comment>
    <comment ref="L4284" authorId="0" shapeId="0" xr:uid="{C58C798E-42F8-474D-848A-D373B9FDF10A}">
      <text>
        <r>
          <rPr>
            <b/>
            <sz val="9"/>
            <color indexed="81"/>
            <rFont val="Tahoma"/>
            <family val="2"/>
          </rPr>
          <t>Author:</t>
        </r>
        <r>
          <rPr>
            <sz val="9"/>
            <color indexed="81"/>
            <rFont val="Tahoma"/>
            <family val="2"/>
          </rPr>
          <t xml:space="preserve">
Adjusted Capacity based upon HF Factor</t>
        </r>
      </text>
    </comment>
    <comment ref="L4288" authorId="0" shapeId="0" xr:uid="{58076026-7FA2-4C19-A520-1277FC20D73E}">
      <text>
        <r>
          <rPr>
            <b/>
            <sz val="9"/>
            <color indexed="81"/>
            <rFont val="Tahoma"/>
            <family val="2"/>
          </rPr>
          <t>Author:</t>
        </r>
        <r>
          <rPr>
            <sz val="9"/>
            <color indexed="81"/>
            <rFont val="Tahoma"/>
            <family val="2"/>
          </rPr>
          <t xml:space="preserve">
Adjusted Capacity based upon HF Factor</t>
        </r>
      </text>
    </comment>
    <comment ref="L4292" authorId="0" shapeId="0" xr:uid="{80F27549-EDAC-4C70-A7F7-B217FC1A9E84}">
      <text>
        <r>
          <rPr>
            <b/>
            <sz val="9"/>
            <color indexed="81"/>
            <rFont val="Tahoma"/>
            <family val="2"/>
          </rPr>
          <t>Author:</t>
        </r>
        <r>
          <rPr>
            <sz val="9"/>
            <color indexed="81"/>
            <rFont val="Tahoma"/>
            <family val="2"/>
          </rPr>
          <t xml:space="preserve">
Adjusted Capacity based upon HF Factor</t>
        </r>
      </text>
    </comment>
    <comment ref="L4296" authorId="0" shapeId="0" xr:uid="{5A572F74-59CD-435F-92ED-806D0CACDB14}">
      <text>
        <r>
          <rPr>
            <b/>
            <sz val="9"/>
            <color indexed="81"/>
            <rFont val="Tahoma"/>
            <family val="2"/>
          </rPr>
          <t>Author:</t>
        </r>
        <r>
          <rPr>
            <sz val="9"/>
            <color indexed="81"/>
            <rFont val="Tahoma"/>
            <family val="2"/>
          </rPr>
          <t xml:space="preserve">
Adjusted Capacity based upon HF Factor</t>
        </r>
      </text>
    </comment>
    <comment ref="L4300" authorId="0" shapeId="0" xr:uid="{7754A737-1F07-4E02-9C71-87160EC2CE95}">
      <text>
        <r>
          <rPr>
            <b/>
            <sz val="9"/>
            <color indexed="81"/>
            <rFont val="Tahoma"/>
            <family val="2"/>
          </rPr>
          <t>Author:</t>
        </r>
        <r>
          <rPr>
            <sz val="9"/>
            <color indexed="81"/>
            <rFont val="Tahoma"/>
            <family val="2"/>
          </rPr>
          <t xml:space="preserve">
Adjusted Capacity based upon HF Factor</t>
        </r>
      </text>
    </comment>
    <comment ref="L4304" authorId="0" shapeId="0" xr:uid="{BFA1D80C-10B5-48C5-A3EC-A512E31F3C67}">
      <text>
        <r>
          <rPr>
            <b/>
            <sz val="9"/>
            <color indexed="81"/>
            <rFont val="Tahoma"/>
            <family val="2"/>
          </rPr>
          <t>Author:</t>
        </r>
        <r>
          <rPr>
            <sz val="9"/>
            <color indexed="81"/>
            <rFont val="Tahoma"/>
            <family val="2"/>
          </rPr>
          <t xml:space="preserve">
Adjusted Capacity based upon HF Factor</t>
        </r>
      </text>
    </comment>
    <comment ref="L4308" authorId="0" shapeId="0" xr:uid="{6E8B9E7F-B0B9-453B-9728-421AD74AD72D}">
      <text>
        <r>
          <rPr>
            <b/>
            <sz val="9"/>
            <color indexed="81"/>
            <rFont val="Tahoma"/>
            <family val="2"/>
          </rPr>
          <t>Author:</t>
        </r>
        <r>
          <rPr>
            <sz val="9"/>
            <color indexed="81"/>
            <rFont val="Tahoma"/>
            <family val="2"/>
          </rPr>
          <t xml:space="preserve">
Adjusted Capacity based upon HF Factor</t>
        </r>
      </text>
    </comment>
    <comment ref="L4312" authorId="0" shapeId="0" xr:uid="{3EA0D4E8-220B-4968-AD17-7C4E41026D47}">
      <text>
        <r>
          <rPr>
            <b/>
            <sz val="9"/>
            <color indexed="81"/>
            <rFont val="Tahoma"/>
            <family val="2"/>
          </rPr>
          <t>Author:</t>
        </r>
        <r>
          <rPr>
            <sz val="9"/>
            <color indexed="81"/>
            <rFont val="Tahoma"/>
            <family val="2"/>
          </rPr>
          <t xml:space="preserve">
Adjusted Capacity based upon HF Factor</t>
        </r>
      </text>
    </comment>
    <comment ref="L4316" authorId="0" shapeId="0" xr:uid="{01B08A05-D7C1-4E56-9C01-3A0A25D47C6B}">
      <text>
        <r>
          <rPr>
            <b/>
            <sz val="9"/>
            <color indexed="81"/>
            <rFont val="Tahoma"/>
            <family val="2"/>
          </rPr>
          <t>Author:</t>
        </r>
        <r>
          <rPr>
            <sz val="9"/>
            <color indexed="81"/>
            <rFont val="Tahoma"/>
            <family val="2"/>
          </rPr>
          <t xml:space="preserve">
Adjusted Capacity based upon HF Factor</t>
        </r>
      </text>
    </comment>
    <comment ref="L4320" authorId="0" shapeId="0" xr:uid="{F1B00362-C5B5-457F-BC2B-F1C41159162D}">
      <text>
        <r>
          <rPr>
            <b/>
            <sz val="9"/>
            <color indexed="81"/>
            <rFont val="Tahoma"/>
            <family val="2"/>
          </rPr>
          <t>Author:</t>
        </r>
        <r>
          <rPr>
            <sz val="9"/>
            <color indexed="81"/>
            <rFont val="Tahoma"/>
            <family val="2"/>
          </rPr>
          <t xml:space="preserve">
Adjusted Capacity based upon HF Factor</t>
        </r>
      </text>
    </comment>
    <comment ref="L4324" authorId="0" shapeId="0" xr:uid="{A558BE2E-1436-4985-900F-595E291EDED0}">
      <text>
        <r>
          <rPr>
            <b/>
            <sz val="9"/>
            <color indexed="81"/>
            <rFont val="Tahoma"/>
            <family val="2"/>
          </rPr>
          <t>Author:</t>
        </r>
        <r>
          <rPr>
            <sz val="9"/>
            <color indexed="81"/>
            <rFont val="Tahoma"/>
            <family val="2"/>
          </rPr>
          <t xml:space="preserve">
Adjusted Capacity based upon HF Factor</t>
        </r>
      </text>
    </comment>
    <comment ref="L4328" authorId="0" shapeId="0" xr:uid="{2BD271B7-2BC3-4ED8-8813-815D9B26A1F8}">
      <text>
        <r>
          <rPr>
            <b/>
            <sz val="9"/>
            <color indexed="81"/>
            <rFont val="Tahoma"/>
            <family val="2"/>
          </rPr>
          <t>Author:</t>
        </r>
        <r>
          <rPr>
            <sz val="9"/>
            <color indexed="81"/>
            <rFont val="Tahoma"/>
            <family val="2"/>
          </rPr>
          <t xml:space="preserve">
Adjusted Capacity based upon HF Factor</t>
        </r>
      </text>
    </comment>
    <comment ref="L4332" authorId="0" shapeId="0" xr:uid="{3253E991-55BC-4DB3-8C67-4A3E156E4815}">
      <text>
        <r>
          <rPr>
            <b/>
            <sz val="9"/>
            <color indexed="81"/>
            <rFont val="Tahoma"/>
            <family val="2"/>
          </rPr>
          <t>Author:</t>
        </r>
        <r>
          <rPr>
            <sz val="9"/>
            <color indexed="81"/>
            <rFont val="Tahoma"/>
            <family val="2"/>
          </rPr>
          <t xml:space="preserve">
Adjusted Capacity based upon HF Factor</t>
        </r>
      </text>
    </comment>
    <comment ref="L4336" authorId="0" shapeId="0" xr:uid="{9C524E30-A49E-4223-AEFA-9153CF60F9A7}">
      <text>
        <r>
          <rPr>
            <b/>
            <sz val="9"/>
            <color indexed="81"/>
            <rFont val="Tahoma"/>
            <family val="2"/>
          </rPr>
          <t>Author:</t>
        </r>
        <r>
          <rPr>
            <sz val="9"/>
            <color indexed="81"/>
            <rFont val="Tahoma"/>
            <family val="2"/>
          </rPr>
          <t xml:space="preserve">
Adjusted Capacity based upon HF Factor</t>
        </r>
      </text>
    </comment>
    <comment ref="L4340" authorId="0" shapeId="0" xr:uid="{151B8B9D-9297-4A63-B79D-C776808DC667}">
      <text>
        <r>
          <rPr>
            <b/>
            <sz val="9"/>
            <color indexed="81"/>
            <rFont val="Tahoma"/>
            <family val="2"/>
          </rPr>
          <t>Author:</t>
        </r>
        <r>
          <rPr>
            <sz val="9"/>
            <color indexed="81"/>
            <rFont val="Tahoma"/>
            <family val="2"/>
          </rPr>
          <t xml:space="preserve">
Adjusted Capacity based upon HF Factor</t>
        </r>
      </text>
    </comment>
    <comment ref="L4344" authorId="0" shapeId="0" xr:uid="{26026530-569D-44DB-93E7-9CB24B95A76E}">
      <text>
        <r>
          <rPr>
            <b/>
            <sz val="9"/>
            <color indexed="81"/>
            <rFont val="Tahoma"/>
            <family val="2"/>
          </rPr>
          <t>Author:</t>
        </r>
        <r>
          <rPr>
            <sz val="9"/>
            <color indexed="81"/>
            <rFont val="Tahoma"/>
            <family val="2"/>
          </rPr>
          <t xml:space="preserve">
Adjusted Capacity based upon HF Factor</t>
        </r>
      </text>
    </comment>
    <comment ref="L4348" authorId="0" shapeId="0" xr:uid="{685C48A7-26E6-42AC-9D42-2302FCB5446F}">
      <text>
        <r>
          <rPr>
            <b/>
            <sz val="9"/>
            <color indexed="81"/>
            <rFont val="Tahoma"/>
            <family val="2"/>
          </rPr>
          <t>Author:</t>
        </r>
        <r>
          <rPr>
            <sz val="9"/>
            <color indexed="81"/>
            <rFont val="Tahoma"/>
            <family val="2"/>
          </rPr>
          <t xml:space="preserve">
Adjusted Capacity based upon HF Factor</t>
        </r>
      </text>
    </comment>
    <comment ref="L4352" authorId="0" shapeId="0" xr:uid="{3F159B5B-C105-4972-B888-A2884D2CAF50}">
      <text>
        <r>
          <rPr>
            <b/>
            <sz val="9"/>
            <color indexed="81"/>
            <rFont val="Tahoma"/>
            <family val="2"/>
          </rPr>
          <t>Author:</t>
        </r>
        <r>
          <rPr>
            <sz val="9"/>
            <color indexed="81"/>
            <rFont val="Tahoma"/>
            <family val="2"/>
          </rPr>
          <t xml:space="preserve">
Adjusted Capacity based upon HF Factor</t>
        </r>
      </text>
    </comment>
    <comment ref="L4356" authorId="0" shapeId="0" xr:uid="{29F70E47-5856-4868-A39B-5B346E12240F}">
      <text>
        <r>
          <rPr>
            <b/>
            <sz val="9"/>
            <color indexed="81"/>
            <rFont val="Tahoma"/>
            <family val="2"/>
          </rPr>
          <t>Author:</t>
        </r>
        <r>
          <rPr>
            <sz val="9"/>
            <color indexed="81"/>
            <rFont val="Tahoma"/>
            <family val="2"/>
          </rPr>
          <t xml:space="preserve">
Adjusted Capacity based upon HF Factor</t>
        </r>
      </text>
    </comment>
    <comment ref="L4358" authorId="0" shapeId="0" xr:uid="{68053E4B-4926-425D-92B2-F872E215F5B3}">
      <text>
        <r>
          <rPr>
            <b/>
            <sz val="9"/>
            <color indexed="81"/>
            <rFont val="Tahoma"/>
            <family val="2"/>
          </rPr>
          <t>Author:</t>
        </r>
        <r>
          <rPr>
            <sz val="9"/>
            <color indexed="81"/>
            <rFont val="Tahoma"/>
            <family val="2"/>
          </rPr>
          <t xml:space="preserve">
Adjusted Capacity based upon HF Factor</t>
        </r>
      </text>
    </comment>
    <comment ref="L4362" authorId="0" shapeId="0" xr:uid="{C6590979-2AF9-4FDD-8483-DB77ACF84725}">
      <text>
        <r>
          <rPr>
            <b/>
            <sz val="9"/>
            <color indexed="81"/>
            <rFont val="Tahoma"/>
            <family val="2"/>
          </rPr>
          <t>Author:</t>
        </r>
        <r>
          <rPr>
            <sz val="9"/>
            <color indexed="81"/>
            <rFont val="Tahoma"/>
            <family val="2"/>
          </rPr>
          <t xml:space="preserve">
Adjusted Capacity based upon HF Factor</t>
        </r>
      </text>
    </comment>
    <comment ref="L4366" authorId="0" shapeId="0" xr:uid="{FD7AA102-3C4B-40F4-9F30-D7EEE19725A7}">
      <text>
        <r>
          <rPr>
            <b/>
            <sz val="9"/>
            <color indexed="81"/>
            <rFont val="Tahoma"/>
            <family val="2"/>
          </rPr>
          <t>Author:</t>
        </r>
        <r>
          <rPr>
            <sz val="9"/>
            <color indexed="81"/>
            <rFont val="Tahoma"/>
            <family val="2"/>
          </rPr>
          <t xml:space="preserve">
Adjusted Capacity based upon HF Factor</t>
        </r>
      </text>
    </comment>
    <comment ref="L4370" authorId="0" shapeId="0" xr:uid="{CF583490-1774-49AB-A556-5E8DF0835C89}">
      <text>
        <r>
          <rPr>
            <b/>
            <sz val="9"/>
            <color indexed="81"/>
            <rFont val="Tahoma"/>
            <family val="2"/>
          </rPr>
          <t>Author:</t>
        </r>
        <r>
          <rPr>
            <sz val="9"/>
            <color indexed="81"/>
            <rFont val="Tahoma"/>
            <family val="2"/>
          </rPr>
          <t xml:space="preserve">
Adjusted Capacity based upon HF Factor</t>
        </r>
      </text>
    </comment>
    <comment ref="L4374" authorId="0" shapeId="0" xr:uid="{91E5FB7E-0B24-4172-ADF8-91A39ECFCFDA}">
      <text>
        <r>
          <rPr>
            <b/>
            <sz val="9"/>
            <color indexed="81"/>
            <rFont val="Tahoma"/>
            <family val="2"/>
          </rPr>
          <t>Author:</t>
        </r>
        <r>
          <rPr>
            <sz val="9"/>
            <color indexed="81"/>
            <rFont val="Tahoma"/>
            <family val="2"/>
          </rPr>
          <t xml:space="preserve">
Adjusted Capacity based upon HF Factor</t>
        </r>
      </text>
    </comment>
    <comment ref="L4378" authorId="0" shapeId="0" xr:uid="{DBB53F56-75EA-42E9-A4CC-40E776B2E4C5}">
      <text>
        <r>
          <rPr>
            <b/>
            <sz val="9"/>
            <color indexed="81"/>
            <rFont val="Tahoma"/>
            <family val="2"/>
          </rPr>
          <t>Author:</t>
        </r>
        <r>
          <rPr>
            <sz val="9"/>
            <color indexed="81"/>
            <rFont val="Tahoma"/>
            <family val="2"/>
          </rPr>
          <t xml:space="preserve">
Adjusted Capacity based upon HF Factor</t>
        </r>
      </text>
    </comment>
    <comment ref="L4382" authorId="0" shapeId="0" xr:uid="{635F437E-DB77-4FFB-97E4-D0512AEF7667}">
      <text>
        <r>
          <rPr>
            <b/>
            <sz val="9"/>
            <color indexed="81"/>
            <rFont val="Tahoma"/>
            <family val="2"/>
          </rPr>
          <t>Author:</t>
        </r>
        <r>
          <rPr>
            <sz val="9"/>
            <color indexed="81"/>
            <rFont val="Tahoma"/>
            <family val="2"/>
          </rPr>
          <t xml:space="preserve">
Adjusted Capacity based upon HF Factor</t>
        </r>
      </text>
    </comment>
    <comment ref="L4386" authorId="0" shapeId="0" xr:uid="{666D855D-EA9D-448C-8B29-D2EDDEFEB366}">
      <text>
        <r>
          <rPr>
            <b/>
            <sz val="9"/>
            <color indexed="81"/>
            <rFont val="Tahoma"/>
            <family val="2"/>
          </rPr>
          <t>Author:</t>
        </r>
        <r>
          <rPr>
            <sz val="9"/>
            <color indexed="81"/>
            <rFont val="Tahoma"/>
            <family val="2"/>
          </rPr>
          <t xml:space="preserve">
Adjusted Capacity based upon HF Factor</t>
        </r>
      </text>
    </comment>
    <comment ref="L4388" authorId="0" shapeId="0" xr:uid="{764A9CC4-7AF7-4538-9692-E9A51B6D2B24}">
      <text>
        <r>
          <rPr>
            <b/>
            <sz val="9"/>
            <color indexed="81"/>
            <rFont val="Tahoma"/>
            <family val="2"/>
          </rPr>
          <t>Author:</t>
        </r>
        <r>
          <rPr>
            <sz val="9"/>
            <color indexed="81"/>
            <rFont val="Tahoma"/>
            <family val="2"/>
          </rPr>
          <t xml:space="preserve">
Adjusted Capacity based upon HF Factor</t>
        </r>
      </text>
    </comment>
    <comment ref="L4390" authorId="0" shapeId="0" xr:uid="{E751A7F2-669E-4DA2-8EFE-4ABE31654125}">
      <text>
        <r>
          <rPr>
            <b/>
            <sz val="9"/>
            <color indexed="81"/>
            <rFont val="Tahoma"/>
            <family val="2"/>
          </rPr>
          <t>Author:</t>
        </r>
        <r>
          <rPr>
            <sz val="9"/>
            <color indexed="81"/>
            <rFont val="Tahoma"/>
            <family val="2"/>
          </rPr>
          <t xml:space="preserve">
Adjusted Capacity based upon HF Factor</t>
        </r>
      </text>
    </comment>
    <comment ref="L4392" authorId="0" shapeId="0" xr:uid="{26BB2831-86D0-4465-8325-D13A58E2A318}">
      <text>
        <r>
          <rPr>
            <b/>
            <sz val="9"/>
            <color indexed="81"/>
            <rFont val="Tahoma"/>
            <family val="2"/>
          </rPr>
          <t>Author:</t>
        </r>
        <r>
          <rPr>
            <sz val="9"/>
            <color indexed="81"/>
            <rFont val="Tahoma"/>
            <family val="2"/>
          </rPr>
          <t xml:space="preserve">
Adjusted Capacity based upon HF Factor</t>
        </r>
      </text>
    </comment>
    <comment ref="L4394" authorId="0" shapeId="0" xr:uid="{B1CA5056-B9E1-4025-95C2-4316F79AC30F}">
      <text>
        <r>
          <rPr>
            <b/>
            <sz val="9"/>
            <color indexed="81"/>
            <rFont val="Tahoma"/>
            <family val="2"/>
          </rPr>
          <t>Author:</t>
        </r>
        <r>
          <rPr>
            <sz val="9"/>
            <color indexed="81"/>
            <rFont val="Tahoma"/>
            <family val="2"/>
          </rPr>
          <t xml:space="preserve">
Adjusted Capacity based upon HF Factor</t>
        </r>
      </text>
    </comment>
    <comment ref="L4396" authorId="0" shapeId="0" xr:uid="{1FBA766F-F1A1-45BA-B800-B771C93495FC}">
      <text>
        <r>
          <rPr>
            <b/>
            <sz val="9"/>
            <color indexed="81"/>
            <rFont val="Tahoma"/>
            <family val="2"/>
          </rPr>
          <t>Author:</t>
        </r>
        <r>
          <rPr>
            <sz val="9"/>
            <color indexed="81"/>
            <rFont val="Tahoma"/>
            <family val="2"/>
          </rPr>
          <t xml:space="preserve">
Adjusted Capacity based upon HF Factor</t>
        </r>
      </text>
    </comment>
    <comment ref="L4400" authorId="0" shapeId="0" xr:uid="{9BAA937A-B94A-4201-AD55-528EC410A1B6}">
      <text>
        <r>
          <rPr>
            <b/>
            <sz val="9"/>
            <color indexed="81"/>
            <rFont val="Tahoma"/>
            <family val="2"/>
          </rPr>
          <t>Author:</t>
        </r>
        <r>
          <rPr>
            <sz val="9"/>
            <color indexed="81"/>
            <rFont val="Tahoma"/>
            <family val="2"/>
          </rPr>
          <t xml:space="preserve">
Adjusted Capacity based upon HF Factor</t>
        </r>
      </text>
    </comment>
    <comment ref="L4404" authorId="0" shapeId="0" xr:uid="{5B36FE25-DE9D-4EF0-B01D-CE8302D1B813}">
      <text>
        <r>
          <rPr>
            <b/>
            <sz val="9"/>
            <color indexed="81"/>
            <rFont val="Tahoma"/>
            <family val="2"/>
          </rPr>
          <t>Author:</t>
        </r>
        <r>
          <rPr>
            <sz val="9"/>
            <color indexed="81"/>
            <rFont val="Tahoma"/>
            <family val="2"/>
          </rPr>
          <t xml:space="preserve">
Adjusted Capacity based upon HF Factor</t>
        </r>
      </text>
    </comment>
    <comment ref="L4406" authorId="0" shapeId="0" xr:uid="{D966CF4A-C461-45C4-AAB1-81794A18C72E}">
      <text>
        <r>
          <rPr>
            <b/>
            <sz val="9"/>
            <color indexed="81"/>
            <rFont val="Tahoma"/>
            <family val="2"/>
          </rPr>
          <t>Author:</t>
        </r>
        <r>
          <rPr>
            <sz val="9"/>
            <color indexed="81"/>
            <rFont val="Tahoma"/>
            <family val="2"/>
          </rPr>
          <t xml:space="preserve">
Adjusted Capacity based upon HF Factor</t>
        </r>
      </text>
    </comment>
    <comment ref="L4408" authorId="0" shapeId="0" xr:uid="{07734040-B873-48E9-B443-AFC13F92AB2C}">
      <text>
        <r>
          <rPr>
            <b/>
            <sz val="9"/>
            <color indexed="81"/>
            <rFont val="Tahoma"/>
            <family val="2"/>
          </rPr>
          <t>Author:</t>
        </r>
        <r>
          <rPr>
            <sz val="9"/>
            <color indexed="81"/>
            <rFont val="Tahoma"/>
            <family val="2"/>
          </rPr>
          <t xml:space="preserve">
Adjusted Capacity based upon HF Factor</t>
        </r>
      </text>
    </comment>
    <comment ref="L4410" authorId="0" shapeId="0" xr:uid="{6AD3462A-ACD8-4B60-882D-8BE8959D0858}">
      <text>
        <r>
          <rPr>
            <b/>
            <sz val="9"/>
            <color indexed="81"/>
            <rFont val="Tahoma"/>
            <family val="2"/>
          </rPr>
          <t>Author:</t>
        </r>
        <r>
          <rPr>
            <sz val="9"/>
            <color indexed="81"/>
            <rFont val="Tahoma"/>
            <family val="2"/>
          </rPr>
          <t xml:space="preserve">
Adjusted Capacity based upon HF Factor</t>
        </r>
      </text>
    </comment>
    <comment ref="L4412" authorId="0" shapeId="0" xr:uid="{8C00027A-28DA-4183-AAD5-7AA43A2C2D08}">
      <text>
        <r>
          <rPr>
            <b/>
            <sz val="9"/>
            <color indexed="81"/>
            <rFont val="Tahoma"/>
            <family val="2"/>
          </rPr>
          <t>Author:</t>
        </r>
        <r>
          <rPr>
            <sz val="9"/>
            <color indexed="81"/>
            <rFont val="Tahoma"/>
            <family val="2"/>
          </rPr>
          <t xml:space="preserve">
Adjusted Capacity based upon HF Factor</t>
        </r>
      </text>
    </comment>
    <comment ref="L4414" authorId="0" shapeId="0" xr:uid="{0CF8E801-7932-407C-A8D3-BD139381D6F7}">
      <text>
        <r>
          <rPr>
            <b/>
            <sz val="9"/>
            <color indexed="81"/>
            <rFont val="Tahoma"/>
            <family val="2"/>
          </rPr>
          <t>Author:</t>
        </r>
        <r>
          <rPr>
            <sz val="9"/>
            <color indexed="81"/>
            <rFont val="Tahoma"/>
            <family val="2"/>
          </rPr>
          <t xml:space="preserve">
Adjusted Capacity based upon HF Factor</t>
        </r>
      </text>
    </comment>
    <comment ref="L4416" authorId="0" shapeId="0" xr:uid="{D0406864-A6A9-4DE1-B823-D5B0C5C836AF}">
      <text>
        <r>
          <rPr>
            <b/>
            <sz val="9"/>
            <color indexed="81"/>
            <rFont val="Tahoma"/>
            <family val="2"/>
          </rPr>
          <t>Author:</t>
        </r>
        <r>
          <rPr>
            <sz val="9"/>
            <color indexed="81"/>
            <rFont val="Tahoma"/>
            <family val="2"/>
          </rPr>
          <t xml:space="preserve">
Adjusted Capacity based upon HF Factor</t>
        </r>
      </text>
    </comment>
    <comment ref="L4418" authorId="0" shapeId="0" xr:uid="{DE464877-EA2A-48BF-A84B-756AB457428C}">
      <text>
        <r>
          <rPr>
            <b/>
            <sz val="9"/>
            <color indexed="81"/>
            <rFont val="Tahoma"/>
            <family val="2"/>
          </rPr>
          <t>Author:</t>
        </r>
        <r>
          <rPr>
            <sz val="9"/>
            <color indexed="81"/>
            <rFont val="Tahoma"/>
            <family val="2"/>
          </rPr>
          <t xml:space="preserve">
Adjusted Capacity based upon HF Factor</t>
        </r>
      </text>
    </comment>
    <comment ref="L4420" authorId="0" shapeId="0" xr:uid="{C707F575-02DC-40E9-AA53-4191D521B9E2}">
      <text>
        <r>
          <rPr>
            <b/>
            <sz val="9"/>
            <color indexed="81"/>
            <rFont val="Tahoma"/>
            <family val="2"/>
          </rPr>
          <t>Author:</t>
        </r>
        <r>
          <rPr>
            <sz val="9"/>
            <color indexed="81"/>
            <rFont val="Tahoma"/>
            <family val="2"/>
          </rPr>
          <t xml:space="preserve">
Adjusted Capacity based upon HF Factor</t>
        </r>
      </text>
    </comment>
    <comment ref="L4422" authorId="0" shapeId="0" xr:uid="{FD248EF1-739D-4F22-9FA7-1205143D3DA2}">
      <text>
        <r>
          <rPr>
            <b/>
            <sz val="9"/>
            <color indexed="81"/>
            <rFont val="Tahoma"/>
            <family val="2"/>
          </rPr>
          <t>Author:</t>
        </r>
        <r>
          <rPr>
            <sz val="9"/>
            <color indexed="81"/>
            <rFont val="Tahoma"/>
            <family val="2"/>
          </rPr>
          <t xml:space="preserve">
Adjusted Capacity based upon HF Factor</t>
        </r>
      </text>
    </comment>
    <comment ref="AD4475" authorId="8" shapeId="0" xr:uid="{D33F3C28-9C7D-4C8B-A43A-D5A62E829534}">
      <text>
        <t>[Threaded comment]
Your version of Excel allows you to read this threaded comment; however, any edits to it will get removed if the file is opened in a newer version of Excel. Learn more: https://go.microsoft.com/fwlink/?linkid=870924
Comment:
    New Measure in 2022</t>
      </text>
    </comment>
    <comment ref="F4616" authorId="0" shapeId="0" xr:uid="{51D87E03-7E09-4C21-832A-F96A9932A3D2}">
      <text>
        <r>
          <rPr>
            <b/>
            <sz val="9"/>
            <color indexed="81"/>
            <rFont val="Tahoma"/>
            <family val="2"/>
          </rPr>
          <t>O kWh savings for thermostats per MEEIA 4 Stipulation (added "*0" in formula to retain formula structure and inputs)</t>
        </r>
      </text>
    </comment>
    <comment ref="F4707" authorId="0" shapeId="0" xr:uid="{BD54B70F-3822-4A62-885A-AFD8BD6AA29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tc={369C16B0-CF35-41B8-97CA-780A26286298}</author>
    <author>tc={4DF66CAA-922E-462C-9181-59F8894605CA}</author>
  </authors>
  <commentList>
    <comment ref="Y6" authorId="0" shapeId="0" xr:uid="{00000000-0006-0000-0600-000001000000}">
      <text>
        <r>
          <rPr>
            <b/>
            <sz val="9"/>
            <color indexed="81"/>
            <rFont val="Tahoma"/>
            <family val="2"/>
          </rPr>
          <t>Author:</t>
        </r>
        <r>
          <rPr>
            <sz val="9"/>
            <color indexed="81"/>
            <rFont val="Tahoma"/>
            <family val="2"/>
          </rPr>
          <t xml:space="preserve">
PY18 EM&amp;V</t>
        </r>
      </text>
    </comment>
    <comment ref="Z6" authorId="0" shapeId="0" xr:uid="{00000000-0006-0000-0600-000002000000}">
      <text>
        <r>
          <rPr>
            <b/>
            <sz val="9"/>
            <color indexed="81"/>
            <rFont val="Tahoma"/>
            <family val="2"/>
          </rPr>
          <t>11 Step updates</t>
        </r>
      </text>
    </comment>
    <comment ref="G28" authorId="0" shapeId="0" xr:uid="{00000000-0006-0000-0600-000003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28" authorId="0" shapeId="0" xr:uid="{00000000-0006-0000-0600-000004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28" authorId="0" shapeId="0" xr:uid="{00000000-0006-0000-0600-000005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30" authorId="0" shapeId="0" xr:uid="{00000000-0006-0000-0600-00000600000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30" authorId="0" shapeId="0" xr:uid="{00000000-0006-0000-0600-00000700000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31" authorId="0" shapeId="0" xr:uid="{00000000-0006-0000-0600-000008000000}">
      <text>
        <r>
          <rPr>
            <b/>
            <sz val="9"/>
            <color indexed="81"/>
            <rFont val="Tahoma"/>
            <family val="2"/>
          </rPr>
          <t xml:space="preserve">SF capacity for same measure *0.65, per Ameren guidance.
</t>
        </r>
      </text>
    </comment>
    <comment ref="X31" authorId="0" shapeId="0" xr:uid="{00000000-0006-0000-0600-000009000000}">
      <text>
        <r>
          <rPr>
            <b/>
            <sz val="9"/>
            <color indexed="81"/>
            <rFont val="Tahoma"/>
            <family val="2"/>
          </rPr>
          <t xml:space="preserve">SF capacity for same measure *0.65, per Ameren guidance.
</t>
        </r>
      </text>
    </comment>
    <comment ref="W32" authorId="0" shapeId="0" xr:uid="{00000000-0006-0000-0600-00000B00000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X32" authorId="0" shapeId="0" xr:uid="{00000000-0006-0000-0600-00000C00000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W33" authorId="0" shapeId="0" xr:uid="{00000000-0006-0000-0600-00000E000000}">
      <text>
        <r>
          <rPr>
            <b/>
            <sz val="9"/>
            <color indexed="81"/>
            <rFont val="Tahoma"/>
            <family val="2"/>
          </rPr>
          <t>MO TRM</t>
        </r>
        <r>
          <rPr>
            <sz val="9"/>
            <color indexed="81"/>
            <rFont val="Tahoma"/>
            <family val="2"/>
          </rPr>
          <t xml:space="preserve">
</t>
        </r>
      </text>
    </comment>
    <comment ref="X33" authorId="0" shapeId="0" xr:uid="{00000000-0006-0000-0600-00000F000000}">
      <text>
        <r>
          <rPr>
            <b/>
            <sz val="9"/>
            <color indexed="81"/>
            <rFont val="Tahoma"/>
            <family val="2"/>
          </rPr>
          <t>MO TRM</t>
        </r>
        <r>
          <rPr>
            <sz val="9"/>
            <color indexed="81"/>
            <rFont val="Tahoma"/>
            <family val="2"/>
          </rPr>
          <t xml:space="preserve">
</t>
        </r>
      </text>
    </comment>
    <comment ref="W34" authorId="0" shapeId="0" xr:uid="{00000000-0006-0000-0600-000011000000}">
      <text>
        <r>
          <rPr>
            <b/>
            <sz val="9"/>
            <color indexed="81"/>
            <rFont val="Tahoma"/>
            <family val="2"/>
          </rPr>
          <t>MO TRM
Matches 2015 Heating and Cooling evaluation</t>
        </r>
      </text>
    </comment>
    <comment ref="X34" authorId="0" shapeId="0" xr:uid="{00000000-0006-0000-0600-000012000000}">
      <text>
        <r>
          <rPr>
            <b/>
            <sz val="9"/>
            <color indexed="81"/>
            <rFont val="Tahoma"/>
            <family val="2"/>
          </rPr>
          <t>MO TRM
Matches 2015 Heating and Cooling evaluation</t>
        </r>
      </text>
    </comment>
    <comment ref="W35" authorId="0" shapeId="0" xr:uid="{00000000-0006-0000-0600-000014000000}">
      <text>
        <r>
          <rPr>
            <b/>
            <sz val="9"/>
            <color indexed="81"/>
            <rFont val="Tahoma"/>
            <family val="2"/>
          </rPr>
          <t>MO TRM</t>
        </r>
        <r>
          <rPr>
            <sz val="9"/>
            <color indexed="81"/>
            <rFont val="Tahoma"/>
            <family val="2"/>
          </rPr>
          <t xml:space="preserve">
</t>
        </r>
      </text>
    </comment>
    <comment ref="X35" authorId="0" shapeId="0" xr:uid="{00000000-0006-0000-0600-000015000000}">
      <text>
        <r>
          <rPr>
            <b/>
            <sz val="9"/>
            <color indexed="81"/>
            <rFont val="Tahoma"/>
            <family val="2"/>
          </rPr>
          <t>MO TRM</t>
        </r>
        <r>
          <rPr>
            <sz val="9"/>
            <color indexed="81"/>
            <rFont val="Tahoma"/>
            <family val="2"/>
          </rPr>
          <t xml:space="preserve">
</t>
        </r>
      </text>
    </comment>
    <comment ref="W37" authorId="0" shapeId="0" xr:uid="{00000000-0006-0000-0600-000017000000}">
      <text>
        <r>
          <rPr>
            <b/>
            <sz val="9"/>
            <color indexed="81"/>
            <rFont val="Tahoma"/>
            <family val="2"/>
          </rPr>
          <t>MO TRM</t>
        </r>
        <r>
          <rPr>
            <sz val="9"/>
            <color indexed="81"/>
            <rFont val="Tahoma"/>
            <family val="2"/>
          </rPr>
          <t xml:space="preserve">
</t>
        </r>
      </text>
    </comment>
    <comment ref="X37" authorId="0" shapeId="0" xr:uid="{00000000-0006-0000-0600-000018000000}">
      <text>
        <r>
          <rPr>
            <b/>
            <sz val="9"/>
            <color indexed="81"/>
            <rFont val="Tahoma"/>
            <family val="2"/>
          </rPr>
          <t>MO TRM</t>
        </r>
        <r>
          <rPr>
            <sz val="9"/>
            <color indexed="81"/>
            <rFont val="Tahoma"/>
            <family val="2"/>
          </rPr>
          <t xml:space="preserve">
</t>
        </r>
      </text>
    </comment>
    <comment ref="W38" authorId="0" shapeId="0" xr:uid="{00000000-0006-0000-0600-00001A000000}">
      <text>
        <r>
          <rPr>
            <b/>
            <sz val="9"/>
            <color indexed="81"/>
            <rFont val="Tahoma"/>
            <family val="2"/>
          </rPr>
          <t>MO TRM</t>
        </r>
        <r>
          <rPr>
            <sz val="9"/>
            <color indexed="81"/>
            <rFont val="Tahoma"/>
            <family val="2"/>
          </rPr>
          <t xml:space="preserve">
Matches 2015 Heating and Cooling evaluation
</t>
        </r>
      </text>
    </comment>
    <comment ref="X38" authorId="0" shapeId="0" xr:uid="{00000000-0006-0000-0600-00001B000000}">
      <text>
        <r>
          <rPr>
            <b/>
            <sz val="9"/>
            <color indexed="81"/>
            <rFont val="Tahoma"/>
            <family val="2"/>
          </rPr>
          <t>MO TRM</t>
        </r>
        <r>
          <rPr>
            <sz val="9"/>
            <color indexed="81"/>
            <rFont val="Tahoma"/>
            <family val="2"/>
          </rPr>
          <t xml:space="preserve">
Matches 2015 Heating and Cooling evaluation
</t>
        </r>
      </text>
    </comment>
    <comment ref="W39" authorId="0" shapeId="0" xr:uid="{00000000-0006-0000-0600-00001D000000}">
      <text>
        <r>
          <rPr>
            <b/>
            <sz val="9"/>
            <color indexed="81"/>
            <rFont val="Tahoma"/>
            <family val="2"/>
          </rPr>
          <t>MO TRM
Matches 2015 Heating and Cooling evaluation</t>
        </r>
      </text>
    </comment>
    <comment ref="X39" authorId="0" shapeId="0" xr:uid="{00000000-0006-0000-0600-00001E000000}">
      <text>
        <r>
          <rPr>
            <b/>
            <sz val="9"/>
            <color indexed="81"/>
            <rFont val="Tahoma"/>
            <family val="2"/>
          </rPr>
          <t>MO TRM
Matches 2015 Heating and Cooling evaluation</t>
        </r>
      </text>
    </comment>
    <comment ref="W40" authorId="0" shapeId="0" xr:uid="{00000000-0006-0000-0600-000020000000}">
      <text>
        <r>
          <rPr>
            <b/>
            <sz val="9"/>
            <color indexed="81"/>
            <rFont val="Tahoma"/>
            <family val="2"/>
          </rPr>
          <t>MO TRM</t>
        </r>
        <r>
          <rPr>
            <sz val="9"/>
            <color indexed="81"/>
            <rFont val="Tahoma"/>
            <family val="2"/>
          </rPr>
          <t xml:space="preserve">
Matches 2015 Heating and Cooling evaluation</t>
        </r>
      </text>
    </comment>
    <comment ref="X40" authorId="0" shapeId="0" xr:uid="{00000000-0006-0000-0600-000021000000}">
      <text>
        <r>
          <rPr>
            <b/>
            <sz val="9"/>
            <color indexed="81"/>
            <rFont val="Tahoma"/>
            <family val="2"/>
          </rPr>
          <t>MO TRM</t>
        </r>
        <r>
          <rPr>
            <sz val="9"/>
            <color indexed="81"/>
            <rFont val="Tahoma"/>
            <family val="2"/>
          </rPr>
          <t xml:space="preserve">
Matches 2015 Heating and Cooling evaluation</t>
        </r>
      </text>
    </comment>
    <comment ref="Y58" authorId="0" shapeId="0" xr:uid="{00000000-0006-0000-0600-000022000000}">
      <text>
        <r>
          <rPr>
            <b/>
            <sz val="9"/>
            <color indexed="81"/>
            <rFont val="Tahoma"/>
            <family val="2"/>
          </rPr>
          <t>changed to a per square foot value rather than per average size home</t>
        </r>
      </text>
    </comment>
    <comment ref="Y83" authorId="0" shapeId="0" xr:uid="{00000000-0006-0000-0600-000023000000}">
      <text>
        <r>
          <rPr>
            <b/>
            <sz val="9"/>
            <color indexed="81"/>
            <rFont val="Tahoma"/>
            <family val="2"/>
          </rPr>
          <t xml:space="preserve">updated to per sq. ft. basis
</t>
        </r>
      </text>
    </comment>
    <comment ref="V101" authorId="0" shapeId="0" xr:uid="{00000000-0006-0000-0600-000024000000}">
      <text>
        <r>
          <rPr>
            <b/>
            <sz val="9"/>
            <color indexed="81"/>
            <rFont val="Tahoma"/>
            <family val="2"/>
          </rPr>
          <t xml:space="preserve">This table was originallly included in Volume 3 of the Ameren Missouri TRM and was added to the deemed savings tables during implementation. </t>
        </r>
      </text>
    </comment>
    <comment ref="Y113" authorId="0" shapeId="0" xr:uid="{00000000-0006-0000-0600-000025000000}">
      <text>
        <r>
          <rPr>
            <b/>
            <sz val="9"/>
            <color indexed="81"/>
            <rFont val="Tahoma"/>
            <family val="2"/>
          </rPr>
          <t>updated to per sq. ft. basis</t>
        </r>
        <r>
          <rPr>
            <sz val="9"/>
            <color indexed="81"/>
            <rFont val="Tahoma"/>
            <family val="2"/>
          </rPr>
          <t xml:space="preserve">
</t>
        </r>
      </text>
    </comment>
    <comment ref="Y126" authorId="0" shapeId="0" xr:uid="{00000000-0006-0000-0600-000026000000}">
      <text>
        <r>
          <rPr>
            <b/>
            <sz val="9"/>
            <color indexed="81"/>
            <rFont val="Tahoma"/>
            <family val="2"/>
          </rPr>
          <t>changed to a per square foot value rather than per average size home</t>
        </r>
      </text>
    </comment>
    <comment ref="Y253" authorId="0" shapeId="0" xr:uid="{00000000-0006-0000-0600-000027000000}">
      <text>
        <r>
          <rPr>
            <b/>
            <sz val="9"/>
            <color indexed="81"/>
            <rFont val="Tahoma"/>
            <family val="2"/>
          </rPr>
          <t>updated to per sq ft. basis</t>
        </r>
        <r>
          <rPr>
            <sz val="9"/>
            <color indexed="81"/>
            <rFont val="Tahoma"/>
            <family val="2"/>
          </rPr>
          <t xml:space="preserve">
</t>
        </r>
      </text>
    </comment>
    <comment ref="Y411" authorId="0" shapeId="0" xr:uid="{00000000-0006-0000-0600-000028000000}">
      <text>
        <r>
          <rPr>
            <b/>
            <sz val="9"/>
            <color indexed="81"/>
            <rFont val="Tahoma"/>
            <family val="2"/>
          </rPr>
          <t>based upon a per sq. ft basis</t>
        </r>
        <r>
          <rPr>
            <sz val="9"/>
            <color indexed="81"/>
            <rFont val="Tahoma"/>
            <family val="2"/>
          </rPr>
          <t xml:space="preserve">
</t>
        </r>
      </text>
    </comment>
    <comment ref="Y445" authorId="0" shapeId="0" xr:uid="{00000000-0006-0000-0600-000029000000}">
      <text>
        <r>
          <rPr>
            <b/>
            <sz val="9"/>
            <color indexed="81"/>
            <rFont val="Tahoma"/>
            <family val="2"/>
          </rPr>
          <t>changed to a per square foot value rather than per average size home</t>
        </r>
      </text>
    </comment>
    <comment ref="Y462" authorId="0" shapeId="0" xr:uid="{00000000-0006-0000-0600-00002A000000}">
      <text>
        <r>
          <rPr>
            <b/>
            <sz val="9"/>
            <color indexed="81"/>
            <rFont val="Tahoma"/>
            <family val="2"/>
          </rPr>
          <t>updated to per square ft. basis</t>
        </r>
        <r>
          <rPr>
            <sz val="9"/>
            <color indexed="81"/>
            <rFont val="Tahoma"/>
            <family val="2"/>
          </rPr>
          <t xml:space="preserve">
</t>
        </r>
      </text>
    </comment>
    <comment ref="Y478" authorId="0" shapeId="0" xr:uid="{00000000-0006-0000-0600-00002B000000}">
      <text>
        <r>
          <rPr>
            <b/>
            <sz val="9"/>
            <color indexed="81"/>
            <rFont val="Tahoma"/>
            <family val="2"/>
          </rPr>
          <t>updated to per square ft. basis</t>
        </r>
        <r>
          <rPr>
            <sz val="9"/>
            <color indexed="81"/>
            <rFont val="Tahoma"/>
            <family val="2"/>
          </rPr>
          <t xml:space="preserve">
</t>
        </r>
      </text>
    </comment>
    <comment ref="X496" authorId="0" shapeId="0" xr:uid="{00000000-0006-0000-0600-00002C00000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X506" authorId="0" shapeId="0" xr:uid="{00000000-0006-0000-0600-00002D000000}">
      <text>
        <r>
          <rPr>
            <b/>
            <sz val="9"/>
            <color indexed="81"/>
            <rFont val="Tahoma"/>
            <family val="2"/>
          </rPr>
          <t>In PY2017 this was included in the ISR rate.</t>
        </r>
        <r>
          <rPr>
            <sz val="9"/>
            <color indexed="81"/>
            <rFont val="Tahoma"/>
            <family val="2"/>
          </rPr>
          <t xml:space="preserve">
</t>
        </r>
      </text>
    </comment>
    <comment ref="Y506" authorId="0" shapeId="0" xr:uid="{00000000-0006-0000-0600-00002E000000}">
      <text>
        <r>
          <rPr>
            <b/>
            <sz val="9"/>
            <color indexed="81"/>
            <rFont val="Tahoma"/>
            <family val="2"/>
          </rPr>
          <t xml:space="preserve"> included in the ISR rate.</t>
        </r>
        <r>
          <rPr>
            <sz val="9"/>
            <color indexed="81"/>
            <rFont val="Tahoma"/>
            <family val="2"/>
          </rPr>
          <t xml:space="preserve">
</t>
        </r>
      </text>
    </comment>
    <comment ref="Y543" authorId="0" shapeId="0" xr:uid="{00000000-0006-0000-0600-00002F000000}">
      <text>
        <r>
          <rPr>
            <b/>
            <sz val="9"/>
            <color indexed="81"/>
            <rFont val="Tahoma"/>
            <family val="2"/>
          </rPr>
          <t>updated to per foot basis</t>
        </r>
        <r>
          <rPr>
            <sz val="9"/>
            <color indexed="81"/>
            <rFont val="Tahoma"/>
            <family val="2"/>
          </rPr>
          <t xml:space="preserve">
</t>
        </r>
      </text>
    </comment>
    <comment ref="Y578" authorId="0" shapeId="0" xr:uid="{00000000-0006-0000-0600-000030000000}">
      <text>
        <r>
          <rPr>
            <b/>
            <sz val="9"/>
            <color indexed="81"/>
            <rFont val="Tahoma"/>
            <family val="2"/>
          </rPr>
          <t>updated to per square foot basis</t>
        </r>
      </text>
    </comment>
    <comment ref="Y606" authorId="0" shapeId="0" xr:uid="{00000000-0006-0000-0600-000032000000}">
      <text>
        <r>
          <rPr>
            <b/>
            <sz val="9"/>
            <color indexed="81"/>
            <rFont val="Tahoma"/>
            <family val="2"/>
          </rPr>
          <t>This value is not new just including it in the input table (previously only shown in the equation)</t>
        </r>
      </text>
    </comment>
    <comment ref="Y613" authorId="0" shapeId="0" xr:uid="{00000000-0006-0000-0600-000033000000}">
      <text>
        <r>
          <rPr>
            <b/>
            <sz val="9"/>
            <color indexed="81"/>
            <rFont val="Tahoma"/>
            <family val="2"/>
          </rPr>
          <t>This value is not new just including it in the input table (previously only shown in the equation)</t>
        </r>
      </text>
    </comment>
    <comment ref="Y616" authorId="0" shapeId="0" xr:uid="{00000000-0006-0000-0600-000034000000}">
      <text>
        <r>
          <rPr>
            <b/>
            <sz val="9"/>
            <color indexed="81"/>
            <rFont val="Tahoma"/>
            <family val="2"/>
          </rPr>
          <t>This value is not new just including it in the input table (previously only shown in the equation)</t>
        </r>
      </text>
    </comment>
    <comment ref="Y620" authorId="0" shapeId="0" xr:uid="{00000000-0006-0000-0600-000035000000}">
      <text>
        <r>
          <rPr>
            <b/>
            <sz val="9"/>
            <color indexed="81"/>
            <rFont val="Tahoma"/>
            <family val="2"/>
          </rPr>
          <t>This value is not new just including it in the input table (previously only shown in the equation)</t>
        </r>
      </text>
    </comment>
    <comment ref="C659" authorId="0" shapeId="0" xr:uid="{00000000-0006-0000-0600-00003C000000}">
      <text>
        <r>
          <rPr>
            <b/>
            <sz val="9"/>
            <color indexed="81"/>
            <rFont val="Tahoma"/>
            <family val="2"/>
          </rPr>
          <t>In PY19 TRM update this was 403300 (Same as prior measure)</t>
        </r>
      </text>
    </comment>
    <comment ref="X673" authorId="0" shapeId="0" xr:uid="{00000000-0006-0000-0600-00003D00000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text>
    </comment>
    <comment ref="E728" authorId="0" shapeId="0" xr:uid="{00000000-0006-0000-0600-00003E000000}">
      <text>
        <r>
          <rPr>
            <b/>
            <sz val="9"/>
            <color indexed="81"/>
            <rFont val="Tahoma"/>
            <family val="2"/>
          </rPr>
          <t>Author:</t>
        </r>
        <r>
          <rPr>
            <sz val="9"/>
            <color indexed="81"/>
            <rFont val="Tahoma"/>
            <family val="2"/>
          </rPr>
          <t xml:space="preserve">
changed "showerhead' to "aerator"</t>
        </r>
      </text>
    </comment>
    <comment ref="E730" authorId="0" shapeId="0" xr:uid="{00000000-0006-0000-0600-00003F000000}">
      <text>
        <r>
          <rPr>
            <b/>
            <sz val="9"/>
            <color indexed="81"/>
            <rFont val="Tahoma"/>
            <family val="2"/>
          </rPr>
          <t>Author:</t>
        </r>
        <r>
          <rPr>
            <sz val="9"/>
            <color indexed="81"/>
            <rFont val="Tahoma"/>
            <family val="2"/>
          </rPr>
          <t xml:space="preserve">
changed "showerhead' to "aerator"</t>
        </r>
      </text>
    </comment>
    <comment ref="W733" authorId="0" shapeId="0" xr:uid="{00000000-0006-0000-0600-00004000000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X733" authorId="0" shapeId="0" xr:uid="{00000000-0006-0000-0600-000041000000}">
      <text>
        <r>
          <rPr>
            <b/>
            <sz val="9"/>
            <color indexed="81"/>
            <rFont val="Tahoma"/>
            <family val="2"/>
          </rPr>
          <t xml:space="preserve">No Drain factor included in PY2017 EM&amp;V results
</t>
        </r>
      </text>
    </comment>
    <comment ref="W735" authorId="0" shapeId="0" xr:uid="{00000000-0006-0000-0600-000042000000}">
      <text>
        <r>
          <rPr>
            <b/>
            <sz val="9"/>
            <color indexed="81"/>
            <rFont val="Tahoma"/>
            <family val="2"/>
          </rPr>
          <t xml:space="preserve">PY2016 Program Data, per Community Saves 2016 EM&amp;V report. </t>
        </r>
        <r>
          <rPr>
            <sz val="9"/>
            <color indexed="81"/>
            <rFont val="Tahoma"/>
            <family val="2"/>
          </rPr>
          <t xml:space="preserve">
</t>
        </r>
      </text>
    </comment>
    <comment ref="W743" authorId="0" shapeId="0" xr:uid="{00000000-0006-0000-0600-000043000000}">
      <text>
        <r>
          <rPr>
            <b/>
            <sz val="9"/>
            <color indexed="81"/>
            <rFont val="Tahoma"/>
            <family val="2"/>
          </rPr>
          <t>These original values appear to be flipped - would assume DI would be 100%</t>
        </r>
      </text>
    </comment>
    <comment ref="W744" authorId="0" shapeId="0" xr:uid="{00000000-0006-0000-0600-000044000000}">
      <text>
        <r>
          <rPr>
            <b/>
            <sz val="9"/>
            <color indexed="81"/>
            <rFont val="Tahoma"/>
            <family val="2"/>
          </rPr>
          <t>Missouri TRM</t>
        </r>
        <r>
          <rPr>
            <sz val="9"/>
            <color indexed="81"/>
            <rFont val="Tahoma"/>
            <family val="2"/>
          </rPr>
          <t xml:space="preserve">
</t>
        </r>
      </text>
    </comment>
    <comment ref="E767" authorId="0" shapeId="0" xr:uid="{00000000-0006-0000-0600-000045000000}">
      <text>
        <r>
          <rPr>
            <b/>
            <sz val="9"/>
            <color indexed="81"/>
            <rFont val="Tahoma"/>
            <family val="2"/>
          </rPr>
          <t>Author:</t>
        </r>
        <r>
          <rPr>
            <sz val="9"/>
            <color indexed="81"/>
            <rFont val="Tahoma"/>
            <family val="2"/>
          </rPr>
          <t xml:space="preserve">
changed "showerhead' to "aerator"</t>
        </r>
      </text>
    </comment>
    <comment ref="E769" authorId="0" shapeId="0" xr:uid="{00000000-0006-0000-0600-000046000000}">
      <text>
        <r>
          <rPr>
            <b/>
            <sz val="9"/>
            <color indexed="81"/>
            <rFont val="Tahoma"/>
            <family val="2"/>
          </rPr>
          <t>Author:</t>
        </r>
        <r>
          <rPr>
            <sz val="9"/>
            <color indexed="81"/>
            <rFont val="Tahoma"/>
            <family val="2"/>
          </rPr>
          <t xml:space="preserve">
changed "showerhead' to "aerator"</t>
        </r>
      </text>
    </comment>
    <comment ref="V807" authorId="0" shapeId="0" xr:uid="{00000000-0006-0000-0600-00004700000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807" authorId="0" shapeId="0" xr:uid="{00000000-0006-0000-0600-00004800000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V809" authorId="0" shapeId="0" xr:uid="{00000000-0006-0000-0600-00004A000000}">
      <text>
        <r>
          <rPr>
            <b/>
            <sz val="9"/>
            <color indexed="81"/>
            <rFont val="Tahoma"/>
            <family val="2"/>
          </rPr>
          <t>PY2016 Program Data, per Community Saves 2016 EM&amp;V report. </t>
        </r>
        <r>
          <rPr>
            <sz val="9"/>
            <color indexed="81"/>
            <rFont val="Tahoma"/>
            <family val="2"/>
          </rPr>
          <t xml:space="preserve">
</t>
        </r>
      </text>
    </comment>
    <comment ref="X809" authorId="0" shapeId="0" xr:uid="{00000000-0006-0000-0600-00004B000000}">
      <text>
        <r>
          <rPr>
            <b/>
            <sz val="9"/>
            <color indexed="81"/>
            <rFont val="Tahoma"/>
            <family val="2"/>
          </rPr>
          <t>PY2017  Community Savers Site Visit Data and Ride Along Data (ADM only provided the delta GPM, not the base and efficient values)</t>
        </r>
      </text>
    </comment>
    <comment ref="AF809" authorId="0" shapeId="0" xr:uid="{4EA9A3FE-00A6-414F-85CA-F3DBF41E9BC6}">
      <text>
        <r>
          <rPr>
            <b/>
            <sz val="9"/>
            <color indexed="81"/>
            <rFont val="Tahoma"/>
            <family val="2"/>
          </rPr>
          <t>Author:</t>
        </r>
        <r>
          <rPr>
            <sz val="9"/>
            <color indexed="81"/>
            <rFont val="Tahoma"/>
            <family val="2"/>
          </rPr>
          <t xml:space="preserve">
Showerhead pivot tab cell E428</t>
        </r>
      </text>
    </comment>
    <comment ref="AF811" authorId="0" shapeId="0" xr:uid="{D7268BC3-1F35-4592-B19C-2575FD770C3C}">
      <text>
        <r>
          <rPr>
            <b/>
            <sz val="9"/>
            <color indexed="81"/>
            <rFont val="Tahoma"/>
            <family val="2"/>
          </rPr>
          <t>Author:</t>
        </r>
        <r>
          <rPr>
            <sz val="9"/>
            <color indexed="81"/>
            <rFont val="Tahoma"/>
            <family val="2"/>
          </rPr>
          <t xml:space="preserve">
Showerhead pivot tab cell E428</t>
        </r>
      </text>
    </comment>
    <comment ref="W812" authorId="0" shapeId="0" xr:uid="{00000000-0006-0000-0600-00004F000000}">
      <text>
        <r>
          <rPr>
            <b/>
            <sz val="9"/>
            <color indexed="81"/>
            <rFont val="Tahoma"/>
            <family val="2"/>
          </rPr>
          <t>Missouri TRM</t>
        </r>
      </text>
    </comment>
    <comment ref="W816" authorId="0" shapeId="0" xr:uid="{00000000-0006-0000-0600-00005000000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AF822" authorId="1" shapeId="0" xr:uid="{369C16B0-CF35-41B8-97CA-780A26286298}">
      <text>
        <t>[Threaded comment]
Your version of Excel allows you to read this threaded comment; however, any edits to it will get removed if the file is opened in a newer version of Excel. Learn more: https://go.microsoft.com/fwlink/?linkid=870924
Comment:
    Small Typo found that used 3,413 instead of 3,412</t>
      </text>
    </comment>
    <comment ref="Y829" authorId="0" shapeId="0" xr:uid="{00000000-0006-0000-0600-000051000000}">
      <text>
        <r>
          <rPr>
            <b/>
            <sz val="9"/>
            <color indexed="81"/>
            <rFont val="Tahoma"/>
            <family val="2"/>
          </rPr>
          <t>PY19 Actual</t>
        </r>
        <r>
          <rPr>
            <sz val="9"/>
            <color indexed="81"/>
            <rFont val="Tahoma"/>
            <family val="2"/>
          </rPr>
          <t xml:space="preserve">
</t>
        </r>
      </text>
    </comment>
    <comment ref="Y830" authorId="0" shapeId="0" xr:uid="{00000000-0006-0000-0600-000052000000}">
      <text>
        <r>
          <rPr>
            <b/>
            <sz val="9"/>
            <color indexed="81"/>
            <rFont val="Tahoma"/>
            <family val="2"/>
          </rPr>
          <t>added handheld showerhead option</t>
        </r>
      </text>
    </comment>
    <comment ref="Y831" authorId="0" shapeId="0" xr:uid="{00000000-0006-0000-0600-000053000000}">
      <text>
        <r>
          <rPr>
            <b/>
            <sz val="9"/>
            <color indexed="81"/>
            <rFont val="Tahoma"/>
            <family val="2"/>
          </rPr>
          <t>combination of $7 from IL TRM and difference in actual DI costs</t>
        </r>
        <r>
          <rPr>
            <sz val="9"/>
            <color indexed="81"/>
            <rFont val="Tahoma"/>
            <family val="2"/>
          </rPr>
          <t xml:space="preserve">
</t>
        </r>
      </text>
    </comment>
    <comment ref="W850" authorId="0" shapeId="0" xr:uid="{00000000-0006-0000-0600-000054000000}">
      <text>
        <r>
          <rPr>
            <b/>
            <sz val="9"/>
            <color indexed="81"/>
            <rFont val="Tahoma"/>
            <family val="2"/>
          </rPr>
          <t>MO TRM - Assumes 125°F water leaving the hot water tank and average basement temperature of 65°F.
Cited in Ameren Missouri Low Income and Process Evaluation: program Year 2015. p.24</t>
        </r>
      </text>
    </comment>
    <comment ref="F866" authorId="0" shapeId="0" xr:uid="{FA6511B9-FBEA-4903-98B3-C3C8CA3199DC}">
      <text>
        <r>
          <rPr>
            <b/>
            <sz val="9"/>
            <color indexed="81"/>
            <rFont val="Tahoma"/>
            <family val="2"/>
          </rPr>
          <t>O kWh savings for thermostats per MEEIA 4 Stipulation (added "*0" in formula to retain formula structure and inputs)</t>
        </r>
      </text>
    </comment>
    <comment ref="X941" authorId="0" shapeId="0" xr:uid="{00000000-0006-0000-0600-000055000000}">
      <text>
        <r>
          <rPr>
            <b/>
            <sz val="9"/>
            <color indexed="81"/>
            <rFont val="Tahoma"/>
            <family val="2"/>
          </rPr>
          <t>MO TRM</t>
        </r>
      </text>
    </comment>
    <comment ref="X943" authorId="0" shapeId="0" xr:uid="{00000000-0006-0000-0600-000056000000}">
      <text>
        <r>
          <rPr>
            <b/>
            <sz val="9"/>
            <color indexed="81"/>
            <rFont val="Tahoma"/>
            <family val="2"/>
          </rPr>
          <t>no adjustment as these did not align in same manner with ADM formula</t>
        </r>
        <r>
          <rPr>
            <sz val="9"/>
            <color indexed="81"/>
            <rFont val="Tahoma"/>
            <family val="2"/>
          </rPr>
          <t xml:space="preserve">
</t>
        </r>
      </text>
    </comment>
    <comment ref="Y943" authorId="0" shapeId="0" xr:uid="{00000000-0006-0000-0600-000057000000}">
      <text>
        <r>
          <rPr>
            <b/>
            <sz val="9"/>
            <color indexed="81"/>
            <rFont val="Tahoma"/>
            <family val="2"/>
          </rPr>
          <t>no adjustment as these did not align in same manner with ADM formula</t>
        </r>
        <r>
          <rPr>
            <sz val="9"/>
            <color indexed="81"/>
            <rFont val="Tahoma"/>
            <family val="2"/>
          </rPr>
          <t xml:space="preserve">
</t>
        </r>
      </text>
    </comment>
    <comment ref="W973" authorId="0" shapeId="0" xr:uid="{00000000-0006-0000-0600-000058000000}">
      <text>
        <r>
          <rPr>
            <b/>
            <sz val="9"/>
            <color indexed="81"/>
            <rFont val="Tahoma"/>
            <family val="2"/>
          </rPr>
          <t xml:space="preserve">Bulb-type and lumen look-up in Energy Star database
</t>
        </r>
      </text>
    </comment>
    <comment ref="W975" authorId="0" shapeId="0" xr:uid="{00000000-0006-0000-0600-00005A000000}">
      <text>
        <r>
          <rPr>
            <b/>
            <sz val="9"/>
            <color indexed="81"/>
            <rFont val="Tahoma"/>
            <family val="2"/>
          </rPr>
          <t>Bulb-type and lumen look-up in Energy Star database</t>
        </r>
      </text>
    </comment>
    <comment ref="W978" authorId="0" shapeId="0" xr:uid="{00000000-0006-0000-0600-00005B000000}">
      <text>
        <r>
          <rPr>
            <b/>
            <sz val="9"/>
            <color indexed="81"/>
            <rFont val="Tahoma"/>
            <family val="2"/>
          </rPr>
          <t xml:space="preserve">Bulb-type and lumen look-up in Energy Star database
</t>
        </r>
        <r>
          <rPr>
            <sz val="9"/>
            <color indexed="81"/>
            <rFont val="Tahoma"/>
            <family val="2"/>
          </rPr>
          <t xml:space="preserve">
</t>
        </r>
      </text>
    </comment>
    <comment ref="W979" authorId="0" shapeId="0" xr:uid="{00000000-0006-0000-0600-00005C000000}">
      <text>
        <r>
          <rPr>
            <b/>
            <sz val="9"/>
            <color indexed="81"/>
            <rFont val="Tahoma"/>
            <family val="2"/>
          </rPr>
          <t>Bulb-type and lumen look-up in Energy Star database</t>
        </r>
      </text>
    </comment>
    <comment ref="W982" authorId="0" shapeId="0" xr:uid="{00000000-0006-0000-0600-00005D000000}">
      <text>
        <r>
          <rPr>
            <b/>
            <sz val="9"/>
            <color indexed="81"/>
            <rFont val="Tahoma"/>
            <family val="2"/>
          </rPr>
          <t xml:space="preserve">Bulb-type and lumen look-up in Energy Star database
</t>
        </r>
        <r>
          <rPr>
            <sz val="9"/>
            <color indexed="81"/>
            <rFont val="Tahoma"/>
            <family val="2"/>
          </rPr>
          <t xml:space="preserve">
</t>
        </r>
      </text>
    </comment>
    <comment ref="W985" authorId="0" shapeId="0" xr:uid="{00000000-0006-0000-0600-00005E000000}">
      <text>
        <r>
          <rPr>
            <b/>
            <sz val="9"/>
            <color indexed="81"/>
            <rFont val="Tahoma"/>
            <family val="2"/>
          </rPr>
          <t>Program Wattage</t>
        </r>
        <r>
          <rPr>
            <sz val="9"/>
            <color indexed="81"/>
            <rFont val="Tahoma"/>
            <family val="2"/>
          </rPr>
          <t xml:space="preserve">
</t>
        </r>
      </text>
    </comment>
    <comment ref="W986" authorId="0" shapeId="0" xr:uid="{00000000-0006-0000-0600-00005F000000}">
      <text>
        <r>
          <rPr>
            <b/>
            <sz val="9"/>
            <color indexed="81"/>
            <rFont val="Tahoma"/>
            <family val="2"/>
          </rPr>
          <t>Program Wattage</t>
        </r>
        <r>
          <rPr>
            <sz val="9"/>
            <color indexed="81"/>
            <rFont val="Tahoma"/>
            <family val="2"/>
          </rPr>
          <t xml:space="preserve">
</t>
        </r>
      </text>
    </comment>
    <comment ref="W987" authorId="0" shapeId="0" xr:uid="{00000000-0006-0000-0600-000061000000}">
      <text>
        <r>
          <rPr>
            <b/>
            <sz val="9"/>
            <color indexed="81"/>
            <rFont val="Tahoma"/>
            <family val="2"/>
          </rPr>
          <t>Program Wattage</t>
        </r>
        <r>
          <rPr>
            <sz val="9"/>
            <color indexed="81"/>
            <rFont val="Tahoma"/>
            <family val="2"/>
          </rPr>
          <t xml:space="preserve">
</t>
        </r>
      </text>
    </comment>
    <comment ref="W988" authorId="0" shapeId="0" xr:uid="{00000000-0006-0000-0600-000062000000}">
      <text>
        <r>
          <rPr>
            <b/>
            <sz val="9"/>
            <color indexed="81"/>
            <rFont val="Tahoma"/>
            <family val="2"/>
          </rPr>
          <t>Program Wattage</t>
        </r>
        <r>
          <rPr>
            <sz val="9"/>
            <color indexed="81"/>
            <rFont val="Tahoma"/>
            <family val="2"/>
          </rPr>
          <t xml:space="preserve">
</t>
        </r>
      </text>
    </comment>
    <comment ref="W990" authorId="0" shapeId="0" xr:uid="{00000000-0006-0000-0600-000063000000}">
      <text>
        <r>
          <rPr>
            <b/>
            <sz val="9"/>
            <color indexed="81"/>
            <rFont val="Tahoma"/>
            <family val="2"/>
          </rPr>
          <t>Program Wattage</t>
        </r>
        <r>
          <rPr>
            <sz val="9"/>
            <color indexed="81"/>
            <rFont val="Tahoma"/>
            <family val="2"/>
          </rPr>
          <t xml:space="preserve">
</t>
        </r>
      </text>
    </comment>
    <comment ref="W991" authorId="0" shapeId="0" xr:uid="{00000000-0006-0000-0600-000064000000}">
      <text>
        <r>
          <rPr>
            <b/>
            <sz val="9"/>
            <color indexed="81"/>
            <rFont val="Tahoma"/>
            <family val="2"/>
          </rPr>
          <t>Bulb-type and lumen look-up in Energy Star database</t>
        </r>
        <r>
          <rPr>
            <sz val="9"/>
            <color indexed="81"/>
            <rFont val="Tahoma"/>
            <family val="2"/>
          </rPr>
          <t xml:space="preserve">
</t>
        </r>
      </text>
    </comment>
    <comment ref="W992" authorId="0" shapeId="0" xr:uid="{00000000-0006-0000-0600-000065000000}">
      <text>
        <r>
          <rPr>
            <b/>
            <sz val="9"/>
            <color indexed="81"/>
            <rFont val="Tahoma"/>
            <family val="2"/>
          </rPr>
          <t>Bulb-type and lumen look-up in Energy Star database</t>
        </r>
        <r>
          <rPr>
            <sz val="9"/>
            <color indexed="81"/>
            <rFont val="Tahoma"/>
            <family val="2"/>
          </rPr>
          <t xml:space="preserve">
</t>
        </r>
      </text>
    </comment>
    <comment ref="W993" authorId="0" shapeId="0" xr:uid="{00000000-0006-0000-0600-000066000000}">
      <text>
        <r>
          <rPr>
            <b/>
            <sz val="9"/>
            <color indexed="81"/>
            <rFont val="Tahoma"/>
            <family val="2"/>
          </rPr>
          <t>Bulb-type and lumen look-up in Energy Star database</t>
        </r>
        <r>
          <rPr>
            <sz val="9"/>
            <color indexed="81"/>
            <rFont val="Tahoma"/>
            <family val="2"/>
          </rPr>
          <t xml:space="preserve">
</t>
        </r>
      </text>
    </comment>
    <comment ref="W994" authorId="0" shapeId="0" xr:uid="{00000000-0006-0000-0600-000068000000}">
      <text>
        <r>
          <rPr>
            <b/>
            <sz val="9"/>
            <color indexed="81"/>
            <rFont val="Tahoma"/>
            <family val="2"/>
          </rPr>
          <t>Bulb-type and lumen look-up in Energy Star database</t>
        </r>
        <r>
          <rPr>
            <sz val="9"/>
            <color indexed="81"/>
            <rFont val="Tahoma"/>
            <family val="2"/>
          </rPr>
          <t xml:space="preserve">
</t>
        </r>
      </text>
    </comment>
    <comment ref="W997" authorId="0" shapeId="0" xr:uid="{00000000-0006-0000-0600-00007200000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1000" authorId="0" shapeId="0" xr:uid="{00000000-0006-0000-0600-000073000000}">
      <text>
        <r>
          <rPr>
            <b/>
            <sz val="9"/>
            <color indexed="81"/>
            <rFont val="Tahoma"/>
            <family val="2"/>
          </rPr>
          <t>Weighted HOU from ADM based upon program data</t>
        </r>
        <r>
          <rPr>
            <sz val="9"/>
            <color indexed="81"/>
            <rFont val="Tahoma"/>
            <family val="2"/>
          </rPr>
          <t xml:space="preserve">
</t>
        </r>
      </text>
    </comment>
    <comment ref="W1003" authorId="0" shapeId="0" xr:uid="{00000000-0006-0000-0600-00007400000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1003" authorId="0" shapeId="0" xr:uid="{00000000-0006-0000-0600-000075000000}">
      <text>
        <r>
          <rPr>
            <b/>
            <sz val="9"/>
            <color indexed="81"/>
            <rFont val="Tahoma"/>
            <family val="2"/>
          </rPr>
          <t>Author:</t>
        </r>
        <r>
          <rPr>
            <sz val="9"/>
            <color indexed="81"/>
            <rFont val="Tahoma"/>
            <family val="2"/>
          </rPr>
          <t xml:space="preserve">
Weighted HOU from ADM based upon program data</t>
        </r>
      </text>
    </comment>
    <comment ref="AB1052" authorId="0" shapeId="0" xr:uid="{00000000-0006-0000-0600-000076000000}">
      <text>
        <r>
          <rPr>
            <b/>
            <sz val="9"/>
            <color indexed="81"/>
            <rFont val="Tahoma"/>
            <family val="2"/>
          </rPr>
          <t xml:space="preserve">Opinion Dynamics:
</t>
        </r>
        <r>
          <rPr>
            <sz val="9"/>
            <color indexed="81"/>
            <rFont val="Tahoma"/>
            <family val="2"/>
          </rPr>
          <t>Reformatted table</t>
        </r>
      </text>
    </comment>
    <comment ref="Y1089" authorId="0" shapeId="0" xr:uid="{00000000-0006-0000-0600-000077000000}">
      <text>
        <r>
          <rPr>
            <sz val="9"/>
            <color indexed="81"/>
            <rFont val="Tahoma"/>
            <family val="2"/>
          </rPr>
          <t xml:space="preserve">Use existing inputs to develop measure based on program design.
</t>
        </r>
      </text>
    </comment>
    <comment ref="Y1102" authorId="0" shapeId="0" xr:uid="{00000000-0006-0000-0600-000078000000}">
      <text>
        <r>
          <rPr>
            <b/>
            <sz val="9"/>
            <color indexed="81"/>
            <rFont val="Tahoma"/>
            <family val="2"/>
          </rPr>
          <t>Added pre-1993 unit based upon existing inputs</t>
        </r>
        <r>
          <rPr>
            <sz val="9"/>
            <color indexed="81"/>
            <rFont val="Tahoma"/>
            <family val="2"/>
          </rPr>
          <t xml:space="preserve">
</t>
        </r>
      </text>
    </comment>
    <comment ref="Y1125" authorId="0" shapeId="0" xr:uid="{00000000-0006-0000-0600-000079000000}">
      <text>
        <r>
          <rPr>
            <b/>
            <sz val="9"/>
            <color indexed="81"/>
            <rFont val="Tahoma"/>
            <family val="2"/>
          </rPr>
          <t>Added standard size units to provide more options for Implementation and based upon program design all replacements are primary units (not secondary)</t>
        </r>
      </text>
    </comment>
    <comment ref="Y1130" authorId="0" shapeId="0" xr:uid="{00000000-0006-0000-0600-00007B000000}">
      <text>
        <r>
          <rPr>
            <b/>
            <sz val="9"/>
            <color indexed="81"/>
            <rFont val="Tahoma"/>
            <family val="2"/>
          </rPr>
          <t xml:space="preserve">Added multiple kbtu size options (5,8,10,12,15) </t>
        </r>
      </text>
    </comment>
    <comment ref="W1156" authorId="0" shapeId="0" xr:uid="{00000000-0006-0000-0600-00007C000000}">
      <text>
        <r>
          <rPr>
            <b/>
            <sz val="9"/>
            <color indexed="81"/>
            <rFont val="Tahoma"/>
            <family val="2"/>
          </rPr>
          <t>PY13 RebateSavers Database (average BTU)</t>
        </r>
        <r>
          <rPr>
            <sz val="9"/>
            <color indexed="81"/>
            <rFont val="Tahoma"/>
            <family val="2"/>
          </rPr>
          <t xml:space="preserve">
</t>
        </r>
      </text>
    </comment>
    <comment ref="W1162" authorId="0" shapeId="0" xr:uid="{00000000-0006-0000-0600-00007D000000}">
      <text>
        <r>
          <rPr>
            <b/>
            <sz val="9"/>
            <color indexed="81"/>
            <rFont val="Tahoma"/>
            <family val="2"/>
          </rPr>
          <t>Federal minimum efficiency standard (updated from EER to CEER in March 2017)</t>
        </r>
        <r>
          <rPr>
            <sz val="9"/>
            <color indexed="81"/>
            <rFont val="Tahoma"/>
            <family val="2"/>
          </rPr>
          <t xml:space="preserve">
</t>
        </r>
      </text>
    </comment>
    <comment ref="X1165" authorId="0" shapeId="0" xr:uid="{00000000-0006-0000-0600-00007E000000}">
      <text>
        <r>
          <rPr>
            <b/>
            <sz val="9"/>
            <color indexed="81"/>
            <rFont val="Tahoma"/>
            <family val="2"/>
          </rPr>
          <t>Cadmus did not identify secondary vs primary unit, therefore did not update these values</t>
        </r>
        <r>
          <rPr>
            <sz val="9"/>
            <color indexed="81"/>
            <rFont val="Tahoma"/>
            <family val="2"/>
          </rPr>
          <t xml:space="preserve">
</t>
        </r>
      </text>
    </comment>
    <comment ref="Y1165" authorId="0" shapeId="0" xr:uid="{00000000-0006-0000-0600-00007F000000}">
      <text>
        <r>
          <rPr>
            <b/>
            <sz val="9"/>
            <color indexed="81"/>
            <rFont val="Tahoma"/>
            <family val="2"/>
          </rPr>
          <t>Cadmus did not identify secondary vs primary unit, therefore did not update these values</t>
        </r>
        <r>
          <rPr>
            <sz val="9"/>
            <color indexed="81"/>
            <rFont val="Tahoma"/>
            <family val="2"/>
          </rPr>
          <t xml:space="preserve">
</t>
        </r>
      </text>
    </comment>
    <comment ref="AJ1166" authorId="0" shapeId="0" xr:uid="{00000000-0006-0000-0600-000080000000}">
      <text>
        <r>
          <rPr>
            <b/>
            <sz val="9"/>
            <color indexed="81"/>
            <rFont val="Tahoma"/>
            <family val="2"/>
          </rPr>
          <t>used EFLH that ADM used for all measures</t>
        </r>
      </text>
    </comment>
    <comment ref="J1177" authorId="0" shapeId="0" xr:uid="{00000000-0006-0000-0600-000081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Fixed cell reference (all measure codes)</t>
        </r>
      </text>
    </comment>
    <comment ref="K1177" authorId="0" shapeId="0" xr:uid="{00000000-0006-0000-0600-000082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Fixed cell reference (all measure codes)</t>
        </r>
      </text>
    </comment>
    <comment ref="F1217" authorId="0" shapeId="0" xr:uid="{2CD6D593-F985-448C-BCEB-14A7550DB36B}">
      <text>
        <r>
          <rPr>
            <b/>
            <sz val="9"/>
            <color indexed="81"/>
            <rFont val="Tahoma"/>
            <family val="2"/>
          </rPr>
          <t>O kWh savings for thermostats per MEEIA 4 Stipulation (added "*0" in formula to retain formula structure and inputs)</t>
        </r>
      </text>
    </comment>
    <comment ref="AD1242" authorId="2" shapeId="0" xr:uid="{4DF66CAA-922E-462C-9181-59F8894605CA}">
      <text>
        <t>[Threaded comment]
Your version of Excel allows you to read this threaded comment; however, any edits to it will get removed if the file is opened in a newer version of Excel. Learn more: https://go.microsoft.com/fwlink/?linkid=870924
Comment:
    New measure in 2022</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tc={8F201561-A9B9-4ADD-A545-D6684AE4253A}</author>
    <author>tc={76BC8B44-4B42-439F-A367-AAFDEEB37AB7}</author>
  </authors>
  <commentList>
    <comment ref="AF93" authorId="0" shapeId="0" xr:uid="{D7A43B11-F171-44C1-8F39-5ED4FB3D3AD5}">
      <text>
        <r>
          <rPr>
            <b/>
            <sz val="9"/>
            <color indexed="81"/>
            <rFont val="Tahoma"/>
            <family val="2"/>
          </rPr>
          <t>Author:</t>
        </r>
        <r>
          <rPr>
            <sz val="9"/>
            <color indexed="81"/>
            <rFont val="Tahoma"/>
            <family val="2"/>
          </rPr>
          <t xml:space="preserve">
Showerhead pivot tab cell E428</t>
        </r>
      </text>
    </comment>
    <comment ref="AF95" authorId="0" shapeId="0" xr:uid="{305C7DAC-A602-4CE8-B39F-3D91EEDA160F}">
      <text>
        <r>
          <rPr>
            <b/>
            <sz val="9"/>
            <color indexed="81"/>
            <rFont val="Tahoma"/>
            <family val="2"/>
          </rPr>
          <t>Author:</t>
        </r>
        <r>
          <rPr>
            <sz val="9"/>
            <color indexed="81"/>
            <rFont val="Tahoma"/>
            <family val="2"/>
          </rPr>
          <t xml:space="preserve">
Showerhead pivot tab cell E428</t>
        </r>
      </text>
    </comment>
    <comment ref="G106" authorId="1" shapeId="0" xr:uid="{8F201561-A9B9-4ADD-A545-D6684AE4253A}">
      <text>
        <t>[Threaded comment]
Your version of Excel allows you to read this threaded comment; however, any edits to it will get removed if the file is opened in a newer version of Excel. Learn more: https://go.microsoft.com/fwlink/?linkid=870924
Comment:
    Small Typo found that used 3,413 instead of 3,412</t>
      </text>
    </comment>
    <comment ref="AF106" authorId="2" shapeId="0" xr:uid="{76BC8B44-4B42-439F-A367-AAFDEEB37AB7}">
      <text>
        <t>[Threaded comment]
Your version of Excel allows you to read this threaded comment; however, any edits to it will get removed if the file is opened in a newer version of Excel. Learn more: https://go.microsoft.com/fwlink/?linkid=870924
Comment:
    Small Typo found that used 3,413 instead of 3,412</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Z6" authorId="0" shapeId="0" xr:uid="{00000000-0006-0000-0A00-000001000000}">
      <text>
        <r>
          <rPr>
            <b/>
            <sz val="9"/>
            <color indexed="81"/>
            <rFont val="Tahoma"/>
            <family val="2"/>
          </rPr>
          <t>11 Step updates</t>
        </r>
      </text>
    </comment>
    <comment ref="Z27" authorId="0" shapeId="0" xr:uid="{0A38782F-A221-4F11-9F5E-0A42725A1F46}">
      <text>
        <r>
          <rPr>
            <b/>
            <sz val="9"/>
            <color indexed="81"/>
            <rFont val="Tahoma"/>
            <family val="2"/>
          </rPr>
          <t>11 Step updates</t>
        </r>
      </text>
    </comment>
    <comment ref="Z37" authorId="0" shapeId="0" xr:uid="{4351CC6D-C96B-4C81-A28C-85622BC6E232}">
      <text>
        <r>
          <rPr>
            <b/>
            <sz val="9"/>
            <color indexed="81"/>
            <rFont val="Tahoma"/>
            <family val="2"/>
          </rPr>
          <t>11 Step updates</t>
        </r>
      </text>
    </comment>
    <comment ref="Z47" authorId="0" shapeId="0" xr:uid="{0B301833-9035-4CA1-86C6-EF9AF2CEF66E}">
      <text>
        <r>
          <rPr>
            <b/>
            <sz val="9"/>
            <color indexed="81"/>
            <rFont val="Tahoma"/>
            <family val="2"/>
          </rPr>
          <t>11 Step updates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6" authorId="0" shapeId="0" xr:uid="{00000000-0006-0000-0C00-000001000000}">
      <text>
        <r>
          <rPr>
            <b/>
            <sz val="9"/>
            <color indexed="81"/>
            <rFont val="Tahoma"/>
            <family val="2"/>
          </rPr>
          <t xml:space="preserve">1st year savings
</t>
        </r>
      </text>
    </comment>
    <comment ref="J6" authorId="0" shapeId="0" xr:uid="{8D6631F5-EF2A-4461-A1F6-2393E475BAD4}">
      <text>
        <r>
          <rPr>
            <b/>
            <sz val="9"/>
            <color indexed="81"/>
            <rFont val="Tahoma"/>
            <family val="2"/>
          </rPr>
          <t>Last year savings</t>
        </r>
        <r>
          <rPr>
            <sz val="9"/>
            <color indexed="81"/>
            <rFont val="Tahoma"/>
            <family val="2"/>
          </rPr>
          <t xml:space="preserve">
</t>
        </r>
      </text>
    </comment>
    <comment ref="Q6" authorId="0" shapeId="0" xr:uid="{00000000-0006-0000-0C00-000006000000}">
      <text>
        <r>
          <rPr>
            <b/>
            <sz val="9"/>
            <color indexed="81"/>
            <rFont val="Tahoma"/>
            <family val="2"/>
          </rPr>
          <t xml:space="preserve">Author:
</t>
        </r>
      </text>
    </comment>
    <comment ref="AC6" authorId="0" shapeId="0" xr:uid="{00000000-0006-0000-0C00-000007000000}">
      <text>
        <r>
          <rPr>
            <b/>
            <sz val="9"/>
            <color indexed="81"/>
            <rFont val="Tahoma"/>
            <family val="2"/>
          </rPr>
          <t>These are the benefits that would be derived from measures installed in 2020 to adjust the program year, the benefits in the deemed tables (~column BD) would need to lookup from a different column in the avoided cost benefit tab</t>
        </r>
      </text>
    </comment>
  </commentList>
</comments>
</file>

<file path=xl/sharedStrings.xml><?xml version="1.0" encoding="utf-8"?>
<sst xmlns="http://schemas.openxmlformats.org/spreadsheetml/2006/main" count="24330" uniqueCount="4685">
  <si>
    <t>General Layout of the Deemed Savings Tables:</t>
  </si>
  <si>
    <t>Deemed Savings Tables and Inputs</t>
  </si>
  <si>
    <t xml:space="preserve">Current + Historical kWh Values and Inputs </t>
  </si>
  <si>
    <t>*TRC (Measure Level)</t>
  </si>
  <si>
    <t>"1"= Collapse all Inputs to Calculations</t>
  </si>
  <si>
    <t>"2" = Expand all Inputs to Calculations</t>
  </si>
  <si>
    <t>"-/+" = Collapse or Expand each Section</t>
  </si>
  <si>
    <t>Deemed Savings Table(s)</t>
  </si>
  <si>
    <t>Formula/Equation(s)</t>
  </si>
  <si>
    <t>Equation Inputs</t>
  </si>
  <si>
    <r>
      <t xml:space="preserve">* TRC calculations use the avoided cost benefit tables from workpapers in the filed MEEIA 2025-2027 application (EO-2023-0136) </t>
    </r>
    <r>
      <rPr>
        <b/>
        <strike/>
        <sz val="14"/>
        <color rgb="FFFF0000"/>
        <rFont val="Calibri"/>
        <family val="2"/>
        <scheme val="minor"/>
      </rPr>
      <t>approved MEEIA 2019-2021 filing (EO-2018-0211)</t>
    </r>
  </si>
  <si>
    <t>In the Deemed Savings Tables, color coding is used to clarify the potential relevance of specified values to ex post EM&amp;V.</t>
  </si>
  <si>
    <t>Unit of measure (e.g., 1 foot): The value is applicable and will be used for both ex ante and ex post savings calculations, as it represents a general unit of measurement.</t>
  </si>
  <si>
    <t>This value is directly drawn from the Ameren Missouri TRM and it is anticipated that it will be consistently applied for ex post savings.</t>
  </si>
  <si>
    <t>It is ancitipated that this value will be used in the calculation of ex post savings unless, based on the EM&amp;V plan, an alternative custom value is determined (e.g., a custom in-service rate). It may also be adjusted if the measure's actual characteristics differ from those assumed in the Deemed Savings Table (e.g., the actual R-value of added pipe insulation is different from that specified in the Deemed Savings Table).</t>
  </si>
  <si>
    <t>The value is not found in the Ameren Missouri TRM and will not be used in ex post EM&amp;V if the EM&amp;V contractor, upon reviewing collected information, determines that another value is more applicable.</t>
  </si>
  <si>
    <t>The value is not relevant for any currently active Deemed Savings Table measure and will not be used in ex post savings calculations.</t>
  </si>
  <si>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</si>
  <si>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</si>
  <si>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</si>
  <si>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</si>
  <si>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</si>
  <si>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</si>
  <si>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</si>
  <si>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</si>
  <si>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</si>
  <si>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</si>
  <si>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Updated RES/BUS "Deemed Tables" with PY2017 Evaluation results per Stipulation and Agreement (File No. EO-2018-0211). This included updates to Volume 3 of the TRM.</t>
  </si>
  <si>
    <t>Updated "Deemed Tables" with PY2018 Evaluation results.   Also includes revisions to HVAC measures and multifamily measures, based on feedback from evaluation contractor. This includes updates to Volume 3 of the TRM.</t>
  </si>
  <si>
    <t>Updated "Deemed Tables" with updates for 11 step process/program updates and minor corrections found since prior TRM update.</t>
  </si>
  <si>
    <t>Updated Business Deemed Table in alignment with 11 step program changes to best meet goals under current market conditions.</t>
  </si>
  <si>
    <t>Updated “Deemed Tables” with PY19 Evaluation results and variations of existing measures such as "direct install" and other options.  Updated Appendix H &amp; I for consistency.</t>
  </si>
  <si>
    <t xml:space="preserve">Updated "Deemed Tables" with PY20 Evaluation results; variations of existing measures such as non-electric heat ASHP, Lighting, Water Chillers, Home Energy Report EUL, and updated Appendix G, H and I for consistency. </t>
  </si>
  <si>
    <t xml:space="preserve">Updated "Deemed Tables" with PY21 Evaluation results, variations of existing measures such as DMSHP replacing non-electric heat, Advanced Thermostats in Income Eligible, Handheld Showerhead in EE Products, and Lighting Redesign w/ Network Controls, a new PTHP measure, and updated Appendix G, H and I for consistency. </t>
  </si>
  <si>
    <t>Updated "Deemed Tables" with PY22 Evaluation results for Res HVAC and Bus Lighting. Updated Res and Bus lighting baselines to align with EISA policy of a 45 lumen/watt efficiency. Updated Res HVAC baselines to meet CFR standard efficiency under new M1 testing protocol. Added a Pay As You Save (PAYS) program deemed table tab. Updated commercial HVAC Chiller, ASHP, and Unitary equipment baselines to reflect IECC 2015 building codes. Added a new measure to VSD Air Compressor for units between 40 and 200-hp. Updated Appendices G, H, and I for consistency.</t>
  </si>
  <si>
    <t>Removed measures to align with approved measure list from Commission on 01/15/25.  Reviewed and updated all measures including source documentation and removed measures no longer applicable to programs offered.  Implement a color coding system to identify how inputs are intended to be reviewed through evaluation activities.  Updating avoided cost assumptions based on MEEIA 4 filing and 2023 IRP. Add or modify measures consistent with Appendix H &amp; I by updating items such as savings inputs, EULs,  and Incremental cost for many measures.</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</si>
  <si>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</si>
  <si>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</si>
  <si>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</si>
  <si>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r>
      <rPr>
        <b/>
        <sz val="26"/>
        <rFont val="Calibri"/>
        <family val="2"/>
        <scheme val="minor"/>
      </rPr>
      <t xml:space="preserve">&lt;------ </t>
    </r>
    <r>
      <rPr>
        <b/>
        <sz val="16"/>
        <rFont val="Calibri"/>
        <family val="2"/>
        <scheme val="minor"/>
      </rPr>
      <t>Use the "Grouping" Features to expand or hide the formulas/input variables</t>
    </r>
  </si>
  <si>
    <t>PROGRAMS:  All</t>
  </si>
  <si>
    <t>Lighting</t>
  </si>
  <si>
    <t>Measure Reference No.</t>
  </si>
  <si>
    <t>Program/ Channel</t>
  </si>
  <si>
    <t>Measure</t>
  </si>
  <si>
    <t>kWh Annual Savings</t>
  </si>
  <si>
    <t>End Use</t>
  </si>
  <si>
    <t>kW Factor</t>
  </si>
  <si>
    <t>kW</t>
  </si>
  <si>
    <t>EUL</t>
  </si>
  <si>
    <t>Inc. Cost</t>
  </si>
  <si>
    <t>Units</t>
  </si>
  <si>
    <t>REVISION DATE</t>
  </si>
  <si>
    <t>-</t>
  </si>
  <si>
    <t>TRC (2025)</t>
  </si>
  <si>
    <t>Benefit Lookup</t>
  </si>
  <si>
    <t>Benefits (2025 $)</t>
  </si>
  <si>
    <t>Incremental Cost (2025 $)</t>
  </si>
  <si>
    <t>800050_2024_12_</t>
  </si>
  <si>
    <t>BSS/MFIE</t>
  </si>
  <si>
    <t>LED &lt;=11 Watt Lamp Replacing Interior Halogen A 28-52 Watt Lamp</t>
  </si>
  <si>
    <t>Lighting BUS</t>
  </si>
  <si>
    <t>per measure</t>
  </si>
  <si>
    <t>800100_2024_12_</t>
  </si>
  <si>
    <t>LED 7-20 Watt Lamp Replacing Interior Halogen 53-70 Watt Lamp</t>
  </si>
  <si>
    <t>800150_2024_12_</t>
  </si>
  <si>
    <t>LED &lt;=14 Watt Lamp Replacing Interior Halogen BR/R 45-65 Watt Lamp</t>
  </si>
  <si>
    <t>800200_2024_12_</t>
  </si>
  <si>
    <t>LED &lt;=13 Watt Lamp Replacing Interior Halogen MR-16 35-50 Watt Lamp</t>
  </si>
  <si>
    <t>800250_2024_12_</t>
  </si>
  <si>
    <t xml:space="preserve">LED &lt;=20 Watt Lamp Replacing Interior Halogen PAR 48-90 Watt Lamp  </t>
  </si>
  <si>
    <t>800300_2024_12_</t>
  </si>
  <si>
    <t>LED &lt;=80 Watt Lamp or Fixture Replacing Interior HID 100-175 Watt Lamp or Fixture</t>
  </si>
  <si>
    <t>800350_2024_12_</t>
  </si>
  <si>
    <t>LED 62 - 130 Watt Lamp or Fixture Replacing Interior HID 176-300 Watt Lamp or Fixture</t>
  </si>
  <si>
    <t>800400_2024_12_</t>
  </si>
  <si>
    <t>LED 85 - 225 Watt Lamp or Fixture Replacing Interior HID 301-500 Watt Lamp or Fixture</t>
  </si>
  <si>
    <t>800450_2024_12_</t>
  </si>
  <si>
    <t>C&amp;I   (only IE or BSS)</t>
  </si>
  <si>
    <t>LED &lt;=80 Watt Lamp or Fixture Replacing Exterior &lt;24/7 HID 100-175 Watt Lamp or Fixture</t>
  </si>
  <si>
    <t>Ext Lighting BUS</t>
  </si>
  <si>
    <t>800500_2024_12_</t>
  </si>
  <si>
    <t>LED 62 - 130 Watt Lamp or Fixture Replacing Exterior &lt;24/7 HID 176-300 Watt Lamp or Fixture</t>
  </si>
  <si>
    <t>800550_2024_12_</t>
  </si>
  <si>
    <t>LED 85 - 225 Watt Lamp or Fixture Replacing Exterior &lt;24/7 HID 301-500 Watt Lamp or Fixture</t>
  </si>
  <si>
    <t>800600_2024_12_</t>
  </si>
  <si>
    <t>LED &lt;=80 Watt Lamp or Fixture Replacing Exterior 24/7 HID 100-175 Watt Lamp or Fixture Misc.</t>
  </si>
  <si>
    <t>Miscellaneous BUS</t>
  </si>
  <si>
    <t>800650_2024_12_</t>
  </si>
  <si>
    <t>LED 62 - 130 Watt Lamp or Fixture Replacing Exterior 24/7 HID 176-300 Watt Lamp or Fixture Misc.</t>
  </si>
  <si>
    <t>800700_2024_12_</t>
  </si>
  <si>
    <t xml:space="preserve">LED 85 - 225 Watt Lamp or Fixture Replacing Exterior 24/7 HID 301-500 Watt Lamp or Fixture Misc. </t>
  </si>
  <si>
    <t>800750_2024_12_</t>
  </si>
  <si>
    <t>LED or Electroluminescent Replacing Interior Incandescent/CFL Exit Sign</t>
  </si>
  <si>
    <t>800800_2024_12_</t>
  </si>
  <si>
    <t>BSS</t>
  </si>
  <si>
    <t xml:space="preserve">LED Replacing Interior T5 Fluorescent (Type A / Hybrid) </t>
  </si>
  <si>
    <t>800801_2024_12_</t>
  </si>
  <si>
    <t>LED Replacing Interior T5 Fluorescent (Type B, Kits, and Fixtures)</t>
  </si>
  <si>
    <t>800802_2024_12_</t>
  </si>
  <si>
    <t>LED Replacing Interior T5 Fluorescent (Type C)</t>
  </si>
  <si>
    <t>800850_2024_12_</t>
  </si>
  <si>
    <t xml:space="preserve">LED Replacing Interior T8 Fluorescent (Type A / Hybrid) </t>
  </si>
  <si>
    <t>800851_2024_12_</t>
  </si>
  <si>
    <t>LED Replacting Interior T8 Fluorescent (Type B, Kits, and Fixtures)</t>
  </si>
  <si>
    <t>800852_2024_12_</t>
  </si>
  <si>
    <t>LED Replacting Interior T8 Fluorescent (Type C)</t>
  </si>
  <si>
    <t>800900_2024_12_</t>
  </si>
  <si>
    <t xml:space="preserve">LED Replacing Interior T12 Fluorescent (Type A / Hybrid) </t>
  </si>
  <si>
    <t>800901_2024_12_</t>
  </si>
  <si>
    <t xml:space="preserve">LED Replacing Interior T12 Fluorescent (Type B, Kits, and Fixtures) </t>
  </si>
  <si>
    <t>800902_2024_12_</t>
  </si>
  <si>
    <t>LED Replacing Interior T12 Fluorescent (Type C)</t>
  </si>
  <si>
    <t>800950_2024_12_</t>
  </si>
  <si>
    <t xml:space="preserve">LED Specialty Lamp </t>
  </si>
  <si>
    <t>800980_2024_12_</t>
  </si>
  <si>
    <t xml:space="preserve">LED Lighting Redesign </t>
  </si>
  <si>
    <t>per project</t>
  </si>
  <si>
    <t>TRM Section:</t>
  </si>
  <si>
    <t>2.6.1 -  2.6.4</t>
  </si>
  <si>
    <t>Evaluation Formula</t>
  </si>
  <si>
    <t xml:space="preserve">EMV Adjustment Factor for Lighting Measures </t>
  </si>
  <si>
    <t xml:space="preserve">Measure Category </t>
  </si>
  <si>
    <t>Watts Base</t>
  </si>
  <si>
    <t>Watts EE</t>
  </si>
  <si>
    <t>HOU</t>
  </si>
  <si>
    <t>WHFe + -IFkWh</t>
  </si>
  <si>
    <t>IFkW</t>
  </si>
  <si>
    <t>ISR</t>
  </si>
  <si>
    <t>EMV Adjustment (ADJ_EMV)</t>
  </si>
  <si>
    <t>Program</t>
  </si>
  <si>
    <t>ΔWatts Adjustment</t>
  </si>
  <si>
    <t>HOU Adjustment</t>
  </si>
  <si>
    <t>Total EMV Adjustment</t>
  </si>
  <si>
    <t>Weight</t>
  </si>
  <si>
    <t>Standard</t>
  </si>
  <si>
    <t>800050_2019_12_</t>
  </si>
  <si>
    <t>SBDI</t>
  </si>
  <si>
    <t>800100_2019_12_</t>
  </si>
  <si>
    <t>800150_2019_12_</t>
  </si>
  <si>
    <t>Weighted Average EM&amp;V Adjustment</t>
  </si>
  <si>
    <t>800200_2019_12_</t>
  </si>
  <si>
    <r>
      <t>SOURCE: ΔWatts and HOU Adjustment factors are calculated based on desk review and on-site data collection during the</t>
    </r>
    <r>
      <rPr>
        <sz val="10"/>
        <color rgb="FFFF0000"/>
        <rFont val="Calibri"/>
        <family val="2"/>
      </rPr>
      <t xml:space="preserve"> PY2023 </t>
    </r>
    <r>
      <rPr>
        <sz val="10"/>
        <rFont val="Calibri"/>
        <family val="2"/>
      </rPr>
      <t>Impact Evaluation</t>
    </r>
    <r>
      <rPr>
        <sz val="10"/>
        <color rgb="FFFF0000"/>
        <rFont val="Calibri"/>
        <family val="2"/>
      </rPr>
      <t xml:space="preserve"> for Standard and PY2019 Evaluation for SBDI and BSS</t>
    </r>
    <r>
      <rPr>
        <sz val="10"/>
        <rFont val="Calibri"/>
        <family val="2"/>
      </rPr>
      <t xml:space="preserve">. Weights are based on </t>
    </r>
    <r>
      <rPr>
        <sz val="10"/>
        <color rgb="FFFF0000"/>
        <rFont val="Calibri"/>
        <family val="2"/>
      </rPr>
      <t>PY2023</t>
    </r>
    <r>
      <rPr>
        <sz val="10"/>
        <rFont val="Calibri"/>
        <family val="2"/>
      </rPr>
      <t xml:space="preserve"> Final Ex Ante Gross Annual Lighting kWh for each program. These values should be updated/replaced if and when new EM&amp;V verification occurs; weights should be updated annually.</t>
    </r>
  </si>
  <si>
    <t>800250_2019_12_</t>
  </si>
  <si>
    <t>800300_2019_12_</t>
  </si>
  <si>
    <t>800350_2019_12_</t>
  </si>
  <si>
    <t>800400_2019_12_</t>
  </si>
  <si>
    <t>800450_2019_12_</t>
  </si>
  <si>
    <t>800500_2019_12_</t>
  </si>
  <si>
    <t>800550_2019_12_</t>
  </si>
  <si>
    <t>800600_2019_12_</t>
  </si>
  <si>
    <t>800650_2019_12_</t>
  </si>
  <si>
    <t>800700_2019_12_</t>
  </si>
  <si>
    <t>800750_2019_12_</t>
  </si>
  <si>
    <t>800800_2020_12_</t>
  </si>
  <si>
    <t>800801_2020_12_</t>
  </si>
  <si>
    <t>800802_2021_12_</t>
  </si>
  <si>
    <t>800850_2020_12_</t>
  </si>
  <si>
    <t>800851_2020_12_</t>
  </si>
  <si>
    <t>800852_2021_12_</t>
  </si>
  <si>
    <t>800900_2020_12_</t>
  </si>
  <si>
    <t>800901_2020_12_</t>
  </si>
  <si>
    <t>800902_2021_12_</t>
  </si>
  <si>
    <t>800950_2019_12_</t>
  </si>
  <si>
    <t>800980_2021_12</t>
  </si>
  <si>
    <t>Lighting - Lighting Power Density (LPD)</t>
  </si>
  <si>
    <t>800990_2024_12_</t>
  </si>
  <si>
    <t>Lighting Power Density</t>
  </si>
  <si>
    <t>per sqft</t>
  </si>
  <si>
    <t>2.6.5</t>
  </si>
  <si>
    <t>SF</t>
  </si>
  <si>
    <t>WSFbase (W/ft^2)</t>
  </si>
  <si>
    <t>WSFee  (W/ft^2)</t>
  </si>
  <si>
    <t>Hours</t>
  </si>
  <si>
    <t>WSFbase</t>
  </si>
  <si>
    <t xml:space="preserve">WSFee </t>
  </si>
  <si>
    <t>800990_2021_12</t>
  </si>
  <si>
    <t>2018 IECC Office Bldg</t>
  </si>
  <si>
    <t>2024 IECC Office Bdg</t>
  </si>
  <si>
    <t>2014-2024 TRC self report</t>
  </si>
  <si>
    <r>
      <rPr>
        <strike/>
        <sz val="11"/>
        <color rgb="FFFF0000"/>
        <rFont val="Calibri"/>
        <family val="2"/>
        <scheme val="minor"/>
      </rPr>
      <t>Lighting - Occupancy Sensor</t>
    </r>
    <r>
      <rPr>
        <sz val="11"/>
        <rFont val="Calibri"/>
        <family val="2"/>
        <scheme val="minor"/>
      </rPr>
      <t xml:space="preserve"> Lighting Controls</t>
    </r>
  </si>
  <si>
    <t>kWh Annual Savings per unit</t>
  </si>
  <si>
    <t>kW per unit</t>
  </si>
  <si>
    <t>Inc. Cost A</t>
  </si>
  <si>
    <t>Units A</t>
  </si>
  <si>
    <t>Inc. Cost B</t>
  </si>
  <si>
    <t>Units B</t>
  </si>
  <si>
    <t>801010_2024_12_</t>
  </si>
  <si>
    <t>Fixture Mounted Occupancy Sensor Controlling &gt; 60 Watts, &lt;200 Watts</t>
  </si>
  <si>
    <t>801020_2024_12_</t>
  </si>
  <si>
    <t>Remote Mounted Occupancy Sensor Controlling &gt; 150 Watts</t>
  </si>
  <si>
    <t>801025_2024_12_</t>
  </si>
  <si>
    <t>C&amp;I</t>
  </si>
  <si>
    <t>High End TRIM with Network Lighting Controls</t>
  </si>
  <si>
    <t>per kW controlled</t>
  </si>
  <si>
    <t>per building SF</t>
  </si>
  <si>
    <t>W/SF</t>
  </si>
  <si>
    <t>801030_2024_12_</t>
  </si>
  <si>
    <t>High End TRIM with Network Lighting Controls installed with Luminaire Level Lighting Control LED Fixtures</t>
  </si>
  <si>
    <t>per fixture</t>
  </si>
  <si>
    <t>W/fixture</t>
  </si>
  <si>
    <t>801035_2024_12_</t>
  </si>
  <si>
    <t>NLC, LLLC Additional Control Strategy (Daylighting,dimming,personal level control)</t>
  </si>
  <si>
    <t>programming per 1000W</t>
  </si>
  <si>
    <t xml:space="preserve"> </t>
  </si>
  <si>
    <t>2.6.6</t>
  </si>
  <si>
    <t>kWControlled</t>
  </si>
  <si>
    <t>ESF</t>
  </si>
  <si>
    <t>801010_2020_07</t>
  </si>
  <si>
    <t>801020_2020_07</t>
  </si>
  <si>
    <t>ESF =Energy Savings factor for fixture and remove controls (non NLC, LLLC),(represents the percentage reduction to the operating Hours from the non-controlled baseline lighting system). Determined on a site-specific basis or use 24% as default value</t>
  </si>
  <si>
    <t>Lighting - LED with `Luminaire Level Lighting Controls (LLLC)</t>
  </si>
  <si>
    <t>801243_2024_12_</t>
  </si>
  <si>
    <t>watt reduced</t>
  </si>
  <si>
    <t>801245_2024_12_</t>
  </si>
  <si>
    <t>801247_2024_12_</t>
  </si>
  <si>
    <t>801249_2024_12_</t>
  </si>
  <si>
    <t>801251_2024_12_</t>
  </si>
  <si>
    <t>Incremental cost per fixture</t>
  </si>
  <si>
    <t>Base Fixture Watts</t>
  </si>
  <si>
    <t>Efficient Fixture Watts</t>
  </si>
  <si>
    <t>Incremental Cost  per fixture for LLLC controls</t>
  </si>
  <si>
    <t>TRM Table LED New and Baseline Assumptions</t>
  </si>
  <si>
    <t>LED Fixture or Kit with LLLC controls replacing interior T5 (per watt reduced)</t>
  </si>
  <si>
    <t>LED 2x4 Recessed Light Fixture, 6001-7500 lumens , 4lamp</t>
  </si>
  <si>
    <t>LED Fixture or Kit with LLLC controls replacing interior T8 (per watt reduced)</t>
  </si>
  <si>
    <t>LED 2x4 Recessed Light Fixture, 4501-6000 lumens, 3lamp</t>
  </si>
  <si>
    <t>LED Fixture or Kit with LLLC controls replacing interior T12 (per watt reduced) - Before midlife baseline shift</t>
  </si>
  <si>
    <t>LED Fixture or Kit with LLLC controls replacing interior T12 (per watt reduced) - After midlife baseline shift</t>
  </si>
  <si>
    <t xml:space="preserve">LED Fixture or Kit with LLLC controls replacing interior high bay/low bay (per watt reduced) </t>
  </si>
  <si>
    <t xml:space="preserve">LED High-Bay Fixtures, 15,001-20,000 lumens </t>
  </si>
  <si>
    <t>ESF from 2.6.10 Lighting Controls for LLLC</t>
  </si>
  <si>
    <t>Commercial Solid and Glass Door Refrigerators &amp; Freezers</t>
  </si>
  <si>
    <t>801250_2024_12_</t>
  </si>
  <si>
    <t>0 &lt; V &lt; 15 - Vertical Closed - Solid Door Refrigerator</t>
  </si>
  <si>
    <t>Refrigeration BUS</t>
  </si>
  <si>
    <t>801300_2024_12_</t>
  </si>
  <si>
    <t>15 ≤ V &lt; 30 - Vertical Closed - Solid Door Refrigerator</t>
  </si>
  <si>
    <t>801350_2024_12_</t>
  </si>
  <si>
    <t>30 ≤ V &lt; 50 - Vertical Closed - Solid Door Refrigerator</t>
  </si>
  <si>
    <t>801400_2024_12_</t>
  </si>
  <si>
    <t>V ≥ 50 - Vertical Closed - Solid Door Refrigerator</t>
  </si>
  <si>
    <t>801450_2024_12_</t>
  </si>
  <si>
    <t>0 &lt; V &lt; 15 - Vertical Closed - Glass Door Refrigerator</t>
  </si>
  <si>
    <t>801500_2024_12_</t>
  </si>
  <si>
    <t>15 ≤ V &lt; 30 - Vertical Closed - Glass Door Refrigerator</t>
  </si>
  <si>
    <t>801550_2024_12_</t>
  </si>
  <si>
    <t>30 ≤ V &lt; 50 - Vertical Closed - Glass Door Refrigerator</t>
  </si>
  <si>
    <t>801600_2024_12_</t>
  </si>
  <si>
    <t>V ≥ 50 - Vertical Closed - Glass Door Refrigerator</t>
  </si>
  <si>
    <t>801700_2024_12_</t>
  </si>
  <si>
    <t>0 &lt; V &lt; 15 - Vertical Closed - Solid Door Freezer</t>
  </si>
  <si>
    <t>801750_2024_12_</t>
  </si>
  <si>
    <t>15 ≤ V &lt; 30 - Vertical Closed - Solid Door Freezer</t>
  </si>
  <si>
    <t>801800_2024_12_</t>
  </si>
  <si>
    <t>30 ≤ V &lt; 50 - Vertical Closed - Solid Door Freezer</t>
  </si>
  <si>
    <t>801850_2024_12_</t>
  </si>
  <si>
    <t>V ≥ 50 - Vertical Closed - Solid Door Freezer</t>
  </si>
  <si>
    <t>801900_2024_12_</t>
  </si>
  <si>
    <t>0 &lt; V &lt; 15 - Vertical Closed - Glass Door Freezer</t>
  </si>
  <si>
    <t>801950_2024_12_</t>
  </si>
  <si>
    <t>15 ≤ V &lt; 30 - Vertical Closed - Glass Door Freezer</t>
  </si>
  <si>
    <t>802000_2024_12_</t>
  </si>
  <si>
    <t>30 ≤ V &lt; 50 - Vertical Closed - Glass Door Freezer</t>
  </si>
  <si>
    <t>802050_2024_12_</t>
  </si>
  <si>
    <t>V ≥ 50 - Vertical Closed - Glass Door Freezer</t>
  </si>
  <si>
    <t>801650_2024_12_</t>
  </si>
  <si>
    <t>Horizontal Closed - Solid Door Refrigerator  - All Volumes</t>
  </si>
  <si>
    <t>801655_2024_12_</t>
  </si>
  <si>
    <t>Horizontal Closed - Glass Door Refrigerator  - All Volumes</t>
  </si>
  <si>
    <t>802100_2024_12_</t>
  </si>
  <si>
    <r>
      <t xml:space="preserve">Horizontal Closed - </t>
    </r>
    <r>
      <rPr>
        <sz val="11"/>
        <color rgb="FFFF0000"/>
        <rFont val="Calibri"/>
        <family val="2"/>
        <scheme val="minor"/>
      </rPr>
      <t>Solid Door</t>
    </r>
    <r>
      <rPr>
        <sz val="11"/>
        <rFont val="Calibri"/>
        <family val="2"/>
        <scheme val="minor"/>
      </rPr>
      <t xml:space="preserve"> Freezer  - All Volumes</t>
    </r>
  </si>
  <si>
    <t>ENERGY STAR 5 Commercial Food Service Calculator, Commercial Refrigerators and Freezers, Horizontal units have zero incremental cost</t>
  </si>
  <si>
    <t>2.9.1</t>
  </si>
  <si>
    <t>FACTOR</t>
  </si>
  <si>
    <t>Equipment Type</t>
  </si>
  <si>
    <r>
      <t>Volume Range (ft</t>
    </r>
    <r>
      <rPr>
        <vertAlign val="superscript"/>
        <sz val="11"/>
        <rFont val="Calibri"/>
        <family val="2"/>
        <scheme val="minor"/>
      </rPr>
      <t>3</t>
    </r>
    <r>
      <rPr>
        <sz val="11"/>
        <rFont val="Calibri"/>
        <family val="2"/>
        <scheme val="minor"/>
      </rPr>
      <t>)</t>
    </r>
  </si>
  <si>
    <r>
      <t>ENERGY STAR Refrigerator average Volume (ft</t>
    </r>
    <r>
      <rPr>
        <vertAlign val="superscript"/>
        <sz val="11"/>
        <rFont val="Calibri"/>
        <family val="2"/>
        <scheme val="minor"/>
      </rPr>
      <t>3</t>
    </r>
    <r>
      <rPr>
        <sz val="11"/>
        <rFont val="Calibri"/>
        <family val="2"/>
        <scheme val="minor"/>
      </rPr>
      <t>)</t>
    </r>
  </si>
  <si>
    <t>Energy Star Certified Refrigerator Average kWh per day</t>
  </si>
  <si>
    <t>DOE Baseline Refrigerator</t>
  </si>
  <si>
    <r>
      <t>ENERGY STAR Freezer average Volume (ft</t>
    </r>
    <r>
      <rPr>
        <vertAlign val="superscript"/>
        <sz val="11"/>
        <rFont val="Calibri"/>
        <family val="2"/>
        <scheme val="minor"/>
      </rPr>
      <t>3</t>
    </r>
    <r>
      <rPr>
        <sz val="11"/>
        <rFont val="Calibri"/>
        <family val="2"/>
        <scheme val="minor"/>
      </rPr>
      <t>)</t>
    </r>
  </si>
  <si>
    <t>Energy Star Certified Freezer Average kWh per day</t>
  </si>
  <si>
    <t>DOE Baseline Freezer</t>
  </si>
  <si>
    <t>(A x V) + B</t>
  </si>
  <si>
    <t>(C x V) + D</t>
  </si>
  <si>
    <t>V</t>
  </si>
  <si>
    <t>kWh</t>
  </si>
  <si>
    <t>A</t>
  </si>
  <si>
    <t>B</t>
  </si>
  <si>
    <t>C</t>
  </si>
  <si>
    <t>D</t>
  </si>
  <si>
    <t>daily kWh</t>
  </si>
  <si>
    <t>Vertical Closed - Solid Door</t>
  </si>
  <si>
    <t>0 &lt; V &lt; 15</t>
  </si>
  <si>
    <t>Daily Energy Star kWh</t>
  </si>
  <si>
    <t>15 ≤ V &lt; 30</t>
  </si>
  <si>
    <t>30 ≤ V &lt; 50</t>
  </si>
  <si>
    <t>V ≥ 50</t>
  </si>
  <si>
    <t>Vertical Closed - Glass Door</t>
  </si>
  <si>
    <t>Horizontal Closed - Solid  Door</t>
  </si>
  <si>
    <t>All Volumes</t>
  </si>
  <si>
    <t>Horizontal Closed - Glass Door</t>
  </si>
  <si>
    <t>HN</t>
  </si>
  <si>
    <t>No ENERGY STAR certified Horizontal Glass Door Freezer</t>
  </si>
  <si>
    <t>2024 DOE Efficiency Standards as of 2017</t>
  </si>
  <si>
    <t>Refrigerators &amp; Freezers Controls</t>
  </si>
  <si>
    <t>kWh Annual Savings (per door)</t>
  </si>
  <si>
    <t>Inc. Cost (per door)</t>
  </si>
  <si>
    <t>802150_2024_12_</t>
  </si>
  <si>
    <t>Anti-Sweat Heater Controls Refrigerator</t>
  </si>
  <si>
    <t>per door</t>
  </si>
  <si>
    <t>802200_2024_12_</t>
  </si>
  <si>
    <t>Anti-Sweat Heater Controls Freezer</t>
  </si>
  <si>
    <t>2.9.3</t>
  </si>
  <si>
    <t>Ameren DSM Participants self report cost 2014 to 2024</t>
  </si>
  <si>
    <t>Power Drawn Per Door (kW)</t>
  </si>
  <si>
    <t>DOORS</t>
  </si>
  <si>
    <t>% ON</t>
  </si>
  <si>
    <t>Cooling Bonus Factor (Less Waste Heat to Cool)</t>
  </si>
  <si>
    <t>Base</t>
  </si>
  <si>
    <t>Non-Controlled Door</t>
  </si>
  <si>
    <t>Efficient Refrigerator</t>
  </si>
  <si>
    <t>Efficient Freezer</t>
  </si>
  <si>
    <t>Heat Pump Water Heaters</t>
  </si>
  <si>
    <t>802250_2024_12_</t>
  </si>
  <si>
    <t>Heat Pump Water Heater replacing 98% Efficiency 2.9-14.6 kW (10 to 50 MBH)</t>
  </si>
  <si>
    <t>Water Heating BUS</t>
  </si>
  <si>
    <t>802300_2024_12_</t>
  </si>
  <si>
    <t>Heat Pump Water Heater replacing 98% Efficiency 14.7-29.3 kW (50 to 100 MBH)</t>
  </si>
  <si>
    <t>802350_2024_12_</t>
  </si>
  <si>
    <t>Heat Pump Water Heater replacing 98% Efficiency 29.4-87.9 kW (100 to 300 MBH)</t>
  </si>
  <si>
    <t>802400_2024_12_</t>
  </si>
  <si>
    <t>Heat Pump Water Heater replacing 98% Efficiency 88-146.5 kW (300 to 500 MBH)</t>
  </si>
  <si>
    <t>802450_2024_12_</t>
  </si>
  <si>
    <t>Heat Pump Water Heater replacing 98% Efficiency &gt;146.6 kW (above 500 MBH)</t>
  </si>
  <si>
    <t>802455_2024_12_</t>
  </si>
  <si>
    <r>
      <t xml:space="preserve">Heat Pump Water Heater replacing 98% Efficiency, </t>
    </r>
    <r>
      <rPr>
        <sz val="11"/>
        <color rgb="FFFF0000"/>
        <rFont val="Aptos Narrow"/>
        <family val="2"/>
      </rPr>
      <t>≤</t>
    </r>
    <r>
      <rPr>
        <sz val="11"/>
        <color rgb="FFFF0000"/>
        <rFont val="Calibri"/>
        <family val="2"/>
      </rPr>
      <t>55 gal, medium draw</t>
    </r>
  </si>
  <si>
    <t>802460_2024_12_</t>
  </si>
  <si>
    <r>
      <t xml:space="preserve">Heat Pump Water Heater replacing 98% Efficiency, </t>
    </r>
    <r>
      <rPr>
        <sz val="11"/>
        <color rgb="FFFF0000"/>
        <rFont val="Aptos Narrow"/>
        <family val="2"/>
      </rPr>
      <t>&gt;5</t>
    </r>
    <r>
      <rPr>
        <sz val="11"/>
        <color rgb="FFFF0000"/>
        <rFont val="Calibri"/>
        <family val="2"/>
      </rPr>
      <t xml:space="preserve">5 gal and </t>
    </r>
    <r>
      <rPr>
        <sz val="11"/>
        <color rgb="FFFF0000"/>
        <rFont val="Aptos Narrow"/>
        <family val="2"/>
      </rPr>
      <t>≤</t>
    </r>
    <r>
      <rPr>
        <sz val="11"/>
        <color rgb="FFFF0000"/>
        <rFont val="Calibri"/>
        <family val="2"/>
      </rPr>
      <t xml:space="preserve"> 120 gal, medium draw</t>
    </r>
  </si>
  <si>
    <t>2.4.3</t>
  </si>
  <si>
    <t>EFBASE</t>
  </si>
  <si>
    <t>EFEfficient</t>
  </si>
  <si>
    <t>HotWaterUse (Gallon)</t>
  </si>
  <si>
    <t>Capacity (gal)</t>
  </si>
  <si>
    <t>γWater</t>
  </si>
  <si>
    <t>Tout</t>
  </si>
  <si>
    <t>TIn</t>
  </si>
  <si>
    <t>kWhCool</t>
  </si>
  <si>
    <t>kWhHeat</t>
  </si>
  <si>
    <t>COPCool</t>
  </si>
  <si>
    <t>COPHeat</t>
  </si>
  <si>
    <t>Location Factor   LF</t>
  </si>
  <si>
    <t>%Cool</t>
  </si>
  <si>
    <t>%ElectricHeat</t>
  </si>
  <si>
    <t>Electric resistance efficiency</t>
  </si>
  <si>
    <t>Manufacturer data</t>
  </si>
  <si>
    <t>Consumption per stored gallon x Capacity, CADMUS Study</t>
  </si>
  <si>
    <t>MO 40" ground temp</t>
  </si>
  <si>
    <t>SEER 13.4</t>
  </si>
  <si>
    <t>Assumed if electric HW heat, then electric heated building</t>
  </si>
  <si>
    <t>Conditioned space</t>
  </si>
  <si>
    <t>Heat Pump Pool Heater</t>
  </si>
  <si>
    <t>Inc. Cost (per unit)</t>
  </si>
  <si>
    <t>802500_2024_12_</t>
  </si>
  <si>
    <t>Pool Heater Heat Pump (Uncovered)</t>
  </si>
  <si>
    <t>802550_2024_12_</t>
  </si>
  <si>
    <t>Pool Heater Heat Pump (Covered)</t>
  </si>
  <si>
    <t>2.7.3</t>
  </si>
  <si>
    <t>Uncovered Pool</t>
  </si>
  <si>
    <t>Covered Pool</t>
  </si>
  <si>
    <t>QPoolHeating</t>
  </si>
  <si>
    <t>SQFT</t>
  </si>
  <si>
    <t>EffBase</t>
  </si>
  <si>
    <t>EffEE</t>
  </si>
  <si>
    <t>Efee</t>
  </si>
  <si>
    <t>EFee</t>
  </si>
  <si>
    <t>Assumed size</t>
  </si>
  <si>
    <t>Electric Resistance</t>
  </si>
  <si>
    <t>AHRI data, all 3 phase heaters</t>
  </si>
  <si>
    <t>AHRI Directory, 3 phase heat pump pool heater, average COP</t>
  </si>
  <si>
    <t>Pool Pump</t>
  </si>
  <si>
    <t>Note: energy savings (per HP) do not align to incremental costs (per measure). TRC may not reflect actual cost effectiveness.</t>
  </si>
  <si>
    <t>kWh Annual Savings (per HP)</t>
  </si>
  <si>
    <t>802600_2019_12_</t>
  </si>
  <si>
    <t>Pool Pump w/ Variable Frequency Drive per HP</t>
  </si>
  <si>
    <t>Motors BUS</t>
  </si>
  <si>
    <t>per HP</t>
  </si>
  <si>
    <t>2.8.2</t>
  </si>
  <si>
    <t>SCE metering study</t>
  </si>
  <si>
    <t>Horsepower</t>
  </si>
  <si>
    <t>802650_2024_12_</t>
  </si>
  <si>
    <t>Pool Pump Timer per HP</t>
  </si>
  <si>
    <t>2.8.3</t>
  </si>
  <si>
    <t>Revised to per hp</t>
  </si>
  <si>
    <t>TimeSaved (hrs)</t>
  </si>
  <si>
    <t>Size (HP)</t>
  </si>
  <si>
    <t>Steam Cookers</t>
  </si>
  <si>
    <t>Idle_base</t>
  </si>
  <si>
    <t>Idle_EE</t>
  </si>
  <si>
    <t>Cooking_base</t>
  </si>
  <si>
    <t>Cooking_EE</t>
  </si>
  <si>
    <t>Preheat_base</t>
  </si>
  <si>
    <t>Preheat_EE</t>
  </si>
  <si>
    <t>EE</t>
  </si>
  <si>
    <t>kWh annual check</t>
  </si>
  <si>
    <t>802700_2024_12_</t>
  </si>
  <si>
    <t>3 Pan ENERGY STAR Steam Cooker</t>
  </si>
  <si>
    <t>Cooking BUS</t>
  </si>
  <si>
    <t>802750_2024_12_</t>
  </si>
  <si>
    <t>4 Pan ENERGY STAR Steam Cooker</t>
  </si>
  <si>
    <t>802800_2024_12_</t>
  </si>
  <si>
    <t>5 Pan ENERGY STAR Steam Cooker</t>
  </si>
  <si>
    <t>802850_2024_12_</t>
  </si>
  <si>
    <t>6 Pan ENERGY STAR Steam Cooker</t>
  </si>
  <si>
    <t>802855_2024_12_</t>
  </si>
  <si>
    <t>10 Pan ENERGY STAR Steam Cooker</t>
  </si>
  <si>
    <t>2.3.2</t>
  </si>
  <si>
    <t>average</t>
  </si>
  <si>
    <t>ENERGY STAR Commercial Kitchen Equipment Savings Calculator</t>
  </si>
  <si>
    <t>∆IdleEnergy</t>
  </si>
  <si>
    <t>∆CookingEnergy</t>
  </si>
  <si>
    <t>Days</t>
  </si>
  <si>
    <t>SteamMode</t>
  </si>
  <si>
    <t>IdleRateBase (W)</t>
  </si>
  <si>
    <t>IdleRateESTAR (W)</t>
  </si>
  <si>
    <t>ProductionBase (lb/hr)</t>
  </si>
  <si>
    <t>ProductionESTAR (lb/hr/pan)</t>
  </si>
  <si>
    <t>Pans</t>
  </si>
  <si>
    <t>EFOOD (Wh/lb)</t>
  </si>
  <si>
    <t>EffESTAR</t>
  </si>
  <si>
    <t>FoodCooked (lbs)</t>
  </si>
  <si>
    <t>∆PreHeat watthour</t>
  </si>
  <si>
    <t>Preheat Energy</t>
  </si>
  <si>
    <t>CFS Equipment Calculator</t>
  </si>
  <si>
    <t>Steam generator</t>
  </si>
  <si>
    <t>Holding Cabinet</t>
  </si>
  <si>
    <t>802900_2024_12_</t>
  </si>
  <si>
    <t>ENERGY STAR Hot Holding Cabinet (0 &lt; V &lt;13)</t>
  </si>
  <si>
    <t>802950_2024_12_</t>
  </si>
  <si>
    <t>ENERGY STAR Hot Holding Cabinet (13 ≤ V &lt;28)</t>
  </si>
  <si>
    <t>803000_2024_12_</t>
  </si>
  <si>
    <t>ENERGY STAR Hot Holding Cabinet (28 ≤ V)</t>
  </si>
  <si>
    <t>2.3.7</t>
  </si>
  <si>
    <t xml:space="preserve">ENERGY STAR CFS Equipment calculator </t>
  </si>
  <si>
    <r>
      <t>Volume (ft</t>
    </r>
    <r>
      <rPr>
        <vertAlign val="superscript"/>
        <sz val="11"/>
        <rFont val="Calibri"/>
        <family val="2"/>
        <scheme val="minor"/>
      </rPr>
      <t>3</t>
    </r>
    <r>
      <rPr>
        <sz val="11"/>
        <rFont val="Calibri"/>
        <family val="2"/>
        <scheme val="minor"/>
      </rPr>
      <t>)</t>
    </r>
  </si>
  <si>
    <t>IdleRateBase</t>
  </si>
  <si>
    <t>IdleRateESTAR</t>
  </si>
  <si>
    <t>0 &lt; V &lt;13</t>
  </si>
  <si>
    <r>
      <t xml:space="preserve">13 </t>
    </r>
    <r>
      <rPr>
        <sz val="11"/>
        <rFont val="Calibri"/>
        <family val="2"/>
      </rPr>
      <t>≤ V &lt;28</t>
    </r>
  </si>
  <si>
    <t>28 ≤ V</t>
  </si>
  <si>
    <t>ENERGY STAR CFS Equipment calculator base is 30W per cubic ft</t>
  </si>
  <si>
    <t>HVAC</t>
  </si>
  <si>
    <t>Note: energy savings (per ton) do not align to incremental costs (per measure). TRC may not reflect actual cost effectiveness.</t>
  </si>
  <si>
    <t>Total kWh Annual Savings per ton</t>
  </si>
  <si>
    <t>Cooling kWh Annual Savings (per Ton)</t>
  </si>
  <si>
    <t>Heating kWh Annual Savings (per ton)</t>
  </si>
  <si>
    <t>803050_2024_12_</t>
  </si>
  <si>
    <t>BSS/Standard</t>
  </si>
  <si>
    <t>Learning Thermostat, cooling and electric heat, per ton</t>
  </si>
  <si>
    <t>Cooling BUS</t>
  </si>
  <si>
    <t>Heating BUS</t>
  </si>
  <si>
    <t>per ton</t>
  </si>
  <si>
    <t>803060_2024_12_</t>
  </si>
  <si>
    <t>Learning Thermostat, cooling , per ton</t>
  </si>
  <si>
    <t>2.5.1</t>
  </si>
  <si>
    <t>CADMUS residential smart thermostat analysis for two vendors</t>
  </si>
  <si>
    <t>Per Ton revised units</t>
  </si>
  <si>
    <t>Ameren MO DSM 2019 to 2024 self report, then set to per ton</t>
  </si>
  <si>
    <t>Eff (EER/SEER)</t>
  </si>
  <si>
    <t>EFLHCool</t>
  </si>
  <si>
    <t>BtuhCool</t>
  </si>
  <si>
    <t>ESFCool</t>
  </si>
  <si>
    <t>EFLHHEAT</t>
  </si>
  <si>
    <t>ηHEAT</t>
  </si>
  <si>
    <t>BtuhHEAT</t>
  </si>
  <si>
    <t>ESFHEAT</t>
  </si>
  <si>
    <t>Inc Cost per thermostat</t>
  </si>
  <si>
    <t>Under 65k BTUh federal standard</t>
  </si>
  <si>
    <t>St Louis all building types average</t>
  </si>
  <si>
    <t>Cadmus Study</t>
  </si>
  <si>
    <t>Electric resistance and Heat Pump avg</t>
  </si>
  <si>
    <t>Ameren MO DSM 2019 to 2024 self report</t>
  </si>
  <si>
    <t>Inc. Cost (per HP)</t>
  </si>
  <si>
    <t>803100_2024_12_</t>
  </si>
  <si>
    <t>VFD on Chilled Water Pump &gt;= 1HP, per Hp</t>
  </si>
  <si>
    <t>per Hp</t>
  </si>
  <si>
    <t>803150_2024_12_</t>
  </si>
  <si>
    <t>VFD on Hot Water Pump &gt;= 1HP</t>
  </si>
  <si>
    <t>HVAC BUS</t>
  </si>
  <si>
    <t>803155_2024_12_</t>
  </si>
  <si>
    <t>VFD on Condenser Water Pump &gt;= 1HP</t>
  </si>
  <si>
    <t>803160_2024_12_</t>
  </si>
  <si>
    <t>VFD on Cooling Tower Fan &gt;= 1HP</t>
  </si>
  <si>
    <t>2.8.4</t>
  </si>
  <si>
    <t>Ameren DSM self reported cost 2019 to 2024</t>
  </si>
  <si>
    <t>BHP</t>
  </si>
  <si>
    <t>EEFi</t>
  </si>
  <si>
    <t>Typical size for incremental cost</t>
  </si>
  <si>
    <t>TRM 2.8.5 table Annual Hours of Use for VFD Pumps and Fans, Non-residential average</t>
  </si>
  <si>
    <t>TRM 2.8.5 table ESF for VFD Pumps and Fans</t>
  </si>
  <si>
    <t>Incremental cost = 300x HP +$1500</t>
  </si>
  <si>
    <t>803200_2024_12_</t>
  </si>
  <si>
    <t xml:space="preserve"> VFD on HVAC Fans &gt;= 1HP </t>
  </si>
  <si>
    <t>2.8.5</t>
  </si>
  <si>
    <t xml:space="preserve">Incremental cost = 300x HP +$1500 </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</si>
  <si>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</si>
  <si>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</si>
  <si>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</si>
  <si>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</si>
  <si>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</si>
  <si>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</si>
  <si>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</si>
  <si>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</si>
  <si>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</si>
  <si>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</si>
  <si>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</si>
  <si>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</si>
  <si>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</si>
  <si>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LF</t>
  </si>
  <si>
    <t>ηmotor</t>
  </si>
  <si>
    <t>RHRSBase</t>
  </si>
  <si>
    <t>ControlTypeFactorBase</t>
  </si>
  <si>
    <t>ControlTypeFactorEff</t>
  </si>
  <si>
    <t>IEenergy</t>
  </si>
  <si>
    <t>kWh Annual Savings per ton</t>
  </si>
  <si>
    <t>803250_2024_12_</t>
  </si>
  <si>
    <t>Single Package or Split Sytem Unitary AC_DX 135 - 240kbtu</t>
  </si>
  <si>
    <t>803300_2024_12_</t>
  </si>
  <si>
    <t>Single Package or Split Sytem Unitary AC_DX 240 - 760kBTUh</t>
  </si>
  <si>
    <t>803350_2024_12_</t>
  </si>
  <si>
    <t>Single Package or Split Sytem Unitary AC_DX 65 -135kBTUh</t>
  </si>
  <si>
    <t>803400_2024_12_</t>
  </si>
  <si>
    <t>Single Package or Split Sytem Unitary AC_DX &gt;760kBTUh</t>
  </si>
  <si>
    <t>803450_2024_12_</t>
  </si>
  <si>
    <t>Single Package or Split Sytem Unitary AC_DX &lt;65kBTUh</t>
  </si>
  <si>
    <t>2.5.7</t>
  </si>
  <si>
    <t>$104 per ton per IEER/SEER above baseline</t>
  </si>
  <si>
    <t>&lt;65 kBtu/hr</t>
  </si>
  <si>
    <r>
      <rPr>
        <b/>
        <sz val="11"/>
        <rFont val="Calibri"/>
        <family val="2"/>
      </rPr>
      <t>≥</t>
    </r>
    <r>
      <rPr>
        <b/>
        <sz val="11"/>
        <rFont val="Calibri"/>
        <family val="2"/>
        <scheme val="minor"/>
      </rPr>
      <t>65 kBtu/hr</t>
    </r>
  </si>
  <si>
    <t>Effective 1/1/24</t>
  </si>
  <si>
    <t>kBtu/hrCool</t>
  </si>
  <si>
    <t>SEERBase/
IEERBase</t>
  </si>
  <si>
    <t>SEERee/
IEERee</t>
  </si>
  <si>
    <t>EFLH</t>
  </si>
  <si>
    <t>∆IEER/SEER</t>
  </si>
  <si>
    <t>SEERBase/IEERBase</t>
  </si>
  <si>
    <t>SEERee/IEERee</t>
  </si>
  <si>
    <t xml:space="preserve">Only 1 unit listed in AHRI above </t>
  </si>
  <si>
    <t>760 kBTUh</t>
  </si>
  <si>
    <t>2023 DOE Federal Efficiency Standards, assumed gas heat, air source</t>
  </si>
  <si>
    <t>&lt;65KBTUh certified Energy Star average 15.93 light commercial; AHRI directory weighted average for 240 to 760 KBTUh is IEER 15.94, 65 to 135 kBTUh is IEER 16.5, 135 to 240 kBTUH is IEER 16.1</t>
  </si>
  <si>
    <t>Cooling</t>
  </si>
  <si>
    <t>Heating</t>
  </si>
  <si>
    <r>
      <t>Measure</t>
    </r>
    <r>
      <rPr>
        <sz val="11"/>
        <color rgb="FFFF0000"/>
        <rFont val="Calibri"/>
        <family val="2"/>
        <scheme val="minor"/>
      </rPr>
      <t xml:space="preserve"> (Geothermal, Water Source &amp; Air Source Heat Pumps)</t>
    </r>
  </si>
  <si>
    <t>Total kWh Annual Savings</t>
  </si>
  <si>
    <t>Cooling kWh Annual Savings (per ton)</t>
  </si>
  <si>
    <t>Inc. Cost     (per ton)</t>
  </si>
  <si>
    <t>803500_2024_12_</t>
  </si>
  <si>
    <t xml:space="preserve">GSHP  </t>
  </si>
  <si>
    <t xml:space="preserve">per ton   </t>
  </si>
  <si>
    <t>803570_2024_12_</t>
  </si>
  <si>
    <t>WSHP &lt;17 kBTUh per ton</t>
  </si>
  <si>
    <t>803575_2024_12_</t>
  </si>
  <si>
    <r>
      <t xml:space="preserve">WSHP </t>
    </r>
    <r>
      <rPr>
        <sz val="11"/>
        <color rgb="FFFF0000"/>
        <rFont val="Aptos Narrow"/>
        <family val="2"/>
      </rPr>
      <t>≥</t>
    </r>
    <r>
      <rPr>
        <sz val="11"/>
        <color rgb="FFFF0000"/>
        <rFont val="Calibri"/>
        <family val="2"/>
        <scheme val="minor"/>
      </rPr>
      <t>17 kBTUh and &lt;65 kBTUh per ton</t>
    </r>
  </si>
  <si>
    <t>803580_2024_12_</t>
  </si>
  <si>
    <r>
      <t xml:space="preserve">WSHP </t>
    </r>
    <r>
      <rPr>
        <sz val="11"/>
        <color rgb="FFFF0000"/>
        <rFont val="Aptos Narrow"/>
        <family val="2"/>
      </rPr>
      <t>≥</t>
    </r>
    <r>
      <rPr>
        <sz val="11"/>
        <color rgb="FFFF0000"/>
        <rFont val="Calibri"/>
        <family val="2"/>
        <scheme val="minor"/>
      </rPr>
      <t xml:space="preserve">65kBTUh and &lt;135 kBTUh per ton </t>
    </r>
  </si>
  <si>
    <t>803600_2024_12_</t>
  </si>
  <si>
    <r>
      <t xml:space="preserve">ASHP </t>
    </r>
    <r>
      <rPr>
        <sz val="11"/>
        <rFont val="Aptos Narrow"/>
        <family val="2"/>
      </rPr>
      <t>≥</t>
    </r>
    <r>
      <rPr>
        <sz val="11"/>
        <rFont val="Calibri"/>
        <family val="2"/>
        <scheme val="minor"/>
      </rPr>
      <t xml:space="preserve">65kBTUh and &lt;135 kBTUh per ton </t>
    </r>
  </si>
  <si>
    <t>803650_2024_12_</t>
  </si>
  <si>
    <r>
      <t xml:space="preserve">ASHP </t>
    </r>
    <r>
      <rPr>
        <sz val="11"/>
        <rFont val="Aptos Narrow"/>
        <family val="2"/>
      </rPr>
      <t>≥1</t>
    </r>
    <r>
      <rPr>
        <sz val="11"/>
        <rFont val="Calibri"/>
        <family val="2"/>
        <scheme val="minor"/>
      </rPr>
      <t xml:space="preserve">35kBTUh and &lt;240 kBTUh per ton </t>
    </r>
  </si>
  <si>
    <t>803700_2024_12_</t>
  </si>
  <si>
    <t>ASHP &gt;240kBTUh per ton</t>
  </si>
  <si>
    <t>803750_2024_12_</t>
  </si>
  <si>
    <t xml:space="preserve">ASHP &lt;65kBTUh per ton </t>
  </si>
  <si>
    <t>2.5.5</t>
  </si>
  <si>
    <r>
      <rPr>
        <b/>
        <sz val="10"/>
        <rFont val="Calibri"/>
        <family val="2"/>
      </rPr>
      <t>≥</t>
    </r>
    <r>
      <rPr>
        <b/>
        <sz val="10"/>
        <rFont val="Calibri"/>
        <family val="2"/>
        <scheme val="minor"/>
      </rPr>
      <t>65 kBtu/hr</t>
    </r>
  </si>
  <si>
    <t>EERBase</t>
  </si>
  <si>
    <t>EERee</t>
  </si>
  <si>
    <t>SEERbase/
IEERbase</t>
  </si>
  <si>
    <t>COPbase</t>
  </si>
  <si>
    <t>COPee</t>
  </si>
  <si>
    <t>HSPFBase</t>
  </si>
  <si>
    <t>HSPFee</t>
  </si>
  <si>
    <t>kBtu/hrHeat</t>
  </si>
  <si>
    <t>EFLHHeat</t>
  </si>
  <si>
    <t>Closed Loop Water to Air</t>
  </si>
  <si>
    <t>SEERbase/IEERbase</t>
  </si>
  <si>
    <t>2023 DOE Federal Standard</t>
  </si>
  <si>
    <t>2024 AHRI weighted average and 2024 ENERGY STAR</t>
  </si>
  <si>
    <t>kWh Annual Savings (per ton)</t>
  </si>
  <si>
    <t>Inc. Cost (per ton)</t>
  </si>
  <si>
    <t>803800_2024_12_</t>
  </si>
  <si>
    <t>Air Cooled Chiller</t>
  </si>
  <si>
    <t>803810_2024_12_</t>
  </si>
  <si>
    <t>Water Cooled Chiller</t>
  </si>
  <si>
    <t>2.5.4</t>
  </si>
  <si>
    <t>TONS</t>
  </si>
  <si>
    <t>IPLVbase (kW/ton)</t>
  </si>
  <si>
    <t>IPLVee (kW/Ton)</t>
  </si>
  <si>
    <t>∆IPLV</t>
  </si>
  <si>
    <t>Incremental cost per 0.01 IPLV per ton</t>
  </si>
  <si>
    <t>IPLV_base: AC Chiller Baseline IPLV assumes the 13.7 EER Minimum Requirement for &lt; 150 ton unit in IECC 2015; WC Chiller Baseline IPLV assumes the 0.54 kW/ton Minimum Requirement for 150-300 ton WC Chiller in IECC 2015</t>
  </si>
  <si>
    <t>IPLV_ee: WC Chiller Baseline IPLV assumes 20% improvement in chiller efficiency compared to baseline</t>
  </si>
  <si>
    <t>803820_2024_12_</t>
  </si>
  <si>
    <t>Air Cooled Chiller Tune up</t>
  </si>
  <si>
    <t>803825_2024_12_</t>
  </si>
  <si>
    <t>Water Cooled Chiller Tune up</t>
  </si>
  <si>
    <t>2.5.10</t>
  </si>
  <si>
    <t>IPLV_base: AC Chiller Baseline IPLV assumes the 12.5 EER Minimum Requirement for &lt; 150 ton unit in IECC 2009/2012; WC Chiller Baseline IPLV assumes the 0.58 kW/ton Minimum Requirement for 150-300 ton WC Chiller in IECC 2009/2012</t>
  </si>
  <si>
    <t>Total kWh Annual Savings
kWh per lb/hr</t>
  </si>
  <si>
    <t>Cooling, dehumidification savings 
 kWh per lb/hr</t>
  </si>
  <si>
    <t>Heating Savings
kWh per lb/hr (normalized from kBTUh)</t>
  </si>
  <si>
    <t xml:space="preserve">Inc. Cost    </t>
  </si>
  <si>
    <t>803835_2024_12_</t>
  </si>
  <si>
    <t>DOAS, dehumidification</t>
  </si>
  <si>
    <t>lb/hr</t>
  </si>
  <si>
    <t>803837_2024_12_</t>
  </si>
  <si>
    <t>DOAS, dehumdiification, latent cooling, sensible cooling</t>
  </si>
  <si>
    <t>803839_2024_12_</t>
  </si>
  <si>
    <t>DOAS, dehumification, latent cooling, sensible cooling, ASHP heating 17F rated</t>
  </si>
  <si>
    <t>803841_2024_12_</t>
  </si>
  <si>
    <t xml:space="preserve">DOAS, VRS,dehumidification </t>
  </si>
  <si>
    <t>803843_2024_12_</t>
  </si>
  <si>
    <t xml:space="preserve">DOAS, VRS, dehumification, latent cooling, sensible cooling </t>
  </si>
  <si>
    <t>803845_2024_12_</t>
  </si>
  <si>
    <t xml:space="preserve">DOAS, VRS, dehumification, latent cooling, sensible cooling, ASHP heating 17F rated  </t>
  </si>
  <si>
    <t>*Dedicated Outdoor Systems (DOAS)</t>
  </si>
  <si>
    <t>1ton 400 CFM</t>
  </si>
  <si>
    <t>Typical 70 lb/hr, 10 ton w/o VERS is $7,700 inc cost</t>
  </si>
  <si>
    <t>2.5.12</t>
  </si>
  <si>
    <t>MRC lb/hr</t>
  </si>
  <si>
    <t>ISMRE2_base</t>
  </si>
  <si>
    <t>ISMRE2_ee</t>
  </si>
  <si>
    <t>ISCOP2_base</t>
  </si>
  <si>
    <t>ISCOP2_ee</t>
  </si>
  <si>
    <t>EFLH_dehumidification</t>
  </si>
  <si>
    <t>EFLH_sensible Latent</t>
  </si>
  <si>
    <t xml:space="preserve">EFLH Heat  </t>
  </si>
  <si>
    <t>Approximate MRC per KBTUh</t>
  </si>
  <si>
    <t>Appliances</t>
  </si>
  <si>
    <t>803850_2024_12_</t>
  </si>
  <si>
    <t>Clothes Washer (Electric DHW; Electric Dryer)</t>
  </si>
  <si>
    <t>803900_2024_12_</t>
  </si>
  <si>
    <t>Clothes Washer (Gas DHW; Electric Dryer)</t>
  </si>
  <si>
    <t>803950_2024_12_</t>
  </si>
  <si>
    <t>Clothes Washer (Electric DHW; Gas Dryer)</t>
  </si>
  <si>
    <t>804000_2024_12_</t>
  </si>
  <si>
    <t>Clothes Washer (Gas DHW; Gas Dryer)</t>
  </si>
  <si>
    <t>2.1.1</t>
  </si>
  <si>
    <t>ENERGY STAR V8</t>
  </si>
  <si>
    <t>Capacity (cubic feet)</t>
  </si>
  <si>
    <t>MEFbase</t>
  </si>
  <si>
    <t>MEFeff</t>
  </si>
  <si>
    <t>Ncycles</t>
  </si>
  <si>
    <t>%CWbase</t>
  </si>
  <si>
    <t>%CWeff</t>
  </si>
  <si>
    <t>%DHWbase</t>
  </si>
  <si>
    <t>%DHWeff</t>
  </si>
  <si>
    <t>%Dryerbase</t>
  </si>
  <si>
    <t>%Dryereff</t>
  </si>
  <si>
    <t>%ElectricDHW</t>
  </si>
  <si>
    <t>%ElectricDryer</t>
  </si>
  <si>
    <t>Appliance standards</t>
  </si>
  <si>
    <t>Average of certified commercial front load</t>
  </si>
  <si>
    <t>804050_2024_12_</t>
  </si>
  <si>
    <t>Clothes Dryer Vented Electric, Standard (≥ 4.4 ft3)</t>
  </si>
  <si>
    <t>804100_2024_12_</t>
  </si>
  <si>
    <r>
      <rPr>
        <strike/>
        <sz val="11"/>
        <rFont val="Calibri"/>
        <family val="2"/>
        <scheme val="minor"/>
      </rPr>
      <t>Clothes Dryer Vented</t>
    </r>
    <r>
      <rPr>
        <strike/>
        <sz val="11"/>
        <color rgb="FFFF0000"/>
        <rFont val="Calibri"/>
        <family val="2"/>
        <scheme val="minor"/>
      </rPr>
      <t>/Ventless</t>
    </r>
    <r>
      <rPr>
        <strike/>
        <sz val="11"/>
        <rFont val="Calibri"/>
        <family val="2"/>
        <scheme val="minor"/>
      </rPr>
      <t xml:space="preserve"> Electric, Compact (120V) (&lt; 4.4 ft3)</t>
    </r>
  </si>
  <si>
    <t>804200_2024_12_</t>
  </si>
  <si>
    <t>Clothes Dryer Ventless Electric, Compact (240V) (&lt;4.4 ft3)</t>
  </si>
  <si>
    <t>2.1.2</t>
  </si>
  <si>
    <t>On premise laundromat cycles</t>
  </si>
  <si>
    <t>Load</t>
  </si>
  <si>
    <t>CEFbase</t>
  </si>
  <si>
    <t>CEFeff</t>
  </si>
  <si>
    <t>%Electric</t>
  </si>
  <si>
    <t>Multifamily kWh annual savings, 1074 cycles</t>
  </si>
  <si>
    <t>On premise laundromat kWh annual savings 3607 cycles</t>
  </si>
  <si>
    <t>2024 Energy Star average</t>
  </si>
  <si>
    <t>Compressed Air</t>
  </si>
  <si>
    <t>804300_2024_12_</t>
  </si>
  <si>
    <t>No Loss Condensate Drain (Reciprocating - On/off Control)</t>
  </si>
  <si>
    <t>Air Comp BUS</t>
  </si>
  <si>
    <t>804350_2024_12_</t>
  </si>
  <si>
    <t>No Loss Condensate Drain (Reciprocating - Load/Unload)</t>
  </si>
  <si>
    <t>804400_2024_12_</t>
  </si>
  <si>
    <t>No Loss Condensate Drain (Screw - Load/Unload)</t>
  </si>
  <si>
    <t>804450_2024_12_</t>
  </si>
  <si>
    <t>No Loss Condensate Drain (Screw - Inlet Modulation)</t>
  </si>
  <si>
    <t>804500_2024_12_</t>
  </si>
  <si>
    <t>No Loss Condensate Drain (Screw - Inlet Modulation w/ Unloading)</t>
  </si>
  <si>
    <t>804550_2024_12_</t>
  </si>
  <si>
    <t>No Loss Condensate Drain (Screw - Variable Displacement)</t>
  </si>
  <si>
    <t>804600_2024_12_</t>
  </si>
  <si>
    <t>No Loss Condensate Drain (Screw - VFD)</t>
  </si>
  <si>
    <t>2.2.1</t>
  </si>
  <si>
    <t>CFMreduced</t>
  </si>
  <si>
    <t>kWcfm</t>
  </si>
  <si>
    <t>804650_2024_12_</t>
  </si>
  <si>
    <t>Compressed Air Nozzle (Reciprocating - On/off Control)</t>
  </si>
  <si>
    <t>804700_2024_12_</t>
  </si>
  <si>
    <t>Compressed Air Nozzle (Reciprocating - Load/Unload)</t>
  </si>
  <si>
    <t>804750_2024_12_</t>
  </si>
  <si>
    <t>Compressed Air Nozzle (Screw - Load/Unload)</t>
  </si>
  <si>
    <t>804800_2024_12_</t>
  </si>
  <si>
    <t>Compressed Air Nozzle (Screw - Inlet Modulation)</t>
  </si>
  <si>
    <t>804850_2024_12_</t>
  </si>
  <si>
    <t>Compressed Air Nozzle (Screw - Inlet Modulation w/ blowdown)</t>
  </si>
  <si>
    <t>804900_2024_12_</t>
  </si>
  <si>
    <t>Compressed Air Nozzle (Screw - Variable Displacement)</t>
  </si>
  <si>
    <t>804950_2024_12_</t>
  </si>
  <si>
    <t>Compressed Air Nozzle (Screw - VFD)</t>
  </si>
  <si>
    <t>2.2.3</t>
  </si>
  <si>
    <t>1/4" nozzle</t>
  </si>
  <si>
    <t>SCFM</t>
  </si>
  <si>
    <t>SCFM%reduced</t>
  </si>
  <si>
    <t>kW/CFM(0.19)  x CCAF</t>
  </si>
  <si>
    <t>%Use</t>
  </si>
  <si>
    <t>CCAF</t>
  </si>
  <si>
    <t>Inc. Cost per HP</t>
  </si>
  <si>
    <t>805000_2024_12_</t>
  </si>
  <si>
    <t>VSD Air Compressor 5-40 HP</t>
  </si>
  <si>
    <t>"=(127*HPcomp)+1446"</t>
  </si>
  <si>
    <t>"=((127*HPcomp)+1446)*1.24"</t>
  </si>
  <si>
    <t>805001_2024_12_</t>
  </si>
  <si>
    <t>VSD Air Compressor &gt;40-&lt;50 HP</t>
  </si>
  <si>
    <t>805002_2024_12_</t>
  </si>
  <si>
    <t>VSD Air Compressor 50-200 HP</t>
  </si>
  <si>
    <t>2.2.4</t>
  </si>
  <si>
    <t>HP; assumption for TRC</t>
  </si>
  <si>
    <t>hpcompressor</t>
  </si>
  <si>
    <t>CFb</t>
  </si>
  <si>
    <t>Cfe</t>
  </si>
  <si>
    <t>HP for incremental cost</t>
  </si>
  <si>
    <t>Incremental cost per compressor</t>
  </si>
  <si>
    <r>
      <t xml:space="preserve">Incremental Cost ($) </t>
    </r>
    <r>
      <rPr>
        <i/>
        <sz val="12"/>
        <color rgb="FFFF0000"/>
        <rFont val="Times New Roman"/>
        <family val="1"/>
      </rPr>
      <t>=</t>
    </r>
    <r>
      <rPr>
        <sz val="12"/>
        <color rgb="FFFF0000"/>
        <rFont val="Times New Roman"/>
        <family val="1"/>
      </rPr>
      <t xml:space="preserve"> ((127 x hp</t>
    </r>
    <r>
      <rPr>
        <vertAlign val="subscript"/>
        <sz val="12"/>
        <color rgb="FFFF0000"/>
        <rFont val="Times New Roman"/>
        <family val="1"/>
      </rPr>
      <t>compressor</t>
    </r>
    <r>
      <rPr>
        <sz val="12"/>
        <color rgb="FFFF0000"/>
        <rFont val="Times New Roman"/>
        <family val="1"/>
      </rPr>
      <t>) + 1446) x 1.43</t>
    </r>
  </si>
  <si>
    <t>Note: Incremental cost is the actual cost. TRC is calculated on a project by project basis.</t>
  </si>
  <si>
    <t>kWh Annual Savings (per CFM Reduced)</t>
  </si>
  <si>
    <t>805020_2024_12_</t>
  </si>
  <si>
    <t>Leak Repair  (Reciprocating - On/off Control)</t>
  </si>
  <si>
    <t>Actual</t>
  </si>
  <si>
    <t>per CFM Reduced</t>
  </si>
  <si>
    <t>805022_2024_12_</t>
  </si>
  <si>
    <t>Leak Repair (Reciprocating - Load/Unload)</t>
  </si>
  <si>
    <t>805024_2024_12_</t>
  </si>
  <si>
    <t>Leak Repair (Screw - Load/Unload)</t>
  </si>
  <si>
    <t>805026_2024_12_</t>
  </si>
  <si>
    <t>Leak Repair (Screw - Inlet Modulation)</t>
  </si>
  <si>
    <t>805028_2024_12_</t>
  </si>
  <si>
    <t>Leak Repair (Screw - Inlet Modulation w/ Blowdown)</t>
  </si>
  <si>
    <t>805030_2024_12_</t>
  </si>
  <si>
    <t>Leak Repair (Screw - Variable Displacement)</t>
  </si>
  <si>
    <t>805032_2024_12_</t>
  </si>
  <si>
    <t>Leak Repair  (Screw - VFD)</t>
  </si>
  <si>
    <t>2.2.2</t>
  </si>
  <si>
    <t>Notes</t>
  </si>
  <si>
    <t xml:space="preserve">Hours assumes a 3-shift (24/5) schedule, i.e., 24 hours per day, weekdays, minus some holidays and scheduled down time </t>
  </si>
  <si>
    <t>Combination Oven</t>
  </si>
  <si>
    <t>805050_2024_12_</t>
  </si>
  <si>
    <t xml:space="preserve">Combination Oven (Pan Capacity  5 - 40) </t>
  </si>
  <si>
    <t>805100_2024_12_</t>
  </si>
  <si>
    <r>
      <t xml:space="preserve">Combination Oven (Pan Capacity </t>
    </r>
    <r>
      <rPr>
        <strike/>
        <sz val="11"/>
        <color rgb="FFFF0000"/>
        <rFont val="Calibri"/>
        <family val="2"/>
      </rPr>
      <t>&lt; 5</t>
    </r>
    <r>
      <rPr>
        <strike/>
        <sz val="9.9"/>
        <color rgb="FFFF0000"/>
        <rFont val="Calibri"/>
        <family val="2"/>
      </rPr>
      <t xml:space="preserve"> </t>
    </r>
    <r>
      <rPr>
        <strike/>
        <sz val="11"/>
        <color rgb="FFFF0000"/>
        <rFont val="Calibri"/>
        <family val="2"/>
        <scheme val="minor"/>
      </rPr>
      <t>)</t>
    </r>
  </si>
  <si>
    <t>2.3.1</t>
  </si>
  <si>
    <t>Combination Oven (Pan Capacity ≥ 15)</t>
  </si>
  <si>
    <t>Energy Star Calculators changed size ranges of Combo Ovens from  so historical  values have little meaning and therefore not reflected</t>
  </si>
  <si>
    <t>FoodCookedElec (lbs)</t>
  </si>
  <si>
    <t>EFOODConvElec (Wh/lb)</t>
  </si>
  <si>
    <t>ElecEFFConvBase</t>
  </si>
  <si>
    <t>ElecEFFConvEE</t>
  </si>
  <si>
    <t>%Conv</t>
  </si>
  <si>
    <t>EFOODSteamElec (Wh/lb)</t>
  </si>
  <si>
    <t>ElecEFFSteamBase</t>
  </si>
  <si>
    <t>ElecEFFSteamEE</t>
  </si>
  <si>
    <t>%Steam</t>
  </si>
  <si>
    <t>ElecIDLEConvBase (W)</t>
  </si>
  <si>
    <t>ElecIDLESteamBase (W)</t>
  </si>
  <si>
    <t>PreHeat
(W)</t>
  </si>
  <si>
    <t>PreHeat (W)</t>
  </si>
  <si>
    <t>Hours (Daily)</t>
  </si>
  <si>
    <t>ElecPCConvBase (lbs/hr)</t>
  </si>
  <si>
    <t>ElecPCSteamBase (lbs/hr)</t>
  </si>
  <si>
    <t>ElecIDLEConvEE</t>
  </si>
  <si>
    <t>P (Pan Capacity)</t>
  </si>
  <si>
    <t>ElecPCSteamEE (lbs/hr)</t>
  </si>
  <si>
    <t>ElecPCConvEE (lbs/hr)</t>
  </si>
  <si>
    <t>ElecIDLESteamEE</t>
  </si>
  <si>
    <t>https://www.energystar.gov/sites/default/files/2024-03/CFS%20Equipment%20Calculator.xlsx</t>
  </si>
  <si>
    <t>Fryer</t>
  </si>
  <si>
    <t>Note: Incremental cost is $0.</t>
  </si>
  <si>
    <t>805150_2024_12_</t>
  </si>
  <si>
    <t>Standard Open Deep-Fat Fryer</t>
  </si>
  <si>
    <t>805200_2024_12_</t>
  </si>
  <si>
    <t>Large Vat Open Deep-Fat Fryer</t>
  </si>
  <si>
    <t>2.3.3</t>
  </si>
  <si>
    <t>ElecIdleBase (W)</t>
  </si>
  <si>
    <t>ElecIdleESTAR (W)</t>
  </si>
  <si>
    <t>Food Cooked (lbs per day)</t>
  </si>
  <si>
    <t>ElecPCBase (lb/hr)</t>
  </si>
  <si>
    <t>ElecPCESTAR (lb/hr)</t>
  </si>
  <si>
    <t>EFOODElec (Wh/lb)</t>
  </si>
  <si>
    <t>ElecEffBase</t>
  </si>
  <si>
    <t>ElecEffESTAR</t>
  </si>
  <si>
    <t>Convection Oven</t>
  </si>
  <si>
    <t>805250_2024_12_</t>
  </si>
  <si>
    <t>Convection Oven (Full Size) &gt;5 pans</t>
  </si>
  <si>
    <t>805275_2024_12_</t>
  </si>
  <si>
    <t>Convection Oven (Full Size) &lt;5 pans</t>
  </si>
  <si>
    <t>805300_2024_12_</t>
  </si>
  <si>
    <t>Convection Oven (Half Size)</t>
  </si>
  <si>
    <t>2.3.4</t>
  </si>
  <si>
    <t>Griddle</t>
  </si>
  <si>
    <t>805350_2024_12_</t>
  </si>
  <si>
    <t>Griddle, single sided</t>
  </si>
  <si>
    <t>2.3.5</t>
  </si>
  <si>
    <t>Energy Star Calculator</t>
  </si>
  <si>
    <t>ElecIdleBase (W/sqft)</t>
  </si>
  <si>
    <t>ElecRateESTAR (W/sqft)</t>
  </si>
  <si>
    <t>Width (ft)</t>
  </si>
  <si>
    <t>Depth (ft)</t>
  </si>
  <si>
    <t>FoodCooked (lbs/day)</t>
  </si>
  <si>
    <t>Kitchen Demand Ventilation Controls</t>
  </si>
  <si>
    <t>Inc. Cost (per Hp)</t>
  </si>
  <si>
    <t>805405_2020_07_</t>
  </si>
  <si>
    <t>Kitchen Demand Ventilation Controls, Retrofit</t>
  </si>
  <si>
    <t>805410_2020_07_</t>
  </si>
  <si>
    <t>Kitchen Demand Ventilation Controls, New</t>
  </si>
  <si>
    <t>2.3.6</t>
  </si>
  <si>
    <t>Savings per HP (kWh)</t>
  </si>
  <si>
    <t>Pre-Rinse Spray Valve</t>
  </si>
  <si>
    <t xml:space="preserve">kWh Annual Savings </t>
  </si>
  <si>
    <t>805450_2024_12_</t>
  </si>
  <si>
    <t>2.3.8</t>
  </si>
  <si>
    <t>∆Gallons</t>
  </si>
  <si>
    <t>FLObase (gal/min)</t>
  </si>
  <si>
    <t>FLOeff (gal/min)</t>
  </si>
  <si>
    <t>HOURSday</t>
  </si>
  <si>
    <t>DAYSyear</t>
  </si>
  <si>
    <t>Tin</t>
  </si>
  <si>
    <t>EFF_Elec</t>
  </si>
  <si>
    <t>federal standard</t>
  </si>
  <si>
    <t>efficient low flow valve</t>
  </si>
  <si>
    <t>Low Flow Faucet Aerator</t>
  </si>
  <si>
    <t>805500_2024_12_</t>
  </si>
  <si>
    <t>2.4.1</t>
  </si>
  <si>
    <t>GPMbase</t>
  </si>
  <si>
    <t>GPMlow</t>
  </si>
  <si>
    <t>Usage (GPY)</t>
  </si>
  <si>
    <t>EPGelectric</t>
  </si>
  <si>
    <t>WaterTempmixed</t>
  </si>
  <si>
    <t>WaterTempsupply</t>
  </si>
  <si>
    <t>REelectric</t>
  </si>
  <si>
    <t>Bathroom aerator</t>
  </si>
  <si>
    <t>Circulator Pump</t>
  </si>
  <si>
    <t>805550_2019_12_</t>
  </si>
  <si>
    <t>2.4.2</t>
  </si>
  <si>
    <t>Small Commercial Programmable Thermostats</t>
  </si>
  <si>
    <t>Note: energy savings (per sqft) do not align to incremental costs (per measure). TRC may not reflect actual cost effectiveness.</t>
  </si>
  <si>
    <t>kWh Annual Savings (per sqft)</t>
  </si>
  <si>
    <t>805600_2024_12_</t>
  </si>
  <si>
    <t>2.5.2</t>
  </si>
  <si>
    <t>Sqft</t>
  </si>
  <si>
    <t>EERexist</t>
  </si>
  <si>
    <t>Savings Factor kWh/sqft-yr</t>
  </si>
  <si>
    <t>PF</t>
  </si>
  <si>
    <t>Demand Controlled Ventilation</t>
  </si>
  <si>
    <t>805650_2019_12_</t>
  </si>
  <si>
    <t>Demand Controlled Ventillation (Gas Heat)</t>
  </si>
  <si>
    <t>per sq. ft.</t>
  </si>
  <si>
    <t>805700_2019_12_</t>
  </si>
  <si>
    <t>Demand Controlled Ventillation (Electric Heat)</t>
  </si>
  <si>
    <t>805750_2019_12_</t>
  </si>
  <si>
    <t>Demand Controlled Ventillation (Heat Pump)</t>
  </si>
  <si>
    <t>SQFTcond</t>
  </si>
  <si>
    <t>SFcooling</t>
  </si>
  <si>
    <t>SFheat</t>
  </si>
  <si>
    <t>Advanced RTU Controls</t>
  </si>
  <si>
    <t>805800_2019_12_</t>
  </si>
  <si>
    <t>2.5.3</t>
  </si>
  <si>
    <t>Psf</t>
  </si>
  <si>
    <t>SF (kWh/hour/HP)</t>
  </si>
  <si>
    <t>Hoursfan</t>
  </si>
  <si>
    <t>PTAC &amp; PTHP</t>
  </si>
  <si>
    <t>kWh Annual Savings (per ton) first 5 years</t>
  </si>
  <si>
    <t>kWh Annual Savings (per ton) next ten years</t>
  </si>
  <si>
    <t>kW (per ton) first 5 years</t>
  </si>
  <si>
    <t>kW (per ton) next ten years</t>
  </si>
  <si>
    <t>805850_2019_12_</t>
  </si>
  <si>
    <t>PTAC</t>
  </si>
  <si>
    <t>805900_2019_12_</t>
  </si>
  <si>
    <t>PTHP</t>
  </si>
  <si>
    <t>kBtucool/hr</t>
  </si>
  <si>
    <t>EFLHcool</t>
  </si>
  <si>
    <t>EFLHheat</t>
  </si>
  <si>
    <t>EERbase</t>
  </si>
  <si>
    <t>kBtuheat/hr</t>
  </si>
  <si>
    <t>COPexist</t>
  </si>
  <si>
    <t>PTAC Standard Size</t>
  </si>
  <si>
    <t>PTHP Standard Size</t>
  </si>
  <si>
    <t>Refrigerated Beverage Vending Machine</t>
  </si>
  <si>
    <t>Note: energy savings (per cubicft) do not align to incremental costs (per measure). TRC may not reflect actual cost effectiveness.</t>
  </si>
  <si>
    <t>kWh Annual Savings (per cubicft)</t>
  </si>
  <si>
    <t>805950_2024_12_</t>
  </si>
  <si>
    <t>Refrigerated Beverage Vending Machine (Class A)</t>
  </si>
  <si>
    <t>806000_2024_12_</t>
  </si>
  <si>
    <t>Refrigerated Beverage Vending Machine (Class B)</t>
  </si>
  <si>
    <t>2.9.2</t>
  </si>
  <si>
    <t>kWhBase</t>
  </si>
  <si>
    <t>kWhESTAR</t>
  </si>
  <si>
    <t>ECM for Walk-in &amp; Reach-in Coolers/Freezers</t>
  </si>
  <si>
    <t>kWh Annual Savings (per motor)</t>
  </si>
  <si>
    <t>Inc. Cost (per motor)</t>
  </si>
  <si>
    <t>806050_2024_12_</t>
  </si>
  <si>
    <t>ECM for Walk-in &amp; Reach-in Coolers</t>
  </si>
  <si>
    <t>per motor</t>
  </si>
  <si>
    <t>806055_2024_12_</t>
  </si>
  <si>
    <t>ECM for Walk-in &amp; Reach-in Freezers</t>
  </si>
  <si>
    <t>2.9.4</t>
  </si>
  <si>
    <t>* Originally had single measure that covered both freezers and Refrigerators.  Split this into two measures due to  separate incremental cost identified.</t>
  </si>
  <si>
    <t>Savings per motor (kWh)</t>
  </si>
  <si>
    <t>motors</t>
  </si>
  <si>
    <t>High Volume Low Speed Fans</t>
  </si>
  <si>
    <t>kWh Annual Savings (per measure)</t>
  </si>
  <si>
    <t>806090_2024_12_</t>
  </si>
  <si>
    <t>High Volume Low Speed Fan, 16</t>
  </si>
  <si>
    <t>806095_2024_12_</t>
  </si>
  <si>
    <t>High Volume Low Speed Fan, 18</t>
  </si>
  <si>
    <t>806100_2020_07_</t>
  </si>
  <si>
    <t>High Volume Low Speed Fan, 20</t>
  </si>
  <si>
    <t>806110_2020_07_</t>
  </si>
  <si>
    <t>High Volume Low Speed Fan, 22</t>
  </si>
  <si>
    <t>806120_2020_07_</t>
  </si>
  <si>
    <t>High Volume Low Speed Fan, 24</t>
  </si>
  <si>
    <t>2.5.8</t>
  </si>
  <si>
    <t>Savings per Fan (kWh)</t>
  </si>
  <si>
    <t>Fans</t>
  </si>
  <si>
    <t>Custom Measure</t>
  </si>
  <si>
    <r>
      <t>999999_</t>
    </r>
    <r>
      <rPr>
        <sz val="11"/>
        <color rgb="FFFF0000"/>
        <rFont val="Calibri"/>
        <family val="2"/>
        <scheme val="minor"/>
      </rPr>
      <t>2024_12</t>
    </r>
  </si>
  <si>
    <t>Custom</t>
  </si>
  <si>
    <t>Custom-Air Comp</t>
  </si>
  <si>
    <t>Variable</t>
  </si>
  <si>
    <t>Custom-Building Shell</t>
  </si>
  <si>
    <t>Custom-Cooking</t>
  </si>
  <si>
    <t>Custom-Cooling</t>
  </si>
  <si>
    <t>Custom-HVAC</t>
  </si>
  <si>
    <t>Custom Lighting (Controls)</t>
  </si>
  <si>
    <t>Custom-Miscellaneous</t>
  </si>
  <si>
    <t>Custom-Motors</t>
  </si>
  <si>
    <t>Custom-Process</t>
  </si>
  <si>
    <t>Custom-Refrigeration</t>
  </si>
  <si>
    <t>Custom-Water Heating</t>
  </si>
  <si>
    <t>n/a</t>
  </si>
  <si>
    <t>RESIDENTIAL EFFICIENT PRODUCTS</t>
  </si>
  <si>
    <t>Heat Pump Water Heater</t>
  </si>
  <si>
    <t>Program/Channel</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</si>
  <si>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</si>
  <si>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Unknown</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</si>
  <si>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</si>
  <si>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</si>
  <si>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250050_2024_12_</t>
  </si>
  <si>
    <t>MFIE</t>
  </si>
  <si>
    <t>Heat Pump Hot Water Heater</t>
  </si>
  <si>
    <t>Water Heating RES</t>
  </si>
  <si>
    <t>3.3.3</t>
  </si>
  <si>
    <t>Evaluation Formula:</t>
  </si>
  <si>
    <t>ΔkWh	= [(((1/EFBASE  – 1/EF_EE) * GPD * Household * 365.25 * γWater * (TOUT  – TIn) * 1.0)) / 3,412) + kWhcool – kWh_eat ] * ISR</t>
  </si>
  <si>
    <t>kWh_cool =  [(((1- 1/EF_EE)  * GPD * Household * 365.25 * γWater * (TOUT  – TIn)  * 1.0)  * LF * WHFC  *LM) / (COPCOOL * 3,412)] * %Cool</t>
  </si>
  <si>
    <t>ΔkW = ΔkWh * CF</t>
  </si>
  <si>
    <t>Term</t>
  </si>
  <si>
    <t>Parameter</t>
  </si>
  <si>
    <t>Value</t>
  </si>
  <si>
    <t>Source</t>
  </si>
  <si>
    <r>
      <t>UEF</t>
    </r>
    <r>
      <rPr>
        <vertAlign val="subscript"/>
        <sz val="11"/>
        <rFont val="Calibri"/>
        <family val="2"/>
        <scheme val="minor"/>
      </rPr>
      <t>BASE</t>
    </r>
  </si>
  <si>
    <t>Efficient rating of baseline equipment</t>
  </si>
  <si>
    <t>https://www.federalregister.gov/documents/2024/05/06/2024-09209/energy-conservation-program-energy-conservation-standards-for-consumer-water-heaters</t>
  </si>
  <si>
    <r>
      <t>UEF</t>
    </r>
    <r>
      <rPr>
        <vertAlign val="subscript"/>
        <sz val="11"/>
        <rFont val="Calibri"/>
        <family val="2"/>
        <scheme val="minor"/>
      </rPr>
      <t>EE</t>
    </r>
  </si>
  <si>
    <t>Efficient rating of efficient equipment</t>
  </si>
  <si>
    <t>PY18 EfficientProducts Evaluation, page 32</t>
  </si>
  <si>
    <t>Value matches EM&amp;V</t>
  </si>
  <si>
    <t>GPD</t>
  </si>
  <si>
    <t>Gallons per day</t>
  </si>
  <si>
    <t>MO 2017 TRM, section 3.3.5, GPD based on 45.5 gallons of hot water per day per household and 2.59 people per household, from Residential End Uses of Water Study 2013 Update. Prepared by Deoreo, B., and P. Mayer for the Water Research Foundation, 2014.</t>
  </si>
  <si>
    <t xml:space="preserve">Defined at gallons per a day per a person in the Statewide TRM (EM&amp;V defines GPD as gallons per a day per a household). </t>
  </si>
  <si>
    <t>Household</t>
  </si>
  <si>
    <t>Average number of people per household</t>
  </si>
  <si>
    <r>
      <t>Single family value. Ameren Missouri Efficient Products Evaluation PY2018,</t>
    </r>
    <r>
      <rPr>
        <sz val="11"/>
        <color rgb="FFFF0000"/>
        <rFont val="Calibri"/>
        <family val="2"/>
        <scheme val="minor"/>
      </rPr>
      <t xml:space="preserve"> page 32</t>
    </r>
    <r>
      <rPr>
        <sz val="11"/>
        <rFont val="Calibri"/>
        <family val="2"/>
        <scheme val="minor"/>
      </rPr>
      <t>.</t>
    </r>
  </si>
  <si>
    <t>Not defined by EM&amp;V</t>
  </si>
  <si>
    <t>Days per year</t>
  </si>
  <si>
    <t>Conversion Factor (days/year)</t>
  </si>
  <si>
    <t>Den</t>
  </si>
  <si>
    <t>Specific weight of water</t>
  </si>
  <si>
    <t>Density of water (lb/gallon)</t>
  </si>
  <si>
    <t>HWT</t>
  </si>
  <si>
    <t>TOUT = Tank temperature</t>
  </si>
  <si>
    <r>
      <t>Illinois TRM v</t>
    </r>
    <r>
      <rPr>
        <sz val="11"/>
        <color rgb="FFFF0000"/>
        <rFont val="Calibri"/>
        <family val="2"/>
        <scheme val="minor"/>
      </rPr>
      <t>12.0, page 253</t>
    </r>
  </si>
  <si>
    <t>CWT</t>
  </si>
  <si>
    <t>Incoming water temperature from well or municipal system</t>
  </si>
  <si>
    <t>Ameren Missouri service territory. https://www.weather.gov/ncrfc/LMI_SoilTemperatureDepthMaps</t>
  </si>
  <si>
    <r>
      <t>C</t>
    </r>
    <r>
      <rPr>
        <vertAlign val="subscript"/>
        <sz val="11"/>
        <rFont val="Calibri"/>
        <family val="2"/>
        <scheme val="minor"/>
      </rPr>
      <t>P</t>
    </r>
  </si>
  <si>
    <t>Heat capacity of water (1 Btu/lb*°F)</t>
  </si>
  <si>
    <t>Specific Heat of Water  (Btu/lb-oF)</t>
  </si>
  <si>
    <t>Conversion Factor (Btu/kWh)</t>
  </si>
  <si>
    <t>Value matches TRM</t>
  </si>
  <si>
    <t>Location Factor</t>
  </si>
  <si>
    <r>
      <t>Wisconsin TRM unknown location</t>
    </r>
    <r>
      <rPr>
        <sz val="11"/>
        <color rgb="FFFF0000"/>
        <rFont val="Calibri"/>
        <family val="2"/>
        <scheme val="minor"/>
      </rPr>
      <t>, PY18 Efficient Products Evaluation, page 32</t>
    </r>
  </si>
  <si>
    <t>PY18 Ameren Missouri Evaluation</t>
  </si>
  <si>
    <r>
      <t>WHF</t>
    </r>
    <r>
      <rPr>
        <vertAlign val="subscript"/>
        <sz val="11"/>
        <rFont val="Calibri"/>
        <family val="2"/>
        <scheme val="minor"/>
      </rPr>
      <t>C</t>
    </r>
  </si>
  <si>
    <t>Portion of reduced waste heat that results in cooling savings</t>
  </si>
  <si>
    <t>Ameren Missouri Efficient Products Evaluation PY2018, page 32</t>
  </si>
  <si>
    <t>Based on 193 days where CDD 65&gt;0, divided by 365.25. CDD days determined with a base temp of 65°F.</t>
  </si>
  <si>
    <r>
      <t>WHF</t>
    </r>
    <r>
      <rPr>
        <vertAlign val="subscript"/>
        <sz val="11"/>
        <rFont val="Calibri"/>
        <family val="2"/>
        <scheme val="minor"/>
      </rPr>
      <t>H</t>
    </r>
  </si>
  <si>
    <t>Portion of reduced waste heat that results in increased heating load</t>
  </si>
  <si>
    <t>Ameren Missouri Efficient Products Evaluation PY2018, page 31</t>
  </si>
  <si>
    <t>Based on 157 days where HDD 60&gt;0, divided by 365.25. HDD days determined from Climate Normals data with a base temp of 60°F.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</si>
  <si>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t>COPcool</t>
  </si>
  <si>
    <t xml:space="preserve">COP of central air conditioner - Actual, or if unknown, assume 2.8 </t>
  </si>
  <si>
    <r>
      <t xml:space="preserve">PY2019 Efficient Products Evaluation </t>
    </r>
    <r>
      <rPr>
        <sz val="11"/>
        <color rgb="FFFF0000"/>
        <rFont val="Calibri"/>
        <family val="2"/>
        <scheme val="minor"/>
      </rPr>
      <t>Appendices, page 64</t>
    </r>
  </si>
  <si>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</si>
  <si>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</si>
  <si>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ηHeat
(COP Estimate)
= (HSPF2/3.413)*0.85</t>
  </si>
  <si>
    <t>Heat Pump - Installed before 2006</t>
  </si>
  <si>
    <t>Heat Pump - Installed from 2006-2014</t>
  </si>
  <si>
    <t>Heat Pump - Installed in 2015 and After</t>
  </si>
  <si>
    <t>Unknown</t>
  </si>
  <si>
    <t>LM</t>
  </si>
  <si>
    <t>Latent multiplier to account for latent cooling demand</t>
  </si>
  <si>
    <t>PY18 Efficient Products evaluation, page 32</t>
  </si>
  <si>
    <t>Percentage of homes with central cooling</t>
  </si>
  <si>
    <t>Ameren Missouri PY2019 Baseline Study (Non-Low Income Saturation of Central AC)</t>
  </si>
  <si>
    <t>Percentage of homes with electric heating</t>
  </si>
  <si>
    <t>2009 Residential Energy Consumption Survey for Missouri</t>
  </si>
  <si>
    <t xml:space="preserve">%ElectricHeat - Electric Resistance Saturation </t>
  </si>
  <si>
    <t xml:space="preserve">Electric Resistance Saturation </t>
  </si>
  <si>
    <t>PY18 Efficient Products tracking data (Heating System type)</t>
  </si>
  <si>
    <t>%ElectricHeat - Heat Pump Saturation</t>
  </si>
  <si>
    <t>Heat Pump Saturation</t>
  </si>
  <si>
    <t xml:space="preserve">Value matches EM&amp;V not updated as </t>
  </si>
  <si>
    <t>Installation Rate</t>
  </si>
  <si>
    <t>Ameren Missouri Efficient Products Evaluation PY2019 (Table 6-9)</t>
  </si>
  <si>
    <t>2010 Residential Heating Products Final Rule Technical Support Document, U.S. DOE, Table 8.7.2</t>
  </si>
  <si>
    <t>Illinois TRM Version 12.0, p. 250</t>
  </si>
  <si>
    <t>Learning Thermostat / Advanced Thermostat</t>
  </si>
  <si>
    <t xml:space="preserve">*CompE = Comprehensive Envelope </t>
  </si>
  <si>
    <t>250100_2024_12_</t>
  </si>
  <si>
    <t>PAYS/SFIE</t>
  </si>
  <si>
    <t>Learning Thermostat - ASHP heating/cooling SF</t>
  </si>
  <si>
    <t>Cooling RES</t>
  </si>
  <si>
    <t>Heating RES</t>
  </si>
  <si>
    <t>250101_2024_12_</t>
  </si>
  <si>
    <t>Learning Thermostat - ASHP heating/cooling MF</t>
  </si>
  <si>
    <t>250102_2024_12_</t>
  </si>
  <si>
    <t>250150_2024_12_</t>
  </si>
  <si>
    <t>Learning Thermostat - electric furnace heating / central AC MF</t>
  </si>
  <si>
    <t>250151_2024_12_</t>
  </si>
  <si>
    <t>250250_2024_12_</t>
  </si>
  <si>
    <t>Learning Thermostat - electric furnace heating / central AC SF</t>
  </si>
  <si>
    <t>250350_2024_12_</t>
  </si>
  <si>
    <t>Learning Thermostat - Gas Heated / central AC SF**</t>
  </si>
  <si>
    <t>250351_2024_12_</t>
  </si>
  <si>
    <t>Learning Thermostat - Gas Heated / central AC MF**</t>
  </si>
  <si>
    <t>250352_2024_12_</t>
  </si>
  <si>
    <t>Learning Thermostat - Gas Heated / central AC MF_CompE**</t>
  </si>
  <si>
    <t>250450_2024_12_</t>
  </si>
  <si>
    <t>Smart Thermostats</t>
  </si>
  <si>
    <t>Learning Thermostat - Unknown SF**</t>
  </si>
  <si>
    <t>250451_2024_12_</t>
  </si>
  <si>
    <t>Efficient Products</t>
  </si>
  <si>
    <t>Learning Thermostat - Unknown MF**</t>
  </si>
  <si>
    <t>250452_2024_12_</t>
  </si>
  <si>
    <t>Learning Thermostat - Unknown MF_CompE**</t>
  </si>
  <si>
    <t>3.4.1</t>
  </si>
  <si>
    <t>**If not claiming gas value is applicable to propane as well</t>
  </si>
  <si>
    <t>ΔkWh = ΔkWhheating + ΔkWhcooling</t>
  </si>
  <si>
    <t xml:space="preserve">                                                                                                                                              </t>
  </si>
  <si>
    <t>ΔkWhheating = %ElectricHeat * HeatingConsumptionElectric  * HF * HeatingReduction* Eff_ISR + (∆Therms * Fe * 29.3)</t>
  </si>
  <si>
    <t>ΔkWhcool = %AC * ((EFLHcool * CapacityCool* 1/SEER2)/1000) * CoolingReduction * Eff_ISR</t>
  </si>
  <si>
    <t>ΔkW = ΔkWhCooling * CF</t>
  </si>
  <si>
    <t>∆Therms = %FossilHeat * HeatingConsumptionGas * HF * HeatingReduction * EffISR</t>
  </si>
  <si>
    <t>Frequency</t>
  </si>
  <si>
    <t>Factor</t>
  </si>
  <si>
    <t>Comments</t>
  </si>
  <si>
    <t>MO - TRM</t>
  </si>
  <si>
    <r>
      <t>Ameren Missouri Efficient Products Evaluation PY2020</t>
    </r>
    <r>
      <rPr>
        <sz val="11"/>
        <color rgb="FFFF0000"/>
        <rFont val="Calibri"/>
        <family val="2"/>
        <scheme val="minor"/>
      </rPr>
      <t>, page 40</t>
    </r>
  </si>
  <si>
    <t>HeatingConsumption_Electric</t>
  </si>
  <si>
    <t xml:space="preserve">Ameren Missouri Efficient Products Evaluation PY2018 workpapers.  For Comprehensive Envelope (CompE) Measures , the ratio of MF effective full load hours (1496) to the Opinion Dynamic recommendation for Comprehensive Envelope full load hours (509) was used to scale heating consumption values.  </t>
  </si>
  <si>
    <t>Default if efficiency is unknown:  Use new equipment specification if new system installed</t>
  </si>
  <si>
    <t>North East (Fort Madison, IA)</t>
  </si>
  <si>
    <t>North West (Lincoln, NE)</t>
  </si>
  <si>
    <t>South East (Cape Girardeau, MO)</t>
  </si>
  <si>
    <t>South West (Kaiser, MO)</t>
  </si>
  <si>
    <t>HF</t>
  </si>
  <si>
    <t>St Louis, MO</t>
  </si>
  <si>
    <t>Kansas City, MO</t>
  </si>
  <si>
    <t>Average/Unknown (Knob Noster)</t>
  </si>
  <si>
    <t>Ameren Missouri Efficient Products Evaluation PY2018</t>
  </si>
  <si>
    <t>HeatingReduction</t>
  </si>
  <si>
    <t>Unknown Baseline (Weighted Average)</t>
  </si>
  <si>
    <t xml:space="preserve">Navigant’s IL TRM Workpaper on Impact Analysis from Preliminary Gas savings, https://www.ilsag.info/wp-content/uploads/SAG_files/Meeting_Materials/2015/December_2015_Meetings/Presentations/Smart_Tstat_Preliminary_Gas_Impact_Findings_2015-12-08_to_IL_SAG.pdf  </t>
  </si>
  <si>
    <t>Frequency of Baseline Thermostats</t>
  </si>
  <si>
    <t>Baseline Manual Thermostat</t>
  </si>
  <si>
    <t>Baseline Programmable Thermostat</t>
  </si>
  <si>
    <t>Baseline Smart Thermostat</t>
  </si>
  <si>
    <t>Eff_ISR</t>
  </si>
  <si>
    <t>All</t>
  </si>
  <si>
    <t>Ameren Missouri Efficient Products Evaluation PY2019, page 140</t>
  </si>
  <si>
    <t>Default value could change with evaluation</t>
  </si>
  <si>
    <t>All - HVAC Program</t>
  </si>
  <si>
    <t>Ameren Missouri HVAC Evaluation PY2020 (Table 28)</t>
  </si>
  <si>
    <t>∆Therms</t>
  </si>
  <si>
    <t>Calculated</t>
  </si>
  <si>
    <t>Fe</t>
  </si>
  <si>
    <t>Programmable Thermostats Furnace Fan Analysis.xlsx</t>
  </si>
  <si>
    <t>Default value no alternative</t>
  </si>
  <si>
    <t>%AC</t>
  </si>
  <si>
    <t>Program requires that the thermostat control central cooling</t>
  </si>
  <si>
    <r>
      <t xml:space="preserve">EFLH </t>
    </r>
    <r>
      <rPr>
        <vertAlign val="subscript"/>
        <sz val="11"/>
        <rFont val="Calibri"/>
        <family val="2"/>
        <scheme val="minor"/>
      </rPr>
      <t>cool</t>
    </r>
  </si>
  <si>
    <t>SF &amp; MF</t>
  </si>
  <si>
    <t>PY2019 ealuation report, page 30</t>
  </si>
  <si>
    <t>St Louis</t>
  </si>
  <si>
    <t>MFc</t>
  </si>
  <si>
    <t>Evaluation - Opinion Dynamics review PY19</t>
  </si>
  <si>
    <t>CapacityCool</t>
  </si>
  <si>
    <t>Default if capacity is unknown</t>
  </si>
  <si>
    <t>MF</t>
  </si>
  <si>
    <t>none</t>
  </si>
  <si>
    <t>SEER2</t>
  </si>
  <si>
    <t>Based on minimum federal standard</t>
  </si>
  <si>
    <t>CoolingReduction</t>
  </si>
  <si>
    <r>
      <t>MO - TRM</t>
    </r>
    <r>
      <rPr>
        <sz val="11"/>
        <color rgb="FFFF0000"/>
        <rFont val="Calibri"/>
        <family val="2"/>
        <scheme val="minor"/>
      </rPr>
      <t>, page 80</t>
    </r>
  </si>
  <si>
    <t>%FossilHeat</t>
  </si>
  <si>
    <t>Measure definition corresponds to whether or not the thermostat controls fossil heating</t>
  </si>
  <si>
    <r>
      <t>Ameren Missouri Efficient Products Evaluation PY2020</t>
    </r>
    <r>
      <rPr>
        <sz val="11"/>
        <color rgb="FFFF0000"/>
        <rFont val="Calibri"/>
        <family val="2"/>
        <scheme val="minor"/>
      </rPr>
      <t>, page 41</t>
    </r>
  </si>
  <si>
    <t>HeatingConsumption_Gas</t>
  </si>
  <si>
    <r>
      <t>Ameren Missouri Efficient Products Evaluation PY2017</t>
    </r>
    <r>
      <rPr>
        <sz val="11"/>
        <color rgb="FFFF0000"/>
        <rFont val="Calibri"/>
        <family val="2"/>
        <scheme val="minor"/>
      </rPr>
      <t>, page 47</t>
    </r>
  </si>
  <si>
    <t>St. Louis</t>
  </si>
  <si>
    <t>Illinois TRM Version 12.0, page 204</t>
  </si>
  <si>
    <t>Incremental Cost</t>
  </si>
  <si>
    <t>High Efficiency Pool Pumps</t>
  </si>
  <si>
    <t xml:space="preserve"> kW</t>
  </si>
  <si>
    <t>250550_2021_12_</t>
  </si>
  <si>
    <t>IE/PAYS</t>
  </si>
  <si>
    <t>ENERGY STAR VFDs on Residential Swimming Pool Pumps - ROF</t>
  </si>
  <si>
    <t>Pool Spa RES</t>
  </si>
  <si>
    <t>250551_2021_12_</t>
  </si>
  <si>
    <t>ENERGY STAR VFDs on Residential Swimming Pool Pumps - ER</t>
  </si>
  <si>
    <t>3.6.1</t>
  </si>
  <si>
    <t xml:space="preserve">For TOS and NC: ΔkWh = (Gallons * Turnovers * (1/(WEFbase – 1/WEFee ) * Days) / 1,000 * ISR </t>
  </si>
  <si>
    <t>For Early Replacement: ΔkWh = (Gallons * Turnovers(1/EFexist – 1/WEFee ) * Days) / 1,000 * ISR</t>
  </si>
  <si>
    <t>VFD Value</t>
  </si>
  <si>
    <t>Multi-Speed Value</t>
  </si>
  <si>
    <t>Gallons</t>
  </si>
  <si>
    <t>Capacity of the pool (gal)</t>
  </si>
  <si>
    <t>ENERGY STAR Pool Pump Calculator (accessed 06/2021)</t>
  </si>
  <si>
    <t>Turnovers</t>
  </si>
  <si>
    <t>Desired number of pool water turnovers per day</t>
  </si>
  <si>
    <t>WEFbase</t>
  </si>
  <si>
    <t>Weighted Energy Factor of baseline pump (gal/Wh)</t>
  </si>
  <si>
    <r>
      <t xml:space="preserve">Consistent with IL-TRM V10.0 </t>
    </r>
    <r>
      <rPr>
        <strike/>
        <sz val="11"/>
        <color rgb="FFFF0000"/>
        <rFont val="Calibri"/>
        <family val="2"/>
        <scheme val="minor"/>
      </rPr>
      <t>page 393</t>
    </r>
    <r>
      <rPr>
        <strike/>
        <sz val="11"/>
        <rFont val="Calibri"/>
        <family val="2"/>
        <scheme val="minor"/>
      </rPr>
      <t xml:space="preserve"> assumption, which is based on applying the federal standard specifications to the average Curve-C rated hydraulic horsepower (hhp) from the ENERGY STAR Qualified Products List, accessed 3/31/2021.</t>
    </r>
  </si>
  <si>
    <t>WEFee</t>
  </si>
  <si>
    <t>Weighted Energy Factor of installed ENERGY STAR pump (gal/Wh)</t>
  </si>
  <si>
    <t>Based on applying the federal standard specifications to the average Curve-C rated hydraulic horsepower (hhp) from the ENERGY STAR Qualified Products List, accessed 3/31/2021.</t>
  </si>
  <si>
    <t>EFexist</t>
  </si>
  <si>
    <t>Energy Factor of existing single speed pump (gal/Wh)</t>
  </si>
  <si>
    <t>ENERGY STAR Pool Pump Calculator, assuming 1.5 HP pump (accessed 06/2021)</t>
  </si>
  <si>
    <r>
      <t>Days</t>
    </r>
    <r>
      <rPr>
        <strike/>
        <vertAlign val="subscript"/>
        <sz val="11"/>
        <rFont val="Calibri"/>
        <family val="2"/>
        <scheme val="minor"/>
      </rPr>
      <t>oper</t>
    </r>
  </si>
  <si>
    <t>Days per Year of Operation</t>
  </si>
  <si>
    <t>ES Pool Pump Calculator downloaded on   (version last updated 12-13) and adjusted for dual speed in Missouri ENERGY STAR Pool Pump Calculator (accessed 06/2021)</t>
  </si>
  <si>
    <t>ENERGY STAR® Pool Pump Calculator</t>
  </si>
  <si>
    <t>ENERGY STAR® Pool Pump Calculator, using the difference between the two speed pool pump and variable speed pool pump incremental costs.</t>
  </si>
  <si>
    <t>ENERGY STAR® Pool Pump Calculator, using variable speed pool pump costs.</t>
  </si>
  <si>
    <t>Advanced Power Strips Tier 2  /  Advanced Control Stategies</t>
  </si>
  <si>
    <t>251000_2024_12_</t>
  </si>
  <si>
    <t>Advanced Tier 2 Power Strips: Infrared, TOS/NC</t>
  </si>
  <si>
    <t>Miscellaneous RES</t>
  </si>
  <si>
    <t>251001_2024_12_</t>
  </si>
  <si>
    <t>Advanced Tier 2 Power Strips: Infrared, DI</t>
  </si>
  <si>
    <t>251002_2024_12_</t>
  </si>
  <si>
    <t>Advanced Tier 2 Power Strips: Infrared &amp; Occupancy Sensor, TOS/NC</t>
  </si>
  <si>
    <t>251003_2024_12_</t>
  </si>
  <si>
    <t>Advanced Tier 2 Power Strips: Infrared &amp; Occupancy Sensor, DI</t>
  </si>
  <si>
    <t>3.2.2</t>
  </si>
  <si>
    <t>*The actual full installation cost of the Tier 2 AV APS (including equipment and labor) should be used.</t>
  </si>
  <si>
    <t>* No update -  Measure not in PY 2017</t>
  </si>
  <si>
    <t>* No update -  Measure not in PY 2018</t>
  </si>
  <si>
    <t>ΔkWh	=  ERP * BaselineEnergyAV * ISR</t>
  </si>
  <si>
    <t>Comments:</t>
  </si>
  <si>
    <t>BaselineEnergyAV</t>
  </si>
  <si>
    <t>Baseline kWh usage</t>
  </si>
  <si>
    <t xml:space="preserve">“Energy Savings of Tier 2 Advanced Power Strips in Residential AV Systems,” AESC, Inc., February 2016. Note this load represents the average controlled AV devices only and will likely be lower than total AV usage.  </t>
  </si>
  <si>
    <t>ERP</t>
  </si>
  <si>
    <t>Energy Reduction Percentage</t>
  </si>
  <si>
    <t>Infrared Only</t>
  </si>
  <si>
    <t>Representative savings assumption based on independent field tests on Embertec’s IR-only product</t>
  </si>
  <si>
    <t>Infrared and Occupancy Sensor</t>
  </si>
  <si>
    <t xml:space="preserve">Representative savings assumption based on independent field tests on TrickeStar IR-OS </t>
  </si>
  <si>
    <t>In service rate</t>
  </si>
  <si>
    <t>Non-DI</t>
  </si>
  <si>
    <t>DI</t>
  </si>
  <si>
    <t>Ameren Missouri Single Family Income Eligible Evaluation PY2019 (Table 10-10)</t>
  </si>
  <si>
    <t>Effective Useful Life</t>
  </si>
  <si>
    <t>“Advanced Power Strip Research Report,” NYSERDA, August 2011</t>
  </si>
  <si>
    <t>California Technology Forum, June 2015.</t>
  </si>
  <si>
    <t>Actual for SF Income Eligible program.</t>
  </si>
  <si>
    <t>ENERGY STAR Air Purifier</t>
  </si>
  <si>
    <t>251051_2024_12_</t>
  </si>
  <si>
    <t>ENERGY STAR Air Purifier/Cleaner: 30 ≤ Smoke CADR &lt; 100</t>
  </si>
  <si>
    <t>HVAC RES</t>
  </si>
  <si>
    <t>ΔkWh</t>
  </si>
  <si>
    <t>251052_2024_12_</t>
  </si>
  <si>
    <t>ENERGY STAR Air Purifier/Cleaner: 100 ≤ Smoke CADR &lt; 150</t>
  </si>
  <si>
    <t>251053_2024_12_</t>
  </si>
  <si>
    <t>ENERGY STAR Air Purifier/Cleaner: 150 ≤ Smoke CADR &lt; 200</t>
  </si>
  <si>
    <t>251054_2024_12_</t>
  </si>
  <si>
    <t>ENERGY STAR Air Purifier/Cleaner: 200 ≤ Smoke CADR</t>
  </si>
  <si>
    <t>3.1.1</t>
  </si>
  <si>
    <t>ΔkWh  = ((hours * (SmokeCADR_base / (SmokeCADR_per_watt_base * 1000)) +  (8760 - hours) * PartialOnModePower_base / 1000)) - (SmokeCADR_eff / (SmokeCADR_per_watt_eff * 1000)) +  (8760 - hours) * PartialOnModePower_eff / 1000)) * ISR</t>
  </si>
  <si>
    <t>Parameters</t>
  </si>
  <si>
    <t>SmokeCADR_base</t>
  </si>
  <si>
    <t>Smoke CADR for baseline units</t>
  </si>
  <si>
    <t>30 ≤ Smoke CADR &lt; 100</t>
  </si>
  <si>
    <t>Source: ENERGY STAR V2 Room Air Cleaners Data Package (October 11, 2019)</t>
  </si>
  <si>
    <t>100 ≤ Smoke CADR &lt; 150</t>
  </si>
  <si>
    <t>150 ≤ Smoke CADR &lt; 200</t>
  </si>
  <si>
    <t>200 ≤ Smoke CADR</t>
  </si>
  <si>
    <t>SmokeCADR_per_watt_base</t>
  </si>
  <si>
    <t>Smoke CADR delivery rate per watt for baseline units</t>
  </si>
  <si>
    <t>PartialOnModePower_base</t>
  </si>
  <si>
    <t>Partial On Model Power for baseline units (watts)</t>
  </si>
  <si>
    <t>SmokeCADR_eff</t>
  </si>
  <si>
    <t>Smoke CADR for efficient units</t>
  </si>
  <si>
    <t>SmokeCADR_per_watt_eff</t>
  </si>
  <si>
    <t>Smoke CADR delivery rate per watt for efficient units</t>
  </si>
  <si>
    <t>PartialOnModePower_eff</t>
  </si>
  <si>
    <t>Partial On Model Power for efficient units (watts)</t>
  </si>
  <si>
    <t>hours</t>
  </si>
  <si>
    <t>Annual active operating hours</t>
  </si>
  <si>
    <t>IL TRM v12.0, page 7</t>
  </si>
  <si>
    <t>IQAdj</t>
  </si>
  <si>
    <t>Baseline consumption adjustment for IQ program participants to account for a portion of participants who would have utilized the secondary market.</t>
  </si>
  <si>
    <t>SFIE, MFIE</t>
  </si>
  <si>
    <t>All other programs</t>
  </si>
  <si>
    <t>In-service rate</t>
  </si>
  <si>
    <t>PY18 Efficient Products Report, page I-7</t>
  </si>
  <si>
    <t>ENERGY STAR Qualified Room Air Cleaner Calculator citing Appliance Magazine, Portrait of the U.S. Appliance Industry 1998.</t>
  </si>
  <si>
    <t>30 ≤ Smoke CADR &lt; 100: SFIE, MFIE</t>
  </si>
  <si>
    <t>100 ≤ Smoke CADR &lt; 150: SFIE, MFIE</t>
  </si>
  <si>
    <t>150 ≤ Smoke CADR &lt; 200: SFIE, MFIE</t>
  </si>
  <si>
    <t>200 ≤ Smoke CADR: SFIE, MFIE</t>
  </si>
  <si>
    <t>30 ≤ Smoke CADR &lt; 100: All other programs</t>
  </si>
  <si>
    <t>100 ≤ Smoke CADR &lt; 150: All other programs</t>
  </si>
  <si>
    <t>150 ≤ Smoke CADR &lt; 200: All other programs</t>
  </si>
  <si>
    <t>200 ≤ Smoke CADR: All other programs</t>
  </si>
  <si>
    <t>Source: Baseline values are consistent with ENERGY STAR v.2.0 Room Air Cleaners Data Package and analysis</t>
  </si>
  <si>
    <t>ENERGY STAR Dehumidifier</t>
  </si>
  <si>
    <t>251100_2024_12_</t>
  </si>
  <si>
    <t>251101_2024_12_</t>
  </si>
  <si>
    <t>ENERGY STAR Most Efficient Dehumidifier</t>
  </si>
  <si>
    <t>3.1.4</t>
  </si>
  <si>
    <t>ΔkWh	= (((Avg Capacity * 0.473) / 24) * Hours) * (IQAdj / (L/kWh_Base) – 1 / (L/kWh_Eff)). Unknown capacity values cited for Appendix F per unit savings estimate.</t>
  </si>
  <si>
    <t>Avg_Capacity</t>
  </si>
  <si>
    <t>Average capacity of the unit (pints/day)</t>
  </si>
  <si>
    <t>Capacity ≤25</t>
  </si>
  <si>
    <t>Ameren Missouri TRM 3.1.5.</t>
  </si>
  <si>
    <t>Capacity &gt;25 and ≤50</t>
  </si>
  <si>
    <t>Capacity &gt;50 and &lt;155</t>
  </si>
  <si>
    <t>Capacity Unknown</t>
  </si>
  <si>
    <t>L_per_kWh_Base</t>
  </si>
  <si>
    <t>Baseline liters of water per kWh consumed</t>
  </si>
  <si>
    <t>L_per_kWh_Eff</t>
  </si>
  <si>
    <t>Efficient liters of water per kWh consumed</t>
  </si>
  <si>
    <t>Capacity ≤25: ENERGY STAR</t>
  </si>
  <si>
    <t>Capacity &gt;25 and ≤50: ENERGY STAR</t>
  </si>
  <si>
    <t>Capacity &gt;50 and &lt;155: ENERGY STAR</t>
  </si>
  <si>
    <t>Capacity Unknown: ENERGY STAR</t>
  </si>
  <si>
    <t>Capacity ≤25: ENERGY STAR Most Efficient</t>
  </si>
  <si>
    <t>Capacity &gt;25 and ≤50: ENERGY STAR Most Efficient</t>
  </si>
  <si>
    <t>Capacity &gt;50 and &lt;155: ENERGY STAR Most Efficient</t>
  </si>
  <si>
    <t>Capacity Unknown: ENERGY STAR Most Efficient</t>
  </si>
  <si>
    <t>Run hours per year</t>
  </si>
  <si>
    <t>Assumption</t>
  </si>
  <si>
    <t>EPA Research, 2012; ENERGY STAR Appliance Calculator, Dehumidifier Section</t>
  </si>
  <si>
    <t>Incremental Cost ($)</t>
  </si>
  <si>
    <t>ENERGY STAR</t>
  </si>
  <si>
    <t>ENERGY STAR Most Efficient</t>
  </si>
  <si>
    <t>Energy Star Room AC</t>
  </si>
  <si>
    <t>251150_2024_12_</t>
  </si>
  <si>
    <t>ENERGY STAR Room AC (kWh w ISR)</t>
  </si>
  <si>
    <t>251200_2024_12_</t>
  </si>
  <si>
    <t>ENERGY STAR Room AC (kWh w/o ISR)</t>
  </si>
  <si>
    <t>3.4.11</t>
  </si>
  <si>
    <t>ΔkWh = (FLHRoomAC  * Btuh * (1/CEERbase  - 1/CEERee)) / 1,000</t>
  </si>
  <si>
    <t>Efficient Products Source</t>
  </si>
  <si>
    <t>Value Efficient Products</t>
  </si>
  <si>
    <t>SF Value</t>
  </si>
  <si>
    <t>Btu/hr</t>
  </si>
  <si>
    <t>PY18 Ameren Missouri tracking Database (average BTU)</t>
  </si>
  <si>
    <r>
      <t>EER</t>
    </r>
    <r>
      <rPr>
        <strike/>
        <vertAlign val="subscript"/>
        <sz val="11"/>
        <rFont val="Calibri"/>
        <family val="2"/>
        <scheme val="minor"/>
      </rPr>
      <t>BASE</t>
    </r>
  </si>
  <si>
    <t>Based on unit without reverse cycle, 8,000 - 13,999 Btu/hr.</t>
  </si>
  <si>
    <t>DOE’s Appliance and Equipment Standards for Room AC</t>
  </si>
  <si>
    <r>
      <t>EER</t>
    </r>
    <r>
      <rPr>
        <strike/>
        <vertAlign val="subscript"/>
        <sz val="11"/>
        <color theme="1"/>
        <rFont val="Calibri"/>
        <family val="2"/>
        <scheme val="minor"/>
      </rPr>
      <t>BASE</t>
    </r>
  </si>
  <si>
    <r>
      <t>EER</t>
    </r>
    <r>
      <rPr>
        <strike/>
        <vertAlign val="subscript"/>
        <sz val="11"/>
        <rFont val="Calibri"/>
        <family val="2"/>
        <scheme val="minor"/>
      </rPr>
      <t>EFF</t>
    </r>
  </si>
  <si>
    <t>ENERGY STAR Version 4.0 Room Air Conditioners Program Requirements</t>
  </si>
  <si>
    <r>
      <t>EER</t>
    </r>
    <r>
      <rPr>
        <strike/>
        <vertAlign val="subscript"/>
        <sz val="11"/>
        <color theme="1"/>
        <rFont val="Calibri"/>
        <family val="2"/>
        <scheme val="minor"/>
      </rPr>
      <t>EFF</t>
    </r>
  </si>
  <si>
    <r>
      <t>EER</t>
    </r>
    <r>
      <rPr>
        <strike/>
        <vertAlign val="subscript"/>
        <sz val="11"/>
        <rFont val="Calibri"/>
        <family val="2"/>
        <scheme val="minor"/>
      </rPr>
      <t>existing</t>
    </r>
  </si>
  <si>
    <t>N/A</t>
  </si>
  <si>
    <t>EERexisting</t>
  </si>
  <si>
    <r>
      <t>EFLH</t>
    </r>
    <r>
      <rPr>
        <strike/>
        <vertAlign val="subscript"/>
        <sz val="11"/>
        <rFont val="Calibri"/>
        <family val="2"/>
        <scheme val="minor"/>
      </rPr>
      <t xml:space="preserve">COOL </t>
    </r>
    <r>
      <rPr>
        <strike/>
        <sz val="11"/>
        <rFont val="Calibri"/>
        <family val="2"/>
        <scheme val="minor"/>
      </rPr>
      <t>- Secondary unit</t>
    </r>
  </si>
  <si>
    <r>
      <t>Ameren Missouri Efficient Products PY 2016 Evaluation</t>
    </r>
    <r>
      <rPr>
        <strike/>
        <sz val="11"/>
        <color rgb="FFFF0000"/>
        <rFont val="Calibri"/>
        <family val="2"/>
        <scheme val="minor"/>
      </rPr>
      <t>, page 64</t>
    </r>
  </si>
  <si>
    <r>
      <t>EFLH</t>
    </r>
    <r>
      <rPr>
        <strike/>
        <vertAlign val="subscript"/>
        <sz val="11"/>
        <color theme="1"/>
        <rFont val="Calibri"/>
        <family val="2"/>
        <scheme val="minor"/>
      </rPr>
      <t xml:space="preserve">COOL </t>
    </r>
    <r>
      <rPr>
        <strike/>
        <sz val="11"/>
        <color theme="1"/>
        <rFont val="Calibri"/>
        <family val="2"/>
        <scheme val="minor"/>
      </rPr>
      <t>- Secondary unit</t>
    </r>
  </si>
  <si>
    <r>
      <t>EFLH</t>
    </r>
    <r>
      <rPr>
        <strike/>
        <vertAlign val="subscript"/>
        <sz val="11"/>
        <rFont val="Calibri"/>
        <family val="2"/>
        <scheme val="minor"/>
      </rPr>
      <t xml:space="preserve">COOL </t>
    </r>
    <r>
      <rPr>
        <strike/>
        <sz val="11"/>
        <rFont val="Calibri"/>
        <family val="2"/>
        <scheme val="minor"/>
      </rPr>
      <t>- Primary unit</t>
    </r>
  </si>
  <si>
    <t>Ameren Missouri Efficient Products PY 2016 Evaluation, page 64</t>
  </si>
  <si>
    <r>
      <t>EFLH</t>
    </r>
    <r>
      <rPr>
        <strike/>
        <vertAlign val="subscript"/>
        <sz val="11"/>
        <color theme="1"/>
        <rFont val="Calibri"/>
        <family val="2"/>
        <scheme val="minor"/>
      </rPr>
      <t xml:space="preserve">COOL </t>
    </r>
    <r>
      <rPr>
        <strike/>
        <sz val="11"/>
        <color theme="1"/>
        <rFont val="Calibri"/>
        <family val="2"/>
        <scheme val="minor"/>
      </rPr>
      <t>- Primary unit</t>
    </r>
  </si>
  <si>
    <t>Conversion factor (Wh to kWh)</t>
  </si>
  <si>
    <t xml:space="preserve">Ameren Missouri PY18 Participant Survey </t>
  </si>
  <si>
    <t>Ameren Missouri PY18 Efficient Products Evaluation, page 28</t>
  </si>
  <si>
    <t xml:space="preserve">Low Flow Handheld Showerheads </t>
  </si>
  <si>
    <t>kWh
Annual Savings</t>
  </si>
  <si>
    <t>EPG_electric</t>
  </si>
  <si>
    <t>251300_2024_12_</t>
  </si>
  <si>
    <t>Low Flow Handheld Showerhead SF</t>
  </si>
  <si>
    <t>Water heating RES</t>
  </si>
  <si>
    <t>251350_2024_12_</t>
  </si>
  <si>
    <t>Low Flow Handheld Showerhead MF</t>
  </si>
  <si>
    <t>3.3.2</t>
  </si>
  <si>
    <t>ΔkWh = %ElectricDHW  * ((GPMbase  * Lbase  - GPMlow  * Llow) * Household * SPCD * 365.25 / SPH) * EPG_electric * ISR</t>
  </si>
  <si>
    <t>ΔTherms = %GasDHW  * ((GPMbase  * Lbase  - GPMlow  * Llow) * Household * SPCD * 365.25 / SPH) * EPG_gas * ISR</t>
  </si>
  <si>
    <t>%Electric DHW</t>
  </si>
  <si>
    <t>% Homes with Electric Water Heating</t>
  </si>
  <si>
    <t>Ameren Missouri Energy Efficient Kits Impact and Process Evaluation: PY2019, page 73</t>
  </si>
  <si>
    <t>Based on "Unknown" assumption because evaluation does not track DHW heating fuel.</t>
  </si>
  <si>
    <t>GPM_base</t>
  </si>
  <si>
    <t>Rated flowrate of the baseline showerhead</t>
  </si>
  <si>
    <t>IL TRM v12.0, Volume 3, page 271</t>
  </si>
  <si>
    <t>Applies assumption for Retrofit, Efficiency Kits, NC or TOS Program Delivery</t>
  </si>
  <si>
    <t>L_base</t>
  </si>
  <si>
    <t>The average shower length (min/shower)</t>
  </si>
  <si>
    <t>Cadmus and Opinion Dynamics Showerhead and Faucet Aerator Meter Study Memorandum, dated June 2013, directed to Michigan Evaluation Working Group. This study of 135 single and multifamily homes in Michigan metered energy parameters for efficient showerhead and faucet aerators.</t>
  </si>
  <si>
    <t>Study included both SF and MF homes</t>
  </si>
  <si>
    <t>GPM_low</t>
  </si>
  <si>
    <t>Rated flowrate of the low flow showerhead</t>
  </si>
  <si>
    <t>Default may change with evaluation.</t>
  </si>
  <si>
    <t>L_low</t>
  </si>
  <si>
    <t>The number of people taking showers (ppl/household)</t>
  </si>
  <si>
    <t>Ameren Missouri Efficient Products Impact and Process Evaluation, page 38</t>
  </si>
  <si>
    <t>TRM SF value used because EM&amp;V does not provide values for SF and MF households.</t>
  </si>
  <si>
    <t>PY2015 Community Savers EM&amp;V, pafe 20</t>
  </si>
  <si>
    <t>TRM MFMR value used because EM&amp;V does not provide values for SF and MF households.</t>
  </si>
  <si>
    <t>SPDC</t>
  </si>
  <si>
    <t>The number of showers taken per person, per day</t>
  </si>
  <si>
    <t>DeOreo, William, P. Mayer, L. Martien, M. Hayden, A. Funk, M. Kramer-Duffield, and R. Davis (2011). “California SingleFamily
Water Use Efficiency Study.” </t>
  </si>
  <si>
    <t xml:space="preserve"> The number of days per year (day/yr)</t>
  </si>
  <si>
    <t>Conversion Factor (day/yr)</t>
  </si>
  <si>
    <t>SPH</t>
  </si>
  <si>
    <t>The number of showerheads installed per home</t>
  </si>
  <si>
    <t>Ameren Missouri Efficient Products Impact and Process Evaluation: Planning Year 2015, page 38</t>
  </si>
  <si>
    <t>Ameren Missouri Efficient Products Impact and Process Evalluation: Planning Year 2015, page 38</t>
  </si>
  <si>
    <t>The water density (lb/gal)</t>
  </si>
  <si>
    <t>Density (lb/gal)</t>
  </si>
  <si>
    <t xml:space="preserve"> The specific water heat (BTU/lb-°F)</t>
  </si>
  <si>
    <t>Specific Heat of Water (Btu/lb-°F)</t>
  </si>
  <si>
    <t>ShowerTemp</t>
  </si>
  <si>
    <t>The average water temperature at the showerhead (°F)</t>
  </si>
  <si>
    <t>Ameren Missouri Efficient Kits Evaluation: PY2018, page 32</t>
  </si>
  <si>
    <t>SupplyTemp</t>
  </si>
  <si>
    <t>The average inlet water temperature (°F)</t>
  </si>
  <si>
    <t>https://www.weather.gov/ncrfc/LMI_SoilTemperatureDepthMaps</t>
  </si>
  <si>
    <t>RE_electric</t>
  </si>
  <si>
    <t>Recovery efficiency of the electric hot water heater</t>
  </si>
  <si>
    <t>Electric water heaters have recovery efficiency of 98%: http://www.ahridirectory.org/ahridirectory/pages/home.aspx</t>
  </si>
  <si>
    <t>Utility Adjustment</t>
  </si>
  <si>
    <t>% Homes in Service Territory</t>
  </si>
  <si>
    <t>Assumption based on program design</t>
  </si>
  <si>
    <t xml:space="preserve"> In-service rate</t>
  </si>
  <si>
    <t>CommunitySavers PY2017 Report, page 3-7</t>
  </si>
  <si>
    <t>Default may change with evaluation. Matches Community Savers EM&amp;V</t>
  </si>
  <si>
    <t>Table C-6, “Measure Life Report, Residential and Commercial/Industrial Lighting and HVAC Measures,” GDS Associates, June 2007</t>
  </si>
  <si>
    <t>Showerhead (SF &amp; MF)</t>
  </si>
  <si>
    <t>PY21 Implementation Cost of Materials</t>
  </si>
  <si>
    <t>Spray Foam Insulation</t>
  </si>
  <si>
    <t>251500_2024_12_</t>
  </si>
  <si>
    <t>Spray Foam Insulation: 12 oz. Can</t>
  </si>
  <si>
    <t>Building Shell RES</t>
  </si>
  <si>
    <t>3.7.1</t>
  </si>
  <si>
    <t>ΔkWh  = ((lfsealing * ADJRxAirsealing * ΔkWhcool_sealing) + (lfsealing * ADJRxAirsealing *  ΔkWhheat_sealing * %ElectricHeat)) * ISR</t>
  </si>
  <si>
    <r>
      <t>lf</t>
    </r>
    <r>
      <rPr>
        <strike/>
        <vertAlign val="subscript"/>
        <sz val="11"/>
        <color rgb="FFFF0000"/>
        <rFont val="Calibri"/>
        <family val="2"/>
        <scheme val="minor"/>
      </rPr>
      <t>sealing</t>
    </r>
    <r>
      <rPr>
        <strike/>
        <sz val="11"/>
        <color rgb="FFFF0000"/>
        <rFont val="Calibri"/>
        <family val="2"/>
        <scheme val="minor"/>
      </rPr>
      <t xml:space="preserve"> </t>
    </r>
  </si>
  <si>
    <t>Linear feet of product</t>
  </si>
  <si>
    <t>Retail</t>
  </si>
  <si>
    <t>Illinois TRM Version 12.0, page 382</t>
  </si>
  <si>
    <r>
      <t>lf</t>
    </r>
    <r>
      <rPr>
        <strike/>
        <vertAlign val="subscript"/>
        <sz val="11"/>
        <color theme="1"/>
        <rFont val="Calibri"/>
        <family val="2"/>
        <scheme val="minor"/>
      </rPr>
      <t>sealing</t>
    </r>
    <r>
      <rPr>
        <strike/>
        <sz val="11"/>
        <color theme="1"/>
        <rFont val="Calibri"/>
        <family val="2"/>
        <scheme val="minor"/>
      </rPr>
      <t xml:space="preserve"> </t>
    </r>
  </si>
  <si>
    <r>
      <t>ADJ</t>
    </r>
    <r>
      <rPr>
        <strike/>
        <vertAlign val="subscript"/>
        <sz val="11"/>
        <color rgb="FFFF0000"/>
        <rFont val="Calibri"/>
        <family val="2"/>
        <scheme val="minor"/>
      </rPr>
      <t>RxAirsealing</t>
    </r>
  </si>
  <si>
    <t>Adjustment for air sealing savings to account for prescriptive estimates overclaiming savings.</t>
  </si>
  <si>
    <r>
      <t>ADJ</t>
    </r>
    <r>
      <rPr>
        <strike/>
        <vertAlign val="subscript"/>
        <sz val="11"/>
        <color theme="1"/>
        <rFont val="Calibri"/>
        <family val="2"/>
        <scheme val="minor"/>
      </rPr>
      <t>RxAirsealing</t>
    </r>
  </si>
  <si>
    <r>
      <t>ΔkWh</t>
    </r>
    <r>
      <rPr>
        <strike/>
        <vertAlign val="subscript"/>
        <sz val="11"/>
        <color rgb="FFFF0000"/>
        <rFont val="Calibri"/>
        <family val="2"/>
        <scheme val="minor"/>
      </rPr>
      <t>cool_sealing</t>
    </r>
  </si>
  <si>
    <t>Cooling kWh savings per linear foot of product</t>
  </si>
  <si>
    <r>
      <t>ΔkWh</t>
    </r>
    <r>
      <rPr>
        <strike/>
        <vertAlign val="subscript"/>
        <sz val="11"/>
        <color rgb="FF000000"/>
        <rFont val="Calibri"/>
        <family val="2"/>
        <scheme val="minor"/>
      </rPr>
      <t>cool_sealing</t>
    </r>
  </si>
  <si>
    <r>
      <t>ΔkWh</t>
    </r>
    <r>
      <rPr>
        <strike/>
        <vertAlign val="subscript"/>
        <sz val="11"/>
        <color rgb="FFFF0000"/>
        <rFont val="Calibri"/>
        <family val="2"/>
        <scheme val="minor"/>
      </rPr>
      <t>heat_sealing</t>
    </r>
    <r>
      <rPr>
        <strike/>
        <sz val="11"/>
        <color rgb="FFFF0000"/>
        <rFont val="Calibri"/>
        <family val="2"/>
        <scheme val="minor"/>
      </rPr>
      <t xml:space="preserve"> </t>
    </r>
  </si>
  <si>
    <t>Heating kWh savings per linear foot of product</t>
  </si>
  <si>
    <r>
      <t>ΔkWh</t>
    </r>
    <r>
      <rPr>
        <strike/>
        <vertAlign val="subscript"/>
        <sz val="11"/>
        <color theme="1"/>
        <rFont val="Calibri"/>
        <family val="2"/>
        <scheme val="minor"/>
      </rPr>
      <t>heat_sealing</t>
    </r>
    <r>
      <rPr>
        <strike/>
        <sz val="11"/>
        <color theme="1"/>
        <rFont val="Calibri"/>
        <family val="2"/>
        <scheme val="minor"/>
      </rPr>
      <t xml:space="preserve"> </t>
    </r>
  </si>
  <si>
    <t>Percent of homes with electric heat</t>
  </si>
  <si>
    <t>In Service Rate</t>
  </si>
  <si>
    <t>Estimate</t>
  </si>
  <si>
    <t>Door Sweep</t>
  </si>
  <si>
    <t>251510_2024_12_</t>
  </si>
  <si>
    <t>ΔkWh  = ((nsweep* ADJRxAirsealing * ΔkWhcool_sweep) + (nsweep * ADJRxAirsealing *  ΔkWhheat_sweep * %ElectricHeat)) * ISR</t>
  </si>
  <si>
    <t>nsweep</t>
  </si>
  <si>
    <t>Number of door sweeps</t>
  </si>
  <si>
    <r>
      <t>ΔkWh</t>
    </r>
    <r>
      <rPr>
        <strike/>
        <vertAlign val="subscript"/>
        <sz val="11"/>
        <color rgb="FFFF0000"/>
        <rFont val="Calibri"/>
        <family val="2"/>
        <scheme val="minor"/>
      </rPr>
      <t>cool_sweep</t>
    </r>
  </si>
  <si>
    <t>Cooling kWh savings per door sweep</t>
  </si>
  <si>
    <r>
      <t>ΔkWh</t>
    </r>
    <r>
      <rPr>
        <strike/>
        <vertAlign val="subscript"/>
        <sz val="11"/>
        <color rgb="FFFF0000"/>
        <rFont val="Calibri"/>
        <family val="2"/>
        <scheme val="minor"/>
      </rPr>
      <t>heat_sweep</t>
    </r>
  </si>
  <si>
    <t>Heating kWh savings per door sweep</t>
  </si>
  <si>
    <t>Weatherstripping</t>
  </si>
  <si>
    <t>251520_2024_12_</t>
  </si>
  <si>
    <t>Weatherstripping: 17' Roll</t>
  </si>
  <si>
    <t>251530_2024_12_</t>
  </si>
  <si>
    <t>LED Nightlights</t>
  </si>
  <si>
    <t>Lighting RES</t>
  </si>
  <si>
    <t>3.5.3</t>
  </si>
  <si>
    <t>∆kWh = (WattBase  - WattEE  ) * ISR * (1 - LKG) * Hours  * WHF  / 1,000</t>
  </si>
  <si>
    <t>Measure Category</t>
  </si>
  <si>
    <t>WattsBase</t>
  </si>
  <si>
    <t>3.5.1</t>
  </si>
  <si>
    <t>Based on Stanley Mertz, “LED Nightlights Energy Efficiency Retail products programs”, March 2018</t>
  </si>
  <si>
    <t>WattsEE</t>
  </si>
  <si>
    <t>Program wattage</t>
  </si>
  <si>
    <t>Program Wattage</t>
  </si>
  <si>
    <t>Hours of operation</t>
  </si>
  <si>
    <t>Nighlight</t>
  </si>
  <si>
    <t>Assumes nightlight is operating 12 hours per day, consistent with the 2016 Pennsylvania TRM</t>
  </si>
  <si>
    <t>Conversion Factor (Wh/kWh)</t>
  </si>
  <si>
    <t>WHF</t>
  </si>
  <si>
    <t>WHF to account for interactive effects</t>
  </si>
  <si>
    <t>Res</t>
  </si>
  <si>
    <t>2017 Ameren MO Lighting study</t>
  </si>
  <si>
    <r>
      <t>Matches  Ameren Missouri  Evaluation PY2018</t>
    </r>
    <r>
      <rPr>
        <sz val="11"/>
        <color rgb="FFFF0000"/>
        <rFont val="Calibri"/>
        <family val="2"/>
        <scheme val="minor"/>
      </rPr>
      <t xml:space="preserve">, page 37 </t>
    </r>
  </si>
  <si>
    <t>Leakage</t>
  </si>
  <si>
    <t>Ameren Missouri EE Kits Evaluation PY2019 (Table 7-9)</t>
  </si>
  <si>
    <t>This parameter is sometimes described in terms of Utility Adjustment, where the Utility Adjusment = 1 - Leakage</t>
  </si>
  <si>
    <t>Ameren Missouri Lighting Evaluation PY2023. Weighted average "All" based on results published in Table 32. PY2023 Lighting Program Detailed Participation Summary by Channel and Bulb Type. Refer to table at right. Note Online Store Channel no longer active starting in PY22.</t>
  </si>
  <si>
    <t xml:space="preserve">EUL </t>
  </si>
  <si>
    <t>Southern California Edison Company, “LED, Electroluminescent &amp; Fluorescent Night Lights”, Work Paper WPSCRELG0029 Rev. 1, February 2009, p. 2. and p.3</t>
  </si>
  <si>
    <t>Program should reference actual cost</t>
  </si>
  <si>
    <t>Average cost data provided in Stanley Mertz, “LED Nightlights Energy Efficiency Retail products programs”, March 2018.</t>
  </si>
  <si>
    <t>RESIDENTIAL ENERGY EFFICIENCY KITS</t>
  </si>
  <si>
    <t>Dirty Filter Alarm</t>
  </si>
  <si>
    <t>Heating kWh</t>
  </si>
  <si>
    <t>Cooling kWh</t>
  </si>
  <si>
    <t>300050_2024_12_</t>
  </si>
  <si>
    <t>Dirty Filter Alarm_SF</t>
  </si>
  <si>
    <t>300051_2024_12_</t>
  </si>
  <si>
    <t>IE</t>
  </si>
  <si>
    <t>Dirty Filter Alarm_SF - IE Kits</t>
  </si>
  <si>
    <t>300100_2024_12_</t>
  </si>
  <si>
    <t>Dirty Filter Alarm_MF</t>
  </si>
  <si>
    <t>300101_2024_12_</t>
  </si>
  <si>
    <t>Dirty Filter Alarm_MF_CompE</t>
  </si>
  <si>
    <t>3.4.9</t>
  </si>
  <si>
    <t>ΔkWh = kWh_heating + kWh_cooling</t>
  </si>
  <si>
    <t>kWh_heating = %Heating * kWmotor * EFLHheat * EI * Utility Adjustment * ISR</t>
  </si>
  <si>
    <t>kWh_cooling = %AC * kWmotor * EFLHcool * EI * Utility Adjustment * ISR</t>
  </si>
  <si>
    <t>%Heating</t>
  </si>
  <si>
    <t>Dirty Filter Alarm_SF:School Kits</t>
  </si>
  <si>
    <r>
      <t>Ameren Missouri EE Kits EM&amp;V PY2018</t>
    </r>
    <r>
      <rPr>
        <strike/>
        <sz val="11"/>
        <color rgb="FFFF0000"/>
        <rFont val="Calibri"/>
        <family val="2"/>
        <scheme val="minor"/>
      </rPr>
      <t>, page 41</t>
    </r>
  </si>
  <si>
    <t>Dirty Filter Alarm_MF: Kits</t>
  </si>
  <si>
    <t>Ameren Missouri EE Kits EM&amp;V PY2018, page 41</t>
  </si>
  <si>
    <r>
      <t>EFLH</t>
    </r>
    <r>
      <rPr>
        <i/>
        <vertAlign val="subscript"/>
        <sz val="11"/>
        <rFont val="Calibri"/>
        <family val="2"/>
        <scheme val="minor"/>
      </rPr>
      <t>heat</t>
    </r>
  </si>
  <si>
    <t>Ameren Missouri HVAC PY16 Metering Study</t>
  </si>
  <si>
    <t>MFc (MF comprehensive envelope)</t>
  </si>
  <si>
    <t>From Evaluation - Opinion Dynamics review PY19</t>
  </si>
  <si>
    <t>EI</t>
  </si>
  <si>
    <t>Illinois TRM Version 12.0, page 233</t>
  </si>
  <si>
    <t>Ameren Missouri EE Kits Evaluation PY2019 (Appendix Table 47)</t>
  </si>
  <si>
    <t>Ameren Missouri EE Kits Evaluation PY2019 (Table 7-10)</t>
  </si>
  <si>
    <t>Dirty Filter Alarm_SF:IE Kits</t>
  </si>
  <si>
    <r>
      <t>Ameren Missouri Community Savers Evaluation PY2018</t>
    </r>
    <r>
      <rPr>
        <strike/>
        <sz val="11"/>
        <color rgb="FFFF0000"/>
        <rFont val="Calibri"/>
        <family val="2"/>
        <scheme val="minor"/>
      </rPr>
      <t>, page 27</t>
    </r>
  </si>
  <si>
    <t>Matches IE Deemed Table value for DI in MF homes.</t>
  </si>
  <si>
    <r>
      <t>Ameren Missouri EE Kits PY18 Program Data</t>
    </r>
    <r>
      <rPr>
        <sz val="11"/>
        <color rgb="FFFF0000"/>
        <rFont val="Calibri"/>
        <family val="2"/>
        <scheme val="minor"/>
      </rPr>
      <t>, page 41</t>
    </r>
  </si>
  <si>
    <r>
      <t>Ameren Missouri EE Kits EM&amp;V PY2018</t>
    </r>
    <r>
      <rPr>
        <sz val="11"/>
        <color rgb="FFFF0000"/>
        <rFont val="Calibri"/>
        <family val="2"/>
        <scheme val="minor"/>
      </rPr>
      <t>, page 41</t>
    </r>
  </si>
  <si>
    <r>
      <t>EFLH</t>
    </r>
    <r>
      <rPr>
        <i/>
        <vertAlign val="subscript"/>
        <sz val="11"/>
        <rFont val="Calibri"/>
        <family val="2"/>
        <scheme val="minor"/>
      </rPr>
      <t>cool</t>
    </r>
  </si>
  <si>
    <t>Ameren Missouri HVAC PY2013 Metering Study</t>
  </si>
  <si>
    <t>Opinion Dynamics review PY2019</t>
  </si>
  <si>
    <t>CPUC Support Tables</t>
  </si>
  <si>
    <t>P</t>
  </si>
  <si>
    <t>Persistence rate of reinstalling alarm after filter change</t>
  </si>
  <si>
    <t>None</t>
  </si>
  <si>
    <t xml:space="preserve">LEDs (per bulb) </t>
  </si>
  <si>
    <t>300430_2024_12_</t>
  </si>
  <si>
    <t>300431_2024_12_</t>
  </si>
  <si>
    <t>SFIE</t>
  </si>
  <si>
    <t>LED - 10W (750-899 lumens) IE</t>
  </si>
  <si>
    <t>300432_2024_12_</t>
  </si>
  <si>
    <t>LED - 15W (900-1399 lumens) IE</t>
  </si>
  <si>
    <t>300433_2024_12_</t>
  </si>
  <si>
    <t>300434_2024_12_</t>
  </si>
  <si>
    <t>LED A19 800 Lumens 6W</t>
  </si>
  <si>
    <t>300435_2024_12_</t>
  </si>
  <si>
    <r>
      <t>Watts</t>
    </r>
    <r>
      <rPr>
        <vertAlign val="subscript"/>
        <sz val="11"/>
        <rFont val="Calibri"/>
        <family val="2"/>
        <scheme val="minor"/>
      </rPr>
      <t>Base</t>
    </r>
  </si>
  <si>
    <t>Baseline Wattage</t>
  </si>
  <si>
    <r>
      <t>IL TRM V</t>
    </r>
    <r>
      <rPr>
        <strike/>
        <sz val="11"/>
        <color rgb="FFFF0000"/>
        <rFont val="Calibri"/>
        <family val="2"/>
        <scheme val="minor"/>
      </rPr>
      <t>12</t>
    </r>
    <r>
      <rPr>
        <strike/>
        <sz val="11"/>
        <rFont val="Calibri"/>
        <family val="2"/>
        <scheme val="minor"/>
      </rPr>
      <t xml:space="preserve">.0, </t>
    </r>
    <r>
      <rPr>
        <strike/>
        <sz val="11"/>
        <color rgb="FFFF0000"/>
        <rFont val="Calibri"/>
        <family val="2"/>
        <scheme val="minor"/>
      </rPr>
      <t>section 5.5.11, page 346</t>
    </r>
  </si>
  <si>
    <t>Ameren Missouri TRM Vol. 3, Section 3.5.4</t>
  </si>
  <si>
    <r>
      <t>Watts</t>
    </r>
    <r>
      <rPr>
        <vertAlign val="subscript"/>
        <sz val="11"/>
        <rFont val="Calibri"/>
        <family val="2"/>
        <scheme val="minor"/>
      </rPr>
      <t>EE</t>
    </r>
  </si>
  <si>
    <t>Wattage of new LED installed</t>
  </si>
  <si>
    <r>
      <t>Hours</t>
    </r>
    <r>
      <rPr>
        <vertAlign val="subscript"/>
        <sz val="11"/>
        <rFont val="Calibri"/>
        <family val="2"/>
        <scheme val="minor"/>
      </rPr>
      <t>RES</t>
    </r>
  </si>
  <si>
    <t>The average hours of use per day</t>
  </si>
  <si>
    <t>Non-Nightlight</t>
  </si>
  <si>
    <t xml:space="preserve">2017 Ameren MO Lighting study </t>
  </si>
  <si>
    <r>
      <t>Matches  Ameren Missouri  Evaluation PY2018</t>
    </r>
    <r>
      <rPr>
        <sz val="11"/>
        <color rgb="FFFF0000"/>
        <rFont val="Calibri"/>
        <family val="2"/>
        <scheme val="minor"/>
      </rPr>
      <t xml:space="preserve">, page 36 </t>
    </r>
  </si>
  <si>
    <r>
      <t xml:space="preserve">IL TRM V12.0, </t>
    </r>
    <r>
      <rPr>
        <strike/>
        <sz val="11"/>
        <color rgb="FFFF0000"/>
        <rFont val="Calibri"/>
        <family val="2"/>
        <scheme val="minor"/>
      </rPr>
      <t>page 347section 5.5.11</t>
    </r>
  </si>
  <si>
    <t>Electric Saturation</t>
  </si>
  <si>
    <t>% Homes with Electric Lighting</t>
  </si>
  <si>
    <t>Electric only measure</t>
  </si>
  <si>
    <t>School</t>
  </si>
  <si>
    <t>Utility Adjustment (1-Leakage)</t>
  </si>
  <si>
    <t>Multifamily</t>
  </si>
  <si>
    <t>IE Kits</t>
  </si>
  <si>
    <r>
      <t>Ameren Missouir  EE MF Kits Evaluation PY2018</t>
    </r>
    <r>
      <rPr>
        <strike/>
        <sz val="10"/>
        <color rgb="FFFF0000"/>
        <rFont val="Calibri"/>
        <family val="2"/>
        <scheme val="minor"/>
      </rPr>
      <t>, page 29</t>
    </r>
  </si>
  <si>
    <t>Based on 20,000 average rated life, 995.18 annual hours of use.</t>
  </si>
  <si>
    <t>LED IE</t>
  </si>
  <si>
    <t>Illinois TRM Version 12.0, 329</t>
  </si>
  <si>
    <t>Kit Faucet Aerators (Kitchen)</t>
  </si>
  <si>
    <t>300450_2024_12_</t>
  </si>
  <si>
    <t>Kit Faucet Aerator (Kitchen)</t>
  </si>
  <si>
    <t>300500_2024_12_</t>
  </si>
  <si>
    <t>300501_2024_12_</t>
  </si>
  <si>
    <t>Kit Faucet Aerator (Kitchen) - SFIE Kits</t>
  </si>
  <si>
    <t>3.3.1</t>
  </si>
  <si>
    <t>ΔkWh  = %ElectricDHW  * (GPMbase  * L_base  - GPMlow * Llow) * Household * 365.25 *DF / FPH * EPG_electric * ISR</t>
  </si>
  <si>
    <t>EPG_electric = (8.33 * 1.0 * (WaterTemp - SupplyTemp)) / (RE_electric * 3412)</t>
  </si>
  <si>
    <t>ΔTherms = %GasDHW  * (GPMbase  * L_base  - GPMlow * Llow) * Household * 365.25 *DF / FPH * EPG_gas * ISR</t>
  </si>
  <si>
    <t>Channel</t>
  </si>
  <si>
    <t>School Kits</t>
  </si>
  <si>
    <t>Ameren Missouri EE Kits Evaluation PY2019 (Appendix Table 43)</t>
  </si>
  <si>
    <r>
      <t xml:space="preserve">Ameren Missouri  EE Kits PY18 </t>
    </r>
    <r>
      <rPr>
        <strike/>
        <sz val="11"/>
        <color rgb="FFFF0000"/>
        <rFont val="Calibri"/>
        <family val="2"/>
        <scheme val="minor"/>
      </rPr>
      <t>Program Data Evaluation, page 34</t>
    </r>
  </si>
  <si>
    <t>SFIE Kits</t>
  </si>
  <si>
    <t>Rated flowrate of the baseline faucet</t>
  </si>
  <si>
    <t>Federal rated maximum flow rate for faucets (10CFR430.32 (p) (DOE 1998).</t>
  </si>
  <si>
    <t>The average length of baseline faucet use per day (min/day/person)</t>
  </si>
  <si>
    <t xml:space="preserve">Cadmus and Opinion Dynamics Evaluation Team. Showerhead and Faucet Aerator Meter Study. Memorandum prepared for Michigan Evaluation Working Group. pp 10. 2013. </t>
  </si>
  <si>
    <t>PY11 MFIQ Metering Study</t>
  </si>
  <si>
    <t>Cadmus PY3 metering study. Cited in Ameren Missouri Low Income and Process Evaluation: program Year 2015. p.23</t>
  </si>
  <si>
    <t>Rated flowrate of the low flow faucet</t>
  </si>
  <si>
    <t>The average length of low flow faucet use per day (min/day/person)</t>
  </si>
  <si>
    <t>The number of people using faucet aerators (people/household)</t>
  </si>
  <si>
    <t>PY18 Energy Efficiency Kits Property Manager Survey results (I1-I2)</t>
  </si>
  <si>
    <t>PY6 program data (not reported in PY2016).  Ameren Missouri Low Income and Process Evaluation: program Year 2015. p.23</t>
  </si>
  <si>
    <t>DF</t>
  </si>
  <si>
    <t xml:space="preserve">Drain Factor </t>
  </si>
  <si>
    <t>Non-SFIE Kits</t>
  </si>
  <si>
    <t>VEIC recommendation</t>
  </si>
  <si>
    <t>Ameren Missouri Community Savers Evaluation PY2018</t>
  </si>
  <si>
    <t>FPH</t>
  </si>
  <si>
    <t>The number of used faucets per home</t>
  </si>
  <si>
    <t>Ameren Missouri Energy Efficient Kits Evaluation: PY2018, page 34</t>
  </si>
  <si>
    <t xml:space="preserve">Matches EE Kits EM&amp;V.  Community Savers EM&amp;V (1.86) does not make sense for kitchen faucets. </t>
  </si>
  <si>
    <t>The specific heat of water (Btu/lb-oF)</t>
  </si>
  <si>
    <t>WaterTemp</t>
  </si>
  <si>
    <t>The average water temperature out of the faucet (oF)</t>
  </si>
  <si>
    <t>Cadmus and Opinion Dynamics Showerhead and Faucet Aerator Meter Study Memorandum, dated June 2013, directed to Michigan Evaluation Working Group</t>
  </si>
  <si>
    <t>The average inlet water temperature (oF)</t>
  </si>
  <si>
    <t>The water heater’s recovery efficiency</t>
  </si>
  <si>
    <t>National Renewable Energy Laboratory, Building America Research. Recovery efficiency for electric hot water heater. Benchmark definition, pp. 12. 2009. Available online: http://www.nrel.gov/docs/fy10osti/47246.pdf</t>
  </si>
  <si>
    <t>The conversion rate from Btu to kWh (Btu/kWh)</t>
  </si>
  <si>
    <t>Non-School Kits</t>
  </si>
  <si>
    <r>
      <t xml:space="preserve">Ameren Missouri  EE Kits PY18 </t>
    </r>
    <r>
      <rPr>
        <strike/>
        <sz val="11"/>
        <color rgb="FFFF0000"/>
        <rFont val="Calibri"/>
        <family val="2"/>
        <scheme val="minor"/>
      </rPr>
      <t>Program DataEvaluation Report, page 34</t>
    </r>
  </si>
  <si>
    <t>Ameren Missouri Single Family Low Income Evaluation PY2019 (Table 10-10)</t>
  </si>
  <si>
    <t>ComEd Effective Useful Life Research Report, Navigant, May 14, 2018, page 20</t>
  </si>
  <si>
    <t>Use program actual cost</t>
  </si>
  <si>
    <t>Kit Faucet Aerators (Bathroom)</t>
  </si>
  <si>
    <t>300550_2024_12_</t>
  </si>
  <si>
    <t>Kit Faucet Aerator (Bathroom)</t>
  </si>
  <si>
    <t>300600_2024_12_</t>
  </si>
  <si>
    <t>300601_2024_12_</t>
  </si>
  <si>
    <t>Kit Faucet Aerator (Bathroom) - SFLI Kits</t>
  </si>
  <si>
    <r>
      <t xml:space="preserve">Ameren Missouri  EE Kits PY18 </t>
    </r>
    <r>
      <rPr>
        <strike/>
        <sz val="11"/>
        <color rgb="FFFF0000"/>
        <rFont val="Calibri"/>
        <family val="2"/>
        <scheme val="minor"/>
      </rPr>
      <t>Program DataEvaluation, page 36</t>
    </r>
  </si>
  <si>
    <t>Assumed to be the same as Income Eligible Deemed Tables DI measure</t>
  </si>
  <si>
    <t>Non-Income Eligible</t>
  </si>
  <si>
    <t>Cadmus and Opinion Dynamics Evaluation Team. Showerhead and Faucet Aerator Meter Study. Memorandum prepared for Michigan Evaluation Working Group. 2013. pp. 10.</t>
  </si>
  <si>
    <t>Matches Community Savers EM&amp;V</t>
  </si>
  <si>
    <t>Non-Low-Income</t>
  </si>
  <si>
    <t>Ameren Missouri  EE Kits PY18 Property Manager Survey results (I1-I2)</t>
  </si>
  <si>
    <t>Not accounted for in EM&amp;V</t>
  </si>
  <si>
    <r>
      <t xml:space="preserve">Ameren Missouiri PY18 EE Kits </t>
    </r>
    <r>
      <rPr>
        <strike/>
        <sz val="11"/>
        <color rgb="FFFF0000"/>
        <rFont val="Calibri"/>
        <family val="2"/>
        <scheme val="minor"/>
      </rPr>
      <t>School Survey Evaluation, page 36</t>
    </r>
  </si>
  <si>
    <r>
      <t xml:space="preserve">Ameren Missouri  EE Kits PY18 </t>
    </r>
    <r>
      <rPr>
        <strike/>
        <sz val="11"/>
        <color rgb="FFFF0000"/>
        <rFont val="Calibri"/>
        <family val="2"/>
        <scheme val="minor"/>
      </rPr>
      <t>Property Manager Application dataEvaluation, page 36</t>
    </r>
  </si>
  <si>
    <r>
      <t>Ameren Missouri Community Savers Evaluation: PY2018</t>
    </r>
    <r>
      <rPr>
        <strike/>
        <sz val="11"/>
        <color rgb="FFFF0000"/>
        <rFont val="Calibri"/>
        <family val="2"/>
        <scheme val="minor"/>
      </rPr>
      <t>, page 23</t>
    </r>
  </si>
  <si>
    <t xml:space="preserve">National Renewable Energy Laboratory, Building America Research. Recovery efficiency for electric hot water heater. Benchmark definition, pp. 12. 2009. </t>
  </si>
  <si>
    <r>
      <t xml:space="preserve">Ameren Missouri  EE Kits PY18 Program </t>
    </r>
    <r>
      <rPr>
        <strike/>
        <sz val="11"/>
        <color rgb="FFFF0000"/>
        <rFont val="Calibri"/>
        <family val="2"/>
        <scheme val="minor"/>
      </rPr>
      <t>DataEvaluation Report, page 36</t>
    </r>
  </si>
  <si>
    <t>Same as DI measure in Income Eligible Deemed Table.</t>
  </si>
  <si>
    <t xml:space="preserve">Low Flow Showerheads </t>
  </si>
  <si>
    <t>300650_2024_12_</t>
  </si>
  <si>
    <t>Low Flow Showerheads</t>
  </si>
  <si>
    <t>300700_2024_12_</t>
  </si>
  <si>
    <t>300701_2024_12_</t>
  </si>
  <si>
    <t>Low Flow Showerheads - SFIE Kits</t>
  </si>
  <si>
    <t>EPG_electric = (8.33 * 1.0 * (ShowerTemp - SupplyTemp)) / (RE_electric * 3412)</t>
  </si>
  <si>
    <t>Ameren Missouri EE Kits Evaluation PY2019 (Appendix Table 44)</t>
  </si>
  <si>
    <r>
      <t>Ameren Missouiri PY18 EE Kits Evaluation</t>
    </r>
    <r>
      <rPr>
        <strike/>
        <sz val="11"/>
        <color rgb="FFFF0000"/>
        <rFont val="Calibri"/>
        <family val="2"/>
        <scheme val="minor"/>
      </rPr>
      <t>, page 32</t>
    </r>
  </si>
  <si>
    <t>Illinois Statewide Technical Reference Manual v12.0, Volume 3, page 86</t>
  </si>
  <si>
    <t xml:space="preserve">Ameren Missouri Community Savers Evaluation PY2018 </t>
  </si>
  <si>
    <t>The average shower length  with baseline showerhead(min/shower)</t>
  </si>
  <si>
    <t>Cadmus and Opinion Dynamics Evaluation Team. Showerhead and Faucet Aerator Meter Study. Memorandum prepared for Michigan Evaluation Working Group. pp 10. 2013. </t>
  </si>
  <si>
    <t>The average shower length with low flow showerhead (min/shower)</t>
  </si>
  <si>
    <r>
      <t>Ameren Missouiri PY18 EE Kits Evaluation</t>
    </r>
    <r>
      <rPr>
        <strike/>
        <sz val="11"/>
        <color rgb="FFFF0000"/>
        <rFont val="Calibri"/>
        <family val="2"/>
        <scheme val="minor"/>
      </rPr>
      <t xml:space="preserve">, page 32 </t>
    </r>
  </si>
  <si>
    <t xml:space="preserve">Matches SF value for IE.  MF not represented in this assumption. </t>
  </si>
  <si>
    <t>The number of showers per day, per person (shower/day-ppl)</t>
  </si>
  <si>
    <t>The number of days per year (day/yr.)</t>
  </si>
  <si>
    <t>The number of showerheads used per home</t>
  </si>
  <si>
    <t>Ameren Missouri 2015 Efficient Products Evaluation, page 38</t>
  </si>
  <si>
    <t>The average water temperature at the showerhead (oF)</t>
  </si>
  <si>
    <t>PY2017 CommunitySavers Report, page 3-7</t>
  </si>
  <si>
    <t>National Renewable Energy Laboratory, Building America Research. Recovery efficiency for electric hot water heater. Benchmark definition, pp. 12. 2009.</t>
  </si>
  <si>
    <t>Ameren Missouiri PY19 EE Kits Evaluation Appendices, page 74</t>
  </si>
  <si>
    <t xml:space="preserve">Ameren Missouiri PY18 EE Kits Evaluation </t>
  </si>
  <si>
    <r>
      <t>Ameren Missouri Efficient Kits Impact and Process Evaluation: PY2019 (</t>
    </r>
    <r>
      <rPr>
        <strike/>
        <sz val="11"/>
        <color rgb="FFFF0000"/>
        <rFont val="Calibri"/>
        <family val="2"/>
        <scheme val="minor"/>
      </rPr>
      <t>Appendices</t>
    </r>
    <r>
      <rPr>
        <strike/>
        <sz val="11"/>
        <rFont val="Calibri"/>
        <family val="2"/>
        <scheme val="minor"/>
      </rPr>
      <t xml:space="preserve"> </t>
    </r>
    <r>
      <rPr>
        <strike/>
        <sz val="11"/>
        <color rgb="FFFF0000"/>
        <rFont val="Calibri"/>
        <family val="2"/>
        <scheme val="minor"/>
      </rPr>
      <t>Table 44</t>
    </r>
    <r>
      <rPr>
        <strike/>
        <sz val="11"/>
        <rFont val="Calibri"/>
        <family val="2"/>
        <scheme val="minor"/>
      </rPr>
      <t>)</t>
    </r>
  </si>
  <si>
    <t>Based on online pricing market research 2/6/2017</t>
  </si>
  <si>
    <t>Pipe Insulation</t>
  </si>
  <si>
    <t>300750_2019_12_</t>
  </si>
  <si>
    <t>per foot</t>
  </si>
  <si>
    <t>300800_2019_12_</t>
  </si>
  <si>
    <t>300801_2020_12_</t>
  </si>
  <si>
    <t>Pipe Insulation - SFIE Kits</t>
  </si>
  <si>
    <t>3.3.4</t>
  </si>
  <si>
    <t>∆kWh = %ElectricDHW * ((CBase/RBase – CEE/R_EE) * L * ∆T * Hours)/(ηDHWElec * 3,412) * ISR</t>
  </si>
  <si>
    <t xml:space="preserve">∆Therms = (1 - %ElectricDHW) * ((CBase/RBase – CEE/R_EE) * L * ∆T * Hours)/(ηDHWGas * 100,000) </t>
  </si>
  <si>
    <r>
      <t>C</t>
    </r>
    <r>
      <rPr>
        <strike/>
        <vertAlign val="subscript"/>
        <sz val="11"/>
        <rFont val="Calibri"/>
        <family val="2"/>
        <scheme val="minor"/>
      </rPr>
      <t>Base</t>
    </r>
  </si>
  <si>
    <t>Circumference (feet) of uninsulated pipe</t>
  </si>
  <si>
    <t>Calculated from Pipe Diameter (value below)</t>
  </si>
  <si>
    <t>Updated for .75 inch Pipe</t>
  </si>
  <si>
    <r>
      <t>R</t>
    </r>
    <r>
      <rPr>
        <strike/>
        <vertAlign val="subscript"/>
        <sz val="11"/>
        <rFont val="Calibri"/>
        <family val="2"/>
        <scheme val="minor"/>
      </rPr>
      <t>Base</t>
    </r>
  </si>
  <si>
    <r>
      <t>Thermal resistance coefficient (hr-°F-ft</t>
    </r>
    <r>
      <rPr>
        <strike/>
        <vertAlign val="superscript"/>
        <sz val="11"/>
        <rFont val="Calibri"/>
        <family val="2"/>
        <scheme val="minor"/>
      </rPr>
      <t>2</t>
    </r>
    <r>
      <rPr>
        <strike/>
        <sz val="11"/>
        <rFont val="Calibri"/>
        <family val="2"/>
        <scheme val="minor"/>
      </rPr>
      <t>)/Btu) of uninsulated pipe</t>
    </r>
  </si>
  <si>
    <t>Measures and Assumptions for Demand Side Management (DSM) Planning; Appendix C Substantiation Sheets,” Navigant, April 2009</t>
  </si>
  <si>
    <r>
      <t>C</t>
    </r>
    <r>
      <rPr>
        <strike/>
        <vertAlign val="subscript"/>
        <sz val="11"/>
        <rFont val="Calibri"/>
        <family val="2"/>
        <scheme val="minor"/>
      </rPr>
      <t>EE</t>
    </r>
  </si>
  <si>
    <t>Circumference (ft) of insulated pipe = diameter (in) * π/12</t>
  </si>
  <si>
    <t>Calculated from Pipe Diameter and Pipe Wrap Width (values below)</t>
  </si>
  <si>
    <t xml:space="preserve">Circumference increases due to installation of pipe insulation is not accounted for in Community Saves EM&amp;V.  The statewide TRM does account for this.  Franklin Energy recommends factoring the circumference increase into calculations.  Calations in this workbook do factor in the circumference increase. </t>
  </si>
  <si>
    <r>
      <t>R</t>
    </r>
    <r>
      <rPr>
        <strike/>
        <vertAlign val="subscript"/>
        <sz val="11"/>
        <rFont val="Calibri"/>
        <family val="2"/>
        <scheme val="minor"/>
      </rPr>
      <t>EE</t>
    </r>
  </si>
  <si>
    <t>Thermal resistance coefficient (hr-°F-ft2)/Btu) of insulated pipe</t>
  </si>
  <si>
    <t>PY2018 EE Kits Evaluation Report, page 39</t>
  </si>
  <si>
    <t>Based on EM&amp;V, Franklin Energy assumed insulation provided in kits has an Ree value of 5.  Statewide defaul Ree is 5.</t>
  </si>
  <si>
    <t>L</t>
  </si>
  <si>
    <t>Length of pipe from water heating source covered by Pipe Insulation (ft)</t>
  </si>
  <si>
    <t>Per installed foot</t>
  </si>
  <si>
    <t>DT</t>
  </si>
  <si>
    <t>Average temperature difference between supplied hot water and outside air temperatures (°F)</t>
  </si>
  <si>
    <t>Assumes 125°F water leaving the hot water tank and average basement temperature of 65°F.</t>
  </si>
  <si>
    <t>Revised to match EM&amp;V</t>
  </si>
  <si>
    <r>
      <t>Ameren Missouri Community Savers Evaluation PY2018</t>
    </r>
    <r>
      <rPr>
        <strike/>
        <sz val="11"/>
        <color rgb="FFFF0000"/>
        <rFont val="Calibri"/>
        <family val="2"/>
        <scheme val="minor"/>
      </rPr>
      <t>, page 24</t>
    </r>
  </si>
  <si>
    <t>Hours per year</t>
  </si>
  <si>
    <t>Division of Energy. State of Missouri Technical Reference Manual. pp 71. 2017. energy.mo.gov/about/trm</t>
  </si>
  <si>
    <r>
      <t>ȠDHW</t>
    </r>
    <r>
      <rPr>
        <strike/>
        <vertAlign val="subscript"/>
        <sz val="11"/>
        <rFont val="Calibri"/>
        <family val="2"/>
        <scheme val="minor"/>
      </rPr>
      <t>Elec</t>
    </r>
  </si>
  <si>
    <t>Recovery Efficiency of electric hot water heater</t>
  </si>
  <si>
    <t>Electric water heater recovery efficiency from AHRI database</t>
  </si>
  <si>
    <t>Conversion factor from Btu to kWh</t>
  </si>
  <si>
    <t>*Electric Saturation</t>
  </si>
  <si>
    <t>Ameren Missouri EE Kits Evaluation PY2019 (Appendix Table 44) (adopting Faucet Aerator value)</t>
  </si>
  <si>
    <t>PY18 EE Kits Program Evaluation, page 39</t>
  </si>
  <si>
    <t>PY18 Energy Efficiency Kits School Evaluation Report, page 39</t>
  </si>
  <si>
    <t xml:space="preserve">Based on Ameren MEEIA 3 V1 file. </t>
  </si>
  <si>
    <r>
      <t xml:space="preserve">Ameren Missouri EE Kits Evaluation PY2019 </t>
    </r>
    <r>
      <rPr>
        <strike/>
        <sz val="11"/>
        <color rgb="FFFF0000"/>
        <rFont val="Calibri"/>
        <family val="2"/>
        <scheme val="minor"/>
      </rPr>
      <t>Appendices Page 78</t>
    </r>
  </si>
  <si>
    <t>Pipe diameter</t>
  </si>
  <si>
    <t>Diameter of uninsulated pipe, weighted average of  1/2" and 3/4"</t>
  </si>
  <si>
    <t>PY18 Program Data</t>
  </si>
  <si>
    <t>Pipe wrap width</t>
  </si>
  <si>
    <t>Pipe wrap width/thickness</t>
  </si>
  <si>
    <t>2014 Database for Energy-Efficiency Resources (DEER)</t>
  </si>
  <si>
    <t>Cost based on RS Means 2018 data</t>
  </si>
  <si>
    <t>Advanced Power Strips Tier 1  / Load Sensing</t>
  </si>
  <si>
    <t>300850_2019_12_</t>
  </si>
  <si>
    <t>Advanced Tier 1 Power Strips -TOS/NC - Home Office</t>
  </si>
  <si>
    <t>300851_2020_12_</t>
  </si>
  <si>
    <t>Advanced Tier 1 Power Strips -DI - Home Office</t>
  </si>
  <si>
    <t>300900_2019_12_</t>
  </si>
  <si>
    <t>Advanced Tier 1 Power Strips -Kits - Home Office</t>
  </si>
  <si>
    <t>300950_2019_12_</t>
  </si>
  <si>
    <t>Advanced Tier 1 Power Strips -TOS/NC - Home Entertainment</t>
  </si>
  <si>
    <t>300951_2020_12_</t>
  </si>
  <si>
    <t>Advanced Tier 1 Power Strips -DI - Home Entertainment</t>
  </si>
  <si>
    <t>301000_2019_12_</t>
  </si>
  <si>
    <t>Advanced Tier 1 Power Strips -Kits - Home Entertainment</t>
  </si>
  <si>
    <t>301050_2019_12_</t>
  </si>
  <si>
    <t>Advanced Tier 1 Power Strips -TOS/NC - Unknown Location</t>
  </si>
  <si>
    <t>301051_2020_12_</t>
  </si>
  <si>
    <t>Advanced Tier 1 Power Strips -DI - Unknown Location</t>
  </si>
  <si>
    <t>301100_2019_12_</t>
  </si>
  <si>
    <t>Advanced Tier 1 Power Strips -Kits - Unknown Location</t>
  </si>
  <si>
    <t>3.2.1</t>
  </si>
  <si>
    <t>ΔkWh = (kWhOffice * WeightingOffice + kWhEnt * WeightingEnt) * ISR</t>
  </si>
  <si>
    <t>KWh</t>
  </si>
  <si>
    <t>kWh Installation by Location</t>
  </si>
  <si>
    <t>Home Office</t>
  </si>
  <si>
    <t>Advanced Power Strip Research Report, NYSERDA, August 2011</t>
  </si>
  <si>
    <t>Home Entertainment</t>
  </si>
  <si>
    <t>Advanced Power Strip Research Report, NYSERDA, August 2012</t>
  </si>
  <si>
    <t>Weighting Entertainment</t>
  </si>
  <si>
    <t>% Entertainment</t>
  </si>
  <si>
    <t>Unknown Location - TOS/NC/DI</t>
  </si>
  <si>
    <t>Ameren Missouri Efficient Product Impact and Process Evaluation: Program Year 2015, page 34</t>
  </si>
  <si>
    <t>Unknown Location - Kits</t>
  </si>
  <si>
    <t>Weighting Office</t>
  </si>
  <si>
    <t>% OFFICE</t>
  </si>
  <si>
    <t>1 - % Entertainment</t>
  </si>
  <si>
    <t>TOS/NC/DI</t>
  </si>
  <si>
    <t>Adopting APS Tier 2 value, from Ameren Missouri Single Family Low Income Evaluation PY2019 (Table 10-10)</t>
  </si>
  <si>
    <t>Kits</t>
  </si>
  <si>
    <t>Adopting APS Tier 2 value, from Ameren Missouri Energy Efficient Products Evaluation PY2019 (Table 6-9)</t>
  </si>
  <si>
    <t>Advanced Power Strip Research Report, NYSERDA, August 2011, page 30</t>
  </si>
  <si>
    <t>Direct Install (DI)</t>
  </si>
  <si>
    <t>301149_2024_12_</t>
  </si>
  <si>
    <t>Advanced Tier 2 Power Strips: Infrared, TOS/NC/DI - Unknown Location</t>
  </si>
  <si>
    <t>301150_2024_12_</t>
  </si>
  <si>
    <t>Advanced Tier 2 Power Strips: Infrared, SFIE Kits - Unknown Location</t>
  </si>
  <si>
    <t>301151_2024_12_</t>
  </si>
  <si>
    <t>Advanced Tier 2 Power Strips: Infrared &amp; Occupancy Sensor, TOS/NC/DI - Unknown Location</t>
  </si>
  <si>
    <t>301152_2024_12_</t>
  </si>
  <si>
    <t>Advanced Tier 2 Power Strips: Infrared &amp; Occupancy Sensor, SFIE Kits - Unknown Location</t>
  </si>
  <si>
    <t>“Energy Savings of Tier 2 Advanced Power Strips in Residential AV Systems,” AESC, Inc., February 2016</t>
  </si>
  <si>
    <t>Representative savings assumption based on the following independent field tests on Embertec’s IR-only product</t>
  </si>
  <si>
    <t xml:space="preserve">Representative savings assumption based on the following independent field tests on TrickeStar IR-OS product </t>
  </si>
  <si>
    <t>Assume same as Tier 1 APS</t>
  </si>
  <si>
    <t>“Advanced Power Strip Research Report,” NYSERDA, August 2011, page 30</t>
  </si>
  <si>
    <t>301200_2024_12_</t>
  </si>
  <si>
    <t>Illinois TRM Version 12.0, page 375</t>
  </si>
  <si>
    <t>RESIDENTIAL HVAC</t>
  </si>
  <si>
    <t>ECM/ Blower Motor</t>
  </si>
  <si>
    <t>Auto kWh</t>
  </si>
  <si>
    <t>Continous kWh</t>
  </si>
  <si>
    <t>350150_2024_12_</t>
  </si>
  <si>
    <t>ECM Auto Fan ER1 - SF</t>
  </si>
  <si>
    <t>ECM Auto Fan ER2 - SF</t>
  </si>
  <si>
    <t>350175_2024_12_</t>
  </si>
  <si>
    <t>ECM Auto Fan ER1 - MF</t>
  </si>
  <si>
    <t>ECM Auto Fan ER2 - MF</t>
  </si>
  <si>
    <t>350300_2024_12_</t>
  </si>
  <si>
    <t>ECM Continuous Fan ER1 - SF</t>
  </si>
  <si>
    <t>ECM Continuous Fan ER2 - SF</t>
  </si>
  <si>
    <t>350350_2024_12_</t>
  </si>
  <si>
    <t>ECM Continuous Fan ER1 - MF</t>
  </si>
  <si>
    <t>ECM Continuous Fan ER2 - MF</t>
  </si>
  <si>
    <t>Note: As part of the Code of Federal Regulations, energy conservation standards for covered residential furnace fans became effective on July 3, 2019 (10 CFR 430.32(y)). This code requirement effectively makes ECMs part of the baseline for New Construction (NC), Replace-on-Fail (ROF), Time-of-Replacement (TOS), and Early Replacement (EREP) scenarios. Savings are only allowable for EREP measures, for the remaining useful life of the existing equipment (ER1, 6 years). Therefore, the EUL of the measure is assumed to be 6 years. (ER1 = 6, ER2 = 0).</t>
  </si>
  <si>
    <t>3.4.7</t>
  </si>
  <si>
    <t>∆kWhHeating Mode = (1 - %_with_New_ASHP) * (400 kWh/year * HeatingEFLH / WisconsinHeatingEFLH) * HF * ISR</t>
  </si>
  <si>
    <t>∆kWhCooling Mode = (1 - %_with_New_Central_Cooling) * (70 kWh/year * CoolingEFLH / WisconsinCoolingEFLH) * HF * ISR</t>
  </si>
  <si>
    <t>∆kWhAuto Circulation = (25 kWh/year * CoolingEFLH / WisconsinCoolingEFLH + 2,960 kWh/year * RT% - 30 kWh/year) * HF * ISR</t>
  </si>
  <si>
    <t>∆kWhContinous Circulation = (25 kWh/year * CoolingEFLH / WisconsinCoolingEFLH + 2,960 kWh/year * RT% - 30 kWh/year) * HF * ISR</t>
  </si>
  <si>
    <t>% with New ASHP</t>
  </si>
  <si>
    <t>% of furnaces with new ASHP</t>
  </si>
  <si>
    <t>Ameren Missouri HVAC Program Evaluation PY2019 Appendix, page 41</t>
  </si>
  <si>
    <t>400 kWh/yr</t>
  </si>
  <si>
    <t>Wisconsin Heating Savings</t>
  </si>
  <si>
    <t>Ameren Missouri HVAC Evaluation PY17' Page 41</t>
  </si>
  <si>
    <r>
      <t xml:space="preserve">EFLH </t>
    </r>
    <r>
      <rPr>
        <i/>
        <strike/>
        <vertAlign val="subscript"/>
        <sz val="11"/>
        <rFont val="Calibri"/>
        <family val="2"/>
        <scheme val="minor"/>
      </rPr>
      <t>heating</t>
    </r>
  </si>
  <si>
    <t>Effective full load heating hours (in St. Louis)</t>
  </si>
  <si>
    <t>Based on Full Load Hour assumptions for StLouis taken from the ENERGY STAR calculator</t>
  </si>
  <si>
    <r>
      <t xml:space="preserve">WI_EFLH </t>
    </r>
    <r>
      <rPr>
        <i/>
        <strike/>
        <vertAlign val="subscript"/>
        <sz val="11"/>
        <rFont val="Calibri"/>
        <family val="2"/>
        <scheme val="minor"/>
      </rPr>
      <t>heating</t>
    </r>
  </si>
  <si>
    <t>Wisconsin effective full load heating hours</t>
  </si>
  <si>
    <r>
      <t xml:space="preserve">Ameren Missouri HVAC EM&amp;V PY2018 </t>
    </r>
    <r>
      <rPr>
        <strike/>
        <sz val="11"/>
        <color rgb="FFFF0000"/>
        <rFont val="Calibri"/>
        <family val="2"/>
        <scheme val="minor"/>
      </rPr>
      <t>Report, page 40</t>
    </r>
  </si>
  <si>
    <t>% with New Central Cooling</t>
  </si>
  <si>
    <t>% of furnaces with new central cooling</t>
  </si>
  <si>
    <t>Ameren Missouri HVAC Program Evaluation PY2019, page 92</t>
  </si>
  <si>
    <t>70 kWh/yr</t>
  </si>
  <si>
    <t>Wisconsin Cooling Savings</t>
  </si>
  <si>
    <t>Ameren Missouri HVAC EM&amp;V PY2017 Page 41</t>
  </si>
  <si>
    <r>
      <t xml:space="preserve">EFLH </t>
    </r>
    <r>
      <rPr>
        <i/>
        <strike/>
        <vertAlign val="subscript"/>
        <sz val="11"/>
        <rFont val="Calibri"/>
        <family val="2"/>
        <scheme val="minor"/>
      </rPr>
      <t>cooling</t>
    </r>
  </si>
  <si>
    <t>Effective full load cooling hours (in St. Louis)</t>
  </si>
  <si>
    <r>
      <t xml:space="preserve">WI_EFLH </t>
    </r>
    <r>
      <rPr>
        <i/>
        <strike/>
        <vertAlign val="subscript"/>
        <sz val="11"/>
        <rFont val="Calibri"/>
        <family val="2"/>
        <scheme val="minor"/>
      </rPr>
      <t>cooling</t>
    </r>
  </si>
  <si>
    <t>Wisconsin effective full load cooling hours</t>
  </si>
  <si>
    <t>25 kWh/yr</t>
  </si>
  <si>
    <t>Cooling Savings - All Systems</t>
  </si>
  <si>
    <t>Ameren Missouri HVAC EM&amp;V PY2017, page 41</t>
  </si>
  <si>
    <t>2960 kWh/yr</t>
  </si>
  <si>
    <t>Wisconsin Circulation Savings</t>
  </si>
  <si>
    <t>RT</t>
  </si>
  <si>
    <t>Percent additional run time factor</t>
  </si>
  <si>
    <t>Auto Fan</t>
  </si>
  <si>
    <t>Ameren Missouri PY2019 Residential Evaluation Appendices, page 39</t>
  </si>
  <si>
    <t>Continuous Fan</t>
  </si>
  <si>
    <t>30 kWh/yr</t>
  </si>
  <si>
    <t>Standby Losses</t>
  </si>
  <si>
    <t>65% MF value is not applicable in this case, because it should be based upon pressure drop in the system and many of the components will have the same pressure drop, filters, coils, grills, duct length, etc.</t>
  </si>
  <si>
    <t>Ameren Missouri HVAC PY2020 Evaluation (Table 28)</t>
  </si>
  <si>
    <t>End of Useful Life</t>
  </si>
  <si>
    <t>Illinois TRM Version 12.0, page 152</t>
  </si>
  <si>
    <t>Assume 75% installed with new furnace.</t>
  </si>
  <si>
    <t>Central Air Conditioners</t>
  </si>
  <si>
    <t xml:space="preserve">*MFc = Multifamily Comprehensive Envelope,  CompE = Comprehensive Envelope </t>
  </si>
  <si>
    <t>Units (tons/measure)</t>
  </si>
  <si>
    <t>350400_2024_12_</t>
  </si>
  <si>
    <t>CAC-SEER14_ER1_SF</t>
  </si>
  <si>
    <t>CAC-SEER14_ER2_SF</t>
  </si>
  <si>
    <t>Cooling RES ER2</t>
  </si>
  <si>
    <t>350450_2024_12_</t>
  </si>
  <si>
    <t>CAC-SEER14_ROF_SF</t>
  </si>
  <si>
    <t>350500_2024_12_</t>
  </si>
  <si>
    <t>CAC-SEER14_ER1_MF</t>
  </si>
  <si>
    <t>CAC-SEER14_ER2_MF</t>
  </si>
  <si>
    <t>350501_2024_12_</t>
  </si>
  <si>
    <t>CAC-SEER14_ER1_MF_CompE</t>
  </si>
  <si>
    <t>CAC-SEER14_ER2_MF_CompE</t>
  </si>
  <si>
    <t>350550_2024_12_</t>
  </si>
  <si>
    <t>CAC-SEER14_ROF_MF</t>
  </si>
  <si>
    <t>350551_2024_12_</t>
  </si>
  <si>
    <t>CAC-SEER14_ROF_MF_CompE</t>
  </si>
  <si>
    <t>350600_2024_12_</t>
  </si>
  <si>
    <t>PAYS</t>
  </si>
  <si>
    <t>CAC-SEER15_ER1_SF</t>
  </si>
  <si>
    <t>CAC-SEER15_ER2_SF</t>
  </si>
  <si>
    <t>350650_2024_12_</t>
  </si>
  <si>
    <t>CAC-SEER15_ROF_SF</t>
  </si>
  <si>
    <t>350700_2024_12_</t>
  </si>
  <si>
    <t>CAC-SEER15_ER1_MF</t>
  </si>
  <si>
    <t>CAC-SEER15_ER2_MF</t>
  </si>
  <si>
    <t>350701_2024_12_</t>
  </si>
  <si>
    <t>CAC-SEER15_ER1_MF_CompE</t>
  </si>
  <si>
    <t>CAC-SEER15_ER2_MF_CompE</t>
  </si>
  <si>
    <t>350750_2024_12_</t>
  </si>
  <si>
    <t>CAC-SEER15_ROF_MF</t>
  </si>
  <si>
    <t>350751_2024_12_</t>
  </si>
  <si>
    <t>CAC-SEER15_ROF_MF_CompE</t>
  </si>
  <si>
    <t>350800_2024_12_</t>
  </si>
  <si>
    <t>CAC-SEER16_ER1_SF</t>
  </si>
  <si>
    <t>CAC-SEER16_ER2_SF</t>
  </si>
  <si>
    <t>350850_2024_12_</t>
  </si>
  <si>
    <t>CAC-SEER16_ROF_SF</t>
  </si>
  <si>
    <t>350900_2024_12_</t>
  </si>
  <si>
    <t>CAC-SEER16_ER1_MF</t>
  </si>
  <si>
    <t>CAC-SEER16_ER2_MF</t>
  </si>
  <si>
    <t>350901_2024_12_</t>
  </si>
  <si>
    <t>CAC-SEER16_ER1_MF_CompE</t>
  </si>
  <si>
    <t>CAC-SEER16_ER2_MF_CompE</t>
  </si>
  <si>
    <t>350950_2024_12_</t>
  </si>
  <si>
    <t>CAC-SEER16_ROF_MF</t>
  </si>
  <si>
    <t>350951_2024_12_</t>
  </si>
  <si>
    <t>CAC-SEER16_ROF_MF_CompE</t>
  </si>
  <si>
    <t>351000_2024_12_</t>
  </si>
  <si>
    <t>CAC-SEER17_ER1_SF</t>
  </si>
  <si>
    <t>CAC-SEER17_ER2_SF</t>
  </si>
  <si>
    <t>351050_2024_12_</t>
  </si>
  <si>
    <t>CAC-SEER17_ROF_SF</t>
  </si>
  <si>
    <t>351100_2024_12_</t>
  </si>
  <si>
    <t>CAC-SEER17_ER1_MF</t>
  </si>
  <si>
    <t>CAC-SEER17_ER2_MF</t>
  </si>
  <si>
    <t>351101_2024_12_</t>
  </si>
  <si>
    <t>CAC-SEER17_ER1_MF_CompE</t>
  </si>
  <si>
    <t>CAC-SEER17_ER2_MF_CompE</t>
  </si>
  <si>
    <t>351150_2024_12_</t>
  </si>
  <si>
    <t>CAC-SEER17_ROF_MF</t>
  </si>
  <si>
    <t>351151_2024_12_</t>
  </si>
  <si>
    <t>CAC-SEER17_ROF_MF_CompE</t>
  </si>
  <si>
    <t>351160_2024_12_</t>
  </si>
  <si>
    <t>CAC-SEER18_ER1_SF</t>
  </si>
  <si>
    <t>CAC-SEER18_ER2_SF</t>
  </si>
  <si>
    <t>351161_2024_12_</t>
  </si>
  <si>
    <t>CAC-SEER18_ROF_SF</t>
  </si>
  <si>
    <t>351162_2024_12_</t>
  </si>
  <si>
    <t>CAC-SEER18_ER1_MF</t>
  </si>
  <si>
    <t>CAC-SEER18_ER2_MF</t>
  </si>
  <si>
    <t>351163_2024_12_</t>
  </si>
  <si>
    <t>CAC-SEER18_ER1_MF_CompE</t>
  </si>
  <si>
    <t>CAC-SEER18_ER2_MF_CompE</t>
  </si>
  <si>
    <t>351164_2024_12_</t>
  </si>
  <si>
    <t>CAC-SEER18_ROF_MF</t>
  </si>
  <si>
    <t>351165_2024_12_</t>
  </si>
  <si>
    <t>CAC-SEER18_ROF_MF_CompE</t>
  </si>
  <si>
    <t>351170_2024_12_</t>
  </si>
  <si>
    <t>CAC-SEER19_ER1_SF</t>
  </si>
  <si>
    <t>CAC-SEER19_ER2_SF</t>
  </si>
  <si>
    <t>351171_2024_12_</t>
  </si>
  <si>
    <t>CAC-SEER19_ROF_SF</t>
  </si>
  <si>
    <t>351172_2024_12_</t>
  </si>
  <si>
    <t>CAC-SEER19_ER1_MF</t>
  </si>
  <si>
    <t>CAC-SEER19_ER2_MF</t>
  </si>
  <si>
    <t>351173_2024_12_</t>
  </si>
  <si>
    <t>CAC-SEER19_ER1_MF_CompE</t>
  </si>
  <si>
    <t>CAC-SEER19_ER2_MF_CompE</t>
  </si>
  <si>
    <t>351174_2024_12_</t>
  </si>
  <si>
    <t>CAC-SEER19_ROF_MF</t>
  </si>
  <si>
    <t>351175_2024_12_</t>
  </si>
  <si>
    <t>CAC-SEER19_ROF_MF_CompE</t>
  </si>
  <si>
    <t>351180_2024_12_</t>
  </si>
  <si>
    <t>CAC-SEER20_ER1_SF</t>
  </si>
  <si>
    <t>CAC-SEER20_ER2_SF</t>
  </si>
  <si>
    <t>351181_2024_12_</t>
  </si>
  <si>
    <t>CAC-SEER20_ROF_SF</t>
  </si>
  <si>
    <t>351182_2024_12_</t>
  </si>
  <si>
    <t>CAC-SEER20_ER1_MF</t>
  </si>
  <si>
    <t>CAC-SEER20_ER2_MF</t>
  </si>
  <si>
    <t>351183_2024_12_</t>
  </si>
  <si>
    <t>CAC-SEER20_ER1_MF_CompE</t>
  </si>
  <si>
    <t>CAC-SEER20_ER2_MF_CompE</t>
  </si>
  <si>
    <t>351184_2024_12_</t>
  </si>
  <si>
    <t>CAC-SEER20_ROF_MF</t>
  </si>
  <si>
    <t>351185_2024_12_</t>
  </si>
  <si>
    <t>CAC-SEER20_ROF_MF_CompE</t>
  </si>
  <si>
    <t>351190_2024_12_</t>
  </si>
  <si>
    <t>CAC-SEER21+_ER1_SF</t>
  </si>
  <si>
    <t>CAC-SEER21+_ER2_SF</t>
  </si>
  <si>
    <t>351191_2024_12_</t>
  </si>
  <si>
    <t>CAC-SEER21+_ROF_SF</t>
  </si>
  <si>
    <t>351192_2024_12_</t>
  </si>
  <si>
    <t>CAC-SEER21+_ER1_MF</t>
  </si>
  <si>
    <t>CAC-SEER21+_ER2_MF</t>
  </si>
  <si>
    <t>351193_2024_12_</t>
  </si>
  <si>
    <t>CAC-SEER21+_ER1_MF_CompE</t>
  </si>
  <si>
    <t>CAC-SEER21+_ER2_MF_CompE</t>
  </si>
  <si>
    <t>351194_2024_12_</t>
  </si>
  <si>
    <t>CAC-SEER21+_ROF_MF</t>
  </si>
  <si>
    <t>351195_2024_12_</t>
  </si>
  <si>
    <t>CAC-SEER21+_ROF_MF_CompE</t>
  </si>
  <si>
    <t>3.4.8</t>
  </si>
  <si>
    <t>ΔkWh = ((FLHcool  * Capacity  * (1/SEER2base  - 1/SEER2ee))/1,000) * HF * ISR</t>
  </si>
  <si>
    <t xml:space="preserve">Early replacement: </t>
  </si>
  <si>
    <t>ΔkWh for remaining life of existing unit (1st 6 years):</t>
  </si>
  <si>
    <t xml:space="preserve">ΔkWh = ((FLHcool  * Capacity * (1/SEER2exist  - 1/SEER2ee))/1,000) * HF * ISR =((FLH_cool  * Capacity * (1/SEER_exist  - 1/SEER_ee))/1,000)*HF*ISR </t>
  </si>
  <si>
    <t>ΔkWh for remaining measure life (next 12 years):</t>
  </si>
  <si>
    <t>ΔkWh = ((FLHcool  * Capacity * (1/SEER2base  - 1/SEER2ee))/1,000) * HF * ISR</t>
  </si>
  <si>
    <t xml:space="preserve">Ton(s) </t>
  </si>
  <si>
    <t>Efficient CAC Costs</t>
  </si>
  <si>
    <t>FLHcool</t>
  </si>
  <si>
    <t>Full load cooling hours</t>
  </si>
  <si>
    <r>
      <t>From Evaluation - Opinion Dynamics review PY19</t>
    </r>
    <r>
      <rPr>
        <sz val="11"/>
        <color rgb="FFFF0000"/>
        <rFont val="Calibri"/>
        <family val="2"/>
        <scheme val="minor"/>
      </rPr>
      <t>, page 30</t>
    </r>
  </si>
  <si>
    <t>Efficiency (SEER2)</t>
  </si>
  <si>
    <t>Time of Sale Incremental Cost ($/unit)</t>
  </si>
  <si>
    <t>Default Retrofit Cost</t>
  </si>
  <si>
    <t>Early Replacement Incremental Cost ($/unit)</t>
  </si>
  <si>
    <t>Nominal Deferred ER Cost</t>
  </si>
  <si>
    <t>Item</t>
  </si>
  <si>
    <t>Discount Rate</t>
  </si>
  <si>
    <t>Nominal societal discount rate, based on the ten year average (1/1/2014 – 12/31/2023) of the 10 year Treasury bond yield rates.
https://www.treasury.gov/resource-center/data-chart-center/interest-rates/Pages/TextView.aspx?data=realyieldAll</t>
  </si>
  <si>
    <t>#Years</t>
  </si>
  <si>
    <t>1/3 of 18 EUL</t>
  </si>
  <si>
    <t>Discount Factor</t>
  </si>
  <si>
    <t>Applied to future full costs under ER scenario.</t>
  </si>
  <si>
    <t>Btu/hr / Capacity</t>
  </si>
  <si>
    <t>Size of new equipment in Btu/hr (note 1 ton = 12,000Btu/hr)</t>
  </si>
  <si>
    <t>Ameren Missouri HVAC EM&amp;V PY2018 workpapers</t>
  </si>
  <si>
    <t>Ameren Missouri Community Savers EM&amp;V PY2017</t>
  </si>
  <si>
    <t xml:space="preserve">Match similar unit. </t>
  </si>
  <si>
    <t>Ameren Missouri HVAC PY2022 Program Data Averages</t>
  </si>
  <si>
    <t>AMO PY23 Parametric Analysis "TRM Updates Summary" column H</t>
  </si>
  <si>
    <t>Match similar unit.</t>
  </si>
  <si>
    <t>Ameren Missouri HVAC PY2021 Program Data Averages</t>
  </si>
  <si>
    <t>Ameren Missouri HVAC PY2020 Program Data Averages</t>
  </si>
  <si>
    <t>SEER2base</t>
  </si>
  <si>
    <t>Seasonal Energy Efficiency Ratio of baseline unit (kBtu/kWh) (SEER2)</t>
  </si>
  <si>
    <t>CFR 430 (1-1-2021 Edition) 430.32(c)(5)</t>
  </si>
  <si>
    <t>SEER2ee</t>
  </si>
  <si>
    <t>Seasonal Energy Efficiency Ratio of ENERGY STAR unit (kBtu/kWh) (SEER2)</t>
  </si>
  <si>
    <t>Ameren Missouri Community Savers EM&amp;V PY18</t>
  </si>
  <si>
    <t>Match similar unit</t>
  </si>
  <si>
    <t>No change- only decimals</t>
  </si>
  <si>
    <t>SEER2exist</t>
  </si>
  <si>
    <t>Seasonal Energy Efficiency Ratio of existing unit (kBtu/kWh) (SEER2)</t>
  </si>
  <si>
    <t>Ameren Missouri HVAC EM&amp;V PY2018</t>
  </si>
  <si>
    <t>AMO PY23 Parametric Analysis "TRM Updates Summary" column J</t>
  </si>
  <si>
    <t>HF of 65% used to convert residential to multifamily</t>
  </si>
  <si>
    <t>Ameren Missouri HVAC Program Evaluation PY2020 (Table 28)</t>
  </si>
  <si>
    <t>Measure Life Report 2007.pdf</t>
  </si>
  <si>
    <t>Mini/Multi-Split Heat Pumps and Air Conditioners</t>
  </si>
  <si>
    <t>351200_2024_12_</t>
  </si>
  <si>
    <t>Mini/MultiSplitAC_ER1_SF</t>
  </si>
  <si>
    <t>Mini/MultiSplitAC_ER2_SF</t>
  </si>
  <si>
    <t>351250_2024_12_</t>
  </si>
  <si>
    <t>Mini/MultiSplitAC_ROF_SF</t>
  </si>
  <si>
    <t>351300_2024_12_</t>
  </si>
  <si>
    <t>Mini/MultiSplitASHP_ROF_SF_NC</t>
  </si>
  <si>
    <t>351350_2024_12_</t>
  </si>
  <si>
    <t>Mini/MultiSplitASHP_ROF_SF</t>
  </si>
  <si>
    <t>351400_2024_12_</t>
  </si>
  <si>
    <t>Mini/MultiSplitASHP-Replace_CAC_ElectricHeat_ER1_SF</t>
  </si>
  <si>
    <t>Mini/MultiSplitASHP-Replace_CAC_ElectricHeat_ER2_SF</t>
  </si>
  <si>
    <t>Heating RES ER2</t>
  </si>
  <si>
    <t>351401_2024_12_</t>
  </si>
  <si>
    <t>Mini/MultiSplitASHP-Replace_CAC_NonElectricHeat_ER1_SF</t>
  </si>
  <si>
    <t>Mini/MultiSplitASHP-Replace_CAC_NonElectricHeat_ER2_SF</t>
  </si>
  <si>
    <t>351450_2024_12_</t>
  </si>
  <si>
    <t>Mini/MultiSplitASHP-Replace_CAC_ElectricHeat_ROF_SF</t>
  </si>
  <si>
    <t>351451_2024_12_</t>
  </si>
  <si>
    <t>Mini/MultiSplitASHP-Replace_CAC_NonElectricHeat_ROF_SF</t>
  </si>
  <si>
    <t>351500_2024_12_</t>
  </si>
  <si>
    <t>Mini/MultiSplitASHP_ER1_SF</t>
  </si>
  <si>
    <t>Mini/MultiSplitASHP_ER2_SF</t>
  </si>
  <si>
    <t>351550_2024_12_</t>
  </si>
  <si>
    <t>Mini/MultiSplitAC_ER1_MF</t>
  </si>
  <si>
    <t>Mini/MultiSplitAC_ER2_MF</t>
  </si>
  <si>
    <t>351551_2024_12_</t>
  </si>
  <si>
    <t>Mini/MultiSplitAC_ER1_MF_CompE</t>
  </si>
  <si>
    <t>Mini/MultiSplitAC_ER2_MF_CompE</t>
  </si>
  <si>
    <t>351600_2024_12_</t>
  </si>
  <si>
    <t>Mini/MultiSplitAC_ROF_MF</t>
  </si>
  <si>
    <t>351601_2024_12_</t>
  </si>
  <si>
    <t>Mini/MultiSplitAC_ROF_MF_CompE</t>
  </si>
  <si>
    <t>351650_2024_12_</t>
  </si>
  <si>
    <t>Mini/MultiSplitASHP_ROF_MF_NC</t>
  </si>
  <si>
    <t>351651_2024_12_</t>
  </si>
  <si>
    <t>Mini/MultiSplitASHP_ROF_MF_NC_CompE</t>
  </si>
  <si>
    <t>351700_2024_12_</t>
  </si>
  <si>
    <t>Mini/MultiSplitASHP_ROF_MF</t>
  </si>
  <si>
    <t>351701_2024_12_</t>
  </si>
  <si>
    <t>Mini/MultiSplitASHP_ROF_MF_CompE</t>
  </si>
  <si>
    <t>351750_2024_12_</t>
  </si>
  <si>
    <t>Mini/MultiSplitASHP-Replace_CAC_ElectricHeat_ER1_MF</t>
  </si>
  <si>
    <t>Mini/MultiSplitASHP-Replace_CAC_ElectricHeat_ER2_MF</t>
  </si>
  <si>
    <t>351751_2024_12_</t>
  </si>
  <si>
    <t>Mini/MultiSplitASHP-Replace_CAC_ElectricHeat_ER1_MF_CompE</t>
  </si>
  <si>
    <t>Mini/MultiSplitASHP-Replace_CAC_ElectricHeat_ER2_MF_CompE</t>
  </si>
  <si>
    <t>351752_2024_12_</t>
  </si>
  <si>
    <t>Mini/MultiSplitASHP-Replace_CAC_NonElectricHeat_ER1_MF</t>
  </si>
  <si>
    <t>Mini/MultiSplitASHP-Replace_CAC_NonElectricHeat_ER2_MF</t>
  </si>
  <si>
    <t>351753_2024_12_</t>
  </si>
  <si>
    <t>Mini/MultiSplitASHP-Replace_CAC_NonElectricHeat_ER1_MF_CompE</t>
  </si>
  <si>
    <t>Mini/MultiSplitASHP-Replace_CAC_NonElectricHeat_ER2_MF_CompE</t>
  </si>
  <si>
    <t>351800_2024_12_</t>
  </si>
  <si>
    <t>Mini/MultiSplitASHP-Replace_CAC_ElectricHeat_ROF_MF</t>
  </si>
  <si>
    <t>351801_2024_12_</t>
  </si>
  <si>
    <t>Mini/MultiSplitASHP-Replace_CAC_ElectricHeat_ROF_MF_CompE</t>
  </si>
  <si>
    <t>351802_2024_12_</t>
  </si>
  <si>
    <t>Mini/MultiSplitASHP-Replace_CAC_NonElectricHeat_ROF_MF</t>
  </si>
  <si>
    <t>351803_2024_12_</t>
  </si>
  <si>
    <t>Mini/MultiSplitASHP-Replace_CAC_NonElectricHeat_ROF_MF_CompE</t>
  </si>
  <si>
    <t>351850_2024_12_</t>
  </si>
  <si>
    <t>Mini/MultiSplitASHP_ER1_MF</t>
  </si>
  <si>
    <t>Mini/MultiSplitASHP_ER2_MF</t>
  </si>
  <si>
    <t>351851_2024_12_</t>
  </si>
  <si>
    <t>Mini/MultiSplitASHP_ER1_MF_CompE</t>
  </si>
  <si>
    <t>Mini/MultiSplitASHP_ER2_MF_CompE</t>
  </si>
  <si>
    <t>3.4.4</t>
  </si>
  <si>
    <t xml:space="preserve">*MFc = Multifamily Comprehensive envelope,  CompE = Comprehensive Envelope </t>
  </si>
  <si>
    <t>ΔkWh = ΔkWhheating  + ΔkWhcooling</t>
  </si>
  <si>
    <t>TOS: ΔkWhheating = ((Capacityheat  * EFLHheat  * (1/HSPF2base  - 1/HSPF2ee)) / 1000) * HF * ISR</t>
  </si>
  <si>
    <t>EREP: ΔkWhheating = ((Capacityheat  * EFLHheat  * (1/HSPF2exist  - 1/HSPF2ee)) / 1000) * HF * ISR</t>
  </si>
  <si>
    <t>TOS: ΔkWhcooling = ((Capacitycool* EFLHcool  * (1/SEER2base  - 1/SEER2ee)) / 1000) * HF * ISR</t>
  </si>
  <si>
    <t>EREP: ΔkWhcooling = ((Capacitycool* EFLHcool  * (1/SEER2exist  - 1/SEER2ee)) / 1000) * HF * ISR</t>
  </si>
  <si>
    <t>Efficient DHP Costs</t>
  </si>
  <si>
    <t>Capacityheat</t>
  </si>
  <si>
    <t>Heating capacity of the ductless heat pump unit in Btu/hr</t>
  </si>
  <si>
    <t>no heating</t>
  </si>
  <si>
    <t>HSPF2 Equal or Greater Than</t>
  </si>
  <si>
    <t>HSPF2 Less Than</t>
  </si>
  <si>
    <t>Full Cost Per Ton</t>
  </si>
  <si>
    <t>Incremental Cost Per Ton DHP Baseline</t>
  </si>
  <si>
    <t>Baseline Equipment Costs</t>
  </si>
  <si>
    <t>Lookup String</t>
  </si>
  <si>
    <t>Category</t>
  </si>
  <si>
    <t>Fixed</t>
  </si>
  <si>
    <t>Per Ton</t>
  </si>
  <si>
    <t>ROF Elec Resis/CAC Baseline - All</t>
  </si>
  <si>
    <t>ROF Non-Elec/CAC Baseline - All</t>
  </si>
  <si>
    <t>ER DMSHP Baseline - All</t>
  </si>
  <si>
    <t>ER Elec Resis/CAC Baseline - All</t>
  </si>
  <si>
    <t>Match Similar Unit</t>
  </si>
  <si>
    <t>ER Non-Elec/CAC Baseline - All</t>
  </si>
  <si>
    <t>Equivalent Full Load Hours for heating</t>
  </si>
  <si>
    <t>HSPF2base</t>
  </si>
  <si>
    <t>HSPF rating of baseline equipment (kbtu/kwh) (HSPF2)</t>
  </si>
  <si>
    <t>HSPFbase</t>
  </si>
  <si>
    <t>HSPF2exist</t>
  </si>
  <si>
    <t>HSPF rating of existing equipment (kbtu/kwh) (HSPF2)</t>
  </si>
  <si>
    <t>HSPFexist</t>
  </si>
  <si>
    <t>Ameren Missouri Heating and Cooling Evaluation PY2018, page 36</t>
  </si>
  <si>
    <t>HSPF2ee</t>
  </si>
  <si>
    <t>HSPF rating of new equipment (kbtu/kwh)</t>
  </si>
  <si>
    <t>Capacitycool</t>
  </si>
  <si>
    <t>Cooling capacity of the ductless heat pump unit in Btu/hr (HSPF2)</t>
  </si>
  <si>
    <t>Equivalent Full Load Hours for cooling</t>
  </si>
  <si>
    <t>SEER rating of baseline equipment (kbtu/kwh) (SEER2)</t>
  </si>
  <si>
    <t>SEERbase</t>
  </si>
  <si>
    <t>SEER rating of existing equipment (kbtu/kwh) (SEER2)</t>
  </si>
  <si>
    <t>SEERexist</t>
  </si>
  <si>
    <t>MO TRM</t>
  </si>
  <si>
    <t>SEER rating of new equipment (kbtu/kwh) (SEER2)</t>
  </si>
  <si>
    <t>SEERee</t>
  </si>
  <si>
    <t>HF of 65% from thermostat measure used to convert from "residential" to Multifamily. Page 79 of TRM volume 3 without any more relevant information.</t>
  </si>
  <si>
    <t>From Evaluation - Opinion Dynamics review PY19  -100% for MF recommended by evaluator which assumes systems are of similar size in SF and MF homes for ductless units.</t>
  </si>
  <si>
    <t>HVAC Ameren Missouri HVAC Program Evaluation PY2020 (Table 28)</t>
  </si>
  <si>
    <t>Measure Life Report: Residential and Commercial/Industrial Lighting and HVAC Measures, GDS Associates, Inc., June 2007</t>
  </si>
  <si>
    <t>Inc Cost Adj Factor</t>
  </si>
  <si>
    <t>Incremental Cost Adjustment Factor</t>
  </si>
  <si>
    <t>Dual Fuel Heat Pumps</t>
  </si>
  <si>
    <t>351900_2024_12_</t>
  </si>
  <si>
    <t>DFHP-SEER19-ROF_MF</t>
  </si>
  <si>
    <t>Cooling Res</t>
  </si>
  <si>
    <t>Heating Res</t>
  </si>
  <si>
    <t>351901_2024_12_</t>
  </si>
  <si>
    <t>DFHP-SEER19-ROF_MF_CompE</t>
  </si>
  <si>
    <t>351950_2024_12_</t>
  </si>
  <si>
    <t>DFHP-SEER20-ROF_MF</t>
  </si>
  <si>
    <t>351951_2024_12_</t>
  </si>
  <si>
    <t>DFHP-SEER20-ROF_MF_CompE</t>
  </si>
  <si>
    <t>352000_2024_12_</t>
  </si>
  <si>
    <t>DFHP-SEER21-ROF_MF</t>
  </si>
  <si>
    <t>352001_2024_12_</t>
  </si>
  <si>
    <t>DFHP-SEER21-ROF_MF_CompE</t>
  </si>
  <si>
    <t>3.4.2</t>
  </si>
  <si>
    <t>Cost determined with RS Means 2018 data.</t>
  </si>
  <si>
    <t>TOS:</t>
  </si>
  <si>
    <t>ΔkWh = [((EFLHcool  * Capacitycool  * (1/SEER2base  - 1/SEER2ee)) / 1000) + ((EFLHheat  * Capacityheat  * (1/HSPF2base  - 1/HSFP2ee)) / 1,000)] * ISR</t>
  </si>
  <si>
    <t>Cooling only for Central Air Conditioning and Non-Electric Heating Backup</t>
  </si>
  <si>
    <t>ΔkWh = [((EFLHcool  * Capacitycool  * (1/SEER2base  - 1/SEER2ee)) / 1000) * ISR</t>
  </si>
  <si>
    <t xml:space="preserve">EREP: </t>
  </si>
  <si>
    <t>ΔkWh for remaining life of existing unit (1st 6 years for replacing an ASHP, 18 years for replacing electric resistance):</t>
  </si>
  <si>
    <t>ΔkWh = [((EFLHcool  * Capacitycool  * (1/SEER2exist  - 1/SEER2ee)) / 1000) + ((EFLHheat  * Capacityheat  * (1/HSPF2exist  - 1/HSFP2ee)) / 1,000)] * ISR</t>
  </si>
  <si>
    <t>ΔkWh =[((EFLHcool  * Capacitycool  * (1/SEER2exist  - 1/SEER2ee)) / 1000) *ISR</t>
  </si>
  <si>
    <t>ΔkWh for remaining measure life (next 12 years if replacing an ASHP):</t>
  </si>
  <si>
    <t>=[((EFLHcool  * Capacitycool  * (1/SEER2base  - 1/SEER2ee)) / 1000) + ((EFLHheat  * Capacityheat  * (1/HSPF2base  - 1/HSFP2ee)) / 1,000)] * ISR</t>
  </si>
  <si>
    <t>Efficient ASHP Costs</t>
  </si>
  <si>
    <t>Capacity Heating</t>
  </si>
  <si>
    <t>Heating Capacity of Air Source Heat Pump (Btu/hr)</t>
  </si>
  <si>
    <t>From Evaluation</t>
  </si>
  <si>
    <t>EFLH_heat</t>
  </si>
  <si>
    <t>Equivalent full load hours of heating</t>
  </si>
  <si>
    <t>Matches Ameren Missouri HVAC EM&amp;V PY2017</t>
  </si>
  <si>
    <t>Evaluation recommendation PY2019</t>
  </si>
  <si>
    <t>ROF ASHP Baseline - All</t>
  </si>
  <si>
    <t>ER ASHP Baseline - All</t>
  </si>
  <si>
    <t>HSPF2_base / exist</t>
  </si>
  <si>
    <t>Heating System Performance Factor of baseline / existing heating system (kBtu/kWh)</t>
  </si>
  <si>
    <t>HSPF_base / exist</t>
  </si>
  <si>
    <t>HSPF2_ee</t>
  </si>
  <si>
    <t>Heating System Performance Factor of efficient Duel Fuel Heat Pump
   (kBtu/kWh)</t>
  </si>
  <si>
    <t>Assumed similar to 18+</t>
  </si>
  <si>
    <t>HSPF_ee</t>
  </si>
  <si>
    <t>Capacity_cooling</t>
  </si>
  <si>
    <t>Cooling Capacity of Duel Fuel Heat Pump (Btu/hr)</t>
  </si>
  <si>
    <t>EFLH_cooling</t>
  </si>
  <si>
    <t>Equivalent full load hours of air conditioning</t>
  </si>
  <si>
    <t>SEER2_base / exist</t>
  </si>
  <si>
    <t>Seasonal Energy Efficiency Ratio of baseline / existing cooling system (kBtu/kWh)</t>
  </si>
  <si>
    <t>SEER_base / exist</t>
  </si>
  <si>
    <t>SEER2_ee</t>
  </si>
  <si>
    <t>Seasonal Energy Efficiency Ratio of efficient Duel Fuel Heat Pump (kBtu/kWh)</t>
  </si>
  <si>
    <t>From Measure Description</t>
  </si>
  <si>
    <t>SEER_ee</t>
  </si>
  <si>
    <t>HF of 65% from thermostat measure used to convert from "residential" to Multifamily. Page 79 of MO TRM volume 3.</t>
  </si>
  <si>
    <t>End Useful Life</t>
  </si>
  <si>
    <t>Ground Source Heat Pumps</t>
  </si>
  <si>
    <t>352050_2024_12_</t>
  </si>
  <si>
    <t>GSHP-EER23-Replace_CAC_ElectricHeat_ROF_SF</t>
  </si>
  <si>
    <t>352050_2021_12_</t>
  </si>
  <si>
    <t>352100_2024_12_</t>
  </si>
  <si>
    <t>GSHP-EER23-Replace_CAC_ElectricHeat_ER1_SF</t>
  </si>
  <si>
    <t>GSHP-EER23-Replace_CAC_ElectricHeat_ER2_SF</t>
  </si>
  <si>
    <t>Cooling Res ER2</t>
  </si>
  <si>
    <t>352200_2024_12_</t>
  </si>
  <si>
    <t>GSHP-EER23-Replace_ASHP_ER1_SF</t>
  </si>
  <si>
    <t>GSHP-EER23-Replace_ASHP_ER2_SF</t>
  </si>
  <si>
    <t>352250_2024_12_</t>
  </si>
  <si>
    <t>GSHP-EER23_ROF_SF</t>
  </si>
  <si>
    <t>352250_2021_12_</t>
  </si>
  <si>
    <t>352260_2024_12_</t>
  </si>
  <si>
    <t>GSHP-EER23-Replace_GSHP_ER1_SF</t>
  </si>
  <si>
    <t>GSHP-EER23-Replace_GSHP_ER2_SF</t>
  </si>
  <si>
    <t>3.4.12</t>
  </si>
  <si>
    <t>ΔkWh = [((EFLHcool  * Capacitycool  * (1/EER2base  - 1/EER2ee) / 1000) + ((EFLHheat  * Capacityheat  * (1/HSPF2base  - 1/HSFP2ee) / 1000)] * ISR</t>
  </si>
  <si>
    <t>ΔkWh for remaining life of existing unit (1st 6 years for replacing an ASHP or GSHP, 18 years for replacing electric resistance):</t>
  </si>
  <si>
    <t>= [((EFLHcool  * Capacitycool  * (1/EER2exist  - 1/EER2ee) / 1000) + ((EFLHheat  * Capacityheat  * (1/HSPF2exist  - 1/HSFP2ee) / 1000)] * ISR</t>
  </si>
  <si>
    <t>ΔkWh for remaining measure life (next 12 years if replacing an ASHP or GSHP):</t>
  </si>
  <si>
    <t>= [((EFLHcool  * Capacitycool  * (1/EER2base  - 1/EER2ee) / 1000) + ((EFLHheat  * Capacityheat  * (1/HSPF2base  - 1/HSFP2ee) / 1000)] * ISR</t>
  </si>
  <si>
    <t>Heating Capacity of Heat Pump (Btu/hr)</t>
  </si>
  <si>
    <t>Ameren Missouri PY2021 Program Data</t>
  </si>
  <si>
    <t>Efficient GSHP Cost per Ton</t>
  </si>
  <si>
    <t>PY2019 Residential Evaluation Report, page 30</t>
  </si>
  <si>
    <t>Illinois TRM Version 12.0, page 171</t>
  </si>
  <si>
    <t>Heating System Performance Factor of efficient Heat Pump
   (kBtu/kWh)</t>
  </si>
  <si>
    <t>Cooling Capacity of Heat Pump (Btu/hr)</t>
  </si>
  <si>
    <t>EFLHcooling</t>
  </si>
  <si>
    <t>PY2019 Evaluation Report, page 30</t>
  </si>
  <si>
    <t>SEER2base / exist</t>
  </si>
  <si>
    <t>Illinois TRM Version 12.0, page 169</t>
  </si>
  <si>
    <t>Federal minimum</t>
  </si>
  <si>
    <t>Seasonal Energy Efficiency Ratio of efficient Heat Pump (kBtu/kWh)</t>
  </si>
  <si>
    <t>Evaluation recommendation</t>
  </si>
  <si>
    <t>Illinois TRM Version 12.0, page 166</t>
  </si>
  <si>
    <t>Air Source Heat Pumps</t>
  </si>
  <si>
    <t>352300_2024_12_</t>
  </si>
  <si>
    <t>ASHP-SEER15-Replace_CAC_ElectricHeat_ER1_SF</t>
  </si>
  <si>
    <t>ASHP-SEER15-Replace_CAC_ElectricHeat_ER2_SF</t>
  </si>
  <si>
    <t>Heating Res ER2</t>
  </si>
  <si>
    <t>352310_2024_12_</t>
  </si>
  <si>
    <t>ASHP-SEER15-Replace_CAC_NonElectricHeat_ER1_SF</t>
  </si>
  <si>
    <t>ASHP-SEER15-Replace_CAC_NonElectricHeat_ER2_SF</t>
  </si>
  <si>
    <t>352350_2024_12_</t>
  </si>
  <si>
    <t>ASHP-SEER15_ER1_SF</t>
  </si>
  <si>
    <t>ASHP-SEER15_ER2_SF</t>
  </si>
  <si>
    <t>352400_2024_12_</t>
  </si>
  <si>
    <t>ASHP-SEER15-Replace_CAC_ElectricHeat_ROF_SF</t>
  </si>
  <si>
    <t>352410_2024_12_</t>
  </si>
  <si>
    <t>ASHP-SEER15-Replace_CAC_NonElectricHeat_ROF_SF</t>
  </si>
  <si>
    <t>352450_2024_12_</t>
  </si>
  <si>
    <t>ASHP-SEER15_ROF_SF</t>
  </si>
  <si>
    <t>352500_2024_12_</t>
  </si>
  <si>
    <t>ASHP-SEER16-Replace_CAC_ElectricHeat_ER1_SF</t>
  </si>
  <si>
    <t>ASHP-SEER16-Replace_CAC_ElectricHeat_ER2_SF</t>
  </si>
  <si>
    <t>352510_2024_12_</t>
  </si>
  <si>
    <t>ASHP-SEER16-Replace_CAC_NonElectricHeat_ER1_SF</t>
  </si>
  <si>
    <t>ASHP-SEER16-Replace_CAC_NonElectricHeat_ER2_SF</t>
  </si>
  <si>
    <t>352550_2024_12_</t>
  </si>
  <si>
    <t>ASHP-SEER16_ER1_SF</t>
  </si>
  <si>
    <t>ASHP-SEER16_ER2_SF</t>
  </si>
  <si>
    <t>352600_2024_12_</t>
  </si>
  <si>
    <t>ASHP-SEER16-Replace_CAC_ElectricHeat_ROF_SF</t>
  </si>
  <si>
    <t>352610_2024_12_</t>
  </si>
  <si>
    <t>ASHP-SEER16-Replace_CAC_NonElectricHeat_ROF_SF</t>
  </si>
  <si>
    <t>352650_2024_12_</t>
  </si>
  <si>
    <t>ASHP-SEER16_ROF_SF</t>
  </si>
  <si>
    <t>352700_2024_12_</t>
  </si>
  <si>
    <t>ASHP-SEER15_ER1_MF</t>
  </si>
  <si>
    <t>ASHP-SEER15_ER2_MF</t>
  </si>
  <si>
    <t>352701_2024_12_</t>
  </si>
  <si>
    <t>ASHP-SEER15_ER1_MF_CompE</t>
  </si>
  <si>
    <t>ASHP-SEER15_ER2_MF_CompE</t>
  </si>
  <si>
    <t>352750_2024_12_</t>
  </si>
  <si>
    <t>ASHP-SEER15-Replace_CAC_ElectricHeat_ER1_MF</t>
  </si>
  <si>
    <t>ASHP-SEER15-Replace_CAC_ElectricHeat_ER2_MF</t>
  </si>
  <si>
    <t>352751_2024_12_</t>
  </si>
  <si>
    <t>ASHP-SEER15-Replace_CAC_ElectricHeat_ER1_MF_CompE</t>
  </si>
  <si>
    <t>ASHP-SEER15-Replace_CAC_ElectricHeat_ER2_MF_CompE</t>
  </si>
  <si>
    <t>352760_2024_12_</t>
  </si>
  <si>
    <t>ASHP-SEER15-Replace_CAC_NonElectricHeat_ER1_MF</t>
  </si>
  <si>
    <t>ASHP-SEER15-Replace_CAC_NonElectricHeat_ER2_MF</t>
  </si>
  <si>
    <t>352761_2024_12_</t>
  </si>
  <si>
    <t>ASHP-SEER15-Replace_CAC_NonElectricHeat_ER1_MF_CompE</t>
  </si>
  <si>
    <t>ASHP-SEER15-Replace_CAC_NonElectricHeat_ER2_MF_CompE</t>
  </si>
  <si>
    <t>352800_2024_12_</t>
  </si>
  <si>
    <t>ASHP-SEER15-Replace_CAC_ElectricHeat_ROF_MF</t>
  </si>
  <si>
    <t>352801_2024_12_</t>
  </si>
  <si>
    <t>ASHP-SEER15-Replace_CAC_ElectricHeat_ROF_MF_CompE</t>
  </si>
  <si>
    <t>352810_2024_12_</t>
  </si>
  <si>
    <t>ASHP-SEER15-Replace_CAC_NonElectricHeat_ROF_MF</t>
  </si>
  <si>
    <t>352811_2024_12_</t>
  </si>
  <si>
    <t>ASHP-SEER15-Replace_CAC_NonElectricHeat_ROF_MF_CompE</t>
  </si>
  <si>
    <t>352850_2024_12_</t>
  </si>
  <si>
    <t>ASHP-SEER16_ER1_MF</t>
  </si>
  <si>
    <t>ASHP-SEER16_ER2_MF</t>
  </si>
  <si>
    <t>352851_2024_12_</t>
  </si>
  <si>
    <t>ASHP-SEER16_ER1_MF_CompE</t>
  </si>
  <si>
    <t>ASHP-SEER16_ER2_MF_CompE</t>
  </si>
  <si>
    <t>352900_2024_12_</t>
  </si>
  <si>
    <t>ASHP-SEER16_ROF_MF</t>
  </si>
  <si>
    <t>352901_2024_12_</t>
  </si>
  <si>
    <t>ASHP-SEER16_ROF_MF_CompE</t>
  </si>
  <si>
    <t>352950_2024_12_</t>
  </si>
  <si>
    <t>ASHP-SEER16-Replace_CAC_ElectricHeat_ROF_MF</t>
  </si>
  <si>
    <t>352951_2024_12_</t>
  </si>
  <si>
    <t>ASHP-SEER16-Replace_CAC_ElectricHeat_ROF_MF_CompE</t>
  </si>
  <si>
    <t>352960_2024_12_</t>
  </si>
  <si>
    <t>ASHP-SEER16-Replace_CAC_NonElectricHeat_ROF_MF</t>
  </si>
  <si>
    <t>352961_2024_12_</t>
  </si>
  <si>
    <t>ASHP-SEER16-Replace_CAC_NonElectricHeat_ROF_MF_CompE</t>
  </si>
  <si>
    <t>353000_2024_12_</t>
  </si>
  <si>
    <t>ASHP-SEER16-Replace_CAC_ElectricHeat_ER1_MF</t>
  </si>
  <si>
    <t>ASHP-SEER16-Replace_CAC_ElectricHeat_ER2_MF</t>
  </si>
  <si>
    <t>353001_2024_12_</t>
  </si>
  <si>
    <t>ASHP-SEER16-Replace_CAC_ElectricHeat_ER1_MF_CompE</t>
  </si>
  <si>
    <t>ASHP-SEER16-Replace_CAC_ElectricHeat_ER2_MF_CompE</t>
  </si>
  <si>
    <t>353010_2024_12_</t>
  </si>
  <si>
    <t>ASHP-SEER16-Replace_CAC_NonElectricHeat_ER1_MF</t>
  </si>
  <si>
    <t>ASHP-SEER16-Replace_CAC_NonElectricHeat_ER2_MF</t>
  </si>
  <si>
    <t>353011_2024_12_</t>
  </si>
  <si>
    <t>ASHP-SEER16-Replace_CAC_NonElectricHeat_ER1_MF_CompE</t>
  </si>
  <si>
    <t>ASHP-SEER16-Replace_CAC_NonElectricHeat_ER2_MF_CompE</t>
  </si>
  <si>
    <t>353050_2024_12_</t>
  </si>
  <si>
    <t>ASHP-SEER15_ROF_MF</t>
  </si>
  <si>
    <t>353051_2024_12_</t>
  </si>
  <si>
    <t>ASHP-SEER15_ROF_MF_CompE</t>
  </si>
  <si>
    <t>353100_2024_12_</t>
  </si>
  <si>
    <t>ASHP-SEER17-Replace_CAC_ElectricHeat_ROF_SF</t>
  </si>
  <si>
    <t>353110_2024_12_</t>
  </si>
  <si>
    <t>ASHP-SEER17-Replace_CAC_NonElectricHeat_ROF_SF</t>
  </si>
  <si>
    <t>353150_2024_12_</t>
  </si>
  <si>
    <t>ASHP-SEER17-Replace_CAC_ElectricHeat_ROF_MF</t>
  </si>
  <si>
    <t>353151_2024_12_</t>
  </si>
  <si>
    <t>ASHP-SEER17-Replace_CAC_ElectricHeat_ROF_MF_CompE</t>
  </si>
  <si>
    <t>353160_2024_12_</t>
  </si>
  <si>
    <t>ASHP-SEER17-Replace_CAC_NonElectricHeat_ROF_MF</t>
  </si>
  <si>
    <t>353161_2024_12_</t>
  </si>
  <si>
    <t>ASHP-SEER17-Replace_CAC_NonElectricHeat_ROF_MF_CompE</t>
  </si>
  <si>
    <t>353200_2024_12_</t>
  </si>
  <si>
    <t>ASHP-SEER18-Replace_CAC_ElectricHeat_ROF_SF</t>
  </si>
  <si>
    <t>353210_2024_12_</t>
  </si>
  <si>
    <t>ASHP-SEER18-Replace_CAC_NonElectricHeat_ROF_SF</t>
  </si>
  <si>
    <t>353250_2024_12_</t>
  </si>
  <si>
    <t>ASHP-SEER18-Replace_CAC_ElectricHeat_ROF_MF</t>
  </si>
  <si>
    <t>353251_2024_12_</t>
  </si>
  <si>
    <t>ASHP-SEER18-Replace_CAC_ElectricHeat_ROF_MF_CompE</t>
  </si>
  <si>
    <t>353260_2024_12_</t>
  </si>
  <si>
    <t>ASHP-SEER18-Replace_CAC_NonElectricHeat_ROF_MF</t>
  </si>
  <si>
    <t>353261_2024_12_</t>
  </si>
  <si>
    <t>ASHP-SEER18-Replace_CAC_NonElectricHeat_ROF_MF_CompE</t>
  </si>
  <si>
    <t>353300_2024_12_</t>
  </si>
  <si>
    <t>ASHP-SEER19-Replace_CAC_ElectricHeat_ROF_SF</t>
  </si>
  <si>
    <t>353310_2024_12_</t>
  </si>
  <si>
    <t>ASHP-SEER19-Replace_CAC_NonElectricHeat_ROF_SF</t>
  </si>
  <si>
    <t>353350_2024_12_</t>
  </si>
  <si>
    <t>ASHP-SEER19-Replace_CAC_ElectricHeat_ROF_MF</t>
  </si>
  <si>
    <t>353351_2024_12_</t>
  </si>
  <si>
    <t>ASHP-SEER19-Replace_CAC_ElectricHeat_ROF_MF_CompE</t>
  </si>
  <si>
    <t>353360_2024_12_</t>
  </si>
  <si>
    <t>ASHP-SEER19-Replace_CAC_NonElectricHeat_ROF_MF</t>
  </si>
  <si>
    <t>353361_2024_12_</t>
  </si>
  <si>
    <t>ASHP-SEER19-Replace_CAC_NonElectricHeat_ROF_MF_CompE</t>
  </si>
  <si>
    <t>353400_2024_12_</t>
  </si>
  <si>
    <t>ASHP-SEER20-Replace_CAC_ElectricHeat_ER1_SF</t>
  </si>
  <si>
    <t>ASHP-SEER20-Replace_CAC_ElectricHeat_ER2_SF</t>
  </si>
  <si>
    <t>353410_2024_12_</t>
  </si>
  <si>
    <t>ASHP-SEER20-Replace_CAC_NonElectricHeat_ER1_SF</t>
  </si>
  <si>
    <t>ASHP-SEER20-Replace_CAC_NonElectricHeat_ER2_SF</t>
  </si>
  <si>
    <t>353450_2024_12_</t>
  </si>
  <si>
    <t>ASHP-SEER20-Replace_CAC_ElectricHeat_ROF_SF</t>
  </si>
  <si>
    <t>353460_2024_12_</t>
  </si>
  <si>
    <t>ASHP-SEER20-Replace_CAC_NonElectricHeat_ROF_SF</t>
  </si>
  <si>
    <t>353500_2024_12_</t>
  </si>
  <si>
    <t>ASHP-SEER20-Replace_CAC_ElectricHeat_ROF_MF</t>
  </si>
  <si>
    <t>353501_2024_12_</t>
  </si>
  <si>
    <t>ASHP-SEER20-Replace_CAC_ElectricHeat_ROF_MF_CompE</t>
  </si>
  <si>
    <t>353510_2024_12_</t>
  </si>
  <si>
    <t>ASHP-SEER20-Replace_CAC_NonElectricHeat_ROF_MF</t>
  </si>
  <si>
    <t>353511_2024_12_</t>
  </si>
  <si>
    <t>ASHP-SEER20-Replace_CAC_NonElectricHeat_ROF_MF_CompE</t>
  </si>
  <si>
    <t>353550_2024_12_</t>
  </si>
  <si>
    <t>ASHP-SEER21-Replace_CAC_ElectricHeat_ER1_SF</t>
  </si>
  <si>
    <t>ASHP-SEER21-Replace_CAC_ElectricHeat_ER2_SF</t>
  </si>
  <si>
    <t>353560_2024_12_</t>
  </si>
  <si>
    <t>ASHP-SEER21-Replace_CAC_NonElectricHeat_ER1_SF</t>
  </si>
  <si>
    <t>ASHP-SEER21-Replace_CAC_NonElectricHeat_ER2_SF</t>
  </si>
  <si>
    <t>353600_2024_12_</t>
  </si>
  <si>
    <t>ASHP-SEER21-Replace_CAC_ElectricHeat_ER1_MF</t>
  </si>
  <si>
    <t>ASHP-SEER21-Replace_CAC_ElectricHeat_ER2_MF</t>
  </si>
  <si>
    <t>353601_2024_12_</t>
  </si>
  <si>
    <t>ASHP-SEER21-Replace_CAC_ElectricHeat_ER1_MF_CompE</t>
  </si>
  <si>
    <t>ASHP-SEER21-Replace_CAC_ElectricHeat_ER2_MF_CompE</t>
  </si>
  <si>
    <t>353610_2024_12_</t>
  </si>
  <si>
    <t>ASHP-SEER21-Replace_CAC_NonElectricHeat_ER1_MF</t>
  </si>
  <si>
    <t>ASHP-SEER21-Replace_CAC_NonElectricHeat_ER2_MF</t>
  </si>
  <si>
    <t>353611_2024_12_</t>
  </si>
  <si>
    <t>ASHP-SEER21-Replace_CAC_NonElectricHeat_ER1_MF_CompE</t>
  </si>
  <si>
    <t>ASHP-SEER21-Replace_CAC_NonElectricHeat_ER2_MF_CompE</t>
  </si>
  <si>
    <t>353650_2024_12_</t>
  </si>
  <si>
    <t>ASHP-SEER21-Replace_CAC_ElectricHeat_ROF_SF</t>
  </si>
  <si>
    <t>353660_2024_12_</t>
  </si>
  <si>
    <t>ASHP-SEER21-Replace_CAC_NonElectricHeat_ROF_SF</t>
  </si>
  <si>
    <t>353700_2024_12_</t>
  </si>
  <si>
    <t>ASHP-SEER21+-Replace_CAC_ElectricHeat_ROF_MF</t>
  </si>
  <si>
    <t>353701_2024_12_</t>
  </si>
  <si>
    <t>ASHP-SEER21+-Replace_CAC_ElectricHeat_ROF_MF_CompE</t>
  </si>
  <si>
    <t>353710_2024_12_</t>
  </si>
  <si>
    <t>ASHP-SEER21+-Replace_CAC_NonElectricHeat_ROF_MF</t>
  </si>
  <si>
    <t>353711_2024_12_</t>
  </si>
  <si>
    <t>ASHP-SEER21+-Replace_CAC_NonElectricHeat_ROF_MF_CompE</t>
  </si>
  <si>
    <t>353750_2024_12_</t>
  </si>
  <si>
    <t>ASHP-SEER17_ER1_SF</t>
  </si>
  <si>
    <t>ASHP-SEER17_ER2_SF</t>
  </si>
  <si>
    <t>353800_2024_12_</t>
  </si>
  <si>
    <t>ASHP-SEER17_ROF_SF</t>
  </si>
  <si>
    <t>353850_2024_12_</t>
  </si>
  <si>
    <t>ASHP-SEER18_ER1_SF</t>
  </si>
  <si>
    <t>ASHP-SEER18_ER2_SF</t>
  </si>
  <si>
    <t>353950_2024_12_</t>
  </si>
  <si>
    <t>ASHP-SEER18_ROF_SF</t>
  </si>
  <si>
    <t>354000_2024_12_</t>
  </si>
  <si>
    <t>ASHP-SEER19_ER1_SF</t>
  </si>
  <si>
    <t>ASHP-SEER19_ER2_SF</t>
  </si>
  <si>
    <t>354050_2024_12_</t>
  </si>
  <si>
    <t>ASHP-SEER19_ROF_SF</t>
  </si>
  <si>
    <t>354100_2024_12_</t>
  </si>
  <si>
    <t>ASHP-SEER17-Replace_CAC_ElectricHeat_ER1_SF</t>
  </si>
  <si>
    <t>ASHP-SEER17-Replace_CAC_ElectricHeat_ER2_SF</t>
  </si>
  <si>
    <t>354110_2024_12_</t>
  </si>
  <si>
    <t>ASHP-SEER17-Replace_CAC_NonElectricHeat_ER1_SF</t>
  </si>
  <si>
    <t>ASHP-SEER17-Replace_CAC_NonElectricHeat_ER2_SF</t>
  </si>
  <si>
    <t>354150_2024_12_</t>
  </si>
  <si>
    <t>ASHP-SEER17-Replace_CAC_ElectricHeat_ER1_MF</t>
  </si>
  <si>
    <t>ASHP-SEER17-Replace_CAC_ElectricHeat_ER2_MF</t>
  </si>
  <si>
    <t>354151_2024_12_</t>
  </si>
  <si>
    <t>ASHP-SEER17-Replace_CAC_ElectricHeat_ER1_MF_CompE</t>
  </si>
  <si>
    <t>ASHP-SEER17-Replace_CAC_ElectricHeat_ER2_MF_CompE</t>
  </si>
  <si>
    <t>354160_2024_12_</t>
  </si>
  <si>
    <t>ASHP-SEER17-Replace_CAC_NonElectricHeat_ER1_MF</t>
  </si>
  <si>
    <t>ASHP-SEER17-Replace_CAC_NonElectricHeat_ER2_MF</t>
  </si>
  <si>
    <t>354161_2024_12_</t>
  </si>
  <si>
    <t>ASHP-SEER17-Replace_CAC_NonElectricHeat_ER1_MF_CompE</t>
  </si>
  <si>
    <t>ASHP-SEER17-Replace_CAC_NonElectricHeat_ER2_MF_CompE</t>
  </si>
  <si>
    <t>354200_2024_12_</t>
  </si>
  <si>
    <t>ASHP-SEER17_ER1_MF</t>
  </si>
  <si>
    <t>ASHP-SEER17_ER2_MF</t>
  </si>
  <si>
    <t>354201_2024_12_</t>
  </si>
  <si>
    <t>ASHP-SEER17_ER1_MF_CompE</t>
  </si>
  <si>
    <t>ASHP-SEER17_ER2_MF_CompE</t>
  </si>
  <si>
    <t>354250_2024_12_</t>
  </si>
  <si>
    <t>ASHP-SEER18-Replace_CAC_ElectricHeat_ER1_SF</t>
  </si>
  <si>
    <t>ASHP-SEER18-Replace_CAC_ElectricHeat_ER2_SF</t>
  </si>
  <si>
    <t>354260_2024_12_</t>
  </si>
  <si>
    <t>ASHP-SEER18-Replace_CAC_NonElectricHeat_ER1_SF</t>
  </si>
  <si>
    <t>ASHP-SEER18-Replace_CAC_NonElectricHeat_ER2_SF</t>
  </si>
  <si>
    <t>354300_2024_12_</t>
  </si>
  <si>
    <t>ASHP-SEER18-Replace_CAC_ElectricHeat_ER1_MF</t>
  </si>
  <si>
    <t>ASHP-SEER18-Replace_CAC_ElectricHeat_ER2_MF</t>
  </si>
  <si>
    <t>354301_2024_12_</t>
  </si>
  <si>
    <t>ASHP-SEER18-Replace_CAC_ElectricHeat_ER1_MF_CompE</t>
  </si>
  <si>
    <t>ASHP-SEER18-Replace_CAC_ElectricHeat_ER2_MF_CompE</t>
  </si>
  <si>
    <t>354310_2024_12_</t>
  </si>
  <si>
    <t>ASHP-SEER18-Replace_CAC_NonElectricHeat_ER1_MF</t>
  </si>
  <si>
    <t>ASHP-SEER18-Replace_CAC_NonElectricHeat_ER2_MF</t>
  </si>
  <si>
    <t>354311_2024_12_</t>
  </si>
  <si>
    <t>ASHP-SEER18-Replace_CAC_NonElectricHeat_ER1_MF_CompE</t>
  </si>
  <si>
    <t>ASHP-SEER18-Replace_CAC_NonElectricHeat_ER2_MF_CompE</t>
  </si>
  <si>
    <t>354350_2024_12_</t>
  </si>
  <si>
    <t>ASHP-SEER18_ER1_MF</t>
  </si>
  <si>
    <t>ASHP-SEER18_ER2_MF</t>
  </si>
  <si>
    <t>354351_2024_12_</t>
  </si>
  <si>
    <t>ASHP-SEER18_ER1_MF_CompE</t>
  </si>
  <si>
    <t>ASHP-SEER18_ER2_MF_CompE</t>
  </si>
  <si>
    <t>354400_2024_12_</t>
  </si>
  <si>
    <t>ASHP-SEER19-Replace_CAC_ElectricHeat_ER1_SF</t>
  </si>
  <si>
    <t>ASHP-SEER19-Replace_CAC_ElectricHeat_ER2_SF</t>
  </si>
  <si>
    <t>354410_2024_12_</t>
  </si>
  <si>
    <t>ASHP-SEER19-Replace_CAC_NonElectricHeat_ER1_SF</t>
  </si>
  <si>
    <t>ASHP-SEER19-Replace_CAC_NonElectricHeat_ER2_SF</t>
  </si>
  <si>
    <t>354450_2024_12_</t>
  </si>
  <si>
    <t>ASHP-SEER19-Replace_CAC_ElectricHeat_ER1_MF</t>
  </si>
  <si>
    <t>ASHP-SEER19-Replace_CAC_ElectricHeat_ER2_MF</t>
  </si>
  <si>
    <t>354451_2024_12_</t>
  </si>
  <si>
    <t>ASHP-SEER19-Replace_CAC_ElectricHeat_ER1_MF_CompE</t>
  </si>
  <si>
    <t>ASHP-SEER19-Replace_CAC_ElectricHeat_ER2_MF_CompE</t>
  </si>
  <si>
    <t>354460_2024_12_</t>
  </si>
  <si>
    <t>ASHP-SEER19-Replace_CAC_NonElectricHeat_ER1_MF</t>
  </si>
  <si>
    <t>ASHP-SEER19-Replace_CAC_NonElectricHeat_ER2_MF</t>
  </si>
  <si>
    <t>354461_2024_12_</t>
  </si>
  <si>
    <t>ASHP-SEER19-Replace_CAC_NonElectricHeat_ER1_MF_CompE</t>
  </si>
  <si>
    <t>ASHP-SEER19-Replace_CAC_NonElectricHeat_ER2_MF_CompE</t>
  </si>
  <si>
    <t>354500_2024_12_</t>
  </si>
  <si>
    <t>ASHP-SEER19_ER1_MF</t>
  </si>
  <si>
    <t>ASHP-SEER19_ER2_MF</t>
  </si>
  <si>
    <t>354501_2024_12_</t>
  </si>
  <si>
    <t>ASHP-SEER19_ER1_MF_CompE</t>
  </si>
  <si>
    <t>ASHP-SEER19_ER2_MF_CompE</t>
  </si>
  <si>
    <t>354550_2024_12_</t>
  </si>
  <si>
    <t>ASHP-SEER20_ER1_SF</t>
  </si>
  <si>
    <t>ASHP-SEER20_ER2_SF</t>
  </si>
  <si>
    <t>354600_2024_12_</t>
  </si>
  <si>
    <t>ASHP-SEER20_ROF_SF</t>
  </si>
  <si>
    <t>354650_2024_12_</t>
  </si>
  <si>
    <t>ASHP-SEER20-Replace_CAC_ElectricHeat_ER1_MF</t>
  </si>
  <si>
    <t>ASHP-SEER20-Replace_CAC_ElectricHeat_ER2_MF</t>
  </si>
  <si>
    <t>354651_2024_12_</t>
  </si>
  <si>
    <t>ASHP-SEER20-Replace_CAC_ElectricHeat_ER1_MF_CompE</t>
  </si>
  <si>
    <t>ASHP-SEER20-Replace_CAC_ElectricHeat_ER2_MF_CompE</t>
  </si>
  <si>
    <t>354660_2024_12_</t>
  </si>
  <si>
    <t>ASHP-SEER20-Replace_CAC_NonElectricHeat_ER1_MF</t>
  </si>
  <si>
    <t>ASHP-SEER20-Replace_CAC_NonElectricHeat_ER2_MF</t>
  </si>
  <si>
    <t>354661_2024_12_</t>
  </si>
  <si>
    <t>ASHP-SEER20-Replace_CAC_NonElectricHeat_ER1_MF_CompE</t>
  </si>
  <si>
    <t>ASHP-SEER20-Replace_CAC_NonElectricHeat_ER2_MF_CompE</t>
  </si>
  <si>
    <t>354700_2024_12_</t>
  </si>
  <si>
    <t>ASHP-SEER20_ER1_MF</t>
  </si>
  <si>
    <t>ASHP-SEER20_ER2_MF</t>
  </si>
  <si>
    <t>354701_2024_12_</t>
  </si>
  <si>
    <t>ASHP-SEER20_ER1_MF_CompE</t>
  </si>
  <si>
    <t>ASHP-SEER20_ER2_MF_CompE</t>
  </si>
  <si>
    <t>354750_2024_12_</t>
  </si>
  <si>
    <t>ASHP-SEER21_ER1_SF</t>
  </si>
  <si>
    <t>ASHP-SEER21_ER2_SF</t>
  </si>
  <si>
    <t>354800_2024_12_</t>
  </si>
  <si>
    <t>ASHP-SEER21_ROF_SF</t>
  </si>
  <si>
    <t>354850_2024_12_</t>
  </si>
  <si>
    <t>ASHP-SEER21-Replace_CAC_ElectricHeat_ROF_MF</t>
  </si>
  <si>
    <t>354851_2024_12_</t>
  </si>
  <si>
    <t>ASHP-SEER21-Replace_CAC_ElectricHeat_ROF_MF_CompE</t>
  </si>
  <si>
    <t>354860_2024_12_</t>
  </si>
  <si>
    <t>ASHP-SEER21-Replace_CAC_NonElectricHeat_ROF_MF</t>
  </si>
  <si>
    <t>354861_2024_12_</t>
  </si>
  <si>
    <t>ASHP-SEER21-Replace_CAC_NonElectricHeat_ROF_MF_CompE</t>
  </si>
  <si>
    <t>354900_2024_12_</t>
  </si>
  <si>
    <t>ASHP-SEER21_ER1_MF</t>
  </si>
  <si>
    <t>ASHP-SEER21_ER2_MF</t>
  </si>
  <si>
    <t>354901_2024_12_</t>
  </si>
  <si>
    <t>ASHP-SEER21_ER1_MF_CompE</t>
  </si>
  <si>
    <t>ASHP-SEER21_ER2_MF_CompE</t>
  </si>
  <si>
    <t>354950_2024_12_</t>
  </si>
  <si>
    <t>ASHP-SEER17_ROF_MF</t>
  </si>
  <si>
    <t>354951_2024_12_</t>
  </si>
  <si>
    <t>ASHP-SEER17_ROF_MF_CompE</t>
  </si>
  <si>
    <t>355000_2024_12_</t>
  </si>
  <si>
    <t>ASHP-SEER18_ROF_MF</t>
  </si>
  <si>
    <t>355001_2024_12_</t>
  </si>
  <si>
    <t>ASHP-SEER18_ROF_MF_CompE</t>
  </si>
  <si>
    <t>355050_2024_12_</t>
  </si>
  <si>
    <t>ASHP-SEER19_ROF_MF</t>
  </si>
  <si>
    <t>355051_2024_12_</t>
  </si>
  <si>
    <t>ASHP-SEER19_ROF_MF_CompE</t>
  </si>
  <si>
    <t>355100_2024_12_</t>
  </si>
  <si>
    <t>ASHP-SEER20_ROF_MF</t>
  </si>
  <si>
    <t>355101_2024_12_</t>
  </si>
  <si>
    <t>ASHP-SEER20_ROF_MF_CompE</t>
  </si>
  <si>
    <t>355150_2024_12_</t>
  </si>
  <si>
    <t>ASHP-SEER21_ROF_MF</t>
  </si>
  <si>
    <t>355151_2024_12_</t>
  </si>
  <si>
    <t>ASHP-SEER21_ROF_MF_CompE</t>
  </si>
  <si>
    <t>Note: ASHPs replacing non-electric heating are eligible for cooling savings only.</t>
  </si>
  <si>
    <t>PY19 Program Data</t>
  </si>
  <si>
    <t>Based on similar Measure</t>
  </si>
  <si>
    <t>Ameren Missouri HVAC EM&amp;V PY2017 - 2016 -2017 AMR Data &amp; HP Metering</t>
  </si>
  <si>
    <t>From Evaluation - Opinion Dynamics review PY2019</t>
  </si>
  <si>
    <t>From Evaluation - Opinion Dynamics review PY2020</t>
  </si>
  <si>
    <t>Replacing non-electric heating system</t>
  </si>
  <si>
    <t>Ameren Missouri Comm. Savers EM&amp;V PY2018</t>
  </si>
  <si>
    <t>Heating System Performance Factor of efficient Air Source Heat Pump
   (kBtu/kWh)</t>
  </si>
  <si>
    <t>Cooling Capacity of Air Source Heat Pump (Btu/hr)</t>
  </si>
  <si>
    <t>PY2019 HVAC Evaluation, page 4</t>
  </si>
  <si>
    <t>Matches Ameren Missouri HVAC EM&amp;V PY2018</t>
  </si>
  <si>
    <t>Seasonal Energy Efficiency Ratio of efficient Air Source Heat Pump (kBtu/kWh)</t>
  </si>
  <si>
    <t>Based on measure name</t>
  </si>
  <si>
    <t>Measure Life Report 2007.pdf, page 1-3.</t>
  </si>
  <si>
    <t>Packaged Terminal Air Source Heat Pumps</t>
  </si>
  <si>
    <t>356200_2024_12_</t>
  </si>
  <si>
    <t>PTHP-SEER12-ER1_MF</t>
  </si>
  <si>
    <t>PTHP-SEER12-ER2_MF</t>
  </si>
  <si>
    <t>356225_2024_12_</t>
  </si>
  <si>
    <t>PTHP-SEER12-ER1_MF_CompE</t>
  </si>
  <si>
    <t>PTHP-SEER12-ER2_MF_CompE</t>
  </si>
  <si>
    <t>356250_2024_12_</t>
  </si>
  <si>
    <t>PTHP-SEER12-Replace_PTAC_ElectricHeat_ER1_MF</t>
  </si>
  <si>
    <t>PTHP-SEER12-Replace_PTAC_ElectricHeat_ER2_MF</t>
  </si>
  <si>
    <t>356275_2024_12_</t>
  </si>
  <si>
    <t>PTHP-SEER12-Replace_PTAC_ElectricHeat_ER1_MF_CompE</t>
  </si>
  <si>
    <t>PTHP-SEER12-Replace_PTAC_ElectricHeat_ER2_MF_CompE</t>
  </si>
  <si>
    <t>356300_2024_12_</t>
  </si>
  <si>
    <t>PTHP-SEER12-ROF_MF</t>
  </si>
  <si>
    <t>356325_2024_12_</t>
  </si>
  <si>
    <t>PTHP-SEER12-ROF_MF_CompE</t>
  </si>
  <si>
    <t>356350_2024_12_</t>
  </si>
  <si>
    <t>PTHP-SEER12-Replace_PTAC_ElectricHeat_ROF_MF</t>
  </si>
  <si>
    <t>356375_2024_12_</t>
  </si>
  <si>
    <t>PTHP-SEER12-Replace_PTAC_ElectricHeat_ROF_MF_CompE</t>
  </si>
  <si>
    <t>356400_2024_12_</t>
  </si>
  <si>
    <t>PTHP-SEER13-ER1_MF</t>
  </si>
  <si>
    <t>PTHP-SEER13-ER2_MF</t>
  </si>
  <si>
    <t>356425_2024_12_</t>
  </si>
  <si>
    <t>PTHP-SEER13-ER1_MF_CompE</t>
  </si>
  <si>
    <t>PTHP-SEER13-ER2_MF_CompE</t>
  </si>
  <si>
    <t>356450_2024_12_</t>
  </si>
  <si>
    <t>PTHP-SEER13-Replace_PTAC_ElectricHeat_ER1_MF</t>
  </si>
  <si>
    <t>PTHP-SEER13-Replace_PTAC_ElectricHeat_ER2_MF</t>
  </si>
  <si>
    <t>356475_2024_12_</t>
  </si>
  <si>
    <t>PTHP-SEER13-Replace_PTAC_ElectricHeat_ER1_MF_CompE</t>
  </si>
  <si>
    <t>PTHP-SEER13-Replace_PTAC_ElectricHeat_ER2_MF_CompE</t>
  </si>
  <si>
    <t>356500_2024_12_</t>
  </si>
  <si>
    <t>PTHP-SEER13-ROF_MF</t>
  </si>
  <si>
    <t>356525_2024_12_</t>
  </si>
  <si>
    <t>PTHP-SEER13-ROF_MF_CompE</t>
  </si>
  <si>
    <t>356550_2024_12_</t>
  </si>
  <si>
    <t>PTHP-SEER13-Replace_PTAC_ElectricHeat_ROF_MF</t>
  </si>
  <si>
    <t>356575_2024_12_</t>
  </si>
  <si>
    <t>PTHP-SEER13-Replace_PTAC_ElectricHeat_ROF_MF_CompE</t>
  </si>
  <si>
    <t>356600_2024_12_</t>
  </si>
  <si>
    <t>PTHP-SEER14-ER1_MF</t>
  </si>
  <si>
    <t>PTHP-SEER14-ER2_MF</t>
  </si>
  <si>
    <t>356625_2024_12_</t>
  </si>
  <si>
    <t>PTHP-SEER14-ER1_MF_CompE</t>
  </si>
  <si>
    <t>PTHP-SEER14-ER2_MF_CompE</t>
  </si>
  <si>
    <t>356650_2024_12_</t>
  </si>
  <si>
    <t>PTHP-SEER14-Replace_PTAC_ElectricHeat_ER1_MF</t>
  </si>
  <si>
    <t>PTHP-SEER14-Replace_PTAC_ElectricHeat_ER2_MF</t>
  </si>
  <si>
    <t>356675_2024_12_</t>
  </si>
  <si>
    <t>PTHP-SEER14-Replace_PTAC_ElectricHeat_ER1_MF_CompE</t>
  </si>
  <si>
    <t>PTHP-SEER14-Replace_PTAC_ElectricHeat_ER2_MF_CompE</t>
  </si>
  <si>
    <t>356700_2024_12_</t>
  </si>
  <si>
    <t>PTHP-SEER14-ROF_MF</t>
  </si>
  <si>
    <t>356725_2024_12_</t>
  </si>
  <si>
    <t>PTHP-SEER14-ROF_MF_CompE</t>
  </si>
  <si>
    <t>356750_2024_12_</t>
  </si>
  <si>
    <t>PTHP-SEER14-Replace_PTAC_ElectricHeat_ROF_MF</t>
  </si>
  <si>
    <t>356775_2024_12_</t>
  </si>
  <si>
    <t>PTHP-SEER14-Replace_PTAC_ElectricHeat_ROF_MF_CompE</t>
  </si>
  <si>
    <t>356800_2024_12_</t>
  </si>
  <si>
    <t>PTHP-SEER15-ER1_MF</t>
  </si>
  <si>
    <t>PTHP-SEER15-ER2_MF</t>
  </si>
  <si>
    <t>356825_2024_12_</t>
  </si>
  <si>
    <t>PTHP-SEER15-ER1_MF_CompE</t>
  </si>
  <si>
    <t>PTHP-SEER15-ER2_MF_CompE</t>
  </si>
  <si>
    <t>356850_2024_12_</t>
  </si>
  <si>
    <t>PTHP-SEER15-Replace_PTAC_ElectricHeat_ER1_MF</t>
  </si>
  <si>
    <t>PTHP-SEER15-Replace_PTAC_ElectricHeat_ER2_MF</t>
  </si>
  <si>
    <t>356875_2024_12_</t>
  </si>
  <si>
    <t>PTHP-SEER15-Replace_PTAC_ElectricHeat_ER1_MF_CompE</t>
  </si>
  <si>
    <t>PTHP-SEER15-Replace_PTAC_ElectricHeat_ER2_MF_CompE</t>
  </si>
  <si>
    <t>356900_2024_12_</t>
  </si>
  <si>
    <t>PTHP-SEER15-ROF_MF</t>
  </si>
  <si>
    <t>356925_2024_12_</t>
  </si>
  <si>
    <t>PTHP-SEER15-ROF_MF_CompE</t>
  </si>
  <si>
    <t>356950_2024_12_</t>
  </si>
  <si>
    <t>PTHP-SEER15-Replace_PTAC_ElectricHeat_ROF_MF</t>
  </si>
  <si>
    <t>356975_2024_12_</t>
  </si>
  <si>
    <t>PTHP-SEER15-Replace_PTAC_ElectricHeat_ROF_MF_CompE</t>
  </si>
  <si>
    <t>3.4.10</t>
  </si>
  <si>
    <t>Note: PTHPs replacing non-electric heating are eligible for cooling savings only.</t>
  </si>
  <si>
    <t xml:space="preserve">Note: CompE versions of ElectricHeat_ROF do not have qualifying TRC values. This is why the measures are not included above. </t>
  </si>
  <si>
    <t>EREP:</t>
  </si>
  <si>
    <t>ΔkWh for remaining life of existing unit:</t>
  </si>
  <si>
    <t>= [((EFLHcool  * Capacitycool  * (1/SEER2exist  - 1/SEER2ee)) / 1000) + ((EFLHheat  * Capacityheat  * (1/HSPF2exist  - 1/HSFP2ee)) / 1,000)] * ISR</t>
  </si>
  <si>
    <t>ΔkWh for remaining measure life:</t>
  </si>
  <si>
    <t>Heating Capacity of Package Terminal Heat Pump (Btu/hr)</t>
  </si>
  <si>
    <t>Typical sizes found online are 9,400, 12,000 and 15,000 btu/hr.</t>
  </si>
  <si>
    <t>Non-CompE</t>
  </si>
  <si>
    <t>Ameren TRM, section 3.4.10</t>
  </si>
  <si>
    <t>CompE</t>
  </si>
  <si>
    <t>Calculated from reduction ratio for ASHP MF to MF_CompE EFLH</t>
  </si>
  <si>
    <t>ER</t>
  </si>
  <si>
    <t>ROF</t>
  </si>
  <si>
    <t>Federal standard. CFR 431.97 Table 7</t>
  </si>
  <si>
    <t>ER_Electric Heat</t>
  </si>
  <si>
    <t>Consistent for all electric resistance heating equipment.</t>
  </si>
  <si>
    <t>ROF_Electric Heat</t>
  </si>
  <si>
    <t>PTHP-SEER12</t>
  </si>
  <si>
    <t>Average efficiency of market available PTHP</t>
  </si>
  <si>
    <t>PTHP-SEER13</t>
  </si>
  <si>
    <t>PTHP-SEER14</t>
  </si>
  <si>
    <t>PTHP-SEER15</t>
  </si>
  <si>
    <t>Cooling Capacity of Package Terminal Heat Pump (Btu/hr)</t>
  </si>
  <si>
    <t>ER - PTHP</t>
  </si>
  <si>
    <t>ER - PTAC</t>
  </si>
  <si>
    <t>From Measure Description; units meeting 11.7 SEER federal standard are offered in SEER 12 grouping</t>
  </si>
  <si>
    <t>EUL / RUL</t>
  </si>
  <si>
    <t>ER1</t>
  </si>
  <si>
    <t>ER2</t>
  </si>
  <si>
    <t>357100_2024_12_</t>
  </si>
  <si>
    <t>Learning Thermostat - New ASHP heating/cooling SF</t>
  </si>
  <si>
    <t>357101_2024_12_</t>
  </si>
  <si>
    <t>Learning Thermostat - New ASHP heating/cooling MF</t>
  </si>
  <si>
    <t>357102_2024_12_</t>
  </si>
  <si>
    <t>Learning Thermostat - Existing ASHP heating/cooling SF</t>
  </si>
  <si>
    <t>357103_2024_12_</t>
  </si>
  <si>
    <t>Learning Thermostat - Existing ASHP heating/cooling MF</t>
  </si>
  <si>
    <t>357104_2024_12_</t>
  </si>
  <si>
    <t>Learning Thermostat - electric furnace heating / New Central AC MF</t>
  </si>
  <si>
    <t>357105_2024_12_</t>
  </si>
  <si>
    <t>Learning Thermostat - electric furnace heating / New Central AC SF</t>
  </si>
  <si>
    <t>357106_2024_12_</t>
  </si>
  <si>
    <t>Learning Thermostat - Gas Heated / New Central AC SF**</t>
  </si>
  <si>
    <t>357107_2024_12_</t>
  </si>
  <si>
    <t>Learning Thermostat - Gas Heated / New Central AC MF**</t>
  </si>
  <si>
    <t>357108_2024_12_</t>
  </si>
  <si>
    <t>Learning Thermostat - electric furnace heating / Existing Central AC MF</t>
  </si>
  <si>
    <t>357109_2024_12_</t>
  </si>
  <si>
    <t>Learning Thermostat - electric furnace heating / Existing Central AC SF</t>
  </si>
  <si>
    <t>357110_2024_12_</t>
  </si>
  <si>
    <t>Learning Thermostat - Gas Heated / Existing Central AC SF**</t>
  </si>
  <si>
    <t>357111_2024_12_</t>
  </si>
  <si>
    <t>Learning Thermostat - Gas Heated / Existing Central AC MF**</t>
  </si>
  <si>
    <t>357112_2024_12_</t>
  </si>
  <si>
    <t>357113_2024_12_</t>
  </si>
  <si>
    <t xml:space="preserve">HeatingConsumptionElectric = If heating equipment characteristics are known, equals ((EFLHheat * CapacityHeat * 1/HSPF2)/1000); otherwise, stipulated values cited in TRM section 3.4.1 are applied. </t>
  </si>
  <si>
    <t>Ameren Missouri Efficient Products Evaluation PY2020</t>
  </si>
  <si>
    <t>HSPF2</t>
  </si>
  <si>
    <t>Applicable for newly-installed heat pumps</t>
  </si>
  <si>
    <t>CapacityHeat</t>
  </si>
  <si>
    <t xml:space="preserve">Evaluation - Opinion Dynamics review PY2019. </t>
  </si>
  <si>
    <t>Heating characteristics used to calculate HeatingConsumption_Electric</t>
  </si>
  <si>
    <t>These values represent adjusted baseline savings values for different existing thermostats, as presented in Navigant’s IL TRM Workpaper on Impact Analysis from Preliminary Gas savings findings (page 28)</t>
  </si>
  <si>
    <r>
      <t xml:space="preserve">EFLH </t>
    </r>
    <r>
      <rPr>
        <strike/>
        <vertAlign val="subscript"/>
        <sz val="11"/>
        <color rgb="FFFF0000"/>
        <rFont val="Calibri"/>
        <family val="2"/>
        <scheme val="minor"/>
      </rPr>
      <t>cool</t>
    </r>
  </si>
  <si>
    <t>PY2019 evaluation report, page 30</t>
  </si>
  <si>
    <r>
      <t xml:space="preserve">EFLH </t>
    </r>
    <r>
      <rPr>
        <strike/>
        <vertAlign val="subscript"/>
        <sz val="11"/>
        <rFont val="Calibri"/>
        <family val="2"/>
        <scheme val="minor"/>
      </rPr>
      <t>cool</t>
    </r>
  </si>
  <si>
    <t>New CAC Installed</t>
  </si>
  <si>
    <t>New ASHP Installed</t>
  </si>
  <si>
    <t>This assumption is based upon the review of many evaluations from other regions in the United States.</t>
  </si>
  <si>
    <t>Ameren Missouri Efficient Products Evaluation PY2017, page 47</t>
  </si>
  <si>
    <t>RESIDENTIAL INCOME ELIGIBLE</t>
  </si>
  <si>
    <t>AC Tune-Up</t>
  </si>
  <si>
    <t xml:space="preserve">*MFIEc = Multifamily Income Eligible Comprehensive Envelope,  CompE = Comprehensive Envelope </t>
  </si>
  <si>
    <t>400050_2024_12_</t>
  </si>
  <si>
    <t>AC General Tune-Up (no charge or coil clean) SF</t>
  </si>
  <si>
    <t>400100_2024_12_</t>
  </si>
  <si>
    <t>AC General Tune-Up (no charge or coil clean) MF</t>
  </si>
  <si>
    <t>400101_2024_12_</t>
  </si>
  <si>
    <t>MFIEc</t>
  </si>
  <si>
    <t>400150_2024_12_</t>
  </si>
  <si>
    <t>AC Tune-up / Refrigerant charge SF</t>
  </si>
  <si>
    <t>400200_2024_12_</t>
  </si>
  <si>
    <t>AC Tune-up / Refrigerant charge MF</t>
  </si>
  <si>
    <t>400201_2024_12_</t>
  </si>
  <si>
    <t>400250_2024_12_</t>
  </si>
  <si>
    <t>AC Tune-up / Indoor Coil (Evaporator) Cleaning SF</t>
  </si>
  <si>
    <t>400300_2024_12_</t>
  </si>
  <si>
    <t>AC Tune-up /Indoor Coil (Evaporator) Cleaning MF</t>
  </si>
  <si>
    <t>400301_2024_12_</t>
  </si>
  <si>
    <t>400350_2024_12_</t>
  </si>
  <si>
    <t>AC Tune-up /Outdoor Coil (Condenser) Cleaning SF</t>
  </si>
  <si>
    <t>400400_2024_12_</t>
  </si>
  <si>
    <t>AC Tune-up /Outdoor Coil (Condenser) Cleaning MF</t>
  </si>
  <si>
    <t>400401_2024_12_</t>
  </si>
  <si>
    <t>400410_2024_12_</t>
  </si>
  <si>
    <t>AC Tune-up / Packaged Service SF</t>
  </si>
  <si>
    <t>400411_2024_12_</t>
  </si>
  <si>
    <t>AC Tune-up / Packaged Service MF</t>
  </si>
  <si>
    <t>400412_2024_12_</t>
  </si>
  <si>
    <t>AC Tune-up / Packaged Service MF_CompE</t>
  </si>
  <si>
    <t>3.4.6</t>
  </si>
  <si>
    <t>ΔkWhCentral AC = ((EFLHcool  * Capacitycool  * (1/SEERtest-in – 1/SEERtest-out)) / 1,000)</t>
  </si>
  <si>
    <t>ΔkWhASHP = ((EFLHcool  * Capacitycool  * (1/SEERtest-in – 1/SEERtest-out)) / 1,000) + ((EFLHheat  * Capacityheat  * (1/HSPFtest-in –  1/HSFPtest-out)) / 1,000)</t>
  </si>
  <si>
    <r>
      <t>EFLH</t>
    </r>
    <r>
      <rPr>
        <vertAlign val="subscript"/>
        <sz val="11"/>
        <rFont val="Calibri"/>
        <family val="2"/>
        <scheme val="minor"/>
      </rPr>
      <t>cool</t>
    </r>
  </si>
  <si>
    <t xml:space="preserve"> PY19 Residential Evaluation Appendices, page 76</t>
  </si>
  <si>
    <t>Evaluation - Opinion Dynamics review PY2019</t>
  </si>
  <si>
    <r>
      <t>Capacity</t>
    </r>
    <r>
      <rPr>
        <vertAlign val="subscript"/>
        <sz val="11"/>
        <rFont val="Calibri"/>
        <family val="2"/>
        <scheme val="minor"/>
      </rPr>
      <t>cool</t>
    </r>
  </si>
  <si>
    <t>Average cooling capacity for ASHP measures for SF homes in the PY2023 HVAC Program (rounded)</t>
  </si>
  <si>
    <t>Average capacity for SF multiplied by 0.65</t>
  </si>
  <si>
    <t>SEERtest-in</t>
  </si>
  <si>
    <t>Seasonal Energy Efficiency Ratio of existing cooling system before tuning (kBtu/kWh)</t>
  </si>
  <si>
    <t>General Tune-Up</t>
  </si>
  <si>
    <t>Ameren Missouri Heating and Cooling Program Impact and Process Evaluation: Program Year 2015, page 43</t>
  </si>
  <si>
    <t>Refrigerant Charge Adjustment</t>
  </si>
  <si>
    <t>Indoor Coil Cleaning</t>
  </si>
  <si>
    <t>Matches 2015 Heating and Cooling evaluation</t>
  </si>
  <si>
    <t>Outdoor Coil Cleaning</t>
  </si>
  <si>
    <t>Packaged Service</t>
  </si>
  <si>
    <r>
      <t>SEER</t>
    </r>
    <r>
      <rPr>
        <vertAlign val="subscript"/>
        <sz val="11"/>
        <rFont val="Calibri"/>
        <family val="2"/>
        <scheme val="minor"/>
      </rPr>
      <t>test-out</t>
    </r>
  </si>
  <si>
    <t>Seasonal Energy Efficiency Ratio of existing cooling system after tuning (kBtu/kWh)</t>
  </si>
  <si>
    <t>MO TRM, page 114</t>
  </si>
  <si>
    <t>PY2015 HVAC Evaluation, page 42</t>
  </si>
  <si>
    <t>Calculated based on % improvement for each measure</t>
  </si>
  <si>
    <t>Based on 13.6% average improvement from 75 PY2019 MFIE packaged tune-up measures.</t>
  </si>
  <si>
    <t>Convert from Btu to kBtu</t>
  </si>
  <si>
    <t>Btu / kBtu</t>
  </si>
  <si>
    <t>Conversion Factor (Btu/kBtu)</t>
  </si>
  <si>
    <t>Sourced from DEER Database Technology and Measure Cost Data.</t>
  </si>
  <si>
    <t>Based on personal communication with HVAC efficiency program consultant Buck Taylor of Roltay Inc., 6/21/10,</t>
  </si>
  <si>
    <t>Based on the assumption that the total cost of a tune-up is $175.</t>
  </si>
  <si>
    <t>Estimate of avearge packaged service tune-up costs provided by implementer using 2014-2016 tune-up data.</t>
  </si>
  <si>
    <t>Air Sealing</t>
  </si>
  <si>
    <t>Units (sq. ft)</t>
  </si>
  <si>
    <t>400450_2024_12_</t>
  </si>
  <si>
    <t>Air Sealing (Infiltration reduction) - 30% MF IE DI electric furnace base</t>
  </si>
  <si>
    <t>400500_2024_12_</t>
  </si>
  <si>
    <t>Air Sealing (Infiltration reduction) - 30% MF IE DI heat pump base</t>
  </si>
  <si>
    <t>400501_2022_12_</t>
  </si>
  <si>
    <t>Air Sealing (Infiltration reduction) - 30% MF IE DI gas furnace base</t>
  </si>
  <si>
    <t>400550_2024_12_</t>
  </si>
  <si>
    <t>Air Sealing (Infiltration reduction) - 30% SF IE DI electric furnace base</t>
  </si>
  <si>
    <t>400551_2024_12_</t>
  </si>
  <si>
    <t>Air Sealing (Infiltration reduction) - 30% SF IE DI Gas furnace base</t>
  </si>
  <si>
    <t>400600_2024_12_</t>
  </si>
  <si>
    <t>Air Sealing (Infiltration reduction) - 30% SF IE DI heat pump base</t>
  </si>
  <si>
    <t>400650_2024_12_</t>
  </si>
  <si>
    <t>MH Adjusted Air Sealing (Infiltration reduction) - 30% SF IE DI electric furnace base</t>
  </si>
  <si>
    <t>400651_2024_12_</t>
  </si>
  <si>
    <t>MH Adjusted Air Sealing (Infiltration reduction) - 30% SF IE DI heat pump base</t>
  </si>
  <si>
    <t>400652_2024_12_</t>
  </si>
  <si>
    <t>MH Adjusted Air Sealing (Infiltration reduction) - 30% SF IE DI gas furnace base</t>
  </si>
  <si>
    <t xml:space="preserve">If electrically-heated:   ΔkWh =(((CFM50Pre- CFM50Post) / Ncool ) * 60 * 24 * CDD * DUA * 0.018 * LM) / ((1,000 *  ηCool)) + (((CFM50Pre- CFM50Post)/ Nheat)  * 60 * 24 * HDD * 0.018) / (ηHeat * 3,412) </t>
  </si>
  <si>
    <t>If not electrically-heated:   (((CFM50Pre- CFM50Post) / Ncool ) * 60 * 24 * CDD * DUA * 0.018 * LM) / ((1,000 *  ηCool)) + (((CFM50Pre- CFM50Post)/ Nheat) * 60 * 24 * HDD * 0.018) / (ηHeat * 100,000)</t>
  </si>
  <si>
    <t>Note: For purposes of ex ante savings calculations, deemed per unit values are provided below, taken from Ameren Missouri TRM Version 7.0.  Ex post savings will be based on approach specified in Ameren Missouri TRM Version 8.0, referencing CFM change and applicable equipment characteristics.</t>
  </si>
  <si>
    <r>
      <t>Default</t>
    </r>
    <r>
      <rPr>
        <i/>
        <vertAlign val="subscript"/>
        <sz val="11"/>
        <rFont val="Calibri"/>
        <family val="2"/>
        <scheme val="minor"/>
      </rPr>
      <t>heat</t>
    </r>
  </si>
  <si>
    <t>MO - TRM, page 166</t>
  </si>
  <si>
    <t>Sq. Ft.</t>
  </si>
  <si>
    <t>Average size house (902 sq. ft.) insulation</t>
  </si>
  <si>
    <t>Assumes 65% HF</t>
  </si>
  <si>
    <t xml:space="preserve">Average size house (1387 sq. ft.) insulation </t>
  </si>
  <si>
    <t>Average size house (1387 sq. ft.) insulation</t>
  </si>
  <si>
    <t>Average mobile Home (15'x72' =1080 sq. ft.)</t>
  </si>
  <si>
    <r>
      <t>Default</t>
    </r>
    <r>
      <rPr>
        <i/>
        <vertAlign val="subscript"/>
        <sz val="11"/>
        <rFont val="Calibri"/>
        <family val="2"/>
        <scheme val="minor"/>
      </rPr>
      <t>cool</t>
    </r>
  </si>
  <si>
    <t>Default Therms per sq.ft.</t>
  </si>
  <si>
    <t>Default Therms saved per sq ft</t>
  </si>
  <si>
    <r>
      <t>MO - TRM</t>
    </r>
    <r>
      <rPr>
        <sz val="11"/>
        <color rgb="FFFF0000"/>
        <rFont val="Calibri"/>
        <family val="2"/>
        <scheme val="minor"/>
      </rPr>
      <t>, page 167</t>
    </r>
  </si>
  <si>
    <t>Use Actual Square footage where applicable.</t>
  </si>
  <si>
    <t>No measures in PY18</t>
  </si>
  <si>
    <t>Ceiling Insulation</t>
  </si>
  <si>
    <t>Units - area of ceiling/attic (ft2)</t>
  </si>
  <si>
    <t>400700_2024_12_</t>
  </si>
  <si>
    <t>Ceiling Insulation R11-R49 MF IE DI electric furnace base</t>
  </si>
  <si>
    <t>400750_2024_12_</t>
  </si>
  <si>
    <t>Ceiling Insulation R11-R49 MF IE DI heat pump base</t>
  </si>
  <si>
    <t>400800_2024_12_</t>
  </si>
  <si>
    <t>Ceiling Insulation R11-R49 MF IE DI gas heat electric cool base</t>
  </si>
  <si>
    <t>400850_2024_12_</t>
  </si>
  <si>
    <t>Ceiling Insulation R11-R49 SF IE DI electric furnace base</t>
  </si>
  <si>
    <t>400900_2024_12_</t>
  </si>
  <si>
    <t>Ceiling Insulation R11-R49 SF IE DI heat pump base</t>
  </si>
  <si>
    <t>400950_2024_12_</t>
  </si>
  <si>
    <t>Ceiling Insulation R11-R49 SF IE DI gas heat electric cool base</t>
  </si>
  <si>
    <t>401000_2024_12_</t>
  </si>
  <si>
    <t>Ceiling Insulation R5-R30 MF IE DI electric furnace base</t>
  </si>
  <si>
    <t>401050_2024_12_</t>
  </si>
  <si>
    <t>Ceiling Insulation R5-R30 MF IE DI heat pump base</t>
  </si>
  <si>
    <t>401100_2024_12_</t>
  </si>
  <si>
    <t>Ceiling Insulation R5-R30 MF IE DI gas heat electric cool base</t>
  </si>
  <si>
    <t>401150_2024_12_</t>
  </si>
  <si>
    <t>Ceiling Insulation R5-R30 SF IE DI electric furnace base</t>
  </si>
  <si>
    <t>401200_2024_12_</t>
  </si>
  <si>
    <t>Ceiling Insulation R5-R30 SF IE DI heat pump base</t>
  </si>
  <si>
    <t>401250_2024_12_</t>
  </si>
  <si>
    <t>Ceiling Insulation R5-R30 SF IE DI gas heat electric cool base</t>
  </si>
  <si>
    <t>401300_2024_12_</t>
  </si>
  <si>
    <t>Ceiling Insulation R5-R38 MF IE DI electric furnace base</t>
  </si>
  <si>
    <t>401350_2024_12_</t>
  </si>
  <si>
    <t>Ceiling Insulation R5-R38 MF IE DI heat pump base</t>
  </si>
  <si>
    <t>401400_2024_12_</t>
  </si>
  <si>
    <t>Ceiling Insulation R5-R38 MF IE DI gas heat electric cool base</t>
  </si>
  <si>
    <t>401450_2024_12_</t>
  </si>
  <si>
    <t>Ceiling Insulation R5-R38 SF IE DI electric furnace base</t>
  </si>
  <si>
    <t>401500_2024_12_</t>
  </si>
  <si>
    <t>Ceiling Insulation R5-R38 SF IE DI heat pump base</t>
  </si>
  <si>
    <t>401550_2024_12_</t>
  </si>
  <si>
    <t>Ceiling Insulation R5-R38 SF IE DI gas heat electric cool base</t>
  </si>
  <si>
    <t>401600_2024_12_</t>
  </si>
  <si>
    <t>Ceiling Insulation R5-R49 MF IE DI electric furnace base</t>
  </si>
  <si>
    <t>401650_2024_12_</t>
  </si>
  <si>
    <t>Ceiling Insulation R5-R49 MF IE DI heat pump base</t>
  </si>
  <si>
    <t>401700_2024_12_</t>
  </si>
  <si>
    <t>Ceiling Insulation R5-R49 MF IE DI gas heat electric cool base</t>
  </si>
  <si>
    <t>401750_2024_12_</t>
  </si>
  <si>
    <t>Ceiling Insulation R5-R49 SF IE DI electric furnace base</t>
  </si>
  <si>
    <t>401800_2024_12_</t>
  </si>
  <si>
    <t>Ceiling Insulation R5-R49 SF IE DI heat pump base</t>
  </si>
  <si>
    <t>401850_2024_12_</t>
  </si>
  <si>
    <t>Ceiling Insulation R5-R49 SF IE DI gas heat electric cool base</t>
  </si>
  <si>
    <t>401900_2024_12_</t>
  </si>
  <si>
    <t>Ceiling Insulation R5-R60 MF IE DI electric furnace base</t>
  </si>
  <si>
    <t>401950_2024_12_</t>
  </si>
  <si>
    <t>Ceiling Insulation R5-R60 MF IE DI heat pump base</t>
  </si>
  <si>
    <t>402000_2024_12_</t>
  </si>
  <si>
    <t>Ceiling Insulation R5-R60 MF IE DI gas heat electric cool base</t>
  </si>
  <si>
    <t>402050_2024_12_</t>
  </si>
  <si>
    <t>Ceiling Insulation R5-R60 SF IE DI electric furnace base</t>
  </si>
  <si>
    <t>402100_2024_12_</t>
  </si>
  <si>
    <t>Ceiling Insulation R5-R60 SF IE DI heat pump base</t>
  </si>
  <si>
    <t>402150_2024_12_</t>
  </si>
  <si>
    <t>Ceiling Insulation R5-R60 SF IE DI gas heat electric cool base</t>
  </si>
  <si>
    <t>3.6.2</t>
  </si>
  <si>
    <t>If electrically-heated:   ΔkWh = ((1/ROld - 1/RAttic)* Aattic* (1 – FramingFactorAttic) * CDD * 24 * DUA * ADJAtticCool) / (1,000 * ηCool) + ((1/ROld - 1/RAttic)* Aattic* (1 – FramingFactorAttic) * HDD * 24 * ADJAtticHeat) / (3,412 * ηHeat)</t>
  </si>
  <si>
    <t>If not electrically-heated:   ΔkWh = ((1/ROld - 1/RAttic)* Aattic* (1 – FramingFactorAttic) * CDD * 24 * DUA * ADJAtticCool) / (1,000 * ηCool) + ΔTherms * Fe * 29.3</t>
  </si>
  <si>
    <r>
      <t>R</t>
    </r>
    <r>
      <rPr>
        <i/>
        <vertAlign val="subscript"/>
        <sz val="11"/>
        <rFont val="Calibri"/>
        <family val="2"/>
        <scheme val="minor"/>
      </rPr>
      <t>old</t>
    </r>
  </si>
  <si>
    <t>Assumes R5 of Assembly is not inlcuded in R value</t>
  </si>
  <si>
    <r>
      <t>R</t>
    </r>
    <r>
      <rPr>
        <i/>
        <vertAlign val="subscript"/>
        <sz val="11"/>
        <rFont val="Calibri"/>
        <family val="2"/>
        <scheme val="minor"/>
      </rPr>
      <t>Attic</t>
    </r>
  </si>
  <si>
    <r>
      <t>A</t>
    </r>
    <r>
      <rPr>
        <i/>
        <vertAlign val="subscript"/>
        <sz val="11"/>
        <rFont val="Calibri"/>
        <family val="2"/>
        <scheme val="minor"/>
      </rPr>
      <t>Attic</t>
    </r>
  </si>
  <si>
    <t>PY5 Evaluation</t>
  </si>
  <si>
    <t>Avg. size home 875.55 sq. ft.</t>
  </si>
  <si>
    <t>Avg. size home 1347 sq. ft.</t>
  </si>
  <si>
    <t>Avg. size home 718.9 sq. ft.</t>
  </si>
  <si>
    <t>Avg. size home 1106 sq. ft.</t>
  </si>
  <si>
    <t>Assumed same as R5-R30</t>
  </si>
  <si>
    <r>
      <t>Framing Factor</t>
    </r>
    <r>
      <rPr>
        <i/>
        <vertAlign val="subscript"/>
        <sz val="11"/>
        <rFont val="Calibri"/>
        <family val="2"/>
        <scheme val="minor"/>
      </rPr>
      <t>Attic</t>
    </r>
  </si>
  <si>
    <t>ASHRAE, 2001, “Characterization of Framing Factors for New Low-Rise Residential Building Envelopes (904-RP),” Table 7.1</t>
  </si>
  <si>
    <t>HDD</t>
  </si>
  <si>
    <t>HDD65</t>
  </si>
  <si>
    <r>
      <t>Adj</t>
    </r>
    <r>
      <rPr>
        <i/>
        <vertAlign val="subscript"/>
        <sz val="11"/>
        <rFont val="Calibri"/>
        <family val="2"/>
        <scheme val="minor"/>
      </rPr>
      <t>Attic</t>
    </r>
    <r>
      <rPr>
        <i/>
        <sz val="11"/>
        <rFont val="Calibri"/>
        <family val="2"/>
        <scheme val="minor"/>
      </rPr>
      <t>Cool</t>
    </r>
  </si>
  <si>
    <t>Illinois TRM Version 12.0, page 425</t>
  </si>
  <si>
    <r>
      <t>Adj</t>
    </r>
    <r>
      <rPr>
        <i/>
        <vertAlign val="subscript"/>
        <sz val="11"/>
        <rFont val="Calibri"/>
        <family val="2"/>
        <scheme val="minor"/>
      </rPr>
      <t>Attic</t>
    </r>
    <r>
      <rPr>
        <i/>
        <sz val="11"/>
        <rFont val="Calibri"/>
        <family val="2"/>
        <scheme val="minor"/>
      </rPr>
      <t>Heat</t>
    </r>
  </si>
  <si>
    <t>ƞheat</t>
  </si>
  <si>
    <t>These default system efficiencies are based on the applicable minimum federal standards. In 2006 the federal standard for heat pumps was adjusted. While one would expect the average system efficiency to be higher than this minimum, the likely degradation of efficiencies over time means that using the minimum standard is appropriate. An 85% distribution efficiency is then applied to account for duct losses for heat pumps.</t>
  </si>
  <si>
    <r>
      <rPr>
        <sz val="11"/>
        <color rgb="FF000000"/>
        <rFont val="Calibri"/>
        <family val="2"/>
        <scheme val="minor"/>
      </rPr>
      <t>MO - TRM</t>
    </r>
    <r>
      <rPr>
        <sz val="11"/>
        <color rgb="FFFF0000"/>
        <rFont val="Calibri"/>
        <family val="2"/>
        <scheme val="minor"/>
      </rPr>
      <t>, page 173</t>
    </r>
  </si>
  <si>
    <t>CDD</t>
  </si>
  <si>
    <t>CDD65</t>
  </si>
  <si>
    <t>DUA</t>
  </si>
  <si>
    <t>Central Air Conditioning in Wisconsin, A Compilation of Recent Field Research, p31</t>
  </si>
  <si>
    <t>%cool</t>
  </si>
  <si>
    <r>
      <t>MO - TRM</t>
    </r>
    <r>
      <rPr>
        <sz val="11"/>
        <color rgb="FFFF0000"/>
        <rFont val="Calibri"/>
        <family val="2"/>
        <scheme val="minor"/>
      </rPr>
      <t>, page 10</t>
    </r>
  </si>
  <si>
    <t>Joint Program</t>
  </si>
  <si>
    <t>Adv. Tstat value</t>
  </si>
  <si>
    <t>ƞcool</t>
  </si>
  <si>
    <t>Illinois TRM Version 12.0,  page 421</t>
  </si>
  <si>
    <t>Floor Insulation</t>
  </si>
  <si>
    <t>*MH = Mobile Home</t>
  </si>
  <si>
    <t>Units - area of floor (ft2)</t>
  </si>
  <si>
    <t>402200_2024_12_</t>
  </si>
  <si>
    <t>Floor Insulation R25 (R-3.96 base) MH electric furnace/baseboard and electric cooling</t>
  </si>
  <si>
    <t>402201_2024_12_</t>
  </si>
  <si>
    <t>Floor Insulation R25 (R-3.96 base) MH heat pump and electric cooling</t>
  </si>
  <si>
    <t>402202_2024_12_</t>
  </si>
  <si>
    <t>Floor Insulation R25 (R-3.96 base) MH gas furnace/baseboard and electric cooling</t>
  </si>
  <si>
    <t>402203_2024_12_</t>
  </si>
  <si>
    <t>Floor Insulation R25 (R-13 base) MH electric furnace/baseboard and electric cooling</t>
  </si>
  <si>
    <t>402204_2024_12_</t>
  </si>
  <si>
    <t>Floor Insulation R25 (R-13 base) MH heat pump and electric cooling</t>
  </si>
  <si>
    <t>402205_2024_12_</t>
  </si>
  <si>
    <t>Floor Insulation R25 (R-13 base) MH gas furnace/baseboard and electric cooling</t>
  </si>
  <si>
    <t>3.6.4</t>
  </si>
  <si>
    <t>If electrically-heated:   ΔkWh = ((1/R_Old - 1/(RAdded + ROld)) * Area * (1 – FramingFactorFloor) * CDD * 24 * DUA * ADJFloorCool) / (1,000 * ηCool) + ((1/R_Old - 1/(RAdded + ROld)) * Area * (1 – FramingFactorFloor) * HDD * 24 * ADJFloorHeat) / (3,412 * ηHeat)</t>
  </si>
  <si>
    <t>If not electrically-heated:   ΔkWh = ((1/R_Old - 1/(RAdded + ROld)) * Area * (1 – FramingFactorFloor) * CDD * 24 * DUA * ADJFloorCool) / (1,000 * ηCool) + ΔTherms * Fe * 29.3</t>
  </si>
  <si>
    <t>Floor Insulation R25 MH - No existing insulatin</t>
  </si>
  <si>
    <t>Illinois TRM Version 12.0, page 404</t>
  </si>
  <si>
    <t>Floor Insulation R25 MH - Pre-existing insulatin (R-13)</t>
  </si>
  <si>
    <t>3.53 from TRM, 13 added</t>
  </si>
  <si>
    <r>
      <t>R</t>
    </r>
    <r>
      <rPr>
        <i/>
        <vertAlign val="subscript"/>
        <sz val="11"/>
        <rFont val="Calibri"/>
        <family val="2"/>
        <scheme val="minor"/>
      </rPr>
      <t>added</t>
    </r>
  </si>
  <si>
    <t>Floor Insulation R25 MH electric furnace/baseboard and electric cooling</t>
  </si>
  <si>
    <r>
      <t>A</t>
    </r>
    <r>
      <rPr>
        <i/>
        <vertAlign val="subscript"/>
        <sz val="11"/>
        <rFont val="Calibri"/>
        <family val="2"/>
        <scheme val="minor"/>
      </rPr>
      <t>Floor</t>
    </r>
  </si>
  <si>
    <t>Unit=Per Square Foot (if unknown, Avg MH: 72' x 15' =1080)</t>
  </si>
  <si>
    <r>
      <t>Framing Factor</t>
    </r>
    <r>
      <rPr>
        <i/>
        <vertAlign val="subscript"/>
        <sz val="11"/>
        <rFont val="Calibri"/>
        <family val="2"/>
        <scheme val="minor"/>
      </rPr>
      <t>Floor</t>
    </r>
  </si>
  <si>
    <t>ASHRAE, 2001, “Characterization of Framing Factors for New Low-Rise Residential Building Envelopes (904-RP),” Table 7.1.</t>
  </si>
  <si>
    <t>HDD50</t>
  </si>
  <si>
    <r>
      <t>Adj</t>
    </r>
    <r>
      <rPr>
        <i/>
        <vertAlign val="subscript"/>
        <sz val="11"/>
        <rFont val="Calibri"/>
        <family val="2"/>
        <scheme val="minor"/>
      </rPr>
      <t>Floor</t>
    </r>
    <r>
      <rPr>
        <i/>
        <sz val="11"/>
        <rFont val="Calibri"/>
        <family val="2"/>
        <scheme val="minor"/>
      </rPr>
      <t>Cool</t>
    </r>
  </si>
  <si>
    <t xml:space="preserve">Adjustment to cooling savings to account for to account for inaccuracies in engineering algorithms. </t>
  </si>
  <si>
    <t>Illinois TRM Version 12.0, page 405</t>
  </si>
  <si>
    <r>
      <t>Adj</t>
    </r>
    <r>
      <rPr>
        <i/>
        <vertAlign val="subscript"/>
        <sz val="11"/>
        <color rgb="FFFF0000"/>
        <rFont val="Calibri"/>
        <family val="2"/>
        <scheme val="minor"/>
      </rPr>
      <t>FloorHeat</t>
    </r>
  </si>
  <si>
    <t>Illinois TRM Version 12.0, page 406</t>
  </si>
  <si>
    <t>CDD75</t>
  </si>
  <si>
    <t xml:space="preserve">Energy Center of Wisconsin, May 2008 </t>
  </si>
  <si>
    <t>Illinois TRM Version 12.0, page 402</t>
  </si>
  <si>
    <t>402250_2024_12_</t>
  </si>
  <si>
    <t>Dirty Filter Alarm_MFIE</t>
  </si>
  <si>
    <t>402251_2024_12_</t>
  </si>
  <si>
    <t>Ameren Missouri EE Kits Evaluation PY2018, page 41</t>
  </si>
  <si>
    <r>
      <t>EFLH</t>
    </r>
    <r>
      <rPr>
        <i/>
        <vertAlign val="subscript"/>
        <sz val="11"/>
        <color theme="1"/>
        <rFont val="Calibri"/>
        <family val="2"/>
        <scheme val="minor"/>
      </rPr>
      <t>heat</t>
    </r>
  </si>
  <si>
    <t>In TRM, (1 - Leakage)</t>
  </si>
  <si>
    <r>
      <t>Ameren Missouri Community Savers Evaluation PY2018</t>
    </r>
    <r>
      <rPr>
        <sz val="11"/>
        <color rgb="FFFF0000"/>
        <rFont val="Calibri"/>
        <family val="2"/>
        <scheme val="minor"/>
      </rPr>
      <t>, page 27</t>
    </r>
  </si>
  <si>
    <t>Assumed DI and 100%</t>
  </si>
  <si>
    <r>
      <t>EFLH</t>
    </r>
    <r>
      <rPr>
        <i/>
        <vertAlign val="subscript"/>
        <sz val="11"/>
        <color theme="1"/>
        <rFont val="Calibri"/>
        <family val="2"/>
        <scheme val="minor"/>
      </rPr>
      <t>cool</t>
    </r>
  </si>
  <si>
    <t>CPUC Support Tables: Effective Useful Life and Remaining Useful Life. Air Filter Alarm</t>
  </si>
  <si>
    <t>Duct Insulation</t>
  </si>
  <si>
    <t>ΔkWhCooling</t>
  </si>
  <si>
    <t>ΔkWhHeating</t>
  </si>
  <si>
    <t>Δtherms</t>
  </si>
  <si>
    <t>Inc. Cost*</t>
  </si>
  <si>
    <t>Units - DuctLength (ft.)</t>
  </si>
  <si>
    <t>402300_2024_12_</t>
  </si>
  <si>
    <t>Duct Insulation - Electric Heating</t>
  </si>
  <si>
    <t>402350_2024_12_</t>
  </si>
  <si>
    <t>Mobile Home Adjusted Duct Insulation - Electric Heating </t>
  </si>
  <si>
    <t>402400_2024_12_</t>
  </si>
  <si>
    <t>Duct Insulation - Gas Heating</t>
  </si>
  <si>
    <t>3.6.3</t>
  </si>
  <si>
    <t xml:space="preserve">*MEMD estimates $100/sq ft of conditioned floor area.  Area is assumed based on Air Sealing measure (1387). </t>
  </si>
  <si>
    <t>If electrically-heated:   ΔkWh = (1/Rexisting - 1/Rnew) * Area * EFLHcool * ∆TAVG,cooling) / (1,000 * SEER2) + (1/Rexisting - 1/Rnew) * Area * EFLHheat * ∆TAVG,heating) / (3,412 * COP)</t>
  </si>
  <si>
    <t>If not electrically-heated:   ΔkWh =  (1/Rexisting - 1/Rnew) * Area * EFLHcool * ∆TAVG,cooling) / (1,000 * SEER2) + ΔTherms * Fe * 29.3</t>
  </si>
  <si>
    <r>
      <t>R</t>
    </r>
    <r>
      <rPr>
        <vertAlign val="subscript"/>
        <sz val="10"/>
        <rFont val="Calibri"/>
        <family val="2"/>
        <scheme val="minor"/>
      </rPr>
      <t>existing</t>
    </r>
  </si>
  <si>
    <t>Duct heat loss coefficient with existing insulation ((hr-⁰F-ft2)/Btu)</t>
  </si>
  <si>
    <t>Case Studies of Duct Retrofits and Guidelines for Attic and Crawl Space Duct Sealing', Oak Ridge National Laboratory, November 2011, pg. 11</t>
  </si>
  <si>
    <r>
      <t>R</t>
    </r>
    <r>
      <rPr>
        <vertAlign val="subscript"/>
        <sz val="10"/>
        <rFont val="Calibri"/>
        <family val="2"/>
        <scheme val="minor"/>
      </rPr>
      <t>new</t>
    </r>
  </si>
  <si>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</si>
  <si>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</si>
  <si>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</si>
  <si>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</si>
  <si>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</si>
  <si>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Length * Width, assuming 12"x30" duct and Length = 1'</t>
  </si>
  <si>
    <t>Area - Mobile Home</t>
  </si>
  <si>
    <t xml:space="preserve">Equivalent Full Load Cooling Hours </t>
  </si>
  <si>
    <t>Matches MO TRM.  Measure not found in Community Savers EM&amp;V</t>
  </si>
  <si>
    <r>
      <t>ΔT</t>
    </r>
    <r>
      <rPr>
        <vertAlign val="subscript"/>
        <sz val="10"/>
        <rFont val="Calibri"/>
        <family val="2"/>
        <scheme val="minor"/>
      </rPr>
      <t>AVG, cooling</t>
    </r>
  </si>
  <si>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</si>
  <si>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</si>
  <si>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</si>
  <si>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Matches MO TRM, assuming age is 2006 or later.  Measure not found in Community Savers EM&amp;V</t>
  </si>
  <si>
    <r>
      <t>ΔT</t>
    </r>
    <r>
      <rPr>
        <vertAlign val="subscript"/>
        <sz val="10"/>
        <rFont val="Calibri"/>
        <family val="2"/>
        <scheme val="minor"/>
      </rPr>
      <t>AVG, heating</t>
    </r>
  </si>
  <si>
    <t>Average temperature difference (⁰F) during heating season between outdoor air temperature and assumed 115⁰F  duct supply temperature</t>
  </si>
  <si>
    <t>Matches Community Saves EM&amp;V</t>
  </si>
  <si>
    <t>COP</t>
  </si>
  <si>
    <t xml:space="preserve">Electric Heating efficiency in COP of heating equipment </t>
  </si>
  <si>
    <t>Calculation assumes 35% Heat Pump and 65% Resistance, which is based upon data from Energy Information Administration, 2009 Residential Energy Consumption Survey</t>
  </si>
  <si>
    <r>
      <t>F</t>
    </r>
    <r>
      <rPr>
        <vertAlign val="subscript"/>
        <sz val="11"/>
        <rFont val="Calibri"/>
        <family val="2"/>
        <scheme val="minor"/>
      </rPr>
      <t>e</t>
    </r>
  </si>
  <si>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</si>
  <si>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</si>
  <si>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</si>
  <si>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</si>
  <si>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</si>
  <si>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</si>
  <si>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</si>
  <si>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r>
      <t>Eff</t>
    </r>
    <r>
      <rPr>
        <vertAlign val="subscript"/>
        <sz val="11"/>
        <rFont val="Calibri"/>
        <family val="2"/>
        <scheme val="minor"/>
      </rPr>
      <t>heat</t>
    </r>
  </si>
  <si>
    <t xml:space="preserve">Gas Heat - Efficiency in COP of heating equipment </t>
  </si>
  <si>
    <t>% Homes with Electric Cooling</t>
  </si>
  <si>
    <t>Assumed for Income Eligible</t>
  </si>
  <si>
    <t>PY7 Site Visits</t>
  </si>
  <si>
    <t>Measure Life Report, Residential and Commercial/Industrial Lighting and HVAC Measures, GDS Associates, June 2007</t>
  </si>
  <si>
    <t xml:space="preserve">Unit=Per Foot </t>
  </si>
  <si>
    <t>Duct Repair (Duct Sealing and Repair - Methodology 3)</t>
  </si>
  <si>
    <t>402450_2024_12_</t>
  </si>
  <si>
    <t>Duct Repair (Sealing) - Electric Heating SF</t>
  </si>
  <si>
    <t>402451_2024_12_</t>
  </si>
  <si>
    <t>Duct Repair (Sealing) - Gas Heating SF</t>
  </si>
  <si>
    <t>402452_2024_12_</t>
  </si>
  <si>
    <t>Duct Repair (Sealing) - Electric Heating MF Adjusted</t>
  </si>
  <si>
    <t>402453_2024_12_</t>
  </si>
  <si>
    <t>Duct Repair (Sealing) - Gas Heating  MF Adjusted</t>
  </si>
  <si>
    <t>402500_2024_12_</t>
  </si>
  <si>
    <t>Duct Repair (Sealing) - Electric Heating MH Adjusted</t>
  </si>
  <si>
    <t>402501_2024_12_</t>
  </si>
  <si>
    <t>Duct Repair (Sealing) - Gas Heating  MH Adjusted</t>
  </si>
  <si>
    <t>3.4.3</t>
  </si>
  <si>
    <t>ΔkWh = ΔkWhCooling  + ΔkWhHeatingElectric + ΔkWhHeatingGas</t>
  </si>
  <si>
    <t>(Method 3 presented; alternative methods may be applied per TRM)</t>
  </si>
  <si>
    <t>ΔkWhcooling = CoolSavingsPerUnit * DuctLength</t>
  </si>
  <si>
    <t xml:space="preserve">ΔkWhHeatingElectric = HeatSavingsPerUnit * DuctLength   </t>
  </si>
  <si>
    <t>ΔkWhHeatingGa = ΔTherms * Fe * 29.3</t>
  </si>
  <si>
    <t>CoolSavingsPerUnit</t>
  </si>
  <si>
    <t>Annual cooling savings per linear foot of duct (kWh/ft)</t>
  </si>
  <si>
    <t>MO TRM, page 97</t>
  </si>
  <si>
    <t>Missouri TRM &amp; Iowa TRM inputs here are sourced from same Cadmus Assessment noted below.</t>
  </si>
  <si>
    <t>MH</t>
  </si>
  <si>
    <r>
      <t>Duct</t>
    </r>
    <r>
      <rPr>
        <vertAlign val="subscript"/>
        <sz val="11"/>
        <rFont val="Calibri"/>
        <family val="2"/>
        <scheme val="minor"/>
      </rPr>
      <t>Length</t>
    </r>
  </si>
  <si>
    <t>Duct Length (ft)</t>
  </si>
  <si>
    <t>HeatSavingsPerUnit</t>
  </si>
  <si>
    <t>Annual heating savings per linear foot of duct (kWh/ft)</t>
  </si>
  <si>
    <t>SF - Electric Heating</t>
  </si>
  <si>
    <t>Savings per unit are based upon analysis performed by Cadmus for the 2011 Joint Assessment of Potential. It was based on 10% savings in system efficiency. This would represent savings from homes with significant duct work outside of the thermal envelope. With no performance testing or verification, a deemed savings value should be very conservative and therefore the values provided in this section represent half of the savings – or 5% improvement. These values are provided as a conservative deemed estimate for Missouri, while encouraging the use of performance testing and verification for determination of more accurate savings estimates.</t>
  </si>
  <si>
    <t>MF - Electric Heating</t>
  </si>
  <si>
    <t>MH - Electric Heating</t>
  </si>
  <si>
    <t>Annual heating savings per linear foot of duct (Therms/ft)</t>
  </si>
  <si>
    <t>SF - Gas Heating</t>
  </si>
  <si>
    <t>Iowa TRM v8.0, page 204.</t>
  </si>
  <si>
    <t>MF - Gas Heating</t>
  </si>
  <si>
    <t>MH - Gas Heating</t>
  </si>
  <si>
    <t>Use Actual Square length where applicable.</t>
  </si>
  <si>
    <t>402600_2024_12_</t>
  </si>
  <si>
    <t>ECM Auto Fan Early Replacement ER1 (Full Cost) - SF</t>
  </si>
  <si>
    <t>ECM Auto Fan Early Replacement ER2 (Remaining Life) - SF</t>
  </si>
  <si>
    <t>402700_2024_12_</t>
  </si>
  <si>
    <t>ECM Continous Fan Early Replacement ER1 (Full Cost) - SF</t>
  </si>
  <si>
    <t>ECM Continous Fan Early Replacement ER2 (Remaining Life) - SF</t>
  </si>
  <si>
    <t>402800_2024_12_</t>
  </si>
  <si>
    <t>ECM Auto Fan Early Replacement ER1 (Full Cost) - MF</t>
  </si>
  <si>
    <t>ECM Auto Fan Early Replacement ER2 (Remaining Life) - MF</t>
  </si>
  <si>
    <t>402900_2024_12_</t>
  </si>
  <si>
    <t>ECM Continous Fan Early Replacement ER1 (Full Cost) - MF</t>
  </si>
  <si>
    <t>ECM Continous Fan Early Replacement ER2 (Remaining Life) - MF</t>
  </si>
  <si>
    <t>ECM Fan Early Replacement ER 1 (Full Cost) - SF</t>
  </si>
  <si>
    <t>Ameren Missouri HVAC Program Evaluation PY2019 Appendix, page 40</t>
  </si>
  <si>
    <t>ECM Fan Early Replacement ER 2 (Remaining Life) - SF</t>
  </si>
  <si>
    <t>ECM Fan Early Replacement ER 1 (Full Cost) - MF</t>
  </si>
  <si>
    <t>ECM Fan Early Replacement ER 2 (Remaining Life) - MF</t>
  </si>
  <si>
    <t>Ameren Missouri HVAC Evaluation PY17, Page 41</t>
  </si>
  <si>
    <r>
      <t xml:space="preserve">EFLH </t>
    </r>
    <r>
      <rPr>
        <vertAlign val="subscript"/>
        <sz val="11"/>
        <rFont val="Calibri"/>
        <family val="2"/>
        <scheme val="minor"/>
      </rPr>
      <t>heating</t>
    </r>
  </si>
  <si>
    <r>
      <t xml:space="preserve">EFLH </t>
    </r>
    <r>
      <rPr>
        <i/>
        <vertAlign val="subscript"/>
        <sz val="11"/>
        <rFont val="Calibri"/>
        <family val="2"/>
        <scheme val="minor"/>
      </rPr>
      <t>heating</t>
    </r>
  </si>
  <si>
    <r>
      <t xml:space="preserve">WI_EFLH </t>
    </r>
    <r>
      <rPr>
        <vertAlign val="subscript"/>
        <sz val="11"/>
        <rFont val="Calibri"/>
        <family val="2"/>
        <scheme val="minor"/>
      </rPr>
      <t>heating</t>
    </r>
  </si>
  <si>
    <t>Ameren Missouri HVAC EM&amp;V PY2018 Report, page 40</t>
  </si>
  <si>
    <r>
      <t xml:space="preserve">WI_EFLH </t>
    </r>
    <r>
      <rPr>
        <i/>
        <vertAlign val="subscript"/>
        <sz val="11"/>
        <rFont val="Calibri"/>
        <family val="2"/>
        <scheme val="minor"/>
      </rPr>
      <t>heating</t>
    </r>
  </si>
  <si>
    <t>Ameren Missouri HVAC Program Evaluation PY2019, page 91</t>
  </si>
  <si>
    <r>
      <t xml:space="preserve">EFLH </t>
    </r>
    <r>
      <rPr>
        <vertAlign val="subscript"/>
        <sz val="11"/>
        <rFont val="Calibri"/>
        <family val="2"/>
        <scheme val="minor"/>
      </rPr>
      <t>cooling</t>
    </r>
  </si>
  <si>
    <r>
      <t xml:space="preserve">EFLH </t>
    </r>
    <r>
      <rPr>
        <i/>
        <vertAlign val="subscript"/>
        <sz val="11"/>
        <rFont val="Calibri"/>
        <family val="2"/>
        <scheme val="minor"/>
      </rPr>
      <t>cooling</t>
    </r>
  </si>
  <si>
    <r>
      <t xml:space="preserve">WI_EFLH </t>
    </r>
    <r>
      <rPr>
        <vertAlign val="subscript"/>
        <sz val="11"/>
        <rFont val="Calibri"/>
        <family val="2"/>
        <scheme val="minor"/>
      </rPr>
      <t>cooling</t>
    </r>
  </si>
  <si>
    <r>
      <t xml:space="preserve">WI_EFLH </t>
    </r>
    <r>
      <rPr>
        <i/>
        <vertAlign val="subscript"/>
        <sz val="11"/>
        <rFont val="Calibri"/>
        <family val="2"/>
        <scheme val="minor"/>
      </rPr>
      <t>cooling</t>
    </r>
  </si>
  <si>
    <t>Household Factor</t>
  </si>
  <si>
    <t>ECM Auto Fan Early Replacement ER 1 (Full Cost) - SF</t>
  </si>
  <si>
    <t>ECM Auto Fan Early Replacement ER 2 (Remaining Life) - SF</t>
  </si>
  <si>
    <t>ECM Auto Fan Early Replacement ER 1 (Full Cost) - MF</t>
  </si>
  <si>
    <t>ECM Auto Fan Early Replacement ER 2 (Remaining Life) - MF</t>
  </si>
  <si>
    <t>Illinois TRM Version 12.0, page 151</t>
  </si>
  <si>
    <t>Heat Pump (HP) Tune-up</t>
  </si>
  <si>
    <t>402950_2019_12_</t>
  </si>
  <si>
    <t>General HP tune-up (no charge or coil clean)</t>
  </si>
  <si>
    <t>403000_2019_12_</t>
  </si>
  <si>
    <t>403050_2019_12_</t>
  </si>
  <si>
    <t>HP tune-up / Refrigerant charge SF</t>
  </si>
  <si>
    <t>403100_2019_12_</t>
  </si>
  <si>
    <t>HP tune-up / Refrigerant charge MF</t>
  </si>
  <si>
    <t>403101_2019_12_</t>
  </si>
  <si>
    <t>403150_2019_12_</t>
  </si>
  <si>
    <t>HP tune-up / Indoor Coil (Evaporator) Cleaning SF</t>
  </si>
  <si>
    <t>403200_2019_12_</t>
  </si>
  <si>
    <t>HP tune-up / Indoor Coil (Evaporator) Cleaning MF</t>
  </si>
  <si>
    <t>403201_2019_12_</t>
  </si>
  <si>
    <t>403250_2019_12_</t>
  </si>
  <si>
    <t>HP tune-up / Outdoor Coil (Condenser) Cleaning SF</t>
  </si>
  <si>
    <t>403300_2019_12_</t>
  </si>
  <si>
    <t>HP tune-up / Outdoor Coil (Condenser) Cleaning MF</t>
  </si>
  <si>
    <t>403301_2019_12_</t>
  </si>
  <si>
    <t>403310_2021_12</t>
  </si>
  <si>
    <t>HP tune-up / Packaged Service SF</t>
  </si>
  <si>
    <t>403311_2021_12</t>
  </si>
  <si>
    <t>HP tune-up / Packaged Service MF</t>
  </si>
  <si>
    <t>403312_2021_12</t>
  </si>
  <si>
    <t>HP tune-up / Packaged Service MF_CompE</t>
  </si>
  <si>
    <r>
      <t>EFLH</t>
    </r>
    <r>
      <rPr>
        <vertAlign val="subscript"/>
        <sz val="11"/>
        <color theme="1"/>
        <rFont val="Calibri"/>
        <family val="2"/>
        <scheme val="minor"/>
      </rPr>
      <t>cool</t>
    </r>
  </si>
  <si>
    <t>Average capacity of 'Air Source Heat Pumps' measures in 'HVAC' program.  Values come from evaluation</t>
  </si>
  <si>
    <t>Value not provided in TRM.  Average value from 'Air Source Heat Pump' measures provides consistancy in assumptions.</t>
  </si>
  <si>
    <r>
      <t>Capacity</t>
    </r>
    <r>
      <rPr>
        <vertAlign val="subscript"/>
        <sz val="11"/>
        <color theme="1"/>
        <rFont val="Calibri"/>
        <family val="2"/>
        <scheme val="minor"/>
      </rPr>
      <t>cool</t>
    </r>
  </si>
  <si>
    <t>%improvement</t>
  </si>
  <si>
    <r>
      <t>SEER</t>
    </r>
    <r>
      <rPr>
        <vertAlign val="subscript"/>
        <sz val="11"/>
        <color theme="1"/>
        <rFont val="Calibri"/>
        <family val="2"/>
        <scheme val="minor"/>
      </rPr>
      <t>test-out</t>
    </r>
  </si>
  <si>
    <t>Btu / lBtu</t>
  </si>
  <si>
    <r>
      <t>EFLH</t>
    </r>
    <r>
      <rPr>
        <vertAlign val="subscript"/>
        <sz val="11"/>
        <rFont val="Calibri"/>
        <family val="2"/>
        <scheme val="minor"/>
      </rPr>
      <t>heat</t>
    </r>
  </si>
  <si>
    <r>
      <t>EFLH</t>
    </r>
    <r>
      <rPr>
        <vertAlign val="subscript"/>
        <sz val="11"/>
        <color theme="1"/>
        <rFont val="Calibri"/>
        <family val="2"/>
        <scheme val="minor"/>
      </rPr>
      <t>heat</t>
    </r>
  </si>
  <si>
    <r>
      <t>Capacity</t>
    </r>
    <r>
      <rPr>
        <vertAlign val="subscript"/>
        <sz val="11"/>
        <rFont val="Calibri"/>
        <family val="2"/>
        <scheme val="minor"/>
      </rPr>
      <t>heat</t>
    </r>
  </si>
  <si>
    <r>
      <t>Capacity</t>
    </r>
    <r>
      <rPr>
        <vertAlign val="subscript"/>
        <sz val="11"/>
        <color theme="1"/>
        <rFont val="Calibri"/>
        <family val="2"/>
        <scheme val="minor"/>
      </rPr>
      <t>heat</t>
    </r>
  </si>
  <si>
    <r>
      <t>HSPF</t>
    </r>
    <r>
      <rPr>
        <vertAlign val="subscript"/>
        <sz val="11"/>
        <rFont val="Calibri"/>
        <family val="2"/>
        <scheme val="minor"/>
      </rPr>
      <t>test-in</t>
    </r>
  </si>
  <si>
    <t>Heating Seasonal Performance Factor before tuning (kBtu/kWh)</t>
  </si>
  <si>
    <t>Based on evaluation results outlined in “Ameren Missouri Heating and Cooling Program Impact and Process Evaluation: Program Year 2015.”</t>
  </si>
  <si>
    <r>
      <t>HSPF</t>
    </r>
    <r>
      <rPr>
        <vertAlign val="subscript"/>
        <sz val="11"/>
        <color theme="1"/>
        <rFont val="Calibri"/>
        <family val="2"/>
        <scheme val="minor"/>
      </rPr>
      <t>test-out</t>
    </r>
  </si>
  <si>
    <r>
      <t>HSPF</t>
    </r>
    <r>
      <rPr>
        <vertAlign val="subscript"/>
        <sz val="11"/>
        <rFont val="Calibri"/>
        <family val="2"/>
        <scheme val="minor"/>
      </rPr>
      <t>test-out</t>
    </r>
  </si>
  <si>
    <t>Heating System Performance Factor of existing Air Source Heat Pump after tuning (kBtu/kWh)</t>
  </si>
  <si>
    <t>MO TRM:  "Assumes the efficiency improvement is the same in heating mode as was realized in cooling mode. Based on the improvement reported in “Ameren Missouri Heating and Cooling Program Impact and Process Evaluation: Program Year 2015"</t>
  </si>
  <si>
    <r>
      <t>Determined through linerar interpolation, using MO TRM value for overall tune-up improvement (HSPF=6.9) and partial improvement values used for General, Refrigerant Charge, and Coil Clean improvements (SEER</t>
    </r>
    <r>
      <rPr>
        <vertAlign val="subscript"/>
        <sz val="11"/>
        <rFont val="Calibri"/>
        <family val="2"/>
        <scheme val="minor"/>
      </rPr>
      <t>test-out</t>
    </r>
    <r>
      <rPr>
        <sz val="11"/>
        <rFont val="Calibri"/>
        <family val="2"/>
        <scheme val="minor"/>
      </rPr>
      <t xml:space="preserve"> values above).  Using 6.9 for all Tune-Up measures would result in double counting of heating savings.  </t>
    </r>
  </si>
  <si>
    <t>EUL Sourced from DEER Database Technology and Measure Cost Data. Per MO TRM</t>
  </si>
  <si>
    <t>Low Flow Faucet Aerators (Bathroom)</t>
  </si>
  <si>
    <t>403350_2024_12_</t>
  </si>
  <si>
    <t>Low Flow Bathroom Faucet Aerator MFIE</t>
  </si>
  <si>
    <t>403351_2024_12_</t>
  </si>
  <si>
    <t>Low Flow Bathroom Faucet Aerator SFIE</t>
  </si>
  <si>
    <t>403400_2024_12_</t>
  </si>
  <si>
    <t>Low Flow Bathroom Faucet Aerator MFIE DI</t>
  </si>
  <si>
    <t>403450_2024_12_</t>
  </si>
  <si>
    <t>Low Flow Bathroom Faucet Aerator SFIE DI</t>
  </si>
  <si>
    <t>Rated flowrate of the baseline aerator</t>
  </si>
  <si>
    <t>The average length of faucet use per day (min/day)</t>
  </si>
  <si>
    <t>Rated flowrate of the low flow aerator</t>
  </si>
  <si>
    <r>
      <t>PY2016 Program Data, per Community Saves 2016 EM&amp;V report</t>
    </r>
    <r>
      <rPr>
        <sz val="11"/>
        <color rgb="FFFF0000"/>
        <rFont val="Calibri"/>
        <family val="2"/>
        <scheme val="minor"/>
      </rPr>
      <t>, page 3-8</t>
    </r>
  </si>
  <si>
    <t>The number of people in the home (ppl/household)</t>
  </si>
  <si>
    <t>The number of days per year (day/yr)</t>
  </si>
  <si>
    <t>The number of faucets installed per home</t>
  </si>
  <si>
    <r>
      <t>Ameren Missouri Community Savers Evaluation PY2018</t>
    </r>
    <r>
      <rPr>
        <sz val="11"/>
        <color rgb="FFFF0000"/>
        <rFont val="Calibri"/>
        <family val="2"/>
        <scheme val="minor"/>
      </rPr>
      <t>, page 23</t>
    </r>
  </si>
  <si>
    <t>Revised to match Community Savers EM&amp;V</t>
  </si>
  <si>
    <t>The specific water heat (Btu/lb degrees F)</t>
  </si>
  <si>
    <t>The average water temperature out of the faucet (°F)</t>
  </si>
  <si>
    <t>Cadmus PY3 site visits.  Cited in Ameren Missouri Low Income and Process Evaluation: program Year 2015. p.20</t>
  </si>
  <si>
    <t>Set to match School Kits value.</t>
  </si>
  <si>
    <t>IL TRM v12.0, page 259</t>
  </si>
  <si>
    <t>Matches Ameren Missouri  EE Kits for Non DI PY2017</t>
  </si>
  <si>
    <t>market research average of $3 and assess and install cost of $8.33</t>
  </si>
  <si>
    <t>Low Flow Faucet Aerators (Kitchen)</t>
  </si>
  <si>
    <t>403470_2024_12_</t>
  </si>
  <si>
    <t>Low Flow Kitchen Faucet Aerator MFIE</t>
  </si>
  <si>
    <t>403471_2024_12_</t>
  </si>
  <si>
    <t>Low Flow Kitchen Faucet Aerator SFIE</t>
  </si>
  <si>
    <t>403480_2024_12_</t>
  </si>
  <si>
    <t>Low Flow Kitchen Faucet Aerator MFIE DI</t>
  </si>
  <si>
    <t>403481_2024_12_</t>
  </si>
  <si>
    <t>Low Flow Kitchen Faucet Aerator SFIE DI</t>
  </si>
  <si>
    <t>Ameren Missouri EE Kits PY2018 Program Data, page 34</t>
  </si>
  <si>
    <t>Cadmus and Opinion Dynamics Showerhead and Faucet Aerator Meter Study Memorandum, dated June 2013</t>
  </si>
  <si>
    <t>Estimated Useful Life</t>
  </si>
  <si>
    <t>MO TRM, page 48</t>
  </si>
  <si>
    <t>403500_2024_12_</t>
  </si>
  <si>
    <t>Low Flow Showerhead MFIE</t>
  </si>
  <si>
    <t>403550_2024_12_</t>
  </si>
  <si>
    <t>Low Flow Showerhead MFIE DI</t>
  </si>
  <si>
    <t>403551_2024_12_</t>
  </si>
  <si>
    <t>Low Flow Handheld Showerhead MFIE DI</t>
  </si>
  <si>
    <t>403600_2024_12_</t>
  </si>
  <si>
    <t>Low Flow Showerhead SFIE DI</t>
  </si>
  <si>
    <t>403601_2024_12_</t>
  </si>
  <si>
    <t>Low Flow Handheld Showerhead SFIE DI</t>
  </si>
  <si>
    <t xml:space="preserve">DeOreo, William, P. Mayer, L. Martien, M. Hayden, A. Funk, M. Kramer-Duffield, and R. Davis (2011). “California SingleFamily
Water Use Efficiency Study.” </t>
  </si>
  <si>
    <t>TRM used because EM&amp;V does not provide values for SF and MF households.</t>
  </si>
  <si>
    <r>
      <t>Ameren Missouri Community Savers Evaluation PY2018</t>
    </r>
    <r>
      <rPr>
        <sz val="11"/>
        <color rgb="FFFF0000"/>
        <rFont val="Calibri"/>
        <family val="2"/>
        <scheme val="minor"/>
      </rPr>
      <t>, page 39</t>
    </r>
  </si>
  <si>
    <t>New formula, same values. Matches Community Savers EM&amp;V</t>
  </si>
  <si>
    <t>Ameren Missouri Community Savers Evaluation: PY2017, page 22</t>
  </si>
  <si>
    <t>DI (Single Family)</t>
  </si>
  <si>
    <t>Ameren Missouri Single Family Low Income Impact and Process Evaluation: PY2019 (Table 10-10)</t>
  </si>
  <si>
    <t>DI (Multifamily)</t>
  </si>
  <si>
    <r>
      <t>Ameren Missouri Community Savers Evaluation PY2018 Tenant Surveys and Site Visits</t>
    </r>
    <r>
      <rPr>
        <sz val="11"/>
        <color rgb="FFFF0000"/>
        <rFont val="Calibri"/>
        <family val="2"/>
        <scheme val="minor"/>
      </rPr>
      <t>, page 22</t>
    </r>
  </si>
  <si>
    <t>Showerhead - Non-DI (SF &amp; MF)</t>
  </si>
  <si>
    <t>Showerhead DI</t>
  </si>
  <si>
    <t>Direct-install price per showerhead assumes cost of showerhead (market research average of $7) and also assumes assess and install cost of $8.33</t>
  </si>
  <si>
    <t>Handheld Showerhead DI (SF)</t>
  </si>
  <si>
    <t>PY21 Implementation Costs</t>
  </si>
  <si>
    <t>Handheld Showerhead DI (MF)</t>
  </si>
  <si>
    <t>403650_2019_12_</t>
  </si>
  <si>
    <t>Pipe Insulation MFIE</t>
  </si>
  <si>
    <t>403700_2019_12_</t>
  </si>
  <si>
    <t>Pipe Insulation MFIE DI</t>
  </si>
  <si>
    <t>403750_2019_12_</t>
  </si>
  <si>
    <t>Pipe Insulation SFIE DI</t>
  </si>
  <si>
    <r>
      <t>C</t>
    </r>
    <r>
      <rPr>
        <vertAlign val="subscript"/>
        <sz val="11"/>
        <rFont val="Calibri"/>
        <family val="2"/>
        <scheme val="minor"/>
      </rPr>
      <t>Base</t>
    </r>
  </si>
  <si>
    <t>Circumference (feet) of uninsulated pipe (.75" diameter)</t>
  </si>
  <si>
    <r>
      <t>R</t>
    </r>
    <r>
      <rPr>
        <vertAlign val="subscript"/>
        <sz val="11"/>
        <rFont val="Calibri"/>
        <family val="2"/>
        <scheme val="minor"/>
      </rPr>
      <t>Base</t>
    </r>
  </si>
  <si>
    <t>Thermal resistance coefficient (hr-°F-ft2)/Btu) of uninsulated pipe</t>
  </si>
  <si>
    <r>
      <t>C</t>
    </r>
    <r>
      <rPr>
        <vertAlign val="subscript"/>
        <sz val="11"/>
        <rFont val="Calibri"/>
        <family val="2"/>
        <scheme val="minor"/>
      </rPr>
      <t>EE</t>
    </r>
  </si>
  <si>
    <r>
      <t>R</t>
    </r>
    <r>
      <rPr>
        <vertAlign val="subscript"/>
        <sz val="11"/>
        <rFont val="Calibri"/>
        <family val="2"/>
        <scheme val="minor"/>
      </rPr>
      <t>EE</t>
    </r>
  </si>
  <si>
    <t>PY2015 Low Income Evaluation, page 24</t>
  </si>
  <si>
    <t>Length of pipe from water heating source covered by pipe wrap (ft)</t>
  </si>
  <si>
    <r>
      <t>ȠDHW</t>
    </r>
    <r>
      <rPr>
        <vertAlign val="subscript"/>
        <sz val="11"/>
        <rFont val="Calibri"/>
        <family val="2"/>
        <scheme val="minor"/>
      </rPr>
      <t>Elec</t>
    </r>
  </si>
  <si>
    <t>Cited in Ameren Missouri Low Income and Process Evaluation: program Year 2015. p.24</t>
  </si>
  <si>
    <r>
      <t>Ameren Missouri Community Savers Evaluation PY2018 Site Visits</t>
    </r>
    <r>
      <rPr>
        <sz val="11"/>
        <color rgb="FFFF0000"/>
        <rFont val="Calibri"/>
        <family val="2"/>
        <scheme val="minor"/>
      </rPr>
      <t>, page 24</t>
    </r>
  </si>
  <si>
    <t>Pipe Diameter</t>
  </si>
  <si>
    <t>weighted average of 80% 0.50-inch diameter pipe and 20% 0.75-inch diameter pipe</t>
  </si>
  <si>
    <t>Effective Useful Life (All)</t>
  </si>
  <si>
    <t>Incremental Cost - Non-DI</t>
  </si>
  <si>
    <t>Average cost of R-5 pipe wrap installation from the National Renewable Energy Laboratory’s National Residential Efficiency Measures Database</t>
  </si>
  <si>
    <t>Incremental Cost - Direct Install (DI)</t>
  </si>
  <si>
    <t>Actual SFIE program cost (set rate established with installing contractor).</t>
  </si>
  <si>
    <t>Programmable Thermostat</t>
  </si>
  <si>
    <t xml:space="preserve">*MFLIc = Multifamily Low Income Comprehensive Envelope,  CompE = Comprehensive Envelope </t>
  </si>
  <si>
    <t>403800_2019_12_</t>
  </si>
  <si>
    <t>Setback thermostat - full setback - ASHP heating/cooling MF</t>
  </si>
  <si>
    <t>403801_2019_12_</t>
  </si>
  <si>
    <t>403850_2024_12_</t>
  </si>
  <si>
    <t>Setback thermostat - full setback - ASHP heating/cooling SF</t>
  </si>
  <si>
    <t>403900_2019_12_</t>
  </si>
  <si>
    <t>Setback thermostat - full setback - elec furnace heating / central AC MF</t>
  </si>
  <si>
    <t>403901_2019_12_</t>
  </si>
  <si>
    <t>403950_2024_12_</t>
  </si>
  <si>
    <t>Setback thermostat - full setback - elec furnace heating / central AC SF</t>
  </si>
  <si>
    <t>404000_2024_12_</t>
  </si>
  <si>
    <t>Setback thermostat - full setback - gas heating / central AC MF</t>
  </si>
  <si>
    <t>404001_2024_12_</t>
  </si>
  <si>
    <t>404050_2019_12_</t>
  </si>
  <si>
    <t>Setback thermostat for SF - full setback - gas heating / central AC </t>
  </si>
  <si>
    <t>404100_2019_12_</t>
  </si>
  <si>
    <t>Setback thermostat - full setback - Unknown MF</t>
  </si>
  <si>
    <t>404101_2019_12_</t>
  </si>
  <si>
    <t>404150_2024_12_</t>
  </si>
  <si>
    <t>Setback thermostat for SF - full setback - Unknown</t>
  </si>
  <si>
    <t>3.4.5</t>
  </si>
  <si>
    <t>ΔkWhcool  = EFLHcool * CapacityCooling * (1/SEER2) * SBdegrees * SF * EF / 1,000</t>
  </si>
  <si>
    <t>ΔkWhheat  = EFLHheat * CapacityHeating * (1/HSPF2) * SBdegrees * SF * EF / 1,000</t>
  </si>
  <si>
    <t xml:space="preserve">ΔkW = ΔkWhCooling * CF </t>
  </si>
  <si>
    <t>Ameren Missouri Program Year 2019 Annual EM&amp;V Report Volume 2: Residential Portfolio Appendices, page 30</t>
  </si>
  <si>
    <r>
      <t>Capacity</t>
    </r>
    <r>
      <rPr>
        <vertAlign val="subscript"/>
        <sz val="11"/>
        <rFont val="Calibri"/>
        <family val="2"/>
        <scheme val="minor"/>
      </rPr>
      <t>Cooling</t>
    </r>
  </si>
  <si>
    <t>Ameren Missouri Community Savers Evaluation PY2018  Program Data</t>
  </si>
  <si>
    <t>SEER</t>
  </si>
  <si>
    <t xml:space="preserve"> Ameren Missouri Community Savers Evaluation PY2018, page 26</t>
  </si>
  <si>
    <r>
      <t>Sbdegrees</t>
    </r>
    <r>
      <rPr>
        <vertAlign val="subscript"/>
        <sz val="11"/>
        <rFont val="Calibri"/>
        <family val="2"/>
        <scheme val="minor"/>
      </rPr>
      <t>cooling</t>
    </r>
  </si>
  <si>
    <t>Ameren Missouri Community Savers Evaluation PY2018 Site Visit Thermostat SB Data</t>
  </si>
  <si>
    <r>
      <t>SF</t>
    </r>
    <r>
      <rPr>
        <vertAlign val="subscript"/>
        <sz val="11"/>
        <rFont val="Calibri"/>
        <family val="2"/>
        <scheme val="minor"/>
      </rPr>
      <t>cooling</t>
    </r>
  </si>
  <si>
    <r>
      <t>ENERGY STAR Calculator - Ameren Missouri Community Savers Evaluation PY2018</t>
    </r>
    <r>
      <rPr>
        <sz val="11"/>
        <color rgb="FFFF0000"/>
        <rFont val="Calibri"/>
        <family val="2"/>
        <scheme val="minor"/>
      </rPr>
      <t>, page 26</t>
    </r>
  </si>
  <si>
    <r>
      <t>EF</t>
    </r>
    <r>
      <rPr>
        <vertAlign val="subscript"/>
        <sz val="11"/>
        <rFont val="Calibri"/>
        <family val="2"/>
        <scheme val="minor"/>
      </rPr>
      <t>cooling</t>
    </r>
  </si>
  <si>
    <r>
      <t>Ameren Missouri Community Savers Evaluation PY2018 Program Data</t>
    </r>
    <r>
      <rPr>
        <sz val="11"/>
        <color rgb="FFFF0000"/>
        <rFont val="Calibri"/>
        <family val="2"/>
        <scheme val="minor"/>
      </rPr>
      <t>, page 26</t>
    </r>
  </si>
  <si>
    <r>
      <t>Capacity</t>
    </r>
    <r>
      <rPr>
        <vertAlign val="subscript"/>
        <sz val="11"/>
        <rFont val="Calibri"/>
        <family val="2"/>
        <scheme val="minor"/>
      </rPr>
      <t>Heating</t>
    </r>
  </si>
  <si>
    <t>Ameren Missouri Community Savers Evaluation PY2018 Program Data</t>
  </si>
  <si>
    <t>HSPF</t>
  </si>
  <si>
    <t>Based on minimum federal standards between 1992 and 2006</t>
  </si>
  <si>
    <t>Electric resistance has a COP of 1.0 which equals 1/0.293 = 3.41 HSPF</t>
  </si>
  <si>
    <r>
      <t>Sbdegrees</t>
    </r>
    <r>
      <rPr>
        <vertAlign val="subscript"/>
        <sz val="11"/>
        <rFont val="Calibri"/>
        <family val="2"/>
        <scheme val="minor"/>
      </rPr>
      <t>heating</t>
    </r>
  </si>
  <si>
    <r>
      <t>SF</t>
    </r>
    <r>
      <rPr>
        <vertAlign val="subscript"/>
        <sz val="11"/>
        <rFont val="Calibri"/>
        <family val="2"/>
        <scheme val="minor"/>
      </rPr>
      <t>heating</t>
    </r>
  </si>
  <si>
    <t>ENERGY STAR Calculator</t>
  </si>
  <si>
    <r>
      <t>EF</t>
    </r>
    <r>
      <rPr>
        <vertAlign val="subscript"/>
        <sz val="11"/>
        <rFont val="Calibri"/>
        <family val="2"/>
        <scheme val="minor"/>
      </rPr>
      <t>heating</t>
    </r>
  </si>
  <si>
    <t>Ameren Missouri Community Saver Program Evaluation PY2014 , page 31</t>
  </si>
  <si>
    <t>Table 1, HVAC Controls, Measure Life Report, Residential and Commercial/Industrial Lighting and HVAC Measures, GDS Associates, 2007</t>
  </si>
  <si>
    <t>MO - TRM, page 108</t>
  </si>
  <si>
    <t>No common area measures in PY18</t>
  </si>
  <si>
    <t>** CFL baseline is Post 2021, EISA baseline is pre-2021 **</t>
  </si>
  <si>
    <t>End Use - RES</t>
  </si>
  <si>
    <t>kW Factor - RES</t>
  </si>
  <si>
    <t>End Use - BUS</t>
  </si>
  <si>
    <t>kW Factor - BUS</t>
  </si>
  <si>
    <t>kWh RES</t>
  </si>
  <si>
    <t>kWh BUS</t>
  </si>
  <si>
    <t>EUL - RES</t>
  </si>
  <si>
    <t>EUL - BUS**</t>
  </si>
  <si>
    <t>404450_2024_12_</t>
  </si>
  <si>
    <t>PAYS/SFIE / MFIE</t>
  </si>
  <si>
    <t>LED - 10.5W Downlight E26 IE DI</t>
  </si>
  <si>
    <t>404500_2024_12_</t>
  </si>
  <si>
    <t>LED - 10W (750-899 lumens) IEDI</t>
  </si>
  <si>
    <t>404600_2024_12_</t>
  </si>
  <si>
    <t>LED - 12W Dimmable Light Bulb IE DI</t>
  </si>
  <si>
    <t>404650_2024_12_</t>
  </si>
  <si>
    <t>LED - 15W (900-1399 lumens) IEDI</t>
  </si>
  <si>
    <t>404651_2024_12_</t>
  </si>
  <si>
    <t>LED - 11W Flood Light BR30 Bulb IE DI</t>
  </si>
  <si>
    <t>404700_2024_12_</t>
  </si>
  <si>
    <t>LED - 15W Flood Light PAR30 Bulb IE DI</t>
  </si>
  <si>
    <t>404750_2024_12_</t>
  </si>
  <si>
    <t>LED - 18W Flood Light PAR38 Bulb IE DI</t>
  </si>
  <si>
    <t>404800_2024_12_</t>
  </si>
  <si>
    <t>LED - 20W (1400-1999 lumens) IEDI</t>
  </si>
  <si>
    <t>404850_2024_12_</t>
  </si>
  <si>
    <t>LED - 4W Candelabra Specialty IE DI</t>
  </si>
  <si>
    <t>404950_2024_12_</t>
  </si>
  <si>
    <t>LED - 8W Globe Light G25 Bulb Specialty IE DI</t>
  </si>
  <si>
    <t>405410_2024_12_</t>
  </si>
  <si>
    <t>LED - 6W (400-749 lumens) IEDI</t>
  </si>
  <si>
    <t>405430_2024_12_</t>
  </si>
  <si>
    <t>3.5.1 - 3.5.3</t>
  </si>
  <si>
    <t>Watt Base</t>
  </si>
  <si>
    <t>3.5.2 Reflector lamp types with medium screw bases (PAR20, PAR30(S,L), PAR38, R40, etc.) w/ diameter &gt;2.25 (650-899 lumens)</t>
  </si>
  <si>
    <t>3.5.2 Omni-Directional 3-Way, 1100-1999 lumens.</t>
  </si>
  <si>
    <t>3.5.2 BR30, BR40, or ER40, 950-1099 lumens</t>
  </si>
  <si>
    <t>3.5.2 Reflector lamp types with medium screw bases (PAR20, PAR30(S,L), PAR38, R40, etc.), 1200-1499 lumens, 15.9</t>
  </si>
  <si>
    <t>3.5.2 Reflector lamp types with medium screw bases (PAR20, PAR30(S,L), PAR38, R40, etc.), 1500-1999 lumens, 18.9W</t>
  </si>
  <si>
    <t>3.5.2 Decorative (Shapes B, BA, C, CA, DC, F, G, candelabra bases less than 1050 lumens) (320-499 lumens)</t>
  </si>
  <si>
    <t>3.5.2 Globe, 650-1000 lumens, 8.2W</t>
  </si>
  <si>
    <t>IL TRM V12.0, Volume 3, section 5.5.10, page 346</t>
  </si>
  <si>
    <t>Watt EE</t>
  </si>
  <si>
    <t>Program Wattage - Ameren Missouri Community Savers Evaluation PY2018 workpapers</t>
  </si>
  <si>
    <t>Actual wattage for bulb offered by programs, https://amerenmissouristore.com/led-11-watt-flood-br30-65w-eqv/</t>
  </si>
  <si>
    <t>Program Wattage - Ameren Missouri Community Savers Evaluation PY2017 workpapers</t>
  </si>
  <si>
    <t>MF IE (this value should be used in the custom savings calculations for MF IE measures)</t>
  </si>
  <si>
    <t>Ameren Missouri Community Savers Evaluation PY2018 workpapers</t>
  </si>
  <si>
    <t>SF IE</t>
  </si>
  <si>
    <t>PY19 Evaluation (Table 10-10)</t>
  </si>
  <si>
    <t>HOU_Res</t>
  </si>
  <si>
    <t>Ameren Missouri Community Savers Evaluation PY2018 workpapers- Weighted Avg. HOU from ADM workpapers</t>
  </si>
  <si>
    <t>Nightlight</t>
  </si>
  <si>
    <t>IL TRM V9.0, section 5.5.11</t>
  </si>
  <si>
    <t>WHF_Res</t>
  </si>
  <si>
    <t>Res  energy</t>
  </si>
  <si>
    <t>PY 14 Eval</t>
  </si>
  <si>
    <t>HOU_NRES</t>
  </si>
  <si>
    <t>WHF_Nres</t>
  </si>
  <si>
    <t>Ameren Missouri Community Savers Evaluation PY2018 workpapers- Weighted Avg. calculated from ADM workpapers</t>
  </si>
  <si>
    <t>%Res</t>
  </si>
  <si>
    <t>PY16 Intercept Survey</t>
  </si>
  <si>
    <t>KW Factor_RES</t>
  </si>
  <si>
    <t>Ameren EE Plan PY16-PY18, Appendix E</t>
  </si>
  <si>
    <t>KW Factor _ BUS</t>
  </si>
  <si>
    <t>Hours24/7</t>
  </si>
  <si>
    <t>24/7 hours</t>
  </si>
  <si>
    <t>24*365</t>
  </si>
  <si>
    <t>Hours12/7</t>
  </si>
  <si>
    <t>12/7 hours</t>
  </si>
  <si>
    <t>12*365</t>
  </si>
  <si>
    <t>Effective Useful Life - Residential</t>
  </si>
  <si>
    <t>Illinois TRM Version 12.0,  page 311</t>
  </si>
  <si>
    <t>Effective Useful Life - Nightlights</t>
  </si>
  <si>
    <t>Southern California Edison Company, “LED, Electroluminescent &amp; Fluorescent Night Lights”, Work Paper WPSCRELG0029 Rev. 1, February 2009, p. 2. and p.3.</t>
  </si>
  <si>
    <t>Effective Useful Life - Business</t>
  </si>
  <si>
    <t>Illinois TRM Version 12.0, page 311</t>
  </si>
  <si>
    <t>Illinois TRM Version 12.0, page 329</t>
  </si>
  <si>
    <t>Average cost data provided in Stanley Mertz, “LED Nightlights Energy Efficiency Retail products programs”, March 2018</t>
  </si>
  <si>
    <r>
      <t xml:space="preserve">Advanced Power Strips Tier </t>
    </r>
    <r>
      <rPr>
        <strike/>
        <sz val="11"/>
        <rFont val="Calibri"/>
        <family val="2"/>
        <scheme val="minor"/>
      </rPr>
      <t xml:space="preserve">1 </t>
    </r>
    <r>
      <rPr>
        <strike/>
        <sz val="11"/>
        <color rgb="FFFF0000"/>
        <rFont val="Calibri"/>
        <family val="2"/>
        <scheme val="minor"/>
      </rPr>
      <t xml:space="preserve"> and</t>
    </r>
    <r>
      <rPr>
        <sz val="11"/>
        <color rgb="FFFF0000"/>
        <rFont val="Calibri"/>
        <family val="2"/>
        <scheme val="minor"/>
      </rPr>
      <t xml:space="preserve"> 2</t>
    </r>
    <r>
      <rPr>
        <strike/>
        <sz val="11"/>
        <color rgb="FFFF0000"/>
        <rFont val="Calibri"/>
        <family val="2"/>
        <scheme val="minor"/>
      </rPr>
      <t>/ Load Sensing</t>
    </r>
  </si>
  <si>
    <t>405450_2021_12_</t>
  </si>
  <si>
    <t>SFIE / MFIE</t>
  </si>
  <si>
    <t>Advanced Tier 1 Power Strips / TOS/NC - Home Office</t>
  </si>
  <si>
    <t>405451_2021_12_</t>
  </si>
  <si>
    <t>Advanced Tier 1 Power Strips / DI - Home Office</t>
  </si>
  <si>
    <t>405500_2024_12_</t>
  </si>
  <si>
    <t>Advanced Tier 1 Power Strips / Kits - Home Office</t>
  </si>
  <si>
    <t>405550_2021_12_</t>
  </si>
  <si>
    <t>Advanced Tier 1 Power Strips / TOS/NC - Home Entertainment</t>
  </si>
  <si>
    <t>405551_2021_12_</t>
  </si>
  <si>
    <t>Advanced Tier 1 Power Strips / DI - Home Entertainment</t>
  </si>
  <si>
    <t>405600_2024_12_</t>
  </si>
  <si>
    <t>Advanced Tier 1 Power Strips / Kits - Home Entertainment</t>
  </si>
  <si>
    <t>405650_2021_12_</t>
  </si>
  <si>
    <t>Advanced Tier 1 Power Strips / TOS/NC - Unknown Location</t>
  </si>
  <si>
    <t>405651_2021_12_</t>
  </si>
  <si>
    <t>Advanced Tier 1 Power Strips / DI - Unknown Location</t>
  </si>
  <si>
    <t>405700_2024_12_</t>
  </si>
  <si>
    <t>Advanced Tier 1 Power  / Kits - Unknown Location</t>
  </si>
  <si>
    <t>405750_2024_12_</t>
  </si>
  <si>
    <t>405751_2024_12_</t>
  </si>
  <si>
    <t>405752_2024_12_</t>
  </si>
  <si>
    <t>405753_2024_12_</t>
  </si>
  <si>
    <t>3.2.1 - 3.2.2</t>
  </si>
  <si>
    <t>3.2.2 (associated measures copied from Efficient Products worksheet)</t>
  </si>
  <si>
    <t>Source:</t>
  </si>
  <si>
    <t>“Advanced Power Strip Research Report.” Note that estimates are not based on pre/post metering but on analysis based on frequency and consumption of likely products in active, standby, and off modes. This measure should be reviewed frequently to ensure that assumptions continue to be appropriate.</t>
  </si>
  <si>
    <t>“Advanced Power Strip Research Report.”</t>
  </si>
  <si>
    <t>Based on measure name.</t>
  </si>
  <si>
    <r>
      <t>Ameren Missouri Efficient Product Impact and Process Evaluation: Program Year 2015</t>
    </r>
    <r>
      <rPr>
        <strike/>
        <sz val="11"/>
        <color rgb="FFFF0000"/>
        <rFont val="Calibri"/>
        <family val="2"/>
        <scheme val="minor"/>
      </rPr>
      <t>, page 34</t>
    </r>
  </si>
  <si>
    <t>in service/installation rate</t>
  </si>
  <si>
    <t>Ameren Missouri Single Family Low Income Evaluation: PY2019, Table 10-10.</t>
  </si>
  <si>
    <t>“Advanced Power Strip Research Report,” NYSERDA, August 2011.</t>
  </si>
  <si>
    <t>Tier 1 - Non-DI</t>
  </si>
  <si>
    <t>Tier 1 - Direct Install (DI)</t>
  </si>
  <si>
    <t>Tier 2 - Non-DI</t>
  </si>
  <si>
    <t>Tier 2 - Direct Install (DI)</t>
  </si>
  <si>
    <t>Refrigerator</t>
  </si>
  <si>
    <t>405800_2024_12_</t>
  </si>
  <si>
    <t>Refrigerator - early replacement ER1</t>
  </si>
  <si>
    <t>Refrigeration RES</t>
  </si>
  <si>
    <t>Refrigerator - early replacement ER2</t>
  </si>
  <si>
    <t>Refrigeration RES ER2</t>
  </si>
  <si>
    <t>405825_2024_12_</t>
  </si>
  <si>
    <t>Refrigerator - Pre 1993 - ER1</t>
  </si>
  <si>
    <t>Refrigerator - Pre 1993 - ER2</t>
  </si>
  <si>
    <t>ΔkWh = kWhee - (kWhbase * (1 – %Savings)) + (kWhee - (kWhbase * (1 – %Savings)) * (WHFeHeatElectric + WHFeCool))</t>
  </si>
  <si>
    <t>Note: Ex ante savings are calculated using the assumptions stated here.  Where applicable ex post evaluation will account for additional waste heat impacts specified in TRM section 3.1.7.</t>
  </si>
  <si>
    <r>
      <t>kWh</t>
    </r>
    <r>
      <rPr>
        <vertAlign val="subscript"/>
        <sz val="11"/>
        <color rgb="FFFF0000"/>
        <rFont val="Calibri"/>
        <family val="2"/>
        <scheme val="minor"/>
      </rPr>
      <t>Exist</t>
    </r>
  </si>
  <si>
    <t>Existing kWh Consumption</t>
  </si>
  <si>
    <t>Baseline Refrigerator Usage</t>
  </si>
  <si>
    <r>
      <t>kWh</t>
    </r>
    <r>
      <rPr>
        <vertAlign val="subscript"/>
        <sz val="11"/>
        <rFont val="Calibri"/>
        <family val="2"/>
        <scheme val="minor"/>
      </rPr>
      <t>Exist</t>
    </r>
  </si>
  <si>
    <t>Existing kWh Consumption - Pre 1993</t>
  </si>
  <si>
    <r>
      <t>kWh</t>
    </r>
    <r>
      <rPr>
        <vertAlign val="subscript"/>
        <sz val="11"/>
        <color rgb="FFFF0000"/>
        <rFont val="Calibri"/>
        <family val="2"/>
        <scheme val="minor"/>
      </rPr>
      <t>base</t>
    </r>
  </si>
  <si>
    <t>Baseline kWh consumption</t>
  </si>
  <si>
    <t>Assuming 22.5 ft3 adjusted volume  using “all-refrigerators-automatic defrost” formula 8.07AV + 233.7, use value 415.28.</t>
  </si>
  <si>
    <t>Age</t>
  </si>
  <si>
    <t>Bottom Freezer</t>
  </si>
  <si>
    <t>Side by Side</t>
  </si>
  <si>
    <t>Top Freezer</t>
  </si>
  <si>
    <r>
      <t>kWh</t>
    </r>
    <r>
      <rPr>
        <vertAlign val="subscript"/>
        <sz val="11"/>
        <rFont val="Calibri"/>
        <family val="2"/>
        <scheme val="minor"/>
      </rPr>
      <t>base</t>
    </r>
  </si>
  <si>
    <r>
      <t>kWh</t>
    </r>
    <r>
      <rPr>
        <vertAlign val="subscript"/>
        <sz val="11"/>
        <color rgb="FFFF0000"/>
        <rFont val="Calibri"/>
        <family val="2"/>
        <scheme val="minor"/>
      </rPr>
      <t>ee</t>
    </r>
  </si>
  <si>
    <t>Efficient kWh Consumption</t>
  </si>
  <si>
    <t>16 cubic ft.</t>
  </si>
  <si>
    <t>14 cubic ft.</t>
  </si>
  <si>
    <t>15 cubic ft.</t>
  </si>
  <si>
    <t>17 cubic ft.</t>
  </si>
  <si>
    <t>18 cubic ft.</t>
  </si>
  <si>
    <r>
      <t>kWh</t>
    </r>
    <r>
      <rPr>
        <vertAlign val="subscript"/>
        <sz val="11"/>
        <rFont val="Calibri"/>
        <family val="2"/>
        <scheme val="minor"/>
      </rPr>
      <t>ee</t>
    </r>
  </si>
  <si>
    <t>% Savings</t>
  </si>
  <si>
    <t>Savings factor for ENERGY STAR and CEE Tier 1 refrigerators</t>
  </si>
  <si>
    <r>
      <t>MO TRM</t>
    </r>
    <r>
      <rPr>
        <sz val="11"/>
        <color rgb="FFFF0000"/>
        <rFont val="Calibri"/>
        <family val="2"/>
        <scheme val="minor"/>
      </rPr>
      <t>, page 31</t>
    </r>
  </si>
  <si>
    <t>2011-2015</t>
  </si>
  <si>
    <r>
      <t>kWh</t>
    </r>
    <r>
      <rPr>
        <vertAlign val="subscript"/>
        <sz val="11"/>
        <rFont val="Calibri"/>
        <family val="2"/>
        <scheme val="minor"/>
      </rPr>
      <t>2011-2015</t>
    </r>
  </si>
  <si>
    <t xml:space="preserve">Average kWh for refrigerators installed from 2011-2015 </t>
  </si>
  <si>
    <t>2001(after July)-2010</t>
  </si>
  <si>
    <r>
      <t>kWh</t>
    </r>
    <r>
      <rPr>
        <vertAlign val="subscript"/>
        <sz val="11"/>
        <rFont val="Calibri"/>
        <family val="2"/>
        <scheme val="minor"/>
      </rPr>
      <t>2001(after July)-2010</t>
    </r>
  </si>
  <si>
    <t>Average kWh for refrigerators installed from 2001(after july)-2010</t>
  </si>
  <si>
    <t>1993-2001(before June)</t>
  </si>
  <si>
    <r>
      <t>kWh</t>
    </r>
    <r>
      <rPr>
        <vertAlign val="subscript"/>
        <sz val="11"/>
        <rFont val="Calibri"/>
        <family val="2"/>
        <scheme val="minor"/>
      </rPr>
      <t>1993-2001(before June)</t>
    </r>
  </si>
  <si>
    <t>Average kWh for refrigerators installed from 1993-2001(before june)</t>
  </si>
  <si>
    <t>1990-1992</t>
  </si>
  <si>
    <r>
      <t>kWh</t>
    </r>
    <r>
      <rPr>
        <vertAlign val="subscript"/>
        <sz val="11"/>
        <rFont val="Calibri"/>
        <family val="2"/>
        <scheme val="minor"/>
      </rPr>
      <t>1990-1992</t>
    </r>
  </si>
  <si>
    <t>Average kWh for refrigerators installed from 1990-1992</t>
  </si>
  <si>
    <t>1980-1989</t>
  </si>
  <si>
    <r>
      <t>kWh</t>
    </r>
    <r>
      <rPr>
        <vertAlign val="subscript"/>
        <sz val="11"/>
        <rFont val="Calibri"/>
        <family val="2"/>
        <scheme val="minor"/>
      </rPr>
      <t>1980-1989</t>
    </r>
  </si>
  <si>
    <t>Average kWh for refrigerators installed from 1980-1989</t>
  </si>
  <si>
    <t>before 1980</t>
  </si>
  <si>
    <r>
      <t>kWh</t>
    </r>
    <r>
      <rPr>
        <vertAlign val="subscript"/>
        <sz val="11"/>
        <rFont val="Calibri"/>
        <family val="2"/>
        <scheme val="minor"/>
      </rPr>
      <t>before 1980</t>
    </r>
  </si>
  <si>
    <t>Average kWh for refrigerators installed from before 1980</t>
  </si>
  <si>
    <r>
      <t>Number of Units</t>
    </r>
    <r>
      <rPr>
        <vertAlign val="subscript"/>
        <sz val="11"/>
        <rFont val="Calibri"/>
        <family val="2"/>
        <scheme val="minor"/>
      </rPr>
      <t>2011-2015</t>
    </r>
  </si>
  <si>
    <t xml:space="preserve">Number of Units from 2011-2015 </t>
  </si>
  <si>
    <r>
      <t>Number of Units</t>
    </r>
    <r>
      <rPr>
        <vertAlign val="subscript"/>
        <sz val="11"/>
        <rFont val="Calibri"/>
        <family val="2"/>
        <scheme val="minor"/>
      </rPr>
      <t>2001(after July)-2010</t>
    </r>
  </si>
  <si>
    <t>Number of Unitsfrom 2001(after july)-2010</t>
  </si>
  <si>
    <r>
      <t>Number of Units</t>
    </r>
    <r>
      <rPr>
        <vertAlign val="subscript"/>
        <sz val="11"/>
        <rFont val="Calibri"/>
        <family val="2"/>
        <scheme val="minor"/>
      </rPr>
      <t>1993-2001(before June)</t>
    </r>
  </si>
  <si>
    <t>Number of Unitsfrom 1993-2001(before june)</t>
  </si>
  <si>
    <r>
      <t>Number of Units</t>
    </r>
    <r>
      <rPr>
        <vertAlign val="subscript"/>
        <sz val="11"/>
        <rFont val="Calibri"/>
        <family val="2"/>
        <scheme val="minor"/>
      </rPr>
      <t>1990-1992</t>
    </r>
  </si>
  <si>
    <t>Percent of Unitsfrom 1990-1992</t>
  </si>
  <si>
    <r>
      <t>Number of Units</t>
    </r>
    <r>
      <rPr>
        <vertAlign val="subscript"/>
        <sz val="11"/>
        <rFont val="Calibri"/>
        <family val="2"/>
        <scheme val="minor"/>
      </rPr>
      <t>1980-1989</t>
    </r>
  </si>
  <si>
    <t>Percent of Unitsfrom 1980-1989</t>
  </si>
  <si>
    <r>
      <t>Number of Units</t>
    </r>
    <r>
      <rPr>
        <vertAlign val="subscript"/>
        <sz val="11"/>
        <rFont val="Calibri"/>
        <family val="2"/>
        <scheme val="minor"/>
      </rPr>
      <t>before 1980</t>
    </r>
  </si>
  <si>
    <t>Percent of Unitsfrom before 1980</t>
  </si>
  <si>
    <t>IL TRM V12.0, page 35</t>
  </si>
  <si>
    <t>Illinois TRM Version 12.0, page 35</t>
  </si>
  <si>
    <t>PY18 Evaluation used different methodology</t>
  </si>
  <si>
    <t>405850_2024_12_</t>
  </si>
  <si>
    <t>AC - Energy Star Room _unknown size_Thru-Wall_MF</t>
  </si>
  <si>
    <t>405900_2024_12_</t>
  </si>
  <si>
    <t>AC - Energy Star Room  _unknown size_Thru-Wall_SF</t>
  </si>
  <si>
    <t>405950_2024_12_</t>
  </si>
  <si>
    <t>AC - Energy Star Room _unknown size_MF</t>
  </si>
  <si>
    <t>406000_2024_12_</t>
  </si>
  <si>
    <t>AC - Energy Star Room _unknown size_SF</t>
  </si>
  <si>
    <t>405851_2024_12_</t>
  </si>
  <si>
    <t>AC - Energy Star Room _5kBtu_Thru-Wall_MF</t>
  </si>
  <si>
    <t>405901_2024_12_</t>
  </si>
  <si>
    <t>AC - Energy Star Room _5kBtu _Thru-Wall_SF</t>
  </si>
  <si>
    <t>405951_2024_12_</t>
  </si>
  <si>
    <t>AC - Energy Star Room_5kBtu_MF</t>
  </si>
  <si>
    <t>406001_2024_12_</t>
  </si>
  <si>
    <t>AC - Energy Star Room_5kBtu_SF</t>
  </si>
  <si>
    <t>405852_2024_12_</t>
  </si>
  <si>
    <t>AC - Energy Star Room _8kBtu_Thru-Wall_MF</t>
  </si>
  <si>
    <t>405902_2024_12_</t>
  </si>
  <si>
    <t>AC - Energy Star Room _8kBtu_Thru-Wall_SF</t>
  </si>
  <si>
    <t>405952_2024_12_</t>
  </si>
  <si>
    <t>AC - Energy Star Room_8kBtu_MF</t>
  </si>
  <si>
    <t>406002_2024_12_</t>
  </si>
  <si>
    <t>AC - Energy Star Room_8kBtu_SF</t>
  </si>
  <si>
    <t>405853_2024_12_</t>
  </si>
  <si>
    <t>AC - Energy Star Room _10kBtu_Thru-Wall_MF</t>
  </si>
  <si>
    <t>405903_2024_12_</t>
  </si>
  <si>
    <t>AC - Energy Star Room _10kBtu_Thru-Wall_SF</t>
  </si>
  <si>
    <t>405953_2024_12_</t>
  </si>
  <si>
    <t>AC - Energy Star Room_10kBtu_MF</t>
  </si>
  <si>
    <t>406003_2024_12_</t>
  </si>
  <si>
    <t>AC - Energy Star Room_10kBtu_SF</t>
  </si>
  <si>
    <t>405854_2024_12_</t>
  </si>
  <si>
    <t>AC - Energy Star Room _12kBtu_Thru-Wall_MF</t>
  </si>
  <si>
    <t>405904_2024_12_</t>
  </si>
  <si>
    <t>AC - Energy Star Room _12kBtu_Thru-Wall_SF</t>
  </si>
  <si>
    <t>405954_2024_12_</t>
  </si>
  <si>
    <t>AC - Energy Star Room_12kBtu_MF</t>
  </si>
  <si>
    <t>406004_2024_12_</t>
  </si>
  <si>
    <t>AC - Energy Star Room_12kBtu_SF</t>
  </si>
  <si>
    <t>405855_2024_12_</t>
  </si>
  <si>
    <t>AC - Energy Star Room _15kBtu_Thru-Wall_MF</t>
  </si>
  <si>
    <t>405905_2024_12_</t>
  </si>
  <si>
    <t>AC - Energy Star Room _15kBtu_Thru-Wall_SF</t>
  </si>
  <si>
    <t>405955_2024_12_</t>
  </si>
  <si>
    <t>AC - Energy Star Room_15kBtu_MF</t>
  </si>
  <si>
    <t>406005_2024_12_</t>
  </si>
  <si>
    <t>AC - Energy Star Room_15kBtu_SF</t>
  </si>
  <si>
    <t>SFIE Source</t>
  </si>
  <si>
    <t>Value SFIE</t>
  </si>
  <si>
    <t>MF Source</t>
  </si>
  <si>
    <t>Value MFIE</t>
  </si>
  <si>
    <t>MF Value</t>
  </si>
  <si>
    <t>PY13 RebateSavers Database (average Btu)</t>
  </si>
  <si>
    <t>Ameren Missouri Efficient Products Evaluation PY2017, page 39</t>
  </si>
  <si>
    <t>NONE</t>
  </si>
  <si>
    <t>Standard size:  5000 Btu</t>
  </si>
  <si>
    <t>Standard size:  8000 Btu</t>
  </si>
  <si>
    <t>Standard size:  10000 Btu</t>
  </si>
  <si>
    <t>Standard size:  12000 Btu</t>
  </si>
  <si>
    <t>Standard size:  15000 Btu</t>
  </si>
  <si>
    <r>
      <t>CEER</t>
    </r>
    <r>
      <rPr>
        <vertAlign val="subscript"/>
        <sz val="11"/>
        <color rgb="FFFF0000"/>
        <rFont val="Calibri"/>
        <family val="2"/>
        <scheme val="minor"/>
      </rPr>
      <t>BASE</t>
    </r>
  </si>
  <si>
    <t>Federal minimum efficiency standard (updated from EER to CEER in March 2017)</t>
  </si>
  <si>
    <r>
      <t>EER</t>
    </r>
    <r>
      <rPr>
        <vertAlign val="subscript"/>
        <sz val="11"/>
        <color theme="1"/>
        <rFont val="Calibri"/>
        <family val="2"/>
        <scheme val="minor"/>
      </rPr>
      <t>BASE</t>
    </r>
  </si>
  <si>
    <r>
      <t>CEER</t>
    </r>
    <r>
      <rPr>
        <vertAlign val="subscript"/>
        <sz val="11"/>
        <color rgb="FFFF0000"/>
        <rFont val="Calibri"/>
        <family val="2"/>
        <scheme val="minor"/>
      </rPr>
      <t>EFF</t>
    </r>
  </si>
  <si>
    <t>PY16 Efficient Products Database (average CEER)</t>
  </si>
  <si>
    <r>
      <t>EER</t>
    </r>
    <r>
      <rPr>
        <vertAlign val="subscript"/>
        <sz val="11"/>
        <color theme="1"/>
        <rFont val="Calibri"/>
        <family val="2"/>
        <scheme val="minor"/>
      </rPr>
      <t>EFF</t>
    </r>
  </si>
  <si>
    <r>
      <t>CEER</t>
    </r>
    <r>
      <rPr>
        <vertAlign val="subscript"/>
        <sz val="11"/>
        <color rgb="FFFF0000"/>
        <rFont val="Calibri"/>
        <family val="2"/>
        <scheme val="minor"/>
      </rPr>
      <t>existing</t>
    </r>
  </si>
  <si>
    <t>Illinois TRM Version 12.0, page 70</t>
  </si>
  <si>
    <r>
      <t>EFLH</t>
    </r>
    <r>
      <rPr>
        <vertAlign val="subscript"/>
        <sz val="11"/>
        <rFont val="Calibri"/>
        <family val="2"/>
        <scheme val="minor"/>
      </rPr>
      <t xml:space="preserve">COOL </t>
    </r>
    <r>
      <rPr>
        <sz val="11"/>
        <rFont val="Calibri"/>
        <family val="2"/>
        <scheme val="minor"/>
      </rPr>
      <t>- Secondary unit</t>
    </r>
  </si>
  <si>
    <t>Ameren Missouri Efficient Products PY 2016 Evaluation</t>
  </si>
  <si>
    <r>
      <t>Ameren Missouri Efficient Products PY 2016 Evaluation</t>
    </r>
    <r>
      <rPr>
        <sz val="11"/>
        <color rgb="FFFF0000"/>
        <rFont val="Calibri"/>
        <family val="2"/>
        <scheme val="minor"/>
      </rPr>
      <t>, page 64</t>
    </r>
  </si>
  <si>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</si>
  <si>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</si>
  <si>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t>PY13 CoolSavers data</t>
  </si>
  <si>
    <t>Ameren Missouri Efficient Products Evaluation PY2016, page 64</t>
  </si>
  <si>
    <t>Same source for SF &amp; MF</t>
  </si>
  <si>
    <r>
      <t>EFLH</t>
    </r>
    <r>
      <rPr>
        <vertAlign val="subscript"/>
        <sz val="11"/>
        <color theme="1"/>
        <rFont val="Calibri"/>
        <family val="2"/>
        <scheme val="minor"/>
      </rPr>
      <t xml:space="preserve">COOL </t>
    </r>
    <r>
      <rPr>
        <sz val="11"/>
        <color theme="1"/>
        <rFont val="Calibri"/>
        <family val="2"/>
        <scheme val="minor"/>
      </rPr>
      <t>- Primary unit</t>
    </r>
  </si>
  <si>
    <t xml:space="preserve">PY16 Participant Survey </t>
  </si>
  <si>
    <t>Ameren Missouri Efficient Products Evaluation PY2016, page 63</t>
  </si>
  <si>
    <t>Measure Life Report, Residential and Commercial/Industrial Lighting and HVAC Measures</t>
  </si>
  <si>
    <t>Illinois TRM Version 12.0, page 69</t>
  </si>
  <si>
    <t>Storm Window</t>
  </si>
  <si>
    <t>406025_2024_12_</t>
  </si>
  <si>
    <t>Storm Window - Single Pane, Double Hung - Electric Furnace</t>
  </si>
  <si>
    <t>per sq ft</t>
  </si>
  <si>
    <t>406050_2024_12_</t>
  </si>
  <si>
    <t>Storm Window - Single Pane, Double Hung - Heat Pump</t>
  </si>
  <si>
    <t>406075_2024_12_</t>
  </si>
  <si>
    <t>Storm Window - Single Pane, Double Hung - Gas Heating</t>
  </si>
  <si>
    <t>406100_2024_12_</t>
  </si>
  <si>
    <t>Storm Window - Double Pane, Double Hung - Electric Furnace</t>
  </si>
  <si>
    <t>406125_2024_12_</t>
  </si>
  <si>
    <t>Storm Window - Double Pane, Double Hung - Heat Pump</t>
  </si>
  <si>
    <t>406150_2024_12_</t>
  </si>
  <si>
    <t>Storm Window - Double Pane, Double Hung - Gas Heating</t>
  </si>
  <si>
    <t>406175_2024_12_</t>
  </si>
  <si>
    <t>Storm Window - Single Pane, Fixed - Electric Furnace</t>
  </si>
  <si>
    <t>406200_2024_12_</t>
  </si>
  <si>
    <t>Storm Window - Single Pane, Fixed - Heat Pump</t>
  </si>
  <si>
    <t>406225_2024_12_</t>
  </si>
  <si>
    <t>Storm Window - Single Pane, Fixed - Gas Heating</t>
  </si>
  <si>
    <t>406250_2024_12_</t>
  </si>
  <si>
    <t>Storm Window - Double Pane, Fixed - Electric Furnace</t>
  </si>
  <si>
    <t>406275_2024_12_</t>
  </si>
  <si>
    <t>Storm Window - Double Pane, Fixed - Heat Pump</t>
  </si>
  <si>
    <t>406300_2024_12_</t>
  </si>
  <si>
    <t>Storm Window - Double Pane, Fixed - Gas Heating</t>
  </si>
  <si>
    <t>3.7.5</t>
  </si>
  <si>
    <t>ΔkWh = ΔkWhcooling + ΔkWhheating</t>
  </si>
  <si>
    <t>ΔkWhcooling =  ΣSavingsFactorcool *A / ηCool</t>
  </si>
  <si>
    <t>ΔkWhheating = ΣSavingsFactorheat *A / ηHeat * 3.412</t>
  </si>
  <si>
    <t>Area (square footage) of storm windows installed</t>
  </si>
  <si>
    <t>Saving are per sq ft</t>
  </si>
  <si>
    <t>Σcool</t>
  </si>
  <si>
    <t>Savings factor for cooling.</t>
  </si>
  <si>
    <t>Single Pane, Double Hung</t>
  </si>
  <si>
    <t>MO TRM, pg. 146</t>
  </si>
  <si>
    <t xml:space="preserve">Average value for clear/low-e and exterior/interior glass.  </t>
  </si>
  <si>
    <t>Double Pane, Double Hung</t>
  </si>
  <si>
    <t>Single Pane, Fixed</t>
  </si>
  <si>
    <t>Double Pane, Fixed</t>
  </si>
  <si>
    <t>ηCool</t>
  </si>
  <si>
    <t>Efficiency (SEER) of Air Conditioning equipment (kBtu/kWh).</t>
  </si>
  <si>
    <t>Based on federal minimum standard from 2006-2014</t>
  </si>
  <si>
    <t>ΣHeat</t>
  </si>
  <si>
    <t>Savings factor for heating.</t>
  </si>
  <si>
    <t>ηHeat</t>
  </si>
  <si>
    <t>Efficiency of heating system.</t>
  </si>
  <si>
    <t>Electric Furnace</t>
  </si>
  <si>
    <t>Heat Pump</t>
  </si>
  <si>
    <t>Gas Furnace</t>
  </si>
  <si>
    <t>Heating kWh savings not calculated for gas furnace.</t>
  </si>
  <si>
    <t>Converts kBtu to kWh</t>
  </si>
  <si>
    <t>Database of Low-E Storm Window Energy Performance across U.S. Climate Zones. KA Cort and TD Culp</t>
  </si>
  <si>
    <t>Inc Cost</t>
  </si>
  <si>
    <t>Clear</t>
  </si>
  <si>
    <t>comparison of Low-E to clear glazed storm windows available at large national retail outlets</t>
  </si>
  <si>
    <t>$30 cost per window for installation divided by average area (15 sq ft)</t>
  </si>
  <si>
    <t>406500_2024_12_</t>
  </si>
  <si>
    <t>406525_2024_12_</t>
  </si>
  <si>
    <t>406550_2024_12_</t>
  </si>
  <si>
    <t>406575_2024_12_</t>
  </si>
  <si>
    <t>406600_2024_12_</t>
  </si>
  <si>
    <t>406625_2024_12_</t>
  </si>
  <si>
    <t>406650_2024_12_</t>
  </si>
  <si>
    <t>406675_2024_12_</t>
  </si>
  <si>
    <t>HeatingConsumptionElectric =  If heating equipment characteristics are known, equals ((EFLHheat * CapacityHeat * 1/HSPF2)/1000); otherwise, apply estimate of annual household heating consumption for electrically heated homes specified in section 3.4.1 of the TRM.</t>
  </si>
  <si>
    <t>Ameren Missouri Efficient Products Evaluation PY2020, page 41</t>
  </si>
  <si>
    <t>Ameren Missouri Efficient Products Evaluation PY2018 workpapers</t>
  </si>
  <si>
    <r>
      <t>MO - TRM</t>
    </r>
    <r>
      <rPr>
        <strike/>
        <sz val="11"/>
        <color rgb="FFFF0000"/>
        <rFont val="Calibri"/>
        <family val="2"/>
        <scheme val="minor"/>
      </rPr>
      <t>, page 80</t>
    </r>
  </si>
  <si>
    <r>
      <t>Ameren Missouri Efficient Products Evaluation PY2020</t>
    </r>
    <r>
      <rPr>
        <strike/>
        <sz val="11"/>
        <color rgb="FFFF0000"/>
        <rFont val="Calibri"/>
        <family val="2"/>
        <scheme val="minor"/>
      </rPr>
      <t>, page 41</t>
    </r>
  </si>
  <si>
    <r>
      <t>Ameren Missouri Efficient Products Evaluation PY2017</t>
    </r>
    <r>
      <rPr>
        <strike/>
        <sz val="11"/>
        <color rgb="FFFF0000"/>
        <rFont val="Calibri"/>
        <family val="2"/>
        <scheme val="minor"/>
      </rPr>
      <t>, page 47</t>
    </r>
  </si>
  <si>
    <t>Cool Roofs</t>
  </si>
  <si>
    <t>406800_2024_12_</t>
  </si>
  <si>
    <t>Cool Roof: Single Family Vintage Up to 1979-Non-Electric Heating</t>
  </si>
  <si>
    <t>406801_2024_12_</t>
  </si>
  <si>
    <t>Cool Roof: Single Family Vintage 1980-1999-Non-Electric Heating</t>
  </si>
  <si>
    <t>406802_2024_12_</t>
  </si>
  <si>
    <t>Cool Roof: Single Family Vintage 2000-2009-Non-Electric Heating</t>
  </si>
  <si>
    <t>406803_2024_12_</t>
  </si>
  <si>
    <t>Cool Roof: Single Family Vintage 2010-2015-Non-Electric Heating</t>
  </si>
  <si>
    <t>406804_2024_12_</t>
  </si>
  <si>
    <t>Cool Roof: Multi-Family Vintage Up to 1979-Non-Electric Heating</t>
  </si>
  <si>
    <t>406805_2024_12_</t>
  </si>
  <si>
    <t>Cool Roof: Multi-Family Vintage 1980-1999-Non-Electric Heating</t>
  </si>
  <si>
    <t>406806_2024_12_</t>
  </si>
  <si>
    <t>Cool Roof: Multi-Family Vintage 2000-2009-Non-Electric Heating</t>
  </si>
  <si>
    <t>406807_2024_12_</t>
  </si>
  <si>
    <t>Cool Roof: Multi-Family Vintage 2010-2015-Non-Electric Heating</t>
  </si>
  <si>
    <t>406808_2024_12_</t>
  </si>
  <si>
    <t>Cool Roof: Single Family Vintage Up to 1979-Heat Pump Heating</t>
  </si>
  <si>
    <t>406809_2024_12_</t>
  </si>
  <si>
    <t>Cool Roof: Single Family Vintage 1980-1999-Heat Pump Heating</t>
  </si>
  <si>
    <t>406810_2024_12_</t>
  </si>
  <si>
    <t>Cool Roof: Single Family Vintage 2000-2009-Heat Pump Heating</t>
  </si>
  <si>
    <t>406811_2024_12_</t>
  </si>
  <si>
    <t>Cool Roof: Single Family Vintage 2010-2015-Heat Pump Heating</t>
  </si>
  <si>
    <t>406812_2024_12_</t>
  </si>
  <si>
    <t>Cool Roof: Multi-Family Vintage Up to 1979-Heat Pump Heating</t>
  </si>
  <si>
    <t>406813_2024_12_</t>
  </si>
  <si>
    <t>Cool Roof: Multi-Family Vintage 1980-1999-Heat Pump Heating</t>
  </si>
  <si>
    <t>406814_2024_12_</t>
  </si>
  <si>
    <t>Cool Roof: Multi-Family Vintage 2000-2009-Heat Pump Heating</t>
  </si>
  <si>
    <t>406815_2024_12_</t>
  </si>
  <si>
    <t>Cool Roof: Multi-Family Vintage 2010-2015-Heat Pump Heating</t>
  </si>
  <si>
    <t>3.6.5</t>
  </si>
  <si>
    <t>ΔkWh = SavingsFactor * SF / 1,000</t>
  </si>
  <si>
    <t>SavingsFactor</t>
  </si>
  <si>
    <t>kWh savings per square foot of installed cool roof</t>
  </si>
  <si>
    <t>SFIE Vintage Up to 1979</t>
  </si>
  <si>
    <t>Leidos. (2015b) Energy savings of high albedo roofs for the Kansas City Area</t>
  </si>
  <si>
    <t>SFIE Vintage 1980-1999</t>
  </si>
  <si>
    <t>SFIE Vintage 2000-2009</t>
  </si>
  <si>
    <t>SFIE Vintage 2010-2015</t>
  </si>
  <si>
    <t>MFIE Vintage Up to 1979</t>
  </si>
  <si>
    <t>MFIE Vintage 1980-1999</t>
  </si>
  <si>
    <t>MFIE Vintage 2000-2009</t>
  </si>
  <si>
    <t>MFIE Vintage 2010-2015</t>
  </si>
  <si>
    <t>HeatingFactor</t>
  </si>
  <si>
    <t>Factor applied to account for heating system type.</t>
  </si>
  <si>
    <t>Heat pump heating</t>
  </si>
  <si>
    <t>Residential Cool Roofs.xlsx</t>
  </si>
  <si>
    <t>Non-electric heating</t>
  </si>
  <si>
    <t>Square foot of installed cool roof</t>
  </si>
  <si>
    <t>DEER READI (Remote Ex-Ante Database Interface)</t>
  </si>
  <si>
    <t>Actual cost of cool roof</t>
  </si>
  <si>
    <t>Full cost will be applied.  Assumed value from Idaho Power Company Technical Reference Manual 3.2, https://docs.idahopower.com/pdfs/EnergyEfficiency/Reports/2020TRM.pdf, p. 69.  From 2008 Database for Energy-Efficiency Resources (DEER), Version 2008.2.05, “Effective/Remaining Useful Life Values”, 
California Public Utilities Commission, December 16, 2008.</t>
  </si>
  <si>
    <t>PAY AS YOU SAVE</t>
  </si>
  <si>
    <t>&lt;------ Use the "Grouping" Features to expand or hide the formulas/input variables</t>
  </si>
  <si>
    <t>LED Lamp</t>
  </si>
  <si>
    <t>Measure *</t>
  </si>
  <si>
    <t>KW RES</t>
  </si>
  <si>
    <t>KW BUS</t>
  </si>
  <si>
    <t>450100_2024_12_</t>
  </si>
  <si>
    <t>LED - 10W (750-899 lumens) DI</t>
  </si>
  <si>
    <t xml:space="preserve">  per bulb</t>
  </si>
  <si>
    <t>450110_2024_12_</t>
  </si>
  <si>
    <t>LED - 10.5W Downlight E26 DI</t>
  </si>
  <si>
    <t>450120_2024_12_</t>
  </si>
  <si>
    <t>LED - 15W Flood Light PAR30 Bulb DI</t>
  </si>
  <si>
    <t>450130_2024_12_</t>
  </si>
  <si>
    <t>LED - 4W Candelabra Specialty DI</t>
  </si>
  <si>
    <t>450140_2024_12_</t>
  </si>
  <si>
    <t>LED - 4.5-5.5W Globe G25 Bulb (400-500 lumens) DI</t>
  </si>
  <si>
    <t>3.5.1 - 3.5.4</t>
  </si>
  <si>
    <t>  Watts Base</t>
  </si>
  <si>
    <t>Baseline wattage, based on lumens of LED bulb installed.</t>
  </si>
  <si>
    <t>3.5.2 Globe (medium and intermediate bases less than 750 lumens) (350-499 lumens)</t>
  </si>
  <si>
    <t>  Watts EE</t>
  </si>
  <si>
    <t>Actual wattage of LED purchased / installed</t>
  </si>
  <si>
    <t>Mid point of measure description efficient wattage</t>
  </si>
  <si>
    <t>Measure description efficient wattage</t>
  </si>
  <si>
    <t>In Service Rate, the percentage of units rebated that are actually in service</t>
  </si>
  <si>
    <t>Ameren Missouri PAYS Evaluation PY2022 Appendix, page 7</t>
  </si>
  <si>
    <t>Leakage rate (program bulbs installed outside Ameren Missouri's service area)</t>
  </si>
  <si>
    <t>Based on program design</t>
  </si>
  <si>
    <t>Average hours of use per year for residential homes</t>
  </si>
  <si>
    <t>Ameren Missouri Lighting Evaluation PY2018, page 36</t>
  </si>
  <si>
    <t xml:space="preserve">Waste Heat Factor for energy to account for electric heating increase from reducing waste heat from efficient lighting (if fossil fuel heating – see calculation of heating penalty in that section). </t>
  </si>
  <si>
    <t>Res  energy, Interior</t>
  </si>
  <si>
    <t>Ameren Missouri PY2014 Evaluation, page 45</t>
  </si>
  <si>
    <t>Res  energy, Exterior</t>
  </si>
  <si>
    <t>WHF not applicable to exterior lighting</t>
  </si>
  <si>
    <t>Average hours of use per year for non- residential homes</t>
  </si>
  <si>
    <t xml:space="preserve">Illinois TRM v5.0, Lighting Reference Tables (Sec. 4.5.1), "Unknown" Building type, screw base lamp operating hours / 365  </t>
  </si>
  <si>
    <t>NonRes energy, Interior</t>
  </si>
  <si>
    <t>Set equal to Community Lighting Deemed Tables</t>
  </si>
  <si>
    <t>NonRes energy, Exterior</t>
  </si>
  <si>
    <t>Percentage of bulbs sold to residential customers</t>
  </si>
  <si>
    <t>EUL Residential</t>
  </si>
  <si>
    <t>Illinois TRM Version 12.0, page 327</t>
  </si>
  <si>
    <t>EUL Business</t>
  </si>
  <si>
    <t>Incremental costs from IL-TRM V12.0, page 311</t>
  </si>
  <si>
    <t>Specialty</t>
  </si>
  <si>
    <t>450300_2024_12_</t>
  </si>
  <si>
    <t>Pipe Insulation DI</t>
  </si>
  <si>
    <t>450400_2024_12_</t>
  </si>
  <si>
    <t>Low Flow Showerhead SF DI</t>
  </si>
  <si>
    <t>450401_2024_12_</t>
  </si>
  <si>
    <t>Low Flow Showerhead MF DI</t>
  </si>
  <si>
    <r>
      <t>Ameren Missouri Community Savers Evaluation PY2018</t>
    </r>
    <r>
      <rPr>
        <strike/>
        <sz val="11"/>
        <color rgb="FFFF0000"/>
        <rFont val="Calibri"/>
        <family val="2"/>
        <scheme val="minor"/>
      </rPr>
      <t>, page 39</t>
    </r>
  </si>
  <si>
    <t>Direct Install</t>
  </si>
  <si>
    <t>PY21 Implementation Costs from SFIE program</t>
  </si>
  <si>
    <t>450500_2024_12_</t>
  </si>
  <si>
    <t>Low Flow Bathroom Faucet Aerator SF DI</t>
  </si>
  <si>
    <t>450501_2024_12_</t>
  </si>
  <si>
    <t>Low Flow Bathroom Faucet Aerator MF DI</t>
  </si>
  <si>
    <r>
      <t>PY2016 Program Data, per Community Saves 2016 EM&amp;V report</t>
    </r>
    <r>
      <rPr>
        <strike/>
        <sz val="11"/>
        <color rgb="FFFF0000"/>
        <rFont val="Calibri"/>
        <family val="2"/>
        <scheme val="minor"/>
      </rPr>
      <t>, page 3-8</t>
    </r>
  </si>
  <si>
    <r>
      <t>Ameren Missouri Community Savers Evaluation PY2018</t>
    </r>
    <r>
      <rPr>
        <strike/>
        <sz val="11"/>
        <color rgb="FFFF0000"/>
        <rFont val="Calibri"/>
        <family val="2"/>
        <scheme val="minor"/>
      </rPr>
      <t>, page 23</t>
    </r>
  </si>
  <si>
    <t>450600_2024_12_</t>
  </si>
  <si>
    <t>Low Flow Kitchen Faucet Aerator SF DI</t>
  </si>
  <si>
    <t>450601_2024_12_</t>
  </si>
  <si>
    <t>Low Flow Kitchen Faucet Aerator MF DI</t>
  </si>
  <si>
    <t>450700_2024_12_</t>
  </si>
  <si>
    <t>Advanced Tier 1 Power Strips DI - Home Office</t>
  </si>
  <si>
    <t>In service/installation rate</t>
  </si>
  <si>
    <t>Tier 1 APS - Direct Install</t>
  </si>
  <si>
    <t>RESIDENTIAL DEMAND RESPONSE</t>
  </si>
  <si>
    <t>Demand Response Advanced Thermostat</t>
  </si>
  <si>
    <t>Measure [1]</t>
  </si>
  <si>
    <t>Gross kWh Annual Savings [2]</t>
  </si>
  <si>
    <t>End Use [3]</t>
  </si>
  <si>
    <t>kW Factor [4]</t>
  </si>
  <si>
    <t>Summer kW (Annual) [5]</t>
  </si>
  <si>
    <t>Winter kW (Annual) [6]</t>
  </si>
  <si>
    <t>600050_2024_12_</t>
  </si>
  <si>
    <t>DR</t>
  </si>
  <si>
    <t>Summer Demand Response Advanced Thermostat - with Program-driven Optimization</t>
  </si>
  <si>
    <t>per thermostat</t>
  </si>
  <si>
    <t>600060_2023_12_</t>
  </si>
  <si>
    <t>Winter Demand Response Advanced Thermostat - with Program-driven Optimization</t>
  </si>
  <si>
    <t>600100_2021_12_</t>
  </si>
  <si>
    <t>Summer Demand Response Advanced Thermostat - without Program-Driven Optimization</t>
  </si>
  <si>
    <t>600110_2023_12_</t>
  </si>
  <si>
    <t>Winter Demand Response Advanced Thermostat - without Program-Driven Optimization</t>
  </si>
  <si>
    <t>3.7.2</t>
  </si>
  <si>
    <t xml:space="preserve">[Note 1] </t>
  </si>
  <si>
    <t>As advanced thermostats mature, some models include embedded optimization routines that achieve energy savings. The program differentiates between thermostats with “program-driven optimization,” which achieve savings through program influence to operate optional optimization, and without “program-driven optimization,” which achieve no energy savings due to either the default optimization baseline or no optimization routine employed.</t>
  </si>
  <si>
    <t xml:space="preserve">[Note 2] </t>
  </si>
  <si>
    <r>
      <t xml:space="preserve">Source for Savings: Ameren MO </t>
    </r>
    <r>
      <rPr>
        <sz val="11"/>
        <color rgb="FFFF0000"/>
        <rFont val="Calibri"/>
        <family val="2"/>
        <scheme val="minor"/>
      </rPr>
      <t>PY2023</t>
    </r>
    <r>
      <rPr>
        <sz val="11"/>
        <rFont val="Calibri"/>
        <family val="2"/>
        <scheme val="minor"/>
      </rPr>
      <t xml:space="preserve"> Final Report
</t>
    </r>
    <r>
      <rPr>
        <sz val="11"/>
        <color rgb="FFFF0000"/>
        <rFont val="Calibri"/>
        <family val="2"/>
        <scheme val="minor"/>
      </rPr>
      <t>Device Optimization Energy Savings Summary, Aggregate: Table 19</t>
    </r>
    <r>
      <rPr>
        <sz val="11"/>
        <rFont val="Calibri"/>
        <family val="2"/>
        <scheme val="minor"/>
      </rPr>
      <t xml:space="preserve">. 
Total Number of Devices Enrolled at the end of the </t>
    </r>
    <r>
      <rPr>
        <sz val="11"/>
        <color rgb="FFFF0000"/>
        <rFont val="Calibri"/>
        <family val="2"/>
        <scheme val="minor"/>
      </rPr>
      <t>2023</t>
    </r>
    <r>
      <rPr>
        <sz val="11"/>
        <rFont val="Calibri"/>
        <family val="2"/>
        <scheme val="minor"/>
      </rPr>
      <t xml:space="preserve"> event season: </t>
    </r>
    <r>
      <rPr>
        <sz val="11"/>
        <color rgb="FFFF0000"/>
        <rFont val="Calibri"/>
        <family val="2"/>
        <scheme val="minor"/>
      </rPr>
      <t xml:space="preserve">Ameren Missouri Demand Response PY2023 Program Tracking Data
</t>
    </r>
    <r>
      <rPr>
        <sz val="11"/>
        <rFont val="Calibri"/>
        <family val="2"/>
        <scheme val="minor"/>
      </rPr>
      <t xml:space="preserve">
Gross kWh Annual Savings are calculated as the total aggregate </t>
    </r>
    <r>
      <rPr>
        <sz val="11"/>
        <color rgb="FFFF0000"/>
        <rFont val="Calibri"/>
        <family val="2"/>
        <scheme val="minor"/>
      </rPr>
      <t>PY2023</t>
    </r>
    <r>
      <rPr>
        <sz val="11"/>
        <rFont val="Calibri"/>
        <family val="2"/>
        <scheme val="minor"/>
      </rPr>
      <t xml:space="preserve"> energy savings </t>
    </r>
    <r>
      <rPr>
        <sz val="11"/>
        <color rgb="FFFF0000"/>
        <rFont val="Calibri"/>
        <family val="2"/>
        <scheme val="minor"/>
      </rPr>
      <t>(502.57 MWh)</t>
    </r>
    <r>
      <rPr>
        <sz val="11"/>
        <rFont val="Calibri"/>
        <family val="2"/>
        <scheme val="minor"/>
      </rPr>
      <t xml:space="preserve"> divided by the number of devices active at the end of the </t>
    </r>
    <r>
      <rPr>
        <sz val="11"/>
        <color rgb="FFFF0000"/>
        <rFont val="Calibri"/>
        <family val="2"/>
        <scheme val="minor"/>
      </rPr>
      <t>2023</t>
    </r>
    <r>
      <rPr>
        <sz val="11"/>
        <rFont val="Calibri"/>
        <family val="2"/>
        <scheme val="minor"/>
      </rPr>
      <t xml:space="preserve"> event season</t>
    </r>
    <r>
      <rPr>
        <sz val="11"/>
        <color rgb="FFFF0000"/>
        <rFont val="Calibri"/>
        <family val="2"/>
        <scheme val="minor"/>
      </rPr>
      <t xml:space="preserve"> (8,140)</t>
    </r>
    <r>
      <rPr>
        <sz val="11"/>
        <rFont val="Calibri"/>
        <family val="2"/>
        <scheme val="minor"/>
      </rPr>
      <t>.</t>
    </r>
  </si>
  <si>
    <t>[Note 3]</t>
  </si>
  <si>
    <t>End Use should be "Cooling RES" for optimization routines that save energy only during the cooling season, and "Heating RES" for optimization routines that save energy only during the heating season. For optimization routines that save energy during both cooling and heating seasons and energy savings are aggregated, the End Use may be "HVAC RES."</t>
  </si>
  <si>
    <t xml:space="preserve">[Note 4] </t>
  </si>
  <si>
    <t>The kW factor based on end use is not used because the actual demand impacts are directly measured.</t>
  </si>
  <si>
    <t xml:space="preserve">[Note 5] </t>
  </si>
  <si>
    <r>
      <t xml:space="preserve">Summer demand savings are calculated for demand response events, therefore no demand savings are calculated based on the energy savings for this measure. For planning estimates a value of </t>
    </r>
    <r>
      <rPr>
        <sz val="11"/>
        <color rgb="FFFF0000"/>
        <rFont val="Calibri"/>
        <family val="2"/>
        <scheme val="minor"/>
      </rPr>
      <t>0.95 kW/thermostat</t>
    </r>
    <r>
      <rPr>
        <sz val="11"/>
        <rFont val="Calibri"/>
        <family val="2"/>
        <scheme val="minor"/>
      </rPr>
      <t xml:space="preserve"> is assumed based on the </t>
    </r>
    <r>
      <rPr>
        <sz val="11"/>
        <color rgb="FFFF0000"/>
        <rFont val="Calibri"/>
        <family val="2"/>
        <scheme val="minor"/>
      </rPr>
      <t>PY23</t>
    </r>
    <r>
      <rPr>
        <sz val="11"/>
        <rFont val="Calibri"/>
        <family val="2"/>
        <scheme val="minor"/>
      </rPr>
      <t xml:space="preserve"> evaluation results; refer to </t>
    </r>
    <r>
      <rPr>
        <sz val="11"/>
        <color rgb="FFFF0000"/>
        <rFont val="Calibri"/>
        <family val="2"/>
        <scheme val="minor"/>
      </rPr>
      <t>Table 17</t>
    </r>
    <r>
      <rPr>
        <sz val="11"/>
        <rFont val="Calibri"/>
        <family val="2"/>
        <scheme val="minor"/>
      </rPr>
      <t xml:space="preserve">. </t>
    </r>
    <r>
      <rPr>
        <sz val="11"/>
        <color rgb="FFFF0000"/>
        <rFont val="Calibri"/>
        <family val="2"/>
        <scheme val="minor"/>
      </rPr>
      <t>Residential DR Program: Event Day Energy Savings by Device Manufacturer for the number of devices and Table 13</t>
    </r>
    <r>
      <rPr>
        <sz val="11"/>
        <rFont val="Calibri"/>
        <family val="2"/>
        <scheme val="minor"/>
      </rPr>
      <t xml:space="preserve">. </t>
    </r>
    <r>
      <rPr>
        <sz val="11"/>
        <color rgb="FFFF0000"/>
        <rFont val="Calibri"/>
        <family val="2"/>
        <scheme val="minor"/>
      </rPr>
      <t>Residential DR Program: Resource Capability Impacts for the per account kW impacts and number of accounts</t>
    </r>
    <r>
      <rPr>
        <sz val="11"/>
        <rFont val="Calibri"/>
        <family val="2"/>
        <scheme val="minor"/>
      </rPr>
      <t xml:space="preserve">.
Per device kW impact is calculated as the per account kW load impact </t>
    </r>
    <r>
      <rPr>
        <sz val="11"/>
        <color rgb="FFFF0000"/>
        <rFont val="Calibri"/>
        <family val="2"/>
        <scheme val="minor"/>
      </rPr>
      <t>(1.13)</t>
    </r>
    <r>
      <rPr>
        <sz val="11"/>
        <rFont val="Calibri"/>
        <family val="2"/>
        <scheme val="minor"/>
      </rPr>
      <t xml:space="preserve"> multiplied by the number of accounts </t>
    </r>
    <r>
      <rPr>
        <sz val="11"/>
        <color rgb="FFFF0000"/>
        <rFont val="Calibri"/>
        <family val="2"/>
        <scheme val="minor"/>
      </rPr>
      <t>(46,213)</t>
    </r>
    <r>
      <rPr>
        <sz val="11"/>
        <rFont val="Calibri"/>
        <family val="2"/>
        <scheme val="minor"/>
      </rPr>
      <t xml:space="preserve"> all divided by the number of devices</t>
    </r>
    <r>
      <rPr>
        <sz val="11"/>
        <color rgb="FFFF0000"/>
        <rFont val="Calibri"/>
        <family val="2"/>
        <scheme val="minor"/>
      </rPr>
      <t xml:space="preserve"> (54,808)</t>
    </r>
    <r>
      <rPr>
        <sz val="11"/>
        <rFont val="Calibri"/>
        <family val="2"/>
        <scheme val="minor"/>
      </rPr>
      <t>.</t>
    </r>
  </si>
  <si>
    <t xml:space="preserve">[Note 6] </t>
  </si>
  <si>
    <r>
      <t xml:space="preserve">Winter demand savings are calculated for demand response events. For planning estimates a value of </t>
    </r>
    <r>
      <rPr>
        <sz val="11"/>
        <color rgb="FFFF0000"/>
        <rFont val="Calibri"/>
        <family val="2"/>
        <scheme val="minor"/>
      </rPr>
      <t>1.3</t>
    </r>
    <r>
      <rPr>
        <sz val="11"/>
        <rFont val="Calibri"/>
        <family val="2"/>
        <scheme val="minor"/>
      </rPr>
      <t xml:space="preserve"> kW/thermostat. </t>
    </r>
    <r>
      <rPr>
        <sz val="11"/>
        <color rgb="FFFF0000"/>
        <rFont val="Calibri"/>
        <family val="2"/>
        <scheme val="minor"/>
      </rPr>
      <t>Calculated by examining the average hourly kW reduction during a summer event, adjusting for winter conditions by reducing the estimate by 30%, and applying an adjustment factor of 0.78. (Source: ADM Associates, Inc., "py2024_residential_dr_winter_savings_estimation_07.12.2024.xlsx").</t>
    </r>
  </si>
  <si>
    <r>
      <rPr>
        <b/>
        <sz val="11"/>
        <rFont val="Calibri"/>
        <family val="2"/>
        <scheme val="minor"/>
      </rPr>
      <t>Residential demand response:</t>
    </r>
    <r>
      <rPr>
        <sz val="11"/>
        <rFont val="Calibri"/>
        <family val="2"/>
        <scheme val="minor"/>
      </rPr>
      <t xml:space="preserve"> For demand and energy savings associated with calling a demand response event, smart thermostat program participants will be randomly partitioned into two groups. In this scenario, on an event day, participants in one group receive a signal to initiate activity on the thermostat, while the other group of participants would not receive this signal. As a result, the participants who receive the signal will serve as the treatment group, and the participants who do not receive a signal will serve as the control group. Demand impacts will be estimated from the average of the hours over all event periods. Energy savings impacts will be estimated from comparing the 24 hours of the control group for each event day to the 24 hours of actual kWh consumption for each event day.  However, if it is not practical or plausible to use this approach (such as everyone is dispatched), other quasi experimental design approaches may be used.</t>
    </r>
  </si>
  <si>
    <r>
      <rPr>
        <b/>
        <sz val="11"/>
        <rFont val="Calibri"/>
        <family val="2"/>
        <scheme val="minor"/>
      </rPr>
      <t>Business demand response:</t>
    </r>
    <r>
      <rPr>
        <sz val="11"/>
        <rFont val="Calibri"/>
        <family val="2"/>
        <scheme val="minor"/>
      </rPr>
      <t xml:space="preserve"> For demand and energy savings associated with calling a demand response event, a customer baseline load ("CBL") approach will be used. A CBL approach applies a model or algorithm to develop customer-specific baselines for each event that are used to estimate load impacts for each hour of the event. Demand impacts will be estimated from the average of the hours over all event periods. Energy savings impacts will be estimated from comparing the 24 hours of the CBL for each event day to the 24 hours of actual kWh consumption for each event day.</t>
    </r>
  </si>
  <si>
    <t>Demand Response Water Heater</t>
  </si>
  <si>
    <t>kW Factor [1]</t>
  </si>
  <si>
    <t>Summer kW (Annual) [2]</t>
  </si>
  <si>
    <t>Winter kW (Annual) [3]</t>
  </si>
  <si>
    <t>600401_2024_12_</t>
  </si>
  <si>
    <t>Demand Response Heat Pump Water Heater Switch</t>
  </si>
  <si>
    <t>per unit</t>
  </si>
  <si>
    <t>600402_2024_12_</t>
  </si>
  <si>
    <t>Demand Response Electric Resistance Water Heater Switch</t>
  </si>
  <si>
    <t>3.9.3</t>
  </si>
  <si>
    <t>Summer demand savings are calculated for demand response events, therefore no demand savings are calculated based on the energy savings for this measure. These values have not been reviewed through evaluation.  The demand reduction impact planning values of 0.27 kW for Heat Pump Water Heaters and 0.22 kW for Electric Water Heaters were calculated based on the percent reduction by demand response (DR) applied to the coincident peak load. Specifically:
Heat Pump Water Heater: The 52% reduction applied to the coincident peak load of 0.52 kW results in a demand reduction impact of 0.27 kW.
Electric Water Heater: The 42% reduction applied to the coincident peak load of 0.52 kW results in a demand reduction impact of 0.22 kW.
These calculations utilize the EPRI end-use loadshape database to determine the coincident peak load, as specific loadshape or peak load data for Missouri was unavailable. Therefore, the coincident peak values were derived from the SERC region data.</t>
  </si>
  <si>
    <t xml:space="preserve">[Note 3] </t>
  </si>
  <si>
    <t>Winter demand savings are calculated for demand response events.</t>
  </si>
  <si>
    <t>Demand Response Electric Vehicle Charger</t>
  </si>
  <si>
    <t>600500_2024_12_</t>
  </si>
  <si>
    <t>3.9.4</t>
  </si>
  <si>
    <t>Summer demand savings are calculated for demand response events, focusing solely on demand reduction rather than energy savings. These values have not yet been reviewed through evaluation. The demand reduction impact planning value of 0.16 kW per EV charger was calculated based on the reduction in charging amperage during a DR event applied to the coincident peak load. Specifically:
EV Charger: The reduction from 48 amps (11.5 kW) to 16 amps (3.8 kW) during a DR event results in a raw potential reduction of 7.7 kW. However, this is adjusted using a normalization factor of 1.513, which reflects real-world charger engagement and behavior patterns, leading to a final demand reduction impact of 0.16 kW per charger.
These calculations utilize the EVIPro model and average loadshape data for EV chargers, with assumptions about charging behavior based on an 80% home charging rate. The derived values consider typical charging patterns and the likelihood that not all chargers are actively charging during peak periods.</t>
  </si>
  <si>
    <t>Behavioral Demand Response</t>
  </si>
  <si>
    <t>600600_2024_12_</t>
  </si>
  <si>
    <t>3.9.5</t>
  </si>
  <si>
    <t>Summer demand savings are calculated for demand response events, therefore no demand savings are calculated based on the energy savings for this measure. These values have not been reviewed through evaluation. The demand reduction impact planning value of 0.09 kW for Behavioral Demand Response (DR) was calculated by applying a 2.4% reduction to the coincident peak load of 3.7 kW. Specifically:
Behavioral Demand Response: The 2.4% reduction in peak load is based on data from the American Council for an Energy-Efficient Economy (ACEEE) study. When this reduction is applied to the coincident peak load of 3.7 kW, derived from the EPRI whole premise loadshape database, the resulting demand reduction impact is 0.09 kW.
Since specific loadshape data for Missouri was unavailable, the coincident peak value used in this analysis was obtained from the EPRI database, with the nearest available loadshape for Illinois serving as a proxy. The EPRI whole premise loadshape was used to approximate the total load and determine the coincident peak for this calculation.</t>
  </si>
  <si>
    <t xml:space="preserve">The below index is a summary of all measures within the deemed savings tables.  It serves as a lookup table linked directly to the official records within the deemed savings tables and summarizes measure attributes in a single row for each measure ID.  </t>
  </si>
  <si>
    <t>Table below calculates a weighted average kWh and Kw value  for HVAC Early Replacement (ER) vs Replace on Fail (ROF) measures based on the TRM values and the ER % Entered below (cell "BC3").</t>
  </si>
  <si>
    <t>* Note all current TRM redlines are NOT indicated on this tab, primarily new measures added and Measure ID's that have changed for various reasons are redlined here.</t>
  </si>
  <si>
    <t>REPRESENTS THE TRM FILING EFFECTIVE JANUARY 1, 2025</t>
  </si>
  <si>
    <t>End USE 1</t>
  </si>
  <si>
    <t>End USE 2</t>
  </si>
  <si>
    <t>End USE 3</t>
  </si>
  <si>
    <t>End USE 4</t>
  </si>
  <si>
    <t>Measure Name</t>
  </si>
  <si>
    <t>Total 1st year kWh per measure</t>
  </si>
  <si>
    <t>Total last year kWh per measure</t>
  </si>
  <si>
    <t>KWh per Measure</t>
  </si>
  <si>
    <t>Total 1st year kW per measure</t>
  </si>
  <si>
    <t>Total last year kW per measure</t>
  </si>
  <si>
    <t>KW per Measure</t>
  </si>
  <si>
    <t>0-9 EUL (EO) KW</t>
  </si>
  <si>
    <t>10-14 EUL (EO) KW</t>
  </si>
  <si>
    <t>15+ EUL (EO) KW</t>
  </si>
  <si>
    <t>TRC</t>
  </si>
  <si>
    <t>2025 ER1 Total Benefits (2025 $)</t>
  </si>
  <si>
    <t>2025 ER2 Total Benefits (2025 $)</t>
  </si>
  <si>
    <t>PY2025 ER1 Benefits (2025 $)</t>
  </si>
  <si>
    <t>PY2025 ER2 Benefits (2025 $)</t>
  </si>
  <si>
    <t xml:space="preserve">Weighted Average </t>
  </si>
  <si>
    <t>Weighted Average Total</t>
  </si>
  <si>
    <t xml:space="preserve">ER1 </t>
  </si>
  <si>
    <t>ER1 Cooling</t>
  </si>
  <si>
    <t>ER1 Heating</t>
  </si>
  <si>
    <t>ER2 Cooling</t>
  </si>
  <si>
    <t>ER2 Heating</t>
  </si>
  <si>
    <t>KW_ER1</t>
  </si>
  <si>
    <t>KW_ER2</t>
  </si>
  <si>
    <t>Total EUL</t>
  </si>
  <si>
    <t>Benefits (2019 $)</t>
  </si>
  <si>
    <t>Tons/unit</t>
  </si>
  <si>
    <t>MEASURE NAME</t>
  </si>
  <si>
    <t>ID</t>
  </si>
  <si>
    <t>ER1 Cooling kWh</t>
  </si>
  <si>
    <t>ER1 Heating kWh</t>
  </si>
  <si>
    <t>ER2 Cooling kWh</t>
  </si>
  <si>
    <t>ER2 Heating kWh</t>
  </si>
  <si>
    <t>ER1 Cooling kW</t>
  </si>
  <si>
    <t>ER1 Heating kW</t>
  </si>
  <si>
    <t>ER2 Cooling kW</t>
  </si>
  <si>
    <t>ER2 Heating kW</t>
  </si>
  <si>
    <t>ER1 Total kWh</t>
  </si>
  <si>
    <t>ER2 Total kWh</t>
  </si>
  <si>
    <t>ER1 Total kW</t>
  </si>
  <si>
    <t>ER2 Total kW</t>
  </si>
  <si>
    <t>variable</t>
  </si>
  <si>
    <t>SOURCE:</t>
  </si>
  <si>
    <t>Copied directly from file :  DSM2018_BT_MEEIA_4_RESandBUS_20YR Submittal Tool_01_16_2024.xlsb</t>
  </si>
  <si>
    <t>Avoided Cost Benefits per Measure per kWh</t>
  </si>
  <si>
    <t>Air Comp BUS 1 Year EUL</t>
  </si>
  <si>
    <t>Starting/Discount Year:</t>
  </si>
  <si>
    <t>Air Comp BUS 10 Year EUL</t>
  </si>
  <si>
    <t>Ending Year:</t>
  </si>
  <si>
    <t>Air Comp BUS 11 Year EUL</t>
  </si>
  <si>
    <t>Discount Rate:</t>
  </si>
  <si>
    <t>Air Comp BUS 12 Year EUL</t>
  </si>
  <si>
    <t>Inflation Rate:</t>
  </si>
  <si>
    <t>Air Comp BUS 13 Year EUL</t>
  </si>
  <si>
    <t>Current Year</t>
  </si>
  <si>
    <t>* Year of current programs being represented</t>
  </si>
  <si>
    <t>Air Comp BUS 14 Year EUL</t>
  </si>
  <si>
    <t>Air Comp BUS 15 Year EUL</t>
  </si>
  <si>
    <t>Air Comp BUS 16 Year EUL</t>
  </si>
  <si>
    <t>Air Comp BUS 17 Year EUL</t>
  </si>
  <si>
    <t>Air Comp BUS 18 Year EUL</t>
  </si>
  <si>
    <t>Air Comp BUS 19 Year EUL</t>
  </si>
  <si>
    <t>Air Comp BUS 2 Year EUL</t>
  </si>
  <si>
    <t>Air Comp BUS 20 Year EUL</t>
  </si>
  <si>
    <t>Air Comp BUS 21 Year EUL</t>
  </si>
  <si>
    <t>Air Comp BUS 22 Year EUL</t>
  </si>
  <si>
    <t>Air Comp BUS 23 Year EUL</t>
  </si>
  <si>
    <t>Air Comp BUS 24 Year EUL</t>
  </si>
  <si>
    <t>Air Comp BUS 25 Year EUL</t>
  </si>
  <si>
    <t>Air Comp BUS 26 Year EUL</t>
  </si>
  <si>
    <t>Air Comp BUS 27 Year EUL</t>
  </si>
  <si>
    <t>Air Comp BUS 28 Year EUL</t>
  </si>
  <si>
    <t>Air Comp BUS 29 Year EUL</t>
  </si>
  <si>
    <t>Air Comp BUS 3 Year EUL</t>
  </si>
  <si>
    <t>Air Comp BUS 30 Year EUL</t>
  </si>
  <si>
    <t>Air Comp BUS 4 Year EUL</t>
  </si>
  <si>
    <t>Air Comp BUS 5 Year EUL</t>
  </si>
  <si>
    <t>Air Comp BUS 6 Year EUL</t>
  </si>
  <si>
    <t>Air Comp BUS 7 Year EUL</t>
  </si>
  <si>
    <t>Air Comp BUS 8 Year EUL</t>
  </si>
  <si>
    <t>Air Comp BUS 9 Year EUL</t>
  </si>
  <si>
    <t>Appliances RES 1 Year EUL</t>
  </si>
  <si>
    <t>Appliances RES 10 Year EUL</t>
  </si>
  <si>
    <t>Appliances RES 11 Year EUL</t>
  </si>
  <si>
    <t>Appliances RES 12 Year EUL</t>
  </si>
  <si>
    <t>Appliances RES 13 Year EUL</t>
  </si>
  <si>
    <t>Appliances RES 14 Year EUL</t>
  </si>
  <si>
    <t>Appliances RES 15 Year EUL</t>
  </si>
  <si>
    <t>Appliances RES 16 Year EUL</t>
  </si>
  <si>
    <t>Appliances RES 17 Year EUL</t>
  </si>
  <si>
    <t>Appliances RES 18 Year EUL</t>
  </si>
  <si>
    <t>Appliances RES 19 Year EUL</t>
  </si>
  <si>
    <t>Appliances RES 2 Year EUL</t>
  </si>
  <si>
    <t>Appliances RES 20 Year EUL</t>
  </si>
  <si>
    <t>Appliances RES 21 Year EUL</t>
  </si>
  <si>
    <t>Appliances RES 22 Year EUL</t>
  </si>
  <si>
    <t>Appliances RES 23 Year EUL</t>
  </si>
  <si>
    <t>Appliances RES 24 Year EUL</t>
  </si>
  <si>
    <t>Appliances RES 25 Year EUL</t>
  </si>
  <si>
    <t>Appliances RES 3 Year EUL</t>
  </si>
  <si>
    <t>Appliances RES 4 Year EUL</t>
  </si>
  <si>
    <t>Appliances RES 5 Year EUL</t>
  </si>
  <si>
    <t>Appliances RES 6 Year EUL</t>
  </si>
  <si>
    <t>Appliances RES 7 Year EUL</t>
  </si>
  <si>
    <t>Appliances RES 8 Year EUL</t>
  </si>
  <si>
    <t>Appliances RES 9 Year EUL</t>
  </si>
  <si>
    <t>Building Shell BUS 1 Year EUL</t>
  </si>
  <si>
    <t>Building Shell BUS 10 Year EUL</t>
  </si>
  <si>
    <t>Building Shell BUS 11 Year EUL</t>
  </si>
  <si>
    <t>Building Shell BUS 12 Year EUL</t>
  </si>
  <si>
    <t>Building Shell BUS 13 Year EUL</t>
  </si>
  <si>
    <t>Building Shell BUS 14 Year EUL</t>
  </si>
  <si>
    <t>Building Shell BUS 15 Year EUL</t>
  </si>
  <si>
    <t>Building Shell BUS 16 Year EUL</t>
  </si>
  <si>
    <t>Building Shell BUS 17 Year EUL</t>
  </si>
  <si>
    <t>Building Shell BUS 18 Year EUL</t>
  </si>
  <si>
    <t>Building Shell BUS 19 Year EUL</t>
  </si>
  <si>
    <t>Building Shell BUS 2 Year EUL</t>
  </si>
  <si>
    <t>Building Shell BUS 20 Year EUL</t>
  </si>
  <si>
    <t>Building Shell BUS 21 Year EUL</t>
  </si>
  <si>
    <t>Building Shell BUS 22 Year EUL</t>
  </si>
  <si>
    <t>Building Shell BUS 23 Year EUL</t>
  </si>
  <si>
    <t>Building Shell BUS 24 Year EUL</t>
  </si>
  <si>
    <t>Building Shell BUS 25 Year EUL</t>
  </si>
  <si>
    <t>Building Shell BUS 26 Year EUL</t>
  </si>
  <si>
    <t>Building Shell BUS 27 Year EUL</t>
  </si>
  <si>
    <t>Building Shell BUS 28 Year EUL</t>
  </si>
  <si>
    <t>Building Shell BUS 29 Year EUL</t>
  </si>
  <si>
    <t>Building Shell BUS 3 Year EUL</t>
  </si>
  <si>
    <t>Building Shell BUS 30 Year EUL</t>
  </si>
  <si>
    <t>Building Shell BUS 4 Year EUL</t>
  </si>
  <si>
    <t>Building Shell BUS 5 Year EUL</t>
  </si>
  <si>
    <t>Building Shell BUS 6 Year EUL</t>
  </si>
  <si>
    <t>Building Shell BUS 7 Year EUL</t>
  </si>
  <si>
    <t>Building Shell BUS 8 Year EUL</t>
  </si>
  <si>
    <t>Building Shell BUS 9 Year EUL</t>
  </si>
  <si>
    <t>Building Shell RES 1 Year EUL</t>
  </si>
  <si>
    <t>Building Shell RES 10 Year EUL</t>
  </si>
  <si>
    <t>Building Shell RES 11 Year EUL</t>
  </si>
  <si>
    <t>Building Shell RES 12 Year EUL</t>
  </si>
  <si>
    <t>Building Shell RES 13 Year EUL</t>
  </si>
  <si>
    <t>Building Shell RES 14 Year EUL</t>
  </si>
  <si>
    <t>Building Shell RES 15 Year EUL</t>
  </si>
  <si>
    <t>Building Shell RES 16 Year EUL</t>
  </si>
  <si>
    <t>Building Shell RES 17 Year EUL</t>
  </si>
  <si>
    <t>Building Shell RES 18 Year EUL</t>
  </si>
  <si>
    <t>Building Shell RES 19 Year EUL</t>
  </si>
  <si>
    <t>Building Shell RES 2 Year EUL</t>
  </si>
  <si>
    <t>Building Shell RES 20 Year EUL</t>
  </si>
  <si>
    <t>Building Shell RES 21 Year EUL</t>
  </si>
  <si>
    <t>Building Shell RES 22 Year EUL</t>
  </si>
  <si>
    <t>Building Shell RES 23 Year EUL</t>
  </si>
  <si>
    <t>Building Shell RES 24 Year EUL</t>
  </si>
  <si>
    <t>Building Shell RES 25 Year EUL</t>
  </si>
  <si>
    <t>Building Shell RES 3 Year EUL</t>
  </si>
  <si>
    <t>Building Shell RES 4 Year EUL</t>
  </si>
  <si>
    <t>Building Shell RES 5 Year EUL</t>
  </si>
  <si>
    <t>Building Shell RES 6 Year EUL</t>
  </si>
  <si>
    <t>Building Shell RES 7 Year EUL</t>
  </si>
  <si>
    <t>Building Shell RES 8 Year EUL</t>
  </si>
  <si>
    <t>Building Shell RES 9 Year EUL</t>
  </si>
  <si>
    <t>Clothes Dryer RES 1 Year EUL</t>
  </si>
  <si>
    <t>Clothes Dryer RES 10 Year EUL</t>
  </si>
  <si>
    <t>Clothes Dryer RES 11 Year EUL</t>
  </si>
  <si>
    <t>Clothes Dryer RES 12 Year EUL</t>
  </si>
  <si>
    <t>Clothes Dryer RES 13 Year EUL</t>
  </si>
  <si>
    <t>Clothes Dryer RES 14 Year EUL</t>
  </si>
  <si>
    <t>Clothes Dryer RES 15 Year EUL</t>
  </si>
  <si>
    <t>Clothes Dryer RES 16 Year EUL</t>
  </si>
  <si>
    <t>Clothes Dryer RES 17 Year EUL</t>
  </si>
  <si>
    <t>Clothes Dryer RES 18 Year EUL</t>
  </si>
  <si>
    <t>Clothes Dryer RES 19 Year EUL</t>
  </si>
  <si>
    <t>Clothes Dryer RES 2 Year EUL</t>
  </si>
  <si>
    <t>Clothes Dryer RES 20 Year EUL</t>
  </si>
  <si>
    <t>Clothes Dryer RES 21 Year EUL</t>
  </si>
  <si>
    <t>Clothes Dryer RES 22 Year EUL</t>
  </si>
  <si>
    <t>Clothes Dryer RES 23 Year EUL</t>
  </si>
  <si>
    <t>Clothes Dryer RES 24 Year EUL</t>
  </si>
  <si>
    <t>Clothes Dryer RES 25 Year EUL</t>
  </si>
  <si>
    <t>Clothes Dryer RES 3 Year EUL</t>
  </si>
  <si>
    <t>Clothes Dryer RES 4 Year EUL</t>
  </si>
  <si>
    <t>Clothes Dryer RES 5 Year EUL</t>
  </si>
  <si>
    <t>Clothes Dryer RES 6 Year EUL</t>
  </si>
  <si>
    <t>Clothes Dryer RES 7 Year EUL</t>
  </si>
  <si>
    <t>Clothes Dryer RES 8 Year EUL</t>
  </si>
  <si>
    <t>Clothes Dryer RES 9 Year EUL</t>
  </si>
  <si>
    <t>Clothes Washer RES 1 Year EUL</t>
  </si>
  <si>
    <t>Clothes Washer RES 10 Year EUL</t>
  </si>
  <si>
    <t>Clothes Washer RES 11 Year EUL</t>
  </si>
  <si>
    <t>Clothes Washer RES 12 Year EUL</t>
  </si>
  <si>
    <t>Clothes Washer RES 13 Year EUL</t>
  </si>
  <si>
    <t>Clothes Washer RES 14 Year EUL</t>
  </si>
  <si>
    <t>Clothes Washer RES 15 Year EUL</t>
  </si>
  <si>
    <t>Clothes Washer RES 16 Year EUL</t>
  </si>
  <si>
    <t>Clothes Washer RES 17 Year EUL</t>
  </si>
  <si>
    <t>Clothes Washer RES 18 Year EUL</t>
  </si>
  <si>
    <t>Clothes Washer RES 19 Year EUL</t>
  </si>
  <si>
    <t>Clothes Washer RES 2 Year EUL</t>
  </si>
  <si>
    <t>Clothes Washer RES 20 Year EUL</t>
  </si>
  <si>
    <t>Clothes Washer RES 21 Year EUL</t>
  </si>
  <si>
    <t>Clothes Washer RES 22 Year EUL</t>
  </si>
  <si>
    <t>Clothes Washer RES 23 Year EUL</t>
  </si>
  <si>
    <t>Clothes Washer RES 24 Year EUL</t>
  </si>
  <si>
    <t>Clothes Washer RES 25 Year EUL</t>
  </si>
  <si>
    <t>Clothes Washer RES 3 Year EUL</t>
  </si>
  <si>
    <t>Clothes Washer RES 4 Year EUL</t>
  </si>
  <si>
    <t>Clothes Washer RES 5 Year EUL</t>
  </si>
  <si>
    <t>Clothes Washer RES 6 Year EUL</t>
  </si>
  <si>
    <t>Clothes Washer RES 7 Year EUL</t>
  </si>
  <si>
    <t>Clothes Washer RES 8 Year EUL</t>
  </si>
  <si>
    <t>Clothes Washer RES 9 Year EUL</t>
  </si>
  <si>
    <t>Color TV RES 1 Year EUL</t>
  </si>
  <si>
    <t>Color TV RES 10 Year EUL</t>
  </si>
  <si>
    <t>Color TV RES 11 Year EUL</t>
  </si>
  <si>
    <t>Color TV RES 12 Year EUL</t>
  </si>
  <si>
    <t>Color TV RES 13 Year EUL</t>
  </si>
  <si>
    <t>Color TV RES 14 Year EUL</t>
  </si>
  <si>
    <t>Color TV RES 15 Year EUL</t>
  </si>
  <si>
    <t>Color TV RES 16 Year EUL</t>
  </si>
  <si>
    <t>Color TV RES 17 Year EUL</t>
  </si>
  <si>
    <t>Color TV RES 18 Year EUL</t>
  </si>
  <si>
    <t>Color TV RES 19 Year EUL</t>
  </si>
  <si>
    <t>Color TV RES 2 Year EUL</t>
  </si>
  <si>
    <t>Color TV RES 20 Year EUL</t>
  </si>
  <si>
    <t>Color TV RES 21 Year EUL</t>
  </si>
  <si>
    <t>Color TV RES 22 Year EUL</t>
  </si>
  <si>
    <t>Color TV RES 23 Year EUL</t>
  </si>
  <si>
    <t>Color TV RES 24 Year EUL</t>
  </si>
  <si>
    <t>Color TV RES 25 Year EUL</t>
  </si>
  <si>
    <t>Color TV RES 3 Year EUL</t>
  </si>
  <si>
    <t>Color TV RES 4 Year EUL</t>
  </si>
  <si>
    <t>Color TV RES 5 Year EUL</t>
  </si>
  <si>
    <t>Color TV RES 6 Year EUL</t>
  </si>
  <si>
    <t>Color TV RES 7 Year EUL</t>
  </si>
  <si>
    <t>Color TV RES 8 Year EUL</t>
  </si>
  <si>
    <t>Color TV RES 9 Year EUL</t>
  </si>
  <si>
    <t>Cooking BUS 1 Year EUL</t>
  </si>
  <si>
    <t>Cooking BUS 10 Year EUL</t>
  </si>
  <si>
    <t>Cooking BUS 11 Year EUL</t>
  </si>
  <si>
    <t>Cooking BUS 12 Year EUL</t>
  </si>
  <si>
    <t>Cooking BUS 13 Year EUL</t>
  </si>
  <si>
    <t>Cooking BUS 14 Year EUL</t>
  </si>
  <si>
    <t>Cooking BUS 15 Year EUL</t>
  </si>
  <si>
    <t>Cooking BUS 16 Year EUL</t>
  </si>
  <si>
    <t>Cooking BUS 17 Year EUL</t>
  </si>
  <si>
    <t>Cooking BUS 18 Year EUL</t>
  </si>
  <si>
    <t>Cooking BUS 19 Year EUL</t>
  </si>
  <si>
    <t>Cooking BUS 2 Year EUL</t>
  </si>
  <si>
    <t>Cooking BUS 20 Year EUL</t>
  </si>
  <si>
    <t>Cooking BUS 21 Year EUL</t>
  </si>
  <si>
    <t>Cooking BUS 22 Year EUL</t>
  </si>
  <si>
    <t>Cooking BUS 23 Year EUL</t>
  </si>
  <si>
    <t>Cooking BUS 24 Year EUL</t>
  </si>
  <si>
    <t>Cooking BUS 25 Year EUL</t>
  </si>
  <si>
    <t>Cooking BUS 26 Year EUL</t>
  </si>
  <si>
    <t>Cooking BUS 27 Year EUL</t>
  </si>
  <si>
    <t>Cooking BUS 28 Year EUL</t>
  </si>
  <si>
    <t>Cooking BUS 29 Year EUL</t>
  </si>
  <si>
    <t>Cooking BUS 3 Year EUL</t>
  </si>
  <si>
    <t>Cooking BUS 30 Year EUL</t>
  </si>
  <si>
    <t>Cooking BUS 4 Year EUL</t>
  </si>
  <si>
    <t>Cooking BUS 5 Year EUL</t>
  </si>
  <si>
    <t>Cooking BUS 6 Year EUL</t>
  </si>
  <si>
    <t>Cooking BUS 7 Year EUL</t>
  </si>
  <si>
    <t>Cooking BUS 8 Year EUL</t>
  </si>
  <si>
    <t>Cooking BUS 9 Year EUL</t>
  </si>
  <si>
    <t>Cooking RES 1 Year EUL</t>
  </si>
  <si>
    <t>Cooking RES 10 Year EUL</t>
  </si>
  <si>
    <t>Cooking RES 11 Year EUL</t>
  </si>
  <si>
    <t>Cooking RES 12 Year EUL</t>
  </si>
  <si>
    <t>Cooking RES 13 Year EUL</t>
  </si>
  <si>
    <t>Cooking RES 14 Year EUL</t>
  </si>
  <si>
    <t>Cooking RES 15 Year EUL</t>
  </si>
  <si>
    <t>Cooking RES 16 Year EUL</t>
  </si>
  <si>
    <t>Cooking RES 17 Year EUL</t>
  </si>
  <si>
    <t>Cooking RES 18 Year EUL</t>
  </si>
  <si>
    <t>Cooking RES 19 Year EUL</t>
  </si>
  <si>
    <t>Cooking RES 2 Year EUL</t>
  </si>
  <si>
    <t>Cooking RES 20 Year EUL</t>
  </si>
  <si>
    <t>Cooking RES 21 Year EUL</t>
  </si>
  <si>
    <t>Cooking RES 22 Year EUL</t>
  </si>
  <si>
    <t>Cooking RES 23 Year EUL</t>
  </si>
  <si>
    <t>Cooking RES 24 Year EUL</t>
  </si>
  <si>
    <t>Cooking RES 25 Year EUL</t>
  </si>
  <si>
    <t>Cooking RES 3 Year EUL</t>
  </si>
  <si>
    <t>Cooking RES 4 Year EUL</t>
  </si>
  <si>
    <t>Cooking RES 5 Year EUL</t>
  </si>
  <si>
    <t>Cooking RES 6 Year EUL</t>
  </si>
  <si>
    <t>Cooking RES 7 Year EUL</t>
  </si>
  <si>
    <t>Cooking RES 8 Year EUL</t>
  </si>
  <si>
    <t>Cooking RES 9 Year EUL</t>
  </si>
  <si>
    <t>Cooling BUS 1 Year EUL</t>
  </si>
  <si>
    <t>Cooling BUS 10 Year EUL</t>
  </si>
  <si>
    <t>Cooling BUS 11 Year EUL</t>
  </si>
  <si>
    <t>Cooling BUS 12 Year EUL</t>
  </si>
  <si>
    <t>Cooling BUS 13 Year EUL</t>
  </si>
  <si>
    <t>Cooling BUS 14 Year EUL</t>
  </si>
  <si>
    <t>Cooling BUS 15 Year EUL</t>
  </si>
  <si>
    <t>Cooling BUS 16 Year EUL</t>
  </si>
  <si>
    <t>Cooling BUS 17 Year EUL</t>
  </si>
  <si>
    <t>Cooling BUS 18 Year EUL</t>
  </si>
  <si>
    <t>Cooling BUS 19 Year EUL</t>
  </si>
  <si>
    <t>Cooling BUS 2 Year EUL</t>
  </si>
  <si>
    <t>Cooling BUS 20 Year EUL</t>
  </si>
  <si>
    <t>Cooling BUS 21 Year EUL</t>
  </si>
  <si>
    <t>Cooling BUS 22 Year EUL</t>
  </si>
  <si>
    <t>Cooling BUS 23 Year EUL</t>
  </si>
  <si>
    <t>Cooling BUS 24 Year EUL</t>
  </si>
  <si>
    <t>Cooling BUS 25 Year EUL</t>
  </si>
  <si>
    <t>Cooling BUS 26 Year EUL</t>
  </si>
  <si>
    <t>Cooling BUS 27 Year EUL</t>
  </si>
  <si>
    <t>Cooling BUS 28 Year EUL</t>
  </si>
  <si>
    <t>Cooling BUS 29 Year EUL</t>
  </si>
  <si>
    <t>Cooling BUS 3 Year EUL</t>
  </si>
  <si>
    <t>Cooling BUS 30 Year EUL</t>
  </si>
  <si>
    <t>Cooling BUS 4 Year EUL</t>
  </si>
  <si>
    <t>Cooling BUS 5 Year EUL</t>
  </si>
  <si>
    <t>Cooling BUS 6 Year EUL</t>
  </si>
  <si>
    <t>Cooling BUS 7 Year EUL</t>
  </si>
  <si>
    <t>Cooling BUS 8 Year EUL</t>
  </si>
  <si>
    <t>Cooling BUS 9 Year EUL</t>
  </si>
  <si>
    <t>Cooling RES 1 Year EUL</t>
  </si>
  <si>
    <t>Cooling RES 10 Year EUL</t>
  </si>
  <si>
    <t>Cooling RES 11 Year EUL</t>
  </si>
  <si>
    <t>Cooling RES 12 Year EUL</t>
  </si>
  <si>
    <t>Cooling RES 13 Year EUL</t>
  </si>
  <si>
    <t>Cooling RES 14 Year EUL</t>
  </si>
  <si>
    <t>Cooling RES 15 Year EUL</t>
  </si>
  <si>
    <t>Cooling RES 16 Year EUL</t>
  </si>
  <si>
    <t>Cooling RES 17 Year EUL</t>
  </si>
  <si>
    <t>Cooling RES 18 Year EUL</t>
  </si>
  <si>
    <t>Cooling RES 19 Year EUL</t>
  </si>
  <si>
    <t>Cooling RES 2 Year EUL</t>
  </si>
  <si>
    <t>Cooling RES 20 Year EUL</t>
  </si>
  <si>
    <t>Cooling RES 21 Year EUL</t>
  </si>
  <si>
    <t>Cooling RES 22 Year EUL</t>
  </si>
  <si>
    <t>Cooling RES 23 Year EUL</t>
  </si>
  <si>
    <t>Cooling RES 24 Year EUL</t>
  </si>
  <si>
    <t>Cooling RES 25 Year EUL</t>
  </si>
  <si>
    <t>Cooling RES 3 Year EUL</t>
  </si>
  <si>
    <t>Cooling RES 4 Year EUL</t>
  </si>
  <si>
    <t>Cooling RES 5 Year EUL</t>
  </si>
  <si>
    <t>Cooling RES 6 Year EUL</t>
  </si>
  <si>
    <t>Cooling RES ER1 6 Year EUL</t>
  </si>
  <si>
    <t>Cooling RES 7 Year EUL</t>
  </si>
  <si>
    <t>Cooling RES 8 Year EUL</t>
  </si>
  <si>
    <t>Cooling RES 9 Year EUL</t>
  </si>
  <si>
    <t>Cooling RES ER2 12 Year EUL</t>
  </si>
  <si>
    <t>x</t>
  </si>
  <si>
    <t>Dishwasher RES 1 Year EUL</t>
  </si>
  <si>
    <t>Dishwasher RES 10 Year EUL</t>
  </si>
  <si>
    <t>Dishwasher RES 11 Year EUL</t>
  </si>
  <si>
    <t>Dishwasher RES 12 Year EUL</t>
  </si>
  <si>
    <t>Dishwasher RES 13 Year EUL</t>
  </si>
  <si>
    <t>Dishwasher RES 14 Year EUL</t>
  </si>
  <si>
    <t>Dishwasher RES 15 Year EUL</t>
  </si>
  <si>
    <t>Dishwasher RES 16 Year EUL</t>
  </si>
  <si>
    <t>Dishwasher RES 17 Year EUL</t>
  </si>
  <si>
    <t>Dishwasher RES 18 Year EUL</t>
  </si>
  <si>
    <t>Dishwasher RES 19 Year EUL</t>
  </si>
  <si>
    <t>Dishwasher RES 2 Year EUL</t>
  </si>
  <si>
    <t>Dishwasher RES 20 Year EUL</t>
  </si>
  <si>
    <t>Dishwasher RES 21 Year EUL</t>
  </si>
  <si>
    <t>Dishwasher RES 22 Year EUL</t>
  </si>
  <si>
    <t>Dishwasher RES 23 Year EUL</t>
  </si>
  <si>
    <t>Dishwasher RES 24 Year EUL</t>
  </si>
  <si>
    <t>Dishwasher RES 25 Year EUL</t>
  </si>
  <si>
    <t>Dishwasher RES 3 Year EUL</t>
  </si>
  <si>
    <t>Dishwasher RES 4 Year EUL</t>
  </si>
  <si>
    <t>Dishwasher RES 5 Year EUL</t>
  </si>
  <si>
    <t>Dishwasher RES 6 Year EUL</t>
  </si>
  <si>
    <t>Dishwasher RES 7 Year EUL</t>
  </si>
  <si>
    <t>Dishwasher RES 8 Year EUL</t>
  </si>
  <si>
    <t>Dishwasher RES 9 Year EUL</t>
  </si>
  <si>
    <t>Ext Lighting BUS 1 Year EUL</t>
  </si>
  <si>
    <t>Ext Lighting BUS 10 Year EUL</t>
  </si>
  <si>
    <t>Ext Lighting BUS 11 Year EUL</t>
  </si>
  <si>
    <t>Ext Lighting BUS 12 Year EUL</t>
  </si>
  <si>
    <t>Ext Lighting BUS 13 Year EUL</t>
  </si>
  <si>
    <t>Ext Lighting BUS 14 Year EUL</t>
  </si>
  <si>
    <t>Ext Lighting BUS 15 Year EUL</t>
  </si>
  <si>
    <t>Ext Lighting BUS 16 Year EUL</t>
  </si>
  <si>
    <t>Ext Lighting BUS 17 Year EUL</t>
  </si>
  <si>
    <t>Ext Lighting BUS 18 Year EUL</t>
  </si>
  <si>
    <t>Ext Lighting BUS 19 Year EUL</t>
  </si>
  <si>
    <t>Ext Lighting BUS 2 Year EUL</t>
  </si>
  <si>
    <t>Ext Lighting BUS 20 Year EUL</t>
  </si>
  <si>
    <t>Ext Lighting BUS 21 Year EUL</t>
  </si>
  <si>
    <t>Ext Lighting BUS 22 Year EUL</t>
  </si>
  <si>
    <t>Ext Lighting BUS 23 Year EUL</t>
  </si>
  <si>
    <t>Ext Lighting BUS 24 Year EUL</t>
  </si>
  <si>
    <t>Ext Lighting BUS 25 Year EUL</t>
  </si>
  <si>
    <t>Ext Lighting BUS 26 Year EUL</t>
  </si>
  <si>
    <t>Ext Lighting BUS 27 Year EUL</t>
  </si>
  <si>
    <t>Ext Lighting BUS 28 Year EUL</t>
  </si>
  <si>
    <t>Ext Lighting BUS 29 Year EUL</t>
  </si>
  <si>
    <t>Ext Lighting BUS 3 Year EUL</t>
  </si>
  <si>
    <t>Ext Lighting BUS 30 Year EUL</t>
  </si>
  <si>
    <t>Ext Lighting BUS 4 Year EUL</t>
  </si>
  <si>
    <t>Ext Lighting BUS 5 Year EUL</t>
  </si>
  <si>
    <t>Ext Lighting BUS 6 Year EUL</t>
  </si>
  <si>
    <t>Ext Lighting BUS 7 Year EUL</t>
  </si>
  <si>
    <t>Ext Lighting BUS 8 Year EUL</t>
  </si>
  <si>
    <t>Ext Lighting BUS 9 Year EUL</t>
  </si>
  <si>
    <t>Freezer RES 1 Year EUL</t>
  </si>
  <si>
    <t>Freezer RES 10 Year EUL</t>
  </si>
  <si>
    <t>Freezer RES 11 Year EUL</t>
  </si>
  <si>
    <t>Freezer RES 12 Year EUL</t>
  </si>
  <si>
    <t>Freezer RES 13 Year EUL</t>
  </si>
  <si>
    <t>Freezer RES 14 Year EUL</t>
  </si>
  <si>
    <t>Freezer RES 15 Year EUL</t>
  </si>
  <si>
    <t>Freezer RES 16 Year EUL</t>
  </si>
  <si>
    <t>Freezer RES 17 Year EUL</t>
  </si>
  <si>
    <t>Freezer RES 18 Year EUL</t>
  </si>
  <si>
    <t>Freezer RES 19 Year EUL</t>
  </si>
  <si>
    <t>Freezer RES 2 Year EUL</t>
  </si>
  <si>
    <t>Freezer RES 20 Year EUL</t>
  </si>
  <si>
    <t>Freezer RES 21 Year EUL</t>
  </si>
  <si>
    <t>Freezer RES 22 Year EUL</t>
  </si>
  <si>
    <t>Freezer RES 23 Year EUL</t>
  </si>
  <si>
    <t>Freezer RES 24 Year EUL</t>
  </si>
  <si>
    <t>Freezer RES 25 Year EUL</t>
  </si>
  <si>
    <t>Freezer RES 3 Year EUL</t>
  </si>
  <si>
    <t>Freezer RES 4 Year EUL</t>
  </si>
  <si>
    <t>Freezer RES 5 Year EUL</t>
  </si>
  <si>
    <t>Freezer RES 6 Year EUL</t>
  </si>
  <si>
    <t>Freezer RES 7 Year EUL</t>
  </si>
  <si>
    <t>Freezer RES 8 Year EUL</t>
  </si>
  <si>
    <t>Freezer RES 9 Year EUL</t>
  </si>
  <si>
    <t>Heating BUS 1 Year EUL</t>
  </si>
  <si>
    <t>Heating BUS 10 Year EUL</t>
  </si>
  <si>
    <t>Heating BUS 11 Year EUL</t>
  </si>
  <si>
    <t>Heating BUS 12 Year EUL</t>
  </si>
  <si>
    <t>Heating BUS 13 Year EUL</t>
  </si>
  <si>
    <t>Heating BUS 14 Year EUL</t>
  </si>
  <si>
    <t>Heating BUS 15 Year EUL</t>
  </si>
  <si>
    <t>Heating BUS 16 Year EUL</t>
  </si>
  <si>
    <t>Heating BUS 17 Year EUL</t>
  </si>
  <si>
    <t>Heating BUS 18 Year EUL</t>
  </si>
  <si>
    <t>Heating BUS 19 Year EUL</t>
  </si>
  <si>
    <t>Heating BUS 2 Year EUL</t>
  </si>
  <si>
    <t>Heating BUS 20 Year EUL</t>
  </si>
  <si>
    <t>Heating BUS 21 Year EUL</t>
  </si>
  <si>
    <t>Heating BUS 22 Year EUL</t>
  </si>
  <si>
    <t>Heating BUS 23 Year EUL</t>
  </si>
  <si>
    <t>Heating BUS 24 Year EUL</t>
  </si>
  <si>
    <t>Heating BUS 25 Year EUL</t>
  </si>
  <si>
    <t>Heating BUS 26 Year EUL</t>
  </si>
  <si>
    <t>Heating BUS 27 Year EUL</t>
  </si>
  <si>
    <t>Heating BUS 28 Year EUL</t>
  </si>
  <si>
    <t>Heating BUS 29 Year EUL</t>
  </si>
  <si>
    <t>Heating BUS 3 Year EUL</t>
  </si>
  <si>
    <t>Heating BUS 30 Year EUL</t>
  </si>
  <si>
    <t>Heating BUS 4 Year EUL</t>
  </si>
  <si>
    <t>Heating BUS 5 Year EUL</t>
  </si>
  <si>
    <t>Heating BUS 6 Year EUL</t>
  </si>
  <si>
    <t>Heating BUS 7 Year EUL</t>
  </si>
  <si>
    <t>Heating BUS 8 Year EUL</t>
  </si>
  <si>
    <t>Heating BUS 9 Year EUL</t>
  </si>
  <si>
    <t>Heating RES 1 Year EUL</t>
  </si>
  <si>
    <t>Heating RES 10 Year EUL</t>
  </si>
  <si>
    <t>Heating RES 11 Year EUL</t>
  </si>
  <si>
    <t>Heating RES 12 Year EUL</t>
  </si>
  <si>
    <t>Heating RES 13 Year EUL</t>
  </si>
  <si>
    <t>Heating RES 14 Year EUL</t>
  </si>
  <si>
    <t>Heating RES 15 Year EUL</t>
  </si>
  <si>
    <t>Heating RES 16 Year EUL</t>
  </si>
  <si>
    <t>Heating RES 17 Year EUL</t>
  </si>
  <si>
    <t>Heating RES 18 Year EUL</t>
  </si>
  <si>
    <t>Heating RES 19 Year EUL</t>
  </si>
  <si>
    <t>Heating RES 2 Year EUL</t>
  </si>
  <si>
    <t>Heating RES 20 Year EUL</t>
  </si>
  <si>
    <t>Heating RES 21 Year EUL</t>
  </si>
  <si>
    <t>Heating RES 22 Year EUL</t>
  </si>
  <si>
    <t>Heating RES 23 Year EUL</t>
  </si>
  <si>
    <t>Heating RES 24 Year EUL</t>
  </si>
  <si>
    <t>Heating RES 25 Year EUL</t>
  </si>
  <si>
    <t>Heating RES 3 Year EUL</t>
  </si>
  <si>
    <t>Heating RES 4 Year EUL</t>
  </si>
  <si>
    <t>Heating RES 5 Year EUL</t>
  </si>
  <si>
    <t>Heating RES 6 Year EUL</t>
  </si>
  <si>
    <t>Heating RES ER1 6 Year EUL</t>
  </si>
  <si>
    <t>Heating RES 7 Year EUL</t>
  </si>
  <si>
    <t>Heating RES 8 Year EUL</t>
  </si>
  <si>
    <t>Heating RES 9 Year EUL</t>
  </si>
  <si>
    <t>Heating RES ER2 12 Year EUL</t>
  </si>
  <si>
    <t>HVAC BUS 1 Year EUL</t>
  </si>
  <si>
    <t>HVAC BUS 10 Year EUL</t>
  </si>
  <si>
    <t>HVAC BUS 11 Year EUL</t>
  </si>
  <si>
    <t>HVAC BUS 12 Year EUL</t>
  </si>
  <si>
    <t>HVAC BUS 13 Year EUL</t>
  </si>
  <si>
    <t>HVAC BUS 14 Year EUL</t>
  </si>
  <si>
    <t>HVAC BUS 15 Year EUL</t>
  </si>
  <si>
    <t>HVAC BUS 16 Year EUL</t>
  </si>
  <si>
    <t>HVAC BUS 17 Year EUL</t>
  </si>
  <si>
    <t>HVAC BUS 18 Year EUL</t>
  </si>
  <si>
    <t>HVAC BUS 19 Year EUL</t>
  </si>
  <si>
    <t>HVAC BUS 2 Year EUL</t>
  </si>
  <si>
    <t>HVAC BUS 20 Year EUL</t>
  </si>
  <si>
    <t>HVAC BUS 21 Year EUL</t>
  </si>
  <si>
    <t>HVAC BUS 22 Year EUL</t>
  </si>
  <si>
    <t>HVAC BUS 23 Year EUL</t>
  </si>
  <si>
    <t>HVAC BUS 24 Year EUL</t>
  </si>
  <si>
    <t>HVAC BUS 25 Year EUL</t>
  </si>
  <si>
    <t>HVAC BUS 26 Year EUL</t>
  </si>
  <si>
    <t>HVAC BUS 27 Year EUL</t>
  </si>
  <si>
    <t>HVAC BUS 28 Year EUL</t>
  </si>
  <si>
    <t>HVAC BUS 29 Year EUL</t>
  </si>
  <si>
    <t>HVAC BUS 3 Year EUL</t>
  </si>
  <si>
    <t>HVAC BUS 30 Year EUL</t>
  </si>
  <si>
    <t>HVAC BUS 4 Year EUL</t>
  </si>
  <si>
    <t>HVAC BUS 5 Year EUL</t>
  </si>
  <si>
    <t>HVAC BUS 6 Year EUL</t>
  </si>
  <si>
    <t>HVAC BUS 7 Year EUL</t>
  </si>
  <si>
    <t>HVAC BUS 8 Year EUL</t>
  </si>
  <si>
    <t>HVAC BUS 9 Year EUL</t>
  </si>
  <si>
    <t>HVAC RES 1 Year EUL</t>
  </si>
  <si>
    <t>HVAC RES 10 Year EUL</t>
  </si>
  <si>
    <t>HVAC RES 11 Year EUL</t>
  </si>
  <si>
    <t>HVAC RES 12 Year EUL</t>
  </si>
  <si>
    <t>HVAC RES 13 Year EUL</t>
  </si>
  <si>
    <t>HVAC RES 14 Year EUL</t>
  </si>
  <si>
    <t>HVAC RES 15 Year EUL</t>
  </si>
  <si>
    <t>HVAC RES 16 Year EUL</t>
  </si>
  <si>
    <t>HVAC RES 17 Year EUL</t>
  </si>
  <si>
    <t>HVAC RES 18 Year EUL</t>
  </si>
  <si>
    <t>HVAC RES 19 Year EUL</t>
  </si>
  <si>
    <t>HVAC RES 2 Year EUL</t>
  </si>
  <si>
    <t>HVAC RES 20 Year EUL</t>
  </si>
  <si>
    <t>HVAC RES 21 Year EUL</t>
  </si>
  <si>
    <t>HVAC RES 22 Year EUL</t>
  </si>
  <si>
    <t>HVAC RES 23 Year EUL</t>
  </si>
  <si>
    <t>HVAC RES 24 Year EUL</t>
  </si>
  <si>
    <t>HVAC RES 25 Year EUL</t>
  </si>
  <si>
    <t>HVAC RES 3 Year EUL</t>
  </si>
  <si>
    <t>HVAC RES 4 Year EUL</t>
  </si>
  <si>
    <t>HVAC RES 5 Year EUL</t>
  </si>
  <si>
    <t>HVAC RES 6 Year EUL</t>
  </si>
  <si>
    <t>HVAC RES ER1 6 Year EUL</t>
  </si>
  <si>
    <t>HVAC RES 7 Year EUL</t>
  </si>
  <si>
    <t>HVAC RES 8 Year EUL</t>
  </si>
  <si>
    <t>HVAC RES 9 Year EUL</t>
  </si>
  <si>
    <t>HVAC RES ER2 12 Year EUL</t>
  </si>
  <si>
    <t>Lighting BUS 1 Year EUL</t>
  </si>
  <si>
    <t>Lighting BUS 10 Year EUL</t>
  </si>
  <si>
    <t>Lighting BUS 11 Year EUL</t>
  </si>
  <si>
    <t>Lighting BUS 12 Year EUL</t>
  </si>
  <si>
    <t>Lighting BUS 13 Year EUL</t>
  </si>
  <si>
    <t>Lighting BUS 14 Year EUL</t>
  </si>
  <si>
    <t>Lighting BUS 15 Year EUL</t>
  </si>
  <si>
    <t>Lighting BUS 16 Year EUL</t>
  </si>
  <si>
    <t>Lighting BUS 17 Year EUL</t>
  </si>
  <si>
    <t>Lighting BUS 18 Year EUL</t>
  </si>
  <si>
    <t>Lighting BUS 19 Year EUL</t>
  </si>
  <si>
    <t>Lighting BUS 2 Year EUL</t>
  </si>
  <si>
    <t>Lighting BUS 20 Year EUL</t>
  </si>
  <si>
    <t>Lighting BUS 21 Year EUL</t>
  </si>
  <si>
    <t>Lighting BUS 22 Year EUL</t>
  </si>
  <si>
    <t>Lighting BUS 23 Year EUL</t>
  </si>
  <si>
    <t>Lighting BUS 24 Year EUL</t>
  </si>
  <si>
    <t>Lighting BUS 25 Year EUL</t>
  </si>
  <si>
    <t>Lighting BUS 26 Year EUL</t>
  </si>
  <si>
    <t>Lighting BUS 27 Year EUL</t>
  </si>
  <si>
    <t>Lighting BUS 28 Year EUL</t>
  </si>
  <si>
    <t>Lighting BUS 29 Year EUL</t>
  </si>
  <si>
    <t>Lighting BUS 3 Year EUL</t>
  </si>
  <si>
    <t>Lighting BUS 30 Year EUL</t>
  </si>
  <si>
    <t>Lighting BUS 4 Year EUL</t>
  </si>
  <si>
    <t>Lighting BUS 5 Year EUL</t>
  </si>
  <si>
    <t>Lighting BUS 6 Year EUL</t>
  </si>
  <si>
    <t>Lighting BUS 7 Year EUL</t>
  </si>
  <si>
    <t>Lighting BUS 8 Year EUL</t>
  </si>
  <si>
    <t>Lighting BUS 9 Year EUL</t>
  </si>
  <si>
    <t>Lighting RES 1 Year EUL</t>
  </si>
  <si>
    <t>Lighting RES 10 Year EUL</t>
  </si>
  <si>
    <t>Lighting RES 11 Year EUL</t>
  </si>
  <si>
    <t>Lighting RES 12 Year EUL</t>
  </si>
  <si>
    <t>Lighting RES 13 Year EUL</t>
  </si>
  <si>
    <t>Lighting RES 14 Year EUL</t>
  </si>
  <si>
    <t>Lighting RES 15 Year EUL</t>
  </si>
  <si>
    <t>Lighting RES 16 Year EUL</t>
  </si>
  <si>
    <t>Lighting RES 17 Year EUL</t>
  </si>
  <si>
    <t>Lighting RES 18 Year EUL</t>
  </si>
  <si>
    <t>Lighting RES 19 Year EUL</t>
  </si>
  <si>
    <t>Lighting RES 2 Year EUL</t>
  </si>
  <si>
    <t>Lighting RES 20 Year EUL</t>
  </si>
  <si>
    <t>Lighting RES 21 Year EUL</t>
  </si>
  <si>
    <t>Lighting RES 22 Year EUL</t>
  </si>
  <si>
    <t>Lighting RES 23 Year EUL</t>
  </si>
  <si>
    <t>Lighting RES 24 Year EUL</t>
  </si>
  <si>
    <t>Lighting RES 25 Year EUL</t>
  </si>
  <si>
    <t>Lighting RES 3 Year EUL</t>
  </si>
  <si>
    <t>Lighting RES 4 Year EUL</t>
  </si>
  <si>
    <t>Lighting RES 5 Year EUL</t>
  </si>
  <si>
    <t>Lighting RES 6 Year EUL</t>
  </si>
  <si>
    <t>Lighting RES 7 Year EUL</t>
  </si>
  <si>
    <t>Lighting RES 8 Year EUL</t>
  </si>
  <si>
    <t>Lighting RES 9 Year EUL</t>
  </si>
  <si>
    <t>Miscellaneous BUS 1 Year EUL</t>
  </si>
  <si>
    <t>Miscellaneous BUS 10 Year EUL</t>
  </si>
  <si>
    <t>Miscellaneous BUS 11 Year EUL</t>
  </si>
  <si>
    <t>Miscellaneous BUS 12 Year EUL</t>
  </si>
  <si>
    <t>Miscellaneous BUS 13 Year EUL</t>
  </si>
  <si>
    <t>Miscellaneous BUS 14 Year EUL</t>
  </si>
  <si>
    <t>Miscellaneous BUS 15 Year EUL</t>
  </si>
  <si>
    <t>Miscellaneous BUS 16 Year EUL</t>
  </si>
  <si>
    <t>Miscellaneous BUS 17 Year EUL</t>
  </si>
  <si>
    <t>Miscellaneous BUS 18 Year EUL</t>
  </si>
  <si>
    <t>Miscellaneous BUS 19 Year EUL</t>
  </si>
  <si>
    <t>Miscellaneous BUS 2 Year EUL</t>
  </si>
  <si>
    <t>Miscellaneous BUS 20 Year EUL</t>
  </si>
  <si>
    <t>Miscellaneous BUS 21 Year EUL</t>
  </si>
  <si>
    <t>Miscellaneous BUS 22 Year EUL</t>
  </si>
  <si>
    <t>Miscellaneous BUS 23 Year EUL</t>
  </si>
  <si>
    <t>Miscellaneous BUS 24 Year EUL</t>
  </si>
  <si>
    <t>Miscellaneous BUS 25 Year EUL</t>
  </si>
  <si>
    <t>Miscellaneous BUS 26 Year EUL</t>
  </si>
  <si>
    <t>Miscellaneous BUS 27 Year EUL</t>
  </si>
  <si>
    <t>Miscellaneous BUS 28 Year EUL</t>
  </si>
  <si>
    <t>Miscellaneous BUS 29 Year EUL</t>
  </si>
  <si>
    <t>Miscellaneous BUS 3 Year EUL</t>
  </si>
  <si>
    <t>Miscellaneous BUS 30 Year EUL</t>
  </si>
  <si>
    <t>Miscellaneous BUS 4 Year EUL</t>
  </si>
  <si>
    <t>Miscellaneous BUS 5 Year EUL</t>
  </si>
  <si>
    <t>Miscellaneous BUS 6 Year EUL</t>
  </si>
  <si>
    <t>Miscellaneous BUS 7 Year EUL</t>
  </si>
  <si>
    <t>Miscellaneous BUS 8 Year EUL</t>
  </si>
  <si>
    <t>Miscellaneous BUS 9 Year EUL</t>
  </si>
  <si>
    <t>Miscellaneous RES 1 Year EUL</t>
  </si>
  <si>
    <t>Miscellaneous RES 10 Year EUL</t>
  </si>
  <si>
    <t>Miscellaneous RES 11 Year EUL</t>
  </si>
  <si>
    <t>Miscellaneous RES 12 Year EUL</t>
  </si>
  <si>
    <t>Miscellaneous RES 13 Year EUL</t>
  </si>
  <si>
    <t>Miscellaneous RES 14 Year EUL</t>
  </si>
  <si>
    <t>Miscellaneous RES 15 Year EUL</t>
  </si>
  <si>
    <t>Miscellaneous RES 16 Year EUL</t>
  </si>
  <si>
    <t>Miscellaneous RES 17 Year EUL</t>
  </si>
  <si>
    <t>Miscellaneous RES 18 Year EUL</t>
  </si>
  <si>
    <t>Miscellaneous RES 19 Year EUL</t>
  </si>
  <si>
    <t>Miscellaneous RES 2 Year EUL</t>
  </si>
  <si>
    <t>Miscellaneous RES 20 Year EUL</t>
  </si>
  <si>
    <t>Miscellaneous RES 21 Year EUL</t>
  </si>
  <si>
    <t>Miscellaneous RES 22 Year EUL</t>
  </si>
  <si>
    <t>Miscellaneous RES 23 Year EUL</t>
  </si>
  <si>
    <t>Miscellaneous RES 24 Year EUL</t>
  </si>
  <si>
    <t>Miscellaneous RES 25 Year EUL</t>
  </si>
  <si>
    <t>Miscellaneous RES 3 Year EUL</t>
  </si>
  <si>
    <t>Miscellaneous RES 4 Year EUL</t>
  </si>
  <si>
    <t>Miscellaneous RES 5 Year EUL</t>
  </si>
  <si>
    <t>Miscellaneous RES 6 Year EUL</t>
  </si>
  <si>
    <t>Miscellaneous RES 7 Year EUL</t>
  </si>
  <si>
    <t>Miscellaneous RES 8 Year EUL</t>
  </si>
  <si>
    <t>Miscellaneous RES 9 Year EUL</t>
  </si>
  <si>
    <t>Motors BUS 1 Year EUL</t>
  </si>
  <si>
    <t>Motors BUS 10 Year EUL</t>
  </si>
  <si>
    <t>Motors BUS 11 Year EUL</t>
  </si>
  <si>
    <t>Motors BUS 12 Year EUL</t>
  </si>
  <si>
    <t>Motors BUS 13 Year EUL</t>
  </si>
  <si>
    <t>Motors BUS 14 Year EUL</t>
  </si>
  <si>
    <t>Motors BUS 15 Year EUL</t>
  </si>
  <si>
    <t>Motors BUS 16 Year EUL</t>
  </si>
  <si>
    <t>Motors BUS 17 Year EUL</t>
  </si>
  <si>
    <t>Motors BUS 18 Year EUL</t>
  </si>
  <si>
    <t>Motors BUS 19 Year EUL</t>
  </si>
  <si>
    <t>Motors BUS 2 Year EUL</t>
  </si>
  <si>
    <t>Motors BUS 20 Year EUL</t>
  </si>
  <si>
    <t>Motors BUS 21 Year EUL</t>
  </si>
  <si>
    <t>Motors BUS 22 Year EUL</t>
  </si>
  <si>
    <t>Motors BUS 23 Year EUL</t>
  </si>
  <si>
    <t>Motors BUS 24 Year EUL</t>
  </si>
  <si>
    <t>Motors BUS 25 Year EUL</t>
  </si>
  <si>
    <t>Motors BUS 26 Year EUL</t>
  </si>
  <si>
    <t>Motors BUS 27 Year EUL</t>
  </si>
  <si>
    <t>Motors BUS 28 Year EUL</t>
  </si>
  <si>
    <t>Motors BUS 29 Year EUL</t>
  </si>
  <si>
    <t>Motors BUS 3 Year EUL</t>
  </si>
  <si>
    <t>Motors BUS 30 Year EUL</t>
  </si>
  <si>
    <t>Motors BUS 4 Year EUL</t>
  </si>
  <si>
    <t>Motors BUS 5 Year EUL</t>
  </si>
  <si>
    <t>Motors BUS 6 Year EUL</t>
  </si>
  <si>
    <t>Motors BUS 7 Year EUL</t>
  </si>
  <si>
    <t>Motors BUS 8 Year EUL</t>
  </si>
  <si>
    <t>Motors BUS 9 Year EUL</t>
  </si>
  <si>
    <t>Office BUS 1 Year EUL</t>
  </si>
  <si>
    <t>Office BUS 10 Year EUL</t>
  </si>
  <si>
    <t>Office BUS 11 Year EUL</t>
  </si>
  <si>
    <t>Office BUS 12 Year EUL</t>
  </si>
  <si>
    <t>Office BUS 13 Year EUL</t>
  </si>
  <si>
    <t>Office BUS 14 Year EUL</t>
  </si>
  <si>
    <t>Office BUS 15 Year EUL</t>
  </si>
  <si>
    <t>Office BUS 16 Year EUL</t>
  </si>
  <si>
    <t>Office BUS 17 Year EUL</t>
  </si>
  <si>
    <t>Office BUS 18 Year EUL</t>
  </si>
  <si>
    <t>Office BUS 19 Year EUL</t>
  </si>
  <si>
    <t>Office BUS 2 Year EUL</t>
  </si>
  <si>
    <t>Office BUS 20 Year EUL</t>
  </si>
  <si>
    <t>Office BUS 21 Year EUL</t>
  </si>
  <si>
    <t>Office BUS 22 Year EUL</t>
  </si>
  <si>
    <t>Office BUS 23 Year EUL</t>
  </si>
  <si>
    <t>Office BUS 24 Year EUL</t>
  </si>
  <si>
    <t>Office BUS 25 Year EUL</t>
  </si>
  <si>
    <t>Office BUS 26 Year EUL</t>
  </si>
  <si>
    <t>Office BUS 27 Year EUL</t>
  </si>
  <si>
    <t>Office BUS 28 Year EUL</t>
  </si>
  <si>
    <t>Office BUS 29 Year EUL</t>
  </si>
  <si>
    <t>Office BUS 3 Year EUL</t>
  </si>
  <si>
    <t>Office BUS 30 Year EUL</t>
  </si>
  <si>
    <t>Office BUS 4 Year EUL</t>
  </si>
  <si>
    <t>Office BUS 5 Year EUL</t>
  </si>
  <si>
    <t>Office BUS 6 Year EUL</t>
  </si>
  <si>
    <t>Office BUS 7 Year EUL</t>
  </si>
  <si>
    <t>Office BUS 8 Year EUL</t>
  </si>
  <si>
    <t>Office BUS 9 Year EUL</t>
  </si>
  <si>
    <t>Pool Spa RES 1 Year EUL</t>
  </si>
  <si>
    <t>Pool Spa RES 10 Year EUL</t>
  </si>
  <si>
    <t>Pool Spa RES 11 Year EUL</t>
  </si>
  <si>
    <t>Pool Spa RES 12 Year EUL</t>
  </si>
  <si>
    <t>Pool Spa RES 13 Year EUL</t>
  </si>
  <si>
    <t>Pool Spa RES 14 Year EUL</t>
  </si>
  <si>
    <t>Pool Spa RES 15 Year EUL</t>
  </si>
  <si>
    <t>Pool Spa RES 16 Year EUL</t>
  </si>
  <si>
    <t>Pool Spa RES 17 Year EUL</t>
  </si>
  <si>
    <t>Pool Spa RES 18 Year EUL</t>
  </si>
  <si>
    <t>Pool Spa RES 19 Year EUL</t>
  </si>
  <si>
    <t>Pool Spa RES 2 Year EUL</t>
  </si>
  <si>
    <t>Pool Spa RES 20 Year EUL</t>
  </si>
  <si>
    <t>Pool Spa RES 21 Year EUL</t>
  </si>
  <si>
    <t>Pool Spa RES 22 Year EUL</t>
  </si>
  <si>
    <t>Pool Spa RES 23 Year EUL</t>
  </si>
  <si>
    <t>Pool Spa RES 24 Year EUL</t>
  </si>
  <si>
    <t>Pool Spa RES 25 Year EUL</t>
  </si>
  <si>
    <t>Pool Spa RES 3 Year EUL</t>
  </si>
  <si>
    <t>Pool Spa RES 4 Year EUL</t>
  </si>
  <si>
    <t>Pool Spa RES 5 Year EUL</t>
  </si>
  <si>
    <t>Pool Spa RES 6 Year EUL</t>
  </si>
  <si>
    <t>Pool Spa RES 7 Year EUL</t>
  </si>
  <si>
    <t>Pool Spa RES 8 Year EUL</t>
  </si>
  <si>
    <t>Pool Spa RES 9 Year EUL</t>
  </si>
  <si>
    <t>Process BUS 1 Year EUL</t>
  </si>
  <si>
    <t>Process BUS 10 Year EUL</t>
  </si>
  <si>
    <t>Process BUS 11 Year EUL</t>
  </si>
  <si>
    <t>Process BUS 12 Year EUL</t>
  </si>
  <si>
    <t>Process BUS 13 Year EUL</t>
  </si>
  <si>
    <t>Process BUS 14 Year EUL</t>
  </si>
  <si>
    <t>Process BUS 15 Year EUL</t>
  </si>
  <si>
    <t>Process BUS 16 Year EUL</t>
  </si>
  <si>
    <t>Process BUS 17 Year EUL</t>
  </si>
  <si>
    <t>Process BUS 18 Year EUL</t>
  </si>
  <si>
    <t>Process BUS 19 Year EUL</t>
  </si>
  <si>
    <t>Process BUS 2 Year EUL</t>
  </si>
  <si>
    <t>Process BUS 20 Year EUL</t>
  </si>
  <si>
    <t>Process BUS 21 Year EUL</t>
  </si>
  <si>
    <t>Process BUS 22 Year EUL</t>
  </si>
  <si>
    <t>Process BUS 23 Year EUL</t>
  </si>
  <si>
    <t>Process BUS 24 Year EUL</t>
  </si>
  <si>
    <t>Process BUS 25 Year EUL</t>
  </si>
  <si>
    <t>Process BUS 26 Year EUL</t>
  </si>
  <si>
    <t>Process BUS 27 Year EUL</t>
  </si>
  <si>
    <t>Process BUS 28 Year EUL</t>
  </si>
  <si>
    <t>Process BUS 29 Year EUL</t>
  </si>
  <si>
    <t>Process BUS 3 Year EUL</t>
  </si>
  <si>
    <t>Process BUS 30 Year EUL</t>
  </si>
  <si>
    <t>Process BUS 4 Year EUL</t>
  </si>
  <si>
    <t>Process BUS 5 Year EUL</t>
  </si>
  <si>
    <t>Process BUS 6 Year EUL</t>
  </si>
  <si>
    <t>Process BUS 7 Year EUL</t>
  </si>
  <si>
    <t>Process BUS 8 Year EUL</t>
  </si>
  <si>
    <t>Process BUS 9 Year EUL</t>
  </si>
  <si>
    <t>Refrigeration BUS 1 Year EUL</t>
  </si>
  <si>
    <t>Refrigeration BUS 10 Year EUL</t>
  </si>
  <si>
    <t>Refrigeration BUS 11 Year EUL</t>
  </si>
  <si>
    <t>Refrigeration BUS 12 Year EUL</t>
  </si>
  <si>
    <t>Refrigeration BUS 13 Year EUL</t>
  </si>
  <si>
    <t>Refrigeration BUS 14 Year EUL</t>
  </si>
  <si>
    <t>Refrigeration BUS 15 Year EUL</t>
  </si>
  <si>
    <t>Refrigeration BUS 16 Year EUL</t>
  </si>
  <si>
    <t>Refrigeration BUS 17 Year EUL</t>
  </si>
  <si>
    <t>Refrigeration BUS 18 Year EUL</t>
  </si>
  <si>
    <t>Refrigeration BUS 19 Year EUL</t>
  </si>
  <si>
    <t>Refrigeration BUS 2 Year EUL</t>
  </si>
  <si>
    <t>Refrigeration BUS 20 Year EUL</t>
  </si>
  <si>
    <t>Refrigeration BUS 21 Year EUL</t>
  </si>
  <si>
    <t>Refrigeration BUS 22 Year EUL</t>
  </si>
  <si>
    <t>Refrigeration BUS 23 Year EUL</t>
  </si>
  <si>
    <t>Refrigeration BUS 24 Year EUL</t>
  </si>
  <si>
    <t>Refrigeration BUS 25 Year EUL</t>
  </si>
  <si>
    <t>Refrigeration BUS 26 Year EUL</t>
  </si>
  <si>
    <t>Refrigeration BUS 27 Year EUL</t>
  </si>
  <si>
    <t>Refrigeration BUS 28 Year EUL</t>
  </si>
  <si>
    <t>Refrigeration BUS 29 Year EUL</t>
  </si>
  <si>
    <t>Refrigeration BUS 3 Year EUL</t>
  </si>
  <si>
    <t>Refrigeration BUS 30 Year EUL</t>
  </si>
  <si>
    <t>Refrigeration BUS 4 Year EUL</t>
  </si>
  <si>
    <t>Refrigeration BUS 5 Year EUL</t>
  </si>
  <si>
    <t>Refrigeration BUS 6 Year EUL</t>
  </si>
  <si>
    <t>Refrigeration BUS 7 Year EUL</t>
  </si>
  <si>
    <t>Refrigeration BUS 8 Year EUL</t>
  </si>
  <si>
    <t>Refrigeration BUS 9 Year EUL</t>
  </si>
  <si>
    <t>Refrigeration RES 1 Year EUL</t>
  </si>
  <si>
    <t>Refrigeration RES 10 Year EUL</t>
  </si>
  <si>
    <t>Refrigeration RES 11 Year EUL</t>
  </si>
  <si>
    <t>Refrigeration RES 12 Year EUL</t>
  </si>
  <si>
    <t>Refrigeration RES 13 Year EUL</t>
  </si>
  <si>
    <t>Refrigeration RES 14 Year EUL</t>
  </si>
  <si>
    <t>Refrigeration RES 15 Year EUL</t>
  </si>
  <si>
    <t>Refrigeration RES 16 Year EUL</t>
  </si>
  <si>
    <t>Refrigeration RES 17 Year EUL</t>
  </si>
  <si>
    <t>Refrigeration RES 18 Year EUL</t>
  </si>
  <si>
    <t>Refrigeration RES 19 Year EUL</t>
  </si>
  <si>
    <t>Refrigeration RES 2 Year EUL</t>
  </si>
  <si>
    <t>Refrigeration RES 20 Year EUL</t>
  </si>
  <si>
    <t>Refrigeration RES 21 Year EUL</t>
  </si>
  <si>
    <t>Refrigeration RES 22 Year EUL</t>
  </si>
  <si>
    <t>Refrigeration RES 23 Year EUL</t>
  </si>
  <si>
    <t>Refrigeration RES 24 Year EUL</t>
  </si>
  <si>
    <t>Refrigeration RES 25 Year EUL</t>
  </si>
  <si>
    <t>Refrigeration RES 3 Year EUL</t>
  </si>
  <si>
    <t>Refrigeration RES 4 Year EUL</t>
  </si>
  <si>
    <t>Refrigeration RES 5 Year EUL</t>
  </si>
  <si>
    <t>Refrigeration RES 6 Year EUL</t>
  </si>
  <si>
    <t>Refrigeration RES ER1 6 Year EUL</t>
  </si>
  <si>
    <t>Refrigeration RES 7 Year EUL</t>
  </si>
  <si>
    <t>Refrigeration RES 8 Year EUL</t>
  </si>
  <si>
    <t>Refrigeration RES 9 Year EUL</t>
  </si>
  <si>
    <t>Refrigeration RES ER2 11 Year EUL</t>
  </si>
  <si>
    <t>Ventilation BUS 1 Year EUL</t>
  </si>
  <si>
    <t>Ventilation BUS 10 Year EUL</t>
  </si>
  <si>
    <t>Ventilation BUS 11 Year EUL</t>
  </si>
  <si>
    <t>Ventilation BUS 12 Year EUL</t>
  </si>
  <si>
    <t>Ventilation BUS 13 Year EUL</t>
  </si>
  <si>
    <t>Ventilation BUS 14 Year EUL</t>
  </si>
  <si>
    <t>Ventilation BUS 15 Year EUL</t>
  </si>
  <si>
    <t>Ventilation BUS 16 Year EUL</t>
  </si>
  <si>
    <t>Ventilation BUS 17 Year EUL</t>
  </si>
  <si>
    <t>Ventilation BUS 18 Year EUL</t>
  </si>
  <si>
    <t>Ventilation BUS 19 Year EUL</t>
  </si>
  <si>
    <t>Ventilation BUS 2 Year EUL</t>
  </si>
  <si>
    <t>Ventilation BUS 20 Year EUL</t>
  </si>
  <si>
    <t>Ventilation BUS 21 Year EUL</t>
  </si>
  <si>
    <t>Ventilation BUS 22 Year EUL</t>
  </si>
  <si>
    <t>Ventilation BUS 23 Year EUL</t>
  </si>
  <si>
    <t>Ventilation BUS 24 Year EUL</t>
  </si>
  <si>
    <t>Ventilation BUS 25 Year EUL</t>
  </si>
  <si>
    <t>Ventilation BUS 26 Year EUL</t>
  </si>
  <si>
    <t>Ventilation BUS 27 Year EUL</t>
  </si>
  <si>
    <t>Ventilation BUS 28 Year EUL</t>
  </si>
  <si>
    <t>Ventilation BUS 29 Year EUL</t>
  </si>
  <si>
    <t>Ventilation BUS 3 Year EUL</t>
  </si>
  <si>
    <t>Ventilation BUS 30 Year EUL</t>
  </si>
  <si>
    <t>Ventilation BUS 4 Year EUL</t>
  </si>
  <si>
    <t>Ventilation BUS 5 Year EUL</t>
  </si>
  <si>
    <t>Ventilation BUS 6 Year EUL</t>
  </si>
  <si>
    <t>Ventilation BUS 7 Year EUL</t>
  </si>
  <si>
    <t>Ventilation BUS 8 Year EUL</t>
  </si>
  <si>
    <t>Ventilation BUS 9 Year EUL</t>
  </si>
  <si>
    <t>Water Heating BUS 1 Year EUL</t>
  </si>
  <si>
    <t>Water Heating BUS 10 Year EUL</t>
  </si>
  <si>
    <t>Water Heating BUS 11 Year EUL</t>
  </si>
  <si>
    <t>Water Heating BUS 12 Year EUL</t>
  </si>
  <si>
    <t>Water Heating BUS 13 Year EUL</t>
  </si>
  <si>
    <t>Water Heating BUS 14 Year EUL</t>
  </si>
  <si>
    <t>Water Heating BUS 15 Year EUL</t>
  </si>
  <si>
    <t>Water Heating BUS 16 Year EUL</t>
  </si>
  <si>
    <t>Water Heating BUS 17 Year EUL</t>
  </si>
  <si>
    <t>Water Heating BUS 18 Year EUL</t>
  </si>
  <si>
    <t>Water Heating BUS 19 Year EUL</t>
  </si>
  <si>
    <t>Water Heating BUS 2 Year EUL</t>
  </si>
  <si>
    <t>Water Heating BUS 20 Year EUL</t>
  </si>
  <si>
    <t>Water Heating BUS 21 Year EUL</t>
  </si>
  <si>
    <t>Water Heating BUS 22 Year EUL</t>
  </si>
  <si>
    <t>Water Heating BUS 23 Year EUL</t>
  </si>
  <si>
    <t>Water Heating BUS 24 Year EUL</t>
  </si>
  <si>
    <t>Water Heating BUS 25 Year EUL</t>
  </si>
  <si>
    <t>Water Heating BUS 26 Year EUL</t>
  </si>
  <si>
    <t>Water Heating BUS 27 Year EUL</t>
  </si>
  <si>
    <t>Water Heating BUS 28 Year EUL</t>
  </si>
  <si>
    <t>Water Heating BUS 29 Year EUL</t>
  </si>
  <si>
    <t>Water Heating BUS 3 Year EUL</t>
  </si>
  <si>
    <t>Water Heating BUS 30 Year EUL</t>
  </si>
  <si>
    <t>Water Heating BUS 4 Year EUL</t>
  </si>
  <si>
    <t>Water Heating BUS 5 Year EUL</t>
  </si>
  <si>
    <t>Water Heating BUS 6 Year EUL</t>
  </si>
  <si>
    <t>Water Heating BUS 7 Year EUL</t>
  </si>
  <si>
    <t>Water Heating BUS 8 Year EUL</t>
  </si>
  <si>
    <t>Water Heating BUS 9 Year EUL</t>
  </si>
  <si>
    <t>Water Heating RES 1 Year EUL</t>
  </si>
  <si>
    <t>Water Heating RES 10 Year EUL</t>
  </si>
  <si>
    <t>Water Heating RES 11 Year EUL</t>
  </si>
  <si>
    <t>Water Heating RES 12 Year EUL</t>
  </si>
  <si>
    <t>Water Heating RES 13 Year EUL</t>
  </si>
  <si>
    <t>Water Heating RES 14 Year EUL</t>
  </si>
  <si>
    <t>Water Heating RES 15 Year EUL</t>
  </si>
  <si>
    <t>Water Heating RES 16 Year EUL</t>
  </si>
  <si>
    <t>Water Heating RES 17 Year EUL</t>
  </si>
  <si>
    <t>Water Heating RES 18 Year EUL</t>
  </si>
  <si>
    <t>Water Heating RES 19 Year EUL</t>
  </si>
  <si>
    <t>Water Heating RES 2 Year EUL</t>
  </si>
  <si>
    <t>Water Heating RES 20 Year EUL</t>
  </si>
  <si>
    <t>Water Heating RES 21 Year EUL</t>
  </si>
  <si>
    <t>Water Heating RES 22 Year EUL</t>
  </si>
  <si>
    <t>Water Heating RES 23 Year EUL</t>
  </si>
  <si>
    <t>Water Heating RES 24 Year EUL</t>
  </si>
  <si>
    <t>Water Heating RES 25 Year EUL</t>
  </si>
  <si>
    <t>Water Heating RES 3 Year EUL</t>
  </si>
  <si>
    <t>Water Heating RES 4 Year EUL</t>
  </si>
  <si>
    <t>Water Heating RES 5 Year EUL</t>
  </si>
  <si>
    <t>Water Heating RES 6 Year EUL</t>
  </si>
  <si>
    <t>Water Heating RES 7 Year EUL</t>
  </si>
  <si>
    <t>Water Heating RES 8 Year EUL</t>
  </si>
  <si>
    <t>Water Heating RES 9 Year EUL</t>
  </si>
  <si>
    <t>Building Shell RES 30 Year EUL</t>
  </si>
  <si>
    <t>DSM2018_BT_MEEIA_4_RESandBUS_20YR Submittal Tool_08_23_2024</t>
  </si>
  <si>
    <t>Refrigeration RES ER1 5 Year EUL</t>
  </si>
  <si>
    <t>added to account for changing EUL in PY24 TRM update</t>
  </si>
  <si>
    <t>Refrigeration RES ER2 10 Year EUL</t>
  </si>
  <si>
    <t>Cooling RES ER2 10 Year EUL</t>
  </si>
  <si>
    <t>Heating RES ER2 10 Year EUL</t>
  </si>
  <si>
    <t>RESIDENTIAL</t>
  </si>
  <si>
    <t>Appliances RES</t>
  </si>
  <si>
    <t>Clothes Dryer RES</t>
  </si>
  <si>
    <t>Clothes Washer RES</t>
  </si>
  <si>
    <t>Color TV RES</t>
  </si>
  <si>
    <t>Cooking RES</t>
  </si>
  <si>
    <t>Dishwasher RES</t>
  </si>
  <si>
    <t>Freezer RES</t>
  </si>
  <si>
    <t>Freezer RES ER2</t>
  </si>
  <si>
    <t>HVAC RES ER2</t>
  </si>
  <si>
    <t>BUSINESS</t>
  </si>
  <si>
    <t>Building Shell BUS</t>
  </si>
  <si>
    <t>Process BUS</t>
  </si>
  <si>
    <t>End-Use Energy Load Shapes</t>
  </si>
  <si>
    <t>% Energy by Month</t>
  </si>
  <si>
    <t>Residential End-Use Load Shape</t>
  </si>
  <si>
    <t>Business End-Use Load Shape</t>
  </si>
  <si>
    <t>Month</t>
  </si>
  <si>
    <t>January</t>
  </si>
  <si>
    <t>February</t>
  </si>
  <si>
    <t>March</t>
  </si>
  <si>
    <t>April</t>
  </si>
  <si>
    <t>May</t>
  </si>
  <si>
    <t>June</t>
  </si>
  <si>
    <t>July</t>
  </si>
  <si>
    <t>August</t>
  </si>
  <si>
    <t>September</t>
  </si>
  <si>
    <t>October</t>
  </si>
  <si>
    <t>November</t>
  </si>
  <si>
    <t>December</t>
  </si>
  <si>
    <t>End-Use Energy to Coincident Peak Demand Factors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</si>
</sst>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4">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00000"/>
    <numFmt numFmtId="170" formatCode="#,##0.0_);\(#,##0.0\)"/>
    <numFmt numFmtId="171" formatCode="&quot;$&quot;#,##0.00"/>
    <numFmt numFmtId="172" formatCode="0.0%"/>
    <numFmt numFmtId="173" formatCode="_(&quot;$&quot;* #,##0_);_(&quot;$&quot;* \(#,##0\);_(&quot;$&quot;* &quot;-&quot;??_);_(@_)"/>
    <numFmt numFmtId="174" formatCode="0.00_);\(0.00\)"/>
    <numFmt numFmtId="175" formatCode="0_);\(0\)"/>
    <numFmt numFmtId="176" formatCode="0.0_);\(0.0\)"/>
    <numFmt numFmtId="177" formatCode="0.000_);\(0.000\)"/>
    <numFmt numFmtId="178" formatCode="0.0000"/>
    <numFmt numFmtId="179" formatCode="#,##0.0"/>
    <numFmt numFmtId="180" formatCode="0.000"/>
    <numFmt numFmtId="181" formatCode="#,##0.000"/>
    <numFmt numFmtId="182" formatCode="#,##0.0000000000_);\(#,##0.0000000000\)"/>
    <numFmt numFmtId="183" formatCode="#,##0.0000000_);\(#,##0.0000000\)"/>
    <numFmt numFmtId="184" formatCode="#,##0.0000_);\(#,##0.0000\)"/>
    <numFmt numFmtId="185" formatCode="_(&quot;$&quot;* #,##0.0000000_);_(&quot;$&quot;* \(#,##0.0000000\);_(&quot;$&quot;* &quot;-&quot;??_);_(@_)"/>
    <numFmt numFmtId="186" formatCode="0.00000"/>
    <numFmt numFmtId="187" formatCode="0.000000000%"/>
    <numFmt numFmtId="188" formatCode="0.00000000"/>
    <numFmt numFmtId="189" formatCode="#,##0.000_);\(#,##0.000\)"/>
    <numFmt numFmtId="190" formatCode="0.000%"/>
    <numFmt numFmtId="191" formatCode="0.000000000"/>
    <numFmt numFmtId="192" formatCode="#,##0.000000_);\(#,##0.000000\)"/>
    <numFmt numFmtId="193" formatCode="_(* #,##0.0000000_);_(* \(#,##0.0000000\);_(* &quot;-&quot;??_);_(@_)"/>
    <numFmt numFmtId="194" formatCode="_(* #,##0.0_);_(* \(#,##0.0\);_(* &quot;-&quot;??_);_(@_)"/>
    <numFmt numFmtId="195" formatCode="&quot;$&quot;#,##0.00000_);\(&quot;$&quot;#,##0.00000\)"/>
    <numFmt numFmtId="196" formatCode="&quot;$&quot;#,##0.000_);\(&quot;$&quot;#,##0.000\)"/>
    <numFmt numFmtId="197" formatCode="[$$-409]#,##0.00_);\([$$-409]#,##0.00\)"/>
    <numFmt numFmtId="198" formatCode="0.000000000000"/>
    <numFmt numFmtId="199" formatCode="0.0000%"/>
    <numFmt numFmtId="200" formatCode="_(* #,##0.000000_);_(* \(#,##0.000000\);_(* &quot;-&quot;??????_);_(@_)"/>
    <numFmt numFmtId="201" formatCode="_(&quot;$&quot;* #,##0.0000_);_(&quot;$&quot;* \(#,##0.0000\);_(&quot;$&quot;* &quot;-&quot;??_);_(@_)"/>
    <numFmt numFmtId="202" formatCode="&quot;$&quot;#,##0.0000"/>
    <numFmt numFmtId="203" formatCode="&quot;$&quot;#,##0.0000_);\(&quot;$&quot;#,##0.0000\)"/>
    <numFmt numFmtId="204" formatCode="[$$-409]#,##0.0000_);\([$$-409]#,##0.0000\)"/>
    <numFmt numFmtId="205" formatCode="0.00000%"/>
    <numFmt numFmtId="206" formatCode="0.00000000%"/>
    <numFmt numFmtId="207" formatCode="0.000000%"/>
    <numFmt numFmtId="208" formatCode="0.00000000000000"/>
    <numFmt numFmtId="209" formatCode="_(* #,##0.000000_);_(* \(#,##0.000000\);_(* &quot;-&quot;??_);_(@_)"/>
    <numFmt numFmtId="210" formatCode="#,##0.000000"/>
    <numFmt numFmtId="211" formatCode="_(* #,##0.0000_);_(* \(#,##0.0000\);_(* &quot;-&quot;??_);_(@_)"/>
    <numFmt numFmtId="212" formatCode="&quot;$&quot;#,##0"/>
  </numFmts>
  <fonts count="145">
    <font>
      <sz val="11"/>
      <color theme="1"/>
      <name val="Calibri"/>
      <family val="2"/>
      <scheme val="minor"/>
    </font>
    <font>
      <sz val="11"/>
      <color theme="1"/>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28"/>
      <color theme="1"/>
      <name val="Calibri"/>
      <family val="2"/>
      <scheme val="minor"/>
    </font>
    <font>
      <sz val="10"/>
      <name val="Times New Roman"/>
      <family val="1"/>
    </font>
    <font>
      <sz val="10"/>
      <color theme="1"/>
      <name val="Calibri"/>
      <family val="2"/>
      <scheme val="minor"/>
    </font>
    <font>
      <b/>
      <sz val="10"/>
      <color theme="0"/>
      <name val="Calibri"/>
      <family val="2"/>
      <scheme val="minor"/>
    </font>
    <font>
      <b/>
      <sz val="16"/>
      <color theme="1"/>
      <name val="Calibri"/>
      <family val="2"/>
      <scheme val="minor"/>
    </font>
    <font>
      <b/>
      <sz val="14"/>
      <color theme="0"/>
      <name val="Calibri"/>
      <family val="2"/>
      <scheme val="minor"/>
    </font>
    <font>
      <sz val="10"/>
      <color theme="0"/>
      <name val="Calibri"/>
      <family val="2"/>
      <scheme val="minor"/>
    </font>
    <font>
      <sz val="11"/>
      <name val="Calibri"/>
      <family val="2"/>
      <scheme val="minor"/>
    </font>
    <font>
      <sz val="10"/>
      <color rgb="FFFF0000"/>
      <name val="Calibri"/>
      <family val="2"/>
      <scheme val="minor"/>
    </font>
    <font>
      <sz val="10"/>
      <color rgb="FF000000"/>
      <name val="Calibri"/>
      <family val="2"/>
    </font>
    <font>
      <sz val="11"/>
      <color theme="1"/>
      <name val="Calibri Light"/>
      <family val="2"/>
    </font>
    <font>
      <sz val="11"/>
      <color rgb="FFFF0000"/>
      <name val="Calibri Light"/>
      <family val="2"/>
    </font>
    <font>
      <vertAlign val="superscript"/>
      <sz val="11"/>
      <name val="Calibri"/>
      <family val="2"/>
      <scheme val="minor"/>
    </font>
    <font>
      <sz val="11"/>
      <name val="Calibri"/>
      <family val="2"/>
    </font>
    <font>
      <sz val="9"/>
      <color indexed="81"/>
      <name val="Tahoma"/>
      <family val="2"/>
    </font>
    <font>
      <b/>
      <sz val="9"/>
      <color indexed="81"/>
      <name val="Tahoma"/>
      <family val="2"/>
    </font>
    <font>
      <b/>
      <sz val="12"/>
      <color theme="0"/>
      <name val="Calibri"/>
      <family val="2"/>
      <scheme val="minor"/>
    </font>
    <font>
      <sz val="10"/>
      <name val="Arial"/>
      <family val="2"/>
    </font>
    <font>
      <sz val="10"/>
      <name val="Calibri"/>
      <family val="2"/>
      <scheme val="minor"/>
    </font>
    <font>
      <sz val="11"/>
      <color rgb="FF9C5700"/>
      <name val="Calibri"/>
      <family val="2"/>
      <scheme val="minor"/>
    </font>
    <font>
      <b/>
      <sz val="16"/>
      <name val="Calibri"/>
      <family val="2"/>
      <scheme val="minor"/>
    </font>
    <font>
      <b/>
      <sz val="11"/>
      <name val="Calibri"/>
      <family val="2"/>
      <scheme val="minor"/>
    </font>
    <font>
      <vertAlign val="subscript"/>
      <sz val="11"/>
      <name val="Calibri"/>
      <family val="2"/>
      <scheme val="minor"/>
    </font>
    <font>
      <b/>
      <sz val="10"/>
      <name val="Calibri"/>
      <family val="2"/>
      <scheme val="minor"/>
    </font>
    <font>
      <sz val="11"/>
      <color rgb="FF000000"/>
      <name val="Calibri"/>
      <family val="2"/>
      <scheme val="minor"/>
    </font>
    <font>
      <sz val="11"/>
      <color indexed="8"/>
      <name val="Calibri"/>
      <family val="2"/>
      <scheme val="minor"/>
    </font>
    <font>
      <b/>
      <u/>
      <sz val="11"/>
      <name val="Calibri"/>
      <family val="2"/>
      <scheme val="minor"/>
    </font>
    <font>
      <i/>
      <sz val="11"/>
      <name val="Calibri"/>
      <family val="2"/>
      <scheme val="minor"/>
    </font>
    <font>
      <vertAlign val="subscript"/>
      <sz val="11"/>
      <color theme="1"/>
      <name val="Calibri"/>
      <family val="2"/>
      <scheme val="minor"/>
    </font>
    <font>
      <sz val="11"/>
      <color rgb="FF00B050"/>
      <name val="Calibri"/>
      <family val="2"/>
      <scheme val="minor"/>
    </font>
    <font>
      <i/>
      <sz val="11"/>
      <color theme="1"/>
      <name val="Calibri"/>
      <family val="2"/>
      <scheme val="minor"/>
    </font>
    <font>
      <b/>
      <sz val="18"/>
      <name val="Calibri"/>
      <family val="2"/>
      <scheme val="minor"/>
    </font>
    <font>
      <sz val="20"/>
      <color theme="1"/>
      <name val="Calibri"/>
      <family val="2"/>
      <scheme val="minor"/>
    </font>
    <font>
      <i/>
      <vertAlign val="subscript"/>
      <sz val="11"/>
      <name val="Calibri"/>
      <family val="2"/>
      <scheme val="minor"/>
    </font>
    <font>
      <u/>
      <sz val="11"/>
      <color theme="10"/>
      <name val="Calibri"/>
      <family val="2"/>
      <scheme val="minor"/>
    </font>
    <font>
      <sz val="12"/>
      <color indexed="81"/>
      <name val="Tahoma"/>
      <family val="2"/>
    </font>
    <font>
      <sz val="11"/>
      <color indexed="81"/>
      <name val="Tahoma"/>
      <family val="2"/>
    </font>
    <font>
      <sz val="14"/>
      <color indexed="81"/>
      <name val="Tahoma"/>
      <family val="2"/>
    </font>
    <font>
      <b/>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sz val="11"/>
      <color rgb="FF0070C0"/>
      <name val="Calibri"/>
      <family val="2"/>
      <scheme val="minor"/>
    </font>
    <font>
      <b/>
      <sz val="12"/>
      <name val="Calibri"/>
      <family val="2"/>
      <scheme val="minor"/>
    </font>
    <font>
      <strike/>
      <sz val="11"/>
      <name val="Calibri"/>
      <family val="2"/>
      <scheme val="minor"/>
    </font>
    <font>
      <sz val="16"/>
      <name val="Calibri"/>
      <family val="2"/>
      <scheme val="minor"/>
    </font>
    <font>
      <b/>
      <sz val="10"/>
      <name val="Calibri"/>
      <family val="2"/>
    </font>
    <font>
      <sz val="12"/>
      <name val="Calibri"/>
      <family val="2"/>
      <scheme val="minor"/>
    </font>
    <font>
      <sz val="12"/>
      <color theme="0"/>
      <name val="Calibri"/>
      <family val="2"/>
      <scheme val="minor"/>
    </font>
    <font>
      <sz val="9"/>
      <name val="Calibri"/>
      <family val="2"/>
      <scheme val="minor"/>
    </font>
    <font>
      <vertAlign val="subscript"/>
      <sz val="10"/>
      <name val="Calibri"/>
      <family val="2"/>
      <scheme val="minor"/>
    </font>
    <font>
      <b/>
      <sz val="14"/>
      <color theme="1"/>
      <name val="Calibri"/>
      <family val="2"/>
      <scheme val="minor"/>
    </font>
    <font>
      <b/>
      <sz val="14"/>
      <color rgb="FF0070C0"/>
      <name val="Calibri"/>
      <family val="2"/>
      <scheme val="minor"/>
    </font>
    <font>
      <b/>
      <sz val="14"/>
      <color rgb="FFFF0000"/>
      <name val="Calibri"/>
      <family val="2"/>
      <scheme val="minor"/>
    </font>
    <font>
      <b/>
      <sz val="28"/>
      <color theme="1"/>
      <name val="Calibri"/>
      <family val="2"/>
      <scheme val="minor"/>
    </font>
    <font>
      <sz val="12"/>
      <color theme="1"/>
      <name val="Calibri"/>
      <family val="2"/>
      <scheme val="minor"/>
    </font>
    <font>
      <b/>
      <sz val="11"/>
      <color rgb="FFFF0000"/>
      <name val="Calibri"/>
      <family val="2"/>
      <scheme val="minor"/>
    </font>
    <font>
      <b/>
      <sz val="20"/>
      <color theme="1"/>
      <name val="Calibri"/>
      <family val="2"/>
      <scheme val="minor"/>
    </font>
    <font>
      <strike/>
      <sz val="11"/>
      <color rgb="FFFF0000"/>
      <name val="Calibri"/>
      <family val="2"/>
      <scheme val="minor"/>
    </font>
    <font>
      <b/>
      <sz val="11"/>
      <name val="Calibri"/>
      <family val="2"/>
    </font>
    <font>
      <b/>
      <strike/>
      <sz val="11"/>
      <color rgb="FFFF0000"/>
      <name val="Calibri"/>
      <family val="2"/>
      <scheme val="minor"/>
    </font>
    <font>
      <b/>
      <sz val="14"/>
      <name val="Calibri"/>
      <family val="2"/>
      <scheme val="minor"/>
    </font>
    <font>
      <strike/>
      <sz val="11"/>
      <color theme="0" tint="-0.14999847407452621"/>
      <name val="Calibri"/>
      <family val="2"/>
      <scheme val="minor"/>
    </font>
    <font>
      <b/>
      <strike/>
      <sz val="11"/>
      <color theme="0" tint="-0.249977111117893"/>
      <name val="Calibri"/>
      <family val="2"/>
      <scheme val="minor"/>
    </font>
    <font>
      <strike/>
      <sz val="11"/>
      <color theme="0" tint="-0.249977111117893"/>
      <name val="Calibri"/>
      <family val="2"/>
      <scheme val="minor"/>
    </font>
    <font>
      <sz val="10"/>
      <name val="Calibri"/>
      <family val="2"/>
    </font>
    <font>
      <sz val="8"/>
      <name val="Calibri"/>
      <family val="2"/>
      <scheme val="minor"/>
    </font>
    <font>
      <b/>
      <strike/>
      <sz val="11"/>
      <name val="Calibri"/>
      <family val="2"/>
      <scheme val="minor"/>
    </font>
    <font>
      <b/>
      <sz val="26"/>
      <name val="Calibri"/>
      <family val="2"/>
      <scheme val="minor"/>
    </font>
    <font>
      <strike/>
      <vertAlign val="subscript"/>
      <sz val="11"/>
      <name val="Calibri"/>
      <family val="2"/>
      <scheme val="minor"/>
    </font>
    <font>
      <sz val="10"/>
      <color rgb="FFFF0000"/>
      <name val="Calibri"/>
      <family val="2"/>
    </font>
    <font>
      <sz val="9"/>
      <color theme="0" tint="-0.499984740745262"/>
      <name val="Calibri"/>
      <family val="2"/>
      <scheme val="minor"/>
    </font>
    <font>
      <sz val="11"/>
      <color theme="0" tint="-0.499984740745262"/>
      <name val="Calibri"/>
      <family val="2"/>
      <scheme val="minor"/>
    </font>
    <font>
      <sz val="36"/>
      <name val="Calibri"/>
      <family val="2"/>
      <scheme val="minor"/>
    </font>
    <font>
      <b/>
      <sz val="14"/>
      <name val="Times New Roman"/>
      <family val="1"/>
    </font>
    <font>
      <b/>
      <sz val="28"/>
      <color rgb="FF7030A0"/>
      <name val="Calibri"/>
      <family val="2"/>
      <scheme val="minor"/>
    </font>
    <font>
      <b/>
      <sz val="28"/>
      <name val="Calibri"/>
      <family val="2"/>
      <scheme val="minor"/>
    </font>
    <font>
      <b/>
      <sz val="28"/>
      <color rgb="FFFF0000"/>
      <name val="Calibri"/>
      <family val="2"/>
      <scheme val="minor"/>
    </font>
    <font>
      <sz val="18"/>
      <color theme="1"/>
      <name val="Calibri"/>
      <family val="2"/>
      <scheme val="minor"/>
    </font>
    <font>
      <b/>
      <sz val="15"/>
      <name val="Calibri"/>
      <family val="2"/>
      <scheme val="minor"/>
    </font>
    <font>
      <b/>
      <sz val="15"/>
      <color rgb="FFC00000"/>
      <name val="Calibri"/>
      <family val="2"/>
      <scheme val="minor"/>
    </font>
    <font>
      <b/>
      <sz val="15"/>
      <color theme="1"/>
      <name val="Calibri"/>
      <family val="2"/>
      <scheme val="minor"/>
    </font>
    <font>
      <b/>
      <sz val="18"/>
      <color theme="0"/>
      <name val="Calibri"/>
      <family val="2"/>
      <scheme val="minor"/>
    </font>
    <font>
      <sz val="9"/>
      <color theme="1"/>
      <name val="Calibri"/>
      <family val="2"/>
      <scheme val="minor"/>
    </font>
    <font>
      <sz val="10"/>
      <color theme="0" tint="-0.34998626667073579"/>
      <name val="Calibri"/>
      <family val="2"/>
      <scheme val="minor"/>
    </font>
    <font>
      <i/>
      <sz val="11"/>
      <color rgb="FFFF0000"/>
      <name val="Calibri"/>
      <family val="2"/>
      <scheme val="minor"/>
    </font>
    <font>
      <i/>
      <vertAlign val="subscript"/>
      <sz val="11"/>
      <color rgb="FFFF0000"/>
      <name val="Calibri"/>
      <family val="2"/>
      <scheme val="minor"/>
    </font>
    <font>
      <sz val="11"/>
      <color rgb="FFFF0000"/>
      <name val="Calibri"/>
      <family val="2"/>
    </font>
    <font>
      <u/>
      <sz val="11"/>
      <color rgb="FFFF0000"/>
      <name val="Calibri"/>
      <family val="2"/>
      <scheme val="minor"/>
    </font>
    <font>
      <vertAlign val="subscript"/>
      <sz val="11"/>
      <color rgb="FFFF0000"/>
      <name val="Calibri"/>
      <family val="2"/>
      <scheme val="minor"/>
    </font>
    <font>
      <sz val="11"/>
      <color rgb="FFFF0000"/>
      <name val="Times New Roman"/>
      <family val="1"/>
    </font>
    <font>
      <sz val="11"/>
      <color rgb="FFFF0000"/>
      <name val="Aptos Narrow"/>
      <family val="2"/>
    </font>
    <font>
      <sz val="11"/>
      <color rgb="FFFF0000"/>
      <name val="Times New Roman"/>
      <family val="1"/>
      <charset val="1"/>
    </font>
    <font>
      <b/>
      <sz val="10"/>
      <color rgb="FFFFFFFF"/>
      <name val="Calibri"/>
      <family val="2"/>
    </font>
    <font>
      <sz val="11"/>
      <name val="Aptos Narrow"/>
      <family val="2"/>
    </font>
    <font>
      <b/>
      <sz val="9"/>
      <color rgb="FFFFFFFF"/>
      <name val="Calibri"/>
      <family val="2"/>
    </font>
    <font>
      <sz val="10"/>
      <color rgb="FFFF0000"/>
      <name val="Times New Roman"/>
      <family val="1"/>
    </font>
    <font>
      <i/>
      <sz val="10"/>
      <color theme="1"/>
      <name val="Calibri"/>
      <family val="2"/>
      <scheme val="minor"/>
    </font>
    <font>
      <i/>
      <sz val="10"/>
      <name val="Calibri"/>
      <family val="2"/>
      <scheme val="minor"/>
    </font>
    <font>
      <sz val="12"/>
      <color rgb="FFFF0000"/>
      <name val="Times New Roman"/>
      <family val="1"/>
    </font>
    <font>
      <i/>
      <sz val="12"/>
      <color rgb="FFFF0000"/>
      <name val="Times New Roman"/>
      <family val="1"/>
    </font>
    <font>
      <vertAlign val="subscript"/>
      <sz val="12"/>
      <color rgb="FFFF0000"/>
      <name val="Times New Roman"/>
      <family val="1"/>
    </font>
    <font>
      <sz val="12"/>
      <color rgb="FFFF0000"/>
      <name val="Calibri"/>
      <family val="2"/>
      <scheme val="minor"/>
    </font>
    <font>
      <b/>
      <sz val="11"/>
      <color indexed="81"/>
      <name val="Tahoma"/>
      <family val="2"/>
    </font>
    <font>
      <b/>
      <strike/>
      <sz val="9"/>
      <color indexed="10"/>
      <name val="Tahoma"/>
      <family val="2"/>
    </font>
    <font>
      <b/>
      <sz val="9"/>
      <color indexed="10"/>
      <name val="Tahoma"/>
      <family val="2"/>
    </font>
    <font>
      <b/>
      <strike/>
      <sz val="14"/>
      <color rgb="FFFF0000"/>
      <name val="Calibri"/>
      <family val="2"/>
      <scheme val="minor"/>
    </font>
    <font>
      <strike/>
      <sz val="10"/>
      <color rgb="FFFF0000"/>
      <name val="Calibri"/>
      <family val="2"/>
      <scheme val="minor"/>
    </font>
    <font>
      <b/>
      <sz val="12"/>
      <color indexed="81"/>
      <name val="Tahoma"/>
      <family val="2"/>
    </font>
    <font>
      <sz val="9"/>
      <color rgb="FFFF0000"/>
      <name val="Times New Roman"/>
      <family val="1"/>
    </font>
    <font>
      <strike/>
      <sz val="10"/>
      <color theme="0" tint="-0.34998626667073579"/>
      <name val="Calibri"/>
      <family val="2"/>
      <scheme val="minor"/>
    </font>
    <font>
      <strike/>
      <sz val="11"/>
      <color theme="1"/>
      <name val="Calibri"/>
      <family val="2"/>
      <scheme val="minor"/>
    </font>
    <font>
      <b/>
      <strike/>
      <sz val="11"/>
      <color theme="1"/>
      <name val="Calibri"/>
      <family val="2"/>
      <scheme val="minor"/>
    </font>
    <font>
      <i/>
      <strike/>
      <sz val="11"/>
      <name val="Calibri"/>
      <family val="2"/>
      <scheme val="minor"/>
    </font>
    <font>
      <strike/>
      <sz val="11"/>
      <color rgb="FF000000"/>
      <name val="Calibri"/>
      <family val="2"/>
      <scheme val="minor"/>
    </font>
    <font>
      <strike/>
      <sz val="10"/>
      <name val="Calibri"/>
      <family val="2"/>
      <scheme val="minor"/>
    </font>
    <font>
      <strike/>
      <vertAlign val="superscript"/>
      <sz val="11"/>
      <name val="Calibri"/>
      <family val="2"/>
      <scheme val="minor"/>
    </font>
    <font>
      <strike/>
      <u/>
      <sz val="11"/>
      <name val="Calibri"/>
      <family val="2"/>
      <scheme val="minor"/>
    </font>
    <font>
      <strike/>
      <vertAlign val="subscript"/>
      <sz val="11"/>
      <color theme="1"/>
      <name val="Calibri"/>
      <family val="2"/>
      <scheme val="minor"/>
    </font>
    <font>
      <strike/>
      <vertAlign val="subscript"/>
      <sz val="11"/>
      <color rgb="FF000000"/>
      <name val="Calibri"/>
      <family val="2"/>
      <scheme val="minor"/>
    </font>
    <font>
      <strike/>
      <vertAlign val="subscript"/>
      <sz val="11"/>
      <color rgb="FFFF0000"/>
      <name val="Calibri"/>
      <family val="2"/>
      <scheme val="minor"/>
    </font>
    <font>
      <strike/>
      <sz val="10"/>
      <color theme="1"/>
      <name val="Calibri"/>
      <family val="2"/>
      <scheme val="minor"/>
    </font>
    <font>
      <i/>
      <strike/>
      <sz val="11"/>
      <color theme="1"/>
      <name val="Calibri"/>
      <family val="2"/>
      <scheme val="minor"/>
    </font>
    <font>
      <strike/>
      <sz val="11"/>
      <color rgb="FFFF0000"/>
      <name val="Calibri"/>
      <family val="2"/>
    </font>
    <font>
      <strike/>
      <sz val="11"/>
      <color theme="1"/>
      <name val="Calibri"/>
      <family val="2"/>
    </font>
    <font>
      <strike/>
      <sz val="11"/>
      <color rgb="FF00B050"/>
      <name val="Calibri"/>
      <family val="2"/>
      <scheme val="minor"/>
    </font>
    <font>
      <strike/>
      <u/>
      <sz val="11"/>
      <color rgb="FFFF0000"/>
      <name val="Calibri"/>
      <family val="2"/>
      <scheme val="minor"/>
    </font>
    <font>
      <i/>
      <strike/>
      <vertAlign val="subscript"/>
      <sz val="11"/>
      <name val="Calibri"/>
      <family val="2"/>
      <scheme val="minor"/>
    </font>
    <font>
      <strike/>
      <sz val="20"/>
      <color theme="1"/>
      <name val="Calibri"/>
      <family val="2"/>
      <scheme val="minor"/>
    </font>
    <font>
      <strike/>
      <sz val="11"/>
      <name val="Calibri"/>
      <family val="2"/>
    </font>
    <font>
      <strike/>
      <sz val="8"/>
      <name val="Calibri"/>
      <family val="2"/>
      <scheme val="minor"/>
    </font>
    <font>
      <i/>
      <strike/>
      <sz val="10"/>
      <color theme="1"/>
      <name val="Calibri"/>
      <family val="2"/>
      <scheme val="minor"/>
    </font>
    <font>
      <b/>
      <strike/>
      <u/>
      <sz val="11"/>
      <name val="Calibri"/>
      <family val="2"/>
      <scheme val="minor"/>
    </font>
    <font>
      <b/>
      <strike/>
      <sz val="10"/>
      <name val="Calibri"/>
      <family val="2"/>
      <scheme val="minor"/>
    </font>
    <font>
      <i/>
      <strike/>
      <sz val="10"/>
      <name val="Calibri"/>
      <family val="2"/>
      <scheme val="minor"/>
    </font>
    <font>
      <b/>
      <strike/>
      <sz val="11"/>
      <color rgb="FFFF0000"/>
      <name val="Calibri"/>
      <family val="2"/>
    </font>
    <font>
      <strike/>
      <sz val="9.9"/>
      <color rgb="FFFF0000"/>
      <name val="Calibri"/>
      <family val="2"/>
    </font>
    <font>
      <strike/>
      <sz val="16"/>
      <name val="Calibri"/>
      <family val="2"/>
      <scheme val="minor"/>
    </font>
  </fonts>
  <fills count="52">
    <fill>
      <patternFill patternType="none"/>
    </fill>
    <fill>
      <patternFill patternType="gray125"/>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FFFF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4"/>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D9D9D9"/>
        <bgColor rgb="FF000000"/>
      </patternFill>
    </fill>
    <fill>
      <patternFill patternType="solid">
        <fgColor rgb="FFFFFFFF"/>
        <bgColor rgb="FF000000"/>
      </patternFill>
    </fill>
    <fill>
      <patternFill patternType="solid">
        <fgColor theme="0"/>
        <bgColor rgb="FF000000"/>
      </patternFill>
    </fill>
    <fill>
      <patternFill patternType="solid">
        <fgColor theme="7"/>
        <bgColor indexed="64"/>
      </patternFill>
    </fill>
    <fill>
      <patternFill patternType="solid">
        <fgColor theme="0" tint="-0.14996795556505021"/>
        <bgColor indexed="64"/>
      </patternFill>
    </fill>
    <fill>
      <patternFill patternType="solid">
        <fgColor rgb="FFFCEAF0"/>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0" tint="-0.499984740745262"/>
        <bgColor indexed="64"/>
      </patternFill>
    </fill>
    <fill>
      <patternFill patternType="solid">
        <fgColor theme="2" tint="-0.499984740745262"/>
        <bgColor indexed="64"/>
      </patternFill>
    </fill>
    <fill>
      <patternFill patternType="solid">
        <fgColor rgb="FF7F7F7F"/>
        <bgColor indexed="64"/>
      </patternFill>
    </fill>
    <fill>
      <patternFill patternType="solid">
        <fgColor theme="4" tint="0.79998168889431442"/>
        <bgColor indexed="64"/>
      </patternFill>
    </fill>
    <fill>
      <patternFill patternType="solid">
        <fgColor theme="9" tint="0.39994506668294322"/>
        <bgColor indexed="64"/>
      </patternFill>
    </fill>
    <fill>
      <patternFill patternType="solid">
        <fgColor theme="0" tint="-0.14999847407452621"/>
        <bgColor rgb="FF000000"/>
      </patternFill>
    </fill>
    <fill>
      <patternFill patternType="solid">
        <fgColor rgb="FFDDEBF7"/>
        <bgColor indexed="64"/>
      </patternFill>
    </fill>
    <fill>
      <patternFill patternType="solid">
        <fgColor rgb="FF00FF00"/>
        <bgColor indexed="64"/>
      </patternFill>
    </fill>
  </fills>
  <borders count="104">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style="thin">
        <color auto="1"/>
      </left>
      <right style="thin">
        <color auto="1"/>
      </right>
      <top/>
      <bottom style="medium">
        <color indexed="64"/>
      </bottom>
      <diagonal/>
    </border>
    <border>
      <left style="thin">
        <color indexed="64"/>
      </left>
      <right/>
      <top style="thin">
        <color indexed="64"/>
      </top>
      <bottom style="medium">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A6A6A6"/>
      </left>
      <right style="thin">
        <color rgb="FFA6A6A6"/>
      </right>
      <top style="thin">
        <color rgb="FFA6A6A6"/>
      </top>
      <bottom style="thin">
        <color rgb="FFA6A6A6"/>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thick">
        <color indexed="64"/>
      </bottom>
      <diagonal/>
    </border>
    <border>
      <left style="thick">
        <color indexed="64"/>
      </left>
      <right style="medium">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medium">
        <color indexed="64"/>
      </right>
      <top style="thin">
        <color indexed="64"/>
      </top>
      <bottom style="medium">
        <color indexed="64"/>
      </bottom>
      <diagonal/>
    </border>
    <border>
      <left style="medium">
        <color indexed="64"/>
      </left>
      <right style="thick">
        <color indexed="64"/>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bottom style="thin">
        <color indexed="64"/>
      </bottom>
      <diagonal/>
    </border>
    <border>
      <left style="medium">
        <color indexed="64"/>
      </left>
      <right style="thick">
        <color indexed="64"/>
      </right>
      <top style="medium">
        <color indexed="64"/>
      </top>
      <bottom style="thin">
        <color indexed="64"/>
      </bottom>
      <diagonal/>
    </border>
    <border>
      <left style="thick">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diagonal/>
    </border>
    <border>
      <left style="medium">
        <color indexed="64"/>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style="thick">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s>
  <cellStyleXfs count="23">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3" borderId="1" applyNumberFormat="0" applyAlignment="0" applyProtection="0"/>
    <xf numFmtId="0" fontId="9" fillId="0" borderId="0"/>
    <xf numFmtId="0" fontId="1" fillId="0" borderId="0"/>
    <xf numFmtId="9" fontId="16" fillId="0" borderId="0">
      <alignment horizontal="right" vertical="center" wrapText="1" readingOrder="1"/>
    </xf>
    <xf numFmtId="0" fontId="17"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4" fillId="0" borderId="0"/>
    <xf numFmtId="0" fontId="1" fillId="0" borderId="0"/>
    <xf numFmtId="0" fontId="26" fillId="2" borderId="0" applyNumberFormat="0" applyBorder="0" applyAlignment="0" applyProtection="0"/>
    <xf numFmtId="9" fontId="31" fillId="0" borderId="0" applyFont="0" applyFill="0" applyBorder="0" applyAlignment="0" applyProtection="0"/>
    <xf numFmtId="9" fontId="32" fillId="0" borderId="0" applyFont="0" applyFill="0" applyBorder="0" applyAlignment="0" applyProtection="0"/>
    <xf numFmtId="0" fontId="41" fillId="0" borderId="0" applyNumberFormat="0" applyFill="0" applyBorder="0" applyAlignment="0" applyProtection="0"/>
    <xf numFmtId="0" fontId="24" fillId="0" borderId="0"/>
    <xf numFmtId="44" fontId="1" fillId="0" borderId="0" applyFont="0" applyFill="0" applyBorder="0" applyAlignment="0" applyProtection="0"/>
    <xf numFmtId="9" fontId="1" fillId="0" borderId="0" applyFont="0" applyFill="0" applyBorder="0" applyAlignment="0" applyProtection="0"/>
    <xf numFmtId="0" fontId="20" fillId="0" borderId="0"/>
    <xf numFmtId="0" fontId="24" fillId="0" borderId="0"/>
  </cellStyleXfs>
  <cellXfs count="4862">
    <xf numFmtId="0" fontId="0" fillId="0" borderId="0" xfId="0"/>
    <xf numFmtId="0" fontId="0" fillId="0" borderId="0" xfId="0" applyAlignment="1">
      <alignment horizontal="center" wrapText="1"/>
    </xf>
    <xf numFmtId="0" fontId="9" fillId="0" borderId="0" xfId="5"/>
    <xf numFmtId="0" fontId="11" fillId="0" borderId="0" xfId="5" applyFont="1"/>
    <xf numFmtId="0" fontId="12" fillId="9" borderId="0" xfId="5" applyFont="1" applyFill="1"/>
    <xf numFmtId="0" fontId="13" fillId="9" borderId="0" xfId="5" applyFont="1" applyFill="1"/>
    <xf numFmtId="0" fontId="9" fillId="9" borderId="0" xfId="5" applyFill="1"/>
    <xf numFmtId="0" fontId="1" fillId="0" borderId="0" xfId="6"/>
    <xf numFmtId="0" fontId="14" fillId="0" borderId="0" xfId="5" applyFont="1"/>
    <xf numFmtId="0" fontId="9" fillId="0" borderId="0" xfId="6" applyFont="1"/>
    <xf numFmtId="0" fontId="14" fillId="11" borderId="9" xfId="6" applyFont="1" applyFill="1" applyBorder="1" applyAlignment="1">
      <alignment horizontal="center" vertical="center" wrapText="1"/>
    </xf>
    <xf numFmtId="166" fontId="14" fillId="11" borderId="9" xfId="5" applyNumberFormat="1" applyFont="1" applyFill="1" applyBorder="1" applyAlignment="1">
      <alignment horizontal="center" vertical="center" wrapText="1"/>
    </xf>
    <xf numFmtId="0" fontId="14" fillId="11" borderId="19" xfId="6" applyFont="1" applyFill="1" applyBorder="1" applyAlignment="1">
      <alignment horizontal="center" vertical="center" wrapText="1"/>
    </xf>
    <xf numFmtId="0" fontId="14" fillId="8" borderId="9" xfId="0" applyFont="1" applyFill="1" applyBorder="1"/>
    <xf numFmtId="0" fontId="0" fillId="12" borderId="0" xfId="0" applyFill="1"/>
    <xf numFmtId="0" fontId="14" fillId="12" borderId="9" xfId="0" applyFont="1" applyFill="1" applyBorder="1" applyAlignment="1">
      <alignment horizontal="center" vertical="center" wrapText="1"/>
    </xf>
    <xf numFmtId="166" fontId="14" fillId="12" borderId="9" xfId="0" applyNumberFormat="1" applyFont="1" applyFill="1" applyBorder="1" applyAlignment="1">
      <alignment horizontal="center" vertical="center" wrapText="1"/>
    </xf>
    <xf numFmtId="2" fontId="0" fillId="0" borderId="9" xfId="0" applyNumberFormat="1" applyBorder="1" applyAlignment="1">
      <alignment horizontal="center"/>
    </xf>
    <xf numFmtId="2" fontId="14" fillId="0" borderId="9" xfId="0" applyNumberFormat="1" applyFont="1" applyBorder="1" applyAlignment="1">
      <alignment horizontal="center"/>
    </xf>
    <xf numFmtId="0" fontId="14" fillId="0" borderId="9" xfId="0" applyFont="1" applyBorder="1" applyAlignment="1">
      <alignment horizontal="center"/>
    </xf>
    <xf numFmtId="170" fontId="14" fillId="0" borderId="9" xfId="5" applyNumberFormat="1" applyFont="1" applyBorder="1" applyAlignment="1">
      <alignment horizontal="center"/>
    </xf>
    <xf numFmtId="2" fontId="14" fillId="4" borderId="9" xfId="0" applyNumberFormat="1" applyFont="1" applyFill="1" applyBorder="1" applyAlignment="1">
      <alignment horizontal="center"/>
    </xf>
    <xf numFmtId="0" fontId="9" fillId="0" borderId="0" xfId="5" applyAlignment="1">
      <alignment horizontal="center"/>
    </xf>
    <xf numFmtId="165" fontId="14" fillId="0" borderId="9" xfId="0" applyNumberFormat="1" applyFont="1" applyBorder="1" applyAlignment="1">
      <alignment horizontal="center"/>
    </xf>
    <xf numFmtId="2" fontId="14" fillId="0" borderId="0" xfId="5" applyNumberFormat="1" applyFont="1" applyAlignment="1">
      <alignment horizontal="center"/>
    </xf>
    <xf numFmtId="165" fontId="1" fillId="0" borderId="29" xfId="6" applyNumberFormat="1" applyBorder="1" applyAlignment="1">
      <alignment horizontal="center"/>
    </xf>
    <xf numFmtId="165" fontId="1" fillId="0" borderId="9" xfId="5" applyNumberFormat="1" applyFont="1" applyBorder="1" applyAlignment="1">
      <alignment horizontal="center"/>
    </xf>
    <xf numFmtId="0" fontId="14" fillId="11" borderId="30" xfId="5" applyFont="1" applyFill="1" applyBorder="1" applyAlignment="1">
      <alignment horizontal="center" vertical="center" wrapText="1"/>
    </xf>
    <xf numFmtId="0" fontId="14" fillId="11" borderId="23" xfId="5" applyFont="1" applyFill="1" applyBorder="1" applyAlignment="1">
      <alignment horizontal="center" vertical="center" wrapText="1"/>
    </xf>
    <xf numFmtId="0" fontId="14" fillId="11" borderId="20" xfId="5" applyFont="1" applyFill="1" applyBorder="1" applyAlignment="1">
      <alignment vertical="center" wrapText="1"/>
    </xf>
    <xf numFmtId="170" fontId="1" fillId="0" borderId="9" xfId="5" applyNumberFormat="1" applyFont="1" applyBorder="1" applyAlignment="1">
      <alignment horizontal="center"/>
    </xf>
    <xf numFmtId="0" fontId="14" fillId="11" borderId="9" xfId="5" applyFont="1" applyFill="1" applyBorder="1" applyAlignment="1">
      <alignment vertical="center" wrapText="1"/>
    </xf>
    <xf numFmtId="0" fontId="20" fillId="11" borderId="19" xfId="5" applyFont="1" applyFill="1" applyBorder="1" applyAlignment="1">
      <alignment horizontal="center" vertical="center" wrapText="1"/>
    </xf>
    <xf numFmtId="1" fontId="14" fillId="11" borderId="19" xfId="5" applyNumberFormat="1" applyFont="1" applyFill="1" applyBorder="1" applyAlignment="1">
      <alignment horizontal="center" vertical="center" wrapText="1"/>
    </xf>
    <xf numFmtId="165" fontId="1" fillId="0" borderId="9" xfId="6" applyNumberFormat="1" applyBorder="1" applyAlignment="1">
      <alignment horizontal="center"/>
    </xf>
    <xf numFmtId="165" fontId="14" fillId="0" borderId="9" xfId="5" applyNumberFormat="1" applyFont="1" applyBorder="1" applyAlignment="1">
      <alignment horizontal="center" vertical="center"/>
    </xf>
    <xf numFmtId="180" fontId="14" fillId="0" borderId="9" xfId="5" applyNumberFormat="1" applyFont="1" applyBorder="1" applyAlignment="1">
      <alignment horizontal="center" vertical="center"/>
    </xf>
    <xf numFmtId="9" fontId="14" fillId="0" borderId="9" xfId="3" applyFont="1" applyFill="1" applyBorder="1" applyAlignment="1">
      <alignment horizontal="center" vertical="center"/>
    </xf>
    <xf numFmtId="0" fontId="15" fillId="0" borderId="0" xfId="5" applyFont="1"/>
    <xf numFmtId="165" fontId="4" fillId="0" borderId="9" xfId="6" applyNumberFormat="1" applyFont="1" applyBorder="1" applyAlignment="1">
      <alignment horizontal="center"/>
    </xf>
    <xf numFmtId="0" fontId="4" fillId="4" borderId="9" xfId="0" applyFont="1" applyFill="1" applyBorder="1" applyAlignment="1">
      <alignment horizontal="center" vertical="center" wrapText="1"/>
    </xf>
    <xf numFmtId="0" fontId="4" fillId="0" borderId="0" xfId="0" applyFont="1"/>
    <xf numFmtId="171" fontId="4" fillId="4" borderId="9" xfId="5" applyNumberFormat="1" applyFont="1" applyFill="1" applyBorder="1" applyAlignment="1">
      <alignment horizontal="center" vertical="center" wrapText="1"/>
    </xf>
    <xf numFmtId="0" fontId="0" fillId="0" borderId="0" xfId="0" applyAlignment="1">
      <alignment horizontal="center"/>
    </xf>
    <xf numFmtId="2" fontId="14" fillId="4" borderId="9" xfId="0" applyNumberFormat="1" applyFont="1" applyFill="1" applyBorder="1" applyAlignment="1">
      <alignment horizontal="center" vertical="center" wrapText="1"/>
    </xf>
    <xf numFmtId="169" fontId="14" fillId="0" borderId="9" xfId="0" applyNumberFormat="1" applyFont="1" applyBorder="1" applyAlignment="1">
      <alignment horizontal="center" vertical="center" wrapText="1"/>
    </xf>
    <xf numFmtId="165" fontId="14" fillId="0" borderId="9" xfId="0" applyNumberFormat="1" applyFont="1" applyBorder="1" applyAlignment="1">
      <alignment horizontal="center" vertical="center" wrapText="1"/>
    </xf>
    <xf numFmtId="2" fontId="14" fillId="4" borderId="9" xfId="0" applyNumberFormat="1" applyFont="1" applyFill="1" applyBorder="1"/>
    <xf numFmtId="2" fontId="4" fillId="4" borderId="9" xfId="0" applyNumberFormat="1" applyFont="1" applyFill="1" applyBorder="1"/>
    <xf numFmtId="2" fontId="4" fillId="4" borderId="9" xfId="0" applyNumberFormat="1" applyFont="1" applyFill="1" applyBorder="1" applyAlignment="1">
      <alignment horizontal="center" vertical="center" wrapText="1"/>
    </xf>
    <xf numFmtId="165" fontId="4" fillId="0" borderId="9" xfId="0" applyNumberFormat="1" applyFont="1" applyBorder="1" applyAlignment="1">
      <alignment horizontal="center" vertical="center" wrapText="1"/>
    </xf>
    <xf numFmtId="0" fontId="14" fillId="0" borderId="0" xfId="0" applyFont="1" applyAlignment="1">
      <alignment horizontal="center"/>
    </xf>
    <xf numFmtId="0" fontId="14" fillId="0" borderId="0" xfId="0" applyFont="1"/>
    <xf numFmtId="2" fontId="0" fillId="4" borderId="9" xfId="0" applyNumberFormat="1" applyFill="1" applyBorder="1"/>
    <xf numFmtId="2" fontId="0" fillId="0" borderId="9" xfId="0" applyNumberFormat="1" applyBorder="1"/>
    <xf numFmtId="2" fontId="14" fillId="0" borderId="9" xfId="0" applyNumberFormat="1" applyFont="1" applyBorder="1"/>
    <xf numFmtId="165" fontId="4" fillId="0" borderId="9" xfId="0" applyNumberFormat="1" applyFont="1" applyBorder="1"/>
    <xf numFmtId="39" fontId="14" fillId="4" borderId="9" xfId="5" applyNumberFormat="1" applyFont="1" applyFill="1" applyBorder="1" applyAlignment="1">
      <alignment horizontal="center"/>
    </xf>
    <xf numFmtId="39" fontId="4" fillId="0" borderId="9" xfId="5" applyNumberFormat="1" applyFont="1" applyBorder="1" applyAlignment="1">
      <alignment horizontal="center"/>
    </xf>
    <xf numFmtId="165" fontId="14" fillId="4" borderId="9" xfId="0" applyNumberFormat="1" applyFont="1" applyFill="1" applyBorder="1" applyAlignment="1">
      <alignment horizontal="center" vertical="center" wrapText="1"/>
    </xf>
    <xf numFmtId="0" fontId="27" fillId="0" borderId="0" xfId="5" applyFont="1" applyAlignment="1">
      <alignment horizontal="center"/>
    </xf>
    <xf numFmtId="0" fontId="28" fillId="0" borderId="0" xfId="0" applyFont="1" applyAlignment="1">
      <alignment horizontal="center"/>
    </xf>
    <xf numFmtId="0" fontId="28" fillId="0" borderId="0" xfId="0" applyFont="1" applyAlignment="1">
      <alignment horizontal="left"/>
    </xf>
    <xf numFmtId="2" fontId="14" fillId="0" borderId="0" xfId="0" applyNumberFormat="1" applyFont="1"/>
    <xf numFmtId="0" fontId="14" fillId="0" borderId="0" xfId="6" applyFont="1" applyAlignment="1">
      <alignment horizontal="center"/>
    </xf>
    <xf numFmtId="0" fontId="14" fillId="0" borderId="0" xfId="6" applyFont="1" applyAlignment="1">
      <alignment horizontal="left"/>
    </xf>
    <xf numFmtId="0" fontId="14" fillId="0" borderId="0" xfId="6" applyFont="1"/>
    <xf numFmtId="0" fontId="4" fillId="0" borderId="0" xfId="6" applyFont="1"/>
    <xf numFmtId="0" fontId="14" fillId="4" borderId="9" xfId="6" applyFont="1" applyFill="1" applyBorder="1" applyAlignment="1">
      <alignment horizontal="left"/>
    </xf>
    <xf numFmtId="182" fontId="14" fillId="4" borderId="9" xfId="1" applyNumberFormat="1" applyFont="1" applyFill="1" applyBorder="1" applyAlignment="1">
      <alignment horizontal="center"/>
    </xf>
    <xf numFmtId="165" fontId="14" fillId="4" borderId="9" xfId="6" applyNumberFormat="1" applyFont="1" applyFill="1" applyBorder="1" applyAlignment="1">
      <alignment horizontal="center"/>
    </xf>
    <xf numFmtId="0" fontId="0" fillId="0" borderId="9" xfId="0" applyBorder="1"/>
    <xf numFmtId="180" fontId="28" fillId="0" borderId="0" xfId="6" applyNumberFormat="1" applyFont="1"/>
    <xf numFmtId="0" fontId="14" fillId="0" borderId="0" xfId="13" applyFont="1" applyAlignment="1">
      <alignment horizontal="center"/>
    </xf>
    <xf numFmtId="0" fontId="14" fillId="4" borderId="0" xfId="13" applyFont="1" applyFill="1" applyAlignment="1">
      <alignment horizontal="left"/>
    </xf>
    <xf numFmtId="0" fontId="14" fillId="0" borderId="0" xfId="13" applyFont="1"/>
    <xf numFmtId="0" fontId="1" fillId="0" borderId="0" xfId="0" applyFont="1"/>
    <xf numFmtId="0" fontId="14" fillId="0" borderId="0" xfId="13" applyFont="1" applyAlignment="1">
      <alignment horizontal="left"/>
    </xf>
    <xf numFmtId="2" fontId="14" fillId="4" borderId="9" xfId="13" applyNumberFormat="1" applyFont="1" applyFill="1" applyBorder="1" applyAlignment="1">
      <alignment horizontal="center" vertical="center" wrapText="1"/>
    </xf>
    <xf numFmtId="2" fontId="4" fillId="0" borderId="9" xfId="13" applyNumberFormat="1" applyFont="1" applyBorder="1" applyAlignment="1">
      <alignment horizontal="center" vertical="center" wrapText="1"/>
    </xf>
    <xf numFmtId="2" fontId="14" fillId="0" borderId="9" xfId="13" applyNumberFormat="1" applyFont="1" applyBorder="1" applyAlignment="1">
      <alignment horizontal="center" vertical="center" wrapText="1"/>
    </xf>
    <xf numFmtId="165" fontId="4" fillId="0" borderId="9" xfId="13" applyNumberFormat="1" applyFont="1" applyBorder="1" applyAlignment="1">
      <alignment horizontal="center" vertical="center" wrapText="1"/>
    </xf>
    <xf numFmtId="1" fontId="14" fillId="4" borderId="9" xfId="13" applyNumberFormat="1" applyFont="1" applyFill="1" applyBorder="1" applyAlignment="1">
      <alignment horizontal="center" vertical="center" wrapText="1"/>
    </xf>
    <xf numFmtId="0" fontId="14" fillId="4" borderId="9" xfId="13" applyFont="1" applyFill="1" applyBorder="1" applyAlignment="1">
      <alignment horizontal="left"/>
    </xf>
    <xf numFmtId="9" fontId="14" fillId="4" borderId="9" xfId="3" applyFont="1" applyFill="1" applyBorder="1" applyAlignment="1">
      <alignment horizontal="center" vertical="center" wrapText="1"/>
    </xf>
    <xf numFmtId="9" fontId="1" fillId="4" borderId="9" xfId="3" applyFont="1" applyFill="1" applyBorder="1" applyAlignment="1">
      <alignment horizontal="center" vertical="center" wrapText="1"/>
    </xf>
    <xf numFmtId="9" fontId="1" fillId="0" borderId="9" xfId="3" applyFont="1" applyFill="1" applyBorder="1" applyAlignment="1">
      <alignment horizontal="center" vertical="center" wrapText="1"/>
    </xf>
    <xf numFmtId="170" fontId="14" fillId="4" borderId="9" xfId="1" applyNumberFormat="1" applyFont="1" applyFill="1" applyBorder="1" applyAlignment="1">
      <alignment horizontal="center"/>
    </xf>
    <xf numFmtId="170" fontId="4" fillId="4" borderId="9" xfId="1" applyNumberFormat="1" applyFont="1" applyFill="1" applyBorder="1" applyAlignment="1">
      <alignment horizontal="center"/>
    </xf>
    <xf numFmtId="39" fontId="4" fillId="4" borderId="9" xfId="1" applyNumberFormat="1" applyFont="1" applyFill="1" applyBorder="1" applyAlignment="1">
      <alignment horizontal="center"/>
    </xf>
    <xf numFmtId="9" fontId="14" fillId="0" borderId="0" xfId="3" applyFont="1" applyFill="1" applyBorder="1"/>
    <xf numFmtId="9" fontId="14" fillId="0" borderId="0" xfId="0" applyNumberFormat="1" applyFont="1"/>
    <xf numFmtId="0" fontId="4" fillId="0" borderId="0" xfId="13" applyFont="1"/>
    <xf numFmtId="172" fontId="4" fillId="4" borderId="9" xfId="16" applyNumberFormat="1" applyFont="1" applyFill="1" applyBorder="1" applyAlignment="1">
      <alignment horizontal="center"/>
    </xf>
    <xf numFmtId="3" fontId="4" fillId="4" borderId="9" xfId="0" applyNumberFormat="1" applyFont="1" applyFill="1" applyBorder="1" applyAlignment="1">
      <alignment horizontal="center"/>
    </xf>
    <xf numFmtId="172" fontId="4" fillId="0" borderId="9" xfId="3" applyNumberFormat="1" applyFont="1" applyFill="1" applyBorder="1" applyAlignment="1">
      <alignment horizontal="center"/>
    </xf>
    <xf numFmtId="190" fontId="4" fillId="0" borderId="9" xfId="3" applyNumberFormat="1" applyFont="1" applyFill="1" applyBorder="1" applyAlignment="1">
      <alignment horizontal="center"/>
    </xf>
    <xf numFmtId="179" fontId="4" fillId="0" borderId="9" xfId="0" applyNumberFormat="1" applyFont="1" applyBorder="1" applyAlignment="1">
      <alignment horizontal="center"/>
    </xf>
    <xf numFmtId="171" fontId="14" fillId="0" borderId="9" xfId="6" applyNumberFormat="1" applyFont="1" applyBorder="1" applyAlignment="1">
      <alignment horizontal="center"/>
    </xf>
    <xf numFmtId="179" fontId="14" fillId="0" borderId="0" xfId="9" applyNumberFormat="1" applyFont="1" applyFill="1" applyBorder="1" applyAlignment="1">
      <alignment horizontal="left" vertical="center" wrapText="1"/>
    </xf>
    <xf numFmtId="0" fontId="25" fillId="0" borderId="0" xfId="13" applyFont="1" applyAlignment="1">
      <alignment horizontal="left" vertical="center" wrapText="1"/>
    </xf>
    <xf numFmtId="165" fontId="14" fillId="0" borderId="9" xfId="6" applyNumberFormat="1" applyFont="1" applyBorder="1" applyAlignment="1">
      <alignment horizontal="center" vertical="center" wrapText="1"/>
    </xf>
    <xf numFmtId="9" fontId="14" fillId="0" borderId="9" xfId="3" applyFont="1" applyFill="1" applyBorder="1" applyAlignment="1">
      <alignment horizontal="center" vertical="center" wrapText="1"/>
    </xf>
    <xf numFmtId="165" fontId="14" fillId="0" borderId="9" xfId="6" applyNumberFormat="1" applyFont="1" applyBorder="1" applyAlignment="1">
      <alignment horizontal="center"/>
    </xf>
    <xf numFmtId="0" fontId="14" fillId="0" borderId="0" xfId="0" applyFont="1" applyAlignment="1">
      <alignment horizontal="left"/>
    </xf>
    <xf numFmtId="0" fontId="4" fillId="0" borderId="9" xfId="0" applyFont="1" applyBorder="1" applyAlignment="1">
      <alignment horizontal="center" vertical="center" wrapText="1"/>
    </xf>
    <xf numFmtId="182" fontId="14" fillId="4" borderId="9" xfId="1" applyNumberFormat="1" applyFont="1" applyFill="1" applyBorder="1" applyAlignment="1">
      <alignment horizontal="center" vertical="center"/>
    </xf>
    <xf numFmtId="0" fontId="14" fillId="0" borderId="0" xfId="6" applyFont="1" applyAlignment="1">
      <alignment vertical="center"/>
    </xf>
    <xf numFmtId="0" fontId="14" fillId="0" borderId="9" xfId="6" applyFont="1" applyBorder="1" applyAlignment="1">
      <alignment horizontal="center"/>
    </xf>
    <xf numFmtId="0" fontId="14" fillId="0" borderId="9" xfId="6" applyFont="1" applyBorder="1"/>
    <xf numFmtId="171" fontId="14" fillId="0" borderId="9" xfId="13" applyNumberFormat="1" applyFont="1" applyBorder="1" applyAlignment="1">
      <alignment horizontal="center"/>
    </xf>
    <xf numFmtId="0" fontId="14" fillId="11" borderId="9" xfId="0" applyFont="1" applyFill="1" applyBorder="1" applyAlignment="1">
      <alignment horizontal="center" vertical="center"/>
    </xf>
    <xf numFmtId="0" fontId="14" fillId="4" borderId="0" xfId="6" applyFont="1" applyFill="1"/>
    <xf numFmtId="0" fontId="14" fillId="0" borderId="0" xfId="13" applyFont="1" applyAlignment="1">
      <alignment horizontal="left" vertical="center"/>
    </xf>
    <xf numFmtId="0" fontId="14" fillId="11" borderId="9" xfId="0" applyFont="1" applyFill="1" applyBorder="1" applyAlignment="1">
      <alignment horizontal="left" vertical="center"/>
    </xf>
    <xf numFmtId="167" fontId="5" fillId="12" borderId="0" xfId="0" applyNumberFormat="1" applyFont="1" applyFill="1" applyAlignment="1">
      <alignment horizontal="center"/>
    </xf>
    <xf numFmtId="165" fontId="14" fillId="0" borderId="9" xfId="6" applyNumberFormat="1" applyFont="1" applyBorder="1" applyAlignment="1">
      <alignment horizontal="center" vertical="center"/>
    </xf>
    <xf numFmtId="2" fontId="4" fillId="0" borderId="9" xfId="0" applyNumberFormat="1" applyFont="1" applyBorder="1" applyAlignment="1">
      <alignment horizontal="center"/>
    </xf>
    <xf numFmtId="9" fontId="14" fillId="0" borderId="0" xfId="3" applyFont="1" applyFill="1" applyBorder="1" applyAlignment="1">
      <alignment horizontal="left" vertical="center" wrapText="1"/>
    </xf>
    <xf numFmtId="0" fontId="4" fillId="0" borderId="9" xfId="0" applyFont="1" applyBorder="1" applyAlignment="1">
      <alignment horizontal="center" vertical="center"/>
    </xf>
    <xf numFmtId="0" fontId="14" fillId="11" borderId="19" xfId="0" applyFont="1" applyFill="1" applyBorder="1" applyAlignment="1">
      <alignment horizontal="left" vertical="center" wrapText="1"/>
    </xf>
    <xf numFmtId="9" fontId="1" fillId="0" borderId="0" xfId="3" applyFont="1"/>
    <xf numFmtId="0" fontId="25" fillId="0" borderId="0" xfId="6" applyFont="1"/>
    <xf numFmtId="165" fontId="4" fillId="0" borderId="9" xfId="6" applyNumberFormat="1" applyFont="1" applyBorder="1" applyAlignment="1">
      <alignment horizontal="center" vertical="center" wrapText="1"/>
    </xf>
    <xf numFmtId="0" fontId="14" fillId="0" borderId="0" xfId="6" applyFont="1" applyAlignment="1">
      <alignment horizontal="center" wrapText="1"/>
    </xf>
    <xf numFmtId="168" fontId="25" fillId="0" borderId="0" xfId="9" applyNumberFormat="1" applyFont="1" applyBorder="1" applyAlignment="1">
      <alignment horizontal="left" vertical="center" wrapText="1"/>
    </xf>
    <xf numFmtId="168" fontId="25" fillId="0" borderId="0" xfId="9" applyNumberFormat="1" applyFont="1" applyBorder="1" applyAlignment="1">
      <alignment vertical="center" wrapText="1"/>
    </xf>
    <xf numFmtId="168" fontId="25" fillId="0" borderId="0" xfId="9" applyNumberFormat="1" applyFont="1" applyFill="1" applyBorder="1" applyAlignment="1">
      <alignment vertical="center" wrapText="1"/>
    </xf>
    <xf numFmtId="0" fontId="14" fillId="0" borderId="9" xfId="8" applyFont="1" applyBorder="1" applyAlignment="1">
      <alignment horizontal="left"/>
    </xf>
    <xf numFmtId="0" fontId="0" fillId="4" borderId="0" xfId="0" applyFill="1"/>
    <xf numFmtId="170" fontId="14" fillId="4" borderId="9" xfId="0" applyNumberFormat="1" applyFont="1" applyFill="1" applyBorder="1" applyAlignment="1">
      <alignment horizontal="center" vertical="center" wrapText="1"/>
    </xf>
    <xf numFmtId="39" fontId="4" fillId="0" borderId="9" xfId="0" applyNumberFormat="1" applyFont="1" applyBorder="1" applyAlignment="1">
      <alignment horizontal="center"/>
    </xf>
    <xf numFmtId="0" fontId="14" fillId="0" borderId="19" xfId="8" applyFont="1" applyBorder="1" applyAlignment="1">
      <alignment horizontal="left"/>
    </xf>
    <xf numFmtId="0" fontId="14" fillId="0" borderId="0" xfId="8" applyFont="1" applyAlignment="1">
      <alignment horizontal="left"/>
    </xf>
    <xf numFmtId="165" fontId="14" fillId="4" borderId="9" xfId="8" applyNumberFormat="1" applyFont="1" applyFill="1" applyBorder="1" applyAlignment="1">
      <alignment horizontal="center"/>
    </xf>
    <xf numFmtId="7" fontId="14" fillId="4" borderId="9" xfId="2" applyNumberFormat="1" applyFont="1" applyFill="1" applyBorder="1" applyAlignment="1">
      <alignment horizontal="center"/>
    </xf>
    <xf numFmtId="44" fontId="14" fillId="4" borderId="9" xfId="2" applyFont="1" applyFill="1" applyBorder="1" applyAlignment="1">
      <alignment horizontal="center"/>
    </xf>
    <xf numFmtId="2" fontId="14" fillId="4" borderId="9" xfId="0" applyNumberFormat="1" applyFont="1" applyFill="1" applyBorder="1" applyAlignment="1">
      <alignment horizontal="center" vertical="center"/>
    </xf>
    <xf numFmtId="182" fontId="14" fillId="0" borderId="9" xfId="1" applyNumberFormat="1" applyFont="1" applyFill="1" applyBorder="1" applyAlignment="1">
      <alignment horizontal="center"/>
    </xf>
    <xf numFmtId="0" fontId="14" fillId="0" borderId="9" xfId="8" applyFont="1" applyBorder="1" applyAlignment="1">
      <alignment horizontal="center"/>
    </xf>
    <xf numFmtId="2" fontId="4" fillId="4" borderId="9" xfId="0" applyNumberFormat="1" applyFont="1" applyFill="1" applyBorder="1" applyAlignment="1">
      <alignment horizontal="center" vertical="center"/>
    </xf>
    <xf numFmtId="39" fontId="14" fillId="0" borderId="9" xfId="0" applyNumberFormat="1" applyFont="1" applyBorder="1" applyAlignment="1">
      <alignment horizontal="center" vertical="center"/>
    </xf>
    <xf numFmtId="39" fontId="4" fillId="0" borderId="9" xfId="0" applyNumberFormat="1" applyFont="1" applyBorder="1" applyAlignment="1">
      <alignment horizontal="center" vertical="center"/>
    </xf>
    <xf numFmtId="3" fontId="14" fillId="0" borderId="9" xfId="0" applyNumberFormat="1" applyFont="1" applyBorder="1" applyAlignment="1">
      <alignment horizontal="left" vertical="center"/>
    </xf>
    <xf numFmtId="3" fontId="14" fillId="0" borderId="9" xfId="0" applyNumberFormat="1" applyFont="1" applyBorder="1" applyAlignment="1">
      <alignment horizontal="center" vertical="center"/>
    </xf>
    <xf numFmtId="9" fontId="4" fillId="0" borderId="9" xfId="0" applyNumberFormat="1" applyFont="1" applyBorder="1" applyAlignment="1">
      <alignment horizontal="center" vertical="center"/>
    </xf>
    <xf numFmtId="9" fontId="14" fillId="0" borderId="9" xfId="3" applyFont="1" applyFill="1" applyBorder="1" applyAlignment="1">
      <alignment horizontal="center"/>
    </xf>
    <xf numFmtId="9" fontId="4" fillId="0" borderId="9" xfId="3" applyFont="1" applyFill="1" applyBorder="1" applyAlignment="1">
      <alignment horizontal="center"/>
    </xf>
    <xf numFmtId="0" fontId="14" fillId="0" borderId="0" xfId="0" applyFont="1" applyAlignment="1">
      <alignment horizontal="left" vertical="center"/>
    </xf>
    <xf numFmtId="0" fontId="14" fillId="0" borderId="0" xfId="0" applyFont="1" applyAlignment="1">
      <alignment horizontal="center" wrapText="1"/>
    </xf>
    <xf numFmtId="0" fontId="4" fillId="0" borderId="0" xfId="0" applyFont="1" applyAlignment="1">
      <alignment wrapText="1"/>
    </xf>
    <xf numFmtId="171" fontId="14" fillId="0" borderId="9" xfId="0" applyNumberFormat="1" applyFont="1" applyBorder="1" applyAlignment="1">
      <alignment horizontal="center" vertical="center" wrapText="1"/>
    </xf>
    <xf numFmtId="0" fontId="5" fillId="0" borderId="0" xfId="0" applyFont="1"/>
    <xf numFmtId="0" fontId="14" fillId="4" borderId="0" xfId="0" applyFont="1" applyFill="1" applyAlignment="1">
      <alignment horizontal="center" vertical="center" wrapText="1"/>
    </xf>
    <xf numFmtId="180" fontId="4" fillId="0" borderId="9" xfId="0" applyNumberFormat="1" applyFont="1" applyBorder="1" applyAlignment="1">
      <alignment horizontal="center" vertical="center" wrapText="1"/>
    </xf>
    <xf numFmtId="178" fontId="14" fillId="4" borderId="9" xfId="0" applyNumberFormat="1" applyFont="1" applyFill="1" applyBorder="1" applyAlignment="1">
      <alignment horizontal="center" vertical="center"/>
    </xf>
    <xf numFmtId="178" fontId="14" fillId="0" borderId="9" xfId="0" applyNumberFormat="1" applyFont="1" applyBorder="1" applyAlignment="1">
      <alignment horizontal="center" vertical="center"/>
    </xf>
    <xf numFmtId="178" fontId="4" fillId="0" borderId="9" xfId="0" applyNumberFormat="1" applyFont="1" applyBorder="1" applyAlignment="1">
      <alignment horizontal="center" vertical="center"/>
    </xf>
    <xf numFmtId="3" fontId="14" fillId="4" borderId="9" xfId="0" applyNumberFormat="1" applyFont="1" applyFill="1" applyBorder="1" applyAlignment="1">
      <alignment horizontal="center" vertical="center" wrapText="1"/>
    </xf>
    <xf numFmtId="0" fontId="14" fillId="4" borderId="0" xfId="0" applyFont="1" applyFill="1"/>
    <xf numFmtId="172" fontId="4" fillId="0" borderId="9" xfId="0" applyNumberFormat="1" applyFont="1" applyBorder="1" applyAlignment="1">
      <alignment horizontal="center" vertical="center" wrapText="1"/>
    </xf>
    <xf numFmtId="2" fontId="4" fillId="0" borderId="9" xfId="0" applyNumberFormat="1" applyFont="1" applyBorder="1" applyAlignment="1">
      <alignment horizontal="center" vertical="center" wrapText="1"/>
    </xf>
    <xf numFmtId="2" fontId="14" fillId="0" borderId="9" xfId="0" applyNumberFormat="1" applyFont="1" applyBorder="1" applyAlignment="1">
      <alignment horizontal="center" vertical="center" wrapText="1"/>
    </xf>
    <xf numFmtId="7" fontId="14" fillId="4" borderId="9" xfId="2" applyNumberFormat="1" applyFont="1" applyFill="1" applyBorder="1" applyAlignment="1">
      <alignment horizontal="center" vertical="center" wrapText="1"/>
    </xf>
    <xf numFmtId="170" fontId="14" fillId="4" borderId="0" xfId="1" applyNumberFormat="1" applyFont="1" applyFill="1" applyBorder="1" applyAlignment="1" applyProtection="1">
      <alignment horizontal="right"/>
    </xf>
    <xf numFmtId="165" fontId="4" fillId="4" borderId="9" xfId="0" applyNumberFormat="1" applyFont="1" applyFill="1" applyBorder="1" applyAlignment="1">
      <alignment horizontal="center" vertical="center" wrapText="1"/>
    </xf>
    <xf numFmtId="7" fontId="4" fillId="4" borderId="9" xfId="2" applyNumberFormat="1" applyFont="1" applyFill="1" applyBorder="1" applyAlignment="1">
      <alignment horizontal="center" vertical="center" wrapText="1"/>
    </xf>
    <xf numFmtId="9" fontId="14" fillId="4" borderId="0" xfId="0" applyNumberFormat="1" applyFont="1" applyFill="1" applyAlignment="1">
      <alignment horizontal="center" vertical="center" wrapText="1"/>
    </xf>
    <xf numFmtId="9" fontId="4" fillId="0" borderId="9" xfId="0" applyNumberFormat="1" applyFont="1" applyBorder="1" applyAlignment="1">
      <alignment horizontal="center" vertical="center" wrapText="1"/>
    </xf>
    <xf numFmtId="0" fontId="14" fillId="0" borderId="9" xfId="0" applyFont="1" applyBorder="1" applyAlignment="1">
      <alignment horizontal="center" wrapText="1"/>
    </xf>
    <xf numFmtId="165" fontId="14" fillId="4" borderId="0" xfId="0" applyNumberFormat="1" applyFont="1" applyFill="1" applyAlignment="1">
      <alignment horizontal="center" vertical="center" wrapText="1"/>
    </xf>
    <xf numFmtId="3" fontId="14" fillId="4" borderId="0" xfId="0" applyNumberFormat="1" applyFont="1" applyFill="1" applyAlignment="1">
      <alignment horizontal="center" vertical="center" wrapText="1"/>
    </xf>
    <xf numFmtId="165" fontId="4" fillId="4" borderId="9" xfId="8" applyNumberFormat="1" applyFont="1" applyFill="1" applyBorder="1" applyAlignment="1">
      <alignment horizontal="center"/>
    </xf>
    <xf numFmtId="7" fontId="4" fillId="0" borderId="9" xfId="2" applyNumberFormat="1" applyFont="1" applyFill="1" applyBorder="1" applyAlignment="1">
      <alignment horizontal="center"/>
    </xf>
    <xf numFmtId="171" fontId="14" fillId="4" borderId="9" xfId="0" applyNumberFormat="1" applyFont="1" applyFill="1" applyBorder="1" applyAlignment="1">
      <alignment horizontal="center" vertical="center" wrapText="1"/>
    </xf>
    <xf numFmtId="2" fontId="4" fillId="4" borderId="9" xfId="0" applyNumberFormat="1" applyFont="1" applyFill="1" applyBorder="1" applyAlignment="1">
      <alignment horizontal="center"/>
    </xf>
    <xf numFmtId="0" fontId="0" fillId="0" borderId="9" xfId="0" applyBorder="1" applyAlignment="1">
      <alignment horizontal="center"/>
    </xf>
    <xf numFmtId="0" fontId="28" fillId="12" borderId="0" xfId="0" applyFont="1" applyFill="1"/>
    <xf numFmtId="167" fontId="28" fillId="12" borderId="0" xfId="0" applyNumberFormat="1" applyFont="1" applyFill="1"/>
    <xf numFmtId="180" fontId="14" fillId="4" borderId="9" xfId="0" applyNumberFormat="1" applyFont="1" applyFill="1" applyBorder="1" applyAlignment="1">
      <alignment horizontal="center"/>
    </xf>
    <xf numFmtId="179" fontId="14" fillId="4" borderId="9" xfId="0" applyNumberFormat="1" applyFont="1" applyFill="1" applyBorder="1" applyAlignment="1">
      <alignment horizontal="center" vertical="center" wrapText="1"/>
    </xf>
    <xf numFmtId="0" fontId="14" fillId="0" borderId="0" xfId="0" applyFont="1" applyAlignment="1">
      <alignment wrapText="1"/>
    </xf>
    <xf numFmtId="39" fontId="14" fillId="4" borderId="9" xfId="1" applyNumberFormat="1" applyFont="1" applyFill="1" applyBorder="1" applyAlignment="1">
      <alignment horizontal="center" vertical="center" wrapText="1"/>
    </xf>
    <xf numFmtId="39" fontId="4" fillId="0" borderId="9" xfId="1" applyNumberFormat="1" applyFont="1" applyFill="1" applyBorder="1" applyAlignment="1">
      <alignment horizontal="center" vertical="center" wrapText="1"/>
    </xf>
    <xf numFmtId="39" fontId="4" fillId="4" borderId="9" xfId="1" applyNumberFormat="1" applyFont="1" applyFill="1" applyBorder="1" applyAlignment="1">
      <alignment horizontal="center" vertical="center" wrapText="1"/>
    </xf>
    <xf numFmtId="0" fontId="25" fillId="4" borderId="0" xfId="5" applyFont="1" applyFill="1"/>
    <xf numFmtId="39" fontId="14" fillId="0" borderId="9" xfId="1" applyNumberFormat="1" applyFont="1" applyBorder="1" applyAlignment="1">
      <alignment horizontal="center"/>
    </xf>
    <xf numFmtId="0" fontId="14" fillId="4" borderId="19" xfId="8" applyFont="1" applyFill="1" applyBorder="1" applyAlignment="1">
      <alignment horizontal="left"/>
    </xf>
    <xf numFmtId="7" fontId="14" fillId="4" borderId="0" xfId="0" applyNumberFormat="1" applyFont="1" applyFill="1"/>
    <xf numFmtId="0" fontId="39" fillId="0" borderId="0" xfId="0" applyFont="1"/>
    <xf numFmtId="9" fontId="14" fillId="4" borderId="9" xfId="3" applyFont="1" applyFill="1" applyBorder="1" applyAlignment="1">
      <alignment horizontal="center"/>
    </xf>
    <xf numFmtId="0" fontId="14" fillId="4" borderId="9" xfId="8" applyFont="1" applyFill="1" applyBorder="1"/>
    <xf numFmtId="9" fontId="4" fillId="4" borderId="9" xfId="3" applyFont="1" applyFill="1" applyBorder="1" applyAlignment="1">
      <alignment horizontal="center"/>
    </xf>
    <xf numFmtId="165" fontId="4" fillId="0" borderId="9" xfId="3" applyNumberFormat="1" applyFont="1" applyBorder="1" applyAlignment="1">
      <alignment horizontal="center"/>
    </xf>
    <xf numFmtId="165" fontId="4" fillId="4" borderId="9" xfId="3" applyNumberFormat="1" applyFont="1" applyFill="1" applyBorder="1" applyAlignment="1">
      <alignment horizontal="center"/>
    </xf>
    <xf numFmtId="165" fontId="14" fillId="0" borderId="9" xfId="3" applyNumberFormat="1" applyFont="1" applyBorder="1" applyAlignment="1">
      <alignment horizontal="center"/>
    </xf>
    <xf numFmtId="10" fontId="4" fillId="4" borderId="9" xfId="3" applyNumberFormat="1" applyFont="1" applyFill="1" applyBorder="1" applyAlignment="1">
      <alignment horizontal="center"/>
    </xf>
    <xf numFmtId="10" fontId="14" fillId="4" borderId="9" xfId="3" applyNumberFormat="1" applyFont="1" applyFill="1" applyBorder="1" applyAlignment="1">
      <alignment horizontal="center"/>
    </xf>
    <xf numFmtId="44" fontId="14" fillId="0" borderId="27" xfId="2" applyFont="1" applyFill="1" applyBorder="1"/>
    <xf numFmtId="37" fontId="14" fillId="0" borderId="9" xfId="0" applyNumberFormat="1" applyFont="1" applyBorder="1" applyAlignment="1">
      <alignment horizontal="center"/>
    </xf>
    <xf numFmtId="5" fontId="14" fillId="4" borderId="9" xfId="2" applyNumberFormat="1" applyFont="1" applyFill="1" applyBorder="1" applyAlignment="1">
      <alignment horizontal="center"/>
    </xf>
    <xf numFmtId="168" fontId="4" fillId="0" borderId="9" xfId="1" applyNumberFormat="1" applyFont="1" applyBorder="1"/>
    <xf numFmtId="43" fontId="14" fillId="0" borderId="9" xfId="1" applyFont="1" applyBorder="1"/>
    <xf numFmtId="39" fontId="14" fillId="4" borderId="9" xfId="1" applyNumberFormat="1" applyFont="1" applyFill="1" applyBorder="1" applyAlignment="1">
      <alignment horizontal="center"/>
    </xf>
    <xf numFmtId="168" fontId="14" fillId="4" borderId="9" xfId="0" applyNumberFormat="1" applyFont="1" applyFill="1" applyBorder="1" applyAlignment="1">
      <alignment horizontal="left"/>
    </xf>
    <xf numFmtId="39" fontId="4" fillId="0" borderId="9" xfId="1" applyNumberFormat="1" applyFont="1" applyBorder="1" applyAlignment="1">
      <alignment horizontal="center"/>
    </xf>
    <xf numFmtId="7" fontId="4" fillId="4" borderId="9" xfId="2" applyNumberFormat="1" applyFont="1" applyFill="1" applyBorder="1" applyAlignment="1">
      <alignment horizontal="center"/>
    </xf>
    <xf numFmtId="7" fontId="14" fillId="0" borderId="9" xfId="2" applyNumberFormat="1" applyFont="1" applyBorder="1" applyAlignment="1">
      <alignment horizontal="center"/>
    </xf>
    <xf numFmtId="44" fontId="14" fillId="0" borderId="9" xfId="2" applyFont="1" applyBorder="1"/>
    <xf numFmtId="2" fontId="14" fillId="0" borderId="0" xfId="0" applyNumberFormat="1" applyFont="1" applyAlignment="1">
      <alignment horizontal="left"/>
    </xf>
    <xf numFmtId="0" fontId="14" fillId="4" borderId="30" xfId="0" applyFont="1" applyFill="1" applyBorder="1" applyAlignment="1">
      <alignment horizontal="left" vertical="top" wrapText="1"/>
    </xf>
    <xf numFmtId="2" fontId="14" fillId="4" borderId="9" xfId="0" applyNumberFormat="1" applyFont="1" applyFill="1" applyBorder="1" applyAlignment="1">
      <alignment horizontal="left" vertical="top" wrapText="1"/>
    </xf>
    <xf numFmtId="2" fontId="4" fillId="4" borderId="9" xfId="0" applyNumberFormat="1" applyFont="1" applyFill="1" applyBorder="1" applyAlignment="1">
      <alignment horizontal="left" vertical="top" wrapText="1"/>
    </xf>
    <xf numFmtId="9" fontId="14" fillId="4" borderId="9" xfId="0" applyNumberFormat="1" applyFont="1" applyFill="1" applyBorder="1" applyAlignment="1">
      <alignment horizontal="left" vertical="top"/>
    </xf>
    <xf numFmtId="9" fontId="4" fillId="4" borderId="9" xfId="0" applyNumberFormat="1" applyFont="1" applyFill="1" applyBorder="1" applyAlignment="1">
      <alignment horizontal="left" vertical="top"/>
    </xf>
    <xf numFmtId="0" fontId="14" fillId="4" borderId="19" xfId="0" applyFont="1" applyFill="1" applyBorder="1" applyAlignment="1">
      <alignment horizontal="left" vertical="top"/>
    </xf>
    <xf numFmtId="39" fontId="14" fillId="4" borderId="9" xfId="1" applyNumberFormat="1" applyFont="1" applyFill="1" applyBorder="1" applyAlignment="1">
      <alignment horizontal="center" vertical="top"/>
    </xf>
    <xf numFmtId="39" fontId="4" fillId="4" borderId="9" xfId="1" applyNumberFormat="1" applyFont="1" applyFill="1" applyBorder="1" applyAlignment="1">
      <alignment horizontal="center" vertical="top"/>
    </xf>
    <xf numFmtId="196" fontId="14" fillId="4" borderId="9" xfId="2" applyNumberFormat="1" applyFont="1" applyFill="1" applyBorder="1" applyAlignment="1">
      <alignment horizontal="center"/>
    </xf>
    <xf numFmtId="196" fontId="4" fillId="4" borderId="9" xfId="2" applyNumberFormat="1" applyFont="1" applyFill="1" applyBorder="1" applyAlignment="1">
      <alignment horizontal="center"/>
    </xf>
    <xf numFmtId="0" fontId="14" fillId="10" borderId="17" xfId="0" applyFont="1" applyFill="1" applyBorder="1" applyAlignment="1">
      <alignment horizontal="center"/>
    </xf>
    <xf numFmtId="43" fontId="4" fillId="0" borderId="9" xfId="0" applyNumberFormat="1" applyFont="1" applyBorder="1"/>
    <xf numFmtId="43" fontId="4" fillId="4" borderId="9" xfId="0" applyNumberFormat="1" applyFont="1" applyFill="1" applyBorder="1"/>
    <xf numFmtId="165" fontId="14" fillId="0" borderId="19" xfId="0" applyNumberFormat="1" applyFont="1" applyBorder="1" applyAlignment="1">
      <alignment horizontal="center" vertical="center" wrapText="1"/>
    </xf>
    <xf numFmtId="7" fontId="14" fillId="4" borderId="19" xfId="2" applyNumberFormat="1" applyFont="1" applyFill="1" applyBorder="1" applyAlignment="1">
      <alignment horizontal="center"/>
    </xf>
    <xf numFmtId="39" fontId="14" fillId="4" borderId="9" xfId="1" quotePrefix="1" applyNumberFormat="1" applyFont="1" applyFill="1" applyBorder="1" applyAlignment="1">
      <alignment horizontal="center" vertical="center" wrapText="1"/>
    </xf>
    <xf numFmtId="2" fontId="4" fillId="0" borderId="9" xfId="1" applyNumberFormat="1" applyFont="1" applyBorder="1"/>
    <xf numFmtId="39" fontId="4" fillId="4" borderId="9" xfId="1" quotePrefix="1" applyNumberFormat="1" applyFont="1" applyFill="1" applyBorder="1" applyAlignment="1">
      <alignment horizontal="center" vertical="center" wrapText="1"/>
    </xf>
    <xf numFmtId="9" fontId="4" fillId="0" borderId="9" xfId="3" applyFont="1" applyFill="1" applyBorder="1" applyAlignment="1">
      <alignment horizontal="center" vertical="center" wrapText="1"/>
    </xf>
    <xf numFmtId="9" fontId="14" fillId="4" borderId="9" xfId="0" applyNumberFormat="1" applyFont="1" applyFill="1" applyBorder="1" applyAlignment="1">
      <alignment horizontal="left" vertical="top" wrapText="1"/>
    </xf>
    <xf numFmtId="0" fontId="14" fillId="8" borderId="9" xfId="0" applyFont="1" applyFill="1" applyBorder="1" applyAlignment="1">
      <alignment horizontal="left" vertical="top" wrapText="1"/>
    </xf>
    <xf numFmtId="9" fontId="4" fillId="4" borderId="9" xfId="0" applyNumberFormat="1" applyFont="1" applyFill="1" applyBorder="1" applyAlignment="1">
      <alignment horizontal="left" vertical="top" wrapText="1"/>
    </xf>
    <xf numFmtId="39" fontId="14" fillId="4" borderId="9" xfId="1" applyNumberFormat="1" applyFont="1" applyFill="1" applyBorder="1" applyAlignment="1">
      <alignment horizontal="left" vertical="top" wrapText="1"/>
    </xf>
    <xf numFmtId="7" fontId="4" fillId="4" borderId="9" xfId="2" applyNumberFormat="1" applyFont="1" applyFill="1" applyBorder="1" applyAlignment="1">
      <alignment horizontal="left"/>
    </xf>
    <xf numFmtId="7" fontId="14" fillId="4" borderId="9" xfId="2" applyNumberFormat="1" applyFont="1" applyFill="1" applyBorder="1" applyAlignment="1">
      <alignment horizontal="left"/>
    </xf>
    <xf numFmtId="7" fontId="4" fillId="4" borderId="9" xfId="2" applyNumberFormat="1" applyFont="1" applyFill="1" applyBorder="1" applyAlignment="1">
      <alignment horizontal="left" vertical="center" wrapText="1"/>
    </xf>
    <xf numFmtId="7" fontId="14" fillId="4" borderId="9" xfId="2" applyNumberFormat="1" applyFont="1" applyFill="1" applyBorder="1" applyAlignment="1">
      <alignment horizontal="left" vertical="center" wrapText="1"/>
    </xf>
    <xf numFmtId="7" fontId="14" fillId="0" borderId="9" xfId="2" applyNumberFormat="1" applyFont="1" applyFill="1" applyBorder="1" applyAlignment="1">
      <alignment horizontal="left" vertical="center" wrapText="1"/>
    </xf>
    <xf numFmtId="8" fontId="14" fillId="0" borderId="0" xfId="0" applyNumberFormat="1" applyFont="1"/>
    <xf numFmtId="9" fontId="4" fillId="4" borderId="9" xfId="3" applyFont="1" applyFill="1" applyBorder="1" applyAlignment="1">
      <alignment horizontal="left" vertical="top" wrapText="1"/>
    </xf>
    <xf numFmtId="9" fontId="14" fillId="4" borderId="23" xfId="3" applyFont="1" applyFill="1" applyBorder="1" applyAlignment="1">
      <alignment horizontal="left" vertical="top" wrapText="1"/>
    </xf>
    <xf numFmtId="9" fontId="14" fillId="4" borderId="9" xfId="3" applyFont="1" applyFill="1" applyBorder="1" applyAlignment="1">
      <alignment horizontal="left" vertical="top" wrapText="1"/>
    </xf>
    <xf numFmtId="39" fontId="4" fillId="4" borderId="9" xfId="1" applyNumberFormat="1" applyFont="1" applyFill="1" applyBorder="1" applyAlignment="1">
      <alignment horizontal="left" vertical="top" wrapText="1"/>
    </xf>
    <xf numFmtId="7" fontId="4" fillId="4" borderId="9" xfId="2" applyNumberFormat="1" applyFont="1" applyFill="1" applyBorder="1" applyAlignment="1">
      <alignment horizontal="left" vertical="top" wrapText="1"/>
    </xf>
    <xf numFmtId="7" fontId="14" fillId="4" borderId="9" xfId="2" applyNumberFormat="1" applyFont="1" applyFill="1" applyBorder="1" applyAlignment="1">
      <alignment horizontal="left" vertical="top" wrapText="1"/>
    </xf>
    <xf numFmtId="0" fontId="14" fillId="16" borderId="0" xfId="0" applyFont="1" applyFill="1" applyAlignment="1">
      <alignment horizontal="left" vertical="top" wrapText="1"/>
    </xf>
    <xf numFmtId="170" fontId="14" fillId="4" borderId="9" xfId="1" quotePrefix="1" applyNumberFormat="1" applyFont="1" applyFill="1" applyBorder="1" applyAlignment="1">
      <alignment horizontal="center" vertical="center" wrapText="1"/>
    </xf>
    <xf numFmtId="170" fontId="4" fillId="0" borderId="9" xfId="0" applyNumberFormat="1" applyFont="1" applyBorder="1"/>
    <xf numFmtId="170" fontId="4" fillId="4" borderId="9" xfId="1" quotePrefix="1" applyNumberFormat="1" applyFont="1" applyFill="1" applyBorder="1" applyAlignment="1">
      <alignment horizontal="center" vertical="center" wrapText="1"/>
    </xf>
    <xf numFmtId="170" fontId="4" fillId="4" borderId="9" xfId="0" applyNumberFormat="1" applyFont="1" applyFill="1" applyBorder="1" applyAlignment="1">
      <alignment horizontal="center" vertical="center" wrapText="1"/>
    </xf>
    <xf numFmtId="165" fontId="4" fillId="4" borderId="9" xfId="0" applyNumberFormat="1" applyFont="1" applyFill="1" applyBorder="1" applyAlignment="1">
      <alignment horizontal="left" vertical="top" wrapText="1"/>
    </xf>
    <xf numFmtId="37" fontId="4" fillId="4" borderId="9" xfId="1" quotePrefix="1" applyNumberFormat="1" applyFont="1" applyFill="1" applyBorder="1" applyAlignment="1">
      <alignment horizontal="center" vertical="center" wrapText="1"/>
    </xf>
    <xf numFmtId="7" fontId="14" fillId="0" borderId="0" xfId="2" applyNumberFormat="1" applyFont="1" applyFill="1" applyBorder="1" applyAlignment="1">
      <alignment horizontal="center" vertical="center" wrapText="1"/>
    </xf>
    <xf numFmtId="0" fontId="14" fillId="4" borderId="23" xfId="0" applyFont="1" applyFill="1" applyBorder="1" applyAlignment="1">
      <alignment horizontal="left" vertical="top"/>
    </xf>
    <xf numFmtId="37" fontId="14" fillId="4" borderId="9" xfId="1" quotePrefix="1" applyNumberFormat="1" applyFont="1" applyFill="1" applyBorder="1" applyAlignment="1">
      <alignment horizontal="center" vertical="center" wrapText="1"/>
    </xf>
    <xf numFmtId="170" fontId="14" fillId="4" borderId="9" xfId="1" applyNumberFormat="1" applyFont="1" applyFill="1" applyBorder="1" applyAlignment="1">
      <alignment horizontal="center" vertical="center" wrapText="1"/>
    </xf>
    <xf numFmtId="0" fontId="14" fillId="4" borderId="0" xfId="0" applyFont="1" applyFill="1" applyAlignment="1">
      <alignment horizontal="left"/>
    </xf>
    <xf numFmtId="2" fontId="14" fillId="0" borderId="9" xfId="0" applyNumberFormat="1" applyFont="1" applyBorder="1" applyAlignment="1">
      <alignment wrapText="1"/>
    </xf>
    <xf numFmtId="171" fontId="14" fillId="4" borderId="9" xfId="2" applyNumberFormat="1" applyFont="1" applyFill="1" applyBorder="1" applyAlignment="1">
      <alignment horizontal="center"/>
    </xf>
    <xf numFmtId="171" fontId="14" fillId="0" borderId="9" xfId="0" applyNumberFormat="1" applyFont="1" applyBorder="1" applyAlignment="1">
      <alignment horizontal="center"/>
    </xf>
    <xf numFmtId="190" fontId="14" fillId="0" borderId="9" xfId="3" applyNumberFormat="1" applyFont="1" applyBorder="1"/>
    <xf numFmtId="2" fontId="14" fillId="0" borderId="0" xfId="0" applyNumberFormat="1" applyFont="1" applyAlignment="1">
      <alignment horizontal="center"/>
    </xf>
    <xf numFmtId="2" fontId="14" fillId="8" borderId="9" xfId="0" applyNumberFormat="1" applyFont="1" applyFill="1" applyBorder="1" applyAlignment="1">
      <alignment wrapText="1"/>
    </xf>
    <xf numFmtId="170" fontId="14" fillId="4" borderId="9" xfId="1" applyNumberFormat="1" applyFont="1" applyFill="1" applyBorder="1" applyAlignment="1">
      <alignment horizontal="left" vertical="top" wrapText="1"/>
    </xf>
    <xf numFmtId="0" fontId="28" fillId="0" borderId="0" xfId="5" applyFont="1" applyAlignment="1">
      <alignment horizontal="center" vertical="center" wrapText="1"/>
    </xf>
    <xf numFmtId="0" fontId="25" fillId="0" borderId="0" xfId="5" applyFont="1"/>
    <xf numFmtId="168" fontId="14" fillId="0" borderId="9" xfId="0" applyNumberFormat="1" applyFont="1" applyBorder="1" applyAlignment="1">
      <alignment horizontal="left"/>
    </xf>
    <xf numFmtId="165" fontId="14" fillId="4" borderId="9" xfId="13" applyNumberFormat="1" applyFont="1" applyFill="1" applyBorder="1" applyAlignment="1">
      <alignment horizontal="center"/>
    </xf>
    <xf numFmtId="171" fontId="14" fillId="4" borderId="9" xfId="13" applyNumberFormat="1" applyFont="1" applyFill="1" applyBorder="1" applyAlignment="1">
      <alignment horizontal="center"/>
    </xf>
    <xf numFmtId="189" fontId="14" fillId="4" borderId="9" xfId="0" applyNumberFormat="1" applyFont="1" applyFill="1" applyBorder="1" applyAlignment="1">
      <alignment horizontal="center" vertical="center" wrapText="1"/>
    </xf>
    <xf numFmtId="39" fontId="14" fillId="4" borderId="9" xfId="0" applyNumberFormat="1" applyFont="1" applyFill="1" applyBorder="1" applyAlignment="1">
      <alignment horizontal="center" vertical="center" wrapText="1"/>
    </xf>
    <xf numFmtId="2" fontId="4" fillId="0" borderId="9" xfId="13" applyNumberFormat="1" applyFont="1" applyBorder="1" applyAlignment="1">
      <alignment horizontal="center"/>
    </xf>
    <xf numFmtId="39" fontId="4" fillId="4" borderId="9" xfId="0" applyNumberFormat="1" applyFont="1" applyFill="1" applyBorder="1" applyAlignment="1">
      <alignment horizontal="center" vertical="center" wrapText="1"/>
    </xf>
    <xf numFmtId="0" fontId="1" fillId="0" borderId="0" xfId="8" applyFont="1"/>
    <xf numFmtId="169" fontId="14" fillId="0" borderId="9" xfId="2" applyNumberFormat="1" applyFont="1" applyBorder="1" applyAlignment="1">
      <alignment horizontal="center"/>
    </xf>
    <xf numFmtId="7" fontId="1" fillId="0" borderId="9" xfId="2" applyNumberFormat="1" applyFont="1" applyFill="1" applyBorder="1" applyAlignment="1">
      <alignment horizontal="center"/>
    </xf>
    <xf numFmtId="180" fontId="1" fillId="0" borderId="9" xfId="8" applyNumberFormat="1" applyFont="1" applyBorder="1" applyAlignment="1">
      <alignment horizontal="center"/>
    </xf>
    <xf numFmtId="180" fontId="4" fillId="0" borderId="9" xfId="8" applyNumberFormat="1" applyFont="1" applyBorder="1" applyAlignment="1">
      <alignment horizontal="center"/>
    </xf>
    <xf numFmtId="1" fontId="4" fillId="0" borderId="9" xfId="3" applyNumberFormat="1" applyFont="1" applyFill="1" applyBorder="1" applyAlignment="1">
      <alignment horizontal="center"/>
    </xf>
    <xf numFmtId="1" fontId="1" fillId="0" borderId="9" xfId="3" applyNumberFormat="1" applyFont="1" applyBorder="1" applyAlignment="1">
      <alignment horizontal="center"/>
    </xf>
    <xf numFmtId="180" fontId="4" fillId="4" borderId="9" xfId="8" applyNumberFormat="1" applyFont="1" applyFill="1" applyBorder="1" applyAlignment="1">
      <alignment horizontal="center"/>
    </xf>
    <xf numFmtId="0" fontId="14" fillId="0" borderId="0" xfId="8" applyFont="1" applyAlignment="1">
      <alignment horizontal="center"/>
    </xf>
    <xf numFmtId="0" fontId="14" fillId="0" borderId="34" xfId="8" applyFont="1" applyBorder="1"/>
    <xf numFmtId="0" fontId="14" fillId="0" borderId="0" xfId="8" applyFont="1"/>
    <xf numFmtId="0" fontId="1" fillId="0" borderId="0" xfId="8" applyFont="1" applyAlignment="1">
      <alignment horizontal="center"/>
    </xf>
    <xf numFmtId="0" fontId="14" fillId="0" borderId="35" xfId="8" applyFont="1" applyBorder="1" applyAlignment="1">
      <alignment horizontal="center"/>
    </xf>
    <xf numFmtId="0" fontId="14" fillId="0" borderId="33" xfId="8" applyFont="1" applyBorder="1" applyAlignment="1">
      <alignment horizontal="center"/>
    </xf>
    <xf numFmtId="9" fontId="1" fillId="0" borderId="9" xfId="3" applyFont="1" applyBorder="1" applyAlignment="1">
      <alignment horizontal="center"/>
    </xf>
    <xf numFmtId="2" fontId="4" fillId="0" borderId="9" xfId="3" applyNumberFormat="1" applyFont="1" applyBorder="1" applyAlignment="1">
      <alignment horizontal="center"/>
    </xf>
    <xf numFmtId="0" fontId="37" fillId="0" borderId="9" xfId="8" applyFont="1" applyBorder="1" applyAlignment="1">
      <alignment horizontal="left" vertical="center"/>
    </xf>
    <xf numFmtId="2" fontId="1" fillId="0" borderId="9" xfId="3" applyNumberFormat="1" applyFont="1" applyBorder="1" applyAlignment="1">
      <alignment horizontal="center"/>
    </xf>
    <xf numFmtId="10" fontId="1" fillId="0" borderId="9" xfId="3" applyNumberFormat="1" applyFont="1" applyBorder="1" applyAlignment="1">
      <alignment horizontal="center"/>
    </xf>
    <xf numFmtId="1" fontId="1" fillId="0" borderId="21" xfId="3" applyNumberFormat="1" applyFont="1" applyBorder="1" applyAlignment="1">
      <alignment horizontal="center"/>
    </xf>
    <xf numFmtId="1" fontId="1" fillId="0" borderId="19" xfId="3" applyNumberFormat="1" applyFont="1" applyBorder="1" applyAlignment="1">
      <alignment horizontal="center"/>
    </xf>
    <xf numFmtId="165" fontId="1" fillId="0" borderId="9" xfId="3" applyNumberFormat="1" applyFont="1" applyFill="1" applyBorder="1" applyAlignment="1">
      <alignment horizontal="center"/>
    </xf>
    <xf numFmtId="0" fontId="37" fillId="4" borderId="9" xfId="8" applyFont="1" applyFill="1" applyBorder="1" applyAlignment="1">
      <alignment horizontal="left" vertical="center"/>
    </xf>
    <xf numFmtId="165" fontId="1" fillId="4" borderId="9" xfId="3" applyNumberFormat="1" applyFont="1" applyFill="1" applyBorder="1" applyAlignment="1">
      <alignment horizontal="center"/>
    </xf>
    <xf numFmtId="0" fontId="1" fillId="0" borderId="9" xfId="8" applyFont="1" applyBorder="1" applyAlignment="1">
      <alignment horizontal="left"/>
    </xf>
    <xf numFmtId="7" fontId="1" fillId="4" borderId="9" xfId="2" applyNumberFormat="1" applyFont="1" applyFill="1" applyBorder="1" applyAlignment="1">
      <alignment horizontal="center"/>
    </xf>
    <xf numFmtId="0" fontId="14" fillId="0" borderId="0" xfId="8" applyFont="1" applyAlignment="1">
      <alignment vertical="center" wrapText="1"/>
    </xf>
    <xf numFmtId="1" fontId="4" fillId="0" borderId="9" xfId="3" applyNumberFormat="1" applyFont="1" applyBorder="1" applyAlignment="1">
      <alignment horizontal="center"/>
    </xf>
    <xf numFmtId="1" fontId="1" fillId="4" borderId="9" xfId="3" applyNumberFormat="1" applyFont="1" applyFill="1" applyBorder="1" applyAlignment="1">
      <alignment horizontal="center"/>
    </xf>
    <xf numFmtId="9" fontId="1" fillId="4" borderId="9" xfId="3" applyFont="1" applyFill="1" applyBorder="1" applyAlignment="1">
      <alignment horizontal="center"/>
    </xf>
    <xf numFmtId="2" fontId="1" fillId="4" borderId="9" xfId="3" applyNumberFormat="1" applyFont="1" applyFill="1" applyBorder="1" applyAlignment="1">
      <alignment horizontal="center"/>
    </xf>
    <xf numFmtId="2" fontId="4" fillId="4" borderId="9" xfId="3" applyNumberFormat="1" applyFont="1" applyFill="1" applyBorder="1" applyAlignment="1">
      <alignment horizontal="center"/>
    </xf>
    <xf numFmtId="9" fontId="1" fillId="0" borderId="9" xfId="3" applyFont="1" applyFill="1" applyBorder="1" applyAlignment="1">
      <alignment horizontal="center"/>
    </xf>
    <xf numFmtId="1" fontId="1" fillId="0" borderId="9" xfId="3" applyNumberFormat="1" applyFont="1" applyFill="1" applyBorder="1" applyAlignment="1">
      <alignment horizontal="center"/>
    </xf>
    <xf numFmtId="165" fontId="37" fillId="0" borderId="9" xfId="8" applyNumberFormat="1" applyFont="1" applyBorder="1" applyAlignment="1">
      <alignment horizontal="left" vertical="center"/>
    </xf>
    <xf numFmtId="0" fontId="34" fillId="4" borderId="9" xfId="8" applyFont="1" applyFill="1" applyBorder="1" applyAlignment="1">
      <alignment horizontal="left" vertical="center"/>
    </xf>
    <xf numFmtId="2" fontId="14" fillId="0" borderId="9" xfId="3" applyNumberFormat="1" applyFont="1" applyBorder="1" applyAlignment="1">
      <alignment horizontal="center"/>
    </xf>
    <xf numFmtId="2" fontId="1" fillId="0" borderId="9" xfId="3" applyNumberFormat="1" applyFont="1" applyFill="1" applyBorder="1" applyAlignment="1">
      <alignment horizontal="center"/>
    </xf>
    <xf numFmtId="1" fontId="4" fillId="4" borderId="9" xfId="3" applyNumberFormat="1" applyFont="1" applyFill="1" applyBorder="1" applyAlignment="1">
      <alignment horizontal="center"/>
    </xf>
    <xf numFmtId="10" fontId="14" fillId="0" borderId="9" xfId="3" applyNumberFormat="1" applyFont="1" applyBorder="1" applyAlignment="1">
      <alignment horizontal="center"/>
    </xf>
    <xf numFmtId="9" fontId="14" fillId="0" borderId="9" xfId="3" applyFont="1" applyBorder="1" applyAlignment="1">
      <alignment horizontal="center"/>
    </xf>
    <xf numFmtId="10" fontId="4" fillId="0" borderId="9" xfId="3" applyNumberFormat="1" applyFont="1" applyBorder="1" applyAlignment="1">
      <alignment horizontal="center"/>
    </xf>
    <xf numFmtId="1" fontId="14" fillId="4" borderId="9" xfId="3" applyNumberFormat="1" applyFont="1" applyFill="1" applyBorder="1" applyAlignment="1">
      <alignment horizontal="center"/>
    </xf>
    <xf numFmtId="165" fontId="34" fillId="4" borderId="9" xfId="8" applyNumberFormat="1" applyFont="1" applyFill="1" applyBorder="1" applyAlignment="1">
      <alignment horizontal="left" vertical="center"/>
    </xf>
    <xf numFmtId="165" fontId="14" fillId="4" borderId="9" xfId="3" applyNumberFormat="1" applyFont="1" applyFill="1" applyBorder="1" applyAlignment="1">
      <alignment horizontal="center"/>
    </xf>
    <xf numFmtId="2" fontId="14" fillId="4" borderId="9" xfId="8" applyNumberFormat="1" applyFont="1" applyFill="1" applyBorder="1" applyAlignment="1">
      <alignment horizontal="center"/>
    </xf>
    <xf numFmtId="170" fontId="1" fillId="4" borderId="9" xfId="8" applyNumberFormat="1" applyFont="1" applyFill="1" applyBorder="1" applyAlignment="1">
      <alignment horizontal="center"/>
    </xf>
    <xf numFmtId="39" fontId="4" fillId="4" borderId="9" xfId="8" applyNumberFormat="1" applyFont="1" applyFill="1" applyBorder="1" applyAlignment="1">
      <alignment horizontal="center"/>
    </xf>
    <xf numFmtId="0" fontId="1" fillId="4" borderId="0" xfId="8" applyFont="1" applyFill="1"/>
    <xf numFmtId="0" fontId="14" fillId="4" borderId="0" xfId="8" applyFont="1" applyFill="1"/>
    <xf numFmtId="0" fontId="1" fillId="0" borderId="9" xfId="8" applyFont="1" applyBorder="1" applyAlignment="1">
      <alignment horizontal="center" vertical="center" wrapText="1"/>
    </xf>
    <xf numFmtId="165" fontId="1" fillId="0" borderId="9" xfId="8" applyNumberFormat="1" applyFont="1" applyBorder="1" applyAlignment="1">
      <alignment horizontal="center" vertical="center" wrapText="1"/>
    </xf>
    <xf numFmtId="165" fontId="1" fillId="0" borderId="16" xfId="8" applyNumberFormat="1" applyFont="1" applyBorder="1" applyAlignment="1">
      <alignment horizontal="center" vertical="center" wrapText="1"/>
    </xf>
    <xf numFmtId="1" fontId="4" fillId="0" borderId="9" xfId="13" applyNumberFormat="1" applyFont="1" applyBorder="1" applyAlignment="1">
      <alignment horizontal="center" vertical="center" wrapText="1"/>
    </xf>
    <xf numFmtId="9" fontId="1" fillId="0" borderId="9" xfId="0" applyNumberFormat="1" applyFont="1" applyBorder="1" applyAlignment="1">
      <alignment horizontal="center" vertical="center" wrapText="1"/>
    </xf>
    <xf numFmtId="39" fontId="1" fillId="0" borderId="9" xfId="1" applyNumberFormat="1" applyFont="1" applyBorder="1" applyAlignment="1">
      <alignment horizontal="center" wrapText="1"/>
    </xf>
    <xf numFmtId="170" fontId="1" fillId="4" borderId="9" xfId="1" applyNumberFormat="1" applyFont="1" applyFill="1" applyBorder="1" applyAlignment="1">
      <alignment horizontal="center" vertical="center" wrapText="1"/>
    </xf>
    <xf numFmtId="189" fontId="1" fillId="0" borderId="9" xfId="1" applyNumberFormat="1" applyFont="1" applyBorder="1" applyAlignment="1">
      <alignment horizontal="center"/>
    </xf>
    <xf numFmtId="0" fontId="1" fillId="0" borderId="9" xfId="8" applyFont="1" applyBorder="1" applyAlignment="1">
      <alignment horizontal="center" wrapText="1"/>
    </xf>
    <xf numFmtId="2" fontId="1" fillId="0" borderId="9" xfId="8" applyNumberFormat="1" applyFont="1" applyBorder="1" applyAlignment="1">
      <alignment horizontal="center" wrapText="1"/>
    </xf>
    <xf numFmtId="0" fontId="14" fillId="0" borderId="9" xfId="8" applyFont="1" applyBorder="1" applyAlignment="1">
      <alignment horizontal="center" wrapText="1"/>
    </xf>
    <xf numFmtId="170" fontId="1" fillId="0" borderId="9" xfId="1" applyNumberFormat="1" applyFont="1" applyBorder="1" applyAlignment="1">
      <alignment horizontal="center"/>
    </xf>
    <xf numFmtId="2" fontId="4" fillId="0" borderId="9" xfId="1" applyNumberFormat="1" applyFont="1" applyBorder="1" applyAlignment="1">
      <alignment horizontal="center"/>
    </xf>
    <xf numFmtId="165" fontId="14" fillId="0" borderId="9" xfId="8" applyNumberFormat="1" applyFont="1" applyBorder="1" applyAlignment="1">
      <alignment horizontal="center"/>
    </xf>
    <xf numFmtId="1" fontId="14" fillId="0" borderId="9" xfId="3" applyNumberFormat="1" applyFont="1" applyFill="1" applyBorder="1" applyAlignment="1">
      <alignment horizontal="center"/>
    </xf>
    <xf numFmtId="2" fontId="14" fillId="0" borderId="9" xfId="3" applyNumberFormat="1" applyFont="1" applyFill="1" applyBorder="1" applyAlignment="1">
      <alignment horizontal="center"/>
    </xf>
    <xf numFmtId="165" fontId="14" fillId="0" borderId="9" xfId="3" applyNumberFormat="1" applyFont="1" applyFill="1" applyBorder="1" applyAlignment="1">
      <alignment horizontal="center"/>
    </xf>
    <xf numFmtId="170" fontId="14" fillId="0" borderId="9" xfId="1" applyNumberFormat="1" applyFont="1" applyFill="1" applyBorder="1" applyAlignment="1">
      <alignment horizontal="center"/>
    </xf>
    <xf numFmtId="170" fontId="1" fillId="4" borderId="9" xfId="1" applyNumberFormat="1" applyFont="1" applyFill="1" applyBorder="1" applyAlignment="1">
      <alignment horizontal="center"/>
    </xf>
    <xf numFmtId="170" fontId="1" fillId="0" borderId="9" xfId="1" applyNumberFormat="1" applyFont="1" applyFill="1" applyBorder="1" applyAlignment="1">
      <alignment horizontal="center"/>
    </xf>
    <xf numFmtId="0" fontId="9" fillId="0" borderId="0" xfId="13" applyFont="1"/>
    <xf numFmtId="165" fontId="14" fillId="0" borderId="9" xfId="13" applyNumberFormat="1" applyFont="1" applyBorder="1" applyAlignment="1">
      <alignment horizontal="center"/>
    </xf>
    <xf numFmtId="0" fontId="14" fillId="0" borderId="9" xfId="13" applyFont="1" applyBorder="1" applyAlignment="1">
      <alignment horizontal="center"/>
    </xf>
    <xf numFmtId="0" fontId="4" fillId="0" borderId="0" xfId="6" applyFont="1" applyAlignment="1">
      <alignment horizontal="center"/>
    </xf>
    <xf numFmtId="1" fontId="14" fillId="0" borderId="16" xfId="13" applyNumberFormat="1" applyFont="1" applyBorder="1" applyAlignment="1">
      <alignment horizontal="center" vertical="center" wrapText="1"/>
    </xf>
    <xf numFmtId="1" fontId="14" fillId="4" borderId="16" xfId="13" applyNumberFormat="1" applyFont="1" applyFill="1" applyBorder="1" applyAlignment="1">
      <alignment horizontal="center" vertical="center" wrapText="1"/>
    </xf>
    <xf numFmtId="1" fontId="4" fillId="4" borderId="9" xfId="13" applyNumberFormat="1" applyFont="1" applyFill="1" applyBorder="1" applyAlignment="1">
      <alignment horizontal="center" vertical="center" wrapText="1"/>
    </xf>
    <xf numFmtId="0" fontId="14" fillId="0" borderId="9" xfId="13" applyFont="1" applyBorder="1" applyAlignment="1">
      <alignment wrapText="1"/>
    </xf>
    <xf numFmtId="1" fontId="14" fillId="0" borderId="9" xfId="13" applyNumberFormat="1" applyFont="1" applyBorder="1" applyAlignment="1">
      <alignment horizontal="left" vertical="center" wrapText="1"/>
    </xf>
    <xf numFmtId="0" fontId="14" fillId="0" borderId="9" xfId="8" applyFont="1" applyBorder="1" applyAlignment="1">
      <alignment horizontal="left" wrapText="1"/>
    </xf>
    <xf numFmtId="1" fontId="4" fillId="4" borderId="16" xfId="13" applyNumberFormat="1" applyFont="1" applyFill="1" applyBorder="1" applyAlignment="1">
      <alignment horizontal="center" vertical="center" wrapText="1"/>
    </xf>
    <xf numFmtId="2" fontId="14" fillId="0" borderId="16" xfId="13" applyNumberFormat="1" applyFont="1" applyBorder="1" applyAlignment="1">
      <alignment horizontal="center" vertical="center" wrapText="1"/>
    </xf>
    <xf numFmtId="2" fontId="14" fillId="4" borderId="16" xfId="13" applyNumberFormat="1" applyFont="1" applyFill="1" applyBorder="1" applyAlignment="1">
      <alignment horizontal="center" vertical="center" wrapText="1"/>
    </xf>
    <xf numFmtId="0" fontId="1" fillId="0" borderId="9" xfId="0" applyFont="1" applyBorder="1"/>
    <xf numFmtId="170" fontId="1" fillId="0" borderId="9" xfId="0" applyNumberFormat="1" applyFont="1" applyBorder="1" applyAlignment="1">
      <alignment horizontal="center" vertical="center" wrapText="1"/>
    </xf>
    <xf numFmtId="189" fontId="1" fillId="0" borderId="0" xfId="8" applyNumberFormat="1" applyFont="1"/>
    <xf numFmtId="170" fontId="1" fillId="0" borderId="9" xfId="1" applyNumberFormat="1" applyFont="1" applyFill="1" applyBorder="1" applyAlignment="1">
      <alignment horizontal="center" wrapText="1"/>
    </xf>
    <xf numFmtId="0" fontId="1" fillId="0" borderId="9" xfId="0" applyFont="1" applyBorder="1" applyAlignment="1">
      <alignment horizontal="center" vertical="center" wrapText="1"/>
    </xf>
    <xf numFmtId="39" fontId="4" fillId="0" borderId="9" xfId="1" applyNumberFormat="1" applyFont="1" applyBorder="1" applyAlignment="1">
      <alignment horizontal="center" wrapText="1"/>
    </xf>
    <xf numFmtId="39" fontId="14" fillId="0" borderId="9" xfId="1" applyNumberFormat="1" applyFont="1" applyBorder="1" applyAlignment="1">
      <alignment horizontal="center" wrapText="1"/>
    </xf>
    <xf numFmtId="39" fontId="4" fillId="4" borderId="9" xfId="1" applyNumberFormat="1" applyFont="1" applyFill="1" applyBorder="1" applyAlignment="1">
      <alignment horizontal="center" wrapText="1"/>
    </xf>
    <xf numFmtId="9" fontId="1" fillId="0" borderId="9" xfId="3" applyFont="1" applyBorder="1" applyAlignment="1">
      <alignment horizontal="center" wrapText="1"/>
    </xf>
    <xf numFmtId="39" fontId="4" fillId="0" borderId="9" xfId="1" applyNumberFormat="1" applyFont="1" applyFill="1" applyBorder="1" applyAlignment="1">
      <alignment horizontal="center" wrapText="1"/>
    </xf>
    <xf numFmtId="9" fontId="14" fillId="0" borderId="0" xfId="0" applyNumberFormat="1" applyFont="1" applyAlignment="1">
      <alignment horizontal="center" vertical="center" wrapText="1"/>
    </xf>
    <xf numFmtId="9" fontId="14" fillId="0" borderId="9" xfId="0" applyNumberFormat="1" applyFont="1" applyBorder="1" applyAlignment="1">
      <alignment horizontal="center" vertical="center" wrapText="1"/>
    </xf>
    <xf numFmtId="178" fontId="14" fillId="0" borderId="9" xfId="0" applyNumberFormat="1" applyFont="1" applyBorder="1" applyAlignment="1">
      <alignment horizontal="center" vertical="center" wrapText="1"/>
    </xf>
    <xf numFmtId="178" fontId="4" fillId="0" borderId="9" xfId="0" applyNumberFormat="1" applyFont="1" applyBorder="1" applyAlignment="1">
      <alignment horizontal="center" vertical="center" wrapText="1"/>
    </xf>
    <xf numFmtId="39" fontId="14" fillId="0" borderId="0" xfId="1" applyNumberFormat="1" applyFont="1" applyBorder="1" applyAlignment="1">
      <alignment horizontal="center" wrapText="1"/>
    </xf>
    <xf numFmtId="37" fontId="1" fillId="0" borderId="9" xfId="1" applyNumberFormat="1" applyFont="1" applyBorder="1" applyAlignment="1">
      <alignment horizontal="center" wrapText="1"/>
    </xf>
    <xf numFmtId="37" fontId="14" fillId="0" borderId="0" xfId="1" applyNumberFormat="1" applyFont="1" applyBorder="1" applyAlignment="1">
      <alignment horizontal="center" wrapText="1"/>
    </xf>
    <xf numFmtId="37" fontId="14" fillId="0" borderId="9" xfId="1" applyNumberFormat="1" applyFont="1" applyBorder="1" applyAlignment="1">
      <alignment horizontal="center" wrapText="1"/>
    </xf>
    <xf numFmtId="9" fontId="14" fillId="0" borderId="0" xfId="3" applyFont="1" applyBorder="1" applyAlignment="1">
      <alignment horizontal="center" wrapText="1"/>
    </xf>
    <xf numFmtId="189" fontId="14" fillId="0" borderId="9" xfId="1" applyNumberFormat="1" applyFont="1" applyBorder="1" applyAlignment="1">
      <alignment horizontal="center" wrapText="1"/>
    </xf>
    <xf numFmtId="189" fontId="1" fillId="0" borderId="9" xfId="1" applyNumberFormat="1" applyFont="1" applyBorder="1" applyAlignment="1">
      <alignment horizontal="center" wrapText="1"/>
    </xf>
    <xf numFmtId="189" fontId="4" fillId="0" borderId="9" xfId="1" applyNumberFormat="1" applyFont="1" applyBorder="1" applyAlignment="1">
      <alignment horizontal="center" wrapText="1"/>
    </xf>
    <xf numFmtId="170" fontId="1" fillId="0" borderId="9" xfId="2" applyNumberFormat="1" applyFont="1" applyFill="1" applyBorder="1" applyAlignment="1">
      <alignment horizontal="center" vertical="center" wrapText="1"/>
    </xf>
    <xf numFmtId="7" fontId="14" fillId="0" borderId="9" xfId="2" applyNumberFormat="1" applyFont="1" applyFill="1" applyBorder="1" applyAlignment="1">
      <alignment horizontal="center" vertical="center" wrapText="1"/>
    </xf>
    <xf numFmtId="7" fontId="1" fillId="0" borderId="9" xfId="2" applyNumberFormat="1" applyFont="1" applyBorder="1" applyAlignment="1">
      <alignment horizontal="center" wrapText="1"/>
    </xf>
    <xf numFmtId="7" fontId="14" fillId="0" borderId="9" xfId="2" applyNumberFormat="1" applyFont="1" applyBorder="1" applyAlignment="1">
      <alignment horizontal="center" wrapText="1"/>
    </xf>
    <xf numFmtId="7" fontId="4" fillId="0" borderId="9" xfId="2" applyNumberFormat="1" applyFont="1" applyBorder="1" applyAlignment="1">
      <alignment horizontal="center" wrapText="1"/>
    </xf>
    <xf numFmtId="189" fontId="1" fillId="4" borderId="9" xfId="1" applyNumberFormat="1" applyFont="1" applyFill="1" applyBorder="1" applyAlignment="1">
      <alignment horizontal="center"/>
    </xf>
    <xf numFmtId="0" fontId="1" fillId="0" borderId="0" xfId="0" applyFont="1" applyAlignment="1">
      <alignment horizontal="center"/>
    </xf>
    <xf numFmtId="0" fontId="1" fillId="0" borderId="9" xfId="0" applyFont="1" applyBorder="1" applyAlignment="1">
      <alignment horizontal="left" vertical="center"/>
    </xf>
    <xf numFmtId="180" fontId="4" fillId="4" borderId="9" xfId="0" applyNumberFormat="1" applyFont="1" applyFill="1" applyBorder="1" applyAlignment="1">
      <alignment horizontal="center"/>
    </xf>
    <xf numFmtId="178" fontId="14" fillId="0" borderId="0" xfId="8" applyNumberFormat="1" applyFont="1"/>
    <xf numFmtId="180" fontId="1" fillId="4" borderId="9" xfId="0" applyNumberFormat="1" applyFont="1" applyFill="1" applyBorder="1" applyAlignment="1">
      <alignment horizontal="center"/>
    </xf>
    <xf numFmtId="39" fontId="14" fillId="4" borderId="9" xfId="1" applyNumberFormat="1" applyFont="1" applyFill="1" applyBorder="1" applyAlignment="1">
      <alignment horizontal="center" wrapText="1"/>
    </xf>
    <xf numFmtId="39" fontId="31" fillId="4" borderId="9" xfId="1" applyNumberFormat="1" applyFont="1" applyFill="1" applyBorder="1" applyAlignment="1">
      <alignment horizontal="center" wrapText="1"/>
    </xf>
    <xf numFmtId="2" fontId="1" fillId="4" borderId="9" xfId="0" applyNumberFormat="1" applyFont="1" applyFill="1" applyBorder="1" applyAlignment="1">
      <alignment horizontal="center" vertical="center"/>
    </xf>
    <xf numFmtId="0" fontId="1" fillId="0" borderId="9" xfId="0" applyFont="1" applyBorder="1" applyAlignment="1">
      <alignment horizontal="center"/>
    </xf>
    <xf numFmtId="179" fontId="4" fillId="4" borderId="9" xfId="0" applyNumberFormat="1" applyFont="1" applyFill="1" applyBorder="1" applyAlignment="1">
      <alignment horizontal="center" vertical="center" wrapText="1"/>
    </xf>
    <xf numFmtId="9" fontId="31" fillId="0" borderId="9" xfId="0" applyNumberFormat="1" applyFont="1" applyBorder="1" applyAlignment="1">
      <alignment horizontal="center" vertical="center" wrapText="1"/>
    </xf>
    <xf numFmtId="39" fontId="31" fillId="0" borderId="9" xfId="1" applyNumberFormat="1" applyFont="1" applyFill="1" applyBorder="1" applyAlignment="1">
      <alignment horizontal="center" wrapText="1"/>
    </xf>
    <xf numFmtId="39" fontId="14" fillId="0" borderId="9" xfId="1" applyNumberFormat="1" applyFont="1" applyFill="1" applyBorder="1" applyAlignment="1">
      <alignment horizontal="center" wrapText="1"/>
    </xf>
    <xf numFmtId="7" fontId="1" fillId="4" borderId="9" xfId="2" applyNumberFormat="1" applyFont="1" applyFill="1" applyBorder="1" applyAlignment="1">
      <alignment horizontal="center" wrapText="1"/>
    </xf>
    <xf numFmtId="2" fontId="14" fillId="4" borderId="9" xfId="3" applyNumberFormat="1" applyFont="1" applyFill="1" applyBorder="1" applyAlignment="1">
      <alignment horizontal="center"/>
    </xf>
    <xf numFmtId="180" fontId="14" fillId="4" borderId="9" xfId="3" applyNumberFormat="1" applyFont="1" applyFill="1" applyBorder="1" applyAlignment="1">
      <alignment horizontal="center"/>
    </xf>
    <xf numFmtId="180" fontId="1" fillId="4" borderId="9" xfId="3" applyNumberFormat="1" applyFont="1" applyFill="1" applyBorder="1" applyAlignment="1">
      <alignment horizontal="center"/>
    </xf>
    <xf numFmtId="165" fontId="1" fillId="0" borderId="9" xfId="0" applyNumberFormat="1" applyFont="1" applyBorder="1" applyAlignment="1">
      <alignment horizontal="center" vertical="center" wrapText="1"/>
    </xf>
    <xf numFmtId="170" fontId="14" fillId="0" borderId="9" xfId="1" applyNumberFormat="1" applyFont="1" applyFill="1" applyBorder="1" applyAlignment="1">
      <alignment horizontal="center" vertical="center" wrapText="1"/>
    </xf>
    <xf numFmtId="0" fontId="25" fillId="0" borderId="9" xfId="12" applyFont="1" applyBorder="1" applyAlignment="1">
      <alignment horizontal="center"/>
    </xf>
    <xf numFmtId="189" fontId="14" fillId="0" borderId="9" xfId="0" applyNumberFormat="1" applyFont="1" applyBorder="1" applyAlignment="1">
      <alignment horizontal="center" vertical="center" wrapText="1"/>
    </xf>
    <xf numFmtId="0" fontId="25" fillId="4" borderId="9" xfId="12" applyFont="1" applyFill="1" applyBorder="1" applyAlignment="1">
      <alignment horizontal="center"/>
    </xf>
    <xf numFmtId="171" fontId="14" fillId="0" borderId="9" xfId="4" applyNumberFormat="1" applyFont="1" applyFill="1" applyBorder="1" applyAlignment="1" applyProtection="1">
      <alignment horizontal="center"/>
      <protection locked="0"/>
    </xf>
    <xf numFmtId="0" fontId="14" fillId="0" borderId="0" xfId="0" applyFont="1" applyAlignment="1">
      <alignment horizontal="left" vertical="center" wrapText="1"/>
    </xf>
    <xf numFmtId="165" fontId="14" fillId="0" borderId="0" xfId="0" applyNumberFormat="1" applyFont="1" applyAlignment="1">
      <alignment horizontal="center" vertical="center" wrapText="1"/>
    </xf>
    <xf numFmtId="0" fontId="14" fillId="4" borderId="0" xfId="0" applyFont="1" applyFill="1" applyAlignment="1">
      <alignment horizontal="left" vertical="center" wrapText="1"/>
    </xf>
    <xf numFmtId="180" fontId="14" fillId="0" borderId="0" xfId="0" applyNumberFormat="1" applyFont="1" applyAlignment="1">
      <alignment horizontal="center" vertical="center" wrapText="1"/>
    </xf>
    <xf numFmtId="0" fontId="14" fillId="0" borderId="24" xfId="0" applyFont="1" applyBorder="1" applyAlignment="1">
      <alignment horizontal="center"/>
    </xf>
    <xf numFmtId="0" fontId="14" fillId="11" borderId="9" xfId="5" applyFont="1" applyFill="1" applyBorder="1" applyAlignment="1">
      <alignment horizontal="left" vertical="center" wrapText="1"/>
    </xf>
    <xf numFmtId="168" fontId="14" fillId="0" borderId="9" xfId="5" applyNumberFormat="1" applyFont="1" applyBorder="1" applyAlignment="1">
      <alignment horizontal="left" vertical="center"/>
    </xf>
    <xf numFmtId="2" fontId="1" fillId="0" borderId="9" xfId="0" applyNumberFormat="1" applyFont="1" applyBorder="1" applyAlignment="1">
      <alignment horizontal="center"/>
    </xf>
    <xf numFmtId="2" fontId="1" fillId="4" borderId="9" xfId="0" applyNumberFormat="1" applyFont="1" applyFill="1" applyBorder="1" applyAlignment="1">
      <alignment horizontal="center"/>
    </xf>
    <xf numFmtId="0" fontId="1" fillId="4" borderId="9" xfId="0" applyFont="1" applyFill="1" applyBorder="1" applyAlignment="1">
      <alignment horizontal="center"/>
    </xf>
    <xf numFmtId="9" fontId="14" fillId="0" borderId="0" xfId="3" applyFont="1"/>
    <xf numFmtId="39" fontId="14" fillId="0" borderId="9" xfId="5" applyNumberFormat="1" applyFont="1" applyBorder="1" applyAlignment="1">
      <alignment horizontal="center"/>
    </xf>
    <xf numFmtId="9" fontId="14" fillId="0" borderId="9" xfId="7" applyFont="1" applyBorder="1" applyAlignment="1">
      <alignment horizontal="center" vertical="center" wrapText="1"/>
    </xf>
    <xf numFmtId="192" fontId="14" fillId="0" borderId="9" xfId="5" applyNumberFormat="1" applyFont="1" applyBorder="1" applyAlignment="1">
      <alignment horizontal="center"/>
    </xf>
    <xf numFmtId="192" fontId="1" fillId="0" borderId="9" xfId="5" applyNumberFormat="1" applyFont="1" applyBorder="1" applyAlignment="1">
      <alignment horizontal="center"/>
    </xf>
    <xf numFmtId="171" fontId="14" fillId="4" borderId="9" xfId="4" applyNumberFormat="1" applyFont="1" applyFill="1" applyBorder="1" applyAlignment="1" applyProtection="1">
      <alignment horizontal="center"/>
      <protection locked="0"/>
    </xf>
    <xf numFmtId="180" fontId="14" fillId="4" borderId="9" xfId="0" applyNumberFormat="1" applyFont="1" applyFill="1" applyBorder="1" applyAlignment="1">
      <alignment horizontal="center" vertical="center" wrapText="1"/>
    </xf>
    <xf numFmtId="0" fontId="14" fillId="11" borderId="26" xfId="0" applyFont="1" applyFill="1" applyBorder="1" applyAlignment="1">
      <alignment horizontal="center" vertical="center" wrapText="1"/>
    </xf>
    <xf numFmtId="39" fontId="14" fillId="0" borderId="9" xfId="1" applyNumberFormat="1" applyFont="1" applyFill="1" applyBorder="1" applyAlignment="1">
      <alignment horizontal="center" vertical="center" wrapText="1"/>
    </xf>
    <xf numFmtId="39" fontId="49" fillId="0" borderId="9" xfId="1" applyNumberFormat="1" applyFont="1" applyFill="1" applyBorder="1" applyAlignment="1">
      <alignment horizontal="center" vertical="center" wrapText="1"/>
    </xf>
    <xf numFmtId="9" fontId="49" fillId="0" borderId="9" xfId="3" applyFont="1" applyFill="1" applyBorder="1" applyAlignment="1">
      <alignment horizontal="center" vertical="center" wrapText="1"/>
    </xf>
    <xf numFmtId="37" fontId="14" fillId="0" borderId="9" xfId="1" applyNumberFormat="1" applyFont="1" applyFill="1" applyBorder="1" applyAlignment="1">
      <alignment horizontal="center" vertical="center" wrapText="1"/>
    </xf>
    <xf numFmtId="37" fontId="49" fillId="0" borderId="9" xfId="1" applyNumberFormat="1" applyFont="1" applyFill="1" applyBorder="1" applyAlignment="1">
      <alignment horizontal="center" vertical="center" wrapText="1"/>
    </xf>
    <xf numFmtId="171" fontId="49" fillId="0" borderId="9" xfId="0" applyNumberFormat="1" applyFont="1" applyBorder="1" applyAlignment="1">
      <alignment horizontal="center" vertical="center" wrapText="1"/>
    </xf>
    <xf numFmtId="171" fontId="14" fillId="4" borderId="9" xfId="13" applyNumberFormat="1" applyFont="1" applyFill="1" applyBorder="1" applyAlignment="1">
      <alignment horizontal="center" vertical="center"/>
    </xf>
    <xf numFmtId="0" fontId="14" fillId="4" borderId="14" xfId="6" applyFont="1" applyFill="1" applyBorder="1" applyAlignment="1">
      <alignment horizontal="left"/>
    </xf>
    <xf numFmtId="0" fontId="4" fillId="4" borderId="0" xfId="6" applyFont="1" applyFill="1" applyAlignment="1">
      <alignment horizontal="center"/>
    </xf>
    <xf numFmtId="2" fontId="14" fillId="0" borderId="9" xfId="6" applyNumberFormat="1" applyFont="1" applyBorder="1"/>
    <xf numFmtId="37" fontId="4" fillId="0" borderId="9" xfId="1" applyNumberFormat="1" applyFont="1" applyFill="1" applyBorder="1" applyAlignment="1">
      <alignment horizontal="center" vertical="center" wrapText="1"/>
    </xf>
    <xf numFmtId="165" fontId="36" fillId="0" borderId="9" xfId="6" applyNumberFormat="1" applyFont="1" applyBorder="1" applyAlignment="1">
      <alignment horizontal="left" vertical="center" wrapText="1"/>
    </xf>
    <xf numFmtId="0" fontId="4" fillId="4" borderId="9" xfId="6" applyFont="1" applyFill="1" applyBorder="1" applyAlignment="1">
      <alignment horizontal="center"/>
    </xf>
    <xf numFmtId="165" fontId="14" fillId="4" borderId="9" xfId="6" applyNumberFormat="1" applyFont="1" applyFill="1" applyBorder="1" applyAlignment="1">
      <alignment horizontal="center" vertical="center" wrapText="1"/>
    </xf>
    <xf numFmtId="165" fontId="4" fillId="4" borderId="9" xfId="6" applyNumberFormat="1" applyFont="1" applyFill="1" applyBorder="1" applyAlignment="1">
      <alignment horizontal="center" vertical="center" wrapText="1"/>
    </xf>
    <xf numFmtId="165" fontId="14" fillId="0" borderId="23" xfId="6" applyNumberFormat="1" applyFont="1" applyBorder="1" applyAlignment="1">
      <alignment horizontal="center" vertical="center"/>
    </xf>
    <xf numFmtId="0" fontId="50" fillId="4" borderId="0" xfId="5" applyFont="1" applyFill="1" applyAlignment="1">
      <alignment vertical="center" wrapText="1"/>
    </xf>
    <xf numFmtId="197" fontId="14" fillId="0" borderId="9" xfId="8" applyNumberFormat="1" applyFont="1" applyBorder="1" applyAlignment="1">
      <alignment horizontal="center"/>
    </xf>
    <xf numFmtId="39" fontId="14" fillId="0" borderId="9" xfId="0" applyNumberFormat="1" applyFont="1" applyBorder="1" applyAlignment="1">
      <alignment horizontal="center" vertical="center" wrapText="1"/>
    </xf>
    <xf numFmtId="1" fontId="14" fillId="0" borderId="9" xfId="3" applyNumberFormat="1" applyFont="1" applyBorder="1" applyAlignment="1">
      <alignment horizontal="center"/>
    </xf>
    <xf numFmtId="44" fontId="14" fillId="0" borderId="9" xfId="2" applyFont="1" applyFill="1" applyBorder="1"/>
    <xf numFmtId="0" fontId="25" fillId="0" borderId="0" xfId="12" applyFont="1" applyAlignment="1">
      <alignment horizontal="center"/>
    </xf>
    <xf numFmtId="198" fontId="0" fillId="0" borderId="0" xfId="0" applyNumberFormat="1"/>
    <xf numFmtId="0" fontId="0" fillId="18" borderId="16" xfId="0" applyFill="1" applyBorder="1"/>
    <xf numFmtId="166" fontId="0" fillId="18" borderId="18" xfId="0" applyNumberFormat="1" applyFill="1" applyBorder="1"/>
    <xf numFmtId="0" fontId="24" fillId="4" borderId="9" xfId="12" applyFill="1" applyBorder="1"/>
    <xf numFmtId="0" fontId="24" fillId="14" borderId="16" xfId="12" applyFill="1" applyBorder="1"/>
    <xf numFmtId="166" fontId="0" fillId="0" borderId="0" xfId="0" applyNumberFormat="1"/>
    <xf numFmtId="0" fontId="6" fillId="4" borderId="0" xfId="0" applyFont="1" applyFill="1"/>
    <xf numFmtId="170" fontId="14" fillId="4" borderId="27" xfId="1" applyNumberFormat="1" applyFont="1" applyFill="1" applyBorder="1" applyAlignment="1">
      <alignment horizontal="center"/>
    </xf>
    <xf numFmtId="170" fontId="14" fillId="4" borderId="27" xfId="0" applyNumberFormat="1" applyFont="1" applyFill="1" applyBorder="1" applyAlignment="1">
      <alignment horizontal="center" vertical="center" wrapText="1"/>
    </xf>
    <xf numFmtId="0" fontId="4" fillId="0" borderId="27" xfId="0" applyFont="1" applyBorder="1" applyAlignment="1">
      <alignment horizontal="center"/>
    </xf>
    <xf numFmtId="0" fontId="27" fillId="0" borderId="0" xfId="5" applyFont="1"/>
    <xf numFmtId="0" fontId="28" fillId="4" borderId="0" xfId="6" applyFont="1" applyFill="1" applyAlignment="1">
      <alignment horizontal="left" vertical="center"/>
    </xf>
    <xf numFmtId="0" fontId="27" fillId="4" borderId="0" xfId="6" applyFont="1" applyFill="1" applyAlignment="1">
      <alignment horizontal="left" vertical="center"/>
    </xf>
    <xf numFmtId="166" fontId="27" fillId="4" borderId="0" xfId="6" applyNumberFormat="1" applyFont="1" applyFill="1" applyAlignment="1">
      <alignment horizontal="center" vertical="center"/>
    </xf>
    <xf numFmtId="0" fontId="33" fillId="0" borderId="0" xfId="6" applyFont="1"/>
    <xf numFmtId="166" fontId="14" fillId="0" borderId="0" xfId="5" applyNumberFormat="1" applyFont="1" applyAlignment="1">
      <alignment horizontal="center"/>
    </xf>
    <xf numFmtId="168" fontId="14" fillId="0" borderId="9" xfId="5" applyNumberFormat="1" applyFont="1" applyBorder="1" applyAlignment="1">
      <alignment horizontal="center"/>
    </xf>
    <xf numFmtId="166" fontId="14" fillId="0" borderId="9" xfId="5" applyNumberFormat="1" applyFont="1" applyBorder="1" applyAlignment="1">
      <alignment horizontal="center"/>
    </xf>
    <xf numFmtId="165" fontId="14" fillId="4" borderId="9" xfId="6" applyNumberFormat="1" applyFont="1" applyFill="1" applyBorder="1" applyAlignment="1">
      <alignment horizontal="left" vertical="center" wrapText="1" indent="3"/>
    </xf>
    <xf numFmtId="168" fontId="25" fillId="0" borderId="0" xfId="5" applyNumberFormat="1" applyFont="1"/>
    <xf numFmtId="4" fontId="14" fillId="0" borderId="0" xfId="5" applyNumberFormat="1" applyFont="1"/>
    <xf numFmtId="9" fontId="20" fillId="0" borderId="0" xfId="7" applyFont="1">
      <alignment horizontal="right" vertical="center" wrapText="1" readingOrder="1"/>
    </xf>
    <xf numFmtId="169" fontId="14" fillId="0" borderId="0" xfId="5" applyNumberFormat="1" applyFont="1"/>
    <xf numFmtId="172" fontId="20" fillId="0" borderId="0" xfId="7" applyNumberFormat="1" applyFont="1">
      <alignment horizontal="right" vertical="center" wrapText="1" readingOrder="1"/>
    </xf>
    <xf numFmtId="166" fontId="14" fillId="0" borderId="0" xfId="5" applyNumberFormat="1" applyFont="1" applyAlignment="1">
      <alignment horizontal="center" wrapText="1"/>
    </xf>
    <xf numFmtId="0" fontId="28" fillId="0" borderId="0" xfId="5" applyFont="1"/>
    <xf numFmtId="166" fontId="25" fillId="0" borderId="0" xfId="5" applyNumberFormat="1" applyFont="1" applyAlignment="1">
      <alignment horizontal="center" wrapText="1"/>
    </xf>
    <xf numFmtId="168" fontId="14" fillId="4" borderId="9" xfId="5" applyNumberFormat="1" applyFont="1" applyFill="1" applyBorder="1" applyAlignment="1">
      <alignment horizontal="left" vertical="center"/>
    </xf>
    <xf numFmtId="0" fontId="25" fillId="0" borderId="0" xfId="6" applyFont="1" applyAlignment="1">
      <alignment horizontal="right"/>
    </xf>
    <xf numFmtId="3" fontId="25" fillId="0" borderId="0" xfId="6" applyNumberFormat="1" applyFont="1" applyAlignment="1">
      <alignment horizontal="right"/>
    </xf>
    <xf numFmtId="0" fontId="25" fillId="0" borderId="0" xfId="5" applyFont="1" applyAlignment="1">
      <alignment horizontal="right"/>
    </xf>
    <xf numFmtId="3" fontId="25" fillId="0" borderId="0" xfId="5" applyNumberFormat="1" applyFont="1" applyAlignment="1">
      <alignment horizontal="right"/>
    </xf>
    <xf numFmtId="168" fontId="14" fillId="0" borderId="0" xfId="5" applyNumberFormat="1" applyFont="1"/>
    <xf numFmtId="168" fontId="14" fillId="0" borderId="9" xfId="5" applyNumberFormat="1" applyFont="1" applyBorder="1"/>
    <xf numFmtId="0" fontId="14" fillId="0" borderId="9" xfId="5" applyFont="1" applyBorder="1" applyAlignment="1">
      <alignment horizontal="center"/>
    </xf>
    <xf numFmtId="9" fontId="14" fillId="7" borderId="9" xfId="3" applyFont="1" applyFill="1" applyBorder="1" applyAlignment="1">
      <alignment horizontal="center"/>
    </xf>
    <xf numFmtId="168" fontId="14" fillId="4" borderId="0" xfId="5" applyNumberFormat="1" applyFont="1" applyFill="1" applyAlignment="1">
      <alignment horizontal="left" vertical="center"/>
    </xf>
    <xf numFmtId="39" fontId="14" fillId="0" borderId="0" xfId="5" applyNumberFormat="1" applyFont="1" applyAlignment="1">
      <alignment horizontal="center"/>
    </xf>
    <xf numFmtId="37" fontId="14" fillId="0" borderId="0" xfId="5" applyNumberFormat="1" applyFont="1" applyAlignment="1">
      <alignment horizontal="center"/>
    </xf>
    <xf numFmtId="165" fontId="14" fillId="0" borderId="29" xfId="6" applyNumberFormat="1" applyFont="1" applyBorder="1" applyAlignment="1">
      <alignment horizontal="center"/>
    </xf>
    <xf numFmtId="165" fontId="14" fillId="0" borderId="9" xfId="5" applyNumberFormat="1" applyFont="1" applyBorder="1" applyAlignment="1">
      <alignment horizontal="center"/>
    </xf>
    <xf numFmtId="7" fontId="25" fillId="0" borderId="22" xfId="5" applyNumberFormat="1" applyFont="1" applyBorder="1" applyAlignment="1">
      <alignment wrapText="1"/>
    </xf>
    <xf numFmtId="0" fontId="25" fillId="0" borderId="0" xfId="5" applyFont="1" applyAlignment="1">
      <alignment wrapText="1"/>
    </xf>
    <xf numFmtId="174" fontId="14" fillId="0" borderId="9" xfId="9" applyNumberFormat="1" applyFont="1" applyFill="1" applyBorder="1" applyAlignment="1">
      <alignment horizontal="center"/>
    </xf>
    <xf numFmtId="2" fontId="14" fillId="0" borderId="9" xfId="5" applyNumberFormat="1" applyFont="1" applyBorder="1" applyAlignment="1">
      <alignment horizontal="center" vertical="center"/>
    </xf>
    <xf numFmtId="175" fontId="14" fillId="0" borderId="9" xfId="9" applyNumberFormat="1" applyFont="1" applyFill="1" applyBorder="1" applyAlignment="1">
      <alignment horizontal="center"/>
    </xf>
    <xf numFmtId="176" fontId="14" fillId="0" borderId="9" xfId="9" applyNumberFormat="1" applyFont="1" applyFill="1" applyBorder="1" applyAlignment="1">
      <alignment horizontal="center"/>
    </xf>
    <xf numFmtId="168" fontId="14" fillId="0" borderId="9" xfId="5" applyNumberFormat="1" applyFont="1" applyBorder="1" applyAlignment="1">
      <alignment horizontal="center" vertical="center"/>
    </xf>
    <xf numFmtId="9" fontId="14" fillId="0" borderId="9" xfId="11" applyFont="1" applyFill="1" applyBorder="1" applyAlignment="1">
      <alignment horizontal="center" vertical="center"/>
    </xf>
    <xf numFmtId="166" fontId="25" fillId="0" borderId="0" xfId="5" applyNumberFormat="1" applyFont="1" applyAlignment="1">
      <alignment horizontal="center"/>
    </xf>
    <xf numFmtId="2" fontId="14" fillId="4" borderId="9" xfId="10" applyNumberFormat="1" applyFont="1" applyFill="1" applyBorder="1" applyAlignment="1">
      <alignment horizontal="center"/>
    </xf>
    <xf numFmtId="0" fontId="30" fillId="0" borderId="0" xfId="5" applyFont="1"/>
    <xf numFmtId="2" fontId="14" fillId="0" borderId="9" xfId="10" applyNumberFormat="1" applyFont="1" applyFill="1" applyBorder="1" applyAlignment="1">
      <alignment horizontal="center"/>
    </xf>
    <xf numFmtId="165" fontId="14" fillId="0" borderId="0" xfId="6" applyNumberFormat="1" applyFont="1" applyAlignment="1">
      <alignment horizontal="center"/>
    </xf>
    <xf numFmtId="168" fontId="14" fillId="8" borderId="9" xfId="5" applyNumberFormat="1" applyFont="1" applyFill="1" applyBorder="1" applyAlignment="1">
      <alignment horizontal="center" vertical="center"/>
    </xf>
    <xf numFmtId="1" fontId="14" fillId="0" borderId="9" xfId="11" applyNumberFormat="1" applyFont="1" applyFill="1" applyBorder="1" applyAlignment="1">
      <alignment horizontal="center" vertical="center"/>
    </xf>
    <xf numFmtId="1" fontId="14" fillId="8" borderId="9" xfId="11" applyNumberFormat="1" applyFont="1" applyFill="1" applyBorder="1" applyAlignment="1">
      <alignment horizontal="center" vertical="center"/>
    </xf>
    <xf numFmtId="1" fontId="14" fillId="8" borderId="9" xfId="11" applyNumberFormat="1" applyFont="1" applyFill="1" applyBorder="1" applyAlignment="1">
      <alignment horizontal="center"/>
    </xf>
    <xf numFmtId="173" fontId="25" fillId="0" borderId="0" xfId="2" applyNumberFormat="1" applyFont="1"/>
    <xf numFmtId="173" fontId="25" fillId="0" borderId="0" xfId="2" applyNumberFormat="1" applyFont="1" applyFill="1" applyBorder="1"/>
    <xf numFmtId="168" fontId="14" fillId="0" borderId="9" xfId="5" applyNumberFormat="1" applyFont="1" applyBorder="1" applyAlignment="1">
      <alignment horizontal="left"/>
    </xf>
    <xf numFmtId="169" fontId="14" fillId="0" borderId="9" xfId="5" applyNumberFormat="1" applyFont="1" applyBorder="1" applyAlignment="1">
      <alignment horizontal="center"/>
    </xf>
    <xf numFmtId="1" fontId="14" fillId="0" borderId="9" xfId="6" applyNumberFormat="1" applyFont="1" applyBorder="1" applyAlignment="1">
      <alignment horizontal="center" vertical="center" wrapText="1"/>
    </xf>
    <xf numFmtId="7" fontId="14" fillId="0" borderId="0" xfId="5" applyNumberFormat="1" applyFont="1"/>
    <xf numFmtId="0" fontId="25" fillId="14" borderId="3" xfId="5" applyFont="1" applyFill="1" applyBorder="1"/>
    <xf numFmtId="0" fontId="25" fillId="14" borderId="5" xfId="5" applyFont="1" applyFill="1" applyBorder="1"/>
    <xf numFmtId="0" fontId="25" fillId="0" borderId="8" xfId="5" applyFont="1" applyBorder="1"/>
    <xf numFmtId="0" fontId="25" fillId="0" borderId="10" xfId="5" applyFont="1" applyBorder="1"/>
    <xf numFmtId="0" fontId="25" fillId="0" borderId="8" xfId="5" applyFont="1" applyBorder="1" applyAlignment="1">
      <alignment horizontal="right"/>
    </xf>
    <xf numFmtId="0" fontId="25" fillId="0" borderId="13" xfId="5" applyFont="1" applyBorder="1" applyAlignment="1">
      <alignment horizontal="right"/>
    </xf>
    <xf numFmtId="0" fontId="25" fillId="0" borderId="15" xfId="5" applyFont="1" applyBorder="1"/>
    <xf numFmtId="172" fontId="14" fillId="0" borderId="9" xfId="3" applyNumberFormat="1" applyFont="1" applyFill="1" applyBorder="1" applyAlignment="1">
      <alignment horizontal="center" vertical="center"/>
    </xf>
    <xf numFmtId="0" fontId="25" fillId="0" borderId="0" xfId="5" applyFont="1" applyAlignment="1">
      <alignment horizontal="center" vertical="center"/>
    </xf>
    <xf numFmtId="2" fontId="14" fillId="0" borderId="9" xfId="11" applyNumberFormat="1" applyFont="1" applyFill="1" applyBorder="1" applyAlignment="1">
      <alignment horizontal="center" vertical="center"/>
    </xf>
    <xf numFmtId="44" fontId="25" fillId="0" borderId="0" xfId="2" applyFont="1"/>
    <xf numFmtId="179" fontId="14" fillId="0" borderId="9" xfId="1" applyNumberFormat="1" applyFont="1" applyFill="1" applyBorder="1" applyAlignment="1">
      <alignment horizontal="center" vertical="center"/>
    </xf>
    <xf numFmtId="181" fontId="14" fillId="0" borderId="9" xfId="1" applyNumberFormat="1" applyFont="1" applyFill="1" applyBorder="1" applyAlignment="1">
      <alignment horizontal="center" vertical="center"/>
    </xf>
    <xf numFmtId="180" fontId="14" fillId="0" borderId="9" xfId="3" applyNumberFormat="1" applyFont="1" applyFill="1" applyBorder="1" applyAlignment="1">
      <alignment horizontal="center" vertical="center"/>
    </xf>
    <xf numFmtId="9" fontId="14" fillId="8" borderId="9" xfId="3" applyFont="1" applyFill="1" applyBorder="1" applyAlignment="1">
      <alignment horizontal="center"/>
    </xf>
    <xf numFmtId="168" fontId="14" fillId="4" borderId="0" xfId="5" applyNumberFormat="1" applyFont="1" applyFill="1" applyAlignment="1">
      <alignment horizontal="center" vertical="center"/>
    </xf>
    <xf numFmtId="0" fontId="28" fillId="4" borderId="0" xfId="5" applyFont="1" applyFill="1"/>
    <xf numFmtId="180" fontId="14" fillId="0" borderId="9" xfId="11" applyNumberFormat="1" applyFont="1" applyFill="1" applyBorder="1" applyAlignment="1">
      <alignment horizontal="center" vertical="center"/>
    </xf>
    <xf numFmtId="178" fontId="14" fillId="0" borderId="16" xfId="5" applyNumberFormat="1" applyFont="1" applyBorder="1" applyAlignment="1">
      <alignment horizontal="center"/>
    </xf>
    <xf numFmtId="183" fontId="14" fillId="0" borderId="9" xfId="1" applyNumberFormat="1" applyFont="1" applyBorder="1" applyAlignment="1">
      <alignment horizontal="center"/>
    </xf>
    <xf numFmtId="181" fontId="14" fillId="0" borderId="0" xfId="6" applyNumberFormat="1" applyFont="1"/>
    <xf numFmtId="9" fontId="14" fillId="0" borderId="0" xfId="3" applyFont="1" applyFill="1"/>
    <xf numFmtId="4" fontId="14" fillId="0" borderId="0" xfId="6" applyNumberFormat="1" applyFont="1"/>
    <xf numFmtId="180" fontId="14" fillId="0" borderId="0" xfId="6" applyNumberFormat="1" applyFont="1"/>
    <xf numFmtId="9" fontId="14" fillId="0" borderId="0" xfId="3" applyFont="1" applyFill="1" applyBorder="1" applyAlignment="1">
      <alignment horizontal="left"/>
    </xf>
    <xf numFmtId="0" fontId="25" fillId="0" borderId="0" xfId="6" applyFont="1" applyAlignment="1">
      <alignment wrapText="1"/>
    </xf>
    <xf numFmtId="3" fontId="14" fillId="0" borderId="0" xfId="0" applyNumberFormat="1" applyFont="1" applyAlignment="1">
      <alignment horizontal="left" vertical="center"/>
    </xf>
    <xf numFmtId="2" fontId="14" fillId="0" borderId="9" xfId="8" applyNumberFormat="1" applyFont="1" applyBorder="1" applyAlignment="1">
      <alignment horizontal="center"/>
    </xf>
    <xf numFmtId="0" fontId="14" fillId="4" borderId="0" xfId="8" applyFont="1" applyFill="1" applyAlignment="1">
      <alignment horizontal="center"/>
    </xf>
    <xf numFmtId="2" fontId="14" fillId="0" borderId="0" xfId="8" applyNumberFormat="1" applyFont="1" applyAlignment="1">
      <alignment horizontal="center"/>
    </xf>
    <xf numFmtId="39" fontId="14" fillId="0" borderId="0" xfId="1" applyNumberFormat="1" applyFont="1" applyAlignment="1">
      <alignment horizontal="center"/>
    </xf>
    <xf numFmtId="0" fontId="34" fillId="0" borderId="0" xfId="0" applyFont="1"/>
    <xf numFmtId="0" fontId="14" fillId="0" borderId="0" xfId="0" applyFont="1" applyAlignment="1">
      <alignment vertical="center"/>
    </xf>
    <xf numFmtId="0" fontId="25" fillId="0" borderId="9" xfId="0" applyFont="1" applyBorder="1" applyAlignment="1">
      <alignment horizontal="left" vertical="center" wrapText="1"/>
    </xf>
    <xf numFmtId="9" fontId="14" fillId="0" borderId="0" xfId="3" applyFont="1" applyFill="1" applyBorder="1" applyAlignment="1">
      <alignment horizontal="center"/>
    </xf>
    <xf numFmtId="9" fontId="14" fillId="0" borderId="0" xfId="3" applyFont="1" applyBorder="1" applyAlignment="1">
      <alignment horizontal="center"/>
    </xf>
    <xf numFmtId="165" fontId="25" fillId="0" borderId="0" xfId="0" applyNumberFormat="1" applyFont="1" applyAlignment="1">
      <alignment horizontal="center" vertical="center" wrapText="1"/>
    </xf>
    <xf numFmtId="0" fontId="25" fillId="0" borderId="0" xfId="0" applyFont="1" applyAlignment="1">
      <alignment horizontal="center" vertical="center" wrapText="1"/>
    </xf>
    <xf numFmtId="166" fontId="25" fillId="0" borderId="0" xfId="0" applyNumberFormat="1" applyFont="1" applyAlignment="1">
      <alignment horizontal="center" vertical="center" wrapText="1"/>
    </xf>
    <xf numFmtId="180" fontId="25" fillId="0" borderId="0" xfId="0" applyNumberFormat="1" applyFont="1" applyAlignment="1">
      <alignment horizontal="center" vertical="center" wrapText="1"/>
    </xf>
    <xf numFmtId="0" fontId="28" fillId="0" borderId="0" xfId="0" applyFont="1"/>
    <xf numFmtId="0" fontId="56" fillId="0" borderId="0" xfId="0" applyFont="1"/>
    <xf numFmtId="43" fontId="14" fillId="0" borderId="0" xfId="1" applyFont="1"/>
    <xf numFmtId="192" fontId="14" fillId="0" borderId="9" xfId="0" applyNumberFormat="1" applyFont="1" applyBorder="1" applyAlignment="1">
      <alignment horizontal="center"/>
    </xf>
    <xf numFmtId="168" fontId="14" fillId="0" borderId="9" xfId="0" applyNumberFormat="1" applyFont="1" applyBorder="1" applyAlignment="1">
      <alignment horizontal="center"/>
    </xf>
    <xf numFmtId="7" fontId="14" fillId="0" borderId="0" xfId="0" applyNumberFormat="1" applyFont="1"/>
    <xf numFmtId="170" fontId="14" fillId="0" borderId="0" xfId="0" applyNumberFormat="1" applyFont="1"/>
    <xf numFmtId="37" fontId="14" fillId="0" borderId="0" xfId="1" quotePrefix="1" applyNumberFormat="1" applyFont="1" applyFill="1" applyBorder="1" applyAlignment="1">
      <alignment horizontal="center" vertical="center" wrapText="1"/>
    </xf>
    <xf numFmtId="194" fontId="14" fillId="0" borderId="0" xfId="0" applyNumberFormat="1" applyFont="1" applyAlignment="1">
      <alignment horizontal="center"/>
    </xf>
    <xf numFmtId="184" fontId="14" fillId="0" borderId="0" xfId="0" applyNumberFormat="1" applyFont="1" applyAlignment="1">
      <alignment horizontal="center"/>
    </xf>
    <xf numFmtId="195" fontId="14" fillId="0" borderId="0" xfId="0" applyNumberFormat="1" applyFont="1"/>
    <xf numFmtId="0" fontId="14" fillId="4" borderId="0" xfId="0" applyFont="1" applyFill="1" applyAlignment="1">
      <alignment horizontal="left" vertical="top" wrapText="1"/>
    </xf>
    <xf numFmtId="2" fontId="14" fillId="0" borderId="0" xfId="0" applyNumberFormat="1" applyFont="1" applyAlignment="1">
      <alignment wrapText="1"/>
    </xf>
    <xf numFmtId="192" fontId="14" fillId="0" borderId="0" xfId="0" applyNumberFormat="1" applyFont="1"/>
    <xf numFmtId="168" fontId="14" fillId="0" borderId="19" xfId="0" applyNumberFormat="1" applyFont="1" applyBorder="1" applyAlignment="1">
      <alignment horizontal="center"/>
    </xf>
    <xf numFmtId="2" fontId="14" fillId="0" borderId="0" xfId="3" applyNumberFormat="1" applyFont="1" applyFill="1"/>
    <xf numFmtId="0" fontId="14" fillId="4" borderId="9" xfId="0" applyFont="1" applyFill="1" applyBorder="1" applyAlignment="1">
      <alignment horizontal="center" wrapText="1"/>
    </xf>
    <xf numFmtId="0" fontId="34" fillId="0" borderId="0" xfId="0" applyFont="1" applyAlignment="1">
      <alignment horizontal="left"/>
    </xf>
    <xf numFmtId="168" fontId="14" fillId="4" borderId="9" xfId="0" applyNumberFormat="1" applyFont="1" applyFill="1" applyBorder="1" applyAlignment="1">
      <alignment horizontal="center"/>
    </xf>
    <xf numFmtId="9" fontId="14" fillId="4" borderId="9" xfId="3" applyFont="1" applyFill="1" applyBorder="1" applyAlignment="1">
      <alignment horizontal="center" vertical="center"/>
    </xf>
    <xf numFmtId="0" fontId="14" fillId="0" borderId="0" xfId="0" applyFont="1" applyAlignment="1">
      <alignment horizontal="center" vertical="center"/>
    </xf>
    <xf numFmtId="184" fontId="14" fillId="0" borderId="0" xfId="0" applyNumberFormat="1" applyFont="1"/>
    <xf numFmtId="2" fontId="14" fillId="0" borderId="0" xfId="1" applyNumberFormat="1" applyFont="1"/>
    <xf numFmtId="2" fontId="14" fillId="0" borderId="24" xfId="0" applyNumberFormat="1" applyFont="1" applyBorder="1"/>
    <xf numFmtId="171" fontId="14" fillId="0" borderId="9" xfId="0" applyNumberFormat="1" applyFont="1" applyBorder="1"/>
    <xf numFmtId="2" fontId="14" fillId="0" borderId="9" xfId="13" applyNumberFormat="1" applyFont="1" applyBorder="1" applyAlignment="1">
      <alignment horizontal="center"/>
    </xf>
    <xf numFmtId="179" fontId="14" fillId="0" borderId="0" xfId="9" applyNumberFormat="1" applyFont="1" applyFill="1" applyBorder="1" applyAlignment="1">
      <alignment horizontal="center" vertical="center" wrapText="1"/>
    </xf>
    <xf numFmtId="165" fontId="14" fillId="0" borderId="9" xfId="6" applyNumberFormat="1" applyFont="1" applyBorder="1"/>
    <xf numFmtId="0" fontId="14" fillId="0" borderId="33" xfId="8" applyFont="1" applyBorder="1"/>
    <xf numFmtId="0" fontId="14" fillId="4" borderId="9" xfId="0" applyFont="1" applyFill="1" applyBorder="1" applyAlignment="1">
      <alignment horizontal="left"/>
    </xf>
    <xf numFmtId="180" fontId="14" fillId="0" borderId="9" xfId="8" applyNumberFormat="1" applyFont="1" applyBorder="1" applyAlignment="1">
      <alignment horizontal="center"/>
    </xf>
    <xf numFmtId="180" fontId="14" fillId="4" borderId="9" xfId="8" applyNumberFormat="1" applyFont="1" applyFill="1" applyBorder="1" applyAlignment="1">
      <alignment horizontal="center"/>
    </xf>
    <xf numFmtId="0" fontId="14" fillId="0" borderId="34" xfId="8" applyFont="1" applyBorder="1" applyAlignment="1">
      <alignment horizontal="left"/>
    </xf>
    <xf numFmtId="0" fontId="14" fillId="4" borderId="34" xfId="8" applyFont="1" applyFill="1" applyBorder="1"/>
    <xf numFmtId="0" fontId="14" fillId="0" borderId="22" xfId="8" applyFont="1" applyBorder="1" applyAlignment="1">
      <alignment horizontal="left"/>
    </xf>
    <xf numFmtId="0" fontId="14" fillId="0" borderId="19" xfId="8" applyFont="1" applyBorder="1" applyAlignment="1">
      <alignment horizontal="center"/>
    </xf>
    <xf numFmtId="2" fontId="14" fillId="0" borderId="19" xfId="8" applyNumberFormat="1" applyFont="1" applyBorder="1" applyAlignment="1">
      <alignment horizontal="center"/>
    </xf>
    <xf numFmtId="0" fontId="14" fillId="0" borderId="36" xfId="8" applyFont="1" applyBorder="1"/>
    <xf numFmtId="44" fontId="14" fillId="0" borderId="27" xfId="2" applyFont="1" applyBorder="1"/>
    <xf numFmtId="0" fontId="14" fillId="0" borderId="27" xfId="8" applyFont="1" applyBorder="1"/>
    <xf numFmtId="1" fontId="14" fillId="0" borderId="21" xfId="3" applyNumberFormat="1" applyFont="1" applyBorder="1" applyAlignment="1">
      <alignment horizontal="center"/>
    </xf>
    <xf numFmtId="1" fontId="14" fillId="0" borderId="19" xfId="3" applyNumberFormat="1" applyFont="1" applyBorder="1" applyAlignment="1">
      <alignment horizontal="center"/>
    </xf>
    <xf numFmtId="172" fontId="14" fillId="0" borderId="0" xfId="3" applyNumberFormat="1" applyFont="1" applyBorder="1"/>
    <xf numFmtId="9" fontId="14" fillId="0" borderId="0" xfId="3" applyFont="1" applyBorder="1"/>
    <xf numFmtId="0" fontId="14" fillId="4" borderId="0" xfId="8" applyFont="1" applyFill="1" applyAlignment="1">
      <alignment horizontal="left"/>
    </xf>
    <xf numFmtId="165" fontId="14" fillId="0" borderId="19" xfId="13" applyNumberFormat="1" applyFont="1" applyBorder="1" applyAlignment="1">
      <alignment horizontal="center" vertical="center" wrapText="1"/>
    </xf>
    <xf numFmtId="0" fontId="14" fillId="0" borderId="9" xfId="8" applyFont="1" applyBorder="1" applyAlignment="1">
      <alignment horizontal="center" vertical="center" wrapText="1"/>
    </xf>
    <xf numFmtId="165" fontId="14" fillId="0" borderId="9" xfId="8" applyNumberFormat="1" applyFont="1" applyBorder="1" applyAlignment="1">
      <alignment horizontal="center" vertical="center" wrapText="1"/>
    </xf>
    <xf numFmtId="165" fontId="14" fillId="0" borderId="16" xfId="8" applyNumberFormat="1" applyFont="1" applyBorder="1" applyAlignment="1">
      <alignment horizontal="center" vertical="center" wrapText="1"/>
    </xf>
    <xf numFmtId="1" fontId="14" fillId="0" borderId="9" xfId="13" applyNumberFormat="1" applyFont="1" applyBorder="1" applyAlignment="1">
      <alignment horizontal="center" vertical="center" wrapText="1"/>
    </xf>
    <xf numFmtId="0" fontId="14" fillId="4" borderId="0" xfId="8" applyFont="1" applyFill="1" applyAlignment="1">
      <alignment wrapText="1"/>
    </xf>
    <xf numFmtId="10" fontId="14" fillId="0" borderId="9" xfId="13" applyNumberFormat="1" applyFont="1" applyBorder="1" applyAlignment="1">
      <alignment horizontal="center" vertical="center" wrapText="1"/>
    </xf>
    <xf numFmtId="3" fontId="14" fillId="0" borderId="9" xfId="8" applyNumberFormat="1" applyFont="1" applyBorder="1" applyAlignment="1">
      <alignment horizontal="left" vertical="center" wrapText="1"/>
    </xf>
    <xf numFmtId="9" fontId="14" fillId="0" borderId="9" xfId="13" applyNumberFormat="1" applyFont="1" applyBorder="1" applyAlignment="1">
      <alignment horizontal="left" vertical="center" wrapText="1"/>
    </xf>
    <xf numFmtId="9" fontId="14" fillId="0" borderId="9" xfId="13" applyNumberFormat="1" applyFont="1" applyBorder="1" applyAlignment="1">
      <alignment horizontal="center" vertical="center" wrapText="1"/>
    </xf>
    <xf numFmtId="0" fontId="14" fillId="0" borderId="0" xfId="8" applyFont="1" applyAlignment="1">
      <alignment wrapText="1"/>
    </xf>
    <xf numFmtId="2" fontId="14" fillId="0" borderId="9" xfId="8" applyNumberFormat="1" applyFont="1" applyBorder="1" applyAlignment="1">
      <alignment horizontal="center" wrapText="1"/>
    </xf>
    <xf numFmtId="2" fontId="14" fillId="0" borderId="9" xfId="1" applyNumberFormat="1" applyFont="1" applyBorder="1" applyAlignment="1">
      <alignment horizontal="center"/>
    </xf>
    <xf numFmtId="1" fontId="14" fillId="0" borderId="9" xfId="8" applyNumberFormat="1" applyFont="1" applyBorder="1" applyAlignment="1">
      <alignment horizontal="center"/>
    </xf>
    <xf numFmtId="44" fontId="14" fillId="0" borderId="9" xfId="2" applyFont="1" applyBorder="1" applyAlignment="1">
      <alignment horizontal="center"/>
    </xf>
    <xf numFmtId="0" fontId="25" fillId="0" borderId="0" xfId="13" applyFont="1"/>
    <xf numFmtId="178" fontId="14" fillId="0" borderId="0" xfId="13" applyNumberFormat="1" applyFont="1" applyAlignment="1">
      <alignment horizontal="center"/>
    </xf>
    <xf numFmtId="9" fontId="14" fillId="0" borderId="9" xfId="3" applyFont="1" applyBorder="1" applyAlignment="1">
      <alignment horizontal="center" wrapText="1"/>
    </xf>
    <xf numFmtId="43" fontId="14" fillId="0" borderId="0" xfId="1" applyFont="1" applyFill="1" applyBorder="1" applyAlignment="1">
      <alignment horizontal="center" vertical="center" wrapText="1"/>
    </xf>
    <xf numFmtId="170" fontId="14" fillId="0" borderId="9" xfId="2" applyNumberFormat="1" applyFont="1" applyFill="1" applyBorder="1" applyAlignment="1">
      <alignment horizontal="center" vertical="center" wrapText="1"/>
    </xf>
    <xf numFmtId="0" fontId="14" fillId="4" borderId="44" xfId="8" applyFont="1" applyFill="1" applyBorder="1"/>
    <xf numFmtId="0" fontId="14" fillId="4" borderId="45" xfId="8" applyFont="1" applyFill="1" applyBorder="1" applyAlignment="1">
      <alignment horizontal="left"/>
    </xf>
    <xf numFmtId="0" fontId="14" fillId="4" borderId="46" xfId="8" applyFont="1" applyFill="1" applyBorder="1"/>
    <xf numFmtId="0" fontId="14" fillId="0" borderId="45" xfId="8" applyFont="1" applyBorder="1" applyAlignment="1">
      <alignment horizontal="left"/>
    </xf>
    <xf numFmtId="0" fontId="14" fillId="0" borderId="46" xfId="8" applyFont="1" applyBorder="1" applyAlignment="1">
      <alignment horizontal="left"/>
    </xf>
    <xf numFmtId="0" fontId="14" fillId="0" borderId="46" xfId="8" applyFont="1" applyBorder="1"/>
    <xf numFmtId="0" fontId="14" fillId="0" borderId="47" xfId="8" applyFont="1" applyBorder="1"/>
    <xf numFmtId="7" fontId="14" fillId="4" borderId="9" xfId="2" applyNumberFormat="1" applyFont="1" applyFill="1" applyBorder="1" applyAlignment="1">
      <alignment horizontal="center" wrapText="1"/>
    </xf>
    <xf numFmtId="166" fontId="14" fillId="0" borderId="0" xfId="8" applyNumberFormat="1" applyFont="1"/>
    <xf numFmtId="1" fontId="14" fillId="0" borderId="0" xfId="8" applyNumberFormat="1" applyFont="1"/>
    <xf numFmtId="183" fontId="14" fillId="4" borderId="9" xfId="1" applyNumberFormat="1" applyFont="1" applyFill="1" applyBorder="1" applyAlignment="1">
      <alignment horizontal="center"/>
    </xf>
    <xf numFmtId="1" fontId="14" fillId="0" borderId="0" xfId="0" applyNumberFormat="1" applyFont="1" applyAlignment="1">
      <alignment horizontal="center" vertical="center" wrapText="1"/>
    </xf>
    <xf numFmtId="0" fontId="14" fillId="0" borderId="27" xfId="0" applyFont="1" applyBorder="1" applyAlignment="1">
      <alignment horizontal="left" vertical="center"/>
    </xf>
    <xf numFmtId="0" fontId="14" fillId="4" borderId="9" xfId="6" applyFont="1" applyFill="1" applyBorder="1" applyAlignment="1">
      <alignment horizontal="center"/>
    </xf>
    <xf numFmtId="0" fontId="14" fillId="4" borderId="14" xfId="0" applyFont="1" applyFill="1" applyBorder="1" applyAlignment="1">
      <alignment horizontal="center" vertical="center" wrapText="1"/>
    </xf>
    <xf numFmtId="182" fontId="14" fillId="4" borderId="14" xfId="1" applyNumberFormat="1" applyFont="1" applyFill="1" applyBorder="1" applyAlignment="1">
      <alignment horizontal="center"/>
    </xf>
    <xf numFmtId="0" fontId="14" fillId="4" borderId="14" xfId="6" applyFont="1" applyFill="1" applyBorder="1" applyAlignment="1">
      <alignment horizontal="center"/>
    </xf>
    <xf numFmtId="0" fontId="54" fillId="4" borderId="0" xfId="0" applyFont="1" applyFill="1" applyAlignment="1">
      <alignment vertical="center" wrapText="1"/>
    </xf>
    <xf numFmtId="0" fontId="14" fillId="0" borderId="9" xfId="13" applyFont="1" applyBorder="1" applyAlignment="1">
      <alignment horizontal="left"/>
    </xf>
    <xf numFmtId="0" fontId="51" fillId="0" borderId="0" xfId="0" applyFont="1"/>
    <xf numFmtId="39" fontId="14" fillId="4" borderId="0" xfId="1" applyNumberFormat="1" applyFont="1" applyFill="1" applyAlignment="1">
      <alignment horizontal="center"/>
    </xf>
    <xf numFmtId="178" fontId="14" fillId="0" borderId="9" xfId="0" applyNumberFormat="1" applyFont="1" applyBorder="1"/>
    <xf numFmtId="39" fontId="4" fillId="0" borderId="9" xfId="0" applyNumberFormat="1" applyFont="1" applyBorder="1" applyAlignment="1">
      <alignment horizontal="center" vertical="center" wrapText="1"/>
    </xf>
    <xf numFmtId="0" fontId="38" fillId="19" borderId="19" xfId="0" applyFont="1" applyFill="1" applyBorder="1" applyAlignment="1">
      <alignment horizontal="center" wrapText="1"/>
    </xf>
    <xf numFmtId="0" fontId="28" fillId="19" borderId="9" xfId="0" applyFont="1" applyFill="1" applyBorder="1" applyAlignment="1">
      <alignment horizontal="center" wrapText="1"/>
    </xf>
    <xf numFmtId="43" fontId="0" fillId="0" borderId="0" xfId="1" applyFont="1"/>
    <xf numFmtId="7" fontId="0" fillId="0" borderId="0" xfId="1" applyNumberFormat="1" applyFont="1"/>
    <xf numFmtId="0" fontId="28" fillId="19" borderId="30" xfId="0" applyFont="1" applyFill="1" applyBorder="1" applyAlignment="1">
      <alignment horizontal="center" wrapText="1"/>
    </xf>
    <xf numFmtId="0" fontId="28" fillId="21" borderId="9" xfId="0" applyFont="1" applyFill="1" applyBorder="1" applyAlignment="1">
      <alignment horizontal="center" wrapText="1"/>
    </xf>
    <xf numFmtId="0" fontId="62" fillId="24" borderId="9" xfId="0" applyFont="1" applyFill="1" applyBorder="1" applyAlignment="1">
      <alignment horizontal="center" wrapText="1"/>
    </xf>
    <xf numFmtId="171" fontId="50" fillId="13" borderId="9" xfId="0" applyNumberFormat="1" applyFont="1" applyFill="1" applyBorder="1" applyAlignment="1">
      <alignment horizontal="center" wrapText="1"/>
    </xf>
    <xf numFmtId="171" fontId="50" fillId="13" borderId="9" xfId="2" applyNumberFormat="1" applyFont="1" applyFill="1" applyBorder="1" applyAlignment="1">
      <alignment horizontal="center" wrapText="1"/>
    </xf>
    <xf numFmtId="39" fontId="0" fillId="0" borderId="9" xfId="0" applyNumberFormat="1" applyBorder="1"/>
    <xf numFmtId="43" fontId="50" fillId="27" borderId="20" xfId="1" applyFont="1" applyFill="1" applyBorder="1" applyAlignment="1">
      <alignment horizontal="center" wrapText="1"/>
    </xf>
    <xf numFmtId="165" fontId="0" fillId="0" borderId="9" xfId="0" applyNumberFormat="1" applyBorder="1" applyAlignment="1">
      <alignment horizontal="center"/>
    </xf>
    <xf numFmtId="43" fontId="50" fillId="30" borderId="20" xfId="1" applyFont="1" applyFill="1" applyBorder="1" applyAlignment="1">
      <alignment horizontal="center" wrapText="1"/>
    </xf>
    <xf numFmtId="7" fontId="14" fillId="0" borderId="0" xfId="2" applyNumberFormat="1" applyFont="1" applyFill="1" applyBorder="1" applyAlignment="1">
      <alignment horizontal="center"/>
    </xf>
    <xf numFmtId="44" fontId="14" fillId="0" borderId="0" xfId="0" applyNumberFormat="1" applyFont="1"/>
    <xf numFmtId="2" fontId="14" fillId="0" borderId="0" xfId="0" applyNumberFormat="1" applyFont="1" applyAlignment="1">
      <alignment horizontal="left" wrapText="1"/>
    </xf>
    <xf numFmtId="44" fontId="14" fillId="0" borderId="0" xfId="2" applyFont="1" applyFill="1" applyBorder="1"/>
    <xf numFmtId="190" fontId="14" fillId="0" borderId="0" xfId="3" applyNumberFormat="1" applyFont="1" applyFill="1" applyBorder="1"/>
    <xf numFmtId="8" fontId="14" fillId="0" borderId="0" xfId="0" applyNumberFormat="1" applyFont="1" applyAlignment="1">
      <alignment horizontal="left"/>
    </xf>
    <xf numFmtId="5" fontId="4" fillId="4" borderId="9" xfId="2" applyNumberFormat="1" applyFont="1" applyFill="1" applyBorder="1" applyAlignment="1">
      <alignment horizontal="center"/>
    </xf>
    <xf numFmtId="39" fontId="4" fillId="0" borderId="9" xfId="0" applyNumberFormat="1" applyFont="1" applyBorder="1"/>
    <xf numFmtId="0" fontId="14" fillId="4" borderId="9" xfId="0" applyFont="1" applyFill="1" applyBorder="1" applyAlignment="1">
      <alignment vertical="center"/>
    </xf>
    <xf numFmtId="2" fontId="14" fillId="4" borderId="22" xfId="1" applyNumberFormat="1" applyFont="1" applyFill="1" applyBorder="1"/>
    <xf numFmtId="2" fontId="14" fillId="4" borderId="16" xfId="1" applyNumberFormat="1" applyFont="1" applyFill="1" applyBorder="1" applyAlignment="1">
      <alignment horizontal="center"/>
    </xf>
    <xf numFmtId="0" fontId="14" fillId="32" borderId="9" xfId="0" applyFont="1" applyFill="1" applyBorder="1"/>
    <xf numFmtId="0" fontId="0" fillId="18" borderId="0" xfId="0" applyFill="1"/>
    <xf numFmtId="170" fontId="4" fillId="0" borderId="9" xfId="5" applyNumberFormat="1" applyFont="1" applyBorder="1" applyAlignment="1">
      <alignment horizontal="center"/>
    </xf>
    <xf numFmtId="171" fontId="4" fillId="17" borderId="9" xfId="2" applyNumberFormat="1" applyFont="1" applyFill="1" applyBorder="1" applyAlignment="1">
      <alignment horizontal="center"/>
    </xf>
    <xf numFmtId="171" fontId="4" fillId="4" borderId="9" xfId="5" applyNumberFormat="1" applyFont="1" applyFill="1" applyBorder="1" applyAlignment="1">
      <alignment horizontal="center"/>
    </xf>
    <xf numFmtId="0" fontId="5" fillId="12" borderId="0" xfId="0" applyFont="1" applyFill="1"/>
    <xf numFmtId="167" fontId="5" fillId="12" borderId="0" xfId="0" applyNumberFormat="1" applyFont="1" applyFill="1"/>
    <xf numFmtId="2" fontId="4" fillId="0" borderId="9" xfId="0" applyNumberFormat="1" applyFont="1" applyBorder="1"/>
    <xf numFmtId="170" fontId="14" fillId="4" borderId="9" xfId="5" applyNumberFormat="1" applyFont="1" applyFill="1" applyBorder="1" applyAlignment="1">
      <alignment horizontal="center"/>
    </xf>
    <xf numFmtId="171" fontId="1" fillId="4" borderId="9" xfId="5" applyNumberFormat="1" applyFont="1" applyFill="1" applyBorder="1" applyAlignment="1">
      <alignment horizontal="center" vertical="center" wrapText="1"/>
    </xf>
    <xf numFmtId="0" fontId="14" fillId="4" borderId="23" xfId="8" applyFont="1" applyFill="1" applyBorder="1" applyAlignment="1">
      <alignment horizontal="left"/>
    </xf>
    <xf numFmtId="165" fontId="4" fillId="0" borderId="9" xfId="0" applyNumberFormat="1" applyFont="1" applyBorder="1" applyAlignment="1">
      <alignment horizontal="center"/>
    </xf>
    <xf numFmtId="171" fontId="0" fillId="4" borderId="9" xfId="5" applyNumberFormat="1" applyFont="1" applyFill="1" applyBorder="1" applyAlignment="1">
      <alignment horizontal="center"/>
    </xf>
    <xf numFmtId="0" fontId="4" fillId="0" borderId="9" xfId="0" applyFont="1" applyBorder="1"/>
    <xf numFmtId="0" fontId="4" fillId="4" borderId="9" xfId="0" applyFont="1" applyFill="1" applyBorder="1"/>
    <xf numFmtId="43" fontId="4" fillId="0" borderId="9" xfId="1" applyFont="1" applyBorder="1"/>
    <xf numFmtId="168" fontId="14" fillId="4" borderId="9" xfId="5" applyNumberFormat="1" applyFont="1" applyFill="1" applyBorder="1" applyAlignment="1">
      <alignment horizontal="center" vertical="center"/>
    </xf>
    <xf numFmtId="43" fontId="63" fillId="0" borderId="9" xfId="1" applyFont="1" applyBorder="1"/>
    <xf numFmtId="200" fontId="63" fillId="0" borderId="9" xfId="0" applyNumberFormat="1" applyFont="1" applyBorder="1"/>
    <xf numFmtId="0" fontId="4" fillId="0" borderId="9" xfId="0" applyFont="1" applyBorder="1" applyAlignment="1">
      <alignment horizontal="center"/>
    </xf>
    <xf numFmtId="200" fontId="4" fillId="0" borderId="9" xfId="0" applyNumberFormat="1" applyFont="1" applyBorder="1"/>
    <xf numFmtId="44" fontId="4" fillId="0" borderId="9" xfId="2" applyFont="1" applyBorder="1"/>
    <xf numFmtId="0" fontId="14" fillId="0" borderId="9" xfId="5" applyFont="1" applyBorder="1" applyAlignment="1">
      <alignment horizontal="left" vertical="center" wrapText="1"/>
    </xf>
    <xf numFmtId="169" fontId="14" fillId="0" borderId="16" xfId="5" applyNumberFormat="1" applyFont="1" applyBorder="1" applyAlignment="1">
      <alignment horizontal="center"/>
    </xf>
    <xf numFmtId="37" fontId="14" fillId="0" borderId="9" xfId="5" applyNumberFormat="1" applyFont="1" applyBorder="1" applyAlignment="1">
      <alignment horizontal="center"/>
    </xf>
    <xf numFmtId="0" fontId="14" fillId="0" borderId="9" xfId="5" applyFont="1" applyBorder="1"/>
    <xf numFmtId="171" fontId="0" fillId="0" borderId="9" xfId="0" applyNumberFormat="1" applyBorder="1"/>
    <xf numFmtId="168" fontId="14" fillId="4" borderId="9" xfId="0" applyNumberFormat="1" applyFont="1" applyFill="1" applyBorder="1" applyAlignment="1">
      <alignment horizontal="left" vertical="center" wrapText="1"/>
    </xf>
    <xf numFmtId="0" fontId="4" fillId="0" borderId="0" xfId="0" applyFont="1" applyAlignment="1">
      <alignment horizontal="center"/>
    </xf>
    <xf numFmtId="0" fontId="4" fillId="0" borderId="9" xfId="13" applyFont="1" applyBorder="1" applyAlignment="1">
      <alignment horizontal="center"/>
    </xf>
    <xf numFmtId="0" fontId="4" fillId="4" borderId="9" xfId="13" applyFont="1" applyFill="1" applyBorder="1" applyAlignment="1">
      <alignment horizontal="center"/>
    </xf>
    <xf numFmtId="9" fontId="4" fillId="4" borderId="9" xfId="3" applyFont="1" applyFill="1" applyBorder="1" applyAlignment="1">
      <alignment horizontal="center" vertical="center" wrapText="1"/>
    </xf>
    <xf numFmtId="9" fontId="4" fillId="0" borderId="9" xfId="3" applyFont="1" applyBorder="1" applyAlignment="1">
      <alignment horizontal="center" wrapText="1"/>
    </xf>
    <xf numFmtId="0" fontId="65" fillId="0" borderId="0" xfId="0" applyFont="1"/>
    <xf numFmtId="2" fontId="4" fillId="0" borderId="9" xfId="0" applyNumberFormat="1" applyFont="1" applyBorder="1" applyAlignment="1">
      <alignment wrapText="1"/>
    </xf>
    <xf numFmtId="0" fontId="13" fillId="0" borderId="0" xfId="5" applyFont="1"/>
    <xf numFmtId="0" fontId="6" fillId="0" borderId="0" xfId="0" applyFont="1"/>
    <xf numFmtId="171" fontId="4" fillId="0" borderId="9" xfId="4" applyNumberFormat="1" applyFont="1" applyFill="1" applyBorder="1" applyAlignment="1" applyProtection="1">
      <alignment horizontal="center"/>
      <protection locked="0"/>
    </xf>
    <xf numFmtId="171" fontId="4" fillId="0" borderId="9" xfId="2" applyNumberFormat="1" applyFont="1" applyBorder="1" applyAlignment="1">
      <alignment horizontal="center"/>
    </xf>
    <xf numFmtId="2" fontId="14" fillId="0" borderId="9" xfId="1" applyNumberFormat="1" applyFont="1" applyBorder="1" applyAlignment="1">
      <alignment horizontal="center" wrapText="1"/>
    </xf>
    <xf numFmtId="0" fontId="4" fillId="0" borderId="9" xfId="6" applyFont="1" applyBorder="1"/>
    <xf numFmtId="39" fontId="14" fillId="0" borderId="9" xfId="1" applyNumberFormat="1" applyFont="1" applyFill="1" applyBorder="1" applyAlignment="1">
      <alignment horizontal="center"/>
    </xf>
    <xf numFmtId="171" fontId="14" fillId="0" borderId="9" xfId="5" applyNumberFormat="1" applyFont="1" applyBorder="1" applyAlignment="1">
      <alignment horizontal="center" vertical="center" wrapText="1"/>
    </xf>
    <xf numFmtId="165" fontId="14" fillId="0" borderId="9" xfId="6" applyNumberFormat="1" applyFont="1" applyBorder="1" applyAlignment="1">
      <alignment horizontal="left" vertical="center" wrapText="1" indent="3"/>
    </xf>
    <xf numFmtId="0" fontId="14" fillId="15" borderId="9" xfId="5" applyFont="1" applyFill="1" applyBorder="1" applyAlignment="1">
      <alignment horizontal="center" vertical="center" wrapText="1"/>
    </xf>
    <xf numFmtId="0" fontId="9" fillId="0" borderId="0" xfId="6" applyFont="1" applyAlignment="1">
      <alignment horizontal="center"/>
    </xf>
    <xf numFmtId="165" fontId="0" fillId="0" borderId="9" xfId="0" applyNumberFormat="1" applyBorder="1"/>
    <xf numFmtId="171" fontId="1" fillId="0" borderId="9" xfId="5" applyNumberFormat="1" applyFont="1" applyBorder="1" applyAlignment="1">
      <alignment horizontal="center" vertical="center" wrapText="1"/>
    </xf>
    <xf numFmtId="7" fontId="1" fillId="0" borderId="9" xfId="10" applyNumberFormat="1" applyFont="1" applyFill="1" applyBorder="1" applyAlignment="1">
      <alignment horizontal="center"/>
    </xf>
    <xf numFmtId="2" fontId="1" fillId="0" borderId="9" xfId="10" applyNumberFormat="1" applyFont="1" applyFill="1" applyBorder="1" applyAlignment="1">
      <alignment horizontal="center"/>
    </xf>
    <xf numFmtId="165" fontId="14" fillId="0" borderId="9" xfId="0" applyNumberFormat="1" applyFont="1" applyBorder="1"/>
    <xf numFmtId="9" fontId="4" fillId="0" borderId="9" xfId="13" applyNumberFormat="1" applyFont="1" applyBorder="1" applyAlignment="1">
      <alignment horizontal="center"/>
    </xf>
    <xf numFmtId="172" fontId="14" fillId="0" borderId="9" xfId="16" applyNumberFormat="1" applyFont="1" applyFill="1" applyBorder="1" applyAlignment="1">
      <alignment horizontal="center"/>
    </xf>
    <xf numFmtId="190" fontId="14" fillId="0" borderId="9" xfId="3" applyNumberFormat="1" applyFont="1" applyFill="1" applyBorder="1" applyAlignment="1">
      <alignment horizontal="center"/>
    </xf>
    <xf numFmtId="179" fontId="14" fillId="0" borderId="9" xfId="0" applyNumberFormat="1" applyFont="1" applyBorder="1" applyAlignment="1">
      <alignment horizontal="center"/>
    </xf>
    <xf numFmtId="171" fontId="4" fillId="0" borderId="9" xfId="6" applyNumberFormat="1" applyFont="1" applyBorder="1" applyAlignment="1">
      <alignment horizontal="center"/>
    </xf>
    <xf numFmtId="0" fontId="4" fillId="0" borderId="9" xfId="6" applyFont="1" applyBorder="1" applyAlignment="1">
      <alignment horizontal="center"/>
    </xf>
    <xf numFmtId="172" fontId="4" fillId="0" borderId="21" xfId="3" applyNumberFormat="1" applyFont="1" applyFill="1" applyBorder="1" applyAlignment="1">
      <alignment horizontal="center"/>
    </xf>
    <xf numFmtId="10" fontId="4" fillId="0" borderId="19" xfId="6" applyNumberFormat="1" applyFont="1" applyBorder="1" applyAlignment="1">
      <alignment horizontal="center"/>
    </xf>
    <xf numFmtId="171" fontId="4" fillId="0" borderId="50" xfId="13" applyNumberFormat="1" applyFont="1" applyBorder="1" applyAlignment="1">
      <alignment horizontal="center"/>
    </xf>
    <xf numFmtId="39" fontId="14" fillId="0" borderId="9" xfId="0" applyNumberFormat="1" applyFont="1" applyBorder="1" applyAlignment="1">
      <alignment horizontal="center"/>
    </xf>
    <xf numFmtId="0" fontId="65" fillId="12" borderId="9" xfId="0" applyFont="1" applyFill="1" applyBorder="1" applyAlignment="1">
      <alignment horizontal="center" vertical="center" wrapText="1"/>
    </xf>
    <xf numFmtId="10" fontId="14" fillId="4" borderId="9" xfId="3" applyNumberFormat="1" applyFont="1" applyFill="1" applyBorder="1" applyAlignment="1">
      <alignment horizontal="center" vertical="center" wrapText="1"/>
    </xf>
    <xf numFmtId="0" fontId="67" fillId="0" borderId="0" xfId="0" applyFont="1"/>
    <xf numFmtId="180" fontId="4" fillId="0" borderId="9" xfId="0" applyNumberFormat="1" applyFont="1" applyBorder="1" applyAlignment="1">
      <alignment horizontal="center"/>
    </xf>
    <xf numFmtId="9" fontId="4" fillId="0" borderId="0" xfId="3" applyFont="1"/>
    <xf numFmtId="172" fontId="4" fillId="4" borderId="9" xfId="3" applyNumberFormat="1" applyFont="1" applyFill="1" applyBorder="1" applyAlignment="1">
      <alignment horizontal="center"/>
    </xf>
    <xf numFmtId="43" fontId="14" fillId="0" borderId="9" xfId="0" applyNumberFormat="1" applyFont="1" applyBorder="1"/>
    <xf numFmtId="43" fontId="14" fillId="4" borderId="9" xfId="0" applyNumberFormat="1" applyFont="1" applyFill="1" applyBorder="1"/>
    <xf numFmtId="170" fontId="14" fillId="0" borderId="9" xfId="0" applyNumberFormat="1" applyFont="1" applyBorder="1"/>
    <xf numFmtId="165" fontId="14" fillId="4" borderId="9" xfId="0" applyNumberFormat="1" applyFont="1" applyFill="1" applyBorder="1" applyAlignment="1">
      <alignment horizontal="left" vertical="top" wrapText="1"/>
    </xf>
    <xf numFmtId="1" fontId="4" fillId="0" borderId="9" xfId="1" applyNumberFormat="1" applyFont="1" applyFill="1" applyBorder="1" applyAlignment="1">
      <alignment horizontal="left" vertical="top" wrapText="1"/>
    </xf>
    <xf numFmtId="1" fontId="4" fillId="0" borderId="9" xfId="0" applyNumberFormat="1" applyFont="1" applyBorder="1" applyAlignment="1">
      <alignment horizontal="left" vertical="top" wrapText="1"/>
    </xf>
    <xf numFmtId="2" fontId="4" fillId="0" borderId="9" xfId="0" applyNumberFormat="1" applyFont="1" applyBorder="1" applyAlignment="1">
      <alignment horizontal="left" vertical="top" wrapText="1"/>
    </xf>
    <xf numFmtId="39" fontId="0" fillId="0" borderId="9" xfId="0" applyNumberFormat="1" applyBorder="1" applyAlignment="1">
      <alignment horizontal="center"/>
    </xf>
    <xf numFmtId="2" fontId="4" fillId="0" borderId="0" xfId="0" applyNumberFormat="1" applyFont="1" applyAlignment="1">
      <alignment horizontal="center"/>
    </xf>
    <xf numFmtId="44" fontId="4" fillId="4" borderId="9" xfId="2" applyFont="1" applyFill="1" applyBorder="1" applyAlignment="1">
      <alignment horizontal="left" vertical="top" wrapText="1"/>
    </xf>
    <xf numFmtId="165" fontId="4" fillId="0" borderId="9" xfId="0" applyNumberFormat="1" applyFont="1" applyBorder="1" applyAlignment="1">
      <alignment horizontal="left" vertical="top" wrapText="1"/>
    </xf>
    <xf numFmtId="2" fontId="14" fillId="0" borderId="9" xfId="0" applyNumberFormat="1" applyFont="1" applyBorder="1" applyAlignment="1">
      <alignment horizontal="left" vertical="top" wrapText="1"/>
    </xf>
    <xf numFmtId="7" fontId="14" fillId="0" borderId="9" xfId="2" applyNumberFormat="1" applyFont="1" applyFill="1" applyBorder="1" applyAlignment="1">
      <alignment horizontal="center"/>
    </xf>
    <xf numFmtId="170" fontId="14" fillId="13" borderId="9" xfId="5" applyNumberFormat="1" applyFont="1" applyFill="1" applyBorder="1" applyAlignment="1">
      <alignment horizontal="center"/>
    </xf>
    <xf numFmtId="39" fontId="14" fillId="4" borderId="9" xfId="8" applyNumberFormat="1" applyFont="1" applyFill="1" applyBorder="1" applyAlignment="1">
      <alignment horizontal="center"/>
    </xf>
    <xf numFmtId="2" fontId="14" fillId="0" borderId="9" xfId="1" applyNumberFormat="1" applyFont="1" applyFill="1" applyBorder="1" applyAlignment="1">
      <alignment horizontal="center"/>
    </xf>
    <xf numFmtId="2" fontId="4" fillId="0" borderId="9" xfId="8" applyNumberFormat="1" applyFont="1" applyBorder="1" applyAlignment="1">
      <alignment horizontal="center" wrapText="1"/>
    </xf>
    <xf numFmtId="0" fontId="4" fillId="0" borderId="9" xfId="8" applyFont="1" applyBorder="1" applyAlignment="1">
      <alignment horizontal="center" wrapText="1"/>
    </xf>
    <xf numFmtId="189" fontId="4" fillId="0" borderId="9" xfId="1" applyNumberFormat="1" applyFont="1" applyBorder="1" applyAlignment="1">
      <alignment horizontal="center"/>
    </xf>
    <xf numFmtId="189" fontId="4" fillId="4" borderId="9" xfId="0" applyNumberFormat="1" applyFont="1" applyFill="1" applyBorder="1" applyAlignment="1">
      <alignment horizontal="center" vertical="center" wrapText="1"/>
    </xf>
    <xf numFmtId="0" fontId="34" fillId="4" borderId="9" xfId="8" applyFont="1" applyFill="1" applyBorder="1" applyAlignment="1">
      <alignment horizontal="left" vertical="center" wrapText="1"/>
    </xf>
    <xf numFmtId="0" fontId="14" fillId="4" borderId="9" xfId="0" applyFont="1" applyFill="1" applyBorder="1" applyAlignment="1">
      <alignment wrapText="1"/>
    </xf>
    <xf numFmtId="7" fontId="14" fillId="0" borderId="9" xfId="1" applyNumberFormat="1" applyFont="1" applyBorder="1" applyAlignment="1">
      <alignment horizontal="center" wrapText="1"/>
    </xf>
    <xf numFmtId="7" fontId="4" fillId="0" borderId="9" xfId="1" applyNumberFormat="1" applyFont="1" applyBorder="1" applyAlignment="1">
      <alignment horizontal="center" wrapText="1"/>
    </xf>
    <xf numFmtId="165" fontId="1" fillId="0" borderId="9" xfId="1" applyNumberFormat="1" applyFont="1" applyBorder="1" applyAlignment="1">
      <alignment horizontal="center" wrapText="1"/>
    </xf>
    <xf numFmtId="170" fontId="14" fillId="0" borderId="9" xfId="1" applyNumberFormat="1" applyFont="1" applyBorder="1" applyAlignment="1">
      <alignment horizontal="center" wrapText="1"/>
    </xf>
    <xf numFmtId="170" fontId="4" fillId="0" borderId="9" xfId="1" applyNumberFormat="1" applyFont="1" applyBorder="1" applyAlignment="1">
      <alignment horizontal="center" wrapText="1"/>
    </xf>
    <xf numFmtId="186" fontId="4" fillId="0" borderId="9" xfId="0" applyNumberFormat="1" applyFont="1" applyBorder="1" applyAlignment="1">
      <alignment horizontal="center" vertical="center" wrapText="1"/>
    </xf>
    <xf numFmtId="170" fontId="4" fillId="0" borderId="9" xfId="0" applyNumberFormat="1" applyFont="1" applyBorder="1" applyAlignment="1">
      <alignment horizontal="center" vertical="center" wrapText="1"/>
    </xf>
    <xf numFmtId="170" fontId="4" fillId="0" borderId="9" xfId="1" applyNumberFormat="1" applyFont="1" applyFill="1" applyBorder="1" applyAlignment="1">
      <alignment horizontal="center" wrapText="1"/>
    </xf>
    <xf numFmtId="167" fontId="67" fillId="12" borderId="0" xfId="0" applyNumberFormat="1" applyFont="1" applyFill="1" applyAlignment="1">
      <alignment horizontal="center"/>
    </xf>
    <xf numFmtId="165" fontId="4" fillId="0" borderId="0" xfId="0" applyNumberFormat="1" applyFont="1" applyAlignment="1">
      <alignment horizontal="left" vertical="center" wrapText="1"/>
    </xf>
    <xf numFmtId="7" fontId="4" fillId="0" borderId="0" xfId="2" applyNumberFormat="1" applyFont="1" applyFill="1" applyBorder="1" applyAlignment="1">
      <alignment horizontal="center" wrapText="1"/>
    </xf>
    <xf numFmtId="7" fontId="4" fillId="0" borderId="0" xfId="2" applyNumberFormat="1" applyFont="1" applyBorder="1" applyAlignment="1">
      <alignment horizontal="center" wrapText="1"/>
    </xf>
    <xf numFmtId="7" fontId="14" fillId="0" borderId="0" xfId="2" applyNumberFormat="1" applyFont="1" applyBorder="1" applyAlignment="1">
      <alignment horizontal="center" wrapText="1"/>
    </xf>
    <xf numFmtId="189" fontId="4" fillId="0" borderId="0" xfId="6" applyNumberFormat="1" applyFont="1"/>
    <xf numFmtId="165" fontId="4" fillId="0" borderId="16" xfId="13" applyNumberFormat="1" applyFont="1" applyBorder="1" applyAlignment="1">
      <alignment horizontal="center" vertical="center" wrapText="1"/>
    </xf>
    <xf numFmtId="180" fontId="0" fillId="0" borderId="9" xfId="0" applyNumberFormat="1" applyBorder="1"/>
    <xf numFmtId="180" fontId="4" fillId="0" borderId="9" xfId="0" applyNumberFormat="1" applyFont="1" applyBorder="1"/>
    <xf numFmtId="1" fontId="0" fillId="0" borderId="9" xfId="0" applyNumberFormat="1" applyBorder="1" applyAlignment="1">
      <alignment horizontal="center"/>
    </xf>
    <xf numFmtId="170" fontId="0" fillId="0" borderId="9" xfId="0" applyNumberFormat="1" applyBorder="1" applyAlignment="1">
      <alignment horizontal="center"/>
    </xf>
    <xf numFmtId="9" fontId="0" fillId="0" borderId="9" xfId="0" applyNumberFormat="1" applyBorder="1"/>
    <xf numFmtId="7" fontId="0" fillId="0" borderId="9" xfId="0" applyNumberFormat="1" applyBorder="1"/>
    <xf numFmtId="171" fontId="4" fillId="0" borderId="9" xfId="0" applyNumberFormat="1" applyFont="1" applyBorder="1"/>
    <xf numFmtId="0" fontId="13" fillId="9" borderId="0" xfId="5" applyFont="1" applyFill="1" applyAlignment="1">
      <alignment horizontal="center"/>
    </xf>
    <xf numFmtId="167" fontId="28" fillId="12" borderId="0" xfId="0" applyNumberFormat="1" applyFont="1" applyFill="1" applyAlignment="1">
      <alignment horizontal="center"/>
    </xf>
    <xf numFmtId="0" fontId="27" fillId="0" borderId="0" xfId="5" applyFont="1" applyAlignment="1">
      <alignment horizontal="left"/>
    </xf>
    <xf numFmtId="0" fontId="14" fillId="11" borderId="9" xfId="0" applyFont="1" applyFill="1" applyBorder="1" applyAlignment="1">
      <alignment vertical="center"/>
    </xf>
    <xf numFmtId="0" fontId="14" fillId="0" borderId="9" xfId="0" applyFont="1" applyBorder="1" applyAlignment="1">
      <alignment vertical="center"/>
    </xf>
    <xf numFmtId="2" fontId="4" fillId="0" borderId="9" xfId="0" applyNumberFormat="1" applyFont="1" applyBorder="1" applyAlignment="1">
      <alignment horizontal="center" wrapText="1"/>
    </xf>
    <xf numFmtId="2" fontId="14" fillId="0" borderId="9" xfId="0" applyNumberFormat="1" applyFont="1" applyBorder="1" applyAlignment="1">
      <alignment horizontal="center" wrapText="1"/>
    </xf>
    <xf numFmtId="171" fontId="4" fillId="0" borderId="9" xfId="0" applyNumberFormat="1" applyFont="1" applyBorder="1" applyAlignment="1">
      <alignment horizontal="center"/>
    </xf>
    <xf numFmtId="172" fontId="14" fillId="0" borderId="9" xfId="0" applyNumberFormat="1" applyFont="1" applyBorder="1" applyAlignment="1">
      <alignment horizontal="center" vertical="center" wrapText="1"/>
    </xf>
    <xf numFmtId="171" fontId="4" fillId="29" borderId="9" xfId="2" applyNumberFormat="1" applyFont="1" applyFill="1" applyBorder="1" applyAlignment="1">
      <alignment horizontal="center"/>
    </xf>
    <xf numFmtId="171" fontId="4" fillId="27" borderId="9" xfId="2" applyNumberFormat="1" applyFont="1" applyFill="1" applyBorder="1" applyAlignment="1">
      <alignment horizontal="center"/>
    </xf>
    <xf numFmtId="43" fontId="28" fillId="0" borderId="9" xfId="1" applyFont="1" applyBorder="1"/>
    <xf numFmtId="200" fontId="28" fillId="0" borderId="9" xfId="0" applyNumberFormat="1" applyFont="1" applyBorder="1"/>
    <xf numFmtId="200" fontId="14" fillId="0" borderId="9" xfId="0" applyNumberFormat="1" applyFont="1" applyBorder="1"/>
    <xf numFmtId="200" fontId="14" fillId="26" borderId="9" xfId="0" applyNumberFormat="1" applyFont="1" applyFill="1" applyBorder="1"/>
    <xf numFmtId="43" fontId="0" fillId="0" borderId="9" xfId="1" applyFont="1" applyBorder="1"/>
    <xf numFmtId="171" fontId="14" fillId="17" borderId="9" xfId="2" applyNumberFormat="1" applyFont="1" applyFill="1" applyBorder="1" applyAlignment="1">
      <alignment horizontal="center"/>
    </xf>
    <xf numFmtId="44" fontId="4" fillId="0" borderId="9" xfId="2" applyFont="1" applyBorder="1" applyAlignment="1">
      <alignment horizontal="center"/>
    </xf>
    <xf numFmtId="0" fontId="28" fillId="0" borderId="0" xfId="5" applyFont="1" applyAlignment="1">
      <alignment horizontal="center"/>
    </xf>
    <xf numFmtId="1" fontId="14" fillId="0" borderId="9" xfId="1" applyNumberFormat="1" applyFont="1" applyBorder="1" applyAlignment="1">
      <alignment horizontal="center" vertical="center"/>
    </xf>
    <xf numFmtId="1" fontId="14" fillId="4" borderId="9" xfId="1" applyNumberFormat="1" applyFont="1" applyFill="1" applyBorder="1" applyAlignment="1">
      <alignment horizontal="center" vertical="center"/>
    </xf>
    <xf numFmtId="9" fontId="14" fillId="0" borderId="9" xfId="0" applyNumberFormat="1" applyFont="1" applyBorder="1" applyAlignment="1">
      <alignment horizontal="center" vertical="center"/>
    </xf>
    <xf numFmtId="0" fontId="14" fillId="4" borderId="9" xfId="12" applyFont="1" applyFill="1" applyBorder="1" applyAlignment="1">
      <alignment horizontal="center" vertical="center"/>
    </xf>
    <xf numFmtId="0" fontId="28" fillId="12" borderId="9" xfId="0" applyFont="1" applyFill="1" applyBorder="1"/>
    <xf numFmtId="167" fontId="28" fillId="12" borderId="9" xfId="0" applyNumberFormat="1" applyFont="1" applyFill="1" applyBorder="1"/>
    <xf numFmtId="0" fontId="68" fillId="9" borderId="0" xfId="5" applyFont="1" applyFill="1"/>
    <xf numFmtId="0" fontId="14" fillId="12" borderId="0" xfId="0" applyFont="1" applyFill="1"/>
    <xf numFmtId="0" fontId="51" fillId="12" borderId="0" xfId="0" applyFont="1" applyFill="1"/>
    <xf numFmtId="1" fontId="14" fillId="4" borderId="9" xfId="0" applyNumberFormat="1" applyFont="1" applyFill="1" applyBorder="1" applyAlignment="1">
      <alignment horizontal="left" vertical="top" wrapText="1"/>
    </xf>
    <xf numFmtId="1" fontId="14" fillId="0" borderId="9" xfId="0" applyNumberFormat="1" applyFont="1" applyBorder="1" applyAlignment="1">
      <alignment horizontal="left" vertical="top" wrapText="1"/>
    </xf>
    <xf numFmtId="186" fontId="14" fillId="0" borderId="0" xfId="0" applyNumberFormat="1" applyFont="1"/>
    <xf numFmtId="169" fontId="14" fillId="0" borderId="9" xfId="2" applyNumberFormat="1" applyFont="1" applyFill="1" applyBorder="1" applyAlignment="1">
      <alignment horizontal="center"/>
    </xf>
    <xf numFmtId="178" fontId="14" fillId="0" borderId="9" xfId="0" applyNumberFormat="1" applyFont="1" applyBorder="1" applyAlignment="1">
      <alignment horizontal="left" vertical="center" wrapText="1"/>
    </xf>
    <xf numFmtId="171" fontId="14" fillId="0" borderId="9" xfId="2" applyNumberFormat="1" applyFont="1" applyBorder="1" applyAlignment="1">
      <alignment horizontal="center"/>
    </xf>
    <xf numFmtId="170" fontId="14" fillId="0" borderId="16" xfId="1" applyNumberFormat="1" applyFont="1" applyFill="1" applyBorder="1" applyAlignment="1">
      <alignment horizontal="left" vertical="center" wrapText="1"/>
    </xf>
    <xf numFmtId="2" fontId="25" fillId="0" borderId="0" xfId="5" applyNumberFormat="1" applyFont="1" applyAlignment="1">
      <alignment horizontal="center"/>
    </xf>
    <xf numFmtId="2" fontId="14" fillId="33" borderId="9" xfId="1" applyNumberFormat="1" applyFont="1" applyFill="1" applyBorder="1" applyAlignment="1">
      <alignment horizontal="center"/>
    </xf>
    <xf numFmtId="2" fontId="14" fillId="8" borderId="9" xfId="1" applyNumberFormat="1" applyFont="1" applyFill="1" applyBorder="1"/>
    <xf numFmtId="2" fontId="14" fillId="8" borderId="23" xfId="1" applyNumberFormat="1" applyFont="1" applyFill="1" applyBorder="1"/>
    <xf numFmtId="44" fontId="14" fillId="4" borderId="17" xfId="2" applyFont="1" applyFill="1" applyBorder="1"/>
    <xf numFmtId="44" fontId="14" fillId="0" borderId="24" xfId="2" applyFont="1" applyFill="1" applyBorder="1"/>
    <xf numFmtId="165" fontId="8" fillId="0" borderId="8" xfId="0" applyNumberFormat="1" applyFont="1" applyBorder="1" applyAlignment="1">
      <alignment horizontal="center" vertical="center" wrapText="1"/>
    </xf>
    <xf numFmtId="165" fontId="8" fillId="0" borderId="9" xfId="0" applyNumberFormat="1" applyFont="1" applyBorder="1" applyAlignment="1">
      <alignment horizontal="center" vertical="center" wrapText="1"/>
    </xf>
    <xf numFmtId="0" fontId="8" fillId="0" borderId="10" xfId="0" applyFont="1" applyBorder="1" applyAlignment="1">
      <alignment horizontal="left" vertical="center" wrapText="1"/>
    </xf>
    <xf numFmtId="0" fontId="14" fillId="4" borderId="9" xfId="13" applyFont="1" applyFill="1" applyBorder="1" applyAlignment="1">
      <alignment horizontal="center"/>
    </xf>
    <xf numFmtId="14" fontId="8" fillId="0" borderId="9" xfId="0" applyNumberFormat="1" applyFont="1" applyBorder="1" applyAlignment="1">
      <alignment horizontal="center" vertical="center" wrapText="1"/>
    </xf>
    <xf numFmtId="9" fontId="14" fillId="0" borderId="9" xfId="3" applyFont="1" applyFill="1" applyBorder="1" applyAlignment="1">
      <alignment horizontal="center" wrapText="1"/>
    </xf>
    <xf numFmtId="165" fontId="4" fillId="0" borderId="0" xfId="0" applyNumberFormat="1" applyFont="1" applyAlignment="1">
      <alignment horizontal="center" vertical="center" wrapText="1"/>
    </xf>
    <xf numFmtId="0" fontId="14" fillId="16" borderId="9" xfId="0" applyFont="1" applyFill="1" applyBorder="1" applyAlignment="1">
      <alignment horizontal="left" vertical="top" wrapText="1"/>
    </xf>
    <xf numFmtId="2" fontId="4" fillId="0" borderId="9" xfId="1" applyNumberFormat="1" applyFont="1" applyBorder="1" applyAlignment="1">
      <alignment horizontal="center" wrapText="1"/>
    </xf>
    <xf numFmtId="171" fontId="14" fillId="4" borderId="18" xfId="4" applyNumberFormat="1" applyFont="1" applyFill="1" applyBorder="1" applyAlignment="1" applyProtection="1">
      <alignment horizontal="center"/>
      <protection locked="0"/>
    </xf>
    <xf numFmtId="1" fontId="4" fillId="4" borderId="9" xfId="0" applyNumberFormat="1" applyFont="1" applyFill="1" applyBorder="1" applyAlignment="1">
      <alignment horizontal="left" vertical="top" wrapText="1"/>
    </xf>
    <xf numFmtId="39" fontId="4" fillId="0" borderId="9" xfId="0" applyNumberFormat="1" applyFont="1" applyBorder="1" applyAlignment="1">
      <alignment horizontal="right"/>
    </xf>
    <xf numFmtId="2" fontId="4" fillId="4" borderId="9" xfId="1" applyNumberFormat="1" applyFont="1" applyFill="1" applyBorder="1" applyAlignment="1">
      <alignment horizontal="center"/>
    </xf>
    <xf numFmtId="0" fontId="4" fillId="0" borderId="0" xfId="0" applyFont="1" applyAlignment="1">
      <alignment horizontal="left"/>
    </xf>
    <xf numFmtId="172" fontId="4" fillId="0" borderId="19" xfId="3" applyNumberFormat="1" applyFont="1" applyFill="1" applyBorder="1" applyAlignment="1">
      <alignment horizontal="center"/>
    </xf>
    <xf numFmtId="10" fontId="4" fillId="0" borderId="9" xfId="6" applyNumberFormat="1" applyFont="1" applyBorder="1" applyAlignment="1">
      <alignment horizontal="center"/>
    </xf>
    <xf numFmtId="0" fontId="14" fillId="4" borderId="30" xfId="0" applyFont="1" applyFill="1" applyBorder="1" applyAlignment="1">
      <alignment horizontal="left" vertical="top"/>
    </xf>
    <xf numFmtId="165" fontId="4" fillId="0" borderId="9" xfId="6" applyNumberFormat="1" applyFont="1" applyBorder="1" applyAlignment="1">
      <alignment horizontal="left" vertical="center" wrapText="1"/>
    </xf>
    <xf numFmtId="0" fontId="4" fillId="4" borderId="9" xfId="0" applyFont="1" applyFill="1" applyBorder="1" applyAlignment="1">
      <alignment horizontal="left" vertical="top" wrapText="1"/>
    </xf>
    <xf numFmtId="0" fontId="14" fillId="0" borderId="0" xfId="8" applyFont="1" applyAlignment="1">
      <alignment horizontal="left" vertical="center" wrapText="1"/>
    </xf>
    <xf numFmtId="7" fontId="14" fillId="4" borderId="23" xfId="2" applyNumberFormat="1" applyFont="1" applyFill="1" applyBorder="1" applyAlignment="1">
      <alignment horizontal="center" vertical="center" wrapText="1"/>
    </xf>
    <xf numFmtId="7" fontId="4" fillId="4" borderId="23" xfId="2" applyNumberFormat="1" applyFont="1" applyFill="1" applyBorder="1" applyAlignment="1">
      <alignment horizontal="center" vertical="center" wrapText="1"/>
    </xf>
    <xf numFmtId="0" fontId="25" fillId="0" borderId="55" xfId="6" applyFont="1" applyBorder="1"/>
    <xf numFmtId="2" fontId="0" fillId="19" borderId="9" xfId="0" applyNumberFormat="1" applyFill="1" applyBorder="1"/>
    <xf numFmtId="2" fontId="14" fillId="19" borderId="9" xfId="0" applyNumberFormat="1" applyFont="1" applyFill="1" applyBorder="1"/>
    <xf numFmtId="170" fontId="14" fillId="19" borderId="9" xfId="5" applyNumberFormat="1" applyFont="1" applyFill="1" applyBorder="1" applyAlignment="1">
      <alignment horizontal="center"/>
    </xf>
    <xf numFmtId="171" fontId="1" fillId="19" borderId="9" xfId="5" applyNumberFormat="1" applyFont="1" applyFill="1" applyBorder="1" applyAlignment="1">
      <alignment horizontal="center" vertical="center" wrapText="1"/>
    </xf>
    <xf numFmtId="165" fontId="14" fillId="19" borderId="9" xfId="0" applyNumberFormat="1" applyFont="1" applyFill="1" applyBorder="1" applyAlignment="1">
      <alignment horizontal="center"/>
    </xf>
    <xf numFmtId="165" fontId="0" fillId="19" borderId="9" xfId="0" applyNumberFormat="1" applyFill="1" applyBorder="1" applyAlignment="1">
      <alignment horizontal="center"/>
    </xf>
    <xf numFmtId="2" fontId="0" fillId="19" borderId="9" xfId="0" applyNumberFormat="1" applyFill="1" applyBorder="1" applyAlignment="1">
      <alignment horizontal="center"/>
    </xf>
    <xf numFmtId="2" fontId="14" fillId="19" borderId="9" xfId="0" applyNumberFormat="1" applyFont="1" applyFill="1" applyBorder="1" applyAlignment="1">
      <alignment horizontal="center"/>
    </xf>
    <xf numFmtId="189" fontId="0" fillId="0" borderId="9" xfId="0" applyNumberFormat="1" applyBorder="1" applyAlignment="1">
      <alignment horizontal="center"/>
    </xf>
    <xf numFmtId="37" fontId="0" fillId="0" borderId="9" xfId="0" applyNumberFormat="1" applyBorder="1"/>
    <xf numFmtId="170" fontId="0" fillId="0" borderId="9" xfId="0" applyNumberFormat="1" applyBorder="1"/>
    <xf numFmtId="171" fontId="4" fillId="0" borderId="9" xfId="13" applyNumberFormat="1" applyFont="1" applyBorder="1" applyAlignment="1">
      <alignment horizontal="center"/>
    </xf>
    <xf numFmtId="189" fontId="14" fillId="25" borderId="9" xfId="0" applyNumberFormat="1" applyFont="1" applyFill="1" applyBorder="1" applyAlignment="1">
      <alignment horizontal="center" vertical="center" wrapText="1"/>
    </xf>
    <xf numFmtId="39" fontId="14" fillId="25" borderId="9" xfId="0" applyNumberFormat="1" applyFont="1" applyFill="1" applyBorder="1" applyAlignment="1">
      <alignment horizontal="center" vertical="center" wrapText="1"/>
    </xf>
    <xf numFmtId="165" fontId="14" fillId="25" borderId="9" xfId="0" applyNumberFormat="1" applyFont="1" applyFill="1" applyBorder="1" applyAlignment="1">
      <alignment horizontal="center" vertical="center" wrapText="1"/>
    </xf>
    <xf numFmtId="2" fontId="4" fillId="25" borderId="9" xfId="0" applyNumberFormat="1" applyFont="1" applyFill="1" applyBorder="1" applyAlignment="1">
      <alignment horizontal="center"/>
    </xf>
    <xf numFmtId="2" fontId="14" fillId="25" borderId="9" xfId="0" applyNumberFormat="1" applyFont="1" applyFill="1" applyBorder="1" applyAlignment="1">
      <alignment horizontal="center"/>
    </xf>
    <xf numFmtId="0" fontId="25" fillId="0" borderId="0" xfId="5" applyFont="1" applyAlignment="1">
      <alignment vertical="center" wrapText="1"/>
    </xf>
    <xf numFmtId="0" fontId="5" fillId="12" borderId="9" xfId="0" applyFont="1" applyFill="1" applyBorder="1"/>
    <xf numFmtId="168" fontId="0" fillId="0" borderId="9" xfId="1" applyNumberFormat="1" applyFont="1" applyFill="1" applyBorder="1" applyAlignment="1">
      <alignment horizontal="center"/>
    </xf>
    <xf numFmtId="168" fontId="4" fillId="0" borderId="9" xfId="1" applyNumberFormat="1" applyFont="1" applyFill="1" applyBorder="1" applyAlignment="1">
      <alignment horizontal="center"/>
    </xf>
    <xf numFmtId="168" fontId="14" fillId="0" borderId="9" xfId="1" applyNumberFormat="1" applyFont="1" applyFill="1" applyBorder="1" applyAlignment="1">
      <alignment horizontal="center"/>
    </xf>
    <xf numFmtId="168" fontId="18" fillId="0" borderId="9" xfId="1" applyNumberFormat="1" applyFont="1" applyFill="1" applyBorder="1" applyAlignment="1">
      <alignment horizontal="center" vertical="center" wrapText="1"/>
    </xf>
    <xf numFmtId="168" fontId="0" fillId="19" borderId="9" xfId="1" applyNumberFormat="1" applyFont="1" applyFill="1" applyBorder="1" applyAlignment="1">
      <alignment horizontal="center"/>
    </xf>
    <xf numFmtId="168" fontId="14" fillId="19" borderId="9" xfId="1" applyNumberFormat="1" applyFont="1" applyFill="1" applyBorder="1" applyAlignment="1">
      <alignment horizontal="center"/>
    </xf>
    <xf numFmtId="37" fontId="14" fillId="4" borderId="9" xfId="0" applyNumberFormat="1" applyFont="1" applyFill="1" applyBorder="1" applyAlignment="1">
      <alignment horizontal="center" vertical="center" wrapText="1"/>
    </xf>
    <xf numFmtId="171" fontId="14" fillId="0" borderId="9" xfId="13" applyNumberFormat="1" applyFont="1" applyBorder="1" applyAlignment="1">
      <alignment horizontal="center" vertical="center" wrapText="1"/>
    </xf>
    <xf numFmtId="1" fontId="14" fillId="0" borderId="9" xfId="13" applyNumberFormat="1" applyFont="1" applyBorder="1" applyAlignment="1">
      <alignment horizontal="center"/>
    </xf>
    <xf numFmtId="168" fontId="14" fillId="0" borderId="0" xfId="0" applyNumberFormat="1" applyFont="1" applyAlignment="1">
      <alignment horizontal="center"/>
    </xf>
    <xf numFmtId="0" fontId="4" fillId="0" borderId="0" xfId="6" applyFont="1" applyAlignment="1">
      <alignment horizontal="left"/>
    </xf>
    <xf numFmtId="2" fontId="4" fillId="8" borderId="9" xfId="1" applyNumberFormat="1" applyFont="1" applyFill="1" applyBorder="1" applyAlignment="1">
      <alignment horizontal="center"/>
    </xf>
    <xf numFmtId="44" fontId="4" fillId="8" borderId="9" xfId="0" applyNumberFormat="1" applyFont="1" applyFill="1" applyBorder="1" applyAlignment="1">
      <alignment horizontal="center" wrapText="1"/>
    </xf>
    <xf numFmtId="0" fontId="4" fillId="4" borderId="23" xfId="8" applyFont="1" applyFill="1" applyBorder="1" applyAlignment="1">
      <alignment horizontal="left"/>
    </xf>
    <xf numFmtId="7" fontId="4" fillId="0" borderId="0" xfId="0" applyNumberFormat="1" applyFont="1"/>
    <xf numFmtId="44" fontId="4" fillId="0" borderId="24" xfId="2" applyFont="1" applyFill="1" applyBorder="1"/>
    <xf numFmtId="44" fontId="4" fillId="0" borderId="26" xfId="2" applyFont="1" applyFill="1" applyBorder="1"/>
    <xf numFmtId="44" fontId="4" fillId="0" borderId="18" xfId="2" applyFont="1" applyFill="1" applyBorder="1"/>
    <xf numFmtId="43" fontId="28" fillId="0" borderId="0" xfId="1" applyFont="1" applyAlignment="1">
      <alignment horizontal="center"/>
    </xf>
    <xf numFmtId="43" fontId="14" fillId="0" borderId="0" xfId="1" applyFont="1" applyAlignment="1">
      <alignment horizontal="center"/>
    </xf>
    <xf numFmtId="43" fontId="50" fillId="30" borderId="30" xfId="1" applyFont="1" applyFill="1" applyBorder="1" applyAlignment="1">
      <alignment horizontal="center" wrapText="1"/>
    </xf>
    <xf numFmtId="43" fontId="54" fillId="22" borderId="30" xfId="1" applyFont="1" applyFill="1" applyBorder="1" applyAlignment="1">
      <alignment horizontal="center" wrapText="1"/>
    </xf>
    <xf numFmtId="0" fontId="50" fillId="27" borderId="30" xfId="0" applyFont="1" applyFill="1" applyBorder="1" applyAlignment="1">
      <alignment horizontal="center" wrapText="1"/>
    </xf>
    <xf numFmtId="0" fontId="54" fillId="23" borderId="30" xfId="0" applyFont="1" applyFill="1" applyBorder="1" applyAlignment="1">
      <alignment horizontal="center" wrapText="1"/>
    </xf>
    <xf numFmtId="0" fontId="14" fillId="19" borderId="9" xfId="0" applyFont="1" applyFill="1" applyBorder="1" applyAlignment="1">
      <alignment horizontal="center" wrapText="1"/>
    </xf>
    <xf numFmtId="43" fontId="50" fillId="30" borderId="9" xfId="1" applyFont="1" applyFill="1" applyBorder="1" applyAlignment="1">
      <alignment horizontal="center" wrapText="1"/>
    </xf>
    <xf numFmtId="43" fontId="54" fillId="22" borderId="9" xfId="1" applyFont="1" applyFill="1" applyBorder="1" applyAlignment="1">
      <alignment horizontal="center" wrapText="1"/>
    </xf>
    <xf numFmtId="0" fontId="50" fillId="27" borderId="9" xfId="0" applyFont="1" applyFill="1" applyBorder="1" applyAlignment="1">
      <alignment horizontal="center" wrapText="1"/>
    </xf>
    <xf numFmtId="0" fontId="54" fillId="23" borderId="9" xfId="0" applyFont="1" applyFill="1" applyBorder="1" applyAlignment="1">
      <alignment horizontal="center" wrapText="1"/>
    </xf>
    <xf numFmtId="43" fontId="14" fillId="25" borderId="9" xfId="1" applyFont="1" applyFill="1" applyBorder="1"/>
    <xf numFmtId="9" fontId="14" fillId="0" borderId="9" xfId="0" applyNumberFormat="1" applyFont="1" applyBorder="1"/>
    <xf numFmtId="43" fontId="14" fillId="5" borderId="9" xfId="1" applyFont="1" applyFill="1" applyBorder="1"/>
    <xf numFmtId="200" fontId="14" fillId="5" borderId="9" xfId="0" applyNumberFormat="1" applyFont="1" applyFill="1" applyBorder="1"/>
    <xf numFmtId="39" fontId="14" fillId="0" borderId="9" xfId="0" applyNumberFormat="1" applyFont="1" applyBorder="1"/>
    <xf numFmtId="43" fontId="28" fillId="0" borderId="0" xfId="1" applyFont="1"/>
    <xf numFmtId="165" fontId="14" fillId="0" borderId="0" xfId="0" applyNumberFormat="1" applyFont="1" applyAlignment="1">
      <alignment horizontal="center"/>
    </xf>
    <xf numFmtId="171" fontId="14" fillId="0" borderId="0" xfId="0" applyNumberFormat="1" applyFont="1" applyAlignment="1">
      <alignment horizontal="center"/>
    </xf>
    <xf numFmtId="171" fontId="14" fillId="0" borderId="0" xfId="2" applyNumberFormat="1" applyFont="1" applyAlignment="1">
      <alignment horizontal="center"/>
    </xf>
    <xf numFmtId="171" fontId="14" fillId="30" borderId="0" xfId="0" applyNumberFormat="1" applyFont="1" applyFill="1" applyAlignment="1">
      <alignment horizontal="center"/>
    </xf>
    <xf numFmtId="171" fontId="14" fillId="30" borderId="0" xfId="2" applyNumberFormat="1" applyFont="1" applyFill="1" applyAlignment="1">
      <alignment horizontal="center"/>
    </xf>
    <xf numFmtId="0" fontId="14" fillId="18" borderId="0" xfId="0" applyFont="1" applyFill="1"/>
    <xf numFmtId="165" fontId="54" fillId="13" borderId="30" xfId="0" applyNumberFormat="1" applyFont="1" applyFill="1" applyBorder="1" applyAlignment="1">
      <alignment horizontal="center" wrapText="1"/>
    </xf>
    <xf numFmtId="165" fontId="54" fillId="13" borderId="9" xfId="0" applyNumberFormat="1" applyFont="1" applyFill="1" applyBorder="1" applyAlignment="1">
      <alignment horizontal="center" wrapText="1"/>
    </xf>
    <xf numFmtId="0" fontId="54" fillId="13" borderId="9" xfId="0" applyFont="1" applyFill="1" applyBorder="1" applyAlignment="1">
      <alignment horizontal="center" wrapText="1"/>
    </xf>
    <xf numFmtId="171" fontId="54" fillId="13" borderId="9" xfId="0" applyNumberFormat="1" applyFont="1" applyFill="1" applyBorder="1" applyAlignment="1">
      <alignment horizontal="center" wrapText="1"/>
    </xf>
    <xf numFmtId="171" fontId="14" fillId="29" borderId="9" xfId="2" applyNumberFormat="1" applyFont="1" applyFill="1" applyBorder="1" applyAlignment="1">
      <alignment horizontal="center"/>
    </xf>
    <xf numFmtId="171" fontId="14" fillId="27" borderId="9" xfId="2" applyNumberFormat="1" applyFont="1" applyFill="1" applyBorder="1" applyAlignment="1">
      <alignment horizontal="center"/>
    </xf>
    <xf numFmtId="7" fontId="14" fillId="4" borderId="9" xfId="0" applyNumberFormat="1" applyFont="1" applyFill="1" applyBorder="1"/>
    <xf numFmtId="44" fontId="28" fillId="0" borderId="9" xfId="2" applyFont="1" applyBorder="1"/>
    <xf numFmtId="43" fontId="14" fillId="20" borderId="9" xfId="0" applyNumberFormat="1" applyFont="1" applyFill="1" applyBorder="1"/>
    <xf numFmtId="0" fontId="14" fillId="20" borderId="9" xfId="0" applyFont="1" applyFill="1" applyBorder="1"/>
    <xf numFmtId="0" fontId="14" fillId="22" borderId="9" xfId="0" applyFont="1" applyFill="1" applyBorder="1"/>
    <xf numFmtId="0" fontId="14" fillId="33" borderId="9" xfId="0" applyFont="1" applyFill="1" applyBorder="1"/>
    <xf numFmtId="7" fontId="14" fillId="33" borderId="9" xfId="0" applyNumberFormat="1" applyFont="1" applyFill="1" applyBorder="1"/>
    <xf numFmtId="0" fontId="14" fillId="31" borderId="9" xfId="0" applyFont="1" applyFill="1" applyBorder="1"/>
    <xf numFmtId="2" fontId="14" fillId="5" borderId="9" xfId="0" applyNumberFormat="1" applyFont="1" applyFill="1" applyBorder="1" applyAlignment="1">
      <alignment horizontal="center"/>
    </xf>
    <xf numFmtId="44" fontId="14" fillId="5" borderId="9" xfId="2" applyFont="1" applyFill="1" applyBorder="1" applyAlignment="1">
      <alignment horizontal="center"/>
    </xf>
    <xf numFmtId="1" fontId="14" fillId="4" borderId="9" xfId="0" applyNumberFormat="1" applyFont="1" applyFill="1" applyBorder="1"/>
    <xf numFmtId="1" fontId="14" fillId="22" borderId="9" xfId="0" applyNumberFormat="1" applyFont="1" applyFill="1" applyBorder="1"/>
    <xf numFmtId="2" fontId="14" fillId="8" borderId="9" xfId="0" applyNumberFormat="1" applyFont="1" applyFill="1" applyBorder="1" applyAlignment="1">
      <alignment horizontal="center"/>
    </xf>
    <xf numFmtId="171" fontId="14" fillId="17" borderId="9" xfId="0" applyNumberFormat="1" applyFont="1" applyFill="1" applyBorder="1" applyAlignment="1">
      <alignment horizontal="center"/>
    </xf>
    <xf numFmtId="43" fontId="4" fillId="0" borderId="0" xfId="1" applyFont="1"/>
    <xf numFmtId="7" fontId="4" fillId="0" borderId="9" xfId="2" applyNumberFormat="1" applyFont="1" applyBorder="1"/>
    <xf numFmtId="170" fontId="4" fillId="0" borderId="9" xfId="1" applyNumberFormat="1" applyFont="1" applyFill="1" applyBorder="1" applyAlignment="1">
      <alignment horizontal="center"/>
    </xf>
    <xf numFmtId="165" fontId="34" fillId="4" borderId="0" xfId="8" applyNumberFormat="1" applyFont="1" applyFill="1" applyAlignment="1">
      <alignment horizontal="left" vertical="center"/>
    </xf>
    <xf numFmtId="7" fontId="14" fillId="4" borderId="0" xfId="2" applyNumberFormat="1" applyFont="1" applyFill="1" applyBorder="1" applyAlignment="1">
      <alignment horizontal="center"/>
    </xf>
    <xf numFmtId="0" fontId="37" fillId="0" borderId="0" xfId="8" applyFont="1" applyAlignment="1">
      <alignment horizontal="left" vertical="center"/>
    </xf>
    <xf numFmtId="7" fontId="1" fillId="4" borderId="0" xfId="2" applyNumberFormat="1" applyFont="1" applyFill="1" applyBorder="1" applyAlignment="1">
      <alignment horizontal="center"/>
    </xf>
    <xf numFmtId="1" fontId="1" fillId="0" borderId="0" xfId="3" applyNumberFormat="1" applyFont="1" applyBorder="1" applyAlignment="1">
      <alignment horizontal="center"/>
    </xf>
    <xf numFmtId="9" fontId="14" fillId="0" borderId="0" xfId="3" applyFont="1" applyFill="1" applyBorder="1" applyAlignment="1">
      <alignment horizontal="left" vertical="top" wrapText="1"/>
    </xf>
    <xf numFmtId="0" fontId="14" fillId="4" borderId="9" xfId="0" applyFont="1" applyFill="1" applyBorder="1" applyAlignment="1">
      <alignment horizontal="left" vertical="top"/>
    </xf>
    <xf numFmtId="39" fontId="14" fillId="4" borderId="9" xfId="1" applyNumberFormat="1" applyFont="1" applyFill="1" applyBorder="1" applyAlignment="1">
      <alignment horizontal="left" vertical="top"/>
    </xf>
    <xf numFmtId="0" fontId="14" fillId="16" borderId="9" xfId="0" applyFont="1" applyFill="1" applyBorder="1" applyAlignment="1">
      <alignment horizontal="left" vertical="top"/>
    </xf>
    <xf numFmtId="169" fontId="14" fillId="16" borderId="9" xfId="0" applyNumberFormat="1" applyFont="1" applyFill="1" applyBorder="1" applyAlignment="1">
      <alignment horizontal="left" vertical="top"/>
    </xf>
    <xf numFmtId="166" fontId="14" fillId="0" borderId="9" xfId="0" applyNumberFormat="1" applyFont="1" applyBorder="1" applyAlignment="1">
      <alignment horizontal="center" vertical="center" wrapText="1"/>
    </xf>
    <xf numFmtId="165" fontId="14" fillId="0" borderId="18" xfId="0" applyNumberFormat="1" applyFont="1" applyBorder="1" applyAlignment="1">
      <alignment horizontal="center" vertical="center" wrapText="1"/>
    </xf>
    <xf numFmtId="0" fontId="14" fillId="0" borderId="23" xfId="8" applyFont="1" applyBorder="1" applyAlignment="1">
      <alignment horizontal="left"/>
    </xf>
    <xf numFmtId="165" fontId="14" fillId="0" borderId="27" xfId="0" applyNumberFormat="1" applyFont="1" applyBorder="1" applyAlignment="1">
      <alignment horizontal="left" vertical="center" wrapText="1"/>
    </xf>
    <xf numFmtId="7" fontId="14" fillId="0" borderId="27" xfId="2" applyNumberFormat="1" applyFont="1" applyFill="1" applyBorder="1" applyAlignment="1">
      <alignment horizontal="center" wrapText="1"/>
    </xf>
    <xf numFmtId="0" fontId="14" fillId="11" borderId="55" xfId="5" applyFont="1" applyFill="1" applyBorder="1" applyAlignment="1">
      <alignment horizontal="center" vertical="center" wrapText="1"/>
    </xf>
    <xf numFmtId="0" fontId="25" fillId="0" borderId="55" xfId="6" applyFont="1" applyBorder="1" applyAlignment="1">
      <alignment horizontal="right"/>
    </xf>
    <xf numFmtId="39" fontId="4" fillId="0" borderId="9" xfId="1" applyNumberFormat="1" applyFont="1" applyFill="1" applyBorder="1" applyAlignment="1">
      <alignment horizontal="center"/>
    </xf>
    <xf numFmtId="4" fontId="4" fillId="0" borderId="9" xfId="0" applyNumberFormat="1" applyFont="1" applyBorder="1" applyAlignment="1">
      <alignment horizontal="left" vertical="top" wrapText="1"/>
    </xf>
    <xf numFmtId="37" fontId="4" fillId="0" borderId="9" xfId="1" applyNumberFormat="1" applyFont="1" applyBorder="1" applyAlignment="1">
      <alignment horizontal="center" wrapText="1"/>
    </xf>
    <xf numFmtId="168" fontId="4" fillId="0" borderId="9" xfId="1" applyNumberFormat="1" applyFont="1" applyBorder="1" applyAlignment="1"/>
    <xf numFmtId="2" fontId="4" fillId="0" borderId="0" xfId="0" applyNumberFormat="1" applyFont="1"/>
    <xf numFmtId="2" fontId="4" fillId="0" borderId="0" xfId="3" applyNumberFormat="1" applyFont="1"/>
    <xf numFmtId="39" fontId="4" fillId="0" borderId="9" xfId="1" quotePrefix="1" applyNumberFormat="1" applyFont="1" applyFill="1" applyBorder="1" applyAlignment="1">
      <alignment horizontal="center" vertical="center" wrapText="1"/>
    </xf>
    <xf numFmtId="3" fontId="14" fillId="0" borderId="0" xfId="0" applyNumberFormat="1" applyFont="1"/>
    <xf numFmtId="4" fontId="14" fillId="0" borderId="0" xfId="0" applyNumberFormat="1" applyFont="1"/>
    <xf numFmtId="2" fontId="14" fillId="34" borderId="9" xfId="0" applyNumberFormat="1" applyFont="1" applyFill="1" applyBorder="1" applyAlignment="1">
      <alignment horizontal="right"/>
    </xf>
    <xf numFmtId="39" fontId="1" fillId="0" borderId="9" xfId="0" applyNumberFormat="1" applyFont="1" applyBorder="1"/>
    <xf numFmtId="2" fontId="1" fillId="0" borderId="9" xfId="0" applyNumberFormat="1" applyFont="1" applyBorder="1"/>
    <xf numFmtId="168" fontId="1" fillId="0" borderId="9" xfId="1" applyNumberFormat="1" applyFont="1" applyBorder="1"/>
    <xf numFmtId="0" fontId="1" fillId="4" borderId="9" xfId="0" applyFont="1" applyFill="1" applyBorder="1" applyAlignment="1">
      <alignment horizontal="left" vertical="top" wrapText="1"/>
    </xf>
    <xf numFmtId="1" fontId="1" fillId="4" borderId="9" xfId="0" applyNumberFormat="1" applyFont="1" applyFill="1" applyBorder="1" applyAlignment="1">
      <alignment horizontal="left" vertical="top" wrapText="1"/>
    </xf>
    <xf numFmtId="2" fontId="1" fillId="0" borderId="9" xfId="0" applyNumberFormat="1" applyFont="1" applyBorder="1" applyAlignment="1">
      <alignment horizontal="left" vertical="top" wrapText="1"/>
    </xf>
    <xf numFmtId="39" fontId="1" fillId="4" borderId="9" xfId="1" applyNumberFormat="1" applyFont="1" applyFill="1" applyBorder="1" applyAlignment="1">
      <alignment horizontal="left" vertical="top"/>
    </xf>
    <xf numFmtId="168" fontId="1" fillId="0" borderId="9" xfId="1" applyNumberFormat="1" applyFont="1" applyBorder="1" applyAlignment="1"/>
    <xf numFmtId="2" fontId="1" fillId="0" borderId="9" xfId="1" applyNumberFormat="1" applyFont="1" applyBorder="1" applyAlignment="1"/>
    <xf numFmtId="2" fontId="1" fillId="0" borderId="0" xfId="3" applyNumberFormat="1" applyFont="1"/>
    <xf numFmtId="2" fontId="1" fillId="0" borderId="0" xfId="0" applyNumberFormat="1" applyFont="1"/>
    <xf numFmtId="4" fontId="1" fillId="0" borderId="9" xfId="0" applyNumberFormat="1" applyFont="1" applyBorder="1"/>
    <xf numFmtId="39" fontId="1" fillId="4" borderId="9" xfId="1" quotePrefix="1" applyNumberFormat="1" applyFont="1" applyFill="1" applyBorder="1" applyAlignment="1">
      <alignment horizontal="center" vertical="center" wrapText="1"/>
    </xf>
    <xf numFmtId="39" fontId="1" fillId="0" borderId="9" xfId="0" applyNumberFormat="1" applyFont="1" applyBorder="1" applyAlignment="1">
      <alignment horizontal="center"/>
    </xf>
    <xf numFmtId="170" fontId="1" fillId="4" borderId="9" xfId="1" quotePrefix="1" applyNumberFormat="1" applyFont="1" applyFill="1" applyBorder="1" applyAlignment="1">
      <alignment horizontal="center" vertical="center" wrapText="1"/>
    </xf>
    <xf numFmtId="37" fontId="1" fillId="0" borderId="0" xfId="0" applyNumberFormat="1" applyFont="1"/>
    <xf numFmtId="186" fontId="1" fillId="0" borderId="0" xfId="0" applyNumberFormat="1" applyFont="1"/>
    <xf numFmtId="0" fontId="4" fillId="0" borderId="9" xfId="0" applyFont="1" applyBorder="1" applyAlignment="1">
      <alignment horizontal="left" vertical="top" wrapText="1"/>
    </xf>
    <xf numFmtId="165" fontId="4" fillId="4" borderId="23" xfId="0" applyNumberFormat="1" applyFont="1" applyFill="1" applyBorder="1" applyAlignment="1">
      <alignment horizontal="center" vertical="center" wrapText="1"/>
    </xf>
    <xf numFmtId="3" fontId="4" fillId="4" borderId="9" xfId="0" applyNumberFormat="1" applyFont="1" applyFill="1" applyBorder="1" applyAlignment="1">
      <alignment horizontal="left" vertical="top" wrapText="1"/>
    </xf>
    <xf numFmtId="3" fontId="14" fillId="36" borderId="9" xfId="0" applyNumberFormat="1" applyFont="1" applyFill="1" applyBorder="1" applyAlignment="1">
      <alignment horizontal="left" vertical="top" wrapText="1"/>
    </xf>
    <xf numFmtId="2" fontId="4" fillId="4" borderId="9" xfId="0" applyNumberFormat="1" applyFont="1" applyFill="1" applyBorder="1" applyAlignment="1">
      <alignment horizontal="left"/>
    </xf>
    <xf numFmtId="2" fontId="14" fillId="4" borderId="9" xfId="0" applyNumberFormat="1" applyFont="1" applyFill="1" applyBorder="1" applyAlignment="1">
      <alignment horizontal="left"/>
    </xf>
    <xf numFmtId="2" fontId="14" fillId="36" borderId="9" xfId="0" applyNumberFormat="1" applyFont="1" applyFill="1" applyBorder="1" applyAlignment="1">
      <alignment horizontal="left" vertical="top" wrapText="1"/>
    </xf>
    <xf numFmtId="2" fontId="14" fillId="34" borderId="9" xfId="0" applyNumberFormat="1" applyFont="1" applyFill="1" applyBorder="1" applyAlignment="1">
      <alignment wrapText="1"/>
    </xf>
    <xf numFmtId="168" fontId="14" fillId="0" borderId="0" xfId="0" applyNumberFormat="1" applyFont="1" applyAlignment="1">
      <alignment horizontal="left"/>
    </xf>
    <xf numFmtId="182" fontId="14" fillId="0" borderId="0" xfId="1" applyNumberFormat="1" applyFont="1" applyFill="1" applyBorder="1" applyAlignment="1">
      <alignment horizontal="center"/>
    </xf>
    <xf numFmtId="193" fontId="14" fillId="0" borderId="0" xfId="0" applyNumberFormat="1" applyFont="1" applyAlignment="1">
      <alignment horizontal="center"/>
    </xf>
    <xf numFmtId="43" fontId="14" fillId="0" borderId="0" xfId="0" applyNumberFormat="1" applyFont="1" applyAlignment="1">
      <alignment horizontal="center"/>
    </xf>
    <xf numFmtId="182" fontId="14" fillId="4" borderId="19" xfId="1" applyNumberFormat="1" applyFont="1" applyFill="1" applyBorder="1" applyAlignment="1">
      <alignment horizontal="center"/>
    </xf>
    <xf numFmtId="182" fontId="14" fillId="4" borderId="23" xfId="1" applyNumberFormat="1" applyFont="1" applyFill="1" applyBorder="1" applyAlignment="1">
      <alignment horizontal="center"/>
    </xf>
    <xf numFmtId="192" fontId="14" fillId="4" borderId="9" xfId="0" applyNumberFormat="1" applyFont="1" applyFill="1" applyBorder="1" applyAlignment="1">
      <alignment horizontal="center"/>
    </xf>
    <xf numFmtId="39" fontId="14" fillId="0" borderId="0" xfId="1" applyNumberFormat="1" applyFont="1" applyFill="1" applyAlignment="1">
      <alignment horizontal="center"/>
    </xf>
    <xf numFmtId="171" fontId="4" fillId="0" borderId="9" xfId="13" applyNumberFormat="1" applyFont="1" applyBorder="1" applyAlignment="1">
      <alignment horizontal="center" vertical="center" wrapText="1"/>
    </xf>
    <xf numFmtId="0" fontId="14" fillId="0" borderId="18" xfId="8" applyFont="1" applyBorder="1" applyAlignment="1">
      <alignment horizontal="center"/>
    </xf>
    <xf numFmtId="39" fontId="14" fillId="0" borderId="0" xfId="1" applyNumberFormat="1" applyFont="1" applyFill="1" applyAlignment="1">
      <alignment horizontal="center" wrapText="1"/>
    </xf>
    <xf numFmtId="37" fontId="4" fillId="4" borderId="9" xfId="0" applyNumberFormat="1" applyFont="1" applyFill="1" applyBorder="1" applyAlignment="1">
      <alignment horizontal="center" vertical="center" wrapText="1"/>
    </xf>
    <xf numFmtId="171" fontId="4" fillId="4" borderId="9" xfId="6" applyNumberFormat="1" applyFont="1" applyFill="1" applyBorder="1" applyAlignment="1">
      <alignment horizontal="center"/>
    </xf>
    <xf numFmtId="0" fontId="25" fillId="4" borderId="9" xfId="6" applyFont="1" applyFill="1" applyBorder="1" applyAlignment="1">
      <alignment horizontal="center"/>
    </xf>
    <xf numFmtId="10" fontId="14" fillId="0" borderId="9" xfId="0" applyNumberFormat="1" applyFont="1" applyBorder="1"/>
    <xf numFmtId="172" fontId="25" fillId="0" borderId="55" xfId="6" applyNumberFormat="1" applyFont="1" applyBorder="1"/>
    <xf numFmtId="0" fontId="74" fillId="0" borderId="0" xfId="0" applyFont="1" applyAlignment="1">
      <alignment horizontal="left"/>
    </xf>
    <xf numFmtId="0" fontId="14" fillId="4" borderId="19" xfId="8" applyFont="1" applyFill="1" applyBorder="1" applyAlignment="1">
      <alignment horizontal="left" wrapText="1"/>
    </xf>
    <xf numFmtId="0" fontId="14" fillId="4" borderId="23" xfId="8" applyFont="1" applyFill="1" applyBorder="1" applyAlignment="1">
      <alignment horizontal="left" wrapText="1"/>
    </xf>
    <xf numFmtId="2" fontId="14" fillId="0" borderId="20" xfId="1" applyNumberFormat="1" applyFont="1" applyBorder="1"/>
    <xf numFmtId="44" fontId="14" fillId="0" borderId="20" xfId="0" applyNumberFormat="1" applyFont="1" applyBorder="1" applyAlignment="1">
      <alignment horizontal="center"/>
    </xf>
    <xf numFmtId="44" fontId="14" fillId="0" borderId="21" xfId="2" applyFont="1" applyFill="1" applyBorder="1"/>
    <xf numFmtId="2" fontId="14" fillId="8" borderId="25" xfId="1" applyNumberFormat="1" applyFont="1" applyFill="1" applyBorder="1"/>
    <xf numFmtId="44" fontId="14" fillId="0" borderId="25" xfId="0" applyNumberFormat="1" applyFont="1" applyBorder="1" applyAlignment="1">
      <alignment horizontal="center"/>
    </xf>
    <xf numFmtId="2" fontId="14" fillId="8" borderId="19" xfId="1" applyNumberFormat="1" applyFont="1" applyFill="1" applyBorder="1"/>
    <xf numFmtId="2" fontId="14" fillId="0" borderId="16" xfId="1" applyNumberFormat="1" applyFont="1" applyBorder="1"/>
    <xf numFmtId="37" fontId="4" fillId="4" borderId="9" xfId="1" applyNumberFormat="1" applyFont="1" applyFill="1" applyBorder="1" applyAlignment="1">
      <alignment horizontal="center"/>
    </xf>
    <xf numFmtId="37" fontId="14" fillId="4" borderId="9" xfId="1" applyNumberFormat="1" applyFont="1" applyFill="1" applyBorder="1" applyAlignment="1">
      <alignment horizontal="center"/>
    </xf>
    <xf numFmtId="170" fontId="14" fillId="0" borderId="9" xfId="0" applyNumberFormat="1" applyFont="1" applyBorder="1" applyAlignment="1">
      <alignment horizontal="center"/>
    </xf>
    <xf numFmtId="167" fontId="63" fillId="12" borderId="0" xfId="0" applyNumberFormat="1" applyFont="1" applyFill="1"/>
    <xf numFmtId="166" fontId="4" fillId="12" borderId="9" xfId="0" applyNumberFormat="1" applyFont="1" applyFill="1" applyBorder="1" applyAlignment="1">
      <alignment horizontal="center" vertical="center" wrapText="1"/>
    </xf>
    <xf numFmtId="39" fontId="4" fillId="0" borderId="9" xfId="5" applyNumberFormat="1" applyFont="1" applyBorder="1" applyAlignment="1">
      <alignment horizontal="right"/>
    </xf>
    <xf numFmtId="0" fontId="4" fillId="0" borderId="9" xfId="0" applyFont="1" applyBorder="1" applyAlignment="1">
      <alignment horizontal="right"/>
    </xf>
    <xf numFmtId="2" fontId="4" fillId="0" borderId="9" xfId="0" applyNumberFormat="1" applyFont="1" applyBorder="1" applyAlignment="1">
      <alignment horizontal="right"/>
    </xf>
    <xf numFmtId="37" fontId="4" fillId="0" borderId="9" xfId="1" applyNumberFormat="1" applyFont="1" applyFill="1" applyBorder="1" applyAlignment="1">
      <alignment horizontal="center"/>
    </xf>
    <xf numFmtId="0" fontId="63" fillId="12" borderId="0" xfId="0" applyFont="1" applyFill="1"/>
    <xf numFmtId="7" fontId="14" fillId="0" borderId="9" xfId="2" applyNumberFormat="1" applyFont="1" applyBorder="1"/>
    <xf numFmtId="7" fontId="14" fillId="0" borderId="27" xfId="0" applyNumberFormat="1" applyFont="1" applyBorder="1"/>
    <xf numFmtId="44" fontId="14" fillId="0" borderId="22" xfId="0" applyNumberFormat="1" applyFont="1" applyBorder="1" applyAlignment="1">
      <alignment horizontal="center"/>
    </xf>
    <xf numFmtId="180" fontId="1" fillId="19" borderId="9" xfId="8" applyNumberFormat="1" applyFont="1" applyFill="1" applyBorder="1" applyAlignment="1">
      <alignment horizontal="center"/>
    </xf>
    <xf numFmtId="180" fontId="14" fillId="19" borderId="9" xfId="8" applyNumberFormat="1" applyFont="1" applyFill="1" applyBorder="1" applyAlignment="1">
      <alignment horizontal="center"/>
    </xf>
    <xf numFmtId="180" fontId="4" fillId="19" borderId="9" xfId="8" applyNumberFormat="1" applyFont="1" applyFill="1" applyBorder="1" applyAlignment="1">
      <alignment horizontal="center"/>
    </xf>
    <xf numFmtId="1" fontId="1" fillId="19" borderId="9" xfId="3" applyNumberFormat="1" applyFont="1" applyFill="1" applyBorder="1" applyAlignment="1">
      <alignment horizontal="center"/>
    </xf>
    <xf numFmtId="1" fontId="4" fillId="19" borderId="9" xfId="3" applyNumberFormat="1" applyFont="1" applyFill="1" applyBorder="1" applyAlignment="1">
      <alignment horizontal="center"/>
    </xf>
    <xf numFmtId="1" fontId="14" fillId="19" borderId="9" xfId="3" applyNumberFormat="1" applyFont="1" applyFill="1" applyBorder="1" applyAlignment="1">
      <alignment horizontal="center"/>
    </xf>
    <xf numFmtId="189" fontId="14" fillId="19" borderId="9" xfId="0" applyNumberFormat="1" applyFont="1" applyFill="1" applyBorder="1" applyAlignment="1">
      <alignment horizontal="center" vertical="center" wrapText="1"/>
    </xf>
    <xf numFmtId="39" fontId="4" fillId="19" borderId="9" xfId="0" applyNumberFormat="1" applyFont="1" applyFill="1" applyBorder="1" applyAlignment="1">
      <alignment horizontal="center" vertical="center" wrapText="1"/>
    </xf>
    <xf numFmtId="39" fontId="14" fillId="19" borderId="9" xfId="0" applyNumberFormat="1" applyFont="1" applyFill="1" applyBorder="1" applyAlignment="1">
      <alignment horizontal="center" vertical="center" wrapText="1"/>
    </xf>
    <xf numFmtId="39" fontId="14" fillId="19" borderId="9" xfId="1" applyNumberFormat="1" applyFont="1" applyFill="1" applyBorder="1" applyAlignment="1">
      <alignment horizontal="center"/>
    </xf>
    <xf numFmtId="189" fontId="14" fillId="4" borderId="9" xfId="1" applyNumberFormat="1" applyFont="1" applyFill="1" applyBorder="1" applyAlignment="1">
      <alignment horizontal="center"/>
    </xf>
    <xf numFmtId="9" fontId="14" fillId="0" borderId="0" xfId="3" applyFont="1" applyFill="1" applyBorder="1" applyAlignment="1">
      <alignment horizontal="center" wrapText="1"/>
    </xf>
    <xf numFmtId="0" fontId="4" fillId="4" borderId="9" xfId="0" applyFont="1" applyFill="1" applyBorder="1" applyAlignment="1">
      <alignment horizontal="left" vertical="center" wrapText="1"/>
    </xf>
    <xf numFmtId="0" fontId="0" fillId="4" borderId="9" xfId="0" applyFill="1" applyBorder="1"/>
    <xf numFmtId="39" fontId="4" fillId="4" borderId="9" xfId="0" applyNumberFormat="1" applyFont="1" applyFill="1" applyBorder="1" applyAlignment="1">
      <alignment horizontal="center"/>
    </xf>
    <xf numFmtId="39" fontId="14" fillId="4" borderId="9" xfId="0" applyNumberFormat="1" applyFont="1" applyFill="1" applyBorder="1" applyAlignment="1">
      <alignment horizontal="center"/>
    </xf>
    <xf numFmtId="169" fontId="14" fillId="4" borderId="9" xfId="0" applyNumberFormat="1" applyFont="1" applyFill="1" applyBorder="1" applyAlignment="1">
      <alignment horizontal="center" vertical="center" wrapText="1"/>
    </xf>
    <xf numFmtId="0" fontId="14" fillId="4" borderId="9" xfId="0" applyFont="1" applyFill="1" applyBorder="1" applyAlignment="1">
      <alignment vertical="top" wrapText="1"/>
    </xf>
    <xf numFmtId="170" fontId="4" fillId="4" borderId="9" xfId="1" applyNumberFormat="1" applyFont="1" applyFill="1" applyBorder="1" applyAlignment="1">
      <alignment horizontal="left" vertical="top" wrapText="1"/>
    </xf>
    <xf numFmtId="2" fontId="14" fillId="4" borderId="9" xfId="0" applyNumberFormat="1" applyFont="1" applyFill="1" applyBorder="1" applyAlignment="1">
      <alignment horizontal="center" vertical="top" wrapText="1"/>
    </xf>
    <xf numFmtId="2" fontId="4" fillId="4" borderId="23" xfId="0" applyNumberFormat="1" applyFont="1" applyFill="1" applyBorder="1" applyAlignment="1">
      <alignment horizontal="center" vertical="center" wrapText="1"/>
    </xf>
    <xf numFmtId="3" fontId="14" fillId="4" borderId="9" xfId="0" applyNumberFormat="1" applyFont="1" applyFill="1" applyBorder="1" applyAlignment="1">
      <alignment horizontal="left" vertical="top" wrapText="1"/>
    </xf>
    <xf numFmtId="2" fontId="14" fillId="4" borderId="9" xfId="0" applyNumberFormat="1" applyFont="1" applyFill="1" applyBorder="1" applyAlignment="1">
      <alignment horizontal="center" wrapText="1"/>
    </xf>
    <xf numFmtId="189" fontId="0" fillId="4" borderId="9" xfId="0" applyNumberFormat="1" applyFill="1" applyBorder="1" applyAlignment="1">
      <alignment horizontal="center"/>
    </xf>
    <xf numFmtId="37" fontId="0" fillId="4" borderId="9" xfId="0" applyNumberFormat="1" applyFill="1" applyBorder="1"/>
    <xf numFmtId="9" fontId="0" fillId="4" borderId="9" xfId="0" applyNumberFormat="1" applyFill="1" applyBorder="1"/>
    <xf numFmtId="0" fontId="14" fillId="12" borderId="18" xfId="0" applyFont="1" applyFill="1" applyBorder="1" applyAlignment="1">
      <alignment horizontal="center" vertical="center" wrapText="1"/>
    </xf>
    <xf numFmtId="170" fontId="14" fillId="19" borderId="9" xfId="5" applyNumberFormat="1" applyFont="1" applyFill="1" applyBorder="1"/>
    <xf numFmtId="166" fontId="14" fillId="12" borderId="9" xfId="0" applyNumberFormat="1" applyFont="1" applyFill="1" applyBorder="1" applyAlignment="1">
      <alignment vertical="center" wrapText="1"/>
    </xf>
    <xf numFmtId="168" fontId="4" fillId="4" borderId="9" xfId="5" applyNumberFormat="1" applyFont="1" applyFill="1" applyBorder="1" applyAlignment="1">
      <alignment horizontal="center" vertical="center"/>
    </xf>
    <xf numFmtId="1" fontId="4" fillId="4" borderId="9" xfId="0" applyNumberFormat="1" applyFont="1" applyFill="1" applyBorder="1"/>
    <xf numFmtId="4" fontId="14" fillId="0" borderId="9" xfId="0" applyNumberFormat="1" applyFont="1" applyBorder="1" applyAlignment="1">
      <alignment horizontal="left" vertical="top" wrapText="1"/>
    </xf>
    <xf numFmtId="2" fontId="14" fillId="8" borderId="9" xfId="0" applyNumberFormat="1" applyFont="1" applyFill="1" applyBorder="1" applyAlignment="1">
      <alignment horizontal="left" vertical="top" wrapText="1"/>
    </xf>
    <xf numFmtId="39" fontId="14" fillId="0" borderId="9" xfId="1" quotePrefix="1" applyNumberFormat="1" applyFont="1" applyFill="1" applyBorder="1" applyAlignment="1">
      <alignment horizontal="center" vertical="center" wrapText="1"/>
    </xf>
    <xf numFmtId="3" fontId="14" fillId="0" borderId="9" xfId="0" applyNumberFormat="1" applyFont="1" applyBorder="1" applyAlignment="1">
      <alignment horizontal="left" vertical="top" wrapText="1"/>
    </xf>
    <xf numFmtId="39" fontId="14" fillId="4" borderId="23" xfId="1" quotePrefix="1" applyNumberFormat="1" applyFont="1" applyFill="1" applyBorder="1" applyAlignment="1">
      <alignment horizontal="center" vertical="center" wrapText="1"/>
    </xf>
    <xf numFmtId="9" fontId="14" fillId="4" borderId="23" xfId="3" applyFont="1" applyFill="1" applyBorder="1" applyAlignment="1">
      <alignment horizontal="center" vertical="center" wrapText="1"/>
    </xf>
    <xf numFmtId="169" fontId="14" fillId="4" borderId="23" xfId="0" applyNumberFormat="1" applyFont="1" applyFill="1" applyBorder="1" applyAlignment="1">
      <alignment horizontal="center" vertical="center" wrapText="1"/>
    </xf>
    <xf numFmtId="165" fontId="14" fillId="4" borderId="23" xfId="0" applyNumberFormat="1" applyFont="1" applyFill="1" applyBorder="1" applyAlignment="1">
      <alignment horizontal="center" vertical="center" wrapText="1"/>
    </xf>
    <xf numFmtId="2" fontId="14" fillId="4" borderId="23" xfId="0" applyNumberFormat="1" applyFont="1" applyFill="1" applyBorder="1" applyAlignment="1">
      <alignment horizontal="center" wrapText="1"/>
    </xf>
    <xf numFmtId="2" fontId="14" fillId="0" borderId="0" xfId="13" applyNumberFormat="1" applyFont="1" applyAlignment="1">
      <alignment horizontal="center"/>
    </xf>
    <xf numFmtId="192" fontId="14" fillId="0" borderId="0" xfId="0" applyNumberFormat="1" applyFont="1" applyAlignment="1">
      <alignment horizontal="center"/>
    </xf>
    <xf numFmtId="165" fontId="14" fillId="0" borderId="0" xfId="13" applyNumberFormat="1" applyFont="1" applyAlignment="1">
      <alignment horizontal="center"/>
    </xf>
    <xf numFmtId="0" fontId="14" fillId="11" borderId="23" xfId="0" applyFont="1" applyFill="1" applyBorder="1" applyAlignment="1">
      <alignment horizontal="left" vertical="center" wrapText="1"/>
    </xf>
    <xf numFmtId="0" fontId="14" fillId="11" borderId="23" xfId="0" applyFont="1" applyFill="1" applyBorder="1" applyAlignment="1">
      <alignment horizontal="center" vertical="center" wrapText="1"/>
    </xf>
    <xf numFmtId="168" fontId="14" fillId="0" borderId="0" xfId="1" applyNumberFormat="1" applyFont="1"/>
    <xf numFmtId="0" fontId="25" fillId="4" borderId="0" xfId="6" applyFont="1" applyFill="1"/>
    <xf numFmtId="2" fontId="14" fillId="0" borderId="0" xfId="6" applyNumberFormat="1" applyFont="1" applyAlignment="1">
      <alignment horizontal="center"/>
    </xf>
    <xf numFmtId="2" fontId="14" fillId="8" borderId="9" xfId="1" applyNumberFormat="1" applyFont="1" applyFill="1" applyBorder="1" applyAlignment="1">
      <alignment horizontal="center"/>
    </xf>
    <xf numFmtId="0" fontId="14" fillId="8" borderId="9" xfId="0" applyFont="1" applyFill="1" applyBorder="1" applyAlignment="1">
      <alignment horizontal="center" wrapText="1"/>
    </xf>
    <xf numFmtId="2" fontId="14" fillId="0" borderId="20" xfId="1" applyNumberFormat="1" applyFont="1" applyBorder="1" applyAlignment="1">
      <alignment horizontal="center"/>
    </xf>
    <xf numFmtId="2" fontId="14" fillId="0" borderId="22" xfId="1" applyNumberFormat="1" applyFont="1" applyBorder="1" applyAlignment="1">
      <alignment horizontal="center"/>
    </xf>
    <xf numFmtId="2" fontId="14" fillId="0" borderId="25" xfId="1" applyNumberFormat="1" applyFont="1" applyBorder="1" applyAlignment="1">
      <alignment horizontal="center"/>
    </xf>
    <xf numFmtId="2" fontId="25" fillId="0" borderId="0" xfId="6" applyNumberFormat="1" applyFont="1" applyAlignment="1">
      <alignment horizontal="center"/>
    </xf>
    <xf numFmtId="44" fontId="14" fillId="0" borderId="28" xfId="2" applyFont="1" applyFill="1" applyBorder="1"/>
    <xf numFmtId="2" fontId="14" fillId="0" borderId="16" xfId="1" applyNumberFormat="1" applyFont="1" applyBorder="1" applyAlignment="1">
      <alignment horizontal="center"/>
    </xf>
    <xf numFmtId="44" fontId="14" fillId="0" borderId="17" xfId="2" applyFont="1" applyFill="1" applyBorder="1"/>
    <xf numFmtId="2" fontId="14" fillId="0" borderId="30" xfId="1" applyNumberFormat="1" applyFont="1" applyBorder="1" applyAlignment="1">
      <alignment horizontal="center"/>
    </xf>
    <xf numFmtId="2" fontId="14" fillId="0" borderId="23" xfId="1" applyNumberFormat="1" applyFont="1" applyBorder="1" applyAlignment="1">
      <alignment horizontal="center"/>
    </xf>
    <xf numFmtId="2" fontId="14" fillId="0" borderId="16" xfId="1" applyNumberFormat="1" applyFont="1" applyFill="1" applyBorder="1" applyAlignment="1">
      <alignment horizontal="center"/>
    </xf>
    <xf numFmtId="7" fontId="14" fillId="0" borderId="28" xfId="0" applyNumberFormat="1" applyFont="1" applyBorder="1"/>
    <xf numFmtId="2" fontId="14" fillId="0" borderId="0" xfId="6" applyNumberFormat="1" applyFont="1"/>
    <xf numFmtId="2" fontId="14" fillId="0" borderId="0" xfId="13" applyNumberFormat="1" applyFont="1"/>
    <xf numFmtId="44" fontId="14" fillId="8" borderId="9" xfId="0" applyNumberFormat="1" applyFont="1" applyFill="1" applyBorder="1" applyAlignment="1">
      <alignment horizontal="center" wrapText="1"/>
    </xf>
    <xf numFmtId="44" fontId="14" fillId="8" borderId="9" xfId="1" applyNumberFormat="1" applyFont="1" applyFill="1" applyBorder="1" applyAlignment="1">
      <alignment horizontal="center" wrapText="1"/>
    </xf>
    <xf numFmtId="2" fontId="14" fillId="8" borderId="9" xfId="1" applyNumberFormat="1" applyFont="1" applyFill="1" applyBorder="1" applyAlignment="1">
      <alignment horizontal="center" wrapText="1"/>
    </xf>
    <xf numFmtId="7" fontId="14" fillId="0" borderId="17" xfId="0" applyNumberFormat="1" applyFont="1" applyBorder="1"/>
    <xf numFmtId="7" fontId="14" fillId="4" borderId="17" xfId="0" applyNumberFormat="1" applyFont="1" applyFill="1" applyBorder="1"/>
    <xf numFmtId="2" fontId="14" fillId="8" borderId="22" xfId="1" applyNumberFormat="1" applyFont="1" applyFill="1" applyBorder="1" applyAlignment="1">
      <alignment horizontal="center"/>
    </xf>
    <xf numFmtId="2" fontId="14" fillId="8" borderId="25" xfId="1" applyNumberFormat="1" applyFont="1" applyFill="1" applyBorder="1" applyAlignment="1">
      <alignment horizontal="center"/>
    </xf>
    <xf numFmtId="2" fontId="25" fillId="0" borderId="0" xfId="1" applyNumberFormat="1" applyFont="1"/>
    <xf numFmtId="44" fontId="25" fillId="0" borderId="0" xfId="5" applyNumberFormat="1" applyFont="1" applyAlignment="1">
      <alignment horizontal="center"/>
    </xf>
    <xf numFmtId="2" fontId="25" fillId="0" borderId="0" xfId="1" applyNumberFormat="1" applyFont="1" applyFill="1"/>
    <xf numFmtId="2" fontId="14" fillId="0" borderId="0" xfId="1" applyNumberFormat="1" applyFont="1" applyFill="1"/>
    <xf numFmtId="44" fontId="14" fillId="8" borderId="19" xfId="1" applyNumberFormat="1" applyFont="1" applyFill="1" applyBorder="1" applyAlignment="1">
      <alignment horizontal="center" wrapText="1"/>
    </xf>
    <xf numFmtId="44" fontId="14" fillId="0" borderId="27" xfId="0" applyNumberFormat="1" applyFont="1" applyBorder="1" applyAlignment="1">
      <alignment horizontal="center"/>
    </xf>
    <xf numFmtId="44" fontId="14" fillId="0" borderId="28" xfId="0" applyNumberFormat="1" applyFont="1" applyBorder="1" applyAlignment="1">
      <alignment horizontal="center"/>
    </xf>
    <xf numFmtId="44" fontId="14" fillId="0" borderId="17" xfId="0" applyNumberFormat="1" applyFont="1" applyBorder="1" applyAlignment="1">
      <alignment horizontal="center"/>
    </xf>
    <xf numFmtId="2" fontId="14" fillId="0" borderId="22" xfId="1" applyNumberFormat="1" applyFont="1" applyBorder="1"/>
    <xf numFmtId="44" fontId="14" fillId="0" borderId="0" xfId="0" applyNumberFormat="1" applyFont="1" applyAlignment="1">
      <alignment horizontal="center"/>
    </xf>
    <xf numFmtId="2" fontId="14" fillId="8" borderId="22" xfId="1" applyNumberFormat="1" applyFont="1" applyFill="1" applyBorder="1"/>
    <xf numFmtId="2" fontId="14" fillId="0" borderId="0" xfId="1" applyNumberFormat="1" applyFont="1" applyAlignment="1"/>
    <xf numFmtId="2" fontId="14" fillId="13" borderId="22" xfId="1" applyNumberFormat="1" applyFont="1" applyFill="1" applyBorder="1"/>
    <xf numFmtId="2" fontId="14" fillId="0" borderId="19" xfId="1" applyNumberFormat="1" applyFont="1" applyBorder="1"/>
    <xf numFmtId="2" fontId="14" fillId="8" borderId="30" xfId="1" applyNumberFormat="1" applyFont="1" applyFill="1" applyBorder="1"/>
    <xf numFmtId="0" fontId="25" fillId="0" borderId="0" xfId="5" applyFont="1" applyAlignment="1">
      <alignment horizontal="center" wrapText="1"/>
    </xf>
    <xf numFmtId="43" fontId="14" fillId="0" borderId="20" xfId="1" applyFont="1" applyBorder="1"/>
    <xf numFmtId="7" fontId="14" fillId="0" borderId="9" xfId="0" applyNumberFormat="1" applyFont="1" applyBorder="1" applyAlignment="1">
      <alignment horizontal="center" wrapText="1"/>
    </xf>
    <xf numFmtId="2" fontId="25" fillId="0" borderId="0" xfId="5" applyNumberFormat="1" applyFont="1"/>
    <xf numFmtId="2" fontId="4" fillId="0" borderId="9" xfId="0" applyNumberFormat="1" applyFont="1" applyBorder="1" applyAlignment="1">
      <alignment horizontal="left"/>
    </xf>
    <xf numFmtId="44" fontId="4" fillId="0" borderId="0" xfId="2" applyFont="1"/>
    <xf numFmtId="44" fontId="4" fillId="8" borderId="9" xfId="2" applyFont="1" applyFill="1" applyBorder="1" applyAlignment="1">
      <alignment horizontal="center" wrapText="1"/>
    </xf>
    <xf numFmtId="44" fontId="4" fillId="5" borderId="9" xfId="2" applyFont="1" applyFill="1" applyBorder="1" applyAlignment="1">
      <alignment horizontal="center"/>
    </xf>
    <xf numFmtId="171" fontId="14" fillId="4" borderId="0" xfId="0" applyNumberFormat="1" applyFont="1" applyFill="1" applyAlignment="1">
      <alignment horizontal="center" vertical="center" wrapText="1"/>
    </xf>
    <xf numFmtId="7" fontId="14" fillId="0" borderId="0" xfId="2" applyNumberFormat="1" applyFont="1" applyFill="1" applyBorder="1" applyAlignment="1">
      <alignment horizontal="left"/>
    </xf>
    <xf numFmtId="170" fontId="4" fillId="4" borderId="9" xfId="1" applyNumberFormat="1" applyFont="1" applyFill="1" applyBorder="1" applyAlignment="1">
      <alignment horizontal="center" vertical="center" wrapText="1"/>
    </xf>
    <xf numFmtId="2" fontId="4" fillId="0" borderId="20" xfId="1" applyNumberFormat="1" applyFont="1" applyBorder="1"/>
    <xf numFmtId="44" fontId="4" fillId="0" borderId="0" xfId="0" applyNumberFormat="1" applyFont="1" applyAlignment="1">
      <alignment horizontal="center"/>
    </xf>
    <xf numFmtId="3" fontId="4" fillId="36" borderId="9" xfId="0" applyNumberFormat="1" applyFont="1" applyFill="1" applyBorder="1" applyAlignment="1">
      <alignment horizontal="left" vertical="top" wrapText="1"/>
    </xf>
    <xf numFmtId="2" fontId="4" fillId="36" borderId="9" xfId="0" applyNumberFormat="1" applyFont="1" applyFill="1" applyBorder="1" applyAlignment="1">
      <alignment horizontal="left" vertical="top" wrapText="1"/>
    </xf>
    <xf numFmtId="3" fontId="4" fillId="0" borderId="9" xfId="0" applyNumberFormat="1" applyFont="1" applyBorder="1" applyAlignment="1">
      <alignment horizontal="left" vertical="top" wrapText="1"/>
    </xf>
    <xf numFmtId="39" fontId="14" fillId="0" borderId="0" xfId="0" applyNumberFormat="1" applyFont="1"/>
    <xf numFmtId="180" fontId="14" fillId="0" borderId="9" xfId="0" applyNumberFormat="1" applyFont="1" applyBorder="1" applyAlignment="1">
      <alignment horizontal="center"/>
    </xf>
    <xf numFmtId="37" fontId="14" fillId="0" borderId="9" xfId="1" applyNumberFormat="1" applyFont="1" applyFill="1" applyBorder="1" applyAlignment="1">
      <alignment horizontal="center"/>
    </xf>
    <xf numFmtId="171" fontId="14" fillId="0" borderId="9" xfId="5" applyNumberFormat="1" applyFont="1" applyBorder="1" applyAlignment="1">
      <alignment horizontal="center"/>
    </xf>
    <xf numFmtId="0" fontId="1" fillId="0" borderId="0" xfId="0" applyFont="1" applyAlignment="1">
      <alignment vertical="center"/>
    </xf>
    <xf numFmtId="0" fontId="1" fillId="0" borderId="0" xfId="8" applyFont="1" applyAlignment="1">
      <alignment vertical="center"/>
    </xf>
    <xf numFmtId="0" fontId="14" fillId="0" borderId="0" xfId="8" applyFont="1" applyAlignment="1">
      <alignment vertical="center"/>
    </xf>
    <xf numFmtId="2" fontId="14" fillId="0" borderId="0" xfId="8" applyNumberFormat="1" applyFont="1" applyAlignment="1">
      <alignment horizontal="center" vertical="center"/>
    </xf>
    <xf numFmtId="189" fontId="1" fillId="0" borderId="0" xfId="8" applyNumberFormat="1" applyFont="1" applyAlignment="1">
      <alignment vertical="center"/>
    </xf>
    <xf numFmtId="0" fontId="1" fillId="0" borderId="0" xfId="8" applyFont="1" applyAlignment="1">
      <alignment horizontal="center" vertical="center"/>
    </xf>
    <xf numFmtId="7" fontId="14" fillId="0" borderId="0" xfId="2" applyNumberFormat="1" applyFont="1" applyBorder="1" applyAlignment="1">
      <alignment horizontal="center" vertical="center" wrapText="1"/>
    </xf>
    <xf numFmtId="7" fontId="14" fillId="0" borderId="9" xfId="2" applyNumberFormat="1" applyFont="1" applyBorder="1" applyAlignment="1">
      <alignment horizontal="center" vertical="center" wrapText="1"/>
    </xf>
    <xf numFmtId="0" fontId="1" fillId="0" borderId="9" xfId="8" applyFont="1" applyBorder="1" applyAlignment="1">
      <alignment vertical="center"/>
    </xf>
    <xf numFmtId="167" fontId="67" fillId="12" borderId="0" xfId="0" applyNumberFormat="1" applyFont="1" applyFill="1" applyAlignment="1">
      <alignment horizontal="center" vertical="center"/>
    </xf>
    <xf numFmtId="167" fontId="5" fillId="12" borderId="0" xfId="0" applyNumberFormat="1" applyFont="1" applyFill="1" applyAlignment="1">
      <alignment vertical="center"/>
    </xf>
    <xf numFmtId="167" fontId="5" fillId="12" borderId="0" xfId="0" applyNumberFormat="1" applyFont="1" applyFill="1" applyAlignment="1">
      <alignment horizontal="center" vertical="center"/>
    </xf>
    <xf numFmtId="189" fontId="4" fillId="4" borderId="9" xfId="1" applyNumberFormat="1" applyFont="1" applyFill="1" applyBorder="1" applyAlignment="1">
      <alignment horizontal="center" vertical="center"/>
    </xf>
    <xf numFmtId="0" fontId="14" fillId="0" borderId="16" xfId="0" applyFont="1" applyBorder="1" applyAlignment="1">
      <alignment vertical="center"/>
    </xf>
    <xf numFmtId="7" fontId="14" fillId="0" borderId="27" xfId="0" applyNumberFormat="1" applyFont="1" applyBorder="1" applyAlignment="1">
      <alignment vertical="center"/>
    </xf>
    <xf numFmtId="2" fontId="14" fillId="0" borderId="20" xfId="1" applyNumberFormat="1" applyFont="1" applyBorder="1" applyAlignment="1">
      <alignment horizontal="center" vertical="center"/>
    </xf>
    <xf numFmtId="189" fontId="1" fillId="4" borderId="9" xfId="1" applyNumberFormat="1" applyFont="1" applyFill="1" applyBorder="1" applyAlignment="1">
      <alignment horizontal="center" vertical="center"/>
    </xf>
    <xf numFmtId="44" fontId="14" fillId="8" borderId="9" xfId="1" applyNumberFormat="1" applyFont="1" applyFill="1" applyBorder="1" applyAlignment="1">
      <alignment horizontal="center" vertical="center" wrapText="1"/>
    </xf>
    <xf numFmtId="2" fontId="14" fillId="8" borderId="9" xfId="1" applyNumberFormat="1" applyFont="1" applyFill="1" applyBorder="1" applyAlignment="1">
      <alignment vertical="center"/>
    </xf>
    <xf numFmtId="2" fontId="14" fillId="8" borderId="9" xfId="1" applyNumberFormat="1" applyFont="1" applyFill="1" applyBorder="1" applyAlignment="1">
      <alignment horizontal="center" vertical="center"/>
    </xf>
    <xf numFmtId="0" fontId="14" fillId="10" borderId="18" xfId="0" applyFont="1" applyFill="1" applyBorder="1" applyAlignment="1">
      <alignment horizontal="left" vertical="center"/>
    </xf>
    <xf numFmtId="0" fontId="14" fillId="0" borderId="0" xfId="8" applyFont="1" applyAlignment="1">
      <alignment horizontal="left" vertical="center"/>
    </xf>
    <xf numFmtId="0" fontId="28" fillId="12" borderId="0" xfId="0" applyFont="1" applyFill="1" applyAlignment="1">
      <alignment vertical="center"/>
    </xf>
    <xf numFmtId="0" fontId="1" fillId="0" borderId="0" xfId="0" applyFont="1" applyAlignment="1">
      <alignment horizontal="center" vertical="center"/>
    </xf>
    <xf numFmtId="9" fontId="1" fillId="0" borderId="0" xfId="3" applyFont="1" applyAlignment="1">
      <alignment vertical="center"/>
    </xf>
    <xf numFmtId="10" fontId="31" fillId="0" borderId="9" xfId="7" applyNumberFormat="1" applyFont="1" applyBorder="1" applyAlignment="1">
      <alignment horizontal="center" vertical="center" wrapText="1"/>
    </xf>
    <xf numFmtId="2" fontId="14" fillId="0" borderId="0" xfId="0" applyNumberFormat="1" applyFont="1" applyAlignment="1">
      <alignment vertical="center"/>
    </xf>
    <xf numFmtId="0" fontId="1" fillId="0" borderId="0" xfId="5" applyFont="1" applyAlignment="1">
      <alignment vertical="center"/>
    </xf>
    <xf numFmtId="0" fontId="14" fillId="0" borderId="0" xfId="5" applyFont="1" applyAlignment="1">
      <alignment vertical="center"/>
    </xf>
    <xf numFmtId="0" fontId="1" fillId="9" borderId="0" xfId="5" applyFont="1" applyFill="1" applyAlignment="1">
      <alignment vertical="center"/>
    </xf>
    <xf numFmtId="0" fontId="6" fillId="9" borderId="0" xfId="5" applyFont="1" applyFill="1" applyAlignment="1">
      <alignment vertical="center"/>
    </xf>
    <xf numFmtId="172" fontId="77" fillId="0" borderId="55" xfId="0" applyNumberFormat="1" applyFont="1" applyBorder="1"/>
    <xf numFmtId="172" fontId="15" fillId="0" borderId="55" xfId="3" applyNumberFormat="1" applyFont="1" applyBorder="1"/>
    <xf numFmtId="2" fontId="4" fillId="19" borderId="9" xfId="0" applyNumberFormat="1" applyFont="1" applyFill="1" applyBorder="1" applyAlignment="1">
      <alignment vertical="center"/>
    </xf>
    <xf numFmtId="0" fontId="4" fillId="19" borderId="9" xfId="0" applyFont="1" applyFill="1" applyBorder="1" applyAlignment="1">
      <alignment vertical="center"/>
    </xf>
    <xf numFmtId="0" fontId="28" fillId="9" borderId="0" xfId="5" applyFont="1" applyFill="1" applyAlignment="1">
      <alignment vertical="center"/>
    </xf>
    <xf numFmtId="165" fontId="14" fillId="0" borderId="0" xfId="0" applyNumberFormat="1" applyFont="1" applyAlignment="1">
      <alignment horizontal="left" vertical="center" wrapText="1"/>
    </xf>
    <xf numFmtId="170" fontId="4" fillId="0" borderId="50" xfId="1" applyNumberFormat="1" applyFont="1" applyFill="1" applyBorder="1" applyAlignment="1">
      <alignment horizontal="center" vertical="center" wrapText="1"/>
    </xf>
    <xf numFmtId="7" fontId="4" fillId="0" borderId="50" xfId="2" applyNumberFormat="1" applyFont="1" applyFill="1" applyBorder="1" applyAlignment="1">
      <alignment horizontal="center" vertical="center" wrapText="1"/>
    </xf>
    <xf numFmtId="165" fontId="4" fillId="0" borderId="9" xfId="13" applyNumberFormat="1" applyFont="1" applyBorder="1" applyAlignment="1">
      <alignment horizontal="left" vertical="center" wrapText="1"/>
    </xf>
    <xf numFmtId="165" fontId="4" fillId="0" borderId="9" xfId="0" applyNumberFormat="1" applyFont="1" applyBorder="1" applyAlignment="1">
      <alignment horizontal="left" vertical="center" wrapText="1"/>
    </xf>
    <xf numFmtId="165" fontId="4" fillId="25" borderId="9" xfId="0" applyNumberFormat="1" applyFont="1" applyFill="1" applyBorder="1" applyAlignment="1">
      <alignment horizontal="center" vertical="center" wrapText="1"/>
    </xf>
    <xf numFmtId="0" fontId="14" fillId="37" borderId="16" xfId="0" applyFont="1" applyFill="1" applyBorder="1" applyAlignment="1">
      <alignment horizontal="left"/>
    </xf>
    <xf numFmtId="0" fontId="25" fillId="37" borderId="0" xfId="5" applyFont="1" applyFill="1"/>
    <xf numFmtId="9" fontId="14" fillId="0" borderId="9" xfId="0" applyNumberFormat="1" applyFont="1" applyBorder="1" applyAlignment="1">
      <alignment horizontal="left" vertical="top" wrapText="1"/>
    </xf>
    <xf numFmtId="39" fontId="14" fillId="0" borderId="9" xfId="1" applyNumberFormat="1" applyFont="1" applyFill="1" applyBorder="1" applyAlignment="1">
      <alignment horizontal="left" vertical="top" wrapText="1"/>
    </xf>
    <xf numFmtId="7" fontId="4" fillId="0" borderId="9" xfId="2" applyNumberFormat="1" applyFont="1" applyFill="1" applyBorder="1" applyAlignment="1">
      <alignment horizontal="left"/>
    </xf>
    <xf numFmtId="39" fontId="14" fillId="4" borderId="19" xfId="1" applyNumberFormat="1" applyFont="1" applyFill="1" applyBorder="1" applyAlignment="1">
      <alignment horizontal="center"/>
    </xf>
    <xf numFmtId="39" fontId="4" fillId="0" borderId="18" xfId="0" applyNumberFormat="1" applyFont="1" applyBorder="1" applyAlignment="1">
      <alignment horizontal="center"/>
    </xf>
    <xf numFmtId="39" fontId="4" fillId="0" borderId="21" xfId="0" applyNumberFormat="1" applyFont="1" applyBorder="1" applyAlignment="1">
      <alignment horizontal="center"/>
    </xf>
    <xf numFmtId="192" fontId="14" fillId="4" borderId="9" xfId="1" quotePrefix="1" applyNumberFormat="1" applyFont="1" applyFill="1" applyBorder="1" applyAlignment="1">
      <alignment horizontal="center" vertical="center" wrapText="1"/>
    </xf>
    <xf numFmtId="44" fontId="15" fillId="0" borderId="0" xfId="2" applyFont="1"/>
    <xf numFmtId="202" fontId="4" fillId="0" borderId="21" xfId="2" applyNumberFormat="1" applyFont="1" applyFill="1" applyBorder="1"/>
    <xf numFmtId="202" fontId="4" fillId="0" borderId="24" xfId="2" applyNumberFormat="1" applyFont="1" applyFill="1" applyBorder="1"/>
    <xf numFmtId="202" fontId="4" fillId="0" borderId="26" xfId="2" applyNumberFormat="1" applyFont="1" applyFill="1" applyBorder="1"/>
    <xf numFmtId="44" fontId="4" fillId="8" borderId="9" xfId="2" applyFont="1" applyFill="1" applyBorder="1"/>
    <xf numFmtId="202" fontId="4" fillId="0" borderId="9" xfId="2" applyNumberFormat="1" applyFont="1" applyFill="1" applyBorder="1"/>
    <xf numFmtId="203" fontId="4" fillId="0" borderId="21" xfId="2" applyNumberFormat="1" applyFont="1" applyFill="1" applyBorder="1"/>
    <xf numFmtId="203" fontId="4" fillId="0" borderId="26" xfId="2" applyNumberFormat="1" applyFont="1" applyFill="1" applyBorder="1"/>
    <xf numFmtId="203" fontId="4" fillId="0" borderId="24" xfId="2" applyNumberFormat="1" applyFont="1" applyFill="1" applyBorder="1"/>
    <xf numFmtId="203" fontId="4" fillId="0" borderId="18" xfId="2" applyNumberFormat="1" applyFont="1" applyFill="1" applyBorder="1"/>
    <xf numFmtId="202" fontId="4" fillId="0" borderId="18" xfId="2" applyNumberFormat="1" applyFont="1" applyFill="1" applyBorder="1"/>
    <xf numFmtId="44" fontId="4" fillId="8" borderId="23" xfId="2" applyFont="1" applyFill="1" applyBorder="1"/>
    <xf numFmtId="2" fontId="4" fillId="8" borderId="23" xfId="1" applyNumberFormat="1" applyFont="1" applyFill="1" applyBorder="1"/>
    <xf numFmtId="44" fontId="4" fillId="4" borderId="9" xfId="2" applyFont="1" applyFill="1" applyBorder="1"/>
    <xf numFmtId="44" fontId="15" fillId="0" borderId="0" xfId="2" applyFont="1" applyAlignment="1">
      <alignment horizontal="center" wrapText="1"/>
    </xf>
    <xf numFmtId="44" fontId="4" fillId="0" borderId="0" xfId="2" applyFont="1" applyAlignment="1">
      <alignment horizontal="center" wrapText="1"/>
    </xf>
    <xf numFmtId="44" fontId="4" fillId="0" borderId="0" xfId="2" applyFont="1" applyFill="1" applyAlignment="1">
      <alignment horizontal="center" wrapText="1"/>
    </xf>
    <xf numFmtId="203" fontId="4" fillId="0" borderId="9" xfId="2" applyNumberFormat="1" applyFont="1" applyFill="1" applyBorder="1" applyAlignment="1">
      <alignment horizontal="center" wrapText="1"/>
    </xf>
    <xf numFmtId="44" fontId="4" fillId="8" borderId="19" xfId="2" applyFont="1" applyFill="1" applyBorder="1" applyAlignment="1">
      <alignment horizontal="center" wrapText="1"/>
    </xf>
    <xf numFmtId="44" fontId="4" fillId="0" borderId="0" xfId="2" applyFont="1" applyFill="1"/>
    <xf numFmtId="44" fontId="4" fillId="0" borderId="0" xfId="2" applyFont="1" applyFill="1" applyBorder="1"/>
    <xf numFmtId="203" fontId="4" fillId="4" borderId="18" xfId="2" applyNumberFormat="1" applyFont="1" applyFill="1" applyBorder="1"/>
    <xf numFmtId="204" fontId="4" fillId="0" borderId="24" xfId="2" applyNumberFormat="1" applyFont="1" applyFill="1" applyBorder="1"/>
    <xf numFmtId="204" fontId="4" fillId="0" borderId="26" xfId="2" applyNumberFormat="1" applyFont="1" applyFill="1" applyBorder="1"/>
    <xf numFmtId="44" fontId="4" fillId="0" borderId="0" xfId="2" applyFont="1" applyAlignment="1">
      <alignment vertical="center"/>
    </xf>
    <xf numFmtId="44" fontId="4" fillId="8" borderId="9" xfId="2" applyFont="1" applyFill="1" applyBorder="1" applyAlignment="1">
      <alignment horizontal="center" vertical="center" wrapText="1"/>
    </xf>
    <xf numFmtId="0" fontId="4" fillId="0" borderId="0" xfId="0" applyFont="1" applyAlignment="1">
      <alignment vertical="center"/>
    </xf>
    <xf numFmtId="202" fontId="4" fillId="0" borderId="21" xfId="2" applyNumberFormat="1" applyFont="1" applyFill="1" applyBorder="1" applyAlignment="1">
      <alignment vertical="center"/>
    </xf>
    <xf numFmtId="205" fontId="0" fillId="0" borderId="0" xfId="0" applyNumberFormat="1"/>
    <xf numFmtId="167" fontId="63" fillId="12" borderId="0" xfId="0" applyNumberFormat="1" applyFont="1" applyFill="1" applyAlignment="1">
      <alignment horizontal="center"/>
    </xf>
    <xf numFmtId="2" fontId="4" fillId="8" borderId="9" xfId="1" applyNumberFormat="1" applyFont="1" applyFill="1" applyBorder="1"/>
    <xf numFmtId="44" fontId="4" fillId="8" borderId="9" xfId="1" applyNumberFormat="1" applyFont="1" applyFill="1" applyBorder="1" applyAlignment="1">
      <alignment horizontal="center" wrapText="1"/>
    </xf>
    <xf numFmtId="178" fontId="14" fillId="0" borderId="9" xfId="0" applyNumberFormat="1" applyFont="1" applyBorder="1" applyAlignment="1">
      <alignment horizontal="center" wrapText="1"/>
    </xf>
    <xf numFmtId="171" fontId="14" fillId="0" borderId="9" xfId="0" applyNumberFormat="1" applyFont="1" applyBorder="1" applyAlignment="1">
      <alignment horizontal="center" wrapText="1"/>
    </xf>
    <xf numFmtId="0" fontId="5" fillId="4" borderId="0" xfId="0" applyFont="1" applyFill="1" applyAlignment="1">
      <alignment horizontal="left"/>
    </xf>
    <xf numFmtId="0" fontId="63" fillId="4" borderId="0" xfId="0" applyFont="1" applyFill="1" applyAlignment="1">
      <alignment horizontal="left"/>
    </xf>
    <xf numFmtId="0" fontId="63" fillId="4" borderId="59" xfId="0" applyFont="1" applyFill="1" applyBorder="1" applyAlignment="1">
      <alignment horizontal="left"/>
    </xf>
    <xf numFmtId="0" fontId="0" fillId="38" borderId="60" xfId="0" applyFill="1" applyBorder="1"/>
    <xf numFmtId="0" fontId="5" fillId="4" borderId="66" xfId="0" applyFont="1" applyFill="1" applyBorder="1"/>
    <xf numFmtId="0" fontId="5" fillId="4" borderId="13" xfId="0" applyFont="1" applyFill="1" applyBorder="1" applyAlignment="1">
      <alignment horizontal="left" vertical="top" wrapText="1"/>
    </xf>
    <xf numFmtId="0" fontId="5" fillId="4" borderId="67" xfId="0" applyFont="1" applyFill="1" applyBorder="1" applyAlignment="1">
      <alignment horizontal="left" vertical="top" wrapText="1"/>
    </xf>
    <xf numFmtId="0" fontId="5" fillId="4" borderId="11" xfId="0" applyFont="1" applyFill="1" applyBorder="1" applyAlignment="1">
      <alignment horizontal="left" vertical="top" wrapText="1"/>
    </xf>
    <xf numFmtId="0" fontId="5" fillId="4" borderId="68" xfId="0" applyFont="1" applyFill="1" applyBorder="1" applyAlignment="1">
      <alignment horizontal="left" vertical="top" wrapText="1"/>
    </xf>
    <xf numFmtId="0" fontId="0" fillId="4" borderId="69" xfId="0" applyFill="1" applyBorder="1"/>
    <xf numFmtId="199" fontId="14" fillId="4" borderId="3" xfId="0" applyNumberFormat="1" applyFont="1" applyFill="1" applyBorder="1" applyAlignment="1">
      <alignment horizontal="center"/>
    </xf>
    <xf numFmtId="199" fontId="14" fillId="4" borderId="70" xfId="0" applyNumberFormat="1" applyFont="1" applyFill="1" applyBorder="1" applyAlignment="1">
      <alignment horizontal="center"/>
    </xf>
    <xf numFmtId="0" fontId="0" fillId="4" borderId="71" xfId="0" applyFill="1" applyBorder="1"/>
    <xf numFmtId="199" fontId="14" fillId="4" borderId="72" xfId="0" applyNumberFormat="1" applyFont="1" applyFill="1" applyBorder="1"/>
    <xf numFmtId="199" fontId="14" fillId="4" borderId="73" xfId="0" applyNumberFormat="1" applyFont="1" applyFill="1" applyBorder="1"/>
    <xf numFmtId="0" fontId="0" fillId="4" borderId="74" xfId="0" applyFill="1" applyBorder="1"/>
    <xf numFmtId="199" fontId="14" fillId="4" borderId="8" xfId="0" applyNumberFormat="1" applyFont="1" applyFill="1" applyBorder="1" applyAlignment="1">
      <alignment horizontal="center"/>
    </xf>
    <xf numFmtId="199" fontId="14" fillId="4" borderId="75" xfId="0" applyNumberFormat="1" applyFont="1" applyFill="1" applyBorder="1" applyAlignment="1">
      <alignment horizontal="center"/>
    </xf>
    <xf numFmtId="0" fontId="0" fillId="4" borderId="76" xfId="0" applyFill="1" applyBorder="1"/>
    <xf numFmtId="199" fontId="14" fillId="4" borderId="77" xfId="0" applyNumberFormat="1" applyFont="1" applyFill="1" applyBorder="1"/>
    <xf numFmtId="199" fontId="14" fillId="4" borderId="78" xfId="0" applyNumberFormat="1" applyFont="1" applyFill="1" applyBorder="1"/>
    <xf numFmtId="0" fontId="0" fillId="4" borderId="79" xfId="0" applyFill="1" applyBorder="1"/>
    <xf numFmtId="199" fontId="14" fillId="4" borderId="80" xfId="0" applyNumberFormat="1" applyFont="1" applyFill="1" applyBorder="1" applyAlignment="1">
      <alignment horizontal="center"/>
    </xf>
    <xf numFmtId="199" fontId="14" fillId="4" borderId="81" xfId="0" applyNumberFormat="1" applyFont="1" applyFill="1" applyBorder="1" applyAlignment="1">
      <alignment horizontal="center"/>
    </xf>
    <xf numFmtId="0" fontId="0" fillId="4" borderId="82" xfId="0" applyFill="1" applyBorder="1"/>
    <xf numFmtId="199" fontId="14" fillId="4" borderId="83" xfId="0" applyNumberFormat="1" applyFont="1" applyFill="1" applyBorder="1"/>
    <xf numFmtId="199" fontId="14" fillId="4" borderId="84" xfId="0" applyNumberFormat="1" applyFont="1" applyFill="1" applyBorder="1"/>
    <xf numFmtId="0" fontId="5" fillId="4" borderId="59" xfId="0" applyFont="1" applyFill="1" applyBorder="1" applyAlignment="1">
      <alignment horizontal="left"/>
    </xf>
    <xf numFmtId="0" fontId="28" fillId="4" borderId="59" xfId="0" applyFont="1" applyFill="1" applyBorder="1" applyAlignment="1">
      <alignment horizontal="left"/>
    </xf>
    <xf numFmtId="0" fontId="0" fillId="38" borderId="85" xfId="0" applyFill="1" applyBorder="1"/>
    <xf numFmtId="0" fontId="28" fillId="4" borderId="86" xfId="0" applyFont="1" applyFill="1" applyBorder="1" applyAlignment="1">
      <alignment horizontal="left" vertical="top" wrapText="1"/>
    </xf>
    <xf numFmtId="0" fontId="28" fillId="4" borderId="87" xfId="0" applyFont="1" applyFill="1" applyBorder="1" applyAlignment="1">
      <alignment horizontal="left" vertical="top" wrapText="1"/>
    </xf>
    <xf numFmtId="0" fontId="0" fillId="38" borderId="88" xfId="0" applyFill="1" applyBorder="1"/>
    <xf numFmtId="166" fontId="14" fillId="4" borderId="83" xfId="0" applyNumberFormat="1" applyFont="1" applyFill="1" applyBorder="1"/>
    <xf numFmtId="206" fontId="78" fillId="12" borderId="0" xfId="0" applyNumberFormat="1" applyFont="1" applyFill="1"/>
    <xf numFmtId="0" fontId="79" fillId="0" borderId="0" xfId="0" applyFont="1"/>
    <xf numFmtId="207" fontId="79" fillId="0" borderId="0" xfId="0" applyNumberFormat="1" applyFont="1"/>
    <xf numFmtId="43" fontId="28" fillId="4" borderId="9" xfId="1" applyFont="1" applyFill="1" applyBorder="1"/>
    <xf numFmtId="43" fontId="14" fillId="4" borderId="9" xfId="1" applyFont="1" applyFill="1" applyBorder="1"/>
    <xf numFmtId="200" fontId="28" fillId="4" borderId="9" xfId="0" applyNumberFormat="1" applyFont="1" applyFill="1" applyBorder="1"/>
    <xf numFmtId="7" fontId="4" fillId="0" borderId="9" xfId="2" applyNumberFormat="1" applyFont="1" applyBorder="1" applyAlignment="1">
      <alignment horizontal="center"/>
    </xf>
    <xf numFmtId="0" fontId="28" fillId="4" borderId="0" xfId="0" applyFont="1" applyFill="1"/>
    <xf numFmtId="208" fontId="0" fillId="4" borderId="9" xfId="0" applyNumberFormat="1" applyFill="1" applyBorder="1"/>
    <xf numFmtId="208" fontId="0" fillId="0" borderId="0" xfId="0" applyNumberFormat="1"/>
    <xf numFmtId="208" fontId="0" fillId="14" borderId="18" xfId="0" applyNumberFormat="1" applyFill="1" applyBorder="1"/>
    <xf numFmtId="208" fontId="0" fillId="0" borderId="9" xfId="0" applyNumberFormat="1" applyBorder="1"/>
    <xf numFmtId="0" fontId="81" fillId="5" borderId="8" xfId="0" applyFont="1" applyFill="1" applyBorder="1" applyAlignment="1">
      <alignment horizontal="center" vertical="center" wrapText="1"/>
    </xf>
    <xf numFmtId="0" fontId="81" fillId="5" borderId="9" xfId="0" applyFont="1" applyFill="1" applyBorder="1" applyAlignment="1">
      <alignment horizontal="center" vertical="center" wrapText="1"/>
    </xf>
    <xf numFmtId="0" fontId="81"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5" borderId="15" xfId="0" applyFont="1" applyFill="1" applyBorder="1" applyAlignment="1">
      <alignment horizontal="center" vertical="center" wrapText="1"/>
    </xf>
    <xf numFmtId="165" fontId="8" fillId="0" borderId="3" xfId="0" applyNumberFormat="1" applyFont="1" applyBorder="1" applyAlignment="1">
      <alignment horizontal="center" vertical="center" wrapText="1"/>
    </xf>
    <xf numFmtId="14" fontId="8" fillId="0" borderId="4" xfId="0" applyNumberFormat="1" applyFont="1" applyBorder="1" applyAlignment="1">
      <alignment horizontal="center" vertical="center" wrapText="1"/>
    </xf>
    <xf numFmtId="165" fontId="8" fillId="0" borderId="4" xfId="0" applyNumberFormat="1" applyFont="1" applyBorder="1" applyAlignment="1">
      <alignment horizontal="center" vertical="center" wrapText="1"/>
    </xf>
    <xf numFmtId="0" fontId="8" fillId="0" borderId="5" xfId="0" applyFont="1" applyBorder="1" applyAlignment="1">
      <alignment horizontal="left" vertical="center" wrapText="1"/>
    </xf>
    <xf numFmtId="14" fontId="8" fillId="0" borderId="9" xfId="0" applyNumberFormat="1" applyFont="1" applyBorder="1" applyAlignment="1">
      <alignment horizontal="justify" vertical="center" wrapText="1"/>
    </xf>
    <xf numFmtId="165" fontId="8" fillId="0" borderId="13" xfId="0" applyNumberFormat="1" applyFont="1" applyBorder="1" applyAlignment="1">
      <alignment horizontal="center" vertical="center" wrapText="1"/>
    </xf>
    <xf numFmtId="14" fontId="8" fillId="0" borderId="14" xfId="0" applyNumberFormat="1" applyFont="1" applyBorder="1" applyAlignment="1">
      <alignment horizontal="justify" vertical="center" wrapText="1"/>
    </xf>
    <xf numFmtId="165" fontId="8" fillId="0" borderId="14" xfId="0" applyNumberFormat="1" applyFont="1" applyBorder="1" applyAlignment="1">
      <alignment horizontal="center" vertical="center" wrapText="1"/>
    </xf>
    <xf numFmtId="0" fontId="8" fillId="0" borderId="15" xfId="0" applyFont="1" applyBorder="1" applyAlignment="1">
      <alignment horizontal="left" vertical="center" wrapText="1"/>
    </xf>
    <xf numFmtId="0" fontId="25" fillId="0" borderId="0" xfId="0" applyFont="1" applyAlignment="1">
      <alignment horizontal="left"/>
    </xf>
    <xf numFmtId="192" fontId="14" fillId="0" borderId="9" xfId="1" quotePrefix="1" applyNumberFormat="1" applyFont="1" applyFill="1" applyBorder="1" applyAlignment="1">
      <alignment horizontal="center" vertical="center" wrapText="1"/>
    </xf>
    <xf numFmtId="0" fontId="28" fillId="0" borderId="0" xfId="5" applyFont="1" applyAlignment="1">
      <alignment vertical="center"/>
    </xf>
    <xf numFmtId="0" fontId="28" fillId="0" borderId="0" xfId="5" applyFont="1" applyAlignment="1">
      <alignment horizontal="center" vertical="center"/>
    </xf>
    <xf numFmtId="0" fontId="28" fillId="0" borderId="0" xfId="0" applyFont="1" applyAlignment="1">
      <alignment horizontal="center" vertical="center"/>
    </xf>
    <xf numFmtId="0" fontId="14" fillId="4" borderId="0" xfId="0" applyFont="1" applyFill="1" applyAlignment="1">
      <alignment vertical="center"/>
    </xf>
    <xf numFmtId="0" fontId="14" fillId="0" borderId="0" xfId="8" applyFont="1" applyAlignment="1">
      <alignment horizontal="center" vertical="center"/>
    </xf>
    <xf numFmtId="0" fontId="14" fillId="0" borderId="33" xfId="8" applyFont="1" applyBorder="1" applyAlignment="1">
      <alignment vertical="center"/>
    </xf>
    <xf numFmtId="192" fontId="14" fillId="0" borderId="9" xfId="0" applyNumberFormat="1" applyFont="1" applyBorder="1" applyAlignment="1">
      <alignment horizontal="center" vertical="center"/>
    </xf>
    <xf numFmtId="0" fontId="14" fillId="0" borderId="44" xfId="8" applyFont="1" applyBorder="1" applyAlignment="1">
      <alignment vertical="center"/>
    </xf>
    <xf numFmtId="0" fontId="14" fillId="0" borderId="46" xfId="8" applyFont="1" applyBorder="1" applyAlignment="1">
      <alignment vertical="center"/>
    </xf>
    <xf numFmtId="0" fontId="14" fillId="0" borderId="46" xfId="8" applyFont="1" applyBorder="1" applyAlignment="1">
      <alignment horizontal="left" vertical="center"/>
    </xf>
    <xf numFmtId="178" fontId="14" fillId="0" borderId="0" xfId="8" applyNumberFormat="1" applyFont="1" applyAlignment="1">
      <alignment vertical="center"/>
    </xf>
    <xf numFmtId="166" fontId="14" fillId="0" borderId="0" xfId="8" applyNumberFormat="1" applyFont="1" applyAlignment="1">
      <alignment vertical="center"/>
    </xf>
    <xf numFmtId="39" fontId="14" fillId="0" borderId="0" xfId="1" applyNumberFormat="1" applyFont="1" applyBorder="1" applyAlignment="1">
      <alignment horizontal="center" vertical="center" wrapText="1"/>
    </xf>
    <xf numFmtId="37" fontId="14" fillId="0" borderId="0" xfId="1" applyNumberFormat="1" applyFont="1" applyBorder="1" applyAlignment="1">
      <alignment horizontal="center" vertical="center" wrapText="1"/>
    </xf>
    <xf numFmtId="9" fontId="14" fillId="0" borderId="0" xfId="3" applyFont="1" applyBorder="1" applyAlignment="1">
      <alignment horizontal="center" vertical="center" wrapText="1"/>
    </xf>
    <xf numFmtId="39" fontId="14" fillId="0" borderId="0" xfId="1" applyNumberFormat="1" applyFont="1" applyFill="1" applyAlignment="1">
      <alignment horizontal="center" vertical="center" wrapText="1"/>
    </xf>
    <xf numFmtId="0" fontId="14" fillId="0" borderId="44" xfId="8" applyFont="1" applyBorder="1" applyAlignment="1">
      <alignment horizontal="left" vertical="center"/>
    </xf>
    <xf numFmtId="7" fontId="14" fillId="0" borderId="16" xfId="2" applyNumberFormat="1" applyFont="1" applyFill="1" applyBorder="1" applyAlignment="1">
      <alignment horizontal="left" vertical="center" wrapText="1"/>
    </xf>
    <xf numFmtId="7" fontId="14" fillId="0" borderId="27" xfId="2" applyNumberFormat="1" applyFont="1" applyFill="1" applyBorder="1" applyAlignment="1">
      <alignment horizontal="center" vertical="center" wrapText="1"/>
    </xf>
    <xf numFmtId="165" fontId="14" fillId="0" borderId="9" xfId="0" applyNumberFormat="1" applyFont="1" applyBorder="1" applyAlignment="1">
      <alignment horizontal="center" wrapText="1"/>
    </xf>
    <xf numFmtId="0" fontId="14" fillId="30" borderId="0" xfId="0" applyFont="1" applyFill="1" applyAlignment="1">
      <alignment horizontal="center"/>
    </xf>
    <xf numFmtId="208" fontId="14" fillId="4" borderId="9" xfId="0" applyNumberFormat="1" applyFont="1" applyFill="1" applyBorder="1"/>
    <xf numFmtId="43" fontId="14" fillId="39" borderId="9" xfId="1" applyFont="1" applyFill="1" applyBorder="1"/>
    <xf numFmtId="2" fontId="54" fillId="13" borderId="9" xfId="0" applyNumberFormat="1" applyFont="1" applyFill="1" applyBorder="1" applyAlignment="1">
      <alignment horizontal="center" wrapText="1"/>
    </xf>
    <xf numFmtId="2" fontId="4" fillId="5" borderId="9" xfId="0" applyNumberFormat="1" applyFont="1" applyFill="1" applyBorder="1" applyAlignment="1">
      <alignment horizontal="center"/>
    </xf>
    <xf numFmtId="0" fontId="82" fillId="20" borderId="41" xfId="0" applyFont="1" applyFill="1" applyBorder="1" applyAlignment="1">
      <alignment horizontal="center"/>
    </xf>
    <xf numFmtId="9" fontId="0" fillId="20" borderId="89" xfId="0" applyNumberFormat="1" applyFill="1" applyBorder="1" applyAlignment="1">
      <alignment horizontal="center"/>
    </xf>
    <xf numFmtId="9" fontId="0" fillId="20" borderId="90" xfId="0" applyNumberFormat="1" applyFill="1" applyBorder="1" applyAlignment="1">
      <alignment horizontal="center"/>
    </xf>
    <xf numFmtId="0" fontId="83" fillId="20" borderId="39" xfId="0" applyFont="1" applyFill="1" applyBorder="1" applyAlignment="1">
      <alignment horizontal="center"/>
    </xf>
    <xf numFmtId="9" fontId="84" fillId="20" borderId="41" xfId="0" applyNumberFormat="1" applyFont="1" applyFill="1" applyBorder="1" applyAlignment="1">
      <alignment horizontal="center"/>
    </xf>
    <xf numFmtId="0" fontId="83" fillId="20" borderId="40" xfId="0" applyFont="1" applyFill="1" applyBorder="1" applyAlignment="1">
      <alignment horizontal="center"/>
    </xf>
    <xf numFmtId="0" fontId="83" fillId="20" borderId="42" xfId="0" applyFont="1" applyFill="1" applyBorder="1" applyAlignment="1">
      <alignment horizontal="center"/>
    </xf>
    <xf numFmtId="9" fontId="83" fillId="20" borderId="42" xfId="0" applyNumberFormat="1" applyFont="1" applyFill="1" applyBorder="1" applyAlignment="1">
      <alignment horizontal="center"/>
    </xf>
    <xf numFmtId="0" fontId="14" fillId="0" borderId="29" xfId="0" applyFont="1" applyBorder="1"/>
    <xf numFmtId="0" fontId="0" fillId="5" borderId="0" xfId="0" applyFill="1" applyAlignment="1">
      <alignment horizontal="center"/>
    </xf>
    <xf numFmtId="0" fontId="0" fillId="5" borderId="49" xfId="0" applyFill="1" applyBorder="1" applyAlignment="1">
      <alignment horizontal="center"/>
    </xf>
    <xf numFmtId="0" fontId="0" fillId="5" borderId="42" xfId="0" applyFill="1" applyBorder="1" applyAlignment="1">
      <alignment horizontal="center"/>
    </xf>
    <xf numFmtId="0" fontId="0" fillId="5" borderId="90" xfId="0" applyFill="1" applyBorder="1" applyAlignment="1">
      <alignment horizontal="center"/>
    </xf>
    <xf numFmtId="0" fontId="0" fillId="45" borderId="41" xfId="0" applyFill="1" applyBorder="1"/>
    <xf numFmtId="0" fontId="0" fillId="45" borderId="0" xfId="0" applyFill="1"/>
    <xf numFmtId="0" fontId="4" fillId="45" borderId="0" xfId="0" applyFont="1" applyFill="1"/>
    <xf numFmtId="0" fontId="14" fillId="45" borderId="0" xfId="0" applyFont="1" applyFill="1"/>
    <xf numFmtId="0" fontId="0" fillId="45" borderId="42" xfId="0" applyFill="1" applyBorder="1"/>
    <xf numFmtId="205" fontId="0" fillId="45" borderId="41" xfId="0" applyNumberFormat="1" applyFill="1" applyBorder="1"/>
    <xf numFmtId="0" fontId="0" fillId="45" borderId="89" xfId="0" applyFill="1" applyBorder="1"/>
    <xf numFmtId="205" fontId="0" fillId="45" borderId="0" xfId="0" applyNumberFormat="1" applyFill="1"/>
    <xf numFmtId="0" fontId="0" fillId="45" borderId="49" xfId="0" applyFill="1" applyBorder="1"/>
    <xf numFmtId="0" fontId="14" fillId="45" borderId="39" xfId="0" applyFont="1" applyFill="1" applyBorder="1"/>
    <xf numFmtId="0" fontId="14" fillId="45" borderId="41" xfId="0" applyFont="1" applyFill="1" applyBorder="1"/>
    <xf numFmtId="0" fontId="14" fillId="45" borderId="29" xfId="0" applyFont="1" applyFill="1" applyBorder="1"/>
    <xf numFmtId="0" fontId="14" fillId="25" borderId="0" xfId="0" applyFont="1" applyFill="1"/>
    <xf numFmtId="0" fontId="38" fillId="25" borderId="0" xfId="0" applyFont="1" applyFill="1" applyAlignment="1">
      <alignment horizontal="center"/>
    </xf>
    <xf numFmtId="0" fontId="38" fillId="25" borderId="29" xfId="0" applyFont="1" applyFill="1" applyBorder="1" applyAlignment="1">
      <alignment horizontal="center"/>
    </xf>
    <xf numFmtId="0" fontId="38" fillId="20" borderId="53" xfId="0" applyFont="1" applyFill="1" applyBorder="1"/>
    <xf numFmtId="0" fontId="14" fillId="20" borderId="51" xfId="0" applyFont="1" applyFill="1" applyBorder="1"/>
    <xf numFmtId="209" fontId="0" fillId="0" borderId="9" xfId="0" applyNumberFormat="1" applyBorder="1"/>
    <xf numFmtId="209" fontId="4" fillId="0" borderId="9" xfId="0" applyNumberFormat="1" applyFont="1" applyBorder="1"/>
    <xf numFmtId="209" fontId="4" fillId="0" borderId="10" xfId="0" applyNumberFormat="1" applyFont="1" applyBorder="1"/>
    <xf numFmtId="43" fontId="14" fillId="13" borderId="9" xfId="0" applyNumberFormat="1" applyFont="1" applyFill="1" applyBorder="1"/>
    <xf numFmtId="43" fontId="14" fillId="31" borderId="9" xfId="0" applyNumberFormat="1" applyFont="1" applyFill="1" applyBorder="1"/>
    <xf numFmtId="43" fontId="14" fillId="32" borderId="9" xfId="0" applyNumberFormat="1" applyFont="1" applyFill="1" applyBorder="1"/>
    <xf numFmtId="43" fontId="14" fillId="28" borderId="9" xfId="0" applyNumberFormat="1" applyFont="1" applyFill="1" applyBorder="1"/>
    <xf numFmtId="43" fontId="14" fillId="27" borderId="9" xfId="0" applyNumberFormat="1" applyFont="1" applyFill="1" applyBorder="1"/>
    <xf numFmtId="43" fontId="14" fillId="25" borderId="9" xfId="0" applyNumberFormat="1" applyFont="1" applyFill="1" applyBorder="1"/>
    <xf numFmtId="43" fontId="14" fillId="41" borderId="9" xfId="0" applyNumberFormat="1" applyFont="1" applyFill="1" applyBorder="1"/>
    <xf numFmtId="43" fontId="14" fillId="42" borderId="9" xfId="0" applyNumberFormat="1" applyFont="1" applyFill="1" applyBorder="1"/>
    <xf numFmtId="43" fontId="14" fillId="21" borderId="9" xfId="0" applyNumberFormat="1" applyFont="1" applyFill="1" applyBorder="1"/>
    <xf numFmtId="43" fontId="14" fillId="8" borderId="9" xfId="0" applyNumberFormat="1" applyFont="1" applyFill="1" applyBorder="1"/>
    <xf numFmtId="43" fontId="14" fillId="14" borderId="9" xfId="0" applyNumberFormat="1" applyFont="1" applyFill="1" applyBorder="1"/>
    <xf numFmtId="43" fontId="14" fillId="43" borderId="9" xfId="0" applyNumberFormat="1" applyFont="1" applyFill="1" applyBorder="1"/>
    <xf numFmtId="43" fontId="14" fillId="18" borderId="9" xfId="0" applyNumberFormat="1" applyFont="1" applyFill="1" applyBorder="1"/>
    <xf numFmtId="43" fontId="14" fillId="23" borderId="9" xfId="0" applyNumberFormat="1" applyFont="1" applyFill="1" applyBorder="1"/>
    <xf numFmtId="43" fontId="14" fillId="44" borderId="9" xfId="0" applyNumberFormat="1" applyFont="1" applyFill="1" applyBorder="1"/>
    <xf numFmtId="43" fontId="14" fillId="12" borderId="9" xfId="0" applyNumberFormat="1" applyFont="1" applyFill="1" applyBorder="1"/>
    <xf numFmtId="209" fontId="14" fillId="0" borderId="10" xfId="0" applyNumberFormat="1" applyFont="1" applyBorder="1"/>
    <xf numFmtId="209" fontId="14" fillId="0" borderId="18" xfId="0" applyNumberFormat="1" applyFont="1" applyBorder="1"/>
    <xf numFmtId="43" fontId="14" fillId="0" borderId="10" xfId="0" applyNumberFormat="1" applyFont="1" applyBorder="1"/>
    <xf numFmtId="0" fontId="85" fillId="45" borderId="0" xfId="0" applyFont="1" applyFill="1"/>
    <xf numFmtId="0" fontId="88" fillId="45" borderId="0" xfId="0" applyFont="1" applyFill="1"/>
    <xf numFmtId="0" fontId="86" fillId="27" borderId="37" xfId="0" applyFont="1" applyFill="1" applyBorder="1" applyAlignment="1">
      <alignment horizontal="center" wrapText="1"/>
    </xf>
    <xf numFmtId="0" fontId="87" fillId="27" borderId="31" xfId="0" applyFont="1" applyFill="1" applyBorder="1" applyAlignment="1">
      <alignment horizontal="center" wrapText="1"/>
    </xf>
    <xf numFmtId="0" fontId="86" fillId="27" borderId="31" xfId="0" applyFont="1" applyFill="1" applyBorder="1" applyAlignment="1">
      <alignment horizontal="center" wrapText="1"/>
    </xf>
    <xf numFmtId="0" fontId="87" fillId="27" borderId="38" xfId="0" applyFont="1" applyFill="1" applyBorder="1" applyAlignment="1">
      <alignment horizontal="center" wrapText="1"/>
    </xf>
    <xf numFmtId="0" fontId="86" fillId="22" borderId="37" xfId="0" applyFont="1" applyFill="1" applyBorder="1" applyAlignment="1">
      <alignment horizontal="center" wrapText="1"/>
    </xf>
    <xf numFmtId="0" fontId="87" fillId="22" borderId="31" xfId="0" applyFont="1" applyFill="1" applyBorder="1" applyAlignment="1">
      <alignment horizontal="center" wrapText="1"/>
    </xf>
    <xf numFmtId="0" fontId="86" fillId="22" borderId="31" xfId="0" applyFont="1" applyFill="1" applyBorder="1" applyAlignment="1">
      <alignment horizontal="center" wrapText="1"/>
    </xf>
    <xf numFmtId="0" fontId="87" fillId="22" borderId="38" xfId="0" applyFont="1" applyFill="1" applyBorder="1" applyAlignment="1">
      <alignment horizontal="center" wrapText="1"/>
    </xf>
    <xf numFmtId="0" fontId="86" fillId="27" borderId="38" xfId="0" applyFont="1" applyFill="1" applyBorder="1" applyAlignment="1">
      <alignment horizontal="center" wrapText="1"/>
    </xf>
    <xf numFmtId="0" fontId="86" fillId="22" borderId="38" xfId="0" applyFont="1" applyFill="1" applyBorder="1" applyAlignment="1">
      <alignment horizontal="center" wrapText="1"/>
    </xf>
    <xf numFmtId="0" fontId="14" fillId="0" borderId="8" xfId="0" applyFont="1" applyBorder="1"/>
    <xf numFmtId="0" fontId="14" fillId="0" borderId="13" xfId="0" applyFont="1" applyBorder="1"/>
    <xf numFmtId="0" fontId="14" fillId="0" borderId="32" xfId="0" applyFont="1" applyBorder="1"/>
    <xf numFmtId="0" fontId="14" fillId="17" borderId="17" xfId="0" applyFont="1" applyFill="1" applyBorder="1"/>
    <xf numFmtId="0" fontId="14" fillId="17" borderId="18" xfId="0" applyFont="1" applyFill="1" applyBorder="1"/>
    <xf numFmtId="0" fontId="14" fillId="11" borderId="20" xfId="5" applyFont="1" applyFill="1" applyBorder="1" applyAlignment="1">
      <alignment horizontal="center" vertical="center" wrapText="1"/>
    </xf>
    <xf numFmtId="0" fontId="50" fillId="6" borderId="0" xfId="5" applyFont="1" applyFill="1" applyAlignment="1">
      <alignment vertical="center"/>
    </xf>
    <xf numFmtId="0" fontId="14" fillId="0" borderId="0" xfId="0" applyFont="1" applyAlignment="1">
      <alignment vertical="center" wrapText="1"/>
    </xf>
    <xf numFmtId="0" fontId="14" fillId="10" borderId="16" xfId="0" applyFont="1" applyFill="1" applyBorder="1" applyAlignment="1">
      <alignment horizontal="left"/>
    </xf>
    <xf numFmtId="0" fontId="14" fillId="10" borderId="17" xfId="0" applyFont="1" applyFill="1" applyBorder="1" applyAlignment="1">
      <alignment horizontal="left"/>
    </xf>
    <xf numFmtId="0" fontId="14" fillId="11" borderId="19" xfId="5" applyFont="1" applyFill="1" applyBorder="1" applyAlignment="1">
      <alignment horizontal="center" vertical="center" wrapText="1"/>
    </xf>
    <xf numFmtId="0" fontId="14" fillId="0" borderId="9" xfId="0" applyFont="1" applyBorder="1" applyAlignment="1">
      <alignment horizontal="center" vertical="center"/>
    </xf>
    <xf numFmtId="0" fontId="14" fillId="4" borderId="9" xfId="8" applyFont="1" applyFill="1" applyBorder="1" applyAlignment="1">
      <alignment wrapText="1"/>
    </xf>
    <xf numFmtId="0" fontId="14" fillId="4" borderId="9" xfId="0" applyFont="1" applyFill="1" applyBorder="1" applyAlignment="1">
      <alignment horizontal="left" vertical="center" wrapText="1"/>
    </xf>
    <xf numFmtId="0" fontId="14" fillId="4" borderId="19" xfId="0" applyFont="1" applyFill="1" applyBorder="1" applyAlignment="1">
      <alignment horizontal="left" vertical="center" wrapText="1"/>
    </xf>
    <xf numFmtId="0" fontId="14" fillId="4" borderId="23" xfId="0" applyFont="1" applyFill="1" applyBorder="1" applyAlignment="1">
      <alignment horizontal="left" vertical="center" wrapText="1"/>
    </xf>
    <xf numFmtId="0" fontId="14" fillId="11" borderId="9" xfId="0" applyFont="1" applyFill="1" applyBorder="1" applyAlignment="1">
      <alignment horizontal="center" vertical="center" wrapText="1"/>
    </xf>
    <xf numFmtId="165" fontId="14" fillId="0" borderId="9" xfId="13" applyNumberFormat="1" applyFont="1" applyBorder="1" applyAlignment="1">
      <alignment horizontal="left" vertical="center" wrapText="1"/>
    </xf>
    <xf numFmtId="0" fontId="14" fillId="0" borderId="23" xfId="0" applyFont="1" applyBorder="1" applyAlignment="1">
      <alignment horizontal="left" vertical="center"/>
    </xf>
    <xf numFmtId="165" fontId="14" fillId="0" borderId="9" xfId="6" applyNumberFormat="1" applyFont="1" applyBorder="1" applyAlignment="1">
      <alignment horizontal="left" vertical="center" wrapText="1"/>
    </xf>
    <xf numFmtId="0" fontId="14" fillId="0" borderId="18" xfId="0" applyFont="1" applyBorder="1" applyAlignment="1">
      <alignment horizontal="left" vertical="center" wrapText="1"/>
    </xf>
    <xf numFmtId="0" fontId="14" fillId="0" borderId="9" xfId="6" applyFont="1" applyBorder="1" applyAlignment="1">
      <alignment wrapText="1"/>
    </xf>
    <xf numFmtId="0" fontId="14" fillId="0" borderId="9" xfId="0" applyFont="1" applyBorder="1" applyAlignment="1">
      <alignment horizontal="left" vertical="center" wrapText="1"/>
    </xf>
    <xf numFmtId="0" fontId="14" fillId="0" borderId="9" xfId="0" applyFont="1" applyBorder="1"/>
    <xf numFmtId="0" fontId="14" fillId="4" borderId="9" xfId="8" applyFont="1" applyFill="1" applyBorder="1" applyAlignment="1">
      <alignment horizontal="left" vertical="center" wrapText="1"/>
    </xf>
    <xf numFmtId="0" fontId="14" fillId="0" borderId="19" xfId="0" applyFont="1" applyBorder="1" applyAlignment="1">
      <alignment horizontal="left" vertical="center" wrapText="1"/>
    </xf>
    <xf numFmtId="165" fontId="14" fillId="0" borderId="16" xfId="13" applyNumberFormat="1" applyFont="1" applyBorder="1" applyAlignment="1">
      <alignment horizontal="center" vertical="center" wrapText="1"/>
    </xf>
    <xf numFmtId="0" fontId="14" fillId="11" borderId="16" xfId="0" applyFont="1" applyFill="1" applyBorder="1" applyAlignment="1">
      <alignment horizontal="center" vertical="center" wrapText="1"/>
    </xf>
    <xf numFmtId="0" fontId="14" fillId="11" borderId="18" xfId="0" applyFont="1" applyFill="1" applyBorder="1" applyAlignment="1">
      <alignment horizontal="center" vertical="center" wrapText="1"/>
    </xf>
    <xf numFmtId="0" fontId="14" fillId="0" borderId="9" xfId="0" applyFont="1" applyBorder="1" applyAlignment="1">
      <alignment horizontal="left" vertical="center"/>
    </xf>
    <xf numFmtId="0" fontId="14" fillId="4" borderId="9" xfId="0" applyFont="1" applyFill="1" applyBorder="1" applyAlignment="1">
      <alignment vertical="center" wrapText="1"/>
    </xf>
    <xf numFmtId="7" fontId="14" fillId="0" borderId="9" xfId="2" applyNumberFormat="1" applyFont="1" applyFill="1" applyBorder="1" applyAlignment="1">
      <alignment horizontal="left"/>
    </xf>
    <xf numFmtId="165" fontId="14" fillId="0" borderId="9" xfId="8" applyNumberFormat="1" applyFont="1" applyBorder="1" applyAlignment="1">
      <alignment horizontal="left"/>
    </xf>
    <xf numFmtId="0" fontId="14" fillId="0" borderId="30" xfId="0" applyFont="1" applyBorder="1" applyAlignment="1">
      <alignment horizontal="left" vertical="center" wrapText="1"/>
    </xf>
    <xf numFmtId="0" fontId="14" fillId="4" borderId="23" xfId="0" applyFont="1" applyFill="1" applyBorder="1" applyAlignment="1">
      <alignment vertical="center" wrapText="1"/>
    </xf>
    <xf numFmtId="0" fontId="34" fillId="0" borderId="19" xfId="8" applyFont="1" applyBorder="1" applyAlignment="1">
      <alignment horizontal="left" vertical="center"/>
    </xf>
    <xf numFmtId="0" fontId="34" fillId="0" borderId="9" xfId="8" applyFont="1" applyBorder="1" applyAlignment="1">
      <alignment horizontal="left" vertical="center"/>
    </xf>
    <xf numFmtId="0" fontId="14" fillId="0" borderId="9" xfId="0" applyFont="1" applyBorder="1" applyAlignment="1">
      <alignment horizontal="left" wrapText="1"/>
    </xf>
    <xf numFmtId="0" fontId="14" fillId="4" borderId="30" xfId="0" applyFont="1" applyFill="1" applyBorder="1" applyAlignment="1">
      <alignment horizontal="left" vertical="center" wrapText="1"/>
    </xf>
    <xf numFmtId="0" fontId="14" fillId="4" borderId="19" xfId="0" applyFont="1" applyFill="1" applyBorder="1" applyAlignment="1">
      <alignment horizontal="left" vertical="center"/>
    </xf>
    <xf numFmtId="0" fontId="14" fillId="4" borderId="23" xfId="0" applyFont="1" applyFill="1" applyBorder="1" applyAlignment="1">
      <alignment horizontal="left" vertical="center"/>
    </xf>
    <xf numFmtId="0" fontId="14" fillId="4" borderId="9" xfId="0" applyFont="1" applyFill="1" applyBorder="1" applyAlignment="1">
      <alignment horizontal="left" vertical="top" wrapText="1"/>
    </xf>
    <xf numFmtId="0" fontId="14" fillId="10" borderId="18" xfId="0" applyFont="1" applyFill="1" applyBorder="1" applyAlignment="1">
      <alignment horizontal="left"/>
    </xf>
    <xf numFmtId="0" fontId="14" fillId="11" borderId="19" xfId="0" applyFont="1" applyFill="1" applyBorder="1" applyAlignment="1">
      <alignment horizontal="center" vertical="center" wrapText="1"/>
    </xf>
    <xf numFmtId="0" fontId="14" fillId="4" borderId="9" xfId="8" applyFont="1" applyFill="1" applyBorder="1" applyAlignment="1">
      <alignment horizontal="left" vertical="center"/>
    </xf>
    <xf numFmtId="0" fontId="14" fillId="4" borderId="9" xfId="8" applyFont="1" applyFill="1" applyBorder="1" applyAlignment="1">
      <alignment horizontal="left"/>
    </xf>
    <xf numFmtId="0" fontId="14" fillId="4" borderId="9" xfId="8" applyFont="1" applyFill="1" applyBorder="1" applyAlignment="1">
      <alignment horizontal="center"/>
    </xf>
    <xf numFmtId="0" fontId="14" fillId="4" borderId="0" xfId="0" applyFont="1" applyFill="1" applyAlignment="1">
      <alignment wrapText="1"/>
    </xf>
    <xf numFmtId="0" fontId="14" fillId="4" borderId="23" xfId="0" applyFont="1" applyFill="1" applyBorder="1" applyAlignment="1">
      <alignment horizontal="left" vertical="top" wrapText="1"/>
    </xf>
    <xf numFmtId="0" fontId="14" fillId="0" borderId="0" xfId="0" applyFont="1" applyAlignment="1">
      <alignment horizontal="center" vertical="center" wrapText="1"/>
    </xf>
    <xf numFmtId="0" fontId="14" fillId="0" borderId="9" xfId="0" applyFont="1" applyBorder="1" applyAlignment="1">
      <alignment horizontal="left" vertical="top" wrapText="1"/>
    </xf>
    <xf numFmtId="0" fontId="14" fillId="0" borderId="0" xfId="8" applyFont="1" applyAlignment="1">
      <alignment horizontal="left" wrapText="1"/>
    </xf>
    <xf numFmtId="0" fontId="14" fillId="0" borderId="9" xfId="8" applyFont="1" applyBorder="1" applyAlignment="1">
      <alignment wrapText="1"/>
    </xf>
    <xf numFmtId="0" fontId="14" fillId="0" borderId="9" xfId="8" applyFont="1" applyBorder="1" applyAlignment="1">
      <alignment horizontal="left" vertical="center" wrapText="1"/>
    </xf>
    <xf numFmtId="165" fontId="14" fillId="0" borderId="9" xfId="0" applyNumberFormat="1" applyFont="1" applyBorder="1" applyAlignment="1">
      <alignment horizontal="left" vertical="center" wrapText="1"/>
    </xf>
    <xf numFmtId="0" fontId="14" fillId="0" borderId="14" xfId="0" applyFont="1" applyBorder="1"/>
    <xf numFmtId="0" fontId="14" fillId="0" borderId="9" xfId="0" applyFont="1" applyBorder="1" applyAlignment="1">
      <alignment horizontal="left"/>
    </xf>
    <xf numFmtId="165" fontId="14" fillId="0" borderId="19" xfId="13" applyNumberFormat="1" applyFont="1" applyBorder="1" applyAlignment="1">
      <alignment horizontal="left" vertical="center" wrapText="1"/>
    </xf>
    <xf numFmtId="165" fontId="14" fillId="0" borderId="9" xfId="13" applyNumberFormat="1" applyFont="1" applyBorder="1" applyAlignment="1">
      <alignment horizontal="center" vertical="center" wrapText="1"/>
    </xf>
    <xf numFmtId="0" fontId="14" fillId="4" borderId="9" xfId="0" applyFont="1" applyFill="1" applyBorder="1" applyAlignment="1">
      <alignment horizontal="center" vertical="center" wrapText="1"/>
    </xf>
    <xf numFmtId="0" fontId="14" fillId="11" borderId="20" xfId="0" applyFont="1" applyFill="1" applyBorder="1" applyAlignment="1">
      <alignment horizontal="center" vertical="center" wrapText="1"/>
    </xf>
    <xf numFmtId="0" fontId="14" fillId="0" borderId="27" xfId="0" applyFont="1" applyBorder="1" applyAlignment="1">
      <alignment horizontal="center" vertical="center" wrapText="1"/>
    </xf>
    <xf numFmtId="0" fontId="37" fillId="0" borderId="19" xfId="8" applyFont="1" applyBorder="1" applyAlignment="1">
      <alignment horizontal="left" vertical="center"/>
    </xf>
    <xf numFmtId="0" fontId="14" fillId="0" borderId="19" xfId="8" applyFont="1" applyBorder="1"/>
    <xf numFmtId="0" fontId="34" fillId="4" borderId="19" xfId="8" applyFont="1" applyFill="1" applyBorder="1" applyAlignment="1">
      <alignment horizontal="left" vertical="center"/>
    </xf>
    <xf numFmtId="0" fontId="14" fillId="0" borderId="19" xfId="8" applyFont="1" applyBorder="1" applyAlignment="1">
      <alignment horizontal="left" vertical="center" wrapText="1"/>
    </xf>
    <xf numFmtId="0" fontId="14" fillId="0" borderId="22" xfId="0" applyFont="1" applyBorder="1" applyAlignment="1">
      <alignment wrapText="1"/>
    </xf>
    <xf numFmtId="0" fontId="14" fillId="0" borderId="9" xfId="8" applyFont="1" applyBorder="1" applyAlignment="1">
      <alignment horizontal="left" vertical="center"/>
    </xf>
    <xf numFmtId="165" fontId="14" fillId="0" borderId="9" xfId="8" applyNumberFormat="1" applyFont="1" applyBorder="1" applyAlignment="1">
      <alignment horizontal="left" vertical="center"/>
    </xf>
    <xf numFmtId="9" fontId="14" fillId="0" borderId="19" xfId="3" applyFont="1" applyFill="1" applyBorder="1" applyAlignment="1">
      <alignment horizontal="left" vertical="center" wrapText="1"/>
    </xf>
    <xf numFmtId="0" fontId="14" fillId="11" borderId="21" xfId="0" applyFont="1" applyFill="1" applyBorder="1" applyAlignment="1">
      <alignment horizontal="center" vertical="center" wrapText="1"/>
    </xf>
    <xf numFmtId="0" fontId="1" fillId="0" borderId="23" xfId="0" applyFont="1" applyBorder="1" applyAlignment="1">
      <alignment horizontal="left" vertical="center" wrapText="1"/>
    </xf>
    <xf numFmtId="0" fontId="1" fillId="0" borderId="9" xfId="0" applyFont="1" applyBorder="1" applyAlignment="1">
      <alignment horizontal="left" vertical="center" wrapText="1"/>
    </xf>
    <xf numFmtId="0" fontId="14" fillId="0" borderId="19" xfId="8" applyFont="1" applyBorder="1" applyAlignment="1">
      <alignment horizontal="left" vertical="center"/>
    </xf>
    <xf numFmtId="0" fontId="14" fillId="11" borderId="9" xfId="0" applyFont="1" applyFill="1" applyBorder="1" applyAlignment="1">
      <alignment vertical="center" wrapText="1"/>
    </xf>
    <xf numFmtId="0" fontId="14" fillId="0" borderId="9" xfId="8" applyFont="1" applyBorder="1"/>
    <xf numFmtId="165" fontId="14" fillId="0" borderId="19" xfId="0" applyNumberFormat="1" applyFont="1" applyBorder="1" applyAlignment="1">
      <alignment horizontal="left" vertical="center" wrapText="1"/>
    </xf>
    <xf numFmtId="0" fontId="14" fillId="11" borderId="9" xfId="5" applyFont="1" applyFill="1" applyBorder="1" applyAlignment="1">
      <alignment horizontal="center" vertical="center" wrapText="1"/>
    </xf>
    <xf numFmtId="0" fontId="14" fillId="15" borderId="9" xfId="0" applyFont="1" applyFill="1" applyBorder="1" applyAlignment="1">
      <alignment horizontal="center" vertical="center" wrapText="1"/>
    </xf>
    <xf numFmtId="0" fontId="14" fillId="15" borderId="27" xfId="0" applyFont="1" applyFill="1" applyBorder="1" applyAlignment="1">
      <alignment horizontal="center" vertical="center" wrapText="1"/>
    </xf>
    <xf numFmtId="0" fontId="14" fillId="15" borderId="21" xfId="0" applyFont="1" applyFill="1" applyBorder="1" applyAlignment="1">
      <alignment horizontal="center" vertical="center" wrapText="1"/>
    </xf>
    <xf numFmtId="0" fontId="14" fillId="0" borderId="0" xfId="0" applyFont="1" applyAlignment="1">
      <alignment horizontal="left" vertical="top" wrapText="1"/>
    </xf>
    <xf numFmtId="0" fontId="14" fillId="10" borderId="16" xfId="0" applyFont="1" applyFill="1" applyBorder="1" applyAlignment="1">
      <alignment horizontal="left" vertical="center"/>
    </xf>
    <xf numFmtId="0" fontId="14" fillId="10" borderId="17" xfId="0" applyFont="1" applyFill="1" applyBorder="1" applyAlignment="1">
      <alignment horizontal="left" vertical="center"/>
    </xf>
    <xf numFmtId="0" fontId="14" fillId="0" borderId="9" xfId="8" applyFont="1" applyBorder="1" applyAlignment="1">
      <alignment vertical="center" wrapText="1"/>
    </xf>
    <xf numFmtId="0" fontId="14" fillId="0" borderId="9" xfId="8" applyFont="1" applyBorder="1" applyAlignment="1">
      <alignment vertical="center"/>
    </xf>
    <xf numFmtId="165" fontId="34" fillId="0" borderId="9" xfId="8" applyNumberFormat="1" applyFont="1" applyBorder="1" applyAlignment="1">
      <alignment horizontal="left" vertical="center"/>
    </xf>
    <xf numFmtId="0" fontId="14" fillId="4" borderId="9" xfId="0" applyFont="1" applyFill="1" applyBorder="1"/>
    <xf numFmtId="0" fontId="14" fillId="11" borderId="9" xfId="0" applyFont="1" applyFill="1" applyBorder="1" applyAlignment="1">
      <alignment horizontal="left" vertical="center" wrapText="1"/>
    </xf>
    <xf numFmtId="0" fontId="51" fillId="0" borderId="9" xfId="0" applyFont="1" applyBorder="1" applyAlignment="1">
      <alignment horizontal="left" vertical="center" wrapText="1"/>
    </xf>
    <xf numFmtId="0" fontId="14" fillId="0" borderId="9" xfId="0" applyFont="1" applyBorder="1" applyAlignment="1">
      <alignment horizontal="center" vertical="center" wrapText="1"/>
    </xf>
    <xf numFmtId="0" fontId="14" fillId="0" borderId="16" xfId="0" applyFont="1" applyBorder="1"/>
    <xf numFmtId="0" fontId="14" fillId="11" borderId="25" xfId="0" applyFont="1" applyFill="1" applyBorder="1" applyAlignment="1">
      <alignment horizontal="center" vertical="center" wrapText="1"/>
    </xf>
    <xf numFmtId="0" fontId="14" fillId="11" borderId="28" xfId="0" applyFont="1" applyFill="1" applyBorder="1" applyAlignment="1">
      <alignment horizontal="center" vertical="center" wrapText="1"/>
    </xf>
    <xf numFmtId="0" fontId="14" fillId="0" borderId="0" xfId="6" applyFont="1" applyAlignment="1">
      <alignment horizontal="left" vertical="center" wrapText="1"/>
    </xf>
    <xf numFmtId="0" fontId="14" fillId="0" borderId="0" xfId="0" applyFont="1" applyAlignment="1">
      <alignment horizontal="left" wrapText="1"/>
    </xf>
    <xf numFmtId="0" fontId="64" fillId="0" borderId="0" xfId="0" applyFont="1"/>
    <xf numFmtId="1" fontId="0" fillId="0" borderId="0" xfId="0" applyNumberFormat="1"/>
    <xf numFmtId="179" fontId="14" fillId="0" borderId="0" xfId="9" applyNumberFormat="1" applyFont="1" applyFill="1" applyBorder="1" applyAlignment="1">
      <alignment horizontal="left" vertical="center"/>
    </xf>
    <xf numFmtId="0" fontId="91" fillId="0" borderId="0" xfId="5" applyFont="1"/>
    <xf numFmtId="164" fontId="14" fillId="0" borderId="0" xfId="0" applyNumberFormat="1" applyFont="1"/>
    <xf numFmtId="165" fontId="4" fillId="0" borderId="9" xfId="8" applyNumberFormat="1" applyFont="1" applyBorder="1" applyAlignment="1">
      <alignment horizontal="center"/>
    </xf>
    <xf numFmtId="0" fontId="4" fillId="4" borderId="9" xfId="8" applyFont="1" applyFill="1" applyBorder="1"/>
    <xf numFmtId="0" fontId="4" fillId="0" borderId="0" xfId="8" applyFont="1"/>
    <xf numFmtId="165" fontId="4" fillId="4" borderId="16" xfId="13" applyNumberFormat="1" applyFont="1" applyFill="1" applyBorder="1" applyAlignment="1">
      <alignment horizontal="center" vertical="center" wrapText="1"/>
    </xf>
    <xf numFmtId="9" fontId="4" fillId="0" borderId="9" xfId="3" applyFont="1" applyBorder="1" applyAlignment="1">
      <alignment horizontal="center"/>
    </xf>
    <xf numFmtId="0" fontId="92" fillId="0" borderId="9" xfId="8" applyFont="1" applyBorder="1" applyAlignment="1">
      <alignment horizontal="left" vertical="center"/>
    </xf>
    <xf numFmtId="0" fontId="4" fillId="0" borderId="9" xfId="8" applyFont="1" applyBorder="1" applyAlignment="1">
      <alignment horizontal="left"/>
    </xf>
    <xf numFmtId="0" fontId="1" fillId="0" borderId="9" xfId="0" applyFont="1" applyBorder="1" applyAlignment="1">
      <alignment horizontal="center" vertical="center"/>
    </xf>
    <xf numFmtId="39" fontId="14" fillId="0" borderId="0" xfId="1" applyNumberFormat="1" applyFont="1" applyFill="1" applyBorder="1" applyAlignment="1">
      <alignment horizontal="center"/>
    </xf>
    <xf numFmtId="2" fontId="14" fillId="0" borderId="0" xfId="8" applyNumberFormat="1" applyFont="1"/>
    <xf numFmtId="2" fontId="14" fillId="0" borderId="0" xfId="2" applyNumberFormat="1" applyFont="1" applyFill="1" applyBorder="1"/>
    <xf numFmtId="44" fontId="14" fillId="0" borderId="0" xfId="2" applyFont="1" applyFill="1" applyBorder="1" applyAlignment="1">
      <alignment wrapText="1"/>
    </xf>
    <xf numFmtId="183" fontId="14" fillId="0" borderId="0" xfId="1" applyNumberFormat="1" applyFont="1" applyFill="1" applyBorder="1" applyAlignment="1">
      <alignment horizontal="center"/>
    </xf>
    <xf numFmtId="166" fontId="14" fillId="0" borderId="0" xfId="0" applyNumberFormat="1" applyFont="1" applyAlignment="1">
      <alignment horizontal="center" vertical="center" wrapText="1"/>
    </xf>
    <xf numFmtId="0" fontId="4" fillId="0" borderId="9" xfId="0" applyFont="1" applyBorder="1" applyAlignment="1">
      <alignment horizontal="left" vertical="center" wrapText="1"/>
    </xf>
    <xf numFmtId="2" fontId="14" fillId="0" borderId="20" xfId="1" applyNumberFormat="1" applyFont="1" applyFill="1" applyBorder="1"/>
    <xf numFmtId="2" fontId="14" fillId="0" borderId="22" xfId="1" applyNumberFormat="1" applyFont="1" applyFill="1" applyBorder="1"/>
    <xf numFmtId="192" fontId="4" fillId="0" borderId="9" xfId="0" applyNumberFormat="1" applyFont="1" applyBorder="1" applyAlignment="1">
      <alignment horizontal="center"/>
    </xf>
    <xf numFmtId="169" fontId="4" fillId="0" borderId="9" xfId="0" applyNumberFormat="1" applyFont="1" applyBorder="1" applyAlignment="1">
      <alignment horizontal="center" vertical="center" wrapText="1"/>
    </xf>
    <xf numFmtId="169" fontId="4" fillId="0" borderId="19" xfId="0" applyNumberFormat="1" applyFont="1" applyBorder="1" applyAlignment="1">
      <alignment horizontal="center" vertical="center" wrapText="1"/>
    </xf>
    <xf numFmtId="169" fontId="4" fillId="4" borderId="9" xfId="0" applyNumberFormat="1" applyFont="1" applyFill="1" applyBorder="1" applyAlignment="1">
      <alignment horizontal="center" vertical="center" wrapText="1"/>
    </xf>
    <xf numFmtId="192" fontId="4" fillId="4" borderId="9" xfId="1" quotePrefix="1" applyNumberFormat="1" applyFont="1" applyFill="1" applyBorder="1" applyAlignment="1">
      <alignment horizontal="center" vertical="center" wrapText="1"/>
    </xf>
    <xf numFmtId="192" fontId="4" fillId="0" borderId="9" xfId="1" quotePrefix="1" applyNumberFormat="1" applyFont="1" applyFill="1" applyBorder="1" applyAlignment="1">
      <alignment horizontal="center" vertical="center" wrapText="1"/>
    </xf>
    <xf numFmtId="172" fontId="15" fillId="0" borderId="55" xfId="6" applyNumberFormat="1" applyFont="1" applyBorder="1"/>
    <xf numFmtId="169" fontId="4" fillId="0" borderId="9" xfId="5" applyNumberFormat="1" applyFont="1" applyBorder="1" applyAlignment="1">
      <alignment horizontal="center"/>
    </xf>
    <xf numFmtId="0" fontId="4" fillId="0" borderId="9" xfId="5" applyFont="1" applyBorder="1" applyAlignment="1">
      <alignment horizontal="center"/>
    </xf>
    <xf numFmtId="2" fontId="14" fillId="4" borderId="9" xfId="5" applyNumberFormat="1" applyFont="1" applyFill="1" applyBorder="1" applyAlignment="1">
      <alignment horizontal="center"/>
    </xf>
    <xf numFmtId="0" fontId="10" fillId="0" borderId="0" xfId="5" applyFont="1"/>
    <xf numFmtId="182" fontId="4" fillId="4" borderId="9" xfId="1" applyNumberFormat="1" applyFont="1" applyFill="1" applyBorder="1" applyAlignment="1">
      <alignment horizontal="center"/>
    </xf>
    <xf numFmtId="2" fontId="4" fillId="0" borderId="9" xfId="1" applyNumberFormat="1" applyFont="1" applyFill="1" applyBorder="1" applyAlignment="1">
      <alignment horizontal="center" wrapText="1"/>
    </xf>
    <xf numFmtId="169" fontId="4" fillId="0" borderId="9" xfId="8" applyNumberFormat="1" applyFont="1" applyBorder="1" applyAlignment="1">
      <alignment horizontal="center"/>
    </xf>
    <xf numFmtId="169" fontId="4" fillId="4" borderId="9" xfId="8" applyNumberFormat="1" applyFont="1" applyFill="1" applyBorder="1" applyAlignment="1">
      <alignment horizontal="center"/>
    </xf>
    <xf numFmtId="169" fontId="4" fillId="0" borderId="9" xfId="2" applyNumberFormat="1" applyFont="1" applyBorder="1" applyAlignment="1">
      <alignment horizontal="center"/>
    </xf>
    <xf numFmtId="192" fontId="4" fillId="0" borderId="14" xfId="0" applyNumberFormat="1" applyFont="1" applyBorder="1" applyAlignment="1">
      <alignment horizontal="center"/>
    </xf>
    <xf numFmtId="0" fontId="9" fillId="9" borderId="0" xfId="5" applyFill="1" applyAlignment="1">
      <alignment horizontal="center"/>
    </xf>
    <xf numFmtId="2" fontId="1" fillId="8" borderId="9" xfId="1" applyNumberFormat="1" applyFont="1" applyFill="1" applyBorder="1" applyAlignment="1">
      <alignment horizontal="center"/>
    </xf>
    <xf numFmtId="2" fontId="1" fillId="8" borderId="9" xfId="1" applyNumberFormat="1" applyFont="1" applyFill="1" applyBorder="1"/>
    <xf numFmtId="44" fontId="1" fillId="8" borderId="9" xfId="1" applyNumberFormat="1" applyFont="1" applyFill="1" applyBorder="1" applyAlignment="1">
      <alignment horizontal="center" wrapText="1"/>
    </xf>
    <xf numFmtId="0" fontId="1" fillId="0" borderId="9" xfId="6" applyBorder="1"/>
    <xf numFmtId="43" fontId="1" fillId="0" borderId="16" xfId="1" applyFont="1" applyBorder="1"/>
    <xf numFmtId="7" fontId="1" fillId="0" borderId="17" xfId="0" applyNumberFormat="1" applyFont="1" applyBorder="1"/>
    <xf numFmtId="39" fontId="1" fillId="0" borderId="9" xfId="1" applyNumberFormat="1" applyFont="1" applyBorder="1" applyAlignment="1">
      <alignment horizontal="center"/>
    </xf>
    <xf numFmtId="0" fontId="1" fillId="4" borderId="9" xfId="0" applyFont="1" applyFill="1" applyBorder="1"/>
    <xf numFmtId="165" fontId="1" fillId="4" borderId="9" xfId="0" applyNumberFormat="1" applyFont="1" applyFill="1" applyBorder="1" applyAlignment="1">
      <alignment horizontal="center" vertical="center" wrapText="1"/>
    </xf>
    <xf numFmtId="165" fontId="1" fillId="25" borderId="9" xfId="0" applyNumberFormat="1" applyFont="1" applyFill="1" applyBorder="1" applyAlignment="1">
      <alignment horizontal="center" vertical="center" wrapText="1"/>
    </xf>
    <xf numFmtId="165" fontId="1" fillId="0" borderId="0" xfId="0" applyNumberFormat="1" applyFont="1" applyAlignment="1">
      <alignment horizontal="center" vertical="center" wrapText="1"/>
    </xf>
    <xf numFmtId="43" fontId="1" fillId="0" borderId="0" xfId="1" applyFont="1" applyBorder="1"/>
    <xf numFmtId="7" fontId="1" fillId="0" borderId="0" xfId="0" applyNumberFormat="1" applyFont="1"/>
    <xf numFmtId="0" fontId="9" fillId="4" borderId="0" xfId="5" applyFill="1"/>
    <xf numFmtId="189" fontId="1" fillId="0" borderId="0" xfId="6" applyNumberFormat="1"/>
    <xf numFmtId="2" fontId="1" fillId="4" borderId="9" xfId="13" applyNumberFormat="1" applyFill="1" applyBorder="1" applyAlignment="1">
      <alignment horizontal="center" vertical="center" wrapText="1"/>
    </xf>
    <xf numFmtId="2" fontId="1" fillId="0" borderId="9" xfId="13" applyNumberFormat="1" applyBorder="1" applyAlignment="1">
      <alignment horizontal="center" vertical="center" wrapText="1"/>
    </xf>
    <xf numFmtId="0" fontId="1" fillId="4" borderId="0" xfId="6" applyFill="1"/>
    <xf numFmtId="0" fontId="1" fillId="0" borderId="0" xfId="13"/>
    <xf numFmtId="0" fontId="1" fillId="0" borderId="0" xfId="6" applyAlignment="1">
      <alignment vertical="center"/>
    </xf>
    <xf numFmtId="2" fontId="1" fillId="0" borderId="9" xfId="13" applyNumberFormat="1" applyBorder="1" applyAlignment="1">
      <alignment horizontal="center"/>
    </xf>
    <xf numFmtId="189" fontId="1" fillId="25" borderId="9" xfId="1" applyNumberFormat="1" applyFont="1" applyFill="1" applyBorder="1" applyAlignment="1">
      <alignment horizontal="center"/>
    </xf>
    <xf numFmtId="165" fontId="1" fillId="25" borderId="9" xfId="13" applyNumberFormat="1" applyFill="1" applyBorder="1" applyAlignment="1">
      <alignment horizontal="center"/>
    </xf>
    <xf numFmtId="1" fontId="1" fillId="0" borderId="9" xfId="13" applyNumberFormat="1" applyBorder="1" applyAlignment="1">
      <alignment horizontal="center" vertical="center" wrapText="1"/>
    </xf>
    <xf numFmtId="165" fontId="1" fillId="0" borderId="9" xfId="13" applyNumberFormat="1" applyBorder="1" applyAlignment="1">
      <alignment horizontal="left" vertical="center" wrapText="1"/>
    </xf>
    <xf numFmtId="165" fontId="1" fillId="0" borderId="9" xfId="13" applyNumberFormat="1" applyBorder="1" applyAlignment="1">
      <alignment horizontal="center" vertical="center" wrapText="1"/>
    </xf>
    <xf numFmtId="0" fontId="14" fillId="0" borderId="35" xfId="8" applyFont="1" applyBorder="1"/>
    <xf numFmtId="0" fontId="1" fillId="0" borderId="0" xfId="0" applyFont="1" applyAlignment="1">
      <alignment wrapText="1"/>
    </xf>
    <xf numFmtId="4" fontId="14" fillId="0" borderId="9" xfId="8" applyNumberFormat="1" applyFont="1" applyBorder="1" applyAlignment="1">
      <alignment horizontal="center"/>
    </xf>
    <xf numFmtId="0" fontId="1" fillId="0" borderId="0" xfId="6" applyAlignment="1">
      <alignment horizontal="center"/>
    </xf>
    <xf numFmtId="165" fontId="1" fillId="0" borderId="9" xfId="6" applyNumberFormat="1" applyBorder="1" applyAlignment="1">
      <alignment horizontal="center" vertical="center"/>
    </xf>
    <xf numFmtId="171" fontId="1" fillId="4" borderId="9" xfId="13" applyNumberFormat="1" applyFill="1" applyBorder="1" applyAlignment="1">
      <alignment horizontal="center" vertical="center"/>
    </xf>
    <xf numFmtId="2" fontId="4" fillId="4" borderId="9" xfId="8" applyNumberFormat="1" applyFont="1" applyFill="1" applyBorder="1" applyAlignment="1">
      <alignment horizontal="center"/>
    </xf>
    <xf numFmtId="1" fontId="1" fillId="0" borderId="16" xfId="13" applyNumberFormat="1" applyBorder="1" applyAlignment="1">
      <alignment horizontal="center" vertical="center" wrapText="1"/>
    </xf>
    <xf numFmtId="165" fontId="1" fillId="0" borderId="16" xfId="13" applyNumberFormat="1" applyBorder="1" applyAlignment="1">
      <alignment horizontal="center" vertical="center" wrapText="1"/>
    </xf>
    <xf numFmtId="1" fontId="1" fillId="0" borderId="9" xfId="13" applyNumberFormat="1" applyBorder="1" applyAlignment="1">
      <alignment horizontal="left" vertical="center" wrapText="1"/>
    </xf>
    <xf numFmtId="171" fontId="1" fillId="0" borderId="9" xfId="13" applyNumberFormat="1" applyBorder="1" applyAlignment="1">
      <alignment horizontal="center"/>
    </xf>
    <xf numFmtId="189" fontId="1" fillId="19" borderId="9" xfId="1" applyNumberFormat="1" applyFont="1" applyFill="1" applyBorder="1" applyAlignment="1">
      <alignment horizontal="center"/>
    </xf>
    <xf numFmtId="0" fontId="1" fillId="0" borderId="9" xfId="8" applyFont="1" applyBorder="1"/>
    <xf numFmtId="0" fontId="1" fillId="0" borderId="27" xfId="0" applyFont="1" applyBorder="1"/>
    <xf numFmtId="10" fontId="1" fillId="0" borderId="9" xfId="13" applyNumberFormat="1" applyBorder="1" applyAlignment="1">
      <alignment horizontal="center" vertical="center" wrapText="1"/>
    </xf>
    <xf numFmtId="9" fontId="1" fillId="0" borderId="9" xfId="13" applyNumberFormat="1" applyBorder="1" applyAlignment="1">
      <alignment horizontal="center" vertical="center" wrapText="1"/>
    </xf>
    <xf numFmtId="0" fontId="1" fillId="0" borderId="19" xfId="8" applyFont="1" applyBorder="1" applyAlignment="1">
      <alignment horizontal="left" vertical="center" wrapText="1"/>
    </xf>
    <xf numFmtId="39" fontId="14" fillId="0" borderId="0" xfId="1" applyNumberFormat="1" applyFont="1" applyAlignment="1">
      <alignment horizontal="left"/>
    </xf>
    <xf numFmtId="165" fontId="1" fillId="4" borderId="9" xfId="13" applyNumberFormat="1" applyFill="1" applyBorder="1" applyAlignment="1">
      <alignment horizontal="center" vertical="center" wrapText="1"/>
    </xf>
    <xf numFmtId="1" fontId="1" fillId="4" borderId="9" xfId="13" applyNumberFormat="1" applyFill="1" applyBorder="1" applyAlignment="1">
      <alignment horizontal="center" vertical="center" wrapText="1"/>
    </xf>
    <xf numFmtId="0" fontId="14" fillId="0" borderId="44" xfId="8" applyFont="1" applyBorder="1"/>
    <xf numFmtId="165" fontId="1" fillId="0" borderId="9" xfId="8" applyNumberFormat="1" applyFont="1" applyBorder="1" applyAlignment="1">
      <alignment horizontal="center"/>
    </xf>
    <xf numFmtId="0" fontId="1" fillId="4" borderId="9" xfId="8" applyFont="1" applyFill="1" applyBorder="1" applyAlignment="1">
      <alignment horizontal="center"/>
    </xf>
    <xf numFmtId="0" fontId="4" fillId="0" borderId="9" xfId="8" applyFont="1" applyBorder="1" applyAlignment="1">
      <alignment horizontal="center"/>
    </xf>
    <xf numFmtId="165" fontId="1" fillId="0" borderId="9" xfId="0" applyNumberFormat="1" applyFont="1" applyBorder="1" applyAlignment="1">
      <alignment horizontal="left" vertical="center" wrapText="1"/>
    </xf>
    <xf numFmtId="0" fontId="4" fillId="4" borderId="9" xfId="8" applyFont="1" applyFill="1" applyBorder="1" applyAlignment="1">
      <alignment horizontal="center"/>
    </xf>
    <xf numFmtId="0" fontId="14" fillId="0" borderId="43" xfId="8" applyFont="1" applyBorder="1"/>
    <xf numFmtId="0" fontId="14" fillId="0" borderId="48" xfId="8" applyFont="1" applyBorder="1" applyAlignment="1">
      <alignment horizontal="center"/>
    </xf>
    <xf numFmtId="189" fontId="4" fillId="4" borderId="9" xfId="1" applyNumberFormat="1" applyFont="1" applyFill="1" applyBorder="1" applyAlignment="1">
      <alignment horizontal="center"/>
    </xf>
    <xf numFmtId="0" fontId="34" fillId="0" borderId="0" xfId="8" applyFont="1" applyAlignment="1">
      <alignment horizontal="left" vertical="center"/>
    </xf>
    <xf numFmtId="2" fontId="1" fillId="0" borderId="9" xfId="8" applyNumberFormat="1" applyFont="1" applyBorder="1" applyAlignment="1">
      <alignment horizontal="center"/>
    </xf>
    <xf numFmtId="171" fontId="14" fillId="4" borderId="18" xfId="2" applyNumberFormat="1" applyFont="1" applyFill="1" applyBorder="1" applyAlignment="1">
      <alignment horizontal="center"/>
    </xf>
    <xf numFmtId="39" fontId="1" fillId="0" borderId="9" xfId="8" applyNumberFormat="1" applyFont="1" applyBorder="1" applyAlignment="1">
      <alignment horizontal="center"/>
    </xf>
    <xf numFmtId="2" fontId="4" fillId="0" borderId="9" xfId="8" applyNumberFormat="1" applyFont="1" applyBorder="1" applyAlignment="1">
      <alignment horizontal="center"/>
    </xf>
    <xf numFmtId="2" fontId="14" fillId="4" borderId="9" xfId="1" applyNumberFormat="1" applyFont="1" applyFill="1" applyBorder="1" applyAlignment="1">
      <alignment horizontal="center"/>
    </xf>
    <xf numFmtId="4" fontId="4" fillId="0" borderId="9" xfId="8" applyNumberFormat="1" applyFont="1" applyBorder="1" applyAlignment="1">
      <alignment horizontal="center"/>
    </xf>
    <xf numFmtId="2" fontId="1" fillId="0" borderId="9" xfId="6" applyNumberFormat="1" applyBorder="1" applyAlignment="1">
      <alignment horizontal="center"/>
    </xf>
    <xf numFmtId="4" fontId="4" fillId="0" borderId="14" xfId="8" applyNumberFormat="1" applyFont="1" applyBorder="1" applyAlignment="1">
      <alignment horizontal="center"/>
    </xf>
    <xf numFmtId="0" fontId="1" fillId="4" borderId="0" xfId="0" applyFont="1" applyFill="1"/>
    <xf numFmtId="0" fontId="1" fillId="4" borderId="0" xfId="6" applyFill="1" applyAlignment="1">
      <alignment horizontal="center"/>
    </xf>
    <xf numFmtId="0" fontId="1" fillId="12" borderId="0" xfId="0" applyFont="1" applyFill="1"/>
    <xf numFmtId="165" fontId="1" fillId="0" borderId="9" xfId="6" applyNumberFormat="1" applyBorder="1" applyAlignment="1">
      <alignment horizontal="left" vertical="center" wrapText="1"/>
    </xf>
    <xf numFmtId="0" fontId="1" fillId="0" borderId="9" xfId="6" applyBorder="1" applyAlignment="1">
      <alignment horizontal="center"/>
    </xf>
    <xf numFmtId="165" fontId="1" fillId="4" borderId="9" xfId="6" applyNumberFormat="1" applyFill="1" applyBorder="1" applyAlignment="1">
      <alignment horizontal="left" vertical="center" wrapText="1"/>
    </xf>
    <xf numFmtId="165" fontId="1" fillId="0" borderId="23" xfId="6" applyNumberFormat="1" applyBorder="1" applyAlignment="1">
      <alignment horizontal="center" vertical="center"/>
    </xf>
    <xf numFmtId="0" fontId="4" fillId="0" borderId="0" xfId="8" applyFont="1" applyAlignment="1">
      <alignment horizontal="center"/>
    </xf>
    <xf numFmtId="0" fontId="4" fillId="0" borderId="9" xfId="8" applyFont="1" applyBorder="1"/>
    <xf numFmtId="4" fontId="4" fillId="4" borderId="9" xfId="8" applyNumberFormat="1" applyFont="1" applyFill="1" applyBorder="1" applyAlignment="1">
      <alignment horizontal="center"/>
    </xf>
    <xf numFmtId="181" fontId="14" fillId="0" borderId="0" xfId="8" applyNumberFormat="1" applyFont="1"/>
    <xf numFmtId="0" fontId="14" fillId="0" borderId="0" xfId="8" applyFont="1" applyAlignment="1">
      <alignment horizontal="left" vertical="top" wrapText="1"/>
    </xf>
    <xf numFmtId="0" fontId="14" fillId="0" borderId="0" xfId="8" applyFont="1" applyAlignment="1">
      <alignment vertical="top" wrapText="1"/>
    </xf>
    <xf numFmtId="3" fontId="1" fillId="0" borderId="0" xfId="6" applyNumberFormat="1"/>
    <xf numFmtId="10" fontId="14" fillId="0" borderId="9" xfId="3" applyNumberFormat="1" applyFont="1" applyFill="1" applyBorder="1" applyAlignment="1">
      <alignment horizontal="center"/>
    </xf>
    <xf numFmtId="37" fontId="1" fillId="0" borderId="9" xfId="1" applyNumberFormat="1" applyFont="1" applyBorder="1" applyAlignment="1">
      <alignment horizontal="center"/>
    </xf>
    <xf numFmtId="37" fontId="4" fillId="0" borderId="9" xfId="1" applyNumberFormat="1" applyFont="1" applyBorder="1" applyAlignment="1">
      <alignment horizontal="center"/>
    </xf>
    <xf numFmtId="0" fontId="34" fillId="0" borderId="9" xfId="8" applyFont="1" applyBorder="1" applyAlignment="1">
      <alignment horizontal="left"/>
    </xf>
    <xf numFmtId="189" fontId="14" fillId="0" borderId="9" xfId="1" applyNumberFormat="1" applyFont="1" applyFill="1" applyBorder="1" applyAlignment="1">
      <alignment horizontal="center"/>
    </xf>
    <xf numFmtId="189" fontId="4" fillId="0" borderId="9" xfId="1" applyNumberFormat="1" applyFont="1" applyFill="1" applyBorder="1" applyAlignment="1">
      <alignment horizontal="center"/>
    </xf>
    <xf numFmtId="172" fontId="1" fillId="0" borderId="9" xfId="3" applyNumberFormat="1" applyFont="1" applyBorder="1" applyAlignment="1">
      <alignment horizontal="center"/>
    </xf>
    <xf numFmtId="172" fontId="14" fillId="0" borderId="9" xfId="3" applyNumberFormat="1" applyFont="1" applyBorder="1" applyAlignment="1">
      <alignment horizontal="center"/>
    </xf>
    <xf numFmtId="172" fontId="14" fillId="0" borderId="9" xfId="3" applyNumberFormat="1" applyFont="1" applyFill="1" applyBorder="1" applyAlignment="1">
      <alignment horizontal="center"/>
    </xf>
    <xf numFmtId="167" fontId="1" fillId="0" borderId="0" xfId="0" applyNumberFormat="1" applyFont="1"/>
    <xf numFmtId="165" fontId="1" fillId="0" borderId="9" xfId="0" applyNumberFormat="1" applyFont="1" applyBorder="1" applyAlignment="1">
      <alignment horizontal="center" vertical="center"/>
    </xf>
    <xf numFmtId="39" fontId="1" fillId="0" borderId="9" xfId="0" applyNumberFormat="1" applyFont="1" applyBorder="1" applyAlignment="1">
      <alignment horizontal="center" vertical="center"/>
    </xf>
    <xf numFmtId="3" fontId="1" fillId="0" borderId="9" xfId="0" applyNumberFormat="1" applyFont="1" applyBorder="1" applyAlignment="1">
      <alignment horizontal="center" vertical="center"/>
    </xf>
    <xf numFmtId="9" fontId="1" fillId="0" borderId="9" xfId="0" applyNumberFormat="1" applyFont="1" applyBorder="1" applyAlignment="1">
      <alignment horizontal="center" vertical="center"/>
    </xf>
    <xf numFmtId="178" fontId="1" fillId="0" borderId="9" xfId="0" applyNumberFormat="1" applyFont="1" applyBorder="1" applyAlignment="1">
      <alignment horizontal="center" vertical="center"/>
    </xf>
    <xf numFmtId="0" fontId="34" fillId="4" borderId="0" xfId="8" applyFont="1" applyFill="1" applyAlignment="1">
      <alignment horizontal="left" vertical="center"/>
    </xf>
    <xf numFmtId="39" fontId="4" fillId="4" borderId="23" xfId="1" quotePrefix="1" applyNumberFormat="1" applyFont="1" applyFill="1" applyBorder="1" applyAlignment="1">
      <alignment horizontal="center" vertical="center" wrapText="1"/>
    </xf>
    <xf numFmtId="171" fontId="4" fillId="4" borderId="9" xfId="13" applyNumberFormat="1" applyFont="1" applyFill="1" applyBorder="1" applyAlignment="1">
      <alignment horizontal="center"/>
    </xf>
    <xf numFmtId="0" fontId="4" fillId="11" borderId="9" xfId="0" applyFont="1" applyFill="1" applyBorder="1" applyAlignment="1">
      <alignment horizontal="center" vertical="center" wrapText="1"/>
    </xf>
    <xf numFmtId="0" fontId="4" fillId="4" borderId="9" xfId="6" applyFont="1" applyFill="1" applyBorder="1" applyAlignment="1">
      <alignment horizontal="left"/>
    </xf>
    <xf numFmtId="0" fontId="4" fillId="0" borderId="0" xfId="13" applyFont="1" applyAlignment="1">
      <alignment horizontal="center"/>
    </xf>
    <xf numFmtId="0" fontId="4" fillId="0" borderId="0" xfId="13" applyFont="1" applyAlignment="1">
      <alignment horizontal="left"/>
    </xf>
    <xf numFmtId="0" fontId="4" fillId="0" borderId="0" xfId="13" applyFont="1" applyAlignment="1">
      <alignment horizontal="left" vertical="center"/>
    </xf>
    <xf numFmtId="179" fontId="4" fillId="0" borderId="0" xfId="9" applyNumberFormat="1" applyFont="1" applyFill="1" applyBorder="1" applyAlignment="1">
      <alignment horizontal="center" vertical="center"/>
    </xf>
    <xf numFmtId="179" fontId="4" fillId="0" borderId="0" xfId="9" applyNumberFormat="1" applyFont="1" applyFill="1" applyBorder="1" applyAlignment="1">
      <alignment horizontal="left" vertical="center"/>
    </xf>
    <xf numFmtId="0" fontId="4" fillId="11" borderId="9" xfId="0" applyFont="1" applyFill="1" applyBorder="1" applyAlignment="1">
      <alignment horizontal="left" vertical="center" wrapText="1"/>
    </xf>
    <xf numFmtId="0" fontId="4" fillId="0" borderId="0" xfId="0" applyFont="1" applyAlignment="1">
      <alignment horizontal="center" vertical="center" wrapText="1"/>
    </xf>
    <xf numFmtId="0" fontId="4" fillId="11" borderId="18" xfId="0" applyFont="1" applyFill="1" applyBorder="1" applyAlignment="1">
      <alignment horizontal="center" vertical="center" wrapText="1"/>
    </xf>
    <xf numFmtId="0" fontId="65" fillId="0" borderId="9" xfId="8" applyFont="1" applyBorder="1"/>
    <xf numFmtId="0" fontId="4" fillId="0" borderId="0" xfId="8" applyFont="1" applyAlignment="1">
      <alignment horizontal="left"/>
    </xf>
    <xf numFmtId="0" fontId="4" fillId="0" borderId="9" xfId="0" applyFont="1" applyBorder="1" applyAlignment="1">
      <alignment horizontal="left" vertical="center"/>
    </xf>
    <xf numFmtId="0" fontId="4" fillId="0" borderId="9" xfId="8" applyFont="1" applyBorder="1" applyAlignment="1">
      <alignment wrapText="1"/>
    </xf>
    <xf numFmtId="0" fontId="4" fillId="0" borderId="9" xfId="8" applyFont="1" applyBorder="1" applyAlignment="1">
      <alignment horizontal="left" wrapText="1"/>
    </xf>
    <xf numFmtId="0" fontId="65" fillId="0" borderId="19" xfId="6" applyFont="1" applyBorder="1"/>
    <xf numFmtId="9" fontId="4" fillId="4" borderId="9" xfId="3" applyFont="1" applyFill="1" applyBorder="1" applyAlignment="1">
      <alignment horizontal="center" vertical="center"/>
    </xf>
    <xf numFmtId="44" fontId="4" fillId="4" borderId="9" xfId="2" applyFont="1" applyFill="1" applyBorder="1" applyAlignment="1">
      <alignment horizontal="center" vertical="center" wrapText="1"/>
    </xf>
    <xf numFmtId="184" fontId="4" fillId="0" borderId="0" xfId="0" applyNumberFormat="1" applyFont="1" applyAlignment="1">
      <alignment horizontal="center"/>
    </xf>
    <xf numFmtId="9" fontId="4" fillId="0" borderId="0" xfId="3" applyFont="1" applyFill="1"/>
    <xf numFmtId="171" fontId="4" fillId="4" borderId="9" xfId="0" applyNumberFormat="1" applyFont="1" applyFill="1" applyBorder="1" applyAlignment="1">
      <alignment horizontal="center"/>
    </xf>
    <xf numFmtId="0" fontId="4" fillId="4" borderId="9" xfId="0" applyFont="1" applyFill="1" applyBorder="1" applyAlignment="1">
      <alignment horizontal="center"/>
    </xf>
    <xf numFmtId="1" fontId="4" fillId="0" borderId="9" xfId="0" applyNumberFormat="1" applyFont="1" applyBorder="1" applyAlignment="1">
      <alignment horizontal="left"/>
    </xf>
    <xf numFmtId="2" fontId="14" fillId="4" borderId="9" xfId="0" applyNumberFormat="1" applyFont="1" applyFill="1" applyBorder="1" applyAlignment="1">
      <alignment wrapText="1"/>
    </xf>
    <xf numFmtId="0" fontId="4" fillId="0" borderId="0" xfId="0" applyFont="1" applyAlignment="1">
      <alignment horizontal="center" vertical="center"/>
    </xf>
    <xf numFmtId="2" fontId="4" fillId="0" borderId="0" xfId="0" applyNumberFormat="1" applyFont="1" applyAlignment="1">
      <alignment wrapText="1"/>
    </xf>
    <xf numFmtId="2" fontId="4" fillId="0" borderId="0" xfId="1" applyNumberFormat="1" applyFont="1"/>
    <xf numFmtId="7" fontId="4" fillId="4" borderId="0" xfId="0" applyNumberFormat="1" applyFont="1" applyFill="1"/>
    <xf numFmtId="2" fontId="4" fillId="0" borderId="0" xfId="0" applyNumberFormat="1" applyFont="1" applyAlignment="1">
      <alignment horizontal="left" wrapText="1"/>
    </xf>
    <xf numFmtId="44" fontId="4" fillId="0" borderId="0" xfId="0" applyNumberFormat="1" applyFont="1"/>
    <xf numFmtId="2" fontId="4" fillId="4" borderId="9" xfId="0" applyNumberFormat="1" applyFont="1" applyFill="1" applyBorder="1" applyAlignment="1">
      <alignment wrapText="1"/>
    </xf>
    <xf numFmtId="0" fontId="4" fillId="4" borderId="9" xfId="0" applyFont="1" applyFill="1" applyBorder="1" applyAlignment="1">
      <alignment horizontal="left" vertical="top"/>
    </xf>
    <xf numFmtId="165" fontId="14" fillId="0" borderId="9" xfId="0" applyNumberFormat="1" applyFont="1" applyBorder="1" applyAlignment="1">
      <alignment horizontal="left" vertical="top" wrapText="1"/>
    </xf>
    <xf numFmtId="9" fontId="4" fillId="0" borderId="9" xfId="3" applyFont="1" applyFill="1" applyBorder="1" applyAlignment="1">
      <alignment horizontal="left"/>
    </xf>
    <xf numFmtId="9" fontId="4" fillId="0" borderId="9" xfId="0" applyNumberFormat="1" applyFont="1" applyBorder="1" applyAlignment="1">
      <alignment horizontal="left" vertical="top" wrapText="1"/>
    </xf>
    <xf numFmtId="0" fontId="65" fillId="0" borderId="9" xfId="0" applyFont="1" applyBorder="1" applyAlignment="1">
      <alignment horizontal="left" vertical="center" wrapText="1"/>
    </xf>
    <xf numFmtId="0" fontId="1" fillId="0" borderId="0" xfId="0" applyFont="1" applyAlignment="1">
      <alignment horizontal="left"/>
    </xf>
    <xf numFmtId="44" fontId="4" fillId="0" borderId="0" xfId="2" applyFont="1" applyAlignment="1">
      <alignment horizontal="left" wrapText="1"/>
    </xf>
    <xf numFmtId="165" fontId="65" fillId="0" borderId="9" xfId="13" applyNumberFormat="1" applyFont="1" applyBorder="1" applyAlignment="1">
      <alignment horizontal="left" vertical="center" wrapText="1"/>
    </xf>
    <xf numFmtId="0" fontId="4" fillId="4" borderId="4" xfId="8" applyFont="1" applyFill="1" applyBorder="1" applyAlignment="1">
      <alignment wrapText="1"/>
    </xf>
    <xf numFmtId="0" fontId="4" fillId="4" borderId="9" xfId="8" applyFont="1" applyFill="1" applyBorder="1" applyAlignment="1">
      <alignment wrapText="1"/>
    </xf>
    <xf numFmtId="0" fontId="65" fillId="4" borderId="9" xfId="8" applyFont="1" applyFill="1" applyBorder="1"/>
    <xf numFmtId="0" fontId="65" fillId="4" borderId="9" xfId="8" applyFont="1" applyFill="1" applyBorder="1" applyAlignment="1">
      <alignment wrapText="1"/>
    </xf>
    <xf numFmtId="1" fontId="4" fillId="0" borderId="9" xfId="11" applyNumberFormat="1" applyFont="1" applyFill="1" applyBorder="1" applyAlignment="1">
      <alignment horizontal="center" vertical="center"/>
    </xf>
    <xf numFmtId="0" fontId="14" fillId="0" borderId="30" xfId="0" applyFont="1" applyBorder="1" applyAlignment="1">
      <alignment vertical="center" wrapText="1"/>
    </xf>
    <xf numFmtId="0" fontId="97" fillId="0" borderId="0" xfId="0" applyFont="1" applyAlignment="1">
      <alignment wrapText="1"/>
    </xf>
    <xf numFmtId="0" fontId="65" fillId="0" borderId="9" xfId="8" applyFont="1" applyBorder="1" applyAlignment="1">
      <alignment wrapText="1"/>
    </xf>
    <xf numFmtId="0" fontId="4" fillId="0" borderId="0" xfId="5" applyFont="1"/>
    <xf numFmtId="2" fontId="15" fillId="0" borderId="0" xfId="5" applyNumberFormat="1" applyFont="1" applyAlignment="1">
      <alignment horizontal="center"/>
    </xf>
    <xf numFmtId="1" fontId="4" fillId="8" borderId="9" xfId="11" applyNumberFormat="1" applyFont="1" applyFill="1" applyBorder="1" applyAlignment="1">
      <alignment horizontal="center" vertical="center"/>
    </xf>
    <xf numFmtId="0" fontId="4" fillId="0" borderId="9" xfId="5" applyFont="1" applyBorder="1"/>
    <xf numFmtId="168" fontId="4" fillId="0" borderId="9" xfId="5" applyNumberFormat="1" applyFont="1" applyBorder="1"/>
    <xf numFmtId="168" fontId="4" fillId="0" borderId="9" xfId="5" applyNumberFormat="1" applyFont="1" applyBorder="1" applyAlignment="1">
      <alignment horizontal="center"/>
    </xf>
    <xf numFmtId="166" fontId="4" fillId="0" borderId="9" xfId="5" applyNumberFormat="1" applyFont="1" applyBorder="1" applyAlignment="1">
      <alignment horizontal="center"/>
    </xf>
    <xf numFmtId="1" fontId="4" fillId="0" borderId="9" xfId="6" applyNumberFormat="1" applyFont="1" applyBorder="1" applyAlignment="1">
      <alignment horizontal="center" vertical="center" wrapText="1"/>
    </xf>
    <xf numFmtId="43" fontId="25" fillId="0" borderId="0" xfId="5" applyNumberFormat="1" applyFont="1"/>
    <xf numFmtId="0" fontId="100" fillId="46" borderId="9" xfId="0" applyFont="1" applyFill="1" applyBorder="1" applyAlignment="1">
      <alignment horizontal="center" vertical="center"/>
    </xf>
    <xf numFmtId="0" fontId="16" fillId="16" borderId="9" xfId="0" applyFont="1" applyFill="1" applyBorder="1" applyAlignment="1">
      <alignment horizontal="center" vertical="center"/>
    </xf>
    <xf numFmtId="9" fontId="14" fillId="0" borderId="9" xfId="0" applyNumberFormat="1" applyFont="1" applyBorder="1" applyAlignment="1">
      <alignment horizontal="left" vertical="center" wrapText="1"/>
    </xf>
    <xf numFmtId="165" fontId="4" fillId="0" borderId="9" xfId="13" applyNumberFormat="1" applyFont="1" applyBorder="1" applyAlignment="1">
      <alignment vertical="center" wrapText="1"/>
    </xf>
    <xf numFmtId="0" fontId="14" fillId="15" borderId="9" xfId="0" applyFont="1" applyFill="1" applyBorder="1" applyAlignment="1">
      <alignment horizontal="left" vertical="center" wrapText="1"/>
    </xf>
    <xf numFmtId="0" fontId="4" fillId="0" borderId="19" xfId="6" applyFont="1" applyBorder="1" applyAlignment="1">
      <alignment wrapText="1"/>
    </xf>
    <xf numFmtId="0" fontId="4" fillId="0" borderId="50" xfId="6" applyFont="1" applyBorder="1" applyAlignment="1">
      <alignment wrapText="1"/>
    </xf>
    <xf numFmtId="0" fontId="1" fillId="0" borderId="0" xfId="0" applyFont="1" applyAlignment="1">
      <alignment horizontal="right"/>
    </xf>
    <xf numFmtId="2" fontId="14" fillId="8" borderId="9" xfId="0" applyNumberFormat="1" applyFont="1" applyFill="1" applyBorder="1" applyAlignment="1">
      <alignment horizontal="center" vertical="center" wrapText="1"/>
    </xf>
    <xf numFmtId="179" fontId="14" fillId="23" borderId="9" xfId="0" applyNumberFormat="1" applyFont="1" applyFill="1" applyBorder="1" applyAlignment="1">
      <alignment horizontal="center" vertical="center" wrapText="1"/>
    </xf>
    <xf numFmtId="165" fontId="14" fillId="17" borderId="9" xfId="0" applyNumberFormat="1" applyFont="1" applyFill="1" applyBorder="1" applyAlignment="1">
      <alignment horizontal="center" vertical="center" wrapText="1"/>
    </xf>
    <xf numFmtId="179" fontId="14" fillId="47" borderId="9" xfId="0" applyNumberFormat="1" applyFont="1" applyFill="1" applyBorder="1" applyAlignment="1">
      <alignment horizontal="center" vertical="center" wrapText="1"/>
    </xf>
    <xf numFmtId="2" fontId="14" fillId="17" borderId="9" xfId="0" applyNumberFormat="1" applyFont="1" applyFill="1" applyBorder="1" applyAlignment="1">
      <alignment horizontal="center" vertical="center" wrapText="1"/>
    </xf>
    <xf numFmtId="39" fontId="14" fillId="17" borderId="9" xfId="1" applyNumberFormat="1" applyFont="1" applyFill="1" applyBorder="1" applyAlignment="1">
      <alignment horizontal="center" vertical="center" wrapText="1"/>
    </xf>
    <xf numFmtId="170" fontId="14" fillId="17" borderId="9" xfId="1" applyNumberFormat="1" applyFont="1" applyFill="1" applyBorder="1" applyAlignment="1">
      <alignment horizontal="center" vertical="center" wrapText="1"/>
    </xf>
    <xf numFmtId="37" fontId="14" fillId="17" borderId="9" xfId="1" applyNumberFormat="1" applyFont="1" applyFill="1" applyBorder="1" applyAlignment="1">
      <alignment horizontal="center" vertical="center" wrapText="1"/>
    </xf>
    <xf numFmtId="44" fontId="14" fillId="47" borderId="9" xfId="2" applyFont="1" applyFill="1" applyBorder="1" applyAlignment="1">
      <alignment horizontal="center" vertical="center" wrapText="1"/>
    </xf>
    <xf numFmtId="0" fontId="0" fillId="0" borderId="9" xfId="0" applyBorder="1" applyAlignment="1">
      <alignment wrapText="1"/>
    </xf>
    <xf numFmtId="9" fontId="14" fillId="8" borderId="9" xfId="3" applyFont="1" applyFill="1" applyBorder="1" applyAlignment="1">
      <alignment horizontal="center" vertical="center" wrapText="1"/>
    </xf>
    <xf numFmtId="9" fontId="14" fillId="47" borderId="9" xfId="3" applyFont="1" applyFill="1" applyBorder="1" applyAlignment="1">
      <alignment horizontal="center" vertical="center" wrapText="1"/>
    </xf>
    <xf numFmtId="10" fontId="14" fillId="0" borderId="0" xfId="0" applyNumberFormat="1" applyFont="1" applyAlignment="1">
      <alignment horizontal="left" wrapText="1"/>
    </xf>
    <xf numFmtId="9" fontId="14" fillId="17" borderId="9" xfId="3" applyFont="1" applyFill="1" applyBorder="1" applyAlignment="1">
      <alignment horizontal="center" vertical="center" wrapText="1"/>
    </xf>
    <xf numFmtId="4" fontId="14" fillId="47" borderId="9" xfId="0" applyNumberFormat="1" applyFont="1" applyFill="1" applyBorder="1" applyAlignment="1">
      <alignment horizontal="center" vertical="center" wrapText="1"/>
    </xf>
    <xf numFmtId="211" fontId="14" fillId="0" borderId="0" xfId="1" applyNumberFormat="1" applyFont="1" applyAlignment="1">
      <alignment horizontal="left"/>
    </xf>
    <xf numFmtId="181" fontId="14" fillId="47" borderId="9" xfId="0" applyNumberFormat="1" applyFont="1" applyFill="1" applyBorder="1" applyAlignment="1">
      <alignment horizontal="center" vertical="center" wrapText="1"/>
    </xf>
    <xf numFmtId="44" fontId="14" fillId="23" borderId="9" xfId="2" applyFont="1" applyFill="1" applyBorder="1" applyAlignment="1">
      <alignment horizontal="center" vertical="center" wrapText="1"/>
    </xf>
    <xf numFmtId="172" fontId="14" fillId="47" borderId="9" xfId="3" applyNumberFormat="1" applyFont="1" applyFill="1" applyBorder="1" applyAlignment="1">
      <alignment horizontal="center" vertical="center" wrapText="1"/>
    </xf>
    <xf numFmtId="171" fontId="4" fillId="17" borderId="9" xfId="13" applyNumberFormat="1" applyFont="1" applyFill="1" applyBorder="1" applyAlignment="1">
      <alignment horizontal="center"/>
    </xf>
    <xf numFmtId="179" fontId="4" fillId="47" borderId="9" xfId="0" applyNumberFormat="1" applyFont="1" applyFill="1" applyBorder="1" applyAlignment="1">
      <alignment horizontal="center" vertical="center" wrapText="1"/>
    </xf>
    <xf numFmtId="4" fontId="4" fillId="47" borderId="9" xfId="0" applyNumberFormat="1" applyFont="1" applyFill="1" applyBorder="1" applyAlignment="1">
      <alignment horizontal="center" vertical="center" wrapText="1"/>
    </xf>
    <xf numFmtId="37" fontId="4" fillId="17" borderId="9" xfId="1" applyNumberFormat="1" applyFont="1" applyFill="1" applyBorder="1" applyAlignment="1">
      <alignment horizontal="center" vertical="center" wrapText="1"/>
    </xf>
    <xf numFmtId="9" fontId="4" fillId="8" borderId="9" xfId="3" applyFont="1" applyFill="1" applyBorder="1" applyAlignment="1">
      <alignment horizontal="center" vertical="center" wrapText="1"/>
    </xf>
    <xf numFmtId="172" fontId="4" fillId="17" borderId="21" xfId="3" applyNumberFormat="1" applyFont="1" applyFill="1" applyBorder="1" applyAlignment="1">
      <alignment horizontal="center"/>
    </xf>
    <xf numFmtId="37" fontId="14" fillId="17" borderId="9" xfId="1" applyNumberFormat="1" applyFont="1" applyFill="1" applyBorder="1" applyAlignment="1">
      <alignment horizontal="center" wrapText="1"/>
    </xf>
    <xf numFmtId="9" fontId="4" fillId="47" borderId="9" xfId="3" applyFont="1" applyFill="1" applyBorder="1" applyAlignment="1">
      <alignment horizontal="center" vertical="center" wrapText="1"/>
    </xf>
    <xf numFmtId="172" fontId="4" fillId="47" borderId="9" xfId="3" applyNumberFormat="1" applyFont="1" applyFill="1" applyBorder="1" applyAlignment="1">
      <alignment horizontal="center" vertical="center" wrapText="1"/>
    </xf>
    <xf numFmtId="9" fontId="14" fillId="48" borderId="9" xfId="3" applyFont="1" applyFill="1" applyBorder="1" applyAlignment="1">
      <alignment horizontal="center" vertical="center" wrapText="1"/>
    </xf>
    <xf numFmtId="1" fontId="14" fillId="17" borderId="9" xfId="3" applyNumberFormat="1" applyFont="1" applyFill="1" applyBorder="1" applyAlignment="1">
      <alignment horizontal="center"/>
    </xf>
    <xf numFmtId="2" fontId="14" fillId="17" borderId="9" xfId="3" applyNumberFormat="1" applyFont="1" applyFill="1" applyBorder="1" applyAlignment="1">
      <alignment horizontal="center"/>
    </xf>
    <xf numFmtId="9" fontId="4" fillId="17" borderId="9" xfId="3" applyFont="1" applyFill="1" applyBorder="1" applyAlignment="1">
      <alignment horizontal="center"/>
    </xf>
    <xf numFmtId="165" fontId="14" fillId="17" borderId="9" xfId="3" applyNumberFormat="1" applyFont="1" applyFill="1" applyBorder="1" applyAlignment="1">
      <alignment horizontal="center"/>
    </xf>
    <xf numFmtId="10" fontId="14" fillId="17" borderId="9" xfId="3" applyNumberFormat="1" applyFont="1" applyFill="1" applyBorder="1" applyAlignment="1">
      <alignment horizontal="center"/>
    </xf>
    <xf numFmtId="9" fontId="14" fillId="17" borderId="9" xfId="3" applyFont="1" applyFill="1" applyBorder="1" applyAlignment="1">
      <alignment horizontal="center"/>
    </xf>
    <xf numFmtId="170" fontId="14" fillId="17" borderId="9" xfId="1" applyNumberFormat="1" applyFont="1" applyFill="1" applyBorder="1" applyAlignment="1">
      <alignment horizontal="center"/>
    </xf>
    <xf numFmtId="7" fontId="14" fillId="12" borderId="9" xfId="2" applyNumberFormat="1" applyFont="1" applyFill="1" applyBorder="1" applyAlignment="1">
      <alignment horizontal="center"/>
    </xf>
    <xf numFmtId="1" fontId="14" fillId="8" borderId="9" xfId="1" applyNumberFormat="1" applyFont="1" applyFill="1" applyBorder="1" applyAlignment="1">
      <alignment horizontal="center" vertical="center"/>
    </xf>
    <xf numFmtId="0" fontId="14" fillId="47" borderId="9" xfId="3" applyNumberFormat="1" applyFont="1" applyFill="1" applyBorder="1" applyAlignment="1">
      <alignment horizontal="center" vertical="center" wrapText="1"/>
    </xf>
    <xf numFmtId="1" fontId="14" fillId="8" borderId="9" xfId="3" applyNumberFormat="1" applyFont="1" applyFill="1" applyBorder="1" applyAlignment="1">
      <alignment horizontal="center"/>
    </xf>
    <xf numFmtId="1" fontId="4" fillId="8" borderId="9" xfId="3" applyNumberFormat="1" applyFont="1" applyFill="1" applyBorder="1" applyAlignment="1">
      <alignment horizontal="center"/>
    </xf>
    <xf numFmtId="0" fontId="14" fillId="17" borderId="9" xfId="3" applyNumberFormat="1" applyFont="1" applyFill="1" applyBorder="1" applyAlignment="1">
      <alignment horizontal="center" vertical="center" wrapText="1"/>
    </xf>
    <xf numFmtId="180" fontId="14" fillId="17" borderId="9" xfId="3" applyNumberFormat="1" applyFont="1" applyFill="1" applyBorder="1" applyAlignment="1">
      <alignment horizontal="center"/>
    </xf>
    <xf numFmtId="7" fontId="14" fillId="17" borderId="9" xfId="2" applyNumberFormat="1" applyFont="1" applyFill="1" applyBorder="1" applyAlignment="1">
      <alignment horizontal="center" wrapText="1"/>
    </xf>
    <xf numFmtId="165" fontId="4" fillId="17" borderId="9" xfId="8" applyNumberFormat="1" applyFont="1" applyFill="1" applyBorder="1" applyAlignment="1">
      <alignment horizontal="center"/>
    </xf>
    <xf numFmtId="165" fontId="14" fillId="12" borderId="9" xfId="8" applyNumberFormat="1" applyFont="1" applyFill="1" applyBorder="1" applyAlignment="1">
      <alignment horizontal="center"/>
    </xf>
    <xf numFmtId="165" fontId="14" fillId="17" borderId="9" xfId="8" applyNumberFormat="1" applyFont="1" applyFill="1" applyBorder="1" applyAlignment="1">
      <alignment horizontal="center"/>
    </xf>
    <xf numFmtId="10" fontId="14" fillId="47" borderId="9" xfId="3" applyNumberFormat="1" applyFont="1" applyFill="1" applyBorder="1" applyAlignment="1">
      <alignment horizontal="center" vertical="center" wrapText="1"/>
    </xf>
    <xf numFmtId="44" fontId="14" fillId="12" borderId="9" xfId="2" applyFont="1" applyFill="1" applyBorder="1" applyAlignment="1">
      <alignment horizontal="center"/>
    </xf>
    <xf numFmtId="180" fontId="14" fillId="8" borderId="9" xfId="8" applyNumberFormat="1" applyFont="1" applyFill="1" applyBorder="1" applyAlignment="1">
      <alignment horizontal="center"/>
    </xf>
    <xf numFmtId="10" fontId="14" fillId="8" borderId="9" xfId="3" applyNumberFormat="1" applyFont="1" applyFill="1" applyBorder="1" applyAlignment="1">
      <alignment horizontal="center" vertical="center" wrapText="1"/>
    </xf>
    <xf numFmtId="2" fontId="14" fillId="23" borderId="9" xfId="3" applyNumberFormat="1" applyFont="1" applyFill="1" applyBorder="1" applyAlignment="1">
      <alignment horizontal="center"/>
    </xf>
    <xf numFmtId="2" fontId="4" fillId="8" borderId="9" xfId="3" applyNumberFormat="1" applyFont="1" applyFill="1" applyBorder="1" applyAlignment="1">
      <alignment horizontal="center"/>
    </xf>
    <xf numFmtId="2" fontId="14" fillId="8" borderId="9" xfId="3" applyNumberFormat="1" applyFont="1" applyFill="1" applyBorder="1" applyAlignment="1">
      <alignment horizontal="center"/>
    </xf>
    <xf numFmtId="7" fontId="14" fillId="8" borderId="9" xfId="2" applyNumberFormat="1" applyFont="1" applyFill="1" applyBorder="1" applyAlignment="1">
      <alignment horizontal="center"/>
    </xf>
    <xf numFmtId="0" fontId="14" fillId="8" borderId="9" xfId="8" applyFont="1" applyFill="1" applyBorder="1" applyAlignment="1">
      <alignment horizontal="center" vertical="center" wrapText="1"/>
    </xf>
    <xf numFmtId="165" fontId="14" fillId="8" borderId="9" xfId="8" applyNumberFormat="1" applyFont="1" applyFill="1" applyBorder="1" applyAlignment="1">
      <alignment horizontal="center" vertical="center" wrapText="1"/>
    </xf>
    <xf numFmtId="165" fontId="14" fillId="8" borderId="16" xfId="8" applyNumberFormat="1" applyFont="1" applyFill="1" applyBorder="1" applyAlignment="1">
      <alignment horizontal="center" vertical="center" wrapText="1"/>
    </xf>
    <xf numFmtId="9" fontId="14" fillId="8" borderId="9" xfId="0" applyNumberFormat="1" applyFont="1" applyFill="1" applyBorder="1" applyAlignment="1">
      <alignment horizontal="center" vertical="center" wrapText="1"/>
    </xf>
    <xf numFmtId="39" fontId="14" fillId="8" borderId="9" xfId="1" applyNumberFormat="1" applyFont="1" applyFill="1" applyBorder="1" applyAlignment="1">
      <alignment horizontal="center" wrapText="1"/>
    </xf>
    <xf numFmtId="10" fontId="14" fillId="47" borderId="9" xfId="3" applyNumberFormat="1" applyFont="1" applyFill="1" applyBorder="1" applyAlignment="1">
      <alignment horizontal="center"/>
    </xf>
    <xf numFmtId="2" fontId="14" fillId="7" borderId="9" xfId="3" applyNumberFormat="1" applyFont="1" applyFill="1" applyBorder="1" applyAlignment="1">
      <alignment horizontal="center"/>
    </xf>
    <xf numFmtId="2" fontId="4" fillId="7" borderId="9" xfId="3" applyNumberFormat="1" applyFont="1" applyFill="1" applyBorder="1" applyAlignment="1">
      <alignment horizontal="center"/>
    </xf>
    <xf numFmtId="1" fontId="14" fillId="23" borderId="9" xfId="3" applyNumberFormat="1" applyFont="1" applyFill="1" applyBorder="1" applyAlignment="1">
      <alignment horizontal="center"/>
    </xf>
    <xf numFmtId="39" fontId="4" fillId="8" borderId="9" xfId="1" applyNumberFormat="1" applyFont="1" applyFill="1" applyBorder="1" applyAlignment="1">
      <alignment horizontal="center" vertical="center" wrapText="1"/>
    </xf>
    <xf numFmtId="39" fontId="14" fillId="8" borderId="9" xfId="1" applyNumberFormat="1" applyFont="1" applyFill="1" applyBorder="1" applyAlignment="1">
      <alignment horizontal="center" vertical="center" wrapText="1"/>
    </xf>
    <xf numFmtId="165" fontId="14" fillId="8" borderId="9" xfId="6" applyNumberFormat="1" applyFont="1" applyFill="1" applyBorder="1" applyAlignment="1">
      <alignment horizontal="center" vertical="center" wrapText="1"/>
    </xf>
    <xf numFmtId="2" fontId="14" fillId="8" borderId="9" xfId="6" applyNumberFormat="1" applyFont="1" applyFill="1" applyBorder="1" applyAlignment="1">
      <alignment horizontal="center" vertical="center" wrapText="1"/>
    </xf>
    <xf numFmtId="9" fontId="14" fillId="8" borderId="9" xfId="3" applyFont="1" applyFill="1" applyBorder="1" applyAlignment="1">
      <alignment horizontal="center" wrapText="1"/>
    </xf>
    <xf numFmtId="7" fontId="14" fillId="8" borderId="9" xfId="2" applyNumberFormat="1" applyFont="1" applyFill="1" applyBorder="1" applyAlignment="1">
      <alignment horizontal="center" wrapText="1"/>
    </xf>
    <xf numFmtId="172" fontId="14" fillId="7" borderId="9" xfId="3" applyNumberFormat="1" applyFont="1" applyFill="1" applyBorder="1" applyAlignment="1">
      <alignment horizontal="center"/>
    </xf>
    <xf numFmtId="7" fontId="14" fillId="8" borderId="9" xfId="1" applyNumberFormat="1" applyFont="1" applyFill="1" applyBorder="1" applyAlignment="1">
      <alignment horizontal="center" vertical="center" wrapText="1"/>
    </xf>
    <xf numFmtId="3" fontId="14" fillId="47" borderId="9" xfId="0" applyNumberFormat="1" applyFont="1" applyFill="1" applyBorder="1" applyAlignment="1">
      <alignment horizontal="center" vertical="center" wrapText="1"/>
    </xf>
    <xf numFmtId="39" fontId="14" fillId="8" borderId="9" xfId="1" applyNumberFormat="1" applyFont="1" applyFill="1" applyBorder="1" applyAlignment="1">
      <alignment horizontal="center"/>
    </xf>
    <xf numFmtId="0" fontId="14" fillId="0" borderId="0" xfId="6" applyFont="1" applyAlignment="1">
      <alignment horizontal="left" vertical="center"/>
    </xf>
    <xf numFmtId="0" fontId="14" fillId="0" borderId="0" xfId="12" applyFont="1" applyAlignment="1">
      <alignment horizontal="center" vertical="center"/>
    </xf>
    <xf numFmtId="182" fontId="14" fillId="0" borderId="0" xfId="1" applyNumberFormat="1" applyFont="1" applyFill="1" applyBorder="1" applyAlignment="1">
      <alignment horizontal="center" vertical="center"/>
    </xf>
    <xf numFmtId="39" fontId="1" fillId="0" borderId="0" xfId="8" applyNumberFormat="1" applyFont="1" applyAlignment="1">
      <alignment horizontal="center"/>
    </xf>
    <xf numFmtId="2" fontId="4" fillId="0" borderId="0" xfId="8" applyNumberFormat="1" applyFont="1" applyAlignment="1">
      <alignment horizontal="center"/>
    </xf>
    <xf numFmtId="2" fontId="14" fillId="0" borderId="0" xfId="0" applyNumberFormat="1" applyFont="1" applyAlignment="1">
      <alignment horizontal="center" vertical="center" wrapText="1"/>
    </xf>
    <xf numFmtId="2" fontId="4" fillId="0" borderId="0" xfId="0" applyNumberFormat="1" applyFont="1" applyAlignment="1">
      <alignment horizontal="center" vertical="center" wrapText="1"/>
    </xf>
    <xf numFmtId="2" fontId="14" fillId="0" borderId="0" xfId="1" applyNumberFormat="1" applyFont="1" applyBorder="1" applyAlignment="1">
      <alignment horizontal="center"/>
    </xf>
    <xf numFmtId="202" fontId="4" fillId="0" borderId="0" xfId="2" applyNumberFormat="1" applyFont="1" applyFill="1" applyBorder="1"/>
    <xf numFmtId="1" fontId="4" fillId="17" borderId="9" xfId="13" applyNumberFormat="1" applyFont="1" applyFill="1" applyBorder="1" applyAlignment="1">
      <alignment horizontal="center" vertical="center" wrapText="1"/>
    </xf>
    <xf numFmtId="165" fontId="4" fillId="17" borderId="9" xfId="13" applyNumberFormat="1" applyFont="1" applyFill="1" applyBorder="1" applyAlignment="1">
      <alignment horizontal="center" vertical="center" wrapText="1"/>
    </xf>
    <xf numFmtId="1" fontId="4" fillId="8" borderId="9" xfId="13" applyNumberFormat="1" applyFont="1" applyFill="1" applyBorder="1" applyAlignment="1">
      <alignment horizontal="center" vertical="center" wrapText="1"/>
    </xf>
    <xf numFmtId="1" fontId="14" fillId="8" borderId="9" xfId="13" applyNumberFormat="1" applyFont="1" applyFill="1" applyBorder="1" applyAlignment="1">
      <alignment horizontal="center" vertical="center" wrapText="1"/>
    </xf>
    <xf numFmtId="0" fontId="14" fillId="34" borderId="9" xfId="0" applyFont="1" applyFill="1" applyBorder="1"/>
    <xf numFmtId="1" fontId="14" fillId="0" borderId="9" xfId="0" applyNumberFormat="1" applyFont="1" applyBorder="1" applyAlignment="1">
      <alignment vertical="center"/>
    </xf>
    <xf numFmtId="1" fontId="14" fillId="0" borderId="9" xfId="0" applyNumberFormat="1" applyFont="1" applyBorder="1"/>
    <xf numFmtId="1" fontId="14" fillId="35" borderId="9" xfId="0" applyNumberFormat="1" applyFont="1" applyFill="1" applyBorder="1"/>
    <xf numFmtId="0" fontId="14" fillId="16" borderId="9" xfId="0" applyFont="1" applyFill="1" applyBorder="1" applyAlignment="1">
      <alignment vertical="top"/>
    </xf>
    <xf numFmtId="9" fontId="14" fillId="4" borderId="9" xfId="3" applyFont="1" applyFill="1" applyBorder="1" applyAlignment="1"/>
    <xf numFmtId="0" fontId="14" fillId="4" borderId="0" xfId="0" applyFont="1" applyFill="1" applyAlignment="1">
      <alignment vertical="top" wrapText="1"/>
    </xf>
    <xf numFmtId="7" fontId="14" fillId="4" borderId="0" xfId="2" applyNumberFormat="1" applyFont="1" applyFill="1" applyBorder="1" applyAlignment="1">
      <alignment horizontal="center" vertical="center" wrapText="1"/>
    </xf>
    <xf numFmtId="2" fontId="14" fillId="4" borderId="0" xfId="0" applyNumberFormat="1" applyFont="1" applyFill="1"/>
    <xf numFmtId="9" fontId="14" fillId="4" borderId="0" xfId="3" applyFont="1" applyFill="1" applyBorder="1" applyAlignment="1"/>
    <xf numFmtId="7" fontId="4" fillId="4" borderId="0" xfId="2" applyNumberFormat="1" applyFont="1" applyFill="1" applyBorder="1" applyAlignment="1">
      <alignment horizontal="center" vertical="center" wrapText="1"/>
    </xf>
    <xf numFmtId="9" fontId="14" fillId="4" borderId="0" xfId="3" applyFont="1" applyFill="1" applyBorder="1" applyAlignment="1">
      <alignment horizontal="left" vertical="top" wrapText="1"/>
    </xf>
    <xf numFmtId="0" fontId="4" fillId="4" borderId="9" xfId="0" applyFont="1" applyFill="1" applyBorder="1" applyAlignment="1">
      <alignment vertical="top" wrapText="1"/>
    </xf>
    <xf numFmtId="9" fontId="4" fillId="4" borderId="9" xfId="3" applyFont="1" applyFill="1" applyBorder="1"/>
    <xf numFmtId="7" fontId="14" fillId="8" borderId="9" xfId="2" applyNumberFormat="1" applyFont="1" applyFill="1" applyBorder="1" applyAlignment="1">
      <alignment horizontal="center" vertical="center" wrapText="1"/>
    </xf>
    <xf numFmtId="3" fontId="14" fillId="8" borderId="9" xfId="0" applyNumberFormat="1" applyFont="1" applyFill="1" applyBorder="1" applyAlignment="1">
      <alignment horizontal="center" vertical="top" wrapText="1"/>
    </xf>
    <xf numFmtId="3" fontId="14" fillId="49" borderId="9" xfId="0" applyNumberFormat="1" applyFont="1" applyFill="1" applyBorder="1" applyAlignment="1">
      <alignment horizontal="center" vertical="top" wrapText="1"/>
    </xf>
    <xf numFmtId="2" fontId="14" fillId="49" borderId="9" xfId="0" applyNumberFormat="1" applyFont="1" applyFill="1" applyBorder="1" applyAlignment="1">
      <alignment horizontal="center" vertical="top" wrapText="1"/>
    </xf>
    <xf numFmtId="3" fontId="4" fillId="8" borderId="9" xfId="0" applyNumberFormat="1" applyFont="1" applyFill="1" applyBorder="1" applyAlignment="1">
      <alignment horizontal="center" vertical="top" wrapText="1"/>
    </xf>
    <xf numFmtId="2" fontId="4" fillId="8" borderId="9" xfId="0" applyNumberFormat="1" applyFont="1" applyFill="1" applyBorder="1" applyAlignment="1">
      <alignment horizontal="center"/>
    </xf>
    <xf numFmtId="2" fontId="14" fillId="8" borderId="9" xfId="0" applyNumberFormat="1" applyFont="1" applyFill="1" applyBorder="1" applyAlignment="1">
      <alignment horizontal="center" vertical="top" wrapText="1"/>
    </xf>
    <xf numFmtId="1" fontId="14" fillId="0" borderId="9" xfId="0" applyNumberFormat="1" applyFont="1" applyBorder="1" applyAlignment="1">
      <alignment horizontal="left"/>
    </xf>
    <xf numFmtId="0" fontId="14" fillId="0" borderId="9" xfId="0" applyFont="1" applyBorder="1" applyAlignment="1">
      <alignment horizontal="left" vertical="top"/>
    </xf>
    <xf numFmtId="0" fontId="14" fillId="8" borderId="9" xfId="0" applyFont="1" applyFill="1" applyBorder="1" applyAlignment="1">
      <alignment horizontal="center"/>
    </xf>
    <xf numFmtId="0" fontId="4" fillId="16" borderId="9" xfId="0" applyFont="1" applyFill="1" applyBorder="1" applyAlignment="1">
      <alignment horizontal="left" vertical="top"/>
    </xf>
    <xf numFmtId="0" fontId="14" fillId="16" borderId="9" xfId="0" applyFont="1" applyFill="1" applyBorder="1" applyAlignment="1">
      <alignment vertical="center"/>
    </xf>
    <xf numFmtId="43" fontId="14" fillId="16" borderId="9" xfId="1" applyFont="1" applyFill="1" applyBorder="1" applyAlignment="1">
      <alignment horizontal="left" vertical="top"/>
    </xf>
    <xf numFmtId="9" fontId="14" fillId="0" borderId="0" xfId="0" applyNumberFormat="1" applyFont="1" applyAlignment="1">
      <alignment horizontal="left" vertical="top" wrapText="1"/>
    </xf>
    <xf numFmtId="0" fontId="14" fillId="16" borderId="0" xfId="0" applyFont="1" applyFill="1" applyAlignment="1">
      <alignment horizontal="left" vertical="center" wrapText="1"/>
    </xf>
    <xf numFmtId="9" fontId="14" fillId="4" borderId="0" xfId="0" applyNumberFormat="1" applyFont="1" applyFill="1" applyAlignment="1">
      <alignment horizontal="left" vertical="top" wrapText="1"/>
    </xf>
    <xf numFmtId="9" fontId="4" fillId="4" borderId="0" xfId="0" applyNumberFormat="1" applyFont="1" applyFill="1" applyAlignment="1">
      <alignment horizontal="left" vertical="top" wrapText="1"/>
    </xf>
    <xf numFmtId="43" fontId="14" fillId="0" borderId="0" xfId="0" applyNumberFormat="1" applyFont="1"/>
    <xf numFmtId="0" fontId="14" fillId="8" borderId="9" xfId="0" applyFont="1" applyFill="1" applyBorder="1" applyAlignment="1">
      <alignment horizontal="center" vertical="top" wrapText="1"/>
    </xf>
    <xf numFmtId="1" fontId="14" fillId="8" borderId="9" xfId="0" applyNumberFormat="1" applyFont="1" applyFill="1" applyBorder="1" applyAlignment="1">
      <alignment horizontal="center" vertical="top" wrapText="1"/>
    </xf>
    <xf numFmtId="4" fontId="14" fillId="8" borderId="9" xfId="0" applyNumberFormat="1" applyFont="1" applyFill="1" applyBorder="1" applyAlignment="1">
      <alignment horizontal="center" vertical="top" wrapText="1"/>
    </xf>
    <xf numFmtId="4" fontId="4" fillId="8" borderId="9" xfId="0" applyNumberFormat="1" applyFont="1" applyFill="1" applyBorder="1" applyAlignment="1">
      <alignment horizontal="center" vertical="top" wrapText="1"/>
    </xf>
    <xf numFmtId="9" fontId="14" fillId="20" borderId="9" xfId="0" applyNumberFormat="1" applyFont="1" applyFill="1" applyBorder="1" applyAlignment="1">
      <alignment horizontal="center" vertical="top" wrapText="1"/>
    </xf>
    <xf numFmtId="9" fontId="14" fillId="20" borderId="9" xfId="3" applyFont="1" applyFill="1" applyBorder="1" applyAlignment="1">
      <alignment horizontal="center" vertical="top" wrapText="1"/>
    </xf>
    <xf numFmtId="1" fontId="14" fillId="4" borderId="9" xfId="0" applyNumberFormat="1" applyFont="1" applyFill="1" applyBorder="1" applyAlignment="1">
      <alignment horizontal="left" vertical="top"/>
    </xf>
    <xf numFmtId="2" fontId="51" fillId="0" borderId="9" xfId="0" applyNumberFormat="1" applyFont="1" applyBorder="1" applyAlignment="1">
      <alignment vertical="center" wrapText="1"/>
    </xf>
    <xf numFmtId="1" fontId="4" fillId="0" borderId="9" xfId="0" applyNumberFormat="1" applyFont="1" applyBorder="1"/>
    <xf numFmtId="10" fontId="14" fillId="0" borderId="9" xfId="0" applyNumberFormat="1" applyFont="1" applyBorder="1" applyAlignment="1">
      <alignment horizontal="left" vertical="top"/>
    </xf>
    <xf numFmtId="7" fontId="14" fillId="4" borderId="9" xfId="0" applyNumberFormat="1" applyFont="1" applyFill="1" applyBorder="1" applyAlignment="1">
      <alignment horizontal="center"/>
    </xf>
    <xf numFmtId="1" fontId="14" fillId="8" borderId="9" xfId="1" applyNumberFormat="1" applyFont="1" applyFill="1" applyBorder="1" applyAlignment="1">
      <alignment horizontal="center" vertical="top" wrapText="1"/>
    </xf>
    <xf numFmtId="1" fontId="4" fillId="8" borderId="9" xfId="1" applyNumberFormat="1" applyFont="1" applyFill="1" applyBorder="1" applyAlignment="1">
      <alignment horizontal="center" vertical="top" wrapText="1"/>
    </xf>
    <xf numFmtId="1" fontId="4" fillId="8" borderId="9" xfId="0" applyNumberFormat="1" applyFont="1" applyFill="1" applyBorder="1" applyAlignment="1">
      <alignment horizontal="center" vertical="top" wrapText="1"/>
    </xf>
    <xf numFmtId="2" fontId="4" fillId="8" borderId="9" xfId="0" applyNumberFormat="1" applyFont="1" applyFill="1" applyBorder="1" applyAlignment="1">
      <alignment horizontal="center" vertical="top" wrapText="1"/>
    </xf>
    <xf numFmtId="9" fontId="14" fillId="20" borderId="9" xfId="0" applyNumberFormat="1" applyFont="1" applyFill="1" applyBorder="1" applyAlignment="1">
      <alignment horizontal="center" vertical="top"/>
    </xf>
    <xf numFmtId="7" fontId="14" fillId="8" borderId="9" xfId="2" applyNumberFormat="1" applyFont="1" applyFill="1" applyBorder="1" applyAlignment="1">
      <alignment horizontal="center" vertical="top" wrapText="1"/>
    </xf>
    <xf numFmtId="7" fontId="14" fillId="4" borderId="9" xfId="2" applyNumberFormat="1" applyFont="1" applyFill="1" applyBorder="1" applyAlignment="1">
      <alignment horizontal="center" vertical="top" wrapText="1"/>
    </xf>
    <xf numFmtId="7" fontId="4" fillId="4" borderId="9" xfId="2" applyNumberFormat="1" applyFont="1" applyFill="1" applyBorder="1" applyAlignment="1">
      <alignment horizontal="center" vertical="top" wrapText="1"/>
    </xf>
    <xf numFmtId="1" fontId="14" fillId="8" borderId="9" xfId="0" applyNumberFormat="1" applyFont="1" applyFill="1" applyBorder="1" applyAlignment="1">
      <alignment horizontal="center" vertical="top"/>
    </xf>
    <xf numFmtId="0" fontId="14" fillId="17" borderId="9" xfId="0" applyFont="1" applyFill="1" applyBorder="1" applyAlignment="1">
      <alignment horizontal="center" vertical="top" wrapText="1"/>
    </xf>
    <xf numFmtId="2" fontId="4" fillId="17" borderId="9" xfId="0" applyNumberFormat="1" applyFont="1" applyFill="1" applyBorder="1" applyAlignment="1">
      <alignment horizontal="center" vertical="top" wrapText="1"/>
    </xf>
    <xf numFmtId="39" fontId="14" fillId="17" borderId="9" xfId="1" applyNumberFormat="1" applyFont="1" applyFill="1" applyBorder="1" applyAlignment="1">
      <alignment horizontal="center" vertical="top"/>
    </xf>
    <xf numFmtId="1" fontId="14" fillId="17" borderId="9" xfId="0" applyNumberFormat="1" applyFont="1" applyFill="1" applyBorder="1" applyAlignment="1">
      <alignment horizontal="center" vertical="top" wrapText="1"/>
    </xf>
    <xf numFmtId="0" fontId="4" fillId="17" borderId="9" xfId="0" applyFont="1" applyFill="1" applyBorder="1" applyAlignment="1">
      <alignment horizontal="center" vertical="top" wrapText="1"/>
    </xf>
    <xf numFmtId="2" fontId="4" fillId="17" borderId="9" xfId="0" applyNumberFormat="1" applyFont="1" applyFill="1" applyBorder="1" applyAlignment="1">
      <alignment horizontal="center"/>
    </xf>
    <xf numFmtId="170" fontId="14" fillId="17" borderId="9" xfId="1" applyNumberFormat="1" applyFont="1" applyFill="1" applyBorder="1" applyAlignment="1">
      <alignment horizontal="center" vertical="top" wrapText="1"/>
    </xf>
    <xf numFmtId="3" fontId="14" fillId="17" borderId="9" xfId="0" applyNumberFormat="1" applyFont="1" applyFill="1" applyBorder="1" applyAlignment="1">
      <alignment horizontal="center" vertical="top" wrapText="1"/>
    </xf>
    <xf numFmtId="1" fontId="4" fillId="17" borderId="9" xfId="0" applyNumberFormat="1" applyFont="1" applyFill="1" applyBorder="1" applyAlignment="1">
      <alignment horizontal="center" vertical="top" wrapText="1"/>
    </xf>
    <xf numFmtId="165" fontId="4" fillId="17" borderId="9" xfId="0" applyNumberFormat="1" applyFont="1" applyFill="1" applyBorder="1" applyAlignment="1">
      <alignment horizontal="center" vertical="top" wrapText="1"/>
    </xf>
    <xf numFmtId="1" fontId="4" fillId="17" borderId="9" xfId="3" applyNumberFormat="1" applyFont="1" applyFill="1" applyBorder="1" applyAlignment="1">
      <alignment horizontal="center"/>
    </xf>
    <xf numFmtId="0" fontId="14" fillId="17" borderId="9" xfId="0" applyFont="1" applyFill="1" applyBorder="1" applyAlignment="1">
      <alignment horizontal="center" vertical="top"/>
    </xf>
    <xf numFmtId="165" fontId="14" fillId="17" borderId="9" xfId="13" applyNumberFormat="1" applyFont="1" applyFill="1" applyBorder="1" applyAlignment="1">
      <alignment horizontal="center" vertical="center" wrapText="1"/>
    </xf>
    <xf numFmtId="1" fontId="14" fillId="17" borderId="9" xfId="13" applyNumberFormat="1" applyFont="1" applyFill="1" applyBorder="1" applyAlignment="1">
      <alignment horizontal="center" vertical="center" wrapText="1"/>
    </xf>
    <xf numFmtId="172" fontId="14" fillId="17" borderId="9" xfId="3" applyNumberFormat="1" applyFont="1" applyFill="1" applyBorder="1" applyAlignment="1">
      <alignment horizontal="center"/>
    </xf>
    <xf numFmtId="37" fontId="14" fillId="17" borderId="9" xfId="1" applyNumberFormat="1" applyFont="1" applyFill="1" applyBorder="1" applyAlignment="1">
      <alignment horizontal="center"/>
    </xf>
    <xf numFmtId="171" fontId="4" fillId="17" borderId="9" xfId="6" applyNumberFormat="1" applyFont="1" applyFill="1" applyBorder="1" applyAlignment="1">
      <alignment horizontal="center"/>
    </xf>
    <xf numFmtId="165" fontId="14" fillId="17" borderId="9" xfId="6" applyNumberFormat="1" applyFont="1" applyFill="1" applyBorder="1" applyAlignment="1">
      <alignment horizontal="center" vertical="center" wrapText="1"/>
    </xf>
    <xf numFmtId="39" fontId="14" fillId="17" borderId="9" xfId="1" applyNumberFormat="1" applyFont="1" applyFill="1" applyBorder="1" applyAlignment="1">
      <alignment horizontal="center" wrapText="1"/>
    </xf>
    <xf numFmtId="9" fontId="14" fillId="17" borderId="9" xfId="0" applyNumberFormat="1" applyFont="1" applyFill="1" applyBorder="1" applyAlignment="1">
      <alignment horizontal="center" vertical="center" wrapText="1"/>
    </xf>
    <xf numFmtId="170" fontId="14" fillId="17" borderId="9" xfId="2" applyNumberFormat="1" applyFont="1" applyFill="1" applyBorder="1" applyAlignment="1">
      <alignment horizontal="center" vertical="center" wrapText="1"/>
    </xf>
    <xf numFmtId="165" fontId="0" fillId="17" borderId="9" xfId="8" applyNumberFormat="1" applyFont="1" applyFill="1" applyBorder="1" applyAlignment="1">
      <alignment horizontal="center"/>
    </xf>
    <xf numFmtId="0" fontId="14" fillId="17" borderId="9" xfId="0" applyFont="1" applyFill="1" applyBorder="1" applyAlignment="1">
      <alignment horizontal="center" vertical="center" wrapText="1"/>
    </xf>
    <xf numFmtId="0" fontId="14" fillId="17" borderId="9" xfId="0" applyFont="1" applyFill="1" applyBorder="1" applyAlignment="1">
      <alignment horizontal="center" vertical="center"/>
    </xf>
    <xf numFmtId="2" fontId="14" fillId="17" borderId="9" xfId="0" applyNumberFormat="1" applyFont="1" applyFill="1" applyBorder="1" applyAlignment="1">
      <alignment horizontal="center" vertical="center"/>
    </xf>
    <xf numFmtId="165" fontId="4" fillId="17" borderId="9" xfId="3" applyNumberFormat="1" applyFont="1" applyFill="1" applyBorder="1" applyAlignment="1">
      <alignment horizontal="center"/>
    </xf>
    <xf numFmtId="10" fontId="14" fillId="17" borderId="9" xfId="13" applyNumberFormat="1" applyFont="1" applyFill="1" applyBorder="1" applyAlignment="1">
      <alignment horizontal="center" vertical="center" wrapText="1"/>
    </xf>
    <xf numFmtId="9" fontId="4" fillId="17" borderId="9" xfId="13" applyNumberFormat="1" applyFont="1" applyFill="1" applyBorder="1" applyAlignment="1">
      <alignment horizontal="center" vertical="center" wrapText="1"/>
    </xf>
    <xf numFmtId="165" fontId="14" fillId="17" borderId="9" xfId="8" applyNumberFormat="1" applyFont="1" applyFill="1" applyBorder="1" applyAlignment="1">
      <alignment horizontal="center" vertical="center"/>
    </xf>
    <xf numFmtId="180" fontId="14" fillId="17" borderId="9" xfId="8" applyNumberFormat="1" applyFont="1" applyFill="1" applyBorder="1" applyAlignment="1">
      <alignment horizontal="center" vertical="center"/>
    </xf>
    <xf numFmtId="0" fontId="14" fillId="17" borderId="9" xfId="8" applyFont="1" applyFill="1" applyBorder="1" applyAlignment="1">
      <alignment horizontal="center" vertical="center"/>
    </xf>
    <xf numFmtId="171" fontId="4" fillId="17" borderId="9" xfId="0" applyNumberFormat="1" applyFont="1" applyFill="1" applyBorder="1" applyAlignment="1">
      <alignment horizontal="center" vertical="center" wrapText="1"/>
    </xf>
    <xf numFmtId="0" fontId="4" fillId="17" borderId="9" xfId="6" applyFont="1" applyFill="1" applyBorder="1" applyAlignment="1">
      <alignment horizontal="center"/>
    </xf>
    <xf numFmtId="165" fontId="4" fillId="17" borderId="16" xfId="0" applyNumberFormat="1" applyFont="1" applyFill="1" applyBorder="1" applyAlignment="1">
      <alignment vertical="center" wrapText="1"/>
    </xf>
    <xf numFmtId="171" fontId="4" fillId="17" borderId="16" xfId="0" applyNumberFormat="1" applyFont="1" applyFill="1" applyBorder="1" applyAlignment="1">
      <alignment vertical="center" wrapText="1"/>
    </xf>
    <xf numFmtId="0" fontId="90" fillId="4" borderId="0" xfId="0" applyFont="1" applyFill="1"/>
    <xf numFmtId="10" fontId="14" fillId="0" borderId="9" xfId="7" applyNumberFormat="1" applyFont="1" applyBorder="1" applyAlignment="1">
      <alignment horizontal="center" vertical="center" wrapText="1"/>
    </xf>
    <xf numFmtId="2" fontId="14" fillId="12" borderId="9" xfId="1" applyNumberFormat="1" applyFont="1" applyFill="1" applyBorder="1" applyAlignment="1">
      <alignment horizontal="center" wrapText="1"/>
    </xf>
    <xf numFmtId="192" fontId="14" fillId="12" borderId="9" xfId="5" applyNumberFormat="1" applyFont="1" applyFill="1" applyBorder="1" applyAlignment="1">
      <alignment horizontal="center"/>
    </xf>
    <xf numFmtId="4" fontId="14" fillId="8" borderId="9" xfId="0" applyNumberFormat="1" applyFont="1" applyFill="1" applyBorder="1" applyAlignment="1">
      <alignment horizontal="center" vertical="center" wrapText="1"/>
    </xf>
    <xf numFmtId="39" fontId="14" fillId="12" borderId="9" xfId="5" applyNumberFormat="1" applyFont="1" applyFill="1" applyBorder="1" applyAlignment="1">
      <alignment horizontal="center"/>
    </xf>
    <xf numFmtId="39" fontId="14" fillId="17" borderId="9" xfId="5" applyNumberFormat="1" applyFont="1" applyFill="1" applyBorder="1" applyAlignment="1">
      <alignment horizontal="center"/>
    </xf>
    <xf numFmtId="170" fontId="14" fillId="12" borderId="9" xfId="5" applyNumberFormat="1" applyFont="1" applyFill="1" applyBorder="1" applyAlignment="1">
      <alignment horizontal="center"/>
    </xf>
    <xf numFmtId="192" fontId="14" fillId="17" borderId="9" xfId="5" applyNumberFormat="1" applyFont="1" applyFill="1" applyBorder="1" applyAlignment="1">
      <alignment horizontal="center"/>
    </xf>
    <xf numFmtId="2" fontId="4" fillId="17" borderId="9" xfId="1" applyNumberFormat="1" applyFont="1" applyFill="1" applyBorder="1" applyAlignment="1">
      <alignment horizontal="center" wrapText="1"/>
    </xf>
    <xf numFmtId="171" fontId="14" fillId="17" borderId="9" xfId="4" applyNumberFormat="1" applyFont="1" applyFill="1" applyBorder="1" applyAlignment="1" applyProtection="1">
      <alignment horizontal="center"/>
      <protection locked="0"/>
    </xf>
    <xf numFmtId="9" fontId="14" fillId="17" borderId="9" xfId="7" applyFont="1" applyFill="1" applyBorder="1" applyAlignment="1">
      <alignment horizontal="center" vertical="center" wrapText="1"/>
    </xf>
    <xf numFmtId="10" fontId="14" fillId="17" borderId="9" xfId="7" applyNumberFormat="1" applyFont="1" applyFill="1" applyBorder="1" applyAlignment="1">
      <alignment horizontal="center" vertical="center" wrapText="1"/>
    </xf>
    <xf numFmtId="2" fontId="14" fillId="17" borderId="9" xfId="0" applyNumberFormat="1" applyFont="1" applyFill="1" applyBorder="1" applyAlignment="1">
      <alignment horizontal="center"/>
    </xf>
    <xf numFmtId="10" fontId="4" fillId="0" borderId="9" xfId="7" applyNumberFormat="1" applyFont="1" applyBorder="1" applyAlignment="1">
      <alignment horizontal="center" vertical="center" wrapText="1"/>
    </xf>
    <xf numFmtId="0" fontId="51" fillId="0" borderId="9" xfId="0" applyFont="1" applyBorder="1" applyAlignment="1">
      <alignment horizontal="left" vertical="center"/>
    </xf>
    <xf numFmtId="0" fontId="51" fillId="0" borderId="9" xfId="0" applyFont="1" applyBorder="1" applyAlignment="1">
      <alignment vertical="center"/>
    </xf>
    <xf numFmtId="167" fontId="5" fillId="12" borderId="9" xfId="0" applyNumberFormat="1" applyFont="1" applyFill="1" applyBorder="1"/>
    <xf numFmtId="39" fontId="1" fillId="0" borderId="9" xfId="5" applyNumberFormat="1" applyFont="1" applyBorder="1" applyAlignment="1">
      <alignment horizontal="center"/>
    </xf>
    <xf numFmtId="167" fontId="5" fillId="12" borderId="9" xfId="0" applyNumberFormat="1" applyFont="1" applyFill="1" applyBorder="1" applyAlignment="1">
      <alignment horizontal="center"/>
    </xf>
    <xf numFmtId="0" fontId="69" fillId="0" borderId="9" xfId="0" applyFont="1" applyBorder="1" applyAlignment="1">
      <alignment horizontal="center" vertical="center"/>
    </xf>
    <xf numFmtId="0" fontId="97" fillId="0" borderId="9" xfId="0" applyFont="1" applyBorder="1" applyAlignment="1">
      <alignment wrapText="1"/>
    </xf>
    <xf numFmtId="0" fontId="97" fillId="0" borderId="9" xfId="0" applyFont="1" applyBorder="1"/>
    <xf numFmtId="39" fontId="4" fillId="4" borderId="9" xfId="5" applyNumberFormat="1" applyFont="1" applyFill="1" applyBorder="1" applyAlignment="1">
      <alignment horizontal="center"/>
    </xf>
    <xf numFmtId="1" fontId="4" fillId="4" borderId="9" xfId="0" applyNumberFormat="1" applyFont="1" applyFill="1" applyBorder="1" applyAlignment="1">
      <alignment horizontal="left" vertical="top"/>
    </xf>
    <xf numFmtId="10" fontId="4" fillId="0" borderId="9" xfId="0" applyNumberFormat="1" applyFont="1" applyBorder="1" applyAlignment="1">
      <alignment horizontal="left" vertical="top"/>
    </xf>
    <xf numFmtId="7" fontId="1" fillId="4" borderId="9" xfId="0" applyNumberFormat="1" applyFont="1" applyFill="1" applyBorder="1" applyAlignment="1">
      <alignment horizontal="center"/>
    </xf>
    <xf numFmtId="7" fontId="4" fillId="4" borderId="9" xfId="0" applyNumberFormat="1" applyFont="1" applyFill="1" applyBorder="1" applyAlignment="1">
      <alignment horizontal="center"/>
    </xf>
    <xf numFmtId="0" fontId="14" fillId="12" borderId="19" xfId="0" applyFont="1" applyFill="1" applyBorder="1" applyAlignment="1">
      <alignment horizontal="center" vertical="center" wrapText="1"/>
    </xf>
    <xf numFmtId="9" fontId="1" fillId="0" borderId="9" xfId="3" applyFont="1" applyFill="1" applyBorder="1" applyAlignment="1">
      <alignment horizontal="left" vertical="center" wrapText="1"/>
    </xf>
    <xf numFmtId="165" fontId="4" fillId="17" borderId="18" xfId="0" applyNumberFormat="1" applyFont="1" applyFill="1" applyBorder="1" applyAlignment="1">
      <alignment vertical="center" wrapText="1"/>
    </xf>
    <xf numFmtId="171" fontId="4" fillId="17" borderId="18" xfId="0" applyNumberFormat="1" applyFont="1" applyFill="1" applyBorder="1" applyAlignment="1">
      <alignment vertical="center" wrapText="1"/>
    </xf>
    <xf numFmtId="0" fontId="4" fillId="0" borderId="21" xfId="2" applyNumberFormat="1" applyFont="1" applyBorder="1"/>
    <xf numFmtId="0" fontId="33" fillId="0" borderId="0" xfId="0" applyFont="1"/>
    <xf numFmtId="0" fontId="51" fillId="12" borderId="9" xfId="0" applyFont="1" applyFill="1" applyBorder="1" applyAlignment="1">
      <alignment horizontal="center" vertical="center"/>
    </xf>
    <xf numFmtId="3" fontId="14" fillId="12" borderId="9" xfId="0" applyNumberFormat="1" applyFont="1" applyFill="1" applyBorder="1" applyAlignment="1">
      <alignment horizontal="center" vertical="center"/>
    </xf>
    <xf numFmtId="9" fontId="14" fillId="12" borderId="9" xfId="0" applyNumberFormat="1" applyFont="1" applyFill="1" applyBorder="1" applyAlignment="1">
      <alignment horizontal="center" vertical="center"/>
    </xf>
    <xf numFmtId="0" fontId="4" fillId="4" borderId="9" xfId="0" applyFont="1" applyFill="1" applyBorder="1" applyAlignment="1">
      <alignment horizontal="left" wrapText="1"/>
    </xf>
    <xf numFmtId="2" fontId="4" fillId="4" borderId="9" xfId="0" applyNumberFormat="1" applyFont="1" applyFill="1" applyBorder="1" applyAlignment="1">
      <alignment horizontal="center" wrapText="1"/>
    </xf>
    <xf numFmtId="178" fontId="4" fillId="4" borderId="9" xfId="0" applyNumberFormat="1" applyFont="1" applyFill="1" applyBorder="1" applyAlignment="1">
      <alignment horizontal="center" wrapText="1"/>
    </xf>
    <xf numFmtId="165" fontId="4" fillId="4" borderId="9" xfId="0" applyNumberFormat="1" applyFont="1" applyFill="1" applyBorder="1" applyAlignment="1">
      <alignment horizontal="center" wrapText="1"/>
    </xf>
    <xf numFmtId="171" fontId="4" fillId="4" borderId="9" xfId="0" applyNumberFormat="1" applyFont="1" applyFill="1" applyBorder="1" applyAlignment="1">
      <alignment horizontal="center" wrapText="1"/>
    </xf>
    <xf numFmtId="0" fontId="4" fillId="4" borderId="9" xfId="0" applyFont="1" applyFill="1" applyBorder="1" applyAlignment="1">
      <alignment horizontal="left"/>
    </xf>
    <xf numFmtId="169" fontId="4" fillId="0" borderId="9" xfId="0" applyNumberFormat="1" applyFont="1" applyBorder="1" applyAlignment="1">
      <alignment horizontal="center" vertical="center"/>
    </xf>
    <xf numFmtId="172" fontId="14" fillId="17" borderId="9" xfId="3" applyNumberFormat="1" applyFont="1" applyFill="1" applyBorder="1" applyAlignment="1">
      <alignment horizontal="center" vertical="center" wrapText="1"/>
    </xf>
    <xf numFmtId="44" fontId="4" fillId="19" borderId="9" xfId="2" applyFont="1" applyFill="1" applyBorder="1" applyAlignment="1">
      <alignment horizontal="center" vertical="center" wrapText="1"/>
    </xf>
    <xf numFmtId="182" fontId="4" fillId="0" borderId="9" xfId="1" applyNumberFormat="1" applyFont="1" applyBorder="1" applyAlignment="1">
      <alignment horizontal="center"/>
    </xf>
    <xf numFmtId="0" fontId="25" fillId="0" borderId="0" xfId="5" applyFont="1" applyAlignment="1">
      <alignment horizontal="center" vertical="center" wrapText="1"/>
    </xf>
    <xf numFmtId="168" fontId="14" fillId="0" borderId="0" xfId="5" applyNumberFormat="1" applyFont="1" applyAlignment="1">
      <alignment horizontal="center"/>
    </xf>
    <xf numFmtId="0" fontId="14" fillId="11" borderId="25" xfId="5" applyFont="1" applyFill="1" applyBorder="1" applyAlignment="1">
      <alignment horizontal="center" vertical="center" wrapText="1"/>
    </xf>
    <xf numFmtId="39" fontId="4" fillId="0" borderId="0" xfId="5" applyNumberFormat="1" applyFont="1" applyAlignment="1">
      <alignment horizontal="center"/>
    </xf>
    <xf numFmtId="0" fontId="4" fillId="0" borderId="0" xfId="5" applyFont="1" applyAlignment="1">
      <alignment horizontal="center"/>
    </xf>
    <xf numFmtId="165" fontId="14" fillId="4" borderId="0" xfId="6" applyNumberFormat="1" applyFont="1" applyFill="1" applyAlignment="1">
      <alignment horizontal="left" vertical="center" wrapText="1" indent="3"/>
    </xf>
    <xf numFmtId="177" fontId="14" fillId="0" borderId="9" xfId="9" applyNumberFormat="1" applyFont="1" applyFill="1" applyBorder="1" applyAlignment="1">
      <alignment horizontal="center" vertical="center"/>
    </xf>
    <xf numFmtId="177" fontId="14" fillId="0" borderId="9" xfId="9" applyNumberFormat="1" applyFont="1" applyFill="1" applyBorder="1" applyAlignment="1">
      <alignment horizontal="center"/>
    </xf>
    <xf numFmtId="177" fontId="14" fillId="0" borderId="9" xfId="9" applyNumberFormat="1" applyFont="1" applyFill="1" applyBorder="1" applyAlignment="1">
      <alignment horizontal="center" vertical="center" wrapText="1"/>
    </xf>
    <xf numFmtId="177" fontId="14" fillId="0" borderId="9" xfId="9" applyNumberFormat="1" applyFont="1" applyFill="1" applyBorder="1" applyAlignment="1">
      <alignment horizontal="center" vertical="top" wrapText="1"/>
    </xf>
    <xf numFmtId="0" fontId="0" fillId="4" borderId="0" xfId="0" applyFill="1" applyAlignment="1">
      <alignment vertical="center"/>
    </xf>
    <xf numFmtId="0" fontId="102" fillId="46" borderId="9" xfId="0" applyFont="1" applyFill="1" applyBorder="1" applyAlignment="1">
      <alignment horizontal="center" vertical="center" wrapText="1"/>
    </xf>
    <xf numFmtId="0" fontId="102" fillId="46" borderId="19" xfId="0" applyFont="1" applyFill="1" applyBorder="1" applyAlignment="1">
      <alignment horizontal="center" vertical="center" wrapText="1"/>
    </xf>
    <xf numFmtId="173" fontId="16" fillId="16" borderId="16" xfId="2" applyNumberFormat="1" applyFont="1" applyFill="1" applyBorder="1" applyAlignment="1">
      <alignment horizontal="center" vertical="center"/>
    </xf>
    <xf numFmtId="173" fontId="14" fillId="0" borderId="9" xfId="2" applyNumberFormat="1" applyFont="1" applyBorder="1"/>
    <xf numFmtId="173" fontId="0" fillId="0" borderId="9" xfId="2" applyNumberFormat="1" applyFont="1" applyBorder="1"/>
    <xf numFmtId="179" fontId="4" fillId="23" borderId="9" xfId="0" applyNumberFormat="1" applyFont="1" applyFill="1" applyBorder="1" applyAlignment="1">
      <alignment horizontal="center" vertical="center" wrapText="1"/>
    </xf>
    <xf numFmtId="0" fontId="4" fillId="0" borderId="33" xfId="8" applyFont="1" applyBorder="1"/>
    <xf numFmtId="0" fontId="4" fillId="0" borderId="34" xfId="8" applyFont="1" applyBorder="1" applyAlignment="1">
      <alignment horizontal="left"/>
    </xf>
    <xf numFmtId="0" fontId="4" fillId="0" borderId="34" xfId="8" applyFont="1" applyBorder="1"/>
    <xf numFmtId="0" fontId="4" fillId="4" borderId="34" xfId="8" applyFont="1" applyFill="1" applyBorder="1"/>
    <xf numFmtId="0" fontId="4" fillId="8" borderId="9" xfId="0" applyFont="1" applyFill="1" applyBorder="1"/>
    <xf numFmtId="168" fontId="4" fillId="0" borderId="9" xfId="0" applyNumberFormat="1" applyFont="1" applyBorder="1" applyAlignment="1">
      <alignment horizontal="center"/>
    </xf>
    <xf numFmtId="0" fontId="4" fillId="4" borderId="9" xfId="13" applyFont="1" applyFill="1" applyBorder="1" applyAlignment="1">
      <alignment horizontal="left"/>
    </xf>
    <xf numFmtId="165" fontId="4" fillId="4" borderId="9" xfId="13" applyNumberFormat="1" applyFont="1" applyFill="1" applyBorder="1" applyAlignment="1">
      <alignment horizontal="center"/>
    </xf>
    <xf numFmtId="189" fontId="4" fillId="0" borderId="0" xfId="8" applyNumberFormat="1" applyFont="1"/>
    <xf numFmtId="2" fontId="4" fillId="0" borderId="20" xfId="1" applyNumberFormat="1" applyFont="1" applyBorder="1" applyAlignment="1">
      <alignment horizontal="center"/>
    </xf>
    <xf numFmtId="180" fontId="63" fillId="0" borderId="0" xfId="6" applyNumberFormat="1" applyFont="1"/>
    <xf numFmtId="179" fontId="4" fillId="0" borderId="0" xfId="9" applyNumberFormat="1" applyFont="1" applyFill="1" applyBorder="1" applyAlignment="1">
      <alignment horizontal="center" vertical="center" wrapText="1"/>
    </xf>
    <xf numFmtId="0" fontId="4" fillId="0" borderId="9" xfId="13" applyFont="1" applyBorder="1" applyAlignment="1">
      <alignment wrapText="1"/>
    </xf>
    <xf numFmtId="189" fontId="4" fillId="4" borderId="16" xfId="1" applyNumberFormat="1" applyFont="1" applyFill="1" applyBorder="1" applyAlignment="1">
      <alignment horizontal="center"/>
    </xf>
    <xf numFmtId="189" fontId="4" fillId="4" borderId="16" xfId="0" applyNumberFormat="1" applyFont="1" applyFill="1" applyBorder="1" applyAlignment="1">
      <alignment horizontal="center" vertical="center" wrapText="1"/>
    </xf>
    <xf numFmtId="39" fontId="4" fillId="4" borderId="16" xfId="0" applyNumberFormat="1" applyFont="1" applyFill="1" applyBorder="1" applyAlignment="1">
      <alignment horizontal="center" vertical="center" wrapText="1"/>
    </xf>
    <xf numFmtId="1" fontId="4" fillId="0" borderId="9" xfId="13" applyNumberFormat="1" applyFont="1" applyBorder="1" applyAlignment="1">
      <alignment horizontal="left" vertical="center" wrapText="1"/>
    </xf>
    <xf numFmtId="165" fontId="4" fillId="0" borderId="9" xfId="6" applyNumberFormat="1" applyFont="1" applyBorder="1"/>
    <xf numFmtId="2" fontId="4" fillId="0" borderId="9" xfId="13" applyNumberFormat="1" applyFont="1" applyBorder="1" applyAlignment="1">
      <alignment horizontal="left" vertical="center" wrapText="1"/>
    </xf>
    <xf numFmtId="165" fontId="103" fillId="0" borderId="8" xfId="0" applyNumberFormat="1" applyFont="1" applyBorder="1" applyAlignment="1">
      <alignment horizontal="center" vertical="center" wrapText="1"/>
    </xf>
    <xf numFmtId="14" fontId="103" fillId="0" borderId="9" xfId="0" applyNumberFormat="1" applyFont="1" applyBorder="1" applyAlignment="1">
      <alignment horizontal="center" vertical="center" wrapText="1"/>
    </xf>
    <xf numFmtId="165" fontId="103" fillId="0" borderId="9" xfId="0" applyNumberFormat="1" applyFont="1" applyBorder="1" applyAlignment="1">
      <alignment horizontal="center" vertical="center" wrapText="1"/>
    </xf>
    <xf numFmtId="0" fontId="104" fillId="0" borderId="0" xfId="6" applyFont="1"/>
    <xf numFmtId="0" fontId="104" fillId="0" borderId="0" xfId="5" applyFont="1"/>
    <xf numFmtId="0" fontId="105" fillId="0" borderId="0" xfId="6" applyFont="1"/>
    <xf numFmtId="0" fontId="105" fillId="0" borderId="0" xfId="5" applyFont="1"/>
    <xf numFmtId="0" fontId="105" fillId="0" borderId="0" xfId="5" applyFont="1" applyAlignment="1">
      <alignment horizontal="left" vertical="top" wrapText="1"/>
    </xf>
    <xf numFmtId="1" fontId="0" fillId="0" borderId="9" xfId="0" applyNumberFormat="1" applyBorder="1"/>
    <xf numFmtId="212" fontId="1" fillId="0" borderId="9" xfId="5" applyNumberFormat="1" applyFont="1" applyBorder="1" applyAlignment="1">
      <alignment horizontal="center" vertical="center" wrapText="1"/>
    </xf>
    <xf numFmtId="212" fontId="0" fillId="0" borderId="9" xfId="0" applyNumberFormat="1" applyBorder="1"/>
    <xf numFmtId="212" fontId="104" fillId="0" borderId="0" xfId="5" applyNumberFormat="1" applyFont="1"/>
    <xf numFmtId="212" fontId="9" fillId="0" borderId="0" xfId="5" applyNumberFormat="1"/>
    <xf numFmtId="171" fontId="4" fillId="0" borderId="9" xfId="5" applyNumberFormat="1" applyFont="1" applyBorder="1" applyAlignment="1">
      <alignment horizontal="center" vertical="center" wrapText="1"/>
    </xf>
    <xf numFmtId="37" fontId="4" fillId="0" borderId="9" xfId="5" applyNumberFormat="1" applyFont="1" applyBorder="1" applyAlignment="1">
      <alignment horizontal="center"/>
    </xf>
    <xf numFmtId="37" fontId="14" fillId="0" borderId="0" xfId="5" applyNumberFormat="1" applyFont="1"/>
    <xf numFmtId="178" fontId="4" fillId="0" borderId="9" xfId="5" applyNumberFormat="1" applyFont="1" applyBorder="1" applyAlignment="1">
      <alignment horizontal="center"/>
    </xf>
    <xf numFmtId="5" fontId="14" fillId="0" borderId="0" xfId="5" applyNumberFormat="1" applyFont="1"/>
    <xf numFmtId="175" fontId="14" fillId="8" borderId="9" xfId="9" applyNumberFormat="1" applyFont="1" applyFill="1" applyBorder="1" applyAlignment="1">
      <alignment horizontal="center"/>
    </xf>
    <xf numFmtId="0" fontId="105" fillId="0" borderId="0" xfId="5" applyFont="1" applyAlignment="1">
      <alignment wrapText="1"/>
    </xf>
    <xf numFmtId="166" fontId="105" fillId="0" borderId="0" xfId="5" applyNumberFormat="1" applyFont="1" applyAlignment="1">
      <alignment horizontal="left"/>
    </xf>
    <xf numFmtId="166" fontId="105" fillId="0" borderId="0" xfId="5" applyNumberFormat="1" applyFont="1" applyAlignment="1">
      <alignment horizontal="center"/>
    </xf>
    <xf numFmtId="0" fontId="34" fillId="0" borderId="0" xfId="5" applyFont="1"/>
    <xf numFmtId="7" fontId="4" fillId="0" borderId="9" xfId="10" applyNumberFormat="1" applyFont="1" applyFill="1" applyBorder="1" applyAlignment="1">
      <alignment horizontal="center"/>
    </xf>
    <xf numFmtId="7" fontId="4" fillId="0" borderId="9" xfId="0" applyNumberFormat="1" applyFont="1" applyBorder="1"/>
    <xf numFmtId="3" fontId="4" fillId="0" borderId="9" xfId="1" applyNumberFormat="1" applyFont="1" applyFill="1" applyBorder="1" applyAlignment="1">
      <alignment horizontal="center" vertical="center"/>
    </xf>
    <xf numFmtId="2" fontId="4" fillId="0" borderId="9" xfId="10" applyNumberFormat="1" applyFont="1" applyFill="1" applyBorder="1" applyAlignment="1">
      <alignment horizontal="center"/>
    </xf>
    <xf numFmtId="168" fontId="4" fillId="0" borderId="9" xfId="5" applyNumberFormat="1" applyFont="1" applyBorder="1" applyAlignment="1">
      <alignment horizontal="left"/>
    </xf>
    <xf numFmtId="0" fontId="105" fillId="0" borderId="0" xfId="5" applyFont="1" applyAlignment="1">
      <alignment horizontal="left"/>
    </xf>
    <xf numFmtId="1" fontId="9" fillId="0" borderId="0" xfId="5" applyNumberFormat="1"/>
    <xf numFmtId="2" fontId="1" fillId="4" borderId="9" xfId="5" applyNumberFormat="1" applyFont="1" applyFill="1" applyBorder="1" applyAlignment="1">
      <alignment horizontal="center"/>
    </xf>
    <xf numFmtId="171" fontId="1" fillId="4" borderId="9" xfId="5" applyNumberFormat="1" applyFont="1" applyFill="1" applyBorder="1" applyAlignment="1">
      <alignment horizontal="center"/>
    </xf>
    <xf numFmtId="39" fontId="0" fillId="0" borderId="9" xfId="5" applyNumberFormat="1" applyFont="1" applyBorder="1" applyAlignment="1">
      <alignment horizontal="center"/>
    </xf>
    <xf numFmtId="175" fontId="25" fillId="0" borderId="0" xfId="5" applyNumberFormat="1" applyFont="1"/>
    <xf numFmtId="43" fontId="25" fillId="0" borderId="0" xfId="1" applyFont="1"/>
    <xf numFmtId="170" fontId="0" fillId="0" borderId="9" xfId="5" applyNumberFormat="1" applyFont="1" applyBorder="1" applyAlignment="1">
      <alignment horizontal="center"/>
    </xf>
    <xf numFmtId="37" fontId="14" fillId="0" borderId="9" xfId="0" applyNumberFormat="1" applyFont="1" applyBorder="1"/>
    <xf numFmtId="37" fontId="0" fillId="0" borderId="9" xfId="5" applyNumberFormat="1" applyFont="1" applyBorder="1" applyAlignment="1">
      <alignment horizontal="center"/>
    </xf>
    <xf numFmtId="37" fontId="0" fillId="0" borderId="9" xfId="0" applyNumberFormat="1" applyBorder="1" applyAlignment="1">
      <alignment horizontal="center"/>
    </xf>
    <xf numFmtId="1" fontId="4" fillId="0" borderId="9" xfId="5" applyNumberFormat="1" applyFont="1" applyBorder="1" applyAlignment="1">
      <alignment horizontal="center"/>
    </xf>
    <xf numFmtId="1" fontId="0" fillId="0" borderId="9" xfId="5" applyNumberFormat="1" applyFont="1" applyBorder="1" applyAlignment="1">
      <alignment horizontal="center"/>
    </xf>
    <xf numFmtId="171" fontId="4" fillId="0" borderId="9" xfId="5" applyNumberFormat="1" applyFont="1" applyBorder="1" applyAlignment="1">
      <alignment horizontal="center"/>
    </xf>
    <xf numFmtId="0" fontId="98" fillId="11" borderId="9" xfId="5" applyFont="1" applyFill="1" applyBorder="1" applyAlignment="1">
      <alignment horizontal="center" vertical="center" wrapText="1"/>
    </xf>
    <xf numFmtId="9" fontId="4" fillId="0" borderId="9" xfId="11" applyFont="1" applyFill="1" applyBorder="1" applyAlignment="1">
      <alignment horizontal="center" vertical="center"/>
    </xf>
    <xf numFmtId="212" fontId="14" fillId="0" borderId="0" xfId="5" applyNumberFormat="1" applyFont="1"/>
    <xf numFmtId="171" fontId="4" fillId="4" borderId="9" xfId="5" applyNumberFormat="1" applyFont="1" applyFill="1" applyBorder="1"/>
    <xf numFmtId="171" fontId="0" fillId="4" borderId="9" xfId="5" quotePrefix="1" applyNumberFormat="1" applyFont="1" applyFill="1" applyBorder="1"/>
    <xf numFmtId="168" fontId="14" fillId="0" borderId="9" xfId="1" applyNumberFormat="1" applyFont="1" applyBorder="1"/>
    <xf numFmtId="168" fontId="0" fillId="0" borderId="9" xfId="1" applyNumberFormat="1" applyFont="1" applyBorder="1"/>
    <xf numFmtId="168" fontId="0" fillId="0" borderId="9" xfId="1" applyNumberFormat="1" applyFont="1" applyBorder="1" applyAlignment="1">
      <alignment horizontal="center"/>
    </xf>
    <xf numFmtId="37" fontId="9" fillId="0" borderId="0" xfId="5" applyNumberFormat="1"/>
    <xf numFmtId="0" fontId="52" fillId="0" borderId="0" xfId="5" applyFont="1" applyAlignment="1">
      <alignment horizontal="center" wrapText="1"/>
    </xf>
    <xf numFmtId="168" fontId="25" fillId="0" borderId="0" xfId="1" applyNumberFormat="1" applyFont="1"/>
    <xf numFmtId="194" fontId="14" fillId="4" borderId="9" xfId="1" applyNumberFormat="1" applyFont="1" applyFill="1" applyBorder="1" applyAlignment="1">
      <alignment horizontal="left" vertical="center" wrapText="1" indent="3"/>
    </xf>
    <xf numFmtId="168" fontId="14" fillId="4" borderId="9" xfId="1" applyNumberFormat="1" applyFont="1" applyFill="1" applyBorder="1" applyAlignment="1">
      <alignment horizontal="left" vertical="center" wrapText="1" indent="3"/>
    </xf>
    <xf numFmtId="37" fontId="20" fillId="0" borderId="0" xfId="7" applyNumberFormat="1" applyFont="1">
      <alignment horizontal="right" vertical="center" wrapText="1" readingOrder="1"/>
    </xf>
    <xf numFmtId="37" fontId="25" fillId="0" borderId="0" xfId="5" applyNumberFormat="1" applyFont="1"/>
    <xf numFmtId="168" fontId="4" fillId="0" borderId="9" xfId="1" applyNumberFormat="1" applyFont="1" applyBorder="1" applyAlignment="1">
      <alignment horizontal="center"/>
    </xf>
    <xf numFmtId="174" fontId="4" fillId="0" borderId="9" xfId="9" applyNumberFormat="1" applyFont="1" applyFill="1" applyBorder="1" applyAlignment="1">
      <alignment horizontal="center"/>
    </xf>
    <xf numFmtId="176" fontId="4" fillId="0" borderId="9" xfId="9" applyNumberFormat="1" applyFont="1" applyFill="1" applyBorder="1" applyAlignment="1">
      <alignment horizontal="center"/>
    </xf>
    <xf numFmtId="0" fontId="4" fillId="11" borderId="19" xfId="5" applyFont="1" applyFill="1" applyBorder="1" applyAlignment="1">
      <alignment horizontal="center" vertical="center" wrapText="1"/>
    </xf>
    <xf numFmtId="178" fontId="4" fillId="0" borderId="16" xfId="5" applyNumberFormat="1" applyFont="1" applyBorder="1" applyAlignment="1">
      <alignment horizontal="center"/>
    </xf>
    <xf numFmtId="0" fontId="4" fillId="11" borderId="9" xfId="6" applyFont="1" applyFill="1" applyBorder="1" applyAlignment="1">
      <alignment horizontal="center" vertical="center" wrapText="1"/>
    </xf>
    <xf numFmtId="165" fontId="4" fillId="4" borderId="9" xfId="6" applyNumberFormat="1" applyFont="1" applyFill="1" applyBorder="1" applyAlignment="1">
      <alignment horizontal="left" vertical="center" wrapText="1" indent="3"/>
    </xf>
    <xf numFmtId="0" fontId="4" fillId="4" borderId="9" xfId="5" applyFont="1" applyFill="1" applyBorder="1"/>
    <xf numFmtId="1" fontId="14" fillId="0" borderId="9" xfId="0" applyNumberFormat="1" applyFont="1" applyBorder="1" applyAlignment="1">
      <alignment horizontal="center"/>
    </xf>
    <xf numFmtId="212" fontId="4" fillId="0" borderId="9" xfId="0" applyNumberFormat="1" applyFont="1" applyBorder="1"/>
    <xf numFmtId="165" fontId="4" fillId="0" borderId="9" xfId="5" applyNumberFormat="1" applyFont="1" applyBorder="1" applyAlignment="1">
      <alignment horizontal="center"/>
    </xf>
    <xf numFmtId="175" fontId="4" fillId="8" borderId="9" xfId="9" applyNumberFormat="1" applyFont="1" applyFill="1" applyBorder="1" applyAlignment="1">
      <alignment horizontal="center"/>
    </xf>
    <xf numFmtId="211" fontId="14" fillId="0" borderId="9" xfId="1" applyNumberFormat="1" applyFont="1" applyBorder="1"/>
    <xf numFmtId="211" fontId="4" fillId="0" borderId="9" xfId="1" applyNumberFormat="1" applyFont="1" applyBorder="1" applyAlignment="1">
      <alignment horizontal="center"/>
    </xf>
    <xf numFmtId="9" fontId="14" fillId="0" borderId="9" xfId="3" applyFont="1" applyBorder="1"/>
    <xf numFmtId="43" fontId="1" fillId="0" borderId="9" xfId="1" applyFont="1" applyFill="1" applyBorder="1" applyAlignment="1">
      <alignment horizontal="center"/>
    </xf>
    <xf numFmtId="43" fontId="52" fillId="0" borderId="0" xfId="5" applyNumberFormat="1" applyFont="1" applyAlignment="1">
      <alignment horizontal="center" wrapText="1"/>
    </xf>
    <xf numFmtId="178" fontId="0" fillId="0" borderId="9" xfId="0" applyNumberFormat="1" applyBorder="1" applyAlignment="1">
      <alignment horizontal="center"/>
    </xf>
    <xf numFmtId="178" fontId="0" fillId="0" borderId="9" xfId="0" applyNumberFormat="1" applyBorder="1"/>
    <xf numFmtId="168" fontId="4" fillId="0" borderId="9" xfId="5" applyNumberFormat="1" applyFont="1" applyBorder="1" applyAlignment="1">
      <alignment horizontal="center" vertical="center"/>
    </xf>
    <xf numFmtId="175" fontId="4" fillId="0" borderId="9" xfId="9" applyNumberFormat="1" applyFont="1" applyFill="1" applyBorder="1" applyAlignment="1">
      <alignment horizontal="center"/>
    </xf>
    <xf numFmtId="2" fontId="4" fillId="0" borderId="9" xfId="5" applyNumberFormat="1" applyFont="1" applyBorder="1" applyAlignment="1">
      <alignment horizontal="center"/>
    </xf>
    <xf numFmtId="39" fontId="1" fillId="4" borderId="9" xfId="1" applyNumberFormat="1" applyFont="1" applyFill="1" applyBorder="1" applyAlignment="1">
      <alignment horizontal="center" vertical="center" wrapText="1"/>
    </xf>
    <xf numFmtId="39" fontId="0" fillId="0" borderId="9" xfId="1" applyNumberFormat="1" applyFont="1" applyBorder="1" applyAlignment="1">
      <alignment horizontal="center"/>
    </xf>
    <xf numFmtId="4" fontId="1" fillId="4" borderId="9" xfId="5" applyNumberFormat="1" applyFont="1" applyFill="1" applyBorder="1" applyAlignment="1">
      <alignment horizontal="center" vertical="center" wrapText="1"/>
    </xf>
    <xf numFmtId="4" fontId="0" fillId="0" borderId="9" xfId="0" applyNumberFormat="1" applyBorder="1" applyAlignment="1">
      <alignment horizontal="center"/>
    </xf>
    <xf numFmtId="4" fontId="4" fillId="0" borderId="9" xfId="0" applyNumberFormat="1" applyFont="1" applyBorder="1" applyAlignment="1">
      <alignment horizontal="center"/>
    </xf>
    <xf numFmtId="0" fontId="15" fillId="0" borderId="0" xfId="5" applyFont="1" applyAlignment="1">
      <alignment wrapText="1"/>
    </xf>
    <xf numFmtId="166" fontId="15" fillId="0" borderId="0" xfId="5" applyNumberFormat="1" applyFont="1" applyAlignment="1">
      <alignment horizontal="center"/>
    </xf>
    <xf numFmtId="4" fontId="4" fillId="0" borderId="9" xfId="1" applyNumberFormat="1" applyFont="1" applyFill="1" applyBorder="1" applyAlignment="1">
      <alignment horizontal="center" vertical="center"/>
    </xf>
    <xf numFmtId="43" fontId="0" fillId="0" borderId="9" xfId="1" applyFont="1" applyBorder="1" applyAlignment="1">
      <alignment horizontal="center"/>
    </xf>
    <xf numFmtId="186" fontId="14" fillId="0" borderId="0" xfId="0" applyNumberFormat="1" applyFont="1" applyAlignment="1">
      <alignment horizontal="centerContinuous"/>
    </xf>
    <xf numFmtId="0" fontId="14" fillId="0" borderId="0" xfId="0" applyFont="1" applyAlignment="1">
      <alignment horizontal="centerContinuous"/>
    </xf>
    <xf numFmtId="190" fontId="14" fillId="0" borderId="0" xfId="3" applyNumberFormat="1" applyFont="1" applyFill="1"/>
    <xf numFmtId="199" fontId="14" fillId="0" borderId="0" xfId="3" applyNumberFormat="1" applyFont="1" applyFill="1" applyBorder="1"/>
    <xf numFmtId="193" fontId="14" fillId="0" borderId="0" xfId="1" applyNumberFormat="1" applyFont="1" applyFill="1"/>
    <xf numFmtId="212" fontId="4" fillId="4" borderId="9" xfId="5" applyNumberFormat="1" applyFont="1" applyFill="1" applyBorder="1" applyAlignment="1">
      <alignment horizontal="center"/>
    </xf>
    <xf numFmtId="180" fontId="4" fillId="0" borderId="9" xfId="3" applyNumberFormat="1" applyFont="1" applyBorder="1" applyAlignment="1">
      <alignment horizontal="center" vertical="center"/>
    </xf>
    <xf numFmtId="1" fontId="4" fillId="0" borderId="9" xfId="3" applyNumberFormat="1" applyFont="1" applyBorder="1" applyAlignment="1">
      <alignment horizontal="center" vertical="center"/>
    </xf>
    <xf numFmtId="0" fontId="106" fillId="0" borderId="0" xfId="0" applyFont="1"/>
    <xf numFmtId="0" fontId="5" fillId="4" borderId="0" xfId="0" applyFont="1" applyFill="1" applyAlignment="1">
      <alignment vertical="center"/>
    </xf>
    <xf numFmtId="0" fontId="4" fillId="0" borderId="19" xfId="0" applyFont="1" applyBorder="1" applyAlignment="1">
      <alignment horizontal="center"/>
    </xf>
    <xf numFmtId="0" fontId="4" fillId="4" borderId="23" xfId="0" applyFont="1" applyFill="1" applyBorder="1" applyAlignment="1">
      <alignment horizontal="center"/>
    </xf>
    <xf numFmtId="0" fontId="4" fillId="4" borderId="14" xfId="0" applyFont="1" applyFill="1" applyBorder="1" applyAlignment="1">
      <alignment horizontal="center"/>
    </xf>
    <xf numFmtId="189" fontId="14" fillId="50" borderId="9" xfId="5" applyNumberFormat="1" applyFont="1" applyFill="1" applyBorder="1" applyAlignment="1">
      <alignment horizontal="center"/>
    </xf>
    <xf numFmtId="1" fontId="4" fillId="50" borderId="9" xfId="3" applyNumberFormat="1" applyFont="1" applyFill="1" applyBorder="1" applyAlignment="1">
      <alignment horizontal="center"/>
    </xf>
    <xf numFmtId="9" fontId="14" fillId="50" borderId="9" xfId="3" applyFont="1" applyFill="1" applyBorder="1" applyAlignment="1">
      <alignment horizontal="center"/>
    </xf>
    <xf numFmtId="180" fontId="14" fillId="50" borderId="9" xfId="0" applyNumberFormat="1" applyFont="1" applyFill="1" applyBorder="1" applyAlignment="1">
      <alignment horizontal="center"/>
    </xf>
    <xf numFmtId="2" fontId="4" fillId="50" borderId="9" xfId="0" applyNumberFormat="1" applyFont="1" applyFill="1" applyBorder="1" applyAlignment="1">
      <alignment horizontal="center"/>
    </xf>
    <xf numFmtId="37" fontId="4" fillId="50" borderId="9" xfId="1" applyNumberFormat="1" applyFont="1" applyFill="1" applyBorder="1" applyAlignment="1">
      <alignment horizontal="center"/>
    </xf>
    <xf numFmtId="180" fontId="4" fillId="50" borderId="9" xfId="0" applyNumberFormat="1" applyFont="1" applyFill="1" applyBorder="1" applyAlignment="1">
      <alignment horizontal="center"/>
    </xf>
    <xf numFmtId="171" fontId="4" fillId="50" borderId="9" xfId="5" applyNumberFormat="1" applyFont="1" applyFill="1" applyBorder="1" applyAlignment="1">
      <alignment horizontal="center"/>
    </xf>
    <xf numFmtId="171" fontId="1" fillId="50" borderId="9" xfId="5" applyNumberFormat="1" applyFont="1" applyFill="1" applyBorder="1" applyAlignment="1">
      <alignment horizontal="center"/>
    </xf>
    <xf numFmtId="175" fontId="14" fillId="50" borderId="9" xfId="9" applyNumberFormat="1" applyFont="1" applyFill="1" applyBorder="1" applyAlignment="1">
      <alignment horizontal="center" vertical="center"/>
    </xf>
    <xf numFmtId="177" fontId="14" fillId="50" borderId="9" xfId="9" applyNumberFormat="1" applyFont="1" applyFill="1" applyBorder="1" applyAlignment="1">
      <alignment horizontal="center" vertical="center"/>
    </xf>
    <xf numFmtId="7" fontId="14" fillId="50" borderId="9" xfId="10" applyNumberFormat="1" applyFont="1" applyFill="1" applyBorder="1" applyAlignment="1">
      <alignment horizontal="center"/>
    </xf>
    <xf numFmtId="172" fontId="14" fillId="50" borderId="9" xfId="11" applyNumberFormat="1" applyFont="1" applyFill="1" applyBorder="1" applyAlignment="1">
      <alignment horizontal="center" vertical="center"/>
    </xf>
    <xf numFmtId="5" fontId="14" fillId="50" borderId="9" xfId="10" applyNumberFormat="1" applyFont="1" applyFill="1" applyBorder="1" applyAlignment="1">
      <alignment horizontal="center"/>
    </xf>
    <xf numFmtId="5" fontId="4" fillId="50" borderId="9" xfId="10" applyNumberFormat="1" applyFont="1" applyFill="1" applyBorder="1" applyAlignment="1">
      <alignment horizontal="center"/>
    </xf>
    <xf numFmtId="9" fontId="14" fillId="50" borderId="9" xfId="11" applyFont="1" applyFill="1" applyBorder="1" applyAlignment="1">
      <alignment horizontal="center" vertical="center"/>
    </xf>
    <xf numFmtId="9" fontId="4" fillId="50" borderId="9" xfId="11" applyFont="1" applyFill="1" applyBorder="1" applyAlignment="1">
      <alignment horizontal="center" vertical="center"/>
    </xf>
    <xf numFmtId="168" fontId="14" fillId="50" borderId="9" xfId="1" applyNumberFormat="1" applyFont="1" applyFill="1" applyBorder="1" applyAlignment="1">
      <alignment horizontal="center" vertical="center"/>
    </xf>
    <xf numFmtId="1" fontId="14" fillId="50" borderId="9" xfId="11" applyNumberFormat="1" applyFont="1" applyFill="1" applyBorder="1" applyAlignment="1">
      <alignment horizontal="center" vertical="center"/>
    </xf>
    <xf numFmtId="168" fontId="4" fillId="50" borderId="9" xfId="1" applyNumberFormat="1" applyFont="1" applyFill="1" applyBorder="1" applyAlignment="1">
      <alignment horizontal="center" vertical="center"/>
    </xf>
    <xf numFmtId="1" fontId="4" fillId="50" borderId="9" xfId="11" applyNumberFormat="1" applyFont="1" applyFill="1" applyBorder="1" applyAlignment="1">
      <alignment horizontal="center" vertical="center"/>
    </xf>
    <xf numFmtId="175" fontId="14" fillId="50" borderId="9" xfId="9" applyNumberFormat="1" applyFont="1" applyFill="1" applyBorder="1" applyAlignment="1">
      <alignment horizontal="center"/>
    </xf>
    <xf numFmtId="175" fontId="4" fillId="50" borderId="9" xfId="9" applyNumberFormat="1" applyFont="1" applyFill="1" applyBorder="1" applyAlignment="1">
      <alignment horizontal="center"/>
    </xf>
    <xf numFmtId="176" fontId="4" fillId="50" borderId="9" xfId="9" applyNumberFormat="1" applyFont="1" applyFill="1" applyBorder="1" applyAlignment="1">
      <alignment horizontal="center" vertical="center"/>
    </xf>
    <xf numFmtId="174" fontId="4" fillId="50" borderId="9" xfId="9" applyNumberFormat="1" applyFont="1" applyFill="1" applyBorder="1" applyAlignment="1">
      <alignment horizontal="center" vertical="center"/>
    </xf>
    <xf numFmtId="175" fontId="4" fillId="50" borderId="9" xfId="9" applyNumberFormat="1" applyFont="1" applyFill="1" applyBorder="1" applyAlignment="1">
      <alignment horizontal="center" vertical="center"/>
    </xf>
    <xf numFmtId="171" fontId="14" fillId="50" borderId="9" xfId="5" applyNumberFormat="1" applyFont="1" applyFill="1" applyBorder="1" applyAlignment="1">
      <alignment horizontal="center"/>
    </xf>
    <xf numFmtId="2" fontId="14" fillId="50" borderId="9" xfId="0" applyNumberFormat="1" applyFont="1" applyFill="1" applyBorder="1" applyAlignment="1">
      <alignment horizontal="center"/>
    </xf>
    <xf numFmtId="37" fontId="14" fillId="50" borderId="9" xfId="1" applyNumberFormat="1" applyFont="1" applyFill="1" applyBorder="1" applyAlignment="1">
      <alignment horizontal="center"/>
    </xf>
    <xf numFmtId="212" fontId="4" fillId="50" borderId="9" xfId="5" applyNumberFormat="1" applyFont="1" applyFill="1" applyBorder="1" applyAlignment="1">
      <alignment horizontal="center"/>
    </xf>
    <xf numFmtId="2" fontId="14" fillId="50" borderId="9" xfId="5" applyNumberFormat="1" applyFont="1" applyFill="1" applyBorder="1" applyAlignment="1">
      <alignment horizontal="center" vertical="center"/>
    </xf>
    <xf numFmtId="1" fontId="14" fillId="50" borderId="9" xfId="5" applyNumberFormat="1" applyFont="1" applyFill="1" applyBorder="1" applyAlignment="1">
      <alignment horizontal="center" vertical="center"/>
    </xf>
    <xf numFmtId="2" fontId="14" fillId="50" borderId="9" xfId="11" applyNumberFormat="1" applyFont="1" applyFill="1" applyBorder="1" applyAlignment="1">
      <alignment horizontal="center" vertical="center"/>
    </xf>
    <xf numFmtId="176" fontId="14" fillId="50" borderId="9" xfId="9" applyNumberFormat="1" applyFont="1" applyFill="1" applyBorder="1" applyAlignment="1">
      <alignment horizontal="center"/>
    </xf>
    <xf numFmtId="165" fontId="4" fillId="50" borderId="9" xfId="11" applyNumberFormat="1" applyFont="1" applyFill="1" applyBorder="1" applyAlignment="1">
      <alignment horizontal="center" vertical="center"/>
    </xf>
    <xf numFmtId="1" fontId="14" fillId="50" borderId="9" xfId="11" applyNumberFormat="1" applyFont="1" applyFill="1" applyBorder="1" applyAlignment="1">
      <alignment horizontal="center"/>
    </xf>
    <xf numFmtId="2" fontId="14" fillId="50" borderId="9" xfId="5" applyNumberFormat="1" applyFont="1" applyFill="1" applyBorder="1" applyAlignment="1">
      <alignment horizontal="center"/>
    </xf>
    <xf numFmtId="1" fontId="14" fillId="50" borderId="9" xfId="10" applyNumberFormat="1" applyFont="1" applyFill="1" applyBorder="1" applyAlignment="1">
      <alignment horizontal="center"/>
    </xf>
    <xf numFmtId="178" fontId="14" fillId="50" borderId="9" xfId="5" applyNumberFormat="1" applyFont="1" applyFill="1" applyBorder="1" applyAlignment="1">
      <alignment horizontal="center" vertical="center"/>
    </xf>
    <xf numFmtId="1" fontId="4" fillId="50" borderId="9" xfId="5" applyNumberFormat="1" applyFont="1" applyFill="1" applyBorder="1" applyAlignment="1">
      <alignment horizontal="center" vertical="center"/>
    </xf>
    <xf numFmtId="178" fontId="4" fillId="50" borderId="9" xfId="5" applyNumberFormat="1" applyFont="1" applyFill="1" applyBorder="1" applyAlignment="1">
      <alignment horizontal="center" vertical="center"/>
    </xf>
    <xf numFmtId="165" fontId="4" fillId="50" borderId="9" xfId="5" applyNumberFormat="1" applyFont="1" applyFill="1" applyBorder="1" applyAlignment="1">
      <alignment horizontal="center" vertical="center"/>
    </xf>
    <xf numFmtId="9" fontId="14" fillId="50" borderId="9" xfId="3" applyFont="1" applyFill="1" applyBorder="1" applyAlignment="1">
      <alignment horizontal="center" vertical="center"/>
    </xf>
    <xf numFmtId="0" fontId="25" fillId="50" borderId="0" xfId="5" applyFont="1" applyFill="1"/>
    <xf numFmtId="2" fontId="4" fillId="50" borderId="9" xfId="11" applyNumberFormat="1" applyFont="1" applyFill="1" applyBorder="1" applyAlignment="1">
      <alignment horizontal="center" vertical="center"/>
    </xf>
    <xf numFmtId="174" fontId="4" fillId="50" borderId="9" xfId="9" applyNumberFormat="1" applyFont="1" applyFill="1" applyBorder="1" applyAlignment="1">
      <alignment horizontal="center"/>
    </xf>
    <xf numFmtId="176" fontId="4" fillId="50" borderId="9" xfId="9" applyNumberFormat="1" applyFont="1" applyFill="1" applyBorder="1" applyAlignment="1">
      <alignment horizontal="center"/>
    </xf>
    <xf numFmtId="2" fontId="65" fillId="50" borderId="9" xfId="11" applyNumberFormat="1" applyFont="1" applyFill="1" applyBorder="1" applyAlignment="1">
      <alignment horizontal="center" vertical="center"/>
    </xf>
    <xf numFmtId="174" fontId="14" fillId="50" borderId="9" xfId="9" applyNumberFormat="1" applyFont="1" applyFill="1" applyBorder="1" applyAlignment="1">
      <alignment horizontal="center"/>
    </xf>
    <xf numFmtId="168" fontId="14" fillId="50" borderId="9" xfId="5" applyNumberFormat="1" applyFont="1" applyFill="1" applyBorder="1" applyAlignment="1">
      <alignment horizontal="center" vertical="center"/>
    </xf>
    <xf numFmtId="3" fontId="14" fillId="50" borderId="9" xfId="1" applyNumberFormat="1" applyFont="1" applyFill="1" applyBorder="1" applyAlignment="1">
      <alignment horizontal="center" vertical="center"/>
    </xf>
    <xf numFmtId="4" fontId="4" fillId="50" borderId="9" xfId="1" applyNumberFormat="1" applyFont="1" applyFill="1" applyBorder="1" applyAlignment="1">
      <alignment horizontal="center" vertical="center"/>
    </xf>
    <xf numFmtId="1" fontId="14" fillId="50" borderId="9" xfId="3" applyNumberFormat="1" applyFont="1" applyFill="1" applyBorder="1" applyAlignment="1">
      <alignment horizontal="center" vertical="center"/>
    </xf>
    <xf numFmtId="7" fontId="4" fillId="50" borderId="9" xfId="10" applyNumberFormat="1" applyFont="1" applyFill="1" applyBorder="1" applyAlignment="1">
      <alignment horizontal="center"/>
    </xf>
    <xf numFmtId="0" fontId="61" fillId="4" borderId="0" xfId="0" applyFont="1" applyFill="1"/>
    <xf numFmtId="0" fontId="60" fillId="4" borderId="0" xfId="0" applyFont="1" applyFill="1"/>
    <xf numFmtId="0" fontId="59" fillId="4" borderId="0" xfId="0" applyFont="1" applyFill="1"/>
    <xf numFmtId="0" fontId="49" fillId="4" borderId="0" xfId="0" applyFont="1" applyFill="1"/>
    <xf numFmtId="0" fontId="58" fillId="4" borderId="0" xfId="0" applyFont="1" applyFill="1"/>
    <xf numFmtId="168" fontId="1" fillId="4" borderId="9" xfId="5" applyNumberFormat="1" applyFont="1" applyFill="1" applyBorder="1"/>
    <xf numFmtId="168" fontId="14" fillId="4" borderId="9" xfId="5" applyNumberFormat="1" applyFont="1" applyFill="1" applyBorder="1"/>
    <xf numFmtId="168" fontId="4" fillId="4" borderId="9" xfId="5" applyNumberFormat="1" applyFont="1" applyFill="1" applyBorder="1"/>
    <xf numFmtId="0" fontId="90" fillId="4" borderId="0" xfId="0" applyFont="1" applyFill="1" applyAlignment="1">
      <alignment vertical="center"/>
    </xf>
    <xf numFmtId="171" fontId="4" fillId="4" borderId="23" xfId="0" applyNumberFormat="1" applyFont="1" applyFill="1" applyBorder="1" applyAlignment="1">
      <alignment horizontal="center" vertical="center" wrapText="1"/>
    </xf>
    <xf numFmtId="171" fontId="4" fillId="0" borderId="9" xfId="0" applyNumberFormat="1" applyFont="1" applyBorder="1" applyAlignment="1">
      <alignment horizontal="center" vertical="center" wrapText="1"/>
    </xf>
    <xf numFmtId="171" fontId="4" fillId="0" borderId="19" xfId="4" applyNumberFormat="1" applyFont="1" applyFill="1" applyBorder="1" applyProtection="1">
      <protection locked="0"/>
    </xf>
    <xf numFmtId="171" fontId="4" fillId="0" borderId="9" xfId="4" applyNumberFormat="1" applyFont="1" applyFill="1" applyBorder="1" applyProtection="1">
      <protection locked="0"/>
    </xf>
    <xf numFmtId="171" fontId="4" fillId="0" borderId="19" xfId="4" applyNumberFormat="1" applyFont="1" applyFill="1" applyBorder="1" applyAlignment="1" applyProtection="1">
      <alignment horizontal="center"/>
      <protection locked="0"/>
    </xf>
    <xf numFmtId="7" fontId="4" fillId="8" borderId="9" xfId="2" applyNumberFormat="1" applyFont="1" applyFill="1" applyBorder="1" applyAlignment="1">
      <alignment horizontal="center" vertical="center" wrapText="1"/>
    </xf>
    <xf numFmtId="7" fontId="4" fillId="8" borderId="9" xfId="2" applyNumberFormat="1" applyFont="1" applyFill="1" applyBorder="1" applyAlignment="1">
      <alignment horizontal="center" vertical="top" wrapText="1"/>
    </xf>
    <xf numFmtId="43" fontId="4" fillId="4" borderId="9" xfId="1" applyFont="1" applyFill="1" applyBorder="1"/>
    <xf numFmtId="169" fontId="4" fillId="4" borderId="23" xfId="0" applyNumberFormat="1" applyFont="1" applyFill="1" applyBorder="1" applyAlignment="1">
      <alignment horizontal="center" vertical="center" wrapText="1"/>
    </xf>
    <xf numFmtId="165" fontId="4" fillId="0" borderId="19" xfId="8" applyNumberFormat="1" applyFont="1" applyBorder="1" applyAlignment="1">
      <alignment horizontal="center"/>
    </xf>
    <xf numFmtId="165" fontId="4" fillId="0" borderId="16" xfId="0" applyNumberFormat="1" applyFont="1" applyBorder="1" applyAlignment="1">
      <alignment horizontal="center" vertical="center" wrapText="1"/>
    </xf>
    <xf numFmtId="171" fontId="4" fillId="4" borderId="9" xfId="0" applyNumberFormat="1" applyFont="1" applyFill="1" applyBorder="1" applyAlignment="1">
      <alignment horizontal="center" vertical="center" wrapText="1"/>
    </xf>
    <xf numFmtId="165" fontId="4" fillId="0" borderId="14" xfId="6" applyNumberFormat="1" applyFont="1" applyBorder="1" applyAlignment="1">
      <alignment horizontal="center"/>
    </xf>
    <xf numFmtId="171" fontId="4" fillId="4" borderId="14" xfId="13" applyNumberFormat="1" applyFont="1" applyFill="1" applyBorder="1" applyAlignment="1">
      <alignment horizontal="center" vertical="center"/>
    </xf>
    <xf numFmtId="0" fontId="51" fillId="0" borderId="0" xfId="6" applyFont="1"/>
    <xf numFmtId="1" fontId="4" fillId="50" borderId="9" xfId="10" applyNumberFormat="1" applyFont="1" applyFill="1" applyBorder="1" applyAlignment="1">
      <alignment horizontal="center"/>
    </xf>
    <xf numFmtId="0" fontId="103" fillId="4" borderId="10" xfId="0" applyFont="1" applyFill="1" applyBorder="1" applyAlignment="1">
      <alignment horizontal="left" vertical="center" wrapText="1"/>
    </xf>
    <xf numFmtId="2" fontId="14" fillId="0" borderId="9" xfId="1" applyNumberFormat="1" applyFont="1" applyFill="1" applyBorder="1"/>
    <xf numFmtId="2" fontId="14" fillId="0" borderId="9" xfId="1" applyNumberFormat="1" applyFont="1" applyFill="1" applyBorder="1" applyAlignment="1">
      <alignment horizontal="center" wrapText="1"/>
    </xf>
    <xf numFmtId="0" fontId="1" fillId="0" borderId="0" xfId="13" applyAlignment="1">
      <alignment wrapText="1"/>
    </xf>
    <xf numFmtId="3" fontId="1" fillId="0" borderId="9" xfId="6" applyNumberFormat="1" applyBorder="1"/>
    <xf numFmtId="2" fontId="14" fillId="0" borderId="16" xfId="1" applyNumberFormat="1" applyFont="1" applyFill="1" applyBorder="1"/>
    <xf numFmtId="7" fontId="14" fillId="0" borderId="9" xfId="0" applyNumberFormat="1" applyFont="1" applyBorder="1"/>
    <xf numFmtId="0" fontId="28" fillId="0" borderId="0" xfId="13" applyFont="1" applyAlignment="1">
      <alignment horizontal="left"/>
    </xf>
    <xf numFmtId="2" fontId="25" fillId="0" borderId="0" xfId="6" applyNumberFormat="1" applyFont="1"/>
    <xf numFmtId="180" fontId="14" fillId="0" borderId="9" xfId="13" applyNumberFormat="1" applyFont="1" applyBorder="1" applyAlignment="1">
      <alignment horizontal="center" vertical="center" wrapText="1"/>
    </xf>
    <xf numFmtId="180" fontId="4" fillId="0" borderId="9" xfId="13" applyNumberFormat="1" applyFont="1" applyBorder="1" applyAlignment="1">
      <alignment horizontal="center" vertical="center" wrapText="1"/>
    </xf>
    <xf numFmtId="0" fontId="1" fillId="0" borderId="9" xfId="13" applyBorder="1" applyAlignment="1">
      <alignment horizontal="center"/>
    </xf>
    <xf numFmtId="9" fontId="1" fillId="0" borderId="9" xfId="13" applyNumberFormat="1" applyBorder="1" applyAlignment="1">
      <alignment horizontal="center"/>
    </xf>
    <xf numFmtId="9" fontId="14" fillId="0" borderId="9" xfId="13" applyNumberFormat="1" applyFont="1" applyBorder="1" applyAlignment="1">
      <alignment horizontal="center"/>
    </xf>
    <xf numFmtId="0" fontId="14" fillId="0" borderId="9" xfId="13" applyFont="1" applyBorder="1" applyAlignment="1">
      <alignment horizontal="left" vertical="center" wrapText="1"/>
    </xf>
    <xf numFmtId="0" fontId="4" fillId="0" borderId="9" xfId="13" applyFont="1" applyBorder="1" applyAlignment="1">
      <alignment horizontal="left" vertical="center" wrapText="1"/>
    </xf>
    <xf numFmtId="0" fontId="4" fillId="0" borderId="9" xfId="13" applyFont="1" applyBorder="1" applyAlignment="1">
      <alignment horizontal="left"/>
    </xf>
    <xf numFmtId="180" fontId="1" fillId="0" borderId="9" xfId="13" applyNumberFormat="1" applyBorder="1" applyAlignment="1">
      <alignment horizontal="center" vertical="center" wrapText="1"/>
    </xf>
    <xf numFmtId="0" fontId="30" fillId="0" borderId="0" xfId="6" applyFont="1" applyAlignment="1">
      <alignment horizontal="left" vertical="center" wrapText="1"/>
    </xf>
    <xf numFmtId="0" fontId="30" fillId="0" borderId="0" xfId="6" applyFont="1" applyAlignment="1">
      <alignment horizontal="center" vertical="center" wrapText="1"/>
    </xf>
    <xf numFmtId="165" fontId="14" fillId="4" borderId="9" xfId="13" applyNumberFormat="1" applyFont="1" applyFill="1" applyBorder="1" applyAlignment="1">
      <alignment horizontal="left" vertical="center" wrapText="1"/>
    </xf>
    <xf numFmtId="0" fontId="114" fillId="0" borderId="0" xfId="5" applyFont="1"/>
    <xf numFmtId="0" fontId="65" fillId="0" borderId="0" xfId="5" applyFont="1"/>
    <xf numFmtId="166" fontId="114" fillId="0" borderId="0" xfId="5" applyNumberFormat="1" applyFont="1" applyAlignment="1">
      <alignment horizontal="center" wrapText="1"/>
    </xf>
    <xf numFmtId="0" fontId="65" fillId="0" borderId="0" xfId="6" applyFont="1"/>
    <xf numFmtId="166" fontId="65" fillId="0" borderId="0" xfId="5" applyNumberFormat="1" applyFont="1" applyAlignment="1">
      <alignment horizontal="center" wrapText="1"/>
    </xf>
    <xf numFmtId="0" fontId="67" fillId="0" borderId="0" xfId="5" applyFont="1"/>
    <xf numFmtId="0" fontId="114" fillId="0" borderId="0" xfId="6" applyFont="1"/>
    <xf numFmtId="4" fontId="4" fillId="4" borderId="9" xfId="6" applyNumberFormat="1" applyFont="1" applyFill="1" applyBorder="1" applyAlignment="1">
      <alignment horizontal="center"/>
    </xf>
    <xf numFmtId="2" fontId="4" fillId="4" borderId="9" xfId="6" applyNumberFormat="1" applyFont="1" applyFill="1" applyBorder="1" applyAlignment="1">
      <alignment horizontal="center"/>
    </xf>
    <xf numFmtId="169" fontId="4" fillId="4" borderId="9" xfId="6" applyNumberFormat="1" applyFont="1" applyFill="1" applyBorder="1" applyAlignment="1">
      <alignment horizontal="center"/>
    </xf>
    <xf numFmtId="7" fontId="4" fillId="4" borderId="9" xfId="2" applyNumberFormat="1" applyFont="1" applyFill="1" applyBorder="1"/>
    <xf numFmtId="181" fontId="4" fillId="47" borderId="9" xfId="0" applyNumberFormat="1" applyFont="1" applyFill="1" applyBorder="1" applyAlignment="1">
      <alignment horizontal="center" vertical="center" wrapText="1"/>
    </xf>
    <xf numFmtId="165" fontId="14" fillId="4" borderId="9" xfId="13" applyNumberFormat="1" applyFont="1" applyFill="1" applyBorder="1" applyAlignment="1">
      <alignment vertical="center" wrapText="1"/>
    </xf>
    <xf numFmtId="165" fontId="1" fillId="4" borderId="9" xfId="13" applyNumberFormat="1" applyFill="1" applyBorder="1" applyAlignment="1">
      <alignment horizontal="left" vertical="center" wrapText="1"/>
    </xf>
    <xf numFmtId="180" fontId="14" fillId="4" borderId="9" xfId="13" applyNumberFormat="1" applyFont="1" applyFill="1" applyBorder="1" applyAlignment="1">
      <alignment horizontal="center" vertical="center" wrapText="1"/>
    </xf>
    <xf numFmtId="180" fontId="4" fillId="4" borderId="9" xfId="13" applyNumberFormat="1" applyFont="1" applyFill="1" applyBorder="1" applyAlignment="1">
      <alignment horizontal="center" vertical="center" wrapText="1"/>
    </xf>
    <xf numFmtId="2" fontId="14" fillId="8" borderId="9" xfId="13" applyNumberFormat="1" applyFont="1" applyFill="1" applyBorder="1" applyAlignment="1">
      <alignment horizontal="center" vertical="center" wrapText="1"/>
    </xf>
    <xf numFmtId="2" fontId="4" fillId="4" borderId="9" xfId="13" applyNumberFormat="1" applyFont="1" applyFill="1" applyBorder="1" applyAlignment="1">
      <alignment horizontal="center" vertical="center" wrapText="1"/>
    </xf>
    <xf numFmtId="2" fontId="14" fillId="17" borderId="9" xfId="13" applyNumberFormat="1" applyFont="1" applyFill="1" applyBorder="1" applyAlignment="1">
      <alignment horizontal="center" vertical="center" wrapText="1"/>
    </xf>
    <xf numFmtId="2" fontId="14" fillId="4" borderId="9" xfId="13" applyNumberFormat="1" applyFont="1" applyFill="1" applyBorder="1" applyAlignment="1">
      <alignment horizontal="left" vertical="center" wrapText="1"/>
    </xf>
    <xf numFmtId="0" fontId="1" fillId="4" borderId="9" xfId="13" applyFill="1" applyBorder="1" applyAlignment="1">
      <alignment horizontal="center"/>
    </xf>
    <xf numFmtId="0" fontId="14" fillId="4" borderId="9" xfId="13" applyFont="1" applyFill="1" applyBorder="1" applyAlignment="1">
      <alignment horizontal="left" wrapText="1"/>
    </xf>
    <xf numFmtId="9" fontId="1" fillId="4" borderId="9" xfId="13" applyNumberFormat="1" applyFill="1" applyBorder="1" applyAlignment="1">
      <alignment horizontal="center"/>
    </xf>
    <xf numFmtId="9" fontId="4" fillId="4" borderId="9" xfId="13" applyNumberFormat="1" applyFont="1" applyFill="1" applyBorder="1" applyAlignment="1">
      <alignment horizontal="center"/>
    </xf>
    <xf numFmtId="9" fontId="14" fillId="4" borderId="9" xfId="13" applyNumberFormat="1" applyFont="1" applyFill="1" applyBorder="1" applyAlignment="1">
      <alignment horizontal="center"/>
    </xf>
    <xf numFmtId="0" fontId="14" fillId="4" borderId="9" xfId="13" applyFont="1" applyFill="1" applyBorder="1" applyAlignment="1">
      <alignment horizontal="left" vertical="center" wrapText="1"/>
    </xf>
    <xf numFmtId="0" fontId="14" fillId="4" borderId="9" xfId="13" applyFont="1" applyFill="1" applyBorder="1" applyAlignment="1">
      <alignment horizontal="left" vertical="center"/>
    </xf>
    <xf numFmtId="0" fontId="14" fillId="47" borderId="9" xfId="13" applyFont="1" applyFill="1" applyBorder="1" applyAlignment="1">
      <alignment horizontal="center"/>
    </xf>
    <xf numFmtId="2" fontId="4" fillId="47" borderId="9" xfId="13" applyNumberFormat="1" applyFont="1" applyFill="1" applyBorder="1" applyAlignment="1">
      <alignment horizontal="center"/>
    </xf>
    <xf numFmtId="2" fontId="1" fillId="4" borderId="9" xfId="13" applyNumberFormat="1" applyFill="1" applyBorder="1" applyAlignment="1">
      <alignment horizontal="center"/>
    </xf>
    <xf numFmtId="2" fontId="14" fillId="4" borderId="9" xfId="13" applyNumberFormat="1" applyFont="1" applyFill="1" applyBorder="1" applyAlignment="1">
      <alignment horizontal="center"/>
    </xf>
    <xf numFmtId="2" fontId="14" fillId="17" borderId="9" xfId="13" applyNumberFormat="1" applyFont="1" applyFill="1" applyBorder="1" applyAlignment="1">
      <alignment horizontal="center"/>
    </xf>
    <xf numFmtId="188" fontId="14" fillId="12" borderId="9" xfId="13" applyNumberFormat="1" applyFont="1" applyFill="1" applyBorder="1" applyAlignment="1">
      <alignment horizontal="center" vertical="center" wrapText="1"/>
    </xf>
    <xf numFmtId="180" fontId="1" fillId="4" borderId="9" xfId="13" applyNumberFormat="1" applyFill="1" applyBorder="1" applyAlignment="1">
      <alignment horizontal="center" vertical="center" wrapText="1"/>
    </xf>
    <xf numFmtId="165" fontId="14" fillId="17" borderId="9" xfId="6" applyNumberFormat="1" applyFont="1" applyFill="1" applyBorder="1" applyAlignment="1">
      <alignment horizontal="center"/>
    </xf>
    <xf numFmtId="165" fontId="1" fillId="4" borderId="9" xfId="6" applyNumberFormat="1" applyFill="1" applyBorder="1" applyAlignment="1">
      <alignment horizontal="center"/>
    </xf>
    <xf numFmtId="7" fontId="4" fillId="47" borderId="9" xfId="2" applyNumberFormat="1" applyFont="1" applyFill="1" applyBorder="1" applyAlignment="1">
      <alignment horizontal="center"/>
    </xf>
    <xf numFmtId="210" fontId="4" fillId="4" borderId="9" xfId="8" applyNumberFormat="1" applyFont="1" applyFill="1" applyBorder="1" applyAlignment="1">
      <alignment horizontal="center"/>
    </xf>
    <xf numFmtId="0" fontId="14" fillId="25" borderId="9" xfId="0" applyFont="1" applyFill="1" applyBorder="1" applyAlignment="1">
      <alignment horizontal="center" vertical="center" wrapText="1"/>
    </xf>
    <xf numFmtId="179" fontId="1" fillId="25" borderId="9" xfId="8" applyNumberFormat="1" applyFont="1" applyFill="1" applyBorder="1" applyAlignment="1">
      <alignment horizontal="center"/>
    </xf>
    <xf numFmtId="179" fontId="1" fillId="25" borderId="9" xfId="6" applyNumberFormat="1" applyFill="1" applyBorder="1" applyAlignment="1">
      <alignment horizontal="center"/>
    </xf>
    <xf numFmtId="4" fontId="1" fillId="25" borderId="9" xfId="6" applyNumberFormat="1" applyFill="1" applyBorder="1" applyAlignment="1">
      <alignment horizontal="center"/>
    </xf>
    <xf numFmtId="179" fontId="25" fillId="0" borderId="0" xfId="9" applyNumberFormat="1" applyFont="1" applyFill="1" applyBorder="1" applyAlignment="1">
      <alignment horizontal="center" vertical="center" wrapText="1"/>
    </xf>
    <xf numFmtId="167" fontId="70" fillId="12" borderId="0" xfId="0" applyNumberFormat="1" applyFont="1" applyFill="1"/>
    <xf numFmtId="0" fontId="71" fillId="12" borderId="9" xfId="0" applyFont="1" applyFill="1" applyBorder="1" applyAlignment="1">
      <alignment horizontal="center" vertical="center" wrapText="1"/>
    </xf>
    <xf numFmtId="9" fontId="14" fillId="0" borderId="0" xfId="3" applyFont="1" applyFill="1" applyBorder="1" applyAlignment="1">
      <alignment horizontal="center" vertical="center" wrapText="1"/>
    </xf>
    <xf numFmtId="165" fontId="14" fillId="0" borderId="0" xfId="6" applyNumberFormat="1" applyFont="1" applyAlignment="1">
      <alignment horizontal="center" vertical="center" wrapText="1"/>
    </xf>
    <xf numFmtId="9" fontId="71" fillId="0" borderId="9" xfId="3" applyFont="1" applyFill="1" applyBorder="1" applyAlignment="1">
      <alignment horizontal="center" vertical="center" wrapText="1"/>
    </xf>
    <xf numFmtId="165" fontId="71" fillId="0" borderId="9" xfId="6" applyNumberFormat="1" applyFont="1" applyBorder="1" applyAlignment="1">
      <alignment horizontal="center" vertical="center" wrapText="1"/>
    </xf>
    <xf numFmtId="165" fontId="71" fillId="0" borderId="9" xfId="13" applyNumberFormat="1" applyFont="1" applyBorder="1" applyAlignment="1">
      <alignment horizontal="center" vertical="center" wrapText="1"/>
    </xf>
    <xf numFmtId="170" fontId="4" fillId="4" borderId="9" xfId="5" applyNumberFormat="1" applyFont="1" applyFill="1" applyBorder="1" applyAlignment="1">
      <alignment horizontal="center"/>
    </xf>
    <xf numFmtId="168" fontId="4" fillId="4" borderId="9" xfId="5" applyNumberFormat="1" applyFont="1" applyFill="1" applyBorder="1" applyAlignment="1">
      <alignment horizontal="center"/>
    </xf>
    <xf numFmtId="168" fontId="14" fillId="4" borderId="9" xfId="5" applyNumberFormat="1" applyFont="1" applyFill="1" applyBorder="1" applyAlignment="1">
      <alignment horizontal="left" vertical="top" wrapText="1"/>
    </xf>
    <xf numFmtId="165" fontId="71" fillId="4" borderId="9" xfId="6" applyNumberFormat="1" applyFont="1" applyFill="1" applyBorder="1" applyAlignment="1">
      <alignment horizontal="center"/>
    </xf>
    <xf numFmtId="165" fontId="71" fillId="0" borderId="9" xfId="6" applyNumberFormat="1" applyFont="1" applyBorder="1" applyAlignment="1">
      <alignment horizontal="center"/>
    </xf>
    <xf numFmtId="171" fontId="71" fillId="4" borderId="9" xfId="6" applyNumberFormat="1" applyFont="1" applyFill="1" applyBorder="1" applyAlignment="1">
      <alignment horizontal="center"/>
    </xf>
    <xf numFmtId="171" fontId="71" fillId="0" borderId="9" xfId="6" applyNumberFormat="1" applyFont="1" applyBorder="1" applyAlignment="1">
      <alignment horizontal="center"/>
    </xf>
    <xf numFmtId="171" fontId="71" fillId="25" borderId="9" xfId="6" applyNumberFormat="1" applyFont="1" applyFill="1" applyBorder="1" applyAlignment="1">
      <alignment horizontal="center"/>
    </xf>
    <xf numFmtId="43" fontId="14" fillId="0" borderId="9" xfId="1" applyFont="1" applyFill="1" applyBorder="1"/>
    <xf numFmtId="165" fontId="14" fillId="0" borderId="0" xfId="6" applyNumberFormat="1" applyFont="1" applyAlignment="1">
      <alignment horizontal="left" vertical="center" wrapText="1"/>
    </xf>
    <xf numFmtId="9" fontId="4" fillId="19" borderId="9" xfId="3" applyFont="1" applyFill="1" applyBorder="1" applyAlignment="1">
      <alignment horizontal="center" vertical="center" wrapText="1"/>
    </xf>
    <xf numFmtId="0" fontId="116" fillId="0" borderId="0" xfId="0" applyFont="1" applyAlignment="1">
      <alignment wrapText="1"/>
    </xf>
    <xf numFmtId="180" fontId="28" fillId="0" borderId="0" xfId="6" applyNumberFormat="1" applyFont="1" applyAlignment="1">
      <alignment horizontal="center"/>
    </xf>
    <xf numFmtId="1" fontId="14" fillId="0" borderId="0" xfId="13" applyNumberFormat="1" applyFont="1" applyAlignment="1">
      <alignment horizontal="center"/>
    </xf>
    <xf numFmtId="0" fontId="14" fillId="0" borderId="34" xfId="8" applyFont="1" applyBorder="1" applyAlignment="1">
      <alignment horizontal="center"/>
    </xf>
    <xf numFmtId="0" fontId="14" fillId="0" borderId="0" xfId="8" applyFont="1" applyAlignment="1">
      <alignment horizontal="center" vertical="top" wrapText="1"/>
    </xf>
    <xf numFmtId="0" fontId="14" fillId="0" borderId="0" xfId="13" applyFont="1" applyAlignment="1">
      <alignment horizontal="center" vertical="center"/>
    </xf>
    <xf numFmtId="0" fontId="25" fillId="0" borderId="0" xfId="0" applyFont="1" applyAlignment="1">
      <alignment horizontal="center"/>
    </xf>
    <xf numFmtId="170" fontId="14" fillId="0" borderId="0" xfId="5" applyNumberFormat="1" applyFont="1" applyAlignment="1">
      <alignment horizontal="center"/>
    </xf>
    <xf numFmtId="1" fontId="14" fillId="0" borderId="0" xfId="11" applyNumberFormat="1" applyFont="1" applyFill="1" applyBorder="1" applyAlignment="1">
      <alignment horizontal="center" vertical="center"/>
    </xf>
    <xf numFmtId="186" fontId="4" fillId="0" borderId="0" xfId="0" applyNumberFormat="1" applyFont="1"/>
    <xf numFmtId="202" fontId="4" fillId="4" borderId="9" xfId="2" applyNumberFormat="1" applyFont="1" applyFill="1" applyBorder="1"/>
    <xf numFmtId="44" fontId="4" fillId="0" borderId="9" xfId="2" applyFont="1" applyFill="1" applyBorder="1" applyAlignment="1">
      <alignment horizontal="center" wrapText="1"/>
    </xf>
    <xf numFmtId="202" fontId="4" fillId="0" borderId="19" xfId="2" applyNumberFormat="1" applyFont="1" applyFill="1" applyBorder="1"/>
    <xf numFmtId="202" fontId="4" fillId="0" borderId="30" xfId="2" applyNumberFormat="1" applyFont="1" applyFill="1" applyBorder="1"/>
    <xf numFmtId="186" fontId="14" fillId="0" borderId="9" xfId="0" applyNumberFormat="1" applyFont="1" applyBorder="1"/>
    <xf numFmtId="0" fontId="24" fillId="0" borderId="9" xfId="18" applyBorder="1"/>
    <xf numFmtId="0" fontId="63" fillId="24" borderId="0" xfId="5" applyFont="1" applyFill="1"/>
    <xf numFmtId="190" fontId="63" fillId="24" borderId="0" xfId="3" applyNumberFormat="1" applyFont="1" applyFill="1" applyBorder="1"/>
    <xf numFmtId="0" fontId="63" fillId="24" borderId="0" xfId="6" applyFont="1" applyFill="1"/>
    <xf numFmtId="0" fontId="4" fillId="0" borderId="0" xfId="0" applyFont="1" applyAlignment="1">
      <alignment horizontal="left" vertical="center" wrapText="1"/>
    </xf>
    <xf numFmtId="4" fontId="4" fillId="0" borderId="0" xfId="8" applyNumberFormat="1" applyFont="1" applyAlignment="1">
      <alignment horizontal="center"/>
    </xf>
    <xf numFmtId="0" fontId="15" fillId="0" borderId="0" xfId="12" applyFont="1" applyAlignment="1">
      <alignment horizontal="center" vertical="center"/>
    </xf>
    <xf numFmtId="182" fontId="4" fillId="0" borderId="0" xfId="1" applyNumberFormat="1" applyFont="1" applyFill="1" applyBorder="1" applyAlignment="1">
      <alignment horizontal="center" vertical="center"/>
    </xf>
    <xf numFmtId="169" fontId="4" fillId="0" borderId="0" xfId="2" applyNumberFormat="1" applyFont="1" applyFill="1" applyBorder="1" applyAlignment="1">
      <alignment horizontal="center"/>
    </xf>
    <xf numFmtId="171" fontId="4" fillId="4" borderId="0" xfId="13" applyNumberFormat="1" applyFont="1" applyFill="1" applyAlignment="1">
      <alignment horizontal="center"/>
    </xf>
    <xf numFmtId="179" fontId="1" fillId="0" borderId="0" xfId="8" applyNumberFormat="1" applyFont="1" applyAlignment="1">
      <alignment horizontal="center"/>
    </xf>
    <xf numFmtId="4" fontId="1" fillId="0" borderId="0" xfId="8" applyNumberFormat="1" applyFont="1" applyAlignment="1">
      <alignment horizontal="center"/>
    </xf>
    <xf numFmtId="2" fontId="4" fillId="0" borderId="0" xfId="13" applyNumberFormat="1" applyFont="1" applyAlignment="1">
      <alignment horizontal="center"/>
    </xf>
    <xf numFmtId="2" fontId="14" fillId="0" borderId="0" xfId="1" applyNumberFormat="1" applyFont="1" applyBorder="1"/>
    <xf numFmtId="0" fontId="4" fillId="0" borderId="9" xfId="6" applyFont="1" applyBorder="1" applyAlignment="1">
      <alignment wrapText="1"/>
    </xf>
    <xf numFmtId="0" fontId="4" fillId="0" borderId="27" xfId="0" applyFont="1" applyBorder="1" applyAlignment="1">
      <alignment horizontal="left" vertical="center" wrapText="1"/>
    </xf>
    <xf numFmtId="0" fontId="65" fillId="0" borderId="9" xfId="8" applyFont="1" applyBorder="1" applyAlignment="1">
      <alignment horizontal="left" wrapText="1"/>
    </xf>
    <xf numFmtId="0" fontId="51" fillId="0" borderId="9" xfId="8" applyFont="1" applyBorder="1" applyAlignment="1">
      <alignment wrapText="1"/>
    </xf>
    <xf numFmtId="0" fontId="51" fillId="10" borderId="16" xfId="0" applyFont="1" applyFill="1" applyBorder="1" applyAlignment="1">
      <alignment horizontal="left"/>
    </xf>
    <xf numFmtId="0" fontId="51" fillId="10" borderId="17" xfId="0" applyFont="1" applyFill="1" applyBorder="1" applyAlignment="1">
      <alignment horizontal="left"/>
    </xf>
    <xf numFmtId="0" fontId="51" fillId="0" borderId="0" xfId="0" applyFont="1" applyAlignment="1">
      <alignment horizontal="center"/>
    </xf>
    <xf numFmtId="0" fontId="51" fillId="0" borderId="0" xfId="0" applyFont="1" applyAlignment="1">
      <alignment horizontal="left"/>
    </xf>
    <xf numFmtId="0" fontId="51" fillId="11" borderId="9" xfId="0" applyFont="1" applyFill="1" applyBorder="1" applyAlignment="1">
      <alignment horizontal="center" vertical="center" wrapText="1"/>
    </xf>
    <xf numFmtId="0" fontId="117" fillId="0" borderId="0" xfId="5" applyFont="1"/>
    <xf numFmtId="0" fontId="65" fillId="4" borderId="9" xfId="0" applyFont="1" applyFill="1" applyBorder="1" applyAlignment="1">
      <alignment horizontal="center"/>
    </xf>
    <xf numFmtId="0" fontId="51" fillId="4" borderId="9" xfId="6" applyFont="1" applyFill="1" applyBorder="1" applyAlignment="1">
      <alignment horizontal="center"/>
    </xf>
    <xf numFmtId="0" fontId="51" fillId="4" borderId="9" xfId="0" applyFont="1" applyFill="1" applyBorder="1" applyAlignment="1">
      <alignment horizontal="left" wrapText="1"/>
    </xf>
    <xf numFmtId="2" fontId="51" fillId="4" borderId="9" xfId="0" applyNumberFormat="1" applyFont="1" applyFill="1" applyBorder="1" applyAlignment="1">
      <alignment horizontal="center" wrapText="1"/>
    </xf>
    <xf numFmtId="182" fontId="51" fillId="4" borderId="9" xfId="1" applyNumberFormat="1" applyFont="1" applyFill="1" applyBorder="1" applyAlignment="1">
      <alignment horizontal="center"/>
    </xf>
    <xf numFmtId="178" fontId="65" fillId="4" borderId="9" xfId="0" applyNumberFormat="1" applyFont="1" applyFill="1" applyBorder="1" applyAlignment="1">
      <alignment horizontal="center" wrapText="1"/>
    </xf>
    <xf numFmtId="178" fontId="51" fillId="4" borderId="9" xfId="0" applyNumberFormat="1" applyFont="1" applyFill="1" applyBorder="1" applyAlignment="1">
      <alignment horizontal="center" wrapText="1"/>
    </xf>
    <xf numFmtId="165" fontId="51" fillId="4" borderId="9" xfId="0" applyNumberFormat="1" applyFont="1" applyFill="1" applyBorder="1" applyAlignment="1">
      <alignment horizontal="center" wrapText="1"/>
    </xf>
    <xf numFmtId="171" fontId="51" fillId="4" borderId="9" xfId="0" applyNumberFormat="1" applyFont="1" applyFill="1" applyBorder="1" applyAlignment="1">
      <alignment horizontal="center" wrapText="1"/>
    </xf>
    <xf numFmtId="0" fontId="51" fillId="4" borderId="9" xfId="0" applyFont="1" applyFill="1" applyBorder="1" applyAlignment="1">
      <alignment horizontal="center"/>
    </xf>
    <xf numFmtId="0" fontId="65" fillId="0" borderId="0" xfId="13" applyFont="1" applyAlignment="1">
      <alignment horizontal="left"/>
    </xf>
    <xf numFmtId="0" fontId="65" fillId="0" borderId="0" xfId="8" applyFont="1"/>
    <xf numFmtId="0" fontId="51" fillId="0" borderId="0" xfId="0" applyFont="1" applyAlignment="1">
      <alignment horizontal="center" vertical="center"/>
    </xf>
    <xf numFmtId="0" fontId="65" fillId="4" borderId="9" xfId="6" applyFont="1" applyFill="1" applyBorder="1" applyAlignment="1">
      <alignment horizontal="center"/>
    </xf>
    <xf numFmtId="0" fontId="65" fillId="4" borderId="9" xfId="0" applyFont="1" applyFill="1" applyBorder="1" applyAlignment="1">
      <alignment horizontal="left" wrapText="1"/>
    </xf>
    <xf numFmtId="2" fontId="65" fillId="4" borderId="9" xfId="0" applyNumberFormat="1" applyFont="1" applyFill="1" applyBorder="1" applyAlignment="1">
      <alignment horizontal="center" wrapText="1"/>
    </xf>
    <xf numFmtId="182" fontId="65" fillId="4" borderId="9" xfId="1" applyNumberFormat="1" applyFont="1" applyFill="1" applyBorder="1" applyAlignment="1">
      <alignment horizontal="center"/>
    </xf>
    <xf numFmtId="165" fontId="65" fillId="4" borderId="9" xfId="0" applyNumberFormat="1" applyFont="1" applyFill="1" applyBorder="1" applyAlignment="1">
      <alignment horizontal="center" wrapText="1"/>
    </xf>
    <xf numFmtId="171" fontId="65" fillId="4" borderId="9" xfId="0" applyNumberFormat="1" applyFont="1" applyFill="1" applyBorder="1" applyAlignment="1">
      <alignment horizontal="center" wrapText="1"/>
    </xf>
    <xf numFmtId="0" fontId="65" fillId="0" borderId="0" xfId="0" applyFont="1" applyAlignment="1">
      <alignment horizontal="center" vertical="center"/>
    </xf>
    <xf numFmtId="0" fontId="118" fillId="0" borderId="0" xfId="8" applyFont="1"/>
    <xf numFmtId="0" fontId="118" fillId="0" borderId="0" xfId="8" applyFont="1" applyAlignment="1">
      <alignment horizontal="center"/>
    </xf>
    <xf numFmtId="0" fontId="67" fillId="12" borderId="0" xfId="0" applyFont="1" applyFill="1"/>
    <xf numFmtId="167" fontId="67" fillId="12" borderId="0" xfId="0" applyNumberFormat="1" applyFont="1" applyFill="1"/>
    <xf numFmtId="0" fontId="65" fillId="4" borderId="9" xfId="0" applyFont="1" applyFill="1" applyBorder="1"/>
    <xf numFmtId="165" fontId="65" fillId="4" borderId="9" xfId="0" applyNumberFormat="1" applyFont="1" applyFill="1" applyBorder="1" applyAlignment="1">
      <alignment horizontal="center" vertical="center" wrapText="1"/>
    </xf>
    <xf numFmtId="2" fontId="65" fillId="4" borderId="9" xfId="0" applyNumberFormat="1" applyFont="1" applyFill="1" applyBorder="1" applyAlignment="1">
      <alignment horizontal="center" vertical="center" wrapText="1"/>
    </xf>
    <xf numFmtId="2" fontId="65" fillId="0" borderId="9" xfId="13" applyNumberFormat="1" applyFont="1" applyBorder="1" applyAlignment="1">
      <alignment horizontal="center"/>
    </xf>
    <xf numFmtId="0" fontId="118" fillId="0" borderId="0" xfId="0" applyFont="1"/>
    <xf numFmtId="0" fontId="118" fillId="0" borderId="0" xfId="0" applyFont="1" applyAlignment="1">
      <alignment horizontal="center"/>
    </xf>
    <xf numFmtId="165" fontId="118" fillId="0" borderId="0" xfId="0" applyNumberFormat="1" applyFont="1" applyAlignment="1">
      <alignment horizontal="center" vertical="center" wrapText="1"/>
    </xf>
    <xf numFmtId="165" fontId="65" fillId="0" borderId="0" xfId="0" applyNumberFormat="1" applyFont="1" applyAlignment="1">
      <alignment horizontal="center" vertical="center" wrapText="1"/>
    </xf>
    <xf numFmtId="0" fontId="51" fillId="0" borderId="0" xfId="0" applyFont="1" applyAlignment="1">
      <alignment vertical="center"/>
    </xf>
    <xf numFmtId="0" fontId="51" fillId="4" borderId="0" xfId="0" applyFont="1" applyFill="1" applyAlignment="1">
      <alignment vertical="center"/>
    </xf>
    <xf numFmtId="0" fontId="65" fillId="0" borderId="9" xfId="0" applyFont="1" applyBorder="1" applyAlignment="1">
      <alignment horizontal="center" vertical="center"/>
    </xf>
    <xf numFmtId="0" fontId="51" fillId="0" borderId="9" xfId="0" applyFont="1" applyBorder="1" applyAlignment="1">
      <alignment horizontal="center" vertical="center" wrapText="1"/>
    </xf>
    <xf numFmtId="2" fontId="65" fillId="0" borderId="9" xfId="0" applyNumberFormat="1" applyFont="1" applyBorder="1" applyAlignment="1">
      <alignment horizontal="center" vertical="center" wrapText="1"/>
    </xf>
    <xf numFmtId="169" fontId="65" fillId="0" borderId="9" xfId="0" applyNumberFormat="1" applyFont="1" applyBorder="1" applyAlignment="1">
      <alignment horizontal="center" vertical="center" wrapText="1"/>
    </xf>
    <xf numFmtId="182" fontId="51" fillId="0" borderId="9" xfId="1" applyNumberFormat="1" applyFont="1" applyFill="1" applyBorder="1" applyAlignment="1">
      <alignment horizontal="center" vertical="center"/>
    </xf>
    <xf numFmtId="2" fontId="65" fillId="0" borderId="9" xfId="12" applyNumberFormat="1" applyFont="1" applyBorder="1" applyAlignment="1">
      <alignment horizontal="center" vertical="center"/>
    </xf>
    <xf numFmtId="39" fontId="51" fillId="0" borderId="9" xfId="1" applyNumberFormat="1" applyFont="1" applyFill="1" applyBorder="1" applyAlignment="1">
      <alignment horizontal="center" vertical="center"/>
    </xf>
    <xf numFmtId="184" fontId="65" fillId="0" borderId="9" xfId="1" applyNumberFormat="1" applyFont="1" applyFill="1" applyBorder="1" applyAlignment="1">
      <alignment horizontal="center" vertical="center"/>
    </xf>
    <xf numFmtId="184" fontId="51" fillId="0" borderId="9" xfId="1" applyNumberFormat="1" applyFont="1" applyFill="1" applyBorder="1" applyAlignment="1">
      <alignment horizontal="center" vertical="center"/>
    </xf>
    <xf numFmtId="165" fontId="65" fillId="0" borderId="9" xfId="0" applyNumberFormat="1" applyFont="1" applyBorder="1" applyAlignment="1">
      <alignment horizontal="center" vertical="center" wrapText="1"/>
    </xf>
    <xf numFmtId="44" fontId="51" fillId="0" borderId="9" xfId="2" applyFont="1" applyFill="1" applyBorder="1" applyAlignment="1">
      <alignment vertical="center"/>
    </xf>
    <xf numFmtId="0" fontId="51" fillId="0" borderId="9" xfId="0" applyFont="1" applyBorder="1" applyAlignment="1">
      <alignment horizontal="center" vertical="center"/>
    </xf>
    <xf numFmtId="0" fontId="118" fillId="0" borderId="0" xfId="0" applyFont="1" applyAlignment="1">
      <alignment vertical="center"/>
    </xf>
    <xf numFmtId="0" fontId="74" fillId="12" borderId="0" xfId="0" applyFont="1" applyFill="1" applyAlignment="1">
      <alignment vertical="center"/>
    </xf>
    <xf numFmtId="167" fontId="119" fillId="12" borderId="0" xfId="0" applyNumberFormat="1" applyFont="1" applyFill="1" applyAlignment="1">
      <alignment vertical="center"/>
    </xf>
    <xf numFmtId="2" fontId="65" fillId="19" borderId="9" xfId="0" applyNumberFormat="1" applyFont="1" applyFill="1" applyBorder="1" applyAlignment="1">
      <alignment vertical="center"/>
    </xf>
    <xf numFmtId="0" fontId="65" fillId="19" borderId="9" xfId="0" applyFont="1" applyFill="1" applyBorder="1" applyAlignment="1">
      <alignment vertical="center"/>
    </xf>
    <xf numFmtId="2" fontId="65" fillId="0" borderId="9" xfId="0" applyNumberFormat="1" applyFont="1" applyBorder="1" applyAlignment="1">
      <alignment vertical="center"/>
    </xf>
    <xf numFmtId="0" fontId="118" fillId="0" borderId="9" xfId="0" applyFont="1" applyBorder="1" applyAlignment="1">
      <alignment vertical="center"/>
    </xf>
    <xf numFmtId="187" fontId="118" fillId="0" borderId="0" xfId="3" applyNumberFormat="1" applyFont="1" applyFill="1" applyAlignment="1">
      <alignment vertical="center"/>
    </xf>
    <xf numFmtId="44" fontId="65" fillId="8" borderId="9" xfId="2" applyFont="1" applyFill="1" applyBorder="1" applyAlignment="1">
      <alignment horizontal="center" vertical="center" wrapText="1"/>
    </xf>
    <xf numFmtId="43" fontId="118" fillId="0" borderId="22" xfId="1" applyFont="1" applyBorder="1" applyAlignment="1">
      <alignment vertical="center"/>
    </xf>
    <xf numFmtId="0" fontId="51" fillId="4" borderId="23" xfId="8" applyFont="1" applyFill="1" applyBorder="1" applyAlignment="1">
      <alignment horizontal="left" vertical="center"/>
    </xf>
    <xf numFmtId="7" fontId="118" fillId="0" borderId="0" xfId="0" applyNumberFormat="1" applyFont="1" applyAlignment="1">
      <alignment vertical="center"/>
    </xf>
    <xf numFmtId="201" fontId="65" fillId="0" borderId="24" xfId="2" applyNumberFormat="1" applyFont="1" applyFill="1" applyBorder="1" applyAlignment="1">
      <alignment vertical="center"/>
    </xf>
    <xf numFmtId="0" fontId="51" fillId="0" borderId="33" xfId="8" applyFont="1" applyBorder="1" applyAlignment="1">
      <alignment vertical="center"/>
    </xf>
    <xf numFmtId="0" fontId="51" fillId="0" borderId="0" xfId="8" applyFont="1" applyAlignment="1">
      <alignment horizontal="center" vertical="center"/>
    </xf>
    <xf numFmtId="0" fontId="51" fillId="0" borderId="34" xfId="8" applyFont="1" applyBorder="1" applyAlignment="1">
      <alignment horizontal="left" vertical="center"/>
    </xf>
    <xf numFmtId="0" fontId="51" fillId="0" borderId="34" xfId="8" applyFont="1" applyBorder="1" applyAlignment="1">
      <alignment vertical="center"/>
    </xf>
    <xf numFmtId="0" fontId="51" fillId="4" borderId="34" xfId="8" applyFont="1" applyFill="1" applyBorder="1" applyAlignment="1">
      <alignment vertical="center"/>
    </xf>
    <xf numFmtId="0" fontId="51" fillId="0" borderId="0" xfId="8" applyFont="1" applyAlignment="1">
      <alignment vertical="center"/>
    </xf>
    <xf numFmtId="0" fontId="51" fillId="0" borderId="9" xfId="8" applyFont="1" applyBorder="1" applyAlignment="1">
      <alignment horizontal="left" vertical="center"/>
    </xf>
    <xf numFmtId="0" fontId="51" fillId="0" borderId="9" xfId="8" applyFont="1" applyBorder="1" applyAlignment="1">
      <alignment horizontal="center" vertical="center"/>
    </xf>
    <xf numFmtId="192" fontId="65" fillId="0" borderId="9" xfId="0" applyNumberFormat="1" applyFont="1" applyBorder="1" applyAlignment="1">
      <alignment horizontal="center" vertical="center"/>
    </xf>
    <xf numFmtId="165" fontId="51" fillId="0" borderId="9" xfId="8" applyNumberFormat="1" applyFont="1" applyBorder="1" applyAlignment="1">
      <alignment horizontal="center" vertical="center"/>
    </xf>
    <xf numFmtId="7" fontId="51" fillId="0" borderId="9" xfId="2" applyNumberFormat="1" applyFont="1" applyFill="1" applyBorder="1" applyAlignment="1">
      <alignment horizontal="center" vertical="center"/>
    </xf>
    <xf numFmtId="9" fontId="51" fillId="0" borderId="0" xfId="3" applyFont="1" applyFill="1" applyAlignment="1">
      <alignment vertical="center"/>
    </xf>
    <xf numFmtId="0" fontId="51" fillId="11" borderId="9" xfId="5" applyFont="1" applyFill="1" applyBorder="1" applyAlignment="1">
      <alignment horizontal="center" vertical="center" wrapText="1"/>
    </xf>
    <xf numFmtId="2" fontId="51" fillId="17" borderId="9" xfId="0" applyNumberFormat="1" applyFont="1" applyFill="1" applyBorder="1" applyAlignment="1">
      <alignment horizontal="center"/>
    </xf>
    <xf numFmtId="2" fontId="51" fillId="0" borderId="9" xfId="0" applyNumberFormat="1" applyFont="1" applyBorder="1" applyAlignment="1">
      <alignment vertical="center"/>
    </xf>
    <xf numFmtId="2" fontId="65" fillId="17" borderId="9" xfId="0" applyNumberFormat="1" applyFont="1" applyFill="1" applyBorder="1" applyAlignment="1">
      <alignment horizontal="center"/>
    </xf>
    <xf numFmtId="2" fontId="65" fillId="17" borderId="9" xfId="0" applyNumberFormat="1" applyFont="1" applyFill="1" applyBorder="1" applyAlignment="1">
      <alignment horizontal="center" vertical="center"/>
    </xf>
    <xf numFmtId="2" fontId="51" fillId="8" borderId="9" xfId="0" applyNumberFormat="1" applyFont="1" applyFill="1" applyBorder="1" applyAlignment="1">
      <alignment horizontal="center" vertical="center"/>
    </xf>
    <xf numFmtId="168" fontId="51" fillId="0" borderId="9" xfId="5" applyNumberFormat="1" applyFont="1" applyBorder="1" applyAlignment="1">
      <alignment horizontal="center" vertical="center" wrapText="1"/>
    </xf>
    <xf numFmtId="39" fontId="51" fillId="17" borderId="9" xfId="5" applyNumberFormat="1" applyFont="1" applyFill="1" applyBorder="1" applyAlignment="1">
      <alignment horizontal="center" vertical="center"/>
    </xf>
    <xf numFmtId="39" fontId="51" fillId="0" borderId="9" xfId="5" applyNumberFormat="1" applyFont="1" applyBorder="1" applyAlignment="1">
      <alignment horizontal="center" vertical="center"/>
    </xf>
    <xf numFmtId="165" fontId="51" fillId="17" borderId="9" xfId="0" applyNumberFormat="1" applyFont="1" applyFill="1" applyBorder="1" applyAlignment="1">
      <alignment horizontal="center" vertical="center" wrapText="1"/>
    </xf>
    <xf numFmtId="0" fontId="51" fillId="0" borderId="9" xfId="8" applyFont="1" applyBorder="1" applyAlignment="1">
      <alignment vertical="center"/>
    </xf>
    <xf numFmtId="0" fontId="51" fillId="4" borderId="9" xfId="8" applyFont="1" applyFill="1" applyBorder="1" applyAlignment="1">
      <alignment horizontal="left" vertical="center"/>
    </xf>
    <xf numFmtId="44" fontId="51" fillId="17" borderId="9" xfId="2" applyFont="1" applyFill="1" applyBorder="1" applyAlignment="1">
      <alignment horizontal="center" vertical="center"/>
    </xf>
    <xf numFmtId="168" fontId="51" fillId="4" borderId="9" xfId="5" applyNumberFormat="1" applyFont="1" applyFill="1" applyBorder="1" applyAlignment="1">
      <alignment horizontal="center" vertical="center" wrapText="1"/>
    </xf>
    <xf numFmtId="0" fontId="51" fillId="4" borderId="0" xfId="13" applyFont="1" applyFill="1" applyAlignment="1">
      <alignment horizontal="left"/>
    </xf>
    <xf numFmtId="0" fontId="51" fillId="4" borderId="0" xfId="8" applyFont="1" applyFill="1" applyAlignment="1">
      <alignment vertical="center"/>
    </xf>
    <xf numFmtId="0" fontId="51" fillId="4" borderId="0" xfId="13" applyFont="1" applyFill="1" applyAlignment="1">
      <alignment horizontal="left" vertical="center"/>
    </xf>
    <xf numFmtId="0" fontId="51" fillId="4" borderId="44" xfId="8" applyFont="1" applyFill="1" applyBorder="1" applyAlignment="1">
      <alignment vertical="center"/>
    </xf>
    <xf numFmtId="0" fontId="51" fillId="4" borderId="45" xfId="8" applyFont="1" applyFill="1" applyBorder="1" applyAlignment="1">
      <alignment horizontal="left" vertical="center"/>
    </xf>
    <xf numFmtId="0" fontId="51" fillId="4" borderId="46" xfId="8" applyFont="1" applyFill="1" applyBorder="1" applyAlignment="1">
      <alignment vertical="center"/>
    </xf>
    <xf numFmtId="0" fontId="51" fillId="0" borderId="45" xfId="8" applyFont="1" applyBorder="1" applyAlignment="1">
      <alignment horizontal="left" vertical="center"/>
    </xf>
    <xf numFmtId="0" fontId="51" fillId="0" borderId="46" xfId="8" applyFont="1" applyBorder="1" applyAlignment="1">
      <alignment vertical="center"/>
    </xf>
    <xf numFmtId="0" fontId="51" fillId="0" borderId="47" xfId="8" applyFont="1" applyBorder="1" applyAlignment="1">
      <alignment vertical="center"/>
    </xf>
    <xf numFmtId="0" fontId="51" fillId="11" borderId="9" xfId="0" applyFont="1" applyFill="1" applyBorder="1" applyAlignment="1">
      <alignment horizontal="left" vertical="center" wrapText="1"/>
    </xf>
    <xf numFmtId="0" fontId="51" fillId="11" borderId="16" xfId="0" applyFont="1" applyFill="1" applyBorder="1" applyAlignment="1">
      <alignment horizontal="center" vertical="center" wrapText="1"/>
    </xf>
    <xf numFmtId="0" fontId="51" fillId="11" borderId="18" xfId="0" applyFont="1" applyFill="1" applyBorder="1" applyAlignment="1">
      <alignment horizontal="center" vertical="center" wrapText="1"/>
    </xf>
    <xf numFmtId="0" fontId="51" fillId="4" borderId="9" xfId="8" applyFont="1" applyFill="1" applyBorder="1" applyAlignment="1">
      <alignment horizontal="left" vertical="center" wrapText="1"/>
    </xf>
    <xf numFmtId="181" fontId="51" fillId="47" borderId="9" xfId="0" applyNumberFormat="1" applyFont="1" applyFill="1" applyBorder="1" applyAlignment="1">
      <alignment horizontal="center" vertical="center" wrapText="1"/>
    </xf>
    <xf numFmtId="0" fontId="51" fillId="4" borderId="9" xfId="0" applyFont="1" applyFill="1" applyBorder="1" applyAlignment="1">
      <alignment vertical="center" wrapText="1"/>
    </xf>
    <xf numFmtId="165" fontId="65" fillId="4" borderId="9" xfId="0" applyNumberFormat="1" applyFont="1" applyFill="1" applyBorder="1" applyAlignment="1">
      <alignment horizontal="left" vertical="center" wrapText="1"/>
    </xf>
    <xf numFmtId="0" fontId="51" fillId="4" borderId="9" xfId="0" applyFont="1" applyFill="1" applyBorder="1" applyAlignment="1">
      <alignment horizontal="left" vertical="center" wrapText="1"/>
    </xf>
    <xf numFmtId="2" fontId="51" fillId="8" borderId="9" xfId="0" applyNumberFormat="1" applyFont="1" applyFill="1" applyBorder="1" applyAlignment="1">
      <alignment horizontal="center" vertical="center" wrapText="1"/>
    </xf>
    <xf numFmtId="3" fontId="51" fillId="0" borderId="9" xfId="0" applyNumberFormat="1" applyFont="1" applyBorder="1" applyAlignment="1">
      <alignment horizontal="left" vertical="center"/>
    </xf>
    <xf numFmtId="179" fontId="51" fillId="23" borderId="9" xfId="0" applyNumberFormat="1" applyFont="1" applyFill="1" applyBorder="1" applyAlignment="1">
      <alignment horizontal="center" vertical="center" wrapText="1"/>
    </xf>
    <xf numFmtId="165" fontId="65" fillId="17" borderId="9" xfId="0" applyNumberFormat="1" applyFont="1" applyFill="1" applyBorder="1" applyAlignment="1">
      <alignment horizontal="center" vertical="center" wrapText="1"/>
    </xf>
    <xf numFmtId="37" fontId="51" fillId="17" borderId="9" xfId="1" applyNumberFormat="1" applyFont="1" applyFill="1" applyBorder="1" applyAlignment="1">
      <alignment horizontal="center" vertical="center" wrapText="1"/>
    </xf>
    <xf numFmtId="2" fontId="51" fillId="17" borderId="9" xfId="0" applyNumberFormat="1" applyFont="1" applyFill="1" applyBorder="1" applyAlignment="1">
      <alignment horizontal="center" vertical="center" wrapText="1"/>
    </xf>
    <xf numFmtId="0" fontId="51" fillId="0" borderId="9" xfId="8" applyFont="1" applyBorder="1" applyAlignment="1">
      <alignment horizontal="left" vertical="center" wrapText="1"/>
    </xf>
    <xf numFmtId="9" fontId="51" fillId="23" borderId="9" xfId="3" applyFont="1" applyFill="1" applyBorder="1" applyAlignment="1">
      <alignment horizontal="center" vertical="center" wrapText="1"/>
    </xf>
    <xf numFmtId="9" fontId="51" fillId="17" borderId="9" xfId="3" applyFont="1" applyFill="1" applyBorder="1" applyAlignment="1">
      <alignment horizontal="center" vertical="center" wrapText="1"/>
    </xf>
    <xf numFmtId="9" fontId="51" fillId="47" borderId="9" xfId="3" applyFont="1" applyFill="1" applyBorder="1" applyAlignment="1">
      <alignment horizontal="center" vertical="center" wrapText="1"/>
    </xf>
    <xf numFmtId="0" fontId="51" fillId="0" borderId="9" xfId="0" applyFont="1" applyBorder="1" applyAlignment="1">
      <alignment vertical="center" wrapText="1"/>
    </xf>
    <xf numFmtId="4" fontId="51" fillId="47" borderId="9" xfId="0" applyNumberFormat="1" applyFont="1" applyFill="1" applyBorder="1" applyAlignment="1">
      <alignment horizontal="center" vertical="center" wrapText="1"/>
    </xf>
    <xf numFmtId="165" fontId="51" fillId="0" borderId="9" xfId="0" applyNumberFormat="1" applyFont="1" applyBorder="1" applyAlignment="1">
      <alignment horizontal="left" vertical="center" wrapText="1"/>
    </xf>
    <xf numFmtId="44" fontId="51" fillId="47" borderId="9" xfId="2" applyFont="1" applyFill="1" applyBorder="1" applyAlignment="1">
      <alignment horizontal="center" vertical="center" wrapText="1"/>
    </xf>
    <xf numFmtId="0" fontId="118" fillId="0" borderId="0" xfId="8" applyFont="1" applyAlignment="1">
      <alignment vertical="center"/>
    </xf>
    <xf numFmtId="0" fontId="118" fillId="0" borderId="0" xfId="8" applyFont="1" applyAlignment="1">
      <alignment horizontal="center" vertical="center"/>
    </xf>
    <xf numFmtId="167" fontId="119" fillId="12" borderId="0" xfId="0" applyNumberFormat="1" applyFont="1" applyFill="1" applyAlignment="1">
      <alignment horizontal="center" vertical="center"/>
    </xf>
    <xf numFmtId="2" fontId="65" fillId="0" borderId="9" xfId="0" applyNumberFormat="1" applyFont="1" applyBorder="1" applyAlignment="1">
      <alignment horizontal="center" vertical="center"/>
    </xf>
    <xf numFmtId="2" fontId="51" fillId="8" borderId="9" xfId="1" applyNumberFormat="1" applyFont="1" applyFill="1" applyBorder="1" applyAlignment="1">
      <alignment horizontal="center" vertical="center"/>
    </xf>
    <xf numFmtId="2" fontId="51" fillId="8" borderId="9" xfId="1" applyNumberFormat="1" applyFont="1" applyFill="1" applyBorder="1" applyAlignment="1">
      <alignment vertical="center"/>
    </xf>
    <xf numFmtId="44" fontId="51" fillId="8" borderId="9" xfId="1" applyNumberFormat="1" applyFont="1" applyFill="1" applyBorder="1" applyAlignment="1">
      <alignment horizontal="center" vertical="center" wrapText="1"/>
    </xf>
    <xf numFmtId="2" fontId="51" fillId="0" borderId="20" xfId="1" applyNumberFormat="1" applyFont="1" applyBorder="1" applyAlignment="1">
      <alignment horizontal="center" vertical="center"/>
    </xf>
    <xf numFmtId="7" fontId="51" fillId="0" borderId="27" xfId="0" applyNumberFormat="1" applyFont="1" applyBorder="1" applyAlignment="1">
      <alignment vertical="center"/>
    </xf>
    <xf numFmtId="203" fontId="65" fillId="0" borderId="21" xfId="2" applyNumberFormat="1" applyFont="1" applyFill="1" applyBorder="1" applyAlignment="1">
      <alignment vertical="center"/>
    </xf>
    <xf numFmtId="2" fontId="51" fillId="0" borderId="22" xfId="1" applyNumberFormat="1" applyFont="1" applyBorder="1" applyAlignment="1">
      <alignment horizontal="center" vertical="center"/>
    </xf>
    <xf numFmtId="7" fontId="51" fillId="0" borderId="0" xfId="0" applyNumberFormat="1" applyFont="1"/>
    <xf numFmtId="203" fontId="65" fillId="0" borderId="24" xfId="2" applyNumberFormat="1" applyFont="1" applyFill="1" applyBorder="1" applyAlignment="1">
      <alignment vertical="center"/>
    </xf>
    <xf numFmtId="39" fontId="65" fillId="0" borderId="9" xfId="0" applyNumberFormat="1" applyFont="1" applyBorder="1" applyAlignment="1">
      <alignment horizontal="center" vertical="center"/>
    </xf>
    <xf numFmtId="9" fontId="118" fillId="0" borderId="0" xfId="3" applyFont="1" applyAlignment="1">
      <alignment vertical="center"/>
    </xf>
    <xf numFmtId="0" fontId="51" fillId="0" borderId="43" xfId="8" applyFont="1" applyBorder="1" applyAlignment="1">
      <alignment vertical="center"/>
    </xf>
    <xf numFmtId="0" fontId="51" fillId="0" borderId="48" xfId="8" applyFont="1" applyBorder="1" applyAlignment="1">
      <alignment horizontal="center" vertical="center"/>
    </xf>
    <xf numFmtId="39" fontId="65" fillId="0" borderId="9" xfId="1" applyNumberFormat="1" applyFont="1" applyFill="1" applyBorder="1" applyAlignment="1">
      <alignment horizontal="center" vertical="center" wrapText="1"/>
    </xf>
    <xf numFmtId="180" fontId="65" fillId="0" borderId="9" xfId="8" applyNumberFormat="1" applyFont="1" applyBorder="1" applyAlignment="1">
      <alignment horizontal="center" vertical="center"/>
    </xf>
    <xf numFmtId="169" fontId="65" fillId="0" borderId="9" xfId="8" applyNumberFormat="1" applyFont="1" applyBorder="1" applyAlignment="1">
      <alignment horizontal="center" vertical="center"/>
    </xf>
    <xf numFmtId="165" fontId="51" fillId="0" borderId="9" xfId="0" applyNumberFormat="1" applyFont="1" applyBorder="1" applyAlignment="1">
      <alignment horizontal="center" vertical="center" wrapText="1"/>
    </xf>
    <xf numFmtId="9" fontId="51" fillId="0" borderId="0" xfId="3" applyFont="1" applyFill="1" applyBorder="1" applyAlignment="1">
      <alignment vertical="center"/>
    </xf>
    <xf numFmtId="9" fontId="51" fillId="8" borderId="9" xfId="0" applyNumberFormat="1" applyFont="1" applyFill="1" applyBorder="1" applyAlignment="1">
      <alignment horizontal="center" vertical="center" wrapText="1"/>
    </xf>
    <xf numFmtId="0" fontId="51" fillId="17" borderId="9" xfId="0" applyFont="1" applyFill="1" applyBorder="1" applyAlignment="1">
      <alignment horizontal="center" vertical="center" wrapText="1"/>
    </xf>
    <xf numFmtId="39" fontId="51" fillId="17" borderId="9" xfId="1" applyNumberFormat="1" applyFont="1" applyFill="1" applyBorder="1" applyAlignment="1">
      <alignment horizontal="center" vertical="center" wrapText="1"/>
    </xf>
    <xf numFmtId="0" fontId="51" fillId="0" borderId="19" xfId="0" applyFont="1" applyBorder="1" applyAlignment="1">
      <alignment horizontal="center" vertical="center" wrapText="1"/>
    </xf>
    <xf numFmtId="0" fontId="51" fillId="0" borderId="19" xfId="8" applyFont="1" applyBorder="1" applyAlignment="1">
      <alignment horizontal="left" vertical="center" wrapText="1"/>
    </xf>
    <xf numFmtId="0" fontId="51" fillId="0" borderId="23" xfId="8" applyFont="1" applyBorder="1" applyAlignment="1">
      <alignment horizontal="left" vertical="center" wrapText="1"/>
    </xf>
    <xf numFmtId="165" fontId="65" fillId="17" borderId="9" xfId="13" applyNumberFormat="1" applyFont="1" applyFill="1" applyBorder="1" applyAlignment="1">
      <alignment horizontal="center" vertical="center" wrapText="1"/>
    </xf>
    <xf numFmtId="9" fontId="51" fillId="17" borderId="9" xfId="0" applyNumberFormat="1" applyFont="1" applyFill="1" applyBorder="1" applyAlignment="1">
      <alignment horizontal="center" vertical="center" wrapText="1"/>
    </xf>
    <xf numFmtId="9" fontId="51" fillId="7" borderId="9" xfId="3" applyFont="1" applyFill="1" applyBorder="1" applyAlignment="1">
      <alignment horizontal="center"/>
    </xf>
    <xf numFmtId="170" fontId="51" fillId="17" borderId="9" xfId="2" applyNumberFormat="1" applyFont="1" applyFill="1" applyBorder="1" applyAlignment="1">
      <alignment horizontal="center" vertical="center" wrapText="1"/>
    </xf>
    <xf numFmtId="7" fontId="51" fillId="8" borderId="9" xfId="2" applyNumberFormat="1" applyFont="1" applyFill="1" applyBorder="1" applyAlignment="1">
      <alignment horizontal="center" wrapText="1"/>
    </xf>
    <xf numFmtId="165" fontId="51" fillId="0" borderId="9" xfId="13" applyNumberFormat="1" applyFont="1" applyBorder="1" applyAlignment="1">
      <alignment horizontal="left" vertical="center" wrapText="1"/>
    </xf>
    <xf numFmtId="1" fontId="51" fillId="0" borderId="0" xfId="8" applyNumberFormat="1" applyFont="1" applyAlignment="1">
      <alignment vertical="center"/>
    </xf>
    <xf numFmtId="0" fontId="51" fillId="0" borderId="0" xfId="13" applyFont="1" applyAlignment="1">
      <alignment horizontal="left" vertical="center"/>
    </xf>
    <xf numFmtId="0" fontId="51" fillId="0" borderId="0" xfId="8" applyFont="1" applyAlignment="1">
      <alignment horizontal="left" vertical="center"/>
    </xf>
    <xf numFmtId="2" fontId="65" fillId="0" borderId="9" xfId="1" applyNumberFormat="1" applyFont="1" applyFill="1" applyBorder="1" applyAlignment="1">
      <alignment horizontal="center" vertical="center" wrapText="1"/>
    </xf>
    <xf numFmtId="180" fontId="65" fillId="0" borderId="9" xfId="0" applyNumberFormat="1" applyFont="1" applyBorder="1" applyAlignment="1">
      <alignment horizontal="center" vertical="center" wrapText="1"/>
    </xf>
    <xf numFmtId="165" fontId="65" fillId="0" borderId="9" xfId="8" applyNumberFormat="1" applyFont="1" applyBorder="1" applyAlignment="1">
      <alignment horizontal="center" vertical="center"/>
    </xf>
    <xf numFmtId="178" fontId="51" fillId="0" borderId="9" xfId="0" applyNumberFormat="1" applyFont="1" applyBorder="1" applyAlignment="1">
      <alignment horizontal="left" vertical="center" wrapText="1"/>
    </xf>
    <xf numFmtId="182" fontId="51" fillId="4" borderId="9" xfId="1" applyNumberFormat="1" applyFont="1" applyFill="1" applyBorder="1" applyAlignment="1">
      <alignment horizontal="center" vertical="center"/>
    </xf>
    <xf numFmtId="197" fontId="51" fillId="0" borderId="9" xfId="8" applyNumberFormat="1" applyFont="1" applyBorder="1" applyAlignment="1">
      <alignment horizontal="center" vertical="center"/>
    </xf>
    <xf numFmtId="0" fontId="51" fillId="0" borderId="9" xfId="13" applyFont="1" applyBorder="1" applyAlignment="1">
      <alignment horizontal="center" vertical="center"/>
    </xf>
    <xf numFmtId="0" fontId="51" fillId="11" borderId="20" xfId="0" applyFont="1" applyFill="1" applyBorder="1" applyAlignment="1">
      <alignment horizontal="center" vertical="center" wrapText="1"/>
    </xf>
    <xf numFmtId="170" fontId="51" fillId="17" borderId="9" xfId="1" applyNumberFormat="1" applyFont="1" applyFill="1" applyBorder="1" applyAlignment="1">
      <alignment horizontal="center" vertical="center" wrapText="1"/>
    </xf>
    <xf numFmtId="0" fontId="51" fillId="0" borderId="18" xfId="0" applyFont="1" applyBorder="1" applyAlignment="1">
      <alignment horizontal="left" vertical="center" wrapText="1"/>
    </xf>
    <xf numFmtId="165" fontId="51" fillId="17" borderId="9" xfId="8" applyNumberFormat="1" applyFont="1" applyFill="1" applyBorder="1" applyAlignment="1">
      <alignment horizontal="center" vertical="center"/>
    </xf>
    <xf numFmtId="180" fontId="51" fillId="17" borderId="9" xfId="8" applyNumberFormat="1" applyFont="1" applyFill="1" applyBorder="1" applyAlignment="1">
      <alignment horizontal="center" vertical="center"/>
    </xf>
    <xf numFmtId="0" fontId="51" fillId="17" borderId="9" xfId="8" applyFont="1" applyFill="1" applyBorder="1" applyAlignment="1">
      <alignment horizontal="center" vertical="center"/>
    </xf>
    <xf numFmtId="0" fontId="51" fillId="0" borderId="23" xfId="0" applyFont="1" applyBorder="1" applyAlignment="1">
      <alignment horizontal="left" vertical="center" wrapText="1"/>
    </xf>
    <xf numFmtId="10" fontId="51" fillId="47" borderId="9" xfId="3" applyNumberFormat="1" applyFont="1" applyFill="1" applyBorder="1" applyAlignment="1">
      <alignment horizontal="center" vertical="center" wrapText="1"/>
    </xf>
    <xf numFmtId="165" fontId="51" fillId="0" borderId="9" xfId="8" applyNumberFormat="1" applyFont="1" applyBorder="1" applyAlignment="1">
      <alignment horizontal="left" vertical="center"/>
    </xf>
    <xf numFmtId="165" fontId="65" fillId="17" borderId="9" xfId="8" applyNumberFormat="1" applyFont="1" applyFill="1" applyBorder="1" applyAlignment="1">
      <alignment horizontal="center"/>
    </xf>
    <xf numFmtId="7" fontId="51" fillId="8" borderId="9" xfId="1" applyNumberFormat="1" applyFont="1" applyFill="1" applyBorder="1" applyAlignment="1">
      <alignment horizontal="center" vertical="center" wrapText="1"/>
    </xf>
    <xf numFmtId="165" fontId="51" fillId="0" borderId="0" xfId="0" applyNumberFormat="1" applyFont="1" applyAlignment="1">
      <alignment horizontal="left" vertical="center" wrapText="1"/>
    </xf>
    <xf numFmtId="0" fontId="118" fillId="0" borderId="0" xfId="0" applyFont="1" applyAlignment="1">
      <alignment horizontal="center" vertical="center"/>
    </xf>
    <xf numFmtId="9" fontId="65" fillId="0" borderId="9" xfId="0" applyNumberFormat="1" applyFont="1" applyBorder="1" applyAlignment="1">
      <alignment horizontal="center" vertical="center" wrapText="1"/>
    </xf>
    <xf numFmtId="170" fontId="65" fillId="0" borderId="9" xfId="1" applyNumberFormat="1" applyFont="1" applyBorder="1" applyAlignment="1">
      <alignment horizontal="center" vertical="center" wrapText="1"/>
    </xf>
    <xf numFmtId="0" fontId="118" fillId="0" borderId="9" xfId="8" applyFont="1" applyBorder="1" applyAlignment="1">
      <alignment vertical="center"/>
    </xf>
    <xf numFmtId="180" fontId="65" fillId="4" borderId="9" xfId="8" applyNumberFormat="1" applyFont="1" applyFill="1" applyBorder="1" applyAlignment="1">
      <alignment horizontal="center" vertical="center"/>
    </xf>
    <xf numFmtId="39" fontId="65" fillId="0" borderId="9" xfId="1" applyNumberFormat="1" applyFont="1" applyBorder="1" applyAlignment="1">
      <alignment horizontal="center" vertical="center" wrapText="1"/>
    </xf>
    <xf numFmtId="0" fontId="65" fillId="0" borderId="9" xfId="8" applyFont="1" applyBorder="1" applyAlignment="1">
      <alignment horizontal="center" vertical="center"/>
    </xf>
    <xf numFmtId="9" fontId="65" fillId="0" borderId="9" xfId="3" applyFont="1" applyBorder="1" applyAlignment="1">
      <alignment horizontal="center" vertical="center" wrapText="1"/>
    </xf>
    <xf numFmtId="172" fontId="65" fillId="0" borderId="9" xfId="3" applyNumberFormat="1" applyFont="1" applyBorder="1" applyAlignment="1">
      <alignment horizontal="center" vertical="center"/>
    </xf>
    <xf numFmtId="7" fontId="65" fillId="0" borderId="9" xfId="1" applyNumberFormat="1" applyFont="1" applyBorder="1" applyAlignment="1">
      <alignment horizontal="center" vertical="center" wrapText="1"/>
    </xf>
    <xf numFmtId="167" fontId="74" fillId="12" borderId="0" xfId="0" applyNumberFormat="1" applyFont="1" applyFill="1" applyAlignment="1">
      <alignment vertical="center"/>
    </xf>
    <xf numFmtId="167" fontId="74" fillId="12" borderId="0" xfId="0" applyNumberFormat="1" applyFont="1" applyFill="1" applyAlignment="1">
      <alignment horizontal="center" vertical="center"/>
    </xf>
    <xf numFmtId="7" fontId="51" fillId="0" borderId="0" xfId="0" applyNumberFormat="1" applyFont="1" applyAlignment="1">
      <alignment vertical="center"/>
    </xf>
    <xf numFmtId="2" fontId="51" fillId="0" borderId="25" xfId="1" applyNumberFormat="1" applyFont="1" applyBorder="1" applyAlignment="1">
      <alignment horizontal="center" vertical="center"/>
    </xf>
    <xf numFmtId="7" fontId="51" fillId="0" borderId="28" xfId="0" applyNumberFormat="1" applyFont="1" applyBorder="1" applyAlignment="1">
      <alignment vertical="center"/>
    </xf>
    <xf numFmtId="203" fontId="65" fillId="0" borderId="26" xfId="2" applyNumberFormat="1" applyFont="1" applyFill="1" applyBorder="1" applyAlignment="1">
      <alignment vertical="center"/>
    </xf>
    <xf numFmtId="2" fontId="51" fillId="0" borderId="0" xfId="8" applyNumberFormat="1" applyFont="1" applyAlignment="1">
      <alignment horizontal="center" vertical="center"/>
    </xf>
    <xf numFmtId="44" fontId="65" fillId="0" borderId="0" xfId="2" applyFont="1" applyAlignment="1">
      <alignment vertical="center"/>
    </xf>
    <xf numFmtId="204" fontId="65" fillId="0" borderId="24" xfId="2" applyNumberFormat="1" applyFont="1" applyFill="1" applyBorder="1" applyAlignment="1">
      <alignment vertical="center"/>
    </xf>
    <xf numFmtId="204" fontId="65" fillId="0" borderId="26" xfId="2" applyNumberFormat="1" applyFont="1" applyFill="1" applyBorder="1" applyAlignment="1">
      <alignment vertical="center"/>
    </xf>
    <xf numFmtId="0" fontId="65" fillId="0" borderId="9" xfId="13" applyFont="1" applyBorder="1" applyAlignment="1">
      <alignment horizontal="center"/>
    </xf>
    <xf numFmtId="168" fontId="51" fillId="0" borderId="9" xfId="0" applyNumberFormat="1" applyFont="1" applyBorder="1" applyAlignment="1">
      <alignment horizontal="center"/>
    </xf>
    <xf numFmtId="0" fontId="51" fillId="4" borderId="9" xfId="13" applyFont="1" applyFill="1" applyBorder="1" applyAlignment="1">
      <alignment horizontal="left"/>
    </xf>
    <xf numFmtId="192" fontId="65" fillId="0" borderId="9" xfId="0" applyNumberFormat="1" applyFont="1" applyBorder="1" applyAlignment="1">
      <alignment horizontal="center"/>
    </xf>
    <xf numFmtId="165" fontId="51" fillId="4" borderId="9" xfId="13" applyNumberFormat="1" applyFont="1" applyFill="1" applyBorder="1" applyAlignment="1">
      <alignment horizontal="center"/>
    </xf>
    <xf numFmtId="171" fontId="51" fillId="4" borderId="9" xfId="13" applyNumberFormat="1" applyFont="1" applyFill="1" applyBorder="1" applyAlignment="1">
      <alignment horizontal="center"/>
    </xf>
    <xf numFmtId="0" fontId="51" fillId="4" borderId="9" xfId="13" applyFont="1" applyFill="1" applyBorder="1" applyAlignment="1">
      <alignment horizontal="center"/>
    </xf>
    <xf numFmtId="0" fontId="51" fillId="0" borderId="9" xfId="8" applyFont="1" applyBorder="1" applyAlignment="1">
      <alignment horizontal="center"/>
    </xf>
    <xf numFmtId="0" fontId="65" fillId="0" borderId="9" xfId="0" applyFont="1" applyBorder="1" applyAlignment="1">
      <alignment horizontal="center" vertical="center" wrapText="1"/>
    </xf>
    <xf numFmtId="166" fontId="51" fillId="0" borderId="9" xfId="0" applyNumberFormat="1" applyFont="1" applyBorder="1" applyAlignment="1">
      <alignment horizontal="center" vertical="center" wrapText="1"/>
    </xf>
    <xf numFmtId="165" fontId="51" fillId="0" borderId="18" xfId="0" applyNumberFormat="1" applyFont="1" applyBorder="1" applyAlignment="1">
      <alignment horizontal="center" vertical="center" wrapText="1"/>
    </xf>
    <xf numFmtId="171" fontId="51" fillId="0" borderId="9" xfId="0" applyNumberFormat="1" applyFont="1" applyBorder="1" applyAlignment="1">
      <alignment horizontal="center" vertical="center" wrapText="1"/>
    </xf>
    <xf numFmtId="0" fontId="118" fillId="0" borderId="9" xfId="0" applyFont="1" applyBorder="1"/>
    <xf numFmtId="189" fontId="118" fillId="4" borderId="9" xfId="1" applyNumberFormat="1" applyFont="1" applyFill="1" applyBorder="1" applyAlignment="1">
      <alignment horizontal="center"/>
    </xf>
    <xf numFmtId="189" fontId="51" fillId="4" borderId="9" xfId="0" applyNumberFormat="1" applyFont="1" applyFill="1" applyBorder="1" applyAlignment="1">
      <alignment horizontal="center" vertical="center" wrapText="1"/>
    </xf>
    <xf numFmtId="39" fontId="51" fillId="4" borderId="9" xfId="0" applyNumberFormat="1" applyFont="1" applyFill="1" applyBorder="1" applyAlignment="1">
      <alignment horizontal="center" vertical="center" wrapText="1"/>
    </xf>
    <xf numFmtId="39" fontId="65" fillId="4" borderId="9" xfId="0" applyNumberFormat="1" applyFont="1" applyFill="1" applyBorder="1" applyAlignment="1">
      <alignment horizontal="center" vertical="center" wrapText="1"/>
    </xf>
    <xf numFmtId="2" fontId="51" fillId="0" borderId="20" xfId="1" applyNumberFormat="1" applyFont="1" applyBorder="1" applyAlignment="1">
      <alignment horizontal="center"/>
    </xf>
    <xf numFmtId="0" fontId="51" fillId="4" borderId="9" xfId="8" applyFont="1" applyFill="1" applyBorder="1" applyAlignment="1">
      <alignment horizontal="left"/>
    </xf>
    <xf numFmtId="7" fontId="51" fillId="0" borderId="27" xfId="0" applyNumberFormat="1" applyFont="1" applyBorder="1"/>
    <xf numFmtId="202" fontId="65" fillId="0" borderId="21" xfId="2" applyNumberFormat="1" applyFont="1" applyFill="1" applyBorder="1"/>
    <xf numFmtId="2" fontId="51" fillId="0" borderId="22" xfId="1" applyNumberFormat="1" applyFont="1" applyBorder="1" applyAlignment="1">
      <alignment horizontal="center"/>
    </xf>
    <xf numFmtId="0" fontId="51" fillId="4" borderId="23" xfId="8" applyFont="1" applyFill="1" applyBorder="1" applyAlignment="1">
      <alignment horizontal="left"/>
    </xf>
    <xf numFmtId="202" fontId="65" fillId="0" borderId="24" xfId="2" applyNumberFormat="1" applyFont="1" applyFill="1" applyBorder="1"/>
    <xf numFmtId="0" fontId="51" fillId="0" borderId="9" xfId="0" applyFont="1" applyBorder="1"/>
    <xf numFmtId="189" fontId="118" fillId="25" borderId="9" xfId="1" applyNumberFormat="1" applyFont="1" applyFill="1" applyBorder="1" applyAlignment="1">
      <alignment horizontal="center"/>
    </xf>
    <xf numFmtId="189" fontId="51" fillId="25" borderId="9" xfId="0" applyNumberFormat="1" applyFont="1" applyFill="1" applyBorder="1" applyAlignment="1">
      <alignment horizontal="center" vertical="center" wrapText="1"/>
    </xf>
    <xf numFmtId="39" fontId="51" fillId="25" borderId="9" xfId="0" applyNumberFormat="1" applyFont="1" applyFill="1" applyBorder="1" applyAlignment="1">
      <alignment horizontal="center" vertical="center" wrapText="1"/>
    </xf>
    <xf numFmtId="2" fontId="51" fillId="0" borderId="25" xfId="1" applyNumberFormat="1" applyFont="1" applyBorder="1" applyAlignment="1">
      <alignment horizontal="center"/>
    </xf>
    <xf numFmtId="7" fontId="51" fillId="0" borderId="28" xfId="0" applyNumberFormat="1" applyFont="1" applyBorder="1"/>
    <xf numFmtId="202" fontId="65" fillId="0" borderId="26" xfId="2" applyNumberFormat="1" applyFont="1" applyFill="1" applyBorder="1"/>
    <xf numFmtId="0" fontId="51" fillId="0" borderId="9" xfId="8" applyFont="1" applyBorder="1" applyAlignment="1">
      <alignment horizontal="left"/>
    </xf>
    <xf numFmtId="1" fontId="51" fillId="17" borderId="9" xfId="13" applyNumberFormat="1" applyFont="1" applyFill="1" applyBorder="1" applyAlignment="1">
      <alignment horizontal="center" vertical="center" wrapText="1"/>
    </xf>
    <xf numFmtId="165" fontId="51" fillId="0" borderId="9" xfId="13" applyNumberFormat="1" applyFont="1" applyBorder="1" applyAlignment="1">
      <alignment horizontal="center" vertical="center" wrapText="1"/>
    </xf>
    <xf numFmtId="1" fontId="118" fillId="0" borderId="16" xfId="13" applyNumberFormat="1" applyFont="1" applyBorder="1" applyAlignment="1">
      <alignment horizontal="center" vertical="center" wrapText="1"/>
    </xf>
    <xf numFmtId="1" fontId="65" fillId="0" borderId="16" xfId="13" applyNumberFormat="1" applyFont="1" applyBorder="1" applyAlignment="1">
      <alignment horizontal="center" vertical="center" wrapText="1"/>
    </xf>
    <xf numFmtId="1" fontId="51" fillId="0" borderId="16" xfId="13" applyNumberFormat="1" applyFont="1" applyBorder="1" applyAlignment="1">
      <alignment horizontal="center" vertical="center" wrapText="1"/>
    </xf>
    <xf numFmtId="37" fontId="51" fillId="4" borderId="9" xfId="0" applyNumberFormat="1" applyFont="1" applyFill="1" applyBorder="1" applyAlignment="1">
      <alignment horizontal="center" vertical="center" wrapText="1"/>
    </xf>
    <xf numFmtId="1" fontId="118" fillId="0" borderId="9" xfId="13" applyNumberFormat="1" applyFont="1" applyBorder="1" applyAlignment="1">
      <alignment horizontal="center" vertical="center" wrapText="1"/>
    </xf>
    <xf numFmtId="0" fontId="51" fillId="0" borderId="9" xfId="13" applyFont="1" applyBorder="1" applyAlignment="1">
      <alignment wrapText="1"/>
    </xf>
    <xf numFmtId="165" fontId="118" fillId="0" borderId="16" xfId="13" applyNumberFormat="1" applyFont="1" applyBorder="1" applyAlignment="1">
      <alignment horizontal="center" vertical="center" wrapText="1"/>
    </xf>
    <xf numFmtId="165" fontId="51" fillId="0" borderId="16" xfId="13" applyNumberFormat="1" applyFont="1" applyBorder="1" applyAlignment="1">
      <alignment horizontal="center" vertical="center" wrapText="1"/>
    </xf>
    <xf numFmtId="165" fontId="118" fillId="0" borderId="9" xfId="13" applyNumberFormat="1" applyFont="1" applyBorder="1" applyAlignment="1">
      <alignment horizontal="center" vertical="center" wrapText="1"/>
    </xf>
    <xf numFmtId="165" fontId="51" fillId="0" borderId="9" xfId="6" applyNumberFormat="1" applyFont="1" applyBorder="1"/>
    <xf numFmtId="171" fontId="118" fillId="0" borderId="9" xfId="13" applyNumberFormat="1" applyFont="1" applyBorder="1" applyAlignment="1">
      <alignment horizontal="center"/>
    </xf>
    <xf numFmtId="171" fontId="51" fillId="0" borderId="9" xfId="13" applyNumberFormat="1" applyFont="1" applyBorder="1" applyAlignment="1">
      <alignment horizontal="center"/>
    </xf>
    <xf numFmtId="2" fontId="65" fillId="4" borderId="9" xfId="0" applyNumberFormat="1" applyFont="1" applyFill="1" applyBorder="1" applyAlignment="1">
      <alignment horizontal="center" vertical="center"/>
    </xf>
    <xf numFmtId="39" fontId="65" fillId="0" borderId="9" xfId="5" applyNumberFormat="1" applyFont="1" applyBorder="1" applyAlignment="1">
      <alignment horizontal="center" vertical="center"/>
    </xf>
    <xf numFmtId="165" fontId="51" fillId="4" borderId="9" xfId="0" applyNumberFormat="1" applyFont="1" applyFill="1" applyBorder="1" applyAlignment="1">
      <alignment horizontal="center" vertical="center" wrapText="1"/>
    </xf>
    <xf numFmtId="44" fontId="65" fillId="0" borderId="9" xfId="2" applyFont="1" applyFill="1" applyBorder="1" applyAlignment="1">
      <alignment horizontal="center" vertical="center"/>
    </xf>
    <xf numFmtId="180" fontId="65" fillId="4" borderId="9" xfId="0" applyNumberFormat="1" applyFont="1" applyFill="1" applyBorder="1" applyAlignment="1">
      <alignment horizontal="center" vertical="center"/>
    </xf>
    <xf numFmtId="180" fontId="118" fillId="4" borderId="9" xfId="0" applyNumberFormat="1" applyFont="1" applyFill="1" applyBorder="1" applyAlignment="1">
      <alignment horizontal="center" vertical="center"/>
    </xf>
    <xf numFmtId="39" fontId="65" fillId="4" borderId="9" xfId="1" applyNumberFormat="1" applyFont="1" applyFill="1" applyBorder="1" applyAlignment="1">
      <alignment horizontal="center" vertical="center" wrapText="1"/>
    </xf>
    <xf numFmtId="39" fontId="121" fillId="4" borderId="9" xfId="1" applyNumberFormat="1" applyFont="1" applyFill="1" applyBorder="1" applyAlignment="1">
      <alignment horizontal="center" vertical="center" wrapText="1"/>
    </xf>
    <xf numFmtId="2" fontId="118" fillId="4" borderId="9" xfId="0" applyNumberFormat="1" applyFont="1" applyFill="1" applyBorder="1" applyAlignment="1">
      <alignment horizontal="center" vertical="center"/>
    </xf>
    <xf numFmtId="2" fontId="51" fillId="4" borderId="9" xfId="0" applyNumberFormat="1" applyFont="1" applyFill="1" applyBorder="1" applyAlignment="1">
      <alignment horizontal="center" vertical="center" wrapText="1"/>
    </xf>
    <xf numFmtId="179" fontId="65" fillId="4" borderId="9" xfId="0" applyNumberFormat="1" applyFont="1" applyFill="1" applyBorder="1" applyAlignment="1">
      <alignment horizontal="center" vertical="center" wrapText="1"/>
    </xf>
    <xf numFmtId="179" fontId="51" fillId="4" borderId="9" xfId="0" applyNumberFormat="1" applyFont="1" applyFill="1" applyBorder="1" applyAlignment="1">
      <alignment horizontal="center" vertical="center" wrapText="1"/>
    </xf>
    <xf numFmtId="0" fontId="65" fillId="4" borderId="9" xfId="0" applyFont="1" applyFill="1" applyBorder="1" applyAlignment="1">
      <alignment horizontal="center" vertical="center" wrapText="1"/>
    </xf>
    <xf numFmtId="0" fontId="51" fillId="4" borderId="9" xfId="0" applyFont="1" applyFill="1" applyBorder="1" applyAlignment="1">
      <alignment horizontal="center" vertical="center" wrapText="1"/>
    </xf>
    <xf numFmtId="3" fontId="65" fillId="4" borderId="9" xfId="0" applyNumberFormat="1" applyFont="1" applyFill="1" applyBorder="1" applyAlignment="1">
      <alignment horizontal="center" vertical="center" wrapText="1"/>
    </xf>
    <xf numFmtId="3" fontId="51" fillId="4" borderId="9" xfId="0" applyNumberFormat="1" applyFont="1" applyFill="1" applyBorder="1" applyAlignment="1">
      <alignment horizontal="center" vertical="center" wrapText="1"/>
    </xf>
    <xf numFmtId="9" fontId="121" fillId="0" borderId="9" xfId="0" applyNumberFormat="1" applyFont="1" applyBorder="1" applyAlignment="1">
      <alignment horizontal="center" vertical="center" wrapText="1"/>
    </xf>
    <xf numFmtId="39" fontId="121" fillId="0" borderId="9" xfId="1" applyNumberFormat="1" applyFont="1" applyFill="1" applyBorder="1" applyAlignment="1">
      <alignment horizontal="center" vertical="center" wrapText="1"/>
    </xf>
    <xf numFmtId="170" fontId="65" fillId="4" borderId="9" xfId="1" applyNumberFormat="1" applyFont="1" applyFill="1" applyBorder="1" applyAlignment="1">
      <alignment horizontal="center" vertical="center" wrapText="1"/>
    </xf>
    <xf numFmtId="7" fontId="51" fillId="0" borderId="9" xfId="2" applyNumberFormat="1" applyFont="1" applyFill="1" applyBorder="1" applyAlignment="1">
      <alignment horizontal="center" vertical="center" wrapText="1"/>
    </xf>
    <xf numFmtId="7" fontId="65" fillId="4" borderId="9" xfId="2" applyNumberFormat="1" applyFont="1" applyFill="1" applyBorder="1" applyAlignment="1">
      <alignment horizontal="center" vertical="center" wrapText="1"/>
    </xf>
    <xf numFmtId="7" fontId="51" fillId="0" borderId="9" xfId="2" applyNumberFormat="1" applyFont="1" applyBorder="1" applyAlignment="1">
      <alignment horizontal="center" vertical="center" wrapText="1"/>
    </xf>
    <xf numFmtId="9" fontId="51" fillId="0" borderId="9" xfId="0" applyNumberFormat="1" applyFont="1" applyBorder="1" applyAlignment="1">
      <alignment horizontal="center" vertical="center" wrapText="1"/>
    </xf>
    <xf numFmtId="178" fontId="65" fillId="0" borderId="9" xfId="0" applyNumberFormat="1" applyFont="1" applyBorder="1" applyAlignment="1">
      <alignment horizontal="center" vertical="center" wrapText="1"/>
    </xf>
    <xf numFmtId="39" fontId="51" fillId="0" borderId="9" xfId="1" applyNumberFormat="1" applyFont="1" applyBorder="1" applyAlignment="1">
      <alignment horizontal="center" vertical="center" wrapText="1"/>
    </xf>
    <xf numFmtId="0" fontId="51" fillId="0" borderId="19" xfId="0" applyFont="1" applyBorder="1" applyAlignment="1">
      <alignment horizontal="left" vertical="center" wrapText="1"/>
    </xf>
    <xf numFmtId="37" fontId="65" fillId="0" borderId="9" xfId="1" applyNumberFormat="1" applyFont="1" applyBorder="1" applyAlignment="1">
      <alignment horizontal="center" vertical="center" wrapText="1"/>
    </xf>
    <xf numFmtId="37" fontId="51" fillId="0" borderId="9" xfId="1" applyNumberFormat="1" applyFont="1" applyBorder="1" applyAlignment="1">
      <alignment horizontal="center" vertical="center" wrapText="1"/>
    </xf>
    <xf numFmtId="172" fontId="65" fillId="0" borderId="9" xfId="0" applyNumberFormat="1" applyFont="1" applyBorder="1" applyAlignment="1">
      <alignment horizontal="center" vertical="center" wrapText="1"/>
    </xf>
    <xf numFmtId="170" fontId="65" fillId="0" borderId="9" xfId="2" applyNumberFormat="1" applyFont="1" applyFill="1" applyBorder="1" applyAlignment="1">
      <alignment horizontal="center" vertical="center" wrapText="1"/>
    </xf>
    <xf numFmtId="7" fontId="65" fillId="0" borderId="9" xfId="2" applyNumberFormat="1" applyFont="1" applyBorder="1" applyAlignment="1">
      <alignment horizontal="center" vertical="center" wrapText="1"/>
    </xf>
    <xf numFmtId="0" fontId="65" fillId="0" borderId="9" xfId="8" applyFont="1" applyBorder="1" applyAlignment="1">
      <alignment horizontal="center"/>
    </xf>
    <xf numFmtId="39" fontId="65" fillId="0" borderId="9" xfId="1" applyNumberFormat="1" applyFont="1" applyBorder="1" applyAlignment="1">
      <alignment horizontal="center"/>
    </xf>
    <xf numFmtId="165" fontId="65" fillId="0" borderId="9" xfId="8" applyNumberFormat="1" applyFont="1" applyBorder="1" applyAlignment="1">
      <alignment horizontal="center"/>
    </xf>
    <xf numFmtId="169" fontId="65" fillId="0" borderId="9" xfId="2" applyNumberFormat="1" applyFont="1" applyBorder="1" applyAlignment="1">
      <alignment horizontal="center"/>
    </xf>
    <xf numFmtId="7" fontId="51" fillId="0" borderId="9" xfId="2" applyNumberFormat="1" applyFont="1" applyFill="1" applyBorder="1" applyAlignment="1">
      <alignment horizontal="center"/>
    </xf>
    <xf numFmtId="39" fontId="51" fillId="0" borderId="9" xfId="1" applyNumberFormat="1" applyFont="1" applyBorder="1" applyAlignment="1">
      <alignment horizontal="center"/>
    </xf>
    <xf numFmtId="203" fontId="65" fillId="0" borderId="26" xfId="2" applyNumberFormat="1" applyFont="1" applyFill="1" applyBorder="1"/>
    <xf numFmtId="1" fontId="51" fillId="17" borderId="9" xfId="3" applyNumberFormat="1" applyFont="1" applyFill="1" applyBorder="1" applyAlignment="1">
      <alignment horizontal="center"/>
    </xf>
    <xf numFmtId="0" fontId="51" fillId="4" borderId="9" xfId="8" applyFont="1" applyFill="1" applyBorder="1" applyAlignment="1">
      <alignment horizontal="left" wrapText="1"/>
    </xf>
    <xf numFmtId="0" fontId="51" fillId="4" borderId="9" xfId="8" applyFont="1" applyFill="1" applyBorder="1"/>
    <xf numFmtId="165" fontId="51" fillId="17" borderId="9" xfId="8" applyNumberFormat="1" applyFont="1" applyFill="1" applyBorder="1" applyAlignment="1">
      <alignment horizontal="center"/>
    </xf>
    <xf numFmtId="0" fontId="51" fillId="4" borderId="9" xfId="8" applyFont="1" applyFill="1" applyBorder="1" applyAlignment="1">
      <alignment wrapText="1"/>
    </xf>
    <xf numFmtId="1" fontId="118" fillId="0" borderId="9" xfId="3" applyNumberFormat="1" applyFont="1" applyFill="1" applyBorder="1" applyAlignment="1">
      <alignment horizontal="center"/>
    </xf>
    <xf numFmtId="1" fontId="65" fillId="0" borderId="9" xfId="3" applyNumberFormat="1" applyFont="1" applyBorder="1" applyAlignment="1">
      <alignment horizontal="center"/>
    </xf>
    <xf numFmtId="1" fontId="51" fillId="0" borderId="9" xfId="3" applyNumberFormat="1" applyFont="1" applyBorder="1" applyAlignment="1">
      <alignment horizontal="center"/>
    </xf>
    <xf numFmtId="1" fontId="51" fillId="4" borderId="9" xfId="3" applyNumberFormat="1" applyFont="1" applyFill="1" applyBorder="1" applyAlignment="1">
      <alignment horizontal="center"/>
    </xf>
    <xf numFmtId="1" fontId="65" fillId="4" borderId="9" xfId="3" applyNumberFormat="1" applyFont="1" applyFill="1" applyBorder="1" applyAlignment="1">
      <alignment horizontal="center"/>
    </xf>
    <xf numFmtId="0" fontId="51" fillId="4" borderId="19" xfId="8" applyFont="1" applyFill="1" applyBorder="1" applyAlignment="1">
      <alignment horizontal="left"/>
    </xf>
    <xf numFmtId="2" fontId="65" fillId="0" borderId="9" xfId="1" applyNumberFormat="1" applyFont="1" applyBorder="1" applyAlignment="1">
      <alignment horizontal="center"/>
    </xf>
    <xf numFmtId="0" fontId="51" fillId="4" borderId="9" xfId="8" applyFont="1" applyFill="1" applyBorder="1" applyAlignment="1">
      <alignment horizontal="center"/>
    </xf>
    <xf numFmtId="165" fontId="51" fillId="0" borderId="9" xfId="8" applyNumberFormat="1" applyFont="1" applyBorder="1" applyAlignment="1">
      <alignment horizontal="center"/>
    </xf>
    <xf numFmtId="1" fontId="51" fillId="0" borderId="9" xfId="8" applyNumberFormat="1" applyFont="1" applyBorder="1" applyAlignment="1">
      <alignment horizontal="center"/>
    </xf>
    <xf numFmtId="7" fontId="65" fillId="0" borderId="9" xfId="2" applyNumberFormat="1" applyFont="1" applyFill="1" applyBorder="1" applyAlignment="1">
      <alignment horizontal="center"/>
    </xf>
    <xf numFmtId="2" fontId="51" fillId="0" borderId="9" xfId="1" applyNumberFormat="1" applyFont="1" applyBorder="1" applyAlignment="1">
      <alignment horizontal="center"/>
    </xf>
    <xf numFmtId="169" fontId="51" fillId="0" borderId="9" xfId="2" applyNumberFormat="1" applyFont="1" applyBorder="1" applyAlignment="1">
      <alignment horizontal="center"/>
    </xf>
    <xf numFmtId="44" fontId="51" fillId="0" borderId="9" xfId="2" applyFont="1" applyBorder="1" applyAlignment="1">
      <alignment horizontal="center"/>
    </xf>
    <xf numFmtId="170" fontId="118" fillId="0" borderId="9" xfId="1" applyNumberFormat="1" applyFont="1" applyBorder="1" applyAlignment="1">
      <alignment horizontal="center"/>
    </xf>
    <xf numFmtId="170" fontId="51" fillId="4" borderId="9" xfId="0" applyNumberFormat="1" applyFont="1" applyFill="1" applyBorder="1" applyAlignment="1">
      <alignment horizontal="center" vertical="center" wrapText="1"/>
    </xf>
    <xf numFmtId="2" fontId="51" fillId="0" borderId="9" xfId="1" applyNumberFormat="1" applyFont="1" applyFill="1" applyBorder="1" applyAlignment="1">
      <alignment horizontal="center"/>
    </xf>
    <xf numFmtId="203" fontId="65" fillId="0" borderId="24" xfId="2" applyNumberFormat="1" applyFont="1" applyFill="1" applyBorder="1"/>
    <xf numFmtId="2" fontId="51" fillId="8" borderId="22" xfId="1" applyNumberFormat="1" applyFont="1" applyFill="1" applyBorder="1" applyAlignment="1">
      <alignment horizontal="center"/>
    </xf>
    <xf numFmtId="44" fontId="51" fillId="0" borderId="22" xfId="0" applyNumberFormat="1" applyFont="1" applyBorder="1" applyAlignment="1">
      <alignment horizontal="center"/>
    </xf>
    <xf numFmtId="2" fontId="51" fillId="8" borderId="25" xfId="1" applyNumberFormat="1" applyFont="1" applyFill="1" applyBorder="1" applyAlignment="1">
      <alignment horizontal="center"/>
    </xf>
    <xf numFmtId="44" fontId="51" fillId="0" borderId="25" xfId="0" applyNumberFormat="1" applyFont="1" applyBorder="1" applyAlignment="1">
      <alignment horizontal="center"/>
    </xf>
    <xf numFmtId="10" fontId="51" fillId="17" borderId="9" xfId="3" applyNumberFormat="1" applyFont="1" applyFill="1" applyBorder="1" applyAlignment="1">
      <alignment horizontal="center"/>
    </xf>
    <xf numFmtId="165" fontId="118" fillId="4" borderId="9" xfId="3" applyNumberFormat="1" applyFont="1" applyFill="1" applyBorder="1" applyAlignment="1">
      <alignment horizontal="center"/>
    </xf>
    <xf numFmtId="165" fontId="118" fillId="0" borderId="9" xfId="3" applyNumberFormat="1" applyFont="1" applyFill="1" applyBorder="1" applyAlignment="1">
      <alignment horizontal="center"/>
    </xf>
    <xf numFmtId="10" fontId="65" fillId="4" borderId="9" xfId="3" applyNumberFormat="1" applyFont="1" applyFill="1" applyBorder="1" applyAlignment="1">
      <alignment horizontal="center"/>
    </xf>
    <xf numFmtId="10" fontId="51" fillId="4" borderId="9" xfId="3" applyNumberFormat="1" applyFont="1" applyFill="1" applyBorder="1" applyAlignment="1">
      <alignment horizontal="center"/>
    </xf>
    <xf numFmtId="0" fontId="51" fillId="0" borderId="9" xfId="13" applyFont="1" applyBorder="1" applyAlignment="1">
      <alignment horizontal="center"/>
    </xf>
    <xf numFmtId="2" fontId="51" fillId="0" borderId="9" xfId="13" applyNumberFormat="1" applyFont="1" applyBorder="1" applyAlignment="1">
      <alignment horizontal="center"/>
    </xf>
    <xf numFmtId="192" fontId="51" fillId="0" borderId="9" xfId="0" applyNumberFormat="1" applyFont="1" applyBorder="1" applyAlignment="1">
      <alignment horizontal="center"/>
    </xf>
    <xf numFmtId="165" fontId="51" fillId="0" borderId="9" xfId="13" applyNumberFormat="1" applyFont="1" applyBorder="1" applyAlignment="1">
      <alignment horizontal="center"/>
    </xf>
    <xf numFmtId="0" fontId="51" fillId="4" borderId="19" xfId="0" applyFont="1" applyFill="1" applyBorder="1" applyAlignment="1">
      <alignment horizontal="left" vertical="center" wrapText="1"/>
    </xf>
    <xf numFmtId="0" fontId="51" fillId="4" borderId="23" xfId="0" applyFont="1" applyFill="1" applyBorder="1" applyAlignment="1">
      <alignment horizontal="left" vertical="center" wrapText="1"/>
    </xf>
    <xf numFmtId="165" fontId="118" fillId="25" borderId="9" xfId="13" applyNumberFormat="1" applyFont="1" applyFill="1" applyBorder="1" applyAlignment="1">
      <alignment horizontal="center"/>
    </xf>
    <xf numFmtId="165" fontId="51" fillId="25" borderId="9" xfId="0" applyNumberFormat="1" applyFont="1" applyFill="1" applyBorder="1" applyAlignment="1">
      <alignment horizontal="center" vertical="center" wrapText="1"/>
    </xf>
    <xf numFmtId="2" fontId="65" fillId="25" borderId="9" xfId="0" applyNumberFormat="1" applyFont="1" applyFill="1" applyBorder="1" applyAlignment="1">
      <alignment horizontal="center"/>
    </xf>
    <xf numFmtId="2" fontId="51" fillId="25" borderId="9" xfId="0" applyNumberFormat="1" applyFont="1" applyFill="1" applyBorder="1" applyAlignment="1">
      <alignment horizontal="center"/>
    </xf>
    <xf numFmtId="165" fontId="118" fillId="0" borderId="9" xfId="13" applyNumberFormat="1" applyFont="1" applyBorder="1" applyAlignment="1">
      <alignment horizontal="center"/>
    </xf>
    <xf numFmtId="2" fontId="51" fillId="0" borderId="9" xfId="0" applyNumberFormat="1" applyFont="1" applyBorder="1" applyAlignment="1">
      <alignment horizontal="center"/>
    </xf>
    <xf numFmtId="2" fontId="65" fillId="0" borderId="9" xfId="0" applyNumberFormat="1" applyFont="1" applyBorder="1" applyAlignment="1">
      <alignment horizontal="center"/>
    </xf>
    <xf numFmtId="1" fontId="51" fillId="4" borderId="16" xfId="13" applyNumberFormat="1" applyFont="1" applyFill="1" applyBorder="1" applyAlignment="1">
      <alignment horizontal="center" vertical="center" wrapText="1"/>
    </xf>
    <xf numFmtId="1" fontId="51" fillId="4" borderId="9" xfId="13" applyNumberFormat="1" applyFont="1" applyFill="1" applyBorder="1" applyAlignment="1">
      <alignment horizontal="center" vertical="center" wrapText="1"/>
    </xf>
    <xf numFmtId="1" fontId="65" fillId="4" borderId="9" xfId="13" applyNumberFormat="1" applyFont="1" applyFill="1" applyBorder="1" applyAlignment="1">
      <alignment horizontal="center" vertical="center" wrapText="1"/>
    </xf>
    <xf numFmtId="1" fontId="51" fillId="0" borderId="9" xfId="13" applyNumberFormat="1" applyFont="1" applyBorder="1" applyAlignment="1">
      <alignment horizontal="center"/>
    </xf>
    <xf numFmtId="1" fontId="51" fillId="8" borderId="9" xfId="13" applyNumberFormat="1" applyFont="1" applyFill="1" applyBorder="1" applyAlignment="1">
      <alignment horizontal="center" vertical="center" wrapText="1"/>
    </xf>
    <xf numFmtId="165" fontId="51" fillId="4" borderId="16" xfId="13" applyNumberFormat="1" applyFont="1" applyFill="1" applyBorder="1" applyAlignment="1">
      <alignment horizontal="center" vertical="center" wrapText="1"/>
    </xf>
    <xf numFmtId="165" fontId="51" fillId="4" borderId="9" xfId="13" applyNumberFormat="1" applyFont="1" applyFill="1" applyBorder="1" applyAlignment="1">
      <alignment horizontal="center" vertical="center" wrapText="1"/>
    </xf>
    <xf numFmtId="165" fontId="118" fillId="4" borderId="9" xfId="13" applyNumberFormat="1" applyFont="1" applyFill="1" applyBorder="1" applyAlignment="1">
      <alignment horizontal="center" vertical="center" wrapText="1"/>
    </xf>
    <xf numFmtId="165" fontId="51" fillId="4" borderId="9" xfId="8" applyNumberFormat="1" applyFont="1" applyFill="1" applyBorder="1" applyAlignment="1">
      <alignment horizontal="center" vertical="center"/>
    </xf>
    <xf numFmtId="1" fontId="65" fillId="4" borderId="16" xfId="13" applyNumberFormat="1" applyFont="1" applyFill="1" applyBorder="1" applyAlignment="1">
      <alignment horizontal="center" vertical="center" wrapText="1"/>
    </xf>
    <xf numFmtId="2" fontId="51" fillId="4" borderId="9" xfId="13" applyNumberFormat="1" applyFont="1" applyFill="1" applyBorder="1" applyAlignment="1">
      <alignment horizontal="center" vertical="center" wrapText="1"/>
    </xf>
    <xf numFmtId="2" fontId="118" fillId="4" borderId="9" xfId="13" applyNumberFormat="1" applyFont="1" applyFill="1" applyBorder="1" applyAlignment="1">
      <alignment horizontal="center" vertical="center" wrapText="1"/>
    </xf>
    <xf numFmtId="2" fontId="51" fillId="0" borderId="9" xfId="13" applyNumberFormat="1" applyFont="1" applyBorder="1" applyAlignment="1">
      <alignment horizontal="center" vertical="center" wrapText="1"/>
    </xf>
    <xf numFmtId="165" fontId="51" fillId="4" borderId="0" xfId="8" applyNumberFormat="1" applyFont="1" applyFill="1" applyAlignment="1">
      <alignment horizontal="center" vertical="center"/>
    </xf>
    <xf numFmtId="171" fontId="51" fillId="0" borderId="16" xfId="13" applyNumberFormat="1" applyFont="1" applyBorder="1" applyAlignment="1">
      <alignment horizontal="center" vertical="center" wrapText="1"/>
    </xf>
    <xf numFmtId="171" fontId="51" fillId="0" borderId="9" xfId="13" applyNumberFormat="1" applyFont="1" applyBorder="1" applyAlignment="1">
      <alignment horizontal="center" vertical="center" wrapText="1"/>
    </xf>
    <xf numFmtId="165" fontId="51" fillId="0" borderId="0" xfId="6" applyNumberFormat="1" applyFont="1"/>
    <xf numFmtId="10" fontId="51" fillId="0" borderId="0" xfId="3" applyNumberFormat="1" applyFont="1" applyFill="1"/>
    <xf numFmtId="182" fontId="51" fillId="0" borderId="9" xfId="1" applyNumberFormat="1" applyFont="1" applyFill="1" applyBorder="1" applyAlignment="1">
      <alignment horizontal="center"/>
    </xf>
    <xf numFmtId="169" fontId="65" fillId="0" borderId="9" xfId="8" applyNumberFormat="1" applyFont="1" applyBorder="1" applyAlignment="1">
      <alignment horizontal="center"/>
    </xf>
    <xf numFmtId="170" fontId="118" fillId="4" borderId="9" xfId="1" applyNumberFormat="1" applyFont="1" applyFill="1" applyBorder="1" applyAlignment="1">
      <alignment horizontal="center"/>
    </xf>
    <xf numFmtId="170" fontId="118" fillId="0" borderId="9" xfId="0" applyNumberFormat="1" applyFont="1" applyBorder="1" applyAlignment="1">
      <alignment horizontal="center" vertical="center" wrapText="1"/>
    </xf>
    <xf numFmtId="39" fontId="65" fillId="0" borderId="9" xfId="0" applyNumberFormat="1" applyFont="1" applyBorder="1" applyAlignment="1">
      <alignment horizontal="center"/>
    </xf>
    <xf numFmtId="39" fontId="51" fillId="0" borderId="9" xfId="0" applyNumberFormat="1" applyFont="1" applyBorder="1" applyAlignment="1">
      <alignment horizontal="center"/>
    </xf>
    <xf numFmtId="0" fontId="65" fillId="0" borderId="9" xfId="0" applyFont="1" applyBorder="1" applyAlignment="1">
      <alignment horizontal="center"/>
    </xf>
    <xf numFmtId="0" fontId="118" fillId="0" borderId="9" xfId="0" applyFont="1" applyBorder="1" applyAlignment="1">
      <alignment horizontal="center"/>
    </xf>
    <xf numFmtId="203" fontId="65" fillId="0" borderId="21" xfId="2" applyNumberFormat="1" applyFont="1" applyFill="1" applyBorder="1"/>
    <xf numFmtId="0" fontId="51" fillId="0" borderId="19" xfId="8" applyFont="1" applyBorder="1" applyAlignment="1">
      <alignment horizontal="left"/>
    </xf>
    <xf numFmtId="0" fontId="51" fillId="0" borderId="23" xfId="8" applyFont="1" applyBorder="1" applyAlignment="1">
      <alignment horizontal="left"/>
    </xf>
    <xf numFmtId="9" fontId="118" fillId="0" borderId="9" xfId="3" applyFont="1" applyBorder="1" applyAlignment="1">
      <alignment horizontal="center" wrapText="1"/>
    </xf>
    <xf numFmtId="9" fontId="51" fillId="0" borderId="9" xfId="3" applyFont="1" applyBorder="1" applyAlignment="1">
      <alignment horizontal="center" wrapText="1"/>
    </xf>
    <xf numFmtId="9" fontId="65" fillId="0" borderId="9" xfId="3" applyFont="1" applyBorder="1" applyAlignment="1">
      <alignment horizontal="center" wrapText="1"/>
    </xf>
    <xf numFmtId="39" fontId="118" fillId="0" borderId="9" xfId="1" applyNumberFormat="1" applyFont="1" applyBorder="1" applyAlignment="1">
      <alignment horizontal="center" wrapText="1"/>
    </xf>
    <xf numFmtId="39" fontId="65" fillId="0" borderId="9" xfId="1" applyNumberFormat="1" applyFont="1" applyBorder="1" applyAlignment="1">
      <alignment horizontal="center" wrapText="1"/>
    </xf>
    <xf numFmtId="39" fontId="51" fillId="0" borderId="9" xfId="1" applyNumberFormat="1" applyFont="1" applyBorder="1" applyAlignment="1">
      <alignment horizontal="center" wrapText="1"/>
    </xf>
    <xf numFmtId="7" fontId="51" fillId="0" borderId="9" xfId="1" applyNumberFormat="1" applyFont="1" applyBorder="1" applyAlignment="1">
      <alignment horizontal="center" wrapText="1"/>
    </xf>
    <xf numFmtId="197" fontId="51" fillId="0" borderId="9" xfId="8" applyNumberFormat="1" applyFont="1" applyBorder="1" applyAlignment="1">
      <alignment horizontal="center"/>
    </xf>
    <xf numFmtId="170" fontId="65" fillId="4" borderId="9" xfId="1" applyNumberFormat="1" applyFont="1" applyFill="1" applyBorder="1" applyAlignment="1">
      <alignment horizontal="center"/>
    </xf>
    <xf numFmtId="170" fontId="65" fillId="0" borderId="9" xfId="0" applyNumberFormat="1" applyFont="1" applyBorder="1" applyAlignment="1">
      <alignment horizontal="center" vertical="center" wrapText="1"/>
    </xf>
    <xf numFmtId="2" fontId="51" fillId="0" borderId="9" xfId="0" applyNumberFormat="1" applyFont="1" applyBorder="1" applyAlignment="1">
      <alignment horizontal="center" vertical="center" wrapText="1"/>
    </xf>
    <xf numFmtId="204" fontId="65" fillId="0" borderId="21" xfId="2" applyNumberFormat="1" applyFont="1" applyFill="1" applyBorder="1"/>
    <xf numFmtId="7" fontId="65" fillId="0" borderId="9" xfId="1" applyNumberFormat="1" applyFont="1" applyBorder="1" applyAlignment="1">
      <alignment horizontal="center" wrapText="1"/>
    </xf>
    <xf numFmtId="2" fontId="65" fillId="4" borderId="9" xfId="0" applyNumberFormat="1" applyFont="1" applyFill="1" applyBorder="1" applyAlignment="1">
      <alignment horizontal="center"/>
    </xf>
    <xf numFmtId="2" fontId="51" fillId="4" borderId="9" xfId="0" applyNumberFormat="1" applyFont="1" applyFill="1" applyBorder="1" applyAlignment="1">
      <alignment horizontal="center"/>
    </xf>
    <xf numFmtId="39" fontId="51" fillId="0" borderId="9" xfId="1" applyNumberFormat="1" applyFont="1" applyFill="1" applyBorder="1" applyAlignment="1">
      <alignment horizontal="center" vertical="center" wrapText="1"/>
    </xf>
    <xf numFmtId="172" fontId="51" fillId="0" borderId="9" xfId="0" applyNumberFormat="1" applyFont="1" applyBorder="1" applyAlignment="1">
      <alignment horizontal="center" vertical="center" wrapText="1"/>
    </xf>
    <xf numFmtId="7" fontId="118" fillId="0" borderId="9" xfId="2" applyNumberFormat="1" applyFont="1" applyBorder="1" applyAlignment="1">
      <alignment horizontal="center" wrapText="1"/>
    </xf>
    <xf numFmtId="7" fontId="51" fillId="0" borderId="9" xfId="2" applyNumberFormat="1" applyFont="1" applyBorder="1" applyAlignment="1">
      <alignment horizontal="center" wrapText="1"/>
    </xf>
    <xf numFmtId="7" fontId="118" fillId="4" borderId="9" xfId="2" applyNumberFormat="1" applyFont="1" applyFill="1" applyBorder="1" applyAlignment="1">
      <alignment horizontal="center" wrapText="1"/>
    </xf>
    <xf numFmtId="7" fontId="51" fillId="4" borderId="9" xfId="2" applyNumberFormat="1" applyFont="1" applyFill="1" applyBorder="1" applyAlignment="1">
      <alignment horizontal="center" wrapText="1"/>
    </xf>
    <xf numFmtId="2" fontId="65" fillId="4" borderId="9" xfId="8" applyNumberFormat="1" applyFont="1" applyFill="1" applyBorder="1" applyAlignment="1">
      <alignment horizontal="center"/>
    </xf>
    <xf numFmtId="192" fontId="51" fillId="4" borderId="9" xfId="0" applyNumberFormat="1" applyFont="1" applyFill="1" applyBorder="1" applyAlignment="1">
      <alignment horizontal="center"/>
    </xf>
    <xf numFmtId="165" fontId="51" fillId="4" borderId="9" xfId="8" applyNumberFormat="1" applyFont="1" applyFill="1" applyBorder="1" applyAlignment="1">
      <alignment horizontal="center"/>
    </xf>
    <xf numFmtId="7" fontId="51" fillId="4" borderId="9" xfId="2" applyNumberFormat="1" applyFont="1" applyFill="1" applyBorder="1" applyAlignment="1">
      <alignment horizontal="center"/>
    </xf>
    <xf numFmtId="0" fontId="65" fillId="4" borderId="9" xfId="8" applyFont="1" applyFill="1" applyBorder="1" applyAlignment="1">
      <alignment horizontal="center"/>
    </xf>
    <xf numFmtId="180" fontId="65" fillId="4" borderId="9" xfId="8" applyNumberFormat="1" applyFont="1" applyFill="1" applyBorder="1" applyAlignment="1">
      <alignment horizontal="center"/>
    </xf>
    <xf numFmtId="1" fontId="118" fillId="0" borderId="9" xfId="3" applyNumberFormat="1" applyFont="1" applyBorder="1" applyAlignment="1">
      <alignment horizontal="center"/>
    </xf>
    <xf numFmtId="1" fontId="118" fillId="4" borderId="9" xfId="3" applyNumberFormat="1" applyFont="1" applyFill="1" applyBorder="1" applyAlignment="1">
      <alignment horizontal="center"/>
    </xf>
    <xf numFmtId="171" fontId="65" fillId="12" borderId="23" xfId="3" applyNumberFormat="1" applyFont="1" applyFill="1" applyBorder="1" applyAlignment="1">
      <alignment horizontal="center"/>
    </xf>
    <xf numFmtId="0" fontId="51" fillId="0" borderId="9" xfId="6" applyFont="1" applyBorder="1" applyAlignment="1">
      <alignment horizontal="center"/>
    </xf>
    <xf numFmtId="180" fontId="51" fillId="4" borderId="9" xfId="0" applyNumberFormat="1" applyFont="1" applyFill="1" applyBorder="1" applyAlignment="1">
      <alignment horizontal="center" vertical="center" wrapText="1"/>
    </xf>
    <xf numFmtId="0" fontId="122" fillId="4" borderId="9" xfId="12" applyFont="1" applyFill="1" applyBorder="1" applyAlignment="1">
      <alignment horizontal="center"/>
    </xf>
    <xf numFmtId="171" fontId="51" fillId="4" borderId="9" xfId="0" applyNumberFormat="1" applyFont="1" applyFill="1" applyBorder="1" applyAlignment="1">
      <alignment horizontal="center" vertical="center" wrapText="1"/>
    </xf>
    <xf numFmtId="0" fontId="51" fillId="0" borderId="9" xfId="0" applyFont="1" applyBorder="1" applyAlignment="1">
      <alignment horizontal="center"/>
    </xf>
    <xf numFmtId="180" fontId="51" fillId="0" borderId="9" xfId="0" applyNumberFormat="1" applyFont="1" applyBorder="1" applyAlignment="1">
      <alignment horizontal="center" vertical="center" wrapText="1"/>
    </xf>
    <xf numFmtId="180" fontId="65" fillId="4" borderId="9" xfId="0" applyNumberFormat="1" applyFont="1" applyFill="1" applyBorder="1" applyAlignment="1">
      <alignment horizontal="center" vertical="center" wrapText="1"/>
    </xf>
    <xf numFmtId="171" fontId="65" fillId="4" borderId="9" xfId="0" applyNumberFormat="1" applyFont="1" applyFill="1" applyBorder="1" applyAlignment="1">
      <alignment horizontal="center" vertical="center" wrapText="1"/>
    </xf>
    <xf numFmtId="0" fontId="51" fillId="0" borderId="16" xfId="0" applyFont="1" applyBorder="1"/>
    <xf numFmtId="39" fontId="118" fillId="0" borderId="9" xfId="8" applyNumberFormat="1" applyFont="1" applyBorder="1" applyAlignment="1">
      <alignment horizontal="center"/>
    </xf>
    <xf numFmtId="2" fontId="65" fillId="0" borderId="9" xfId="8" applyNumberFormat="1" applyFont="1" applyBorder="1" applyAlignment="1">
      <alignment horizontal="center"/>
    </xf>
    <xf numFmtId="0" fontId="118" fillId="0" borderId="9" xfId="8" applyFont="1" applyBorder="1"/>
    <xf numFmtId="39" fontId="118" fillId="4" borderId="9" xfId="1" applyNumberFormat="1" applyFont="1" applyFill="1" applyBorder="1" applyAlignment="1">
      <alignment horizontal="center"/>
    </xf>
    <xf numFmtId="2" fontId="65" fillId="4" borderId="9" xfId="1" applyNumberFormat="1" applyFont="1" applyFill="1" applyBorder="1" applyAlignment="1">
      <alignment horizontal="center"/>
    </xf>
    <xf numFmtId="2" fontId="51" fillId="0" borderId="16" xfId="1" applyNumberFormat="1" applyFont="1" applyBorder="1" applyAlignment="1">
      <alignment horizontal="center"/>
    </xf>
    <xf numFmtId="7" fontId="51" fillId="0" borderId="17" xfId="0" applyNumberFormat="1" applyFont="1" applyBorder="1"/>
    <xf numFmtId="202" fontId="65" fillId="0" borderId="18" xfId="2" applyNumberFormat="1" applyFont="1" applyFill="1" applyBorder="1"/>
    <xf numFmtId="0" fontId="65" fillId="0" borderId="27" xfId="0" applyFont="1" applyBorder="1" applyAlignment="1">
      <alignment horizontal="left" vertical="center" wrapText="1"/>
    </xf>
    <xf numFmtId="172" fontId="51" fillId="47" borderId="9" xfId="3" applyNumberFormat="1" applyFont="1" applyFill="1" applyBorder="1" applyAlignment="1">
      <alignment horizontal="center" vertical="center" wrapText="1"/>
    </xf>
    <xf numFmtId="172" fontId="65" fillId="47" borderId="9" xfId="3" applyNumberFormat="1" applyFont="1" applyFill="1" applyBorder="1" applyAlignment="1">
      <alignment horizontal="center" vertical="center" wrapText="1"/>
    </xf>
    <xf numFmtId="7" fontId="14" fillId="0" borderId="0" xfId="2" applyNumberFormat="1" applyFont="1" applyFill="1" applyBorder="1" applyAlignment="1">
      <alignment horizontal="center" wrapText="1"/>
    </xf>
    <xf numFmtId="7" fontId="51" fillId="0" borderId="16" xfId="2" applyNumberFormat="1" applyFont="1" applyFill="1" applyBorder="1" applyAlignment="1">
      <alignment horizontal="left" wrapText="1"/>
    </xf>
    <xf numFmtId="44" fontId="51" fillId="8" borderId="9" xfId="2" applyFont="1" applyFill="1" applyBorder="1" applyAlignment="1">
      <alignment horizontal="center" vertical="center" wrapText="1"/>
    </xf>
    <xf numFmtId="44" fontId="65" fillId="17" borderId="9" xfId="2" applyFont="1" applyFill="1" applyBorder="1" applyAlignment="1">
      <alignment horizontal="center" vertical="center" wrapText="1"/>
    </xf>
    <xf numFmtId="7" fontId="51" fillId="0" borderId="20" xfId="2" applyNumberFormat="1" applyFont="1" applyFill="1" applyBorder="1" applyAlignment="1">
      <alignment horizontal="left" wrapText="1"/>
    </xf>
    <xf numFmtId="170" fontId="51" fillId="0" borderId="16" xfId="1" applyNumberFormat="1" applyFont="1" applyFill="1" applyBorder="1" applyAlignment="1">
      <alignment horizontal="left" vertical="center" wrapText="1"/>
    </xf>
    <xf numFmtId="0" fontId="51" fillId="11" borderId="19" xfId="0" applyFont="1" applyFill="1" applyBorder="1" applyAlignment="1">
      <alignment horizontal="left" vertical="center" wrapText="1"/>
    </xf>
    <xf numFmtId="0" fontId="51" fillId="11" borderId="19" xfId="0" applyFont="1" applyFill="1" applyBorder="1" applyAlignment="1">
      <alignment horizontal="center" vertical="center" wrapText="1"/>
    </xf>
    <xf numFmtId="0" fontId="51" fillId="15" borderId="27" xfId="0" applyFont="1" applyFill="1" applyBorder="1" applyAlignment="1">
      <alignment horizontal="center" vertical="center" wrapText="1"/>
    </xf>
    <xf numFmtId="0" fontId="51" fillId="15" borderId="21" xfId="0" applyFont="1" applyFill="1" applyBorder="1" applyAlignment="1">
      <alignment horizontal="center" vertical="center" wrapText="1"/>
    </xf>
    <xf numFmtId="0" fontId="51" fillId="11" borderId="23" xfId="0" applyFont="1" applyFill="1" applyBorder="1" applyAlignment="1">
      <alignment horizontal="left" vertical="center" wrapText="1"/>
    </xf>
    <xf numFmtId="0" fontId="51" fillId="11" borderId="23" xfId="0" applyFont="1" applyFill="1" applyBorder="1" applyAlignment="1">
      <alignment horizontal="center" vertical="center" wrapText="1"/>
    </xf>
    <xf numFmtId="0" fontId="51" fillId="11" borderId="25" xfId="0" applyFont="1" applyFill="1" applyBorder="1" applyAlignment="1">
      <alignment horizontal="center" vertical="center" wrapText="1"/>
    </xf>
    <xf numFmtId="0" fontId="51" fillId="11" borderId="28" xfId="0" applyFont="1" applyFill="1" applyBorder="1" applyAlignment="1">
      <alignment horizontal="center" vertical="center" wrapText="1"/>
    </xf>
    <xf numFmtId="0" fontId="51" fillId="11" borderId="26" xfId="0" applyFont="1" applyFill="1" applyBorder="1" applyAlignment="1">
      <alignment horizontal="center" vertical="center" wrapText="1"/>
    </xf>
    <xf numFmtId="0" fontId="51" fillId="0" borderId="0" xfId="13" applyFont="1" applyAlignment="1">
      <alignment horizontal="left"/>
    </xf>
    <xf numFmtId="0" fontId="51" fillId="0" borderId="0" xfId="0" applyFont="1" applyAlignment="1">
      <alignment horizontal="left" vertical="center"/>
    </xf>
    <xf numFmtId="179" fontId="51" fillId="0" borderId="0" xfId="9" applyNumberFormat="1" applyFont="1" applyFill="1" applyBorder="1" applyAlignment="1">
      <alignment horizontal="left" vertical="center"/>
    </xf>
    <xf numFmtId="7" fontId="51" fillId="0" borderId="27" xfId="2" applyNumberFormat="1" applyFont="1" applyFill="1" applyBorder="1" applyAlignment="1">
      <alignment horizontal="left" wrapText="1"/>
    </xf>
    <xf numFmtId="44" fontId="51" fillId="8" borderId="27" xfId="2" applyFont="1" applyFill="1" applyBorder="1" applyAlignment="1">
      <alignment horizontal="center" vertical="center" wrapText="1"/>
    </xf>
    <xf numFmtId="0" fontId="4" fillId="0" borderId="19" xfId="0" applyFont="1" applyBorder="1" applyAlignment="1">
      <alignment horizontal="left" vertical="center" wrapText="1"/>
    </xf>
    <xf numFmtId="0" fontId="4" fillId="0" borderId="19" xfId="6" applyFont="1" applyBorder="1" applyAlignment="1">
      <alignment horizontal="left" vertical="center"/>
    </xf>
    <xf numFmtId="0" fontId="4" fillId="0" borderId="19" xfId="6" applyFont="1" applyBorder="1" applyAlignment="1">
      <alignment vertical="center"/>
    </xf>
    <xf numFmtId="0" fontId="4" fillId="0" borderId="19" xfId="6" applyFont="1" applyBorder="1"/>
    <xf numFmtId="0" fontId="4" fillId="0" borderId="20" xfId="6" applyFont="1" applyBorder="1" applyAlignment="1">
      <alignment vertical="center"/>
    </xf>
    <xf numFmtId="0" fontId="4" fillId="0" borderId="9" xfId="6" applyFont="1" applyBorder="1" applyAlignment="1">
      <alignment horizontal="center" vertical="center"/>
    </xf>
    <xf numFmtId="165" fontId="4" fillId="0" borderId="19" xfId="8" applyNumberFormat="1" applyFont="1" applyBorder="1" applyAlignment="1">
      <alignment horizontal="left" vertical="center"/>
    </xf>
    <xf numFmtId="165" fontId="4" fillId="0" borderId="19" xfId="8" applyNumberFormat="1" applyFont="1" applyBorder="1" applyAlignment="1">
      <alignment horizontal="center" vertical="center"/>
    </xf>
    <xf numFmtId="37" fontId="4" fillId="17" borderId="9" xfId="1" applyNumberFormat="1" applyFont="1" applyFill="1" applyBorder="1" applyAlignment="1">
      <alignment horizontal="center" wrapText="1"/>
    </xf>
    <xf numFmtId="165" fontId="92" fillId="0" borderId="50" xfId="8" applyNumberFormat="1" applyFont="1" applyBorder="1" applyAlignment="1">
      <alignment vertical="center"/>
    </xf>
    <xf numFmtId="44" fontId="4" fillId="23" borderId="9" xfId="2" applyFont="1" applyFill="1" applyBorder="1" applyAlignment="1">
      <alignment horizontal="center" vertical="center" wrapText="1"/>
    </xf>
    <xf numFmtId="0" fontId="119" fillId="12" borderId="0" xfId="0" applyFont="1" applyFill="1"/>
    <xf numFmtId="167" fontId="119" fillId="12" borderId="0" xfId="0" applyNumberFormat="1" applyFont="1" applyFill="1"/>
    <xf numFmtId="167" fontId="119" fillId="12" borderId="0" xfId="0" applyNumberFormat="1" applyFont="1" applyFill="1" applyAlignment="1">
      <alignment horizontal="center"/>
    </xf>
    <xf numFmtId="9" fontId="51" fillId="4" borderId="9" xfId="3" applyFont="1" applyFill="1" applyBorder="1" applyAlignment="1">
      <alignment horizontal="center" vertical="center" wrapText="1"/>
    </xf>
    <xf numFmtId="9" fontId="51" fillId="0" borderId="0" xfId="3" applyFont="1" applyFill="1" applyAlignment="1">
      <alignment horizontal="center"/>
    </xf>
    <xf numFmtId="9" fontId="65" fillId="0" borderId="9" xfId="3" applyFont="1" applyFill="1" applyBorder="1" applyAlignment="1">
      <alignment horizontal="center" vertical="center" wrapText="1"/>
    </xf>
    <xf numFmtId="9" fontId="51" fillId="0" borderId="9" xfId="3" applyFont="1" applyFill="1" applyBorder="1" applyAlignment="1">
      <alignment horizontal="center" vertical="center" wrapText="1"/>
    </xf>
    <xf numFmtId="9" fontId="65" fillId="0" borderId="19" xfId="0" applyNumberFormat="1" applyFont="1" applyBorder="1" applyAlignment="1">
      <alignment horizontal="center" vertical="center" wrapText="1"/>
    </xf>
    <xf numFmtId="9" fontId="51" fillId="0" borderId="19" xfId="0" applyNumberFormat="1" applyFont="1" applyBorder="1" applyAlignment="1">
      <alignment horizontal="center" vertical="center" wrapText="1"/>
    </xf>
    <xf numFmtId="170" fontId="51" fillId="4" borderId="9" xfId="1" applyNumberFormat="1" applyFont="1" applyFill="1" applyBorder="1" applyAlignment="1">
      <alignment horizontal="center" vertical="center" wrapText="1"/>
    </xf>
    <xf numFmtId="170" fontId="51" fillId="0" borderId="50" xfId="1" applyNumberFormat="1" applyFont="1" applyFill="1" applyBorder="1" applyAlignment="1">
      <alignment horizontal="center" vertical="center" wrapText="1"/>
    </xf>
    <xf numFmtId="7" fontId="51" fillId="0" borderId="50" xfId="2" applyNumberFormat="1" applyFont="1" applyFill="1" applyBorder="1" applyAlignment="1">
      <alignment horizontal="center" wrapText="1"/>
    </xf>
    <xf numFmtId="7" fontId="51" fillId="0" borderId="52" xfId="2" applyNumberFormat="1" applyFont="1" applyFill="1" applyBorder="1" applyAlignment="1">
      <alignment horizontal="center" wrapText="1"/>
    </xf>
    <xf numFmtId="7" fontId="51" fillId="0" borderId="0" xfId="2" applyNumberFormat="1" applyFont="1" applyBorder="1" applyAlignment="1">
      <alignment horizontal="center" wrapText="1"/>
    </xf>
    <xf numFmtId="7" fontId="51" fillId="0" borderId="0" xfId="2" applyNumberFormat="1" applyFont="1" applyFill="1" applyBorder="1" applyAlignment="1">
      <alignment horizontal="center" wrapText="1"/>
    </xf>
    <xf numFmtId="2" fontId="65" fillId="0" borderId="0" xfId="13" applyNumberFormat="1" applyFont="1" applyAlignment="1">
      <alignment horizontal="center"/>
    </xf>
    <xf numFmtId="0" fontId="4" fillId="0" borderId="18" xfId="6" applyFont="1" applyBorder="1" applyAlignment="1">
      <alignment horizontal="center"/>
    </xf>
    <xf numFmtId="10" fontId="4" fillId="0" borderId="21" xfId="6" applyNumberFormat="1" applyFont="1" applyBorder="1" applyAlignment="1">
      <alignment horizontal="center"/>
    </xf>
    <xf numFmtId="0" fontId="4" fillId="0" borderId="20" xfId="6" applyFont="1" applyBorder="1"/>
    <xf numFmtId="10" fontId="4" fillId="0" borderId="101" xfId="6" applyNumberFormat="1" applyFont="1" applyBorder="1" applyAlignment="1">
      <alignment horizontal="center"/>
    </xf>
    <xf numFmtId="10" fontId="4" fillId="0" borderId="102" xfId="6" applyNumberFormat="1" applyFont="1" applyBorder="1" applyAlignment="1">
      <alignment horizontal="center"/>
    </xf>
    <xf numFmtId="10" fontId="4" fillId="0" borderId="103" xfId="6" applyNumberFormat="1" applyFont="1" applyBorder="1" applyAlignment="1">
      <alignment horizontal="center"/>
    </xf>
    <xf numFmtId="0" fontId="51" fillId="4" borderId="9" xfId="6" applyFont="1" applyFill="1" applyBorder="1" applyAlignment="1">
      <alignment horizontal="left"/>
    </xf>
    <xf numFmtId="4" fontId="65" fillId="0" borderId="9" xfId="8" applyNumberFormat="1" applyFont="1" applyBorder="1" applyAlignment="1">
      <alignment horizontal="center"/>
    </xf>
    <xf numFmtId="165" fontId="65" fillId="0" borderId="9" xfId="6" applyNumberFormat="1" applyFont="1" applyBorder="1" applyAlignment="1">
      <alignment horizontal="center"/>
    </xf>
    <xf numFmtId="171" fontId="65" fillId="4" borderId="9" xfId="13" applyNumberFormat="1" applyFont="1" applyFill="1" applyBorder="1" applyAlignment="1">
      <alignment horizontal="center" vertical="center"/>
    </xf>
    <xf numFmtId="0" fontId="65" fillId="4" borderId="4" xfId="0" applyFont="1" applyFill="1" applyBorder="1" applyAlignment="1">
      <alignment horizontal="center"/>
    </xf>
    <xf numFmtId="0" fontId="51" fillId="4" borderId="4" xfId="6" applyFont="1" applyFill="1" applyBorder="1" applyAlignment="1">
      <alignment horizontal="left"/>
    </xf>
    <xf numFmtId="4" fontId="65" fillId="0" borderId="4" xfId="8" applyNumberFormat="1" applyFont="1" applyBorder="1" applyAlignment="1">
      <alignment horizontal="center"/>
    </xf>
    <xf numFmtId="0" fontId="51" fillId="4" borderId="4" xfId="0" applyFont="1" applyFill="1" applyBorder="1" applyAlignment="1">
      <alignment horizontal="center" vertical="center" wrapText="1"/>
    </xf>
    <xf numFmtId="182" fontId="51" fillId="4" borderId="4" xfId="1" applyNumberFormat="1" applyFont="1" applyFill="1" applyBorder="1" applyAlignment="1">
      <alignment horizontal="center"/>
    </xf>
    <xf numFmtId="192" fontId="65" fillId="0" borderId="4" xfId="0" applyNumberFormat="1" applyFont="1" applyBorder="1" applyAlignment="1">
      <alignment horizontal="center"/>
    </xf>
    <xf numFmtId="165" fontId="65" fillId="0" borderId="4" xfId="6" applyNumberFormat="1" applyFont="1" applyBorder="1" applyAlignment="1">
      <alignment horizontal="center"/>
    </xf>
    <xf numFmtId="171" fontId="65" fillId="4" borderId="4" xfId="13" applyNumberFormat="1" applyFont="1" applyFill="1" applyBorder="1" applyAlignment="1">
      <alignment horizontal="center" vertical="center"/>
    </xf>
    <xf numFmtId="0" fontId="51" fillId="4" borderId="4" xfId="6" applyFont="1" applyFill="1" applyBorder="1" applyAlignment="1">
      <alignment horizontal="center"/>
    </xf>
    <xf numFmtId="0" fontId="65" fillId="4" borderId="14" xfId="0" applyFont="1" applyFill="1" applyBorder="1" applyAlignment="1">
      <alignment horizontal="center"/>
    </xf>
    <xf numFmtId="0" fontId="51" fillId="4" borderId="14" xfId="6" applyFont="1" applyFill="1" applyBorder="1" applyAlignment="1">
      <alignment horizontal="center"/>
    </xf>
    <xf numFmtId="0" fontId="51" fillId="4" borderId="14" xfId="6" applyFont="1" applyFill="1" applyBorder="1" applyAlignment="1">
      <alignment horizontal="left"/>
    </xf>
    <xf numFmtId="4" fontId="65" fillId="0" borderId="14" xfId="8" applyNumberFormat="1" applyFont="1" applyBorder="1" applyAlignment="1">
      <alignment horizontal="center"/>
    </xf>
    <xf numFmtId="0" fontId="51" fillId="4" borderId="14" xfId="0" applyFont="1" applyFill="1" applyBorder="1" applyAlignment="1">
      <alignment horizontal="center" vertical="center" wrapText="1"/>
    </xf>
    <xf numFmtId="182" fontId="51" fillId="4" borderId="14" xfId="1" applyNumberFormat="1" applyFont="1" applyFill="1" applyBorder="1" applyAlignment="1">
      <alignment horizontal="center"/>
    </xf>
    <xf numFmtId="192" fontId="65" fillId="0" borderId="14" xfId="0" applyNumberFormat="1" applyFont="1" applyBorder="1" applyAlignment="1">
      <alignment horizontal="center"/>
    </xf>
    <xf numFmtId="165" fontId="65" fillId="0" borderId="14" xfId="6" applyNumberFormat="1" applyFont="1" applyBorder="1" applyAlignment="1">
      <alignment horizontal="center"/>
    </xf>
    <xf numFmtId="171" fontId="65" fillId="4" borderId="14" xfId="13" applyNumberFormat="1" applyFont="1" applyFill="1" applyBorder="1" applyAlignment="1">
      <alignment horizontal="center" vertical="center"/>
    </xf>
    <xf numFmtId="0" fontId="118" fillId="0" borderId="9" xfId="6" applyFont="1" applyBorder="1"/>
    <xf numFmtId="2" fontId="118" fillId="0" borderId="9" xfId="6" applyNumberFormat="1" applyFont="1" applyBorder="1" applyAlignment="1">
      <alignment horizontal="center"/>
    </xf>
    <xf numFmtId="4" fontId="51" fillId="0" borderId="9" xfId="8" applyNumberFormat="1" applyFont="1" applyBorder="1" applyAlignment="1">
      <alignment horizontal="center"/>
    </xf>
    <xf numFmtId="165" fontId="51" fillId="0" borderId="9" xfId="6" applyNumberFormat="1" applyFont="1" applyBorder="1" applyAlignment="1">
      <alignment horizontal="center"/>
    </xf>
    <xf numFmtId="165" fontId="51" fillId="0" borderId="9" xfId="6" applyNumberFormat="1" applyFont="1" applyBorder="1" applyAlignment="1">
      <alignment horizontal="left" vertical="center" wrapText="1"/>
    </xf>
    <xf numFmtId="165" fontId="51" fillId="8" borderId="9" xfId="6" applyNumberFormat="1" applyFont="1" applyFill="1" applyBorder="1" applyAlignment="1">
      <alignment horizontal="center" vertical="center" wrapText="1"/>
    </xf>
    <xf numFmtId="165" fontId="118" fillId="0" borderId="9" xfId="6" applyNumberFormat="1" applyFont="1" applyBorder="1" applyAlignment="1">
      <alignment horizontal="left" vertical="center" wrapText="1"/>
    </xf>
    <xf numFmtId="165" fontId="65" fillId="0" borderId="9" xfId="6" applyNumberFormat="1" applyFont="1" applyBorder="1" applyAlignment="1">
      <alignment horizontal="left" vertical="center" wrapText="1"/>
    </xf>
    <xf numFmtId="165" fontId="65" fillId="0" borderId="9" xfId="6" applyNumberFormat="1" applyFont="1" applyBorder="1" applyAlignment="1">
      <alignment horizontal="center" vertical="center" wrapText="1"/>
    </xf>
    <xf numFmtId="165" fontId="51" fillId="0" borderId="9" xfId="6" applyNumberFormat="1" applyFont="1" applyBorder="1" applyAlignment="1">
      <alignment horizontal="center" vertical="center" wrapText="1"/>
    </xf>
    <xf numFmtId="0" fontId="51" fillId="17" borderId="17" xfId="0" applyFont="1" applyFill="1" applyBorder="1" applyAlignment="1">
      <alignment horizontal="left"/>
    </xf>
    <xf numFmtId="0" fontId="51" fillId="17" borderId="17" xfId="0" applyFont="1" applyFill="1" applyBorder="1"/>
    <xf numFmtId="0" fontId="51" fillId="0" borderId="0" xfId="8" applyFont="1"/>
    <xf numFmtId="0" fontId="122" fillId="0" borderId="0" xfId="6" applyFont="1"/>
    <xf numFmtId="0" fontId="51" fillId="0" borderId="9" xfId="6" applyFont="1" applyBorder="1" applyAlignment="1">
      <alignment horizontal="left"/>
    </xf>
    <xf numFmtId="49" fontId="51" fillId="0" borderId="9" xfId="2" applyNumberFormat="1" applyFont="1" applyFill="1" applyBorder="1" applyAlignment="1">
      <alignment horizontal="center" vertical="center"/>
    </xf>
    <xf numFmtId="171" fontId="51" fillId="0" borderId="9" xfId="13" applyNumberFormat="1" applyFont="1" applyBorder="1" applyAlignment="1">
      <alignment horizontal="center" vertical="center"/>
    </xf>
    <xf numFmtId="181" fontId="51" fillId="0" borderId="0" xfId="6" applyNumberFormat="1" applyFont="1"/>
    <xf numFmtId="9" fontId="51" fillId="0" borderId="0" xfId="3" applyFont="1"/>
    <xf numFmtId="0" fontId="51" fillId="0" borderId="0" xfId="8" applyFont="1" applyAlignment="1">
      <alignment horizontal="center"/>
    </xf>
    <xf numFmtId="0" fontId="74" fillId="12" borderId="0" xfId="0" applyFont="1" applyFill="1"/>
    <xf numFmtId="167" fontId="74" fillId="12" borderId="0" xfId="0" applyNumberFormat="1" applyFont="1" applyFill="1"/>
    <xf numFmtId="167" fontId="74" fillId="12" borderId="0" xfId="0" applyNumberFormat="1" applyFont="1" applyFill="1" applyAlignment="1">
      <alignment horizontal="center"/>
    </xf>
    <xf numFmtId="0" fontId="51" fillId="0" borderId="9" xfId="6" applyFont="1" applyBorder="1"/>
    <xf numFmtId="2" fontId="65" fillId="0" borderId="9" xfId="6" applyNumberFormat="1" applyFont="1" applyBorder="1" applyAlignment="1">
      <alignment horizontal="center"/>
    </xf>
    <xf numFmtId="2" fontId="65" fillId="0" borderId="9" xfId="0" applyNumberFormat="1" applyFont="1" applyBorder="1"/>
    <xf numFmtId="4" fontId="65" fillId="0" borderId="9" xfId="6" applyNumberFormat="1" applyFont="1" applyBorder="1"/>
    <xf numFmtId="0" fontId="51" fillId="0" borderId="0" xfId="6" applyFont="1" applyAlignment="1">
      <alignment horizontal="left"/>
    </xf>
    <xf numFmtId="0" fontId="51" fillId="0" borderId="34" xfId="8" applyFont="1" applyBorder="1"/>
    <xf numFmtId="0" fontId="51" fillId="4" borderId="34" xfId="8" applyFont="1" applyFill="1" applyBorder="1"/>
    <xf numFmtId="0" fontId="65" fillId="4" borderId="9" xfId="6" applyFont="1" applyFill="1" applyBorder="1" applyAlignment="1">
      <alignment horizontal="left"/>
    </xf>
    <xf numFmtId="4" fontId="65" fillId="4" borderId="9" xfId="8" applyNumberFormat="1" applyFont="1" applyFill="1" applyBorder="1" applyAlignment="1">
      <alignment horizontal="center"/>
    </xf>
    <xf numFmtId="169" fontId="65" fillId="4" borderId="9" xfId="2" applyNumberFormat="1" applyFont="1" applyFill="1" applyBorder="1" applyAlignment="1">
      <alignment horizontal="center"/>
    </xf>
    <xf numFmtId="165" fontId="65" fillId="4" borderId="9" xfId="8" applyNumberFormat="1" applyFont="1" applyFill="1" applyBorder="1" applyAlignment="1">
      <alignment horizontal="center"/>
    </xf>
    <xf numFmtId="171" fontId="65" fillId="4" borderId="9" xfId="6" applyNumberFormat="1" applyFont="1" applyFill="1" applyBorder="1" applyAlignment="1">
      <alignment horizontal="center"/>
    </xf>
    <xf numFmtId="0" fontId="122" fillId="4" borderId="9" xfId="6" applyFont="1" applyFill="1" applyBorder="1" applyAlignment="1">
      <alignment horizontal="center"/>
    </xf>
    <xf numFmtId="181" fontId="51" fillId="0" borderId="0" xfId="8" applyNumberFormat="1" applyFont="1"/>
    <xf numFmtId="169" fontId="51" fillId="4" borderId="9" xfId="2" applyNumberFormat="1" applyFont="1" applyFill="1" applyBorder="1" applyAlignment="1">
      <alignment horizontal="center"/>
    </xf>
    <xf numFmtId="171" fontId="51" fillId="4" borderId="9" xfId="6" applyNumberFormat="1" applyFont="1" applyFill="1" applyBorder="1" applyAlignment="1">
      <alignment horizontal="center"/>
    </xf>
    <xf numFmtId="0" fontId="118" fillId="0" borderId="0" xfId="6" applyFont="1"/>
    <xf numFmtId="0" fontId="65" fillId="0" borderId="9" xfId="0" applyFont="1" applyBorder="1"/>
    <xf numFmtId="39" fontId="65" fillId="4" borderId="9" xfId="1" applyNumberFormat="1" applyFont="1" applyFill="1" applyBorder="1" applyAlignment="1">
      <alignment horizontal="center"/>
    </xf>
    <xf numFmtId="39" fontId="65" fillId="0" borderId="9" xfId="1" applyNumberFormat="1" applyFont="1" applyFill="1" applyBorder="1" applyAlignment="1">
      <alignment horizontal="center"/>
    </xf>
    <xf numFmtId="4" fontId="51" fillId="4" borderId="9" xfId="8" applyNumberFormat="1" applyFont="1" applyFill="1" applyBorder="1" applyAlignment="1">
      <alignment horizontal="center"/>
    </xf>
    <xf numFmtId="9" fontId="118" fillId="0" borderId="0" xfId="3" applyFont="1"/>
    <xf numFmtId="168" fontId="65" fillId="0" borderId="9" xfId="0" applyNumberFormat="1" applyFont="1" applyBorder="1" applyAlignment="1">
      <alignment horizontal="center"/>
    </xf>
    <xf numFmtId="0" fontId="65" fillId="4" borderId="9" xfId="13" applyFont="1" applyFill="1" applyBorder="1" applyAlignment="1">
      <alignment horizontal="left"/>
    </xf>
    <xf numFmtId="165" fontId="65" fillId="4" borderId="9" xfId="13" applyNumberFormat="1" applyFont="1" applyFill="1" applyBorder="1" applyAlignment="1">
      <alignment horizontal="center"/>
    </xf>
    <xf numFmtId="171" fontId="65" fillId="4" borderId="9" xfId="13" applyNumberFormat="1" applyFont="1" applyFill="1" applyBorder="1" applyAlignment="1">
      <alignment horizontal="center"/>
    </xf>
    <xf numFmtId="0" fontId="65" fillId="0" borderId="9" xfId="6" applyFont="1" applyBorder="1" applyAlignment="1">
      <alignment horizontal="center"/>
    </xf>
    <xf numFmtId="0" fontId="65" fillId="4" borderId="9" xfId="0" applyFont="1" applyFill="1" applyBorder="1" applyAlignment="1">
      <alignment horizontal="left" vertical="center" wrapText="1"/>
    </xf>
    <xf numFmtId="189" fontId="65" fillId="4" borderId="9" xfId="1" applyNumberFormat="1" applyFont="1" applyFill="1" applyBorder="1" applyAlignment="1">
      <alignment horizontal="center"/>
    </xf>
    <xf numFmtId="189" fontId="65" fillId="4" borderId="9" xfId="0" applyNumberFormat="1" applyFont="1" applyFill="1" applyBorder="1" applyAlignment="1">
      <alignment horizontal="center" vertical="center" wrapText="1"/>
    </xf>
    <xf numFmtId="2" fontId="65" fillId="0" borderId="20" xfId="1" applyNumberFormat="1" applyFont="1" applyBorder="1" applyAlignment="1">
      <alignment horizontal="center"/>
    </xf>
    <xf numFmtId="0" fontId="65" fillId="4" borderId="9" xfId="8" applyFont="1" applyFill="1" applyBorder="1" applyAlignment="1">
      <alignment horizontal="left"/>
    </xf>
    <xf numFmtId="7" fontId="65" fillId="0" borderId="27" xfId="0" applyNumberFormat="1" applyFont="1" applyBorder="1"/>
    <xf numFmtId="202" fontId="65" fillId="0" borderId="21" xfId="2" applyNumberFormat="1" applyFont="1" applyBorder="1"/>
    <xf numFmtId="0" fontId="65" fillId="4" borderId="23" xfId="8" applyFont="1" applyFill="1" applyBorder="1" applyAlignment="1">
      <alignment horizontal="left"/>
    </xf>
    <xf numFmtId="7" fontId="65" fillId="0" borderId="0" xfId="0" applyNumberFormat="1" applyFont="1"/>
    <xf numFmtId="0" fontId="65" fillId="0" borderId="21" xfId="2" applyNumberFormat="1" applyFont="1" applyBorder="1"/>
    <xf numFmtId="2" fontId="51" fillId="8" borderId="19" xfId="1" applyNumberFormat="1" applyFont="1" applyFill="1" applyBorder="1"/>
    <xf numFmtId="2" fontId="51" fillId="8" borderId="19" xfId="1" applyNumberFormat="1" applyFont="1" applyFill="1" applyBorder="1" applyAlignment="1">
      <alignment horizontal="center" wrapText="1"/>
    </xf>
    <xf numFmtId="44" fontId="65" fillId="8" borderId="19" xfId="2" applyFont="1" applyFill="1" applyBorder="1" applyAlignment="1">
      <alignment horizontal="center" wrapText="1"/>
    </xf>
    <xf numFmtId="2" fontId="51" fillId="0" borderId="20" xfId="1" applyNumberFormat="1" applyFont="1" applyBorder="1"/>
    <xf numFmtId="2" fontId="51" fillId="8" borderId="25" xfId="1" applyNumberFormat="1" applyFont="1" applyFill="1" applyBorder="1"/>
    <xf numFmtId="2" fontId="51" fillId="8" borderId="9" xfId="1" applyNumberFormat="1" applyFont="1" applyFill="1" applyBorder="1" applyAlignment="1">
      <alignment horizontal="center"/>
    </xf>
    <xf numFmtId="2" fontId="51" fillId="8" borderId="9" xfId="1" applyNumberFormat="1" applyFont="1" applyFill="1" applyBorder="1"/>
    <xf numFmtId="44" fontId="51" fillId="8" borderId="9" xfId="1" applyNumberFormat="1" applyFont="1" applyFill="1" applyBorder="1" applyAlignment="1">
      <alignment horizontal="center" wrapText="1"/>
    </xf>
    <xf numFmtId="44" fontId="65" fillId="8" borderId="9" xfId="2" applyFont="1" applyFill="1" applyBorder="1" applyAlignment="1">
      <alignment horizontal="center" wrapText="1"/>
    </xf>
    <xf numFmtId="0" fontId="65" fillId="0" borderId="0" xfId="8" applyFont="1" applyAlignment="1">
      <alignment horizontal="left"/>
    </xf>
    <xf numFmtId="0" fontId="51" fillId="0" borderId="0" xfId="8" applyFont="1" applyAlignment="1">
      <alignment horizontal="left"/>
    </xf>
    <xf numFmtId="165" fontId="51" fillId="0" borderId="19" xfId="13" applyNumberFormat="1" applyFont="1" applyBorder="1" applyAlignment="1">
      <alignment horizontal="left" vertical="center" wrapText="1"/>
    </xf>
    <xf numFmtId="165" fontId="51" fillId="8" borderId="9" xfId="3" applyNumberFormat="1" applyFont="1" applyFill="1" applyBorder="1" applyAlignment="1">
      <alignment horizontal="center" vertical="center" wrapText="1"/>
    </xf>
    <xf numFmtId="4" fontId="65" fillId="47" borderId="9" xfId="0" applyNumberFormat="1" applyFont="1" applyFill="1" applyBorder="1" applyAlignment="1">
      <alignment horizontal="center" vertical="center" wrapText="1"/>
    </xf>
    <xf numFmtId="2" fontId="51" fillId="12" borderId="9" xfId="3" applyNumberFormat="1" applyFont="1" applyFill="1" applyBorder="1" applyAlignment="1">
      <alignment horizontal="center" wrapText="1"/>
    </xf>
    <xf numFmtId="189" fontId="51" fillId="17" borderId="9" xfId="1" applyNumberFormat="1" applyFont="1" applyFill="1" applyBorder="1" applyAlignment="1">
      <alignment horizontal="center" vertical="center" wrapText="1"/>
    </xf>
    <xf numFmtId="2" fontId="51" fillId="17" borderId="16" xfId="8" applyNumberFormat="1" applyFont="1" applyFill="1" applyBorder="1" applyAlignment="1">
      <alignment horizontal="center" vertical="center" wrapText="1"/>
    </xf>
    <xf numFmtId="171" fontId="51" fillId="8" borderId="16" xfId="8" applyNumberFormat="1" applyFont="1" applyFill="1" applyBorder="1" applyAlignment="1">
      <alignment horizontal="center" vertical="center" wrapText="1"/>
    </xf>
    <xf numFmtId="0" fontId="65" fillId="0" borderId="9" xfId="6" applyFont="1" applyBorder="1"/>
    <xf numFmtId="0" fontId="65" fillId="0" borderId="16" xfId="8" applyFont="1" applyBorder="1" applyAlignment="1">
      <alignment horizontal="center" vertical="center" wrapText="1"/>
    </xf>
    <xf numFmtId="0" fontId="51" fillId="0" borderId="16" xfId="8" applyFont="1" applyBorder="1" applyAlignment="1">
      <alignment horizontal="center" vertical="center" wrapText="1"/>
    </xf>
    <xf numFmtId="165" fontId="65" fillId="0" borderId="16" xfId="8" applyNumberFormat="1" applyFont="1" applyBorder="1" applyAlignment="1">
      <alignment horizontal="center" vertical="center" wrapText="1"/>
    </xf>
    <xf numFmtId="165" fontId="51" fillId="0" borderId="16" xfId="8" applyNumberFormat="1" applyFont="1" applyBorder="1" applyAlignment="1">
      <alignment horizontal="center" vertical="center" wrapText="1"/>
    </xf>
    <xf numFmtId="165" fontId="65" fillId="0" borderId="16" xfId="13" applyNumberFormat="1" applyFont="1" applyBorder="1" applyAlignment="1">
      <alignment horizontal="center" vertical="center" wrapText="1"/>
    </xf>
    <xf numFmtId="2" fontId="65" fillId="0" borderId="16" xfId="8" applyNumberFormat="1" applyFont="1" applyBorder="1" applyAlignment="1">
      <alignment horizontal="center" vertical="center" wrapText="1"/>
    </xf>
    <xf numFmtId="2" fontId="51" fillId="0" borderId="16" xfId="8" applyNumberFormat="1" applyFont="1" applyBorder="1" applyAlignment="1">
      <alignment horizontal="center" vertical="center" wrapText="1"/>
    </xf>
    <xf numFmtId="2" fontId="65" fillId="0" borderId="9" xfId="3" applyNumberFormat="1" applyFont="1" applyFill="1" applyBorder="1" applyAlignment="1">
      <alignment horizontal="center"/>
    </xf>
    <xf numFmtId="2" fontId="51" fillId="0" borderId="9" xfId="3" applyNumberFormat="1" applyFont="1" applyFill="1" applyBorder="1" applyAlignment="1">
      <alignment horizontal="center"/>
    </xf>
    <xf numFmtId="180" fontId="65" fillId="0" borderId="16" xfId="8" applyNumberFormat="1" applyFont="1" applyBorder="1" applyAlignment="1">
      <alignment horizontal="center" vertical="center" wrapText="1"/>
    </xf>
    <xf numFmtId="180" fontId="51" fillId="0" borderId="16" xfId="8" applyNumberFormat="1" applyFont="1" applyBorder="1" applyAlignment="1">
      <alignment horizontal="center" vertical="center" wrapText="1"/>
    </xf>
    <xf numFmtId="171" fontId="65" fillId="0" borderId="16" xfId="8" applyNumberFormat="1" applyFont="1" applyBorder="1" applyAlignment="1">
      <alignment horizontal="center" vertical="center" wrapText="1"/>
    </xf>
    <xf numFmtId="171" fontId="51" fillId="0" borderId="16" xfId="8" applyNumberFormat="1" applyFont="1" applyBorder="1" applyAlignment="1">
      <alignment horizontal="center" vertical="center" wrapText="1"/>
    </xf>
    <xf numFmtId="0" fontId="51" fillId="0" borderId="0" xfId="8" applyFont="1" applyAlignment="1">
      <alignment horizontal="left" vertical="top" wrapText="1"/>
    </xf>
    <xf numFmtId="0" fontId="51" fillId="0" borderId="9" xfId="0" applyFont="1" applyBorder="1" applyAlignment="1">
      <alignment horizontal="left"/>
    </xf>
    <xf numFmtId="3" fontId="51" fillId="47" borderId="9" xfId="0" applyNumberFormat="1" applyFont="1" applyFill="1" applyBorder="1" applyAlignment="1">
      <alignment horizontal="center" vertical="center" wrapText="1"/>
    </xf>
    <xf numFmtId="9" fontId="51" fillId="17" borderId="9" xfId="3" applyFont="1" applyFill="1" applyBorder="1" applyAlignment="1">
      <alignment horizontal="center"/>
    </xf>
    <xf numFmtId="172" fontId="51" fillId="17" borderId="9" xfId="3" applyNumberFormat="1" applyFont="1" applyFill="1" applyBorder="1" applyAlignment="1">
      <alignment horizontal="center"/>
    </xf>
    <xf numFmtId="39" fontId="51" fillId="8" borderId="9" xfId="1" applyNumberFormat="1" applyFont="1" applyFill="1" applyBorder="1" applyAlignment="1">
      <alignment horizontal="center"/>
    </xf>
    <xf numFmtId="0" fontId="51" fillId="0" borderId="9" xfId="8" applyFont="1" applyBorder="1" applyAlignment="1">
      <alignment horizontal="left" wrapText="1"/>
    </xf>
    <xf numFmtId="9" fontId="51" fillId="8" borderId="9" xfId="3" applyFont="1" applyFill="1" applyBorder="1" applyAlignment="1">
      <alignment horizontal="center"/>
    </xf>
    <xf numFmtId="37" fontId="51" fillId="17" borderId="9" xfId="1" applyNumberFormat="1" applyFont="1" applyFill="1" applyBorder="1" applyAlignment="1">
      <alignment horizontal="center"/>
    </xf>
    <xf numFmtId="0" fontId="65" fillId="0" borderId="9" xfId="8" applyFont="1" applyBorder="1" applyAlignment="1">
      <alignment horizontal="left"/>
    </xf>
    <xf numFmtId="179" fontId="65" fillId="47" borderId="9" xfId="0" applyNumberFormat="1" applyFont="1" applyFill="1" applyBorder="1" applyAlignment="1">
      <alignment horizontal="center" vertical="center" wrapText="1"/>
    </xf>
    <xf numFmtId="1" fontId="65" fillId="17" borderId="9" xfId="3" applyNumberFormat="1" applyFont="1" applyFill="1" applyBorder="1" applyAlignment="1">
      <alignment horizontal="center"/>
    </xf>
    <xf numFmtId="171" fontId="65" fillId="17" borderId="9" xfId="6" applyNumberFormat="1" applyFont="1" applyFill="1" applyBorder="1" applyAlignment="1">
      <alignment horizontal="center"/>
    </xf>
    <xf numFmtId="9" fontId="51" fillId="4" borderId="9" xfId="3" applyFont="1" applyFill="1" applyBorder="1" applyAlignment="1">
      <alignment horizontal="center"/>
    </xf>
    <xf numFmtId="0" fontId="51" fillId="0" borderId="9" xfId="8" applyFont="1" applyBorder="1"/>
    <xf numFmtId="0" fontId="51" fillId="4" borderId="9" xfId="8" applyFont="1" applyFill="1" applyBorder="1" applyAlignment="1">
      <alignment vertical="top"/>
    </xf>
    <xf numFmtId="0" fontId="120" fillId="0" borderId="19" xfId="8" applyFont="1" applyBorder="1" applyAlignment="1">
      <alignment horizontal="left" vertical="center"/>
    </xf>
    <xf numFmtId="9" fontId="118" fillId="0" borderId="9" xfId="3" applyFont="1" applyBorder="1" applyAlignment="1">
      <alignment horizontal="center"/>
    </xf>
    <xf numFmtId="9" fontId="51" fillId="0" borderId="9" xfId="3" applyFont="1" applyFill="1" applyBorder="1" applyAlignment="1">
      <alignment horizontal="center"/>
    </xf>
    <xf numFmtId="9" fontId="65" fillId="0" borderId="9" xfId="3" applyFont="1" applyFill="1" applyBorder="1" applyAlignment="1">
      <alignment horizontal="center"/>
    </xf>
    <xf numFmtId="9" fontId="65" fillId="0" borderId="9" xfId="3" applyFont="1" applyBorder="1" applyAlignment="1">
      <alignment horizontal="center"/>
    </xf>
    <xf numFmtId="9" fontId="65" fillId="4" borderId="9" xfId="3" applyFont="1" applyFill="1" applyBorder="1" applyAlignment="1">
      <alignment horizontal="center"/>
    </xf>
    <xf numFmtId="172" fontId="65" fillId="4" borderId="9" xfId="3" applyNumberFormat="1" applyFont="1" applyFill="1" applyBorder="1" applyAlignment="1">
      <alignment horizontal="center"/>
    </xf>
    <xf numFmtId="172" fontId="51" fillId="4" borderId="9" xfId="3" applyNumberFormat="1" applyFont="1" applyFill="1" applyBorder="1" applyAlignment="1">
      <alignment horizontal="center"/>
    </xf>
    <xf numFmtId="39" fontId="51" fillId="0" borderId="9" xfId="1" applyNumberFormat="1" applyFont="1" applyFill="1" applyBorder="1" applyAlignment="1">
      <alignment horizontal="center"/>
    </xf>
    <xf numFmtId="39" fontId="118" fillId="0" borderId="9" xfId="1" applyNumberFormat="1" applyFont="1" applyBorder="1" applyAlignment="1">
      <alignment horizontal="center"/>
    </xf>
    <xf numFmtId="0" fontId="120" fillId="0" borderId="9" xfId="8" applyFont="1" applyBorder="1" applyAlignment="1">
      <alignment horizontal="left" vertical="center"/>
    </xf>
    <xf numFmtId="10" fontId="118" fillId="0" borderId="9" xfId="3" applyNumberFormat="1" applyFont="1" applyBorder="1" applyAlignment="1">
      <alignment horizontal="center"/>
    </xf>
    <xf numFmtId="10" fontId="65" fillId="0" borderId="9" xfId="3" applyNumberFormat="1" applyFont="1" applyBorder="1" applyAlignment="1">
      <alignment horizontal="center"/>
    </xf>
    <xf numFmtId="10" fontId="51" fillId="0" borderId="9" xfId="3" applyNumberFormat="1" applyFont="1" applyFill="1" applyBorder="1" applyAlignment="1">
      <alignment horizontal="center"/>
    </xf>
    <xf numFmtId="37" fontId="118" fillId="0" borderId="9" xfId="1" applyNumberFormat="1" applyFont="1" applyBorder="1" applyAlignment="1">
      <alignment horizontal="center"/>
    </xf>
    <xf numFmtId="37" fontId="65" fillId="0" borderId="9" xfId="1" applyNumberFormat="1" applyFont="1" applyBorder="1" applyAlignment="1">
      <alignment horizontal="center"/>
    </xf>
    <xf numFmtId="37" fontId="51" fillId="0" borderId="9" xfId="1" applyNumberFormat="1" applyFont="1" applyFill="1" applyBorder="1" applyAlignment="1">
      <alignment horizontal="center"/>
    </xf>
    <xf numFmtId="37" fontId="65" fillId="4" borderId="9" xfId="1" applyNumberFormat="1" applyFont="1" applyFill="1" applyBorder="1" applyAlignment="1">
      <alignment horizontal="center"/>
    </xf>
    <xf numFmtId="37" fontId="51" fillId="4" borderId="9" xfId="1" applyNumberFormat="1" applyFont="1" applyFill="1" applyBorder="1" applyAlignment="1">
      <alignment horizontal="center"/>
    </xf>
    <xf numFmtId="0" fontId="120" fillId="0" borderId="9" xfId="8" applyFont="1" applyBorder="1" applyAlignment="1">
      <alignment horizontal="left"/>
    </xf>
    <xf numFmtId="37" fontId="65" fillId="0" borderId="9" xfId="1" applyNumberFormat="1" applyFont="1" applyFill="1" applyBorder="1" applyAlignment="1">
      <alignment horizontal="center"/>
    </xf>
    <xf numFmtId="179" fontId="65" fillId="0" borderId="9" xfId="0" applyNumberFormat="1" applyFont="1" applyBorder="1" applyAlignment="1">
      <alignment horizontal="center"/>
    </xf>
    <xf numFmtId="179" fontId="51" fillId="0" borderId="9" xfId="0" applyNumberFormat="1" applyFont="1" applyBorder="1" applyAlignment="1">
      <alignment horizontal="center"/>
    </xf>
    <xf numFmtId="189" fontId="51" fillId="0" borderId="9" xfId="1" applyNumberFormat="1" applyFont="1" applyFill="1" applyBorder="1" applyAlignment="1">
      <alignment horizontal="center"/>
    </xf>
    <xf numFmtId="189" fontId="65" fillId="0" borderId="9" xfId="1" applyNumberFormat="1" applyFont="1" applyFill="1" applyBorder="1" applyAlignment="1">
      <alignment horizontal="center"/>
    </xf>
    <xf numFmtId="172" fontId="118" fillId="0" borderId="9" xfId="3" applyNumberFormat="1" applyFont="1" applyBorder="1" applyAlignment="1">
      <alignment horizontal="center"/>
    </xf>
    <xf numFmtId="172" fontId="51" fillId="0" borderId="9" xfId="3" applyNumberFormat="1" applyFont="1" applyBorder="1" applyAlignment="1">
      <alignment horizontal="center"/>
    </xf>
    <xf numFmtId="172" fontId="51" fillId="0" borderId="9" xfId="3" applyNumberFormat="1" applyFont="1" applyFill="1" applyBorder="1" applyAlignment="1">
      <alignment horizontal="center"/>
    </xf>
    <xf numFmtId="9" fontId="51" fillId="0" borderId="9" xfId="3" applyFont="1" applyBorder="1" applyAlignment="1">
      <alignment horizontal="center"/>
    </xf>
    <xf numFmtId="1" fontId="51" fillId="0" borderId="9" xfId="3" applyNumberFormat="1" applyFont="1" applyFill="1" applyBorder="1" applyAlignment="1">
      <alignment horizontal="center"/>
    </xf>
    <xf numFmtId="165" fontId="120" fillId="0" borderId="9" xfId="8" applyNumberFormat="1" applyFont="1" applyBorder="1" applyAlignment="1">
      <alignment horizontal="left" vertical="center"/>
    </xf>
    <xf numFmtId="171" fontId="51" fillId="0" borderId="9" xfId="6" applyNumberFormat="1" applyFont="1" applyBorder="1" applyAlignment="1">
      <alignment horizontal="center"/>
    </xf>
    <xf numFmtId="171" fontId="65" fillId="0" borderId="9" xfId="6" applyNumberFormat="1" applyFont="1" applyBorder="1" applyAlignment="1">
      <alignment horizontal="center"/>
    </xf>
    <xf numFmtId="0" fontId="4" fillId="4" borderId="26" xfId="8" applyFont="1" applyFill="1" applyBorder="1" applyAlignment="1">
      <alignment horizontal="left"/>
    </xf>
    <xf numFmtId="0" fontId="65" fillId="0" borderId="9" xfId="13" applyFont="1" applyBorder="1" applyAlignment="1">
      <alignment wrapText="1"/>
    </xf>
    <xf numFmtId="1" fontId="65" fillId="17" borderId="9" xfId="3" applyNumberFormat="1" applyFont="1" applyFill="1" applyBorder="1" applyAlignment="1">
      <alignment horizontal="center" vertical="center" wrapText="1"/>
    </xf>
    <xf numFmtId="1" fontId="65" fillId="17" borderId="9" xfId="13" applyNumberFormat="1" applyFont="1" applyFill="1" applyBorder="1" applyAlignment="1">
      <alignment horizontal="center" vertical="center" wrapText="1"/>
    </xf>
    <xf numFmtId="1" fontId="65" fillId="17" borderId="9" xfId="0" applyNumberFormat="1" applyFont="1" applyFill="1" applyBorder="1" applyAlignment="1">
      <alignment horizontal="center" vertical="center" wrapText="1"/>
    </xf>
    <xf numFmtId="0" fontId="0" fillId="0" borderId="0" xfId="0" applyAlignment="1">
      <alignment wrapText="1"/>
    </xf>
    <xf numFmtId="0" fontId="51" fillId="0" borderId="0" xfId="0" applyFont="1" applyAlignment="1">
      <alignment wrapText="1"/>
    </xf>
    <xf numFmtId="0" fontId="65" fillId="0" borderId="9" xfId="0" applyFont="1" applyBorder="1" applyAlignment="1">
      <alignment horizontal="left"/>
    </xf>
    <xf numFmtId="0" fontId="51" fillId="11" borderId="9" xfId="0" applyFont="1" applyFill="1" applyBorder="1" applyAlignment="1">
      <alignment vertical="center" wrapText="1"/>
    </xf>
    <xf numFmtId="9" fontId="51" fillId="4" borderId="9" xfId="0" applyNumberFormat="1" applyFont="1" applyFill="1" applyBorder="1" applyAlignment="1">
      <alignment horizontal="left" vertical="center" wrapText="1"/>
    </xf>
    <xf numFmtId="0" fontId="51" fillId="4" borderId="9" xfId="0" applyFont="1" applyFill="1" applyBorder="1" applyAlignment="1">
      <alignment horizontal="left" vertical="center"/>
    </xf>
    <xf numFmtId="180" fontId="51" fillId="17" borderId="9" xfId="0" applyNumberFormat="1" applyFont="1" applyFill="1" applyBorder="1" applyAlignment="1">
      <alignment horizontal="center" vertical="center"/>
    </xf>
    <xf numFmtId="180" fontId="51" fillId="4" borderId="9" xfId="0" applyNumberFormat="1" applyFont="1" applyFill="1" applyBorder="1" applyAlignment="1">
      <alignment horizontal="left" vertical="center"/>
    </xf>
    <xf numFmtId="180" fontId="51" fillId="17" borderId="9" xfId="0" applyNumberFormat="1" applyFont="1" applyFill="1" applyBorder="1" applyAlignment="1">
      <alignment horizontal="center" vertical="center" wrapText="1"/>
    </xf>
    <xf numFmtId="0" fontId="51" fillId="0" borderId="19" xfId="0" applyFont="1" applyBorder="1" applyAlignment="1">
      <alignment horizontal="left" vertical="center"/>
    </xf>
    <xf numFmtId="10" fontId="51" fillId="4" borderId="9" xfId="0" applyNumberFormat="1" applyFont="1" applyFill="1" applyBorder="1" applyAlignment="1">
      <alignment horizontal="left" vertical="center" wrapText="1"/>
    </xf>
    <xf numFmtId="178" fontId="51" fillId="4" borderId="9" xfId="0" applyNumberFormat="1" applyFont="1" applyFill="1" applyBorder="1" applyAlignment="1">
      <alignment horizontal="left" vertical="center"/>
    </xf>
    <xf numFmtId="3" fontId="51" fillId="0" borderId="9" xfId="0" applyNumberFormat="1" applyFont="1" applyBorder="1" applyAlignment="1">
      <alignment vertical="center" wrapText="1"/>
    </xf>
    <xf numFmtId="190" fontId="51" fillId="4" borderId="9" xfId="0" applyNumberFormat="1" applyFont="1" applyFill="1" applyBorder="1" applyAlignment="1">
      <alignment horizontal="left" vertical="center" wrapText="1"/>
    </xf>
    <xf numFmtId="165" fontId="118" fillId="17" borderId="9" xfId="8" applyNumberFormat="1" applyFont="1" applyFill="1" applyBorder="1" applyAlignment="1">
      <alignment horizontal="center"/>
    </xf>
    <xf numFmtId="165" fontId="118" fillId="0" borderId="9" xfId="0" applyNumberFormat="1" applyFont="1" applyBorder="1" applyAlignment="1">
      <alignment horizontal="center"/>
    </xf>
    <xf numFmtId="165" fontId="65" fillId="0" borderId="9" xfId="0" applyNumberFormat="1" applyFont="1" applyBorder="1" applyAlignment="1">
      <alignment horizontal="center"/>
    </xf>
    <xf numFmtId="2" fontId="118" fillId="0" borderId="9" xfId="0" applyNumberFormat="1" applyFont="1" applyBorder="1" applyAlignment="1">
      <alignment horizontal="center"/>
    </xf>
    <xf numFmtId="9" fontId="118" fillId="0" borderId="9" xfId="0" applyNumberFormat="1" applyFont="1" applyBorder="1" applyAlignment="1">
      <alignment horizontal="center" vertical="center" wrapText="1"/>
    </xf>
    <xf numFmtId="9" fontId="65" fillId="4" borderId="9" xfId="0" applyNumberFormat="1" applyFont="1" applyFill="1" applyBorder="1" applyAlignment="1">
      <alignment horizontal="center" vertical="center" wrapText="1"/>
    </xf>
    <xf numFmtId="9" fontId="51" fillId="4" borderId="9" xfId="0" applyNumberFormat="1" applyFont="1" applyFill="1" applyBorder="1" applyAlignment="1">
      <alignment horizontal="center" vertical="center" wrapText="1"/>
    </xf>
    <xf numFmtId="9" fontId="118" fillId="0" borderId="9" xfId="0" applyNumberFormat="1" applyFont="1" applyBorder="1" applyAlignment="1">
      <alignment horizontal="left" vertical="center" wrapText="1"/>
    </xf>
    <xf numFmtId="9" fontId="65" fillId="4" borderId="9" xfId="0" applyNumberFormat="1" applyFont="1" applyFill="1" applyBorder="1" applyAlignment="1">
      <alignment horizontal="left" vertical="center" wrapText="1"/>
    </xf>
    <xf numFmtId="0" fontId="118" fillId="0" borderId="9" xfId="0" applyFont="1" applyBorder="1" applyAlignment="1">
      <alignment horizontal="center" vertical="center" wrapText="1"/>
    </xf>
    <xf numFmtId="0" fontId="118" fillId="4" borderId="9" xfId="0" applyFont="1" applyFill="1" applyBorder="1" applyAlignment="1">
      <alignment horizontal="center" vertical="center" wrapText="1"/>
    </xf>
    <xf numFmtId="0" fontId="118" fillId="0" borderId="9" xfId="0" applyFont="1" applyBorder="1" applyAlignment="1">
      <alignment horizontal="center" vertical="center"/>
    </xf>
    <xf numFmtId="0" fontId="118" fillId="4" borderId="9" xfId="0" applyFont="1" applyFill="1" applyBorder="1" applyAlignment="1">
      <alignment horizontal="center" vertical="center"/>
    </xf>
    <xf numFmtId="0" fontId="51" fillId="4" borderId="9" xfId="0" applyFont="1" applyFill="1" applyBorder="1" applyAlignment="1">
      <alignment horizontal="center" vertical="center"/>
    </xf>
    <xf numFmtId="180" fontId="118" fillId="0" borderId="9" xfId="0" applyNumberFormat="1" applyFont="1" applyBorder="1" applyAlignment="1">
      <alignment horizontal="center" vertical="center"/>
    </xf>
    <xf numFmtId="180" fontId="65" fillId="0" borderId="9" xfId="0" applyNumberFormat="1" applyFont="1" applyBorder="1" applyAlignment="1">
      <alignment horizontal="center" vertical="center"/>
    </xf>
    <xf numFmtId="180" fontId="51" fillId="0" borderId="9" xfId="0" applyNumberFormat="1" applyFont="1" applyBorder="1" applyAlignment="1">
      <alignment horizontal="center" vertical="center"/>
    </xf>
    <xf numFmtId="180" fontId="51" fillId="4" borderId="9" xfId="0" applyNumberFormat="1" applyFont="1" applyFill="1" applyBorder="1" applyAlignment="1">
      <alignment horizontal="center" vertical="center"/>
    </xf>
    <xf numFmtId="178" fontId="118" fillId="0" borderId="9" xfId="0" applyNumberFormat="1" applyFont="1" applyBorder="1" applyAlignment="1">
      <alignment horizontal="center" vertical="center"/>
    </xf>
    <xf numFmtId="178" fontId="118" fillId="4" borderId="9" xfId="0" applyNumberFormat="1" applyFont="1" applyFill="1" applyBorder="1" applyAlignment="1">
      <alignment horizontal="center" vertical="center"/>
    </xf>
    <xf numFmtId="178" fontId="65" fillId="0" borderId="9" xfId="0" applyNumberFormat="1" applyFont="1" applyBorder="1" applyAlignment="1">
      <alignment horizontal="center" vertical="center"/>
    </xf>
    <xf numFmtId="178" fontId="51" fillId="0" borderId="9" xfId="0" applyNumberFormat="1" applyFont="1" applyBorder="1" applyAlignment="1">
      <alignment horizontal="center" vertical="center"/>
    </xf>
    <xf numFmtId="178" fontId="51" fillId="4" borderId="9" xfId="0" applyNumberFormat="1" applyFont="1" applyFill="1" applyBorder="1" applyAlignment="1">
      <alignment horizontal="center" vertical="center"/>
    </xf>
    <xf numFmtId="3" fontId="118" fillId="0" borderId="9" xfId="0" applyNumberFormat="1" applyFont="1" applyBorder="1" applyAlignment="1">
      <alignment horizontal="center" vertical="center" wrapText="1"/>
    </xf>
    <xf numFmtId="3" fontId="118" fillId="4" borderId="9" xfId="0" applyNumberFormat="1" applyFont="1" applyFill="1" applyBorder="1" applyAlignment="1">
      <alignment horizontal="center" vertical="center" wrapText="1"/>
    </xf>
    <xf numFmtId="10" fontId="118" fillId="0" borderId="9" xfId="0" applyNumberFormat="1" applyFont="1" applyBorder="1" applyAlignment="1">
      <alignment horizontal="center" vertical="center" wrapText="1"/>
    </xf>
    <xf numFmtId="190" fontId="65" fillId="4" borderId="9" xfId="0" applyNumberFormat="1" applyFont="1" applyFill="1" applyBorder="1" applyAlignment="1">
      <alignment horizontal="center" vertical="center" wrapText="1"/>
    </xf>
    <xf numFmtId="10" fontId="65" fillId="0" borderId="9" xfId="0" applyNumberFormat="1" applyFont="1" applyBorder="1" applyAlignment="1">
      <alignment horizontal="center" vertical="center" wrapText="1"/>
    </xf>
    <xf numFmtId="10" fontId="51" fillId="0" borderId="9" xfId="0" applyNumberFormat="1" applyFont="1" applyBorder="1" applyAlignment="1">
      <alignment horizontal="center" vertical="center" wrapText="1"/>
    </xf>
    <xf numFmtId="10" fontId="65" fillId="4" borderId="9" xfId="0" applyNumberFormat="1" applyFont="1" applyFill="1" applyBorder="1" applyAlignment="1">
      <alignment horizontal="center" vertical="center" wrapText="1"/>
    </xf>
    <xf numFmtId="10" fontId="65" fillId="0" borderId="9" xfId="3" applyNumberFormat="1" applyFont="1" applyFill="1" applyBorder="1" applyAlignment="1">
      <alignment horizontal="center" vertical="center" wrapText="1"/>
    </xf>
    <xf numFmtId="0" fontId="120" fillId="4" borderId="9" xfId="8" applyFont="1" applyFill="1" applyBorder="1" applyAlignment="1">
      <alignment horizontal="left" vertical="center"/>
    </xf>
    <xf numFmtId="2" fontId="51" fillId="8" borderId="9" xfId="1" applyNumberFormat="1" applyFont="1" applyFill="1" applyBorder="1" applyAlignment="1">
      <alignment horizontal="center" wrapText="1"/>
    </xf>
    <xf numFmtId="43" fontId="51" fillId="0" borderId="9" xfId="1" applyFont="1" applyBorder="1"/>
    <xf numFmtId="7" fontId="51" fillId="0" borderId="9" xfId="0" applyNumberFormat="1" applyFont="1" applyBorder="1" applyAlignment="1">
      <alignment horizontal="center" wrapText="1"/>
    </xf>
    <xf numFmtId="202" fontId="65" fillId="0" borderId="9" xfId="2" applyNumberFormat="1" applyFont="1" applyFill="1" applyBorder="1" applyAlignment="1">
      <alignment horizontal="center" wrapText="1"/>
    </xf>
    <xf numFmtId="188" fontId="65" fillId="0" borderId="9" xfId="0" applyNumberFormat="1" applyFont="1" applyBorder="1" applyAlignment="1">
      <alignment horizontal="center" vertical="center" wrapText="1"/>
    </xf>
    <xf numFmtId="0" fontId="120" fillId="0" borderId="0" xfId="0" applyFont="1"/>
    <xf numFmtId="0" fontId="51" fillId="4" borderId="30" xfId="0" applyFont="1" applyFill="1" applyBorder="1" applyAlignment="1">
      <alignment horizontal="left" vertical="center" wrapText="1"/>
    </xf>
    <xf numFmtId="165" fontId="51" fillId="17" borderId="9" xfId="0" applyNumberFormat="1" applyFont="1" applyFill="1" applyBorder="1" applyAlignment="1">
      <alignment horizontal="center" vertical="center"/>
    </xf>
    <xf numFmtId="2" fontId="51" fillId="17" borderId="9" xfId="0" applyNumberFormat="1" applyFont="1" applyFill="1" applyBorder="1" applyAlignment="1">
      <alignment horizontal="center" vertical="center"/>
    </xf>
    <xf numFmtId="2" fontId="118" fillId="0" borderId="9" xfId="1" applyNumberFormat="1" applyFont="1" applyBorder="1" applyAlignment="1">
      <alignment horizontal="center"/>
    </xf>
    <xf numFmtId="9" fontId="65" fillId="4" borderId="9" xfId="3" applyFont="1" applyFill="1" applyBorder="1" applyAlignment="1">
      <alignment horizontal="center" vertical="center" wrapText="1"/>
    </xf>
    <xf numFmtId="0" fontId="65" fillId="4" borderId="9" xfId="0" applyFont="1" applyFill="1" applyBorder="1" applyAlignment="1">
      <alignment horizontal="center" vertical="center"/>
    </xf>
    <xf numFmtId="2" fontId="118" fillId="0" borderId="9" xfId="0" applyNumberFormat="1" applyFont="1" applyBorder="1" applyAlignment="1">
      <alignment horizontal="center" vertical="center"/>
    </xf>
    <xf numFmtId="2" fontId="51" fillId="0" borderId="9" xfId="0" applyNumberFormat="1" applyFont="1" applyBorder="1" applyAlignment="1">
      <alignment horizontal="center" vertical="center"/>
    </xf>
    <xf numFmtId="2" fontId="51" fillId="4" borderId="9" xfId="0" applyNumberFormat="1" applyFont="1" applyFill="1" applyBorder="1" applyAlignment="1">
      <alignment horizontal="center" vertical="center"/>
    </xf>
    <xf numFmtId="181" fontId="51" fillId="4" borderId="9" xfId="0" applyNumberFormat="1" applyFont="1" applyFill="1" applyBorder="1" applyAlignment="1">
      <alignment horizontal="center" vertical="center"/>
    </xf>
    <xf numFmtId="181" fontId="65" fillId="0" borderId="9" xfId="0" applyNumberFormat="1" applyFont="1" applyBorder="1" applyAlignment="1">
      <alignment horizontal="center" vertical="center" wrapText="1"/>
    </xf>
    <xf numFmtId="181" fontId="51" fillId="0" borderId="9" xfId="0" applyNumberFormat="1" applyFont="1" applyBorder="1" applyAlignment="1">
      <alignment horizontal="center" vertical="center" wrapText="1"/>
    </xf>
    <xf numFmtId="7" fontId="51" fillId="4" borderId="9" xfId="2" applyNumberFormat="1" applyFont="1" applyFill="1" applyBorder="1" applyAlignment="1">
      <alignment horizontal="center" vertical="center" wrapText="1"/>
    </xf>
    <xf numFmtId="0" fontId="51" fillId="0" borderId="9" xfId="0" applyFont="1" applyBorder="1" applyAlignment="1">
      <alignment horizontal="left" wrapText="1"/>
    </xf>
    <xf numFmtId="9" fontId="51" fillId="8" borderId="9" xfId="3" applyFont="1" applyFill="1" applyBorder="1" applyAlignment="1">
      <alignment horizontal="center" vertical="center" wrapText="1"/>
    </xf>
    <xf numFmtId="0" fontId="51" fillId="17" borderId="9" xfId="0" applyFont="1" applyFill="1" applyBorder="1" applyAlignment="1">
      <alignment horizontal="center" wrapText="1"/>
    </xf>
    <xf numFmtId="0" fontId="51" fillId="17" borderId="9" xfId="0" applyFont="1" applyFill="1" applyBorder="1" applyAlignment="1">
      <alignment horizontal="center" vertical="center"/>
    </xf>
    <xf numFmtId="180" fontId="51" fillId="17" borderId="9" xfId="0" applyNumberFormat="1" applyFont="1" applyFill="1" applyBorder="1" applyAlignment="1">
      <alignment horizontal="center" wrapText="1"/>
    </xf>
    <xf numFmtId="180" fontId="51" fillId="0" borderId="9" xfId="0" applyNumberFormat="1" applyFont="1" applyBorder="1" applyAlignment="1">
      <alignment horizontal="left" wrapText="1"/>
    </xf>
    <xf numFmtId="3" fontId="51" fillId="17" borderId="9" xfId="0" applyNumberFormat="1" applyFont="1" applyFill="1" applyBorder="1" applyAlignment="1">
      <alignment horizontal="center" vertical="center" wrapText="1"/>
    </xf>
    <xf numFmtId="9" fontId="51" fillId="17" borderId="9" xfId="3" applyFont="1" applyFill="1" applyBorder="1" applyAlignment="1">
      <alignment horizontal="center" wrapText="1"/>
    </xf>
    <xf numFmtId="190" fontId="51" fillId="0" borderId="9" xfId="3" applyNumberFormat="1" applyFont="1" applyBorder="1" applyAlignment="1">
      <alignment horizontal="left" wrapText="1"/>
    </xf>
    <xf numFmtId="172" fontId="51" fillId="0" borderId="9" xfId="3" applyNumberFormat="1" applyFont="1" applyBorder="1" applyAlignment="1">
      <alignment horizontal="left" wrapText="1"/>
    </xf>
    <xf numFmtId="10" fontId="51" fillId="7" borderId="9" xfId="3" applyNumberFormat="1" applyFont="1" applyFill="1" applyBorder="1" applyAlignment="1">
      <alignment horizontal="center"/>
    </xf>
    <xf numFmtId="165" fontId="51" fillId="0" borderId="9" xfId="8" applyNumberFormat="1" applyFont="1" applyBorder="1" applyAlignment="1">
      <alignment horizontal="left"/>
    </xf>
    <xf numFmtId="7" fontId="51" fillId="0" borderId="9" xfId="2" applyNumberFormat="1" applyFont="1" applyFill="1" applyBorder="1" applyAlignment="1">
      <alignment horizontal="left"/>
    </xf>
    <xf numFmtId="7" fontId="51" fillId="8" borderId="9" xfId="2" applyNumberFormat="1" applyFont="1" applyFill="1" applyBorder="1" applyAlignment="1">
      <alignment horizontal="center"/>
    </xf>
    <xf numFmtId="10" fontId="51" fillId="4" borderId="9" xfId="0" applyNumberFormat="1" applyFont="1" applyFill="1" applyBorder="1" applyAlignment="1">
      <alignment horizontal="center" vertical="center" wrapText="1"/>
    </xf>
    <xf numFmtId="10" fontId="65" fillId="4" borderId="9" xfId="3" applyNumberFormat="1" applyFont="1" applyFill="1" applyBorder="1" applyAlignment="1">
      <alignment horizontal="center" vertical="center" wrapText="1"/>
    </xf>
    <xf numFmtId="10" fontId="51" fillId="4" borderId="9" xfId="3" applyNumberFormat="1" applyFont="1" applyFill="1" applyBorder="1" applyAlignment="1">
      <alignment horizontal="center" vertical="center" wrapText="1"/>
    </xf>
    <xf numFmtId="10" fontId="65" fillId="0" borderId="9" xfId="3" applyNumberFormat="1" applyFont="1" applyBorder="1" applyAlignment="1">
      <alignment horizontal="center" vertical="center" wrapText="1"/>
    </xf>
    <xf numFmtId="9" fontId="51" fillId="0" borderId="9" xfId="3" applyFont="1" applyBorder="1" applyAlignment="1">
      <alignment horizontal="center" vertical="center" wrapText="1"/>
    </xf>
    <xf numFmtId="0" fontId="51" fillId="0" borderId="9" xfId="0" applyFont="1" applyBorder="1" applyAlignment="1">
      <alignment horizontal="center" wrapText="1"/>
    </xf>
    <xf numFmtId="0" fontId="51" fillId="0" borderId="9" xfId="0" applyFont="1" applyBorder="1" applyAlignment="1">
      <alignment wrapText="1"/>
    </xf>
    <xf numFmtId="0" fontId="65" fillId="0" borderId="9" xfId="0" applyFont="1" applyBorder="1" applyAlignment="1">
      <alignment horizontal="center" wrapText="1"/>
    </xf>
    <xf numFmtId="2" fontId="118" fillId="0" borderId="9" xfId="0" applyNumberFormat="1" applyFont="1" applyBorder="1" applyAlignment="1">
      <alignment horizontal="center" vertical="center" wrapText="1"/>
    </xf>
    <xf numFmtId="180" fontId="65" fillId="0" borderId="9" xfId="0" applyNumberFormat="1" applyFont="1" applyBorder="1" applyAlignment="1">
      <alignment horizontal="center" wrapText="1"/>
    </xf>
    <xf numFmtId="180" fontId="51" fillId="0" borderId="9" xfId="0" applyNumberFormat="1" applyFont="1" applyBorder="1" applyAlignment="1">
      <alignment horizontal="center" wrapText="1"/>
    </xf>
    <xf numFmtId="0" fontId="118" fillId="0" borderId="9" xfId="0" applyFont="1" applyBorder="1" applyAlignment="1">
      <alignment horizontal="center" wrapText="1"/>
    </xf>
    <xf numFmtId="3" fontId="65" fillId="0" borderId="9" xfId="0" applyNumberFormat="1" applyFont="1" applyBorder="1" applyAlignment="1">
      <alignment horizontal="center" vertical="center" wrapText="1"/>
    </xf>
    <xf numFmtId="3" fontId="51" fillId="0" borderId="9" xfId="0" applyNumberFormat="1" applyFont="1" applyBorder="1" applyAlignment="1">
      <alignment horizontal="center" vertical="center" wrapText="1"/>
    </xf>
    <xf numFmtId="190" fontId="118" fillId="0" borderId="9" xfId="0" applyNumberFormat="1" applyFont="1" applyBorder="1" applyAlignment="1">
      <alignment horizontal="center" vertical="center" wrapText="1"/>
    </xf>
    <xf numFmtId="190" fontId="65" fillId="0" borderId="9" xfId="3" applyNumberFormat="1" applyFont="1" applyBorder="1" applyAlignment="1">
      <alignment horizontal="center" wrapText="1"/>
    </xf>
    <xf numFmtId="190" fontId="51" fillId="0" borderId="9" xfId="3" applyNumberFormat="1" applyFont="1" applyBorder="1" applyAlignment="1">
      <alignment horizontal="center" wrapText="1"/>
    </xf>
    <xf numFmtId="44" fontId="51" fillId="4" borderId="9" xfId="2" applyFont="1" applyFill="1" applyBorder="1" applyAlignment="1">
      <alignment horizontal="center"/>
    </xf>
    <xf numFmtId="203" fontId="65" fillId="0" borderId="9" xfId="2" applyNumberFormat="1" applyFont="1" applyFill="1" applyBorder="1" applyAlignment="1">
      <alignment horizontal="center" wrapText="1"/>
    </xf>
    <xf numFmtId="169" fontId="51" fillId="0" borderId="9" xfId="0" applyNumberFormat="1" applyFont="1" applyBorder="1" applyAlignment="1">
      <alignment horizontal="center" vertical="center"/>
    </xf>
    <xf numFmtId="0" fontId="119" fillId="0" borderId="0" xfId="0" applyFont="1"/>
    <xf numFmtId="165" fontId="51" fillId="0" borderId="9" xfId="0" applyNumberFormat="1" applyFont="1" applyBorder="1" applyAlignment="1">
      <alignment horizontal="center"/>
    </xf>
    <xf numFmtId="165" fontId="65" fillId="4" borderId="9" xfId="0" applyNumberFormat="1" applyFont="1" applyFill="1" applyBorder="1" applyAlignment="1">
      <alignment horizontal="center"/>
    </xf>
    <xf numFmtId="165" fontId="51" fillId="4" borderId="9" xfId="0" applyNumberFormat="1" applyFont="1" applyFill="1" applyBorder="1" applyAlignment="1">
      <alignment horizontal="center"/>
    </xf>
    <xf numFmtId="180" fontId="51" fillId="8" borderId="9" xfId="0" applyNumberFormat="1" applyFont="1" applyFill="1" applyBorder="1" applyAlignment="1">
      <alignment horizontal="center" vertical="center" wrapText="1"/>
    </xf>
    <xf numFmtId="179" fontId="51" fillId="47" borderId="9" xfId="0" applyNumberFormat="1" applyFont="1" applyFill="1" applyBorder="1" applyAlignment="1">
      <alignment horizontal="center" vertical="center" wrapText="1"/>
    </xf>
    <xf numFmtId="7" fontId="65" fillId="0" borderId="9" xfId="2" applyNumberFormat="1" applyFont="1" applyFill="1" applyBorder="1" applyAlignment="1">
      <alignment horizontal="left"/>
    </xf>
    <xf numFmtId="0" fontId="51" fillId="4" borderId="19" xfId="0" applyFont="1" applyFill="1" applyBorder="1" applyAlignment="1">
      <alignment horizontal="left" vertical="center"/>
    </xf>
    <xf numFmtId="180" fontId="118" fillId="4" borderId="9" xfId="0" applyNumberFormat="1" applyFont="1" applyFill="1" applyBorder="1" applyAlignment="1">
      <alignment horizontal="center"/>
    </xf>
    <xf numFmtId="180" fontId="51" fillId="4" borderId="9" xfId="0" applyNumberFormat="1" applyFont="1" applyFill="1" applyBorder="1" applyAlignment="1">
      <alignment horizontal="center"/>
    </xf>
    <xf numFmtId="0" fontId="51" fillId="4" borderId="23" xfId="0" applyFont="1" applyFill="1" applyBorder="1" applyAlignment="1">
      <alignment horizontal="left" vertical="center"/>
    </xf>
    <xf numFmtId="180" fontId="65" fillId="4" borderId="9" xfId="0" applyNumberFormat="1" applyFont="1" applyFill="1" applyBorder="1" applyAlignment="1">
      <alignment horizontal="center"/>
    </xf>
    <xf numFmtId="2" fontId="118" fillId="4" borderId="9" xfId="0" applyNumberFormat="1" applyFont="1" applyFill="1" applyBorder="1" applyAlignment="1">
      <alignment horizontal="center"/>
    </xf>
    <xf numFmtId="3" fontId="51" fillId="4" borderId="9" xfId="0" applyNumberFormat="1" applyFont="1" applyFill="1" applyBorder="1" applyAlignment="1">
      <alignment horizontal="left" vertical="center"/>
    </xf>
    <xf numFmtId="4" fontId="51" fillId="4" borderId="9" xfId="0" applyNumberFormat="1" applyFont="1" applyFill="1" applyBorder="1" applyAlignment="1">
      <alignment horizontal="center" vertical="center" wrapText="1"/>
    </xf>
    <xf numFmtId="190" fontId="51" fillId="4" borderId="9" xfId="0" applyNumberFormat="1" applyFont="1" applyFill="1" applyBorder="1" applyAlignment="1">
      <alignment horizontal="center" vertical="center" wrapText="1"/>
    </xf>
    <xf numFmtId="39" fontId="51" fillId="4" borderId="9" xfId="1" applyNumberFormat="1" applyFont="1" applyFill="1" applyBorder="1" applyAlignment="1">
      <alignment horizontal="center" vertical="center" wrapText="1"/>
    </xf>
    <xf numFmtId="0" fontId="51" fillId="0" borderId="9" xfId="12" applyFont="1" applyBorder="1" applyAlignment="1">
      <alignment horizontal="center"/>
    </xf>
    <xf numFmtId="180" fontId="118" fillId="0" borderId="9" xfId="0" applyNumberFormat="1" applyFont="1" applyBorder="1" applyAlignment="1">
      <alignment horizontal="center"/>
    </xf>
    <xf numFmtId="2" fontId="118" fillId="4" borderId="9" xfId="0" applyNumberFormat="1" applyFont="1" applyFill="1" applyBorder="1" applyAlignment="1">
      <alignment horizontal="center" vertical="center" wrapText="1"/>
    </xf>
    <xf numFmtId="10" fontId="118" fillId="4" borderId="9" xfId="3" applyNumberFormat="1" applyFont="1" applyFill="1" applyBorder="1" applyAlignment="1">
      <alignment horizontal="center" vertical="center" wrapText="1"/>
    </xf>
    <xf numFmtId="9" fontId="118" fillId="4" borderId="9" xfId="3" applyFont="1" applyFill="1" applyBorder="1" applyAlignment="1">
      <alignment horizontal="center" vertical="center" wrapText="1"/>
    </xf>
    <xf numFmtId="9" fontId="118" fillId="0" borderId="9" xfId="0" applyNumberFormat="1" applyFont="1" applyBorder="1" applyAlignment="1">
      <alignment horizontal="center"/>
    </xf>
    <xf numFmtId="10" fontId="118" fillId="0" borderId="9" xfId="0" applyNumberFormat="1" applyFont="1" applyBorder="1"/>
    <xf numFmtId="172" fontId="65" fillId="4" borderId="9" xfId="3" applyNumberFormat="1" applyFont="1" applyFill="1" applyBorder="1" applyAlignment="1">
      <alignment horizontal="center" vertical="center" wrapText="1"/>
    </xf>
    <xf numFmtId="172" fontId="118" fillId="0" borderId="9" xfId="0" applyNumberFormat="1" applyFont="1" applyBorder="1" applyAlignment="1">
      <alignment horizontal="center"/>
    </xf>
    <xf numFmtId="0" fontId="65" fillId="4" borderId="9" xfId="0" applyFont="1" applyFill="1" applyBorder="1" applyAlignment="1">
      <alignment horizontal="left" vertical="center"/>
    </xf>
    <xf numFmtId="0" fontId="51" fillId="4" borderId="9" xfId="12" applyFont="1" applyFill="1" applyBorder="1" applyAlignment="1">
      <alignment horizontal="center" vertical="center"/>
    </xf>
    <xf numFmtId="169" fontId="65" fillId="4" borderId="9" xfId="2" applyNumberFormat="1" applyFont="1" applyFill="1" applyBorder="1" applyAlignment="1">
      <alignment horizontal="center" vertical="center"/>
    </xf>
    <xf numFmtId="0" fontId="65" fillId="0" borderId="0" xfId="0" applyFont="1" applyAlignment="1">
      <alignment horizontal="center"/>
    </xf>
    <xf numFmtId="180" fontId="65" fillId="0" borderId="9" xfId="0" applyNumberFormat="1" applyFont="1" applyBorder="1" applyAlignment="1">
      <alignment horizontal="center"/>
    </xf>
    <xf numFmtId="9" fontId="65" fillId="0" borderId="0" xfId="3" applyFont="1"/>
    <xf numFmtId="2" fontId="51" fillId="0" borderId="16" xfId="1" applyNumberFormat="1" applyFont="1" applyBorder="1"/>
    <xf numFmtId="0" fontId="51" fillId="4" borderId="9" xfId="0" applyFont="1" applyFill="1" applyBorder="1"/>
    <xf numFmtId="0" fontId="51" fillId="0" borderId="0" xfId="6" applyFont="1" applyAlignment="1">
      <alignment horizontal="center"/>
    </xf>
    <xf numFmtId="0" fontId="65" fillId="11" borderId="9" xfId="0" applyFont="1" applyFill="1" applyBorder="1" applyAlignment="1">
      <alignment horizontal="center" vertical="center" wrapText="1"/>
    </xf>
    <xf numFmtId="0" fontId="65" fillId="11" borderId="9" xfId="0" applyFont="1" applyFill="1" applyBorder="1" applyAlignment="1">
      <alignment horizontal="center" vertical="center"/>
    </xf>
    <xf numFmtId="9" fontId="51" fillId="0" borderId="0" xfId="3" applyFont="1" applyFill="1"/>
    <xf numFmtId="0" fontId="51" fillId="4" borderId="19" xfId="0" applyFont="1" applyFill="1" applyBorder="1" applyAlignment="1">
      <alignment vertical="center" wrapText="1"/>
    </xf>
    <xf numFmtId="37" fontId="65" fillId="17" borderId="9" xfId="1" applyNumberFormat="1" applyFont="1" applyFill="1" applyBorder="1" applyAlignment="1">
      <alignment horizontal="center" vertical="center" wrapText="1"/>
    </xf>
    <xf numFmtId="172" fontId="65" fillId="17" borderId="21" xfId="3" applyNumberFormat="1" applyFont="1" applyFill="1" applyBorder="1" applyAlignment="1">
      <alignment horizontal="center"/>
    </xf>
    <xf numFmtId="0" fontId="65" fillId="4" borderId="19" xfId="6" applyFont="1" applyFill="1" applyBorder="1" applyAlignment="1">
      <alignment wrapText="1"/>
    </xf>
    <xf numFmtId="0" fontId="51" fillId="4" borderId="19" xfId="6" applyFont="1" applyFill="1" applyBorder="1"/>
    <xf numFmtId="165" fontId="51" fillId="4" borderId="19" xfId="8" applyNumberFormat="1" applyFont="1" applyFill="1" applyBorder="1" applyAlignment="1">
      <alignment vertical="center"/>
    </xf>
    <xf numFmtId="165" fontId="51" fillId="4" borderId="19" xfId="8" applyNumberFormat="1" applyFont="1" applyFill="1" applyBorder="1" applyAlignment="1">
      <alignment horizontal="left" vertical="center"/>
    </xf>
    <xf numFmtId="37" fontId="51" fillId="17" borderId="9" xfId="1" applyNumberFormat="1" applyFont="1" applyFill="1" applyBorder="1" applyAlignment="1">
      <alignment horizontal="center" wrapText="1"/>
    </xf>
    <xf numFmtId="0" fontId="51" fillId="4" borderId="50" xfId="6" applyFont="1" applyFill="1" applyBorder="1"/>
    <xf numFmtId="0" fontId="65" fillId="0" borderId="50" xfId="6" applyFont="1" applyBorder="1"/>
    <xf numFmtId="0" fontId="124" fillId="4" borderId="50" xfId="17" applyFont="1" applyFill="1" applyBorder="1" applyAlignment="1"/>
    <xf numFmtId="171" fontId="51" fillId="4" borderId="50" xfId="13" applyNumberFormat="1" applyFont="1" applyFill="1" applyBorder="1" applyAlignment="1">
      <alignment horizontal="left"/>
    </xf>
    <xf numFmtId="0" fontId="65" fillId="4" borderId="50" xfId="6" applyFont="1" applyFill="1" applyBorder="1" applyAlignment="1">
      <alignment wrapText="1"/>
    </xf>
    <xf numFmtId="0" fontId="74" fillId="12" borderId="9" xfId="0" applyFont="1" applyFill="1" applyBorder="1"/>
    <xf numFmtId="167" fontId="74" fillId="12" borderId="9" xfId="0" applyNumberFormat="1" applyFont="1" applyFill="1" applyBorder="1" applyAlignment="1">
      <alignment horizontal="center"/>
    </xf>
    <xf numFmtId="167" fontId="74" fillId="12" borderId="9" xfId="0" applyNumberFormat="1" applyFont="1" applyFill="1" applyBorder="1"/>
    <xf numFmtId="1" fontId="51" fillId="4" borderId="9" xfId="0" applyNumberFormat="1" applyFont="1" applyFill="1" applyBorder="1" applyAlignment="1">
      <alignment horizontal="center" vertical="center" wrapText="1"/>
    </xf>
    <xf numFmtId="172" fontId="51" fillId="4" borderId="9" xfId="3" applyNumberFormat="1" applyFont="1" applyFill="1" applyBorder="1" applyAlignment="1">
      <alignment horizontal="center" vertical="center" wrapText="1"/>
    </xf>
    <xf numFmtId="10" fontId="65" fillId="0" borderId="9" xfId="0" applyNumberFormat="1" applyFont="1" applyBorder="1" applyAlignment="1">
      <alignment horizontal="center"/>
    </xf>
    <xf numFmtId="10" fontId="51" fillId="0" borderId="9" xfId="0" applyNumberFormat="1" applyFont="1" applyBorder="1" applyAlignment="1">
      <alignment horizontal="center"/>
    </xf>
    <xf numFmtId="165" fontId="51" fillId="4" borderId="9" xfId="8" applyNumberFormat="1" applyFont="1" applyFill="1" applyBorder="1" applyAlignment="1">
      <alignment vertical="center"/>
    </xf>
    <xf numFmtId="7" fontId="65" fillId="4" borderId="9" xfId="2" applyNumberFormat="1" applyFont="1" applyFill="1" applyBorder="1" applyAlignment="1">
      <alignment horizontal="center"/>
    </xf>
    <xf numFmtId="165" fontId="65" fillId="4" borderId="9" xfId="6" applyNumberFormat="1" applyFont="1" applyFill="1" applyBorder="1" applyAlignment="1">
      <alignment horizontal="center"/>
    </xf>
    <xf numFmtId="165" fontId="51" fillId="4" borderId="9" xfId="6" applyNumberFormat="1" applyFont="1" applyFill="1" applyBorder="1" applyAlignment="1">
      <alignment horizontal="center"/>
    </xf>
    <xf numFmtId="7" fontId="65" fillId="4" borderId="9" xfId="2" applyNumberFormat="1" applyFont="1" applyFill="1" applyBorder="1" applyAlignment="1">
      <alignment horizontal="center" wrapText="1"/>
    </xf>
    <xf numFmtId="165" fontId="51" fillId="4" borderId="9" xfId="0" applyNumberFormat="1" applyFont="1" applyFill="1" applyBorder="1" applyAlignment="1">
      <alignment horizontal="left" vertical="center" wrapText="1"/>
    </xf>
    <xf numFmtId="0" fontId="65" fillId="0" borderId="0" xfId="13" applyFont="1" applyAlignment="1">
      <alignment horizontal="left" vertical="center"/>
    </xf>
    <xf numFmtId="0" fontId="65" fillId="0" borderId="0" xfId="13" applyFont="1"/>
    <xf numFmtId="179" fontId="65" fillId="0" borderId="0" xfId="9" applyNumberFormat="1" applyFont="1" applyFill="1" applyBorder="1" applyAlignment="1">
      <alignment horizontal="left" vertical="center"/>
    </xf>
    <xf numFmtId="0" fontId="65" fillId="11" borderId="9" xfId="0" applyFont="1" applyFill="1" applyBorder="1" applyAlignment="1">
      <alignment horizontal="left" vertical="center" wrapText="1"/>
    </xf>
    <xf numFmtId="0" fontId="65" fillId="11" borderId="16" xfId="0" applyFont="1" applyFill="1" applyBorder="1" applyAlignment="1">
      <alignment horizontal="center" vertical="center" wrapText="1"/>
    </xf>
    <xf numFmtId="0" fontId="65" fillId="8" borderId="9" xfId="2" applyNumberFormat="1" applyFont="1" applyFill="1" applyBorder="1" applyAlignment="1">
      <alignment horizontal="center" vertical="center" wrapText="1"/>
    </xf>
    <xf numFmtId="3" fontId="65" fillId="4" borderId="9" xfId="0" applyNumberFormat="1" applyFont="1" applyFill="1" applyBorder="1" applyAlignment="1">
      <alignment horizontal="left" vertical="center" wrapText="1"/>
    </xf>
    <xf numFmtId="0" fontId="65" fillId="17" borderId="9" xfId="2" applyNumberFormat="1" applyFont="1" applyFill="1" applyBorder="1" applyAlignment="1">
      <alignment horizontal="center" vertical="center" wrapText="1"/>
    </xf>
    <xf numFmtId="9" fontId="65" fillId="8" borderId="9" xfId="3" applyFont="1" applyFill="1" applyBorder="1" applyAlignment="1">
      <alignment horizontal="center" vertical="center" wrapText="1"/>
    </xf>
    <xf numFmtId="0" fontId="51" fillId="0" borderId="19" xfId="8" applyFont="1" applyBorder="1"/>
    <xf numFmtId="39" fontId="65" fillId="0" borderId="18" xfId="1" applyNumberFormat="1" applyFont="1" applyBorder="1" applyAlignment="1">
      <alignment horizontal="center"/>
    </xf>
    <xf numFmtId="39" fontId="51" fillId="0" borderId="18" xfId="1" applyNumberFormat="1" applyFont="1" applyBorder="1" applyAlignment="1">
      <alignment horizontal="center"/>
    </xf>
    <xf numFmtId="43" fontId="51" fillId="0" borderId="20" xfId="1" applyFont="1" applyBorder="1"/>
    <xf numFmtId="10" fontId="51" fillId="0" borderId="9" xfId="3" applyNumberFormat="1" applyFont="1" applyBorder="1" applyAlignment="1">
      <alignment horizontal="center"/>
    </xf>
    <xf numFmtId="0" fontId="65" fillId="4" borderId="9" xfId="0" applyFont="1" applyFill="1" applyBorder="1" applyAlignment="1">
      <alignment horizontal="left"/>
    </xf>
    <xf numFmtId="7" fontId="65" fillId="0" borderId="9" xfId="2" applyNumberFormat="1" applyFont="1" applyBorder="1" applyAlignment="1">
      <alignment horizontal="center"/>
    </xf>
    <xf numFmtId="182" fontId="65" fillId="0" borderId="9" xfId="1" applyNumberFormat="1" applyFont="1" applyBorder="1" applyAlignment="1">
      <alignment horizontal="center"/>
    </xf>
    <xf numFmtId="169" fontId="65" fillId="0" borderId="9" xfId="0" applyNumberFormat="1" applyFont="1" applyBorder="1" applyAlignment="1">
      <alignment horizontal="center" vertical="center"/>
    </xf>
    <xf numFmtId="182" fontId="65" fillId="0" borderId="9" xfId="1" applyNumberFormat="1" applyFont="1" applyFill="1" applyBorder="1" applyAlignment="1">
      <alignment horizontal="center"/>
    </xf>
    <xf numFmtId="165" fontId="118" fillId="0" borderId="9" xfId="0" applyNumberFormat="1" applyFont="1" applyBorder="1" applyAlignment="1">
      <alignment horizontal="center" vertical="center"/>
    </xf>
    <xf numFmtId="165" fontId="65" fillId="0" borderId="9" xfId="0" applyNumberFormat="1" applyFont="1" applyBorder="1" applyAlignment="1">
      <alignment horizontal="center" vertical="center"/>
    </xf>
    <xf numFmtId="39" fontId="65" fillId="17" borderId="9" xfId="0" applyNumberFormat="1" applyFont="1" applyFill="1" applyBorder="1" applyAlignment="1">
      <alignment horizontal="center" vertical="center"/>
    </xf>
    <xf numFmtId="2" fontId="65" fillId="8" borderId="9" xfId="0" applyNumberFormat="1" applyFont="1" applyFill="1" applyBorder="1" applyAlignment="1">
      <alignment horizontal="center"/>
    </xf>
    <xf numFmtId="4" fontId="51" fillId="8" borderId="9" xfId="0" applyNumberFormat="1" applyFont="1" applyFill="1" applyBorder="1" applyAlignment="1">
      <alignment horizontal="center" vertical="center" wrapText="1"/>
    </xf>
    <xf numFmtId="39" fontId="65" fillId="8" borderId="9" xfId="0" applyNumberFormat="1" applyFont="1" applyFill="1" applyBorder="1" applyAlignment="1">
      <alignment horizontal="center" vertical="center"/>
    </xf>
    <xf numFmtId="39" fontId="51" fillId="17" borderId="9" xfId="5" applyNumberFormat="1" applyFont="1" applyFill="1" applyBorder="1" applyAlignment="1">
      <alignment horizontal="center"/>
    </xf>
    <xf numFmtId="172" fontId="51" fillId="17" borderId="9" xfId="3" applyNumberFormat="1" applyFont="1" applyFill="1" applyBorder="1" applyAlignment="1">
      <alignment horizontal="center" vertical="center" wrapText="1"/>
    </xf>
    <xf numFmtId="9" fontId="51" fillId="12" borderId="9" xfId="0" applyNumberFormat="1" applyFont="1" applyFill="1" applyBorder="1" applyAlignment="1">
      <alignment horizontal="center" vertical="center"/>
    </xf>
    <xf numFmtId="9" fontId="51" fillId="12" borderId="9" xfId="3" applyFont="1" applyFill="1" applyBorder="1" applyAlignment="1">
      <alignment horizontal="center"/>
    </xf>
    <xf numFmtId="0" fontId="122" fillId="0" borderId="9" xfId="0" applyFont="1" applyBorder="1" applyAlignment="1">
      <alignment horizontal="left" vertical="center" wrapText="1"/>
    </xf>
    <xf numFmtId="2" fontId="65" fillId="17" borderId="9" xfId="1" applyNumberFormat="1" applyFont="1" applyFill="1" applyBorder="1" applyAlignment="1">
      <alignment horizontal="center" wrapText="1"/>
    </xf>
    <xf numFmtId="0" fontId="65" fillId="0" borderId="9" xfId="8" applyFont="1" applyBorder="1" applyAlignment="1">
      <alignment horizontal="center" wrapText="1"/>
    </xf>
    <xf numFmtId="0" fontId="65" fillId="0" borderId="9" xfId="0" applyFont="1" applyBorder="1" applyAlignment="1">
      <alignment horizontal="left" vertical="center"/>
    </xf>
    <xf numFmtId="44" fontId="65" fillId="19" borderId="9" xfId="2" applyFont="1" applyFill="1" applyBorder="1" applyAlignment="1">
      <alignment horizontal="center" vertical="center" wrapText="1"/>
    </xf>
    <xf numFmtId="9" fontId="118" fillId="0" borderId="9" xfId="3" applyFont="1" applyFill="1" applyBorder="1" applyAlignment="1">
      <alignment horizontal="center"/>
    </xf>
    <xf numFmtId="9" fontId="118" fillId="0" borderId="9" xfId="0" applyNumberFormat="1" applyFont="1" applyBorder="1" applyAlignment="1">
      <alignment horizontal="center" vertical="center"/>
    </xf>
    <xf numFmtId="9" fontId="65" fillId="0" borderId="9" xfId="0" applyNumberFormat="1" applyFont="1" applyBorder="1" applyAlignment="1">
      <alignment horizontal="center" vertical="center"/>
    </xf>
    <xf numFmtId="9" fontId="51" fillId="0" borderId="9" xfId="0" applyNumberFormat="1" applyFont="1" applyBorder="1" applyAlignment="1">
      <alignment horizontal="center" vertical="center"/>
    </xf>
    <xf numFmtId="39" fontId="118" fillId="0" borderId="9" xfId="0" applyNumberFormat="1" applyFont="1" applyBorder="1" applyAlignment="1">
      <alignment horizontal="center" vertical="center"/>
    </xf>
    <xf numFmtId="39" fontId="51" fillId="0" borderId="9" xfId="0" applyNumberFormat="1" applyFont="1" applyBorder="1" applyAlignment="1">
      <alignment horizontal="center" vertical="center"/>
    </xf>
    <xf numFmtId="0" fontId="51" fillId="4" borderId="19" xfId="0" applyFont="1" applyFill="1" applyBorder="1" applyAlignment="1">
      <alignment horizontal="center" vertical="center" wrapText="1"/>
    </xf>
    <xf numFmtId="210" fontId="65" fillId="4" borderId="9" xfId="8" applyNumberFormat="1" applyFont="1" applyFill="1" applyBorder="1" applyAlignment="1">
      <alignment horizontal="center"/>
    </xf>
    <xf numFmtId="170" fontId="51" fillId="4" borderId="9" xfId="1" applyNumberFormat="1" applyFont="1" applyFill="1" applyBorder="1" applyAlignment="1">
      <alignment horizontal="center"/>
    </xf>
    <xf numFmtId="2" fontId="51" fillId="0" borderId="22" xfId="1" applyNumberFormat="1" applyFont="1" applyFill="1" applyBorder="1"/>
    <xf numFmtId="2" fontId="51" fillId="0" borderId="25" xfId="1" applyNumberFormat="1" applyFont="1" applyFill="1" applyBorder="1"/>
    <xf numFmtId="172" fontId="65" fillId="4" borderId="9" xfId="16" applyNumberFormat="1" applyFont="1" applyFill="1" applyBorder="1" applyAlignment="1">
      <alignment horizontal="center"/>
    </xf>
    <xf numFmtId="172" fontId="51" fillId="0" borderId="9" xfId="16" applyNumberFormat="1" applyFont="1" applyFill="1" applyBorder="1" applyAlignment="1">
      <alignment horizontal="center"/>
    </xf>
    <xf numFmtId="3" fontId="65" fillId="4" borderId="9" xfId="0" applyNumberFormat="1" applyFont="1" applyFill="1" applyBorder="1" applyAlignment="1">
      <alignment horizontal="center"/>
    </xf>
    <xf numFmtId="9" fontId="118" fillId="4" borderId="9" xfId="3" applyFont="1" applyFill="1" applyBorder="1" applyAlignment="1">
      <alignment horizontal="center"/>
    </xf>
    <xf numFmtId="0" fontId="51" fillId="0" borderId="9" xfId="6" applyFont="1" applyBorder="1" applyAlignment="1">
      <alignment horizontal="left" wrapText="1"/>
    </xf>
    <xf numFmtId="0" fontId="118" fillId="0" borderId="0" xfId="13" applyFont="1"/>
    <xf numFmtId="0" fontId="128" fillId="0" borderId="0" xfId="6" applyFont="1"/>
    <xf numFmtId="179" fontId="118" fillId="0" borderId="9" xfId="8" applyNumberFormat="1" applyFont="1" applyBorder="1" applyAlignment="1">
      <alignment horizontal="center"/>
    </xf>
    <xf numFmtId="179" fontId="118" fillId="0" borderId="9" xfId="6" applyNumberFormat="1" applyFont="1" applyBorder="1" applyAlignment="1">
      <alignment horizontal="center"/>
    </xf>
    <xf numFmtId="4" fontId="118" fillId="0" borderId="9" xfId="6" applyNumberFormat="1" applyFont="1" applyBorder="1" applyAlignment="1">
      <alignment horizontal="center"/>
    </xf>
    <xf numFmtId="2" fontId="51" fillId="0" borderId="9" xfId="1" applyNumberFormat="1" applyFont="1" applyFill="1" applyBorder="1"/>
    <xf numFmtId="2" fontId="51" fillId="0" borderId="9" xfId="1" applyNumberFormat="1" applyFont="1" applyFill="1" applyBorder="1" applyAlignment="1">
      <alignment horizontal="center" wrapText="1"/>
    </xf>
    <xf numFmtId="44" fontId="65" fillId="0" borderId="9" xfId="2" applyFont="1" applyFill="1" applyBorder="1" applyAlignment="1">
      <alignment horizontal="center" wrapText="1"/>
    </xf>
    <xf numFmtId="0" fontId="122" fillId="0" borderId="0" xfId="13" applyFont="1" applyAlignment="1">
      <alignment horizontal="left" vertical="center" wrapText="1"/>
    </xf>
    <xf numFmtId="2" fontId="51" fillId="7" borderId="9" xfId="3" applyNumberFormat="1" applyFont="1" applyFill="1" applyBorder="1" applyAlignment="1">
      <alignment horizontal="center"/>
    </xf>
    <xf numFmtId="2" fontId="51" fillId="4" borderId="9" xfId="3" applyNumberFormat="1" applyFont="1" applyFill="1" applyBorder="1" applyAlignment="1">
      <alignment horizontal="left" wrapText="1"/>
    </xf>
    <xf numFmtId="3" fontId="51" fillId="17" borderId="9" xfId="3" applyNumberFormat="1" applyFont="1" applyFill="1" applyBorder="1" applyAlignment="1">
      <alignment horizontal="center" vertical="center" wrapText="1"/>
    </xf>
    <xf numFmtId="3" fontId="51" fillId="4" borderId="9" xfId="3" applyNumberFormat="1" applyFont="1" applyFill="1" applyBorder="1" applyAlignment="1">
      <alignment horizontal="left" vertical="center" wrapText="1"/>
    </xf>
    <xf numFmtId="2" fontId="65" fillId="4" borderId="9" xfId="3" applyNumberFormat="1" applyFont="1" applyFill="1" applyBorder="1" applyAlignment="1">
      <alignment horizontal="left" wrapText="1"/>
    </xf>
    <xf numFmtId="165" fontId="51" fillId="17" borderId="9" xfId="6" applyNumberFormat="1" applyFont="1" applyFill="1" applyBorder="1" applyAlignment="1">
      <alignment horizontal="center" vertical="center" wrapText="1"/>
    </xf>
    <xf numFmtId="165" fontId="51" fillId="4" borderId="9" xfId="6" applyNumberFormat="1" applyFont="1" applyFill="1" applyBorder="1" applyAlignment="1">
      <alignment horizontal="left" vertical="center" wrapText="1"/>
    </xf>
    <xf numFmtId="165" fontId="51" fillId="17" borderId="9" xfId="6" applyNumberFormat="1" applyFont="1" applyFill="1" applyBorder="1" applyAlignment="1">
      <alignment horizontal="center"/>
    </xf>
    <xf numFmtId="171" fontId="51" fillId="17" borderId="9" xfId="6" applyNumberFormat="1" applyFont="1" applyFill="1" applyBorder="1" applyAlignment="1">
      <alignment horizontal="center"/>
    </xf>
    <xf numFmtId="0" fontId="118" fillId="12" borderId="0" xfId="0" applyFont="1" applyFill="1"/>
    <xf numFmtId="165" fontId="129" fillId="0" borderId="9" xfId="8" applyNumberFormat="1" applyFont="1" applyBorder="1" applyAlignment="1">
      <alignment horizontal="left" vertical="center"/>
    </xf>
    <xf numFmtId="0" fontId="51" fillId="12" borderId="9" xfId="0" applyFont="1" applyFill="1" applyBorder="1" applyAlignment="1">
      <alignment horizontal="center" vertical="center" wrapText="1"/>
    </xf>
    <xf numFmtId="9" fontId="118" fillId="25" borderId="9" xfId="3" applyFont="1" applyFill="1" applyBorder="1" applyAlignment="1">
      <alignment horizontal="center" vertical="center" wrapText="1"/>
    </xf>
    <xf numFmtId="9" fontId="51" fillId="25" borderId="9" xfId="3" applyFont="1" applyFill="1" applyBorder="1" applyAlignment="1">
      <alignment horizontal="center" vertical="center" wrapText="1"/>
    </xf>
    <xf numFmtId="3" fontId="65" fillId="0" borderId="9" xfId="3" applyNumberFormat="1" applyFont="1" applyFill="1" applyBorder="1" applyAlignment="1">
      <alignment horizontal="center" vertical="center" wrapText="1"/>
    </xf>
    <xf numFmtId="3" fontId="51" fillId="0" borderId="9" xfId="3" applyNumberFormat="1" applyFont="1" applyFill="1" applyBorder="1" applyAlignment="1">
      <alignment horizontal="center" vertical="center" wrapText="1"/>
    </xf>
    <xf numFmtId="9" fontId="118" fillId="0" borderId="9" xfId="3" applyFont="1" applyFill="1" applyBorder="1" applyAlignment="1">
      <alignment horizontal="center" vertical="center" wrapText="1"/>
    </xf>
    <xf numFmtId="4" fontId="65" fillId="0" borderId="9" xfId="3" applyNumberFormat="1" applyFont="1" applyFill="1" applyBorder="1" applyAlignment="1">
      <alignment horizontal="center" vertical="center" wrapText="1"/>
    </xf>
    <xf numFmtId="4" fontId="51" fillId="0" borderId="9" xfId="3" applyNumberFormat="1" applyFont="1" applyFill="1" applyBorder="1" applyAlignment="1">
      <alignment horizontal="center" vertical="center" wrapText="1"/>
    </xf>
    <xf numFmtId="165" fontId="118" fillId="0" borderId="9" xfId="6" applyNumberFormat="1" applyFont="1" applyBorder="1" applyAlignment="1">
      <alignment horizontal="center" vertical="center" wrapText="1"/>
    </xf>
    <xf numFmtId="165" fontId="118" fillId="0" borderId="9" xfId="6" applyNumberFormat="1" applyFont="1" applyBorder="1" applyAlignment="1">
      <alignment horizontal="center"/>
    </xf>
    <xf numFmtId="165" fontId="118" fillId="4" borderId="9" xfId="6" applyNumberFormat="1" applyFont="1" applyFill="1" applyBorder="1" applyAlignment="1">
      <alignment horizontal="center"/>
    </xf>
    <xf numFmtId="171" fontId="118" fillId="0" borderId="9" xfId="6" applyNumberFormat="1" applyFont="1" applyBorder="1" applyAlignment="1">
      <alignment horizontal="center"/>
    </xf>
    <xf numFmtId="171" fontId="118" fillId="4" borderId="9" xfId="6" applyNumberFormat="1" applyFont="1" applyFill="1" applyBorder="1" applyAlignment="1">
      <alignment horizontal="center"/>
    </xf>
    <xf numFmtId="171" fontId="118" fillId="25" borderId="9" xfId="6" applyNumberFormat="1" applyFont="1" applyFill="1" applyBorder="1" applyAlignment="1">
      <alignment horizontal="center"/>
    </xf>
    <xf numFmtId="171" fontId="51" fillId="25" borderId="9" xfId="6" applyNumberFormat="1" applyFont="1" applyFill="1" applyBorder="1" applyAlignment="1">
      <alignment horizontal="center"/>
    </xf>
    <xf numFmtId="0" fontId="122" fillId="0" borderId="9" xfId="12" applyFont="1" applyBorder="1" applyAlignment="1">
      <alignment horizontal="center" vertical="center"/>
    </xf>
    <xf numFmtId="169" fontId="65" fillId="0" borderId="9" xfId="2" applyNumberFormat="1" applyFont="1" applyFill="1" applyBorder="1" applyAlignment="1">
      <alignment horizontal="center"/>
    </xf>
    <xf numFmtId="0" fontId="51" fillId="0" borderId="0" xfId="6" applyFont="1" applyAlignment="1">
      <alignment vertical="center"/>
    </xf>
    <xf numFmtId="0" fontId="114" fillId="0" borderId="9" xfId="12" applyFont="1" applyBorder="1" applyAlignment="1">
      <alignment horizontal="center" vertical="center"/>
    </xf>
    <xf numFmtId="182" fontId="65" fillId="0" borderId="9" xfId="1" applyNumberFormat="1" applyFont="1" applyFill="1" applyBorder="1" applyAlignment="1">
      <alignment horizontal="center" vertical="center"/>
    </xf>
    <xf numFmtId="0" fontId="118" fillId="0" borderId="9" xfId="6" applyFont="1" applyBorder="1" applyAlignment="1">
      <alignment vertical="center"/>
    </xf>
    <xf numFmtId="4" fontId="118" fillId="0" borderId="9" xfId="8" applyNumberFormat="1" applyFont="1" applyBorder="1" applyAlignment="1">
      <alignment horizontal="center"/>
    </xf>
    <xf numFmtId="0" fontId="118" fillId="0" borderId="0" xfId="6" applyFont="1" applyAlignment="1">
      <alignment vertical="center"/>
    </xf>
    <xf numFmtId="2" fontId="51" fillId="0" borderId="25" xfId="1" applyNumberFormat="1" applyFont="1" applyBorder="1"/>
    <xf numFmtId="0" fontId="51" fillId="0" borderId="9" xfId="6" applyFont="1" applyBorder="1" applyAlignment="1">
      <alignment wrapText="1"/>
    </xf>
    <xf numFmtId="0" fontId="51" fillId="0" borderId="19" xfId="6" applyFont="1" applyBorder="1" applyAlignment="1">
      <alignment vertical="center"/>
    </xf>
    <xf numFmtId="0" fontId="65" fillId="0" borderId="19" xfId="6" applyFont="1" applyBorder="1" applyAlignment="1">
      <alignment wrapText="1"/>
    </xf>
    <xf numFmtId="0" fontId="51" fillId="0" borderId="19" xfId="6" applyFont="1" applyBorder="1"/>
    <xf numFmtId="0" fontId="51" fillId="0" borderId="19" xfId="6" applyFont="1" applyBorder="1" applyAlignment="1">
      <alignment wrapText="1"/>
    </xf>
    <xf numFmtId="165" fontId="51" fillId="0" borderId="19" xfId="8" applyNumberFormat="1" applyFont="1" applyBorder="1" applyAlignment="1">
      <alignment horizontal="left" vertical="center"/>
    </xf>
    <xf numFmtId="165" fontId="51" fillId="0" borderId="19" xfId="8" applyNumberFormat="1" applyFont="1" applyBorder="1" applyAlignment="1">
      <alignment horizontal="center" vertical="center"/>
    </xf>
    <xf numFmtId="0" fontId="51" fillId="0" borderId="50" xfId="6" applyFont="1" applyBorder="1" applyAlignment="1">
      <alignment horizontal="center"/>
    </xf>
    <xf numFmtId="0" fontId="65" fillId="0" borderId="50" xfId="6" applyFont="1" applyBorder="1" applyAlignment="1">
      <alignment wrapText="1"/>
    </xf>
    <xf numFmtId="0" fontId="124" fillId="0" borderId="50" xfId="17" applyFont="1" applyFill="1" applyBorder="1" applyAlignment="1"/>
    <xf numFmtId="171" fontId="51" fillId="0" borderId="50" xfId="13" applyNumberFormat="1" applyFont="1" applyBorder="1" applyAlignment="1">
      <alignment horizontal="center"/>
    </xf>
    <xf numFmtId="44" fontId="51" fillId="23" borderId="9" xfId="2" applyFont="1" applyFill="1" applyBorder="1" applyAlignment="1">
      <alignment horizontal="center" vertical="center" wrapText="1"/>
    </xf>
    <xf numFmtId="0" fontId="51" fillId="0" borderId="50" xfId="6" applyFont="1" applyBorder="1" applyAlignment="1">
      <alignment wrapText="1"/>
    </xf>
    <xf numFmtId="0" fontId="51" fillId="0" borderId="18" xfId="6" applyFont="1" applyBorder="1" applyAlignment="1">
      <alignment horizontal="center"/>
    </xf>
    <xf numFmtId="172" fontId="65" fillId="0" borderId="19" xfId="3" applyNumberFormat="1" applyFont="1" applyFill="1" applyBorder="1" applyAlignment="1">
      <alignment horizontal="center"/>
    </xf>
    <xf numFmtId="172" fontId="65" fillId="0" borderId="21" xfId="3" applyNumberFormat="1" applyFont="1" applyFill="1" applyBorder="1" applyAlignment="1">
      <alignment horizontal="center"/>
    </xf>
    <xf numFmtId="172" fontId="51" fillId="0" borderId="21" xfId="3" applyNumberFormat="1" applyFont="1" applyFill="1" applyBorder="1" applyAlignment="1">
      <alignment horizontal="center"/>
    </xf>
    <xf numFmtId="172" fontId="65" fillId="0" borderId="9" xfId="3" applyNumberFormat="1" applyFont="1" applyFill="1" applyBorder="1" applyAlignment="1">
      <alignment horizontal="center"/>
    </xf>
    <xf numFmtId="10" fontId="65" fillId="0" borderId="19" xfId="6" applyNumberFormat="1" applyFont="1" applyBorder="1" applyAlignment="1">
      <alignment horizontal="center"/>
    </xf>
    <xf numFmtId="10" fontId="65" fillId="0" borderId="9" xfId="6" applyNumberFormat="1" applyFont="1" applyBorder="1" applyAlignment="1">
      <alignment horizontal="center"/>
    </xf>
    <xf numFmtId="10" fontId="51" fillId="0" borderId="21" xfId="6" applyNumberFormat="1" applyFont="1" applyBorder="1" applyAlignment="1">
      <alignment horizontal="center"/>
    </xf>
    <xf numFmtId="10" fontId="65" fillId="0" borderId="20" xfId="6" applyNumberFormat="1" applyFont="1" applyBorder="1" applyAlignment="1">
      <alignment horizontal="center"/>
    </xf>
    <xf numFmtId="10" fontId="51" fillId="0" borderId="19" xfId="6" applyNumberFormat="1" applyFont="1" applyBorder="1" applyAlignment="1">
      <alignment horizontal="center"/>
    </xf>
    <xf numFmtId="165" fontId="65" fillId="0" borderId="19" xfId="6" applyNumberFormat="1" applyFont="1" applyBorder="1" applyAlignment="1">
      <alignment horizontal="center"/>
    </xf>
    <xf numFmtId="165" fontId="65" fillId="0" borderId="20" xfId="6" applyNumberFormat="1" applyFont="1" applyBorder="1" applyAlignment="1">
      <alignment horizontal="center"/>
    </xf>
    <xf numFmtId="165" fontId="51" fillId="0" borderId="19" xfId="6" applyNumberFormat="1" applyFont="1" applyBorder="1" applyAlignment="1">
      <alignment horizontal="center"/>
    </xf>
    <xf numFmtId="171" fontId="65" fillId="0" borderId="50" xfId="13" applyNumberFormat="1" applyFont="1" applyBorder="1" applyAlignment="1">
      <alignment horizontal="center"/>
    </xf>
    <xf numFmtId="171" fontId="65" fillId="0" borderId="52" xfId="13" applyNumberFormat="1" applyFont="1" applyBorder="1" applyAlignment="1">
      <alignment horizontal="center"/>
    </xf>
    <xf numFmtId="179" fontId="118" fillId="0" borderId="9" xfId="1" applyNumberFormat="1" applyFont="1" applyFill="1" applyBorder="1" applyAlignment="1">
      <alignment horizontal="left"/>
    </xf>
    <xf numFmtId="171" fontId="118" fillId="0" borderId="9" xfId="2" applyNumberFormat="1" applyFont="1" applyFill="1" applyBorder="1" applyAlignment="1">
      <alignment horizontal="left"/>
    </xf>
    <xf numFmtId="0" fontId="51" fillId="11" borderId="9" xfId="0" applyFont="1" applyFill="1" applyBorder="1" applyAlignment="1">
      <alignment horizontal="center" vertical="center"/>
    </xf>
    <xf numFmtId="0" fontId="51" fillId="0" borderId="0" xfId="13" applyFont="1"/>
    <xf numFmtId="0" fontId="51" fillId="0" borderId="0" xfId="13" applyFont="1" applyAlignment="1">
      <alignment horizontal="center"/>
    </xf>
    <xf numFmtId="179" fontId="51" fillId="0" borderId="0" xfId="9" applyNumberFormat="1" applyFont="1" applyFill="1" applyBorder="1" applyAlignment="1">
      <alignment horizontal="center" vertical="center"/>
    </xf>
    <xf numFmtId="0" fontId="51" fillId="0" borderId="0" xfId="0" applyFont="1" applyAlignment="1">
      <alignment horizontal="center" vertical="center" wrapText="1"/>
    </xf>
    <xf numFmtId="8" fontId="51" fillId="0" borderId="0" xfId="0" applyNumberFormat="1" applyFont="1" applyAlignment="1">
      <alignment horizontal="center" vertical="center"/>
    </xf>
    <xf numFmtId="0" fontId="67" fillId="0" borderId="9" xfId="0" applyFont="1" applyBorder="1" applyAlignment="1">
      <alignment horizontal="left" vertical="center" wrapText="1"/>
    </xf>
    <xf numFmtId="0" fontId="51" fillId="0" borderId="0" xfId="0" applyFont="1" applyAlignment="1">
      <alignment vertical="top"/>
    </xf>
    <xf numFmtId="168" fontId="51" fillId="0" borderId="0" xfId="1" applyNumberFormat="1" applyFont="1" applyFill="1" applyBorder="1" applyAlignment="1">
      <alignment horizontal="center" vertical="center"/>
    </xf>
    <xf numFmtId="0" fontId="65" fillId="16" borderId="9" xfId="0" applyFont="1" applyFill="1" applyBorder="1" applyAlignment="1">
      <alignment horizontal="left" vertical="center"/>
    </xf>
    <xf numFmtId="0" fontId="65" fillId="16" borderId="9" xfId="0" applyFont="1" applyFill="1" applyBorder="1" applyAlignment="1">
      <alignment horizontal="center" vertical="center" wrapText="1"/>
    </xf>
    <xf numFmtId="168" fontId="65" fillId="0" borderId="0" xfId="1" applyNumberFormat="1" applyFont="1" applyFill="1" applyBorder="1" applyAlignment="1">
      <alignment horizontal="center" vertical="center"/>
    </xf>
    <xf numFmtId="39" fontId="65" fillId="17" borderId="9" xfId="1" applyNumberFormat="1" applyFont="1" applyFill="1" applyBorder="1" applyAlignment="1">
      <alignment horizontal="center" vertical="center" wrapText="1"/>
    </xf>
    <xf numFmtId="165" fontId="65" fillId="0" borderId="0" xfId="6" applyNumberFormat="1" applyFont="1" applyAlignment="1">
      <alignment horizontal="left" vertical="center"/>
    </xf>
    <xf numFmtId="9" fontId="51" fillId="0" borderId="0" xfId="3" applyFont="1" applyFill="1" applyBorder="1" applyAlignment="1">
      <alignment horizontal="left" vertical="center"/>
    </xf>
    <xf numFmtId="165" fontId="51" fillId="0" borderId="0" xfId="6" applyNumberFormat="1" applyFont="1" applyAlignment="1">
      <alignment horizontal="center" vertical="center" wrapText="1"/>
    </xf>
    <xf numFmtId="2" fontId="51" fillId="0" borderId="16" xfId="1" applyNumberFormat="1" applyFont="1" applyFill="1" applyBorder="1"/>
    <xf numFmtId="180" fontId="51" fillId="0" borderId="0" xfId="6" applyNumberFormat="1" applyFont="1"/>
    <xf numFmtId="182" fontId="65" fillId="4" borderId="9" xfId="1" applyNumberFormat="1" applyFont="1" applyFill="1" applyBorder="1" applyAlignment="1">
      <alignment horizontal="center" vertical="center"/>
    </xf>
    <xf numFmtId="0" fontId="130" fillId="0" borderId="9" xfId="0" applyFont="1" applyBorder="1"/>
    <xf numFmtId="0" fontId="130" fillId="0" borderId="9" xfId="0" applyFont="1" applyBorder="1" applyAlignment="1">
      <alignment horizontal="center"/>
    </xf>
    <xf numFmtId="3" fontId="51" fillId="0" borderId="0" xfId="0" applyNumberFormat="1" applyFont="1" applyAlignment="1">
      <alignment horizontal="center" vertical="center" wrapText="1"/>
    </xf>
    <xf numFmtId="0" fontId="130" fillId="0" borderId="9" xfId="0" applyFont="1" applyBorder="1" applyAlignment="1">
      <alignment vertical="center"/>
    </xf>
    <xf numFmtId="0" fontId="130" fillId="16" borderId="9" xfId="0" applyFont="1" applyFill="1" applyBorder="1" applyAlignment="1">
      <alignment horizontal="left" vertical="center"/>
    </xf>
    <xf numFmtId="0" fontId="130" fillId="16" borderId="9" xfId="0" applyFont="1" applyFill="1" applyBorder="1" applyAlignment="1">
      <alignment horizontal="center" vertical="center" wrapText="1"/>
    </xf>
    <xf numFmtId="165" fontId="65" fillId="0" borderId="9" xfId="8" applyNumberFormat="1" applyFont="1" applyBorder="1" applyAlignment="1">
      <alignment horizontal="left" vertical="center"/>
    </xf>
    <xf numFmtId="0" fontId="131" fillId="0" borderId="9" xfId="0" applyFont="1" applyBorder="1"/>
    <xf numFmtId="0" fontId="118" fillId="0" borderId="9" xfId="6" applyFont="1" applyBorder="1" applyAlignment="1">
      <alignment horizontal="center" vertical="center"/>
    </xf>
    <xf numFmtId="2" fontId="118" fillId="0" borderId="9" xfId="6" applyNumberFormat="1" applyFont="1" applyBorder="1" applyAlignment="1">
      <alignment horizontal="center" vertical="center"/>
    </xf>
    <xf numFmtId="180" fontId="74" fillId="0" borderId="0" xfId="13" applyNumberFormat="1" applyFont="1" applyAlignment="1">
      <alignment horizontal="center"/>
    </xf>
    <xf numFmtId="165" fontId="65" fillId="8" borderId="9" xfId="6" applyNumberFormat="1" applyFont="1" applyFill="1" applyBorder="1" applyAlignment="1">
      <alignment horizontal="center" vertical="center" wrapText="1"/>
    </xf>
    <xf numFmtId="2" fontId="65" fillId="8" borderId="9" xfId="6" applyNumberFormat="1" applyFont="1" applyFill="1" applyBorder="1" applyAlignment="1">
      <alignment horizontal="center" vertical="center" wrapText="1"/>
    </xf>
    <xf numFmtId="2" fontId="51" fillId="12" borderId="9" xfId="6" applyNumberFormat="1" applyFont="1" applyFill="1" applyBorder="1" applyAlignment="1">
      <alignment horizontal="center" vertical="center" wrapText="1"/>
    </xf>
    <xf numFmtId="0" fontId="122" fillId="0" borderId="0" xfId="6" applyFont="1" applyAlignment="1">
      <alignment wrapText="1"/>
    </xf>
    <xf numFmtId="0" fontId="51" fillId="0" borderId="0" xfId="6" applyFont="1" applyAlignment="1">
      <alignment horizontal="center" wrapText="1"/>
    </xf>
    <xf numFmtId="165" fontId="65" fillId="17" borderId="16" xfId="0" applyNumberFormat="1" applyFont="1" applyFill="1" applyBorder="1" applyAlignment="1">
      <alignment horizontal="center" vertical="center" wrapText="1"/>
    </xf>
    <xf numFmtId="171" fontId="65" fillId="17" borderId="16" xfId="0" applyNumberFormat="1" applyFont="1" applyFill="1" applyBorder="1" applyAlignment="1">
      <alignment horizontal="center" vertical="center" wrapText="1"/>
    </xf>
    <xf numFmtId="168" fontId="122" fillId="0" borderId="0" xfId="9" applyNumberFormat="1" applyFont="1" applyBorder="1" applyAlignment="1">
      <alignment horizontal="left" vertical="center" wrapText="1"/>
    </xf>
    <xf numFmtId="168" fontId="122" fillId="0" borderId="0" xfId="9" applyNumberFormat="1" applyFont="1" applyBorder="1" applyAlignment="1">
      <alignment horizontal="center" vertical="center" wrapText="1"/>
    </xf>
    <xf numFmtId="168" fontId="122" fillId="0" borderId="0" xfId="9" applyNumberFormat="1" applyFont="1" applyFill="1" applyBorder="1" applyAlignment="1">
      <alignment vertical="center" wrapText="1"/>
    </xf>
    <xf numFmtId="2" fontId="51" fillId="0" borderId="9" xfId="6" applyNumberFormat="1" applyFont="1" applyBorder="1" applyAlignment="1">
      <alignment horizontal="center"/>
    </xf>
    <xf numFmtId="0" fontId="118" fillId="12" borderId="9" xfId="0" applyFont="1" applyFill="1" applyBorder="1"/>
    <xf numFmtId="165" fontId="132" fillId="0" borderId="9" xfId="6" applyNumberFormat="1" applyFont="1" applyBorder="1" applyAlignment="1">
      <alignment horizontal="center" vertical="center" wrapText="1"/>
    </xf>
    <xf numFmtId="165" fontId="118" fillId="4" borderId="9" xfId="6" applyNumberFormat="1" applyFont="1" applyFill="1" applyBorder="1" applyAlignment="1">
      <alignment horizontal="center" vertical="center" wrapText="1"/>
    </xf>
    <xf numFmtId="9" fontId="65" fillId="0" borderId="9" xfId="13" applyNumberFormat="1" applyFont="1" applyBorder="1" applyAlignment="1">
      <alignment horizontal="center" vertical="center"/>
    </xf>
    <xf numFmtId="165" fontId="118" fillId="0" borderId="9" xfId="6" applyNumberFormat="1" applyFont="1" applyBorder="1" applyAlignment="1">
      <alignment horizontal="center" vertical="center"/>
    </xf>
    <xf numFmtId="165" fontId="51" fillId="0" borderId="9" xfId="6" applyNumberFormat="1" applyFont="1" applyBorder="1" applyAlignment="1">
      <alignment horizontal="center" vertical="center"/>
    </xf>
    <xf numFmtId="171" fontId="118" fillId="4" borderId="9" xfId="13" applyNumberFormat="1" applyFont="1" applyFill="1" applyBorder="1" applyAlignment="1">
      <alignment horizontal="center" vertical="center"/>
    </xf>
    <xf numFmtId="2" fontId="51" fillId="0" borderId="20" xfId="1" applyNumberFormat="1" applyFont="1" applyFill="1" applyBorder="1"/>
    <xf numFmtId="0" fontId="51" fillId="0" borderId="48" xfId="8" applyFont="1" applyBorder="1" applyAlignment="1">
      <alignment horizontal="center"/>
    </xf>
    <xf numFmtId="0" fontId="51" fillId="0" borderId="34" xfId="8" applyFont="1" applyBorder="1" applyAlignment="1">
      <alignment horizontal="left"/>
    </xf>
    <xf numFmtId="0" fontId="51" fillId="0" borderId="34" xfId="8" applyFont="1" applyBorder="1" applyAlignment="1">
      <alignment horizontal="center"/>
    </xf>
    <xf numFmtId="9" fontId="51" fillId="0" borderId="0" xfId="3" applyFont="1" applyFill="1" applyBorder="1"/>
    <xf numFmtId="39" fontId="65" fillId="4" borderId="9" xfId="1" applyNumberFormat="1" applyFont="1" applyFill="1" applyBorder="1" applyAlignment="1">
      <alignment horizontal="center" wrapText="1"/>
    </xf>
    <xf numFmtId="169" fontId="65" fillId="4" borderId="9" xfId="8" applyNumberFormat="1" applyFont="1" applyFill="1" applyBorder="1" applyAlignment="1">
      <alignment horizontal="center"/>
    </xf>
    <xf numFmtId="1" fontId="51" fillId="0" borderId="0" xfId="8" applyNumberFormat="1" applyFont="1" applyAlignment="1">
      <alignment horizontal="center"/>
    </xf>
    <xf numFmtId="166" fontId="51" fillId="0" borderId="0" xfId="8" applyNumberFormat="1" applyFont="1"/>
    <xf numFmtId="178" fontId="51" fillId="0" borderId="0" xfId="8" applyNumberFormat="1" applyFont="1"/>
    <xf numFmtId="0" fontId="51" fillId="0" borderId="35" xfId="8" applyFont="1" applyBorder="1" applyAlignment="1">
      <alignment horizontal="center"/>
    </xf>
    <xf numFmtId="0" fontId="51" fillId="0" borderId="33" xfId="8" applyFont="1" applyBorder="1" applyAlignment="1">
      <alignment horizontal="center"/>
    </xf>
    <xf numFmtId="39" fontId="51" fillId="17" borderId="9" xfId="1" applyNumberFormat="1" applyFont="1" applyFill="1" applyBorder="1" applyAlignment="1">
      <alignment horizontal="center" wrapText="1"/>
    </xf>
    <xf numFmtId="0" fontId="51" fillId="8" borderId="9" xfId="0" applyFont="1" applyFill="1" applyBorder="1" applyAlignment="1">
      <alignment horizontal="center" vertical="center" wrapText="1"/>
    </xf>
    <xf numFmtId="172" fontId="51" fillId="7" borderId="9" xfId="3" applyNumberFormat="1" applyFont="1" applyFill="1" applyBorder="1" applyAlignment="1">
      <alignment horizontal="center"/>
    </xf>
    <xf numFmtId="0" fontId="51" fillId="4" borderId="18" xfId="0" applyFont="1" applyFill="1" applyBorder="1" applyAlignment="1">
      <alignment horizontal="center" vertical="center" wrapText="1"/>
    </xf>
    <xf numFmtId="0" fontId="65" fillId="0" borderId="0" xfId="13" applyFont="1" applyAlignment="1">
      <alignment horizontal="center"/>
    </xf>
    <xf numFmtId="179" fontId="65" fillId="0" borderId="0" xfId="9" applyNumberFormat="1" applyFont="1" applyFill="1" applyBorder="1" applyAlignment="1">
      <alignment horizontal="center" vertical="center"/>
    </xf>
    <xf numFmtId="0" fontId="65" fillId="0" borderId="0" xfId="6" applyFont="1" applyAlignment="1">
      <alignment horizontal="center"/>
    </xf>
    <xf numFmtId="0" fontId="65" fillId="0" borderId="0" xfId="0" applyFont="1" applyAlignment="1">
      <alignment horizontal="center" vertical="center" wrapText="1"/>
    </xf>
    <xf numFmtId="0" fontId="65" fillId="23" borderId="9" xfId="2" applyNumberFormat="1" applyFont="1" applyFill="1" applyBorder="1" applyAlignment="1">
      <alignment horizontal="center" vertical="center" wrapText="1"/>
    </xf>
    <xf numFmtId="0" fontId="118" fillId="4" borderId="9" xfId="0" applyFont="1" applyFill="1" applyBorder="1"/>
    <xf numFmtId="39" fontId="51" fillId="4" borderId="9" xfId="1" applyNumberFormat="1" applyFont="1" applyFill="1" applyBorder="1" applyAlignment="1">
      <alignment horizontal="center" wrapText="1"/>
    </xf>
    <xf numFmtId="9" fontId="118" fillId="4" borderId="9" xfId="0" applyNumberFormat="1" applyFont="1" applyFill="1" applyBorder="1" applyAlignment="1">
      <alignment horizontal="center" vertical="center" wrapText="1"/>
    </xf>
    <xf numFmtId="178" fontId="65" fillId="4" borderId="9" xfId="0" applyNumberFormat="1" applyFont="1" applyFill="1" applyBorder="1" applyAlignment="1">
      <alignment horizontal="center" vertical="center" wrapText="1"/>
    </xf>
    <xf numFmtId="178" fontId="51" fillId="4" borderId="9" xfId="0" applyNumberFormat="1" applyFont="1" applyFill="1" applyBorder="1" applyAlignment="1">
      <alignment horizontal="center" vertical="center" wrapText="1"/>
    </xf>
    <xf numFmtId="39" fontId="118" fillId="4" borderId="9" xfId="1" applyNumberFormat="1" applyFont="1" applyFill="1" applyBorder="1" applyAlignment="1">
      <alignment horizontal="center" wrapText="1"/>
    </xf>
    <xf numFmtId="37" fontId="118" fillId="4" borderId="9" xfId="1" applyNumberFormat="1" applyFont="1" applyFill="1" applyBorder="1" applyAlignment="1">
      <alignment horizontal="center" wrapText="1"/>
    </xf>
    <xf numFmtId="37" fontId="51" fillId="4" borderId="9" xfId="1" applyNumberFormat="1" applyFont="1" applyFill="1" applyBorder="1" applyAlignment="1">
      <alignment horizontal="center" wrapText="1"/>
    </xf>
    <xf numFmtId="37" fontId="65" fillId="4" borderId="9" xfId="1" applyNumberFormat="1" applyFont="1" applyFill="1" applyBorder="1" applyAlignment="1">
      <alignment horizontal="center" wrapText="1"/>
    </xf>
    <xf numFmtId="172" fontId="51" fillId="4" borderId="9" xfId="0" applyNumberFormat="1" applyFont="1" applyFill="1" applyBorder="1" applyAlignment="1">
      <alignment horizontal="center" vertical="center" wrapText="1"/>
    </xf>
    <xf numFmtId="172" fontId="65" fillId="4" borderId="9" xfId="0" applyNumberFormat="1" applyFont="1" applyFill="1" applyBorder="1" applyAlignment="1">
      <alignment horizontal="center" vertical="center" wrapText="1"/>
    </xf>
    <xf numFmtId="170" fontId="118" fillId="4" borderId="9" xfId="2" applyNumberFormat="1" applyFont="1" applyFill="1" applyBorder="1" applyAlignment="1">
      <alignment horizontal="center" vertical="center" wrapText="1"/>
    </xf>
    <xf numFmtId="170" fontId="51" fillId="4" borderId="9" xfId="2" applyNumberFormat="1" applyFont="1" applyFill="1" applyBorder="1" applyAlignment="1">
      <alignment horizontal="center" vertical="center" wrapText="1"/>
    </xf>
    <xf numFmtId="170" fontId="65" fillId="4" borderId="9" xfId="2" applyNumberFormat="1" applyFont="1" applyFill="1" applyBorder="1" applyAlignment="1">
      <alignment horizontal="center" vertical="center" wrapText="1"/>
    </xf>
    <xf numFmtId="44" fontId="51" fillId="0" borderId="9" xfId="1" applyNumberFormat="1" applyFont="1" applyFill="1" applyBorder="1" applyAlignment="1">
      <alignment horizontal="center" wrapText="1"/>
    </xf>
    <xf numFmtId="7" fontId="51" fillId="0" borderId="9" xfId="0" applyNumberFormat="1" applyFont="1" applyBorder="1"/>
    <xf numFmtId="203" fontId="65" fillId="0" borderId="9" xfId="2" applyNumberFormat="1" applyFont="1" applyFill="1" applyBorder="1"/>
    <xf numFmtId="165" fontId="51" fillId="4" borderId="9" xfId="1" applyNumberFormat="1" applyFont="1" applyFill="1" applyBorder="1" applyAlignment="1">
      <alignment horizontal="center"/>
    </xf>
    <xf numFmtId="191" fontId="65" fillId="0" borderId="9" xfId="2" applyNumberFormat="1" applyFont="1" applyBorder="1" applyAlignment="1">
      <alignment horizontal="center"/>
    </xf>
    <xf numFmtId="191" fontId="51" fillId="0" borderId="9" xfId="2" applyNumberFormat="1" applyFont="1" applyBorder="1" applyAlignment="1">
      <alignment horizontal="center"/>
    </xf>
    <xf numFmtId="0" fontId="51" fillId="0" borderId="27" xfId="8" applyFont="1" applyBorder="1" applyAlignment="1">
      <alignment horizontal="left" wrapText="1"/>
    </xf>
    <xf numFmtId="0" fontId="51" fillId="0" borderId="0" xfId="8" applyFont="1" applyAlignment="1">
      <alignment horizontal="left" wrapText="1"/>
    </xf>
    <xf numFmtId="165" fontId="51" fillId="17" borderId="9" xfId="3" applyNumberFormat="1" applyFont="1" applyFill="1" applyBorder="1" applyAlignment="1">
      <alignment horizontal="center"/>
    </xf>
    <xf numFmtId="0" fontId="120" fillId="4" borderId="9" xfId="8" applyFont="1" applyFill="1" applyBorder="1" applyAlignment="1">
      <alignment horizontal="left" vertical="center" wrapText="1"/>
    </xf>
    <xf numFmtId="2" fontId="51" fillId="17" borderId="9" xfId="3" applyNumberFormat="1" applyFont="1" applyFill="1" applyBorder="1" applyAlignment="1">
      <alignment horizontal="center"/>
    </xf>
    <xf numFmtId="9" fontId="65" fillId="17" borderId="9" xfId="3" applyFont="1" applyFill="1" applyBorder="1" applyAlignment="1">
      <alignment horizontal="center"/>
    </xf>
    <xf numFmtId="0" fontId="51" fillId="4" borderId="0" xfId="8" applyFont="1" applyFill="1"/>
    <xf numFmtId="0" fontId="51" fillId="4" borderId="9" xfId="8" quotePrefix="1" applyFont="1" applyFill="1" applyBorder="1" applyAlignment="1">
      <alignment wrapText="1"/>
    </xf>
    <xf numFmtId="0" fontId="74" fillId="0" borderId="0" xfId="8" applyFont="1" applyAlignment="1">
      <alignment horizontal="center"/>
    </xf>
    <xf numFmtId="170" fontId="51" fillId="17" borderId="9" xfId="1" applyNumberFormat="1" applyFont="1" applyFill="1" applyBorder="1" applyAlignment="1">
      <alignment horizontal="center"/>
    </xf>
    <xf numFmtId="170" fontId="51" fillId="12" borderId="9" xfId="1" applyNumberFormat="1" applyFont="1" applyFill="1" applyBorder="1" applyAlignment="1">
      <alignment horizontal="center"/>
    </xf>
    <xf numFmtId="171" fontId="65" fillId="8" borderId="9" xfId="3" applyNumberFormat="1" applyFont="1" applyFill="1" applyBorder="1" applyAlignment="1">
      <alignment horizontal="center"/>
    </xf>
    <xf numFmtId="171" fontId="51" fillId="12" borderId="9" xfId="3" applyNumberFormat="1" applyFont="1" applyFill="1" applyBorder="1" applyAlignment="1">
      <alignment horizontal="center"/>
    </xf>
    <xf numFmtId="8" fontId="51" fillId="0" borderId="0" xfId="8" applyNumberFormat="1" applyFont="1"/>
    <xf numFmtId="2" fontId="65" fillId="4" borderId="9" xfId="0" applyNumberFormat="1" applyFont="1" applyFill="1" applyBorder="1"/>
    <xf numFmtId="2" fontId="51" fillId="4" borderId="9" xfId="0" applyNumberFormat="1" applyFont="1" applyFill="1" applyBorder="1"/>
    <xf numFmtId="39" fontId="118" fillId="0" borderId="9" xfId="0" applyNumberFormat="1" applyFont="1" applyBorder="1"/>
    <xf numFmtId="2" fontId="118" fillId="0" borderId="9" xfId="0" applyNumberFormat="1" applyFont="1" applyBorder="1"/>
    <xf numFmtId="2" fontId="51" fillId="0" borderId="9" xfId="0" applyNumberFormat="1" applyFont="1" applyBorder="1"/>
    <xf numFmtId="0" fontId="135" fillId="0" borderId="0" xfId="0" applyFont="1"/>
    <xf numFmtId="0" fontId="118" fillId="0" borderId="9" xfId="3" applyNumberFormat="1" applyFont="1" applyFill="1" applyBorder="1" applyAlignment="1">
      <alignment horizontal="center"/>
    </xf>
    <xf numFmtId="0" fontId="51" fillId="0" borderId="9" xfId="3" applyNumberFormat="1" applyFont="1" applyFill="1" applyBorder="1" applyAlignment="1">
      <alignment horizontal="center"/>
    </xf>
    <xf numFmtId="2" fontId="118" fillId="0" borderId="9" xfId="3" applyNumberFormat="1" applyFont="1" applyFill="1" applyBorder="1" applyAlignment="1">
      <alignment horizontal="center"/>
    </xf>
    <xf numFmtId="2" fontId="65" fillId="4" borderId="9" xfId="3" applyNumberFormat="1" applyFont="1" applyFill="1" applyBorder="1" applyAlignment="1">
      <alignment horizontal="center"/>
    </xf>
    <xf numFmtId="2" fontId="51" fillId="4" borderId="9" xfId="3" applyNumberFormat="1" applyFont="1" applyFill="1" applyBorder="1" applyAlignment="1">
      <alignment horizontal="center"/>
    </xf>
    <xf numFmtId="2" fontId="118" fillId="0" borderId="9" xfId="3" applyNumberFormat="1" applyFont="1" applyBorder="1" applyAlignment="1">
      <alignment horizontal="center"/>
    </xf>
    <xf numFmtId="2" fontId="118" fillId="4" borderId="9" xfId="3" applyNumberFormat="1" applyFont="1" applyFill="1" applyBorder="1" applyAlignment="1">
      <alignment horizontal="center"/>
    </xf>
    <xf numFmtId="2" fontId="51" fillId="0" borderId="9" xfId="3" applyNumberFormat="1" applyFont="1" applyBorder="1" applyAlignment="1">
      <alignment horizontal="center"/>
    </xf>
    <xf numFmtId="165" fontId="118" fillId="0" borderId="9" xfId="3" applyNumberFormat="1" applyFont="1" applyBorder="1" applyAlignment="1">
      <alignment horizontal="center"/>
    </xf>
    <xf numFmtId="165" fontId="65" fillId="0" borderId="9" xfId="3" applyNumberFormat="1" applyFont="1" applyBorder="1" applyAlignment="1">
      <alignment horizontal="center"/>
    </xf>
    <xf numFmtId="165" fontId="51" fillId="0" borderId="9" xfId="3" applyNumberFormat="1" applyFont="1" applyBorder="1" applyAlignment="1">
      <alignment horizontal="center"/>
    </xf>
    <xf numFmtId="170" fontId="51" fillId="0" borderId="9" xfId="1" applyNumberFormat="1" applyFont="1" applyBorder="1" applyAlignment="1">
      <alignment horizontal="center"/>
    </xf>
    <xf numFmtId="170" fontId="51" fillId="0" borderId="9" xfId="1" applyNumberFormat="1" applyFont="1" applyFill="1" applyBorder="1" applyAlignment="1">
      <alignment horizontal="center"/>
    </xf>
    <xf numFmtId="170" fontId="65" fillId="0" borderId="9" xfId="1" applyNumberFormat="1" applyFont="1" applyFill="1" applyBorder="1" applyAlignment="1">
      <alignment horizontal="center"/>
    </xf>
    <xf numFmtId="171" fontId="118" fillId="0" borderId="9" xfId="3" applyNumberFormat="1" applyFont="1" applyBorder="1" applyAlignment="1">
      <alignment horizontal="center"/>
    </xf>
    <xf numFmtId="171" fontId="51" fillId="0" borderId="9" xfId="3" applyNumberFormat="1" applyFont="1" applyBorder="1" applyAlignment="1">
      <alignment horizontal="center"/>
    </xf>
    <xf numFmtId="171" fontId="65" fillId="0" borderId="9" xfId="13" applyNumberFormat="1" applyFont="1" applyBorder="1" applyAlignment="1">
      <alignment horizontal="center"/>
    </xf>
    <xf numFmtId="0" fontId="51" fillId="8" borderId="19" xfId="0" applyFont="1" applyFill="1" applyBorder="1"/>
    <xf numFmtId="44" fontId="51" fillId="8" borderId="19" xfId="0" applyNumberFormat="1" applyFont="1" applyFill="1" applyBorder="1" applyAlignment="1">
      <alignment horizontal="center" wrapText="1"/>
    </xf>
    <xf numFmtId="44" fontId="51" fillId="0" borderId="20" xfId="0" applyNumberFormat="1" applyFont="1" applyBorder="1" applyAlignment="1">
      <alignment horizontal="center"/>
    </xf>
    <xf numFmtId="168" fontId="51" fillId="0" borderId="9" xfId="0" applyNumberFormat="1" applyFont="1" applyBorder="1" applyAlignment="1">
      <alignment horizontal="left"/>
    </xf>
    <xf numFmtId="37" fontId="51" fillId="0" borderId="9" xfId="0" applyNumberFormat="1" applyFont="1" applyBorder="1" applyAlignment="1">
      <alignment horizontal="center"/>
    </xf>
    <xf numFmtId="37" fontId="51" fillId="4" borderId="9" xfId="0" applyNumberFormat="1" applyFont="1" applyFill="1" applyBorder="1" applyAlignment="1">
      <alignment horizontal="center"/>
    </xf>
    <xf numFmtId="168" fontId="118" fillId="0" borderId="9" xfId="1" applyNumberFormat="1" applyFont="1" applyBorder="1"/>
    <xf numFmtId="168" fontId="65" fillId="0" borderId="9" xfId="1" applyNumberFormat="1" applyFont="1" applyBorder="1"/>
    <xf numFmtId="43" fontId="65" fillId="0" borderId="9" xfId="1" applyFont="1" applyBorder="1"/>
    <xf numFmtId="39" fontId="65" fillId="0" borderId="9" xfId="0" applyNumberFormat="1" applyFont="1" applyBorder="1" applyAlignment="1">
      <alignment horizontal="right"/>
    </xf>
    <xf numFmtId="44" fontId="51" fillId="0" borderId="27" xfId="0" applyNumberFormat="1" applyFont="1" applyBorder="1" applyAlignment="1">
      <alignment horizontal="center"/>
    </xf>
    <xf numFmtId="44" fontId="51" fillId="0" borderId="28" xfId="0" applyNumberFormat="1" applyFont="1" applyBorder="1" applyAlignment="1">
      <alignment horizontal="center"/>
    </xf>
    <xf numFmtId="168" fontId="51" fillId="4" borderId="9" xfId="0" applyNumberFormat="1" applyFont="1" applyFill="1" applyBorder="1" applyAlignment="1">
      <alignment horizontal="left"/>
    </xf>
    <xf numFmtId="44" fontId="51" fillId="0" borderId="17" xfId="0" applyNumberFormat="1" applyFont="1" applyBorder="1" applyAlignment="1">
      <alignment horizontal="center"/>
    </xf>
    <xf numFmtId="203" fontId="65" fillId="0" borderId="18" xfId="2" applyNumberFormat="1" applyFont="1" applyFill="1" applyBorder="1"/>
    <xf numFmtId="39" fontId="65" fillId="0" borderId="9" xfId="0" applyNumberFormat="1" applyFont="1" applyBorder="1"/>
    <xf numFmtId="2" fontId="51" fillId="0" borderId="22" xfId="1" applyNumberFormat="1" applyFont="1" applyBorder="1"/>
    <xf numFmtId="44" fontId="51" fillId="0" borderId="0" xfId="0" applyNumberFormat="1" applyFont="1" applyAlignment="1">
      <alignment horizontal="center"/>
    </xf>
    <xf numFmtId="2" fontId="51" fillId="8" borderId="22" xfId="1" applyNumberFormat="1" applyFont="1" applyFill="1" applyBorder="1"/>
    <xf numFmtId="0" fontId="51" fillId="4" borderId="9" xfId="0" applyFont="1" applyFill="1" applyBorder="1" applyAlignment="1">
      <alignment horizontal="left" vertical="top" wrapText="1"/>
    </xf>
    <xf numFmtId="0" fontId="51" fillId="17" borderId="9" xfId="0" applyFont="1" applyFill="1" applyBorder="1" applyAlignment="1">
      <alignment horizontal="center" vertical="top" wrapText="1"/>
    </xf>
    <xf numFmtId="0" fontId="118" fillId="4" borderId="9" xfId="0" applyFont="1" applyFill="1" applyBorder="1" applyAlignment="1">
      <alignment horizontal="left" vertical="top" wrapText="1"/>
    </xf>
    <xf numFmtId="0" fontId="65" fillId="4" borderId="9" xfId="0" applyFont="1" applyFill="1" applyBorder="1" applyAlignment="1">
      <alignment horizontal="left" vertical="top" wrapText="1"/>
    </xf>
    <xf numFmtId="1" fontId="51" fillId="8" borderId="9" xfId="0" applyNumberFormat="1" applyFont="1" applyFill="1" applyBorder="1" applyAlignment="1">
      <alignment horizontal="center" vertical="top" wrapText="1"/>
    </xf>
    <xf numFmtId="1" fontId="51" fillId="4" borderId="9" xfId="0" applyNumberFormat="1" applyFont="1" applyFill="1" applyBorder="1" applyAlignment="1">
      <alignment horizontal="left" vertical="top" wrapText="1"/>
    </xf>
    <xf numFmtId="1" fontId="51" fillId="0" borderId="9" xfId="0" applyNumberFormat="1" applyFont="1" applyBorder="1" applyAlignment="1">
      <alignment horizontal="left" vertical="top" wrapText="1"/>
    </xf>
    <xf numFmtId="1" fontId="118" fillId="4" borderId="9" xfId="0" applyNumberFormat="1" applyFont="1" applyFill="1" applyBorder="1" applyAlignment="1">
      <alignment horizontal="left" vertical="top" wrapText="1"/>
    </xf>
    <xf numFmtId="1" fontId="118" fillId="0" borderId="9" xfId="0" applyNumberFormat="1" applyFont="1" applyBorder="1" applyAlignment="1">
      <alignment horizontal="left" vertical="top" wrapText="1"/>
    </xf>
    <xf numFmtId="1" fontId="51" fillId="8" borderId="9" xfId="1" applyNumberFormat="1" applyFont="1" applyFill="1" applyBorder="1" applyAlignment="1">
      <alignment horizontal="center" vertical="top" wrapText="1"/>
    </xf>
    <xf numFmtId="1" fontId="51" fillId="0" borderId="9" xfId="0" applyNumberFormat="1" applyFont="1" applyBorder="1" applyAlignment="1">
      <alignment horizontal="left"/>
    </xf>
    <xf numFmtId="1" fontId="51" fillId="0" borderId="9" xfId="0" applyNumberFormat="1" applyFont="1" applyBorder="1" applyAlignment="1">
      <alignment horizontal="left" vertical="top"/>
    </xf>
    <xf numFmtId="1" fontId="65" fillId="8" borderId="9" xfId="1" applyNumberFormat="1" applyFont="1" applyFill="1" applyBorder="1" applyAlignment="1">
      <alignment horizontal="center" vertical="top" wrapText="1"/>
    </xf>
    <xf numFmtId="1" fontId="65" fillId="0" borderId="9" xfId="0" applyNumberFormat="1" applyFont="1" applyBorder="1" applyAlignment="1">
      <alignment horizontal="left"/>
    </xf>
    <xf numFmtId="1" fontId="65" fillId="0" borderId="9" xfId="1" applyNumberFormat="1" applyFont="1" applyFill="1" applyBorder="1" applyAlignment="1">
      <alignment horizontal="left" vertical="top" wrapText="1"/>
    </xf>
    <xf numFmtId="1" fontId="65" fillId="0" borderId="9" xfId="0" applyNumberFormat="1" applyFont="1" applyBorder="1" applyAlignment="1">
      <alignment horizontal="left" vertical="top" wrapText="1"/>
    </xf>
    <xf numFmtId="1" fontId="65" fillId="8" borderId="9" xfId="0" applyNumberFormat="1" applyFont="1" applyFill="1" applyBorder="1" applyAlignment="1">
      <alignment horizontal="center" vertical="top" wrapText="1"/>
    </xf>
    <xf numFmtId="1" fontId="65" fillId="4" borderId="9" xfId="0" applyNumberFormat="1" applyFont="1" applyFill="1" applyBorder="1" applyAlignment="1">
      <alignment horizontal="left" vertical="top" wrapText="1"/>
    </xf>
    <xf numFmtId="1" fontId="51" fillId="4" borderId="9" xfId="0" applyNumberFormat="1" applyFont="1" applyFill="1" applyBorder="1"/>
    <xf numFmtId="2" fontId="65" fillId="17" borderId="9" xfId="0" applyNumberFormat="1" applyFont="1" applyFill="1" applyBorder="1" applyAlignment="1">
      <alignment horizontal="center" vertical="top" wrapText="1"/>
    </xf>
    <xf numFmtId="2" fontId="65" fillId="0" borderId="9" xfId="0" applyNumberFormat="1" applyFont="1" applyBorder="1" applyAlignment="1">
      <alignment horizontal="left" vertical="top" wrapText="1"/>
    </xf>
    <xf numFmtId="2" fontId="51" fillId="8" borderId="9" xfId="0" applyNumberFormat="1" applyFont="1" applyFill="1" applyBorder="1" applyAlignment="1">
      <alignment horizontal="center" vertical="top" wrapText="1"/>
    </xf>
    <xf numFmtId="0" fontId="51" fillId="0" borderId="9" xfId="0" applyFont="1" applyBorder="1" applyAlignment="1">
      <alignment horizontal="left" vertical="top" wrapText="1"/>
    </xf>
    <xf numFmtId="2" fontId="65" fillId="4" borderId="9" xfId="0" applyNumberFormat="1" applyFont="1" applyFill="1" applyBorder="1" applyAlignment="1">
      <alignment horizontal="left" vertical="top" wrapText="1"/>
    </xf>
    <xf numFmtId="2" fontId="51" fillId="4" borderId="9" xfId="0" applyNumberFormat="1" applyFont="1" applyFill="1" applyBorder="1" applyAlignment="1">
      <alignment horizontal="left" vertical="top" wrapText="1"/>
    </xf>
    <xf numFmtId="2" fontId="118" fillId="0" borderId="9" xfId="0" applyNumberFormat="1" applyFont="1" applyBorder="1" applyAlignment="1">
      <alignment horizontal="left" vertical="top" wrapText="1"/>
    </xf>
    <xf numFmtId="2" fontId="51" fillId="0" borderId="9" xfId="0" applyNumberFormat="1" applyFont="1" applyBorder="1" applyAlignment="1">
      <alignment horizontal="left" vertical="top" wrapText="1"/>
    </xf>
    <xf numFmtId="4" fontId="51" fillId="8" borderId="9" xfId="0" applyNumberFormat="1" applyFont="1" applyFill="1" applyBorder="1" applyAlignment="1">
      <alignment horizontal="center" vertical="top" wrapText="1"/>
    </xf>
    <xf numFmtId="4" fontId="65" fillId="0" borderId="9" xfId="0" applyNumberFormat="1" applyFont="1" applyBorder="1" applyAlignment="1">
      <alignment horizontal="left" vertical="top" wrapText="1"/>
    </xf>
    <xf numFmtId="195" fontId="51" fillId="0" borderId="0" xfId="0" applyNumberFormat="1" applyFont="1"/>
    <xf numFmtId="4" fontId="51" fillId="0" borderId="9" xfId="0" applyNumberFormat="1" applyFont="1" applyBorder="1" applyAlignment="1">
      <alignment horizontal="left" vertical="top" wrapText="1"/>
    </xf>
    <xf numFmtId="1" fontId="51" fillId="0" borderId="9" xfId="0" applyNumberFormat="1" applyFont="1" applyBorder="1"/>
    <xf numFmtId="2" fontId="65" fillId="8" borderId="9" xfId="0" applyNumberFormat="1" applyFont="1" applyFill="1" applyBorder="1" applyAlignment="1">
      <alignment horizontal="center" vertical="top" wrapText="1"/>
    </xf>
    <xf numFmtId="0" fontId="51" fillId="4" borderId="9" xfId="0" applyFont="1" applyFill="1" applyBorder="1" applyAlignment="1">
      <alignment horizontal="left" vertical="top"/>
    </xf>
    <xf numFmtId="9" fontId="51" fillId="20" borderId="9" xfId="0" applyNumberFormat="1" applyFont="1" applyFill="1" applyBorder="1" applyAlignment="1">
      <alignment horizontal="center" vertical="top"/>
    </xf>
    <xf numFmtId="9" fontId="51" fillId="4" borderId="9" xfId="0" applyNumberFormat="1" applyFont="1" applyFill="1" applyBorder="1" applyAlignment="1">
      <alignment horizontal="left" vertical="top"/>
    </xf>
    <xf numFmtId="9" fontId="65" fillId="4" borderId="9" xfId="0" applyNumberFormat="1" applyFont="1" applyFill="1" applyBorder="1" applyAlignment="1">
      <alignment horizontal="left" vertical="top"/>
    </xf>
    <xf numFmtId="39" fontId="51" fillId="17" borderId="9" xfId="1" applyNumberFormat="1" applyFont="1" applyFill="1" applyBorder="1" applyAlignment="1">
      <alignment horizontal="center" vertical="top"/>
    </xf>
    <xf numFmtId="39" fontId="51" fillId="4" borderId="9" xfId="1" applyNumberFormat="1" applyFont="1" applyFill="1" applyBorder="1" applyAlignment="1">
      <alignment horizontal="center" vertical="top"/>
    </xf>
    <xf numFmtId="39" fontId="118" fillId="4" borderId="9" xfId="1" applyNumberFormat="1" applyFont="1" applyFill="1" applyBorder="1" applyAlignment="1">
      <alignment horizontal="left" vertical="top"/>
    </xf>
    <xf numFmtId="39" fontId="51" fillId="4" borderId="9" xfId="1" applyNumberFormat="1" applyFont="1" applyFill="1" applyBorder="1" applyAlignment="1">
      <alignment horizontal="left" vertical="top"/>
    </xf>
    <xf numFmtId="39" fontId="65" fillId="4" borderId="9" xfId="1" applyNumberFormat="1" applyFont="1" applyFill="1" applyBorder="1" applyAlignment="1">
      <alignment horizontal="center" vertical="top"/>
    </xf>
    <xf numFmtId="43" fontId="51" fillId="4" borderId="9" xfId="1" applyFont="1" applyFill="1" applyBorder="1"/>
    <xf numFmtId="7" fontId="51" fillId="4" borderId="9" xfId="0" applyNumberFormat="1" applyFont="1" applyFill="1" applyBorder="1" applyAlignment="1">
      <alignment horizontal="center"/>
    </xf>
    <xf numFmtId="5" fontId="51" fillId="4" borderId="9" xfId="2" applyNumberFormat="1" applyFont="1" applyFill="1" applyBorder="1" applyAlignment="1">
      <alignment horizontal="center"/>
    </xf>
    <xf numFmtId="196" fontId="65" fillId="4" borderId="9" xfId="2" applyNumberFormat="1" applyFont="1" applyFill="1" applyBorder="1" applyAlignment="1">
      <alignment horizontal="center"/>
    </xf>
    <xf numFmtId="5" fontId="65" fillId="4" borderId="9" xfId="2" applyNumberFormat="1" applyFont="1" applyFill="1" applyBorder="1" applyAlignment="1">
      <alignment horizontal="center"/>
    </xf>
    <xf numFmtId="7" fontId="118" fillId="4" borderId="9" xfId="2" applyNumberFormat="1" applyFont="1" applyFill="1" applyBorder="1" applyAlignment="1">
      <alignment horizontal="center"/>
    </xf>
    <xf numFmtId="196" fontId="51" fillId="0" borderId="9" xfId="0" applyNumberFormat="1" applyFont="1" applyBorder="1"/>
    <xf numFmtId="196" fontId="65" fillId="4" borderId="9" xfId="0" applyNumberFormat="1" applyFont="1" applyFill="1" applyBorder="1"/>
    <xf numFmtId="7" fontId="118" fillId="4" borderId="9" xfId="0" applyNumberFormat="1" applyFont="1" applyFill="1" applyBorder="1" applyAlignment="1">
      <alignment horizontal="center"/>
    </xf>
    <xf numFmtId="196" fontId="51" fillId="4" borderId="9" xfId="2" applyNumberFormat="1" applyFont="1" applyFill="1" applyBorder="1" applyAlignment="1">
      <alignment horizontal="center"/>
    </xf>
    <xf numFmtId="169" fontId="51" fillId="0" borderId="9" xfId="0" applyNumberFormat="1" applyFont="1" applyBorder="1" applyAlignment="1">
      <alignment horizontal="center" vertical="center" wrapText="1"/>
    </xf>
    <xf numFmtId="39" fontId="51" fillId="4" borderId="9" xfId="1" applyNumberFormat="1" applyFont="1" applyFill="1" applyBorder="1" applyAlignment="1">
      <alignment horizontal="center"/>
    </xf>
    <xf numFmtId="0" fontId="65" fillId="0" borderId="23" xfId="0" applyFont="1" applyBorder="1" applyAlignment="1">
      <alignment horizontal="center"/>
    </xf>
    <xf numFmtId="168" fontId="51" fillId="0" borderId="23" xfId="0" applyNumberFormat="1" applyFont="1" applyBorder="1" applyAlignment="1">
      <alignment horizontal="center"/>
    </xf>
    <xf numFmtId="182" fontId="51" fillId="4" borderId="23" xfId="1" applyNumberFormat="1" applyFont="1" applyFill="1" applyBorder="1" applyAlignment="1">
      <alignment horizontal="center"/>
    </xf>
    <xf numFmtId="169" fontId="65" fillId="0" borderId="23" xfId="0" applyNumberFormat="1" applyFont="1" applyBorder="1" applyAlignment="1">
      <alignment horizontal="center" vertical="center" wrapText="1"/>
    </xf>
    <xf numFmtId="165" fontId="51" fillId="0" borderId="23" xfId="0" applyNumberFormat="1" applyFont="1" applyBorder="1" applyAlignment="1">
      <alignment horizontal="center" vertical="center" wrapText="1"/>
    </xf>
    <xf numFmtId="7" fontId="51" fillId="4" borderId="23" xfId="2" applyNumberFormat="1" applyFont="1" applyFill="1" applyBorder="1" applyAlignment="1">
      <alignment horizontal="center"/>
    </xf>
    <xf numFmtId="39" fontId="51" fillId="4" borderId="23" xfId="1" applyNumberFormat="1" applyFont="1" applyFill="1" applyBorder="1" applyAlignment="1">
      <alignment horizontal="center"/>
    </xf>
    <xf numFmtId="7" fontId="65" fillId="4" borderId="23" xfId="2" applyNumberFormat="1" applyFont="1" applyFill="1" applyBorder="1" applyAlignment="1">
      <alignment horizontal="center"/>
    </xf>
    <xf numFmtId="9" fontId="51" fillId="0" borderId="9" xfId="3" applyFont="1" applyFill="1" applyBorder="1" applyAlignment="1">
      <alignment horizontal="center" vertical="center"/>
    </xf>
    <xf numFmtId="7" fontId="51" fillId="0" borderId="23" xfId="2" applyNumberFormat="1" applyFont="1" applyFill="1" applyBorder="1" applyAlignment="1">
      <alignment horizontal="center"/>
    </xf>
    <xf numFmtId="7" fontId="65" fillId="0" borderId="23" xfId="2" applyNumberFormat="1" applyFont="1" applyFill="1" applyBorder="1" applyAlignment="1">
      <alignment horizontal="center"/>
    </xf>
    <xf numFmtId="9" fontId="51" fillId="0" borderId="23" xfId="3" applyFont="1" applyFill="1" applyBorder="1" applyAlignment="1">
      <alignment horizontal="center" vertical="center" wrapText="1"/>
    </xf>
    <xf numFmtId="2" fontId="118" fillId="0" borderId="9" xfId="1" applyNumberFormat="1" applyFont="1" applyBorder="1" applyAlignment="1"/>
    <xf numFmtId="2" fontId="65" fillId="0" borderId="9" xfId="1" applyNumberFormat="1" applyFont="1" applyBorder="1"/>
    <xf numFmtId="2" fontId="65" fillId="0" borderId="9" xfId="1" applyNumberFormat="1" applyFont="1" applyBorder="1" applyAlignment="1"/>
    <xf numFmtId="2" fontId="51" fillId="4" borderId="22" xfId="1" applyNumberFormat="1" applyFont="1" applyFill="1" applyBorder="1"/>
    <xf numFmtId="2" fontId="51" fillId="13" borderId="22" xfId="1" applyNumberFormat="1" applyFont="1" applyFill="1" applyBorder="1"/>
    <xf numFmtId="2" fontId="51" fillId="13" borderId="25" xfId="1" applyNumberFormat="1" applyFont="1" applyFill="1" applyBorder="1"/>
    <xf numFmtId="0" fontId="51" fillId="16" borderId="9" xfId="0" applyFont="1" applyFill="1" applyBorder="1" applyAlignment="1">
      <alignment horizontal="left" vertical="top"/>
    </xf>
    <xf numFmtId="0" fontId="51" fillId="16" borderId="9" xfId="0" applyFont="1" applyFill="1" applyBorder="1" applyAlignment="1">
      <alignment horizontal="left" vertical="top" wrapText="1"/>
    </xf>
    <xf numFmtId="0" fontId="51" fillId="8" borderId="9" xfId="0" applyFont="1" applyFill="1" applyBorder="1" applyAlignment="1">
      <alignment horizontal="center" vertical="top" wrapText="1"/>
    </xf>
    <xf numFmtId="2" fontId="51" fillId="8" borderId="9" xfId="0" applyNumberFormat="1" applyFont="1" applyFill="1" applyBorder="1" applyAlignment="1">
      <alignment horizontal="center"/>
    </xf>
    <xf numFmtId="0" fontId="51" fillId="0" borderId="9" xfId="0" applyFont="1" applyBorder="1" applyAlignment="1">
      <alignment horizontal="left" vertical="top"/>
    </xf>
    <xf numFmtId="3" fontId="51" fillId="8" borderId="9" xfId="0" applyNumberFormat="1" applyFont="1" applyFill="1" applyBorder="1" applyAlignment="1">
      <alignment horizontal="center" vertical="top" wrapText="1"/>
    </xf>
    <xf numFmtId="3" fontId="65" fillId="0" borderId="9" xfId="0" applyNumberFormat="1" applyFont="1" applyBorder="1" applyAlignment="1">
      <alignment horizontal="left" vertical="top" wrapText="1"/>
    </xf>
    <xf numFmtId="3" fontId="51" fillId="0" borderId="9" xfId="0" applyNumberFormat="1" applyFont="1" applyBorder="1" applyAlignment="1">
      <alignment horizontal="left" vertical="top" wrapText="1"/>
    </xf>
    <xf numFmtId="1" fontId="51" fillId="17" borderId="9" xfId="0" applyNumberFormat="1" applyFont="1" applyFill="1" applyBorder="1" applyAlignment="1">
      <alignment horizontal="center" vertical="top" wrapText="1"/>
    </xf>
    <xf numFmtId="0" fontId="51" fillId="8" borderId="9" xfId="0" applyFont="1" applyFill="1" applyBorder="1" applyAlignment="1">
      <alignment horizontal="center"/>
    </xf>
    <xf numFmtId="0" fontId="65" fillId="17" borderId="9" xfId="0" applyFont="1" applyFill="1" applyBorder="1" applyAlignment="1">
      <alignment horizontal="center" vertical="top" wrapText="1"/>
    </xf>
    <xf numFmtId="0" fontId="65" fillId="0" borderId="9" xfId="0" applyFont="1" applyBorder="1" applyAlignment="1">
      <alignment horizontal="left" vertical="top" wrapText="1"/>
    </xf>
    <xf numFmtId="0" fontId="65" fillId="16" borderId="9" xfId="0" applyFont="1" applyFill="1" applyBorder="1" applyAlignment="1">
      <alignment horizontal="left" vertical="top"/>
    </xf>
    <xf numFmtId="4" fontId="65" fillId="8" borderId="9" xfId="0" applyNumberFormat="1" applyFont="1" applyFill="1" applyBorder="1" applyAlignment="1">
      <alignment horizontal="center" vertical="top" wrapText="1"/>
    </xf>
    <xf numFmtId="165" fontId="51" fillId="0" borderId="9" xfId="0" applyNumberFormat="1" applyFont="1" applyBorder="1" applyAlignment="1">
      <alignment horizontal="left" vertical="top" wrapText="1"/>
    </xf>
    <xf numFmtId="165" fontId="65" fillId="0" borderId="9" xfId="0" applyNumberFormat="1" applyFont="1" applyBorder="1" applyAlignment="1">
      <alignment horizontal="left" vertical="top" wrapText="1"/>
    </xf>
    <xf numFmtId="169" fontId="51" fillId="16" borderId="9" xfId="0" applyNumberFormat="1" applyFont="1" applyFill="1" applyBorder="1" applyAlignment="1">
      <alignment horizontal="left" vertical="top"/>
    </xf>
    <xf numFmtId="9" fontId="51" fillId="20" borderId="9" xfId="0" applyNumberFormat="1" applyFont="1" applyFill="1" applyBorder="1" applyAlignment="1">
      <alignment horizontal="center" vertical="top" wrapText="1"/>
    </xf>
    <xf numFmtId="9" fontId="51" fillId="4" borderId="9" xfId="0" applyNumberFormat="1" applyFont="1" applyFill="1" applyBorder="1" applyAlignment="1">
      <alignment horizontal="left" vertical="top" wrapText="1"/>
    </xf>
    <xf numFmtId="9" fontId="65" fillId="4" borderId="9" xfId="0" applyNumberFormat="1" applyFont="1" applyFill="1" applyBorder="1" applyAlignment="1">
      <alignment horizontal="left" vertical="top" wrapText="1"/>
    </xf>
    <xf numFmtId="9" fontId="51" fillId="0" borderId="9" xfId="0" applyNumberFormat="1" applyFont="1" applyBorder="1" applyAlignment="1">
      <alignment horizontal="left" vertical="top" wrapText="1"/>
    </xf>
    <xf numFmtId="9" fontId="65" fillId="0" borderId="9" xfId="0" applyNumberFormat="1" applyFont="1" applyBorder="1" applyAlignment="1">
      <alignment horizontal="left" vertical="top" wrapText="1"/>
    </xf>
    <xf numFmtId="39" fontId="51" fillId="4" borderId="9" xfId="1" applyNumberFormat="1" applyFont="1" applyFill="1" applyBorder="1" applyAlignment="1">
      <alignment horizontal="left" vertical="top" wrapText="1"/>
    </xf>
    <xf numFmtId="39" fontId="51" fillId="0" borderId="9" xfId="1" applyNumberFormat="1" applyFont="1" applyFill="1" applyBorder="1" applyAlignment="1">
      <alignment horizontal="left" vertical="top" wrapText="1"/>
    </xf>
    <xf numFmtId="39" fontId="65" fillId="4" borderId="9" xfId="1" applyNumberFormat="1" applyFont="1" applyFill="1" applyBorder="1" applyAlignment="1">
      <alignment horizontal="left" vertical="top" wrapText="1"/>
    </xf>
    <xf numFmtId="2" fontId="51" fillId="8" borderId="9" xfId="0" applyNumberFormat="1" applyFont="1" applyFill="1" applyBorder="1" applyAlignment="1">
      <alignment horizontal="left" vertical="top" wrapText="1"/>
    </xf>
    <xf numFmtId="43" fontId="51" fillId="16" borderId="9" xfId="1" applyFont="1" applyFill="1" applyBorder="1" applyAlignment="1">
      <alignment horizontal="left" vertical="top"/>
    </xf>
    <xf numFmtId="9" fontId="51" fillId="0" borderId="9" xfId="0" applyNumberFormat="1" applyFont="1" applyBorder="1" applyAlignment="1">
      <alignment horizontal="center" vertical="top" wrapText="1"/>
    </xf>
    <xf numFmtId="7" fontId="51" fillId="4" borderId="9" xfId="2" applyNumberFormat="1" applyFont="1" applyFill="1" applyBorder="1" applyAlignment="1">
      <alignment horizontal="left" vertical="center" wrapText="1"/>
    </xf>
    <xf numFmtId="7" fontId="65" fillId="4" borderId="9" xfId="2" applyNumberFormat="1" applyFont="1" applyFill="1" applyBorder="1" applyAlignment="1">
      <alignment horizontal="left" vertical="center" wrapText="1"/>
    </xf>
    <xf numFmtId="44" fontId="65" fillId="4" borderId="9" xfId="2" applyFont="1" applyFill="1" applyBorder="1" applyAlignment="1">
      <alignment horizontal="left" vertical="top" wrapText="1"/>
    </xf>
    <xf numFmtId="7" fontId="65" fillId="4" borderId="9" xfId="2" applyNumberFormat="1" applyFont="1" applyFill="1" applyBorder="1" applyAlignment="1">
      <alignment horizontal="left"/>
    </xf>
    <xf numFmtId="7" fontId="51" fillId="4" borderId="9" xfId="2" applyNumberFormat="1" applyFont="1" applyFill="1" applyBorder="1" applyAlignment="1">
      <alignment horizontal="left"/>
    </xf>
    <xf numFmtId="7" fontId="51" fillId="0" borderId="9" xfId="2" applyNumberFormat="1" applyFont="1" applyFill="1" applyBorder="1" applyAlignment="1">
      <alignment horizontal="left" vertical="center" wrapText="1"/>
    </xf>
    <xf numFmtId="9" fontId="65" fillId="4" borderId="9" xfId="3" applyFont="1" applyFill="1" applyBorder="1"/>
    <xf numFmtId="39" fontId="65" fillId="4" borderId="9" xfId="1" quotePrefix="1" applyNumberFormat="1" applyFont="1" applyFill="1" applyBorder="1" applyAlignment="1">
      <alignment horizontal="center" vertical="center" wrapText="1"/>
    </xf>
    <xf numFmtId="171" fontId="65" fillId="0" borderId="9" xfId="0" applyNumberFormat="1" applyFont="1" applyBorder="1" applyAlignment="1">
      <alignment horizontal="center" vertical="center" wrapText="1"/>
    </xf>
    <xf numFmtId="0" fontId="51" fillId="4" borderId="9" xfId="0" applyFont="1" applyFill="1" applyBorder="1" applyAlignment="1">
      <alignment horizontal="center" wrapText="1"/>
    </xf>
    <xf numFmtId="4" fontId="118" fillId="0" borderId="9" xfId="0" applyNumberFormat="1" applyFont="1" applyBorder="1"/>
    <xf numFmtId="39" fontId="51" fillId="4" borderId="9" xfId="1" quotePrefix="1" applyNumberFormat="1" applyFont="1" applyFill="1" applyBorder="1" applyAlignment="1">
      <alignment horizontal="center" vertical="center" wrapText="1"/>
    </xf>
    <xf numFmtId="39" fontId="118" fillId="0" borderId="9" xfId="0" applyNumberFormat="1" applyFont="1" applyBorder="1" applyAlignment="1">
      <alignment horizontal="center"/>
    </xf>
    <xf numFmtId="3" fontId="51" fillId="49" borderId="9" xfId="0" applyNumberFormat="1" applyFont="1" applyFill="1" applyBorder="1" applyAlignment="1">
      <alignment horizontal="center" vertical="top" wrapText="1"/>
    </xf>
    <xf numFmtId="9" fontId="51" fillId="20" borderId="9" xfId="3" applyFont="1" applyFill="1" applyBorder="1" applyAlignment="1">
      <alignment horizontal="center" vertical="top" wrapText="1"/>
    </xf>
    <xf numFmtId="170" fontId="51" fillId="17" borderId="9" xfId="1" applyNumberFormat="1" applyFont="1" applyFill="1" applyBorder="1" applyAlignment="1">
      <alignment horizontal="center" vertical="top" wrapText="1"/>
    </xf>
    <xf numFmtId="7" fontId="65" fillId="8" borderId="9" xfId="2" applyNumberFormat="1" applyFont="1" applyFill="1" applyBorder="1" applyAlignment="1">
      <alignment horizontal="center" vertical="center" wrapText="1"/>
    </xf>
    <xf numFmtId="9" fontId="65" fillId="4" borderId="9" xfId="3" applyFont="1" applyFill="1" applyBorder="1" applyAlignment="1">
      <alignment horizontal="left" vertical="top" wrapText="1"/>
    </xf>
    <xf numFmtId="9" fontId="51" fillId="4" borderId="9" xfId="3" applyFont="1" applyFill="1" applyBorder="1" applyAlignment="1">
      <alignment horizontal="left" vertical="top" wrapText="1"/>
    </xf>
    <xf numFmtId="7" fontId="65" fillId="4" borderId="9" xfId="2" applyNumberFormat="1" applyFont="1" applyFill="1" applyBorder="1" applyAlignment="1">
      <alignment horizontal="left" vertical="top" wrapText="1"/>
    </xf>
    <xf numFmtId="7" fontId="51" fillId="4" borderId="9" xfId="2" applyNumberFormat="1" applyFont="1" applyFill="1" applyBorder="1" applyAlignment="1">
      <alignment horizontal="left" vertical="top" wrapText="1"/>
    </xf>
    <xf numFmtId="168" fontId="51" fillId="4" borderId="9" xfId="0" applyNumberFormat="1" applyFont="1" applyFill="1" applyBorder="1" applyAlignment="1">
      <alignment horizontal="center"/>
    </xf>
    <xf numFmtId="9" fontId="51" fillId="4" borderId="9" xfId="3" applyFont="1" applyFill="1" applyBorder="1" applyAlignment="1">
      <alignment horizontal="center" vertical="center"/>
    </xf>
    <xf numFmtId="169" fontId="51" fillId="4" borderId="9" xfId="0" applyNumberFormat="1" applyFont="1" applyFill="1" applyBorder="1" applyAlignment="1">
      <alignment horizontal="center" vertical="center" wrapText="1"/>
    </xf>
    <xf numFmtId="184" fontId="51" fillId="0" borderId="0" xfId="0" applyNumberFormat="1" applyFont="1" applyAlignment="1">
      <alignment horizontal="center"/>
    </xf>
    <xf numFmtId="184" fontId="51" fillId="0" borderId="0" xfId="0" applyNumberFormat="1" applyFont="1"/>
    <xf numFmtId="2" fontId="51" fillId="0" borderId="24" xfId="0" applyNumberFormat="1" applyFont="1" applyBorder="1"/>
    <xf numFmtId="170" fontId="118" fillId="4" borderId="9" xfId="1" quotePrefix="1" applyNumberFormat="1" applyFont="1" applyFill="1" applyBorder="1" applyAlignment="1">
      <alignment horizontal="center" vertical="center" wrapText="1"/>
    </xf>
    <xf numFmtId="37" fontId="65" fillId="4" borderId="9" xfId="1" quotePrefix="1" applyNumberFormat="1" applyFont="1" applyFill="1" applyBorder="1" applyAlignment="1">
      <alignment horizontal="center" vertical="center" wrapText="1"/>
    </xf>
    <xf numFmtId="39" fontId="65" fillId="4" borderId="9" xfId="0" applyNumberFormat="1" applyFont="1" applyFill="1" applyBorder="1" applyAlignment="1">
      <alignment horizontal="center"/>
    </xf>
    <xf numFmtId="37" fontId="118" fillId="0" borderId="0" xfId="0" applyNumberFormat="1" applyFont="1"/>
    <xf numFmtId="0" fontId="118" fillId="0" borderId="0" xfId="0" applyFont="1" applyAlignment="1">
      <alignment horizontal="right"/>
    </xf>
    <xf numFmtId="169" fontId="65" fillId="4" borderId="9" xfId="0" applyNumberFormat="1" applyFont="1" applyFill="1" applyBorder="1" applyAlignment="1">
      <alignment horizontal="center" vertical="center" wrapText="1"/>
    </xf>
    <xf numFmtId="170" fontId="51" fillId="4" borderId="9" xfId="1" quotePrefix="1" applyNumberFormat="1" applyFont="1" applyFill="1" applyBorder="1" applyAlignment="1">
      <alignment horizontal="center" vertical="center" wrapText="1"/>
    </xf>
    <xf numFmtId="170" fontId="65" fillId="4" borderId="9" xfId="1" quotePrefix="1" applyNumberFormat="1" applyFont="1" applyFill="1" applyBorder="1" applyAlignment="1">
      <alignment horizontal="center" vertical="center" wrapText="1"/>
    </xf>
    <xf numFmtId="37" fontId="51" fillId="4" borderId="9" xfId="1" quotePrefix="1" applyNumberFormat="1" applyFont="1" applyFill="1" applyBorder="1" applyAlignment="1">
      <alignment horizontal="center" vertical="center" wrapText="1"/>
    </xf>
    <xf numFmtId="0" fontId="51" fillId="4" borderId="19" xfId="0" applyFont="1" applyFill="1" applyBorder="1" applyAlignment="1">
      <alignment horizontal="left" vertical="top"/>
    </xf>
    <xf numFmtId="37" fontId="118" fillId="4" borderId="9" xfId="1" quotePrefix="1" applyNumberFormat="1" applyFont="1" applyFill="1" applyBorder="1" applyAlignment="1">
      <alignment horizontal="center" vertical="center" wrapText="1"/>
    </xf>
    <xf numFmtId="39" fontId="51" fillId="4" borderId="9" xfId="0" applyNumberFormat="1" applyFont="1" applyFill="1" applyBorder="1" applyAlignment="1">
      <alignment horizontal="center"/>
    </xf>
    <xf numFmtId="39" fontId="118" fillId="4" borderId="9" xfId="1" quotePrefix="1" applyNumberFormat="1" applyFont="1" applyFill="1" applyBorder="1" applyAlignment="1">
      <alignment horizontal="center" vertical="center" wrapText="1"/>
    </xf>
    <xf numFmtId="0" fontId="51" fillId="4" borderId="23" xfId="0" applyFont="1" applyFill="1" applyBorder="1" applyAlignment="1">
      <alignment horizontal="left" vertical="top"/>
    </xf>
    <xf numFmtId="0" fontId="51" fillId="4" borderId="30" xfId="0" applyFont="1" applyFill="1" applyBorder="1" applyAlignment="1">
      <alignment horizontal="left" vertical="top"/>
    </xf>
    <xf numFmtId="192" fontId="65" fillId="4" borderId="9" xfId="1" quotePrefix="1" applyNumberFormat="1" applyFont="1" applyFill="1" applyBorder="1" applyAlignment="1">
      <alignment horizontal="center" vertical="center" wrapText="1"/>
    </xf>
    <xf numFmtId="192" fontId="51" fillId="4" borderId="9" xfId="1" quotePrefix="1" applyNumberFormat="1" applyFont="1" applyFill="1" applyBorder="1" applyAlignment="1">
      <alignment horizontal="center" vertical="center" wrapText="1"/>
    </xf>
    <xf numFmtId="165" fontId="51" fillId="4" borderId="23" xfId="0" applyNumberFormat="1" applyFont="1" applyFill="1" applyBorder="1" applyAlignment="1">
      <alignment horizontal="center" vertical="center" wrapText="1"/>
    </xf>
    <xf numFmtId="171" fontId="65" fillId="4" borderId="23" xfId="0" applyNumberFormat="1" applyFont="1" applyFill="1" applyBorder="1" applyAlignment="1">
      <alignment horizontal="center" vertical="center" wrapText="1"/>
    </xf>
    <xf numFmtId="8" fontId="51" fillId="0" borderId="0" xfId="0" applyNumberFormat="1" applyFont="1"/>
    <xf numFmtId="0" fontId="51" fillId="4" borderId="23" xfId="0" applyFont="1" applyFill="1" applyBorder="1" applyAlignment="1">
      <alignment vertical="center" wrapText="1"/>
    </xf>
    <xf numFmtId="165" fontId="65" fillId="4" borderId="23" xfId="0" applyNumberFormat="1" applyFont="1" applyFill="1" applyBorder="1" applyAlignment="1">
      <alignment horizontal="center" vertical="center" wrapText="1"/>
    </xf>
    <xf numFmtId="2" fontId="65" fillId="4" borderId="23" xfId="0" applyNumberFormat="1" applyFont="1" applyFill="1" applyBorder="1" applyAlignment="1">
      <alignment horizontal="center" vertical="center" wrapText="1"/>
    </xf>
    <xf numFmtId="2" fontId="51" fillId="0" borderId="19" xfId="1" applyNumberFormat="1" applyFont="1" applyBorder="1"/>
    <xf numFmtId="2" fontId="51" fillId="8" borderId="30" xfId="1" applyNumberFormat="1" applyFont="1" applyFill="1" applyBorder="1"/>
    <xf numFmtId="169" fontId="51" fillId="4" borderId="23" xfId="0" applyNumberFormat="1" applyFont="1" applyFill="1" applyBorder="1" applyAlignment="1">
      <alignment horizontal="center" vertical="center" wrapText="1"/>
    </xf>
    <xf numFmtId="2" fontId="51" fillId="8" borderId="23" xfId="1" applyNumberFormat="1" applyFont="1" applyFill="1" applyBorder="1"/>
    <xf numFmtId="0" fontId="65" fillId="4" borderId="23" xfId="0" applyFont="1" applyFill="1" applyBorder="1" applyAlignment="1">
      <alignment horizontal="center"/>
    </xf>
    <xf numFmtId="168" fontId="51" fillId="4" borderId="23" xfId="0" applyNumberFormat="1" applyFont="1" applyFill="1" applyBorder="1" applyAlignment="1">
      <alignment horizontal="center"/>
    </xf>
    <xf numFmtId="39" fontId="51" fillId="4" borderId="23" xfId="1" quotePrefix="1" applyNumberFormat="1" applyFont="1" applyFill="1" applyBorder="1" applyAlignment="1">
      <alignment horizontal="center" vertical="center" wrapText="1"/>
    </xf>
    <xf numFmtId="9" fontId="51" fillId="4" borderId="23" xfId="3" applyFont="1" applyFill="1" applyBorder="1" applyAlignment="1">
      <alignment horizontal="center" vertical="center" wrapText="1"/>
    </xf>
    <xf numFmtId="171" fontId="51" fillId="4" borderId="23" xfId="0" applyNumberFormat="1" applyFont="1" applyFill="1" applyBorder="1" applyAlignment="1">
      <alignment horizontal="center" vertical="center" wrapText="1"/>
    </xf>
    <xf numFmtId="0" fontId="51" fillId="4" borderId="23" xfId="8" applyFont="1" applyFill="1" applyBorder="1" applyAlignment="1">
      <alignment horizontal="center"/>
    </xf>
    <xf numFmtId="1" fontId="51" fillId="17" borderId="9" xfId="0" applyNumberFormat="1" applyFont="1" applyFill="1" applyBorder="1" applyAlignment="1">
      <alignment horizontal="center" vertical="top"/>
    </xf>
    <xf numFmtId="1" fontId="51" fillId="4" borderId="9" xfId="0" applyNumberFormat="1" applyFont="1" applyFill="1" applyBorder="1" applyAlignment="1">
      <alignment horizontal="left" vertical="top"/>
    </xf>
    <xf numFmtId="1" fontId="65" fillId="4" borderId="9" xfId="0" applyNumberFormat="1" applyFont="1" applyFill="1" applyBorder="1" applyAlignment="1">
      <alignment horizontal="left" vertical="top"/>
    </xf>
    <xf numFmtId="0" fontId="51" fillId="0" borderId="33" xfId="8" applyFont="1" applyBorder="1"/>
    <xf numFmtId="0" fontId="65" fillId="11" borderId="18" xfId="0" applyFont="1" applyFill="1" applyBorder="1" applyAlignment="1">
      <alignment horizontal="center" vertical="center" wrapText="1"/>
    </xf>
    <xf numFmtId="0" fontId="65" fillId="0" borderId="9" xfId="6" applyFont="1" applyBorder="1" applyAlignment="1">
      <alignment horizontal="left"/>
    </xf>
    <xf numFmtId="0" fontId="65" fillId="0" borderId="19" xfId="8" applyFont="1" applyBorder="1" applyAlignment="1">
      <alignment horizontal="left"/>
    </xf>
    <xf numFmtId="0" fontId="114" fillId="0" borderId="9" xfId="6" applyFont="1" applyBorder="1" applyAlignment="1">
      <alignment horizontal="center"/>
    </xf>
    <xf numFmtId="0" fontId="65" fillId="0" borderId="23" xfId="8" applyFont="1" applyBorder="1" applyAlignment="1">
      <alignment horizontal="left"/>
    </xf>
    <xf numFmtId="0" fontId="65" fillId="4" borderId="19" xfId="8" applyFont="1" applyFill="1" applyBorder="1" applyAlignment="1">
      <alignment horizontal="left"/>
    </xf>
    <xf numFmtId="0" fontId="114" fillId="4" borderId="9" xfId="6" applyFont="1" applyFill="1" applyBorder="1" applyAlignment="1">
      <alignment horizontal="center"/>
    </xf>
    <xf numFmtId="0" fontId="65" fillId="0" borderId="0" xfId="8" applyFont="1" applyAlignment="1">
      <alignment horizontal="center"/>
    </xf>
    <xf numFmtId="0" fontId="65" fillId="4" borderId="0" xfId="13" applyFont="1" applyFill="1" applyAlignment="1">
      <alignment horizontal="left"/>
    </xf>
    <xf numFmtId="39" fontId="65" fillId="0" borderId="0" xfId="1" applyNumberFormat="1" applyFont="1" applyAlignment="1">
      <alignment horizontal="center"/>
    </xf>
    <xf numFmtId="0" fontId="65" fillId="0" borderId="0" xfId="8" applyFont="1" applyAlignment="1">
      <alignment horizontal="left" vertical="top" wrapText="1"/>
    </xf>
    <xf numFmtId="0" fontId="65" fillId="0" borderId="0" xfId="8" applyFont="1" applyAlignment="1">
      <alignment vertical="top" wrapText="1"/>
    </xf>
    <xf numFmtId="0" fontId="65" fillId="0" borderId="0" xfId="8" applyFont="1" applyAlignment="1">
      <alignment horizontal="left" vertical="top"/>
    </xf>
    <xf numFmtId="0" fontId="65" fillId="0" borderId="19" xfId="8" applyFont="1" applyBorder="1" applyAlignment="1">
      <alignment horizontal="left" vertical="center"/>
    </xf>
    <xf numFmtId="9" fontId="65" fillId="8" borderId="9" xfId="0" applyNumberFormat="1" applyFont="1" applyFill="1" applyBorder="1" applyAlignment="1">
      <alignment horizontal="center" vertical="center" wrapText="1"/>
    </xf>
    <xf numFmtId="3" fontId="65" fillId="47" borderId="9" xfId="0" applyNumberFormat="1" applyFont="1" applyFill="1" applyBorder="1" applyAlignment="1">
      <alignment horizontal="center" vertical="center" wrapText="1"/>
    </xf>
    <xf numFmtId="0" fontId="65" fillId="0" borderId="19" xfId="8" applyFont="1" applyBorder="1" applyAlignment="1">
      <alignment vertical="center" wrapText="1"/>
    </xf>
    <xf numFmtId="0" fontId="65" fillId="0" borderId="30" xfId="8" applyFont="1" applyBorder="1" applyAlignment="1">
      <alignment vertical="center" wrapText="1"/>
    </xf>
    <xf numFmtId="0" fontId="65" fillId="0" borderId="30" xfId="0" applyFont="1" applyBorder="1" applyAlignment="1">
      <alignment vertical="center" wrapText="1"/>
    </xf>
    <xf numFmtId="3" fontId="65" fillId="17" borderId="9" xfId="0" applyNumberFormat="1" applyFont="1" applyFill="1" applyBorder="1" applyAlignment="1">
      <alignment horizontal="center" vertical="center" wrapText="1"/>
    </xf>
    <xf numFmtId="0" fontId="65" fillId="8" borderId="9" xfId="3" applyNumberFormat="1" applyFont="1" applyFill="1" applyBorder="1" applyAlignment="1">
      <alignment horizontal="center"/>
    </xf>
    <xf numFmtId="1" fontId="65" fillId="8" borderId="9" xfId="3" applyNumberFormat="1" applyFont="1" applyFill="1" applyBorder="1" applyAlignment="1">
      <alignment horizontal="center"/>
    </xf>
    <xf numFmtId="0" fontId="65" fillId="0" borderId="19" xfId="0" applyFont="1" applyBorder="1" applyAlignment="1">
      <alignment horizontal="left" vertical="center"/>
    </xf>
    <xf numFmtId="0" fontId="51" fillId="0" borderId="25" xfId="8" applyFont="1" applyBorder="1" applyAlignment="1">
      <alignment vertical="center" wrapText="1"/>
    </xf>
    <xf numFmtId="0" fontId="51" fillId="0" borderId="26" xfId="8" applyFont="1" applyBorder="1" applyAlignment="1">
      <alignment vertical="center" wrapText="1"/>
    </xf>
    <xf numFmtId="0" fontId="65" fillId="0" borderId="22" xfId="8" applyFont="1" applyBorder="1" applyAlignment="1">
      <alignment horizontal="left" wrapText="1"/>
    </xf>
    <xf numFmtId="0" fontId="65" fillId="0" borderId="24" xfId="8" applyFont="1" applyBorder="1" applyAlignment="1">
      <alignment horizontal="left" wrapText="1"/>
    </xf>
    <xf numFmtId="172" fontId="65" fillId="17" borderId="9" xfId="3" applyNumberFormat="1" applyFont="1" applyFill="1" applyBorder="1" applyAlignment="1">
      <alignment horizontal="center"/>
    </xf>
    <xf numFmtId="0" fontId="65" fillId="25" borderId="9" xfId="0" applyFont="1" applyFill="1" applyBorder="1" applyAlignment="1">
      <alignment horizontal="center" vertical="center" wrapText="1"/>
    </xf>
    <xf numFmtId="172" fontId="65" fillId="7" borderId="9" xfId="3" applyNumberFormat="1" applyFont="1" applyFill="1" applyBorder="1" applyAlignment="1">
      <alignment horizontal="center"/>
    </xf>
    <xf numFmtId="180" fontId="65" fillId="0" borderId="0" xfId="6" applyNumberFormat="1" applyFont="1"/>
    <xf numFmtId="39" fontId="65" fillId="8" borderId="9" xfId="1" applyNumberFormat="1" applyFont="1" applyFill="1" applyBorder="1" applyAlignment="1">
      <alignment horizontal="center"/>
    </xf>
    <xf numFmtId="0" fontId="65" fillId="0" borderId="9" xfId="8" applyFont="1" applyBorder="1" applyAlignment="1">
      <alignment horizontal="left" vertical="center"/>
    </xf>
    <xf numFmtId="10" fontId="65" fillId="17" borderId="9" xfId="3" applyNumberFormat="1" applyFont="1" applyFill="1" applyBorder="1" applyAlignment="1">
      <alignment horizontal="center"/>
    </xf>
    <xf numFmtId="9" fontId="65" fillId="8" borderId="9" xfId="3" applyFont="1" applyFill="1" applyBorder="1" applyAlignment="1">
      <alignment horizontal="center"/>
    </xf>
    <xf numFmtId="37" fontId="65" fillId="17" borderId="9" xfId="1" applyNumberFormat="1" applyFont="1" applyFill="1" applyBorder="1" applyAlignment="1">
      <alignment horizontal="center"/>
    </xf>
    <xf numFmtId="189" fontId="65" fillId="8" borderId="9" xfId="1" applyNumberFormat="1" applyFont="1" applyFill="1" applyBorder="1" applyAlignment="1">
      <alignment horizontal="center"/>
    </xf>
    <xf numFmtId="9" fontId="118" fillId="0" borderId="0" xfId="3" applyFont="1" applyFill="1"/>
    <xf numFmtId="0" fontId="51" fillId="0" borderId="19" xfId="8" applyFont="1" applyBorder="1" applyAlignment="1">
      <alignment horizontal="left" vertical="center"/>
    </xf>
    <xf numFmtId="190" fontId="65" fillId="0" borderId="9" xfId="3" applyNumberFormat="1" applyFont="1" applyFill="1" applyBorder="1" applyAlignment="1">
      <alignment horizontal="center"/>
    </xf>
    <xf numFmtId="190" fontId="51" fillId="0" borderId="9" xfId="3" applyNumberFormat="1" applyFont="1" applyFill="1" applyBorder="1" applyAlignment="1">
      <alignment horizontal="center"/>
    </xf>
    <xf numFmtId="0" fontId="65" fillId="0" borderId="19" xfId="8" applyFont="1" applyBorder="1"/>
    <xf numFmtId="0" fontId="65" fillId="0" borderId="30" xfId="8" applyFont="1" applyBorder="1"/>
    <xf numFmtId="0" fontId="65" fillId="0" borderId="23" xfId="8" applyFont="1" applyBorder="1"/>
    <xf numFmtId="168" fontId="4" fillId="4" borderId="9" xfId="0" applyNumberFormat="1" applyFont="1" applyFill="1" applyBorder="1" applyAlignment="1">
      <alignment horizontal="center"/>
    </xf>
    <xf numFmtId="0" fontId="51" fillId="4" borderId="9" xfId="0" applyFont="1" applyFill="1" applyBorder="1" applyAlignment="1">
      <alignment vertical="top" wrapText="1"/>
    </xf>
    <xf numFmtId="2" fontId="51" fillId="4" borderId="9" xfId="0" applyNumberFormat="1" applyFont="1" applyFill="1" applyBorder="1" applyAlignment="1">
      <alignment horizontal="center" vertical="top" wrapText="1"/>
    </xf>
    <xf numFmtId="0" fontId="4" fillId="4" borderId="23" xfId="8" applyFont="1" applyFill="1" applyBorder="1" applyAlignment="1">
      <alignment horizontal="center"/>
    </xf>
    <xf numFmtId="0" fontId="51" fillId="10" borderId="18" xfId="0" applyFont="1" applyFill="1" applyBorder="1" applyAlignment="1">
      <alignment horizontal="left"/>
    </xf>
    <xf numFmtId="168" fontId="65" fillId="0" borderId="9" xfId="5" applyNumberFormat="1" applyFont="1" applyBorder="1" applyAlignment="1">
      <alignment horizontal="left" vertical="top" wrapText="1"/>
    </xf>
    <xf numFmtId="3" fontId="65" fillId="4" borderId="9" xfId="0" applyNumberFormat="1" applyFont="1" applyFill="1" applyBorder="1" applyAlignment="1">
      <alignment horizontal="left" vertical="top" wrapText="1"/>
    </xf>
    <xf numFmtId="3" fontId="51" fillId="4" borderId="9" xfId="0" applyNumberFormat="1" applyFont="1" applyFill="1" applyBorder="1" applyAlignment="1">
      <alignment horizontal="left" vertical="top" wrapText="1"/>
    </xf>
    <xf numFmtId="3" fontId="51" fillId="36" borderId="9" xfId="0" applyNumberFormat="1" applyFont="1" applyFill="1" applyBorder="1" applyAlignment="1">
      <alignment horizontal="left" vertical="top" wrapText="1"/>
    </xf>
    <xf numFmtId="2" fontId="51" fillId="8" borderId="9" xfId="0" applyNumberFormat="1" applyFont="1" applyFill="1" applyBorder="1" applyAlignment="1">
      <alignment wrapText="1"/>
    </xf>
    <xf numFmtId="2" fontId="51" fillId="34" borderId="9" xfId="0" applyNumberFormat="1" applyFont="1" applyFill="1" applyBorder="1" applyAlignment="1">
      <alignment wrapText="1"/>
    </xf>
    <xf numFmtId="1" fontId="51" fillId="0" borderId="9" xfId="0" applyNumberFormat="1" applyFont="1" applyBorder="1" applyAlignment="1">
      <alignment vertical="center"/>
    </xf>
    <xf numFmtId="2" fontId="65" fillId="4" borderId="9" xfId="0" applyNumberFormat="1" applyFont="1" applyFill="1" applyBorder="1" applyAlignment="1">
      <alignment horizontal="left"/>
    </xf>
    <xf numFmtId="0" fontId="51" fillId="0" borderId="9" xfId="0" applyFont="1" applyBorder="1" applyAlignment="1">
      <alignment vertical="top"/>
    </xf>
    <xf numFmtId="2" fontId="51" fillId="4" borderId="9" xfId="0" applyNumberFormat="1" applyFont="1" applyFill="1" applyBorder="1" applyAlignment="1">
      <alignment horizontal="left"/>
    </xf>
    <xf numFmtId="2" fontId="51" fillId="49" borderId="9" xfId="0" applyNumberFormat="1" applyFont="1" applyFill="1" applyBorder="1" applyAlignment="1">
      <alignment horizontal="center" vertical="top" wrapText="1"/>
    </xf>
    <xf numFmtId="2" fontId="51" fillId="36" borderId="9" xfId="0" applyNumberFormat="1" applyFont="1" applyFill="1" applyBorder="1" applyAlignment="1">
      <alignment horizontal="left" vertical="top" wrapText="1"/>
    </xf>
    <xf numFmtId="165" fontId="65" fillId="4" borderId="9" xfId="0" applyNumberFormat="1" applyFont="1" applyFill="1" applyBorder="1" applyAlignment="1">
      <alignment horizontal="left" vertical="top" wrapText="1"/>
    </xf>
    <xf numFmtId="2" fontId="51" fillId="34" borderId="9" xfId="0" applyNumberFormat="1" applyFont="1" applyFill="1" applyBorder="1" applyAlignment="1">
      <alignment horizontal="right"/>
    </xf>
    <xf numFmtId="1" fontId="51" fillId="49" borderId="9" xfId="0" applyNumberFormat="1" applyFont="1" applyFill="1" applyBorder="1" applyAlignment="1">
      <alignment horizontal="center" vertical="top" wrapText="1"/>
    </xf>
    <xf numFmtId="1" fontId="51" fillId="36" borderId="9" xfId="0" applyNumberFormat="1" applyFont="1" applyFill="1" applyBorder="1" applyAlignment="1">
      <alignment horizontal="left" vertical="top" wrapText="1"/>
    </xf>
    <xf numFmtId="0" fontId="51" fillId="16" borderId="9" xfId="0" applyFont="1" applyFill="1" applyBorder="1" applyAlignment="1">
      <alignment vertical="top"/>
    </xf>
    <xf numFmtId="0" fontId="51" fillId="8" borderId="9" xfId="0" applyFont="1" applyFill="1" applyBorder="1"/>
    <xf numFmtId="2" fontId="65" fillId="0" borderId="9" xfId="0" applyNumberFormat="1" applyFont="1" applyBorder="1" applyAlignment="1">
      <alignment horizontal="left"/>
    </xf>
    <xf numFmtId="170" fontId="51" fillId="4" borderId="9" xfId="1" applyNumberFormat="1" applyFont="1" applyFill="1" applyBorder="1" applyAlignment="1">
      <alignment horizontal="left" vertical="top" wrapText="1"/>
    </xf>
    <xf numFmtId="170" fontId="65" fillId="4" borderId="9" xfId="1" applyNumberFormat="1" applyFont="1" applyFill="1" applyBorder="1" applyAlignment="1">
      <alignment horizontal="left" vertical="top" wrapText="1"/>
    </xf>
    <xf numFmtId="7" fontId="51" fillId="8" borderId="9" xfId="2" applyNumberFormat="1" applyFont="1" applyFill="1" applyBorder="1" applyAlignment="1">
      <alignment horizontal="center" vertical="center" wrapText="1"/>
    </xf>
    <xf numFmtId="9" fontId="51" fillId="4" borderId="9" xfId="3" applyFont="1" applyFill="1" applyBorder="1" applyAlignment="1"/>
    <xf numFmtId="0" fontId="65" fillId="4" borderId="9" xfId="0" applyFont="1" applyFill="1" applyBorder="1" applyAlignment="1">
      <alignment vertical="top" wrapText="1"/>
    </xf>
    <xf numFmtId="0" fontId="65" fillId="0" borderId="9" xfId="5" applyFont="1" applyBorder="1"/>
    <xf numFmtId="168" fontId="65" fillId="4" borderId="9" xfId="5" applyNumberFormat="1" applyFont="1" applyFill="1" applyBorder="1" applyAlignment="1">
      <alignment horizontal="center"/>
    </xf>
    <xf numFmtId="168" fontId="51" fillId="4" borderId="9" xfId="5" applyNumberFormat="1" applyFont="1" applyFill="1" applyBorder="1" applyAlignment="1">
      <alignment horizontal="left" vertical="top" wrapText="1"/>
    </xf>
    <xf numFmtId="39" fontId="65" fillId="4" borderId="9" xfId="5" applyNumberFormat="1" applyFont="1" applyFill="1" applyBorder="1" applyAlignment="1">
      <alignment horizontal="center"/>
    </xf>
    <xf numFmtId="168" fontId="51" fillId="0" borderId="9" xfId="5" applyNumberFormat="1" applyFont="1" applyBorder="1" applyAlignment="1">
      <alignment horizontal="center"/>
    </xf>
    <xf numFmtId="166" fontId="51" fillId="0" borderId="9" xfId="5" applyNumberFormat="1" applyFont="1" applyBorder="1" applyAlignment="1">
      <alignment horizontal="center"/>
    </xf>
    <xf numFmtId="169" fontId="65" fillId="0" borderId="9" xfId="5" applyNumberFormat="1" applyFont="1" applyBorder="1" applyAlignment="1">
      <alignment horizontal="center"/>
    </xf>
    <xf numFmtId="170" fontId="51" fillId="0" borderId="9" xfId="5" applyNumberFormat="1" applyFont="1" applyBorder="1" applyAlignment="1">
      <alignment horizontal="center"/>
    </xf>
    <xf numFmtId="171" fontId="65" fillId="0" borderId="9" xfId="5" applyNumberFormat="1" applyFont="1" applyBorder="1" applyAlignment="1">
      <alignment horizontal="center" vertical="center" wrapText="1"/>
    </xf>
    <xf numFmtId="165" fontId="51" fillId="0" borderId="9" xfId="6" applyNumberFormat="1" applyFont="1" applyBorder="1" applyAlignment="1">
      <alignment horizontal="left" vertical="center" wrapText="1" indent="3"/>
    </xf>
    <xf numFmtId="168" fontId="65" fillId="0" borderId="9" xfId="5" applyNumberFormat="1" applyFont="1" applyBorder="1" applyAlignment="1">
      <alignment horizontal="center"/>
    </xf>
    <xf numFmtId="39" fontId="65" fillId="0" borderId="9" xfId="5" applyNumberFormat="1" applyFont="1" applyBorder="1" applyAlignment="1">
      <alignment horizontal="center"/>
    </xf>
    <xf numFmtId="166" fontId="65" fillId="0" borderId="9" xfId="5" applyNumberFormat="1" applyFont="1" applyBorder="1" applyAlignment="1">
      <alignment horizontal="center"/>
    </xf>
    <xf numFmtId="170" fontId="65" fillId="0" borderId="9" xfId="5" applyNumberFormat="1" applyFont="1" applyBorder="1" applyAlignment="1">
      <alignment horizontal="center"/>
    </xf>
    <xf numFmtId="171" fontId="65" fillId="50" borderId="9" xfId="5" applyNumberFormat="1" applyFont="1" applyFill="1" applyBorder="1" applyAlignment="1">
      <alignment horizontal="center"/>
    </xf>
    <xf numFmtId="2" fontId="65" fillId="0" borderId="9" xfId="0" applyNumberFormat="1" applyFont="1" applyBorder="1" applyAlignment="1">
      <alignment horizontal="right"/>
    </xf>
    <xf numFmtId="39" fontId="65" fillId="0" borderId="9" xfId="5" applyNumberFormat="1" applyFont="1" applyBorder="1" applyAlignment="1">
      <alignment horizontal="right"/>
    </xf>
    <xf numFmtId="39" fontId="51" fillId="0" borderId="9" xfId="5" applyNumberFormat="1" applyFont="1" applyBorder="1" applyAlignment="1">
      <alignment horizontal="center"/>
    </xf>
    <xf numFmtId="0" fontId="128" fillId="0" borderId="0" xfId="5" applyFont="1"/>
    <xf numFmtId="165" fontId="118" fillId="0" borderId="9" xfId="0" applyNumberFormat="1" applyFont="1" applyBorder="1"/>
    <xf numFmtId="170" fontId="65" fillId="0" borderId="9" xfId="0" applyNumberFormat="1" applyFont="1" applyBorder="1"/>
    <xf numFmtId="170" fontId="51" fillId="0" borderId="9" xfId="0" applyNumberFormat="1" applyFont="1" applyBorder="1"/>
    <xf numFmtId="171" fontId="118" fillId="0" borderId="9" xfId="5" applyNumberFormat="1" applyFont="1" applyBorder="1" applyAlignment="1">
      <alignment horizontal="center" vertical="center" wrapText="1"/>
    </xf>
    <xf numFmtId="171" fontId="118" fillId="0" borderId="9" xfId="0" applyNumberFormat="1" applyFont="1" applyBorder="1"/>
    <xf numFmtId="171" fontId="51" fillId="0" borderId="9" xfId="0" applyNumberFormat="1" applyFont="1" applyBorder="1"/>
    <xf numFmtId="171" fontId="51" fillId="0" borderId="9" xfId="5" applyNumberFormat="1" applyFont="1" applyBorder="1" applyAlignment="1">
      <alignment horizontal="center" vertical="center" wrapText="1"/>
    </xf>
    <xf numFmtId="44" fontId="51" fillId="0" borderId="24" xfId="2" applyFont="1" applyFill="1" applyBorder="1"/>
    <xf numFmtId="202" fontId="65" fillId="0" borderId="30" xfId="2" applyNumberFormat="1" applyFont="1" applyFill="1" applyBorder="1"/>
    <xf numFmtId="168" fontId="122" fillId="0" borderId="0" xfId="5" applyNumberFormat="1" applyFont="1"/>
    <xf numFmtId="0" fontId="122" fillId="0" borderId="0" xfId="5" applyFont="1"/>
    <xf numFmtId="2" fontId="118" fillId="19" borderId="9" xfId="0" applyNumberFormat="1" applyFont="1" applyFill="1" applyBorder="1"/>
    <xf numFmtId="2" fontId="51" fillId="19" borderId="9" xfId="0" applyNumberFormat="1" applyFont="1" applyFill="1" applyBorder="1"/>
    <xf numFmtId="170" fontId="51" fillId="19" borderId="9" xfId="5" applyNumberFormat="1" applyFont="1" applyFill="1" applyBorder="1" applyAlignment="1">
      <alignment horizontal="center"/>
    </xf>
    <xf numFmtId="165" fontId="118" fillId="19" borderId="9" xfId="0" applyNumberFormat="1" applyFont="1" applyFill="1" applyBorder="1"/>
    <xf numFmtId="171" fontId="118" fillId="19" borderId="9" xfId="5" applyNumberFormat="1" applyFont="1" applyFill="1" applyBorder="1" applyAlignment="1">
      <alignment horizontal="center" vertical="center" wrapText="1"/>
    </xf>
    <xf numFmtId="171" fontId="118" fillId="19" borderId="9" xfId="0" applyNumberFormat="1" applyFont="1" applyFill="1" applyBorder="1"/>
    <xf numFmtId="171" fontId="51" fillId="7" borderId="9" xfId="5" applyNumberFormat="1" applyFont="1" applyFill="1" applyBorder="1" applyAlignment="1">
      <alignment horizontal="center"/>
    </xf>
    <xf numFmtId="44" fontId="51" fillId="0" borderId="26" xfId="2" applyFont="1" applyFill="1" applyBorder="1"/>
    <xf numFmtId="202" fontId="65" fillId="0" borderId="23" xfId="2" applyNumberFormat="1" applyFont="1" applyFill="1" applyBorder="1"/>
    <xf numFmtId="168" fontId="51" fillId="0" borderId="9" xfId="5" applyNumberFormat="1" applyFont="1" applyBorder="1" applyAlignment="1">
      <alignment horizontal="left" vertical="center"/>
    </xf>
    <xf numFmtId="2" fontId="51" fillId="50" borderId="9" xfId="0" applyNumberFormat="1" applyFont="1" applyFill="1" applyBorder="1" applyAlignment="1">
      <alignment horizontal="center"/>
    </xf>
    <xf numFmtId="37" fontId="51" fillId="50" borderId="9" xfId="1" applyNumberFormat="1" applyFont="1" applyFill="1" applyBorder="1" applyAlignment="1">
      <alignment horizontal="center"/>
    </xf>
    <xf numFmtId="170" fontId="51" fillId="13" borderId="9" xfId="5" applyNumberFormat="1" applyFont="1" applyFill="1" applyBorder="1" applyAlignment="1">
      <alignment horizontal="center"/>
    </xf>
    <xf numFmtId="180" fontId="65" fillId="50" borderId="9" xfId="0" applyNumberFormat="1" applyFont="1" applyFill="1" applyBorder="1" applyAlignment="1">
      <alignment horizontal="center"/>
    </xf>
    <xf numFmtId="0" fontId="122" fillId="0" borderId="0" xfId="5" applyFont="1" applyAlignment="1">
      <alignment horizontal="right"/>
    </xf>
    <xf numFmtId="168" fontId="51" fillId="4" borderId="9" xfId="0" applyNumberFormat="1" applyFont="1" applyFill="1" applyBorder="1" applyAlignment="1">
      <alignment horizontal="left" vertical="center" wrapText="1"/>
    </xf>
    <xf numFmtId="0" fontId="128" fillId="0" borderId="0" xfId="5" applyFont="1" applyAlignment="1">
      <alignment horizontal="center"/>
    </xf>
    <xf numFmtId="168" fontId="118" fillId="0" borderId="9" xfId="1" applyNumberFormat="1" applyFont="1" applyFill="1" applyBorder="1" applyAlignment="1">
      <alignment horizontal="center"/>
    </xf>
    <xf numFmtId="168" fontId="65" fillId="0" borderId="9" xfId="1" applyNumberFormat="1" applyFont="1" applyFill="1" applyBorder="1" applyAlignment="1">
      <alignment horizontal="center"/>
    </xf>
    <xf numFmtId="170" fontId="51" fillId="19" borderId="9" xfId="5" applyNumberFormat="1" applyFont="1" applyFill="1" applyBorder="1"/>
    <xf numFmtId="170" fontId="118" fillId="0" borderId="9" xfId="0" applyNumberFormat="1" applyFont="1" applyBorder="1" applyAlignment="1">
      <alignment horizontal="center"/>
    </xf>
    <xf numFmtId="170" fontId="51" fillId="0" borderId="9" xfId="0" applyNumberFormat="1" applyFont="1" applyBorder="1" applyAlignment="1">
      <alignment horizontal="center"/>
    </xf>
    <xf numFmtId="2" fontId="122" fillId="0" borderId="0" xfId="5" applyNumberFormat="1" applyFont="1" applyAlignment="1">
      <alignment horizontal="center"/>
    </xf>
    <xf numFmtId="44" fontId="114" fillId="0" borderId="0" xfId="2" applyFont="1"/>
    <xf numFmtId="2" fontId="65" fillId="50" borderId="9" xfId="0" applyNumberFormat="1" applyFont="1" applyFill="1" applyBorder="1" applyAlignment="1">
      <alignment horizontal="center"/>
    </xf>
    <xf numFmtId="37" fontId="65" fillId="50" borderId="9" xfId="1" applyNumberFormat="1" applyFont="1" applyFill="1" applyBorder="1" applyAlignment="1">
      <alignment horizontal="center"/>
    </xf>
    <xf numFmtId="180" fontId="51" fillId="50" borderId="9" xfId="0" applyNumberFormat="1" applyFont="1" applyFill="1" applyBorder="1" applyAlignment="1">
      <alignment horizontal="center"/>
    </xf>
    <xf numFmtId="180" fontId="51" fillId="0" borderId="9" xfId="0" applyNumberFormat="1" applyFont="1" applyBorder="1" applyAlignment="1">
      <alignment horizontal="center"/>
    </xf>
    <xf numFmtId="2" fontId="118" fillId="19" borderId="9" xfId="0" applyNumberFormat="1" applyFont="1" applyFill="1" applyBorder="1" applyAlignment="1">
      <alignment horizontal="center"/>
    </xf>
    <xf numFmtId="2" fontId="51" fillId="19" borderId="9" xfId="0" applyNumberFormat="1" applyFont="1" applyFill="1" applyBorder="1" applyAlignment="1">
      <alignment horizontal="center"/>
    </xf>
    <xf numFmtId="168" fontId="118" fillId="19" borderId="9" xfId="1" applyNumberFormat="1" applyFont="1" applyFill="1" applyBorder="1" applyAlignment="1">
      <alignment horizontal="center"/>
    </xf>
    <xf numFmtId="168" fontId="51" fillId="19" borderId="9" xfId="1" applyNumberFormat="1" applyFont="1" applyFill="1" applyBorder="1" applyAlignment="1">
      <alignment horizontal="center"/>
    </xf>
    <xf numFmtId="165" fontId="51" fillId="19" borderId="9" xfId="0" applyNumberFormat="1" applyFont="1" applyFill="1" applyBorder="1" applyAlignment="1">
      <alignment horizontal="center"/>
    </xf>
    <xf numFmtId="165" fontId="118" fillId="19" borderId="9" xfId="0" applyNumberFormat="1" applyFont="1" applyFill="1" applyBorder="1" applyAlignment="1">
      <alignment horizontal="center"/>
    </xf>
    <xf numFmtId="3" fontId="122" fillId="0" borderId="0" xfId="5" applyNumberFormat="1" applyFont="1" applyAlignment="1">
      <alignment horizontal="right"/>
    </xf>
    <xf numFmtId="0" fontId="51" fillId="0" borderId="0" xfId="5" applyFont="1"/>
    <xf numFmtId="170" fontId="65" fillId="19" borderId="9" xfId="5" applyNumberFormat="1" applyFont="1" applyFill="1" applyBorder="1"/>
    <xf numFmtId="2" fontId="51" fillId="0" borderId="0" xfId="6" applyNumberFormat="1" applyFont="1" applyAlignment="1">
      <alignment horizontal="center"/>
    </xf>
    <xf numFmtId="44" fontId="65" fillId="0" borderId="0" xfId="2" applyFont="1"/>
    <xf numFmtId="168" fontId="51" fillId="0" borderId="0" xfId="5" applyNumberFormat="1" applyFont="1"/>
    <xf numFmtId="166" fontId="122" fillId="0" borderId="0" xfId="5" applyNumberFormat="1" applyFont="1" applyAlignment="1">
      <alignment horizontal="center" wrapText="1"/>
    </xf>
    <xf numFmtId="0" fontId="51" fillId="11" borderId="9" xfId="6" applyFont="1" applyFill="1" applyBorder="1" applyAlignment="1">
      <alignment horizontal="center" vertical="center" wrapText="1"/>
    </xf>
    <xf numFmtId="166" fontId="51" fillId="11" borderId="9" xfId="5" applyNumberFormat="1" applyFont="1" applyFill="1" applyBorder="1" applyAlignment="1">
      <alignment horizontal="center" vertical="center" wrapText="1"/>
    </xf>
    <xf numFmtId="44" fontId="65" fillId="8" borderId="9" xfId="2" applyFont="1" applyFill="1" applyBorder="1"/>
    <xf numFmtId="0" fontId="51" fillId="0" borderId="9" xfId="5" applyFont="1" applyBorder="1"/>
    <xf numFmtId="168" fontId="51" fillId="0" borderId="9" xfId="5" applyNumberFormat="1" applyFont="1" applyBorder="1"/>
    <xf numFmtId="0" fontId="65" fillId="0" borderId="9" xfId="5" applyFont="1" applyBorder="1" applyAlignment="1">
      <alignment horizontal="center"/>
    </xf>
    <xf numFmtId="171" fontId="51" fillId="50" borderId="9" xfId="5" applyNumberFormat="1" applyFont="1" applyFill="1" applyBorder="1" applyAlignment="1">
      <alignment horizontal="center"/>
    </xf>
    <xf numFmtId="165" fontId="51" fillId="4" borderId="9" xfId="6" applyNumberFormat="1" applyFont="1" applyFill="1" applyBorder="1" applyAlignment="1">
      <alignment horizontal="left" vertical="center" wrapText="1" indent="3"/>
    </xf>
    <xf numFmtId="4" fontId="51" fillId="0" borderId="0" xfId="5" applyNumberFormat="1" applyFont="1"/>
    <xf numFmtId="9" fontId="136" fillId="0" borderId="0" xfId="7" applyFont="1">
      <alignment horizontal="right" vertical="center" wrapText="1" readingOrder="1"/>
    </xf>
    <xf numFmtId="169" fontId="51" fillId="0" borderId="0" xfId="5" applyNumberFormat="1" applyFont="1"/>
    <xf numFmtId="172" fontId="136" fillId="0" borderId="0" xfId="7" applyNumberFormat="1" applyFont="1">
      <alignment horizontal="right" vertical="center" wrapText="1" readingOrder="1"/>
    </xf>
    <xf numFmtId="189" fontId="118" fillId="0" borderId="9" xfId="0" applyNumberFormat="1" applyFont="1" applyBorder="1" applyAlignment="1">
      <alignment horizontal="center"/>
    </xf>
    <xf numFmtId="189" fontId="118" fillId="0" borderId="9" xfId="5" applyNumberFormat="1" applyFont="1" applyBorder="1" applyAlignment="1">
      <alignment horizontal="center"/>
    </xf>
    <xf numFmtId="0" fontId="118" fillId="19" borderId="9" xfId="0" applyFont="1" applyFill="1" applyBorder="1"/>
    <xf numFmtId="170" fontId="65" fillId="19" borderId="9" xfId="5" applyNumberFormat="1" applyFont="1" applyFill="1" applyBorder="1" applyAlignment="1">
      <alignment horizontal="center"/>
    </xf>
    <xf numFmtId="170" fontId="118" fillId="19" borderId="9" xfId="0" applyNumberFormat="1" applyFont="1" applyFill="1" applyBorder="1" applyAlignment="1">
      <alignment horizontal="center"/>
    </xf>
    <xf numFmtId="37" fontId="118" fillId="19" borderId="9" xfId="1" applyNumberFormat="1" applyFont="1" applyFill="1" applyBorder="1" applyAlignment="1">
      <alignment horizontal="center"/>
    </xf>
    <xf numFmtId="37" fontId="51" fillId="19" borderId="9" xfId="1" applyNumberFormat="1" applyFont="1" applyFill="1" applyBorder="1" applyAlignment="1">
      <alignment horizontal="center"/>
    </xf>
    <xf numFmtId="171" fontId="65" fillId="0" borderId="9" xfId="0" applyNumberFormat="1" applyFont="1" applyBorder="1"/>
    <xf numFmtId="44" fontId="51" fillId="0" borderId="9" xfId="2" applyFont="1" applyFill="1" applyBorder="1"/>
    <xf numFmtId="202" fontId="65" fillId="0" borderId="9" xfId="2" applyNumberFormat="1" applyFont="1" applyFill="1" applyBorder="1"/>
    <xf numFmtId="0" fontId="119" fillId="12" borderId="9" xfId="0" applyFont="1" applyFill="1" applyBorder="1"/>
    <xf numFmtId="0" fontId="51" fillId="15" borderId="9" xfId="5" applyFont="1" applyFill="1" applyBorder="1" applyAlignment="1">
      <alignment horizontal="center" vertical="center" wrapText="1"/>
    </xf>
    <xf numFmtId="0" fontId="51" fillId="12" borderId="18" xfId="0" applyFont="1" applyFill="1" applyBorder="1" applyAlignment="1">
      <alignment horizontal="center" vertical="center" wrapText="1"/>
    </xf>
    <xf numFmtId="166" fontId="51" fillId="12" borderId="9" xfId="0" applyNumberFormat="1" applyFont="1" applyFill="1" applyBorder="1" applyAlignment="1">
      <alignment horizontal="center" vertical="center" wrapText="1"/>
    </xf>
    <xf numFmtId="166" fontId="65" fillId="12" borderId="9" xfId="0" applyNumberFormat="1" applyFont="1" applyFill="1" applyBorder="1" applyAlignment="1">
      <alignment horizontal="center" vertical="center" wrapText="1"/>
    </xf>
    <xf numFmtId="2" fontId="122" fillId="0" borderId="0" xfId="6" applyNumberFormat="1" applyFont="1" applyAlignment="1">
      <alignment horizontal="center"/>
    </xf>
    <xf numFmtId="168" fontId="51" fillId="4" borderId="9" xfId="5" applyNumberFormat="1" applyFont="1" applyFill="1" applyBorder="1" applyAlignment="1">
      <alignment horizontal="center" vertical="center"/>
    </xf>
    <xf numFmtId="168" fontId="51" fillId="4" borderId="9" xfId="5" applyNumberFormat="1" applyFont="1" applyFill="1" applyBorder="1" applyAlignment="1">
      <alignment horizontal="left" vertical="center"/>
    </xf>
    <xf numFmtId="189" fontId="51" fillId="50" borderId="9" xfId="5" applyNumberFormat="1" applyFont="1" applyFill="1" applyBorder="1" applyAlignment="1">
      <alignment horizontal="center"/>
    </xf>
    <xf numFmtId="180" fontId="65" fillId="50" borderId="9" xfId="3" applyNumberFormat="1" applyFont="1" applyFill="1" applyBorder="1" applyAlignment="1">
      <alignment horizontal="center"/>
    </xf>
    <xf numFmtId="37" fontId="65" fillId="50" borderId="9" xfId="5" applyNumberFormat="1" applyFont="1" applyFill="1" applyBorder="1" applyAlignment="1">
      <alignment horizontal="center"/>
    </xf>
    <xf numFmtId="168" fontId="51" fillId="4" borderId="9" xfId="0" applyNumberFormat="1" applyFont="1" applyFill="1" applyBorder="1" applyAlignment="1">
      <alignment horizontal="center" vertical="center" wrapText="1"/>
    </xf>
    <xf numFmtId="189" fontId="118" fillId="0" borderId="9" xfId="0" applyNumberFormat="1" applyFont="1" applyBorder="1" applyAlignment="1">
      <alignment horizontal="right"/>
    </xf>
    <xf numFmtId="189" fontId="118" fillId="4" borderId="9" xfId="0" applyNumberFormat="1" applyFont="1" applyFill="1" applyBorder="1" applyAlignment="1">
      <alignment horizontal="right"/>
    </xf>
    <xf numFmtId="169" fontId="65" fillId="0" borderId="9" xfId="0" applyNumberFormat="1" applyFont="1" applyBorder="1" applyAlignment="1">
      <alignment horizontal="center"/>
    </xf>
    <xf numFmtId="169" fontId="51" fillId="4" borderId="9" xfId="0" applyNumberFormat="1" applyFont="1" applyFill="1" applyBorder="1" applyAlignment="1">
      <alignment horizontal="center"/>
    </xf>
    <xf numFmtId="37" fontId="65" fillId="0" borderId="9" xfId="0" applyNumberFormat="1" applyFont="1" applyBorder="1"/>
    <xf numFmtId="37" fontId="51" fillId="4" borderId="9" xfId="0" applyNumberFormat="1" applyFont="1" applyFill="1" applyBorder="1"/>
    <xf numFmtId="0" fontId="137" fillId="0" borderId="0" xfId="6" applyFont="1"/>
    <xf numFmtId="39" fontId="137" fillId="0" borderId="0" xfId="5" applyNumberFormat="1" applyFont="1" applyAlignment="1">
      <alignment horizontal="center"/>
    </xf>
    <xf numFmtId="37" fontId="137" fillId="0" borderId="0" xfId="5" applyNumberFormat="1" applyFont="1" applyAlignment="1">
      <alignment horizontal="center"/>
    </xf>
    <xf numFmtId="168" fontId="65" fillId="0" borderId="9" xfId="1" applyNumberFormat="1" applyFont="1" applyBorder="1" applyAlignment="1">
      <alignment horizontal="center"/>
    </xf>
    <xf numFmtId="212" fontId="65" fillId="50" borderId="9" xfId="5" applyNumberFormat="1" applyFont="1" applyFill="1" applyBorder="1" applyAlignment="1">
      <alignment horizontal="center"/>
    </xf>
    <xf numFmtId="165" fontId="65" fillId="4" borderId="9" xfId="6" applyNumberFormat="1" applyFont="1" applyFill="1" applyBorder="1" applyAlignment="1">
      <alignment horizontal="left" vertical="center" wrapText="1" indent="3"/>
    </xf>
    <xf numFmtId="44" fontId="65" fillId="50" borderId="9" xfId="2" applyFont="1" applyFill="1" applyBorder="1" applyAlignment="1">
      <alignment horizontal="center"/>
    </xf>
    <xf numFmtId="37" fontId="65" fillId="0" borderId="9" xfId="5" applyNumberFormat="1" applyFont="1" applyBorder="1" applyAlignment="1">
      <alignment horizontal="center"/>
    </xf>
    <xf numFmtId="37" fontId="118" fillId="0" borderId="9" xfId="0" applyNumberFormat="1" applyFont="1" applyBorder="1"/>
    <xf numFmtId="37" fontId="118" fillId="0" borderId="9" xfId="0" applyNumberFormat="1" applyFont="1" applyBorder="1" applyAlignment="1">
      <alignment horizontal="center"/>
    </xf>
    <xf numFmtId="170" fontId="51" fillId="4" borderId="9" xfId="5" applyNumberFormat="1" applyFont="1" applyFill="1" applyBorder="1" applyAlignment="1">
      <alignment horizontal="center"/>
    </xf>
    <xf numFmtId="170" fontId="118" fillId="0" borderId="9" xfId="0" applyNumberFormat="1" applyFont="1" applyBorder="1"/>
    <xf numFmtId="171" fontId="118" fillId="4" borderId="9" xfId="5" applyNumberFormat="1" applyFont="1" applyFill="1" applyBorder="1" applyAlignment="1">
      <alignment horizontal="center" vertical="center" wrapText="1"/>
    </xf>
    <xf numFmtId="171" fontId="65" fillId="4" borderId="9" xfId="5" applyNumberFormat="1" applyFont="1" applyFill="1" applyBorder="1" applyAlignment="1">
      <alignment horizontal="center"/>
    </xf>
    <xf numFmtId="171" fontId="51" fillId="0" borderId="9" xfId="5" applyNumberFormat="1" applyFont="1" applyBorder="1" applyAlignment="1">
      <alignment horizontal="center"/>
    </xf>
    <xf numFmtId="171" fontId="65" fillId="0" borderId="9" xfId="5" applyNumberFormat="1" applyFont="1" applyBorder="1" applyAlignment="1">
      <alignment horizontal="center"/>
    </xf>
    <xf numFmtId="2" fontId="65" fillId="50" borderId="9" xfId="5" applyNumberFormat="1" applyFont="1" applyFill="1" applyBorder="1" applyAlignment="1">
      <alignment horizontal="center"/>
    </xf>
    <xf numFmtId="1" fontId="65" fillId="50" borderId="9" xfId="3" applyNumberFormat="1" applyFont="1" applyFill="1" applyBorder="1" applyAlignment="1">
      <alignment horizontal="center"/>
    </xf>
    <xf numFmtId="9" fontId="51" fillId="50" borderId="9" xfId="3" applyFont="1" applyFill="1" applyBorder="1" applyAlignment="1">
      <alignment horizontal="center"/>
    </xf>
    <xf numFmtId="180" fontId="65" fillId="0" borderId="9" xfId="0" applyNumberFormat="1" applyFont="1" applyBorder="1"/>
    <xf numFmtId="180" fontId="118" fillId="0" borderId="9" xfId="0" applyNumberFormat="1" applyFont="1" applyBorder="1"/>
    <xf numFmtId="189" fontId="118" fillId="4" borderId="9" xfId="0" applyNumberFormat="1" applyFont="1" applyFill="1" applyBorder="1" applyAlignment="1">
      <alignment horizontal="center"/>
    </xf>
    <xf numFmtId="1" fontId="118" fillId="0" borderId="9" xfId="0" applyNumberFormat="1" applyFont="1" applyBorder="1" applyAlignment="1">
      <alignment horizontal="center"/>
    </xf>
    <xf numFmtId="37" fontId="118" fillId="4" borderId="9" xfId="0" applyNumberFormat="1" applyFont="1" applyFill="1" applyBorder="1"/>
    <xf numFmtId="1" fontId="65" fillId="0" borderId="9" xfId="3" applyNumberFormat="1" applyFont="1" applyFill="1" applyBorder="1" applyAlignment="1">
      <alignment horizontal="center"/>
    </xf>
    <xf numFmtId="9" fontId="118" fillId="0" borderId="9" xfId="0" applyNumberFormat="1" applyFont="1" applyBorder="1"/>
    <xf numFmtId="9" fontId="118" fillId="4" borderId="9" xfId="0" applyNumberFormat="1" applyFont="1" applyFill="1" applyBorder="1"/>
    <xf numFmtId="39" fontId="51" fillId="0" borderId="0" xfId="5" applyNumberFormat="1" applyFont="1" applyAlignment="1">
      <alignment horizontal="center"/>
    </xf>
    <xf numFmtId="0" fontId="65" fillId="4" borderId="9" xfId="5" applyFont="1" applyFill="1" applyBorder="1"/>
    <xf numFmtId="168" fontId="65" fillId="0" borderId="9" xfId="5" applyNumberFormat="1" applyFont="1" applyBorder="1"/>
    <xf numFmtId="170" fontId="65" fillId="0" borderId="9" xfId="0" applyNumberFormat="1" applyFont="1" applyBorder="1" applyAlignment="1">
      <alignment horizontal="center"/>
    </xf>
    <xf numFmtId="37" fontId="51" fillId="0" borderId="0" xfId="5" applyNumberFormat="1" applyFont="1" applyAlignment="1">
      <alignment horizontal="center"/>
    </xf>
    <xf numFmtId="0" fontId="67" fillId="12" borderId="9" xfId="0" applyFont="1" applyFill="1" applyBorder="1"/>
    <xf numFmtId="168" fontId="65" fillId="4" borderId="9" xfId="5" applyNumberFormat="1" applyFont="1" applyFill="1" applyBorder="1" applyAlignment="1">
      <alignment horizontal="center" vertical="center"/>
    </xf>
    <xf numFmtId="168" fontId="65" fillId="0" borderId="9" xfId="5" applyNumberFormat="1" applyFont="1" applyBorder="1" applyAlignment="1">
      <alignment wrapText="1"/>
    </xf>
    <xf numFmtId="9" fontId="65" fillId="50" borderId="9" xfId="3" applyFont="1" applyFill="1" applyBorder="1" applyAlignment="1">
      <alignment horizontal="center"/>
    </xf>
    <xf numFmtId="2" fontId="65" fillId="50" borderId="9" xfId="0" applyNumberFormat="1" applyFont="1" applyFill="1" applyBorder="1" applyAlignment="1">
      <alignment horizontal="left" wrapText="1"/>
    </xf>
    <xf numFmtId="2" fontId="69" fillId="0" borderId="9" xfId="0" applyNumberFormat="1" applyFont="1" applyBorder="1" applyAlignment="1">
      <alignment horizontal="center"/>
    </xf>
    <xf numFmtId="1" fontId="65" fillId="0" borderId="9" xfId="0" applyNumberFormat="1" applyFont="1" applyBorder="1" applyAlignment="1">
      <alignment horizontal="center"/>
    </xf>
    <xf numFmtId="43" fontId="118" fillId="0" borderId="9" xfId="1" applyFont="1" applyBorder="1"/>
    <xf numFmtId="9" fontId="51" fillId="0" borderId="9" xfId="1" applyNumberFormat="1" applyFont="1" applyBorder="1"/>
    <xf numFmtId="168" fontId="51" fillId="4" borderId="0" xfId="5" applyNumberFormat="1" applyFont="1" applyFill="1" applyAlignment="1">
      <alignment horizontal="left" vertical="center"/>
    </xf>
    <xf numFmtId="168" fontId="118" fillId="4" borderId="9" xfId="5" applyNumberFormat="1" applyFont="1" applyFill="1" applyBorder="1"/>
    <xf numFmtId="178" fontId="65" fillId="0" borderId="9" xfId="5" applyNumberFormat="1" applyFont="1" applyBorder="1" applyAlignment="1">
      <alignment horizontal="center"/>
    </xf>
    <xf numFmtId="165" fontId="51" fillId="0" borderId="9" xfId="5" applyNumberFormat="1" applyFont="1" applyBorder="1" applyAlignment="1">
      <alignment horizontal="center"/>
    </xf>
    <xf numFmtId="1" fontId="118" fillId="0" borderId="9" xfId="0" applyNumberFormat="1" applyFont="1" applyBorder="1"/>
    <xf numFmtId="212" fontId="118" fillId="0" borderId="9" xfId="5" applyNumberFormat="1" applyFont="1" applyBorder="1" applyAlignment="1">
      <alignment horizontal="center" vertical="center" wrapText="1"/>
    </xf>
    <xf numFmtId="212" fontId="118" fillId="0" borderId="9" xfId="0" applyNumberFormat="1" applyFont="1" applyBorder="1"/>
    <xf numFmtId="212" fontId="65" fillId="0" borderId="9" xfId="0" applyNumberFormat="1" applyFont="1" applyBorder="1"/>
    <xf numFmtId="212" fontId="138" fillId="0" borderId="0" xfId="5" applyNumberFormat="1" applyFont="1"/>
    <xf numFmtId="44" fontId="51" fillId="0" borderId="0" xfId="2" applyFont="1" applyFill="1" applyBorder="1"/>
    <xf numFmtId="7" fontId="122" fillId="0" borderId="22" xfId="5" applyNumberFormat="1" applyFont="1" applyBorder="1" applyAlignment="1">
      <alignment wrapText="1"/>
    </xf>
    <xf numFmtId="168" fontId="51" fillId="4" borderId="9" xfId="5" applyNumberFormat="1" applyFont="1" applyFill="1" applyBorder="1"/>
    <xf numFmtId="0" fontId="122" fillId="0" borderId="0" xfId="5" applyFont="1" applyAlignment="1">
      <alignment wrapText="1"/>
    </xf>
    <xf numFmtId="175" fontId="51" fillId="50" borderId="9" xfId="9" applyNumberFormat="1" applyFont="1" applyFill="1" applyBorder="1" applyAlignment="1">
      <alignment horizontal="center" vertical="center"/>
    </xf>
    <xf numFmtId="177" fontId="51" fillId="50" borderId="9" xfId="9" applyNumberFormat="1" applyFont="1" applyFill="1" applyBorder="1" applyAlignment="1">
      <alignment horizontal="center" vertical="center"/>
    </xf>
    <xf numFmtId="177" fontId="51" fillId="0" borderId="9" xfId="9" applyNumberFormat="1" applyFont="1" applyFill="1" applyBorder="1" applyAlignment="1">
      <alignment horizontal="center" vertical="center"/>
    </xf>
    <xf numFmtId="177" fontId="51" fillId="0" borderId="9" xfId="9" applyNumberFormat="1" applyFont="1" applyFill="1" applyBorder="1" applyAlignment="1">
      <alignment horizontal="center"/>
    </xf>
    <xf numFmtId="177" fontId="51" fillId="0" borderId="9" xfId="9" applyNumberFormat="1" applyFont="1" applyFill="1" applyBorder="1" applyAlignment="1">
      <alignment horizontal="center" vertical="top" wrapText="1"/>
    </xf>
    <xf numFmtId="2" fontId="51" fillId="0" borderId="0" xfId="5" applyNumberFormat="1" applyFont="1" applyAlignment="1">
      <alignment horizontal="center"/>
    </xf>
    <xf numFmtId="0" fontId="139" fillId="0" borderId="0" xfId="6" applyFont="1"/>
    <xf numFmtId="166" fontId="51" fillId="0" borderId="0" xfId="5" applyNumberFormat="1" applyFont="1" applyAlignment="1">
      <alignment horizontal="center"/>
    </xf>
    <xf numFmtId="180" fontId="65" fillId="0" borderId="9" xfId="5" applyNumberFormat="1" applyFont="1" applyBorder="1" applyAlignment="1">
      <alignment horizontal="center"/>
    </xf>
    <xf numFmtId="2" fontId="51" fillId="4" borderId="9" xfId="10" applyNumberFormat="1" applyFont="1" applyFill="1" applyBorder="1" applyAlignment="1">
      <alignment horizontal="center"/>
    </xf>
    <xf numFmtId="212" fontId="51" fillId="50" borderId="9" xfId="5" applyNumberFormat="1" applyFont="1" applyFill="1" applyBorder="1" applyAlignment="1">
      <alignment horizontal="center"/>
    </xf>
    <xf numFmtId="0" fontId="122" fillId="0" borderId="0" xfId="5" applyFont="1" applyAlignment="1">
      <alignment vertical="center" wrapText="1"/>
    </xf>
    <xf numFmtId="170" fontId="118" fillId="0" borderId="9" xfId="5" applyNumberFormat="1" applyFont="1" applyBorder="1" applyAlignment="1">
      <alignment horizontal="center"/>
    </xf>
    <xf numFmtId="44" fontId="51" fillId="0" borderId="27" xfId="2" applyFont="1" applyFill="1" applyBorder="1"/>
    <xf numFmtId="44" fontId="51" fillId="0" borderId="28" xfId="2" applyFont="1" applyFill="1" applyBorder="1"/>
    <xf numFmtId="166" fontId="51" fillId="0" borderId="0" xfId="5" applyNumberFormat="1" applyFont="1" applyAlignment="1">
      <alignment horizontal="center" wrapText="1"/>
    </xf>
    <xf numFmtId="0" fontId="74" fillId="0" borderId="0" xfId="5" applyFont="1"/>
    <xf numFmtId="0" fontId="140" fillId="0" borderId="0" xfId="5" applyFont="1"/>
    <xf numFmtId="0" fontId="51" fillId="11" borderId="19" xfId="5" applyFont="1" applyFill="1" applyBorder="1" applyAlignment="1">
      <alignment horizontal="center" vertical="center" wrapText="1"/>
    </xf>
    <xf numFmtId="0" fontId="51" fillId="11" borderId="20" xfId="5" applyFont="1" applyFill="1" applyBorder="1" applyAlignment="1">
      <alignment vertical="center" wrapText="1"/>
    </xf>
    <xf numFmtId="0" fontId="51" fillId="11" borderId="9" xfId="5" applyFont="1" applyFill="1" applyBorder="1" applyAlignment="1">
      <alignment vertical="center" wrapText="1"/>
    </xf>
    <xf numFmtId="1" fontId="51" fillId="8" borderId="9" xfId="5" applyNumberFormat="1" applyFont="1" applyFill="1" applyBorder="1" applyAlignment="1">
      <alignment horizontal="center" vertical="center"/>
    </xf>
    <xf numFmtId="9" fontId="51" fillId="0" borderId="9" xfId="11" applyFont="1" applyFill="1" applyBorder="1" applyAlignment="1">
      <alignment horizontal="center" vertical="center"/>
    </xf>
    <xf numFmtId="9" fontId="65" fillId="50" borderId="9" xfId="11" applyFont="1" applyFill="1" applyBorder="1" applyAlignment="1">
      <alignment horizontal="center"/>
    </xf>
    <xf numFmtId="0" fontId="141" fillId="0" borderId="0" xfId="5" applyFont="1" applyAlignment="1">
      <alignment wrapText="1"/>
    </xf>
    <xf numFmtId="166" fontId="141" fillId="0" borderId="0" xfId="5" applyNumberFormat="1" applyFont="1" applyAlignment="1">
      <alignment horizontal="center"/>
    </xf>
    <xf numFmtId="0" fontId="141" fillId="0" borderId="0" xfId="5" applyFont="1"/>
    <xf numFmtId="166" fontId="122" fillId="0" borderId="0" xfId="5" applyNumberFormat="1" applyFont="1" applyAlignment="1">
      <alignment horizontal="center"/>
    </xf>
    <xf numFmtId="2" fontId="51" fillId="0" borderId="9" xfId="10" applyNumberFormat="1" applyFont="1" applyFill="1" applyBorder="1" applyAlignment="1">
      <alignment horizontal="center"/>
    </xf>
    <xf numFmtId="5" fontId="51" fillId="50" borderId="9" xfId="10" applyNumberFormat="1" applyFont="1" applyFill="1" applyBorder="1" applyAlignment="1">
      <alignment horizontal="center"/>
    </xf>
    <xf numFmtId="7" fontId="118" fillId="0" borderId="9" xfId="0" applyNumberFormat="1" applyFont="1" applyBorder="1"/>
    <xf numFmtId="44" fontId="51" fillId="0" borderId="17" xfId="2" applyFont="1" applyFill="1" applyBorder="1"/>
    <xf numFmtId="1" fontId="51" fillId="0" borderId="9" xfId="5" applyNumberFormat="1" applyFont="1" applyBorder="1" applyAlignment="1">
      <alignment horizontal="center" vertical="center"/>
    </xf>
    <xf numFmtId="1" fontId="51" fillId="50" borderId="9" xfId="5" applyNumberFormat="1" applyFont="1" applyFill="1" applyBorder="1" applyAlignment="1">
      <alignment horizontal="center" vertical="center"/>
    </xf>
    <xf numFmtId="165" fontId="65" fillId="0" borderId="9" xfId="5" applyNumberFormat="1" applyFont="1" applyBorder="1" applyAlignment="1">
      <alignment horizontal="center"/>
    </xf>
    <xf numFmtId="7" fontId="65" fillId="0" borderId="9" xfId="10" applyNumberFormat="1" applyFont="1" applyBorder="1" applyAlignment="1">
      <alignment horizontal="center"/>
    </xf>
    <xf numFmtId="168" fontId="65" fillId="4" borderId="9" xfId="1" applyNumberFormat="1" applyFont="1" applyFill="1" applyBorder="1" applyAlignment="1">
      <alignment horizontal="left" vertical="center" wrapText="1" indent="3"/>
    </xf>
    <xf numFmtId="194" fontId="51" fillId="4" borderId="9" xfId="1" applyNumberFormat="1" applyFont="1" applyFill="1" applyBorder="1" applyAlignment="1">
      <alignment horizontal="left" vertical="center" wrapText="1" indent="3"/>
    </xf>
    <xf numFmtId="37" fontId="51" fillId="0" borderId="9" xfId="0" applyNumberFormat="1" applyFont="1" applyBorder="1"/>
    <xf numFmtId="7" fontId="65" fillId="0" borderId="9" xfId="0" applyNumberFormat="1" applyFont="1" applyBorder="1"/>
    <xf numFmtId="44" fontId="51" fillId="0" borderId="28" xfId="2" applyFont="1" applyBorder="1"/>
    <xf numFmtId="203" fontId="65" fillId="0" borderId="26" xfId="2" applyNumberFormat="1" applyFont="1" applyBorder="1"/>
    <xf numFmtId="168" fontId="51" fillId="8" borderId="9" xfId="5" applyNumberFormat="1" applyFont="1" applyFill="1" applyBorder="1" applyAlignment="1">
      <alignment horizontal="center" vertical="center"/>
    </xf>
    <xf numFmtId="1" fontId="51" fillId="8" borderId="9" xfId="11" applyNumberFormat="1" applyFont="1" applyFill="1" applyBorder="1" applyAlignment="1">
      <alignment horizontal="center" vertical="center"/>
    </xf>
    <xf numFmtId="2" fontId="51" fillId="50" borderId="9" xfId="11" applyNumberFormat="1" applyFont="1" applyFill="1" applyBorder="1" applyAlignment="1">
      <alignment horizontal="center" vertical="center"/>
    </xf>
    <xf numFmtId="9" fontId="51" fillId="50" borderId="9" xfId="11" applyFont="1" applyFill="1" applyBorder="1" applyAlignment="1">
      <alignment horizontal="center" vertical="center"/>
    </xf>
    <xf numFmtId="1" fontId="65" fillId="0" borderId="9" xfId="11" applyNumberFormat="1" applyFont="1" applyBorder="1" applyAlignment="1">
      <alignment horizontal="center" vertical="center"/>
    </xf>
    <xf numFmtId="175" fontId="51" fillId="50" borderId="9" xfId="9" applyNumberFormat="1" applyFont="1" applyFill="1" applyBorder="1" applyAlignment="1">
      <alignment horizontal="center"/>
    </xf>
    <xf numFmtId="176" fontId="51" fillId="0" borderId="9" xfId="9" applyNumberFormat="1" applyFont="1" applyBorder="1" applyAlignment="1">
      <alignment horizontal="center"/>
    </xf>
    <xf numFmtId="176" fontId="51" fillId="50" borderId="9" xfId="9" applyNumberFormat="1" applyFont="1" applyFill="1" applyBorder="1" applyAlignment="1">
      <alignment horizontal="center"/>
    </xf>
    <xf numFmtId="9" fontId="65" fillId="0" borderId="9" xfId="11" applyFont="1" applyBorder="1" applyAlignment="1">
      <alignment horizontal="center" vertical="center"/>
    </xf>
    <xf numFmtId="1" fontId="51" fillId="50" borderId="9" xfId="11" applyNumberFormat="1" applyFont="1" applyFill="1" applyBorder="1" applyAlignment="1">
      <alignment horizontal="center" vertical="center"/>
    </xf>
    <xf numFmtId="165" fontId="65" fillId="50" borderId="9" xfId="11" applyNumberFormat="1" applyFont="1" applyFill="1" applyBorder="1" applyAlignment="1">
      <alignment horizontal="center" vertical="center"/>
    </xf>
    <xf numFmtId="1" fontId="51" fillId="0" borderId="9" xfId="6" applyNumberFormat="1" applyFont="1" applyBorder="1" applyAlignment="1">
      <alignment horizontal="center" vertical="center" wrapText="1"/>
    </xf>
    <xf numFmtId="37" fontId="118" fillId="0" borderId="9" xfId="5" applyNumberFormat="1" applyFont="1" applyBorder="1" applyAlignment="1">
      <alignment horizontal="center"/>
    </xf>
    <xf numFmtId="176" fontId="65" fillId="50" borderId="9" xfId="9" applyNumberFormat="1" applyFont="1" applyFill="1" applyBorder="1" applyAlignment="1">
      <alignment horizontal="center"/>
    </xf>
    <xf numFmtId="39" fontId="51" fillId="0" borderId="9" xfId="0" applyNumberFormat="1" applyFont="1" applyBorder="1"/>
    <xf numFmtId="39" fontId="118" fillId="0" borderId="9" xfId="5" applyNumberFormat="1" applyFont="1" applyBorder="1" applyAlignment="1">
      <alignment horizontal="center"/>
    </xf>
    <xf numFmtId="165" fontId="65" fillId="19" borderId="9" xfId="0" applyNumberFormat="1" applyFont="1" applyFill="1" applyBorder="1" applyAlignment="1">
      <alignment horizontal="center"/>
    </xf>
    <xf numFmtId="171" fontId="118" fillId="0" borderId="9" xfId="5" applyNumberFormat="1" applyFont="1" applyBorder="1" applyAlignment="1">
      <alignment horizontal="center"/>
    </xf>
    <xf numFmtId="44" fontId="65" fillId="0" borderId="17" xfId="2" applyFont="1" applyFill="1" applyBorder="1"/>
    <xf numFmtId="0" fontId="136" fillId="11" borderId="19" xfId="5" applyFont="1" applyFill="1" applyBorder="1" applyAlignment="1">
      <alignment horizontal="center" vertical="center" wrapText="1"/>
    </xf>
    <xf numFmtId="168" fontId="51" fillId="50" borderId="9" xfId="5" applyNumberFormat="1" applyFont="1" applyFill="1" applyBorder="1" applyAlignment="1">
      <alignment horizontal="center" vertical="center"/>
    </xf>
    <xf numFmtId="2" fontId="51" fillId="0" borderId="9" xfId="11" applyNumberFormat="1" applyFont="1" applyFill="1" applyBorder="1" applyAlignment="1">
      <alignment horizontal="center" vertical="center"/>
    </xf>
    <xf numFmtId="0" fontId="65" fillId="11" borderId="9" xfId="6" applyFont="1" applyFill="1" applyBorder="1" applyAlignment="1">
      <alignment horizontal="center" vertical="center" wrapText="1"/>
    </xf>
    <xf numFmtId="0" fontId="65" fillId="11" borderId="9" xfId="5" applyFont="1" applyFill="1" applyBorder="1" applyAlignment="1">
      <alignment horizontal="center" vertical="center" wrapText="1"/>
    </xf>
    <xf numFmtId="166" fontId="65" fillId="11" borderId="9" xfId="5" applyNumberFormat="1" applyFont="1" applyFill="1" applyBorder="1" applyAlignment="1">
      <alignment horizontal="center" vertical="center" wrapText="1"/>
    </xf>
    <xf numFmtId="37" fontId="114" fillId="0" borderId="9" xfId="5" applyNumberFormat="1" applyFont="1" applyBorder="1" applyAlignment="1">
      <alignment wrapText="1"/>
    </xf>
    <xf numFmtId="1" fontId="65" fillId="0" borderId="9" xfId="6" applyNumberFormat="1" applyFont="1" applyBorder="1" applyAlignment="1">
      <alignment horizontal="center" vertical="center" wrapText="1"/>
    </xf>
    <xf numFmtId="44" fontId="65" fillId="0" borderId="17" xfId="2" applyFont="1" applyBorder="1"/>
    <xf numFmtId="202" fontId="65" fillId="0" borderId="18" xfId="2" applyNumberFormat="1" applyFont="1" applyBorder="1"/>
    <xf numFmtId="0" fontId="65" fillId="0" borderId="0" xfId="5" applyFont="1" applyAlignment="1">
      <alignment horizontal="center"/>
    </xf>
    <xf numFmtId="168" fontId="65" fillId="0" borderId="0" xfId="5" applyNumberFormat="1" applyFont="1"/>
    <xf numFmtId="39" fontId="65" fillId="0" borderId="0" xfId="5" applyNumberFormat="1" applyFont="1" applyAlignment="1">
      <alignment horizontal="center"/>
    </xf>
    <xf numFmtId="168" fontId="65" fillId="0" borderId="0" xfId="5" applyNumberFormat="1" applyFont="1" applyAlignment="1">
      <alignment horizontal="center"/>
    </xf>
    <xf numFmtId="166" fontId="65" fillId="0" borderId="0" xfId="5" applyNumberFormat="1" applyFont="1" applyAlignment="1">
      <alignment horizontal="center"/>
    </xf>
    <xf numFmtId="165" fontId="65" fillId="0" borderId="0" xfId="5" applyNumberFormat="1" applyFont="1" applyAlignment="1">
      <alignment horizontal="center"/>
    </xf>
    <xf numFmtId="1" fontId="65" fillId="0" borderId="0" xfId="6" applyNumberFormat="1" applyFont="1" applyAlignment="1">
      <alignment horizontal="center" vertical="center" wrapText="1"/>
    </xf>
    <xf numFmtId="0" fontId="114" fillId="0" borderId="0" xfId="5" applyFont="1" applyAlignment="1">
      <alignment horizontal="center" vertical="center" wrapText="1"/>
    </xf>
    <xf numFmtId="2" fontId="114" fillId="0" borderId="0" xfId="5" applyNumberFormat="1" applyFont="1" applyAlignment="1">
      <alignment horizontal="center"/>
    </xf>
    <xf numFmtId="0" fontId="142" fillId="0" borderId="0" xfId="5" applyFont="1"/>
    <xf numFmtId="0" fontId="65" fillId="11" borderId="19" xfId="5" applyFont="1" applyFill="1" applyBorder="1" applyAlignment="1">
      <alignment horizontal="center" vertical="center" wrapText="1"/>
    </xf>
    <xf numFmtId="0" fontId="130" fillId="11" borderId="19" xfId="5" applyFont="1" applyFill="1" applyBorder="1" applyAlignment="1">
      <alignment horizontal="center" vertical="center" wrapText="1"/>
    </xf>
    <xf numFmtId="168" fontId="65" fillId="4" borderId="9" xfId="5" applyNumberFormat="1" applyFont="1" applyFill="1" applyBorder="1" applyAlignment="1">
      <alignment horizontal="left" vertical="center"/>
    </xf>
    <xf numFmtId="168" fontId="65" fillId="0" borderId="9" xfId="5" applyNumberFormat="1" applyFont="1" applyBorder="1" applyAlignment="1">
      <alignment horizontal="center" vertical="center"/>
    </xf>
    <xf numFmtId="175" fontId="65" fillId="50" borderId="9" xfId="9" applyNumberFormat="1" applyFont="1" applyFill="1" applyBorder="1" applyAlignment="1">
      <alignment horizontal="center"/>
    </xf>
    <xf numFmtId="44" fontId="122" fillId="0" borderId="0" xfId="2" applyFont="1"/>
    <xf numFmtId="173" fontId="122" fillId="0" borderId="0" xfId="2" applyNumberFormat="1" applyFont="1"/>
    <xf numFmtId="173" fontId="122" fillId="0" borderId="0" xfId="2" applyNumberFormat="1" applyFont="1" applyFill="1" applyBorder="1"/>
    <xf numFmtId="37" fontId="51" fillId="0" borderId="0" xfId="5" applyNumberFormat="1" applyFont="1"/>
    <xf numFmtId="1" fontId="128" fillId="0" borderId="0" xfId="5" applyNumberFormat="1" applyFont="1"/>
    <xf numFmtId="1" fontId="138" fillId="0" borderId="0" xfId="5" applyNumberFormat="1" applyFont="1"/>
    <xf numFmtId="1" fontId="51" fillId="11" borderId="19" xfId="5" applyNumberFormat="1" applyFont="1" applyFill="1" applyBorder="1" applyAlignment="1">
      <alignment horizontal="center" vertical="center" wrapText="1"/>
    </xf>
    <xf numFmtId="165" fontId="65" fillId="50" borderId="9" xfId="5" applyNumberFormat="1" applyFont="1" applyFill="1" applyBorder="1" applyAlignment="1">
      <alignment horizontal="center" vertical="center"/>
    </xf>
    <xf numFmtId="2" fontId="65" fillId="0" borderId="9" xfId="5" applyNumberFormat="1" applyFont="1" applyBorder="1" applyAlignment="1">
      <alignment horizontal="center" vertical="center"/>
    </xf>
    <xf numFmtId="2" fontId="65" fillId="50" borderId="9" xfId="1" applyNumberFormat="1" applyFont="1" applyFill="1" applyBorder="1" applyAlignment="1">
      <alignment horizontal="center" vertical="center"/>
    </xf>
    <xf numFmtId="172" fontId="51" fillId="0" borderId="9" xfId="3" applyNumberFormat="1" applyFont="1" applyFill="1" applyBorder="1" applyAlignment="1">
      <alignment horizontal="center" vertical="center"/>
    </xf>
    <xf numFmtId="165" fontId="51" fillId="0" borderId="9" xfId="0" applyNumberFormat="1" applyFont="1" applyBorder="1"/>
    <xf numFmtId="165" fontId="65" fillId="0" borderId="9" xfId="0" applyNumberFormat="1" applyFont="1" applyBorder="1"/>
    <xf numFmtId="43" fontId="118" fillId="0" borderId="9" xfId="1" applyFont="1" applyBorder="1" applyAlignment="1">
      <alignment horizontal="center" vertical="center" wrapText="1"/>
    </xf>
    <xf numFmtId="165" fontId="51" fillId="50" borderId="9" xfId="5" applyNumberFormat="1" applyFont="1" applyFill="1" applyBorder="1" applyAlignment="1">
      <alignment horizontal="center" vertical="center"/>
    </xf>
    <xf numFmtId="2" fontId="65" fillId="0" borderId="9" xfId="1" applyNumberFormat="1" applyFont="1" applyFill="1" applyBorder="1" applyAlignment="1">
      <alignment horizontal="center" vertical="center"/>
    </xf>
    <xf numFmtId="168" fontId="65" fillId="0" borderId="9" xfId="1" applyNumberFormat="1" applyFont="1" applyBorder="1" applyAlignment="1">
      <alignment horizontal="center" vertical="center"/>
    </xf>
    <xf numFmtId="1" fontId="122" fillId="0" borderId="0" xfId="5" applyNumberFormat="1" applyFont="1" applyAlignment="1">
      <alignment wrapText="1"/>
    </xf>
    <xf numFmtId="1" fontId="122" fillId="0" borderId="0" xfId="5" applyNumberFormat="1" applyFont="1" applyAlignment="1">
      <alignment horizontal="center"/>
    </xf>
    <xf numFmtId="0" fontId="51" fillId="0" borderId="9" xfId="5" applyFont="1" applyBorder="1" applyAlignment="1">
      <alignment horizontal="center"/>
    </xf>
    <xf numFmtId="37" fontId="128" fillId="0" borderId="0" xfId="5" applyNumberFormat="1" applyFont="1"/>
    <xf numFmtId="165" fontId="51" fillId="0" borderId="9" xfId="5" applyNumberFormat="1" applyFont="1" applyBorder="1" applyAlignment="1">
      <alignment horizontal="center" vertical="center"/>
    </xf>
    <xf numFmtId="181" fontId="65" fillId="0" borderId="9" xfId="1" applyNumberFormat="1" applyFont="1" applyFill="1" applyBorder="1" applyAlignment="1">
      <alignment horizontal="center" vertical="center"/>
    </xf>
    <xf numFmtId="3" fontId="51" fillId="50" borderId="9" xfId="1" applyNumberFormat="1" applyFont="1" applyFill="1" applyBorder="1" applyAlignment="1">
      <alignment horizontal="center" vertical="center"/>
    </xf>
    <xf numFmtId="4" fontId="65" fillId="50" borderId="9" xfId="1" applyNumberFormat="1" applyFont="1" applyFill="1" applyBorder="1" applyAlignment="1">
      <alignment horizontal="center" vertical="center"/>
    </xf>
    <xf numFmtId="168" fontId="51" fillId="0" borderId="9" xfId="1" applyNumberFormat="1" applyFont="1" applyBorder="1"/>
    <xf numFmtId="168" fontId="118" fillId="0" borderId="9" xfId="1" applyNumberFormat="1" applyFont="1" applyBorder="1" applyAlignment="1">
      <alignment horizontal="center"/>
    </xf>
    <xf numFmtId="43" fontId="118" fillId="0" borderId="9" xfId="1" applyFont="1" applyBorder="1" applyAlignment="1">
      <alignment horizontal="center"/>
    </xf>
    <xf numFmtId="168" fontId="51" fillId="0" borderId="0" xfId="1" applyNumberFormat="1" applyFont="1"/>
    <xf numFmtId="0" fontId="51" fillId="11" borderId="20" xfId="5" applyFont="1" applyFill="1" applyBorder="1" applyAlignment="1">
      <alignment horizontal="center" vertical="center" wrapText="1"/>
    </xf>
    <xf numFmtId="165" fontId="51" fillId="4" borderId="9" xfId="11" applyNumberFormat="1" applyFont="1" applyFill="1" applyBorder="1" applyAlignment="1">
      <alignment horizontal="center" vertical="center"/>
    </xf>
    <xf numFmtId="9" fontId="51" fillId="50" borderId="9" xfId="3" applyFont="1" applyFill="1" applyBorder="1" applyAlignment="1">
      <alignment horizontal="center" vertical="center"/>
    </xf>
    <xf numFmtId="9" fontId="65" fillId="50" borderId="9" xfId="3" applyFont="1" applyFill="1" applyBorder="1" applyAlignment="1">
      <alignment horizontal="center" vertical="center"/>
    </xf>
    <xf numFmtId="165" fontId="51" fillId="0" borderId="9" xfId="3" applyNumberFormat="1" applyFont="1" applyFill="1" applyBorder="1" applyAlignment="1">
      <alignment horizontal="center" vertical="center"/>
    </xf>
    <xf numFmtId="1" fontId="65" fillId="0" borderId="9" xfId="3" applyNumberFormat="1" applyFont="1" applyFill="1" applyBorder="1" applyAlignment="1">
      <alignment horizontal="center" vertical="center"/>
    </xf>
    <xf numFmtId="43" fontId="122" fillId="0" borderId="0" xfId="5" applyNumberFormat="1" applyFont="1"/>
    <xf numFmtId="168" fontId="118" fillId="0" borderId="9" xfId="1" applyNumberFormat="1" applyFont="1" applyBorder="1" applyAlignment="1">
      <alignment vertical="center" wrapText="1"/>
    </xf>
    <xf numFmtId="165" fontId="65" fillId="0" borderId="9" xfId="3" applyNumberFormat="1" applyFont="1" applyFill="1" applyBorder="1" applyAlignment="1">
      <alignment horizontal="center" vertical="center"/>
    </xf>
    <xf numFmtId="168" fontId="65" fillId="50" borderId="9" xfId="5" applyNumberFormat="1" applyFont="1" applyFill="1" applyBorder="1" applyAlignment="1">
      <alignment horizontal="center" vertical="center"/>
    </xf>
    <xf numFmtId="165" fontId="65" fillId="4" borderId="9" xfId="11" applyNumberFormat="1" applyFont="1" applyFill="1" applyBorder="1" applyAlignment="1">
      <alignment horizontal="center" vertical="center"/>
    </xf>
    <xf numFmtId="168" fontId="65" fillId="0" borderId="9" xfId="1" applyNumberFormat="1" applyFont="1" applyBorder="1" applyAlignment="1">
      <alignment vertical="center" wrapText="1"/>
    </xf>
    <xf numFmtId="168" fontId="51" fillId="4" borderId="0" xfId="5" applyNumberFormat="1" applyFont="1" applyFill="1" applyAlignment="1">
      <alignment horizontal="center" vertical="center"/>
    </xf>
    <xf numFmtId="165" fontId="51" fillId="4" borderId="0" xfId="11" applyNumberFormat="1" applyFont="1" applyFill="1" applyBorder="1" applyAlignment="1">
      <alignment horizontal="center" vertical="center"/>
    </xf>
    <xf numFmtId="9" fontId="51" fillId="4" borderId="0" xfId="3" applyFont="1" applyFill="1" applyBorder="1" applyAlignment="1">
      <alignment horizontal="center" vertical="center"/>
    </xf>
    <xf numFmtId="165" fontId="51" fillId="4" borderId="0" xfId="3" applyNumberFormat="1" applyFont="1" applyFill="1" applyBorder="1" applyAlignment="1">
      <alignment horizontal="center" vertical="center"/>
    </xf>
    <xf numFmtId="9" fontId="51" fillId="4" borderId="0" xfId="3" applyFont="1" applyFill="1" applyBorder="1" applyAlignment="1">
      <alignment horizontal="center"/>
    </xf>
    <xf numFmtId="175" fontId="51" fillId="4" borderId="0" xfId="9" applyNumberFormat="1" applyFont="1" applyFill="1" applyBorder="1" applyAlignment="1">
      <alignment horizontal="center"/>
    </xf>
    <xf numFmtId="1" fontId="51" fillId="4" borderId="0" xfId="11" applyNumberFormat="1" applyFont="1" applyFill="1" applyBorder="1" applyAlignment="1">
      <alignment horizontal="center" vertical="center"/>
    </xf>
    <xf numFmtId="175" fontId="51" fillId="4" borderId="0" xfId="9" applyNumberFormat="1" applyFont="1" applyFill="1" applyBorder="1" applyAlignment="1">
      <alignment horizontal="center" vertical="center"/>
    </xf>
    <xf numFmtId="2" fontId="51" fillId="4" borderId="0" xfId="11" applyNumberFormat="1" applyFont="1" applyFill="1" applyBorder="1" applyAlignment="1">
      <alignment horizontal="center" vertical="center"/>
    </xf>
    <xf numFmtId="175" fontId="65" fillId="8" borderId="9" xfId="9" applyNumberFormat="1" applyFont="1" applyFill="1" applyBorder="1" applyAlignment="1">
      <alignment horizontal="center" vertical="center"/>
    </xf>
    <xf numFmtId="1" fontId="65" fillId="8" borderId="9" xfId="11" applyNumberFormat="1" applyFont="1" applyFill="1" applyBorder="1" applyAlignment="1">
      <alignment horizontal="center" vertical="center"/>
    </xf>
    <xf numFmtId="165" fontId="122" fillId="0" borderId="0" xfId="5" applyNumberFormat="1" applyFont="1"/>
    <xf numFmtId="2" fontId="122" fillId="0" borderId="0" xfId="5" applyNumberFormat="1" applyFont="1"/>
    <xf numFmtId="0" fontId="122" fillId="4" borderId="0" xfId="6" applyFont="1" applyFill="1"/>
    <xf numFmtId="39" fontId="51" fillId="0" borderId="0" xfId="5" applyNumberFormat="1" applyFont="1"/>
    <xf numFmtId="2" fontId="51" fillId="50" borderId="9" xfId="5" applyNumberFormat="1" applyFont="1" applyFill="1" applyBorder="1" applyAlignment="1">
      <alignment horizontal="center" vertical="center"/>
    </xf>
    <xf numFmtId="1" fontId="65" fillId="0" borderId="9" xfId="11" applyNumberFormat="1" applyFont="1" applyFill="1" applyBorder="1" applyAlignment="1">
      <alignment horizontal="center" vertical="center"/>
    </xf>
    <xf numFmtId="1" fontId="65" fillId="50" borderId="9" xfId="3" applyNumberFormat="1" applyFont="1" applyFill="1" applyBorder="1" applyAlignment="1">
      <alignment horizontal="center" vertical="center"/>
    </xf>
    <xf numFmtId="1" fontId="51" fillId="50" borderId="9" xfId="3" applyNumberFormat="1" applyFont="1" applyFill="1" applyBorder="1" applyAlignment="1">
      <alignment horizontal="center" vertical="center"/>
    </xf>
    <xf numFmtId="1" fontId="51" fillId="0" borderId="9" xfId="3" applyNumberFormat="1" applyFont="1" applyFill="1" applyBorder="1" applyAlignment="1">
      <alignment horizontal="center" vertical="center"/>
    </xf>
    <xf numFmtId="172" fontId="51" fillId="0" borderId="9" xfId="3" applyNumberFormat="1" applyFont="1" applyBorder="1"/>
    <xf numFmtId="172" fontId="65" fillId="0" borderId="9" xfId="3" applyNumberFormat="1" applyFont="1" applyBorder="1"/>
    <xf numFmtId="1" fontId="51" fillId="0" borderId="9" xfId="11" applyNumberFormat="1" applyFont="1" applyFill="1" applyBorder="1" applyAlignment="1">
      <alignment horizontal="center" vertical="center"/>
    </xf>
    <xf numFmtId="44" fontId="51" fillId="0" borderId="27" xfId="2" applyFont="1" applyBorder="1"/>
    <xf numFmtId="2" fontId="65" fillId="50" borderId="9" xfId="5" applyNumberFormat="1" applyFont="1" applyFill="1" applyBorder="1" applyAlignment="1">
      <alignment horizontal="center" vertical="center"/>
    </xf>
    <xf numFmtId="43" fontId="65" fillId="0" borderId="9" xfId="1" applyFont="1" applyBorder="1" applyAlignment="1">
      <alignment horizontal="center" vertical="center" wrapText="1"/>
    </xf>
    <xf numFmtId="1" fontId="51" fillId="50" borderId="9" xfId="3" applyNumberFormat="1" applyFont="1" applyFill="1" applyBorder="1" applyAlignment="1">
      <alignment horizontal="center"/>
    </xf>
    <xf numFmtId="169" fontId="51" fillId="0" borderId="16" xfId="5" applyNumberFormat="1" applyFont="1" applyBorder="1" applyAlignment="1">
      <alignment horizontal="center"/>
    </xf>
    <xf numFmtId="171" fontId="65" fillId="4" borderId="9" xfId="5" applyNumberFormat="1" applyFont="1" applyFill="1" applyBorder="1" applyAlignment="1">
      <alignment horizontal="center" vertical="center" wrapText="1"/>
    </xf>
    <xf numFmtId="37" fontId="51" fillId="0" borderId="9" xfId="5" applyNumberFormat="1" applyFont="1" applyBorder="1" applyAlignment="1">
      <alignment horizontal="center"/>
    </xf>
    <xf numFmtId="7" fontId="51" fillId="50" borderId="9" xfId="10" applyNumberFormat="1" applyFont="1" applyFill="1" applyBorder="1" applyAlignment="1">
      <alignment horizontal="center"/>
    </xf>
    <xf numFmtId="0" fontId="144" fillId="0" borderId="0" xfId="5" applyFont="1" applyAlignment="1">
      <alignment wrapText="1"/>
    </xf>
    <xf numFmtId="2" fontId="65" fillId="8" borderId="9" xfId="5" applyNumberFormat="1" applyFont="1" applyFill="1" applyBorder="1" applyAlignment="1">
      <alignment horizontal="center" vertical="center"/>
    </xf>
    <xf numFmtId="2" fontId="65" fillId="50" borderId="9" xfId="3" applyNumberFormat="1" applyFont="1" applyFill="1" applyBorder="1" applyAlignment="1">
      <alignment horizontal="center" vertical="center"/>
    </xf>
    <xf numFmtId="2" fontId="51" fillId="50" borderId="9" xfId="3" applyNumberFormat="1" applyFont="1" applyFill="1" applyBorder="1" applyAlignment="1">
      <alignment horizontal="center" vertical="center"/>
    </xf>
    <xf numFmtId="10" fontId="51" fillId="0" borderId="9" xfId="5" applyNumberFormat="1" applyFont="1" applyBorder="1" applyAlignment="1">
      <alignment horizontal="center" vertical="center"/>
    </xf>
    <xf numFmtId="2" fontId="51" fillId="8" borderId="9" xfId="3" applyNumberFormat="1" applyFont="1" applyFill="1" applyBorder="1" applyAlignment="1">
      <alignment horizontal="center" vertical="center"/>
    </xf>
    <xf numFmtId="7" fontId="65" fillId="50" borderId="9" xfId="10" applyNumberFormat="1" applyFont="1" applyFill="1" applyBorder="1" applyAlignment="1">
      <alignment horizontal="center"/>
    </xf>
    <xf numFmtId="171" fontId="65" fillId="4" borderId="9" xfId="5" applyNumberFormat="1" applyFont="1" applyFill="1" applyBorder="1"/>
    <xf numFmtId="180" fontId="51" fillId="0" borderId="9" xfId="3" applyNumberFormat="1" applyFont="1" applyFill="1" applyBorder="1" applyAlignment="1">
      <alignment horizontal="center" vertical="center"/>
    </xf>
    <xf numFmtId="178" fontId="51" fillId="0" borderId="16" xfId="5" applyNumberFormat="1" applyFont="1" applyBorder="1" applyAlignment="1">
      <alignment horizontal="center"/>
    </xf>
    <xf numFmtId="180" fontId="51" fillId="0" borderId="16" xfId="5" applyNumberFormat="1" applyFont="1" applyBorder="1" applyAlignment="1">
      <alignment horizontal="center"/>
    </xf>
    <xf numFmtId="165" fontId="118" fillId="0" borderId="19" xfId="6" applyNumberFormat="1" applyFont="1" applyBorder="1" applyAlignment="1">
      <alignment horizontal="center"/>
    </xf>
    <xf numFmtId="165" fontId="51" fillId="50" borderId="9" xfId="3" applyNumberFormat="1" applyFont="1" applyFill="1" applyBorder="1" applyAlignment="1">
      <alignment horizontal="center" vertical="center"/>
    </xf>
    <xf numFmtId="165" fontId="51" fillId="0" borderId="9" xfId="3" applyNumberFormat="1" applyFont="1" applyFill="1" applyBorder="1" applyAlignment="1">
      <alignment horizontal="center"/>
    </xf>
    <xf numFmtId="165" fontId="51" fillId="50" borderId="9" xfId="3" applyNumberFormat="1" applyFont="1" applyFill="1" applyBorder="1" applyAlignment="1">
      <alignment horizontal="center"/>
    </xf>
    <xf numFmtId="2" fontId="51" fillId="8" borderId="9" xfId="5" applyNumberFormat="1" applyFont="1" applyFill="1" applyBorder="1" applyAlignment="1">
      <alignment horizontal="center" vertical="center"/>
    </xf>
    <xf numFmtId="178" fontId="51" fillId="8" borderId="9" xfId="11" applyNumberFormat="1" applyFont="1" applyFill="1" applyBorder="1" applyAlignment="1">
      <alignment horizontal="center" vertical="center"/>
    </xf>
    <xf numFmtId="44" fontId="51" fillId="0" borderId="17" xfId="2" applyFont="1" applyBorder="1"/>
    <xf numFmtId="43" fontId="67" fillId="0" borderId="9" xfId="1" applyFont="1" applyBorder="1"/>
    <xf numFmtId="200" fontId="67" fillId="0" borderId="9" xfId="0" applyNumberFormat="1" applyFont="1" applyBorder="1"/>
    <xf numFmtId="200" fontId="65" fillId="0" borderId="9" xfId="0" applyNumberFormat="1" applyFont="1" applyBorder="1"/>
    <xf numFmtId="200" fontId="65" fillId="26" borderId="9" xfId="0" applyNumberFormat="1" applyFont="1" applyFill="1" applyBorder="1"/>
    <xf numFmtId="171" fontId="65" fillId="0" borderId="9" xfId="2" applyNumberFormat="1" applyFont="1" applyBorder="1" applyAlignment="1">
      <alignment horizontal="center"/>
    </xf>
    <xf numFmtId="171" fontId="65" fillId="27" borderId="9" xfId="2" applyNumberFormat="1" applyFont="1" applyFill="1" applyBorder="1" applyAlignment="1">
      <alignment horizontal="center"/>
    </xf>
    <xf numFmtId="44" fontId="65" fillId="0" borderId="9" xfId="2" applyFont="1" applyBorder="1"/>
    <xf numFmtId="43" fontId="65" fillId="20" borderId="9" xfId="0" applyNumberFormat="1" applyFont="1" applyFill="1" applyBorder="1"/>
    <xf numFmtId="43" fontId="65" fillId="0" borderId="0" xfId="1" applyFont="1"/>
    <xf numFmtId="0" fontId="65" fillId="0" borderId="8" xfId="0" applyFont="1" applyBorder="1"/>
    <xf numFmtId="0" fontId="65" fillId="0" borderId="16" xfId="0" applyFont="1" applyBorder="1"/>
    <xf numFmtId="43" fontId="65" fillId="31" borderId="9" xfId="0" applyNumberFormat="1" applyFont="1" applyFill="1" applyBorder="1"/>
    <xf numFmtId="43" fontId="65" fillId="13" borderId="9" xfId="0" applyNumberFormat="1" applyFont="1" applyFill="1" applyBorder="1"/>
    <xf numFmtId="0" fontId="65" fillId="45" borderId="0" xfId="0" applyFont="1" applyFill="1"/>
    <xf numFmtId="209" fontId="65" fillId="0" borderId="9" xfId="0" applyNumberFormat="1" applyFont="1" applyBorder="1"/>
    <xf numFmtId="209" fontId="65" fillId="0" borderId="10" xfId="0" applyNumberFormat="1" applyFont="1" applyBorder="1"/>
    <xf numFmtId="43" fontId="65" fillId="0" borderId="9" xfId="0" applyNumberFormat="1" applyFont="1" applyBorder="1"/>
    <xf numFmtId="43" fontId="65" fillId="0" borderId="10" xfId="0" applyNumberFormat="1" applyFont="1" applyBorder="1"/>
    <xf numFmtId="209" fontId="65" fillId="0" borderId="18" xfId="0" applyNumberFormat="1" applyFont="1" applyBorder="1"/>
    <xf numFmtId="43" fontId="65" fillId="32" borderId="9" xfId="0" applyNumberFormat="1" applyFont="1" applyFill="1" applyBorder="1"/>
    <xf numFmtId="0" fontId="65" fillId="20" borderId="9" xfId="0" applyFont="1" applyFill="1" applyBorder="1"/>
    <xf numFmtId="200" fontId="51" fillId="26" borderId="9" xfId="0" applyNumberFormat="1" applyFont="1" applyFill="1" applyBorder="1"/>
    <xf numFmtId="0" fontId="51" fillId="0" borderId="8" xfId="0" applyFont="1" applyBorder="1"/>
    <xf numFmtId="0" fontId="118" fillId="45" borderId="0" xfId="0" applyFont="1" applyFill="1"/>
    <xf numFmtId="171" fontId="65" fillId="29" borderId="9" xfId="2" applyNumberFormat="1" applyFont="1" applyFill="1" applyBorder="1" applyAlignment="1">
      <alignment horizontal="center"/>
    </xf>
    <xf numFmtId="44" fontId="65" fillId="0" borderId="9" xfId="2" applyFont="1" applyBorder="1" applyAlignment="1">
      <alignment horizontal="center"/>
    </xf>
    <xf numFmtId="0" fontId="65" fillId="5" borderId="0" xfId="0" applyFont="1" applyFill="1" applyAlignment="1">
      <alignment horizontal="center"/>
    </xf>
    <xf numFmtId="0" fontId="65" fillId="5" borderId="49" xfId="0" applyFont="1" applyFill="1" applyBorder="1" applyAlignment="1">
      <alignment horizontal="center"/>
    </xf>
    <xf numFmtId="0" fontId="65" fillId="18" borderId="9" xfId="0" applyFont="1" applyFill="1" applyBorder="1"/>
    <xf numFmtId="7" fontId="65" fillId="18" borderId="9" xfId="0" applyNumberFormat="1" applyFont="1" applyFill="1" applyBorder="1"/>
    <xf numFmtId="44" fontId="67" fillId="0" borderId="9" xfId="2" applyFont="1" applyBorder="1"/>
    <xf numFmtId="43" fontId="65" fillId="25" borderId="9" xfId="1" applyFont="1" applyFill="1" applyBorder="1"/>
    <xf numFmtId="7" fontId="65" fillId="4" borderId="9" xfId="0" applyNumberFormat="1" applyFont="1" applyFill="1" applyBorder="1"/>
    <xf numFmtId="7" fontId="65" fillId="0" borderId="0" xfId="1" applyNumberFormat="1" applyFont="1"/>
    <xf numFmtId="9" fontId="65" fillId="0" borderId="9" xfId="0" applyNumberFormat="1" applyFont="1" applyBorder="1"/>
    <xf numFmtId="43" fontId="67" fillId="4" borderId="9" xfId="1" applyFont="1" applyFill="1" applyBorder="1"/>
    <xf numFmtId="43" fontId="65" fillId="4" borderId="9" xfId="1" applyFont="1" applyFill="1" applyBorder="1"/>
    <xf numFmtId="200" fontId="67" fillId="4" borderId="9" xfId="0" applyNumberFormat="1" applyFont="1" applyFill="1" applyBorder="1"/>
    <xf numFmtId="171" fontId="65" fillId="0" borderId="9" xfId="0" applyNumberFormat="1" applyFont="1" applyBorder="1" applyAlignment="1">
      <alignment horizontal="center"/>
    </xf>
    <xf numFmtId="43" fontId="65" fillId="8" borderId="9" xfId="0" applyNumberFormat="1" applyFont="1" applyFill="1" applyBorder="1"/>
    <xf numFmtId="43" fontId="65" fillId="39" borderId="9" xfId="1" applyFont="1" applyFill="1" applyBorder="1"/>
    <xf numFmtId="43" fontId="65" fillId="12" borderId="9" xfId="0" applyNumberFormat="1" applyFont="1" applyFill="1" applyBorder="1"/>
    <xf numFmtId="43" fontId="65" fillId="41" borderId="9" xfId="0" applyNumberFormat="1" applyFont="1" applyFill="1" applyBorder="1"/>
    <xf numFmtId="43" fontId="65" fillId="42" borderId="9" xfId="0" applyNumberFormat="1" applyFont="1" applyFill="1" applyBorder="1"/>
    <xf numFmtId="43" fontId="65" fillId="44" borderId="9" xfId="0" applyNumberFormat="1" applyFont="1" applyFill="1" applyBorder="1"/>
    <xf numFmtId="43" fontId="65" fillId="25" borderId="9" xfId="0" applyNumberFormat="1" applyFont="1" applyFill="1" applyBorder="1"/>
    <xf numFmtId="43" fontId="65" fillId="43" borderId="9" xfId="0" applyNumberFormat="1" applyFont="1" applyFill="1" applyBorder="1"/>
    <xf numFmtId="43" fontId="65" fillId="23" borderId="9" xfId="0" applyNumberFormat="1" applyFont="1" applyFill="1" applyBorder="1"/>
    <xf numFmtId="43" fontId="65" fillId="14" borderId="9" xfId="0" applyNumberFormat="1" applyFont="1" applyFill="1" applyBorder="1"/>
    <xf numFmtId="43" fontId="65" fillId="28" borderId="9" xfId="0" applyNumberFormat="1" applyFont="1" applyFill="1" applyBorder="1"/>
    <xf numFmtId="43" fontId="65" fillId="18" borderId="9" xfId="0" applyNumberFormat="1" applyFont="1" applyFill="1" applyBorder="1"/>
    <xf numFmtId="43" fontId="65" fillId="27" borderId="9" xfId="0" applyNumberFormat="1" applyFont="1" applyFill="1" applyBorder="1"/>
    <xf numFmtId="43" fontId="65" fillId="40" borderId="9" xfId="0" applyNumberFormat="1" applyFont="1" applyFill="1" applyBorder="1"/>
    <xf numFmtId="43" fontId="65" fillId="24" borderId="9" xfId="0" applyNumberFormat="1" applyFont="1" applyFill="1" applyBorder="1"/>
    <xf numFmtId="7" fontId="65" fillId="0" borderId="9" xfId="2" applyNumberFormat="1" applyFont="1" applyBorder="1"/>
    <xf numFmtId="0" fontId="118" fillId="5" borderId="0" xfId="0" applyFont="1" applyFill="1" applyAlignment="1">
      <alignment horizontal="center"/>
    </xf>
    <xf numFmtId="0" fontId="118" fillId="5" borderId="49" xfId="0" applyFont="1" applyFill="1" applyBorder="1" applyAlignment="1">
      <alignment horizontal="center"/>
    </xf>
    <xf numFmtId="43" fontId="65" fillId="5" borderId="9" xfId="1" applyFont="1" applyFill="1" applyBorder="1"/>
    <xf numFmtId="200" fontId="65" fillId="5" borderId="9" xfId="0" applyNumberFormat="1" applyFont="1" applyFill="1" applyBorder="1"/>
    <xf numFmtId="0" fontId="65" fillId="33" borderId="9" xfId="0" applyFont="1" applyFill="1" applyBorder="1"/>
    <xf numFmtId="7" fontId="65" fillId="33" borderId="9" xfId="0" applyNumberFormat="1" applyFont="1" applyFill="1" applyBorder="1"/>
    <xf numFmtId="0" fontId="74" fillId="20" borderId="0" xfId="0" applyFont="1" applyFill="1" applyAlignment="1">
      <alignment vertical="center"/>
    </xf>
    <xf numFmtId="167" fontId="74" fillId="20" borderId="0" xfId="0" applyNumberFormat="1" applyFont="1" applyFill="1" applyAlignment="1">
      <alignment vertical="center"/>
    </xf>
    <xf numFmtId="167" fontId="74" fillId="20" borderId="0" xfId="0" applyNumberFormat="1" applyFont="1" applyFill="1" applyAlignment="1">
      <alignment horizontal="center" vertical="center"/>
    </xf>
    <xf numFmtId="0" fontId="51" fillId="20" borderId="9" xfId="0" applyFont="1" applyFill="1" applyBorder="1" applyAlignment="1">
      <alignment horizontal="left" vertical="center" wrapText="1"/>
    </xf>
    <xf numFmtId="2" fontId="65" fillId="20" borderId="9" xfId="0" applyNumberFormat="1" applyFont="1" applyFill="1" applyBorder="1" applyAlignment="1">
      <alignment vertical="center"/>
    </xf>
    <xf numFmtId="0" fontId="65" fillId="20" borderId="9" xfId="0" applyFont="1" applyFill="1" applyBorder="1" applyAlignment="1">
      <alignment vertical="center"/>
    </xf>
    <xf numFmtId="9" fontId="65" fillId="20" borderId="9" xfId="0" applyNumberFormat="1" applyFont="1" applyFill="1" applyBorder="1" applyAlignment="1">
      <alignment horizontal="center" vertical="center" wrapText="1"/>
    </xf>
    <xf numFmtId="2" fontId="65" fillId="20" borderId="9" xfId="13" applyNumberFormat="1" applyFont="1" applyFill="1" applyBorder="1" applyAlignment="1">
      <alignment horizontal="center"/>
    </xf>
    <xf numFmtId="0" fontId="118" fillId="20" borderId="9" xfId="0" applyFont="1" applyFill="1" applyBorder="1" applyAlignment="1">
      <alignment vertical="center"/>
    </xf>
    <xf numFmtId="165" fontId="65" fillId="20" borderId="9" xfId="0" applyNumberFormat="1" applyFont="1" applyFill="1" applyBorder="1" applyAlignment="1">
      <alignment horizontal="center" vertical="center" wrapText="1"/>
    </xf>
    <xf numFmtId="170" fontId="65" fillId="20" borderId="9" xfId="1" applyNumberFormat="1" applyFont="1" applyFill="1" applyBorder="1" applyAlignment="1">
      <alignment horizontal="center" vertical="center" wrapText="1"/>
    </xf>
    <xf numFmtId="0" fontId="118" fillId="20" borderId="9" xfId="8" applyFont="1" applyFill="1" applyBorder="1" applyAlignment="1">
      <alignment vertical="center"/>
    </xf>
    <xf numFmtId="165" fontId="65" fillId="20" borderId="9" xfId="8" applyNumberFormat="1" applyFont="1" applyFill="1" applyBorder="1" applyAlignment="1">
      <alignment horizontal="center" vertical="center"/>
    </xf>
    <xf numFmtId="180" fontId="65" fillId="20" borderId="9" xfId="8" applyNumberFormat="1" applyFont="1" applyFill="1" applyBorder="1" applyAlignment="1">
      <alignment horizontal="center" vertical="center"/>
    </xf>
    <xf numFmtId="0" fontId="51" fillId="20" borderId="9" xfId="0" applyFont="1" applyFill="1" applyBorder="1" applyAlignment="1">
      <alignment horizontal="left" vertical="center"/>
    </xf>
    <xf numFmtId="39" fontId="65" fillId="20" borderId="9" xfId="1" applyNumberFormat="1" applyFont="1" applyFill="1" applyBorder="1" applyAlignment="1">
      <alignment horizontal="center" vertical="center" wrapText="1"/>
    </xf>
    <xf numFmtId="0" fontId="65" fillId="20" borderId="9" xfId="8" applyFont="1" applyFill="1" applyBorder="1" applyAlignment="1">
      <alignment horizontal="center" vertical="center"/>
    </xf>
    <xf numFmtId="9" fontId="65" fillId="20" borderId="9" xfId="3" applyFont="1" applyFill="1" applyBorder="1" applyAlignment="1">
      <alignment horizontal="center" vertical="center" wrapText="1"/>
    </xf>
    <xf numFmtId="172" fontId="65" fillId="20" borderId="9" xfId="3" applyNumberFormat="1" applyFont="1" applyFill="1" applyBorder="1" applyAlignment="1">
      <alignment horizontal="center" vertical="center"/>
    </xf>
    <xf numFmtId="165" fontId="51" fillId="20" borderId="9" xfId="0" applyNumberFormat="1" applyFont="1" applyFill="1" applyBorder="1" applyAlignment="1">
      <alignment horizontal="left" vertical="center" wrapText="1"/>
    </xf>
    <xf numFmtId="7" fontId="65" fillId="20" borderId="9" xfId="1" applyNumberFormat="1" applyFont="1" applyFill="1" applyBorder="1" applyAlignment="1">
      <alignment horizontal="center" vertical="center" wrapText="1"/>
    </xf>
    <xf numFmtId="9" fontId="65" fillId="0" borderId="0" xfId="3" applyFont="1" applyFill="1" applyAlignment="1">
      <alignment horizontal="center" vertical="center"/>
    </xf>
    <xf numFmtId="171" fontId="0" fillId="4" borderId="9" xfId="5" applyNumberFormat="1" applyFont="1" applyFill="1" applyBorder="1" applyAlignment="1">
      <alignment horizontal="center" vertical="center" wrapText="1"/>
    </xf>
    <xf numFmtId="39" fontId="0" fillId="4" borderId="9" xfId="1" applyNumberFormat="1" applyFont="1" applyFill="1" applyBorder="1" applyAlignment="1">
      <alignment horizontal="center" vertical="center" wrapText="1"/>
    </xf>
    <xf numFmtId="4" fontId="0" fillId="4" borderId="9" xfId="5" applyNumberFormat="1" applyFont="1" applyFill="1" applyBorder="1" applyAlignment="1">
      <alignment horizontal="center" vertical="center" wrapText="1"/>
    </xf>
    <xf numFmtId="0" fontId="0" fillId="0" borderId="0" xfId="0" applyAlignment="1">
      <alignment vertical="center"/>
    </xf>
    <xf numFmtId="0" fontId="0" fillId="0" borderId="0" xfId="5" applyFont="1" applyAlignment="1">
      <alignment vertical="center"/>
    </xf>
    <xf numFmtId="0" fontId="28" fillId="12" borderId="9" xfId="0" applyFont="1" applyFill="1" applyBorder="1" applyAlignment="1">
      <alignment vertical="center"/>
    </xf>
    <xf numFmtId="167" fontId="5" fillId="12" borderId="9" xfId="0" applyNumberFormat="1" applyFont="1" applyFill="1" applyBorder="1" applyAlignment="1">
      <alignment vertical="center"/>
    </xf>
    <xf numFmtId="2" fontId="14" fillId="0" borderId="9" xfId="0" applyNumberFormat="1" applyFont="1" applyBorder="1" applyAlignment="1">
      <alignment vertical="center"/>
    </xf>
    <xf numFmtId="2" fontId="0" fillId="0" borderId="9" xfId="0" applyNumberFormat="1" applyBorder="1" applyAlignment="1">
      <alignment vertical="center"/>
    </xf>
    <xf numFmtId="2" fontId="14" fillId="8" borderId="9" xfId="0" applyNumberFormat="1" applyFont="1" applyFill="1" applyBorder="1" applyAlignment="1">
      <alignment horizontal="center" vertical="center"/>
    </xf>
    <xf numFmtId="2" fontId="14" fillId="4" borderId="9" xfId="14" applyNumberFormat="1" applyFont="1" applyFill="1" applyBorder="1" applyAlignment="1">
      <alignment vertical="center"/>
    </xf>
    <xf numFmtId="168" fontId="14" fillId="0" borderId="9" xfId="5" applyNumberFormat="1" applyFont="1" applyBorder="1" applyAlignment="1">
      <alignment horizontal="center" vertical="center" wrapText="1"/>
    </xf>
    <xf numFmtId="168" fontId="14" fillId="0" borderId="9" xfId="5" applyNumberFormat="1" applyFont="1" applyBorder="1" applyAlignment="1">
      <alignment vertical="center"/>
    </xf>
    <xf numFmtId="39" fontId="14" fillId="17" borderId="9" xfId="5" applyNumberFormat="1" applyFont="1" applyFill="1" applyBorder="1" applyAlignment="1">
      <alignment horizontal="center" vertical="center"/>
    </xf>
    <xf numFmtId="39" fontId="14" fillId="0" borderId="9" xfId="5" applyNumberFormat="1" applyFont="1" applyBorder="1" applyAlignment="1">
      <alignment horizontal="center" vertical="center"/>
    </xf>
    <xf numFmtId="39" fontId="4" fillId="0" borderId="9" xfId="5" applyNumberFormat="1" applyFont="1" applyBorder="1" applyAlignment="1">
      <alignment horizontal="center" vertical="center"/>
    </xf>
    <xf numFmtId="39" fontId="0" fillId="0" borderId="9" xfId="5" applyNumberFormat="1" applyFont="1" applyBorder="1" applyAlignment="1">
      <alignment horizontal="center" vertical="center"/>
    </xf>
    <xf numFmtId="0" fontId="14" fillId="0" borderId="9" xfId="8" applyFont="1" applyBorder="1" applyAlignment="1">
      <alignment horizontal="center" vertical="center"/>
    </xf>
    <xf numFmtId="44" fontId="14" fillId="17" borderId="9" xfId="2" applyFont="1" applyFill="1" applyBorder="1" applyAlignment="1">
      <alignment horizontal="center" vertical="center"/>
    </xf>
    <xf numFmtId="44" fontId="4" fillId="0" borderId="9" xfId="2" applyFont="1" applyFill="1" applyBorder="1" applyAlignment="1">
      <alignment horizontal="center" vertical="center"/>
    </xf>
    <xf numFmtId="9" fontId="14" fillId="4" borderId="9" xfId="7" applyFont="1" applyFill="1" applyBorder="1" applyAlignment="1">
      <alignment horizontal="center" vertical="center" wrapText="1"/>
    </xf>
    <xf numFmtId="185" fontId="14" fillId="4" borderId="9" xfId="2" applyNumberFormat="1" applyFont="1" applyFill="1" applyBorder="1" applyAlignment="1">
      <alignment vertical="center"/>
    </xf>
    <xf numFmtId="182" fontId="14" fillId="0" borderId="9" xfId="1" applyNumberFormat="1" applyFont="1" applyFill="1" applyBorder="1" applyAlignment="1">
      <alignment horizontal="center" vertical="center"/>
    </xf>
    <xf numFmtId="2" fontId="4" fillId="0" borderId="9" xfId="12" applyNumberFormat="1" applyFont="1" applyBorder="1" applyAlignment="1">
      <alignment horizontal="center" vertical="center"/>
    </xf>
    <xf numFmtId="39" fontId="14" fillId="0" borderId="9" xfId="1" applyNumberFormat="1" applyFont="1" applyFill="1" applyBorder="1" applyAlignment="1">
      <alignment horizontal="center" vertical="center"/>
    </xf>
    <xf numFmtId="184" fontId="4" fillId="0" borderId="9" xfId="1" applyNumberFormat="1" applyFont="1" applyFill="1" applyBorder="1" applyAlignment="1">
      <alignment horizontal="center" vertical="center"/>
    </xf>
    <xf numFmtId="184" fontId="14" fillId="0" borderId="9" xfId="1" applyNumberFormat="1" applyFont="1" applyFill="1" applyBorder="1" applyAlignment="1">
      <alignment horizontal="center" vertical="center"/>
    </xf>
    <xf numFmtId="44" fontId="14" fillId="0" borderId="9" xfId="2" applyFont="1" applyFill="1" applyBorder="1" applyAlignment="1">
      <alignment vertical="center"/>
    </xf>
    <xf numFmtId="2" fontId="4" fillId="0" borderId="9" xfId="0" applyNumberFormat="1" applyFont="1" applyBorder="1" applyAlignment="1">
      <alignment vertical="center"/>
    </xf>
    <xf numFmtId="0" fontId="0" fillId="0" borderId="9" xfId="0" applyBorder="1" applyAlignment="1">
      <alignment vertical="center"/>
    </xf>
    <xf numFmtId="187" fontId="0" fillId="0" borderId="0" xfId="3" applyNumberFormat="1" applyFont="1" applyFill="1" applyAlignment="1">
      <alignment vertical="center"/>
    </xf>
    <xf numFmtId="43" fontId="0" fillId="0" borderId="22" xfId="1" applyFont="1" applyBorder="1" applyAlignment="1">
      <alignment vertical="center"/>
    </xf>
    <xf numFmtId="0" fontId="14" fillId="4" borderId="23" xfId="8" applyFont="1" applyFill="1" applyBorder="1" applyAlignment="1">
      <alignment horizontal="left" vertical="center"/>
    </xf>
    <xf numFmtId="7" fontId="0" fillId="0" borderId="0" xfId="0" applyNumberFormat="1" applyAlignment="1">
      <alignment vertical="center"/>
    </xf>
    <xf numFmtId="201" fontId="4" fillId="0" borderId="24" xfId="2" applyNumberFormat="1" applyFont="1" applyFill="1" applyBorder="1" applyAlignment="1">
      <alignment vertical="center"/>
    </xf>
    <xf numFmtId="2" fontId="0" fillId="8" borderId="9" xfId="1" applyNumberFormat="1" applyFont="1" applyFill="1" applyBorder="1" applyAlignment="1">
      <alignment vertical="center"/>
    </xf>
    <xf numFmtId="0" fontId="14" fillId="8" borderId="9" xfId="0" applyFont="1" applyFill="1" applyBorder="1" applyAlignment="1">
      <alignment vertical="center"/>
    </xf>
    <xf numFmtId="0" fontId="0" fillId="8" borderId="9" xfId="0" applyFill="1" applyBorder="1" applyAlignment="1">
      <alignment horizontal="center" vertical="center" wrapText="1"/>
    </xf>
    <xf numFmtId="0" fontId="14" fillId="0" borderId="0" xfId="13" applyFont="1" applyAlignment="1">
      <alignment vertical="center"/>
    </xf>
    <xf numFmtId="0" fontId="14" fillId="51" borderId="0" xfId="0" applyFont="1" applyFill="1" applyAlignment="1">
      <alignment horizontal="center"/>
    </xf>
    <xf numFmtId="0" fontId="14" fillId="51" borderId="9" xfId="0" applyFont="1" applyFill="1" applyBorder="1"/>
    <xf numFmtId="0" fontId="14" fillId="5" borderId="0" xfId="0" applyFont="1" applyFill="1" applyAlignment="1">
      <alignment horizontal="center"/>
    </xf>
    <xf numFmtId="0" fontId="14" fillId="5" borderId="49" xfId="0" applyFont="1" applyFill="1" applyBorder="1" applyAlignment="1">
      <alignment horizontal="center"/>
    </xf>
    <xf numFmtId="2" fontId="65" fillId="5" borderId="9" xfId="0" applyNumberFormat="1" applyFont="1" applyFill="1" applyBorder="1" applyAlignment="1">
      <alignment horizontal="center"/>
    </xf>
    <xf numFmtId="44" fontId="65" fillId="5" borderId="9" xfId="2" applyFont="1" applyFill="1" applyBorder="1" applyAlignment="1">
      <alignment horizontal="center"/>
    </xf>
    <xf numFmtId="171" fontId="65" fillId="17" borderId="9" xfId="2" applyNumberFormat="1" applyFont="1" applyFill="1" applyBorder="1" applyAlignment="1">
      <alignment horizontal="center"/>
    </xf>
    <xf numFmtId="1" fontId="65" fillId="4" borderId="9" xfId="0" applyNumberFormat="1" applyFont="1" applyFill="1" applyBorder="1"/>
    <xf numFmtId="1" fontId="65" fillId="33" borderId="9" xfId="0" applyNumberFormat="1" applyFont="1" applyFill="1" applyBorder="1"/>
    <xf numFmtId="165" fontId="1" fillId="0" borderId="9" xfId="0" applyNumberFormat="1" applyFont="1" applyBorder="1"/>
    <xf numFmtId="171" fontId="1" fillId="0" borderId="9" xfId="0" applyNumberFormat="1" applyFont="1" applyBorder="1"/>
    <xf numFmtId="168" fontId="4" fillId="4" borderId="9" xfId="5" applyNumberFormat="1" applyFont="1" applyFill="1" applyBorder="1" applyAlignment="1">
      <alignment horizontal="left" vertical="top" wrapText="1"/>
    </xf>
    <xf numFmtId="168" fontId="1" fillId="0" borderId="9" xfId="1" applyNumberFormat="1" applyFont="1" applyFill="1" applyBorder="1" applyAlignment="1">
      <alignment horizontal="center"/>
    </xf>
    <xf numFmtId="165" fontId="1" fillId="0" borderId="9" xfId="0" applyNumberFormat="1" applyFont="1" applyBorder="1" applyAlignment="1">
      <alignment horizontal="center"/>
    </xf>
    <xf numFmtId="170" fontId="1" fillId="0" borderId="9" xfId="0" applyNumberFormat="1" applyFont="1" applyBorder="1" applyAlignment="1">
      <alignment horizontal="center"/>
    </xf>
    <xf numFmtId="0" fontId="90" fillId="4" borderId="0" xfId="0" applyFont="1" applyFill="1" applyAlignment="1">
      <alignment horizontal="left" vertical="center" wrapText="1"/>
    </xf>
    <xf numFmtId="0" fontId="3" fillId="4" borderId="0" xfId="0" applyFont="1" applyFill="1" applyAlignment="1">
      <alignment horizontal="center"/>
    </xf>
    <xf numFmtId="0" fontId="80" fillId="0" borderId="0" xfId="0" applyFont="1" applyAlignment="1">
      <alignment horizontal="center" wrapText="1"/>
    </xf>
    <xf numFmtId="164" fontId="7" fillId="0" borderId="0" xfId="0" applyNumberFormat="1" applyFont="1" applyAlignment="1">
      <alignment horizontal="center" wrapText="1"/>
    </xf>
    <xf numFmtId="164" fontId="0" fillId="0" borderId="0" xfId="0" applyNumberFormat="1" applyAlignment="1">
      <alignment horizontal="center" wrapText="1"/>
    </xf>
    <xf numFmtId="0" fontId="81" fillId="5" borderId="2" xfId="0" applyFont="1" applyFill="1" applyBorder="1" applyAlignment="1">
      <alignment horizontal="center" vertical="center" wrapText="1"/>
    </xf>
    <xf numFmtId="0" fontId="14" fillId="5" borderId="6" xfId="0" applyFont="1" applyFill="1" applyBorder="1" applyAlignment="1">
      <alignment wrapText="1"/>
    </xf>
    <xf numFmtId="0" fontId="14" fillId="5" borderId="7"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81" fillId="5" borderId="3" xfId="0" applyFont="1" applyFill="1" applyBorder="1" applyAlignment="1">
      <alignment horizontal="center" vertical="center"/>
    </xf>
    <xf numFmtId="0" fontId="14" fillId="5" borderId="4" xfId="0" applyFont="1" applyFill="1" applyBorder="1" applyAlignment="1">
      <alignment horizontal="center" vertical="center"/>
    </xf>
    <xf numFmtId="0" fontId="14" fillId="5" borderId="5" xfId="0" applyFont="1" applyFill="1" applyBorder="1" applyAlignment="1">
      <alignment horizontal="center" vertical="center"/>
    </xf>
    <xf numFmtId="0" fontId="25" fillId="0" borderId="53" xfId="5" applyFont="1" applyBorder="1" applyAlignment="1">
      <alignment horizontal="center" wrapText="1"/>
    </xf>
    <xf numFmtId="0" fontId="14" fillId="0" borderId="54" xfId="0" applyFont="1" applyBorder="1" applyAlignment="1">
      <alignment horizontal="center" wrapText="1"/>
    </xf>
    <xf numFmtId="0" fontId="0" fillId="0" borderId="54" xfId="0" applyBorder="1" applyAlignment="1">
      <alignment horizontal="center" wrapText="1"/>
    </xf>
    <xf numFmtId="0" fontId="51" fillId="17" borderId="16" xfId="5" applyFont="1" applyFill="1" applyBorder="1" applyAlignment="1">
      <alignment horizontal="left"/>
    </xf>
    <xf numFmtId="0" fontId="51" fillId="17" borderId="17" xfId="5" applyFont="1" applyFill="1" applyBorder="1" applyAlignment="1">
      <alignment horizontal="left"/>
    </xf>
    <xf numFmtId="0" fontId="65" fillId="17" borderId="16" xfId="5" applyFont="1" applyFill="1" applyBorder="1" applyAlignment="1">
      <alignment horizontal="left"/>
    </xf>
    <xf numFmtId="0" fontId="65" fillId="17" borderId="17" xfId="5" applyFont="1" applyFill="1" applyBorder="1" applyAlignment="1">
      <alignment horizontal="left"/>
    </xf>
    <xf numFmtId="0" fontId="14" fillId="10" borderId="16" xfId="5" applyFont="1" applyFill="1" applyBorder="1" applyAlignment="1">
      <alignment horizontal="left"/>
    </xf>
    <xf numFmtId="0" fontId="14" fillId="10" borderId="17" xfId="5" applyFont="1" applyFill="1" applyBorder="1" applyAlignment="1">
      <alignment horizontal="left"/>
    </xf>
    <xf numFmtId="0" fontId="51" fillId="10" borderId="16" xfId="5" applyFont="1" applyFill="1" applyBorder="1" applyAlignment="1">
      <alignment horizontal="left"/>
    </xf>
    <xf numFmtId="0" fontId="51" fillId="10" borderId="17" xfId="5" applyFont="1" applyFill="1" applyBorder="1" applyAlignment="1">
      <alignment horizontal="left"/>
    </xf>
    <xf numFmtId="0" fontId="50" fillId="7" borderId="9" xfId="5" applyFont="1" applyFill="1" applyBorder="1" applyAlignment="1">
      <alignment horizontal="center" vertical="center" wrapText="1"/>
    </xf>
    <xf numFmtId="0" fontId="54" fillId="0" borderId="9" xfId="0" applyFont="1" applyBorder="1" applyAlignment="1">
      <alignment wrapText="1"/>
    </xf>
    <xf numFmtId="166" fontId="50" fillId="8" borderId="9" xfId="5" applyNumberFormat="1" applyFont="1" applyFill="1" applyBorder="1" applyAlignment="1">
      <alignment horizontal="center" vertical="center" wrapText="1"/>
    </xf>
    <xf numFmtId="0" fontId="50" fillId="0" borderId="0" xfId="5" applyFont="1" applyAlignment="1">
      <alignment vertical="center" wrapText="1"/>
    </xf>
    <xf numFmtId="0" fontId="14" fillId="17" borderId="16" xfId="5" applyFont="1" applyFill="1" applyBorder="1" applyAlignment="1">
      <alignment horizontal="left"/>
    </xf>
    <xf numFmtId="0" fontId="14" fillId="17" borderId="17" xfId="5" applyFont="1" applyFill="1" applyBorder="1" applyAlignment="1">
      <alignment horizontal="left"/>
    </xf>
    <xf numFmtId="0" fontId="23" fillId="6" borderId="0" xfId="5" applyFont="1" applyFill="1" applyAlignment="1">
      <alignment horizontal="left"/>
    </xf>
    <xf numFmtId="0" fontId="72" fillId="0" borderId="0" xfId="0" applyFont="1" applyAlignment="1">
      <alignment horizontal="left" vertical="top" wrapText="1"/>
    </xf>
    <xf numFmtId="0" fontId="122" fillId="0" borderId="0" xfId="5" applyFont="1" applyAlignment="1">
      <alignment horizontal="center" vertical="center" wrapText="1"/>
    </xf>
    <xf numFmtId="0" fontId="14" fillId="11" borderId="20" xfId="5" applyFont="1" applyFill="1" applyBorder="1" applyAlignment="1">
      <alignment horizontal="center" vertical="center" wrapText="1"/>
    </xf>
    <xf numFmtId="0" fontId="14" fillId="11" borderId="21" xfId="5" applyFont="1" applyFill="1" applyBorder="1" applyAlignment="1">
      <alignment horizontal="center" vertical="center" wrapText="1"/>
    </xf>
    <xf numFmtId="0" fontId="144" fillId="0" borderId="0" xfId="5" applyFont="1" applyAlignment="1">
      <alignment horizontal="center" wrapText="1"/>
    </xf>
    <xf numFmtId="0" fontId="25" fillId="0" borderId="0" xfId="5" applyFont="1" applyAlignment="1">
      <alignment horizontal="center"/>
    </xf>
    <xf numFmtId="180" fontId="51" fillId="0" borderId="19" xfId="5" applyNumberFormat="1" applyFont="1" applyBorder="1" applyAlignment="1">
      <alignment horizontal="center" vertical="center" wrapText="1"/>
    </xf>
    <xf numFmtId="180" fontId="51" fillId="0" borderId="30" xfId="5" applyNumberFormat="1" applyFont="1" applyBorder="1" applyAlignment="1">
      <alignment horizontal="center" vertical="center" wrapText="1"/>
    </xf>
    <xf numFmtId="180" fontId="51" fillId="0" borderId="23" xfId="5" applyNumberFormat="1" applyFont="1" applyBorder="1" applyAlignment="1">
      <alignment horizontal="center" vertical="center" wrapText="1"/>
    </xf>
    <xf numFmtId="0" fontId="114" fillId="0" borderId="17" xfId="5" applyFont="1" applyBorder="1" applyAlignment="1">
      <alignment horizontal="left" wrapText="1"/>
    </xf>
    <xf numFmtId="0" fontId="65" fillId="0" borderId="17" xfId="0" applyFont="1" applyBorder="1" applyAlignment="1">
      <alignment horizontal="left" wrapText="1"/>
    </xf>
    <xf numFmtId="0" fontId="52" fillId="0" borderId="0" xfId="5" applyFont="1" applyAlignment="1">
      <alignment horizontal="center" wrapText="1"/>
    </xf>
    <xf numFmtId="0" fontId="14" fillId="17" borderId="18" xfId="5" applyFont="1" applyFill="1" applyBorder="1" applyAlignment="1">
      <alignment horizontal="left"/>
    </xf>
    <xf numFmtId="0" fontId="65" fillId="0" borderId="9" xfId="0" applyFont="1" applyBorder="1" applyAlignment="1">
      <alignment horizontal="left" vertical="center" wrapText="1"/>
    </xf>
    <xf numFmtId="0" fontId="65" fillId="4" borderId="9" xfId="8" applyFont="1" applyFill="1" applyBorder="1" applyAlignment="1">
      <alignment wrapText="1"/>
    </xf>
    <xf numFmtId="165" fontId="65" fillId="4" borderId="9" xfId="13" applyNumberFormat="1" applyFont="1" applyFill="1" applyBorder="1" applyAlignment="1">
      <alignment horizontal="left" vertical="center" wrapText="1"/>
    </xf>
    <xf numFmtId="165" fontId="65" fillId="4" borderId="9" xfId="13" applyNumberFormat="1" applyFont="1" applyFill="1" applyBorder="1" applyAlignment="1">
      <alignment vertical="center" wrapText="1"/>
    </xf>
    <xf numFmtId="3" fontId="65" fillId="4" borderId="9" xfId="0" applyNumberFormat="1" applyFont="1" applyFill="1" applyBorder="1" applyAlignment="1">
      <alignment horizontal="left" vertical="center" wrapText="1"/>
    </xf>
    <xf numFmtId="0" fontId="51" fillId="17" borderId="16" xfId="0" applyFont="1" applyFill="1" applyBorder="1" applyAlignment="1">
      <alignment horizontal="left"/>
    </xf>
    <xf numFmtId="0" fontId="51" fillId="17" borderId="17" xfId="0" applyFont="1" applyFill="1" applyBorder="1" applyAlignment="1">
      <alignment horizontal="left"/>
    </xf>
    <xf numFmtId="0" fontId="65" fillId="11" borderId="9" xfId="0" applyFont="1" applyFill="1" applyBorder="1" applyAlignment="1">
      <alignment horizontal="center" vertical="center" wrapText="1"/>
    </xf>
    <xf numFmtId="3" fontId="65" fillId="4" borderId="20" xfId="0" applyNumberFormat="1" applyFont="1" applyFill="1" applyBorder="1" applyAlignment="1">
      <alignment horizontal="left" vertical="center" wrapText="1"/>
    </xf>
    <xf numFmtId="3" fontId="65" fillId="4" borderId="21" xfId="0" applyNumberFormat="1" applyFont="1" applyFill="1" applyBorder="1" applyAlignment="1">
      <alignment horizontal="left" vertical="center" wrapText="1"/>
    </xf>
    <xf numFmtId="3" fontId="65" fillId="4" borderId="22" xfId="0" applyNumberFormat="1" applyFont="1" applyFill="1" applyBorder="1" applyAlignment="1">
      <alignment horizontal="left" vertical="center" wrapText="1"/>
    </xf>
    <xf numFmtId="3" fontId="65" fillId="4" borderId="24" xfId="0" applyNumberFormat="1" applyFont="1" applyFill="1" applyBorder="1" applyAlignment="1">
      <alignment horizontal="left" vertical="center" wrapText="1"/>
    </xf>
    <xf numFmtId="3" fontId="65" fillId="4" borderId="25" xfId="0" applyNumberFormat="1" applyFont="1" applyFill="1" applyBorder="1" applyAlignment="1">
      <alignment horizontal="left" vertical="center" wrapText="1"/>
    </xf>
    <xf numFmtId="3" fontId="65" fillId="4" borderId="26" xfId="0" applyNumberFormat="1" applyFont="1" applyFill="1" applyBorder="1" applyAlignment="1">
      <alignment horizontal="left" vertical="center" wrapText="1"/>
    </xf>
    <xf numFmtId="0" fontId="130" fillId="0" borderId="9" xfId="0" applyFont="1" applyBorder="1" applyAlignment="1">
      <alignment horizontal="left"/>
    </xf>
    <xf numFmtId="3" fontId="51" fillId="4" borderId="9" xfId="0" applyNumberFormat="1" applyFont="1" applyFill="1" applyBorder="1" applyAlignment="1">
      <alignment horizontal="left" vertical="center" wrapText="1"/>
    </xf>
    <xf numFmtId="165" fontId="51" fillId="4" borderId="16" xfId="13" applyNumberFormat="1" applyFont="1" applyFill="1" applyBorder="1" applyAlignment="1">
      <alignment horizontal="left" vertical="center" wrapText="1"/>
    </xf>
    <xf numFmtId="165" fontId="51" fillId="4" borderId="17" xfId="13" applyNumberFormat="1" applyFont="1" applyFill="1" applyBorder="1" applyAlignment="1">
      <alignment horizontal="left" vertical="center" wrapText="1"/>
    </xf>
    <xf numFmtId="165" fontId="51" fillId="4" borderId="18" xfId="13" applyNumberFormat="1" applyFont="1" applyFill="1" applyBorder="1" applyAlignment="1">
      <alignment horizontal="left" vertical="center" wrapText="1"/>
    </xf>
    <xf numFmtId="165" fontId="51" fillId="4" borderId="9" xfId="13" applyNumberFormat="1" applyFont="1" applyFill="1" applyBorder="1" applyAlignment="1">
      <alignment vertical="center" wrapText="1"/>
    </xf>
    <xf numFmtId="0" fontId="51" fillId="10" borderId="16" xfId="0" applyFont="1" applyFill="1" applyBorder="1" applyAlignment="1">
      <alignment horizontal="left"/>
    </xf>
    <xf numFmtId="0" fontId="51" fillId="10" borderId="17" xfId="0" applyFont="1" applyFill="1" applyBorder="1" applyAlignment="1">
      <alignment horizontal="left"/>
    </xf>
    <xf numFmtId="0" fontId="51" fillId="0" borderId="0" xfId="0" applyFont="1" applyAlignment="1">
      <alignment horizontal="center" vertical="center" wrapText="1"/>
    </xf>
    <xf numFmtId="165" fontId="51" fillId="4" borderId="9" xfId="13" applyNumberFormat="1" applyFont="1" applyFill="1" applyBorder="1" applyAlignment="1">
      <alignment horizontal="left" vertical="center" wrapText="1"/>
    </xf>
    <xf numFmtId="0" fontId="51" fillId="4" borderId="9" xfId="8" applyFont="1" applyFill="1" applyBorder="1" applyAlignment="1">
      <alignment wrapText="1"/>
    </xf>
    <xf numFmtId="0" fontId="51" fillId="4" borderId="9" xfId="0" applyFont="1" applyFill="1" applyBorder="1" applyAlignment="1">
      <alignment horizontal="left" vertical="center" wrapText="1"/>
    </xf>
    <xf numFmtId="0" fontId="51" fillId="4" borderId="19" xfId="0" applyFont="1" applyFill="1" applyBorder="1" applyAlignment="1">
      <alignment horizontal="left" vertical="center" wrapText="1"/>
    </xf>
    <xf numFmtId="0" fontId="51" fillId="4" borderId="23" xfId="0" applyFont="1" applyFill="1" applyBorder="1" applyAlignment="1">
      <alignment horizontal="left" vertical="center" wrapText="1"/>
    </xf>
    <xf numFmtId="0" fontId="51" fillId="4" borderId="19" xfId="8" applyFont="1" applyFill="1" applyBorder="1" applyAlignment="1">
      <alignment horizontal="left" vertical="center" wrapText="1"/>
    </xf>
    <xf numFmtId="0" fontId="51" fillId="4" borderId="23" xfId="8" applyFont="1" applyFill="1" applyBorder="1" applyAlignment="1">
      <alignment horizontal="left" vertical="center" wrapText="1"/>
    </xf>
    <xf numFmtId="0" fontId="65" fillId="0" borderId="9" xfId="6" applyFont="1" applyBorder="1" applyAlignment="1">
      <alignment wrapText="1"/>
    </xf>
    <xf numFmtId="0" fontId="65" fillId="0" borderId="9" xfId="0" applyFont="1" applyBorder="1" applyAlignment="1">
      <alignment wrapText="1"/>
    </xf>
    <xf numFmtId="0" fontId="51" fillId="11" borderId="9" xfId="0" applyFont="1" applyFill="1" applyBorder="1" applyAlignment="1">
      <alignment horizontal="center" vertical="center" wrapText="1"/>
    </xf>
    <xf numFmtId="0" fontId="51" fillId="0" borderId="9" xfId="6" applyFont="1" applyBorder="1" applyAlignment="1">
      <alignment wrapText="1"/>
    </xf>
    <xf numFmtId="0" fontId="51" fillId="0" borderId="9" xfId="0" applyFont="1" applyBorder="1" applyAlignment="1">
      <alignment wrapText="1"/>
    </xf>
    <xf numFmtId="0" fontId="51" fillId="4" borderId="9" xfId="8" applyFont="1" applyFill="1" applyBorder="1" applyAlignment="1">
      <alignment horizontal="left" vertical="center" wrapText="1"/>
    </xf>
    <xf numFmtId="0" fontId="65" fillId="4" borderId="19" xfId="0" applyFont="1" applyFill="1" applyBorder="1" applyAlignment="1">
      <alignment horizontal="left" vertical="center" wrapText="1"/>
    </xf>
    <xf numFmtId="0" fontId="65" fillId="4" borderId="23" xfId="0" applyFont="1" applyFill="1" applyBorder="1" applyAlignment="1">
      <alignment horizontal="left" vertical="center" wrapText="1"/>
    </xf>
    <xf numFmtId="165" fontId="133" fillId="4" borderId="9" xfId="17" applyNumberFormat="1" applyFont="1" applyFill="1" applyBorder="1" applyAlignment="1">
      <alignment horizontal="left" vertical="center" wrapText="1"/>
    </xf>
    <xf numFmtId="0" fontId="65" fillId="0" borderId="16" xfId="8" applyFont="1" applyBorder="1" applyAlignment="1">
      <alignment horizontal="left" wrapText="1"/>
    </xf>
    <xf numFmtId="0" fontId="65" fillId="0" borderId="18" xfId="8" applyFont="1" applyBorder="1" applyAlignment="1">
      <alignment horizontal="left" wrapText="1"/>
    </xf>
    <xf numFmtId="0" fontId="51" fillId="11" borderId="19" xfId="0" applyFont="1" applyFill="1" applyBorder="1" applyAlignment="1">
      <alignment horizontal="center" vertical="center" wrapText="1"/>
    </xf>
    <xf numFmtId="0" fontId="65" fillId="4" borderId="9" xfId="0" applyFont="1" applyFill="1" applyBorder="1" applyAlignment="1">
      <alignment horizontal="left" vertical="center" wrapText="1"/>
    </xf>
    <xf numFmtId="165" fontId="51" fillId="4" borderId="16" xfId="13" applyNumberFormat="1" applyFont="1" applyFill="1" applyBorder="1" applyAlignment="1">
      <alignment vertical="center" wrapText="1"/>
    </xf>
    <xf numFmtId="165" fontId="51" fillId="4" borderId="17" xfId="13" applyNumberFormat="1" applyFont="1" applyFill="1" applyBorder="1" applyAlignment="1">
      <alignment vertical="center" wrapText="1"/>
    </xf>
    <xf numFmtId="165" fontId="51" fillId="4" borderId="18" xfId="13" applyNumberFormat="1" applyFont="1" applyFill="1" applyBorder="1" applyAlignment="1">
      <alignment vertical="center" wrapText="1"/>
    </xf>
    <xf numFmtId="0" fontId="14" fillId="10" borderId="16" xfId="0" applyFont="1" applyFill="1" applyBorder="1" applyAlignment="1">
      <alignment horizontal="left"/>
    </xf>
    <xf numFmtId="0" fontId="14" fillId="10" borderId="17" xfId="0" applyFont="1" applyFill="1" applyBorder="1" applyAlignment="1">
      <alignment horizontal="left"/>
    </xf>
    <xf numFmtId="0" fontId="14" fillId="11" borderId="9" xfId="0" applyFont="1" applyFill="1" applyBorder="1" applyAlignment="1">
      <alignment horizontal="center" vertical="center" wrapText="1"/>
    </xf>
    <xf numFmtId="165" fontId="95" fillId="4" borderId="9" xfId="17" applyNumberFormat="1" applyFont="1" applyFill="1" applyBorder="1" applyAlignment="1">
      <alignment horizontal="left" vertical="center" wrapText="1"/>
    </xf>
    <xf numFmtId="165" fontId="4" fillId="4" borderId="9" xfId="13" applyNumberFormat="1" applyFont="1" applyFill="1" applyBorder="1" applyAlignment="1">
      <alignment horizontal="left" vertical="center" wrapText="1"/>
    </xf>
    <xf numFmtId="165" fontId="14" fillId="4" borderId="9" xfId="13" applyNumberFormat="1" applyFont="1" applyFill="1" applyBorder="1" applyAlignment="1">
      <alignment horizontal="left" vertical="center" wrapText="1"/>
    </xf>
    <xf numFmtId="165" fontId="14" fillId="0" borderId="9" xfId="13" applyNumberFormat="1" applyFont="1" applyBorder="1" applyAlignment="1">
      <alignment horizontal="left" vertical="center" wrapText="1"/>
    </xf>
    <xf numFmtId="0" fontId="0" fillId="4" borderId="19" xfId="13" applyFont="1" applyFill="1" applyBorder="1" applyAlignment="1">
      <alignment horizontal="left" vertical="center" wrapText="1"/>
    </xf>
    <xf numFmtId="0" fontId="0" fillId="4" borderId="30" xfId="13" applyFont="1" applyFill="1" applyBorder="1" applyAlignment="1">
      <alignment horizontal="left" vertical="center" wrapText="1"/>
    </xf>
    <xf numFmtId="0" fontId="0" fillId="4" borderId="23" xfId="13" applyFont="1" applyFill="1" applyBorder="1" applyAlignment="1">
      <alignment horizontal="left" vertical="center" wrapText="1"/>
    </xf>
    <xf numFmtId="165" fontId="4" fillId="4" borderId="9" xfId="13" applyNumberFormat="1" applyFont="1" applyFill="1" applyBorder="1" applyAlignment="1">
      <alignment horizontal="center" vertical="center" wrapText="1"/>
    </xf>
    <xf numFmtId="165" fontId="14" fillId="4" borderId="9" xfId="13" applyNumberFormat="1" applyFont="1" applyFill="1" applyBorder="1" applyAlignment="1">
      <alignment horizontal="center" vertical="center" wrapText="1"/>
    </xf>
    <xf numFmtId="0" fontId="23" fillId="6" borderId="0" xfId="5" applyFont="1" applyFill="1" applyAlignment="1">
      <alignment vertical="center"/>
    </xf>
    <xf numFmtId="0" fontId="55" fillId="0" borderId="0" xfId="0" applyFont="1" applyAlignment="1">
      <alignment vertical="center"/>
    </xf>
    <xf numFmtId="0" fontId="109" fillId="0" borderId="0" xfId="0" applyFont="1" applyAlignment="1">
      <alignment vertical="center"/>
    </xf>
    <xf numFmtId="0" fontId="54" fillId="0" borderId="0" xfId="0" applyFont="1" applyAlignment="1">
      <alignment vertical="center" wrapText="1"/>
    </xf>
    <xf numFmtId="0" fontId="14" fillId="0" borderId="0" xfId="0" applyFont="1" applyAlignment="1">
      <alignment vertical="center" wrapText="1"/>
    </xf>
    <xf numFmtId="0" fontId="14" fillId="0" borderId="9" xfId="13" applyFont="1" applyBorder="1" applyAlignment="1">
      <alignment horizontal="left" vertical="center" wrapText="1"/>
    </xf>
    <xf numFmtId="0" fontId="14" fillId="0" borderId="19" xfId="8" applyFont="1" applyBorder="1" applyAlignment="1">
      <alignment horizontal="left" vertical="center"/>
    </xf>
    <xf numFmtId="0" fontId="14" fillId="0" borderId="30" xfId="8" applyFont="1" applyBorder="1" applyAlignment="1">
      <alignment horizontal="left" vertical="center"/>
    </xf>
    <xf numFmtId="0" fontId="14" fillId="0" borderId="23" xfId="0" applyFont="1" applyBorder="1" applyAlignment="1">
      <alignment horizontal="left" vertical="center"/>
    </xf>
    <xf numFmtId="0" fontId="34" fillId="0" borderId="19" xfId="8" applyFont="1" applyBorder="1" applyAlignment="1">
      <alignment horizontal="left" vertical="center"/>
    </xf>
    <xf numFmtId="0" fontId="34" fillId="0" borderId="30" xfId="8" applyFont="1" applyBorder="1" applyAlignment="1">
      <alignment horizontal="left" vertical="center"/>
    </xf>
    <xf numFmtId="0" fontId="1" fillId="0" borderId="23" xfId="0" applyFont="1" applyBorder="1" applyAlignment="1">
      <alignment horizontal="left" vertical="center"/>
    </xf>
    <xf numFmtId="165" fontId="4" fillId="0" borderId="9" xfId="13" applyNumberFormat="1" applyFont="1" applyBorder="1" applyAlignment="1">
      <alignment horizontal="left" vertical="center" wrapText="1"/>
    </xf>
    <xf numFmtId="0" fontId="14" fillId="0" borderId="20" xfId="8" applyFont="1" applyBorder="1" applyAlignment="1">
      <alignment horizontal="left" wrapText="1"/>
    </xf>
    <xf numFmtId="0" fontId="14" fillId="0" borderId="21" xfId="8" applyFont="1" applyBorder="1" applyAlignment="1">
      <alignment horizontal="left" wrapText="1"/>
    </xf>
    <xf numFmtId="0" fontId="14" fillId="0" borderId="25" xfId="8" applyFont="1" applyBorder="1" applyAlignment="1">
      <alignment horizontal="left" wrapText="1"/>
    </xf>
    <xf numFmtId="0" fontId="14" fillId="0" borderId="26" xfId="8" applyFont="1" applyBorder="1" applyAlignment="1">
      <alignment horizontal="left" wrapText="1"/>
    </xf>
    <xf numFmtId="0" fontId="14" fillId="0" borderId="23" xfId="8" applyFont="1" applyBorder="1" applyAlignment="1">
      <alignment horizontal="left" vertical="center"/>
    </xf>
    <xf numFmtId="0" fontId="34" fillId="0" borderId="23" xfId="8" applyFont="1" applyBorder="1" applyAlignment="1">
      <alignment horizontal="left" vertical="center"/>
    </xf>
    <xf numFmtId="0" fontId="14" fillId="0" borderId="19" xfId="8" applyFont="1" applyBorder="1" applyAlignment="1">
      <alignment vertical="center" wrapText="1"/>
    </xf>
    <xf numFmtId="0" fontId="14" fillId="0" borderId="30" xfId="8" applyFont="1" applyBorder="1" applyAlignment="1">
      <alignment vertical="center" wrapText="1"/>
    </xf>
    <xf numFmtId="0" fontId="14" fillId="0" borderId="30" xfId="0" applyFont="1" applyBorder="1" applyAlignment="1">
      <alignment vertical="center" wrapText="1"/>
    </xf>
    <xf numFmtId="0" fontId="14" fillId="0" borderId="23" xfId="0" applyFont="1" applyBorder="1" applyAlignment="1">
      <alignment vertical="center" wrapText="1"/>
    </xf>
    <xf numFmtId="0" fontId="14" fillId="0" borderId="20" xfId="8" applyFont="1" applyBorder="1" applyAlignment="1">
      <alignment horizontal="left" vertical="center" wrapText="1"/>
    </xf>
    <xf numFmtId="0" fontId="14" fillId="0" borderId="21" xfId="8" applyFont="1" applyBorder="1" applyAlignment="1">
      <alignment horizontal="left" vertical="center" wrapText="1"/>
    </xf>
    <xf numFmtId="0" fontId="14" fillId="0" borderId="22" xfId="8" applyFont="1" applyBorder="1" applyAlignment="1">
      <alignment horizontal="left" vertical="center" wrapText="1"/>
    </xf>
    <xf numFmtId="0" fontId="14" fillId="0" borderId="24" xfId="8" applyFont="1" applyBorder="1" applyAlignment="1">
      <alignment horizontal="left" vertical="center" wrapText="1"/>
    </xf>
    <xf numFmtId="0" fontId="14" fillId="0" borderId="25" xfId="8" applyFont="1" applyBorder="1" applyAlignment="1">
      <alignment horizontal="left" vertical="center" wrapText="1"/>
    </xf>
    <xf numFmtId="0" fontId="14" fillId="0" borderId="26" xfId="8" applyFont="1" applyBorder="1" applyAlignment="1">
      <alignment horizontal="left" vertical="center" wrapText="1"/>
    </xf>
    <xf numFmtId="0" fontId="4" fillId="0" borderId="20" xfId="8" applyFont="1" applyBorder="1" applyAlignment="1">
      <alignment horizontal="left" vertical="center" wrapText="1"/>
    </xf>
    <xf numFmtId="0" fontId="4" fillId="0" borderId="21" xfId="8" applyFont="1" applyBorder="1" applyAlignment="1">
      <alignment horizontal="left" vertical="center" wrapText="1"/>
    </xf>
    <xf numFmtId="0" fontId="4" fillId="0" borderId="22" xfId="8" applyFont="1" applyBorder="1" applyAlignment="1">
      <alignment horizontal="left" vertical="center" wrapText="1"/>
    </xf>
    <xf numFmtId="0" fontId="4" fillId="0" borderId="24" xfId="8" applyFont="1" applyBorder="1" applyAlignment="1">
      <alignment horizontal="left" vertical="center" wrapText="1"/>
    </xf>
    <xf numFmtId="0" fontId="4" fillId="0" borderId="25" xfId="8" applyFont="1" applyBorder="1" applyAlignment="1">
      <alignment horizontal="left" vertical="center" wrapText="1"/>
    </xf>
    <xf numFmtId="0" fontId="4" fillId="0" borderId="26" xfId="8" applyFont="1" applyBorder="1" applyAlignment="1">
      <alignment horizontal="left" vertical="center" wrapText="1"/>
    </xf>
    <xf numFmtId="0" fontId="14" fillId="0" borderId="16" xfId="8" applyFont="1" applyBorder="1" applyAlignment="1">
      <alignment horizontal="left" wrapText="1"/>
    </xf>
    <xf numFmtId="0" fontId="14" fillId="0" borderId="18" xfId="8" applyFont="1" applyBorder="1" applyAlignment="1">
      <alignment horizontal="left" wrapText="1"/>
    </xf>
    <xf numFmtId="0" fontId="51" fillId="0" borderId="16" xfId="8" applyFont="1" applyBorder="1" applyAlignment="1">
      <alignment horizontal="left" wrapText="1"/>
    </xf>
    <xf numFmtId="0" fontId="51" fillId="0" borderId="18" xfId="8" applyFont="1" applyBorder="1" applyAlignment="1">
      <alignment horizontal="left" wrapText="1"/>
    </xf>
    <xf numFmtId="0" fontId="14" fillId="0" borderId="30" xfId="0" applyFont="1" applyBorder="1" applyAlignment="1">
      <alignment horizontal="left" vertical="center"/>
    </xf>
    <xf numFmtId="0" fontId="1" fillId="0" borderId="30" xfId="0" applyFont="1" applyBorder="1" applyAlignment="1">
      <alignment horizontal="left" vertical="center"/>
    </xf>
    <xf numFmtId="0" fontId="4" fillId="0" borderId="16" xfId="8" applyFont="1" applyBorder="1" applyAlignment="1">
      <alignment horizontal="left" wrapText="1"/>
    </xf>
    <xf numFmtId="0" fontId="4" fillId="0" borderId="18" xfId="8" applyFont="1" applyBorder="1" applyAlignment="1">
      <alignment horizontal="left" wrapText="1"/>
    </xf>
    <xf numFmtId="0" fontId="4" fillId="0" borderId="20" xfId="8" applyFont="1" applyBorder="1" applyAlignment="1">
      <alignment horizontal="center" vertical="center" wrapText="1"/>
    </xf>
    <xf numFmtId="0" fontId="4" fillId="0" borderId="21" xfId="8" applyFont="1" applyBorder="1" applyAlignment="1">
      <alignment horizontal="center" vertical="center" wrapText="1"/>
    </xf>
    <xf numFmtId="0" fontId="4" fillId="0" borderId="22" xfId="8" applyFont="1" applyBorder="1" applyAlignment="1">
      <alignment horizontal="center" vertical="center" wrapText="1"/>
    </xf>
    <xf numFmtId="0" fontId="4" fillId="0" borderId="24" xfId="8" applyFont="1" applyBorder="1" applyAlignment="1">
      <alignment horizontal="center" vertical="center" wrapText="1"/>
    </xf>
    <xf numFmtId="0" fontId="4" fillId="0" borderId="25" xfId="8" applyFont="1" applyBorder="1" applyAlignment="1">
      <alignment horizontal="center" vertical="center" wrapText="1"/>
    </xf>
    <xf numFmtId="0" fontId="4" fillId="0" borderId="26" xfId="8" applyFont="1" applyBorder="1" applyAlignment="1">
      <alignment horizontal="center" vertical="center" wrapText="1"/>
    </xf>
    <xf numFmtId="0" fontId="4" fillId="0" borderId="16" xfId="8" applyFont="1" applyBorder="1" applyAlignment="1">
      <alignment horizontal="left" vertical="center" wrapText="1"/>
    </xf>
    <xf numFmtId="0" fontId="4" fillId="0" borderId="18" xfId="8" applyFont="1" applyBorder="1" applyAlignment="1">
      <alignment horizontal="left" vertical="center" wrapText="1"/>
    </xf>
    <xf numFmtId="165" fontId="51" fillId="0" borderId="16" xfId="6" applyNumberFormat="1" applyFont="1" applyBorder="1" applyAlignment="1">
      <alignment horizontal="left" vertical="center" wrapText="1"/>
    </xf>
    <xf numFmtId="0" fontId="51" fillId="0" borderId="18" xfId="0" applyFont="1" applyBorder="1" applyAlignment="1">
      <alignment horizontal="left" vertical="center" wrapText="1"/>
    </xf>
    <xf numFmtId="165" fontId="129" fillId="0" borderId="19" xfId="8" applyNumberFormat="1" applyFont="1" applyBorder="1" applyAlignment="1">
      <alignment horizontal="left" vertical="center"/>
    </xf>
    <xf numFmtId="165" fontId="129" fillId="0" borderId="23" xfId="8" applyNumberFormat="1" applyFont="1" applyBorder="1" applyAlignment="1">
      <alignment horizontal="left" vertical="center"/>
    </xf>
    <xf numFmtId="0" fontId="51" fillId="0" borderId="20" xfId="6" applyFont="1" applyBorder="1" applyAlignment="1">
      <alignment horizontal="left"/>
    </xf>
    <xf numFmtId="0" fontId="51" fillId="0" borderId="25" xfId="6" applyFont="1" applyBorder="1" applyAlignment="1">
      <alignment horizontal="left"/>
    </xf>
    <xf numFmtId="0" fontId="51" fillId="0" borderId="19" xfId="6" applyFont="1" applyBorder="1" applyAlignment="1">
      <alignment horizontal="left" vertical="center"/>
    </xf>
    <xf numFmtId="0" fontId="51" fillId="0" borderId="23" xfId="6" applyFont="1" applyBorder="1" applyAlignment="1">
      <alignment horizontal="left" vertical="center"/>
    </xf>
    <xf numFmtId="165" fontId="120" fillId="0" borderId="50" xfId="8" applyNumberFormat="1" applyFont="1" applyBorder="1" applyAlignment="1">
      <alignment horizontal="left" vertical="center"/>
    </xf>
    <xf numFmtId="165" fontId="120" fillId="0" borderId="19" xfId="8" applyNumberFormat="1" applyFont="1" applyBorder="1" applyAlignment="1">
      <alignment horizontal="left" vertical="center"/>
    </xf>
    <xf numFmtId="165" fontId="120" fillId="0" borderId="23" xfId="8" applyNumberFormat="1" applyFont="1" applyBorder="1" applyAlignment="1">
      <alignment horizontal="left" vertical="center"/>
    </xf>
    <xf numFmtId="0" fontId="51" fillId="0" borderId="20" xfId="6" applyFont="1" applyBorder="1" applyAlignment="1">
      <alignment horizontal="left" vertical="center"/>
    </xf>
    <xf numFmtId="0" fontId="51" fillId="0" borderId="25" xfId="6" applyFont="1" applyBorder="1" applyAlignment="1">
      <alignment horizontal="left" vertical="center"/>
    </xf>
    <xf numFmtId="165" fontId="51" fillId="4" borderId="9" xfId="6" applyNumberFormat="1" applyFont="1" applyFill="1" applyBorder="1" applyAlignment="1">
      <alignment horizontal="left" vertical="center" wrapText="1"/>
    </xf>
    <xf numFmtId="165" fontId="65" fillId="4" borderId="9" xfId="6" applyNumberFormat="1" applyFont="1" applyFill="1" applyBorder="1" applyAlignment="1">
      <alignment horizontal="left" vertical="center" wrapText="1"/>
    </xf>
    <xf numFmtId="0" fontId="51" fillId="0" borderId="19" xfId="0" applyFont="1" applyBorder="1" applyAlignment="1">
      <alignment horizontal="left" vertical="center" wrapText="1"/>
    </xf>
    <xf numFmtId="0" fontId="51" fillId="0" borderId="23" xfId="0" applyFont="1" applyBorder="1" applyAlignment="1">
      <alignment horizontal="left" vertical="center" wrapText="1"/>
    </xf>
    <xf numFmtId="0" fontId="51" fillId="4" borderId="19" xfId="0" applyFont="1" applyFill="1" applyBorder="1" applyAlignment="1">
      <alignment horizontal="left" vertical="center"/>
    </xf>
    <xf numFmtId="0" fontId="51" fillId="4" borderId="23" xfId="0" applyFont="1" applyFill="1" applyBorder="1" applyAlignment="1">
      <alignment horizontal="left" vertical="center"/>
    </xf>
    <xf numFmtId="180" fontId="51" fillId="4" borderId="9" xfId="0" applyNumberFormat="1" applyFont="1" applyFill="1" applyBorder="1" applyAlignment="1">
      <alignment horizontal="left"/>
    </xf>
    <xf numFmtId="0" fontId="51" fillId="0" borderId="9" xfId="0" applyFont="1" applyBorder="1" applyAlignment="1">
      <alignment vertical="center" wrapText="1"/>
    </xf>
    <xf numFmtId="0" fontId="51" fillId="4" borderId="19" xfId="6" applyFont="1" applyFill="1" applyBorder="1" applyAlignment="1">
      <alignment horizontal="left" vertical="center"/>
    </xf>
    <xf numFmtId="0" fontId="51" fillId="4" borderId="23" xfId="6" applyFont="1" applyFill="1" applyBorder="1" applyAlignment="1">
      <alignment horizontal="left" vertical="center"/>
    </xf>
    <xf numFmtId="0" fontId="51" fillId="0" borderId="30" xfId="0" applyFont="1" applyBorder="1" applyAlignment="1">
      <alignment horizontal="left" vertical="center" wrapText="1"/>
    </xf>
    <xf numFmtId="0" fontId="51" fillId="4" borderId="30" xfId="0" applyFont="1" applyFill="1" applyBorder="1" applyAlignment="1">
      <alignment horizontal="left" vertical="center" wrapText="1"/>
    </xf>
    <xf numFmtId="165" fontId="51" fillId="0" borderId="16" xfId="13" applyNumberFormat="1" applyFont="1" applyBorder="1" applyAlignment="1">
      <alignment horizontal="center" vertical="center" wrapText="1"/>
    </xf>
    <xf numFmtId="165" fontId="51" fillId="0" borderId="18" xfId="13" applyNumberFormat="1" applyFont="1" applyBorder="1" applyAlignment="1">
      <alignment horizontal="center" vertical="center" wrapText="1"/>
    </xf>
    <xf numFmtId="0" fontId="65" fillId="0" borderId="16" xfId="0" applyFont="1" applyBorder="1" applyAlignment="1">
      <alignment horizontal="left" vertical="center" wrapText="1"/>
    </xf>
    <xf numFmtId="0" fontId="65" fillId="0" borderId="18" xfId="0" applyFont="1" applyBorder="1" applyAlignment="1">
      <alignment horizontal="left" vertical="center" wrapText="1"/>
    </xf>
    <xf numFmtId="0" fontId="51" fillId="0" borderId="16" xfId="0" applyFont="1" applyBorder="1" applyAlignment="1">
      <alignment horizontal="left" vertical="center" wrapText="1"/>
    </xf>
    <xf numFmtId="0" fontId="51" fillId="0" borderId="19" xfId="0" applyFont="1" applyBorder="1" applyAlignment="1">
      <alignment horizontal="left" vertical="center"/>
    </xf>
    <xf numFmtId="0" fontId="51" fillId="0" borderId="23" xfId="0" applyFont="1" applyBorder="1" applyAlignment="1">
      <alignment horizontal="left" vertical="center"/>
    </xf>
    <xf numFmtId="165" fontId="51" fillId="0" borderId="16" xfId="13" applyNumberFormat="1" applyFont="1" applyBorder="1" applyAlignment="1">
      <alignment horizontal="left" vertical="center" wrapText="1"/>
    </xf>
    <xf numFmtId="165" fontId="51" fillId="0" borderId="18" xfId="13" applyNumberFormat="1" applyFont="1" applyBorder="1" applyAlignment="1">
      <alignment horizontal="left" vertical="center" wrapText="1"/>
    </xf>
    <xf numFmtId="0" fontId="51" fillId="0" borderId="19" xfId="0" applyFont="1" applyBorder="1" applyAlignment="1">
      <alignment vertical="center" wrapText="1"/>
    </xf>
    <xf numFmtId="0" fontId="51" fillId="0" borderId="23" xfId="0" applyFont="1" applyBorder="1" applyAlignment="1">
      <alignment vertical="center" wrapText="1"/>
    </xf>
    <xf numFmtId="0" fontId="51" fillId="0" borderId="30" xfId="0" applyFont="1" applyBorder="1" applyAlignment="1">
      <alignment horizontal="left" vertical="center"/>
    </xf>
    <xf numFmtId="3" fontId="51" fillId="0" borderId="16" xfId="0" applyNumberFormat="1" applyFont="1" applyBorder="1" applyAlignment="1">
      <alignment horizontal="left" vertical="center" wrapText="1"/>
    </xf>
    <xf numFmtId="3" fontId="51" fillId="0" borderId="18" xfId="0" applyNumberFormat="1" applyFont="1" applyBorder="1" applyAlignment="1">
      <alignment horizontal="left" vertical="center" wrapText="1"/>
    </xf>
    <xf numFmtId="3" fontId="65" fillId="0" borderId="9" xfId="0" applyNumberFormat="1" applyFont="1" applyBorder="1" applyAlignment="1">
      <alignment horizontal="left" vertical="center" wrapText="1"/>
    </xf>
    <xf numFmtId="0" fontId="65" fillId="0" borderId="17" xfId="0" applyFont="1" applyBorder="1" applyAlignment="1">
      <alignment horizontal="left" vertical="center" wrapText="1"/>
    </xf>
    <xf numFmtId="0" fontId="51" fillId="0" borderId="9" xfId="0" applyFont="1" applyBorder="1" applyAlignment="1">
      <alignment horizontal="left" vertical="center" wrapText="1"/>
    </xf>
    <xf numFmtId="0" fontId="34" fillId="0" borderId="9" xfId="8" applyFont="1" applyBorder="1" applyAlignment="1">
      <alignment horizontal="left" vertical="center"/>
    </xf>
    <xf numFmtId="0" fontId="51" fillId="11" borderId="16" xfId="0" applyFont="1" applyFill="1" applyBorder="1" applyAlignment="1">
      <alignment horizontal="center" vertical="center" wrapText="1"/>
    </xf>
    <xf numFmtId="0" fontId="51" fillId="11" borderId="18" xfId="0" applyFont="1" applyFill="1" applyBorder="1" applyAlignment="1">
      <alignment horizontal="center" vertical="center" wrapText="1"/>
    </xf>
    <xf numFmtId="9" fontId="51" fillId="4" borderId="16" xfId="0" applyNumberFormat="1" applyFont="1" applyFill="1" applyBorder="1" applyAlignment="1">
      <alignment horizontal="left" vertical="center" wrapText="1"/>
    </xf>
    <xf numFmtId="9" fontId="51" fillId="4" borderId="18" xfId="0" applyNumberFormat="1" applyFont="1" applyFill="1" applyBorder="1" applyAlignment="1">
      <alignment horizontal="left" vertical="center" wrapText="1"/>
    </xf>
    <xf numFmtId="180" fontId="51" fillId="4" borderId="16" xfId="0" applyNumberFormat="1" applyFont="1" applyFill="1" applyBorder="1" applyAlignment="1">
      <alignment horizontal="left" vertical="center" wrapText="1"/>
    </xf>
    <xf numFmtId="180" fontId="51" fillId="4" borderId="18" xfId="0" applyNumberFormat="1" applyFont="1" applyFill="1" applyBorder="1" applyAlignment="1">
      <alignment horizontal="left" vertical="center" wrapText="1"/>
    </xf>
    <xf numFmtId="0" fontId="51" fillId="4" borderId="16" xfId="0" applyFont="1" applyFill="1" applyBorder="1" applyAlignment="1">
      <alignment horizontal="left" vertical="center" wrapText="1"/>
    </xf>
    <xf numFmtId="0" fontId="51" fillId="4" borderId="18" xfId="0" applyFont="1" applyFill="1" applyBorder="1" applyAlignment="1">
      <alignment horizontal="left" vertical="center" wrapText="1"/>
    </xf>
    <xf numFmtId="0" fontId="51" fillId="0" borderId="30" xfId="0" applyFont="1" applyBorder="1" applyAlignment="1">
      <alignment vertical="center" wrapText="1"/>
    </xf>
    <xf numFmtId="0" fontId="6" fillId="0" borderId="0" xfId="0" applyFont="1" applyAlignment="1">
      <alignment vertical="center"/>
    </xf>
    <xf numFmtId="0" fontId="4" fillId="0" borderId="0" xfId="0" applyFont="1" applyAlignment="1">
      <alignment vertical="center"/>
    </xf>
    <xf numFmtId="0" fontId="14" fillId="17" borderId="16" xfId="0" applyFont="1" applyFill="1" applyBorder="1" applyAlignment="1">
      <alignment horizontal="left"/>
    </xf>
    <xf numFmtId="0" fontId="14" fillId="17" borderId="17" xfId="0" applyFont="1" applyFill="1" applyBorder="1" applyAlignment="1">
      <alignment horizontal="left"/>
    </xf>
    <xf numFmtId="0" fontId="51" fillId="0" borderId="9" xfId="8" applyFont="1" applyBorder="1" applyAlignment="1">
      <alignment horizontal="left"/>
    </xf>
    <xf numFmtId="0" fontId="4" fillId="0" borderId="9" xfId="0" applyFont="1" applyBorder="1" applyAlignment="1">
      <alignment horizontal="left" vertical="center"/>
    </xf>
    <xf numFmtId="0" fontId="51" fillId="0" borderId="9" xfId="0" applyFont="1" applyBorder="1" applyAlignment="1">
      <alignment horizontal="left" vertical="center"/>
    </xf>
    <xf numFmtId="0" fontId="14" fillId="0" borderId="9" xfId="0" applyFont="1" applyBorder="1" applyAlignment="1">
      <alignment horizontal="left" vertical="center"/>
    </xf>
    <xf numFmtId="0" fontId="4" fillId="0" borderId="9" xfId="8" applyFont="1" applyBorder="1" applyAlignment="1">
      <alignment horizontal="left"/>
    </xf>
    <xf numFmtId="0" fontId="14" fillId="0" borderId="9" xfId="8" applyFont="1" applyBorder="1" applyAlignment="1">
      <alignment horizontal="left"/>
    </xf>
    <xf numFmtId="0" fontId="14" fillId="0" borderId="19" xfId="0" applyFont="1" applyBorder="1" applyAlignment="1">
      <alignment horizontal="left" vertical="center"/>
    </xf>
    <xf numFmtId="0" fontId="14" fillId="0" borderId="9" xfId="8" applyFont="1" applyBorder="1" applyAlignment="1">
      <alignment vertical="center"/>
    </xf>
    <xf numFmtId="0" fontId="4" fillId="0" borderId="9" xfId="8" applyFont="1" applyBorder="1" applyAlignment="1">
      <alignment horizontal="left" vertical="center"/>
    </xf>
    <xf numFmtId="0" fontId="4" fillId="0" borderId="19" xfId="8" applyFont="1" applyBorder="1" applyAlignment="1">
      <alignment horizontal="left" vertical="center"/>
    </xf>
    <xf numFmtId="0" fontId="4" fillId="0" borderId="30" xfId="8" applyFont="1" applyBorder="1" applyAlignment="1">
      <alignment horizontal="left" vertical="center"/>
    </xf>
    <xf numFmtId="0" fontId="4" fillId="0" borderId="23" xfId="8" applyFont="1" applyBorder="1" applyAlignment="1">
      <alignment horizontal="left" vertical="center"/>
    </xf>
    <xf numFmtId="0" fontId="14" fillId="0" borderId="9" xfId="0" applyFont="1" applyBorder="1" applyAlignment="1">
      <alignment horizontal="center" vertical="center" wrapText="1"/>
    </xf>
    <xf numFmtId="0" fontId="4" fillId="0" borderId="9" xfId="0" applyFont="1" applyBorder="1" applyAlignment="1">
      <alignment horizontal="left" vertical="center" wrapText="1"/>
    </xf>
    <xf numFmtId="0" fontId="14" fillId="0" borderId="9" xfId="0" applyFont="1" applyBorder="1" applyAlignment="1">
      <alignment horizontal="left" vertical="center" wrapText="1"/>
    </xf>
    <xf numFmtId="0" fontId="14" fillId="0" borderId="9" xfId="8" applyFont="1" applyBorder="1" applyAlignment="1">
      <alignment horizontal="left" vertical="center"/>
    </xf>
    <xf numFmtId="0" fontId="14" fillId="0" borderId="19" xfId="0" applyFont="1" applyBorder="1" applyAlignment="1">
      <alignment horizontal="left" vertical="center" wrapText="1"/>
    </xf>
    <xf numFmtId="0" fontId="14" fillId="0" borderId="30" xfId="0" applyFont="1" applyBorder="1" applyAlignment="1">
      <alignment horizontal="left" vertical="center" wrapText="1"/>
    </xf>
    <xf numFmtId="0" fontId="14" fillId="0" borderId="23" xfId="0" applyFont="1" applyBorder="1" applyAlignment="1">
      <alignment horizontal="left" vertical="center" wrapText="1"/>
    </xf>
    <xf numFmtId="0" fontId="118" fillId="0" borderId="0" xfId="0" applyFont="1" applyAlignment="1">
      <alignment wrapText="1"/>
    </xf>
    <xf numFmtId="0" fontId="65" fillId="0" borderId="0" xfId="0" applyFont="1" applyAlignment="1">
      <alignment wrapText="1"/>
    </xf>
    <xf numFmtId="0" fontId="51" fillId="0" borderId="18" xfId="0" applyFont="1" applyBorder="1" applyAlignment="1">
      <alignment horizontal="center" vertical="center" wrapText="1"/>
    </xf>
    <xf numFmtId="190" fontId="51" fillId="0" borderId="16" xfId="0" applyNumberFormat="1" applyFont="1" applyBorder="1" applyAlignment="1">
      <alignment horizontal="left" vertical="center" wrapText="1"/>
    </xf>
    <xf numFmtId="190" fontId="51" fillId="0" borderId="18" xfId="0" applyNumberFormat="1" applyFont="1" applyBorder="1" applyAlignment="1">
      <alignment horizontal="left" vertical="center" wrapText="1"/>
    </xf>
    <xf numFmtId="190" fontId="65" fillId="0" borderId="16" xfId="0" applyNumberFormat="1" applyFont="1" applyBorder="1" applyAlignment="1">
      <alignment horizontal="left" vertical="center" wrapText="1"/>
    </xf>
    <xf numFmtId="190" fontId="65" fillId="0" borderId="18" xfId="0" applyNumberFormat="1" applyFont="1" applyBorder="1" applyAlignment="1">
      <alignment horizontal="left" vertical="center" wrapText="1"/>
    </xf>
    <xf numFmtId="9" fontId="51" fillId="4" borderId="9" xfId="0" applyNumberFormat="1" applyFont="1" applyFill="1" applyBorder="1" applyAlignment="1">
      <alignment horizontal="left" vertical="center" wrapText="1"/>
    </xf>
    <xf numFmtId="165" fontId="51" fillId="0" borderId="9" xfId="13" applyNumberFormat="1" applyFont="1" applyBorder="1" applyAlignment="1">
      <alignment horizontal="left" vertical="center" wrapText="1"/>
    </xf>
    <xf numFmtId="0" fontId="51" fillId="0" borderId="17" xfId="0" applyFont="1" applyBorder="1" applyAlignment="1">
      <alignment horizontal="left" vertical="center" wrapText="1"/>
    </xf>
    <xf numFmtId="3" fontId="51" fillId="0" borderId="9" xfId="0" applyNumberFormat="1" applyFont="1" applyBorder="1" applyAlignment="1">
      <alignment horizontal="left" vertical="center" wrapText="1"/>
    </xf>
    <xf numFmtId="165" fontId="65" fillId="4" borderId="9" xfId="0" applyNumberFormat="1" applyFont="1" applyFill="1" applyBorder="1" applyAlignment="1">
      <alignment horizontal="left" vertical="center" wrapText="1"/>
    </xf>
    <xf numFmtId="0" fontId="51" fillId="4" borderId="9" xfId="0" applyFont="1" applyFill="1" applyBorder="1" applyAlignment="1">
      <alignment vertical="center" wrapText="1"/>
    </xf>
    <xf numFmtId="9" fontId="51" fillId="0" borderId="9" xfId="0" applyNumberFormat="1" applyFont="1" applyBorder="1" applyAlignment="1">
      <alignment horizontal="left" vertical="center" wrapText="1"/>
    </xf>
    <xf numFmtId="2" fontId="65" fillId="4" borderId="9" xfId="0" applyNumberFormat="1" applyFont="1" applyFill="1" applyBorder="1" applyAlignment="1">
      <alignment horizontal="left" vertical="center" wrapText="1"/>
    </xf>
    <xf numFmtId="180" fontId="65" fillId="4" borderId="9" xfId="0" applyNumberFormat="1" applyFont="1" applyFill="1" applyBorder="1" applyAlignment="1">
      <alignment horizontal="left" vertical="center" wrapText="1"/>
    </xf>
    <xf numFmtId="2" fontId="51" fillId="4" borderId="9" xfId="0" applyNumberFormat="1" applyFont="1" applyFill="1" applyBorder="1" applyAlignment="1">
      <alignment horizontal="left" vertical="center" wrapText="1"/>
    </xf>
    <xf numFmtId="3" fontId="51" fillId="0" borderId="9" xfId="0" applyNumberFormat="1" applyFont="1" applyBorder="1" applyAlignment="1">
      <alignment vertical="center" wrapText="1"/>
    </xf>
    <xf numFmtId="0" fontId="65" fillId="0" borderId="20" xfId="0" applyFont="1" applyBorder="1" applyAlignment="1">
      <alignment horizontal="left" vertical="center" wrapText="1"/>
    </xf>
    <xf numFmtId="0" fontId="65" fillId="0" borderId="21" xfId="0" applyFont="1" applyBorder="1" applyAlignment="1">
      <alignment horizontal="left" vertical="center" wrapText="1"/>
    </xf>
    <xf numFmtId="0" fontId="65" fillId="0" borderId="25" xfId="0" applyFont="1" applyBorder="1" applyAlignment="1">
      <alignment horizontal="left" vertical="center" wrapText="1"/>
    </xf>
    <xf numFmtId="0" fontId="65" fillId="0" borderId="26" xfId="0" applyFont="1" applyBorder="1" applyAlignment="1">
      <alignment horizontal="left" vertical="center" wrapText="1"/>
    </xf>
    <xf numFmtId="0" fontId="51" fillId="4" borderId="19" xfId="6" applyFont="1" applyFill="1" applyBorder="1" applyAlignment="1">
      <alignment vertical="center"/>
    </xf>
    <xf numFmtId="0" fontId="51" fillId="4" borderId="30" xfId="6" applyFont="1" applyFill="1" applyBorder="1" applyAlignment="1">
      <alignment vertical="center"/>
    </xf>
    <xf numFmtId="0" fontId="51" fillId="4" borderId="23" xfId="6" applyFont="1" applyFill="1" applyBorder="1" applyAlignment="1">
      <alignment vertical="center"/>
    </xf>
    <xf numFmtId="39" fontId="51" fillId="0" borderId="9" xfId="1" applyNumberFormat="1" applyFont="1" applyFill="1" applyBorder="1" applyAlignment="1">
      <alignment horizontal="left" vertical="center" wrapText="1"/>
    </xf>
    <xf numFmtId="7" fontId="65" fillId="0" borderId="9" xfId="2" applyNumberFormat="1" applyFont="1" applyFill="1" applyBorder="1" applyAlignment="1">
      <alignment horizontal="left"/>
    </xf>
    <xf numFmtId="165" fontId="65" fillId="0" borderId="9" xfId="8" applyNumberFormat="1" applyFont="1" applyBorder="1" applyAlignment="1">
      <alignment horizontal="left" wrapText="1"/>
    </xf>
    <xf numFmtId="0" fontId="51" fillId="4" borderId="9" xfId="0" applyFont="1" applyFill="1" applyBorder="1" applyAlignment="1">
      <alignment horizontal="left" vertical="center"/>
    </xf>
    <xf numFmtId="0" fontId="120" fillId="4" borderId="19" xfId="8" applyFont="1" applyFill="1" applyBorder="1" applyAlignment="1">
      <alignment horizontal="left" vertical="center"/>
    </xf>
    <xf numFmtId="0" fontId="120" fillId="4" borderId="23" xfId="8" applyFont="1" applyFill="1" applyBorder="1" applyAlignment="1">
      <alignment horizontal="left" vertical="center"/>
    </xf>
    <xf numFmtId="0" fontId="51" fillId="4" borderId="17" xfId="0" applyFont="1" applyFill="1" applyBorder="1" applyAlignment="1">
      <alignment horizontal="left" vertical="center" wrapText="1"/>
    </xf>
    <xf numFmtId="0" fontId="65" fillId="4" borderId="16" xfId="0" applyFont="1" applyFill="1" applyBorder="1" applyAlignment="1">
      <alignment horizontal="left" vertical="center" wrapText="1"/>
    </xf>
    <xf numFmtId="0" fontId="65" fillId="4" borderId="17" xfId="0" applyFont="1" applyFill="1" applyBorder="1" applyAlignment="1">
      <alignment horizontal="left" vertical="center" wrapText="1"/>
    </xf>
    <xf numFmtId="0" fontId="65" fillId="4" borderId="18" xfId="0" applyFont="1" applyFill="1" applyBorder="1" applyAlignment="1">
      <alignment horizontal="left" vertical="center" wrapText="1"/>
    </xf>
    <xf numFmtId="9" fontId="65" fillId="0" borderId="9" xfId="0" applyNumberFormat="1" applyFont="1" applyBorder="1" applyAlignment="1">
      <alignment horizontal="left" vertical="center" wrapText="1"/>
    </xf>
    <xf numFmtId="0" fontId="65" fillId="0" borderId="16" xfId="0" applyFont="1" applyBorder="1" applyAlignment="1">
      <alignment wrapText="1"/>
    </xf>
    <xf numFmtId="0" fontId="65" fillId="0" borderId="18" xfId="0" applyFont="1" applyBorder="1" applyAlignment="1">
      <alignment wrapText="1"/>
    </xf>
    <xf numFmtId="0" fontId="120" fillId="0" borderId="9" xfId="8" applyFont="1" applyBorder="1" applyAlignment="1">
      <alignment horizontal="left" vertical="center"/>
    </xf>
    <xf numFmtId="0" fontId="51" fillId="4" borderId="9" xfId="6" applyFont="1" applyFill="1" applyBorder="1" applyAlignment="1">
      <alignment vertical="center"/>
    </xf>
    <xf numFmtId="0" fontId="51" fillId="0" borderId="16" xfId="0" applyFont="1" applyBorder="1" applyAlignment="1">
      <alignment horizontal="center" vertical="center" wrapText="1"/>
    </xf>
    <xf numFmtId="0" fontId="51" fillId="0" borderId="17" xfId="0" applyFont="1" applyBorder="1" applyAlignment="1">
      <alignment horizontal="center" vertical="center" wrapText="1"/>
    </xf>
    <xf numFmtId="0" fontId="51" fillId="0" borderId="18" xfId="0" applyFont="1" applyBorder="1" applyAlignment="1">
      <alignment wrapText="1"/>
    </xf>
    <xf numFmtId="0" fontId="65" fillId="0" borderId="20" xfId="0" applyFont="1" applyBorder="1" applyAlignment="1">
      <alignment horizontal="center" vertical="center" wrapText="1"/>
    </xf>
    <xf numFmtId="0" fontId="65" fillId="0" borderId="21" xfId="0" applyFont="1" applyBorder="1" applyAlignment="1">
      <alignment horizontal="center" vertical="center" wrapText="1"/>
    </xf>
    <xf numFmtId="0" fontId="65" fillId="0" borderId="25" xfId="0" applyFont="1" applyBorder="1" applyAlignment="1">
      <alignment horizontal="center" vertical="center" wrapText="1"/>
    </xf>
    <xf numFmtId="0" fontId="65" fillId="0" borderId="26" xfId="0" applyFont="1" applyBorder="1" applyAlignment="1">
      <alignment horizontal="center" vertical="center" wrapText="1"/>
    </xf>
    <xf numFmtId="0" fontId="65" fillId="0" borderId="20" xfId="0" applyFont="1" applyBorder="1" applyAlignment="1">
      <alignment vertical="center"/>
    </xf>
    <xf numFmtId="0" fontId="65" fillId="0" borderId="21" xfId="0" applyFont="1" applyBorder="1" applyAlignment="1">
      <alignment vertical="center"/>
    </xf>
    <xf numFmtId="0" fontId="65" fillId="0" borderId="22" xfId="0" applyFont="1" applyBorder="1" applyAlignment="1">
      <alignment vertical="center"/>
    </xf>
    <xf numFmtId="0" fontId="65" fillId="0" borderId="24" xfId="0" applyFont="1" applyBorder="1" applyAlignment="1">
      <alignment vertical="center"/>
    </xf>
    <xf numFmtId="0" fontId="65" fillId="0" borderId="25" xfId="0" applyFont="1" applyBorder="1" applyAlignment="1">
      <alignment vertical="center"/>
    </xf>
    <xf numFmtId="0" fontId="65" fillId="0" borderId="26" xfId="0" applyFont="1" applyBorder="1" applyAlignment="1">
      <alignment vertical="center"/>
    </xf>
    <xf numFmtId="0" fontId="51" fillId="0" borderId="16" xfId="0" applyFont="1" applyBorder="1" applyAlignment="1">
      <alignment wrapText="1"/>
    </xf>
    <xf numFmtId="7" fontId="65" fillId="0" borderId="9" xfId="2" applyNumberFormat="1" applyFont="1" applyBorder="1" applyAlignment="1">
      <alignment horizontal="left" wrapText="1"/>
    </xf>
    <xf numFmtId="178" fontId="51" fillId="4" borderId="9" xfId="0" applyNumberFormat="1" applyFont="1" applyFill="1" applyBorder="1" applyAlignment="1">
      <alignment horizontal="left" vertical="center" wrapText="1"/>
    </xf>
    <xf numFmtId="180" fontId="51" fillId="4" borderId="9" xfId="0" applyNumberFormat="1" applyFont="1" applyFill="1" applyBorder="1" applyAlignment="1">
      <alignment horizontal="left" vertical="center" wrapText="1"/>
    </xf>
    <xf numFmtId="0" fontId="120" fillId="4" borderId="9" xfId="8" applyFont="1" applyFill="1" applyBorder="1" applyAlignment="1">
      <alignment vertical="center"/>
    </xf>
    <xf numFmtId="0" fontId="120" fillId="4" borderId="50" xfId="8" applyFont="1" applyFill="1" applyBorder="1" applyAlignment="1">
      <alignment vertical="center"/>
    </xf>
    <xf numFmtId="0" fontId="51" fillId="4" borderId="50" xfId="8" applyFont="1" applyFill="1" applyBorder="1" applyAlignment="1">
      <alignment vertical="center"/>
    </xf>
    <xf numFmtId="165" fontId="65" fillId="0" borderId="16" xfId="13" applyNumberFormat="1" applyFont="1" applyBorder="1" applyAlignment="1">
      <alignment horizontal="left" vertical="center" wrapText="1"/>
    </xf>
    <xf numFmtId="165" fontId="65" fillId="0" borderId="18" xfId="13" applyNumberFormat="1" applyFont="1" applyBorder="1" applyAlignment="1">
      <alignment horizontal="left" vertical="center" wrapText="1"/>
    </xf>
    <xf numFmtId="0" fontId="4" fillId="16" borderId="19" xfId="0" applyFont="1" applyFill="1" applyBorder="1" applyAlignment="1">
      <alignment horizontal="center" vertical="center" wrapText="1"/>
    </xf>
    <xf numFmtId="0" fontId="4" fillId="16" borderId="30" xfId="0" applyFont="1" applyFill="1" applyBorder="1" applyAlignment="1">
      <alignment horizontal="center" vertical="center" wrapText="1"/>
    </xf>
    <xf numFmtId="0" fontId="4" fillId="16" borderId="23" xfId="0" applyFont="1" applyFill="1" applyBorder="1" applyAlignment="1">
      <alignment horizontal="center" vertical="center" wrapText="1"/>
    </xf>
    <xf numFmtId="0" fontId="65" fillId="0" borderId="16" xfId="8" applyFont="1" applyBorder="1" applyAlignment="1">
      <alignment horizontal="left" vertical="center" wrapText="1"/>
    </xf>
    <xf numFmtId="0" fontId="65" fillId="0" borderId="18" xfId="8" applyFont="1" applyBorder="1" applyAlignment="1">
      <alignment horizontal="left" vertical="center" wrapText="1"/>
    </xf>
    <xf numFmtId="0" fontId="65" fillId="0" borderId="20" xfId="8" applyFont="1" applyBorder="1" applyAlignment="1">
      <alignment horizontal="left" vertical="center" wrapText="1"/>
    </xf>
    <xf numFmtId="0" fontId="65" fillId="0" borderId="21" xfId="8" applyFont="1" applyBorder="1" applyAlignment="1">
      <alignment horizontal="left" vertical="center" wrapText="1"/>
    </xf>
    <xf numFmtId="0" fontId="51" fillId="4" borderId="30" xfId="8" applyFont="1" applyFill="1" applyBorder="1" applyAlignment="1">
      <alignment horizontal="left" vertical="center" wrapText="1"/>
    </xf>
    <xf numFmtId="0" fontId="51" fillId="4" borderId="9" xfId="8" applyFont="1" applyFill="1" applyBorder="1" applyAlignment="1">
      <alignment horizontal="left"/>
    </xf>
    <xf numFmtId="0" fontId="51" fillId="4" borderId="9" xfId="8" applyFont="1" applyFill="1" applyBorder="1" applyAlignment="1">
      <alignment horizontal="center"/>
    </xf>
    <xf numFmtId="0" fontId="65" fillId="4" borderId="9" xfId="8" quotePrefix="1" applyFont="1" applyFill="1" applyBorder="1" applyAlignment="1">
      <alignment wrapText="1"/>
    </xf>
    <xf numFmtId="0" fontId="65" fillId="4" borderId="9" xfId="8" applyFont="1" applyFill="1" applyBorder="1" applyAlignment="1">
      <alignment horizontal="left" vertical="center" wrapText="1"/>
    </xf>
    <xf numFmtId="0" fontId="120" fillId="4" borderId="19" xfId="8" applyFont="1" applyFill="1" applyBorder="1" applyAlignment="1">
      <alignment horizontal="left" vertical="center" wrapText="1"/>
    </xf>
    <xf numFmtId="0" fontId="120" fillId="4" borderId="30" xfId="8" applyFont="1" applyFill="1" applyBorder="1" applyAlignment="1">
      <alignment horizontal="left" vertical="center" wrapText="1"/>
    </xf>
    <xf numFmtId="0" fontId="120" fillId="4" borderId="23" xfId="8" applyFont="1" applyFill="1" applyBorder="1" applyAlignment="1">
      <alignment horizontal="left" vertical="center" wrapText="1"/>
    </xf>
    <xf numFmtId="0" fontId="51" fillId="4" borderId="19" xfId="8" applyFont="1" applyFill="1" applyBorder="1" applyAlignment="1">
      <alignment horizontal="left" vertical="center"/>
    </xf>
    <xf numFmtId="0" fontId="51" fillId="4" borderId="30" xfId="8" applyFont="1" applyFill="1" applyBorder="1" applyAlignment="1">
      <alignment horizontal="left" vertical="center"/>
    </xf>
    <xf numFmtId="0" fontId="51" fillId="4" borderId="23" xfId="8" applyFont="1" applyFill="1" applyBorder="1" applyAlignment="1">
      <alignment horizontal="left" vertical="center"/>
    </xf>
    <xf numFmtId="0" fontId="65" fillId="4" borderId="19" xfId="8" applyFont="1" applyFill="1" applyBorder="1" applyAlignment="1">
      <alignment horizontal="left" vertical="center" wrapText="1"/>
    </xf>
    <xf numFmtId="0" fontId="65" fillId="4" borderId="30" xfId="8" applyFont="1" applyFill="1" applyBorder="1" applyAlignment="1">
      <alignment horizontal="left" vertical="center" wrapText="1"/>
    </xf>
    <xf numFmtId="0" fontId="65" fillId="4" borderId="23" xfId="8" applyFont="1" applyFill="1" applyBorder="1" applyAlignment="1">
      <alignment horizontal="left" vertical="center" wrapText="1"/>
    </xf>
    <xf numFmtId="0" fontId="100" fillId="46" borderId="9" xfId="0" applyFont="1" applyFill="1" applyBorder="1" applyAlignment="1">
      <alignment horizontal="center" vertical="center"/>
    </xf>
    <xf numFmtId="0" fontId="14" fillId="4" borderId="9" xfId="0" applyFont="1" applyFill="1" applyBorder="1" applyAlignment="1">
      <alignment horizontal="center" vertical="center" wrapText="1"/>
    </xf>
    <xf numFmtId="0" fontId="14" fillId="16" borderId="9" xfId="0" applyFont="1" applyFill="1" applyBorder="1" applyAlignment="1">
      <alignment horizontal="left" vertical="top"/>
    </xf>
    <xf numFmtId="0" fontId="51" fillId="16" borderId="9" xfId="0" applyFont="1" applyFill="1" applyBorder="1" applyAlignment="1">
      <alignment horizontal="left" vertical="top"/>
    </xf>
    <xf numFmtId="0" fontId="4" fillId="4" borderId="9" xfId="0" applyFont="1" applyFill="1" applyBorder="1" applyAlignment="1">
      <alignment horizontal="left" vertical="top" wrapText="1"/>
    </xf>
    <xf numFmtId="168" fontId="51" fillId="4" borderId="9" xfId="0" applyNumberFormat="1" applyFont="1" applyFill="1" applyBorder="1" applyAlignment="1">
      <alignment horizontal="left" vertical="top"/>
    </xf>
    <xf numFmtId="0" fontId="14" fillId="16" borderId="9" xfId="0" applyFont="1" applyFill="1" applyBorder="1" applyAlignment="1">
      <alignment horizontal="left" vertical="center" wrapText="1"/>
    </xf>
    <xf numFmtId="0" fontId="4" fillId="16" borderId="9" xfId="0" applyFont="1" applyFill="1" applyBorder="1" applyAlignment="1">
      <alignment horizontal="left" vertical="center" wrapText="1"/>
    </xf>
    <xf numFmtId="0" fontId="14" fillId="4" borderId="9" xfId="0" applyFont="1" applyFill="1" applyBorder="1" applyAlignment="1">
      <alignment horizontal="left" vertical="center" wrapText="1"/>
    </xf>
    <xf numFmtId="0" fontId="65" fillId="4" borderId="9" xfId="0" applyFont="1" applyFill="1" applyBorder="1" applyAlignment="1">
      <alignment horizontal="left" vertical="top" wrapText="1"/>
    </xf>
    <xf numFmtId="0" fontId="14" fillId="4" borderId="16" xfId="0" applyFont="1" applyFill="1" applyBorder="1" applyAlignment="1">
      <alignment horizontal="left" vertical="top" wrapText="1"/>
    </xf>
    <xf numFmtId="0" fontId="14" fillId="4" borderId="17" xfId="0" applyFont="1" applyFill="1" applyBorder="1" applyAlignment="1">
      <alignment horizontal="left" vertical="top" wrapText="1"/>
    </xf>
    <xf numFmtId="0" fontId="14" fillId="4" borderId="18" xfId="0" applyFont="1" applyFill="1" applyBorder="1" applyAlignment="1">
      <alignment horizontal="left" vertical="top" wrapText="1"/>
    </xf>
    <xf numFmtId="0" fontId="51" fillId="4" borderId="16" xfId="0" applyFont="1" applyFill="1" applyBorder="1" applyAlignment="1">
      <alignment horizontal="left" vertical="top" wrapText="1"/>
    </xf>
    <xf numFmtId="0" fontId="51" fillId="4" borderId="17" xfId="0" applyFont="1" applyFill="1" applyBorder="1" applyAlignment="1">
      <alignment horizontal="left" vertical="top" wrapText="1"/>
    </xf>
    <xf numFmtId="0" fontId="51" fillId="4" borderId="18" xfId="0" applyFont="1" applyFill="1" applyBorder="1" applyAlignment="1">
      <alignment horizontal="left" vertical="top" wrapText="1"/>
    </xf>
    <xf numFmtId="0" fontId="4" fillId="4" borderId="9" xfId="0" applyFont="1" applyFill="1" applyBorder="1" applyAlignment="1">
      <alignment horizontal="left" vertical="center" wrapText="1"/>
    </xf>
    <xf numFmtId="0" fontId="65" fillId="0" borderId="19" xfId="8" applyFont="1" applyBorder="1" applyAlignment="1">
      <alignment horizontal="left" vertical="center"/>
    </xf>
    <xf numFmtId="0" fontId="65" fillId="0" borderId="30" xfId="8" applyFont="1" applyBorder="1" applyAlignment="1">
      <alignment horizontal="left" vertical="center"/>
    </xf>
    <xf numFmtId="0" fontId="65" fillId="0" borderId="23" xfId="0" applyFont="1" applyBorder="1" applyAlignment="1">
      <alignment horizontal="left" vertical="center"/>
    </xf>
    <xf numFmtId="0" fontId="14" fillId="4" borderId="9" xfId="0" applyFont="1" applyFill="1" applyBorder="1" applyAlignment="1">
      <alignment horizontal="left" vertical="top" wrapText="1"/>
    </xf>
    <xf numFmtId="0" fontId="14" fillId="4" borderId="9" xfId="0" applyFont="1" applyFill="1" applyBorder="1" applyAlignment="1">
      <alignment vertical="center" wrapText="1"/>
    </xf>
    <xf numFmtId="0" fontId="51" fillId="4" borderId="9" xfId="0" applyFont="1" applyFill="1" applyBorder="1" applyAlignment="1">
      <alignment horizontal="left" vertical="top"/>
    </xf>
    <xf numFmtId="0" fontId="4" fillId="0" borderId="9" xfId="0" applyFont="1" applyBorder="1" applyAlignment="1">
      <alignment horizontal="left" vertical="top" wrapText="1"/>
    </xf>
    <xf numFmtId="0" fontId="14" fillId="0" borderId="9" xfId="0" applyFont="1" applyBorder="1" applyAlignment="1">
      <alignment horizontal="left" vertical="top" wrapText="1"/>
    </xf>
    <xf numFmtId="0" fontId="65" fillId="0" borderId="23" xfId="8" applyFont="1" applyBorder="1" applyAlignment="1">
      <alignment horizontal="left" vertical="center"/>
    </xf>
    <xf numFmtId="0" fontId="51" fillId="0" borderId="19" xfId="8" applyFont="1" applyBorder="1" applyAlignment="1">
      <alignment horizontal="center" vertical="center"/>
    </xf>
    <xf numFmtId="0" fontId="51" fillId="0" borderId="30" xfId="8" applyFont="1" applyBorder="1" applyAlignment="1">
      <alignment horizontal="center" vertical="center"/>
    </xf>
    <xf numFmtId="0" fontId="51" fillId="0" borderId="23" xfId="8" applyFont="1" applyBorder="1" applyAlignment="1">
      <alignment horizontal="center" vertical="center"/>
    </xf>
    <xf numFmtId="0" fontId="65" fillId="0" borderId="19" xfId="8" applyFont="1" applyBorder="1" applyAlignment="1">
      <alignment horizontal="left"/>
    </xf>
    <xf numFmtId="0" fontId="65" fillId="0" borderId="30" xfId="8" applyFont="1" applyBorder="1" applyAlignment="1">
      <alignment horizontal="left"/>
    </xf>
    <xf numFmtId="0" fontId="65" fillId="0" borderId="23" xfId="8" applyFont="1" applyBorder="1" applyAlignment="1">
      <alignment horizontal="left"/>
    </xf>
    <xf numFmtId="0" fontId="51" fillId="0" borderId="19" xfId="8" applyFont="1" applyBorder="1" applyAlignment="1">
      <alignment horizontal="left" vertical="center"/>
    </xf>
    <xf numFmtId="0" fontId="51" fillId="0" borderId="30" xfId="8" applyFont="1" applyBorder="1" applyAlignment="1">
      <alignment horizontal="left" vertical="center"/>
    </xf>
    <xf numFmtId="0" fontId="65" fillId="0" borderId="16" xfId="8" applyFont="1" applyBorder="1" applyAlignment="1">
      <alignment horizontal="center" wrapText="1"/>
    </xf>
    <xf numFmtId="0" fontId="65" fillId="0" borderId="18" xfId="8" applyFont="1" applyBorder="1" applyAlignment="1">
      <alignment horizontal="center" wrapText="1"/>
    </xf>
    <xf numFmtId="0" fontId="65" fillId="0" borderId="9" xfId="8" applyFont="1" applyBorder="1" applyAlignment="1">
      <alignment horizontal="left" wrapText="1"/>
    </xf>
    <xf numFmtId="0" fontId="65" fillId="0" borderId="22" xfId="8" applyFont="1" applyBorder="1" applyAlignment="1">
      <alignment horizontal="left" vertical="center" wrapText="1"/>
    </xf>
    <xf numFmtId="0" fontId="65" fillId="0" borderId="24" xfId="8" applyFont="1" applyBorder="1" applyAlignment="1">
      <alignment horizontal="left" vertical="center" wrapText="1"/>
    </xf>
    <xf numFmtId="0" fontId="65" fillId="0" borderId="25" xfId="8" applyFont="1" applyBorder="1" applyAlignment="1">
      <alignment horizontal="left" vertical="center" wrapText="1"/>
    </xf>
    <xf numFmtId="0" fontId="65" fillId="0" borderId="26" xfId="8" applyFont="1" applyBorder="1" applyAlignment="1">
      <alignment horizontal="left" vertical="center" wrapText="1"/>
    </xf>
    <xf numFmtId="0" fontId="51" fillId="0" borderId="23" xfId="8" applyFont="1" applyBorder="1" applyAlignment="1">
      <alignment horizontal="left" vertical="center"/>
    </xf>
    <xf numFmtId="0" fontId="65" fillId="0" borderId="20" xfId="8" applyFont="1" applyBorder="1" applyAlignment="1">
      <alignment horizontal="left" wrapText="1"/>
    </xf>
    <xf numFmtId="0" fontId="65" fillId="0" borderId="21" xfId="8" applyFont="1" applyBorder="1" applyAlignment="1">
      <alignment horizontal="left" wrapText="1"/>
    </xf>
    <xf numFmtId="0" fontId="65" fillId="0" borderId="25" xfId="8" applyFont="1" applyBorder="1" applyAlignment="1">
      <alignment horizontal="left" wrapText="1"/>
    </xf>
    <xf numFmtId="0" fontId="65" fillId="0" borderId="26" xfId="8" applyFont="1" applyBorder="1" applyAlignment="1">
      <alignment horizontal="left" wrapText="1"/>
    </xf>
    <xf numFmtId="0" fontId="65" fillId="0" borderId="30" xfId="0" applyFont="1" applyBorder="1" applyAlignment="1">
      <alignment horizontal="left" vertical="center"/>
    </xf>
    <xf numFmtId="0" fontId="51" fillId="0" borderId="20" xfId="8" applyFont="1" applyBorder="1" applyAlignment="1">
      <alignment horizontal="left" vertical="center" wrapText="1"/>
    </xf>
    <xf numFmtId="0" fontId="51" fillId="0" borderId="21" xfId="8" applyFont="1" applyBorder="1" applyAlignment="1">
      <alignment horizontal="left" vertical="center" wrapText="1"/>
    </xf>
    <xf numFmtId="0" fontId="51" fillId="0" borderId="22" xfId="8" applyFont="1" applyBorder="1" applyAlignment="1">
      <alignment horizontal="left" vertical="center" wrapText="1"/>
    </xf>
    <xf numFmtId="0" fontId="51" fillId="0" borderId="24" xfId="8" applyFont="1" applyBorder="1" applyAlignment="1">
      <alignment horizontal="left" vertical="center" wrapText="1"/>
    </xf>
    <xf numFmtId="168" fontId="14" fillId="4" borderId="9" xfId="0" applyNumberFormat="1" applyFont="1" applyFill="1" applyBorder="1" applyAlignment="1">
      <alignment horizontal="left" vertical="top"/>
    </xf>
    <xf numFmtId="168" fontId="51" fillId="16" borderId="9" xfId="0" applyNumberFormat="1" applyFont="1" applyFill="1" applyBorder="1" applyAlignment="1">
      <alignment horizontal="left" vertical="top"/>
    </xf>
    <xf numFmtId="168" fontId="14" fillId="0" borderId="9" xfId="0" applyNumberFormat="1" applyFont="1" applyBorder="1" applyAlignment="1">
      <alignment horizontal="left" vertical="top"/>
    </xf>
    <xf numFmtId="0" fontId="51" fillId="16" borderId="9" xfId="0" applyFont="1" applyFill="1" applyBorder="1" applyAlignment="1">
      <alignment horizontal="left" vertical="top" wrapText="1"/>
    </xf>
    <xf numFmtId="0" fontId="14" fillId="16" borderId="9" xfId="0" applyFont="1" applyFill="1" applyBorder="1" applyAlignment="1">
      <alignment horizontal="left" vertical="top" wrapText="1"/>
    </xf>
    <xf numFmtId="0" fontId="51" fillId="0" borderId="9" xfId="0" applyFont="1" applyBorder="1" applyAlignment="1">
      <alignment horizontal="left" vertical="top" wrapText="1"/>
    </xf>
    <xf numFmtId="0" fontId="14" fillId="4" borderId="9" xfId="0" applyFont="1" applyFill="1" applyBorder="1" applyAlignment="1">
      <alignment horizontal="left" vertical="center"/>
    </xf>
    <xf numFmtId="0" fontId="14" fillId="4" borderId="9" xfId="0" applyFont="1" applyFill="1" applyBorder="1" applyAlignment="1">
      <alignment vertical="center"/>
    </xf>
    <xf numFmtId="0" fontId="4" fillId="4" borderId="9" xfId="0" applyFont="1" applyFill="1" applyBorder="1" applyAlignment="1">
      <alignment vertical="center" wrapText="1"/>
    </xf>
    <xf numFmtId="0" fontId="51" fillId="4" borderId="9" xfId="0" applyFont="1" applyFill="1" applyBorder="1" applyAlignment="1">
      <alignment horizontal="left" vertical="top" wrapText="1"/>
    </xf>
    <xf numFmtId="0" fontId="50" fillId="6" borderId="0" xfId="5" applyFont="1" applyFill="1" applyAlignment="1">
      <alignment vertical="center"/>
    </xf>
    <xf numFmtId="0" fontId="14" fillId="0" borderId="0" xfId="0" applyFont="1" applyAlignment="1">
      <alignment vertical="center"/>
    </xf>
    <xf numFmtId="0" fontId="51" fillId="10" borderId="18" xfId="0" applyFont="1" applyFill="1" applyBorder="1" applyAlignment="1">
      <alignment horizontal="left"/>
    </xf>
    <xf numFmtId="0" fontId="51" fillId="4" borderId="9" xfId="8" applyFont="1" applyFill="1" applyBorder="1" applyAlignment="1">
      <alignment horizontal="left" vertical="center"/>
    </xf>
    <xf numFmtId="0" fontId="51" fillId="0" borderId="27" xfId="8" applyFont="1" applyBorder="1" applyAlignment="1">
      <alignment horizontal="left" wrapText="1"/>
    </xf>
    <xf numFmtId="0" fontId="51" fillId="0" borderId="0" xfId="8" applyFont="1" applyAlignment="1">
      <alignment horizontal="left" wrapText="1"/>
    </xf>
    <xf numFmtId="0" fontId="51" fillId="4" borderId="16" xfId="8" applyFont="1" applyFill="1" applyBorder="1" applyAlignment="1">
      <alignment horizontal="left"/>
    </xf>
    <xf numFmtId="0" fontId="51" fillId="4" borderId="17" xfId="8" applyFont="1" applyFill="1" applyBorder="1" applyAlignment="1">
      <alignment horizontal="left"/>
    </xf>
    <xf numFmtId="0" fontId="51" fillId="4" borderId="18" xfId="8" applyFont="1" applyFill="1" applyBorder="1" applyAlignment="1">
      <alignment horizontal="left"/>
    </xf>
    <xf numFmtId="0" fontId="51" fillId="4" borderId="19" xfId="8" applyFont="1" applyFill="1" applyBorder="1" applyAlignment="1">
      <alignment horizontal="center" vertical="center" wrapText="1"/>
    </xf>
    <xf numFmtId="0" fontId="51" fillId="4" borderId="30" xfId="8" applyFont="1" applyFill="1" applyBorder="1" applyAlignment="1">
      <alignment horizontal="center" vertical="center" wrapText="1"/>
    </xf>
    <xf numFmtId="0" fontId="51" fillId="4" borderId="23" xfId="8" applyFont="1" applyFill="1" applyBorder="1" applyAlignment="1">
      <alignment horizontal="center" vertical="center" wrapText="1"/>
    </xf>
    <xf numFmtId="0" fontId="14" fillId="10" borderId="18" xfId="0" applyFont="1" applyFill="1" applyBorder="1" applyAlignment="1">
      <alignment horizontal="left"/>
    </xf>
    <xf numFmtId="0" fontId="14" fillId="0" borderId="0" xfId="0" applyFont="1" applyAlignment="1">
      <alignment horizontal="center" vertical="center" wrapText="1"/>
    </xf>
    <xf numFmtId="0" fontId="14" fillId="16" borderId="9" xfId="0" applyFont="1" applyFill="1" applyBorder="1" applyAlignment="1">
      <alignment horizontal="center" vertical="center" wrapText="1"/>
    </xf>
    <xf numFmtId="0" fontId="14" fillId="0" borderId="9" xfId="0" applyFont="1" applyBorder="1" applyAlignment="1">
      <alignment horizontal="center" vertical="top" wrapText="1"/>
    </xf>
    <xf numFmtId="0" fontId="14" fillId="4" borderId="23" xfId="0" applyFont="1" applyFill="1" applyBorder="1" applyAlignment="1">
      <alignment horizontal="left" vertical="center" wrapText="1"/>
    </xf>
    <xf numFmtId="1" fontId="51" fillId="0" borderId="9" xfId="0" applyNumberFormat="1" applyFont="1" applyBorder="1" applyAlignment="1">
      <alignment horizontal="left"/>
    </xf>
    <xf numFmtId="0" fontId="14" fillId="0" borderId="9" xfId="0" applyFont="1" applyBorder="1" applyAlignment="1">
      <alignment horizontal="left" vertical="top"/>
    </xf>
    <xf numFmtId="0" fontId="14" fillId="4" borderId="19" xfId="0" applyFont="1" applyFill="1" applyBorder="1" applyAlignment="1">
      <alignment horizontal="center" vertical="center" wrapText="1"/>
    </xf>
    <xf numFmtId="0" fontId="14" fillId="4" borderId="30" xfId="0" applyFont="1" applyFill="1" applyBorder="1" applyAlignment="1">
      <alignment horizontal="center" vertical="center" wrapText="1"/>
    </xf>
    <xf numFmtId="0" fontId="14" fillId="4" borderId="23" xfId="0" applyFont="1" applyFill="1" applyBorder="1" applyAlignment="1">
      <alignment horizontal="center" vertical="center" wrapText="1"/>
    </xf>
    <xf numFmtId="0" fontId="14" fillId="16" borderId="9" xfId="0" applyFont="1" applyFill="1" applyBorder="1" applyAlignment="1">
      <alignment horizontal="center" vertical="top" wrapText="1"/>
    </xf>
    <xf numFmtId="0" fontId="51" fillId="16" borderId="9" xfId="0" applyFont="1" applyFill="1" applyBorder="1" applyAlignment="1">
      <alignment horizontal="center" vertical="top" wrapText="1"/>
    </xf>
    <xf numFmtId="0" fontId="14" fillId="16" borderId="19" xfId="0" applyFont="1" applyFill="1" applyBorder="1" applyAlignment="1">
      <alignment horizontal="left" vertical="center" wrapText="1"/>
    </xf>
    <xf numFmtId="0" fontId="14" fillId="16" borderId="30" xfId="0" applyFont="1" applyFill="1" applyBorder="1" applyAlignment="1">
      <alignment horizontal="left" vertical="center" wrapText="1"/>
    </xf>
    <xf numFmtId="0" fontId="14" fillId="16" borderId="23" xfId="0" applyFont="1" applyFill="1" applyBorder="1" applyAlignment="1">
      <alignment horizontal="left" vertical="center" wrapText="1"/>
    </xf>
    <xf numFmtId="0" fontId="14" fillId="4" borderId="19" xfId="0" applyFont="1" applyFill="1" applyBorder="1" applyAlignment="1">
      <alignment horizontal="left" vertical="center" wrapText="1"/>
    </xf>
    <xf numFmtId="0" fontId="14" fillId="4" borderId="30" xfId="0" applyFont="1" applyFill="1" applyBorder="1" applyAlignment="1">
      <alignment horizontal="left" vertical="center" wrapText="1"/>
    </xf>
    <xf numFmtId="0" fontId="14" fillId="11" borderId="9" xfId="0" applyFont="1" applyFill="1" applyBorder="1" applyAlignment="1">
      <alignment horizontal="left" vertical="center" wrapText="1"/>
    </xf>
    <xf numFmtId="165" fontId="14" fillId="0" borderId="19" xfId="8" applyNumberFormat="1" applyFont="1" applyBorder="1" applyAlignment="1">
      <alignment horizontal="left" vertical="center"/>
    </xf>
    <xf numFmtId="165" fontId="14" fillId="0" borderId="30" xfId="8" applyNumberFormat="1" applyFont="1" applyBorder="1" applyAlignment="1">
      <alignment horizontal="left" vertical="center"/>
    </xf>
    <xf numFmtId="165" fontId="14" fillId="0" borderId="23" xfId="8" applyNumberFormat="1" applyFont="1" applyBorder="1" applyAlignment="1">
      <alignment horizontal="left" vertical="center"/>
    </xf>
    <xf numFmtId="0" fontId="14" fillId="4" borderId="9" xfId="8" applyFont="1" applyFill="1" applyBorder="1" applyAlignment="1">
      <alignment horizontal="left" vertical="center" wrapText="1"/>
    </xf>
    <xf numFmtId="0" fontId="4" fillId="4" borderId="19" xfId="8" applyFont="1" applyFill="1" applyBorder="1" applyAlignment="1">
      <alignment horizontal="left" vertical="center" wrapText="1"/>
    </xf>
    <xf numFmtId="0" fontId="4" fillId="4" borderId="23" xfId="8" applyFont="1" applyFill="1" applyBorder="1" applyAlignment="1">
      <alignment horizontal="left" vertical="center" wrapText="1"/>
    </xf>
    <xf numFmtId="165" fontId="4" fillId="0" borderId="19" xfId="13" applyNumberFormat="1" applyFont="1" applyBorder="1" applyAlignment="1">
      <alignment horizontal="left" vertical="center" wrapText="1"/>
    </xf>
    <xf numFmtId="165" fontId="4" fillId="0" borderId="23" xfId="13" applyNumberFormat="1" applyFont="1" applyBorder="1" applyAlignment="1">
      <alignment horizontal="left" vertical="center" wrapText="1"/>
    </xf>
    <xf numFmtId="0" fontId="14" fillId="15" borderId="16" xfId="0" applyFont="1" applyFill="1" applyBorder="1" applyAlignment="1">
      <alignment horizontal="center" vertical="center" wrapText="1"/>
    </xf>
    <xf numFmtId="0" fontId="14" fillId="15" borderId="17" xfId="0" applyFont="1" applyFill="1" applyBorder="1" applyAlignment="1">
      <alignment horizontal="center" vertical="center" wrapText="1"/>
    </xf>
    <xf numFmtId="0" fontId="14" fillId="15" borderId="18" xfId="0" applyFont="1" applyFill="1" applyBorder="1" applyAlignment="1">
      <alignment horizontal="center" vertical="center" wrapText="1"/>
    </xf>
    <xf numFmtId="168" fontId="14" fillId="0" borderId="9" xfId="5" applyNumberFormat="1" applyFont="1" applyBorder="1" applyAlignment="1">
      <alignment horizontal="left" vertical="center"/>
    </xf>
    <xf numFmtId="168" fontId="14" fillId="0" borderId="9" xfId="5" applyNumberFormat="1" applyFont="1" applyBorder="1" applyAlignment="1">
      <alignment horizontal="left" vertical="top" wrapText="1"/>
    </xf>
    <xf numFmtId="168" fontId="4" fillId="0" borderId="9" xfId="5" applyNumberFormat="1" applyFont="1" applyBorder="1" applyAlignment="1">
      <alignment horizontal="left" vertical="top" wrapText="1"/>
    </xf>
    <xf numFmtId="0" fontId="4" fillId="0" borderId="9" xfId="0" applyFont="1" applyBorder="1" applyAlignment="1">
      <alignment horizontal="left"/>
    </xf>
    <xf numFmtId="0" fontId="65" fillId="0" borderId="50" xfId="8" applyFont="1" applyBorder="1" applyAlignment="1">
      <alignment wrapText="1"/>
    </xf>
    <xf numFmtId="0" fontId="14" fillId="0" borderId="18" xfId="8" applyFont="1" applyBorder="1" applyAlignment="1">
      <alignment wrapText="1"/>
    </xf>
    <xf numFmtId="0" fontId="14" fillId="0" borderId="9" xfId="8" applyFont="1" applyBorder="1" applyAlignment="1">
      <alignment wrapText="1"/>
    </xf>
    <xf numFmtId="168" fontId="14" fillId="0" borderId="19" xfId="5" applyNumberFormat="1" applyFont="1" applyBorder="1" applyAlignment="1">
      <alignment horizontal="left" vertical="center"/>
    </xf>
    <xf numFmtId="168" fontId="14" fillId="0" borderId="30" xfId="5" applyNumberFormat="1" applyFont="1" applyBorder="1" applyAlignment="1">
      <alignment horizontal="left" vertical="center"/>
    </xf>
    <xf numFmtId="168" fontId="14" fillId="0" borderId="23" xfId="5" applyNumberFormat="1" applyFont="1" applyBorder="1" applyAlignment="1">
      <alignment horizontal="left" vertical="center"/>
    </xf>
    <xf numFmtId="0" fontId="120" fillId="0" borderId="19" xfId="8" applyFont="1" applyBorder="1" applyAlignment="1">
      <alignment horizontal="left" vertical="center"/>
    </xf>
    <xf numFmtId="0" fontId="120" fillId="0" borderId="30" xfId="8" applyFont="1" applyBorder="1" applyAlignment="1">
      <alignment horizontal="left" vertical="center"/>
    </xf>
    <xf numFmtId="0" fontId="118" fillId="0" borderId="30" xfId="0" applyFont="1" applyBorder="1" applyAlignment="1">
      <alignment horizontal="left" vertical="center"/>
    </xf>
    <xf numFmtId="0" fontId="118" fillId="0" borderId="23" xfId="0" applyFont="1" applyBorder="1" applyAlignment="1">
      <alignment horizontal="left" vertical="center"/>
    </xf>
    <xf numFmtId="0" fontId="65" fillId="0" borderId="9" xfId="8" applyFont="1" applyBorder="1" applyAlignment="1">
      <alignment horizontal="left" vertical="center" wrapText="1"/>
    </xf>
    <xf numFmtId="0" fontId="51" fillId="0" borderId="9" xfId="8" applyFont="1" applyBorder="1" applyAlignment="1">
      <alignment horizontal="left" wrapText="1"/>
    </xf>
    <xf numFmtId="0" fontId="65" fillId="4" borderId="9" xfId="8" applyFont="1" applyFill="1" applyBorder="1" applyAlignment="1">
      <alignment horizontal="left" wrapText="1"/>
    </xf>
    <xf numFmtId="0" fontId="120" fillId="0" borderId="23" xfId="8" applyFont="1" applyBorder="1" applyAlignment="1">
      <alignment horizontal="left" vertical="center"/>
    </xf>
    <xf numFmtId="0" fontId="14" fillId="17" borderId="9" xfId="0" applyFont="1" applyFill="1" applyBorder="1" applyAlignment="1">
      <alignment horizontal="left"/>
    </xf>
    <xf numFmtId="165" fontId="65" fillId="0" borderId="9" xfId="13" applyNumberFormat="1" applyFont="1" applyBorder="1" applyAlignment="1">
      <alignment horizontal="left" vertical="center" wrapText="1"/>
    </xf>
    <xf numFmtId="165" fontId="4" fillId="0" borderId="25" xfId="13" applyNumberFormat="1" applyFont="1" applyBorder="1" applyAlignment="1">
      <alignment horizontal="left" vertical="center" wrapText="1"/>
    </xf>
    <xf numFmtId="165" fontId="65" fillId="0" borderId="9" xfId="13" applyNumberFormat="1" applyFont="1" applyBorder="1" applyAlignment="1">
      <alignment vertical="center" wrapText="1"/>
    </xf>
    <xf numFmtId="0" fontId="14" fillId="4" borderId="9" xfId="8" applyFont="1" applyFill="1" applyBorder="1" applyAlignment="1">
      <alignment wrapText="1"/>
    </xf>
    <xf numFmtId="0" fontId="14" fillId="4" borderId="16" xfId="8" applyFont="1" applyFill="1" applyBorder="1" applyAlignment="1">
      <alignment wrapText="1"/>
    </xf>
    <xf numFmtId="0" fontId="14" fillId="0" borderId="16" xfId="8" applyFont="1" applyBorder="1" applyAlignment="1">
      <alignment wrapText="1"/>
    </xf>
    <xf numFmtId="0" fontId="14" fillId="0" borderId="19" xfId="8" applyFont="1" applyBorder="1" applyAlignment="1">
      <alignment horizontal="left" vertical="center" wrapText="1"/>
    </xf>
    <xf numFmtId="0" fontId="14" fillId="0" borderId="23" xfId="8" applyFont="1" applyBorder="1" applyAlignment="1">
      <alignment horizontal="left" vertical="center" wrapText="1"/>
    </xf>
    <xf numFmtId="165" fontId="14" fillId="0" borderId="19" xfId="13" applyNumberFormat="1" applyFont="1" applyBorder="1" applyAlignment="1">
      <alignment horizontal="left" vertical="center" wrapText="1"/>
    </xf>
    <xf numFmtId="165" fontId="14" fillId="0" borderId="23" xfId="13" applyNumberFormat="1" applyFont="1" applyBorder="1" applyAlignment="1">
      <alignment horizontal="left" vertical="center" wrapText="1"/>
    </xf>
    <xf numFmtId="0" fontId="14" fillId="0" borderId="20" xfId="8" applyFont="1" applyBorder="1" applyAlignment="1">
      <alignment wrapText="1"/>
    </xf>
    <xf numFmtId="0" fontId="14" fillId="0" borderId="27" xfId="8" applyFont="1" applyBorder="1" applyAlignment="1">
      <alignment wrapText="1"/>
    </xf>
    <xf numFmtId="0" fontId="14" fillId="0" borderId="16" xfId="0" applyFont="1" applyBorder="1" applyAlignment="1">
      <alignment horizontal="left" vertical="center" wrapText="1"/>
    </xf>
    <xf numFmtId="165" fontId="1" fillId="0" borderId="19" xfId="13" applyNumberFormat="1" applyBorder="1" applyAlignment="1">
      <alignment horizontal="left" vertical="center" wrapText="1"/>
    </xf>
    <xf numFmtId="165" fontId="1" fillId="0" borderId="30" xfId="13" applyNumberFormat="1" applyBorder="1" applyAlignment="1">
      <alignment horizontal="left" vertical="center" wrapText="1"/>
    </xf>
    <xf numFmtId="165" fontId="1" fillId="0" borderId="23" xfId="13" applyNumberFormat="1" applyBorder="1" applyAlignment="1">
      <alignment horizontal="left" vertical="center" wrapText="1"/>
    </xf>
    <xf numFmtId="0" fontId="37" fillId="0" borderId="19" xfId="8" applyFont="1" applyBorder="1" applyAlignment="1">
      <alignment horizontal="left" vertical="center"/>
    </xf>
    <xf numFmtId="0" fontId="37" fillId="0" borderId="30" xfId="8" applyFont="1" applyBorder="1" applyAlignment="1">
      <alignment horizontal="left" vertical="center"/>
    </xf>
    <xf numFmtId="165" fontId="4" fillId="0" borderId="9" xfId="13" applyNumberFormat="1" applyFont="1" applyBorder="1" applyAlignment="1">
      <alignment horizontal="center" vertical="center" wrapText="1"/>
    </xf>
    <xf numFmtId="165" fontId="14" fillId="0" borderId="9" xfId="13" applyNumberFormat="1" applyFont="1" applyBorder="1" applyAlignment="1">
      <alignment horizontal="center" vertical="center" wrapText="1"/>
    </xf>
    <xf numFmtId="0" fontId="4" fillId="4" borderId="20" xfId="0" applyFont="1" applyFill="1" applyBorder="1" applyAlignment="1">
      <alignment horizontal="left" vertical="center" wrapText="1"/>
    </xf>
    <xf numFmtId="0" fontId="4" fillId="4" borderId="27"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24" xfId="0" applyFont="1" applyFill="1" applyBorder="1" applyAlignment="1">
      <alignment horizontal="left" vertical="center" wrapText="1"/>
    </xf>
    <xf numFmtId="0" fontId="4" fillId="4" borderId="25" xfId="0" applyFont="1" applyFill="1" applyBorder="1" applyAlignment="1">
      <alignment horizontal="left" vertical="center" wrapText="1"/>
    </xf>
    <xf numFmtId="0" fontId="4" fillId="4" borderId="28" xfId="0" applyFont="1" applyFill="1" applyBorder="1" applyAlignment="1">
      <alignment horizontal="left" vertical="center" wrapText="1"/>
    </xf>
    <xf numFmtId="0" fontId="4" fillId="4" borderId="26" xfId="0" applyFont="1" applyFill="1" applyBorder="1" applyAlignment="1">
      <alignment horizontal="left" vertical="center" wrapText="1"/>
    </xf>
    <xf numFmtId="0" fontId="37" fillId="0" borderId="23" xfId="8" applyFont="1" applyBorder="1" applyAlignment="1">
      <alignment horizontal="left" vertical="center"/>
    </xf>
    <xf numFmtId="0" fontId="14" fillId="11" borderId="16" xfId="0" applyFont="1" applyFill="1" applyBorder="1" applyAlignment="1">
      <alignment horizontal="center" vertical="center" wrapText="1"/>
    </xf>
    <xf numFmtId="165" fontId="4" fillId="0" borderId="9" xfId="13" applyNumberFormat="1" applyFont="1" applyBorder="1" applyAlignment="1">
      <alignment vertical="center" wrapText="1"/>
    </xf>
    <xf numFmtId="0" fontId="1" fillId="0" borderId="23" xfId="0" applyFont="1" applyBorder="1" applyAlignment="1">
      <alignment horizontal="left" vertical="center" wrapText="1"/>
    </xf>
    <xf numFmtId="165" fontId="51" fillId="0" borderId="9" xfId="13" applyNumberFormat="1" applyFont="1" applyBorder="1" applyAlignment="1">
      <alignment horizontal="center" vertical="center" wrapText="1"/>
    </xf>
    <xf numFmtId="165" fontId="4" fillId="0" borderId="16" xfId="13" applyNumberFormat="1" applyFont="1" applyBorder="1" applyAlignment="1">
      <alignment horizontal="left" vertical="center" wrapText="1"/>
    </xf>
    <xf numFmtId="165" fontId="4" fillId="0" borderId="17" xfId="13" applyNumberFormat="1" applyFont="1" applyBorder="1" applyAlignment="1">
      <alignment horizontal="left" vertical="center" wrapText="1"/>
    </xf>
    <xf numFmtId="165" fontId="4" fillId="0" borderId="18" xfId="13" applyNumberFormat="1" applyFont="1" applyBorder="1" applyAlignment="1">
      <alignment horizontal="left" vertical="center" wrapText="1"/>
    </xf>
    <xf numFmtId="2" fontId="14" fillId="0" borderId="9" xfId="13" applyNumberFormat="1" applyFont="1" applyBorder="1" applyAlignment="1">
      <alignment horizontal="left" vertical="center" wrapText="1"/>
    </xf>
    <xf numFmtId="0" fontId="4" fillId="0" borderId="9" xfId="8" applyFont="1" applyBorder="1" applyAlignment="1">
      <alignment horizontal="left" vertical="center" wrapText="1"/>
    </xf>
    <xf numFmtId="0" fontId="14" fillId="0" borderId="9" xfId="8" applyFont="1" applyBorder="1" applyAlignment="1">
      <alignment vertical="center" wrapText="1"/>
    </xf>
    <xf numFmtId="0" fontId="14" fillId="0" borderId="9" xfId="0" applyFont="1" applyBorder="1" applyAlignment="1">
      <alignment vertical="center" wrapText="1"/>
    </xf>
    <xf numFmtId="0" fontId="37" fillId="4" borderId="19" xfId="8" applyFont="1" applyFill="1" applyBorder="1" applyAlignment="1">
      <alignment horizontal="left" vertical="center"/>
    </xf>
    <xf numFmtId="0" fontId="37" fillId="4" borderId="30" xfId="8" applyFont="1" applyFill="1" applyBorder="1" applyAlignment="1">
      <alignment horizontal="left" vertical="center"/>
    </xf>
    <xf numFmtId="0" fontId="37" fillId="4" borderId="23" xfId="8" applyFont="1" applyFill="1" applyBorder="1" applyAlignment="1">
      <alignment horizontal="left" vertical="center"/>
    </xf>
    <xf numFmtId="0" fontId="14" fillId="0" borderId="9" xfId="8" applyFont="1" applyBorder="1" applyAlignment="1">
      <alignment horizontal="left" vertical="center" wrapText="1"/>
    </xf>
    <xf numFmtId="0" fontId="14" fillId="0" borderId="19" xfId="8" applyFont="1" applyBorder="1" applyAlignment="1">
      <alignment wrapText="1"/>
    </xf>
    <xf numFmtId="0" fontId="14" fillId="0" borderId="23" xfId="0" applyFont="1" applyBorder="1" applyAlignment="1">
      <alignment wrapText="1"/>
    </xf>
    <xf numFmtId="0" fontId="14" fillId="0" borderId="30" xfId="0" applyFont="1" applyBorder="1" applyAlignment="1">
      <alignment wrapText="1"/>
    </xf>
    <xf numFmtId="0" fontId="34" fillId="4" borderId="19" xfId="8" applyFont="1" applyFill="1" applyBorder="1" applyAlignment="1">
      <alignment horizontal="left" vertical="center"/>
    </xf>
    <xf numFmtId="0" fontId="65" fillId="0" borderId="9" xfId="0" applyFont="1" applyBorder="1" applyAlignment="1">
      <alignment vertical="center" wrapText="1"/>
    </xf>
    <xf numFmtId="0" fontId="4" fillId="4" borderId="9" xfId="8" applyFont="1" applyFill="1" applyBorder="1" applyAlignment="1">
      <alignment wrapText="1"/>
    </xf>
    <xf numFmtId="0" fontId="4" fillId="4" borderId="16" xfId="8" applyFont="1" applyFill="1" applyBorder="1" applyAlignment="1">
      <alignment wrapText="1"/>
    </xf>
    <xf numFmtId="165" fontId="14" fillId="0" borderId="9" xfId="13" applyNumberFormat="1" applyFont="1" applyBorder="1" applyAlignment="1">
      <alignment vertical="center" wrapText="1"/>
    </xf>
    <xf numFmtId="3" fontId="14" fillId="0" borderId="9" xfId="0" applyNumberFormat="1" applyFont="1" applyBorder="1" applyAlignment="1">
      <alignment horizontal="left" vertical="center" wrapText="1"/>
    </xf>
    <xf numFmtId="3" fontId="14" fillId="0" borderId="16" xfId="0" applyNumberFormat="1" applyFont="1" applyBorder="1" applyAlignment="1">
      <alignment horizontal="left" vertical="center" wrapText="1"/>
    </xf>
    <xf numFmtId="0" fontId="1" fillId="0" borderId="19" xfId="8" applyFont="1" applyBorder="1" applyAlignment="1">
      <alignment horizontal="left" vertical="center" wrapText="1"/>
    </xf>
    <xf numFmtId="0" fontId="1" fillId="0" borderId="30" xfId="8" applyFont="1" applyBorder="1" applyAlignment="1">
      <alignment horizontal="left" vertical="center" wrapText="1"/>
    </xf>
    <xf numFmtId="0" fontId="1" fillId="0" borderId="23" xfId="8" applyFont="1" applyBorder="1" applyAlignment="1">
      <alignment horizontal="left" vertical="center" wrapText="1"/>
    </xf>
    <xf numFmtId="0" fontId="14" fillId="0" borderId="21" xfId="8" applyFont="1" applyBorder="1" applyAlignment="1">
      <alignment wrapText="1"/>
    </xf>
    <xf numFmtId="0" fontId="14" fillId="0" borderId="22" xfId="0" applyFont="1" applyBorder="1" applyAlignment="1">
      <alignment wrapText="1"/>
    </xf>
    <xf numFmtId="0" fontId="14" fillId="0" borderId="0" xfId="0" applyFont="1" applyAlignment="1">
      <alignment wrapText="1"/>
    </xf>
    <xf numFmtId="0" fontId="14" fillId="0" borderId="24" xfId="0" applyFont="1" applyBorder="1" applyAlignment="1">
      <alignment wrapText="1"/>
    </xf>
    <xf numFmtId="0" fontId="14" fillId="0" borderId="25" xfId="0" applyFont="1" applyBorder="1" applyAlignment="1">
      <alignment wrapText="1"/>
    </xf>
    <xf numFmtId="0" fontId="14" fillId="0" borderId="28" xfId="0" applyFont="1" applyBorder="1" applyAlignment="1">
      <alignment wrapText="1"/>
    </xf>
    <xf numFmtId="0" fontId="14" fillId="0" borderId="26" xfId="0" applyFont="1" applyBorder="1" applyAlignment="1">
      <alignment wrapText="1"/>
    </xf>
    <xf numFmtId="3" fontId="4" fillId="0" borderId="9" xfId="0" applyNumberFormat="1" applyFont="1" applyBorder="1" applyAlignment="1">
      <alignment horizontal="left" vertical="center" wrapText="1"/>
    </xf>
    <xf numFmtId="3" fontId="4" fillId="0" borderId="16" xfId="0" applyNumberFormat="1" applyFont="1" applyBorder="1" applyAlignment="1">
      <alignment horizontal="left" vertical="center" wrapText="1"/>
    </xf>
    <xf numFmtId="0" fontId="51" fillId="0" borderId="9" xfId="8" applyFont="1" applyBorder="1" applyAlignment="1">
      <alignment wrapText="1"/>
    </xf>
    <xf numFmtId="165" fontId="14" fillId="0" borderId="30" xfId="13" applyNumberFormat="1" applyFont="1" applyBorder="1" applyAlignment="1">
      <alignment horizontal="left" vertical="center" wrapText="1"/>
    </xf>
    <xf numFmtId="0" fontId="14" fillId="0" borderId="30" xfId="8" applyFont="1" applyBorder="1" applyAlignment="1">
      <alignment horizontal="left" vertical="center" wrapText="1"/>
    </xf>
    <xf numFmtId="0" fontId="14" fillId="0" borderId="27" xfId="8" applyFont="1" applyBorder="1" applyAlignment="1">
      <alignment horizontal="left" wrapText="1"/>
    </xf>
    <xf numFmtId="0" fontId="14" fillId="0" borderId="22" xfId="8" applyFont="1" applyBorder="1" applyAlignment="1">
      <alignment horizontal="left" wrapText="1"/>
    </xf>
    <xf numFmtId="0" fontId="14" fillId="0" borderId="0" xfId="8" applyFont="1" applyAlignment="1">
      <alignment horizontal="left" wrapText="1"/>
    </xf>
    <xf numFmtId="0" fontId="14" fillId="0" borderId="24" xfId="8" applyFont="1" applyBorder="1" applyAlignment="1">
      <alignment horizontal="left" wrapText="1"/>
    </xf>
    <xf numFmtId="0" fontId="4" fillId="4" borderId="9" xfId="8" applyFont="1" applyFill="1" applyBorder="1" applyAlignment="1">
      <alignment vertical="top" wrapText="1"/>
    </xf>
    <xf numFmtId="0" fontId="4" fillId="4" borderId="16" xfId="8" applyFont="1" applyFill="1" applyBorder="1" applyAlignment="1">
      <alignment vertical="top" wrapText="1"/>
    </xf>
    <xf numFmtId="165" fontId="1" fillId="0" borderId="9" xfId="13" applyNumberFormat="1" applyBorder="1" applyAlignment="1">
      <alignment horizontal="left" vertical="center" wrapText="1"/>
    </xf>
    <xf numFmtId="0" fontId="4" fillId="0" borderId="19" xfId="8" applyFont="1" applyBorder="1" applyAlignment="1">
      <alignment horizontal="center" vertical="center" wrapText="1"/>
    </xf>
    <xf numFmtId="0" fontId="4" fillId="0" borderId="30" xfId="8" applyFont="1" applyBorder="1" applyAlignment="1">
      <alignment horizontal="center" vertical="center" wrapText="1"/>
    </xf>
    <xf numFmtId="0" fontId="4" fillId="0" borderId="23" xfId="8" applyFont="1" applyBorder="1" applyAlignment="1">
      <alignment horizontal="center" vertical="center" wrapText="1"/>
    </xf>
    <xf numFmtId="0" fontId="14" fillId="0" borderId="19" xfId="8" applyFont="1" applyBorder="1" applyAlignment="1">
      <alignment horizontal="center"/>
    </xf>
    <xf numFmtId="0" fontId="14" fillId="0" borderId="30" xfId="8" applyFont="1" applyBorder="1" applyAlignment="1">
      <alignment horizontal="center"/>
    </xf>
    <xf numFmtId="0" fontId="14" fillId="0" borderId="23" xfId="8" applyFont="1" applyBorder="1" applyAlignment="1">
      <alignment horizontal="center"/>
    </xf>
    <xf numFmtId="0" fontId="4" fillId="0" borderId="19" xfId="8" applyFont="1" applyBorder="1" applyAlignment="1">
      <alignment horizontal="left" vertical="center" wrapText="1"/>
    </xf>
    <xf numFmtId="0" fontId="4" fillId="0" borderId="30" xfId="8" applyFont="1" applyBorder="1" applyAlignment="1">
      <alignment horizontal="left" vertical="center" wrapText="1"/>
    </xf>
    <xf numFmtId="0" fontId="4" fillId="0" borderId="23" xfId="8" applyFont="1" applyBorder="1" applyAlignment="1">
      <alignment horizontal="left" vertical="center" wrapText="1"/>
    </xf>
    <xf numFmtId="165" fontId="14" fillId="0" borderId="19" xfId="8" applyNumberFormat="1" applyFont="1" applyBorder="1" applyAlignment="1">
      <alignment horizontal="center" vertical="center"/>
    </xf>
    <xf numFmtId="165" fontId="14" fillId="0" borderId="30" xfId="8" applyNumberFormat="1" applyFont="1" applyBorder="1" applyAlignment="1">
      <alignment horizontal="center" vertical="center"/>
    </xf>
    <xf numFmtId="165" fontId="14" fillId="0" borderId="23" xfId="8" applyNumberFormat="1" applyFont="1" applyBorder="1" applyAlignment="1">
      <alignment horizontal="center" vertical="center"/>
    </xf>
    <xf numFmtId="0" fontId="14" fillId="11" borderId="17" xfId="0" applyFont="1" applyFill="1" applyBorder="1" applyAlignment="1">
      <alignment horizontal="center" vertical="center" wrapText="1"/>
    </xf>
    <xf numFmtId="0" fontId="14" fillId="11" borderId="18" xfId="0" applyFont="1" applyFill="1" applyBorder="1" applyAlignment="1">
      <alignment horizontal="center" vertical="center" wrapText="1"/>
    </xf>
    <xf numFmtId="165" fontId="14" fillId="0" borderId="20" xfId="13" applyNumberFormat="1" applyFont="1" applyBorder="1" applyAlignment="1">
      <alignment horizontal="left" vertical="center" wrapText="1"/>
    </xf>
    <xf numFmtId="165" fontId="14" fillId="0" borderId="21" xfId="13" applyNumberFormat="1" applyFont="1" applyBorder="1" applyAlignment="1">
      <alignment horizontal="left" vertical="center" wrapText="1"/>
    </xf>
    <xf numFmtId="0" fontId="14" fillId="0" borderId="25" xfId="0" applyFont="1" applyBorder="1" applyAlignment="1">
      <alignment horizontal="left" vertical="center" wrapText="1"/>
    </xf>
    <xf numFmtId="0" fontId="14" fillId="0" borderId="26" xfId="0" applyFont="1" applyBorder="1" applyAlignment="1">
      <alignment horizontal="left" vertical="center" wrapText="1"/>
    </xf>
    <xf numFmtId="165" fontId="14" fillId="0" borderId="20" xfId="13" applyNumberFormat="1" applyFont="1" applyBorder="1" applyAlignment="1">
      <alignment horizontal="center" vertical="center" wrapText="1"/>
    </xf>
    <xf numFmtId="165" fontId="14" fillId="0" borderId="27" xfId="13" applyNumberFormat="1" applyFont="1" applyBorder="1" applyAlignment="1">
      <alignment horizontal="center" vertical="center" wrapText="1"/>
    </xf>
    <xf numFmtId="165" fontId="14" fillId="0" borderId="21" xfId="13" applyNumberFormat="1" applyFont="1" applyBorder="1" applyAlignment="1">
      <alignment horizontal="center" vertical="center" wrapText="1"/>
    </xf>
    <xf numFmtId="165" fontId="14" fillId="0" borderId="25" xfId="13" applyNumberFormat="1" applyFont="1" applyBorder="1" applyAlignment="1">
      <alignment horizontal="center" vertical="center" wrapText="1"/>
    </xf>
    <xf numFmtId="165" fontId="14" fillId="0" borderId="28" xfId="13" applyNumberFormat="1" applyFont="1" applyBorder="1" applyAlignment="1">
      <alignment horizontal="center" vertical="center" wrapText="1"/>
    </xf>
    <xf numFmtId="165" fontId="14" fillId="0" borderId="26" xfId="13" applyNumberFormat="1" applyFont="1" applyBorder="1" applyAlignment="1">
      <alignment horizontal="center" vertical="center" wrapText="1"/>
    </xf>
    <xf numFmtId="0" fontId="1" fillId="0" borderId="9" xfId="0" applyFont="1" applyBorder="1" applyAlignment="1">
      <alignment horizontal="left" vertical="center" wrapText="1"/>
    </xf>
    <xf numFmtId="9" fontId="14" fillId="0" borderId="19" xfId="3" applyFont="1" applyFill="1" applyBorder="1" applyAlignment="1">
      <alignment horizontal="left" vertical="center" wrapText="1"/>
    </xf>
    <xf numFmtId="9" fontId="14" fillId="0" borderId="30" xfId="3" applyFont="1" applyFill="1" applyBorder="1" applyAlignment="1">
      <alignment horizontal="left" vertical="center" wrapText="1"/>
    </xf>
    <xf numFmtId="9" fontId="14" fillId="0" borderId="23" xfId="3" applyFont="1" applyFill="1" applyBorder="1" applyAlignment="1">
      <alignment horizontal="left" vertical="center" wrapText="1"/>
    </xf>
    <xf numFmtId="9" fontId="14" fillId="0" borderId="19" xfId="3" applyFont="1" applyFill="1" applyBorder="1" applyAlignment="1">
      <alignment horizontal="center" vertical="center" wrapText="1"/>
    </xf>
    <xf numFmtId="9" fontId="14" fillId="0" borderId="30" xfId="3" applyFont="1" applyFill="1" applyBorder="1" applyAlignment="1">
      <alignment horizontal="center" vertical="center" wrapText="1"/>
    </xf>
    <xf numFmtId="9" fontId="14" fillId="0" borderId="23" xfId="3" applyFont="1" applyFill="1" applyBorder="1" applyAlignment="1">
      <alignment horizontal="center" vertical="center" wrapText="1"/>
    </xf>
    <xf numFmtId="165" fontId="14" fillId="0" borderId="16" xfId="13" applyNumberFormat="1" applyFont="1" applyBorder="1" applyAlignment="1">
      <alignment horizontal="left" vertical="center" wrapText="1"/>
    </xf>
    <xf numFmtId="165" fontId="14" fillId="0" borderId="18" xfId="13" applyNumberFormat="1" applyFont="1" applyBorder="1" applyAlignment="1">
      <alignment horizontal="left" vertical="center" wrapText="1"/>
    </xf>
    <xf numFmtId="165" fontId="14" fillId="0" borderId="16" xfId="13" applyNumberFormat="1" applyFont="1" applyBorder="1" applyAlignment="1">
      <alignment horizontal="center" vertical="center" wrapText="1"/>
    </xf>
    <xf numFmtId="165" fontId="14" fillId="0" borderId="17" xfId="13" applyNumberFormat="1" applyFont="1" applyBorder="1" applyAlignment="1">
      <alignment horizontal="center" vertical="center" wrapText="1"/>
    </xf>
    <xf numFmtId="165" fontId="14" fillId="0" borderId="18" xfId="13" applyNumberFormat="1" applyFont="1" applyBorder="1" applyAlignment="1">
      <alignment horizontal="center" vertical="center" wrapText="1"/>
    </xf>
    <xf numFmtId="165" fontId="14" fillId="0" borderId="17" xfId="13" applyNumberFormat="1" applyFont="1" applyBorder="1" applyAlignment="1">
      <alignment horizontal="left" vertical="center" wrapText="1"/>
    </xf>
    <xf numFmtId="165" fontId="4" fillId="0" borderId="20" xfId="13" applyNumberFormat="1" applyFont="1" applyBorder="1" applyAlignment="1">
      <alignment horizontal="center" vertical="center" wrapText="1"/>
    </xf>
    <xf numFmtId="165" fontId="4" fillId="0" borderId="21" xfId="13" applyNumberFormat="1" applyFont="1" applyBorder="1" applyAlignment="1">
      <alignment horizontal="center" vertical="center" wrapText="1"/>
    </xf>
    <xf numFmtId="165" fontId="4" fillId="0" borderId="22" xfId="13" applyNumberFormat="1" applyFont="1" applyBorder="1" applyAlignment="1">
      <alignment horizontal="center" vertical="center" wrapText="1"/>
    </xf>
    <xf numFmtId="165" fontId="4" fillId="0" borderId="24" xfId="13" applyNumberFormat="1" applyFont="1" applyBorder="1" applyAlignment="1">
      <alignment horizontal="center" vertical="center" wrapText="1"/>
    </xf>
    <xf numFmtId="165" fontId="4" fillId="0" borderId="25" xfId="13" applyNumberFormat="1" applyFont="1" applyBorder="1" applyAlignment="1">
      <alignment horizontal="center" vertical="center" wrapText="1"/>
    </xf>
    <xf numFmtId="165" fontId="4" fillId="0" borderId="26" xfId="13" applyNumberFormat="1" applyFont="1" applyBorder="1" applyAlignment="1">
      <alignment horizontal="center" vertical="center" wrapText="1"/>
    </xf>
    <xf numFmtId="165" fontId="51" fillId="0" borderId="17" xfId="13" applyNumberFormat="1" applyFont="1" applyBorder="1" applyAlignment="1">
      <alignment horizontal="center" vertical="center" wrapText="1"/>
    </xf>
    <xf numFmtId="165" fontId="65" fillId="0" borderId="20" xfId="13" applyNumberFormat="1" applyFont="1" applyBorder="1" applyAlignment="1">
      <alignment horizontal="left" vertical="center" wrapText="1"/>
    </xf>
    <xf numFmtId="165" fontId="65" fillId="0" borderId="21" xfId="13" applyNumberFormat="1" applyFont="1" applyBorder="1" applyAlignment="1">
      <alignment horizontal="left" vertical="center" wrapText="1"/>
    </xf>
    <xf numFmtId="165" fontId="65" fillId="0" borderId="22" xfId="13" applyNumberFormat="1" applyFont="1" applyBorder="1" applyAlignment="1">
      <alignment horizontal="left" vertical="center" wrapText="1"/>
    </xf>
    <xf numFmtId="165" fontId="65" fillId="0" borderId="24" xfId="13" applyNumberFormat="1" applyFont="1" applyBorder="1" applyAlignment="1">
      <alignment horizontal="left" vertical="center" wrapText="1"/>
    </xf>
    <xf numFmtId="165" fontId="65" fillId="0" borderId="25" xfId="13" applyNumberFormat="1" applyFont="1" applyBorder="1" applyAlignment="1">
      <alignment horizontal="left" vertical="center" wrapText="1"/>
    </xf>
    <xf numFmtId="165" fontId="65" fillId="0" borderId="26" xfId="13" applyNumberFormat="1" applyFont="1" applyBorder="1" applyAlignment="1">
      <alignment horizontal="left"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165" fontId="28" fillId="0" borderId="9" xfId="13" applyNumberFormat="1" applyFont="1" applyBorder="1" applyAlignment="1">
      <alignment horizontal="left" vertical="center" wrapText="1"/>
    </xf>
    <xf numFmtId="0" fontId="14" fillId="11" borderId="20" xfId="0" applyFont="1" applyFill="1" applyBorder="1" applyAlignment="1">
      <alignment horizontal="center" vertical="center" wrapText="1"/>
    </xf>
    <xf numFmtId="0" fontId="14" fillId="11" borderId="27" xfId="0" applyFont="1" applyFill="1" applyBorder="1" applyAlignment="1">
      <alignment horizontal="center" vertical="center" wrapText="1"/>
    </xf>
    <xf numFmtId="0" fontId="14" fillId="11" borderId="21" xfId="0" applyFont="1" applyFill="1" applyBorder="1" applyAlignment="1">
      <alignment horizontal="center" vertical="center" wrapText="1"/>
    </xf>
    <xf numFmtId="3" fontId="14" fillId="0" borderId="18" xfId="0" applyNumberFormat="1" applyFont="1" applyBorder="1" applyAlignment="1">
      <alignment horizontal="left" vertical="center" wrapText="1"/>
    </xf>
    <xf numFmtId="165" fontId="65" fillId="0" borderId="25" xfId="6" applyNumberFormat="1" applyFont="1" applyBorder="1" applyAlignment="1">
      <alignment vertical="center" wrapText="1"/>
    </xf>
    <xf numFmtId="165" fontId="65" fillId="0" borderId="28" xfId="6" applyNumberFormat="1" applyFont="1" applyBorder="1" applyAlignment="1">
      <alignment vertical="center" wrapText="1"/>
    </xf>
    <xf numFmtId="165" fontId="65" fillId="0" borderId="27" xfId="13" applyNumberFormat="1" applyFont="1" applyBorder="1" applyAlignment="1">
      <alignment horizontal="left" vertical="center" wrapText="1"/>
    </xf>
    <xf numFmtId="165" fontId="65" fillId="0" borderId="0" xfId="13" applyNumberFormat="1" applyFont="1" applyAlignment="1">
      <alignment horizontal="left" vertical="center" wrapText="1"/>
    </xf>
    <xf numFmtId="165" fontId="65" fillId="0" borderId="28" xfId="13" applyNumberFormat="1" applyFont="1" applyBorder="1" applyAlignment="1">
      <alignment horizontal="left" vertical="center" wrapText="1"/>
    </xf>
    <xf numFmtId="165" fontId="65" fillId="0" borderId="16" xfId="6" applyNumberFormat="1" applyFont="1" applyBorder="1" applyAlignment="1">
      <alignment vertical="center" wrapText="1"/>
    </xf>
    <xf numFmtId="165" fontId="65" fillId="0" borderId="17" xfId="6" applyNumberFormat="1" applyFont="1" applyBorder="1" applyAlignment="1">
      <alignment vertical="center" wrapText="1"/>
    </xf>
    <xf numFmtId="165" fontId="65" fillId="0" borderId="18" xfId="6" applyNumberFormat="1" applyFont="1" applyBorder="1" applyAlignment="1">
      <alignment vertical="center" wrapText="1"/>
    </xf>
    <xf numFmtId="0" fontId="14" fillId="0" borderId="18" xfId="0" applyFont="1" applyBorder="1" applyAlignment="1">
      <alignment horizontal="left" vertical="center" wrapText="1"/>
    </xf>
    <xf numFmtId="0" fontId="65" fillId="0" borderId="16" xfId="8" applyFont="1" applyBorder="1" applyAlignment="1">
      <alignment horizontal="left"/>
    </xf>
    <xf numFmtId="0" fontId="65" fillId="0" borderId="17" xfId="8" applyFont="1" applyBorder="1" applyAlignment="1">
      <alignment horizontal="left"/>
    </xf>
    <xf numFmtId="0" fontId="65" fillId="0" borderId="18" xfId="8" applyFont="1" applyBorder="1" applyAlignment="1">
      <alignment horizontal="left"/>
    </xf>
    <xf numFmtId="0" fontId="4" fillId="0" borderId="16" xfId="0" applyFont="1" applyBorder="1" applyAlignment="1">
      <alignment horizontal="left" vertical="center" wrapText="1"/>
    </xf>
    <xf numFmtId="0" fontId="4" fillId="0" borderId="18" xfId="0" applyFont="1" applyBorder="1" applyAlignment="1">
      <alignment horizontal="left" vertical="center" wrapText="1"/>
    </xf>
    <xf numFmtId="0" fontId="4" fillId="0" borderId="16" xfId="8" applyFont="1" applyBorder="1" applyAlignment="1">
      <alignment wrapText="1"/>
    </xf>
    <xf numFmtId="0" fontId="4" fillId="0" borderId="18" xfId="8" applyFont="1" applyBorder="1" applyAlignment="1">
      <alignment wrapText="1"/>
    </xf>
    <xf numFmtId="0" fontId="51" fillId="0" borderId="16" xfId="8" applyFont="1" applyBorder="1" applyAlignment="1">
      <alignment wrapText="1"/>
    </xf>
    <xf numFmtId="0" fontId="51" fillId="0" borderId="18" xfId="8" applyFont="1" applyBorder="1" applyAlignment="1">
      <alignment wrapText="1"/>
    </xf>
    <xf numFmtId="165" fontId="65" fillId="0" borderId="16" xfId="6" applyNumberFormat="1" applyFont="1" applyBorder="1" applyAlignment="1">
      <alignment horizontal="left" vertical="center" wrapText="1"/>
    </xf>
    <xf numFmtId="165" fontId="65" fillId="0" borderId="17" xfId="6" applyNumberFormat="1" applyFont="1" applyBorder="1" applyAlignment="1">
      <alignment horizontal="left" vertical="center" wrapText="1"/>
    </xf>
    <xf numFmtId="165" fontId="65" fillId="0" borderId="18" xfId="6" applyNumberFormat="1" applyFont="1" applyBorder="1" applyAlignment="1">
      <alignment horizontal="left" vertical="center" wrapText="1"/>
    </xf>
    <xf numFmtId="165" fontId="1" fillId="0" borderId="9" xfId="0" applyNumberFormat="1" applyFont="1" applyBorder="1" applyAlignment="1">
      <alignment horizontal="left" vertical="center" wrapText="1"/>
    </xf>
    <xf numFmtId="165" fontId="14" fillId="0" borderId="16" xfId="6" applyNumberFormat="1" applyFont="1" applyBorder="1" applyAlignment="1">
      <alignment horizontal="left" vertical="center" wrapText="1"/>
    </xf>
    <xf numFmtId="165" fontId="14" fillId="0" borderId="17" xfId="6" applyNumberFormat="1" applyFont="1" applyBorder="1" applyAlignment="1">
      <alignment horizontal="left" vertical="center" wrapText="1"/>
    </xf>
    <xf numFmtId="165" fontId="14" fillId="0" borderId="18" xfId="6" applyNumberFormat="1" applyFont="1" applyBorder="1" applyAlignment="1">
      <alignment horizontal="left" vertical="center" wrapText="1"/>
    </xf>
    <xf numFmtId="165" fontId="14" fillId="0" borderId="9" xfId="8" applyNumberFormat="1" applyFont="1" applyBorder="1" applyAlignment="1">
      <alignment horizontal="left" vertical="center"/>
    </xf>
    <xf numFmtId="0" fontId="65" fillId="0" borderId="16" xfId="8" applyFont="1" applyBorder="1" applyAlignment="1">
      <alignment wrapText="1"/>
    </xf>
    <xf numFmtId="0" fontId="65" fillId="0" borderId="18" xfId="8" applyFont="1" applyBorder="1" applyAlignment="1">
      <alignment wrapText="1"/>
    </xf>
    <xf numFmtId="0" fontId="4" fillId="0" borderId="9" xfId="8" applyFont="1" applyBorder="1" applyAlignment="1">
      <alignment wrapText="1"/>
    </xf>
    <xf numFmtId="165" fontId="14" fillId="0" borderId="16" xfId="13" applyNumberFormat="1" applyFont="1" applyBorder="1" applyAlignment="1">
      <alignment vertical="center" wrapText="1"/>
    </xf>
    <xf numFmtId="165" fontId="14" fillId="0" borderId="17" xfId="13" applyNumberFormat="1" applyFont="1" applyBorder="1" applyAlignment="1">
      <alignment vertical="center" wrapText="1"/>
    </xf>
    <xf numFmtId="165" fontId="14" fillId="0" borderId="18" xfId="13" applyNumberFormat="1" applyFont="1" applyBorder="1" applyAlignment="1">
      <alignment vertical="center" wrapText="1"/>
    </xf>
    <xf numFmtId="0" fontId="1" fillId="0" borderId="19" xfId="0" applyFont="1" applyBorder="1" applyAlignment="1">
      <alignment horizontal="left" vertical="center" wrapText="1"/>
    </xf>
    <xf numFmtId="0" fontId="14" fillId="0" borderId="19"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16" xfId="8" applyFont="1" applyBorder="1" applyAlignment="1">
      <alignment horizontal="center" wrapText="1"/>
    </xf>
    <xf numFmtId="0" fontId="14" fillId="0" borderId="18" xfId="8" applyFont="1" applyBorder="1" applyAlignment="1">
      <alignment horizontal="center" wrapText="1"/>
    </xf>
    <xf numFmtId="165" fontId="14" fillId="0" borderId="22" xfId="13" applyNumberFormat="1" applyFont="1" applyBorder="1" applyAlignment="1">
      <alignment vertical="center" wrapText="1"/>
    </xf>
    <xf numFmtId="165" fontId="14" fillId="0" borderId="0" xfId="13" applyNumberFormat="1" applyFont="1" applyAlignment="1">
      <alignment vertical="center" wrapText="1"/>
    </xf>
    <xf numFmtId="0" fontId="65" fillId="0" borderId="9" xfId="8" applyFont="1" applyBorder="1" applyAlignment="1">
      <alignment wrapText="1"/>
    </xf>
    <xf numFmtId="0" fontId="14" fillId="4" borderId="18" xfId="8" applyFont="1" applyFill="1" applyBorder="1" applyAlignment="1">
      <alignment wrapText="1"/>
    </xf>
    <xf numFmtId="0" fontId="14" fillId="4" borderId="16" xfId="0" applyFont="1" applyFill="1" applyBorder="1" applyAlignment="1">
      <alignment vertical="center" wrapText="1"/>
    </xf>
    <xf numFmtId="0" fontId="14" fillId="4" borderId="17" xfId="0" applyFont="1" applyFill="1" applyBorder="1" applyAlignment="1">
      <alignment vertical="center" wrapText="1"/>
    </xf>
    <xf numFmtId="0" fontId="14" fillId="4" borderId="18" xfId="0" applyFont="1" applyFill="1" applyBorder="1" applyAlignment="1">
      <alignment vertical="center" wrapText="1"/>
    </xf>
    <xf numFmtId="165" fontId="14" fillId="0" borderId="9" xfId="0" applyNumberFormat="1" applyFont="1" applyBorder="1" applyAlignment="1">
      <alignment horizontal="left" vertical="center" wrapText="1"/>
    </xf>
    <xf numFmtId="0" fontId="14" fillId="4" borderId="16" xfId="0" applyFont="1" applyFill="1" applyBorder="1" applyAlignment="1">
      <alignment horizontal="left" vertical="center" wrapText="1"/>
    </xf>
    <xf numFmtId="0" fontId="14" fillId="4" borderId="18" xfId="0" applyFont="1" applyFill="1" applyBorder="1" applyAlignment="1">
      <alignment horizontal="left" vertical="center" wrapText="1"/>
    </xf>
    <xf numFmtId="0" fontId="65" fillId="4" borderId="16" xfId="0" applyFont="1" applyFill="1" applyBorder="1" applyAlignment="1">
      <alignment vertical="center" wrapText="1"/>
    </xf>
    <xf numFmtId="0" fontId="65" fillId="4" borderId="17" xfId="0" applyFont="1" applyFill="1" applyBorder="1" applyAlignment="1">
      <alignment vertical="center" wrapText="1"/>
    </xf>
    <xf numFmtId="0" fontId="65" fillId="4" borderId="18" xfId="0" applyFont="1" applyFill="1" applyBorder="1" applyAlignment="1">
      <alignment vertical="center" wrapText="1"/>
    </xf>
    <xf numFmtId="165" fontId="4" fillId="4" borderId="9" xfId="0" applyNumberFormat="1" applyFont="1" applyFill="1" applyBorder="1" applyAlignment="1">
      <alignment horizontal="left" vertical="center" wrapText="1"/>
    </xf>
    <xf numFmtId="0" fontId="14" fillId="0" borderId="16" xfId="0" applyFont="1" applyBorder="1" applyAlignment="1">
      <alignment vertical="center" wrapText="1"/>
    </xf>
    <xf numFmtId="0" fontId="14" fillId="0" borderId="17" xfId="0" applyFont="1" applyBorder="1" applyAlignment="1">
      <alignment vertical="center" wrapText="1"/>
    </xf>
    <xf numFmtId="0" fontId="14" fillId="0" borderId="18" xfId="0" applyFont="1" applyBorder="1" applyAlignment="1">
      <alignment vertical="center" wrapText="1"/>
    </xf>
    <xf numFmtId="165" fontId="14" fillId="0" borderId="16" xfId="6" applyNumberFormat="1" applyFont="1" applyBorder="1" applyAlignment="1">
      <alignment vertical="center" wrapText="1"/>
    </xf>
    <xf numFmtId="165" fontId="14" fillId="0" borderId="17" xfId="6" applyNumberFormat="1" applyFont="1" applyBorder="1" applyAlignment="1">
      <alignment vertical="center" wrapText="1"/>
    </xf>
    <xf numFmtId="165" fontId="14" fillId="0" borderId="18" xfId="6" applyNumberFormat="1" applyFont="1" applyBorder="1" applyAlignment="1">
      <alignment vertical="center" wrapText="1"/>
    </xf>
    <xf numFmtId="165" fontId="1" fillId="0" borderId="19" xfId="0" applyNumberFormat="1" applyFont="1" applyBorder="1" applyAlignment="1">
      <alignment horizontal="left" vertical="center" wrapText="1"/>
    </xf>
    <xf numFmtId="0" fontId="14" fillId="11" borderId="19" xfId="0" applyFont="1" applyFill="1" applyBorder="1" applyAlignment="1">
      <alignment horizontal="center" vertical="center" wrapText="1"/>
    </xf>
    <xf numFmtId="0" fontId="14" fillId="11" borderId="9" xfId="5" applyFont="1" applyFill="1" applyBorder="1" applyAlignment="1">
      <alignment horizontal="center" vertical="center" wrapText="1"/>
    </xf>
    <xf numFmtId="165" fontId="65" fillId="0" borderId="20" xfId="6" applyNumberFormat="1" applyFont="1" applyBorder="1" applyAlignment="1">
      <alignment vertical="center" wrapText="1"/>
    </xf>
    <xf numFmtId="165" fontId="65" fillId="0" borderId="27" xfId="6" applyNumberFormat="1" applyFont="1" applyBorder="1" applyAlignment="1">
      <alignment vertical="center" wrapText="1"/>
    </xf>
    <xf numFmtId="165" fontId="65" fillId="0" borderId="21" xfId="6" applyNumberFormat="1" applyFont="1" applyBorder="1" applyAlignment="1">
      <alignment vertical="center" wrapText="1"/>
    </xf>
    <xf numFmtId="3" fontId="14" fillId="0" borderId="17" xfId="0" applyNumberFormat="1" applyFont="1" applyBorder="1" applyAlignment="1">
      <alignment horizontal="left" vertical="center" wrapText="1"/>
    </xf>
    <xf numFmtId="165" fontId="65" fillId="0" borderId="9" xfId="6" applyNumberFormat="1" applyFont="1" applyBorder="1" applyAlignment="1">
      <alignment vertical="center" wrapText="1"/>
    </xf>
    <xf numFmtId="165" fontId="65" fillId="0" borderId="26" xfId="6" applyNumberFormat="1" applyFont="1" applyBorder="1" applyAlignment="1">
      <alignment vertical="center" wrapText="1"/>
    </xf>
    <xf numFmtId="0" fontId="4" fillId="0" borderId="30" xfId="0" applyFont="1" applyBorder="1" applyAlignment="1">
      <alignment horizontal="center" vertical="center" wrapText="1"/>
    </xf>
    <xf numFmtId="0" fontId="4" fillId="0" borderId="30" xfId="0" applyFont="1" applyBorder="1" applyAlignment="1">
      <alignment horizontal="left" vertical="center" wrapText="1"/>
    </xf>
    <xf numFmtId="0" fontId="4" fillId="0" borderId="19" xfId="8" applyFont="1" applyBorder="1" applyAlignment="1">
      <alignment horizontal="center" vertical="top" wrapText="1"/>
    </xf>
    <xf numFmtId="0" fontId="4" fillId="0" borderId="30" xfId="8" applyFont="1" applyBorder="1" applyAlignment="1">
      <alignment horizontal="center" vertical="top" wrapText="1"/>
    </xf>
    <xf numFmtId="165" fontId="4" fillId="0" borderId="9" xfId="8" applyNumberFormat="1" applyFont="1" applyBorder="1" applyAlignment="1">
      <alignment horizontal="left" wrapText="1"/>
    </xf>
    <xf numFmtId="0" fontId="14" fillId="11" borderId="9" xfId="5" applyFont="1" applyFill="1" applyBorder="1" applyAlignment="1">
      <alignment horizontal="left" vertical="center" wrapText="1"/>
    </xf>
    <xf numFmtId="0" fontId="4" fillId="0" borderId="9" xfId="8" applyFont="1" applyBorder="1" applyAlignment="1">
      <alignment horizontal="left" vertical="top" wrapText="1"/>
    </xf>
    <xf numFmtId="0" fontId="14" fillId="0" borderId="19" xfId="8" applyFont="1" applyBorder="1" applyAlignment="1">
      <alignment horizontal="left" wrapText="1"/>
    </xf>
    <xf numFmtId="0" fontId="14" fillId="0" borderId="23" xfId="0" applyFont="1" applyBorder="1" applyAlignment="1">
      <alignment horizontal="left" wrapText="1"/>
    </xf>
    <xf numFmtId="165" fontId="51" fillId="0" borderId="19" xfId="0" applyNumberFormat="1" applyFont="1" applyBorder="1" applyAlignment="1">
      <alignment horizontal="left" vertical="center" wrapText="1"/>
    </xf>
    <xf numFmtId="165" fontId="51" fillId="0" borderId="30" xfId="0" applyNumberFormat="1" applyFont="1" applyBorder="1" applyAlignment="1">
      <alignment horizontal="left" vertical="center" wrapText="1"/>
    </xf>
    <xf numFmtId="165" fontId="51" fillId="0" borderId="23" xfId="0" applyNumberFormat="1" applyFont="1" applyBorder="1" applyAlignment="1">
      <alignment horizontal="left" vertical="center" wrapText="1"/>
    </xf>
    <xf numFmtId="0" fontId="4" fillId="0" borderId="19" xfId="8" applyFont="1" applyBorder="1" applyAlignment="1">
      <alignment horizontal="left" wrapText="1"/>
    </xf>
    <xf numFmtId="0" fontId="4" fillId="0" borderId="23" xfId="0" applyFont="1" applyBorder="1" applyAlignment="1">
      <alignment horizontal="left" wrapText="1"/>
    </xf>
    <xf numFmtId="0" fontId="14" fillId="15" borderId="20" xfId="0" applyFont="1" applyFill="1" applyBorder="1" applyAlignment="1">
      <alignment horizontal="center" vertical="center" wrapText="1"/>
    </xf>
    <xf numFmtId="0" fontId="14" fillId="15" borderId="27" xfId="0" applyFont="1" applyFill="1" applyBorder="1" applyAlignment="1">
      <alignment horizontal="center" vertical="center" wrapText="1"/>
    </xf>
    <xf numFmtId="0" fontId="14" fillId="15" borderId="21" xfId="0" applyFont="1" applyFill="1" applyBorder="1" applyAlignment="1">
      <alignment horizontal="center" vertical="center" wrapText="1"/>
    </xf>
    <xf numFmtId="0" fontId="14" fillId="15" borderId="25" xfId="0" applyFont="1" applyFill="1" applyBorder="1" applyAlignment="1">
      <alignment horizontal="center" vertical="center" wrapText="1"/>
    </xf>
    <xf numFmtId="0" fontId="14" fillId="15" borderId="28" xfId="0" applyFont="1" applyFill="1" applyBorder="1" applyAlignment="1">
      <alignment horizontal="center" vertical="center" wrapText="1"/>
    </xf>
    <xf numFmtId="0" fontId="14" fillId="15" borderId="26" xfId="0" applyFont="1" applyFill="1" applyBorder="1" applyAlignment="1">
      <alignment horizontal="center" vertical="center" wrapText="1"/>
    </xf>
    <xf numFmtId="165" fontId="14" fillId="0" borderId="19" xfId="0" applyNumberFormat="1" applyFont="1" applyBorder="1" applyAlignment="1">
      <alignment horizontal="left" vertical="center" wrapText="1"/>
    </xf>
    <xf numFmtId="165" fontId="14" fillId="0" borderId="23" xfId="0" applyNumberFormat="1" applyFont="1" applyBorder="1" applyAlignment="1">
      <alignment horizontal="left" vertical="center" wrapText="1"/>
    </xf>
    <xf numFmtId="165" fontId="14" fillId="0" borderId="19" xfId="6" applyNumberFormat="1" applyFont="1" applyBorder="1" applyAlignment="1">
      <alignment horizontal="left" vertical="center" wrapText="1"/>
    </xf>
    <xf numFmtId="165" fontId="1" fillId="0" borderId="9" xfId="6" applyNumberFormat="1" applyBorder="1" applyAlignment="1">
      <alignment horizontal="left" vertical="center" wrapText="1"/>
    </xf>
    <xf numFmtId="0" fontId="51" fillId="0" borderId="9" xfId="8" applyFont="1" applyBorder="1" applyAlignment="1">
      <alignment horizontal="left" vertical="center" wrapText="1"/>
    </xf>
    <xf numFmtId="0" fontId="51" fillId="11" borderId="20" xfId="0" applyFont="1" applyFill="1" applyBorder="1" applyAlignment="1">
      <alignment horizontal="center" vertical="center" wrapText="1"/>
    </xf>
    <xf numFmtId="0" fontId="65" fillId="0" borderId="91" xfId="8" applyFont="1" applyBorder="1" applyAlignment="1">
      <alignment horizontal="left" vertical="center" wrapText="1"/>
    </xf>
    <xf numFmtId="0" fontId="65" fillId="0" borderId="92" xfId="8" applyFont="1" applyBorder="1" applyAlignment="1">
      <alignment horizontal="left" vertical="center" wrapText="1"/>
    </xf>
    <xf numFmtId="0" fontId="65" fillId="0" borderId="93" xfId="8" applyFont="1" applyBorder="1" applyAlignment="1">
      <alignment horizontal="left" vertical="center" wrapText="1"/>
    </xf>
    <xf numFmtId="0" fontId="65" fillId="0" borderId="94" xfId="8" applyFont="1" applyBorder="1" applyAlignment="1">
      <alignment horizontal="left" vertical="center" wrapText="1"/>
    </xf>
    <xf numFmtId="0" fontId="65" fillId="0" borderId="95" xfId="8" applyFont="1" applyBorder="1" applyAlignment="1">
      <alignment horizontal="left" vertical="center" wrapText="1"/>
    </xf>
    <xf numFmtId="0" fontId="65" fillId="0" borderId="96" xfId="8" applyFont="1" applyBorder="1" applyAlignment="1">
      <alignment horizontal="left" vertical="center" wrapText="1"/>
    </xf>
    <xf numFmtId="165" fontId="65" fillId="0" borderId="91" xfId="13" applyNumberFormat="1" applyFont="1" applyBorder="1" applyAlignment="1">
      <alignment horizontal="left" vertical="center" wrapText="1"/>
    </xf>
    <xf numFmtId="165" fontId="65" fillId="0" borderId="92" xfId="13" applyNumberFormat="1" applyFont="1" applyBorder="1" applyAlignment="1">
      <alignment horizontal="left" vertical="center" wrapText="1"/>
    </xf>
    <xf numFmtId="165" fontId="65" fillId="0" borderId="93" xfId="13" applyNumberFormat="1" applyFont="1" applyBorder="1" applyAlignment="1">
      <alignment horizontal="left" vertical="center" wrapText="1"/>
    </xf>
    <xf numFmtId="165" fontId="65" fillId="0" borderId="94" xfId="13" applyNumberFormat="1" applyFont="1" applyBorder="1" applyAlignment="1">
      <alignment horizontal="left" vertical="center" wrapText="1"/>
    </xf>
    <xf numFmtId="165" fontId="65" fillId="0" borderId="95" xfId="13" applyNumberFormat="1" applyFont="1" applyBorder="1" applyAlignment="1">
      <alignment horizontal="left" vertical="center" wrapText="1"/>
    </xf>
    <xf numFmtId="165" fontId="65" fillId="0" borderId="96" xfId="13" applyNumberFormat="1" applyFont="1" applyBorder="1" applyAlignment="1">
      <alignment horizontal="left" vertical="center" wrapText="1"/>
    </xf>
    <xf numFmtId="0" fontId="51" fillId="0" borderId="50" xfId="8" applyFont="1" applyBorder="1" applyAlignment="1">
      <alignment wrapText="1"/>
    </xf>
    <xf numFmtId="0" fontId="51" fillId="0" borderId="9" xfId="8" applyFont="1" applyBorder="1" applyAlignment="1">
      <alignment horizontal="left" vertical="center"/>
    </xf>
    <xf numFmtId="0" fontId="51" fillId="4" borderId="9" xfId="8" applyFont="1" applyFill="1" applyBorder="1" applyAlignment="1">
      <alignment horizontal="left" wrapText="1"/>
    </xf>
    <xf numFmtId="0" fontId="99" fillId="0" borderId="9" xfId="0" applyFont="1" applyBorder="1" applyAlignment="1">
      <alignment horizontal="left" vertical="center" wrapText="1"/>
    </xf>
    <xf numFmtId="165" fontId="14" fillId="0" borderId="22" xfId="13" applyNumberFormat="1" applyFont="1" applyBorder="1" applyAlignment="1">
      <alignment horizontal="center" vertical="center" wrapText="1"/>
    </xf>
    <xf numFmtId="165" fontId="14" fillId="0" borderId="24" xfId="13" applyNumberFormat="1" applyFont="1" applyBorder="1" applyAlignment="1">
      <alignment horizontal="center" vertical="center" wrapText="1"/>
    </xf>
    <xf numFmtId="0" fontId="65" fillId="0" borderId="27" xfId="0" applyFont="1" applyBorder="1" applyAlignment="1">
      <alignment horizontal="left" vertical="center" wrapText="1"/>
    </xf>
    <xf numFmtId="0" fontId="65" fillId="0" borderId="22" xfId="0" applyFont="1" applyBorder="1" applyAlignment="1">
      <alignment horizontal="left" vertical="center" wrapText="1"/>
    </xf>
    <xf numFmtId="0" fontId="65" fillId="0" borderId="0" xfId="0" applyFont="1" applyAlignment="1">
      <alignment horizontal="left" vertical="center" wrapText="1"/>
    </xf>
    <xf numFmtId="0" fontId="65" fillId="0" borderId="24" xfId="0" applyFont="1" applyBorder="1" applyAlignment="1">
      <alignment horizontal="left" vertical="center" wrapText="1"/>
    </xf>
    <xf numFmtId="0" fontId="65" fillId="0" borderId="28" xfId="0" applyFont="1" applyBorder="1" applyAlignment="1">
      <alignment horizontal="left" vertical="center" wrapText="1"/>
    </xf>
    <xf numFmtId="0" fontId="4" fillId="17" borderId="9" xfId="0" applyFont="1" applyFill="1" applyBorder="1" applyAlignment="1">
      <alignment horizontal="left"/>
    </xf>
    <xf numFmtId="0" fontId="4" fillId="10" borderId="16" xfId="0" applyFont="1" applyFill="1" applyBorder="1" applyAlignment="1">
      <alignment horizontal="left"/>
    </xf>
    <xf numFmtId="0" fontId="4" fillId="10" borderId="17" xfId="0" applyFont="1" applyFill="1" applyBorder="1" applyAlignment="1">
      <alignment horizontal="left"/>
    </xf>
    <xf numFmtId="0" fontId="4" fillId="11" borderId="9" xfId="0" applyFont="1" applyFill="1" applyBorder="1" applyAlignment="1">
      <alignment horizontal="center" vertical="center" wrapText="1"/>
    </xf>
    <xf numFmtId="165" fontId="4" fillId="0" borderId="30" xfId="13" applyNumberFormat="1" applyFont="1" applyBorder="1" applyAlignment="1">
      <alignment horizontal="left" vertical="center" wrapText="1"/>
    </xf>
    <xf numFmtId="0" fontId="94" fillId="0" borderId="16" xfId="0" applyFont="1" applyBorder="1" applyAlignment="1">
      <alignment horizontal="left"/>
    </xf>
    <xf numFmtId="0" fontId="94" fillId="0" borderId="17" xfId="0" applyFont="1" applyBorder="1" applyAlignment="1">
      <alignment horizontal="left"/>
    </xf>
    <xf numFmtId="0" fontId="94" fillId="0" borderId="18" xfId="0" applyFont="1" applyBorder="1" applyAlignment="1">
      <alignment horizontal="left"/>
    </xf>
    <xf numFmtId="165" fontId="14" fillId="0" borderId="30" xfId="0" applyNumberFormat="1" applyFont="1" applyBorder="1" applyAlignment="1">
      <alignment horizontal="left" vertical="center" wrapText="1"/>
    </xf>
    <xf numFmtId="165" fontId="14" fillId="0" borderId="19" xfId="0" applyNumberFormat="1" applyFont="1" applyBorder="1" applyAlignment="1">
      <alignment vertical="center" wrapText="1"/>
    </xf>
    <xf numFmtId="165" fontId="14" fillId="0" borderId="30" xfId="0" applyNumberFormat="1" applyFont="1" applyBorder="1" applyAlignment="1">
      <alignment vertical="center" wrapText="1"/>
    </xf>
    <xf numFmtId="165" fontId="14" fillId="0" borderId="23" xfId="0" applyNumberFormat="1" applyFont="1" applyBorder="1" applyAlignment="1">
      <alignment vertical="center" wrapText="1"/>
    </xf>
    <xf numFmtId="0" fontId="4" fillId="0" borderId="9" xfId="0" applyFont="1" applyBorder="1" applyAlignment="1">
      <alignment horizontal="center" vertical="center" wrapText="1"/>
    </xf>
    <xf numFmtId="0" fontId="51" fillId="4" borderId="9" xfId="8" applyFont="1" applyFill="1" applyBorder="1" applyAlignment="1">
      <alignment vertical="center" wrapText="1"/>
    </xf>
    <xf numFmtId="0" fontId="65" fillId="4" borderId="20" xfId="8" applyFont="1" applyFill="1" applyBorder="1" applyAlignment="1">
      <alignment horizontal="left" vertical="center" wrapText="1"/>
    </xf>
    <xf numFmtId="0" fontId="65" fillId="4" borderId="21" xfId="8" applyFont="1" applyFill="1" applyBorder="1" applyAlignment="1">
      <alignment horizontal="left" vertical="center" wrapText="1"/>
    </xf>
    <xf numFmtId="0" fontId="65" fillId="4" borderId="22" xfId="8" applyFont="1" applyFill="1" applyBorder="1" applyAlignment="1">
      <alignment horizontal="left" vertical="center" wrapText="1"/>
    </xf>
    <xf numFmtId="0" fontId="65" fillId="4" borderId="24" xfId="8" applyFont="1" applyFill="1" applyBorder="1" applyAlignment="1">
      <alignment horizontal="left" vertical="center" wrapText="1"/>
    </xf>
    <xf numFmtId="0" fontId="65" fillId="4" borderId="25" xfId="8" applyFont="1" applyFill="1" applyBorder="1" applyAlignment="1">
      <alignment horizontal="left" vertical="center" wrapText="1"/>
    </xf>
    <xf numFmtId="0" fontId="65" fillId="4" borderId="26" xfId="8" applyFont="1" applyFill="1" applyBorder="1" applyAlignment="1">
      <alignment horizontal="left" vertical="center" wrapText="1"/>
    </xf>
    <xf numFmtId="0" fontId="34" fillId="4" borderId="9" xfId="8" applyFont="1" applyFill="1" applyBorder="1" applyAlignment="1">
      <alignment vertical="center"/>
    </xf>
    <xf numFmtId="0" fontId="28" fillId="6" borderId="0" xfId="5" applyFont="1" applyFill="1" applyAlignment="1">
      <alignment vertical="center"/>
    </xf>
    <xf numFmtId="0" fontId="28" fillId="0" borderId="0" xfId="5" applyFont="1" applyAlignment="1">
      <alignment vertical="center" wrapText="1"/>
    </xf>
    <xf numFmtId="0" fontId="14" fillId="10" borderId="16" xfId="0" applyFont="1" applyFill="1" applyBorder="1" applyAlignment="1">
      <alignment horizontal="left" vertical="center"/>
    </xf>
    <xf numFmtId="0" fontId="14" fillId="10" borderId="17" xfId="0" applyFont="1" applyFill="1" applyBorder="1" applyAlignment="1">
      <alignment horizontal="left" vertical="center"/>
    </xf>
    <xf numFmtId="0" fontId="14" fillId="0" borderId="17" xfId="0" applyFont="1" applyBorder="1" applyAlignment="1">
      <alignment vertical="center"/>
    </xf>
    <xf numFmtId="0" fontId="14" fillId="0" borderId="18" xfId="0" applyFont="1" applyBorder="1" applyAlignment="1">
      <alignment vertical="center"/>
    </xf>
    <xf numFmtId="168" fontId="51" fillId="0" borderId="9" xfId="5" applyNumberFormat="1" applyFont="1" applyBorder="1" applyAlignment="1">
      <alignment horizontal="left" vertical="top" wrapText="1"/>
    </xf>
    <xf numFmtId="0" fontId="14" fillId="4" borderId="9" xfId="8" applyFont="1" applyFill="1" applyBorder="1" applyAlignment="1">
      <alignment horizontal="left" vertical="center"/>
    </xf>
    <xf numFmtId="0" fontId="34" fillId="4" borderId="9" xfId="8" applyFont="1" applyFill="1" applyBorder="1" applyAlignment="1">
      <alignment horizontal="center" vertical="center"/>
    </xf>
    <xf numFmtId="168" fontId="14" fillId="0" borderId="9" xfId="5" applyNumberFormat="1" applyFont="1" applyBorder="1" applyAlignment="1">
      <alignment horizontal="center" vertical="center"/>
    </xf>
    <xf numFmtId="168" fontId="14" fillId="0" borderId="9" xfId="5" applyNumberFormat="1" applyFont="1" applyBorder="1" applyAlignment="1">
      <alignment horizontal="left" vertical="center" wrapText="1"/>
    </xf>
    <xf numFmtId="168" fontId="65" fillId="0" borderId="16" xfId="5" applyNumberFormat="1" applyFont="1" applyBorder="1" applyAlignment="1">
      <alignment horizontal="left" vertical="top" wrapText="1"/>
    </xf>
    <xf numFmtId="168" fontId="65" fillId="0" borderId="17" xfId="5" applyNumberFormat="1" applyFont="1" applyBorder="1" applyAlignment="1">
      <alignment horizontal="left" vertical="top" wrapText="1"/>
    </xf>
    <xf numFmtId="168" fontId="65" fillId="0" borderId="18" xfId="5" applyNumberFormat="1" applyFont="1" applyBorder="1" applyAlignment="1">
      <alignment horizontal="left" vertical="top" wrapText="1"/>
    </xf>
    <xf numFmtId="168" fontId="65" fillId="0" borderId="9" xfId="5" applyNumberFormat="1" applyFont="1" applyBorder="1" applyAlignment="1">
      <alignment horizontal="left" vertical="top" wrapText="1"/>
    </xf>
    <xf numFmtId="0" fontId="0" fillId="0" borderId="17" xfId="0" applyBorder="1" applyAlignment="1">
      <alignment vertical="center"/>
    </xf>
    <xf numFmtId="0" fontId="0" fillId="0" borderId="18" xfId="0" applyBorder="1" applyAlignment="1">
      <alignment vertical="center"/>
    </xf>
    <xf numFmtId="0" fontId="14" fillId="0" borderId="9" xfId="5" applyFont="1" applyBorder="1" applyAlignment="1">
      <alignment horizontal="left" vertical="center" wrapText="1"/>
    </xf>
    <xf numFmtId="168" fontId="14" fillId="0" borderId="9" xfId="5" applyNumberFormat="1" applyFont="1" applyBorder="1" applyAlignment="1">
      <alignment vertical="center"/>
    </xf>
    <xf numFmtId="0" fontId="4" fillId="0" borderId="9" xfId="5" quotePrefix="1" applyFont="1" applyBorder="1" applyAlignment="1">
      <alignment horizontal="left" vertical="center" wrapText="1"/>
    </xf>
    <xf numFmtId="0" fontId="4" fillId="0" borderId="9" xfId="5" applyFont="1" applyBorder="1" applyAlignment="1">
      <alignment horizontal="left" vertical="center" wrapText="1"/>
    </xf>
    <xf numFmtId="168" fontId="4" fillId="0" borderId="9" xfId="5" applyNumberFormat="1" applyFont="1" applyBorder="1" applyAlignment="1">
      <alignment horizontal="left" vertical="center" wrapText="1"/>
    </xf>
    <xf numFmtId="168" fontId="65" fillId="0" borderId="9" xfId="5" applyNumberFormat="1" applyFont="1" applyBorder="1" applyAlignment="1">
      <alignment horizontal="left" vertical="center" wrapText="1"/>
    </xf>
    <xf numFmtId="0" fontId="51" fillId="10" borderId="16" xfId="0" applyFont="1" applyFill="1" applyBorder="1" applyAlignment="1">
      <alignment horizontal="left" vertical="center"/>
    </xf>
    <xf numFmtId="0" fontId="51" fillId="10" borderId="17" xfId="0" applyFont="1" applyFill="1" applyBorder="1" applyAlignment="1">
      <alignment horizontal="left" vertical="center"/>
    </xf>
    <xf numFmtId="0" fontId="51" fillId="0" borderId="17" xfId="0" applyFont="1" applyBorder="1" applyAlignment="1">
      <alignment vertical="center"/>
    </xf>
    <xf numFmtId="0" fontId="51" fillId="0" borderId="18" xfId="0" applyFont="1" applyBorder="1" applyAlignment="1">
      <alignment vertical="center"/>
    </xf>
    <xf numFmtId="0" fontId="118" fillId="0" borderId="17" xfId="0" applyFont="1" applyBorder="1" applyAlignment="1">
      <alignment vertical="center"/>
    </xf>
    <xf numFmtId="0" fontId="118" fillId="0" borderId="18" xfId="0" applyFont="1" applyBorder="1" applyAlignment="1">
      <alignment vertical="center"/>
    </xf>
    <xf numFmtId="0" fontId="51" fillId="11" borderId="17" xfId="0" applyFont="1" applyFill="1" applyBorder="1" applyAlignment="1">
      <alignment horizontal="center" vertical="center" wrapText="1"/>
    </xf>
    <xf numFmtId="0" fontId="65" fillId="4" borderId="9" xfId="0" applyFont="1" applyFill="1" applyBorder="1" applyAlignment="1">
      <alignment vertical="center" wrapText="1"/>
    </xf>
    <xf numFmtId="0" fontId="65" fillId="4" borderId="16" xfId="8" applyFont="1" applyFill="1" applyBorder="1" applyAlignment="1">
      <alignment wrapText="1"/>
    </xf>
    <xf numFmtId="0" fontId="65" fillId="4" borderId="18" xfId="8" applyFont="1" applyFill="1" applyBorder="1" applyAlignment="1">
      <alignment wrapText="1"/>
    </xf>
    <xf numFmtId="0" fontId="51" fillId="0" borderId="9" xfId="8" applyFont="1" applyBorder="1" applyAlignment="1">
      <alignment vertical="center" wrapText="1"/>
    </xf>
    <xf numFmtId="0" fontId="65" fillId="0" borderId="9" xfId="8" applyFont="1" applyBorder="1" applyAlignment="1">
      <alignment vertical="center" wrapText="1"/>
    </xf>
    <xf numFmtId="0" fontId="51" fillId="0" borderId="19" xfId="0" applyFont="1" applyBorder="1" applyAlignment="1">
      <alignment horizontal="center" vertical="center" wrapText="1"/>
    </xf>
    <xf numFmtId="0" fontId="51" fillId="0" borderId="23" xfId="0" applyFont="1" applyBorder="1" applyAlignment="1">
      <alignment horizontal="center" vertical="center" wrapText="1"/>
    </xf>
    <xf numFmtId="0" fontId="51" fillId="0" borderId="19" xfId="8" applyFont="1" applyBorder="1" applyAlignment="1">
      <alignment horizontal="left" vertical="center" wrapText="1"/>
    </xf>
    <xf numFmtId="0" fontId="51" fillId="0" borderId="23" xfId="8" applyFont="1" applyBorder="1" applyAlignment="1">
      <alignment horizontal="left" vertical="center" wrapText="1"/>
    </xf>
    <xf numFmtId="165" fontId="65" fillId="0" borderId="16" xfId="13" applyNumberFormat="1" applyFont="1" applyBorder="1" applyAlignment="1">
      <alignment vertical="center" wrapText="1"/>
    </xf>
    <xf numFmtId="165" fontId="65" fillId="0" borderId="17" xfId="13" applyNumberFormat="1" applyFont="1" applyBorder="1" applyAlignment="1">
      <alignment vertical="center" wrapText="1"/>
    </xf>
    <xf numFmtId="165" fontId="65" fillId="0" borderId="18" xfId="13" applyNumberFormat="1" applyFont="1" applyBorder="1" applyAlignment="1">
      <alignment vertical="center" wrapText="1"/>
    </xf>
    <xf numFmtId="165" fontId="65" fillId="0" borderId="22" xfId="13" applyNumberFormat="1" applyFont="1" applyBorder="1" applyAlignment="1">
      <alignment vertical="center" wrapText="1"/>
    </xf>
    <xf numFmtId="165" fontId="65" fillId="0" borderId="0" xfId="13" applyNumberFormat="1" applyFont="1" applyAlignment="1">
      <alignment vertical="center" wrapText="1"/>
    </xf>
    <xf numFmtId="165" fontId="65" fillId="0" borderId="17" xfId="13" applyNumberFormat="1" applyFont="1" applyBorder="1" applyAlignment="1">
      <alignment horizontal="left" vertical="center" wrapText="1"/>
    </xf>
    <xf numFmtId="165" fontId="51" fillId="0" borderId="9" xfId="13" applyNumberFormat="1" applyFont="1" applyBorder="1" applyAlignment="1">
      <alignment vertical="center" wrapText="1"/>
    </xf>
    <xf numFmtId="0" fontId="51" fillId="0" borderId="16" xfId="8" applyFont="1" applyBorder="1" applyAlignment="1">
      <alignment vertical="center" wrapText="1"/>
    </xf>
    <xf numFmtId="0" fontId="51" fillId="0" borderId="18" xfId="8" applyFont="1" applyBorder="1" applyAlignment="1">
      <alignment vertical="center" wrapText="1"/>
    </xf>
    <xf numFmtId="0" fontId="65" fillId="0" borderId="16" xfId="8" applyFont="1" applyBorder="1" applyAlignment="1">
      <alignment horizontal="left" vertical="center"/>
    </xf>
    <xf numFmtId="0" fontId="65" fillId="0" borderId="17" xfId="8" applyFont="1" applyBorder="1" applyAlignment="1">
      <alignment horizontal="left" vertical="center"/>
    </xf>
    <xf numFmtId="0" fontId="65" fillId="0" borderId="18" xfId="8" applyFont="1" applyBorder="1" applyAlignment="1">
      <alignment horizontal="left" vertical="center"/>
    </xf>
    <xf numFmtId="0" fontId="51" fillId="11" borderId="27" xfId="0" applyFont="1" applyFill="1" applyBorder="1" applyAlignment="1">
      <alignment horizontal="center" vertical="center" wrapText="1"/>
    </xf>
    <xf numFmtId="0" fontId="51" fillId="11" borderId="21" xfId="0" applyFont="1" applyFill="1" applyBorder="1" applyAlignment="1">
      <alignment horizontal="center" vertical="center" wrapText="1"/>
    </xf>
    <xf numFmtId="165" fontId="51" fillId="0" borderId="17" xfId="6" applyNumberFormat="1" applyFont="1" applyBorder="1" applyAlignment="1">
      <alignment horizontal="left" vertical="center" wrapText="1"/>
    </xf>
    <xf numFmtId="165" fontId="51" fillId="0" borderId="18" xfId="6" applyNumberFormat="1" applyFont="1" applyBorder="1" applyAlignment="1">
      <alignment horizontal="left" vertical="center" wrapText="1"/>
    </xf>
    <xf numFmtId="0" fontId="4" fillId="0" borderId="100" xfId="0" applyFont="1" applyBorder="1" applyAlignment="1">
      <alignment horizontal="left" vertical="center" wrapText="1"/>
    </xf>
    <xf numFmtId="0" fontId="4" fillId="0" borderId="17" xfId="0" applyFont="1" applyBorder="1" applyAlignment="1">
      <alignment horizontal="left" vertical="center" wrapText="1"/>
    </xf>
    <xf numFmtId="0" fontId="65" fillId="0" borderId="16" xfId="0" applyFont="1" applyBorder="1" applyAlignment="1">
      <alignment horizontal="left" wrapText="1"/>
    </xf>
    <xf numFmtId="0" fontId="65" fillId="0" borderId="18" xfId="0" applyFont="1" applyBorder="1" applyAlignment="1">
      <alignment horizontal="left" wrapText="1"/>
    </xf>
    <xf numFmtId="0" fontId="14" fillId="0" borderId="20" xfId="0" applyFont="1" applyBorder="1" applyAlignment="1">
      <alignment horizontal="left" vertical="center" wrapText="1"/>
    </xf>
    <xf numFmtId="0" fontId="14" fillId="0" borderId="27" xfId="0" applyFont="1" applyBorder="1" applyAlignment="1">
      <alignment horizontal="left" vertical="center" wrapText="1"/>
    </xf>
    <xf numFmtId="0" fontId="14" fillId="0" borderId="21" xfId="0" applyFont="1" applyBorder="1" applyAlignment="1">
      <alignment horizontal="left" vertical="center" wrapText="1"/>
    </xf>
    <xf numFmtId="0" fontId="14" fillId="0" borderId="28" xfId="0" applyFont="1" applyBorder="1" applyAlignment="1">
      <alignment horizontal="left" vertical="center" wrapText="1"/>
    </xf>
    <xf numFmtId="0" fontId="4" fillId="0" borderId="20" xfId="0" applyFont="1" applyBorder="1" applyAlignment="1">
      <alignment horizontal="left" vertical="center"/>
    </xf>
    <xf numFmtId="0" fontId="4" fillId="0" borderId="27" xfId="0" applyFont="1" applyBorder="1" applyAlignment="1">
      <alignment horizontal="left" vertical="center"/>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4" fillId="0" borderId="0" xfId="0" applyFont="1" applyAlignment="1">
      <alignment horizontal="left" vertical="center"/>
    </xf>
    <xf numFmtId="0" fontId="4" fillId="0" borderId="24" xfId="0" applyFont="1" applyBorder="1" applyAlignment="1">
      <alignment horizontal="left" vertical="center"/>
    </xf>
    <xf numFmtId="0" fontId="4" fillId="0" borderId="97" xfId="8" applyFont="1" applyBorder="1" applyAlignment="1">
      <alignment horizontal="left" vertical="center" wrapText="1"/>
    </xf>
    <xf numFmtId="0" fontId="4" fillId="0" borderId="98" xfId="8" applyFont="1" applyBorder="1" applyAlignment="1">
      <alignment horizontal="left" vertical="center" wrapText="1"/>
    </xf>
    <xf numFmtId="0" fontId="4" fillId="0" borderId="99" xfId="8" applyFont="1" applyBorder="1" applyAlignment="1">
      <alignment horizontal="left" vertical="center" wrapText="1"/>
    </xf>
    <xf numFmtId="168" fontId="14" fillId="0" borderId="20" xfId="5" applyNumberFormat="1" applyFont="1" applyBorder="1" applyAlignment="1">
      <alignment horizontal="left" vertical="center" wrapText="1"/>
    </xf>
    <xf numFmtId="168" fontId="14" fillId="0" borderId="27" xfId="5" applyNumberFormat="1" applyFont="1" applyBorder="1" applyAlignment="1">
      <alignment horizontal="left" vertical="center" wrapText="1"/>
    </xf>
    <xf numFmtId="168" fontId="14" fillId="0" borderId="21" xfId="5" applyNumberFormat="1" applyFont="1" applyBorder="1" applyAlignment="1">
      <alignment horizontal="left" vertical="center" wrapText="1"/>
    </xf>
    <xf numFmtId="168" fontId="14" fillId="0" borderId="25" xfId="5" applyNumberFormat="1" applyFont="1" applyBorder="1" applyAlignment="1">
      <alignment horizontal="left" vertical="center" wrapText="1"/>
    </xf>
    <xf numFmtId="168" fontId="14" fillId="0" borderId="28" xfId="5" applyNumberFormat="1" applyFont="1" applyBorder="1" applyAlignment="1">
      <alignment horizontal="left" vertical="center" wrapText="1"/>
    </xf>
    <xf numFmtId="168" fontId="14" fillId="0" borderId="26" xfId="5" applyNumberFormat="1" applyFont="1" applyBorder="1" applyAlignment="1">
      <alignment horizontal="left" vertical="center" wrapText="1"/>
    </xf>
    <xf numFmtId="0" fontId="65" fillId="10" borderId="16" xfId="0" applyFont="1" applyFill="1" applyBorder="1" applyAlignment="1">
      <alignment horizontal="left"/>
    </xf>
    <xf numFmtId="0" fontId="65" fillId="10" borderId="17" xfId="0" applyFont="1" applyFill="1" applyBorder="1" applyAlignment="1">
      <alignment horizontal="left"/>
    </xf>
    <xf numFmtId="0" fontId="65" fillId="0" borderId="0" xfId="6" applyFont="1" applyAlignment="1">
      <alignment horizontal="left" vertical="center" wrapText="1"/>
    </xf>
    <xf numFmtId="0" fontId="4" fillId="0" borderId="0" xfId="6" applyFont="1" applyAlignment="1">
      <alignment horizontal="left" vertical="center" wrapText="1"/>
    </xf>
    <xf numFmtId="0" fontId="51" fillId="0" borderId="0" xfId="6" applyFont="1" applyAlignment="1">
      <alignment horizontal="left" vertical="center" wrapText="1"/>
    </xf>
    <xf numFmtId="0" fontId="14" fillId="0" borderId="0" xfId="6" applyFont="1" applyAlignment="1">
      <alignment horizontal="left" vertical="center" wrapText="1"/>
    </xf>
    <xf numFmtId="0" fontId="14" fillId="0" borderId="0" xfId="0" applyFont="1" applyAlignment="1">
      <alignment horizontal="left" wrapText="1"/>
    </xf>
    <xf numFmtId="0" fontId="23" fillId="6" borderId="56" xfId="5" applyFont="1" applyFill="1" applyBorder="1" applyAlignment="1">
      <alignment vertical="center"/>
    </xf>
    <xf numFmtId="0" fontId="1" fillId="0" borderId="57" xfId="0" applyFont="1" applyBorder="1" applyAlignment="1">
      <alignment vertical="center"/>
    </xf>
    <xf numFmtId="0" fontId="1" fillId="0" borderId="58" xfId="0" applyFont="1" applyBorder="1" applyAlignment="1">
      <alignment vertical="center"/>
    </xf>
    <xf numFmtId="0" fontId="14" fillId="0" borderId="0" xfId="6" applyFont="1" applyAlignment="1">
      <alignment horizontal="left" wrapText="1"/>
    </xf>
    <xf numFmtId="0" fontId="89" fillId="9" borderId="39" xfId="0" applyFont="1" applyFill="1" applyBorder="1" applyAlignment="1">
      <alignment horizontal="center" vertical="center"/>
    </xf>
    <xf numFmtId="0" fontId="3" fillId="9" borderId="41" xfId="0" applyFont="1" applyFill="1" applyBorder="1" applyAlignment="1">
      <alignment horizontal="center" vertical="center"/>
    </xf>
    <xf numFmtId="0" fontId="3" fillId="9" borderId="89" xfId="0" applyFont="1" applyFill="1" applyBorder="1" applyAlignment="1">
      <alignment horizontal="center" vertical="center"/>
    </xf>
    <xf numFmtId="0" fontId="64" fillId="20" borderId="41" xfId="0" applyFont="1" applyFill="1" applyBorder="1" applyAlignment="1">
      <alignment wrapText="1"/>
    </xf>
    <xf numFmtId="0" fontId="39" fillId="0" borderId="41" xfId="0" applyFont="1" applyBorder="1" applyAlignment="1">
      <alignment wrapText="1"/>
    </xf>
    <xf numFmtId="43" fontId="54" fillId="22" borderId="20" xfId="1" applyFont="1" applyFill="1" applyBorder="1" applyAlignment="1">
      <alignment horizontal="center" wrapText="1"/>
    </xf>
    <xf numFmtId="0" fontId="14" fillId="22" borderId="27" xfId="0" applyFont="1" applyFill="1" applyBorder="1" applyAlignment="1">
      <alignment horizontal="center" wrapText="1"/>
    </xf>
    <xf numFmtId="0" fontId="14" fillId="22" borderId="21" xfId="0" applyFont="1" applyFill="1" applyBorder="1" applyAlignment="1">
      <alignment horizontal="center" wrapText="1"/>
    </xf>
    <xf numFmtId="43" fontId="54" fillId="23" borderId="20" xfId="1" applyFont="1" applyFill="1" applyBorder="1" applyAlignment="1">
      <alignment horizontal="center" wrapText="1"/>
    </xf>
    <xf numFmtId="0" fontId="14" fillId="23" borderId="27" xfId="0" applyFont="1" applyFill="1" applyBorder="1" applyAlignment="1">
      <alignment horizontal="center" wrapText="1"/>
    </xf>
    <xf numFmtId="0" fontId="14" fillId="23" borderId="21" xfId="0" applyFont="1" applyFill="1" applyBorder="1" applyAlignment="1">
      <alignment horizontal="center" wrapText="1"/>
    </xf>
    <xf numFmtId="0" fontId="38" fillId="27" borderId="39"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89" xfId="0" applyFont="1" applyBorder="1" applyAlignment="1">
      <alignment horizontal="center" vertical="center" wrapText="1"/>
    </xf>
    <xf numFmtId="0" fontId="38" fillId="22" borderId="39" xfId="0" applyFont="1" applyFill="1" applyBorder="1" applyAlignment="1">
      <alignment horizontal="center" vertical="center"/>
    </xf>
    <xf numFmtId="0" fontId="5" fillId="0" borderId="41" xfId="0" applyFont="1" applyBorder="1" applyAlignment="1">
      <alignment horizontal="center" vertical="center"/>
    </xf>
    <xf numFmtId="0" fontId="5" fillId="0" borderId="89" xfId="0" applyFont="1" applyBorder="1" applyAlignment="1">
      <alignment horizontal="center" vertical="center"/>
    </xf>
    <xf numFmtId="0" fontId="50" fillId="7" borderId="19" xfId="0" applyFont="1" applyFill="1" applyBorder="1" applyAlignment="1">
      <alignment horizontal="center" wrapText="1"/>
    </xf>
    <xf numFmtId="0" fontId="54" fillId="7" borderId="30" xfId="0" applyFont="1" applyFill="1" applyBorder="1" applyAlignment="1">
      <alignment horizontal="center" wrapText="1"/>
    </xf>
    <xf numFmtId="0" fontId="50" fillId="22" borderId="19" xfId="0" applyFont="1" applyFill="1" applyBorder="1" applyAlignment="1">
      <alignment horizontal="center" wrapText="1"/>
    </xf>
    <xf numFmtId="0" fontId="54" fillId="22" borderId="30" xfId="0" applyFont="1" applyFill="1" applyBorder="1" applyAlignment="1">
      <alignment horizontal="center" wrapText="1"/>
    </xf>
    <xf numFmtId="171" fontId="50" fillId="13" borderId="19" xfId="0" applyNumberFormat="1" applyFont="1" applyFill="1" applyBorder="1" applyAlignment="1">
      <alignment horizontal="center" wrapText="1"/>
    </xf>
    <xf numFmtId="171" fontId="54" fillId="13" borderId="30" xfId="0" applyNumberFormat="1" applyFont="1" applyFill="1" applyBorder="1" applyAlignment="1">
      <alignment horizontal="center" wrapText="1"/>
    </xf>
    <xf numFmtId="171" fontId="50" fillId="13" borderId="19" xfId="2" applyNumberFormat="1" applyFont="1" applyFill="1" applyBorder="1" applyAlignment="1">
      <alignment horizontal="center" wrapText="1"/>
    </xf>
    <xf numFmtId="171" fontId="54" fillId="13" borderId="30" xfId="2" applyNumberFormat="1" applyFont="1" applyFill="1" applyBorder="1" applyAlignment="1">
      <alignment horizontal="center" wrapText="1"/>
    </xf>
    <xf numFmtId="0" fontId="38" fillId="19" borderId="21" xfId="0" applyFont="1" applyFill="1" applyBorder="1" applyAlignment="1">
      <alignment horizontal="center" wrapText="1"/>
    </xf>
    <xf numFmtId="0" fontId="14" fillId="0" borderId="26" xfId="0" applyFont="1" applyBorder="1" applyAlignment="1">
      <alignment horizontal="center" wrapText="1"/>
    </xf>
    <xf numFmtId="0" fontId="50" fillId="24" borderId="19" xfId="0" applyFont="1" applyFill="1" applyBorder="1" applyAlignment="1">
      <alignment horizontal="center" wrapText="1"/>
    </xf>
    <xf numFmtId="0" fontId="62" fillId="24" borderId="30" xfId="0" applyFont="1" applyFill="1" applyBorder="1" applyAlignment="1">
      <alignment horizontal="center" wrapText="1"/>
    </xf>
    <xf numFmtId="0" fontId="38" fillId="19" borderId="20" xfId="0" applyFont="1" applyFill="1" applyBorder="1" applyAlignment="1">
      <alignment horizontal="center" wrapText="1"/>
    </xf>
    <xf numFmtId="0" fontId="14" fillId="0" borderId="27" xfId="0" applyFont="1" applyBorder="1" applyAlignment="1">
      <alignment horizontal="center" wrapText="1"/>
    </xf>
    <xf numFmtId="0" fontId="14" fillId="0" borderId="21" xfId="0" applyFont="1" applyBorder="1" applyAlignment="1">
      <alignment horizontal="center" wrapText="1"/>
    </xf>
    <xf numFmtId="2" fontId="50" fillId="13" borderId="19" xfId="0" applyNumberFormat="1" applyFont="1" applyFill="1" applyBorder="1" applyAlignment="1">
      <alignment horizontal="center" wrapText="1"/>
    </xf>
    <xf numFmtId="2" fontId="54" fillId="13" borderId="30" xfId="0" applyNumberFormat="1" applyFont="1" applyFill="1" applyBorder="1" applyAlignment="1">
      <alignment horizontal="center" wrapText="1"/>
    </xf>
    <xf numFmtId="165" fontId="50" fillId="13" borderId="20" xfId="0" applyNumberFormat="1" applyFont="1" applyFill="1" applyBorder="1" applyAlignment="1">
      <alignment horizontal="center" wrapText="1"/>
    </xf>
    <xf numFmtId="165" fontId="14" fillId="0" borderId="27" xfId="0" applyNumberFormat="1" applyFont="1" applyBorder="1" applyAlignment="1">
      <alignment horizontal="center" wrapText="1"/>
    </xf>
    <xf numFmtId="165" fontId="14" fillId="0" borderId="21" xfId="0" applyNumberFormat="1" applyFont="1" applyBorder="1" applyAlignment="1">
      <alignment horizontal="center" wrapText="1"/>
    </xf>
    <xf numFmtId="0" fontId="27" fillId="19" borderId="19" xfId="0" applyFont="1" applyFill="1" applyBorder="1" applyAlignment="1">
      <alignment horizontal="center" wrapText="1"/>
    </xf>
    <xf numFmtId="0" fontId="14" fillId="0" borderId="30" xfId="0" applyFont="1" applyBorder="1" applyAlignment="1">
      <alignment horizontal="center" wrapText="1"/>
    </xf>
    <xf numFmtId="0" fontId="5" fillId="4" borderId="61" xfId="0" applyFont="1" applyFill="1" applyBorder="1" applyAlignment="1">
      <alignment horizontal="center"/>
    </xf>
    <xf numFmtId="0" fontId="5" fillId="4" borderId="62" xfId="0" applyFont="1" applyFill="1" applyBorder="1" applyAlignment="1">
      <alignment horizontal="center"/>
    </xf>
    <xf numFmtId="0" fontId="5" fillId="4" borderId="63" xfId="0" applyFont="1" applyFill="1" applyBorder="1" applyAlignment="1">
      <alignment horizontal="center"/>
    </xf>
    <xf numFmtId="0" fontId="5" fillId="4" borderId="64" xfId="0" applyFont="1" applyFill="1" applyBorder="1" applyAlignment="1">
      <alignment horizontal="center"/>
    </xf>
    <xf numFmtId="0" fontId="5" fillId="4" borderId="65" xfId="0" applyFont="1" applyFill="1" applyBorder="1" applyAlignment="1">
      <alignment horizontal="center"/>
    </xf>
    <xf numFmtId="0" fontId="0" fillId="4" borderId="0" xfId="0" applyFill="1" applyAlignment="1"/>
    <xf numFmtId="0" fontId="1" fillId="17" borderId="17" xfId="6" applyFill="1" applyBorder="1" applyAlignment="1"/>
    <xf numFmtId="0" fontId="0" fillId="17" borderId="17" xfId="0" applyFill="1" applyBorder="1" applyAlignment="1"/>
    <xf numFmtId="0" fontId="0" fillId="17" borderId="18" xfId="0" applyFill="1" applyBorder="1" applyAlignment="1"/>
    <xf numFmtId="0" fontId="51" fillId="17" borderId="17" xfId="6" applyFont="1" applyFill="1" applyBorder="1" applyAlignment="1"/>
    <xf numFmtId="0" fontId="51" fillId="17" borderId="17" xfId="0" applyFont="1" applyFill="1" applyBorder="1" applyAlignment="1"/>
    <xf numFmtId="0" fontId="51" fillId="17" borderId="18" xfId="0" applyFont="1" applyFill="1" applyBorder="1" applyAlignment="1"/>
    <xf numFmtId="0" fontId="65" fillId="17" borderId="17" xfId="6" applyFont="1" applyFill="1" applyBorder="1" applyAlignment="1"/>
    <xf numFmtId="0" fontId="65" fillId="17" borderId="17" xfId="0" applyFont="1" applyFill="1" applyBorder="1" applyAlignment="1"/>
    <xf numFmtId="0" fontId="65" fillId="17" borderId="18" xfId="0" applyFont="1" applyFill="1" applyBorder="1" applyAlignment="1"/>
    <xf numFmtId="0" fontId="118" fillId="17" borderId="17" xfId="6" applyFont="1" applyFill="1" applyBorder="1" applyAlignment="1"/>
    <xf numFmtId="0" fontId="118" fillId="17" borderId="17" xfId="0" applyFont="1" applyFill="1" applyBorder="1" applyAlignment="1"/>
    <xf numFmtId="0" fontId="118" fillId="17" borderId="18" xfId="0" applyFont="1" applyFill="1" applyBorder="1" applyAlignment="1"/>
    <xf numFmtId="0" fontId="14" fillId="0" borderId="17" xfId="6" applyFont="1" applyBorder="1" applyAlignment="1"/>
    <xf numFmtId="0" fontId="14" fillId="0" borderId="17" xfId="0" applyFont="1" applyBorder="1" applyAlignment="1"/>
    <xf numFmtId="0" fontId="14" fillId="0" borderId="18" xfId="0" applyFont="1" applyBorder="1" applyAlignment="1"/>
    <xf numFmtId="0" fontId="1" fillId="0" borderId="17" xfId="6" applyBorder="1" applyAlignment="1"/>
    <xf numFmtId="0" fontId="0" fillId="0" borderId="17" xfId="0" applyBorder="1" applyAlignment="1"/>
    <xf numFmtId="0" fontId="0" fillId="0" borderId="18" xfId="0" applyBorder="1" applyAlignment="1"/>
    <xf numFmtId="0" fontId="118" fillId="0" borderId="17" xfId="6" applyFont="1" applyBorder="1" applyAlignment="1"/>
    <xf numFmtId="0" fontId="118" fillId="0" borderId="17" xfId="0" applyFont="1" applyBorder="1" applyAlignment="1"/>
    <xf numFmtId="0" fontId="118" fillId="0" borderId="18" xfId="0" applyFont="1" applyBorder="1" applyAlignment="1"/>
    <xf numFmtId="0" fontId="51" fillId="0" borderId="17" xfId="6" applyFont="1" applyBorder="1" applyAlignment="1"/>
    <xf numFmtId="0" fontId="51" fillId="0" borderId="17" xfId="0" applyFont="1" applyBorder="1" applyAlignment="1"/>
    <xf numFmtId="0" fontId="51" fillId="0" borderId="18" xfId="0" applyFont="1" applyBorder="1" applyAlignment="1"/>
    <xf numFmtId="0" fontId="1" fillId="0" borderId="17" xfId="0" applyFont="1" applyBorder="1" applyAlignment="1"/>
    <xf numFmtId="0" fontId="1" fillId="0" borderId="18" xfId="0" applyFont="1" applyBorder="1" applyAlignment="1"/>
    <xf numFmtId="0" fontId="51" fillId="0" borderId="9" xfId="0" applyFont="1" applyBorder="1" applyAlignment="1"/>
    <xf numFmtId="0" fontId="14" fillId="17" borderId="17" xfId="0" applyFont="1" applyFill="1" applyBorder="1" applyAlignment="1"/>
    <xf numFmtId="0" fontId="14" fillId="17" borderId="18" xfId="0" applyFont="1" applyFill="1" applyBorder="1" applyAlignment="1"/>
    <xf numFmtId="0" fontId="65" fillId="0" borderId="0" xfId="0" applyFont="1" applyAlignment="1"/>
    <xf numFmtId="0" fontId="51" fillId="0" borderId="16" xfId="0" applyFont="1" applyBorder="1" applyAlignment="1"/>
    <xf numFmtId="0" fontId="51" fillId="0" borderId="9" xfId="8" applyFont="1" applyBorder="1" applyAlignment="1"/>
    <xf numFmtId="0" fontId="14" fillId="0" borderId="0" xfId="0" applyFont="1" applyAlignment="1"/>
    <xf numFmtId="0" fontId="14" fillId="17" borderId="9" xfId="0" applyFont="1" applyFill="1" applyBorder="1" applyAlignment="1"/>
    <xf numFmtId="0" fontId="14" fillId="0" borderId="9" xfId="0" applyFont="1" applyBorder="1" applyAlignment="1"/>
    <xf numFmtId="0" fontId="14" fillId="0" borderId="19" xfId="8" applyFont="1" applyBorder="1" applyAlignment="1"/>
    <xf numFmtId="0" fontId="14" fillId="0" borderId="23" xfId="0" applyFont="1" applyBorder="1" applyAlignment="1"/>
    <xf numFmtId="0" fontId="14" fillId="0" borderId="30" xfId="0" applyFont="1" applyBorder="1" applyAlignment="1"/>
    <xf numFmtId="0" fontId="4" fillId="4" borderId="16" xfId="8" applyFont="1" applyFill="1" applyBorder="1" applyAlignment="1"/>
    <xf numFmtId="0" fontId="4" fillId="4" borderId="18" xfId="8" applyFont="1" applyFill="1" applyBorder="1" applyAlignment="1"/>
    <xf numFmtId="0" fontId="4" fillId="0" borderId="9" xfId="0" applyFont="1" applyBorder="1" applyAlignment="1"/>
    <xf numFmtId="0" fontId="4" fillId="17" borderId="9" xfId="0" applyFont="1" applyFill="1" applyBorder="1" applyAlignment="1"/>
    <xf numFmtId="0" fontId="4" fillId="0" borderId="17" xfId="0" applyFont="1" applyBorder="1" applyAlignment="1"/>
    <xf numFmtId="0" fontId="4" fillId="0" borderId="18" xfId="0" applyFont="1" applyBorder="1" applyAlignment="1"/>
    <xf numFmtId="0" fontId="65" fillId="0" borderId="17" xfId="0" applyFont="1" applyBorder="1" applyAlignment="1"/>
    <xf numFmtId="0" fontId="65" fillId="0" borderId="18" xfId="0" applyFont="1" applyBorder="1" applyAlignment="1"/>
    <xf numFmtId="0" fontId="64" fillId="0" borderId="0" xfId="0" applyFont="1" applyAlignment="1"/>
    <xf numFmtId="0" fontId="0" fillId="0" borderId="41" xfId="0" applyBorder="1" applyAlignment="1"/>
    <xf numFmtId="0" fontId="0" fillId="0" borderId="89" xfId="0" applyBorder="1" applyAlignment="1"/>
  </cellXfs>
  <cellStyles count="23">
    <cellStyle name="Comma" xfId="1" builtinId="3"/>
    <cellStyle name="Comma 2 4" xfId="9" xr:uid="{00000000-0005-0000-0000-000001000000}"/>
    <cellStyle name="Currency" xfId="2" builtinId="4"/>
    <cellStyle name="Currency 2" xfId="19" xr:uid="{00000000-0005-0000-0000-000003000000}"/>
    <cellStyle name="Currency 2 2 2 5" xfId="10" xr:uid="{00000000-0005-0000-0000-000004000000}"/>
    <cellStyle name="Hyperlink" xfId="17" builtinId="8"/>
    <cellStyle name="Input" xfId="4" builtinId="20"/>
    <cellStyle name="Neutral 2" xfId="14" xr:uid="{00000000-0005-0000-0000-000007000000}"/>
    <cellStyle name="Normal" xfId="0" builtinId="0"/>
    <cellStyle name="Normal 10" xfId="22" xr:uid="{DFAD8AE4-1F3C-4530-9972-9A61C8666158}"/>
    <cellStyle name="Normal 2 2 2 2 33" xfId="13" xr:uid="{00000000-0005-0000-0000-000009000000}"/>
    <cellStyle name="Normal 2 4 21" xfId="6" xr:uid="{00000000-0005-0000-0000-00000A000000}"/>
    <cellStyle name="Normal 20 11" xfId="5" xr:uid="{00000000-0005-0000-0000-00000B000000}"/>
    <cellStyle name="Normal 3 40" xfId="12" xr:uid="{00000000-0005-0000-0000-00000C000000}"/>
    <cellStyle name="Normal 3 56" xfId="8" xr:uid="{00000000-0005-0000-0000-00000D000000}"/>
    <cellStyle name="Normal 4" xfId="21" xr:uid="{E956A955-E89A-4C97-AC27-9A7140FBADB4}"/>
    <cellStyle name="Normal_Avoided Cost Benefits" xfId="18" xr:uid="{00000000-0005-0000-0000-00000E000000}"/>
    <cellStyle name="Percent" xfId="3" builtinId="5"/>
    <cellStyle name="Percent 2" xfId="20" xr:uid="{00000000-0005-0000-0000-000010000000}"/>
    <cellStyle name="Percent 2 2" xfId="11" xr:uid="{00000000-0005-0000-0000-000011000000}"/>
    <cellStyle name="Percent 3" xfId="16" xr:uid="{00000000-0005-0000-0000-000012000000}"/>
    <cellStyle name="Percent 7" xfId="15" xr:uid="{00000000-0005-0000-0000-000013000000}"/>
    <cellStyle name="Percent 8 12" xfId="7" xr:uid="{00000000-0005-0000-0000-000014000000}"/>
  </cellStyles>
  <dxfs count="65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ill>
        <patternFill>
          <bgColor rgb="FFFF66CC"/>
        </patternFill>
      </fill>
    </dxf>
    <dxf>
      <fill>
        <patternFill>
          <bgColor rgb="FFFF66CC"/>
        </patternFill>
      </fill>
    </dxf>
    <dxf>
      <fill>
        <patternFill>
          <bgColor rgb="FFFF66CC"/>
        </patternFill>
      </fill>
    </dxf>
    <dxf>
      <font>
        <color rgb="FF9C0006"/>
      </font>
      <fill>
        <patternFill>
          <bgColor rgb="FFFFC7CE"/>
        </patternFill>
      </fill>
    </dxf>
    <dxf>
      <font>
        <color rgb="FF9C0006"/>
      </font>
      <fill>
        <patternFill>
          <bgColor rgb="FFFFC7CE"/>
        </patternFill>
      </fill>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rgb="FFFF0000"/>
      </font>
    </dxf>
    <dxf>
      <font>
        <color auto="1"/>
      </font>
    </dxf>
    <dxf>
      <font>
        <color auto="1"/>
      </font>
    </dxf>
    <dxf>
      <font>
        <color rgb="FFFF0000"/>
      </font>
    </dxf>
    <dxf>
      <font>
        <color rgb="FFFF0000"/>
      </font>
    </dxf>
    <dxf>
      <font>
        <color auto="1"/>
      </font>
    </dxf>
    <dxf>
      <font>
        <color auto="1"/>
      </font>
    </dxf>
    <dxf>
      <font>
        <color rgb="FFFF0000"/>
      </font>
    </dxf>
    <dxf>
      <fill>
        <patternFill>
          <bgColor rgb="FFFF66FF"/>
        </patternFill>
      </fill>
    </dxf>
    <dxf>
      <fill>
        <patternFill>
          <bgColor rgb="FFFF66FF"/>
        </patternFill>
      </fill>
    </dxf>
    <dxf>
      <fill>
        <patternFill>
          <bgColor rgb="FFFF66FF"/>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FF"/>
        </patternFill>
      </fill>
    </dxf>
    <dxf>
      <fill>
        <patternFill>
          <bgColor rgb="FFFF66CC"/>
        </patternFill>
      </fill>
    </dxf>
    <dxf>
      <font>
        <color auto="1"/>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ont>
        <color rgb="FFFF0000"/>
      </font>
    </dxf>
    <dxf>
      <font>
        <color auto="1"/>
      </font>
    </dxf>
    <dxf>
      <font>
        <color auto="1"/>
      </font>
    </dxf>
    <dxf>
      <font>
        <color rgb="FFFF0000"/>
      </font>
    </dxf>
    <dxf>
      <font>
        <color auto="1"/>
      </font>
    </dxf>
    <dxf>
      <font>
        <color rgb="FFFF0000"/>
      </font>
    </dxf>
    <dxf>
      <font>
        <color rgb="FFFF0000"/>
      </font>
    </dxf>
    <dxf>
      <font>
        <color auto="1"/>
      </font>
    </dxf>
    <dxf>
      <font>
        <color auto="1"/>
      </font>
    </dxf>
    <dxf>
      <font>
        <color rgb="FFFF0000"/>
      </font>
    </dxf>
    <dxf>
      <font>
        <color rgb="FFFF0000"/>
      </font>
    </dxf>
    <dxf>
      <font>
        <color auto="1"/>
      </font>
    </dxf>
    <dxf>
      <font>
        <color auto="1"/>
      </font>
    </dxf>
    <dxf>
      <font>
        <color rgb="FFFF0000"/>
      </font>
    </dxf>
    <dxf>
      <font>
        <color rgb="FFFF0000"/>
      </font>
    </dxf>
    <dxf>
      <font>
        <color auto="1"/>
      </font>
    </dxf>
    <dxf>
      <font>
        <color rgb="FFFF0000"/>
      </font>
    </dxf>
    <dxf>
      <font>
        <color auto="1"/>
      </font>
    </dxf>
    <dxf>
      <font>
        <color auto="1"/>
      </font>
    </dxf>
    <dxf>
      <font>
        <color rgb="FFFF0000"/>
      </font>
    </dxf>
    <dxf>
      <font>
        <color rgb="FFFF0000"/>
      </font>
    </dxf>
    <dxf>
      <font>
        <color auto="1"/>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rgb="FFFF0000"/>
      </font>
    </dxf>
    <dxf>
      <font>
        <color auto="1"/>
      </font>
    </dxf>
    <dxf>
      <font>
        <color auto="1"/>
      </font>
    </dxf>
    <dxf>
      <font>
        <color rgb="FFFF0000"/>
      </font>
    </dxf>
    <dxf>
      <font>
        <color rgb="FFFF0000"/>
      </font>
    </dxf>
    <dxf>
      <font>
        <color auto="1"/>
      </font>
    </dxf>
    <dxf>
      <font>
        <color auto="1"/>
      </font>
    </dxf>
    <dxf>
      <font>
        <color rgb="FFFF0000"/>
      </font>
    </dxf>
    <dxf>
      <font>
        <color rgb="FFFF0000"/>
      </font>
    </dxf>
    <dxf>
      <font>
        <color auto="1"/>
      </font>
    </dxf>
    <dxf>
      <font>
        <color auto="1"/>
      </font>
    </dxf>
    <dxf>
      <font>
        <color rgb="FFFF0000"/>
      </font>
    </dxf>
    <dxf>
      <font>
        <color auto="1"/>
      </font>
    </dxf>
    <dxf>
      <font>
        <color rgb="FFFF0000"/>
      </font>
    </dxf>
    <dxf>
      <font>
        <color rgb="FFFF0000"/>
      </font>
    </dxf>
    <dxf>
      <font>
        <color auto="1"/>
      </font>
    </dxf>
    <dxf>
      <font>
        <color rgb="FFFF0000"/>
      </font>
    </dxf>
    <dxf>
      <font>
        <color auto="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auto="1"/>
      </font>
    </dxf>
    <dxf>
      <font>
        <color rgb="FFFF0000"/>
      </font>
    </dxf>
    <dxf>
      <font>
        <color auto="1"/>
      </font>
    </dxf>
    <dxf>
      <font>
        <color rgb="FFFF0000"/>
      </font>
    </dxf>
    <dxf>
      <font>
        <color auto="1"/>
      </font>
    </dxf>
    <dxf>
      <font>
        <color rgb="FFFF0000"/>
      </font>
    </dxf>
    <dxf>
      <font>
        <color auto="1"/>
      </font>
    </dxf>
    <dxf>
      <font>
        <color rgb="FFFF0000"/>
      </font>
    </dxf>
    <dxf>
      <fill>
        <patternFill>
          <bgColor rgb="FFFF66FF"/>
        </patternFill>
      </fill>
    </dxf>
    <dxf>
      <font>
        <strike val="0"/>
        <color rgb="FFFF0000"/>
      </font>
    </dxf>
    <dxf>
      <font>
        <strike val="0"/>
        <color rgb="FFFF0000"/>
      </font>
    </dxf>
    <dxf>
      <font>
        <strike val="0"/>
        <color rgb="FFFF0000"/>
      </font>
    </dxf>
    <dxf>
      <font>
        <strike val="0"/>
        <color rgb="FFFF0000"/>
      </font>
    </dxf>
    <dxf>
      <fill>
        <patternFill>
          <bgColor rgb="FFFF66FF"/>
        </patternFill>
      </fill>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auto="1"/>
      </font>
    </dxf>
    <dxf>
      <font>
        <color rgb="FFFF0000"/>
      </font>
    </dxf>
    <dxf>
      <font>
        <color rgb="FFFF0000"/>
      </font>
    </dxf>
    <dxf>
      <font>
        <color auto="1"/>
      </font>
    </dxf>
    <dxf>
      <font>
        <color rgb="FFFF0000"/>
      </font>
    </dxf>
    <dxf>
      <font>
        <color auto="1"/>
      </font>
    </dxf>
    <dxf>
      <font>
        <color rgb="FFFF0000"/>
      </font>
    </dxf>
    <dxf>
      <font>
        <color auto="1"/>
      </font>
    </dxf>
    <dxf>
      <font>
        <color auto="1"/>
      </font>
    </dxf>
    <dxf>
      <font>
        <color rgb="FFFF0000"/>
      </font>
    </dxf>
    <dxf>
      <font>
        <color rgb="FFFF0000"/>
      </font>
    </dxf>
    <dxf>
      <font>
        <color auto="1"/>
      </font>
    </dxf>
    <dxf>
      <font>
        <color rgb="FFFF0000"/>
      </font>
    </dxf>
    <dxf>
      <font>
        <color auto="1"/>
      </font>
    </dxf>
    <dxf>
      <font>
        <color auto="1"/>
      </font>
    </dxf>
    <dxf>
      <font>
        <color rgb="FFFF0000"/>
      </font>
    </dxf>
    <dxf>
      <font>
        <color rgb="FFFF0000"/>
      </font>
    </dxf>
    <dxf>
      <font>
        <color auto="1"/>
      </font>
    </dxf>
    <dxf>
      <font>
        <color rgb="FFFF0000"/>
      </font>
    </dxf>
    <dxf>
      <font>
        <color auto="1"/>
      </font>
    </dxf>
    <dxf>
      <font>
        <color rgb="FFFF0000"/>
      </font>
    </dxf>
    <dxf>
      <font>
        <color auto="1"/>
      </font>
    </dxf>
    <dxf>
      <font>
        <color rgb="FFFF0000"/>
      </font>
      <fill>
        <patternFill patternType="none">
          <bgColor auto="1"/>
        </patternFill>
      </fill>
    </dxf>
    <dxf>
      <fill>
        <patternFill>
          <bgColor rgb="FFFF66FF"/>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rgb="FFFF0000"/>
      </font>
    </dxf>
    <dxf>
      <font>
        <color auto="1"/>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FF0000"/>
      </font>
    </dxf>
    <dxf>
      <font>
        <color auto="1"/>
      </font>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auto="1"/>
      </font>
    </dxf>
    <dxf>
      <font>
        <color rgb="FFFF0000"/>
      </font>
    </dxf>
    <dxf>
      <font>
        <color auto="1"/>
      </font>
    </dxf>
    <dxf>
      <font>
        <color rgb="FFFF0000"/>
      </font>
    </dxf>
    <dxf>
      <font>
        <color rgb="FFFF0000"/>
      </font>
    </dxf>
    <dxf>
      <font>
        <color auto="1"/>
      </font>
    </dxf>
    <dxf>
      <font>
        <color auto="1"/>
      </font>
    </dxf>
    <dxf>
      <font>
        <color rgb="FFFF0000"/>
      </font>
    </dxf>
    <dxf>
      <font>
        <color rgb="FFFF0000"/>
      </font>
    </dxf>
    <dxf>
      <font>
        <color auto="1"/>
      </font>
    </dxf>
    <dxf>
      <font>
        <color auto="1"/>
      </font>
    </dxf>
    <dxf>
      <font>
        <color rgb="FFFF0000"/>
      </font>
    </dxf>
    <dxf>
      <font>
        <color rgb="FFFF0000"/>
      </font>
    </dxf>
    <dxf>
      <font>
        <color auto="1"/>
      </font>
    </dxf>
    <dxf>
      <font>
        <color auto="1"/>
      </font>
    </dxf>
    <dxf>
      <font>
        <color rgb="FFFF0000"/>
      </font>
    </dxf>
    <dxf>
      <font>
        <color auto="1"/>
      </font>
    </dxf>
    <dxf>
      <font>
        <color rgb="FFFF0000"/>
      </font>
    </dxf>
    <dxf>
      <font>
        <color rgb="FFFF0000"/>
      </font>
    </dxf>
    <dxf>
      <font>
        <color auto="1"/>
      </font>
    </dxf>
    <dxf>
      <font>
        <color rgb="FFFF0000"/>
      </font>
    </dxf>
    <dxf>
      <font>
        <color auto="1"/>
      </font>
    </dxf>
    <dxf>
      <font>
        <color auto="1"/>
      </font>
    </dxf>
    <dxf>
      <font>
        <color rgb="FFFF0000"/>
      </font>
    </dxf>
    <dxf>
      <font>
        <color rgb="FFFF0000"/>
      </font>
    </dxf>
    <dxf>
      <font>
        <color auto="1"/>
      </font>
    </dxf>
    <dxf>
      <font>
        <color rgb="FFFF0000"/>
      </font>
    </dxf>
    <dxf>
      <font>
        <color auto="1"/>
      </font>
    </dxf>
    <dxf>
      <font>
        <color auto="1"/>
      </font>
    </dxf>
    <dxf>
      <font>
        <color rgb="FFFF0000"/>
      </font>
    </dxf>
    <dxf>
      <font>
        <color rgb="FFFF0000"/>
      </font>
    </dxf>
    <dxf>
      <font>
        <color auto="1"/>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border>
        <left style="thin">
          <color rgb="FF9C0006"/>
        </left>
        <right style="thin">
          <color rgb="FF9C0006"/>
        </right>
        <top style="thin">
          <color rgb="FF9C0006"/>
        </top>
        <bottom style="thin">
          <color rgb="FF9C0006"/>
        </bottom>
      </border>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auto="1"/>
      </font>
    </dxf>
    <dxf>
      <font>
        <color rgb="FFFF0000"/>
      </font>
    </dxf>
    <dxf>
      <font>
        <color auto="1"/>
      </font>
    </dxf>
    <dxf>
      <font>
        <color auto="1"/>
      </font>
    </dxf>
    <dxf>
      <font>
        <color rgb="FFFF0000"/>
      </font>
    </dxf>
    <dxf>
      <font>
        <color auto="1"/>
      </font>
    </dxf>
    <dxf>
      <font>
        <color rgb="FFFF0000"/>
      </font>
    </dxf>
    <dxf>
      <font>
        <color rgb="FFFF0000"/>
      </font>
    </dxf>
    <dxf>
      <font>
        <color auto="1"/>
      </font>
    </dxf>
    <dxf>
      <font>
        <color rgb="FFFF0000"/>
      </font>
    </dxf>
    <dxf>
      <font>
        <color rgb="FFFF0000"/>
      </font>
    </dxf>
    <dxf>
      <font>
        <color auto="1"/>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rgb="FFFF0000"/>
      </font>
    </dxf>
    <dxf>
      <font>
        <color rgb="FFFF0000"/>
      </font>
    </dxf>
    <dxf>
      <font>
        <color auto="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s>
  <tableStyles count="0" defaultTableStyle="TableStyleMedium2" defaultPivotStyle="PivotStyleLight16"/>
  <colors>
    <mruColors>
      <color rgb="FF00FF00"/>
      <color rgb="FF9BC2E6"/>
      <color rgb="FF99FFCC"/>
      <color rgb="FFFF9999"/>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8</xdr:col>
      <xdr:colOff>585108</xdr:colOff>
      <xdr:row>4</xdr:row>
      <xdr:rowOff>136071</xdr:rowOff>
    </xdr:from>
    <xdr:ext cx="7623133" cy="727619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461908" y="898071"/>
          <a:ext cx="7623133" cy="7276190"/>
        </a:xfrm>
        <a:prstGeom prst="rect">
          <a:avLst/>
        </a:prstGeom>
      </xdr:spPr>
    </xdr:pic>
    <xdr:clientData/>
  </xdr:oneCellAnchor>
  <xdr:twoCellAnchor>
    <xdr:from>
      <xdr:col>8</xdr:col>
      <xdr:colOff>435430</xdr:colOff>
      <xdr:row>4</xdr:row>
      <xdr:rowOff>81643</xdr:rowOff>
    </xdr:from>
    <xdr:to>
      <xdr:col>13</xdr:col>
      <xdr:colOff>421822</xdr:colOff>
      <xdr:row>44</xdr:row>
      <xdr:rowOff>13607</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5312230" y="843643"/>
          <a:ext cx="3034392" cy="7551964"/>
        </a:xfrm>
        <a:prstGeom prst="rect">
          <a:avLst/>
        </a:prstGeom>
        <a:noFill/>
        <a:ln w="603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40822</xdr:colOff>
      <xdr:row>4</xdr:row>
      <xdr:rowOff>81643</xdr:rowOff>
    </xdr:from>
    <xdr:to>
      <xdr:col>19</xdr:col>
      <xdr:colOff>27215</xdr:colOff>
      <xdr:row>44</xdr:row>
      <xdr:rowOff>13607</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8575222" y="843643"/>
          <a:ext cx="3034393"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244928</xdr:colOff>
      <xdr:row>4</xdr:row>
      <xdr:rowOff>81643</xdr:rowOff>
    </xdr:from>
    <xdr:to>
      <xdr:col>22</xdr:col>
      <xdr:colOff>285750</xdr:colOff>
      <xdr:row>44</xdr:row>
      <xdr:rowOff>13607</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11827328" y="843643"/>
          <a:ext cx="1869622"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299357</xdr:colOff>
      <xdr:row>7</xdr:row>
      <xdr:rowOff>40822</xdr:rowOff>
    </xdr:from>
    <xdr:to>
      <xdr:col>9</xdr:col>
      <xdr:colOff>40821</xdr:colOff>
      <xdr:row>11</xdr:row>
      <xdr:rowOff>136071</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flipV="1">
          <a:off x="4566557" y="1374322"/>
          <a:ext cx="960664" cy="85724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11</xdr:row>
      <xdr:rowOff>163285</xdr:rowOff>
    </xdr:from>
    <xdr:to>
      <xdr:col>7</xdr:col>
      <xdr:colOff>285750</xdr:colOff>
      <xdr:row>11</xdr:row>
      <xdr:rowOff>163285</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3725636" y="225878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68035</xdr:rowOff>
    </xdr:from>
    <xdr:to>
      <xdr:col>7</xdr:col>
      <xdr:colOff>285750</xdr:colOff>
      <xdr:row>6</xdr:row>
      <xdr:rowOff>68035</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3725636" y="121103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258536</xdr:colOff>
      <xdr:row>6</xdr:row>
      <xdr:rowOff>81642</xdr:rowOff>
    </xdr:from>
    <xdr:to>
      <xdr:col>7</xdr:col>
      <xdr:colOff>272143</xdr:colOff>
      <xdr:row>11</xdr:row>
      <xdr:rowOff>163285</xdr:rowOff>
    </xdr:to>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45257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272142</xdr:colOff>
      <xdr:row>6</xdr:row>
      <xdr:rowOff>54428</xdr:rowOff>
    </xdr:from>
    <xdr:to>
      <xdr:col>9</xdr:col>
      <xdr:colOff>27214</xdr:colOff>
      <xdr:row>6</xdr:row>
      <xdr:rowOff>163285</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xfrm>
          <a:off x="4539342" y="1197428"/>
          <a:ext cx="974272" cy="10885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81642</xdr:rowOff>
    </xdr:from>
    <xdr:to>
      <xdr:col>6</xdr:col>
      <xdr:colOff>81643</xdr:colOff>
      <xdr:row>11</xdr:row>
      <xdr:rowOff>163285</xdr:rowOff>
    </xdr:to>
    <xdr:cxnSp macro="">
      <xdr:nvCxnSpPr>
        <xdr:cNvPr id="11" name="Straight Connector 10">
          <a:extLst>
            <a:ext uri="{FF2B5EF4-FFF2-40B4-BE49-F238E27FC236}">
              <a16:creationId xmlns:a16="http://schemas.microsoft.com/office/drawing/2014/main" id="{00000000-0008-0000-0000-00000B000000}"/>
            </a:ext>
          </a:extLst>
        </xdr:cNvPr>
        <xdr:cNvCxnSpPr/>
      </xdr:nvCxnSpPr>
      <xdr:spPr>
        <a:xfrm>
          <a:off x="37256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81643</xdr:colOff>
      <xdr:row>6</xdr:row>
      <xdr:rowOff>81644</xdr:rowOff>
    </xdr:from>
    <xdr:ext cx="761999" cy="1183822"/>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2"/>
        <a:srcRect t="9302" r="23367"/>
        <a:stretch/>
      </xdr:blipFill>
      <xdr:spPr>
        <a:xfrm>
          <a:off x="3739243" y="1224644"/>
          <a:ext cx="761999" cy="1183822"/>
        </a:xfrm>
        <a:prstGeom prst="rect">
          <a:avLst/>
        </a:prstGeom>
      </xdr:spPr>
    </xdr:pic>
    <xdr:clientData/>
  </xdr:oneCellAnchor>
  <xdr:twoCellAnchor>
    <xdr:from>
      <xdr:col>7</xdr:col>
      <xdr:colOff>231322</xdr:colOff>
      <xdr:row>15</xdr:row>
      <xdr:rowOff>176894</xdr:rowOff>
    </xdr:from>
    <xdr:to>
      <xdr:col>9</xdr:col>
      <xdr:colOff>136072</xdr:colOff>
      <xdr:row>15</xdr:row>
      <xdr:rowOff>176894</xdr:rowOff>
    </xdr:to>
    <xdr:cxnSp macro="">
      <xdr:nvCxnSpPr>
        <xdr:cNvPr id="13" name="Straight Arrow Connector 12">
          <a:extLst>
            <a:ext uri="{FF2B5EF4-FFF2-40B4-BE49-F238E27FC236}">
              <a16:creationId xmlns:a16="http://schemas.microsoft.com/office/drawing/2014/main" id="{00000000-0008-0000-0000-00000D000000}"/>
            </a:ext>
          </a:extLst>
        </xdr:cNvPr>
        <xdr:cNvCxnSpPr/>
      </xdr:nvCxnSpPr>
      <xdr:spPr>
        <a:xfrm>
          <a:off x="4498522" y="3034394"/>
          <a:ext cx="1123950" cy="0"/>
        </a:xfrm>
        <a:prstGeom prst="straightConnector1">
          <a:avLst/>
        </a:prstGeom>
        <a:ln w="793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16</xdr:row>
      <xdr:rowOff>108858</xdr:rowOff>
    </xdr:from>
    <xdr:to>
      <xdr:col>9</xdr:col>
      <xdr:colOff>571500</xdr:colOff>
      <xdr:row>16</xdr:row>
      <xdr:rowOff>122464</xdr:rowOff>
    </xdr:to>
    <xdr:cxnSp macro="">
      <xdr:nvCxnSpPr>
        <xdr:cNvPr id="14" name="Straight Arrow Connector 13">
          <a:extLst>
            <a:ext uri="{FF2B5EF4-FFF2-40B4-BE49-F238E27FC236}">
              <a16:creationId xmlns:a16="http://schemas.microsoft.com/office/drawing/2014/main" id="{00000000-0008-0000-0000-00000E000000}"/>
            </a:ext>
          </a:extLst>
        </xdr:cNvPr>
        <xdr:cNvCxnSpPr/>
      </xdr:nvCxnSpPr>
      <xdr:spPr>
        <a:xfrm flipV="1">
          <a:off x="4797879" y="3156858"/>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17</xdr:row>
      <xdr:rowOff>163286</xdr:rowOff>
    </xdr:from>
    <xdr:to>
      <xdr:col>9</xdr:col>
      <xdr:colOff>571500</xdr:colOff>
      <xdr:row>17</xdr:row>
      <xdr:rowOff>176892</xdr:rowOff>
    </xdr:to>
    <xdr:cxnSp macro="">
      <xdr:nvCxnSpPr>
        <xdr:cNvPr id="15" name="Straight Arrow Connector 14">
          <a:extLst>
            <a:ext uri="{FF2B5EF4-FFF2-40B4-BE49-F238E27FC236}">
              <a16:creationId xmlns:a16="http://schemas.microsoft.com/office/drawing/2014/main" id="{00000000-0008-0000-0000-00000F000000}"/>
            </a:ext>
          </a:extLst>
        </xdr:cNvPr>
        <xdr:cNvCxnSpPr/>
      </xdr:nvCxnSpPr>
      <xdr:spPr>
        <a:xfrm flipV="1">
          <a:off x="4797879" y="3401786"/>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1240971</xdr:colOff>
      <xdr:row>202</xdr:row>
      <xdr:rowOff>163285</xdr:rowOff>
    </xdr:from>
    <xdr:to>
      <xdr:col>5</xdr:col>
      <xdr:colOff>685800</xdr:colOff>
      <xdr:row>204</xdr:row>
      <xdr:rowOff>97971</xdr:rowOff>
    </xdr:to>
    <mc:AlternateContent xmlns:mc="http://schemas.openxmlformats.org/markup-compatibility/2006" xmlns:a14="http://schemas.microsoft.com/office/drawing/2010/main">
      <mc:Choice Requires="a14">
        <xdr:sp macro="" textlink="">
          <xdr:nvSpPr>
            <xdr:cNvPr id="451" name="TextBox 6">
              <a:extLst>
                <a:ext uri="{FF2B5EF4-FFF2-40B4-BE49-F238E27FC236}">
                  <a16:creationId xmlns:a16="http://schemas.microsoft.com/office/drawing/2014/main" id="{00000000-0008-0000-0500-0000C301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1295402</xdr:colOff>
      <xdr:row>105</xdr:row>
      <xdr:rowOff>135159</xdr:rowOff>
    </xdr:from>
    <xdr:to>
      <xdr:col>6</xdr:col>
      <xdr:colOff>866775</xdr:colOff>
      <xdr:row>107</xdr:row>
      <xdr:rowOff>63410</xdr:rowOff>
    </xdr:to>
    <mc:AlternateContent xmlns:mc="http://schemas.openxmlformats.org/markup-compatibility/2006" xmlns:a14="http://schemas.microsoft.com/office/drawing/2010/main">
      <mc:Choice Requires="a14">
        <xdr:sp macro="" textlink="">
          <xdr:nvSpPr>
            <xdr:cNvPr id="450" name="TextBox 45">
              <a:extLst>
                <a:ext uri="{FF2B5EF4-FFF2-40B4-BE49-F238E27FC236}">
                  <a16:creationId xmlns:a16="http://schemas.microsoft.com/office/drawing/2014/main" id="{00000000-0008-0000-0500-0000C201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𝑘𝑊h</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sSub>
                      <m:sSubPr>
                        <m:ctrlPr>
                          <a:rPr lang="en-US" sz="1400" b="0" i="1" strike="noStrike" baseline="0">
                            <a:solidFill>
                              <a:sysClr val="windowText" lastClr="000000"/>
                            </a:solidFill>
                            <a:latin typeface="Cambria Math" panose="02040503050406030204" pitchFamily="18" charset="0"/>
                            <a:ea typeface="Cambria Math" panose="02040503050406030204" pitchFamily="18" charset="0"/>
                          </a:rPr>
                        </m:ctrlPr>
                      </m:sSubPr>
                      <m:e>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m:t>
                        </m:r>
                      </m:e>
                      <m:sub>
                        <m:r>
                          <a:rPr lang="en-US" sz="1400" b="0" i="1" strike="noStrike" baseline="0">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𝐻𝑜𝑢𝑟𝑠</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𝐸𝑆𝐹</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100" strike="noStrike" baseline="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strike="noStrike" baseline="0">
                  <a:solidFill>
                    <a:sysClr val="windowText" lastClr="000000"/>
                  </a:solidFill>
                  <a:latin typeface="Cambria Math" panose="02040503050406030204" pitchFamily="18" charset="0"/>
                  <a:ea typeface="Cambria Math" panose="02040503050406030204" pitchFamily="18" charset="0"/>
                </a:rPr>
                <a:t>∆</a:t>
              </a:r>
              <a:r>
                <a:rPr lang="en-US" sz="1400" b="0" i="0" strike="noStrike" baseline="0">
                  <a:solidFill>
                    <a:sysClr val="windowText" lastClr="000000"/>
                  </a:solidFill>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strike="noStrike" baseline="0">
                <a:solidFill>
                  <a:sysClr val="windowText" lastClr="000000"/>
                </a:solidFill>
              </a:endParaRPr>
            </a:p>
          </xdr:txBody>
        </xdr:sp>
      </mc:Fallback>
    </mc:AlternateContent>
    <xdr:clientData/>
  </xdr:twoCellAnchor>
  <xdr:twoCellAnchor>
    <xdr:from>
      <xdr:col>3</xdr:col>
      <xdr:colOff>1396911</xdr:colOff>
      <xdr:row>36</xdr:row>
      <xdr:rowOff>167642</xdr:rowOff>
    </xdr:from>
    <xdr:to>
      <xdr:col>9</xdr:col>
      <xdr:colOff>408214</xdr:colOff>
      <xdr:row>39</xdr:row>
      <xdr:rowOff>152401</xdr:rowOff>
    </xdr:to>
    <mc:AlternateContent xmlns:mc="http://schemas.openxmlformats.org/markup-compatibility/2006" xmlns:a14="http://schemas.microsoft.com/office/drawing/2010/main">
      <mc:Choice Requires="a14">
        <xdr:sp macro="" textlink="">
          <xdr:nvSpPr>
            <xdr:cNvPr id="449" name="TextBox 171">
              <a:extLst>
                <a:ext uri="{FF2B5EF4-FFF2-40B4-BE49-F238E27FC236}">
                  <a16:creationId xmlns:a16="http://schemas.microsoft.com/office/drawing/2014/main" id="{00000000-0008-0000-0500-0000C1010000}"/>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𝑊𝐻𝐹</m:t>
                        </m:r>
                      </m:e>
                      <m:sub>
                        <m:r>
                          <a:rPr lang="en-US" sz="1400" b="0" i="1">
                            <a:solidFill>
                              <a:sysClr val="windowText" lastClr="000000"/>
                            </a:solidFill>
                            <a:effectLst/>
                            <a:latin typeface="Cambria Math" panose="02040503050406030204" pitchFamily="18" charset="0"/>
                            <a:ea typeface="+mn-ea"/>
                            <a:cs typeface="+mn-cs"/>
                          </a:rPr>
                          <m:t>𝑒</m:t>
                        </m:r>
                      </m:sub>
                    </m:sSub>
                  </m:oMath>
                </m:oMathPara>
              </a14:m>
              <a:endParaRPr lang="en-US" sz="1400">
                <a:solidFill>
                  <a:sysClr val="windowText" lastClr="000000"/>
                </a:solidFill>
              </a:endParaRPr>
            </a:p>
          </xdr:txBody>
        </xdr:sp>
      </mc:Choice>
      <mc:Fallback xmlns="">
        <xdr:sp macro="" textlink="">
          <xdr:nvSpPr>
            <xdr:cNvPr id="172" name="TextBox 171">
              <a:extLst>
                <a:ext uri="{FF2B5EF4-FFF2-40B4-BE49-F238E27FC236}">
                  <a16:creationId xmlns:a16="http://schemas.microsoft.com/office/drawing/2014/main" id="{6CF37C97-8F32-450F-9926-0957564B2778}"/>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×〖𝑊𝐻𝐹〗_𝑒</a:t>
              </a:r>
              <a:endParaRPr lang="en-US" sz="1400">
                <a:solidFill>
                  <a:sysClr val="windowText" lastClr="000000"/>
                </a:solidFill>
              </a:endParaRPr>
            </a:p>
          </xdr:txBody>
        </xdr:sp>
      </mc:Fallback>
    </mc:AlternateContent>
    <xdr:clientData/>
  </xdr:twoCellAnchor>
  <xdr:twoCellAnchor>
    <xdr:from>
      <xdr:col>4</xdr:col>
      <xdr:colOff>28574</xdr:colOff>
      <xdr:row>176</xdr:row>
      <xdr:rowOff>114296</xdr:rowOff>
    </xdr:from>
    <xdr:to>
      <xdr:col>4</xdr:col>
      <xdr:colOff>2570389</xdr:colOff>
      <xdr:row>178</xdr:row>
      <xdr:rowOff>171622</xdr:rowOff>
    </xdr:to>
    <mc:AlternateContent xmlns:mc="http://schemas.openxmlformats.org/markup-compatibility/2006" xmlns:a14="http://schemas.microsoft.com/office/drawing/2010/main">
      <mc:Choice Requires="a14">
        <xdr:sp macro="" textlink="">
          <xdr:nvSpPr>
            <xdr:cNvPr id="447" name="TextBox 3">
              <a:extLst>
                <a:ext uri="{FF2B5EF4-FFF2-40B4-BE49-F238E27FC236}">
                  <a16:creationId xmlns:a16="http://schemas.microsoft.com/office/drawing/2014/main" id="{00000000-0008-0000-0500-0000BF010000}"/>
                </a:ext>
              </a:extLst>
            </xdr:cNvPr>
            <xdr:cNvSpPr txBox="1"/>
          </xdr:nvSpPr>
          <xdr:spPr>
            <a:xfrm>
              <a:off x="4048124" y="42967271"/>
              <a:ext cx="2541815" cy="438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47" name="TextBox 3">
              <a:extLst>
                <a:ext uri="{FF2B5EF4-FFF2-40B4-BE49-F238E27FC236}">
                  <a16:creationId xmlns:a16="http://schemas.microsoft.com/office/drawing/2014/main" id="{00000000-0008-0000-0500-0000BF010000}"/>
                </a:ext>
              </a:extLst>
            </xdr:cNvPr>
            <xdr:cNvSpPr txBox="1"/>
          </xdr:nvSpPr>
          <xdr:spPr>
            <a:xfrm>
              <a:off x="4048124" y="42967271"/>
              <a:ext cx="2541815" cy="438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1429840</xdr:colOff>
      <xdr:row>43</xdr:row>
      <xdr:rowOff>168825</xdr:rowOff>
    </xdr:from>
    <xdr:to>
      <xdr:col>4</xdr:col>
      <xdr:colOff>2725240</xdr:colOff>
      <xdr:row>46</xdr:row>
      <xdr:rowOff>57150</xdr:rowOff>
    </xdr:to>
    <mc:AlternateContent xmlns:mc="http://schemas.openxmlformats.org/markup-compatibility/2006" xmlns:a14="http://schemas.microsoft.com/office/drawing/2010/main">
      <mc:Choice Requires="a14">
        <xdr:sp macro="" textlink="">
          <xdr:nvSpPr>
            <xdr:cNvPr id="446" name="TextBox 4">
              <a:extLst>
                <a:ext uri="{FF2B5EF4-FFF2-40B4-BE49-F238E27FC236}">
                  <a16:creationId xmlns:a16="http://schemas.microsoft.com/office/drawing/2014/main" id="{00000000-0008-0000-0500-0000BE01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3</xdr:col>
      <xdr:colOff>1273628</xdr:colOff>
      <xdr:row>204</xdr:row>
      <xdr:rowOff>182161</xdr:rowOff>
    </xdr:from>
    <xdr:to>
      <xdr:col>4</xdr:col>
      <xdr:colOff>1480457</xdr:colOff>
      <xdr:row>207</xdr:row>
      <xdr:rowOff>54427</xdr:rowOff>
    </xdr:to>
    <mc:AlternateContent xmlns:mc="http://schemas.openxmlformats.org/markup-compatibility/2006" xmlns:a14="http://schemas.microsoft.com/office/drawing/2010/main">
      <mc:Choice Requires="a14">
        <xdr:sp macro="" textlink="">
          <xdr:nvSpPr>
            <xdr:cNvPr id="445" name="TextBox 5">
              <a:extLst>
                <a:ext uri="{FF2B5EF4-FFF2-40B4-BE49-F238E27FC236}">
                  <a16:creationId xmlns:a16="http://schemas.microsoft.com/office/drawing/2014/main" id="{00000000-0008-0000-0500-0000BD01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941514</xdr:colOff>
      <xdr:row>230</xdr:row>
      <xdr:rowOff>64222</xdr:rowOff>
    </xdr:from>
    <xdr:to>
      <xdr:col>6</xdr:col>
      <xdr:colOff>790405</xdr:colOff>
      <xdr:row>232</xdr:row>
      <xdr:rowOff>131072</xdr:rowOff>
    </xdr:to>
    <mc:AlternateContent xmlns:mc="http://schemas.openxmlformats.org/markup-compatibility/2006" xmlns:a14="http://schemas.microsoft.com/office/drawing/2010/main">
      <mc:Choice Requires="a14">
        <xdr:sp macro="" textlink="">
          <xdr:nvSpPr>
            <xdr:cNvPr id="444" name="TextBox 7">
              <a:extLst>
                <a:ext uri="{FF2B5EF4-FFF2-40B4-BE49-F238E27FC236}">
                  <a16:creationId xmlns:a16="http://schemas.microsoft.com/office/drawing/2014/main" id="{00000000-0008-0000-0500-0000BC01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226</xdr:row>
      <xdr:rowOff>63426</xdr:rowOff>
    </xdr:from>
    <xdr:to>
      <xdr:col>5</xdr:col>
      <xdr:colOff>8692</xdr:colOff>
      <xdr:row>229</xdr:row>
      <xdr:rowOff>55134</xdr:rowOff>
    </xdr:to>
    <xdr:pic>
      <xdr:nvPicPr>
        <xdr:cNvPr id="443" name="Picture 8">
          <a:extLst>
            <a:ext uri="{FF2B5EF4-FFF2-40B4-BE49-F238E27FC236}">
              <a16:creationId xmlns:a16="http://schemas.microsoft.com/office/drawing/2014/main" id="{00000000-0008-0000-0500-0000BB01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786102" y="19929855"/>
          <a:ext cx="5833190" cy="546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1269275</xdr:colOff>
      <xdr:row>226</xdr:row>
      <xdr:rowOff>21499</xdr:rowOff>
    </xdr:from>
    <xdr:to>
      <xdr:col>12</xdr:col>
      <xdr:colOff>445226</xdr:colOff>
      <xdr:row>231</xdr:row>
      <xdr:rowOff>17689</xdr:rowOff>
    </xdr:to>
    <xdr:pic>
      <xdr:nvPicPr>
        <xdr:cNvPr id="442" name="Picture 9">
          <a:extLst>
            <a:ext uri="{FF2B5EF4-FFF2-40B4-BE49-F238E27FC236}">
              <a16:creationId xmlns:a16="http://schemas.microsoft.com/office/drawing/2014/main" id="{00000000-0008-0000-0500-0000BA01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216096" y="44135856"/>
          <a:ext cx="7884523" cy="8806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225</xdr:row>
      <xdr:rowOff>169274</xdr:rowOff>
    </xdr:from>
    <xdr:to>
      <xdr:col>19</xdr:col>
      <xdr:colOff>20410</xdr:colOff>
      <xdr:row>231</xdr:row>
      <xdr:rowOff>16874</xdr:rowOff>
    </xdr:to>
    <xdr:pic>
      <xdr:nvPicPr>
        <xdr:cNvPr id="441" name="Picture 10">
          <a:extLst>
            <a:ext uri="{FF2B5EF4-FFF2-40B4-BE49-F238E27FC236}">
              <a16:creationId xmlns:a16="http://schemas.microsoft.com/office/drawing/2014/main" id="{00000000-0008-0000-0500-0000B901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0312742" y="19850645"/>
          <a:ext cx="4777468" cy="9579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751014</xdr:colOff>
      <xdr:row>252</xdr:row>
      <xdr:rowOff>95247</xdr:rowOff>
    </xdr:from>
    <xdr:to>
      <xdr:col>6</xdr:col>
      <xdr:colOff>599905</xdr:colOff>
      <xdr:row>254</xdr:row>
      <xdr:rowOff>152572</xdr:rowOff>
    </xdr:to>
    <mc:AlternateContent xmlns:mc="http://schemas.openxmlformats.org/markup-compatibility/2006" xmlns:a14="http://schemas.microsoft.com/office/drawing/2010/main">
      <mc:Choice Requires="a14">
        <xdr:sp macro="" textlink="">
          <xdr:nvSpPr>
            <xdr:cNvPr id="440" name="TextBox 11">
              <a:extLst>
                <a:ext uri="{FF2B5EF4-FFF2-40B4-BE49-F238E27FC236}">
                  <a16:creationId xmlns:a16="http://schemas.microsoft.com/office/drawing/2014/main" id="{00000000-0008-0000-0500-0000B8010000}"/>
                </a:ext>
              </a:extLst>
            </xdr:cNvPr>
            <xdr:cNvSpPr txBox="1"/>
          </xdr:nvSpPr>
          <xdr:spPr>
            <a:xfrm>
              <a:off x="2792085" y="48645533"/>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269</xdr:row>
      <xdr:rowOff>95247</xdr:rowOff>
    </xdr:from>
    <xdr:to>
      <xdr:col>6</xdr:col>
      <xdr:colOff>599905</xdr:colOff>
      <xdr:row>271</xdr:row>
      <xdr:rowOff>152572</xdr:rowOff>
    </xdr:to>
    <mc:AlternateContent xmlns:mc="http://schemas.openxmlformats.org/markup-compatibility/2006" xmlns:a14="http://schemas.microsoft.com/office/drawing/2010/main">
      <mc:Choice Requires="a14">
        <xdr:sp macro="" textlink="">
          <xdr:nvSpPr>
            <xdr:cNvPr id="439" name="TextBox 13">
              <a:extLst>
                <a:ext uri="{FF2B5EF4-FFF2-40B4-BE49-F238E27FC236}">
                  <a16:creationId xmlns:a16="http://schemas.microsoft.com/office/drawing/2014/main" id="{00000000-0008-0000-0500-0000B7010000}"/>
                </a:ext>
              </a:extLst>
            </xdr:cNvPr>
            <xdr:cNvSpPr txBox="1"/>
          </xdr:nvSpPr>
          <xdr:spPr>
            <a:xfrm>
              <a:off x="2792085" y="51843211"/>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266</xdr:row>
      <xdr:rowOff>155121</xdr:rowOff>
    </xdr:from>
    <xdr:to>
      <xdr:col>4</xdr:col>
      <xdr:colOff>926930</xdr:colOff>
      <xdr:row>268</xdr:row>
      <xdr:rowOff>56784</xdr:rowOff>
    </xdr:to>
    <mc:AlternateContent xmlns:mc="http://schemas.openxmlformats.org/markup-compatibility/2006" xmlns:a14="http://schemas.microsoft.com/office/drawing/2010/main">
      <mc:Choice Requires="a14">
        <xdr:sp macro="" textlink="">
          <xdr:nvSpPr>
            <xdr:cNvPr id="438" name="TextBox 14">
              <a:extLst>
                <a:ext uri="{FF2B5EF4-FFF2-40B4-BE49-F238E27FC236}">
                  <a16:creationId xmlns:a16="http://schemas.microsoft.com/office/drawing/2014/main" id="{00000000-0008-0000-0500-0000B6010000}"/>
                </a:ext>
              </a:extLst>
            </xdr:cNvPr>
            <xdr:cNvSpPr txBox="1"/>
          </xdr:nvSpPr>
          <xdr:spPr>
            <a:xfrm>
              <a:off x="2781298" y="51372407"/>
              <a:ext cx="1873989" cy="25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751014</xdr:colOff>
      <xdr:row>283</xdr:row>
      <xdr:rowOff>95247</xdr:rowOff>
    </xdr:from>
    <xdr:to>
      <xdr:col>6</xdr:col>
      <xdr:colOff>599905</xdr:colOff>
      <xdr:row>285</xdr:row>
      <xdr:rowOff>152572</xdr:rowOff>
    </xdr:to>
    <mc:AlternateContent xmlns:mc="http://schemas.openxmlformats.org/markup-compatibility/2006" xmlns:a14="http://schemas.microsoft.com/office/drawing/2010/main">
      <mc:Choice Requires="a14">
        <xdr:sp macro="" textlink="">
          <xdr:nvSpPr>
            <xdr:cNvPr id="437" name="TextBox 15">
              <a:extLst>
                <a:ext uri="{FF2B5EF4-FFF2-40B4-BE49-F238E27FC236}">
                  <a16:creationId xmlns:a16="http://schemas.microsoft.com/office/drawing/2014/main" id="{00000000-0008-0000-0500-0000B5010000}"/>
                </a:ext>
              </a:extLst>
            </xdr:cNvPr>
            <xdr:cNvSpPr txBox="1"/>
          </xdr:nvSpPr>
          <xdr:spPr>
            <a:xfrm>
              <a:off x="2792085" y="54319711"/>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9</xdr:col>
      <xdr:colOff>570039</xdr:colOff>
      <xdr:row>304</xdr:row>
      <xdr:rowOff>57147</xdr:rowOff>
    </xdr:from>
    <xdr:to>
      <xdr:col>10</xdr:col>
      <xdr:colOff>1476375</xdr:colOff>
      <xdr:row>306</xdr:row>
      <xdr:rowOff>114472</xdr:rowOff>
    </xdr:to>
    <mc:AlternateContent xmlns:mc="http://schemas.openxmlformats.org/markup-compatibility/2006" xmlns:a14="http://schemas.microsoft.com/office/drawing/2010/main">
      <mc:Choice Requires="a14">
        <xdr:sp macro="" textlink="">
          <xdr:nvSpPr>
            <xdr:cNvPr id="436" name="TextBox 16">
              <a:extLst>
                <a:ext uri="{FF2B5EF4-FFF2-40B4-BE49-F238E27FC236}">
                  <a16:creationId xmlns:a16="http://schemas.microsoft.com/office/drawing/2014/main" id="{00000000-0008-0000-0500-0000B4010000}"/>
                </a:ext>
              </a:extLst>
            </xdr:cNvPr>
            <xdr:cNvSpPr txBox="1"/>
          </xdr:nvSpPr>
          <xdr:spPr>
            <a:xfrm>
              <a:off x="15543339" y="69608697"/>
              <a:ext cx="194456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36" name="TextBox 16">
              <a:extLst>
                <a:ext uri="{FF2B5EF4-FFF2-40B4-BE49-F238E27FC236}">
                  <a16:creationId xmlns:a16="http://schemas.microsoft.com/office/drawing/2014/main" id="{00000000-0008-0000-0500-0000B4010000}"/>
                </a:ext>
              </a:extLst>
            </xdr:cNvPr>
            <xdr:cNvSpPr txBox="1"/>
          </xdr:nvSpPr>
          <xdr:spPr>
            <a:xfrm>
              <a:off x="15543339" y="69608697"/>
              <a:ext cx="194456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1583598</xdr:colOff>
      <xdr:row>300</xdr:row>
      <xdr:rowOff>133351</xdr:rowOff>
    </xdr:from>
    <xdr:to>
      <xdr:col>13</xdr:col>
      <xdr:colOff>895350</xdr:colOff>
      <xdr:row>304</xdr:row>
      <xdr:rowOff>59395</xdr:rowOff>
    </xdr:to>
    <mc:AlternateContent xmlns:mc="http://schemas.openxmlformats.org/markup-compatibility/2006" xmlns:a14="http://schemas.microsoft.com/office/drawing/2010/main">
      <mc:Choice Requires="a14">
        <xdr:sp macro="" textlink="">
          <xdr:nvSpPr>
            <xdr:cNvPr id="434" name="TextBox 18">
              <a:extLst>
                <a:ext uri="{FF2B5EF4-FFF2-40B4-BE49-F238E27FC236}">
                  <a16:creationId xmlns:a16="http://schemas.microsoft.com/office/drawing/2014/main" id="{00000000-0008-0000-0500-0000B2010000}"/>
                </a:ext>
              </a:extLst>
            </xdr:cNvPr>
            <xdr:cNvSpPr txBox="1"/>
          </xdr:nvSpPr>
          <xdr:spPr>
            <a:xfrm>
              <a:off x="3964848" y="68922901"/>
              <a:ext cx="17056827" cy="688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434" name="TextBox 18">
              <a:extLst>
                <a:ext uri="{FF2B5EF4-FFF2-40B4-BE49-F238E27FC236}">
                  <a16:creationId xmlns:a16="http://schemas.microsoft.com/office/drawing/2014/main" id="{00000000-0008-0000-0500-0000B2010000}"/>
                </a:ext>
              </a:extLst>
            </xdr:cNvPr>
            <xdr:cNvSpPr txBox="1"/>
          </xdr:nvSpPr>
          <xdr:spPr>
            <a:xfrm>
              <a:off x="3964848" y="68922901"/>
              <a:ext cx="17056827" cy="688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628378</xdr:colOff>
      <xdr:row>303</xdr:row>
      <xdr:rowOff>95658</xdr:rowOff>
    </xdr:from>
    <xdr:to>
      <xdr:col>5</xdr:col>
      <xdr:colOff>628650</xdr:colOff>
      <xdr:row>305</xdr:row>
      <xdr:rowOff>107357</xdr:rowOff>
    </xdr:to>
    <mc:AlternateContent xmlns:mc="http://schemas.openxmlformats.org/markup-compatibility/2006" xmlns:a14="http://schemas.microsoft.com/office/drawing/2010/main">
      <mc:Choice Requires="a14">
        <xdr:sp macro="" textlink="">
          <xdr:nvSpPr>
            <xdr:cNvPr id="433" name="TextBox 19">
              <a:extLst>
                <a:ext uri="{FF2B5EF4-FFF2-40B4-BE49-F238E27FC236}">
                  <a16:creationId xmlns:a16="http://schemas.microsoft.com/office/drawing/2014/main" id="{00000000-0008-0000-0500-0000B1010000}"/>
                </a:ext>
              </a:extLst>
            </xdr:cNvPr>
            <xdr:cNvSpPr txBox="1"/>
          </xdr:nvSpPr>
          <xdr:spPr>
            <a:xfrm>
              <a:off x="4647928" y="69456708"/>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433" name="TextBox 19">
              <a:extLst>
                <a:ext uri="{FF2B5EF4-FFF2-40B4-BE49-F238E27FC236}">
                  <a16:creationId xmlns:a16="http://schemas.microsoft.com/office/drawing/2014/main" id="{00000000-0008-0000-0500-0000B1010000}"/>
                </a:ext>
              </a:extLst>
            </xdr:cNvPr>
            <xdr:cNvSpPr txBox="1"/>
          </xdr:nvSpPr>
          <xdr:spPr>
            <a:xfrm>
              <a:off x="4647928" y="69456708"/>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751014</xdr:colOff>
      <xdr:row>326</xdr:row>
      <xdr:rowOff>95247</xdr:rowOff>
    </xdr:from>
    <xdr:to>
      <xdr:col>6</xdr:col>
      <xdr:colOff>599905</xdr:colOff>
      <xdr:row>328</xdr:row>
      <xdr:rowOff>152572</xdr:rowOff>
    </xdr:to>
    <mc:AlternateContent xmlns:mc="http://schemas.openxmlformats.org/markup-compatibility/2006" xmlns:a14="http://schemas.microsoft.com/office/drawing/2010/main">
      <mc:Choice Requires="a14">
        <xdr:sp macro="" textlink="">
          <xdr:nvSpPr>
            <xdr:cNvPr id="432" name="TextBox 20">
              <a:extLst>
                <a:ext uri="{FF2B5EF4-FFF2-40B4-BE49-F238E27FC236}">
                  <a16:creationId xmlns:a16="http://schemas.microsoft.com/office/drawing/2014/main" id="{00000000-0008-0000-0500-0000B0010000}"/>
                </a:ext>
              </a:extLst>
            </xdr:cNvPr>
            <xdr:cNvSpPr txBox="1"/>
          </xdr:nvSpPr>
          <xdr:spPr>
            <a:xfrm>
              <a:off x="2792085" y="61776426"/>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324</xdr:row>
      <xdr:rowOff>21227</xdr:rowOff>
    </xdr:from>
    <xdr:to>
      <xdr:col>4</xdr:col>
      <xdr:colOff>4439769</xdr:colOff>
      <xdr:row>325</xdr:row>
      <xdr:rowOff>60688</xdr:rowOff>
    </xdr:to>
    <xdr:pic>
      <xdr:nvPicPr>
        <xdr:cNvPr id="431" name="Picture 21">
          <a:extLst>
            <a:ext uri="{FF2B5EF4-FFF2-40B4-BE49-F238E27FC236}">
              <a16:creationId xmlns:a16="http://schemas.microsoft.com/office/drawing/2014/main" id="{00000000-0008-0000-0500-0000AF01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03071" y="61348620"/>
          <a:ext cx="5365055" cy="216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345</xdr:row>
      <xdr:rowOff>126271</xdr:rowOff>
    </xdr:from>
    <xdr:to>
      <xdr:col>5</xdr:col>
      <xdr:colOff>1345577</xdr:colOff>
      <xdr:row>348</xdr:row>
      <xdr:rowOff>16500</xdr:rowOff>
    </xdr:to>
    <mc:AlternateContent xmlns:mc="http://schemas.openxmlformats.org/markup-compatibility/2006" xmlns:a14="http://schemas.microsoft.com/office/drawing/2010/main">
      <mc:Choice Requires="a14">
        <xdr:sp macro="" textlink="">
          <xdr:nvSpPr>
            <xdr:cNvPr id="430" name="TextBox 22">
              <a:extLst>
                <a:ext uri="{FF2B5EF4-FFF2-40B4-BE49-F238E27FC236}">
                  <a16:creationId xmlns:a16="http://schemas.microsoft.com/office/drawing/2014/main" id="{00000000-0008-0000-0500-0000AE010000}"/>
                </a:ext>
              </a:extLst>
            </xdr:cNvPr>
            <xdr:cNvSpPr txBox="1"/>
          </xdr:nvSpPr>
          <xdr:spPr>
            <a:xfrm>
              <a:off x="2156360" y="65399735"/>
              <a:ext cx="7788931" cy="4209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362</xdr:row>
      <xdr:rowOff>95247</xdr:rowOff>
    </xdr:from>
    <xdr:to>
      <xdr:col>6</xdr:col>
      <xdr:colOff>599905</xdr:colOff>
      <xdr:row>364</xdr:row>
      <xdr:rowOff>152572</xdr:rowOff>
    </xdr:to>
    <mc:AlternateContent xmlns:mc="http://schemas.openxmlformats.org/markup-compatibility/2006" xmlns:a14="http://schemas.microsoft.com/office/drawing/2010/main">
      <mc:Choice Requires="a14">
        <xdr:sp macro="" textlink="">
          <xdr:nvSpPr>
            <xdr:cNvPr id="429" name="TextBox 23">
              <a:extLst>
                <a:ext uri="{FF2B5EF4-FFF2-40B4-BE49-F238E27FC236}">
                  <a16:creationId xmlns:a16="http://schemas.microsoft.com/office/drawing/2014/main" id="{00000000-0008-0000-0500-0000AD010000}"/>
                </a:ext>
              </a:extLst>
            </xdr:cNvPr>
            <xdr:cNvSpPr txBox="1"/>
          </xdr:nvSpPr>
          <xdr:spPr>
            <a:xfrm>
              <a:off x="2792085" y="68566390"/>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707026</xdr:colOff>
      <xdr:row>359</xdr:row>
      <xdr:rowOff>144507</xdr:rowOff>
    </xdr:from>
    <xdr:to>
      <xdr:col>6</xdr:col>
      <xdr:colOff>783499</xdr:colOff>
      <xdr:row>362</xdr:row>
      <xdr:rowOff>47443</xdr:rowOff>
    </xdr:to>
    <mc:AlternateContent xmlns:mc="http://schemas.openxmlformats.org/markup-compatibility/2006" xmlns:a14="http://schemas.microsoft.com/office/drawing/2010/main">
      <mc:Choice Requires="a14">
        <xdr:sp macro="" textlink="">
          <xdr:nvSpPr>
            <xdr:cNvPr id="428" name="TextBox 24">
              <a:extLst>
                <a:ext uri="{FF2B5EF4-FFF2-40B4-BE49-F238E27FC236}">
                  <a16:creationId xmlns:a16="http://schemas.microsoft.com/office/drawing/2014/main" id="{00000000-0008-0000-0500-0000AC010000}"/>
                </a:ext>
              </a:extLst>
            </xdr:cNvPr>
            <xdr:cNvSpPr txBox="1"/>
          </xdr:nvSpPr>
          <xdr:spPr>
            <a:xfrm>
              <a:off x="2748097" y="68084971"/>
              <a:ext cx="7982223" cy="4336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751014</xdr:colOff>
      <xdr:row>379</xdr:row>
      <xdr:rowOff>95248</xdr:rowOff>
    </xdr:from>
    <xdr:to>
      <xdr:col>6</xdr:col>
      <xdr:colOff>599905</xdr:colOff>
      <xdr:row>380</xdr:row>
      <xdr:rowOff>105048</xdr:rowOff>
    </xdr:to>
    <mc:AlternateContent xmlns:mc="http://schemas.openxmlformats.org/markup-compatibility/2006" xmlns:a14="http://schemas.microsoft.com/office/drawing/2010/main">
      <mc:Choice Requires="a14">
        <xdr:sp macro="" textlink="">
          <xdr:nvSpPr>
            <xdr:cNvPr id="427" name="TextBox 25">
              <a:extLst>
                <a:ext uri="{FF2B5EF4-FFF2-40B4-BE49-F238E27FC236}">
                  <a16:creationId xmlns:a16="http://schemas.microsoft.com/office/drawing/2014/main" id="{00000000-0008-0000-0500-0000AB010000}"/>
                </a:ext>
              </a:extLst>
            </xdr:cNvPr>
            <xdr:cNvSpPr txBox="1"/>
          </xdr:nvSpPr>
          <xdr:spPr>
            <a:xfrm>
              <a:off x="2792085" y="71764069"/>
              <a:ext cx="7754641" cy="1866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707026</xdr:colOff>
      <xdr:row>375</xdr:row>
      <xdr:rowOff>93890</xdr:rowOff>
    </xdr:from>
    <xdr:to>
      <xdr:col>11</xdr:col>
      <xdr:colOff>973999</xdr:colOff>
      <xdr:row>378</xdr:row>
      <xdr:rowOff>131498</xdr:rowOff>
    </xdr:to>
    <mc:AlternateContent xmlns:mc="http://schemas.openxmlformats.org/markup-compatibility/2006" xmlns:a14="http://schemas.microsoft.com/office/drawing/2010/main">
      <mc:Choice Requires="a14">
        <xdr:sp macro="" textlink="">
          <xdr:nvSpPr>
            <xdr:cNvPr id="426" name="TextBox 26">
              <a:extLst>
                <a:ext uri="{FF2B5EF4-FFF2-40B4-BE49-F238E27FC236}">
                  <a16:creationId xmlns:a16="http://schemas.microsoft.com/office/drawing/2014/main" id="{00000000-0008-0000-0500-0000AA010000}"/>
                </a:ext>
              </a:extLst>
            </xdr:cNvPr>
            <xdr:cNvSpPr txBox="1"/>
          </xdr:nvSpPr>
          <xdr:spPr>
            <a:xfrm>
              <a:off x="2748097" y="71055140"/>
              <a:ext cx="15588616" cy="568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sSub>
                      <m:sSubPr>
                        <m:ctrlPr>
                          <a:rPr lang="en-US" sz="140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𝑡𝑜𝑡𝑎𝑙</m:t>
                        </m:r>
                      </m:sub>
                    </m:sSub>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.746∗</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𝜂</m:t>
                                    </m:r>
                                  </m:e>
                                  <m:sub>
                                    <m:r>
                                      <a:rPr lang="en-US" sz="1400" b="0" i="1">
                                        <a:latin typeface="Cambria Math" panose="02040503050406030204" pitchFamily="18" charset="0"/>
                                        <a:ea typeface="Cambria Math" panose="02040503050406030204" pitchFamily="18" charset="0"/>
                                      </a:rPr>
                                      <m:t>𝑚𝑜𝑡𝑜𝑟</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𝑅𝐻𝑅𝑆</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100" b="0" i="1">
                                <a:solidFill>
                                  <a:schemeClr val="tx1"/>
                                </a:solidFill>
                                <a:effectLst/>
                                <a:latin typeface="Cambria Math" panose="02040503050406030204" pitchFamily="18" charset="0"/>
                                <a:ea typeface="+mn-ea"/>
                                <a:cs typeface="+mn-cs"/>
                              </a:rPr>
                              <m:t>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.746∗</m:t>
                            </m:r>
                            <m:r>
                              <a:rPr lang="en-US" sz="1100" b="0" i="1">
                                <a:solidFill>
                                  <a:schemeClr val="tx1"/>
                                </a:solidFill>
                                <a:effectLst/>
                                <a:latin typeface="Cambria Math" panose="02040503050406030204" pitchFamily="18" charset="0"/>
                                <a:ea typeface="+mn-ea"/>
                                <a:cs typeface="+mn-cs"/>
                              </a:rPr>
                              <m:t>𝐻𝑃</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𝐿𝐹</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𝜂</m:t>
                                    </m:r>
                                  </m:e>
                                  <m:sub>
                                    <m:r>
                                      <a:rPr lang="en-US" sz="1100" b="0" i="1">
                                        <a:solidFill>
                                          <a:schemeClr val="tx1"/>
                                        </a:solidFill>
                                        <a:effectLst/>
                                        <a:latin typeface="Cambria Math" panose="02040503050406030204" pitchFamily="18" charset="0"/>
                                        <a:ea typeface="+mn-ea"/>
                                        <a:cs typeface="+mn-cs"/>
                                      </a:rPr>
                                      <m:t>𝑚𝑜𝑡𝑜𝑟</m:t>
                                    </m:r>
                                  </m:sub>
                                </m:sSub>
                              </m:den>
                            </m:f>
                          </m:e>
                        </m:d>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𝑅𝐻𝑅𝑆</m:t>
                            </m:r>
                          </m:e>
                          <m:sub>
                            <m:r>
                              <a:rPr lang="en-US" sz="1100" b="0" i="1">
                                <a:solidFill>
                                  <a:schemeClr val="tx1"/>
                                </a:solidFill>
                                <a:effectLst/>
                                <a:latin typeface="Cambria Math" panose="02040503050406030204" pitchFamily="18" charset="0"/>
                                <a:ea typeface="+mn-ea"/>
                                <a:cs typeface="+mn-cs"/>
                              </a:rPr>
                              <m:t>𝑏𝑎𝑠𝑒</m:t>
                            </m:r>
                          </m:sub>
                        </m:sSub>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100" b="0" i="1">
                                <a:solidFill>
                                  <a:schemeClr val="tx1"/>
                                </a:solidFill>
                                <a:effectLst/>
                                <a:latin typeface="Cambria Math" panose="02040503050406030204" pitchFamily="18" charset="0"/>
                                <a:ea typeface="+mn-ea"/>
                                <a:cs typeface="+mn-cs"/>
                              </a:rPr>
                              <m:t>𝐸𝑓𝑓</m:t>
                            </m:r>
                          </m:sub>
                        </m:sSub>
                        <m:r>
                          <a:rPr lang="en-US" sz="1100" b="0" i="1">
                            <a:solidFill>
                              <a:schemeClr val="tx1"/>
                            </a:solidFill>
                            <a:effectLst/>
                            <a:latin typeface="Cambria Math" panose="02040503050406030204" pitchFamily="18" charset="0"/>
                            <a:ea typeface="+mn-ea"/>
                            <a:cs typeface="+mn-cs"/>
                          </a:rPr>
                          <m:t>)</m:t>
                        </m:r>
                      </m:e>
                    </m:d>
                    <m:r>
                      <a:rPr lang="en-US" sz="1400" b="0" i="1">
                        <a:latin typeface="Cambria Math" panose="02040503050406030204" pitchFamily="18" charset="0"/>
                        <a:ea typeface="Cambria Math" panose="02040503050406030204" pitchFamily="18" charset="0"/>
                      </a:rPr>
                      <m:t>∗(1+</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𝐼𝐸</m:t>
                        </m:r>
                      </m:e>
                      <m:sub>
                        <m:r>
                          <a:rPr lang="en-US" sz="1400" b="0" i="1">
                            <a:latin typeface="Cambria Math" panose="02040503050406030204" pitchFamily="18" charset="0"/>
                            <a:ea typeface="Cambria Math" panose="02040503050406030204" pitchFamily="18" charset="0"/>
                          </a:rPr>
                          <m:t>𝑒𝑛𝑒𝑟𝑔𝑦</m:t>
                        </m:r>
                      </m:sub>
                    </m:sSub>
                    <m:r>
                      <a:rPr lang="en-US" sz="14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426" name="TextBox 26">
              <a:extLst>
                <a:ext uri="{FF2B5EF4-FFF2-40B4-BE49-F238E27FC236}">
                  <a16:creationId xmlns:a16="http://schemas.microsoft.com/office/drawing/2014/main" id="{00000000-0008-0000-0500-0000AA010000}"/>
                </a:ext>
              </a:extLst>
            </xdr:cNvPr>
            <xdr:cNvSpPr txBox="1"/>
          </xdr:nvSpPr>
          <xdr:spPr>
            <a:xfrm>
              <a:off x="2748097" y="71055140"/>
              <a:ext cx="15588616" cy="568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1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4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751014</xdr:colOff>
      <xdr:row>414</xdr:row>
      <xdr:rowOff>21224</xdr:rowOff>
    </xdr:from>
    <xdr:to>
      <xdr:col>6</xdr:col>
      <xdr:colOff>599905</xdr:colOff>
      <xdr:row>415</xdr:row>
      <xdr:rowOff>136071</xdr:rowOff>
    </xdr:to>
    <mc:AlternateContent xmlns:mc="http://schemas.openxmlformats.org/markup-compatibility/2006" xmlns:a14="http://schemas.microsoft.com/office/drawing/2010/main">
      <mc:Choice Requires="a14">
        <xdr:sp macro="" textlink="">
          <xdr:nvSpPr>
            <xdr:cNvPr id="425" name="TextBox 27">
              <a:extLst>
                <a:ext uri="{FF2B5EF4-FFF2-40B4-BE49-F238E27FC236}">
                  <a16:creationId xmlns:a16="http://schemas.microsoft.com/office/drawing/2014/main" id="{00000000-0008-0000-0500-0000A9010000}"/>
                </a:ext>
              </a:extLst>
            </xdr:cNvPr>
            <xdr:cNvSpPr txBox="1"/>
          </xdr:nvSpPr>
          <xdr:spPr>
            <a:xfrm>
              <a:off x="2792085" y="78316724"/>
              <a:ext cx="7754641" cy="2917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410</xdr:row>
      <xdr:rowOff>167912</xdr:rowOff>
    </xdr:from>
    <xdr:to>
      <xdr:col>4</xdr:col>
      <xdr:colOff>4112559</xdr:colOff>
      <xdr:row>413</xdr:row>
      <xdr:rowOff>123635</xdr:rowOff>
    </xdr:to>
    <mc:AlternateContent xmlns:mc="http://schemas.openxmlformats.org/markup-compatibility/2006" xmlns:a14="http://schemas.microsoft.com/office/drawing/2010/main">
      <mc:Choice Requires="a14">
        <xdr:sp macro="" textlink="">
          <xdr:nvSpPr>
            <xdr:cNvPr id="424" name="TextBox 28">
              <a:extLst>
                <a:ext uri="{FF2B5EF4-FFF2-40B4-BE49-F238E27FC236}">
                  <a16:creationId xmlns:a16="http://schemas.microsoft.com/office/drawing/2014/main" id="{00000000-0008-0000-0500-0000A8010000}"/>
                </a:ext>
              </a:extLst>
            </xdr:cNvPr>
            <xdr:cNvSpPr txBox="1"/>
          </xdr:nvSpPr>
          <xdr:spPr>
            <a:xfrm>
              <a:off x="2822120" y="77755841"/>
              <a:ext cx="5018796" cy="4864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105047</xdr:colOff>
      <xdr:row>411</xdr:row>
      <xdr:rowOff>0</xdr:rowOff>
    </xdr:from>
    <xdr:to>
      <xdr:col>8</xdr:col>
      <xdr:colOff>683559</xdr:colOff>
      <xdr:row>413</xdr:row>
      <xdr:rowOff>134793</xdr:rowOff>
    </xdr:to>
    <mc:AlternateContent xmlns:mc="http://schemas.openxmlformats.org/markup-compatibility/2006" xmlns:a14="http://schemas.microsoft.com/office/drawing/2010/main">
      <mc:Choice Requires="a14">
        <xdr:sp macro="" textlink="">
          <xdr:nvSpPr>
            <xdr:cNvPr id="423" name="TextBox 29">
              <a:extLst>
                <a:ext uri="{FF2B5EF4-FFF2-40B4-BE49-F238E27FC236}">
                  <a16:creationId xmlns:a16="http://schemas.microsoft.com/office/drawing/2014/main" id="{00000000-0008-0000-0500-0000A7010000}"/>
                </a:ext>
              </a:extLst>
            </xdr:cNvPr>
            <xdr:cNvSpPr txBox="1"/>
          </xdr:nvSpPr>
          <xdr:spPr>
            <a:xfrm>
              <a:off x="8704761" y="77764821"/>
              <a:ext cx="5395441" cy="488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𝐼𝐸𝐸𝑅〗_</a:t>
              </a:r>
              <a:r>
                <a:rPr lang="en-US" sz="1400" b="0" i="0">
                  <a:latin typeface="Cambria Math" panose="02040503050406030204" pitchFamily="18" charset="0"/>
                  <a:ea typeface="Cambria Math" panose="02040503050406030204" pitchFamily="18" charset="0"/>
                </a:rPr>
                <a:t>𝑏𝑎𝑠𝑒 )−(</a:t>
              </a:r>
              <a:r>
                <a:rPr lang="en-US" sz="1400" b="0" i="0">
                  <a:solidFill>
                    <a:sysClr val="windowText" lastClr="000000"/>
                  </a:solidFill>
                  <a:latin typeface="Cambria Math" panose="02040503050406030204" pitchFamily="18" charset="0"/>
                  <a:ea typeface="Cambria Math" panose="02040503050406030204" pitchFamily="18" charset="0"/>
                </a:rPr>
                <a:t>1/〖𝐼𝐸𝐸𝑅〗_𝑒𝑒 )]</a:t>
              </a:r>
              <a:r>
                <a:rPr lang="en-US" sz="1400" b="0" i="0">
                  <a:latin typeface="Cambria Math" panose="02040503050406030204" pitchFamily="18" charset="0"/>
                  <a:ea typeface="Cambria Math" panose="02040503050406030204" pitchFamily="18" charset="0"/>
                </a:rPr>
                <a:t>∗𝐸𝐹𝐿𝐻</a:t>
              </a:r>
              <a:endParaRPr lang="en-US" sz="1100"/>
            </a:p>
          </xdr:txBody>
        </xdr:sp>
      </mc:Fallback>
    </mc:AlternateContent>
    <xdr:clientData/>
  </xdr:twoCellAnchor>
  <xdr:twoCellAnchor>
    <xdr:from>
      <xdr:col>3</xdr:col>
      <xdr:colOff>751014</xdr:colOff>
      <xdr:row>438</xdr:row>
      <xdr:rowOff>95247</xdr:rowOff>
    </xdr:from>
    <xdr:to>
      <xdr:col>6</xdr:col>
      <xdr:colOff>599905</xdr:colOff>
      <xdr:row>440</xdr:row>
      <xdr:rowOff>152572</xdr:rowOff>
    </xdr:to>
    <mc:AlternateContent xmlns:mc="http://schemas.openxmlformats.org/markup-compatibility/2006" xmlns:a14="http://schemas.microsoft.com/office/drawing/2010/main">
      <mc:Choice Requires="a14">
        <xdr:sp macro="" textlink="">
          <xdr:nvSpPr>
            <xdr:cNvPr id="422" name="TextBox 30">
              <a:extLst>
                <a:ext uri="{FF2B5EF4-FFF2-40B4-BE49-F238E27FC236}">
                  <a16:creationId xmlns:a16="http://schemas.microsoft.com/office/drawing/2014/main" id="{00000000-0008-0000-0500-0000A6010000}"/>
                </a:ext>
              </a:extLst>
            </xdr:cNvPr>
            <xdr:cNvSpPr txBox="1"/>
          </xdr:nvSpPr>
          <xdr:spPr>
            <a:xfrm>
              <a:off x="2792085" y="82690604"/>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59499</xdr:colOff>
      <xdr:row>460</xdr:row>
      <xdr:rowOff>66673</xdr:rowOff>
    </xdr:from>
    <xdr:to>
      <xdr:col>7</xdr:col>
      <xdr:colOff>479890</xdr:colOff>
      <xdr:row>461</xdr:row>
      <xdr:rowOff>163831</xdr:rowOff>
    </xdr:to>
    <mc:AlternateContent xmlns:mc="http://schemas.openxmlformats.org/markup-compatibility/2006" xmlns:a14="http://schemas.microsoft.com/office/drawing/2010/main">
      <mc:Choice Requires="a14">
        <xdr:sp macro="" textlink="">
          <xdr:nvSpPr>
            <xdr:cNvPr id="421" name="TextBox 31">
              <a:extLst>
                <a:ext uri="{FF2B5EF4-FFF2-40B4-BE49-F238E27FC236}">
                  <a16:creationId xmlns:a16="http://schemas.microsoft.com/office/drawing/2014/main" id="{00000000-0008-0000-0500-0000A501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435</xdr:row>
      <xdr:rowOff>21499</xdr:rowOff>
    </xdr:from>
    <xdr:to>
      <xdr:col>8</xdr:col>
      <xdr:colOff>859267</xdr:colOff>
      <xdr:row>437</xdr:row>
      <xdr:rowOff>167722</xdr:rowOff>
    </xdr:to>
    <mc:AlternateContent xmlns:mc="http://schemas.openxmlformats.org/markup-compatibility/2006" xmlns:a14="http://schemas.microsoft.com/office/drawing/2010/main">
      <mc:Choice Requires="a14">
        <xdr:sp macro="" textlink="">
          <xdr:nvSpPr>
            <xdr:cNvPr id="420" name="TextBox 32">
              <a:extLst>
                <a:ext uri="{FF2B5EF4-FFF2-40B4-BE49-F238E27FC236}">
                  <a16:creationId xmlns:a16="http://schemas.microsoft.com/office/drawing/2014/main" id="{00000000-0008-0000-0500-0000A4010000}"/>
                </a:ext>
              </a:extLst>
            </xdr:cNvPr>
            <xdr:cNvSpPr txBox="1"/>
          </xdr:nvSpPr>
          <xdr:spPr>
            <a:xfrm>
              <a:off x="8735785" y="82086178"/>
              <a:ext cx="5540125" cy="5000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105046</xdr:colOff>
      <xdr:row>437</xdr:row>
      <xdr:rowOff>169273</xdr:rowOff>
    </xdr:from>
    <xdr:to>
      <xdr:col>8</xdr:col>
      <xdr:colOff>855232</xdr:colOff>
      <xdr:row>440</xdr:row>
      <xdr:rowOff>97056</xdr:rowOff>
    </xdr:to>
    <mc:AlternateContent xmlns:mc="http://schemas.openxmlformats.org/markup-compatibility/2006" xmlns:a14="http://schemas.microsoft.com/office/drawing/2010/main">
      <mc:Choice Requires="a14">
        <xdr:sp macro="" textlink="">
          <xdr:nvSpPr>
            <xdr:cNvPr id="419" name="TextBox 33">
              <a:extLst>
                <a:ext uri="{FF2B5EF4-FFF2-40B4-BE49-F238E27FC236}">
                  <a16:creationId xmlns:a16="http://schemas.microsoft.com/office/drawing/2014/main" id="{00000000-0008-0000-0500-0000A3010000}"/>
                </a:ext>
              </a:extLst>
            </xdr:cNvPr>
            <xdr:cNvSpPr txBox="1"/>
          </xdr:nvSpPr>
          <xdr:spPr>
            <a:xfrm>
              <a:off x="8704760" y="82587737"/>
              <a:ext cx="5567115" cy="4584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436</xdr:row>
      <xdr:rowOff>9253</xdr:rowOff>
    </xdr:from>
    <xdr:to>
      <xdr:col>4</xdr:col>
      <xdr:colOff>1847143</xdr:colOff>
      <xdr:row>437</xdr:row>
      <xdr:rowOff>60141</xdr:rowOff>
    </xdr:to>
    <mc:AlternateContent xmlns:mc="http://schemas.openxmlformats.org/markup-compatibility/2006" xmlns:a14="http://schemas.microsoft.com/office/drawing/2010/main">
      <mc:Choice Requires="a14">
        <xdr:sp macro="" textlink="">
          <xdr:nvSpPr>
            <xdr:cNvPr id="418" name="TextBox 34">
              <a:extLst>
                <a:ext uri="{FF2B5EF4-FFF2-40B4-BE49-F238E27FC236}">
                  <a16:creationId xmlns:a16="http://schemas.microsoft.com/office/drawing/2014/main" id="{00000000-0008-0000-0500-0000A2010000}"/>
                </a:ext>
              </a:extLst>
            </xdr:cNvPr>
            <xdr:cNvSpPr txBox="1"/>
          </xdr:nvSpPr>
          <xdr:spPr>
            <a:xfrm>
              <a:off x="2767692" y="82250824"/>
              <a:ext cx="2807808" cy="2277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435</xdr:row>
      <xdr:rowOff>16328</xdr:rowOff>
    </xdr:from>
    <xdr:to>
      <xdr:col>13</xdr:col>
      <xdr:colOff>664733</xdr:colOff>
      <xdr:row>437</xdr:row>
      <xdr:rowOff>151121</xdr:rowOff>
    </xdr:to>
    <mc:AlternateContent xmlns:mc="http://schemas.openxmlformats.org/markup-compatibility/2006" xmlns:a14="http://schemas.microsoft.com/office/drawing/2010/main">
      <mc:Choice Requires="a14">
        <xdr:sp macro="" textlink="">
          <xdr:nvSpPr>
            <xdr:cNvPr id="417" name="TextBox 35">
              <a:extLst>
                <a:ext uri="{FF2B5EF4-FFF2-40B4-BE49-F238E27FC236}">
                  <a16:creationId xmlns:a16="http://schemas.microsoft.com/office/drawing/2014/main" id="{00000000-0008-0000-0500-0000A1010000}"/>
                </a:ext>
              </a:extLst>
            </xdr:cNvPr>
            <xdr:cNvSpPr txBox="1"/>
          </xdr:nvSpPr>
          <xdr:spPr>
            <a:xfrm>
              <a:off x="14834507" y="82081007"/>
              <a:ext cx="5342869" cy="488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437</xdr:row>
      <xdr:rowOff>149678</xdr:rowOff>
    </xdr:from>
    <xdr:to>
      <xdr:col>14</xdr:col>
      <xdr:colOff>56029</xdr:colOff>
      <xdr:row>440</xdr:row>
      <xdr:rowOff>54601</xdr:rowOff>
    </xdr:to>
    <mc:AlternateContent xmlns:mc="http://schemas.openxmlformats.org/markup-compatibility/2006" xmlns:a14="http://schemas.microsoft.com/office/drawing/2010/main">
      <mc:Choice Requires="a14">
        <xdr:sp macro="" textlink="">
          <xdr:nvSpPr>
            <xdr:cNvPr id="416" name="TextBox 36">
              <a:extLst>
                <a:ext uri="{FF2B5EF4-FFF2-40B4-BE49-F238E27FC236}">
                  <a16:creationId xmlns:a16="http://schemas.microsoft.com/office/drawing/2014/main" id="{00000000-0008-0000-0500-0000A0010000}"/>
                </a:ext>
              </a:extLst>
            </xdr:cNvPr>
            <xdr:cNvSpPr txBox="1"/>
          </xdr:nvSpPr>
          <xdr:spPr>
            <a:xfrm>
              <a:off x="14818178" y="82568142"/>
              <a:ext cx="5689387" cy="4356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4</xdr:col>
      <xdr:colOff>77287</xdr:colOff>
      <xdr:row>457</xdr:row>
      <xdr:rowOff>127363</xdr:rowOff>
    </xdr:from>
    <xdr:to>
      <xdr:col>5</xdr:col>
      <xdr:colOff>6136</xdr:colOff>
      <xdr:row>458</xdr:row>
      <xdr:rowOff>179884</xdr:rowOff>
    </xdr:to>
    <mc:AlternateContent xmlns:mc="http://schemas.openxmlformats.org/markup-compatibility/2006" xmlns:a14="http://schemas.microsoft.com/office/drawing/2010/main">
      <mc:Choice Requires="a14">
        <xdr:sp macro="" textlink="">
          <xdr:nvSpPr>
            <xdr:cNvPr id="415" name="TextBox 37">
              <a:extLst>
                <a:ext uri="{FF2B5EF4-FFF2-40B4-BE49-F238E27FC236}">
                  <a16:creationId xmlns:a16="http://schemas.microsoft.com/office/drawing/2014/main" id="{00000000-0008-0000-0500-00009F01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4</xdr:col>
      <xdr:colOff>4781278</xdr:colOff>
      <xdr:row>250</xdr:row>
      <xdr:rowOff>102326</xdr:rowOff>
    </xdr:from>
    <xdr:to>
      <xdr:col>6</xdr:col>
      <xdr:colOff>1057275</xdr:colOff>
      <xdr:row>251</xdr:row>
      <xdr:rowOff>174940</xdr:rowOff>
    </xdr:to>
    <mc:AlternateContent xmlns:mc="http://schemas.openxmlformats.org/markup-compatibility/2006" xmlns:a14="http://schemas.microsoft.com/office/drawing/2010/main">
      <mc:Choice Requires="a14">
        <xdr:sp macro="" textlink="">
          <xdr:nvSpPr>
            <xdr:cNvPr id="414" name="TextBox 38">
              <a:extLst>
                <a:ext uri="{FF2B5EF4-FFF2-40B4-BE49-F238E27FC236}">
                  <a16:creationId xmlns:a16="http://schemas.microsoft.com/office/drawing/2014/main" id="{00000000-0008-0000-0500-00009E010000}"/>
                </a:ext>
              </a:extLst>
            </xdr:cNvPr>
            <xdr:cNvSpPr txBox="1"/>
          </xdr:nvSpPr>
          <xdr:spPr>
            <a:xfrm>
              <a:off x="8800828" y="58985876"/>
              <a:ext cx="3391172" cy="2631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53.075∗</m:t>
                        </m:r>
                        <m:r>
                          <a:rPr lang="en-US" sz="1400" b="0" i="1">
                            <a:latin typeface="Cambria Math" panose="02040503050406030204" pitchFamily="18" charset="0"/>
                          </a:rPr>
                          <m:t>𝑆𝑄𝐹𝑇</m:t>
                        </m:r>
                      </m:e>
                    </m:d>
                    <m:r>
                      <a:rPr lang="en-US" sz="1400" b="0" i="1">
                        <a:latin typeface="Cambria Math" panose="02040503050406030204" pitchFamily="18" charset="0"/>
                      </a:rPr>
                      <m:t>+1631.1</m:t>
                    </m:r>
                  </m:oMath>
                </m:oMathPara>
              </a14:m>
              <a:endParaRPr lang="en-US" sz="1100"/>
            </a:p>
          </xdr:txBody>
        </xdr:sp>
      </mc:Choice>
      <mc:Fallback xmlns="">
        <xdr:sp macro="" textlink="">
          <xdr:nvSpPr>
            <xdr:cNvPr id="414" name="TextBox 38">
              <a:extLst>
                <a:ext uri="{FF2B5EF4-FFF2-40B4-BE49-F238E27FC236}">
                  <a16:creationId xmlns:a16="http://schemas.microsoft.com/office/drawing/2014/main" id="{00000000-0008-0000-0500-00009E010000}"/>
                </a:ext>
              </a:extLst>
            </xdr:cNvPr>
            <xdr:cNvSpPr txBox="1"/>
          </xdr:nvSpPr>
          <xdr:spPr>
            <a:xfrm>
              <a:off x="8800828" y="58985876"/>
              <a:ext cx="3391172" cy="2631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𝑄_𝑃𝑜𝑜𝑙𝐻𝑒𝑎𝑡𝑖𝑛𝑔=[53.075∗𝑆𝑄𝐹𝑇]+1631.1</a:t>
              </a:r>
              <a:endParaRPr lang="en-US" sz="1100"/>
            </a:p>
          </xdr:txBody>
        </xdr:sp>
      </mc:Fallback>
    </mc:AlternateContent>
    <xdr:clientData/>
  </xdr:twoCellAnchor>
  <xdr:twoCellAnchor>
    <xdr:from>
      <xdr:col>7</xdr:col>
      <xdr:colOff>173627</xdr:colOff>
      <xdr:row>250</xdr:row>
      <xdr:rowOff>97972</xdr:rowOff>
    </xdr:from>
    <xdr:to>
      <xdr:col>9</xdr:col>
      <xdr:colOff>848166</xdr:colOff>
      <xdr:row>251</xdr:row>
      <xdr:rowOff>172491</xdr:rowOff>
    </xdr:to>
    <mc:AlternateContent xmlns:mc="http://schemas.openxmlformats.org/markup-compatibility/2006" xmlns:a14="http://schemas.microsoft.com/office/drawing/2010/main">
      <mc:Choice Requires="a14">
        <xdr:sp macro="" textlink="">
          <xdr:nvSpPr>
            <xdr:cNvPr id="413" name="TextBox 39">
              <a:extLst>
                <a:ext uri="{FF2B5EF4-FFF2-40B4-BE49-F238E27FC236}">
                  <a16:creationId xmlns:a16="http://schemas.microsoft.com/office/drawing/2014/main" id="{00000000-0008-0000-0500-00009D010000}"/>
                </a:ext>
              </a:extLst>
            </xdr:cNvPr>
            <xdr:cNvSpPr txBox="1"/>
          </xdr:nvSpPr>
          <xdr:spPr>
            <a:xfrm>
              <a:off x="12498977" y="58981522"/>
              <a:ext cx="3322489" cy="265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8.079∗</m:t>
                        </m:r>
                        <m:r>
                          <a:rPr lang="en-US" sz="1400" b="0" i="1">
                            <a:latin typeface="Cambria Math" panose="02040503050406030204" pitchFamily="18" charset="0"/>
                          </a:rPr>
                          <m:t>𝑆𝑄𝐹𝑇</m:t>
                        </m:r>
                      </m:e>
                    </m:d>
                    <m:r>
                      <a:rPr lang="en-US" sz="1400" b="0" i="1">
                        <a:latin typeface="Cambria Math" panose="02040503050406030204" pitchFamily="18" charset="0"/>
                      </a:rPr>
                      <m:t>+1295.4</m:t>
                    </m:r>
                  </m:oMath>
                </m:oMathPara>
              </a14:m>
              <a:endParaRPr lang="en-US" sz="1100"/>
            </a:p>
          </xdr:txBody>
        </xdr:sp>
      </mc:Choice>
      <mc:Fallback xmlns="">
        <xdr:sp macro="" textlink="">
          <xdr:nvSpPr>
            <xdr:cNvPr id="413" name="TextBox 39">
              <a:extLst>
                <a:ext uri="{FF2B5EF4-FFF2-40B4-BE49-F238E27FC236}">
                  <a16:creationId xmlns:a16="http://schemas.microsoft.com/office/drawing/2014/main" id="{00000000-0008-0000-0500-00009D010000}"/>
                </a:ext>
              </a:extLst>
            </xdr:cNvPr>
            <xdr:cNvSpPr txBox="1"/>
          </xdr:nvSpPr>
          <xdr:spPr>
            <a:xfrm>
              <a:off x="12498977" y="58981522"/>
              <a:ext cx="3322489" cy="265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𝑄_𝑃𝑜𝑜𝑙𝐻𝑒𝑎𝑡𝑖𝑛𝑔=[8.079∗𝑆𝑄𝐹𝑇]+1295.4</a:t>
              </a:r>
              <a:endParaRPr lang="en-US" sz="1100"/>
            </a:p>
          </xdr:txBody>
        </xdr:sp>
      </mc:Fallback>
    </mc:AlternateContent>
    <xdr:clientData/>
  </xdr:twoCellAnchor>
  <xdr:twoCellAnchor>
    <xdr:from>
      <xdr:col>3</xdr:col>
      <xdr:colOff>726621</xdr:colOff>
      <xdr:row>281</xdr:row>
      <xdr:rowOff>50074</xdr:rowOff>
    </xdr:from>
    <xdr:to>
      <xdr:col>4</xdr:col>
      <xdr:colOff>1316035</xdr:colOff>
      <xdr:row>282</xdr:row>
      <xdr:rowOff>102867</xdr:rowOff>
    </xdr:to>
    <mc:AlternateContent xmlns:mc="http://schemas.openxmlformats.org/markup-compatibility/2006" xmlns:a14="http://schemas.microsoft.com/office/drawing/2010/main">
      <mc:Choice Requires="a14">
        <xdr:sp macro="" textlink="">
          <xdr:nvSpPr>
            <xdr:cNvPr id="412" name="TextBox 40">
              <a:extLst>
                <a:ext uri="{FF2B5EF4-FFF2-40B4-BE49-F238E27FC236}">
                  <a16:creationId xmlns:a16="http://schemas.microsoft.com/office/drawing/2014/main" id="{00000000-0008-0000-0500-00009C010000}"/>
                </a:ext>
              </a:extLst>
            </xdr:cNvPr>
            <xdr:cNvSpPr txBox="1"/>
          </xdr:nvSpPr>
          <xdr:spPr>
            <a:xfrm>
              <a:off x="2767692" y="53920753"/>
              <a:ext cx="2276700" cy="229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5</xdr:col>
      <xdr:colOff>0</xdr:colOff>
      <xdr:row>383</xdr:row>
      <xdr:rowOff>0</xdr:rowOff>
    </xdr:from>
    <xdr:to>
      <xdr:col>5</xdr:col>
      <xdr:colOff>1343025</xdr:colOff>
      <xdr:row>384</xdr:row>
      <xdr:rowOff>0</xdr:rowOff>
    </xdr:to>
    <xdr:pic>
      <xdr:nvPicPr>
        <xdr:cNvPr id="411" name="Picture 41">
          <a:extLst>
            <a:ext uri="{FF2B5EF4-FFF2-40B4-BE49-F238E27FC236}">
              <a16:creationId xmlns:a16="http://schemas.microsoft.com/office/drawing/2014/main" id="{00000000-0008-0000-0500-00009B01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599714" y="72390000"/>
          <a:ext cx="1343025" cy="176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381</xdr:row>
      <xdr:rowOff>19050</xdr:rowOff>
    </xdr:from>
    <xdr:to>
      <xdr:col>9</xdr:col>
      <xdr:colOff>140363</xdr:colOff>
      <xdr:row>384</xdr:row>
      <xdr:rowOff>54610</xdr:rowOff>
    </xdr:to>
    <mc:AlternateContent xmlns:mc="http://schemas.openxmlformats.org/markup-compatibility/2006" xmlns:a14="http://schemas.microsoft.com/office/drawing/2010/main">
      <mc:Choice Requires="a14">
        <xdr:sp macro="" textlink="">
          <xdr:nvSpPr>
            <xdr:cNvPr id="410" name="TextBox 42">
              <a:extLst>
                <a:ext uri="{FF2B5EF4-FFF2-40B4-BE49-F238E27FC236}">
                  <a16:creationId xmlns:a16="http://schemas.microsoft.com/office/drawing/2014/main" id="{00000000-0008-0000-0500-00009A010000}"/>
                </a:ext>
              </a:extLst>
            </xdr:cNvPr>
            <xdr:cNvSpPr txBox="1"/>
          </xdr:nvSpPr>
          <xdr:spPr>
            <a:xfrm>
              <a:off x="10673442" y="72041657"/>
              <a:ext cx="4149028" cy="5798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385</xdr:row>
      <xdr:rowOff>97428</xdr:rowOff>
    </xdr:from>
    <xdr:to>
      <xdr:col>9</xdr:col>
      <xdr:colOff>341962</xdr:colOff>
      <xdr:row>388</xdr:row>
      <xdr:rowOff>135528</xdr:rowOff>
    </xdr:to>
    <mc:AlternateContent xmlns:mc="http://schemas.openxmlformats.org/markup-compatibility/2006" xmlns:a14="http://schemas.microsoft.com/office/drawing/2010/main">
      <mc:Choice Requires="a14">
        <xdr:sp macro="" textlink="">
          <xdr:nvSpPr>
            <xdr:cNvPr id="409" name="TextBox 43">
              <a:extLst>
                <a:ext uri="{FF2B5EF4-FFF2-40B4-BE49-F238E27FC236}">
                  <a16:creationId xmlns:a16="http://schemas.microsoft.com/office/drawing/2014/main" id="{00000000-0008-0000-0500-000099010000}"/>
                </a:ext>
              </a:extLst>
            </xdr:cNvPr>
            <xdr:cNvSpPr txBox="1"/>
          </xdr:nvSpPr>
          <xdr:spPr>
            <a:xfrm>
              <a:off x="10689771" y="72841214"/>
              <a:ext cx="4334298" cy="5687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1346632</xdr:colOff>
      <xdr:row>110</xdr:row>
      <xdr:rowOff>125732</xdr:rowOff>
    </xdr:from>
    <xdr:to>
      <xdr:col>4</xdr:col>
      <xdr:colOff>2220686</xdr:colOff>
      <xdr:row>112</xdr:row>
      <xdr:rowOff>65316</xdr:rowOff>
    </xdr:to>
    <mc:AlternateContent xmlns:mc="http://schemas.openxmlformats.org/markup-compatibility/2006" xmlns:a14="http://schemas.microsoft.com/office/drawing/2010/main">
      <mc:Choice Requires="a14">
        <xdr:sp macro="" textlink="">
          <xdr:nvSpPr>
            <xdr:cNvPr id="408" name="TextBox 44">
              <a:extLst>
                <a:ext uri="{FF2B5EF4-FFF2-40B4-BE49-F238E27FC236}">
                  <a16:creationId xmlns:a16="http://schemas.microsoft.com/office/drawing/2014/main" id="{00000000-0008-0000-0500-00009801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3</xdr:col>
      <xdr:colOff>20037</xdr:colOff>
      <xdr:row>525</xdr:row>
      <xdr:rowOff>149675</xdr:rowOff>
    </xdr:from>
    <xdr:to>
      <xdr:col>6</xdr:col>
      <xdr:colOff>92358</xdr:colOff>
      <xdr:row>528</xdr:row>
      <xdr:rowOff>47524</xdr:rowOff>
    </xdr:to>
    <mc:AlternateContent xmlns:mc="http://schemas.openxmlformats.org/markup-compatibility/2006" xmlns:a14="http://schemas.microsoft.com/office/drawing/2010/main">
      <mc:Choice Requires="a14">
        <xdr:sp macro="" textlink="">
          <xdr:nvSpPr>
            <xdr:cNvPr id="407" name="TextBox 46">
              <a:extLst>
                <a:ext uri="{FF2B5EF4-FFF2-40B4-BE49-F238E27FC236}">
                  <a16:creationId xmlns:a16="http://schemas.microsoft.com/office/drawing/2014/main" id="{00000000-0008-0000-0500-000097010000}"/>
                </a:ext>
              </a:extLst>
            </xdr:cNvPr>
            <xdr:cNvSpPr txBox="1"/>
          </xdr:nvSpPr>
          <xdr:spPr>
            <a:xfrm>
              <a:off x="2061108" y="90732425"/>
              <a:ext cx="7978071" cy="42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853620</xdr:colOff>
      <xdr:row>522</xdr:row>
      <xdr:rowOff>63621</xdr:rowOff>
    </xdr:from>
    <xdr:to>
      <xdr:col>15</xdr:col>
      <xdr:colOff>734784</xdr:colOff>
      <xdr:row>525</xdr:row>
      <xdr:rowOff>10030</xdr:rowOff>
    </xdr:to>
    <mc:AlternateContent xmlns:mc="http://schemas.openxmlformats.org/markup-compatibility/2006" xmlns:a14="http://schemas.microsoft.com/office/drawing/2010/main">
      <mc:Choice Requires="a14">
        <xdr:sp macro="" textlink="">
          <xdr:nvSpPr>
            <xdr:cNvPr id="406" name="TextBox 47">
              <a:extLst>
                <a:ext uri="{FF2B5EF4-FFF2-40B4-BE49-F238E27FC236}">
                  <a16:creationId xmlns:a16="http://schemas.microsoft.com/office/drawing/2014/main" id="{00000000-0008-0000-0500-000096010000}"/>
                </a:ext>
              </a:extLst>
            </xdr:cNvPr>
            <xdr:cNvSpPr txBox="1"/>
          </xdr:nvSpPr>
          <xdr:spPr>
            <a:xfrm>
              <a:off x="1452334" y="103382657"/>
              <a:ext cx="18291629" cy="517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a:extLst>
                <a:ext uri="{FF2B5EF4-FFF2-40B4-BE49-F238E27FC236}">
                  <a16:creationId xmlns:a16="http://schemas.microsoft.com/office/drawing/2014/main" id="{00000000-0008-0000-0200-000030000000}"/>
                </a:ext>
              </a:extLst>
            </xdr:cNvPr>
            <xdr:cNvSpPr txBox="1"/>
          </xdr:nvSpPr>
          <xdr:spPr>
            <a:xfrm>
              <a:off x="1452334" y="103382657"/>
              <a:ext cx="18291629" cy="517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21499</xdr:colOff>
      <xdr:row>545</xdr:row>
      <xdr:rowOff>5984</xdr:rowOff>
    </xdr:from>
    <xdr:to>
      <xdr:col>4</xdr:col>
      <xdr:colOff>2296614</xdr:colOff>
      <xdr:row>547</xdr:row>
      <xdr:rowOff>88346</xdr:rowOff>
    </xdr:to>
    <mc:AlternateContent xmlns:mc="http://schemas.openxmlformats.org/markup-compatibility/2006" xmlns:a14="http://schemas.microsoft.com/office/drawing/2010/main">
      <mc:Choice Requires="a14">
        <xdr:sp macro="" textlink="">
          <xdr:nvSpPr>
            <xdr:cNvPr id="405" name="TextBox 48">
              <a:extLst>
                <a:ext uri="{FF2B5EF4-FFF2-40B4-BE49-F238E27FC236}">
                  <a16:creationId xmlns:a16="http://schemas.microsoft.com/office/drawing/2014/main" id="{00000000-0008-0000-0500-000095010000}"/>
                </a:ext>
              </a:extLst>
            </xdr:cNvPr>
            <xdr:cNvSpPr txBox="1"/>
          </xdr:nvSpPr>
          <xdr:spPr>
            <a:xfrm>
              <a:off x="2062570" y="94480377"/>
              <a:ext cx="3962401" cy="436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541</xdr:row>
      <xdr:rowOff>104443</xdr:rowOff>
    </xdr:from>
    <xdr:to>
      <xdr:col>4</xdr:col>
      <xdr:colOff>4095750</xdr:colOff>
      <xdr:row>544</xdr:row>
      <xdr:rowOff>50852</xdr:rowOff>
    </xdr:to>
    <mc:AlternateContent xmlns:mc="http://schemas.openxmlformats.org/markup-compatibility/2006" xmlns:a14="http://schemas.microsoft.com/office/drawing/2010/main">
      <mc:Choice Requires="a14">
        <xdr:sp macro="" textlink="">
          <xdr:nvSpPr>
            <xdr:cNvPr id="404" name="TextBox 49">
              <a:extLst>
                <a:ext uri="{FF2B5EF4-FFF2-40B4-BE49-F238E27FC236}">
                  <a16:creationId xmlns:a16="http://schemas.microsoft.com/office/drawing/2014/main" id="{00000000-0008-0000-0500-000094010000}"/>
                </a:ext>
              </a:extLst>
            </xdr:cNvPr>
            <xdr:cNvSpPr txBox="1"/>
          </xdr:nvSpPr>
          <xdr:spPr>
            <a:xfrm>
              <a:off x="2095500" y="93871264"/>
              <a:ext cx="5728607" cy="4770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21498</xdr:colOff>
      <xdr:row>568</xdr:row>
      <xdr:rowOff>105045</xdr:rowOff>
    </xdr:from>
    <xdr:to>
      <xdr:col>4</xdr:col>
      <xdr:colOff>2457449</xdr:colOff>
      <xdr:row>571</xdr:row>
      <xdr:rowOff>2894</xdr:rowOff>
    </xdr:to>
    <mc:AlternateContent xmlns:mc="http://schemas.openxmlformats.org/markup-compatibility/2006" xmlns:a14="http://schemas.microsoft.com/office/drawing/2010/main">
      <mc:Choice Requires="a14">
        <xdr:sp macro="" textlink="">
          <xdr:nvSpPr>
            <xdr:cNvPr id="403" name="TextBox 50">
              <a:extLst>
                <a:ext uri="{FF2B5EF4-FFF2-40B4-BE49-F238E27FC236}">
                  <a16:creationId xmlns:a16="http://schemas.microsoft.com/office/drawing/2014/main" id="{00000000-0008-0000-0500-000093010000}"/>
                </a:ext>
              </a:extLst>
            </xdr:cNvPr>
            <xdr:cNvSpPr txBox="1"/>
          </xdr:nvSpPr>
          <xdr:spPr>
            <a:xfrm>
              <a:off x="2062569" y="99001759"/>
              <a:ext cx="4123237" cy="42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85451</xdr:colOff>
      <xdr:row>565</xdr:row>
      <xdr:rowOff>89385</xdr:rowOff>
    </xdr:from>
    <xdr:to>
      <xdr:col>4</xdr:col>
      <xdr:colOff>4550499</xdr:colOff>
      <xdr:row>568</xdr:row>
      <xdr:rowOff>16744</xdr:rowOff>
    </xdr:to>
    <mc:AlternateContent xmlns:mc="http://schemas.openxmlformats.org/markup-compatibility/2006" xmlns:a14="http://schemas.microsoft.com/office/drawing/2010/main">
      <mc:Choice Requires="a14">
        <xdr:sp macro="" textlink="">
          <xdr:nvSpPr>
            <xdr:cNvPr id="402" name="TextBox 51">
              <a:extLst>
                <a:ext uri="{FF2B5EF4-FFF2-40B4-BE49-F238E27FC236}">
                  <a16:creationId xmlns:a16="http://schemas.microsoft.com/office/drawing/2014/main" id="{00000000-0008-0000-0500-000092010000}"/>
                </a:ext>
              </a:extLst>
            </xdr:cNvPr>
            <xdr:cNvSpPr txBox="1"/>
          </xdr:nvSpPr>
          <xdr:spPr>
            <a:xfrm flipH="1">
              <a:off x="2126522" y="98455421"/>
              <a:ext cx="6152334" cy="4580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594</xdr:row>
      <xdr:rowOff>126271</xdr:rowOff>
    </xdr:from>
    <xdr:to>
      <xdr:col>4</xdr:col>
      <xdr:colOff>2869474</xdr:colOff>
      <xdr:row>597</xdr:row>
      <xdr:rowOff>988</xdr:rowOff>
    </xdr:to>
    <mc:AlternateContent xmlns:mc="http://schemas.openxmlformats.org/markup-compatibility/2006" xmlns:a14="http://schemas.microsoft.com/office/drawing/2010/main">
      <mc:Choice Requires="a14">
        <xdr:sp macro="" textlink="">
          <xdr:nvSpPr>
            <xdr:cNvPr id="401" name="TextBox 52">
              <a:extLst>
                <a:ext uri="{FF2B5EF4-FFF2-40B4-BE49-F238E27FC236}">
                  <a16:creationId xmlns:a16="http://schemas.microsoft.com/office/drawing/2014/main" id="{00000000-0008-0000-0500-000091010000}"/>
                </a:ext>
              </a:extLst>
            </xdr:cNvPr>
            <xdr:cNvSpPr txBox="1"/>
          </xdr:nvSpPr>
          <xdr:spPr>
            <a:xfrm>
              <a:off x="2136320" y="103622200"/>
              <a:ext cx="4461511" cy="405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169273</xdr:colOff>
      <xdr:row>591</xdr:row>
      <xdr:rowOff>96157</xdr:rowOff>
    </xdr:from>
    <xdr:to>
      <xdr:col>5</xdr:col>
      <xdr:colOff>973999</xdr:colOff>
      <xdr:row>594</xdr:row>
      <xdr:rowOff>34946</xdr:rowOff>
    </xdr:to>
    <mc:AlternateContent xmlns:mc="http://schemas.openxmlformats.org/markup-compatibility/2006" xmlns:a14="http://schemas.microsoft.com/office/drawing/2010/main">
      <mc:Choice Requires="a14">
        <xdr:sp macro="" textlink="">
          <xdr:nvSpPr>
            <xdr:cNvPr id="25" name="TextBox 53">
              <a:extLst>
                <a:ext uri="{FF2B5EF4-FFF2-40B4-BE49-F238E27FC236}">
                  <a16:creationId xmlns:a16="http://schemas.microsoft.com/office/drawing/2014/main" id="{00000000-0008-0000-0500-000090010000}"/>
                </a:ext>
              </a:extLst>
            </xdr:cNvPr>
            <xdr:cNvSpPr txBox="1"/>
          </xdr:nvSpPr>
          <xdr:spPr>
            <a:xfrm flipH="1">
              <a:off x="2210344" y="103061407"/>
              <a:ext cx="7363369" cy="4694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𝐶𝐶𝐴𝐹</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400" name="TextBox 53">
              <a:extLst>
                <a:ext uri="{FF2B5EF4-FFF2-40B4-BE49-F238E27FC236}">
                  <a16:creationId xmlns:a16="http://schemas.microsoft.com/office/drawing/2014/main" id="{00000000-0008-0000-0500-000090010000}"/>
                </a:ext>
              </a:extLst>
            </xdr:cNvPr>
            <xdr:cNvSpPr txBox="1"/>
          </xdr:nvSpPr>
          <xdr:spPr>
            <a:xfrm flipH="1">
              <a:off x="2210344" y="103061407"/>
              <a:ext cx="7363369" cy="4694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)∗𝑘𝑊/𝐶𝐹𝑀∗𝐶𝐶𝐴𝐹 𝑥 %𝑈𝑠𝑒∗𝐻𝑜𝑢𝑟𝑠</a:t>
              </a:r>
              <a:endParaRPr lang="en-US" sz="1100"/>
            </a:p>
          </xdr:txBody>
        </xdr:sp>
      </mc:Fallback>
    </mc:AlternateContent>
    <xdr:clientData/>
  </xdr:twoCellAnchor>
  <xdr:twoCellAnchor>
    <xdr:from>
      <xdr:col>2</xdr:col>
      <xdr:colOff>0</xdr:colOff>
      <xdr:row>616</xdr:row>
      <xdr:rowOff>95247</xdr:rowOff>
    </xdr:from>
    <xdr:to>
      <xdr:col>2</xdr:col>
      <xdr:colOff>0</xdr:colOff>
      <xdr:row>618</xdr:row>
      <xdr:rowOff>152572</xdr:rowOff>
    </xdr:to>
    <mc:AlternateContent xmlns:mc="http://schemas.openxmlformats.org/markup-compatibility/2006" xmlns:a14="http://schemas.microsoft.com/office/drawing/2010/main">
      <mc:Choice Requires="a14">
        <xdr:sp macro="" textlink="">
          <xdr:nvSpPr>
            <xdr:cNvPr id="399" name="TextBox 54">
              <a:extLst>
                <a:ext uri="{FF2B5EF4-FFF2-40B4-BE49-F238E27FC236}">
                  <a16:creationId xmlns:a16="http://schemas.microsoft.com/office/drawing/2014/main" id="{00000000-0008-0000-0500-00008F010000}"/>
                </a:ext>
              </a:extLst>
            </xdr:cNvPr>
            <xdr:cNvSpPr txBox="1"/>
          </xdr:nvSpPr>
          <xdr:spPr>
            <a:xfrm>
              <a:off x="625929" y="1073195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64225</xdr:colOff>
      <xdr:row>613</xdr:row>
      <xdr:rowOff>132443</xdr:rowOff>
    </xdr:from>
    <xdr:to>
      <xdr:col>6</xdr:col>
      <xdr:colOff>1228452</xdr:colOff>
      <xdr:row>616</xdr:row>
      <xdr:rowOff>67422</xdr:rowOff>
    </xdr:to>
    <mc:AlternateContent xmlns:mc="http://schemas.openxmlformats.org/markup-compatibility/2006" xmlns:a14="http://schemas.microsoft.com/office/drawing/2010/main">
      <mc:Choice Requires="a14">
        <xdr:sp macro="" textlink="">
          <xdr:nvSpPr>
            <xdr:cNvPr id="398" name="TextBox 55">
              <a:extLst>
                <a:ext uri="{FF2B5EF4-FFF2-40B4-BE49-F238E27FC236}">
                  <a16:creationId xmlns:a16="http://schemas.microsoft.com/office/drawing/2014/main" id="{00000000-0008-0000-0500-00008E010000}"/>
                </a:ext>
              </a:extLst>
            </xdr:cNvPr>
            <xdr:cNvSpPr txBox="1"/>
          </xdr:nvSpPr>
          <xdr:spPr>
            <a:xfrm flipH="1">
              <a:off x="2105296" y="106826050"/>
              <a:ext cx="9069977" cy="465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664</xdr:row>
      <xdr:rowOff>155864</xdr:rowOff>
    </xdr:from>
    <xdr:to>
      <xdr:col>2</xdr:col>
      <xdr:colOff>0</xdr:colOff>
      <xdr:row>666</xdr:row>
      <xdr:rowOff>98195</xdr:rowOff>
    </xdr:to>
    <mc:AlternateContent xmlns:mc="http://schemas.openxmlformats.org/markup-compatibility/2006" xmlns:a14="http://schemas.microsoft.com/office/drawing/2010/main">
      <mc:Choice Requires="a14">
        <xdr:sp macro="" textlink="">
          <xdr:nvSpPr>
            <xdr:cNvPr id="397" name="TextBox 56">
              <a:extLst>
                <a:ext uri="{FF2B5EF4-FFF2-40B4-BE49-F238E27FC236}">
                  <a16:creationId xmlns:a16="http://schemas.microsoft.com/office/drawing/2014/main" id="{00000000-0008-0000-0500-00008D010000}"/>
                </a:ext>
              </a:extLst>
            </xdr:cNvPr>
            <xdr:cNvSpPr txBox="1"/>
          </xdr:nvSpPr>
          <xdr:spPr>
            <a:xfrm>
              <a:off x="625929" y="110741114"/>
              <a:ext cx="0" cy="296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152399</xdr:colOff>
      <xdr:row>660</xdr:row>
      <xdr:rowOff>75458</xdr:rowOff>
    </xdr:from>
    <xdr:to>
      <xdr:col>18</xdr:col>
      <xdr:colOff>155864</xdr:colOff>
      <xdr:row>665</xdr:row>
      <xdr:rowOff>91440</xdr:rowOff>
    </xdr:to>
    <mc:AlternateContent xmlns:mc="http://schemas.openxmlformats.org/markup-compatibility/2006" xmlns:a14="http://schemas.microsoft.com/office/drawing/2010/main">
      <mc:Choice Requires="a14">
        <xdr:sp macro="" textlink="">
          <xdr:nvSpPr>
            <xdr:cNvPr id="5" name="TextBox 57">
              <a:extLst>
                <a:ext uri="{FF2B5EF4-FFF2-40B4-BE49-F238E27FC236}">
                  <a16:creationId xmlns:a16="http://schemas.microsoft.com/office/drawing/2014/main" id="{00000000-0008-0000-0500-00008C010000}"/>
                </a:ext>
                <a:ext uri="{147F2762-F138-4A5C-976F-8EAC2B608ADB}">
                  <a16:predDERef xmlns:a16="http://schemas.microsoft.com/office/drawing/2014/main" pred="{00000000-0008-0000-0500-00008D010000}"/>
                </a:ext>
              </a:extLst>
            </xdr:cNvPr>
            <xdr:cNvSpPr txBox="1"/>
          </xdr:nvSpPr>
          <xdr:spPr>
            <a:xfrm>
              <a:off x="2594263" y="128940049"/>
              <a:ext cx="26257828" cy="8818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𝐹𝑜𝑜𝑑𝐶𝑜𝑜𝑘𝑒𝑑</m:t>
                                </m:r>
                              </m:e>
                              <m:sub>
                                <m:r>
                                  <a:rPr lang="en-US" sz="1400" b="0" i="1">
                                    <a:latin typeface="Cambria Math" panose="02040503050406030204" pitchFamily="18" charset="0"/>
                                  </a:rPr>
                                  <m:t>𝐸𝑙𝑒𝑐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400" b="0" i="1">
                                <a:latin typeface="Cambria Math" panose="02040503050406030204" pitchFamily="18" charset="0"/>
                              </a:rPr>
                              <m:t>∗%</m:t>
                            </m:r>
                            <m:r>
                              <a:rPr lang="en-US" sz="1400" b="0" i="1">
                                <a:latin typeface="Cambria Math" panose="02040503050406030204" pitchFamily="18" charset="0"/>
                              </a:rPr>
                              <m:t>𝐶𝑜𝑛𝑣</m:t>
                            </m:r>
                          </m:e>
                        </m:d>
                        <m:r>
                          <a:rPr lang="en-US" sz="1400" b="0" i="1">
                            <a:latin typeface="Cambria Math" panose="02040503050406030204" pitchFamily="18" charset="0"/>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e>
                        </m:d>
                        <m:r>
                          <a:rPr lang="en-US" sz="1100" b="0" i="1">
                            <a:solidFill>
                              <a:schemeClr val="tx1"/>
                            </a:solidFill>
                            <a:effectLst/>
                            <a:latin typeface="Cambria Math" panose="02040503050406030204" pitchFamily="18" charset="0"/>
                            <a:ea typeface="+mn-ea"/>
                            <a:cs typeface="+mn-cs"/>
                          </a:rPr>
                          <m:t>    +∆  </m:t>
                        </m:r>
                        <m:r>
                          <a:rPr lang="en-US" sz="1100" b="0" i="1">
                            <a:solidFill>
                              <a:schemeClr val="tx1"/>
                            </a:solidFill>
                            <a:effectLst/>
                            <a:latin typeface="Cambria Math" panose="02040503050406030204" pitchFamily="18" charset="0"/>
                            <a:ea typeface="+mn-ea"/>
                            <a:cs typeface="+mn-cs"/>
                          </a:rPr>
                          <m:t>𝑃𝑟𝑒𝐻𝑒𝑎𝑡</m:t>
                        </m:r>
                        <m:r>
                          <a:rPr lang="en-US" sz="1100" b="0" i="1">
                            <a:solidFill>
                              <a:schemeClr val="tx1"/>
                            </a:solidFill>
                            <a:effectLst/>
                            <a:latin typeface="Cambria Math" panose="02040503050406030204" pitchFamily="18" charset="0"/>
                            <a:ea typeface="+mn-ea"/>
                            <a:cs typeface="+mn-cs"/>
                          </a:rPr>
                          <m:t>      </m:t>
                        </m:r>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5" name="TextBox 57">
              <a:extLst>
                <a:ext uri="{FF2B5EF4-FFF2-40B4-BE49-F238E27FC236}">
                  <a16:creationId xmlns:a16="http://schemas.microsoft.com/office/drawing/2014/main" id="{00000000-0008-0000-0500-00008C010000}"/>
                </a:ext>
                <a:ext uri="{147F2762-F138-4A5C-976F-8EAC2B608ADB}">
                  <a16:predDERef xmlns:a16="http://schemas.microsoft.com/office/drawing/2014/main" pred="{00000000-0008-0000-0500-00008D010000}"/>
                </a:ext>
              </a:extLst>
            </xdr:cNvPr>
            <xdr:cNvSpPr txBox="1"/>
          </xdr:nvSpPr>
          <xdr:spPr>
            <a:xfrm>
              <a:off x="2594263" y="128940049"/>
              <a:ext cx="26257828" cy="8818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[(〖𝐹𝑜𝑜𝑑𝐶𝑜𝑜𝑘𝑒𝑑〗_𝐸𝑙𝑒𝑐∗(</a:t>
              </a:r>
              <a:r>
                <a:rPr lang="en-US" sz="1100" b="0" i="0">
                  <a:solidFill>
                    <a:schemeClr val="tx1"/>
                  </a:solidFill>
                  <a:effectLst/>
                  <a:latin typeface="Cambria Math" panose="02040503050406030204" pitchFamily="18" charset="0"/>
                  <a:ea typeface="+mn-ea"/>
                  <a:cs typeface="+mn-cs"/>
                </a:rPr>
                <a:t>〖𝐸𝐹𝑂𝑂𝐷〗_𝐶𝑜𝑛𝑣𝐸𝑙𝑒𝑐/〖𝐸𝑙𝑒𝑐𝐸𝐹𝐹〗_𝐶𝑜𝑛𝑣𝐵𝑎𝑠𝑒 −〖𝐸𝐹𝑂𝑂𝐷〗_𝐶𝑜𝑛𝑣𝐸𝑙𝑒𝑐/〖𝐸𝑙𝑒𝑐𝐸𝐹𝐹〗_𝐶𝑜𝑛𝑣𝐸𝐸 )</a:t>
              </a:r>
              <a:r>
                <a:rPr lang="en-US" sz="1400" b="0" i="0">
                  <a:latin typeface="Cambria Math" panose="02040503050406030204" pitchFamily="18" charset="0"/>
                </a:rPr>
                <a:t>∗%𝐶𝑜𝑛𝑣)+</a:t>
              </a:r>
              <a:r>
                <a:rPr lang="en-US" sz="1100" b="0" i="0">
                  <a:solidFill>
                    <a:schemeClr val="tx1"/>
                  </a:solidFill>
                  <a:effectLst/>
                  <a:latin typeface="Cambria Math" panose="02040503050406030204" pitchFamily="18" charset="0"/>
                  <a:ea typeface="+mn-ea"/>
                  <a:cs typeface="+mn-cs"/>
                </a:rPr>
                <a:t>(〖𝐹𝑜𝑜𝑑𝐶𝑜𝑜𝑘𝑒𝑑〗_𝐸𝑙𝑒𝑐∗(〖𝐸𝐹𝑂𝑂𝐷〗_𝑆𝑡𝑒𝑎𝑚𝐸𝑙𝑒𝑐/〖𝐸𝑙𝑒𝑐𝐸𝐹𝐹〗_𝑆𝑡𝑒𝑎𝑚𝐵𝑎𝑠𝑒 −〖𝐸𝐹𝑂𝑂𝐷〗_𝑆𝑡𝑒𝑎𝑚𝐸𝑙𝑒𝑐/〖𝐸𝑙𝑒𝑐𝐸𝐹𝐹〗_𝑆𝑡𝑒𝑎𝑚𝐸𝐸 )∗%𝑆𝑡𝑒𝑎𝑚)+((〖𝐸𝑙𝑒𝑐𝐼𝐷𝐿𝐸〗_𝐶𝑜𝑛𝑣𝐵𝑎𝑠𝑒∗((𝐻𝑜𝑢𝑟𝑠−〖𝐹𝑜𝑜𝑑𝐶𝑜𝑜𝑘𝑒𝑑〗_𝐸𝑙𝑒𝑐/〖𝐸𝑙𝑒𝑐𝑃𝐶〗_𝐶𝑜𝑛𝑣𝐵𝑎𝑠𝑒 )∗%𝐶𝑜𝑛𝑣))−(〖𝐸𝑙𝑒𝑐𝐼𝐷𝐿𝐸〗_𝐶𝑜𝑛𝑣𝐸𝐸∗((𝐻𝑜𝑢𝑟𝑠−〖𝐹𝑜𝑜𝑑𝐶𝑜𝑜𝑘𝑒𝑑〗_𝐸𝑙𝑒𝑐/〖𝐸𝑙𝑒𝑐𝑃𝐶〗_𝐶𝑜𝑛𝑣𝐸𝐸 )∗%𝐶𝑜𝑛𝑣)))+((〖𝐸𝑙𝑒𝑐𝐼𝐷𝐿𝐸〗_𝑆𝑡𝑒𝑎𝑚𝐵𝑎𝑠𝑒∗((𝐻𝑜𝑢𝑟𝑠−〖𝐹𝑜𝑜𝑑𝐶𝑜𝑜𝑘𝑒𝑑〗_𝐸𝑙𝑒𝑐/〖𝐸𝑙𝑒𝑐𝑃𝐶〗_𝑆𝑡𝑒𝑎𝑚𝐵𝑎𝑠𝑒 )∗%𝑆𝑡𝑒𝑎𝑚))−(〖𝐸𝑙𝑒𝑐𝐼𝐷𝐿𝐸〗_𝑆𝑡𝑒𝑎𝑚𝐸𝐸∗((𝐻𝑜𝑢𝑟𝑠−〖𝐹𝑜𝑜𝑑𝐶𝑜𝑜𝑘𝑒𝑑〗_𝐸𝑙𝑒𝑐/〖𝐸𝑙𝑒𝑐𝑃𝐶〗_𝑆𝑡𝑒𝑎𝑚𝐸𝐸 )∗%𝑆𝑡𝑒𝑎𝑚)))     +∆  𝑃𝑟𝑒𝐻𝑒𝑎𝑡      ]</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685</xdr:row>
      <xdr:rowOff>95247</xdr:rowOff>
    </xdr:from>
    <xdr:to>
      <xdr:col>2</xdr:col>
      <xdr:colOff>0</xdr:colOff>
      <xdr:row>687</xdr:row>
      <xdr:rowOff>152572</xdr:rowOff>
    </xdr:to>
    <mc:AlternateContent xmlns:mc="http://schemas.openxmlformats.org/markup-compatibility/2006" xmlns:a14="http://schemas.microsoft.com/office/drawing/2010/main">
      <mc:Choice Requires="a14">
        <xdr:sp macro="" textlink="">
          <xdr:nvSpPr>
            <xdr:cNvPr id="395" name="TextBox 58">
              <a:extLst>
                <a:ext uri="{FF2B5EF4-FFF2-40B4-BE49-F238E27FC236}">
                  <a16:creationId xmlns:a16="http://schemas.microsoft.com/office/drawing/2014/main" id="{00000000-0008-0000-0500-00008B010000}"/>
                </a:ext>
              </a:extLst>
            </xdr:cNvPr>
            <xdr:cNvSpPr txBox="1"/>
          </xdr:nvSpPr>
          <xdr:spPr>
            <a:xfrm>
              <a:off x="625929" y="11477624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1088572</xdr:colOff>
      <xdr:row>683</xdr:row>
      <xdr:rowOff>12882</xdr:rowOff>
    </xdr:from>
    <xdr:to>
      <xdr:col>16</xdr:col>
      <xdr:colOff>476250</xdr:colOff>
      <xdr:row>687</xdr:row>
      <xdr:rowOff>98607</xdr:rowOff>
    </xdr:to>
    <mc:AlternateContent xmlns:mc="http://schemas.openxmlformats.org/markup-compatibility/2006" xmlns:a14="http://schemas.microsoft.com/office/drawing/2010/main">
      <mc:Choice Requires="a14">
        <xdr:sp macro="" textlink="">
          <xdr:nvSpPr>
            <xdr:cNvPr id="394" name="TextBox 59">
              <a:extLst>
                <a:ext uri="{FF2B5EF4-FFF2-40B4-BE49-F238E27FC236}">
                  <a16:creationId xmlns:a16="http://schemas.microsoft.com/office/drawing/2014/main" id="{00000000-0008-0000-0500-00008A010000}"/>
                </a:ext>
              </a:extLst>
            </xdr:cNvPr>
            <xdr:cNvSpPr txBox="1"/>
          </xdr:nvSpPr>
          <xdr:spPr>
            <a:xfrm>
              <a:off x="1714501" y="114340096"/>
              <a:ext cx="21050249" cy="7932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r>
                          <a:rPr lang="en-US" sz="1400" b="0" i="1">
                            <a:latin typeface="Cambria Math" panose="02040503050406030204" pitchFamily="18" charset="0"/>
                          </a:rPr>
                          <m:t>+ ∆</m:t>
                        </m:r>
                        <m:r>
                          <a:rPr lang="en-US" sz="1400" b="0" i="1">
                            <a:latin typeface="Cambria Math" panose="02040503050406030204" pitchFamily="18" charset="0"/>
                          </a:rPr>
                          <m:t>𝑃𝑟𝑒𝐻𝑒𝑎𝑡</m:t>
                        </m:r>
                        <m:r>
                          <a:rPr lang="en-US" sz="1400" b="0" i="1">
                            <a:latin typeface="Cambria Math" panose="02040503050406030204" pitchFamily="18" charset="0"/>
                          </a:rPr>
                          <m:t> </m:t>
                        </m:r>
                        <m:r>
                          <a:rPr lang="en-US" sz="1400" b="0" i="1">
                            <a:latin typeface="Cambria Math" panose="02040503050406030204" pitchFamily="18" charset="0"/>
                          </a:rPr>
                          <m:t>𝐸𝑛𝑒𝑟𝑔𝑦</m:t>
                        </m:r>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394" name="TextBox 59">
              <a:extLst>
                <a:ext uri="{FF2B5EF4-FFF2-40B4-BE49-F238E27FC236}">
                  <a16:creationId xmlns:a16="http://schemas.microsoft.com/office/drawing/2014/main" id="{00000000-0008-0000-0500-00008A010000}"/>
                </a:ext>
              </a:extLst>
            </xdr:cNvPr>
            <xdr:cNvSpPr txBox="1"/>
          </xdr:nvSpPr>
          <xdr:spPr>
            <a:xfrm>
              <a:off x="1714501" y="114340096"/>
              <a:ext cx="21050249" cy="7932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 ∆𝑃𝑟𝑒𝐻𝑒𝑎𝑡 𝐸𝑛𝑒𝑟𝑔𝑦]∗𝐷𝑎𝑦𝑠/1000</a:t>
              </a:r>
              <a:endParaRPr lang="en-US" sz="1400"/>
            </a:p>
          </xdr:txBody>
        </xdr:sp>
      </mc:Fallback>
    </mc:AlternateContent>
    <xdr:clientData/>
  </xdr:twoCellAnchor>
  <xdr:twoCellAnchor>
    <xdr:from>
      <xdr:col>2</xdr:col>
      <xdr:colOff>0</xdr:colOff>
      <xdr:row>704</xdr:row>
      <xdr:rowOff>95247</xdr:rowOff>
    </xdr:from>
    <xdr:to>
      <xdr:col>2</xdr:col>
      <xdr:colOff>0</xdr:colOff>
      <xdr:row>706</xdr:row>
      <xdr:rowOff>152572</xdr:rowOff>
    </xdr:to>
    <mc:AlternateContent xmlns:mc="http://schemas.openxmlformats.org/markup-compatibility/2006" xmlns:a14="http://schemas.microsoft.com/office/drawing/2010/main">
      <mc:Choice Requires="a14">
        <xdr:sp macro="" textlink="">
          <xdr:nvSpPr>
            <xdr:cNvPr id="393" name="TextBox 60">
              <a:extLst>
                <a:ext uri="{FF2B5EF4-FFF2-40B4-BE49-F238E27FC236}">
                  <a16:creationId xmlns:a16="http://schemas.microsoft.com/office/drawing/2014/main" id="{00000000-0008-0000-0500-000089010000}"/>
                </a:ext>
              </a:extLst>
            </xdr:cNvPr>
            <xdr:cNvSpPr txBox="1"/>
          </xdr:nvSpPr>
          <xdr:spPr>
            <a:xfrm>
              <a:off x="625929" y="118150818"/>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1292950</xdr:colOff>
      <xdr:row>701</xdr:row>
      <xdr:rowOff>7983</xdr:rowOff>
    </xdr:from>
    <xdr:to>
      <xdr:col>110</xdr:col>
      <xdr:colOff>171450</xdr:colOff>
      <xdr:row>705</xdr:row>
      <xdr:rowOff>114663</xdr:rowOff>
    </xdr:to>
    <mc:AlternateContent xmlns:mc="http://schemas.openxmlformats.org/markup-compatibility/2006" xmlns:a14="http://schemas.microsoft.com/office/drawing/2010/main">
      <mc:Choice Requires="a14">
        <xdr:sp macro="" textlink="">
          <xdr:nvSpPr>
            <xdr:cNvPr id="392" name="TextBox 61">
              <a:extLst>
                <a:ext uri="{FF2B5EF4-FFF2-40B4-BE49-F238E27FC236}">
                  <a16:creationId xmlns:a16="http://schemas.microsoft.com/office/drawing/2014/main" id="{00000000-0008-0000-0500-000088010000}"/>
                </a:ext>
              </a:extLst>
            </xdr:cNvPr>
            <xdr:cNvSpPr txBox="1"/>
          </xdr:nvSpPr>
          <xdr:spPr>
            <a:xfrm>
              <a:off x="2302600" y="149721933"/>
              <a:ext cx="17718950" cy="8686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r>
                          <a:rPr lang="en-US" sz="1400" b="0" i="1">
                            <a:latin typeface="Cambria Math" panose="02040503050406030204" pitchFamily="18" charset="0"/>
                          </a:rPr>
                          <m:t> + </m:t>
                        </m:r>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𝑃𝑟𝑒𝐻𝑒𝑎𝑡</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𝐸𝑛𝑒𝑟𝑔𝑦</m:t>
                        </m:r>
                        <m:r>
                          <a:rPr lang="en-US" sz="1400" b="0" i="1">
                            <a:latin typeface="Cambria Math" panose="02040503050406030204" pitchFamily="18" charset="0"/>
                          </a:rPr>
                          <m:t>      </m:t>
                        </m:r>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392" name="TextBox 61">
              <a:extLst>
                <a:ext uri="{FF2B5EF4-FFF2-40B4-BE49-F238E27FC236}">
                  <a16:creationId xmlns:a16="http://schemas.microsoft.com/office/drawing/2014/main" id="{00000000-0008-0000-0500-000088010000}"/>
                </a:ext>
              </a:extLst>
            </xdr:cNvPr>
            <xdr:cNvSpPr txBox="1"/>
          </xdr:nvSpPr>
          <xdr:spPr>
            <a:xfrm>
              <a:off x="2302600" y="149721933"/>
              <a:ext cx="17718950" cy="8686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  + </a:t>
              </a:r>
              <a:r>
                <a:rPr lang="en-US" sz="1100" b="0" i="0">
                  <a:solidFill>
                    <a:schemeClr val="tx1"/>
                  </a:solidFill>
                  <a:effectLst/>
                  <a:latin typeface="+mn-lt"/>
                  <a:ea typeface="+mn-ea"/>
                  <a:cs typeface="+mn-cs"/>
                </a:rPr>
                <a:t>∆𝑃𝑟𝑒𝐻𝑒𝑎𝑡 𝐸𝑛𝑒𝑟𝑔𝑦</a:t>
              </a:r>
              <a:r>
                <a:rPr lang="en-US" sz="1400" b="0" i="0">
                  <a:latin typeface="Cambria Math" panose="02040503050406030204" pitchFamily="18" charset="0"/>
                </a:rPr>
                <a:t>      ]∗𝐷𝑎𝑦𝑠/1000</a:t>
              </a:r>
              <a:endParaRPr lang="en-US" sz="1400"/>
            </a:p>
          </xdr:txBody>
        </xdr:sp>
      </mc:Fallback>
    </mc:AlternateContent>
    <xdr:clientData/>
  </xdr:twoCellAnchor>
  <xdr:twoCellAnchor>
    <xdr:from>
      <xdr:col>2</xdr:col>
      <xdr:colOff>0</xdr:colOff>
      <xdr:row>722</xdr:row>
      <xdr:rowOff>95247</xdr:rowOff>
    </xdr:from>
    <xdr:to>
      <xdr:col>2</xdr:col>
      <xdr:colOff>0</xdr:colOff>
      <xdr:row>724</xdr:row>
      <xdr:rowOff>152572</xdr:rowOff>
    </xdr:to>
    <mc:AlternateContent xmlns:mc="http://schemas.openxmlformats.org/markup-compatibility/2006" xmlns:a14="http://schemas.microsoft.com/office/drawing/2010/main">
      <mc:Choice Requires="a14">
        <xdr:sp macro="" textlink="">
          <xdr:nvSpPr>
            <xdr:cNvPr id="391" name="TextBox 62">
              <a:extLst>
                <a:ext uri="{FF2B5EF4-FFF2-40B4-BE49-F238E27FC236}">
                  <a16:creationId xmlns:a16="http://schemas.microsoft.com/office/drawing/2014/main" id="{00000000-0008-0000-0500-000087010000}"/>
                </a:ext>
              </a:extLst>
            </xdr:cNvPr>
            <xdr:cNvSpPr txBox="1"/>
          </xdr:nvSpPr>
          <xdr:spPr>
            <a:xfrm>
              <a:off x="625929" y="12134849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16105</xdr:colOff>
      <xdr:row>719</xdr:row>
      <xdr:rowOff>57142</xdr:rowOff>
    </xdr:from>
    <xdr:to>
      <xdr:col>15</xdr:col>
      <xdr:colOff>860491</xdr:colOff>
      <xdr:row>723</xdr:row>
      <xdr:rowOff>138546</xdr:rowOff>
    </xdr:to>
    <mc:AlternateContent xmlns:mc="http://schemas.openxmlformats.org/markup-compatibility/2006" xmlns:a14="http://schemas.microsoft.com/office/drawing/2010/main">
      <mc:Choice Requires="a14">
        <xdr:sp macro="" textlink="">
          <xdr:nvSpPr>
            <xdr:cNvPr id="390" name="TextBox 63">
              <a:extLst>
                <a:ext uri="{FF2B5EF4-FFF2-40B4-BE49-F238E27FC236}">
                  <a16:creationId xmlns:a16="http://schemas.microsoft.com/office/drawing/2014/main" id="{00000000-0008-0000-0500-000086010000}"/>
                </a:ext>
              </a:extLst>
            </xdr:cNvPr>
            <xdr:cNvSpPr txBox="1"/>
          </xdr:nvSpPr>
          <xdr:spPr>
            <a:xfrm>
              <a:off x="2457969" y="139901460"/>
              <a:ext cx="23167522" cy="7741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𝐸𝑆𝐴𝑅</m:t>
                                        </m:r>
                                      </m:sub>
                                    </m:sSub>
                                  </m:den>
                                </m:f>
                              </m:e>
                            </m:d>
                          </m:e>
                        </m:d>
                        <m:r>
                          <a:rPr lang="en-US" sz="1400" b="0" i="1">
                            <a:latin typeface="Cambria Math" panose="02040503050406030204" pitchFamily="18" charset="0"/>
                          </a:rPr>
                          <m:t>   +</m:t>
                        </m:r>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𝑃𝑟𝑒𝐻𝑒𝑎𝑡</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𝐸𝑛𝑒𝑟𝑔𝑦</m:t>
                        </m:r>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390" name="TextBox 63">
              <a:extLst>
                <a:ext uri="{FF2B5EF4-FFF2-40B4-BE49-F238E27FC236}">
                  <a16:creationId xmlns:a16="http://schemas.microsoft.com/office/drawing/2014/main" id="{00000000-0008-0000-0500-000086010000}"/>
                </a:ext>
              </a:extLst>
            </xdr:cNvPr>
            <xdr:cNvSpPr txBox="1"/>
          </xdr:nvSpPr>
          <xdr:spPr>
            <a:xfrm>
              <a:off x="2457969" y="139901460"/>
              <a:ext cx="23167522" cy="7741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[(((〖𝐸𝑙𝑒𝑐𝐼𝑑𝑙𝑒〗_𝐵𝑎𝑠𝑒∗𝑊𝑖𝑑𝑡ℎ∗𝐷𝑒𝑝𝑡ℎ)∗(𝐻𝑜𝑢𝑟𝑠−𝐹𝑜𝑜𝑑𝐶𝑜𝑜𝑘𝑒𝑑/〖𝐸𝑙𝑒𝑐𝑃𝐶〗_𝐵𝑎𝑠𝑒 ))−((〖𝐸𝑙𝑒𝑐𝐼𝑑𝑙𝑒〗_𝐸𝑆𝑇𝐴𝑅∗𝑊𝑖𝑑𝑡ℎ∗𝐷𝑒𝑝𝑡ℎ)∗(𝐻𝑜𝑢𝑟𝑠−𝐹𝑜𝑜𝑑𝐶𝑜𝑜𝑘𝑒𝑑/〖𝐸𝑙𝑒𝑐𝑃𝐶〗_𝐸𝑆𝑇𝐴𝑅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)−(𝐹𝑜𝑜𝑑𝐶𝑜𝑜𝑘𝑒𝑑∗〖𝐸𝐹𝑂𝑂𝐷〗_𝐸𝑙𝑒𝑐/〖𝐸𝑙𝑒𝑐𝐸𝑓𝑓〗_𝐸𝑆𝐴𝑅 ))    +</a:t>
              </a:r>
              <a:r>
                <a:rPr lang="en-US" sz="1100" b="0" i="0">
                  <a:solidFill>
                    <a:schemeClr val="tx1"/>
                  </a:solidFill>
                  <a:effectLst/>
                  <a:latin typeface="Cambria Math" panose="02040503050406030204" pitchFamily="18" charset="0"/>
                  <a:ea typeface="+mn-ea"/>
                  <a:cs typeface="+mn-cs"/>
                </a:rPr>
                <a:t>∆𝑃𝑟𝑒𝐻𝑒𝑎𝑡 𝐸𝑛𝑒𝑟𝑔𝑦]</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739</xdr:row>
      <xdr:rowOff>95247</xdr:rowOff>
    </xdr:from>
    <xdr:to>
      <xdr:col>2</xdr:col>
      <xdr:colOff>0</xdr:colOff>
      <xdr:row>741</xdr:row>
      <xdr:rowOff>152572</xdr:rowOff>
    </xdr:to>
    <mc:AlternateContent xmlns:mc="http://schemas.openxmlformats.org/markup-compatibility/2006" xmlns:a14="http://schemas.microsoft.com/office/drawing/2010/main">
      <mc:Choice Requires="a14">
        <xdr:sp macro="" textlink="">
          <xdr:nvSpPr>
            <xdr:cNvPr id="389" name="TextBox 64">
              <a:extLst>
                <a:ext uri="{FF2B5EF4-FFF2-40B4-BE49-F238E27FC236}">
                  <a16:creationId xmlns:a16="http://schemas.microsoft.com/office/drawing/2014/main" id="{00000000-0008-0000-0500-000085010000}"/>
                </a:ext>
              </a:extLst>
            </xdr:cNvPr>
            <xdr:cNvSpPr txBox="1"/>
          </xdr:nvSpPr>
          <xdr:spPr>
            <a:xfrm>
              <a:off x="625929" y="124736676"/>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756</xdr:row>
      <xdr:rowOff>95247</xdr:rowOff>
    </xdr:from>
    <xdr:to>
      <xdr:col>2</xdr:col>
      <xdr:colOff>0</xdr:colOff>
      <xdr:row>758</xdr:row>
      <xdr:rowOff>152572</xdr:rowOff>
    </xdr:to>
    <mc:AlternateContent xmlns:mc="http://schemas.openxmlformats.org/markup-compatibility/2006" xmlns:a14="http://schemas.microsoft.com/office/drawing/2010/main">
      <mc:Choice Requires="a14">
        <xdr:sp macro="" textlink="">
          <xdr:nvSpPr>
            <xdr:cNvPr id="388" name="TextBox 66">
              <a:extLst>
                <a:ext uri="{FF2B5EF4-FFF2-40B4-BE49-F238E27FC236}">
                  <a16:creationId xmlns:a16="http://schemas.microsoft.com/office/drawing/2014/main" id="{00000000-0008-0000-0500-000084010000}"/>
                </a:ext>
              </a:extLst>
            </xdr:cNvPr>
            <xdr:cNvSpPr txBox="1"/>
          </xdr:nvSpPr>
          <xdr:spPr>
            <a:xfrm>
              <a:off x="625929" y="127771068"/>
              <a:ext cx="0" cy="4247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7891</xdr:colOff>
      <xdr:row>753</xdr:row>
      <xdr:rowOff>36286</xdr:rowOff>
    </xdr:from>
    <xdr:to>
      <xdr:col>5</xdr:col>
      <xdr:colOff>669470</xdr:colOff>
      <xdr:row>755</xdr:row>
      <xdr:rowOff>136071</xdr:rowOff>
    </xdr:to>
    <mc:AlternateContent xmlns:mc="http://schemas.openxmlformats.org/markup-compatibility/2006" xmlns:a14="http://schemas.microsoft.com/office/drawing/2010/main">
      <mc:Choice Requires="a14">
        <xdr:sp macro="" textlink="">
          <xdr:nvSpPr>
            <xdr:cNvPr id="387" name="TextBox 67">
              <a:extLst>
                <a:ext uri="{FF2B5EF4-FFF2-40B4-BE49-F238E27FC236}">
                  <a16:creationId xmlns:a16="http://schemas.microsoft.com/office/drawing/2014/main" id="{00000000-0008-0000-0500-000083010000}"/>
                </a:ext>
              </a:extLst>
            </xdr:cNvPr>
            <xdr:cNvSpPr txBox="1"/>
          </xdr:nvSpPr>
          <xdr:spPr>
            <a:xfrm flipH="1">
              <a:off x="2048962" y="127154215"/>
              <a:ext cx="7220222" cy="4671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3</xdr:col>
      <xdr:colOff>17120</xdr:colOff>
      <xdr:row>756</xdr:row>
      <xdr:rowOff>92650</xdr:rowOff>
    </xdr:from>
    <xdr:to>
      <xdr:col>16</xdr:col>
      <xdr:colOff>868391</xdr:colOff>
      <xdr:row>757</xdr:row>
      <xdr:rowOff>150231</xdr:rowOff>
    </xdr:to>
    <mc:AlternateContent xmlns:mc="http://schemas.openxmlformats.org/markup-compatibility/2006" xmlns:a14="http://schemas.microsoft.com/office/drawing/2010/main">
      <mc:Choice Requires="a14">
        <xdr:sp macro="" textlink="">
          <xdr:nvSpPr>
            <xdr:cNvPr id="386" name="TextBox 68">
              <a:extLst>
                <a:ext uri="{FF2B5EF4-FFF2-40B4-BE49-F238E27FC236}">
                  <a16:creationId xmlns:a16="http://schemas.microsoft.com/office/drawing/2014/main" id="{00000000-0008-0000-0500-000082010000}"/>
                </a:ext>
              </a:extLst>
            </xdr:cNvPr>
            <xdr:cNvSpPr txBox="1"/>
          </xdr:nvSpPr>
          <xdr:spPr>
            <a:xfrm>
              <a:off x="2058191" y="127768471"/>
              <a:ext cx="21098700" cy="2480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2</xdr:col>
      <xdr:colOff>0</xdr:colOff>
      <xdr:row>772</xdr:row>
      <xdr:rowOff>95247</xdr:rowOff>
    </xdr:from>
    <xdr:to>
      <xdr:col>2</xdr:col>
      <xdr:colOff>0</xdr:colOff>
      <xdr:row>774</xdr:row>
      <xdr:rowOff>152572</xdr:rowOff>
    </xdr:to>
    <mc:AlternateContent xmlns:mc="http://schemas.openxmlformats.org/markup-compatibility/2006" xmlns:a14="http://schemas.microsoft.com/office/drawing/2010/main">
      <mc:Choice Requires="a14">
        <xdr:sp macro="" textlink="">
          <xdr:nvSpPr>
            <xdr:cNvPr id="385" name="TextBox 69">
              <a:extLst>
                <a:ext uri="{FF2B5EF4-FFF2-40B4-BE49-F238E27FC236}">
                  <a16:creationId xmlns:a16="http://schemas.microsoft.com/office/drawing/2014/main" id="{00000000-0008-0000-0500-000081010000}"/>
                </a:ext>
              </a:extLst>
            </xdr:cNvPr>
            <xdr:cNvSpPr txBox="1"/>
          </xdr:nvSpPr>
          <xdr:spPr>
            <a:xfrm>
              <a:off x="625929" y="130614961"/>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59574</xdr:colOff>
      <xdr:row>770</xdr:row>
      <xdr:rowOff>140919</xdr:rowOff>
    </xdr:from>
    <xdr:to>
      <xdr:col>5</xdr:col>
      <xdr:colOff>1050694</xdr:colOff>
      <xdr:row>773</xdr:row>
      <xdr:rowOff>88296</xdr:rowOff>
    </xdr:to>
    <mc:AlternateContent xmlns:mc="http://schemas.openxmlformats.org/markup-compatibility/2006" xmlns:a14="http://schemas.microsoft.com/office/drawing/2010/main">
      <mc:Choice Requires="a14">
        <xdr:sp macro="" textlink="">
          <xdr:nvSpPr>
            <xdr:cNvPr id="384" name="TextBox 70">
              <a:extLst>
                <a:ext uri="{FF2B5EF4-FFF2-40B4-BE49-F238E27FC236}">
                  <a16:creationId xmlns:a16="http://schemas.microsoft.com/office/drawing/2014/main" id="{00000000-0008-0000-0500-000080010000}"/>
                </a:ext>
              </a:extLst>
            </xdr:cNvPr>
            <xdr:cNvSpPr txBox="1"/>
          </xdr:nvSpPr>
          <xdr:spPr>
            <a:xfrm>
              <a:off x="2100645" y="130306848"/>
              <a:ext cx="7549763" cy="4780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6</xdr:col>
      <xdr:colOff>19866</xdr:colOff>
      <xdr:row>770</xdr:row>
      <xdr:rowOff>165734</xdr:rowOff>
    </xdr:from>
    <xdr:to>
      <xdr:col>11</xdr:col>
      <xdr:colOff>1248046</xdr:colOff>
      <xdr:row>772</xdr:row>
      <xdr:rowOff>130534</xdr:rowOff>
    </xdr:to>
    <mc:AlternateContent xmlns:mc="http://schemas.openxmlformats.org/markup-compatibility/2006" xmlns:a14="http://schemas.microsoft.com/office/drawing/2010/main">
      <mc:Choice Requires="a14">
        <xdr:sp macro="" textlink="">
          <xdr:nvSpPr>
            <xdr:cNvPr id="383" name="TextBox 71">
              <a:extLst>
                <a:ext uri="{FF2B5EF4-FFF2-40B4-BE49-F238E27FC236}">
                  <a16:creationId xmlns:a16="http://schemas.microsoft.com/office/drawing/2014/main" id="{00000000-0008-0000-0500-00007F010000}"/>
                </a:ext>
              </a:extLst>
            </xdr:cNvPr>
            <xdr:cNvSpPr txBox="1"/>
          </xdr:nvSpPr>
          <xdr:spPr>
            <a:xfrm>
              <a:off x="9966687" y="130331663"/>
              <a:ext cx="8644073" cy="3185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2</xdr:col>
      <xdr:colOff>0</xdr:colOff>
      <xdr:row>788</xdr:row>
      <xdr:rowOff>95247</xdr:rowOff>
    </xdr:from>
    <xdr:to>
      <xdr:col>2</xdr:col>
      <xdr:colOff>0</xdr:colOff>
      <xdr:row>790</xdr:row>
      <xdr:rowOff>152572</xdr:rowOff>
    </xdr:to>
    <mc:AlternateContent xmlns:mc="http://schemas.openxmlformats.org/markup-compatibility/2006" xmlns:a14="http://schemas.microsoft.com/office/drawing/2010/main">
      <mc:Choice Requires="a14">
        <xdr:sp macro="" textlink="">
          <xdr:nvSpPr>
            <xdr:cNvPr id="382" name="TextBox 72">
              <a:extLst>
                <a:ext uri="{FF2B5EF4-FFF2-40B4-BE49-F238E27FC236}">
                  <a16:creationId xmlns:a16="http://schemas.microsoft.com/office/drawing/2014/main" id="{00000000-0008-0000-0500-00007E010000}"/>
                </a:ext>
              </a:extLst>
            </xdr:cNvPr>
            <xdr:cNvSpPr txBox="1"/>
          </xdr:nvSpPr>
          <xdr:spPr>
            <a:xfrm>
              <a:off x="625929" y="13344524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786</xdr:row>
      <xdr:rowOff>126274</xdr:rowOff>
    </xdr:from>
    <xdr:to>
      <xdr:col>4</xdr:col>
      <xdr:colOff>1428749</xdr:colOff>
      <xdr:row>788</xdr:row>
      <xdr:rowOff>172353</xdr:rowOff>
    </xdr:to>
    <mc:AlternateContent xmlns:mc="http://schemas.openxmlformats.org/markup-compatibility/2006" xmlns:a14="http://schemas.microsoft.com/office/drawing/2010/main">
      <mc:Choice Requires="a14">
        <xdr:sp macro="" textlink="">
          <xdr:nvSpPr>
            <xdr:cNvPr id="381" name="TextBox 73">
              <a:extLst>
                <a:ext uri="{FF2B5EF4-FFF2-40B4-BE49-F238E27FC236}">
                  <a16:creationId xmlns:a16="http://schemas.microsoft.com/office/drawing/2014/main" id="{00000000-0008-0000-0500-00007D010000}"/>
                </a:ext>
              </a:extLst>
            </xdr:cNvPr>
            <xdr:cNvSpPr txBox="1"/>
          </xdr:nvSpPr>
          <xdr:spPr>
            <a:xfrm flipH="1">
              <a:off x="2043791" y="133122488"/>
              <a:ext cx="3113315" cy="399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804</xdr:row>
      <xdr:rowOff>95247</xdr:rowOff>
    </xdr:from>
    <xdr:to>
      <xdr:col>2</xdr:col>
      <xdr:colOff>0</xdr:colOff>
      <xdr:row>806</xdr:row>
      <xdr:rowOff>152572</xdr:rowOff>
    </xdr:to>
    <mc:AlternateContent xmlns:mc="http://schemas.openxmlformats.org/markup-compatibility/2006" xmlns:a14="http://schemas.microsoft.com/office/drawing/2010/main">
      <mc:Choice Requires="a14">
        <xdr:sp macro="" textlink="">
          <xdr:nvSpPr>
            <xdr:cNvPr id="380" name="TextBox 74">
              <a:extLst>
                <a:ext uri="{FF2B5EF4-FFF2-40B4-BE49-F238E27FC236}">
                  <a16:creationId xmlns:a16="http://schemas.microsoft.com/office/drawing/2014/main" id="{00000000-0008-0000-0500-00007C010000}"/>
                </a:ext>
              </a:extLst>
            </xdr:cNvPr>
            <xdr:cNvSpPr txBox="1"/>
          </xdr:nvSpPr>
          <xdr:spPr>
            <a:xfrm>
              <a:off x="625929" y="1364660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802</xdr:row>
      <xdr:rowOff>105046</xdr:rowOff>
    </xdr:from>
    <xdr:to>
      <xdr:col>5</xdr:col>
      <xdr:colOff>466453</xdr:colOff>
      <xdr:row>805</xdr:row>
      <xdr:rowOff>13118</xdr:rowOff>
    </xdr:to>
    <mc:AlternateContent xmlns:mc="http://schemas.openxmlformats.org/markup-compatibility/2006" xmlns:a14="http://schemas.microsoft.com/office/drawing/2010/main">
      <mc:Choice Requires="a14">
        <xdr:sp macro="" textlink="">
          <xdr:nvSpPr>
            <xdr:cNvPr id="379" name="TextBox 75">
              <a:extLst>
                <a:ext uri="{FF2B5EF4-FFF2-40B4-BE49-F238E27FC236}">
                  <a16:creationId xmlns:a16="http://schemas.microsoft.com/office/drawing/2014/main" id="{00000000-0008-0000-0500-00007B010000}"/>
                </a:ext>
              </a:extLst>
            </xdr:cNvPr>
            <xdr:cNvSpPr txBox="1"/>
          </xdr:nvSpPr>
          <xdr:spPr>
            <a:xfrm flipH="1">
              <a:off x="2041071" y="136122046"/>
              <a:ext cx="7025096" cy="4387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822</xdr:row>
      <xdr:rowOff>95247</xdr:rowOff>
    </xdr:from>
    <xdr:to>
      <xdr:col>2</xdr:col>
      <xdr:colOff>0</xdr:colOff>
      <xdr:row>824</xdr:row>
      <xdr:rowOff>152572</xdr:rowOff>
    </xdr:to>
    <mc:AlternateContent xmlns:mc="http://schemas.openxmlformats.org/markup-compatibility/2006" xmlns:a14="http://schemas.microsoft.com/office/drawing/2010/main">
      <mc:Choice Requires="a14">
        <xdr:sp macro="" textlink="">
          <xdr:nvSpPr>
            <xdr:cNvPr id="378" name="TextBox 76">
              <a:extLst>
                <a:ext uri="{FF2B5EF4-FFF2-40B4-BE49-F238E27FC236}">
                  <a16:creationId xmlns:a16="http://schemas.microsoft.com/office/drawing/2014/main" id="{00000000-0008-0000-0500-00007A010000}"/>
                </a:ext>
              </a:extLst>
            </xdr:cNvPr>
            <xdr:cNvSpPr txBox="1"/>
          </xdr:nvSpPr>
          <xdr:spPr>
            <a:xfrm>
              <a:off x="625929" y="140031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427536</xdr:colOff>
      <xdr:row>819</xdr:row>
      <xdr:rowOff>84849</xdr:rowOff>
    </xdr:from>
    <xdr:to>
      <xdr:col>6</xdr:col>
      <xdr:colOff>1895202</xdr:colOff>
      <xdr:row>822</xdr:row>
      <xdr:rowOff>23910</xdr:rowOff>
    </xdr:to>
    <mc:AlternateContent xmlns:mc="http://schemas.openxmlformats.org/markup-compatibility/2006" xmlns:a14="http://schemas.microsoft.com/office/drawing/2010/main">
      <mc:Choice Requires="a14">
        <xdr:sp macro="" textlink="">
          <xdr:nvSpPr>
            <xdr:cNvPr id="377" name="TextBox 77">
              <a:extLst>
                <a:ext uri="{FF2B5EF4-FFF2-40B4-BE49-F238E27FC236}">
                  <a16:creationId xmlns:a16="http://schemas.microsoft.com/office/drawing/2014/main" id="{00000000-0008-0000-0500-00007901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a:extLst>
                <a:ext uri="{FF2B5EF4-FFF2-40B4-BE49-F238E27FC236}">
                  <a16:creationId xmlns:a16="http://schemas.microsoft.com/office/drawing/2014/main" id="{00000000-0008-0000-0200-00004E00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840</xdr:row>
      <xdr:rowOff>95247</xdr:rowOff>
    </xdr:from>
    <xdr:to>
      <xdr:col>2</xdr:col>
      <xdr:colOff>0</xdr:colOff>
      <xdr:row>842</xdr:row>
      <xdr:rowOff>152572</xdr:rowOff>
    </xdr:to>
    <mc:AlternateContent xmlns:mc="http://schemas.openxmlformats.org/markup-compatibility/2006" xmlns:a14="http://schemas.microsoft.com/office/drawing/2010/main">
      <mc:Choice Requires="a14">
        <xdr:sp macro="" textlink="">
          <xdr:nvSpPr>
            <xdr:cNvPr id="376" name="TextBox 78">
              <a:extLst>
                <a:ext uri="{FF2B5EF4-FFF2-40B4-BE49-F238E27FC236}">
                  <a16:creationId xmlns:a16="http://schemas.microsoft.com/office/drawing/2014/main" id="{00000000-0008-0000-0500-000078010000}"/>
                </a:ext>
              </a:extLst>
            </xdr:cNvPr>
            <xdr:cNvSpPr txBox="1"/>
          </xdr:nvSpPr>
          <xdr:spPr>
            <a:xfrm>
              <a:off x="625929" y="143460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105047</xdr:colOff>
      <xdr:row>838</xdr:row>
      <xdr:rowOff>40822</xdr:rowOff>
    </xdr:from>
    <xdr:to>
      <xdr:col>5</xdr:col>
      <xdr:colOff>190500</xdr:colOff>
      <xdr:row>840</xdr:row>
      <xdr:rowOff>96941</xdr:rowOff>
    </xdr:to>
    <mc:AlternateContent xmlns:mc="http://schemas.openxmlformats.org/markup-compatibility/2006" xmlns:a14="http://schemas.microsoft.com/office/drawing/2010/main">
      <mc:Choice Requires="a14">
        <xdr:sp macro="" textlink="">
          <xdr:nvSpPr>
            <xdr:cNvPr id="375" name="TextBox 79">
              <a:extLst>
                <a:ext uri="{FF2B5EF4-FFF2-40B4-BE49-F238E27FC236}">
                  <a16:creationId xmlns:a16="http://schemas.microsoft.com/office/drawing/2014/main" id="{00000000-0008-0000-0500-000077010000}"/>
                </a:ext>
              </a:extLst>
            </xdr:cNvPr>
            <xdr:cNvSpPr txBox="1"/>
          </xdr:nvSpPr>
          <xdr:spPr>
            <a:xfrm flipH="1">
              <a:off x="2146118" y="143051893"/>
              <a:ext cx="6644096" cy="409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857</xdr:row>
      <xdr:rowOff>95247</xdr:rowOff>
    </xdr:from>
    <xdr:to>
      <xdr:col>2</xdr:col>
      <xdr:colOff>0</xdr:colOff>
      <xdr:row>859</xdr:row>
      <xdr:rowOff>152572</xdr:rowOff>
    </xdr:to>
    <mc:AlternateContent xmlns:mc="http://schemas.openxmlformats.org/markup-compatibility/2006" xmlns:a14="http://schemas.microsoft.com/office/drawing/2010/main">
      <mc:Choice Requires="a14">
        <xdr:sp macro="" textlink="">
          <xdr:nvSpPr>
            <xdr:cNvPr id="374" name="TextBox 80">
              <a:extLst>
                <a:ext uri="{FF2B5EF4-FFF2-40B4-BE49-F238E27FC236}">
                  <a16:creationId xmlns:a16="http://schemas.microsoft.com/office/drawing/2014/main" id="{00000000-0008-0000-0500-000076010000}"/>
                </a:ext>
              </a:extLst>
            </xdr:cNvPr>
            <xdr:cNvSpPr txBox="1"/>
          </xdr:nvSpPr>
          <xdr:spPr>
            <a:xfrm>
              <a:off x="625929" y="14665778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853</xdr:row>
      <xdr:rowOff>55880</xdr:rowOff>
    </xdr:from>
    <xdr:to>
      <xdr:col>2</xdr:col>
      <xdr:colOff>0</xdr:colOff>
      <xdr:row>857</xdr:row>
      <xdr:rowOff>162560</xdr:rowOff>
    </xdr:to>
    <mc:AlternateContent xmlns:mc="http://schemas.openxmlformats.org/markup-compatibility/2006" xmlns:a14="http://schemas.microsoft.com/office/drawing/2010/main">
      <mc:Choice Requires="a14">
        <xdr:sp macro="" textlink="">
          <xdr:nvSpPr>
            <xdr:cNvPr id="373" name="TextBox 81">
              <a:extLst>
                <a:ext uri="{FF2B5EF4-FFF2-40B4-BE49-F238E27FC236}">
                  <a16:creationId xmlns:a16="http://schemas.microsoft.com/office/drawing/2014/main" id="{00000000-0008-0000-0500-000075010000}"/>
                </a:ext>
              </a:extLst>
            </xdr:cNvPr>
            <xdr:cNvSpPr txBox="1"/>
          </xdr:nvSpPr>
          <xdr:spPr>
            <a:xfrm>
              <a:off x="625929" y="145910844"/>
              <a:ext cx="0" cy="8142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3</xdr:col>
      <xdr:colOff>40822</xdr:colOff>
      <xdr:row>854</xdr:row>
      <xdr:rowOff>85453</xdr:rowOff>
    </xdr:from>
    <xdr:to>
      <xdr:col>14</xdr:col>
      <xdr:colOff>359502</xdr:colOff>
      <xdr:row>858</xdr:row>
      <xdr:rowOff>105047</xdr:rowOff>
    </xdr:to>
    <mc:AlternateContent xmlns:mc="http://schemas.openxmlformats.org/markup-compatibility/2006" xmlns:a14="http://schemas.microsoft.com/office/drawing/2010/main">
      <mc:Choice Requires="a14">
        <xdr:sp macro="" textlink="">
          <xdr:nvSpPr>
            <xdr:cNvPr id="372" name="TextBox 82">
              <a:extLst>
                <a:ext uri="{FF2B5EF4-FFF2-40B4-BE49-F238E27FC236}">
                  <a16:creationId xmlns:a16="http://schemas.microsoft.com/office/drawing/2014/main" id="{00000000-0008-0000-0500-000074010000}"/>
                </a:ext>
              </a:extLst>
            </xdr:cNvPr>
            <xdr:cNvSpPr txBox="1"/>
          </xdr:nvSpPr>
          <xdr:spPr>
            <a:xfrm>
              <a:off x="2081893" y="146117310"/>
              <a:ext cx="18729145" cy="727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4</xdr:col>
      <xdr:colOff>75656</xdr:colOff>
      <xdr:row>875</xdr:row>
      <xdr:rowOff>71844</xdr:rowOff>
    </xdr:from>
    <xdr:to>
      <xdr:col>7</xdr:col>
      <xdr:colOff>639536</xdr:colOff>
      <xdr:row>877</xdr:row>
      <xdr:rowOff>107941</xdr:rowOff>
    </xdr:to>
    <mc:AlternateContent xmlns:mc="http://schemas.openxmlformats.org/markup-compatibility/2006" xmlns:a14="http://schemas.microsoft.com/office/drawing/2010/main">
      <mc:Choice Requires="a14">
        <xdr:sp macro="" textlink="">
          <xdr:nvSpPr>
            <xdr:cNvPr id="371" name="TextBox 83">
              <a:extLst>
                <a:ext uri="{FF2B5EF4-FFF2-40B4-BE49-F238E27FC236}">
                  <a16:creationId xmlns:a16="http://schemas.microsoft.com/office/drawing/2014/main" id="{00000000-0008-0000-0500-000073010000}"/>
                </a:ext>
              </a:extLst>
            </xdr:cNvPr>
            <xdr:cNvSpPr txBox="1"/>
          </xdr:nvSpPr>
          <xdr:spPr>
            <a:xfrm flipH="1">
              <a:off x="3804013" y="58405665"/>
              <a:ext cx="8782594" cy="3898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a14:m>
              <a:r>
                <a:rPr lang="en-US" sz="1400">
                  <a:effectLst/>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400">
                <a:effectLst/>
              </a:endParaRPr>
            </a:p>
            <a:p>
              <a:pPr algn="l"/>
              <a:endParaRPr lang="en-US" sz="1400"/>
            </a:p>
          </xdr:txBody>
        </xdr:sp>
      </mc:Choice>
      <mc:Fallback xmlns="">
        <xdr:sp macro="" textlink="">
          <xdr:nvSpPr>
            <xdr:cNvPr id="84" name="TextBox 83">
              <a:extLst>
                <a:ext uri="{FF2B5EF4-FFF2-40B4-BE49-F238E27FC236}">
                  <a16:creationId xmlns:a16="http://schemas.microsoft.com/office/drawing/2014/main" id="{00000000-0008-0000-0200-000054000000}"/>
                </a:ext>
              </a:extLst>
            </xdr:cNvPr>
            <xdr:cNvSpPr txBox="1"/>
          </xdr:nvSpPr>
          <xdr:spPr>
            <a:xfrm flipH="1">
              <a:off x="3804013" y="58405665"/>
              <a:ext cx="8782594" cy="3898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r>
                <a:rPr lang="en-US" sz="1400">
                  <a:effectLst/>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400">
                <a:effectLst/>
              </a:endParaRPr>
            </a:p>
            <a:p>
              <a:pPr algn="l"/>
              <a:endParaRPr lang="en-US" sz="1400"/>
            </a:p>
          </xdr:txBody>
        </xdr:sp>
      </mc:Fallback>
    </mc:AlternateContent>
    <xdr:clientData/>
  </xdr:twoCellAnchor>
  <xdr:twoCellAnchor>
    <xdr:from>
      <xdr:col>2</xdr:col>
      <xdr:colOff>0</xdr:colOff>
      <xdr:row>872</xdr:row>
      <xdr:rowOff>141333</xdr:rowOff>
    </xdr:from>
    <xdr:to>
      <xdr:col>2</xdr:col>
      <xdr:colOff>0</xdr:colOff>
      <xdr:row>874</xdr:row>
      <xdr:rowOff>126274</xdr:rowOff>
    </xdr:to>
    <mc:AlternateContent xmlns:mc="http://schemas.openxmlformats.org/markup-compatibility/2006" xmlns:a14="http://schemas.microsoft.com/office/drawing/2010/main">
      <mc:Choice Requires="a14">
        <xdr:sp macro="" textlink="">
          <xdr:nvSpPr>
            <xdr:cNvPr id="370" name="TextBox 84">
              <a:extLst>
                <a:ext uri="{FF2B5EF4-FFF2-40B4-BE49-F238E27FC236}">
                  <a16:creationId xmlns:a16="http://schemas.microsoft.com/office/drawing/2014/main" id="{00000000-0008-0000-0500-000072010000}"/>
                </a:ext>
              </a:extLst>
            </xdr:cNvPr>
            <xdr:cNvSpPr txBox="1"/>
          </xdr:nvSpPr>
          <xdr:spPr>
            <a:xfrm>
              <a:off x="625929" y="149547762"/>
              <a:ext cx="0" cy="338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2</xdr:col>
      <xdr:colOff>0</xdr:colOff>
      <xdr:row>893</xdr:row>
      <xdr:rowOff>95247</xdr:rowOff>
    </xdr:from>
    <xdr:to>
      <xdr:col>2</xdr:col>
      <xdr:colOff>0</xdr:colOff>
      <xdr:row>895</xdr:row>
      <xdr:rowOff>152572</xdr:rowOff>
    </xdr:to>
    <mc:AlternateContent xmlns:mc="http://schemas.openxmlformats.org/markup-compatibility/2006" xmlns:a14="http://schemas.microsoft.com/office/drawing/2010/main">
      <mc:Choice Requires="a14">
        <xdr:sp macro="" textlink="">
          <xdr:nvSpPr>
            <xdr:cNvPr id="369" name="TextBox 85">
              <a:extLst>
                <a:ext uri="{FF2B5EF4-FFF2-40B4-BE49-F238E27FC236}">
                  <a16:creationId xmlns:a16="http://schemas.microsoft.com/office/drawing/2014/main" id="{00000000-0008-0000-0500-000071010000}"/>
                </a:ext>
              </a:extLst>
            </xdr:cNvPr>
            <xdr:cNvSpPr txBox="1"/>
          </xdr:nvSpPr>
          <xdr:spPr>
            <a:xfrm>
              <a:off x="625929" y="1532300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891</xdr:row>
      <xdr:rowOff>126274</xdr:rowOff>
    </xdr:from>
    <xdr:to>
      <xdr:col>4</xdr:col>
      <xdr:colOff>4721678</xdr:colOff>
      <xdr:row>893</xdr:row>
      <xdr:rowOff>96699</xdr:rowOff>
    </xdr:to>
    <mc:AlternateContent xmlns:mc="http://schemas.openxmlformats.org/markup-compatibility/2006" xmlns:a14="http://schemas.microsoft.com/office/drawing/2010/main">
      <mc:Choice Requires="a14">
        <xdr:sp macro="" textlink="">
          <xdr:nvSpPr>
            <xdr:cNvPr id="368" name="TextBox 86">
              <a:extLst>
                <a:ext uri="{FF2B5EF4-FFF2-40B4-BE49-F238E27FC236}">
                  <a16:creationId xmlns:a16="http://schemas.microsoft.com/office/drawing/2014/main" id="{00000000-0008-0000-0500-000070010000}"/>
                </a:ext>
              </a:extLst>
            </xdr:cNvPr>
            <xdr:cNvSpPr txBox="1"/>
          </xdr:nvSpPr>
          <xdr:spPr>
            <a:xfrm flipH="1">
              <a:off x="2136320" y="152907274"/>
              <a:ext cx="6313715" cy="324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00000000-0008-0000-0500-000059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00000000-0008-0000-0500-00005A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149</xdr:row>
      <xdr:rowOff>0</xdr:rowOff>
    </xdr:from>
    <xdr:ext cx="65" cy="172227"/>
    <xdr:sp macro="" textlink="">
      <xdr:nvSpPr>
        <xdr:cNvPr id="91" name="TextBox 90">
          <a:extLst>
            <a:ext uri="{FF2B5EF4-FFF2-40B4-BE49-F238E27FC236}">
              <a16:creationId xmlns:a16="http://schemas.microsoft.com/office/drawing/2014/main" id="{00000000-0008-0000-0500-00005B00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149</xdr:row>
      <xdr:rowOff>0</xdr:rowOff>
    </xdr:from>
    <xdr:ext cx="65" cy="172227"/>
    <xdr:sp macro="" textlink="">
      <xdr:nvSpPr>
        <xdr:cNvPr id="92" name="TextBox 91">
          <a:extLst>
            <a:ext uri="{FF2B5EF4-FFF2-40B4-BE49-F238E27FC236}">
              <a16:creationId xmlns:a16="http://schemas.microsoft.com/office/drawing/2014/main" id="{00000000-0008-0000-0500-00005C00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195</xdr:row>
      <xdr:rowOff>0</xdr:rowOff>
    </xdr:from>
    <xdr:ext cx="65" cy="172227"/>
    <xdr:sp macro="" textlink="">
      <xdr:nvSpPr>
        <xdr:cNvPr id="93" name="TextBox 92">
          <a:extLst>
            <a:ext uri="{FF2B5EF4-FFF2-40B4-BE49-F238E27FC236}">
              <a16:creationId xmlns:a16="http://schemas.microsoft.com/office/drawing/2014/main" id="{00000000-0008-0000-0500-00005D00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195</xdr:row>
      <xdr:rowOff>0</xdr:rowOff>
    </xdr:from>
    <xdr:ext cx="65" cy="172227"/>
    <xdr:sp macro="" textlink="">
      <xdr:nvSpPr>
        <xdr:cNvPr id="94" name="TextBox 93">
          <a:extLst>
            <a:ext uri="{FF2B5EF4-FFF2-40B4-BE49-F238E27FC236}">
              <a16:creationId xmlns:a16="http://schemas.microsoft.com/office/drawing/2014/main" id="{00000000-0008-0000-0500-00005E00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214</xdr:row>
      <xdr:rowOff>0</xdr:rowOff>
    </xdr:from>
    <xdr:ext cx="65" cy="172227"/>
    <xdr:sp macro="" textlink="">
      <xdr:nvSpPr>
        <xdr:cNvPr id="95" name="TextBox 94">
          <a:extLst>
            <a:ext uri="{FF2B5EF4-FFF2-40B4-BE49-F238E27FC236}">
              <a16:creationId xmlns:a16="http://schemas.microsoft.com/office/drawing/2014/main" id="{00000000-0008-0000-0500-00005F00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214</xdr:row>
      <xdr:rowOff>0</xdr:rowOff>
    </xdr:from>
    <xdr:ext cx="65" cy="172227"/>
    <xdr:sp macro="" textlink="">
      <xdr:nvSpPr>
        <xdr:cNvPr id="96" name="TextBox 95">
          <a:extLst>
            <a:ext uri="{FF2B5EF4-FFF2-40B4-BE49-F238E27FC236}">
              <a16:creationId xmlns:a16="http://schemas.microsoft.com/office/drawing/2014/main" id="{00000000-0008-0000-0500-00006000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242</xdr:row>
      <xdr:rowOff>0</xdr:rowOff>
    </xdr:from>
    <xdr:ext cx="65" cy="172227"/>
    <xdr:sp macro="" textlink="">
      <xdr:nvSpPr>
        <xdr:cNvPr id="97" name="TextBox 96">
          <a:extLst>
            <a:ext uri="{FF2B5EF4-FFF2-40B4-BE49-F238E27FC236}">
              <a16:creationId xmlns:a16="http://schemas.microsoft.com/office/drawing/2014/main" id="{00000000-0008-0000-0500-00006100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242</xdr:row>
      <xdr:rowOff>0</xdr:rowOff>
    </xdr:from>
    <xdr:ext cx="65" cy="172227"/>
    <xdr:sp macro="" textlink="">
      <xdr:nvSpPr>
        <xdr:cNvPr id="98" name="TextBox 97">
          <a:extLst>
            <a:ext uri="{FF2B5EF4-FFF2-40B4-BE49-F238E27FC236}">
              <a16:creationId xmlns:a16="http://schemas.microsoft.com/office/drawing/2014/main" id="{00000000-0008-0000-0500-00006200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260</xdr:row>
      <xdr:rowOff>0</xdr:rowOff>
    </xdr:from>
    <xdr:ext cx="65" cy="172227"/>
    <xdr:sp macro="" textlink="">
      <xdr:nvSpPr>
        <xdr:cNvPr id="99" name="TextBox 98">
          <a:extLst>
            <a:ext uri="{FF2B5EF4-FFF2-40B4-BE49-F238E27FC236}">
              <a16:creationId xmlns:a16="http://schemas.microsoft.com/office/drawing/2014/main" id="{00000000-0008-0000-0500-00006300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260</xdr:row>
      <xdr:rowOff>0</xdr:rowOff>
    </xdr:from>
    <xdr:ext cx="65" cy="172227"/>
    <xdr:sp macro="" textlink="">
      <xdr:nvSpPr>
        <xdr:cNvPr id="100" name="TextBox 99">
          <a:extLst>
            <a:ext uri="{FF2B5EF4-FFF2-40B4-BE49-F238E27FC236}">
              <a16:creationId xmlns:a16="http://schemas.microsoft.com/office/drawing/2014/main" id="{00000000-0008-0000-0500-00006400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290</xdr:row>
      <xdr:rowOff>0</xdr:rowOff>
    </xdr:from>
    <xdr:ext cx="65" cy="172227"/>
    <xdr:sp macro="" textlink="">
      <xdr:nvSpPr>
        <xdr:cNvPr id="101" name="TextBox 100">
          <a:extLst>
            <a:ext uri="{FF2B5EF4-FFF2-40B4-BE49-F238E27FC236}">
              <a16:creationId xmlns:a16="http://schemas.microsoft.com/office/drawing/2014/main" id="{00000000-0008-0000-0500-00006500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290</xdr:row>
      <xdr:rowOff>0</xdr:rowOff>
    </xdr:from>
    <xdr:ext cx="65" cy="172227"/>
    <xdr:sp macro="" textlink="">
      <xdr:nvSpPr>
        <xdr:cNvPr id="102" name="TextBox 101">
          <a:extLst>
            <a:ext uri="{FF2B5EF4-FFF2-40B4-BE49-F238E27FC236}">
              <a16:creationId xmlns:a16="http://schemas.microsoft.com/office/drawing/2014/main" id="{00000000-0008-0000-0500-00006600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315</xdr:row>
      <xdr:rowOff>0</xdr:rowOff>
    </xdr:from>
    <xdr:ext cx="65" cy="172227"/>
    <xdr:sp macro="" textlink="">
      <xdr:nvSpPr>
        <xdr:cNvPr id="103" name="TextBox 102">
          <a:extLst>
            <a:ext uri="{FF2B5EF4-FFF2-40B4-BE49-F238E27FC236}">
              <a16:creationId xmlns:a16="http://schemas.microsoft.com/office/drawing/2014/main" id="{00000000-0008-0000-0500-00006700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315</xdr:row>
      <xdr:rowOff>0</xdr:rowOff>
    </xdr:from>
    <xdr:ext cx="65" cy="172227"/>
    <xdr:sp macro="" textlink="">
      <xdr:nvSpPr>
        <xdr:cNvPr id="104" name="TextBox 103">
          <a:extLst>
            <a:ext uri="{FF2B5EF4-FFF2-40B4-BE49-F238E27FC236}">
              <a16:creationId xmlns:a16="http://schemas.microsoft.com/office/drawing/2014/main" id="{00000000-0008-0000-0500-00006800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335</xdr:row>
      <xdr:rowOff>0</xdr:rowOff>
    </xdr:from>
    <xdr:ext cx="65" cy="172227"/>
    <xdr:sp macro="" textlink="">
      <xdr:nvSpPr>
        <xdr:cNvPr id="105" name="TextBox 104">
          <a:extLst>
            <a:ext uri="{FF2B5EF4-FFF2-40B4-BE49-F238E27FC236}">
              <a16:creationId xmlns:a16="http://schemas.microsoft.com/office/drawing/2014/main" id="{00000000-0008-0000-0500-00006900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335</xdr:row>
      <xdr:rowOff>0</xdr:rowOff>
    </xdr:from>
    <xdr:ext cx="65" cy="172227"/>
    <xdr:sp macro="" textlink="">
      <xdr:nvSpPr>
        <xdr:cNvPr id="106" name="TextBox 105">
          <a:extLst>
            <a:ext uri="{FF2B5EF4-FFF2-40B4-BE49-F238E27FC236}">
              <a16:creationId xmlns:a16="http://schemas.microsoft.com/office/drawing/2014/main" id="{00000000-0008-0000-0500-00006A00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513</xdr:row>
      <xdr:rowOff>0</xdr:rowOff>
    </xdr:from>
    <xdr:ext cx="65" cy="172227"/>
    <xdr:sp macro="" textlink="">
      <xdr:nvSpPr>
        <xdr:cNvPr id="107" name="TextBox 106">
          <a:extLst>
            <a:ext uri="{FF2B5EF4-FFF2-40B4-BE49-F238E27FC236}">
              <a16:creationId xmlns:a16="http://schemas.microsoft.com/office/drawing/2014/main" id="{00000000-0008-0000-0500-00006B00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513</xdr:row>
      <xdr:rowOff>0</xdr:rowOff>
    </xdr:from>
    <xdr:ext cx="65" cy="172227"/>
    <xdr:sp macro="" textlink="">
      <xdr:nvSpPr>
        <xdr:cNvPr id="108" name="TextBox 107">
          <a:extLst>
            <a:ext uri="{FF2B5EF4-FFF2-40B4-BE49-F238E27FC236}">
              <a16:creationId xmlns:a16="http://schemas.microsoft.com/office/drawing/2014/main" id="{00000000-0008-0000-0500-00006C00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553</xdr:row>
      <xdr:rowOff>0</xdr:rowOff>
    </xdr:from>
    <xdr:ext cx="65" cy="172227"/>
    <xdr:sp macro="" textlink="">
      <xdr:nvSpPr>
        <xdr:cNvPr id="109" name="TextBox 108">
          <a:extLst>
            <a:ext uri="{FF2B5EF4-FFF2-40B4-BE49-F238E27FC236}">
              <a16:creationId xmlns:a16="http://schemas.microsoft.com/office/drawing/2014/main" id="{00000000-0008-0000-0500-00006D00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553</xdr:row>
      <xdr:rowOff>0</xdr:rowOff>
    </xdr:from>
    <xdr:ext cx="65" cy="172227"/>
    <xdr:sp macro="" textlink="">
      <xdr:nvSpPr>
        <xdr:cNvPr id="110" name="TextBox 109">
          <a:extLst>
            <a:ext uri="{FF2B5EF4-FFF2-40B4-BE49-F238E27FC236}">
              <a16:creationId xmlns:a16="http://schemas.microsoft.com/office/drawing/2014/main" id="{00000000-0008-0000-0500-00006E00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652</xdr:row>
      <xdr:rowOff>0</xdr:rowOff>
    </xdr:from>
    <xdr:ext cx="65" cy="172227"/>
    <xdr:sp macro="" textlink="">
      <xdr:nvSpPr>
        <xdr:cNvPr id="111" name="TextBox 110">
          <a:extLst>
            <a:ext uri="{FF2B5EF4-FFF2-40B4-BE49-F238E27FC236}">
              <a16:creationId xmlns:a16="http://schemas.microsoft.com/office/drawing/2014/main" id="{00000000-0008-0000-0500-00006F00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652</xdr:row>
      <xdr:rowOff>0</xdr:rowOff>
    </xdr:from>
    <xdr:ext cx="65" cy="172227"/>
    <xdr:sp macro="" textlink="">
      <xdr:nvSpPr>
        <xdr:cNvPr id="112" name="TextBox 111">
          <a:extLst>
            <a:ext uri="{FF2B5EF4-FFF2-40B4-BE49-F238E27FC236}">
              <a16:creationId xmlns:a16="http://schemas.microsoft.com/office/drawing/2014/main" id="{00000000-0008-0000-0500-00007000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5" name="TextBox 112">
          <a:extLst>
            <a:ext uri="{FF2B5EF4-FFF2-40B4-BE49-F238E27FC236}">
              <a16:creationId xmlns:a16="http://schemas.microsoft.com/office/drawing/2014/main" id="{00000000-0008-0000-0500-00001D01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170" name="TextBox 113">
          <a:extLst>
            <a:ext uri="{FF2B5EF4-FFF2-40B4-BE49-F238E27FC236}">
              <a16:creationId xmlns:a16="http://schemas.microsoft.com/office/drawing/2014/main" id="{00000000-0008-0000-0500-0000AA00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693</xdr:row>
      <xdr:rowOff>0</xdr:rowOff>
    </xdr:from>
    <xdr:ext cx="65" cy="172227"/>
    <xdr:sp macro="" textlink="">
      <xdr:nvSpPr>
        <xdr:cNvPr id="115" name="TextBox 114">
          <a:extLst>
            <a:ext uri="{FF2B5EF4-FFF2-40B4-BE49-F238E27FC236}">
              <a16:creationId xmlns:a16="http://schemas.microsoft.com/office/drawing/2014/main" id="{00000000-0008-0000-0500-00007300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693</xdr:row>
      <xdr:rowOff>0</xdr:rowOff>
    </xdr:from>
    <xdr:ext cx="65" cy="172227"/>
    <xdr:sp macro="" textlink="">
      <xdr:nvSpPr>
        <xdr:cNvPr id="116" name="TextBox 115">
          <a:extLst>
            <a:ext uri="{FF2B5EF4-FFF2-40B4-BE49-F238E27FC236}">
              <a16:creationId xmlns:a16="http://schemas.microsoft.com/office/drawing/2014/main" id="{00000000-0008-0000-0500-00007400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713</xdr:row>
      <xdr:rowOff>0</xdr:rowOff>
    </xdr:from>
    <xdr:ext cx="65" cy="172227"/>
    <xdr:sp macro="" textlink="">
      <xdr:nvSpPr>
        <xdr:cNvPr id="117" name="TextBox 116">
          <a:extLst>
            <a:ext uri="{FF2B5EF4-FFF2-40B4-BE49-F238E27FC236}">
              <a16:creationId xmlns:a16="http://schemas.microsoft.com/office/drawing/2014/main" id="{00000000-0008-0000-0500-00007500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713</xdr:row>
      <xdr:rowOff>0</xdr:rowOff>
    </xdr:from>
    <xdr:ext cx="65" cy="172227"/>
    <xdr:sp macro="" textlink="">
      <xdr:nvSpPr>
        <xdr:cNvPr id="118" name="TextBox 117">
          <a:extLst>
            <a:ext uri="{FF2B5EF4-FFF2-40B4-BE49-F238E27FC236}">
              <a16:creationId xmlns:a16="http://schemas.microsoft.com/office/drawing/2014/main" id="{00000000-0008-0000-0500-00007600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729</xdr:row>
      <xdr:rowOff>0</xdr:rowOff>
    </xdr:from>
    <xdr:ext cx="65" cy="172227"/>
    <xdr:sp macro="" textlink="">
      <xdr:nvSpPr>
        <xdr:cNvPr id="119" name="TextBox 118">
          <a:extLst>
            <a:ext uri="{FF2B5EF4-FFF2-40B4-BE49-F238E27FC236}">
              <a16:creationId xmlns:a16="http://schemas.microsoft.com/office/drawing/2014/main" id="{00000000-0008-0000-0500-00007700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729</xdr:row>
      <xdr:rowOff>0</xdr:rowOff>
    </xdr:from>
    <xdr:ext cx="65" cy="172227"/>
    <xdr:sp macro="" textlink="">
      <xdr:nvSpPr>
        <xdr:cNvPr id="120" name="TextBox 119">
          <a:extLst>
            <a:ext uri="{FF2B5EF4-FFF2-40B4-BE49-F238E27FC236}">
              <a16:creationId xmlns:a16="http://schemas.microsoft.com/office/drawing/2014/main" id="{00000000-0008-0000-0500-00007800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747</xdr:row>
      <xdr:rowOff>0</xdr:rowOff>
    </xdr:from>
    <xdr:ext cx="65" cy="172227"/>
    <xdr:sp macro="" textlink="">
      <xdr:nvSpPr>
        <xdr:cNvPr id="121" name="TextBox 120">
          <a:extLst>
            <a:ext uri="{FF2B5EF4-FFF2-40B4-BE49-F238E27FC236}">
              <a16:creationId xmlns:a16="http://schemas.microsoft.com/office/drawing/2014/main" id="{00000000-0008-0000-0500-00007900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747</xdr:row>
      <xdr:rowOff>0</xdr:rowOff>
    </xdr:from>
    <xdr:ext cx="65" cy="172227"/>
    <xdr:sp macro="" textlink="">
      <xdr:nvSpPr>
        <xdr:cNvPr id="122" name="TextBox 121">
          <a:extLst>
            <a:ext uri="{FF2B5EF4-FFF2-40B4-BE49-F238E27FC236}">
              <a16:creationId xmlns:a16="http://schemas.microsoft.com/office/drawing/2014/main" id="{00000000-0008-0000-0500-00007A00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763</xdr:row>
      <xdr:rowOff>0</xdr:rowOff>
    </xdr:from>
    <xdr:ext cx="65" cy="172227"/>
    <xdr:sp macro="" textlink="">
      <xdr:nvSpPr>
        <xdr:cNvPr id="123" name="TextBox 122">
          <a:extLst>
            <a:ext uri="{FF2B5EF4-FFF2-40B4-BE49-F238E27FC236}">
              <a16:creationId xmlns:a16="http://schemas.microsoft.com/office/drawing/2014/main" id="{00000000-0008-0000-0500-00007B00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763</xdr:row>
      <xdr:rowOff>0</xdr:rowOff>
    </xdr:from>
    <xdr:ext cx="65" cy="172227"/>
    <xdr:sp macro="" textlink="">
      <xdr:nvSpPr>
        <xdr:cNvPr id="124" name="TextBox 123">
          <a:extLst>
            <a:ext uri="{FF2B5EF4-FFF2-40B4-BE49-F238E27FC236}">
              <a16:creationId xmlns:a16="http://schemas.microsoft.com/office/drawing/2014/main" id="{00000000-0008-0000-0500-00007C00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779</xdr:row>
      <xdr:rowOff>0</xdr:rowOff>
    </xdr:from>
    <xdr:ext cx="65" cy="172227"/>
    <xdr:sp macro="" textlink="">
      <xdr:nvSpPr>
        <xdr:cNvPr id="125" name="TextBox 124">
          <a:extLst>
            <a:ext uri="{FF2B5EF4-FFF2-40B4-BE49-F238E27FC236}">
              <a16:creationId xmlns:a16="http://schemas.microsoft.com/office/drawing/2014/main" id="{00000000-0008-0000-0500-00007D00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779</xdr:row>
      <xdr:rowOff>0</xdr:rowOff>
    </xdr:from>
    <xdr:ext cx="65" cy="172227"/>
    <xdr:sp macro="" textlink="">
      <xdr:nvSpPr>
        <xdr:cNvPr id="126" name="TextBox 125">
          <a:extLst>
            <a:ext uri="{FF2B5EF4-FFF2-40B4-BE49-F238E27FC236}">
              <a16:creationId xmlns:a16="http://schemas.microsoft.com/office/drawing/2014/main" id="{00000000-0008-0000-0500-00007E00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795</xdr:row>
      <xdr:rowOff>0</xdr:rowOff>
    </xdr:from>
    <xdr:ext cx="65" cy="172227"/>
    <xdr:sp macro="" textlink="">
      <xdr:nvSpPr>
        <xdr:cNvPr id="127" name="TextBox 126">
          <a:extLst>
            <a:ext uri="{FF2B5EF4-FFF2-40B4-BE49-F238E27FC236}">
              <a16:creationId xmlns:a16="http://schemas.microsoft.com/office/drawing/2014/main" id="{00000000-0008-0000-0500-00007F00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795</xdr:row>
      <xdr:rowOff>0</xdr:rowOff>
    </xdr:from>
    <xdr:ext cx="65" cy="172227"/>
    <xdr:sp macro="" textlink="">
      <xdr:nvSpPr>
        <xdr:cNvPr id="128" name="TextBox 127">
          <a:extLst>
            <a:ext uri="{FF2B5EF4-FFF2-40B4-BE49-F238E27FC236}">
              <a16:creationId xmlns:a16="http://schemas.microsoft.com/office/drawing/2014/main" id="{00000000-0008-0000-0500-00008000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811</xdr:row>
      <xdr:rowOff>0</xdr:rowOff>
    </xdr:from>
    <xdr:ext cx="65" cy="172227"/>
    <xdr:sp macro="" textlink="">
      <xdr:nvSpPr>
        <xdr:cNvPr id="129" name="TextBox 128">
          <a:extLst>
            <a:ext uri="{FF2B5EF4-FFF2-40B4-BE49-F238E27FC236}">
              <a16:creationId xmlns:a16="http://schemas.microsoft.com/office/drawing/2014/main" id="{00000000-0008-0000-0500-00008100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811</xdr:row>
      <xdr:rowOff>0</xdr:rowOff>
    </xdr:from>
    <xdr:ext cx="65" cy="172227"/>
    <xdr:sp macro="" textlink="">
      <xdr:nvSpPr>
        <xdr:cNvPr id="130" name="TextBox 129">
          <a:extLst>
            <a:ext uri="{FF2B5EF4-FFF2-40B4-BE49-F238E27FC236}">
              <a16:creationId xmlns:a16="http://schemas.microsoft.com/office/drawing/2014/main" id="{00000000-0008-0000-0500-00008200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831</xdr:row>
      <xdr:rowOff>0</xdr:rowOff>
    </xdr:from>
    <xdr:ext cx="65" cy="172227"/>
    <xdr:sp macro="" textlink="">
      <xdr:nvSpPr>
        <xdr:cNvPr id="131" name="TextBox 130">
          <a:extLst>
            <a:ext uri="{FF2B5EF4-FFF2-40B4-BE49-F238E27FC236}">
              <a16:creationId xmlns:a16="http://schemas.microsoft.com/office/drawing/2014/main" id="{00000000-0008-0000-0500-00008300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831</xdr:row>
      <xdr:rowOff>0</xdr:rowOff>
    </xdr:from>
    <xdr:ext cx="65" cy="172227"/>
    <xdr:sp macro="" textlink="">
      <xdr:nvSpPr>
        <xdr:cNvPr id="132" name="TextBox 131">
          <a:extLst>
            <a:ext uri="{FF2B5EF4-FFF2-40B4-BE49-F238E27FC236}">
              <a16:creationId xmlns:a16="http://schemas.microsoft.com/office/drawing/2014/main" id="{00000000-0008-0000-0500-00008400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847</xdr:row>
      <xdr:rowOff>0</xdr:rowOff>
    </xdr:from>
    <xdr:ext cx="65" cy="172227"/>
    <xdr:sp macro="" textlink="">
      <xdr:nvSpPr>
        <xdr:cNvPr id="133" name="TextBox 132">
          <a:extLst>
            <a:ext uri="{FF2B5EF4-FFF2-40B4-BE49-F238E27FC236}">
              <a16:creationId xmlns:a16="http://schemas.microsoft.com/office/drawing/2014/main" id="{00000000-0008-0000-0500-00008500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847</xdr:row>
      <xdr:rowOff>0</xdr:rowOff>
    </xdr:from>
    <xdr:ext cx="65" cy="172227"/>
    <xdr:sp macro="" textlink="">
      <xdr:nvSpPr>
        <xdr:cNvPr id="134" name="TextBox 133">
          <a:extLst>
            <a:ext uri="{FF2B5EF4-FFF2-40B4-BE49-F238E27FC236}">
              <a16:creationId xmlns:a16="http://schemas.microsoft.com/office/drawing/2014/main" id="{00000000-0008-0000-0500-00008600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865</xdr:row>
      <xdr:rowOff>0</xdr:rowOff>
    </xdr:from>
    <xdr:ext cx="65" cy="172227"/>
    <xdr:sp macro="" textlink="">
      <xdr:nvSpPr>
        <xdr:cNvPr id="135" name="TextBox 134">
          <a:extLst>
            <a:ext uri="{FF2B5EF4-FFF2-40B4-BE49-F238E27FC236}">
              <a16:creationId xmlns:a16="http://schemas.microsoft.com/office/drawing/2014/main" id="{00000000-0008-0000-0500-00008700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865</xdr:row>
      <xdr:rowOff>0</xdr:rowOff>
    </xdr:from>
    <xdr:ext cx="65" cy="172227"/>
    <xdr:sp macro="" textlink="">
      <xdr:nvSpPr>
        <xdr:cNvPr id="136" name="TextBox 135">
          <a:extLst>
            <a:ext uri="{FF2B5EF4-FFF2-40B4-BE49-F238E27FC236}">
              <a16:creationId xmlns:a16="http://schemas.microsoft.com/office/drawing/2014/main" id="{00000000-0008-0000-0500-00008800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883</xdr:row>
      <xdr:rowOff>0</xdr:rowOff>
    </xdr:from>
    <xdr:ext cx="65" cy="172227"/>
    <xdr:sp macro="" textlink="">
      <xdr:nvSpPr>
        <xdr:cNvPr id="137" name="TextBox 136">
          <a:extLst>
            <a:ext uri="{FF2B5EF4-FFF2-40B4-BE49-F238E27FC236}">
              <a16:creationId xmlns:a16="http://schemas.microsoft.com/office/drawing/2014/main" id="{00000000-0008-0000-0500-00008900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883</xdr:row>
      <xdr:rowOff>0</xdr:rowOff>
    </xdr:from>
    <xdr:ext cx="65" cy="172227"/>
    <xdr:sp macro="" textlink="">
      <xdr:nvSpPr>
        <xdr:cNvPr id="138" name="TextBox 137">
          <a:extLst>
            <a:ext uri="{FF2B5EF4-FFF2-40B4-BE49-F238E27FC236}">
              <a16:creationId xmlns:a16="http://schemas.microsoft.com/office/drawing/2014/main" id="{00000000-0008-0000-0500-00008A00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920</xdr:row>
      <xdr:rowOff>0</xdr:rowOff>
    </xdr:from>
    <xdr:ext cx="65" cy="172227"/>
    <xdr:sp macro="" textlink="">
      <xdr:nvSpPr>
        <xdr:cNvPr id="139" name="TextBox 138">
          <a:extLst>
            <a:ext uri="{FF2B5EF4-FFF2-40B4-BE49-F238E27FC236}">
              <a16:creationId xmlns:a16="http://schemas.microsoft.com/office/drawing/2014/main" id="{00000000-0008-0000-0500-00008B00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920</xdr:row>
      <xdr:rowOff>0</xdr:rowOff>
    </xdr:from>
    <xdr:ext cx="65" cy="172227"/>
    <xdr:sp macro="" textlink="">
      <xdr:nvSpPr>
        <xdr:cNvPr id="140" name="TextBox 139">
          <a:extLst>
            <a:ext uri="{FF2B5EF4-FFF2-40B4-BE49-F238E27FC236}">
              <a16:creationId xmlns:a16="http://schemas.microsoft.com/office/drawing/2014/main" id="{00000000-0008-0000-0500-00008C00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xdr:col>
      <xdr:colOff>1013114</xdr:colOff>
      <xdr:row>736</xdr:row>
      <xdr:rowOff>72984</xdr:rowOff>
    </xdr:from>
    <xdr:to>
      <xdr:col>4</xdr:col>
      <xdr:colOff>2969735</xdr:colOff>
      <xdr:row>738</xdr:row>
      <xdr:rowOff>153666</xdr:rowOff>
    </xdr:to>
    <mc:AlternateContent xmlns:mc="http://schemas.openxmlformats.org/markup-compatibility/2006" xmlns:a14="http://schemas.microsoft.com/office/drawing/2010/main">
      <mc:Choice Requires="a14">
        <xdr:sp macro="" textlink="">
          <xdr:nvSpPr>
            <xdr:cNvPr id="366" name="TextBox 140">
              <a:extLst>
                <a:ext uri="{FF2B5EF4-FFF2-40B4-BE49-F238E27FC236}">
                  <a16:creationId xmlns:a16="http://schemas.microsoft.com/office/drawing/2014/main" id="{00000000-0008-0000-0500-00006E010000}"/>
                </a:ext>
              </a:extLst>
            </xdr:cNvPr>
            <xdr:cNvSpPr txBox="1"/>
          </xdr:nvSpPr>
          <xdr:spPr>
            <a:xfrm>
              <a:off x="1639043" y="124183734"/>
              <a:ext cx="5059049" cy="43446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kWh</m:t>
                    </m:r>
                    <m:r>
                      <m:rPr>
                        <m:nor/>
                      </m:rPr>
                      <a:rPr kumimoji="0" lang="en-US" sz="1400" b="0" i="1"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savings</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HP</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𝑈𝑛𝑖𝑡𝑠</m:t>
                    </m:r>
                  </m:oMath>
                </m:oMathPara>
              </a14:m>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∆𝑘𝑊ℎ="kWh</a:t>
              </a:r>
              <a:r>
                <a:rPr kumimoji="0" lang="en-US" sz="1400" b="0" i="0"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savings</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/HP"∗</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𝑈𝑛𝑖𝑡𝑠</a:t>
              </a:r>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twoCellAnchor>
    <xdr:from>
      <xdr:col>4</xdr:col>
      <xdr:colOff>1812694</xdr:colOff>
      <xdr:row>736</xdr:row>
      <xdr:rowOff>98961</xdr:rowOff>
    </xdr:from>
    <xdr:to>
      <xdr:col>5</xdr:col>
      <xdr:colOff>277102</xdr:colOff>
      <xdr:row>738</xdr:row>
      <xdr:rowOff>152749</xdr:rowOff>
    </xdr:to>
    <mc:AlternateContent xmlns:mc="http://schemas.openxmlformats.org/markup-compatibility/2006" xmlns:a14="http://schemas.microsoft.com/office/drawing/2010/main">
      <mc:Choice Requires="a14">
        <xdr:sp macro="" textlink="">
          <xdr:nvSpPr>
            <xdr:cNvPr id="365" name="TextBox 141">
              <a:extLst>
                <a:ext uri="{FF2B5EF4-FFF2-40B4-BE49-F238E27FC236}">
                  <a16:creationId xmlns:a16="http://schemas.microsoft.com/office/drawing/2014/main" id="{00000000-0008-0000-0500-00006D010000}"/>
                </a:ext>
              </a:extLst>
            </xdr:cNvPr>
            <xdr:cNvSpPr txBox="1"/>
          </xdr:nvSpPr>
          <xdr:spPr>
            <a:xfrm>
              <a:off x="5541051" y="124209711"/>
              <a:ext cx="3335765" cy="407574"/>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𝐹𝑎𝑐𝑡𝑜𝑟</m:t>
                    </m:r>
                  </m:oMath>
                </m:oMathPara>
              </a14:m>
              <a:endPar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endParaRPr>
            </a:p>
          </xdr:txBody>
        </xdr:sp>
      </mc:Choice>
      <mc:Fallback xmlns="">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 ∆𝑘𝑊ℎ ∗𝑘𝑊 𝐹𝑎𝑐𝑡𝑜𝑟</a:t>
              </a:r>
            </a:p>
          </xdr:txBody>
        </xdr:sp>
      </mc:Fallback>
    </mc:AlternateContent>
    <xdr:clientData/>
  </xdr:twoCellAnchor>
  <xdr:oneCellAnchor>
    <xdr:from>
      <xdr:col>4</xdr:col>
      <xdr:colOff>3787140</xdr:colOff>
      <xdr:row>920</xdr:row>
      <xdr:rowOff>0</xdr:rowOff>
    </xdr:from>
    <xdr:ext cx="184731" cy="264560"/>
    <xdr:sp macro="" textlink="">
      <xdr:nvSpPr>
        <xdr:cNvPr id="143" name="TextBox 142">
          <a:extLst>
            <a:ext uri="{FF2B5EF4-FFF2-40B4-BE49-F238E27FC236}">
              <a16:creationId xmlns:a16="http://schemas.microsoft.com/office/drawing/2014/main" id="{00000000-0008-0000-0500-00008F000000}"/>
            </a:ext>
          </a:extLst>
        </xdr:cNvPr>
        <xdr:cNvSpPr txBox="1"/>
      </xdr:nvSpPr>
      <xdr:spPr>
        <a:xfrm>
          <a:off x="7515497" y="157407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3</xdr:col>
      <xdr:colOff>0</xdr:colOff>
      <xdr:row>909</xdr:row>
      <xdr:rowOff>0</xdr:rowOff>
    </xdr:from>
    <xdr:to>
      <xdr:col>4</xdr:col>
      <xdr:colOff>3103134</xdr:colOff>
      <xdr:row>911</xdr:row>
      <xdr:rowOff>84493</xdr:rowOff>
    </xdr:to>
    <mc:AlternateContent xmlns:mc="http://schemas.openxmlformats.org/markup-compatibility/2006" xmlns:a14="http://schemas.microsoft.com/office/drawing/2010/main">
      <mc:Choice Requires="a14">
        <xdr:sp macro="" textlink="">
          <xdr:nvSpPr>
            <xdr:cNvPr id="364" name="TextBox 143">
              <a:extLst>
                <a:ext uri="{FF2B5EF4-FFF2-40B4-BE49-F238E27FC236}">
                  <a16:creationId xmlns:a16="http://schemas.microsoft.com/office/drawing/2014/main" id="{00000000-0008-0000-0500-00006C010000}"/>
                </a:ext>
              </a:extLst>
            </xdr:cNvPr>
            <xdr:cNvSpPr txBox="1"/>
          </xdr:nvSpPr>
          <xdr:spPr>
            <a:xfrm>
              <a:off x="2041071" y="155992286"/>
              <a:ext cx="4790420" cy="4382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savings</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𝑓𝑎𝑛</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𝑢𝑛𝑖𝑡𝑠</m:t>
                    </m:r>
                  </m:oMath>
                </m:oMathPara>
              </a14:m>
              <a:endParaRPr lang="en-US" sz="14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"kWh</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savings</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𝑓𝑎𝑛∗𝑢𝑛𝑖𝑡𝑠</a:t>
              </a:r>
              <a:endParaRPr lang="en-US" sz="14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909</xdr:row>
      <xdr:rowOff>0</xdr:rowOff>
    </xdr:from>
    <xdr:to>
      <xdr:col>7</xdr:col>
      <xdr:colOff>131222</xdr:colOff>
      <xdr:row>911</xdr:row>
      <xdr:rowOff>53789</xdr:rowOff>
    </xdr:to>
    <mc:AlternateContent xmlns:mc="http://schemas.openxmlformats.org/markup-compatibility/2006" xmlns:a14="http://schemas.microsoft.com/office/drawing/2010/main">
      <mc:Choice Requires="a14">
        <xdr:sp macro="" textlink="">
          <xdr:nvSpPr>
            <xdr:cNvPr id="363" name="TextBox 144">
              <a:extLst>
                <a:ext uri="{FF2B5EF4-FFF2-40B4-BE49-F238E27FC236}">
                  <a16:creationId xmlns:a16="http://schemas.microsoft.com/office/drawing/2014/main" id="{00000000-0008-0000-0500-00006B010000}"/>
                </a:ext>
              </a:extLst>
            </xdr:cNvPr>
            <xdr:cNvSpPr txBox="1"/>
          </xdr:nvSpPr>
          <xdr:spPr>
            <a:xfrm>
              <a:off x="8599714" y="155992286"/>
              <a:ext cx="3478579" cy="4075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𝐹𝑎𝑐𝑡𝑜𝑟</m:t>
                    </m:r>
                  </m:oMath>
                </m:oMathPara>
              </a14:m>
              <a:endParaRPr lang="en-US" sz="140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 ∆𝑘𝑊ℎ ∗𝑘𝑊 𝐹𝑎𝑐𝑡𝑜𝑟</a:t>
              </a:r>
              <a:endParaRPr lang="en-US" sz="140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935831</xdr:colOff>
      <xdr:row>900</xdr:row>
      <xdr:rowOff>0</xdr:rowOff>
    </xdr:from>
    <xdr:ext cx="65" cy="172227"/>
    <xdr:sp macro="" textlink="">
      <xdr:nvSpPr>
        <xdr:cNvPr id="147" name="TextBox 146">
          <a:extLst>
            <a:ext uri="{FF2B5EF4-FFF2-40B4-BE49-F238E27FC236}">
              <a16:creationId xmlns:a16="http://schemas.microsoft.com/office/drawing/2014/main" id="{00000000-0008-0000-0500-00009300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900</xdr:row>
      <xdr:rowOff>0</xdr:rowOff>
    </xdr:from>
    <xdr:ext cx="65" cy="172227"/>
    <xdr:sp macro="" textlink="">
      <xdr:nvSpPr>
        <xdr:cNvPr id="148" name="TextBox 147">
          <a:extLst>
            <a:ext uri="{FF2B5EF4-FFF2-40B4-BE49-F238E27FC236}">
              <a16:creationId xmlns:a16="http://schemas.microsoft.com/office/drawing/2014/main" id="{00000000-0008-0000-0500-00009400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1340031</xdr:colOff>
      <xdr:row>108</xdr:row>
      <xdr:rowOff>35956</xdr:rowOff>
    </xdr:from>
    <xdr:to>
      <xdr:col>6</xdr:col>
      <xdr:colOff>628649</xdr:colOff>
      <xdr:row>110</xdr:row>
      <xdr:rowOff>76200</xdr:rowOff>
    </xdr:to>
    <mc:AlternateContent xmlns:mc="http://schemas.openxmlformats.org/markup-compatibility/2006" xmlns:a14="http://schemas.microsoft.com/office/drawing/2010/main">
      <mc:Choice Requires="a14">
        <xdr:sp macro="" textlink="">
          <xdr:nvSpPr>
            <xdr:cNvPr id="362" name="TextBox 152">
              <a:extLst>
                <a:ext uri="{FF2B5EF4-FFF2-40B4-BE49-F238E27FC236}">
                  <a16:creationId xmlns:a16="http://schemas.microsoft.com/office/drawing/2014/main" id="{00000000-0008-0000-0500-00006A010000}"/>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𝑘𝑊</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𝐸𝑆𝐹</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10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𝑘𝑊ℎ〗_ℎ𝑒𝑎𝑡𝑝𝑒𝑛𝑎𝑙𝑡𝑦=〖𝑘𝑊〗_𝐶𝑜𝑛𝑡𝑟𝑜𝑙𝑙𝑒𝑑∗𝐻𝑜𝑢𝑟𝑠∗𝐸𝑆𝐹∗〖−𝐼𝐹〗_𝑘𝑊ℎ</a:t>
              </a:r>
              <a:endParaRPr lang="en-US" sz="1100">
                <a:solidFill>
                  <a:sysClr val="windowText" lastClr="000000"/>
                </a:solidFill>
              </a:endParaRPr>
            </a:p>
          </xdr:txBody>
        </xdr:sp>
      </mc:Fallback>
    </mc:AlternateContent>
    <xdr:clientData/>
  </xdr:twoCellAnchor>
  <xdr:twoCellAnchor>
    <xdr:from>
      <xdr:col>2</xdr:col>
      <xdr:colOff>957943</xdr:colOff>
      <xdr:row>132</xdr:row>
      <xdr:rowOff>155936</xdr:rowOff>
    </xdr:from>
    <xdr:to>
      <xdr:col>4</xdr:col>
      <xdr:colOff>1959428</xdr:colOff>
      <xdr:row>135</xdr:row>
      <xdr:rowOff>106136</xdr:rowOff>
    </xdr:to>
    <mc:AlternateContent xmlns:mc="http://schemas.openxmlformats.org/markup-compatibility/2006" xmlns:a14="http://schemas.microsoft.com/office/drawing/2010/main">
      <mc:Choice Requires="a14">
        <xdr:sp macro="" textlink="">
          <xdr:nvSpPr>
            <xdr:cNvPr id="361" name="TextBox 154">
              <a:extLst>
                <a:ext uri="{FF2B5EF4-FFF2-40B4-BE49-F238E27FC236}">
                  <a16:creationId xmlns:a16="http://schemas.microsoft.com/office/drawing/2014/main" id="{00000000-0008-0000-0500-000069010000}"/>
                </a:ext>
              </a:extLst>
            </xdr:cNvPr>
            <xdr:cNvSpPr txBox="1"/>
          </xdr:nvSpPr>
          <xdr:spPr>
            <a:xfrm>
              <a:off x="1967593" y="31702736"/>
              <a:ext cx="4011385" cy="52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f>
                      <m:fPr>
                        <m:ctrlPr>
                          <a:rPr lang="en-US" sz="1400" b="0" i="1">
                            <a:solidFill>
                              <a:srgbClr val="FF0000"/>
                            </a:solidFill>
                            <a:effectLst/>
                            <a:latin typeface="Cambria Math" panose="02040503050406030204" pitchFamily="18" charset="0"/>
                            <a:ea typeface="Cambria Math" panose="02040503050406030204" pitchFamily="18" charset="0"/>
                            <a:cs typeface="+mn-cs"/>
                          </a:rPr>
                        </m:ctrlPr>
                      </m:fPr>
                      <m:num>
                        <m:sSub>
                          <m:sSubPr>
                            <m:ctrlPr>
                              <a:rPr lang="en-US" sz="1100" b="0" i="1">
                                <a:solidFill>
                                  <a:srgbClr val="FF0000"/>
                                </a:solidFill>
                                <a:effectLst/>
                                <a:latin typeface="Cambria Math" panose="02040503050406030204" pitchFamily="18" charset="0"/>
                                <a:ea typeface="+mn-ea"/>
                                <a:cs typeface="+mn-cs"/>
                              </a:rPr>
                            </m:ctrlPr>
                          </m:sSubPr>
                          <m:e>
                            <m:r>
                              <a:rPr lang="en-US" sz="1100" b="0" i="1">
                                <a:solidFill>
                                  <a:srgbClr val="FF0000"/>
                                </a:solidFill>
                                <a:effectLst/>
                                <a:latin typeface="Cambria Math" panose="02040503050406030204" pitchFamily="18" charset="0"/>
                                <a:ea typeface="+mn-ea"/>
                                <a:cs typeface="+mn-cs"/>
                              </a:rPr>
                              <m:t>𝑊</m:t>
                            </m:r>
                          </m:e>
                          <m:sub>
                            <m:r>
                              <a:rPr lang="en-US" sz="1100" b="0" i="1">
                                <a:solidFill>
                                  <a:srgbClr val="FF0000"/>
                                </a:solidFill>
                                <a:effectLst/>
                                <a:latin typeface="Cambria Math" panose="02040503050406030204" pitchFamily="18" charset="0"/>
                                <a:ea typeface="+mn-ea"/>
                                <a:cs typeface="+mn-cs"/>
                              </a:rPr>
                              <m:t>𝑏𝑎𝑠𝑒</m:t>
                            </m:r>
                          </m:sub>
                        </m:sSub>
                        <m:r>
                          <a:rPr lang="en-US" sz="1100" b="0" i="1">
                            <a:solidFill>
                              <a:srgbClr val="FF0000"/>
                            </a:solidFill>
                            <a:effectLst/>
                            <a:latin typeface="Cambria Math" panose="02040503050406030204" pitchFamily="18" charset="0"/>
                            <a:ea typeface="+mn-ea"/>
                            <a:cs typeface="+mn-cs"/>
                          </a:rPr>
                          <m:t>−</m:t>
                        </m:r>
                        <m:sSub>
                          <m:sSubPr>
                            <m:ctrlPr>
                              <a:rPr lang="en-US" sz="1100" b="0" i="1">
                                <a:solidFill>
                                  <a:srgbClr val="FF0000"/>
                                </a:solidFill>
                                <a:effectLst/>
                                <a:latin typeface="Cambria Math" panose="02040503050406030204" pitchFamily="18" charset="0"/>
                                <a:ea typeface="+mn-ea"/>
                                <a:cs typeface="+mn-cs"/>
                              </a:rPr>
                            </m:ctrlPr>
                          </m:sSubPr>
                          <m:e>
                            <m:r>
                              <a:rPr lang="en-US" sz="1100" b="0" i="1">
                                <a:solidFill>
                                  <a:srgbClr val="FF0000"/>
                                </a:solidFill>
                                <a:effectLst/>
                                <a:latin typeface="Cambria Math" panose="02040503050406030204" pitchFamily="18" charset="0"/>
                                <a:ea typeface="+mn-ea"/>
                                <a:cs typeface="+mn-cs"/>
                              </a:rPr>
                              <m:t>𝑊</m:t>
                            </m:r>
                          </m:e>
                          <m:sub>
                            <m:r>
                              <a:rPr lang="en-US" sz="1100" b="0" i="1">
                                <a:solidFill>
                                  <a:srgbClr val="FF0000"/>
                                </a:solidFill>
                                <a:effectLst/>
                                <a:latin typeface="Cambria Math" panose="02040503050406030204" pitchFamily="18" charset="0"/>
                                <a:ea typeface="+mn-ea"/>
                                <a:cs typeface="+mn-cs"/>
                              </a:rPr>
                              <m:t>𝐸𝐸</m:t>
                            </m:r>
                          </m:sub>
                        </m:sSub>
                        <m:r>
                          <a:rPr lang="en-US" sz="1100" b="0" i="1">
                            <a:solidFill>
                              <a:srgbClr val="FF0000"/>
                            </a:solidFill>
                            <a:effectLst/>
                            <a:latin typeface="Cambria Math" panose="02040503050406030204" pitchFamily="18" charset="0"/>
                            <a:ea typeface="+mn-ea"/>
                            <a:cs typeface="+mn-cs"/>
                          </a:rPr>
                          <m:t>(1−</m:t>
                        </m:r>
                        <m:r>
                          <a:rPr lang="en-US" sz="1100" b="0" i="1">
                            <a:solidFill>
                              <a:srgbClr val="FF0000"/>
                            </a:solidFill>
                            <a:effectLst/>
                            <a:latin typeface="Cambria Math" panose="02040503050406030204" pitchFamily="18" charset="0"/>
                            <a:ea typeface="+mn-ea"/>
                            <a:cs typeface="+mn-cs"/>
                          </a:rPr>
                          <m:t>𝐸𝑆𝐹</m:t>
                        </m:r>
                        <m:r>
                          <a:rPr lang="en-US" sz="1100" b="0" i="1">
                            <a:solidFill>
                              <a:srgbClr val="FF0000"/>
                            </a:solidFill>
                            <a:effectLst/>
                            <a:latin typeface="Cambria Math" panose="02040503050406030204" pitchFamily="18" charset="0"/>
                            <a:ea typeface="+mn-ea"/>
                            <a:cs typeface="+mn-cs"/>
                          </a:rPr>
                          <m:t>)</m:t>
                        </m:r>
                      </m:num>
                      <m:den>
                        <m:r>
                          <a:rPr lang="en-US" sz="1400" b="0" i="1">
                            <a:solidFill>
                              <a:srgbClr val="FF0000"/>
                            </a:solidFill>
                            <a:latin typeface="Cambria Math" panose="02040503050406030204" pitchFamily="18" charset="0"/>
                            <a:ea typeface="Cambria Math" panose="02040503050406030204" pitchFamily="18" charset="0"/>
                          </a:rPr>
                          <m:t>1000</m:t>
                        </m:r>
                      </m:den>
                    </m:f>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h𝑜𝑢𝑟𝑠</m:t>
                    </m:r>
                    <m:r>
                      <a:rPr lang="en-US" sz="1400" b="0" i="1">
                        <a:solidFill>
                          <a:srgbClr val="FF0000"/>
                        </a:solidFill>
                        <a:latin typeface="Cambria Math" panose="02040503050406030204" pitchFamily="18" charset="0"/>
                        <a:ea typeface="Cambria Math" panose="02040503050406030204" pitchFamily="18" charset="0"/>
                      </a:rPr>
                      <m:t>×</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𝑊𝐻𝐹</m:t>
                        </m:r>
                      </m:e>
                      <m:sub>
                        <m:r>
                          <a:rPr lang="en-US" sz="1400" b="0" i="1">
                            <a:solidFill>
                              <a:srgbClr val="FF0000"/>
                            </a:solidFill>
                            <a:latin typeface="Cambria Math" panose="02040503050406030204" pitchFamily="18" charset="0"/>
                            <a:ea typeface="Cambria Math" panose="02040503050406030204" pitchFamily="18" charset="0"/>
                          </a:rPr>
                          <m:t>𝑒</m:t>
                        </m:r>
                      </m:sub>
                    </m:sSub>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100">
                <a:solidFill>
                  <a:srgbClr val="FF0000"/>
                </a:solidFill>
              </a:endParaRPr>
            </a:p>
          </xdr:txBody>
        </xdr:sp>
      </mc:Choice>
      <mc:Fallback xmlns="">
        <xdr:sp macro="" textlink="">
          <xdr:nvSpPr>
            <xdr:cNvPr id="361" name="TextBox 154">
              <a:extLst>
                <a:ext uri="{FF2B5EF4-FFF2-40B4-BE49-F238E27FC236}">
                  <a16:creationId xmlns:a16="http://schemas.microsoft.com/office/drawing/2014/main" id="{00000000-0008-0000-0500-000069010000}"/>
                </a:ext>
              </a:extLst>
            </xdr:cNvPr>
            <xdr:cNvSpPr txBox="1"/>
          </xdr:nvSpPr>
          <xdr:spPr>
            <a:xfrm>
              <a:off x="1967593" y="31702736"/>
              <a:ext cx="4011385" cy="52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100" b="0" i="0">
                  <a:solidFill>
                    <a:srgbClr val="FF0000"/>
                  </a:solidFill>
                  <a:effectLst/>
                  <a:latin typeface="Cambria Math" panose="02040503050406030204" pitchFamily="18" charset="0"/>
                  <a:ea typeface="+mn-ea"/>
                  <a:cs typeface="+mn-cs"/>
                </a:rPr>
                <a:t>𝑊_𝑏𝑎𝑠𝑒−𝑊_𝐸𝐸 (1−𝐸𝑆𝐹)</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rgbClr val="FF0000"/>
                  </a:solidFill>
                  <a:latin typeface="Cambria Math" panose="02040503050406030204" pitchFamily="18" charset="0"/>
                  <a:ea typeface="Cambria Math" panose="02040503050406030204" pitchFamily="18" charset="0"/>
                </a:rPr>
                <a:t>1000×ℎ𝑜𝑢𝑟𝑠×〖𝑊𝐻𝐹〗_𝑒×𝐼𝑆𝑅</a:t>
              </a:r>
              <a:endParaRPr lang="en-US" sz="1100">
                <a:solidFill>
                  <a:srgbClr val="FF0000"/>
                </a:solidFill>
              </a:endParaRPr>
            </a:p>
          </xdr:txBody>
        </xdr:sp>
      </mc:Fallback>
    </mc:AlternateContent>
    <xdr:clientData/>
  </xdr:twoCellAnchor>
  <xdr:twoCellAnchor>
    <xdr:from>
      <xdr:col>3</xdr:col>
      <xdr:colOff>1397454</xdr:colOff>
      <xdr:row>136</xdr:row>
      <xdr:rowOff>25580</xdr:rowOff>
    </xdr:from>
    <xdr:to>
      <xdr:col>4</xdr:col>
      <xdr:colOff>2027464</xdr:colOff>
      <xdr:row>138</xdr:row>
      <xdr:rowOff>27214</xdr:rowOff>
    </xdr:to>
    <mc:AlternateContent xmlns:mc="http://schemas.openxmlformats.org/markup-compatibility/2006" xmlns:a14="http://schemas.microsoft.com/office/drawing/2010/main">
      <mc:Choice Requires="a14">
        <xdr:sp macro="" textlink="">
          <xdr:nvSpPr>
            <xdr:cNvPr id="360" name="TextBox 155">
              <a:extLst>
                <a:ext uri="{FF2B5EF4-FFF2-40B4-BE49-F238E27FC236}">
                  <a16:creationId xmlns:a16="http://schemas.microsoft.com/office/drawing/2014/main" id="{00000000-0008-0000-0500-000068010000}"/>
                </a:ext>
              </a:extLst>
            </xdr:cNvPr>
            <xdr:cNvSpPr txBox="1"/>
          </xdr:nvSpPr>
          <xdr:spPr>
            <a:xfrm>
              <a:off x="3438525" y="26750009"/>
              <a:ext cx="2317296" cy="355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56" name="TextBox 155">
              <a:extLst>
                <a:ext uri="{FF2B5EF4-FFF2-40B4-BE49-F238E27FC236}">
                  <a16:creationId xmlns:a16="http://schemas.microsoft.com/office/drawing/2014/main" id="{7A133759-4911-48D3-8E56-49FF45803249}"/>
                </a:ext>
              </a:extLst>
            </xdr:cNvPr>
            <xdr:cNvSpPr txBox="1"/>
          </xdr:nvSpPr>
          <xdr:spPr>
            <a:xfrm>
              <a:off x="3438525" y="26750009"/>
              <a:ext cx="2317296" cy="355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oneCellAnchor>
    <xdr:from>
      <xdr:col>26</xdr:col>
      <xdr:colOff>2269331</xdr:colOff>
      <xdr:row>122</xdr:row>
      <xdr:rowOff>0</xdr:rowOff>
    </xdr:from>
    <xdr:ext cx="65" cy="172227"/>
    <xdr:sp macro="" textlink="">
      <xdr:nvSpPr>
        <xdr:cNvPr id="161" name="TextBox 160">
          <a:extLst>
            <a:ext uri="{FF2B5EF4-FFF2-40B4-BE49-F238E27FC236}">
              <a16:creationId xmlns:a16="http://schemas.microsoft.com/office/drawing/2014/main" id="{00000000-0008-0000-0500-0000A1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122</xdr:row>
      <xdr:rowOff>0</xdr:rowOff>
    </xdr:from>
    <xdr:ext cx="65" cy="172227"/>
    <xdr:sp macro="" textlink="">
      <xdr:nvSpPr>
        <xdr:cNvPr id="162" name="TextBox 161">
          <a:extLst>
            <a:ext uri="{FF2B5EF4-FFF2-40B4-BE49-F238E27FC236}">
              <a16:creationId xmlns:a16="http://schemas.microsoft.com/office/drawing/2014/main" id="{00000000-0008-0000-0500-0000A2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94</xdr:row>
      <xdr:rowOff>0</xdr:rowOff>
    </xdr:from>
    <xdr:ext cx="65" cy="172227"/>
    <xdr:sp macro="" textlink="">
      <xdr:nvSpPr>
        <xdr:cNvPr id="163" name="TextBox 162">
          <a:extLst>
            <a:ext uri="{FF2B5EF4-FFF2-40B4-BE49-F238E27FC236}">
              <a16:creationId xmlns:a16="http://schemas.microsoft.com/office/drawing/2014/main" id="{00000000-0008-0000-0500-0000A3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94</xdr:row>
      <xdr:rowOff>0</xdr:rowOff>
    </xdr:from>
    <xdr:ext cx="65" cy="172227"/>
    <xdr:sp macro="" textlink="">
      <xdr:nvSpPr>
        <xdr:cNvPr id="164" name="TextBox 163">
          <a:extLst>
            <a:ext uri="{FF2B5EF4-FFF2-40B4-BE49-F238E27FC236}">
              <a16:creationId xmlns:a16="http://schemas.microsoft.com/office/drawing/2014/main" id="{00000000-0008-0000-0500-0000A4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xdr:row>
      <xdr:rowOff>0</xdr:rowOff>
    </xdr:from>
    <xdr:ext cx="65" cy="172227"/>
    <xdr:sp macro="" textlink="">
      <xdr:nvSpPr>
        <xdr:cNvPr id="165" name="TextBox 164">
          <a:extLst>
            <a:ext uri="{FF2B5EF4-FFF2-40B4-BE49-F238E27FC236}">
              <a16:creationId xmlns:a16="http://schemas.microsoft.com/office/drawing/2014/main" id="{00000000-0008-0000-0500-0000A500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xdr:row>
      <xdr:rowOff>0</xdr:rowOff>
    </xdr:from>
    <xdr:ext cx="65" cy="172227"/>
    <xdr:sp macro="" textlink="">
      <xdr:nvSpPr>
        <xdr:cNvPr id="166" name="TextBox 165">
          <a:extLst>
            <a:ext uri="{FF2B5EF4-FFF2-40B4-BE49-F238E27FC236}">
              <a16:creationId xmlns:a16="http://schemas.microsoft.com/office/drawing/2014/main" id="{00000000-0008-0000-0500-0000A600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1429839</xdr:colOff>
      <xdr:row>40</xdr:row>
      <xdr:rowOff>48576</xdr:rowOff>
    </xdr:from>
    <xdr:to>
      <xdr:col>8</xdr:col>
      <xdr:colOff>1183821</xdr:colOff>
      <xdr:row>43</xdr:row>
      <xdr:rowOff>56333</xdr:rowOff>
    </xdr:to>
    <mc:AlternateContent xmlns:mc="http://schemas.openxmlformats.org/markup-compatibility/2006" xmlns:a14="http://schemas.microsoft.com/office/drawing/2010/main">
      <mc:Choice Requires="a14">
        <xdr:sp macro="" textlink="">
          <xdr:nvSpPr>
            <xdr:cNvPr id="359" name="TextBox 172">
              <a:extLst>
                <a:ext uri="{FF2B5EF4-FFF2-40B4-BE49-F238E27FC236}">
                  <a16:creationId xmlns:a16="http://schemas.microsoft.com/office/drawing/2014/main" id="{00000000-0008-0000-0500-000067010000}"/>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effectLst/>
                            <a:latin typeface="Cambria Math" panose="02040503050406030204" pitchFamily="18" charset="0"/>
                            <a:ea typeface="+mn-ea"/>
                            <a:cs typeface="+mn-cs"/>
                          </a:rPr>
                          <m:t>𝑘𝑊h</m:t>
                        </m:r>
                      </m:sub>
                    </m:sSub>
                  </m:oMath>
                </m:oMathPara>
              </a14:m>
              <a:endParaRPr lang="en-US" sz="1400">
                <a:solidFill>
                  <a:sysClr val="windowText" lastClr="000000"/>
                </a:solidFill>
              </a:endParaRPr>
            </a:p>
          </xdr:txBody>
        </xdr:sp>
      </mc:Choice>
      <mc:Fallback xmlns="">
        <xdr:sp macro="" textlink="">
          <xdr:nvSpPr>
            <xdr:cNvPr id="173" name="TextBox 172">
              <a:extLst>
                <a:ext uri="{FF2B5EF4-FFF2-40B4-BE49-F238E27FC236}">
                  <a16:creationId xmlns:a16="http://schemas.microsoft.com/office/drawing/2014/main" id="{762EBDF9-73E3-4B39-92DA-1D94149913AF}"/>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×〖−𝐼𝐹〗_𝑘𝑊ℎ</a:t>
              </a:r>
              <a:endParaRPr lang="en-US" sz="1400">
                <a:solidFill>
                  <a:sysClr val="windowText" lastClr="000000"/>
                </a:solidFill>
              </a:endParaRPr>
            </a:p>
          </xdr:txBody>
        </xdr:sp>
      </mc:Fallback>
    </mc:AlternateContent>
    <xdr:clientData/>
  </xdr:twoCellAnchor>
  <xdr:twoCellAnchor>
    <xdr:from>
      <xdr:col>3</xdr:col>
      <xdr:colOff>1427933</xdr:colOff>
      <xdr:row>81</xdr:row>
      <xdr:rowOff>57150</xdr:rowOff>
    </xdr:from>
    <xdr:to>
      <xdr:col>6</xdr:col>
      <xdr:colOff>523875</xdr:colOff>
      <xdr:row>83</xdr:row>
      <xdr:rowOff>152400</xdr:rowOff>
    </xdr:to>
    <mc:AlternateContent xmlns:mc="http://schemas.openxmlformats.org/markup-compatibility/2006" xmlns:a14="http://schemas.microsoft.com/office/drawing/2010/main">
      <mc:Choice Requires="a14">
        <xdr:sp macro="" textlink="">
          <xdr:nvSpPr>
            <xdr:cNvPr id="358" name="TextBox 173">
              <a:extLst>
                <a:ext uri="{FF2B5EF4-FFF2-40B4-BE49-F238E27FC236}">
                  <a16:creationId xmlns:a16="http://schemas.microsoft.com/office/drawing/2014/main" id="{00000000-0008-0000-0500-000066010000}"/>
                </a:ext>
              </a:extLst>
            </xdr:cNvPr>
            <xdr:cNvSpPr txBox="1"/>
          </xdr:nvSpPr>
          <xdr:spPr>
            <a:xfrm>
              <a:off x="3466283" y="18030825"/>
              <a:ext cx="6020617"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𝑊𝑆𝐹𝑏𝑎𝑠𝑒</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𝑊𝑆𝐹𝑒𝑒</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400">
                <a:solidFill>
                  <a:sysClr val="windowText" lastClr="000000"/>
                </a:solidFill>
              </a:endParaRPr>
            </a:p>
          </xdr:txBody>
        </xdr:sp>
      </mc:Choice>
      <mc:Fallback xmlns="">
        <xdr:sp macro="" textlink="">
          <xdr:nvSpPr>
            <xdr:cNvPr id="174" name="TextBox 173">
              <a:extLst>
                <a:ext uri="{FF2B5EF4-FFF2-40B4-BE49-F238E27FC236}">
                  <a16:creationId xmlns:a16="http://schemas.microsoft.com/office/drawing/2014/main" id="{67A6DD18-F78D-4860-8373-39A38FBC2043}"/>
                </a:ext>
              </a:extLst>
            </xdr:cNvPr>
            <xdr:cNvSpPr txBox="1"/>
          </xdr:nvSpPr>
          <xdr:spPr>
            <a:xfrm>
              <a:off x="3466283" y="18030825"/>
              <a:ext cx="6020617"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(𝑊𝑆𝐹𝑏𝑎𝑠𝑒 −𝑊𝑆𝐹𝑒𝑒)</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1000×𝑆𝐹×𝐻𝑜𝑢𝑟𝑠×𝑊𝐻𝐹𝑒</a:t>
              </a:r>
              <a:endParaRPr lang="en-US" sz="1400">
                <a:solidFill>
                  <a:sysClr val="windowText" lastClr="000000"/>
                </a:solidFill>
              </a:endParaRPr>
            </a:p>
          </xdr:txBody>
        </xdr:sp>
      </mc:Fallback>
    </mc:AlternateContent>
    <xdr:clientData/>
  </xdr:twoCellAnchor>
  <xdr:twoCellAnchor>
    <xdr:from>
      <xdr:col>3</xdr:col>
      <xdr:colOff>1507671</xdr:colOff>
      <xdr:row>84</xdr:row>
      <xdr:rowOff>74145</xdr:rowOff>
    </xdr:from>
    <xdr:to>
      <xdr:col>7</xdr:col>
      <xdr:colOff>19050</xdr:colOff>
      <xdr:row>87</xdr:row>
      <xdr:rowOff>22043</xdr:rowOff>
    </xdr:to>
    <mc:AlternateContent xmlns:mc="http://schemas.openxmlformats.org/markup-compatibility/2006" xmlns:a14="http://schemas.microsoft.com/office/drawing/2010/main">
      <mc:Choice Requires="a14">
        <xdr:sp macro="" textlink="">
          <xdr:nvSpPr>
            <xdr:cNvPr id="357" name="TextBox 174">
              <a:extLst>
                <a:ext uri="{FF2B5EF4-FFF2-40B4-BE49-F238E27FC236}">
                  <a16:creationId xmlns:a16="http://schemas.microsoft.com/office/drawing/2014/main" id="{00000000-0008-0000-0500-000065010000}"/>
                </a:ext>
              </a:extLst>
            </xdr:cNvPr>
            <xdr:cNvSpPr txBox="1"/>
          </xdr:nvSpPr>
          <xdr:spPr>
            <a:xfrm>
              <a:off x="3546021" y="18590745"/>
              <a:ext cx="6550479" cy="490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𝑊𝑆𝐹𝑏𝑎𝑠𝑒</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𝑊𝑆𝐹𝑒𝑒</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400">
                <a:solidFill>
                  <a:sysClr val="windowText" lastClr="000000"/>
                </a:solidFill>
              </a:endParaRPr>
            </a:p>
          </xdr:txBody>
        </xdr:sp>
      </mc:Choice>
      <mc:Fallback xmlns="">
        <xdr:sp macro="" textlink="">
          <xdr:nvSpPr>
            <xdr:cNvPr id="175" name="TextBox 174">
              <a:extLst>
                <a:ext uri="{FF2B5EF4-FFF2-40B4-BE49-F238E27FC236}">
                  <a16:creationId xmlns:a16="http://schemas.microsoft.com/office/drawing/2014/main" id="{2AE51888-E878-4973-AF39-468DCA962DE5}"/>
                </a:ext>
              </a:extLst>
            </xdr:cNvPr>
            <xdr:cNvSpPr txBox="1"/>
          </xdr:nvSpPr>
          <xdr:spPr>
            <a:xfrm>
              <a:off x="3546021" y="18590745"/>
              <a:ext cx="6550479" cy="490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(𝑊𝑆𝐹𝑏𝑎𝑠𝑒 −𝑊𝑆𝐹𝑒𝑒)</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1000×𝑆𝐹×𝐻𝑜𝑢𝑟𝑠×〖</a:t>
              </a:r>
              <a:r>
                <a:rPr lang="en-US" sz="1400" b="0" i="0">
                  <a:solidFill>
                    <a:sysClr val="windowText" lastClr="000000"/>
                  </a:solidFill>
                  <a:effectLst/>
                  <a:latin typeface="Cambria Math" panose="02040503050406030204" pitchFamily="18" charset="0"/>
                  <a:ea typeface="+mn-ea"/>
                  <a:cs typeface="+mn-cs"/>
                </a:rPr>
                <a:t>−𝐼𝐹</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𝑘𝑊ℎ</a:t>
              </a:r>
              <a:endParaRPr lang="en-US" sz="1400">
                <a:solidFill>
                  <a:sysClr val="windowText" lastClr="000000"/>
                </a:solidFill>
              </a:endParaRPr>
            </a:p>
          </xdr:txBody>
        </xdr:sp>
      </mc:Fallback>
    </mc:AlternateContent>
    <xdr:clientData/>
  </xdr:twoCellAnchor>
  <xdr:twoCellAnchor>
    <xdr:from>
      <xdr:col>3</xdr:col>
      <xdr:colOff>1509578</xdr:colOff>
      <xdr:row>87</xdr:row>
      <xdr:rowOff>99605</xdr:rowOff>
    </xdr:from>
    <xdr:to>
      <xdr:col>4</xdr:col>
      <xdr:colOff>4071258</xdr:colOff>
      <xdr:row>89</xdr:row>
      <xdr:rowOff>97971</xdr:rowOff>
    </xdr:to>
    <mc:AlternateContent xmlns:mc="http://schemas.openxmlformats.org/markup-compatibility/2006" xmlns:a14="http://schemas.microsoft.com/office/drawing/2010/main">
      <mc:Choice Requires="a14">
        <xdr:sp macro="" textlink="">
          <xdr:nvSpPr>
            <xdr:cNvPr id="356" name="TextBox 175">
              <a:extLst>
                <a:ext uri="{FF2B5EF4-FFF2-40B4-BE49-F238E27FC236}">
                  <a16:creationId xmlns:a16="http://schemas.microsoft.com/office/drawing/2014/main" id="{00000000-0008-0000-0500-000064010000}"/>
                </a:ext>
              </a:extLst>
            </xdr:cNvPr>
            <xdr:cNvSpPr txBox="1"/>
          </xdr:nvSpPr>
          <xdr:spPr>
            <a:xfrm>
              <a:off x="3556092" y="18790376"/>
              <a:ext cx="4248966" cy="368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effectLst/>
                      <a:latin typeface="Cambria Math" panose="02040503050406030204" pitchFamily="18" charset="0"/>
                      <a:ea typeface="+mn-ea"/>
                      <a:cs typeface="+mn-cs"/>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1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a14:m>
              <a:r>
                <a:rPr lang="en-US" sz="1400">
                  <a:solidFill>
                    <a:sysClr val="windowText" lastClr="000000"/>
                  </a:solidFill>
                </a:rPr>
                <a:t> </a:t>
              </a:r>
            </a:p>
          </xdr:txBody>
        </xdr:sp>
      </mc:Choice>
      <mc:Fallback xmlns="">
        <xdr:sp macro="" textlink="">
          <xdr:nvSpPr>
            <xdr:cNvPr id="176" name="TextBox 175">
              <a:extLst>
                <a:ext uri="{FF2B5EF4-FFF2-40B4-BE49-F238E27FC236}">
                  <a16:creationId xmlns:a16="http://schemas.microsoft.com/office/drawing/2014/main" id="{13CB98A1-4702-46B9-ADD9-DC70EF911BE9}"/>
                </a:ext>
              </a:extLst>
            </xdr:cNvPr>
            <xdr:cNvSpPr txBox="1"/>
          </xdr:nvSpPr>
          <xdr:spPr>
            <a:xfrm>
              <a:off x="3556092" y="18790376"/>
              <a:ext cx="4248966" cy="368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latin typeface="Cambria Math" panose="02040503050406030204" pitchFamily="18" charset="0"/>
                  <a:ea typeface="Cambria Math" panose="02040503050406030204" pitchFamily="18" charset="0"/>
                </a:rPr>
                <a:t>×𝐶𝐹 </a:t>
              </a:r>
              <a:r>
                <a:rPr lang="en-US" sz="11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latin typeface="Cambria Math" panose="02040503050406030204" pitchFamily="18" charset="0"/>
                  <a:ea typeface="Cambria Math" panose="02040503050406030204" pitchFamily="18" charset="0"/>
                </a:rPr>
                <a:t> 𝐼𝐹𝑘𝑊</a:t>
              </a:r>
              <a:r>
                <a:rPr lang="en-US" sz="1400">
                  <a:solidFill>
                    <a:sysClr val="windowText" lastClr="000000"/>
                  </a:solidFill>
                </a:rPr>
                <a:t> </a:t>
              </a:r>
            </a:p>
          </xdr:txBody>
        </xdr:sp>
      </mc:Fallback>
    </mc:AlternateContent>
    <xdr:clientData/>
  </xdr:twoCellAnchor>
  <xdr:twoCellAnchor>
    <xdr:from>
      <xdr:col>3</xdr:col>
      <xdr:colOff>805542</xdr:colOff>
      <xdr:row>249</xdr:row>
      <xdr:rowOff>65313</xdr:rowOff>
    </xdr:from>
    <xdr:to>
      <xdr:col>4</xdr:col>
      <xdr:colOff>3889048</xdr:colOff>
      <xdr:row>253</xdr:row>
      <xdr:rowOff>167152</xdr:rowOff>
    </xdr:to>
    <mc:AlternateContent xmlns:mc="http://schemas.openxmlformats.org/markup-compatibility/2006" xmlns:a14="http://schemas.microsoft.com/office/drawing/2010/main">
      <mc:Choice Requires="a14">
        <xdr:sp macro="" textlink="">
          <xdr:nvSpPr>
            <xdr:cNvPr id="355" name="TextBox 145">
              <a:extLst>
                <a:ext uri="{FF2B5EF4-FFF2-40B4-BE49-F238E27FC236}">
                  <a16:creationId xmlns:a16="http://schemas.microsoft.com/office/drawing/2014/main" id="{00000000-0008-0000-0500-000063010000}"/>
                </a:ext>
              </a:extLst>
            </xdr:cNvPr>
            <xdr:cNvSpPr txBox="1"/>
          </xdr:nvSpPr>
          <xdr:spPr>
            <a:xfrm>
              <a:off x="2852056" y="21227142"/>
              <a:ext cx="4770792" cy="8420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𝑄</m:t>
                        </m:r>
                      </m:e>
                      <m:sub>
                        <m:r>
                          <a:rPr lang="en-US" sz="1800" b="0" i="1">
                            <a:latin typeface="Cambria Math" panose="02040503050406030204" pitchFamily="18" charset="0"/>
                            <a:ea typeface="Cambria Math" panose="02040503050406030204" pitchFamily="18" charset="0"/>
                          </a:rPr>
                          <m:t>𝑃𝑜𝑜𝑙𝐻𝑒𝑎𝑡𝑖𝑛𝑔</m:t>
                        </m:r>
                      </m:sub>
                    </m:sSub>
                    <m:r>
                      <a:rPr lang="en-US" sz="1800" b="0" i="1">
                        <a:latin typeface="Cambria Math" panose="02040503050406030204" pitchFamily="18" charset="0"/>
                        <a:ea typeface="Cambria Math" panose="02040503050406030204" pitchFamily="18" charset="0"/>
                      </a:rPr>
                      <m:t>∗</m:t>
                    </m:r>
                    <m:d>
                      <m:dPr>
                        <m:ctrlPr>
                          <a:rPr lang="en-US" sz="1200" b="0" i="1">
                            <a:solidFill>
                              <a:schemeClr val="tx1"/>
                            </a:solidFill>
                            <a:effectLst/>
                            <a:latin typeface="Cambria Math" panose="02040503050406030204" pitchFamily="18" charset="0"/>
                            <a:ea typeface="+mn-ea"/>
                            <a:cs typeface="+mn-cs"/>
                          </a:rPr>
                        </m:ctrlPr>
                      </m:dPr>
                      <m:e>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1</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𝐸𝑓𝑓</m:t>
                                </m:r>
                              </m:e>
                              <m:sub>
                                <m:r>
                                  <a:rPr lang="en-US" sz="1200" b="0" i="1">
                                    <a:solidFill>
                                      <a:schemeClr val="tx1"/>
                                    </a:solidFill>
                                    <a:effectLst/>
                                    <a:latin typeface="Cambria Math" panose="02040503050406030204" pitchFamily="18" charset="0"/>
                                    <a:ea typeface="+mn-ea"/>
                                    <a:cs typeface="+mn-cs"/>
                                  </a:rPr>
                                  <m:t>𝐵𝑎𝑠𝑒</m:t>
                                </m:r>
                              </m:sub>
                            </m:sSub>
                          </m:den>
                        </m:f>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1</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𝐸𝑓𝑓</m:t>
                                </m:r>
                              </m:e>
                              <m:sub>
                                <m:r>
                                  <a:rPr lang="en-US" sz="1200" b="0" i="1">
                                    <a:solidFill>
                                      <a:schemeClr val="tx1"/>
                                    </a:solidFill>
                                    <a:effectLst/>
                                    <a:latin typeface="Cambria Math" panose="02040503050406030204" pitchFamily="18" charset="0"/>
                                    <a:ea typeface="+mn-ea"/>
                                    <a:cs typeface="+mn-cs"/>
                                  </a:rPr>
                                  <m:t>𝐸𝐸</m:t>
                                </m:r>
                              </m:sub>
                            </m:sSub>
                          </m:den>
                        </m:f>
                      </m:e>
                    </m:d>
                  </m:oMath>
                </m:oMathPara>
              </a14:m>
              <a:endParaRPr lang="en-US" sz="1600" b="0"/>
            </a:p>
          </xdr:txBody>
        </xdr:sp>
      </mc:Choice>
      <mc:Fallback xmlns="">
        <xdr:sp macro="" textlink="">
          <xdr:nvSpPr>
            <xdr:cNvPr id="146" name="TextBox 145">
              <a:extLst>
                <a:ext uri="{FF2B5EF4-FFF2-40B4-BE49-F238E27FC236}">
                  <a16:creationId xmlns:a16="http://schemas.microsoft.com/office/drawing/2014/main" id="{C9F76C09-55B2-4ADA-81A9-44B1BC0BB437}"/>
                </a:ext>
              </a:extLst>
            </xdr:cNvPr>
            <xdr:cNvSpPr txBox="1"/>
          </xdr:nvSpPr>
          <xdr:spPr>
            <a:xfrm>
              <a:off x="2852056" y="21227142"/>
              <a:ext cx="4770792" cy="8420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∆𝑘𝑊ℎ=𝑄_𝑃𝑜𝑜𝑙𝐻𝑒𝑎𝑡𝑖𝑛𝑔∗</a:t>
              </a:r>
              <a:r>
                <a:rPr lang="en-US" sz="1200" b="0" i="0">
                  <a:solidFill>
                    <a:schemeClr val="tx1"/>
                  </a:solidFill>
                  <a:effectLst/>
                  <a:latin typeface="+mn-lt"/>
                  <a:ea typeface="+mn-ea"/>
                  <a:cs typeface="+mn-cs"/>
                </a:rPr>
                <a:t>(1/〖𝐸𝑓𝑓〗_𝐵𝑎𝑠𝑒 −1/〖𝐸𝑓𝑓〗_𝐸𝐸 )</a:t>
              </a:r>
              <a:endParaRPr lang="en-US" sz="1600" b="0"/>
            </a:p>
          </xdr:txBody>
        </xdr:sp>
      </mc:Fallback>
    </mc:AlternateContent>
    <xdr:clientData/>
  </xdr:twoCellAnchor>
  <xdr:twoCellAnchor>
    <xdr:from>
      <xdr:col>4</xdr:col>
      <xdr:colOff>85451</xdr:colOff>
      <xdr:row>872</xdr:row>
      <xdr:rowOff>54428</xdr:rowOff>
    </xdr:from>
    <xdr:to>
      <xdr:col>7</xdr:col>
      <xdr:colOff>632186</xdr:colOff>
      <xdr:row>874</xdr:row>
      <xdr:rowOff>130085</xdr:rowOff>
    </xdr:to>
    <xdr:sp macro="" textlink="">
      <xdr:nvSpPr>
        <xdr:cNvPr id="354" name="TextBox 1">
          <a:extLst>
            <a:ext uri="{FF2B5EF4-FFF2-40B4-BE49-F238E27FC236}">
              <a16:creationId xmlns:a16="http://schemas.microsoft.com/office/drawing/2014/main" id="{00000000-0008-0000-0500-000062010000}"/>
            </a:ext>
          </a:extLst>
        </xdr:cNvPr>
        <xdr:cNvSpPr txBox="1"/>
      </xdr:nvSpPr>
      <xdr:spPr>
        <a:xfrm flipH="1">
          <a:off x="3813808" y="57857571"/>
          <a:ext cx="8765449" cy="429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chemeClr val="tx1"/>
              </a:solidFill>
              <a:latin typeface="Cambria Math" panose="02040503050406030204" pitchFamily="18" charset="0"/>
              <a:ea typeface="+mn-ea"/>
              <a:cs typeface="+mn-cs"/>
            </a:rPr>
            <a:t>∆𝑘𝑊ℎ = (𝑘𝑊ℎ</a:t>
          </a:r>
          <a:r>
            <a:rPr lang="en-US" sz="1400" b="0" i="0" baseline="-25000">
              <a:solidFill>
                <a:schemeClr val="tx1"/>
              </a:solidFill>
              <a:latin typeface="Cambria Math" panose="02040503050406030204" pitchFamily="18" charset="0"/>
              <a:ea typeface="+mn-ea"/>
              <a:cs typeface="+mn-cs"/>
            </a:rPr>
            <a:t>𝐵𝑎𝑠𝑒</a:t>
          </a:r>
          <a:r>
            <a:rPr lang="en-US" sz="1400" b="0" i="0">
              <a:solidFill>
                <a:schemeClr val="tx1"/>
              </a:solidFill>
              <a:latin typeface="Cambria Math" panose="02040503050406030204" pitchFamily="18" charset="0"/>
              <a:ea typeface="+mn-ea"/>
              <a:cs typeface="+mn-cs"/>
            </a:rPr>
            <a:t> − 𝑘𝑊ℎ</a:t>
          </a:r>
          <a:r>
            <a:rPr lang="en-US" sz="1400" b="0" i="0" baseline="-25000">
              <a:solidFill>
                <a:schemeClr val="tx1"/>
              </a:solidFill>
              <a:latin typeface="Cambria Math" panose="02040503050406030204" pitchFamily="18" charset="0"/>
              <a:ea typeface="+mn-ea"/>
              <a:cs typeface="+mn-cs"/>
            </a:rPr>
            <a:t>𝐸𝑆𝑇𝐴𝑅</a:t>
          </a:r>
          <a:r>
            <a:rPr lang="en-US" sz="1400" b="0" i="0">
              <a:solidFill>
                <a:schemeClr val="tx1"/>
              </a:solidFill>
              <a:latin typeface="Cambria Math" panose="02040503050406030204" pitchFamily="18" charset="0"/>
              <a:ea typeface="+mn-ea"/>
              <a:cs typeface="+mn-cs"/>
            </a:rPr>
            <a:t>) ∗ 𝐷𝑎𝑦𝑠 </a:t>
          </a:r>
        </a:p>
        <a:p>
          <a:pPr algn="l"/>
          <a:endParaRPr lang="en-US" sz="1400"/>
        </a:p>
      </xdr:txBody>
    </xdr:sp>
    <xdr:clientData/>
  </xdr:twoCellAnchor>
  <xdr:twoCellAnchor>
    <xdr:from>
      <xdr:col>4</xdr:col>
      <xdr:colOff>12692</xdr:colOff>
      <xdr:row>478</xdr:row>
      <xdr:rowOff>68280</xdr:rowOff>
    </xdr:from>
    <xdr:to>
      <xdr:col>7</xdr:col>
      <xdr:colOff>1409532</xdr:colOff>
      <xdr:row>479</xdr:row>
      <xdr:rowOff>161925</xdr:rowOff>
    </xdr:to>
    <mc:AlternateContent xmlns:mc="http://schemas.openxmlformats.org/markup-compatibility/2006" xmlns:a14="http://schemas.microsoft.com/office/drawing/2010/main">
      <mc:Choice Requires="a14">
        <xdr:sp macro="" textlink="">
          <xdr:nvSpPr>
            <xdr:cNvPr id="353" name="TextBox 12">
              <a:extLst>
                <a:ext uri="{FF2B5EF4-FFF2-40B4-BE49-F238E27FC236}">
                  <a16:creationId xmlns:a16="http://schemas.microsoft.com/office/drawing/2014/main" id="{00000000-0008-0000-0500-000061010000}"/>
                </a:ext>
              </a:extLst>
            </xdr:cNvPr>
            <xdr:cNvSpPr txBox="1"/>
          </xdr:nvSpPr>
          <xdr:spPr>
            <a:xfrm>
              <a:off x="3736967" y="40959105"/>
              <a:ext cx="7750015" cy="274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3" name="TextBox 12">
              <a:extLst>
                <a:ext uri="{FF2B5EF4-FFF2-40B4-BE49-F238E27FC236}">
                  <a16:creationId xmlns:a16="http://schemas.microsoft.com/office/drawing/2014/main" id="{B04F5D53-3286-4622-AE96-362E865ED2DF}"/>
                </a:ext>
              </a:extLst>
            </xdr:cNvPr>
            <xdr:cNvSpPr txBox="1"/>
          </xdr:nvSpPr>
          <xdr:spPr>
            <a:xfrm>
              <a:off x="3736967" y="40959105"/>
              <a:ext cx="7750015" cy="274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4</xdr:col>
      <xdr:colOff>0</xdr:colOff>
      <xdr:row>476</xdr:row>
      <xdr:rowOff>83819</xdr:rowOff>
    </xdr:from>
    <xdr:to>
      <xdr:col>4</xdr:col>
      <xdr:colOff>3829745</xdr:colOff>
      <xdr:row>478</xdr:row>
      <xdr:rowOff>57149</xdr:rowOff>
    </xdr:to>
    <mc:AlternateContent xmlns:mc="http://schemas.openxmlformats.org/markup-compatibility/2006" xmlns:a14="http://schemas.microsoft.com/office/drawing/2010/main">
      <mc:Choice Requires="a14">
        <xdr:sp macro="" textlink="">
          <xdr:nvSpPr>
            <xdr:cNvPr id="352" name="TextBox 65">
              <a:extLst>
                <a:ext uri="{FF2B5EF4-FFF2-40B4-BE49-F238E27FC236}">
                  <a16:creationId xmlns:a16="http://schemas.microsoft.com/office/drawing/2014/main" id="{00000000-0008-0000-0500-000060010000}"/>
                </a:ext>
              </a:extLst>
            </xdr:cNvPr>
            <xdr:cNvSpPr txBox="1"/>
          </xdr:nvSpPr>
          <xdr:spPr>
            <a:xfrm>
              <a:off x="3724275" y="40612694"/>
              <a:ext cx="3829745" cy="335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𝑇𝑂𝑁𝑆</m:t>
                  </m:r>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𝐼𝑃𝐿𝑉</m:t>
                          </m:r>
                        </m:e>
                        <m:sub>
                          <m:r>
                            <a:rPr lang="en-US" sz="1400" b="0" i="1">
                              <a:solidFill>
                                <a:sysClr val="windowText" lastClr="000000"/>
                              </a:solidFill>
                              <a:latin typeface="Cambria Math" panose="02040503050406030204" pitchFamily="18" charset="0"/>
                              <a:ea typeface="Cambria Math" panose="02040503050406030204" pitchFamily="18" charset="0"/>
                            </a:rPr>
                            <m:t>𝑏𝑎𝑠𝑒</m:t>
                          </m:r>
                        </m:sub>
                      </m:sSub>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𝐸𝐹𝐿𝐻</m:t>
                  </m:r>
                </m:oMath>
              </a14:m>
              <a:r>
                <a:rPr lang="en-US" sz="1400">
                  <a:solidFill>
                    <a:sysClr val="windowText" lastClr="000000"/>
                  </a:solidFill>
                </a:rPr>
                <a:t> * ESF</a:t>
              </a:r>
            </a:p>
          </xdr:txBody>
        </xdr:sp>
      </mc:Choice>
      <mc:Fallback xmlns="">
        <xdr:sp macro="" textlink="">
          <xdr:nvSpPr>
            <xdr:cNvPr id="66" name="TextBox 65">
              <a:extLst>
                <a:ext uri="{FF2B5EF4-FFF2-40B4-BE49-F238E27FC236}">
                  <a16:creationId xmlns:a16="http://schemas.microsoft.com/office/drawing/2014/main" id="{BC8A6992-481A-405F-8576-189527061187}"/>
                </a:ext>
              </a:extLst>
            </xdr:cNvPr>
            <xdr:cNvSpPr txBox="1"/>
          </xdr:nvSpPr>
          <xdr:spPr>
            <a:xfrm>
              <a:off x="3724275" y="40612694"/>
              <a:ext cx="3829745" cy="335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𝑘𝑊ℎ=𝑇𝑂𝑁𝑆∗(〖𝐼𝑃𝐿𝑉〗_𝑏𝑎𝑠𝑒 )∗𝐸𝐹𝐿𝐻</a:t>
              </a:r>
              <a:r>
                <a:rPr lang="en-US" sz="1400">
                  <a:solidFill>
                    <a:sysClr val="windowText" lastClr="000000"/>
                  </a:solidFill>
                </a:rPr>
                <a:t> * ESF</a:t>
              </a:r>
            </a:p>
          </xdr:txBody>
        </xdr:sp>
      </mc:Fallback>
    </mc:AlternateContent>
    <xdr:clientData/>
  </xdr:twoCellAnchor>
  <xdr:twoCellAnchor>
    <xdr:from>
      <xdr:col>4</xdr:col>
      <xdr:colOff>0</xdr:colOff>
      <xdr:row>637</xdr:row>
      <xdr:rowOff>0</xdr:rowOff>
    </xdr:from>
    <xdr:to>
      <xdr:col>5</xdr:col>
      <xdr:colOff>564425</xdr:colOff>
      <xdr:row>639</xdr:row>
      <xdr:rowOff>51882</xdr:rowOff>
    </xdr:to>
    <mc:AlternateContent xmlns:mc="http://schemas.openxmlformats.org/markup-compatibility/2006" xmlns:a14="http://schemas.microsoft.com/office/drawing/2010/main">
      <mc:Choice Requires="a14">
        <xdr:sp macro="" textlink="">
          <xdr:nvSpPr>
            <xdr:cNvPr id="351" name="TextBox 148">
              <a:extLst>
                <a:ext uri="{FF2B5EF4-FFF2-40B4-BE49-F238E27FC236}">
                  <a16:creationId xmlns:a16="http://schemas.microsoft.com/office/drawing/2014/main" id="{00000000-0008-0000-0500-00005F010000}"/>
                </a:ext>
              </a:extLst>
            </xdr:cNvPr>
            <xdr:cNvSpPr txBox="1"/>
          </xdr:nvSpPr>
          <xdr:spPr>
            <a:xfrm>
              <a:off x="3724275" y="59712225"/>
              <a:ext cx="4460150" cy="413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49" name="TextBox 148">
              <a:extLst>
                <a:ext uri="{FF2B5EF4-FFF2-40B4-BE49-F238E27FC236}">
                  <a16:creationId xmlns:a16="http://schemas.microsoft.com/office/drawing/2014/main" id="{76817FA5-82BA-4CDE-9404-69183092449A}"/>
                </a:ext>
              </a:extLst>
            </xdr:cNvPr>
            <xdr:cNvSpPr txBox="1"/>
          </xdr:nvSpPr>
          <xdr:spPr>
            <a:xfrm>
              <a:off x="3724275" y="59712225"/>
              <a:ext cx="4460150" cy="413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3</xdr:col>
      <xdr:colOff>1685924</xdr:colOff>
      <xdr:row>634</xdr:row>
      <xdr:rowOff>142874</xdr:rowOff>
    </xdr:from>
    <xdr:to>
      <xdr:col>6</xdr:col>
      <xdr:colOff>911678</xdr:colOff>
      <xdr:row>636</xdr:row>
      <xdr:rowOff>135819</xdr:rowOff>
    </xdr:to>
    <mc:AlternateContent xmlns:mc="http://schemas.openxmlformats.org/markup-compatibility/2006" xmlns:a14="http://schemas.microsoft.com/office/drawing/2010/main">
      <mc:Choice Requires="a14">
        <xdr:sp macro="" textlink="">
          <xdr:nvSpPr>
            <xdr:cNvPr id="48" name="TextBox 150">
              <a:extLst>
                <a:ext uri="{FF2B5EF4-FFF2-40B4-BE49-F238E27FC236}">
                  <a16:creationId xmlns:a16="http://schemas.microsoft.com/office/drawing/2014/main" id="{00000000-0008-0000-0500-00005E010000}"/>
                </a:ext>
              </a:extLst>
            </xdr:cNvPr>
            <xdr:cNvSpPr txBox="1"/>
          </xdr:nvSpPr>
          <xdr:spPr>
            <a:xfrm flipH="1">
              <a:off x="3724274" y="52254149"/>
              <a:ext cx="6150429" cy="3548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𝐶𝐹𝑀</m:t>
                        </m:r>
                      </m:e>
                      <m:sub>
                        <m:r>
                          <a:rPr lang="en-US" sz="1400" b="0" i="1">
                            <a:solidFill>
                              <a:sysClr val="windowText" lastClr="000000"/>
                            </a:solidFill>
                            <a:latin typeface="Cambria Math" panose="02040503050406030204" pitchFamily="18" charset="0"/>
                            <a:ea typeface="Cambria Math" panose="02040503050406030204" pitchFamily="18" charset="0"/>
                          </a:rPr>
                          <m:t>𝑟𝑒𝑑𝑢𝑐𝑒𝑑</m:t>
                        </m:r>
                      </m:sub>
                    </m:sSub>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𝑘𝑊</m:t>
                        </m:r>
                      </m:e>
                      <m:sub>
                        <m:r>
                          <a:rPr lang="en-US" sz="1400" b="0" i="1">
                            <a:solidFill>
                              <a:sysClr val="windowText" lastClr="000000"/>
                            </a:solidFill>
                            <a:latin typeface="Cambria Math" panose="02040503050406030204" pitchFamily="18" charset="0"/>
                            <a:ea typeface="Cambria Math" panose="02040503050406030204" pitchFamily="18" charset="0"/>
                          </a:rPr>
                          <m:t>𝐶𝐹𝑀</m:t>
                        </m:r>
                        <m:r>
                          <a:rPr lang="en-US" sz="1400" b="0" i="1">
                            <a:solidFill>
                              <a:sysClr val="windowText" lastClr="000000"/>
                            </a:solidFill>
                            <a:latin typeface="Cambria Math" panose="02040503050406030204" pitchFamily="18" charset="0"/>
                            <a:ea typeface="Cambria Math" panose="02040503050406030204" pitchFamily="18" charset="0"/>
                          </a:rPr>
                          <m:t> </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𝐶𝐶𝐴𝐹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oMath>
                </m:oMathPara>
              </a14:m>
              <a:endParaRPr lang="en-US" sz="1100">
                <a:solidFill>
                  <a:sysClr val="windowText" lastClr="000000"/>
                </a:solidFill>
              </a:endParaRPr>
            </a:p>
          </xdr:txBody>
        </xdr:sp>
      </mc:Choice>
      <mc:Fallback xmlns="">
        <xdr:sp macro="" textlink="">
          <xdr:nvSpPr>
            <xdr:cNvPr id="350" name="TextBox 150">
              <a:extLst>
                <a:ext uri="{FF2B5EF4-FFF2-40B4-BE49-F238E27FC236}">
                  <a16:creationId xmlns:a16="http://schemas.microsoft.com/office/drawing/2014/main" id="{00000000-0008-0000-0500-00005E010000}"/>
                </a:ext>
              </a:extLst>
            </xdr:cNvPr>
            <xdr:cNvSpPr txBox="1"/>
          </xdr:nvSpPr>
          <xdr:spPr>
            <a:xfrm flipH="1">
              <a:off x="3724274" y="52254149"/>
              <a:ext cx="6150429" cy="3548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𝑘𝑊ℎ=〖𝐶𝐹𝑀〗_𝑟𝑒𝑑𝑢𝑐𝑒𝑑∗〖𝑘𝑊〗_(𝐶𝐹𝑀 )∗𝐶𝐶𝐴𝐹∗𝐻𝑜𝑢𝑟𝑠</a:t>
              </a:r>
              <a:endParaRPr lang="en-US" sz="1100">
                <a:solidFill>
                  <a:sysClr val="windowText" lastClr="000000"/>
                </a:solidFill>
              </a:endParaRPr>
            </a:p>
          </xdr:txBody>
        </xdr:sp>
      </mc:Fallback>
    </mc:AlternateContent>
    <xdr:clientData/>
  </xdr:twoCellAnchor>
  <xdr:oneCellAnchor>
    <xdr:from>
      <xdr:col>26</xdr:col>
      <xdr:colOff>935831</xdr:colOff>
      <xdr:row>290</xdr:row>
      <xdr:rowOff>0</xdr:rowOff>
    </xdr:from>
    <xdr:ext cx="65" cy="172227"/>
    <xdr:sp macro="" textlink="">
      <xdr:nvSpPr>
        <xdr:cNvPr id="150" name="TextBox 149">
          <a:extLst>
            <a:ext uri="{FF2B5EF4-FFF2-40B4-BE49-F238E27FC236}">
              <a16:creationId xmlns:a16="http://schemas.microsoft.com/office/drawing/2014/main" id="{00000000-0008-0000-0500-00009600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290</xdr:row>
      <xdr:rowOff>0</xdr:rowOff>
    </xdr:from>
    <xdr:ext cx="65" cy="172227"/>
    <xdr:sp macro="" textlink="">
      <xdr:nvSpPr>
        <xdr:cNvPr id="152" name="TextBox 151">
          <a:extLst>
            <a:ext uri="{FF2B5EF4-FFF2-40B4-BE49-F238E27FC236}">
              <a16:creationId xmlns:a16="http://schemas.microsoft.com/office/drawing/2014/main" id="{00000000-0008-0000-0500-00009800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315</xdr:row>
      <xdr:rowOff>0</xdr:rowOff>
    </xdr:from>
    <xdr:ext cx="65" cy="172227"/>
    <xdr:sp macro="" textlink="">
      <xdr:nvSpPr>
        <xdr:cNvPr id="154" name="TextBox 153">
          <a:extLst>
            <a:ext uri="{FF2B5EF4-FFF2-40B4-BE49-F238E27FC236}">
              <a16:creationId xmlns:a16="http://schemas.microsoft.com/office/drawing/2014/main" id="{00000000-0008-0000-0500-00009A00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315</xdr:row>
      <xdr:rowOff>0</xdr:rowOff>
    </xdr:from>
    <xdr:ext cx="65" cy="172227"/>
    <xdr:sp macro="" textlink="">
      <xdr:nvSpPr>
        <xdr:cNvPr id="157" name="TextBox 156">
          <a:extLst>
            <a:ext uri="{FF2B5EF4-FFF2-40B4-BE49-F238E27FC236}">
              <a16:creationId xmlns:a16="http://schemas.microsoft.com/office/drawing/2014/main" id="{00000000-0008-0000-0500-00009D00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335</xdr:row>
      <xdr:rowOff>0</xdr:rowOff>
    </xdr:from>
    <xdr:ext cx="65" cy="172227"/>
    <xdr:sp macro="" textlink="">
      <xdr:nvSpPr>
        <xdr:cNvPr id="158" name="TextBox 157">
          <a:extLst>
            <a:ext uri="{FF2B5EF4-FFF2-40B4-BE49-F238E27FC236}">
              <a16:creationId xmlns:a16="http://schemas.microsoft.com/office/drawing/2014/main" id="{00000000-0008-0000-0500-00009E00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335</xdr:row>
      <xdr:rowOff>0</xdr:rowOff>
    </xdr:from>
    <xdr:ext cx="65" cy="172227"/>
    <xdr:sp macro="" textlink="">
      <xdr:nvSpPr>
        <xdr:cNvPr id="159" name="TextBox 158">
          <a:extLst>
            <a:ext uri="{FF2B5EF4-FFF2-40B4-BE49-F238E27FC236}">
              <a16:creationId xmlns:a16="http://schemas.microsoft.com/office/drawing/2014/main" id="{00000000-0008-0000-0500-00009F00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513</xdr:row>
      <xdr:rowOff>0</xdr:rowOff>
    </xdr:from>
    <xdr:ext cx="65" cy="172227"/>
    <xdr:sp macro="" textlink="">
      <xdr:nvSpPr>
        <xdr:cNvPr id="160" name="TextBox 159">
          <a:extLst>
            <a:ext uri="{FF2B5EF4-FFF2-40B4-BE49-F238E27FC236}">
              <a16:creationId xmlns:a16="http://schemas.microsoft.com/office/drawing/2014/main" id="{00000000-0008-0000-0500-0000A000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513</xdr:row>
      <xdr:rowOff>0</xdr:rowOff>
    </xdr:from>
    <xdr:ext cx="65" cy="172227"/>
    <xdr:sp macro="" textlink="">
      <xdr:nvSpPr>
        <xdr:cNvPr id="167" name="TextBox 166">
          <a:extLst>
            <a:ext uri="{FF2B5EF4-FFF2-40B4-BE49-F238E27FC236}">
              <a16:creationId xmlns:a16="http://schemas.microsoft.com/office/drawing/2014/main" id="{00000000-0008-0000-0500-0000A700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553</xdr:row>
      <xdr:rowOff>0</xdr:rowOff>
    </xdr:from>
    <xdr:ext cx="65" cy="172227"/>
    <xdr:sp macro="" textlink="">
      <xdr:nvSpPr>
        <xdr:cNvPr id="168" name="TextBox 167">
          <a:extLst>
            <a:ext uri="{FF2B5EF4-FFF2-40B4-BE49-F238E27FC236}">
              <a16:creationId xmlns:a16="http://schemas.microsoft.com/office/drawing/2014/main" id="{00000000-0008-0000-0500-0000A800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553</xdr:row>
      <xdr:rowOff>0</xdr:rowOff>
    </xdr:from>
    <xdr:ext cx="65" cy="172227"/>
    <xdr:sp macro="" textlink="">
      <xdr:nvSpPr>
        <xdr:cNvPr id="169" name="TextBox 168">
          <a:extLst>
            <a:ext uri="{FF2B5EF4-FFF2-40B4-BE49-F238E27FC236}">
              <a16:creationId xmlns:a16="http://schemas.microsoft.com/office/drawing/2014/main" id="{00000000-0008-0000-0500-0000A900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1" name="TextBox 88">
          <a:extLst>
            <a:ext uri="{FF2B5EF4-FFF2-40B4-BE49-F238E27FC236}">
              <a16:creationId xmlns:a16="http://schemas.microsoft.com/office/drawing/2014/main" id="{00000000-0008-0000-0500-00000501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2" name="TextBox 89">
          <a:extLst>
            <a:ext uri="{FF2B5EF4-FFF2-40B4-BE49-F238E27FC236}">
              <a16:creationId xmlns:a16="http://schemas.microsoft.com/office/drawing/2014/main" id="{00000000-0008-0000-0500-00000601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3" name="TextBox 90">
          <a:extLst>
            <a:ext uri="{FF2B5EF4-FFF2-40B4-BE49-F238E27FC236}">
              <a16:creationId xmlns:a16="http://schemas.microsoft.com/office/drawing/2014/main" id="{00000000-0008-0000-0500-00000701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4" name="TextBox 91">
          <a:extLst>
            <a:ext uri="{FF2B5EF4-FFF2-40B4-BE49-F238E27FC236}">
              <a16:creationId xmlns:a16="http://schemas.microsoft.com/office/drawing/2014/main" id="{00000000-0008-0000-0500-00000801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5" name="TextBox 92">
          <a:extLst>
            <a:ext uri="{FF2B5EF4-FFF2-40B4-BE49-F238E27FC236}">
              <a16:creationId xmlns:a16="http://schemas.microsoft.com/office/drawing/2014/main" id="{00000000-0008-0000-0500-00000901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6" name="TextBox 93">
          <a:extLst>
            <a:ext uri="{FF2B5EF4-FFF2-40B4-BE49-F238E27FC236}">
              <a16:creationId xmlns:a16="http://schemas.microsoft.com/office/drawing/2014/main" id="{00000000-0008-0000-0500-00000A01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7" name="TextBox 94">
          <a:extLst>
            <a:ext uri="{FF2B5EF4-FFF2-40B4-BE49-F238E27FC236}">
              <a16:creationId xmlns:a16="http://schemas.microsoft.com/office/drawing/2014/main" id="{00000000-0008-0000-0500-00000B01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8" name="TextBox 95">
          <a:extLst>
            <a:ext uri="{FF2B5EF4-FFF2-40B4-BE49-F238E27FC236}">
              <a16:creationId xmlns:a16="http://schemas.microsoft.com/office/drawing/2014/main" id="{00000000-0008-0000-0500-00000C01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9" name="TextBox 96">
          <a:extLst>
            <a:ext uri="{FF2B5EF4-FFF2-40B4-BE49-F238E27FC236}">
              <a16:creationId xmlns:a16="http://schemas.microsoft.com/office/drawing/2014/main" id="{00000000-0008-0000-0500-00000D01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0" name="TextBox 97">
          <a:extLst>
            <a:ext uri="{FF2B5EF4-FFF2-40B4-BE49-F238E27FC236}">
              <a16:creationId xmlns:a16="http://schemas.microsoft.com/office/drawing/2014/main" id="{00000000-0008-0000-0500-00000E01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1" name="TextBox 98">
          <a:extLst>
            <a:ext uri="{FF2B5EF4-FFF2-40B4-BE49-F238E27FC236}">
              <a16:creationId xmlns:a16="http://schemas.microsoft.com/office/drawing/2014/main" id="{00000000-0008-0000-0500-00000F01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2" name="TextBox 99">
          <a:extLst>
            <a:ext uri="{FF2B5EF4-FFF2-40B4-BE49-F238E27FC236}">
              <a16:creationId xmlns:a16="http://schemas.microsoft.com/office/drawing/2014/main" id="{00000000-0008-0000-0500-00001001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3" name="TextBox 100">
          <a:extLst>
            <a:ext uri="{FF2B5EF4-FFF2-40B4-BE49-F238E27FC236}">
              <a16:creationId xmlns:a16="http://schemas.microsoft.com/office/drawing/2014/main" id="{00000000-0008-0000-0500-00001101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4" name="TextBox 101">
          <a:extLst>
            <a:ext uri="{FF2B5EF4-FFF2-40B4-BE49-F238E27FC236}">
              <a16:creationId xmlns:a16="http://schemas.microsoft.com/office/drawing/2014/main" id="{00000000-0008-0000-0500-00001201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5" name="TextBox 102">
          <a:extLst>
            <a:ext uri="{FF2B5EF4-FFF2-40B4-BE49-F238E27FC236}">
              <a16:creationId xmlns:a16="http://schemas.microsoft.com/office/drawing/2014/main" id="{00000000-0008-0000-0500-00001301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6" name="TextBox 103">
          <a:extLst>
            <a:ext uri="{FF2B5EF4-FFF2-40B4-BE49-F238E27FC236}">
              <a16:creationId xmlns:a16="http://schemas.microsoft.com/office/drawing/2014/main" id="{00000000-0008-0000-0500-00001401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7" name="TextBox 104">
          <a:extLst>
            <a:ext uri="{FF2B5EF4-FFF2-40B4-BE49-F238E27FC236}">
              <a16:creationId xmlns:a16="http://schemas.microsoft.com/office/drawing/2014/main" id="{00000000-0008-0000-0500-00001501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8" name="TextBox 105">
          <a:extLst>
            <a:ext uri="{FF2B5EF4-FFF2-40B4-BE49-F238E27FC236}">
              <a16:creationId xmlns:a16="http://schemas.microsoft.com/office/drawing/2014/main" id="{00000000-0008-0000-0500-00001601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9" name="TextBox 106">
          <a:extLst>
            <a:ext uri="{FF2B5EF4-FFF2-40B4-BE49-F238E27FC236}">
              <a16:creationId xmlns:a16="http://schemas.microsoft.com/office/drawing/2014/main" id="{00000000-0008-0000-0500-00001701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0" name="TextBox 107">
          <a:extLst>
            <a:ext uri="{FF2B5EF4-FFF2-40B4-BE49-F238E27FC236}">
              <a16:creationId xmlns:a16="http://schemas.microsoft.com/office/drawing/2014/main" id="{00000000-0008-0000-0500-00001801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1" name="TextBox 108">
          <a:extLst>
            <a:ext uri="{FF2B5EF4-FFF2-40B4-BE49-F238E27FC236}">
              <a16:creationId xmlns:a16="http://schemas.microsoft.com/office/drawing/2014/main" id="{00000000-0008-0000-0500-00001901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2" name="TextBox 109">
          <a:extLst>
            <a:ext uri="{FF2B5EF4-FFF2-40B4-BE49-F238E27FC236}">
              <a16:creationId xmlns:a16="http://schemas.microsoft.com/office/drawing/2014/main" id="{00000000-0008-0000-0500-00001A01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3" name="TextBox 110">
          <a:extLst>
            <a:ext uri="{FF2B5EF4-FFF2-40B4-BE49-F238E27FC236}">
              <a16:creationId xmlns:a16="http://schemas.microsoft.com/office/drawing/2014/main" id="{00000000-0008-0000-0500-00001B01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4" name="TextBox 111">
          <a:extLst>
            <a:ext uri="{FF2B5EF4-FFF2-40B4-BE49-F238E27FC236}">
              <a16:creationId xmlns:a16="http://schemas.microsoft.com/office/drawing/2014/main" id="{00000000-0008-0000-0500-00001C01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6" name="TextBox 113">
          <a:extLst>
            <a:ext uri="{FF2B5EF4-FFF2-40B4-BE49-F238E27FC236}">
              <a16:creationId xmlns:a16="http://schemas.microsoft.com/office/drawing/2014/main" id="{00000000-0008-0000-0500-00001E01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7" name="TextBox 114">
          <a:extLst>
            <a:ext uri="{FF2B5EF4-FFF2-40B4-BE49-F238E27FC236}">
              <a16:creationId xmlns:a16="http://schemas.microsoft.com/office/drawing/2014/main" id="{00000000-0008-0000-0500-00001F01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8" name="TextBox 115">
          <a:extLst>
            <a:ext uri="{FF2B5EF4-FFF2-40B4-BE49-F238E27FC236}">
              <a16:creationId xmlns:a16="http://schemas.microsoft.com/office/drawing/2014/main" id="{00000000-0008-0000-0500-00002001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9" name="TextBox 116">
          <a:extLst>
            <a:ext uri="{FF2B5EF4-FFF2-40B4-BE49-F238E27FC236}">
              <a16:creationId xmlns:a16="http://schemas.microsoft.com/office/drawing/2014/main" id="{00000000-0008-0000-0500-00002101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0" name="TextBox 117">
          <a:extLst>
            <a:ext uri="{FF2B5EF4-FFF2-40B4-BE49-F238E27FC236}">
              <a16:creationId xmlns:a16="http://schemas.microsoft.com/office/drawing/2014/main" id="{00000000-0008-0000-0500-00002201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1" name="TextBox 118">
          <a:extLst>
            <a:ext uri="{FF2B5EF4-FFF2-40B4-BE49-F238E27FC236}">
              <a16:creationId xmlns:a16="http://schemas.microsoft.com/office/drawing/2014/main" id="{00000000-0008-0000-0500-00002301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2" name="TextBox 119">
          <a:extLst>
            <a:ext uri="{FF2B5EF4-FFF2-40B4-BE49-F238E27FC236}">
              <a16:creationId xmlns:a16="http://schemas.microsoft.com/office/drawing/2014/main" id="{00000000-0008-0000-0500-00002401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3" name="TextBox 120">
          <a:extLst>
            <a:ext uri="{FF2B5EF4-FFF2-40B4-BE49-F238E27FC236}">
              <a16:creationId xmlns:a16="http://schemas.microsoft.com/office/drawing/2014/main" id="{00000000-0008-0000-0500-00002501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4" name="TextBox 121">
          <a:extLst>
            <a:ext uri="{FF2B5EF4-FFF2-40B4-BE49-F238E27FC236}">
              <a16:creationId xmlns:a16="http://schemas.microsoft.com/office/drawing/2014/main" id="{00000000-0008-0000-0500-00002601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5" name="TextBox 122">
          <a:extLst>
            <a:ext uri="{FF2B5EF4-FFF2-40B4-BE49-F238E27FC236}">
              <a16:creationId xmlns:a16="http://schemas.microsoft.com/office/drawing/2014/main" id="{00000000-0008-0000-0500-00002701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6" name="TextBox 123">
          <a:extLst>
            <a:ext uri="{FF2B5EF4-FFF2-40B4-BE49-F238E27FC236}">
              <a16:creationId xmlns:a16="http://schemas.microsoft.com/office/drawing/2014/main" id="{00000000-0008-0000-0500-00002801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7" name="TextBox 124">
          <a:extLst>
            <a:ext uri="{FF2B5EF4-FFF2-40B4-BE49-F238E27FC236}">
              <a16:creationId xmlns:a16="http://schemas.microsoft.com/office/drawing/2014/main" id="{00000000-0008-0000-0500-00002901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8" name="TextBox 125">
          <a:extLst>
            <a:ext uri="{FF2B5EF4-FFF2-40B4-BE49-F238E27FC236}">
              <a16:creationId xmlns:a16="http://schemas.microsoft.com/office/drawing/2014/main" id="{00000000-0008-0000-0500-00002A01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9" name="TextBox 126">
          <a:extLst>
            <a:ext uri="{FF2B5EF4-FFF2-40B4-BE49-F238E27FC236}">
              <a16:creationId xmlns:a16="http://schemas.microsoft.com/office/drawing/2014/main" id="{00000000-0008-0000-0500-00002B01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0" name="TextBox 127">
          <a:extLst>
            <a:ext uri="{FF2B5EF4-FFF2-40B4-BE49-F238E27FC236}">
              <a16:creationId xmlns:a16="http://schemas.microsoft.com/office/drawing/2014/main" id="{00000000-0008-0000-0500-00002C01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1" name="TextBox 128">
          <a:extLst>
            <a:ext uri="{FF2B5EF4-FFF2-40B4-BE49-F238E27FC236}">
              <a16:creationId xmlns:a16="http://schemas.microsoft.com/office/drawing/2014/main" id="{00000000-0008-0000-0500-00002D01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2" name="TextBox 129">
          <a:extLst>
            <a:ext uri="{FF2B5EF4-FFF2-40B4-BE49-F238E27FC236}">
              <a16:creationId xmlns:a16="http://schemas.microsoft.com/office/drawing/2014/main" id="{00000000-0008-0000-0500-00002E01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3" name="TextBox 130">
          <a:extLst>
            <a:ext uri="{FF2B5EF4-FFF2-40B4-BE49-F238E27FC236}">
              <a16:creationId xmlns:a16="http://schemas.microsoft.com/office/drawing/2014/main" id="{00000000-0008-0000-0500-00002F01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4" name="TextBox 131">
          <a:extLst>
            <a:ext uri="{FF2B5EF4-FFF2-40B4-BE49-F238E27FC236}">
              <a16:creationId xmlns:a16="http://schemas.microsoft.com/office/drawing/2014/main" id="{00000000-0008-0000-0500-00003001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5" name="TextBox 132">
          <a:extLst>
            <a:ext uri="{FF2B5EF4-FFF2-40B4-BE49-F238E27FC236}">
              <a16:creationId xmlns:a16="http://schemas.microsoft.com/office/drawing/2014/main" id="{00000000-0008-0000-0500-00003101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6" name="TextBox 133">
          <a:extLst>
            <a:ext uri="{FF2B5EF4-FFF2-40B4-BE49-F238E27FC236}">
              <a16:creationId xmlns:a16="http://schemas.microsoft.com/office/drawing/2014/main" id="{00000000-0008-0000-0500-00003201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7" name="TextBox 134">
          <a:extLst>
            <a:ext uri="{FF2B5EF4-FFF2-40B4-BE49-F238E27FC236}">
              <a16:creationId xmlns:a16="http://schemas.microsoft.com/office/drawing/2014/main" id="{00000000-0008-0000-0500-00003301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8" name="TextBox 135">
          <a:extLst>
            <a:ext uri="{FF2B5EF4-FFF2-40B4-BE49-F238E27FC236}">
              <a16:creationId xmlns:a16="http://schemas.microsoft.com/office/drawing/2014/main" id="{00000000-0008-0000-0500-00003401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9" name="TextBox 136">
          <a:extLst>
            <a:ext uri="{FF2B5EF4-FFF2-40B4-BE49-F238E27FC236}">
              <a16:creationId xmlns:a16="http://schemas.microsoft.com/office/drawing/2014/main" id="{00000000-0008-0000-0500-00003501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10" name="TextBox 137">
          <a:extLst>
            <a:ext uri="{FF2B5EF4-FFF2-40B4-BE49-F238E27FC236}">
              <a16:creationId xmlns:a16="http://schemas.microsoft.com/office/drawing/2014/main" id="{00000000-0008-0000-0500-00003601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11" name="TextBox 138">
          <a:extLst>
            <a:ext uri="{FF2B5EF4-FFF2-40B4-BE49-F238E27FC236}">
              <a16:creationId xmlns:a16="http://schemas.microsoft.com/office/drawing/2014/main" id="{00000000-0008-0000-0500-00003701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12" name="TextBox 139">
          <a:extLst>
            <a:ext uri="{FF2B5EF4-FFF2-40B4-BE49-F238E27FC236}">
              <a16:creationId xmlns:a16="http://schemas.microsoft.com/office/drawing/2014/main" id="{00000000-0008-0000-0500-00003801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184731" cy="264560"/>
    <xdr:sp macro="" textlink="">
      <xdr:nvSpPr>
        <xdr:cNvPr id="315" name="TextBox 142">
          <a:extLst>
            <a:ext uri="{FF2B5EF4-FFF2-40B4-BE49-F238E27FC236}">
              <a16:creationId xmlns:a16="http://schemas.microsoft.com/office/drawing/2014/main" id="{00000000-0008-0000-0500-00003B010000}"/>
            </a:ext>
          </a:extLst>
        </xdr:cNvPr>
        <xdr:cNvSpPr txBox="1"/>
      </xdr:nvSpPr>
      <xdr:spPr>
        <a:xfrm>
          <a:off x="7515497" y="157407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18" name="TextBox 146">
          <a:extLst>
            <a:ext uri="{FF2B5EF4-FFF2-40B4-BE49-F238E27FC236}">
              <a16:creationId xmlns:a16="http://schemas.microsoft.com/office/drawing/2014/main" id="{00000000-0008-0000-0500-00003E01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19" name="TextBox 147">
          <a:extLst>
            <a:ext uri="{FF2B5EF4-FFF2-40B4-BE49-F238E27FC236}">
              <a16:creationId xmlns:a16="http://schemas.microsoft.com/office/drawing/2014/main" id="{00000000-0008-0000-0500-00003F01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23" name="TextBox 160">
          <a:extLst>
            <a:ext uri="{FF2B5EF4-FFF2-40B4-BE49-F238E27FC236}">
              <a16:creationId xmlns:a16="http://schemas.microsoft.com/office/drawing/2014/main" id="{00000000-0008-0000-0500-000043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24" name="TextBox 161">
          <a:extLst>
            <a:ext uri="{FF2B5EF4-FFF2-40B4-BE49-F238E27FC236}">
              <a16:creationId xmlns:a16="http://schemas.microsoft.com/office/drawing/2014/main" id="{00000000-0008-0000-0500-000044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25" name="TextBox 162">
          <a:extLst>
            <a:ext uri="{FF2B5EF4-FFF2-40B4-BE49-F238E27FC236}">
              <a16:creationId xmlns:a16="http://schemas.microsoft.com/office/drawing/2014/main" id="{00000000-0008-0000-0500-000045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26" name="TextBox 163">
          <a:extLst>
            <a:ext uri="{FF2B5EF4-FFF2-40B4-BE49-F238E27FC236}">
              <a16:creationId xmlns:a16="http://schemas.microsoft.com/office/drawing/2014/main" id="{00000000-0008-0000-0500-000046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27" name="TextBox 164">
          <a:extLst>
            <a:ext uri="{FF2B5EF4-FFF2-40B4-BE49-F238E27FC236}">
              <a16:creationId xmlns:a16="http://schemas.microsoft.com/office/drawing/2014/main" id="{00000000-0008-0000-0500-00004701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28" name="TextBox 165">
          <a:extLst>
            <a:ext uri="{FF2B5EF4-FFF2-40B4-BE49-F238E27FC236}">
              <a16:creationId xmlns:a16="http://schemas.microsoft.com/office/drawing/2014/main" id="{00000000-0008-0000-0500-00004801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39" name="TextBox 149">
          <a:extLst>
            <a:ext uri="{FF2B5EF4-FFF2-40B4-BE49-F238E27FC236}">
              <a16:creationId xmlns:a16="http://schemas.microsoft.com/office/drawing/2014/main" id="{00000000-0008-0000-0500-00005301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0" name="TextBox 151">
          <a:extLst>
            <a:ext uri="{FF2B5EF4-FFF2-40B4-BE49-F238E27FC236}">
              <a16:creationId xmlns:a16="http://schemas.microsoft.com/office/drawing/2014/main" id="{00000000-0008-0000-0500-00005401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1" name="TextBox 153">
          <a:extLst>
            <a:ext uri="{FF2B5EF4-FFF2-40B4-BE49-F238E27FC236}">
              <a16:creationId xmlns:a16="http://schemas.microsoft.com/office/drawing/2014/main" id="{00000000-0008-0000-0500-00005501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2" name="TextBox 156">
          <a:extLst>
            <a:ext uri="{FF2B5EF4-FFF2-40B4-BE49-F238E27FC236}">
              <a16:creationId xmlns:a16="http://schemas.microsoft.com/office/drawing/2014/main" id="{00000000-0008-0000-0500-00005601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3" name="TextBox 157">
          <a:extLst>
            <a:ext uri="{FF2B5EF4-FFF2-40B4-BE49-F238E27FC236}">
              <a16:creationId xmlns:a16="http://schemas.microsoft.com/office/drawing/2014/main" id="{00000000-0008-0000-0500-00005701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4" name="TextBox 158">
          <a:extLst>
            <a:ext uri="{FF2B5EF4-FFF2-40B4-BE49-F238E27FC236}">
              <a16:creationId xmlns:a16="http://schemas.microsoft.com/office/drawing/2014/main" id="{00000000-0008-0000-0500-00005801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5" name="TextBox 159">
          <a:extLst>
            <a:ext uri="{FF2B5EF4-FFF2-40B4-BE49-F238E27FC236}">
              <a16:creationId xmlns:a16="http://schemas.microsoft.com/office/drawing/2014/main" id="{00000000-0008-0000-0500-00005901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6" name="TextBox 166">
          <a:extLst>
            <a:ext uri="{FF2B5EF4-FFF2-40B4-BE49-F238E27FC236}">
              <a16:creationId xmlns:a16="http://schemas.microsoft.com/office/drawing/2014/main" id="{00000000-0008-0000-0500-00005A01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7" name="TextBox 167">
          <a:extLst>
            <a:ext uri="{FF2B5EF4-FFF2-40B4-BE49-F238E27FC236}">
              <a16:creationId xmlns:a16="http://schemas.microsoft.com/office/drawing/2014/main" id="{00000000-0008-0000-0500-00005B01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8" name="TextBox 168">
          <a:extLst>
            <a:ext uri="{FF2B5EF4-FFF2-40B4-BE49-F238E27FC236}">
              <a16:creationId xmlns:a16="http://schemas.microsoft.com/office/drawing/2014/main" id="{00000000-0008-0000-0500-00005C01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9" name="TextBox 112">
          <a:extLst>
            <a:ext uri="{FF2B5EF4-FFF2-40B4-BE49-F238E27FC236}">
              <a16:creationId xmlns:a16="http://schemas.microsoft.com/office/drawing/2014/main" id="{00000000-0008-0000-0500-00005D01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637</xdr:row>
      <xdr:rowOff>0</xdr:rowOff>
    </xdr:from>
    <xdr:to>
      <xdr:col>5</xdr:col>
      <xdr:colOff>564425</xdr:colOff>
      <xdr:row>639</xdr:row>
      <xdr:rowOff>51882</xdr:rowOff>
    </xdr:to>
    <mc:AlternateContent xmlns:mc="http://schemas.openxmlformats.org/markup-compatibility/2006" xmlns:a14="http://schemas.microsoft.com/office/drawing/2010/main">
      <mc:Choice Requires="a14">
        <xdr:sp macro="" textlink="">
          <xdr:nvSpPr>
            <xdr:cNvPr id="453" name="TextBox 148">
              <a:extLst>
                <a:ext uri="{FF2B5EF4-FFF2-40B4-BE49-F238E27FC236}">
                  <a16:creationId xmlns:a16="http://schemas.microsoft.com/office/drawing/2014/main" id="{00000000-0008-0000-0500-0000C5010000}"/>
                </a:ext>
              </a:extLst>
            </xdr:cNvPr>
            <xdr:cNvSpPr txBox="1"/>
          </xdr:nvSpPr>
          <xdr:spPr>
            <a:xfrm>
              <a:off x="3724275" y="59712225"/>
              <a:ext cx="4460150" cy="413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49" name="TextBox 148">
              <a:extLst>
                <a:ext uri="{FF2B5EF4-FFF2-40B4-BE49-F238E27FC236}">
                  <a16:creationId xmlns:a16="http://schemas.microsoft.com/office/drawing/2014/main" id="{76817FA5-82BA-4CDE-9404-69183092449A}"/>
                </a:ext>
              </a:extLst>
            </xdr:cNvPr>
            <xdr:cNvSpPr txBox="1"/>
          </xdr:nvSpPr>
          <xdr:spPr>
            <a:xfrm>
              <a:off x="3724275" y="59712225"/>
              <a:ext cx="4460150" cy="413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4</xdr:col>
      <xdr:colOff>0</xdr:colOff>
      <xdr:row>476</xdr:row>
      <xdr:rowOff>83819</xdr:rowOff>
    </xdr:from>
    <xdr:to>
      <xdr:col>4</xdr:col>
      <xdr:colOff>3829745</xdr:colOff>
      <xdr:row>478</xdr:row>
      <xdr:rowOff>57149</xdr:rowOff>
    </xdr:to>
    <mc:AlternateContent xmlns:mc="http://schemas.openxmlformats.org/markup-compatibility/2006" xmlns:a14="http://schemas.microsoft.com/office/drawing/2010/main">
      <mc:Choice Requires="a14">
        <xdr:sp macro="" textlink="">
          <xdr:nvSpPr>
            <xdr:cNvPr id="454" name="TextBox 65">
              <a:extLst>
                <a:ext uri="{FF2B5EF4-FFF2-40B4-BE49-F238E27FC236}">
                  <a16:creationId xmlns:a16="http://schemas.microsoft.com/office/drawing/2014/main" id="{00000000-0008-0000-0500-0000C6010000}"/>
                </a:ext>
              </a:extLst>
            </xdr:cNvPr>
            <xdr:cNvSpPr txBox="1"/>
          </xdr:nvSpPr>
          <xdr:spPr>
            <a:xfrm>
              <a:off x="3724275" y="40612694"/>
              <a:ext cx="3829745" cy="335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𝑇𝑂𝑁𝑆</m:t>
                  </m:r>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𝐼𝑃𝐿𝑉</m:t>
                          </m:r>
                        </m:e>
                        <m:sub>
                          <m:r>
                            <a:rPr lang="en-US" sz="1400" b="0" i="1">
                              <a:solidFill>
                                <a:sysClr val="windowText" lastClr="000000"/>
                              </a:solidFill>
                              <a:latin typeface="Cambria Math" panose="02040503050406030204" pitchFamily="18" charset="0"/>
                              <a:ea typeface="Cambria Math" panose="02040503050406030204" pitchFamily="18" charset="0"/>
                            </a:rPr>
                            <m:t>𝑏𝑎𝑠𝑒</m:t>
                          </m:r>
                        </m:sub>
                      </m:sSub>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𝐸𝐹𝐿𝐻</m:t>
                  </m:r>
                </m:oMath>
              </a14:m>
              <a:r>
                <a:rPr lang="en-US" sz="1400">
                  <a:solidFill>
                    <a:sysClr val="windowText" lastClr="000000"/>
                  </a:solidFill>
                </a:rPr>
                <a:t> * ESF</a:t>
              </a:r>
            </a:p>
          </xdr:txBody>
        </xdr:sp>
      </mc:Choice>
      <mc:Fallback xmlns="">
        <xdr:sp macro="" textlink="">
          <xdr:nvSpPr>
            <xdr:cNvPr id="66" name="TextBox 65">
              <a:extLst>
                <a:ext uri="{FF2B5EF4-FFF2-40B4-BE49-F238E27FC236}">
                  <a16:creationId xmlns:a16="http://schemas.microsoft.com/office/drawing/2014/main" id="{BC8A6992-481A-405F-8576-189527061187}"/>
                </a:ext>
              </a:extLst>
            </xdr:cNvPr>
            <xdr:cNvSpPr txBox="1"/>
          </xdr:nvSpPr>
          <xdr:spPr>
            <a:xfrm>
              <a:off x="3724275" y="40612694"/>
              <a:ext cx="3829745" cy="335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𝑘𝑊ℎ=𝑇𝑂𝑁𝑆∗(〖𝐼𝑃𝐿𝑉〗_𝑏𝑎𝑠𝑒 )∗𝐸𝐹𝐿𝐻</a:t>
              </a:r>
              <a:r>
                <a:rPr lang="en-US" sz="1400">
                  <a:solidFill>
                    <a:sysClr val="windowText" lastClr="000000"/>
                  </a:solidFill>
                </a:rPr>
                <a:t> * ESF</a:t>
              </a:r>
            </a:p>
          </xdr:txBody>
        </xdr:sp>
      </mc:Fallback>
    </mc:AlternateContent>
    <xdr:clientData/>
  </xdr:twoCellAnchor>
  <xdr:twoCellAnchor>
    <xdr:from>
      <xdr:col>4</xdr:col>
      <xdr:colOff>12692</xdr:colOff>
      <xdr:row>478</xdr:row>
      <xdr:rowOff>68280</xdr:rowOff>
    </xdr:from>
    <xdr:to>
      <xdr:col>7</xdr:col>
      <xdr:colOff>1409532</xdr:colOff>
      <xdr:row>479</xdr:row>
      <xdr:rowOff>161925</xdr:rowOff>
    </xdr:to>
    <mc:AlternateContent xmlns:mc="http://schemas.openxmlformats.org/markup-compatibility/2006" xmlns:a14="http://schemas.microsoft.com/office/drawing/2010/main">
      <mc:Choice Requires="a14">
        <xdr:sp macro="" textlink="">
          <xdr:nvSpPr>
            <xdr:cNvPr id="455" name="TextBox 12">
              <a:extLst>
                <a:ext uri="{FF2B5EF4-FFF2-40B4-BE49-F238E27FC236}">
                  <a16:creationId xmlns:a16="http://schemas.microsoft.com/office/drawing/2014/main" id="{00000000-0008-0000-0500-0000C7010000}"/>
                </a:ext>
              </a:extLst>
            </xdr:cNvPr>
            <xdr:cNvSpPr txBox="1"/>
          </xdr:nvSpPr>
          <xdr:spPr>
            <a:xfrm>
              <a:off x="3736967" y="40959105"/>
              <a:ext cx="7750015" cy="274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3" name="TextBox 12">
              <a:extLst>
                <a:ext uri="{FF2B5EF4-FFF2-40B4-BE49-F238E27FC236}">
                  <a16:creationId xmlns:a16="http://schemas.microsoft.com/office/drawing/2014/main" id="{B04F5D53-3286-4622-AE96-362E865ED2DF}"/>
                </a:ext>
              </a:extLst>
            </xdr:cNvPr>
            <xdr:cNvSpPr txBox="1"/>
          </xdr:nvSpPr>
          <xdr:spPr>
            <a:xfrm>
              <a:off x="3736967" y="40959105"/>
              <a:ext cx="7750015" cy="274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4</xdr:col>
      <xdr:colOff>85451</xdr:colOff>
      <xdr:row>872</xdr:row>
      <xdr:rowOff>54428</xdr:rowOff>
    </xdr:from>
    <xdr:to>
      <xdr:col>7</xdr:col>
      <xdr:colOff>632186</xdr:colOff>
      <xdr:row>874</xdr:row>
      <xdr:rowOff>130085</xdr:rowOff>
    </xdr:to>
    <xdr:sp macro="" textlink="">
      <xdr:nvSpPr>
        <xdr:cNvPr id="456" name="TextBox 1">
          <a:extLst>
            <a:ext uri="{FF2B5EF4-FFF2-40B4-BE49-F238E27FC236}">
              <a16:creationId xmlns:a16="http://schemas.microsoft.com/office/drawing/2014/main" id="{00000000-0008-0000-0500-0000C8010000}"/>
            </a:ext>
          </a:extLst>
        </xdr:cNvPr>
        <xdr:cNvSpPr txBox="1"/>
      </xdr:nvSpPr>
      <xdr:spPr>
        <a:xfrm flipH="1">
          <a:off x="3813808" y="57857571"/>
          <a:ext cx="8765449" cy="429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chemeClr val="tx1"/>
              </a:solidFill>
              <a:latin typeface="Cambria Math" panose="02040503050406030204" pitchFamily="18" charset="0"/>
              <a:ea typeface="+mn-ea"/>
              <a:cs typeface="+mn-cs"/>
            </a:rPr>
            <a:t>∆𝑘𝑊ℎ = (𝑘𝑊ℎ</a:t>
          </a:r>
          <a:r>
            <a:rPr lang="en-US" sz="1400" b="0" i="0" baseline="-25000">
              <a:solidFill>
                <a:schemeClr val="tx1"/>
              </a:solidFill>
              <a:latin typeface="Cambria Math" panose="02040503050406030204" pitchFamily="18" charset="0"/>
              <a:ea typeface="+mn-ea"/>
              <a:cs typeface="+mn-cs"/>
            </a:rPr>
            <a:t>𝐵𝑎𝑠𝑒</a:t>
          </a:r>
          <a:r>
            <a:rPr lang="en-US" sz="1400" b="0" i="0">
              <a:solidFill>
                <a:schemeClr val="tx1"/>
              </a:solidFill>
              <a:latin typeface="Cambria Math" panose="02040503050406030204" pitchFamily="18" charset="0"/>
              <a:ea typeface="+mn-ea"/>
              <a:cs typeface="+mn-cs"/>
            </a:rPr>
            <a:t> − 𝑘𝑊ℎ</a:t>
          </a:r>
          <a:r>
            <a:rPr lang="en-US" sz="1400" b="0" i="0" baseline="-25000">
              <a:solidFill>
                <a:schemeClr val="tx1"/>
              </a:solidFill>
              <a:latin typeface="Cambria Math" panose="02040503050406030204" pitchFamily="18" charset="0"/>
              <a:ea typeface="+mn-ea"/>
              <a:cs typeface="+mn-cs"/>
            </a:rPr>
            <a:t>𝐸𝑆𝑇𝐴𝑅</a:t>
          </a:r>
          <a:r>
            <a:rPr lang="en-US" sz="1400" b="0" i="0">
              <a:solidFill>
                <a:schemeClr val="tx1"/>
              </a:solidFill>
              <a:latin typeface="Cambria Math" panose="02040503050406030204" pitchFamily="18" charset="0"/>
              <a:ea typeface="+mn-ea"/>
              <a:cs typeface="+mn-cs"/>
            </a:rPr>
            <a:t>) ∗ 𝐷𝑎𝑦𝑠 </a:t>
          </a:r>
        </a:p>
        <a:p>
          <a:pPr algn="l"/>
          <a:endParaRPr lang="en-US" sz="1400"/>
        </a:p>
      </xdr:txBody>
    </xdr:sp>
    <xdr:clientData/>
  </xdr:twoCellAnchor>
  <xdr:twoCellAnchor>
    <xdr:from>
      <xdr:col>3</xdr:col>
      <xdr:colOff>805542</xdr:colOff>
      <xdr:row>249</xdr:row>
      <xdr:rowOff>65313</xdr:rowOff>
    </xdr:from>
    <xdr:to>
      <xdr:col>4</xdr:col>
      <xdr:colOff>3889048</xdr:colOff>
      <xdr:row>253</xdr:row>
      <xdr:rowOff>167152</xdr:rowOff>
    </xdr:to>
    <mc:AlternateContent xmlns:mc="http://schemas.openxmlformats.org/markup-compatibility/2006" xmlns:a14="http://schemas.microsoft.com/office/drawing/2010/main">
      <mc:Choice Requires="a14">
        <xdr:sp macro="" textlink="">
          <xdr:nvSpPr>
            <xdr:cNvPr id="457" name="TextBox 145">
              <a:extLst>
                <a:ext uri="{FF2B5EF4-FFF2-40B4-BE49-F238E27FC236}">
                  <a16:creationId xmlns:a16="http://schemas.microsoft.com/office/drawing/2014/main" id="{00000000-0008-0000-0500-0000C9010000}"/>
                </a:ext>
              </a:extLst>
            </xdr:cNvPr>
            <xdr:cNvSpPr txBox="1"/>
          </xdr:nvSpPr>
          <xdr:spPr>
            <a:xfrm>
              <a:off x="2852056" y="21227142"/>
              <a:ext cx="4770792" cy="8420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𝑄</m:t>
                        </m:r>
                      </m:e>
                      <m:sub>
                        <m:r>
                          <a:rPr lang="en-US" sz="1800" b="0" i="1">
                            <a:latin typeface="Cambria Math" panose="02040503050406030204" pitchFamily="18" charset="0"/>
                            <a:ea typeface="Cambria Math" panose="02040503050406030204" pitchFamily="18" charset="0"/>
                          </a:rPr>
                          <m:t>𝑃𝑜𝑜𝑙𝐻𝑒𝑎𝑡𝑖𝑛𝑔</m:t>
                        </m:r>
                      </m:sub>
                    </m:sSub>
                    <m:r>
                      <a:rPr lang="en-US" sz="1800" b="0" i="1">
                        <a:latin typeface="Cambria Math" panose="02040503050406030204" pitchFamily="18" charset="0"/>
                        <a:ea typeface="Cambria Math" panose="02040503050406030204" pitchFamily="18" charset="0"/>
                      </a:rPr>
                      <m:t>∗</m:t>
                    </m:r>
                    <m:d>
                      <m:dPr>
                        <m:ctrlPr>
                          <a:rPr lang="en-US" sz="1200" b="0" i="1">
                            <a:solidFill>
                              <a:schemeClr val="tx1"/>
                            </a:solidFill>
                            <a:effectLst/>
                            <a:latin typeface="Cambria Math" panose="02040503050406030204" pitchFamily="18" charset="0"/>
                            <a:ea typeface="+mn-ea"/>
                            <a:cs typeface="+mn-cs"/>
                          </a:rPr>
                        </m:ctrlPr>
                      </m:dPr>
                      <m:e>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1</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𝐸𝑓𝑓</m:t>
                                </m:r>
                              </m:e>
                              <m:sub>
                                <m:r>
                                  <a:rPr lang="en-US" sz="1200" b="0" i="1">
                                    <a:solidFill>
                                      <a:schemeClr val="tx1"/>
                                    </a:solidFill>
                                    <a:effectLst/>
                                    <a:latin typeface="Cambria Math" panose="02040503050406030204" pitchFamily="18" charset="0"/>
                                    <a:ea typeface="+mn-ea"/>
                                    <a:cs typeface="+mn-cs"/>
                                  </a:rPr>
                                  <m:t>𝐵𝑎𝑠𝑒</m:t>
                                </m:r>
                              </m:sub>
                            </m:sSub>
                          </m:den>
                        </m:f>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1</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𝐸𝑓𝑓</m:t>
                                </m:r>
                              </m:e>
                              <m:sub>
                                <m:r>
                                  <a:rPr lang="en-US" sz="1200" b="0" i="1">
                                    <a:solidFill>
                                      <a:schemeClr val="tx1"/>
                                    </a:solidFill>
                                    <a:effectLst/>
                                    <a:latin typeface="Cambria Math" panose="02040503050406030204" pitchFamily="18" charset="0"/>
                                    <a:ea typeface="+mn-ea"/>
                                    <a:cs typeface="+mn-cs"/>
                                  </a:rPr>
                                  <m:t>𝐸𝐸</m:t>
                                </m:r>
                              </m:sub>
                            </m:sSub>
                          </m:den>
                        </m:f>
                      </m:e>
                    </m:d>
                  </m:oMath>
                </m:oMathPara>
              </a14:m>
              <a:endParaRPr lang="en-US" sz="1600" b="0"/>
            </a:p>
          </xdr:txBody>
        </xdr:sp>
      </mc:Choice>
      <mc:Fallback xmlns="">
        <xdr:sp macro="" textlink="">
          <xdr:nvSpPr>
            <xdr:cNvPr id="146" name="TextBox 145">
              <a:extLst>
                <a:ext uri="{FF2B5EF4-FFF2-40B4-BE49-F238E27FC236}">
                  <a16:creationId xmlns:a16="http://schemas.microsoft.com/office/drawing/2014/main" id="{C9F76C09-55B2-4ADA-81A9-44B1BC0BB437}"/>
                </a:ext>
              </a:extLst>
            </xdr:cNvPr>
            <xdr:cNvSpPr txBox="1"/>
          </xdr:nvSpPr>
          <xdr:spPr>
            <a:xfrm>
              <a:off x="2852056" y="21227142"/>
              <a:ext cx="4770792" cy="8420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∆𝑘𝑊ℎ=𝑄_𝑃𝑜𝑜𝑙𝐻𝑒𝑎𝑡𝑖𝑛𝑔∗</a:t>
              </a:r>
              <a:r>
                <a:rPr lang="en-US" sz="1200" b="0" i="0">
                  <a:solidFill>
                    <a:schemeClr val="tx1"/>
                  </a:solidFill>
                  <a:effectLst/>
                  <a:latin typeface="+mn-lt"/>
                  <a:ea typeface="+mn-ea"/>
                  <a:cs typeface="+mn-cs"/>
                </a:rPr>
                <a:t>(1/〖𝐸𝑓𝑓〗_𝐵𝑎𝑠𝑒 −1/〖𝐸𝑓𝑓〗_𝐸𝐸 )</a:t>
              </a:r>
              <a:endParaRPr lang="en-US" sz="1600" b="0"/>
            </a:p>
          </xdr:txBody>
        </xdr:sp>
      </mc:Fallback>
    </mc:AlternateContent>
    <xdr:clientData/>
  </xdr:twoCellAnchor>
  <xdr:twoCellAnchor>
    <xdr:from>
      <xdr:col>3</xdr:col>
      <xdr:colOff>1509578</xdr:colOff>
      <xdr:row>87</xdr:row>
      <xdr:rowOff>99605</xdr:rowOff>
    </xdr:from>
    <xdr:to>
      <xdr:col>4</xdr:col>
      <xdr:colOff>4071258</xdr:colOff>
      <xdr:row>89</xdr:row>
      <xdr:rowOff>97971</xdr:rowOff>
    </xdr:to>
    <mc:AlternateContent xmlns:mc="http://schemas.openxmlformats.org/markup-compatibility/2006" xmlns:a14="http://schemas.microsoft.com/office/drawing/2010/main">
      <mc:Choice Requires="a14">
        <xdr:sp macro="" textlink="">
          <xdr:nvSpPr>
            <xdr:cNvPr id="458" name="TextBox 175">
              <a:extLst>
                <a:ext uri="{FF2B5EF4-FFF2-40B4-BE49-F238E27FC236}">
                  <a16:creationId xmlns:a16="http://schemas.microsoft.com/office/drawing/2014/main" id="{00000000-0008-0000-0500-0000CA010000}"/>
                </a:ext>
              </a:extLst>
            </xdr:cNvPr>
            <xdr:cNvSpPr txBox="1"/>
          </xdr:nvSpPr>
          <xdr:spPr>
            <a:xfrm>
              <a:off x="3556092" y="18790376"/>
              <a:ext cx="4248966" cy="368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effectLst/>
                      <a:latin typeface="Cambria Math" panose="02040503050406030204" pitchFamily="18" charset="0"/>
                      <a:ea typeface="+mn-ea"/>
                      <a:cs typeface="+mn-cs"/>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1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a14:m>
              <a:r>
                <a:rPr lang="en-US" sz="1400">
                  <a:solidFill>
                    <a:sysClr val="windowText" lastClr="000000"/>
                  </a:solidFill>
                </a:rPr>
                <a:t> </a:t>
              </a:r>
            </a:p>
          </xdr:txBody>
        </xdr:sp>
      </mc:Choice>
      <mc:Fallback xmlns="">
        <xdr:sp macro="" textlink="">
          <xdr:nvSpPr>
            <xdr:cNvPr id="176" name="TextBox 175">
              <a:extLst>
                <a:ext uri="{FF2B5EF4-FFF2-40B4-BE49-F238E27FC236}">
                  <a16:creationId xmlns:a16="http://schemas.microsoft.com/office/drawing/2014/main" id="{13CB98A1-4702-46B9-ADD9-DC70EF911BE9}"/>
                </a:ext>
              </a:extLst>
            </xdr:cNvPr>
            <xdr:cNvSpPr txBox="1"/>
          </xdr:nvSpPr>
          <xdr:spPr>
            <a:xfrm>
              <a:off x="3556092" y="18790376"/>
              <a:ext cx="4248966" cy="368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latin typeface="Cambria Math" panose="02040503050406030204" pitchFamily="18" charset="0"/>
                  <a:ea typeface="Cambria Math" panose="02040503050406030204" pitchFamily="18" charset="0"/>
                </a:rPr>
                <a:t>×𝐶𝐹 </a:t>
              </a:r>
              <a:r>
                <a:rPr lang="en-US" sz="11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latin typeface="Cambria Math" panose="02040503050406030204" pitchFamily="18" charset="0"/>
                  <a:ea typeface="Cambria Math" panose="02040503050406030204" pitchFamily="18" charset="0"/>
                </a:rPr>
                <a:t> 𝐼𝐹𝑘𝑊</a:t>
              </a:r>
              <a:r>
                <a:rPr lang="en-US" sz="1400">
                  <a:solidFill>
                    <a:sysClr val="windowText" lastClr="000000"/>
                  </a:solidFill>
                </a:rPr>
                <a:t> </a:t>
              </a:r>
            </a:p>
          </xdr:txBody>
        </xdr:sp>
      </mc:Fallback>
    </mc:AlternateContent>
    <xdr:clientData/>
  </xdr:twoCellAnchor>
  <xdr:twoCellAnchor>
    <xdr:from>
      <xdr:col>3</xdr:col>
      <xdr:colOff>1507671</xdr:colOff>
      <xdr:row>84</xdr:row>
      <xdr:rowOff>74145</xdr:rowOff>
    </xdr:from>
    <xdr:to>
      <xdr:col>7</xdr:col>
      <xdr:colOff>19050</xdr:colOff>
      <xdr:row>87</xdr:row>
      <xdr:rowOff>22043</xdr:rowOff>
    </xdr:to>
    <mc:AlternateContent xmlns:mc="http://schemas.openxmlformats.org/markup-compatibility/2006" xmlns:a14="http://schemas.microsoft.com/office/drawing/2010/main">
      <mc:Choice Requires="a14">
        <xdr:sp macro="" textlink="">
          <xdr:nvSpPr>
            <xdr:cNvPr id="459" name="TextBox 174">
              <a:extLst>
                <a:ext uri="{FF2B5EF4-FFF2-40B4-BE49-F238E27FC236}">
                  <a16:creationId xmlns:a16="http://schemas.microsoft.com/office/drawing/2014/main" id="{00000000-0008-0000-0500-0000CB010000}"/>
                </a:ext>
              </a:extLst>
            </xdr:cNvPr>
            <xdr:cNvSpPr txBox="1"/>
          </xdr:nvSpPr>
          <xdr:spPr>
            <a:xfrm>
              <a:off x="3546021" y="18590745"/>
              <a:ext cx="6550479" cy="490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𝑊𝑆𝐹𝑏𝑎𝑠𝑒</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𝑊𝑆𝐹𝑒𝑒</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400">
                <a:solidFill>
                  <a:sysClr val="windowText" lastClr="000000"/>
                </a:solidFill>
              </a:endParaRPr>
            </a:p>
          </xdr:txBody>
        </xdr:sp>
      </mc:Choice>
      <mc:Fallback xmlns="">
        <xdr:sp macro="" textlink="">
          <xdr:nvSpPr>
            <xdr:cNvPr id="175" name="TextBox 174">
              <a:extLst>
                <a:ext uri="{FF2B5EF4-FFF2-40B4-BE49-F238E27FC236}">
                  <a16:creationId xmlns:a16="http://schemas.microsoft.com/office/drawing/2014/main" id="{2AE51888-E878-4973-AF39-468DCA962DE5}"/>
                </a:ext>
              </a:extLst>
            </xdr:cNvPr>
            <xdr:cNvSpPr txBox="1"/>
          </xdr:nvSpPr>
          <xdr:spPr>
            <a:xfrm>
              <a:off x="3546021" y="18590745"/>
              <a:ext cx="6550479" cy="490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(𝑊𝑆𝐹𝑏𝑎𝑠𝑒 −𝑊𝑆𝐹𝑒𝑒)</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1000×𝑆𝐹×𝐻𝑜𝑢𝑟𝑠×〖</a:t>
              </a:r>
              <a:r>
                <a:rPr lang="en-US" sz="1400" b="0" i="0">
                  <a:solidFill>
                    <a:sysClr val="windowText" lastClr="000000"/>
                  </a:solidFill>
                  <a:effectLst/>
                  <a:latin typeface="Cambria Math" panose="02040503050406030204" pitchFamily="18" charset="0"/>
                  <a:ea typeface="+mn-ea"/>
                  <a:cs typeface="+mn-cs"/>
                </a:rPr>
                <a:t>−𝐼𝐹</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𝑘𝑊ℎ</a:t>
              </a:r>
              <a:endParaRPr lang="en-US" sz="1400">
                <a:solidFill>
                  <a:sysClr val="windowText" lastClr="000000"/>
                </a:solidFill>
              </a:endParaRPr>
            </a:p>
          </xdr:txBody>
        </xdr:sp>
      </mc:Fallback>
    </mc:AlternateContent>
    <xdr:clientData/>
  </xdr:twoCellAnchor>
  <xdr:twoCellAnchor>
    <xdr:from>
      <xdr:col>3</xdr:col>
      <xdr:colOff>1427933</xdr:colOff>
      <xdr:row>81</xdr:row>
      <xdr:rowOff>57150</xdr:rowOff>
    </xdr:from>
    <xdr:to>
      <xdr:col>6</xdr:col>
      <xdr:colOff>523875</xdr:colOff>
      <xdr:row>83</xdr:row>
      <xdr:rowOff>152400</xdr:rowOff>
    </xdr:to>
    <mc:AlternateContent xmlns:mc="http://schemas.openxmlformats.org/markup-compatibility/2006" xmlns:a14="http://schemas.microsoft.com/office/drawing/2010/main">
      <mc:Choice Requires="a14">
        <xdr:sp macro="" textlink="">
          <xdr:nvSpPr>
            <xdr:cNvPr id="460" name="TextBox 173">
              <a:extLst>
                <a:ext uri="{FF2B5EF4-FFF2-40B4-BE49-F238E27FC236}">
                  <a16:creationId xmlns:a16="http://schemas.microsoft.com/office/drawing/2014/main" id="{00000000-0008-0000-0500-0000CC010000}"/>
                </a:ext>
              </a:extLst>
            </xdr:cNvPr>
            <xdr:cNvSpPr txBox="1"/>
          </xdr:nvSpPr>
          <xdr:spPr>
            <a:xfrm>
              <a:off x="3466283" y="18030825"/>
              <a:ext cx="6020617"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𝑊𝑆𝐹𝑏𝑎𝑠𝑒</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𝑊𝑆𝐹𝑒𝑒</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400">
                <a:solidFill>
                  <a:sysClr val="windowText" lastClr="000000"/>
                </a:solidFill>
              </a:endParaRPr>
            </a:p>
          </xdr:txBody>
        </xdr:sp>
      </mc:Choice>
      <mc:Fallback xmlns="">
        <xdr:sp macro="" textlink="">
          <xdr:nvSpPr>
            <xdr:cNvPr id="174" name="TextBox 173">
              <a:extLst>
                <a:ext uri="{FF2B5EF4-FFF2-40B4-BE49-F238E27FC236}">
                  <a16:creationId xmlns:a16="http://schemas.microsoft.com/office/drawing/2014/main" id="{67A6DD18-F78D-4860-8373-39A38FBC2043}"/>
                </a:ext>
              </a:extLst>
            </xdr:cNvPr>
            <xdr:cNvSpPr txBox="1"/>
          </xdr:nvSpPr>
          <xdr:spPr>
            <a:xfrm>
              <a:off x="3466283" y="18030825"/>
              <a:ext cx="6020617"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(𝑊𝑆𝐹𝑏𝑎𝑠𝑒 −𝑊𝑆𝐹𝑒𝑒)</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1000×𝑆𝐹×𝐻𝑜𝑢𝑟𝑠×𝑊𝐻𝐹𝑒</a:t>
              </a:r>
              <a:endParaRPr lang="en-US" sz="1400">
                <a:solidFill>
                  <a:sysClr val="windowText" lastClr="000000"/>
                </a:solidFill>
              </a:endParaRPr>
            </a:p>
          </xdr:txBody>
        </xdr:sp>
      </mc:Fallback>
    </mc:AlternateContent>
    <xdr:clientData/>
  </xdr:twoCellAnchor>
  <xdr:twoCellAnchor>
    <xdr:from>
      <xdr:col>3</xdr:col>
      <xdr:colOff>1429839</xdr:colOff>
      <xdr:row>40</xdr:row>
      <xdr:rowOff>48576</xdr:rowOff>
    </xdr:from>
    <xdr:to>
      <xdr:col>8</xdr:col>
      <xdr:colOff>1183821</xdr:colOff>
      <xdr:row>43</xdr:row>
      <xdr:rowOff>56333</xdr:rowOff>
    </xdr:to>
    <mc:AlternateContent xmlns:mc="http://schemas.openxmlformats.org/markup-compatibility/2006" xmlns:a14="http://schemas.microsoft.com/office/drawing/2010/main">
      <mc:Choice Requires="a14">
        <xdr:sp macro="" textlink="">
          <xdr:nvSpPr>
            <xdr:cNvPr id="461" name="TextBox 172">
              <a:extLst>
                <a:ext uri="{FF2B5EF4-FFF2-40B4-BE49-F238E27FC236}">
                  <a16:creationId xmlns:a16="http://schemas.microsoft.com/office/drawing/2014/main" id="{00000000-0008-0000-0500-0000CD010000}"/>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effectLst/>
                            <a:latin typeface="Cambria Math" panose="02040503050406030204" pitchFamily="18" charset="0"/>
                            <a:ea typeface="+mn-ea"/>
                            <a:cs typeface="+mn-cs"/>
                          </a:rPr>
                          <m:t>𝑘𝑊h</m:t>
                        </m:r>
                      </m:sub>
                    </m:sSub>
                  </m:oMath>
                </m:oMathPara>
              </a14:m>
              <a:endParaRPr lang="en-US" sz="1400">
                <a:solidFill>
                  <a:sysClr val="windowText" lastClr="000000"/>
                </a:solidFill>
              </a:endParaRPr>
            </a:p>
          </xdr:txBody>
        </xdr:sp>
      </mc:Choice>
      <mc:Fallback xmlns="">
        <xdr:sp macro="" textlink="">
          <xdr:nvSpPr>
            <xdr:cNvPr id="173" name="TextBox 172">
              <a:extLst>
                <a:ext uri="{FF2B5EF4-FFF2-40B4-BE49-F238E27FC236}">
                  <a16:creationId xmlns:a16="http://schemas.microsoft.com/office/drawing/2014/main" id="{762EBDF9-73E3-4B39-92DA-1D94149913AF}"/>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×〖−𝐼𝐹〗_𝑘𝑊ℎ</a:t>
              </a:r>
              <a:endParaRPr lang="en-US" sz="1400">
                <a:solidFill>
                  <a:sysClr val="windowText" lastClr="000000"/>
                </a:solidFill>
              </a:endParaRPr>
            </a:p>
          </xdr:txBody>
        </xdr:sp>
      </mc:Fallback>
    </mc:AlternateContent>
    <xdr:clientData/>
  </xdr:twoCellAnchor>
  <xdr:twoCellAnchor>
    <xdr:from>
      <xdr:col>3</xdr:col>
      <xdr:colOff>1397454</xdr:colOff>
      <xdr:row>136</xdr:row>
      <xdr:rowOff>25580</xdr:rowOff>
    </xdr:from>
    <xdr:to>
      <xdr:col>4</xdr:col>
      <xdr:colOff>2027464</xdr:colOff>
      <xdr:row>138</xdr:row>
      <xdr:rowOff>27214</xdr:rowOff>
    </xdr:to>
    <mc:AlternateContent xmlns:mc="http://schemas.openxmlformats.org/markup-compatibility/2006" xmlns:a14="http://schemas.microsoft.com/office/drawing/2010/main">
      <mc:Choice Requires="a14">
        <xdr:sp macro="" textlink="">
          <xdr:nvSpPr>
            <xdr:cNvPr id="462" name="TextBox 155">
              <a:extLst>
                <a:ext uri="{FF2B5EF4-FFF2-40B4-BE49-F238E27FC236}">
                  <a16:creationId xmlns:a16="http://schemas.microsoft.com/office/drawing/2014/main" id="{00000000-0008-0000-0500-0000CE010000}"/>
                </a:ext>
              </a:extLst>
            </xdr:cNvPr>
            <xdr:cNvSpPr txBox="1"/>
          </xdr:nvSpPr>
          <xdr:spPr>
            <a:xfrm>
              <a:off x="3438525" y="26750009"/>
              <a:ext cx="2317296" cy="355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56" name="TextBox 155">
              <a:extLst>
                <a:ext uri="{FF2B5EF4-FFF2-40B4-BE49-F238E27FC236}">
                  <a16:creationId xmlns:a16="http://schemas.microsoft.com/office/drawing/2014/main" id="{7A133759-4911-48D3-8E56-49FF45803249}"/>
                </a:ext>
              </a:extLst>
            </xdr:cNvPr>
            <xdr:cNvSpPr txBox="1"/>
          </xdr:nvSpPr>
          <xdr:spPr>
            <a:xfrm>
              <a:off x="3438525" y="26750009"/>
              <a:ext cx="2317296" cy="355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3</xdr:col>
      <xdr:colOff>1340031</xdr:colOff>
      <xdr:row>108</xdr:row>
      <xdr:rowOff>35956</xdr:rowOff>
    </xdr:from>
    <xdr:to>
      <xdr:col>6</xdr:col>
      <xdr:colOff>628649</xdr:colOff>
      <xdr:row>110</xdr:row>
      <xdr:rowOff>76200</xdr:rowOff>
    </xdr:to>
    <mc:AlternateContent xmlns:mc="http://schemas.openxmlformats.org/markup-compatibility/2006" xmlns:a14="http://schemas.microsoft.com/office/drawing/2010/main">
      <mc:Choice Requires="a14">
        <xdr:sp macro="" textlink="">
          <xdr:nvSpPr>
            <xdr:cNvPr id="464" name="TextBox 152">
              <a:extLst>
                <a:ext uri="{FF2B5EF4-FFF2-40B4-BE49-F238E27FC236}">
                  <a16:creationId xmlns:a16="http://schemas.microsoft.com/office/drawing/2014/main" id="{00000000-0008-0000-0500-0000D0010000}"/>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𝑘𝑊</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𝐸𝑆𝐹</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10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𝑘𝑊ℎ〗_ℎ𝑒𝑎𝑡𝑝𝑒𝑛𝑎𝑙𝑡𝑦=〖𝑘𝑊〗_𝐶𝑜𝑛𝑡𝑟𝑜𝑙𝑙𝑒𝑑∗𝐻𝑜𝑢𝑟𝑠∗𝐸𝑆𝐹∗〖−𝐼𝐹〗_𝑘𝑊ℎ</a:t>
              </a:r>
              <a:endParaRPr lang="en-US" sz="1100">
                <a:solidFill>
                  <a:sysClr val="windowText" lastClr="000000"/>
                </a:solidFill>
              </a:endParaRPr>
            </a:p>
          </xdr:txBody>
        </xdr:sp>
      </mc:Fallback>
    </mc:AlternateContent>
    <xdr:clientData/>
  </xdr:twoCellAnchor>
  <xdr:twoCellAnchor>
    <xdr:from>
      <xdr:col>5</xdr:col>
      <xdr:colOff>0</xdr:colOff>
      <xdr:row>909</xdr:row>
      <xdr:rowOff>0</xdr:rowOff>
    </xdr:from>
    <xdr:to>
      <xdr:col>7</xdr:col>
      <xdr:colOff>131222</xdr:colOff>
      <xdr:row>911</xdr:row>
      <xdr:rowOff>53789</xdr:rowOff>
    </xdr:to>
    <mc:AlternateContent xmlns:mc="http://schemas.openxmlformats.org/markup-compatibility/2006" xmlns:a14="http://schemas.microsoft.com/office/drawing/2010/main">
      <mc:Choice Requires="a14">
        <xdr:sp macro="" textlink="">
          <xdr:nvSpPr>
            <xdr:cNvPr id="465" name="TextBox 144">
              <a:extLst>
                <a:ext uri="{FF2B5EF4-FFF2-40B4-BE49-F238E27FC236}">
                  <a16:creationId xmlns:a16="http://schemas.microsoft.com/office/drawing/2014/main" id="{00000000-0008-0000-0500-0000D1010000}"/>
                </a:ext>
              </a:extLst>
            </xdr:cNvPr>
            <xdr:cNvSpPr txBox="1"/>
          </xdr:nvSpPr>
          <xdr:spPr>
            <a:xfrm>
              <a:off x="8599714" y="155992286"/>
              <a:ext cx="3478579" cy="4075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𝐹𝑎𝑐𝑡𝑜𝑟</m:t>
                    </m:r>
                  </m:oMath>
                </m:oMathPara>
              </a14:m>
              <a:endParaRPr lang="en-US" sz="140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 ∆𝑘𝑊ℎ ∗𝑘𝑊 𝐹𝑎𝑐𝑡𝑜𝑟</a:t>
              </a:r>
              <a:endParaRPr lang="en-US" sz="140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0</xdr:colOff>
      <xdr:row>909</xdr:row>
      <xdr:rowOff>0</xdr:rowOff>
    </xdr:from>
    <xdr:to>
      <xdr:col>4</xdr:col>
      <xdr:colOff>3103134</xdr:colOff>
      <xdr:row>911</xdr:row>
      <xdr:rowOff>84493</xdr:rowOff>
    </xdr:to>
    <mc:AlternateContent xmlns:mc="http://schemas.openxmlformats.org/markup-compatibility/2006" xmlns:a14="http://schemas.microsoft.com/office/drawing/2010/main">
      <mc:Choice Requires="a14">
        <xdr:sp macro="" textlink="">
          <xdr:nvSpPr>
            <xdr:cNvPr id="466" name="TextBox 143">
              <a:extLst>
                <a:ext uri="{FF2B5EF4-FFF2-40B4-BE49-F238E27FC236}">
                  <a16:creationId xmlns:a16="http://schemas.microsoft.com/office/drawing/2014/main" id="{00000000-0008-0000-0500-0000D2010000}"/>
                </a:ext>
              </a:extLst>
            </xdr:cNvPr>
            <xdr:cNvSpPr txBox="1"/>
          </xdr:nvSpPr>
          <xdr:spPr>
            <a:xfrm>
              <a:off x="2041071" y="155992286"/>
              <a:ext cx="4790420" cy="4382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savings</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𝑓𝑎𝑛</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𝑢𝑛𝑖𝑡𝑠</m:t>
                    </m:r>
                  </m:oMath>
                </m:oMathPara>
              </a14:m>
              <a:endParaRPr lang="en-US" sz="14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"kWh</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savings</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𝑓𝑎𝑛∗𝑢𝑛𝑖𝑡𝑠</a:t>
              </a:r>
              <a:endParaRPr lang="en-US" sz="14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1812694</xdr:colOff>
      <xdr:row>736</xdr:row>
      <xdr:rowOff>98961</xdr:rowOff>
    </xdr:from>
    <xdr:to>
      <xdr:col>5</xdr:col>
      <xdr:colOff>277102</xdr:colOff>
      <xdr:row>738</xdr:row>
      <xdr:rowOff>152749</xdr:rowOff>
    </xdr:to>
    <mc:AlternateContent xmlns:mc="http://schemas.openxmlformats.org/markup-compatibility/2006" xmlns:a14="http://schemas.microsoft.com/office/drawing/2010/main">
      <mc:Choice Requires="a14">
        <xdr:sp macro="" textlink="">
          <xdr:nvSpPr>
            <xdr:cNvPr id="467" name="TextBox 141">
              <a:extLst>
                <a:ext uri="{FF2B5EF4-FFF2-40B4-BE49-F238E27FC236}">
                  <a16:creationId xmlns:a16="http://schemas.microsoft.com/office/drawing/2014/main" id="{00000000-0008-0000-0500-0000D3010000}"/>
                </a:ext>
              </a:extLst>
            </xdr:cNvPr>
            <xdr:cNvSpPr txBox="1"/>
          </xdr:nvSpPr>
          <xdr:spPr>
            <a:xfrm>
              <a:off x="5541051" y="124209711"/>
              <a:ext cx="3335765" cy="407574"/>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𝐹𝑎𝑐𝑡𝑜𝑟</m:t>
                    </m:r>
                  </m:oMath>
                </m:oMathPara>
              </a14:m>
              <a:endPar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endParaRPr>
            </a:p>
          </xdr:txBody>
        </xdr:sp>
      </mc:Choice>
      <mc:Fallback xmlns="">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 ∆𝑘𝑊ℎ ∗𝑘𝑊 𝐹𝑎𝑐𝑡𝑜𝑟</a:t>
              </a:r>
            </a:p>
          </xdr:txBody>
        </xdr:sp>
      </mc:Fallback>
    </mc:AlternateContent>
    <xdr:clientData/>
  </xdr:twoCellAnchor>
  <xdr:twoCellAnchor>
    <xdr:from>
      <xdr:col>2</xdr:col>
      <xdr:colOff>1013114</xdr:colOff>
      <xdr:row>736</xdr:row>
      <xdr:rowOff>72984</xdr:rowOff>
    </xdr:from>
    <xdr:to>
      <xdr:col>4</xdr:col>
      <xdr:colOff>2969735</xdr:colOff>
      <xdr:row>738</xdr:row>
      <xdr:rowOff>153666</xdr:rowOff>
    </xdr:to>
    <mc:AlternateContent xmlns:mc="http://schemas.openxmlformats.org/markup-compatibility/2006" xmlns:a14="http://schemas.microsoft.com/office/drawing/2010/main">
      <mc:Choice Requires="a14">
        <xdr:sp macro="" textlink="">
          <xdr:nvSpPr>
            <xdr:cNvPr id="468" name="TextBox 140">
              <a:extLst>
                <a:ext uri="{FF2B5EF4-FFF2-40B4-BE49-F238E27FC236}">
                  <a16:creationId xmlns:a16="http://schemas.microsoft.com/office/drawing/2014/main" id="{00000000-0008-0000-0500-0000D4010000}"/>
                </a:ext>
              </a:extLst>
            </xdr:cNvPr>
            <xdr:cNvSpPr txBox="1"/>
          </xdr:nvSpPr>
          <xdr:spPr>
            <a:xfrm>
              <a:off x="1639043" y="124183734"/>
              <a:ext cx="5059049" cy="43446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kWh</m:t>
                    </m:r>
                    <m:r>
                      <m:rPr>
                        <m:nor/>
                      </m:rPr>
                      <a:rPr kumimoji="0" lang="en-US" sz="1400" b="0" i="1"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savings</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HP</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𝑈𝑛𝑖𝑡𝑠</m:t>
                    </m:r>
                  </m:oMath>
                </m:oMathPara>
              </a14:m>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∆𝑘𝑊ℎ="kWh</a:t>
              </a:r>
              <a:r>
                <a:rPr kumimoji="0" lang="en-US" sz="1400" b="0" i="0"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savings</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/HP"∗</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𝑈𝑛𝑖𝑡𝑠</a:t>
              </a:r>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twoCellAnchor>
    <xdr:from>
      <xdr:col>3</xdr:col>
      <xdr:colOff>95249</xdr:colOff>
      <xdr:row>891</xdr:row>
      <xdr:rowOff>126274</xdr:rowOff>
    </xdr:from>
    <xdr:to>
      <xdr:col>4</xdr:col>
      <xdr:colOff>4721678</xdr:colOff>
      <xdr:row>893</xdr:row>
      <xdr:rowOff>96699</xdr:rowOff>
    </xdr:to>
    <mc:AlternateContent xmlns:mc="http://schemas.openxmlformats.org/markup-compatibility/2006" xmlns:a14="http://schemas.microsoft.com/office/drawing/2010/main">
      <mc:Choice Requires="a14">
        <xdr:sp macro="" textlink="">
          <xdr:nvSpPr>
            <xdr:cNvPr id="470" name="TextBox 86">
              <a:extLst>
                <a:ext uri="{FF2B5EF4-FFF2-40B4-BE49-F238E27FC236}">
                  <a16:creationId xmlns:a16="http://schemas.microsoft.com/office/drawing/2014/main" id="{00000000-0008-0000-0500-0000D6010000}"/>
                </a:ext>
              </a:extLst>
            </xdr:cNvPr>
            <xdr:cNvSpPr txBox="1"/>
          </xdr:nvSpPr>
          <xdr:spPr>
            <a:xfrm flipH="1">
              <a:off x="2136320" y="152907274"/>
              <a:ext cx="6313715" cy="324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twoCellAnchor>
    <xdr:from>
      <xdr:col>2</xdr:col>
      <xdr:colOff>0</xdr:colOff>
      <xdr:row>893</xdr:row>
      <xdr:rowOff>95247</xdr:rowOff>
    </xdr:from>
    <xdr:to>
      <xdr:col>2</xdr:col>
      <xdr:colOff>0</xdr:colOff>
      <xdr:row>895</xdr:row>
      <xdr:rowOff>152572</xdr:rowOff>
    </xdr:to>
    <mc:AlternateContent xmlns:mc="http://schemas.openxmlformats.org/markup-compatibility/2006" xmlns:a14="http://schemas.microsoft.com/office/drawing/2010/main">
      <mc:Choice Requires="a14">
        <xdr:sp macro="" textlink="">
          <xdr:nvSpPr>
            <xdr:cNvPr id="471" name="TextBox 85">
              <a:extLst>
                <a:ext uri="{FF2B5EF4-FFF2-40B4-BE49-F238E27FC236}">
                  <a16:creationId xmlns:a16="http://schemas.microsoft.com/office/drawing/2014/main" id="{00000000-0008-0000-0500-0000D7010000}"/>
                </a:ext>
              </a:extLst>
            </xdr:cNvPr>
            <xdr:cNvSpPr txBox="1"/>
          </xdr:nvSpPr>
          <xdr:spPr>
            <a:xfrm>
              <a:off x="625929" y="1532300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872</xdr:row>
      <xdr:rowOff>141333</xdr:rowOff>
    </xdr:from>
    <xdr:to>
      <xdr:col>2</xdr:col>
      <xdr:colOff>0</xdr:colOff>
      <xdr:row>874</xdr:row>
      <xdr:rowOff>126274</xdr:rowOff>
    </xdr:to>
    <mc:AlternateContent xmlns:mc="http://schemas.openxmlformats.org/markup-compatibility/2006" xmlns:a14="http://schemas.microsoft.com/office/drawing/2010/main">
      <mc:Choice Requires="a14">
        <xdr:sp macro="" textlink="">
          <xdr:nvSpPr>
            <xdr:cNvPr id="472" name="TextBox 84">
              <a:extLst>
                <a:ext uri="{FF2B5EF4-FFF2-40B4-BE49-F238E27FC236}">
                  <a16:creationId xmlns:a16="http://schemas.microsoft.com/office/drawing/2014/main" id="{00000000-0008-0000-0500-0000D8010000}"/>
                </a:ext>
              </a:extLst>
            </xdr:cNvPr>
            <xdr:cNvSpPr txBox="1"/>
          </xdr:nvSpPr>
          <xdr:spPr>
            <a:xfrm>
              <a:off x="625929" y="149547762"/>
              <a:ext cx="0" cy="338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4</xdr:col>
      <xdr:colOff>75656</xdr:colOff>
      <xdr:row>875</xdr:row>
      <xdr:rowOff>71844</xdr:rowOff>
    </xdr:from>
    <xdr:to>
      <xdr:col>7</xdr:col>
      <xdr:colOff>639536</xdr:colOff>
      <xdr:row>877</xdr:row>
      <xdr:rowOff>107941</xdr:rowOff>
    </xdr:to>
    <mc:AlternateContent xmlns:mc="http://schemas.openxmlformats.org/markup-compatibility/2006" xmlns:a14="http://schemas.microsoft.com/office/drawing/2010/main">
      <mc:Choice Requires="a14">
        <xdr:sp macro="" textlink="">
          <xdr:nvSpPr>
            <xdr:cNvPr id="473" name="TextBox 83">
              <a:extLst>
                <a:ext uri="{FF2B5EF4-FFF2-40B4-BE49-F238E27FC236}">
                  <a16:creationId xmlns:a16="http://schemas.microsoft.com/office/drawing/2014/main" id="{00000000-0008-0000-0500-0000D9010000}"/>
                </a:ext>
              </a:extLst>
            </xdr:cNvPr>
            <xdr:cNvSpPr txBox="1"/>
          </xdr:nvSpPr>
          <xdr:spPr>
            <a:xfrm flipH="1">
              <a:off x="3804013" y="58405665"/>
              <a:ext cx="8782594" cy="3898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a14:m>
              <a:r>
                <a:rPr lang="en-US" sz="1400">
                  <a:effectLst/>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400">
                <a:effectLst/>
              </a:endParaRPr>
            </a:p>
            <a:p>
              <a:pPr algn="l"/>
              <a:endParaRPr lang="en-US" sz="1400"/>
            </a:p>
          </xdr:txBody>
        </xdr:sp>
      </mc:Choice>
      <mc:Fallback xmlns="">
        <xdr:sp macro="" textlink="">
          <xdr:nvSpPr>
            <xdr:cNvPr id="84" name="TextBox 83">
              <a:extLst>
                <a:ext uri="{FF2B5EF4-FFF2-40B4-BE49-F238E27FC236}">
                  <a16:creationId xmlns:a16="http://schemas.microsoft.com/office/drawing/2014/main" id="{00000000-0008-0000-0200-000054000000}"/>
                </a:ext>
              </a:extLst>
            </xdr:cNvPr>
            <xdr:cNvSpPr txBox="1"/>
          </xdr:nvSpPr>
          <xdr:spPr>
            <a:xfrm flipH="1">
              <a:off x="3804013" y="58405665"/>
              <a:ext cx="8782594" cy="3898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r>
                <a:rPr lang="en-US" sz="1400">
                  <a:effectLst/>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400">
                <a:effectLst/>
              </a:endParaRPr>
            </a:p>
            <a:p>
              <a:pPr algn="l"/>
              <a:endParaRPr lang="en-US" sz="1400"/>
            </a:p>
          </xdr:txBody>
        </xdr:sp>
      </mc:Fallback>
    </mc:AlternateContent>
    <xdr:clientData/>
  </xdr:twoCellAnchor>
  <xdr:twoCellAnchor>
    <xdr:from>
      <xdr:col>3</xdr:col>
      <xdr:colOff>40822</xdr:colOff>
      <xdr:row>854</xdr:row>
      <xdr:rowOff>85453</xdr:rowOff>
    </xdr:from>
    <xdr:to>
      <xdr:col>14</xdr:col>
      <xdr:colOff>359502</xdr:colOff>
      <xdr:row>858</xdr:row>
      <xdr:rowOff>105047</xdr:rowOff>
    </xdr:to>
    <mc:AlternateContent xmlns:mc="http://schemas.openxmlformats.org/markup-compatibility/2006" xmlns:a14="http://schemas.microsoft.com/office/drawing/2010/main">
      <mc:Choice Requires="a14">
        <xdr:sp macro="" textlink="">
          <xdr:nvSpPr>
            <xdr:cNvPr id="474" name="TextBox 82">
              <a:extLst>
                <a:ext uri="{FF2B5EF4-FFF2-40B4-BE49-F238E27FC236}">
                  <a16:creationId xmlns:a16="http://schemas.microsoft.com/office/drawing/2014/main" id="{00000000-0008-0000-0500-0000DA010000}"/>
                </a:ext>
              </a:extLst>
            </xdr:cNvPr>
            <xdr:cNvSpPr txBox="1"/>
          </xdr:nvSpPr>
          <xdr:spPr>
            <a:xfrm>
              <a:off x="2081893" y="146117310"/>
              <a:ext cx="18729145" cy="727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2</xdr:col>
      <xdr:colOff>0</xdr:colOff>
      <xdr:row>853</xdr:row>
      <xdr:rowOff>55880</xdr:rowOff>
    </xdr:from>
    <xdr:to>
      <xdr:col>2</xdr:col>
      <xdr:colOff>0</xdr:colOff>
      <xdr:row>857</xdr:row>
      <xdr:rowOff>162560</xdr:rowOff>
    </xdr:to>
    <mc:AlternateContent xmlns:mc="http://schemas.openxmlformats.org/markup-compatibility/2006" xmlns:a14="http://schemas.microsoft.com/office/drawing/2010/main">
      <mc:Choice Requires="a14">
        <xdr:sp macro="" textlink="">
          <xdr:nvSpPr>
            <xdr:cNvPr id="475" name="TextBox 81">
              <a:extLst>
                <a:ext uri="{FF2B5EF4-FFF2-40B4-BE49-F238E27FC236}">
                  <a16:creationId xmlns:a16="http://schemas.microsoft.com/office/drawing/2014/main" id="{00000000-0008-0000-0500-0000DB010000}"/>
                </a:ext>
              </a:extLst>
            </xdr:cNvPr>
            <xdr:cNvSpPr txBox="1"/>
          </xdr:nvSpPr>
          <xdr:spPr>
            <a:xfrm>
              <a:off x="625929" y="145910844"/>
              <a:ext cx="0" cy="8142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2</xdr:col>
      <xdr:colOff>0</xdr:colOff>
      <xdr:row>857</xdr:row>
      <xdr:rowOff>95247</xdr:rowOff>
    </xdr:from>
    <xdr:to>
      <xdr:col>2</xdr:col>
      <xdr:colOff>0</xdr:colOff>
      <xdr:row>859</xdr:row>
      <xdr:rowOff>152572</xdr:rowOff>
    </xdr:to>
    <mc:AlternateContent xmlns:mc="http://schemas.openxmlformats.org/markup-compatibility/2006" xmlns:a14="http://schemas.microsoft.com/office/drawing/2010/main">
      <mc:Choice Requires="a14">
        <xdr:sp macro="" textlink="">
          <xdr:nvSpPr>
            <xdr:cNvPr id="476" name="TextBox 80">
              <a:extLst>
                <a:ext uri="{FF2B5EF4-FFF2-40B4-BE49-F238E27FC236}">
                  <a16:creationId xmlns:a16="http://schemas.microsoft.com/office/drawing/2014/main" id="{00000000-0008-0000-0500-0000DC010000}"/>
                </a:ext>
              </a:extLst>
            </xdr:cNvPr>
            <xdr:cNvSpPr txBox="1"/>
          </xdr:nvSpPr>
          <xdr:spPr>
            <a:xfrm>
              <a:off x="625929" y="14665778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105047</xdr:colOff>
      <xdr:row>838</xdr:row>
      <xdr:rowOff>40822</xdr:rowOff>
    </xdr:from>
    <xdr:to>
      <xdr:col>5</xdr:col>
      <xdr:colOff>190500</xdr:colOff>
      <xdr:row>840</xdr:row>
      <xdr:rowOff>96941</xdr:rowOff>
    </xdr:to>
    <mc:AlternateContent xmlns:mc="http://schemas.openxmlformats.org/markup-compatibility/2006" xmlns:a14="http://schemas.microsoft.com/office/drawing/2010/main">
      <mc:Choice Requires="a14">
        <xdr:sp macro="" textlink="">
          <xdr:nvSpPr>
            <xdr:cNvPr id="477" name="TextBox 79">
              <a:extLst>
                <a:ext uri="{FF2B5EF4-FFF2-40B4-BE49-F238E27FC236}">
                  <a16:creationId xmlns:a16="http://schemas.microsoft.com/office/drawing/2014/main" id="{00000000-0008-0000-0500-0000DD010000}"/>
                </a:ext>
              </a:extLst>
            </xdr:cNvPr>
            <xdr:cNvSpPr txBox="1"/>
          </xdr:nvSpPr>
          <xdr:spPr>
            <a:xfrm flipH="1">
              <a:off x="2146118" y="143051893"/>
              <a:ext cx="6644096" cy="409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840</xdr:row>
      <xdr:rowOff>95247</xdr:rowOff>
    </xdr:from>
    <xdr:to>
      <xdr:col>2</xdr:col>
      <xdr:colOff>0</xdr:colOff>
      <xdr:row>842</xdr:row>
      <xdr:rowOff>152572</xdr:rowOff>
    </xdr:to>
    <mc:AlternateContent xmlns:mc="http://schemas.openxmlformats.org/markup-compatibility/2006" xmlns:a14="http://schemas.microsoft.com/office/drawing/2010/main">
      <mc:Choice Requires="a14">
        <xdr:sp macro="" textlink="">
          <xdr:nvSpPr>
            <xdr:cNvPr id="478" name="TextBox 78">
              <a:extLst>
                <a:ext uri="{FF2B5EF4-FFF2-40B4-BE49-F238E27FC236}">
                  <a16:creationId xmlns:a16="http://schemas.microsoft.com/office/drawing/2014/main" id="{00000000-0008-0000-0500-0000DE010000}"/>
                </a:ext>
              </a:extLst>
            </xdr:cNvPr>
            <xdr:cNvSpPr txBox="1"/>
          </xdr:nvSpPr>
          <xdr:spPr>
            <a:xfrm>
              <a:off x="625929" y="143460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427536</xdr:colOff>
      <xdr:row>819</xdr:row>
      <xdr:rowOff>84849</xdr:rowOff>
    </xdr:from>
    <xdr:to>
      <xdr:col>6</xdr:col>
      <xdr:colOff>1895202</xdr:colOff>
      <xdr:row>822</xdr:row>
      <xdr:rowOff>23910</xdr:rowOff>
    </xdr:to>
    <mc:AlternateContent xmlns:mc="http://schemas.openxmlformats.org/markup-compatibility/2006" xmlns:a14="http://schemas.microsoft.com/office/drawing/2010/main">
      <mc:Choice Requires="a14">
        <xdr:sp macro="" textlink="">
          <xdr:nvSpPr>
            <xdr:cNvPr id="479" name="TextBox 77">
              <a:extLst>
                <a:ext uri="{FF2B5EF4-FFF2-40B4-BE49-F238E27FC236}">
                  <a16:creationId xmlns:a16="http://schemas.microsoft.com/office/drawing/2014/main" id="{00000000-0008-0000-0500-0000DF01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a:extLst>
                <a:ext uri="{FF2B5EF4-FFF2-40B4-BE49-F238E27FC236}">
                  <a16:creationId xmlns:a16="http://schemas.microsoft.com/office/drawing/2014/main" id="{00000000-0008-0000-0200-00004E00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822</xdr:row>
      <xdr:rowOff>95247</xdr:rowOff>
    </xdr:from>
    <xdr:to>
      <xdr:col>2</xdr:col>
      <xdr:colOff>0</xdr:colOff>
      <xdr:row>824</xdr:row>
      <xdr:rowOff>152572</xdr:rowOff>
    </xdr:to>
    <mc:AlternateContent xmlns:mc="http://schemas.openxmlformats.org/markup-compatibility/2006" xmlns:a14="http://schemas.microsoft.com/office/drawing/2010/main">
      <mc:Choice Requires="a14">
        <xdr:sp macro="" textlink="">
          <xdr:nvSpPr>
            <xdr:cNvPr id="480" name="TextBox 76">
              <a:extLst>
                <a:ext uri="{FF2B5EF4-FFF2-40B4-BE49-F238E27FC236}">
                  <a16:creationId xmlns:a16="http://schemas.microsoft.com/office/drawing/2014/main" id="{00000000-0008-0000-0500-0000E0010000}"/>
                </a:ext>
              </a:extLst>
            </xdr:cNvPr>
            <xdr:cNvSpPr txBox="1"/>
          </xdr:nvSpPr>
          <xdr:spPr>
            <a:xfrm>
              <a:off x="625929" y="140031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802</xdr:row>
      <xdr:rowOff>105046</xdr:rowOff>
    </xdr:from>
    <xdr:to>
      <xdr:col>5</xdr:col>
      <xdr:colOff>466453</xdr:colOff>
      <xdr:row>805</xdr:row>
      <xdr:rowOff>13118</xdr:rowOff>
    </xdr:to>
    <mc:AlternateContent xmlns:mc="http://schemas.openxmlformats.org/markup-compatibility/2006" xmlns:a14="http://schemas.microsoft.com/office/drawing/2010/main">
      <mc:Choice Requires="a14">
        <xdr:sp macro="" textlink="">
          <xdr:nvSpPr>
            <xdr:cNvPr id="481" name="TextBox 75">
              <a:extLst>
                <a:ext uri="{FF2B5EF4-FFF2-40B4-BE49-F238E27FC236}">
                  <a16:creationId xmlns:a16="http://schemas.microsoft.com/office/drawing/2014/main" id="{00000000-0008-0000-0500-0000E1010000}"/>
                </a:ext>
              </a:extLst>
            </xdr:cNvPr>
            <xdr:cNvSpPr txBox="1"/>
          </xdr:nvSpPr>
          <xdr:spPr>
            <a:xfrm flipH="1">
              <a:off x="2041071" y="136122046"/>
              <a:ext cx="7025096" cy="4387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804</xdr:row>
      <xdr:rowOff>95247</xdr:rowOff>
    </xdr:from>
    <xdr:to>
      <xdr:col>2</xdr:col>
      <xdr:colOff>0</xdr:colOff>
      <xdr:row>806</xdr:row>
      <xdr:rowOff>152572</xdr:rowOff>
    </xdr:to>
    <mc:AlternateContent xmlns:mc="http://schemas.openxmlformats.org/markup-compatibility/2006" xmlns:a14="http://schemas.microsoft.com/office/drawing/2010/main">
      <mc:Choice Requires="a14">
        <xdr:sp macro="" textlink="">
          <xdr:nvSpPr>
            <xdr:cNvPr id="482" name="TextBox 74">
              <a:extLst>
                <a:ext uri="{FF2B5EF4-FFF2-40B4-BE49-F238E27FC236}">
                  <a16:creationId xmlns:a16="http://schemas.microsoft.com/office/drawing/2014/main" id="{00000000-0008-0000-0500-0000E2010000}"/>
                </a:ext>
              </a:extLst>
            </xdr:cNvPr>
            <xdr:cNvSpPr txBox="1"/>
          </xdr:nvSpPr>
          <xdr:spPr>
            <a:xfrm>
              <a:off x="625929" y="1364660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786</xdr:row>
      <xdr:rowOff>126274</xdr:rowOff>
    </xdr:from>
    <xdr:to>
      <xdr:col>4</xdr:col>
      <xdr:colOff>1428749</xdr:colOff>
      <xdr:row>788</xdr:row>
      <xdr:rowOff>172353</xdr:rowOff>
    </xdr:to>
    <mc:AlternateContent xmlns:mc="http://schemas.openxmlformats.org/markup-compatibility/2006" xmlns:a14="http://schemas.microsoft.com/office/drawing/2010/main">
      <mc:Choice Requires="a14">
        <xdr:sp macro="" textlink="">
          <xdr:nvSpPr>
            <xdr:cNvPr id="483" name="TextBox 73">
              <a:extLst>
                <a:ext uri="{FF2B5EF4-FFF2-40B4-BE49-F238E27FC236}">
                  <a16:creationId xmlns:a16="http://schemas.microsoft.com/office/drawing/2014/main" id="{00000000-0008-0000-0500-0000E3010000}"/>
                </a:ext>
              </a:extLst>
            </xdr:cNvPr>
            <xdr:cNvSpPr txBox="1"/>
          </xdr:nvSpPr>
          <xdr:spPr>
            <a:xfrm flipH="1">
              <a:off x="2043791" y="133122488"/>
              <a:ext cx="3113315" cy="399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788</xdr:row>
      <xdr:rowOff>95247</xdr:rowOff>
    </xdr:from>
    <xdr:to>
      <xdr:col>2</xdr:col>
      <xdr:colOff>0</xdr:colOff>
      <xdr:row>790</xdr:row>
      <xdr:rowOff>152572</xdr:rowOff>
    </xdr:to>
    <mc:AlternateContent xmlns:mc="http://schemas.openxmlformats.org/markup-compatibility/2006" xmlns:a14="http://schemas.microsoft.com/office/drawing/2010/main">
      <mc:Choice Requires="a14">
        <xdr:sp macro="" textlink="">
          <xdr:nvSpPr>
            <xdr:cNvPr id="484" name="TextBox 72">
              <a:extLst>
                <a:ext uri="{FF2B5EF4-FFF2-40B4-BE49-F238E27FC236}">
                  <a16:creationId xmlns:a16="http://schemas.microsoft.com/office/drawing/2014/main" id="{00000000-0008-0000-0500-0000E4010000}"/>
                </a:ext>
              </a:extLst>
            </xdr:cNvPr>
            <xdr:cNvSpPr txBox="1"/>
          </xdr:nvSpPr>
          <xdr:spPr>
            <a:xfrm>
              <a:off x="625929" y="13344524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6</xdr:col>
      <xdr:colOff>19866</xdr:colOff>
      <xdr:row>770</xdr:row>
      <xdr:rowOff>165734</xdr:rowOff>
    </xdr:from>
    <xdr:to>
      <xdr:col>11</xdr:col>
      <xdr:colOff>1248046</xdr:colOff>
      <xdr:row>772</xdr:row>
      <xdr:rowOff>130534</xdr:rowOff>
    </xdr:to>
    <mc:AlternateContent xmlns:mc="http://schemas.openxmlformats.org/markup-compatibility/2006" xmlns:a14="http://schemas.microsoft.com/office/drawing/2010/main">
      <mc:Choice Requires="a14">
        <xdr:sp macro="" textlink="">
          <xdr:nvSpPr>
            <xdr:cNvPr id="485" name="TextBox 71">
              <a:extLst>
                <a:ext uri="{FF2B5EF4-FFF2-40B4-BE49-F238E27FC236}">
                  <a16:creationId xmlns:a16="http://schemas.microsoft.com/office/drawing/2014/main" id="{00000000-0008-0000-0500-0000E5010000}"/>
                </a:ext>
              </a:extLst>
            </xdr:cNvPr>
            <xdr:cNvSpPr txBox="1"/>
          </xdr:nvSpPr>
          <xdr:spPr>
            <a:xfrm>
              <a:off x="9966687" y="130331663"/>
              <a:ext cx="8644073" cy="3185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3</xdr:col>
      <xdr:colOff>59574</xdr:colOff>
      <xdr:row>770</xdr:row>
      <xdr:rowOff>140919</xdr:rowOff>
    </xdr:from>
    <xdr:to>
      <xdr:col>5</xdr:col>
      <xdr:colOff>1050694</xdr:colOff>
      <xdr:row>773</xdr:row>
      <xdr:rowOff>88296</xdr:rowOff>
    </xdr:to>
    <mc:AlternateContent xmlns:mc="http://schemas.openxmlformats.org/markup-compatibility/2006" xmlns:a14="http://schemas.microsoft.com/office/drawing/2010/main">
      <mc:Choice Requires="a14">
        <xdr:sp macro="" textlink="">
          <xdr:nvSpPr>
            <xdr:cNvPr id="486" name="TextBox 70">
              <a:extLst>
                <a:ext uri="{FF2B5EF4-FFF2-40B4-BE49-F238E27FC236}">
                  <a16:creationId xmlns:a16="http://schemas.microsoft.com/office/drawing/2014/main" id="{00000000-0008-0000-0500-0000E6010000}"/>
                </a:ext>
              </a:extLst>
            </xdr:cNvPr>
            <xdr:cNvSpPr txBox="1"/>
          </xdr:nvSpPr>
          <xdr:spPr>
            <a:xfrm>
              <a:off x="2100645" y="130306848"/>
              <a:ext cx="7549763" cy="4780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2</xdr:col>
      <xdr:colOff>0</xdr:colOff>
      <xdr:row>772</xdr:row>
      <xdr:rowOff>95247</xdr:rowOff>
    </xdr:from>
    <xdr:to>
      <xdr:col>2</xdr:col>
      <xdr:colOff>0</xdr:colOff>
      <xdr:row>774</xdr:row>
      <xdr:rowOff>152572</xdr:rowOff>
    </xdr:to>
    <mc:AlternateContent xmlns:mc="http://schemas.openxmlformats.org/markup-compatibility/2006" xmlns:a14="http://schemas.microsoft.com/office/drawing/2010/main">
      <mc:Choice Requires="a14">
        <xdr:sp macro="" textlink="">
          <xdr:nvSpPr>
            <xdr:cNvPr id="487" name="TextBox 69">
              <a:extLst>
                <a:ext uri="{FF2B5EF4-FFF2-40B4-BE49-F238E27FC236}">
                  <a16:creationId xmlns:a16="http://schemas.microsoft.com/office/drawing/2014/main" id="{00000000-0008-0000-0500-0000E7010000}"/>
                </a:ext>
              </a:extLst>
            </xdr:cNvPr>
            <xdr:cNvSpPr txBox="1"/>
          </xdr:nvSpPr>
          <xdr:spPr>
            <a:xfrm>
              <a:off x="625929" y="130614961"/>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17120</xdr:colOff>
      <xdr:row>756</xdr:row>
      <xdr:rowOff>92650</xdr:rowOff>
    </xdr:from>
    <xdr:to>
      <xdr:col>16</xdr:col>
      <xdr:colOff>868391</xdr:colOff>
      <xdr:row>757</xdr:row>
      <xdr:rowOff>150231</xdr:rowOff>
    </xdr:to>
    <mc:AlternateContent xmlns:mc="http://schemas.openxmlformats.org/markup-compatibility/2006" xmlns:a14="http://schemas.microsoft.com/office/drawing/2010/main">
      <mc:Choice Requires="a14">
        <xdr:sp macro="" textlink="">
          <xdr:nvSpPr>
            <xdr:cNvPr id="488" name="TextBox 68">
              <a:extLst>
                <a:ext uri="{FF2B5EF4-FFF2-40B4-BE49-F238E27FC236}">
                  <a16:creationId xmlns:a16="http://schemas.microsoft.com/office/drawing/2014/main" id="{00000000-0008-0000-0500-0000E8010000}"/>
                </a:ext>
              </a:extLst>
            </xdr:cNvPr>
            <xdr:cNvSpPr txBox="1"/>
          </xdr:nvSpPr>
          <xdr:spPr>
            <a:xfrm>
              <a:off x="2058191" y="127768471"/>
              <a:ext cx="21098700" cy="2480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3</xdr:col>
      <xdr:colOff>7891</xdr:colOff>
      <xdr:row>753</xdr:row>
      <xdr:rowOff>36286</xdr:rowOff>
    </xdr:from>
    <xdr:to>
      <xdr:col>5</xdr:col>
      <xdr:colOff>669470</xdr:colOff>
      <xdr:row>755</xdr:row>
      <xdr:rowOff>136071</xdr:rowOff>
    </xdr:to>
    <mc:AlternateContent xmlns:mc="http://schemas.openxmlformats.org/markup-compatibility/2006" xmlns:a14="http://schemas.microsoft.com/office/drawing/2010/main">
      <mc:Choice Requires="a14">
        <xdr:sp macro="" textlink="">
          <xdr:nvSpPr>
            <xdr:cNvPr id="489" name="TextBox 67">
              <a:extLst>
                <a:ext uri="{FF2B5EF4-FFF2-40B4-BE49-F238E27FC236}">
                  <a16:creationId xmlns:a16="http://schemas.microsoft.com/office/drawing/2014/main" id="{00000000-0008-0000-0500-0000E9010000}"/>
                </a:ext>
              </a:extLst>
            </xdr:cNvPr>
            <xdr:cNvSpPr txBox="1"/>
          </xdr:nvSpPr>
          <xdr:spPr>
            <a:xfrm flipH="1">
              <a:off x="2048962" y="127154215"/>
              <a:ext cx="7220222" cy="4671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2</xdr:col>
      <xdr:colOff>0</xdr:colOff>
      <xdr:row>756</xdr:row>
      <xdr:rowOff>95247</xdr:rowOff>
    </xdr:from>
    <xdr:to>
      <xdr:col>2</xdr:col>
      <xdr:colOff>0</xdr:colOff>
      <xdr:row>758</xdr:row>
      <xdr:rowOff>152572</xdr:rowOff>
    </xdr:to>
    <mc:AlternateContent xmlns:mc="http://schemas.openxmlformats.org/markup-compatibility/2006" xmlns:a14="http://schemas.microsoft.com/office/drawing/2010/main">
      <mc:Choice Requires="a14">
        <xdr:sp macro="" textlink="">
          <xdr:nvSpPr>
            <xdr:cNvPr id="490" name="TextBox 66">
              <a:extLst>
                <a:ext uri="{FF2B5EF4-FFF2-40B4-BE49-F238E27FC236}">
                  <a16:creationId xmlns:a16="http://schemas.microsoft.com/office/drawing/2014/main" id="{00000000-0008-0000-0500-0000EA010000}"/>
                </a:ext>
              </a:extLst>
            </xdr:cNvPr>
            <xdr:cNvSpPr txBox="1"/>
          </xdr:nvSpPr>
          <xdr:spPr>
            <a:xfrm>
              <a:off x="625929" y="127771068"/>
              <a:ext cx="0" cy="4247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739</xdr:row>
      <xdr:rowOff>95247</xdr:rowOff>
    </xdr:from>
    <xdr:to>
      <xdr:col>2</xdr:col>
      <xdr:colOff>0</xdr:colOff>
      <xdr:row>741</xdr:row>
      <xdr:rowOff>152572</xdr:rowOff>
    </xdr:to>
    <mc:AlternateContent xmlns:mc="http://schemas.openxmlformats.org/markup-compatibility/2006" xmlns:a14="http://schemas.microsoft.com/office/drawing/2010/main">
      <mc:Choice Requires="a14">
        <xdr:sp macro="" textlink="">
          <xdr:nvSpPr>
            <xdr:cNvPr id="491" name="TextBox 64">
              <a:extLst>
                <a:ext uri="{FF2B5EF4-FFF2-40B4-BE49-F238E27FC236}">
                  <a16:creationId xmlns:a16="http://schemas.microsoft.com/office/drawing/2014/main" id="{00000000-0008-0000-0500-0000EB010000}"/>
                </a:ext>
              </a:extLst>
            </xdr:cNvPr>
            <xdr:cNvSpPr txBox="1"/>
          </xdr:nvSpPr>
          <xdr:spPr>
            <a:xfrm>
              <a:off x="625929" y="124736676"/>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722</xdr:row>
      <xdr:rowOff>95247</xdr:rowOff>
    </xdr:from>
    <xdr:to>
      <xdr:col>2</xdr:col>
      <xdr:colOff>0</xdr:colOff>
      <xdr:row>724</xdr:row>
      <xdr:rowOff>152572</xdr:rowOff>
    </xdr:to>
    <mc:AlternateContent xmlns:mc="http://schemas.openxmlformats.org/markup-compatibility/2006" xmlns:a14="http://schemas.microsoft.com/office/drawing/2010/main">
      <mc:Choice Requires="a14">
        <xdr:sp macro="" textlink="">
          <xdr:nvSpPr>
            <xdr:cNvPr id="493" name="TextBox 62">
              <a:extLst>
                <a:ext uri="{FF2B5EF4-FFF2-40B4-BE49-F238E27FC236}">
                  <a16:creationId xmlns:a16="http://schemas.microsoft.com/office/drawing/2014/main" id="{00000000-0008-0000-0500-0000ED010000}"/>
                </a:ext>
              </a:extLst>
            </xdr:cNvPr>
            <xdr:cNvSpPr txBox="1"/>
          </xdr:nvSpPr>
          <xdr:spPr>
            <a:xfrm>
              <a:off x="625929" y="12134849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704</xdr:row>
      <xdr:rowOff>95247</xdr:rowOff>
    </xdr:from>
    <xdr:to>
      <xdr:col>2</xdr:col>
      <xdr:colOff>0</xdr:colOff>
      <xdr:row>706</xdr:row>
      <xdr:rowOff>152572</xdr:rowOff>
    </xdr:to>
    <mc:AlternateContent xmlns:mc="http://schemas.openxmlformats.org/markup-compatibility/2006" xmlns:a14="http://schemas.microsoft.com/office/drawing/2010/main">
      <mc:Choice Requires="a14">
        <xdr:sp macro="" textlink="">
          <xdr:nvSpPr>
            <xdr:cNvPr id="495" name="TextBox 60">
              <a:extLst>
                <a:ext uri="{FF2B5EF4-FFF2-40B4-BE49-F238E27FC236}">
                  <a16:creationId xmlns:a16="http://schemas.microsoft.com/office/drawing/2014/main" id="{00000000-0008-0000-0500-0000EF010000}"/>
                </a:ext>
              </a:extLst>
            </xdr:cNvPr>
            <xdr:cNvSpPr txBox="1"/>
          </xdr:nvSpPr>
          <xdr:spPr>
            <a:xfrm>
              <a:off x="625929" y="118150818"/>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685</xdr:row>
      <xdr:rowOff>95247</xdr:rowOff>
    </xdr:from>
    <xdr:to>
      <xdr:col>2</xdr:col>
      <xdr:colOff>0</xdr:colOff>
      <xdr:row>687</xdr:row>
      <xdr:rowOff>152572</xdr:rowOff>
    </xdr:to>
    <mc:AlternateContent xmlns:mc="http://schemas.openxmlformats.org/markup-compatibility/2006" xmlns:a14="http://schemas.microsoft.com/office/drawing/2010/main">
      <mc:Choice Requires="a14">
        <xdr:sp macro="" textlink="">
          <xdr:nvSpPr>
            <xdr:cNvPr id="497" name="TextBox 58">
              <a:extLst>
                <a:ext uri="{FF2B5EF4-FFF2-40B4-BE49-F238E27FC236}">
                  <a16:creationId xmlns:a16="http://schemas.microsoft.com/office/drawing/2014/main" id="{00000000-0008-0000-0500-0000F1010000}"/>
                </a:ext>
              </a:extLst>
            </xdr:cNvPr>
            <xdr:cNvSpPr txBox="1"/>
          </xdr:nvSpPr>
          <xdr:spPr>
            <a:xfrm>
              <a:off x="625929" y="11477624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664</xdr:row>
      <xdr:rowOff>155864</xdr:rowOff>
    </xdr:from>
    <xdr:to>
      <xdr:col>2</xdr:col>
      <xdr:colOff>0</xdr:colOff>
      <xdr:row>666</xdr:row>
      <xdr:rowOff>98195</xdr:rowOff>
    </xdr:to>
    <mc:AlternateContent xmlns:mc="http://schemas.openxmlformats.org/markup-compatibility/2006" xmlns:a14="http://schemas.microsoft.com/office/drawing/2010/main">
      <mc:Choice Requires="a14">
        <xdr:sp macro="" textlink="">
          <xdr:nvSpPr>
            <xdr:cNvPr id="499" name="TextBox 56">
              <a:extLst>
                <a:ext uri="{FF2B5EF4-FFF2-40B4-BE49-F238E27FC236}">
                  <a16:creationId xmlns:a16="http://schemas.microsoft.com/office/drawing/2014/main" id="{00000000-0008-0000-0500-0000F3010000}"/>
                </a:ext>
              </a:extLst>
            </xdr:cNvPr>
            <xdr:cNvSpPr txBox="1"/>
          </xdr:nvSpPr>
          <xdr:spPr>
            <a:xfrm>
              <a:off x="625929" y="110741114"/>
              <a:ext cx="0" cy="296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64225</xdr:colOff>
      <xdr:row>613</xdr:row>
      <xdr:rowOff>132443</xdr:rowOff>
    </xdr:from>
    <xdr:to>
      <xdr:col>6</xdr:col>
      <xdr:colOff>1228452</xdr:colOff>
      <xdr:row>616</xdr:row>
      <xdr:rowOff>67422</xdr:rowOff>
    </xdr:to>
    <mc:AlternateContent xmlns:mc="http://schemas.openxmlformats.org/markup-compatibility/2006" xmlns:a14="http://schemas.microsoft.com/office/drawing/2010/main">
      <mc:Choice Requires="a14">
        <xdr:sp macro="" textlink="">
          <xdr:nvSpPr>
            <xdr:cNvPr id="500" name="TextBox 55">
              <a:extLst>
                <a:ext uri="{FF2B5EF4-FFF2-40B4-BE49-F238E27FC236}">
                  <a16:creationId xmlns:a16="http://schemas.microsoft.com/office/drawing/2014/main" id="{00000000-0008-0000-0500-0000F4010000}"/>
                </a:ext>
              </a:extLst>
            </xdr:cNvPr>
            <xdr:cNvSpPr txBox="1"/>
          </xdr:nvSpPr>
          <xdr:spPr>
            <a:xfrm flipH="1">
              <a:off x="2105296" y="106826050"/>
              <a:ext cx="9069977" cy="465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616</xdr:row>
      <xdr:rowOff>95247</xdr:rowOff>
    </xdr:from>
    <xdr:to>
      <xdr:col>2</xdr:col>
      <xdr:colOff>0</xdr:colOff>
      <xdr:row>618</xdr:row>
      <xdr:rowOff>152572</xdr:rowOff>
    </xdr:to>
    <mc:AlternateContent xmlns:mc="http://schemas.openxmlformats.org/markup-compatibility/2006" xmlns:a14="http://schemas.microsoft.com/office/drawing/2010/main">
      <mc:Choice Requires="a14">
        <xdr:sp macro="" textlink="">
          <xdr:nvSpPr>
            <xdr:cNvPr id="501" name="TextBox 54">
              <a:extLst>
                <a:ext uri="{FF2B5EF4-FFF2-40B4-BE49-F238E27FC236}">
                  <a16:creationId xmlns:a16="http://schemas.microsoft.com/office/drawing/2014/main" id="{00000000-0008-0000-0500-0000F5010000}"/>
                </a:ext>
              </a:extLst>
            </xdr:cNvPr>
            <xdr:cNvSpPr txBox="1"/>
          </xdr:nvSpPr>
          <xdr:spPr>
            <a:xfrm>
              <a:off x="625929" y="1073195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594</xdr:row>
      <xdr:rowOff>126271</xdr:rowOff>
    </xdr:from>
    <xdr:to>
      <xdr:col>4</xdr:col>
      <xdr:colOff>2869474</xdr:colOff>
      <xdr:row>597</xdr:row>
      <xdr:rowOff>988</xdr:rowOff>
    </xdr:to>
    <mc:AlternateContent xmlns:mc="http://schemas.openxmlformats.org/markup-compatibility/2006" xmlns:a14="http://schemas.microsoft.com/office/drawing/2010/main">
      <mc:Choice Requires="a14">
        <xdr:sp macro="" textlink="">
          <xdr:nvSpPr>
            <xdr:cNvPr id="503" name="TextBox 52">
              <a:extLst>
                <a:ext uri="{FF2B5EF4-FFF2-40B4-BE49-F238E27FC236}">
                  <a16:creationId xmlns:a16="http://schemas.microsoft.com/office/drawing/2014/main" id="{00000000-0008-0000-0500-0000F7010000}"/>
                </a:ext>
              </a:extLst>
            </xdr:cNvPr>
            <xdr:cNvSpPr txBox="1"/>
          </xdr:nvSpPr>
          <xdr:spPr>
            <a:xfrm>
              <a:off x="2136320" y="103622200"/>
              <a:ext cx="4461511" cy="405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85451</xdr:colOff>
      <xdr:row>565</xdr:row>
      <xdr:rowOff>89385</xdr:rowOff>
    </xdr:from>
    <xdr:to>
      <xdr:col>4</xdr:col>
      <xdr:colOff>4550499</xdr:colOff>
      <xdr:row>568</xdr:row>
      <xdr:rowOff>16744</xdr:rowOff>
    </xdr:to>
    <mc:AlternateContent xmlns:mc="http://schemas.openxmlformats.org/markup-compatibility/2006" xmlns:a14="http://schemas.microsoft.com/office/drawing/2010/main">
      <mc:Choice Requires="a14">
        <xdr:sp macro="" textlink="">
          <xdr:nvSpPr>
            <xdr:cNvPr id="504" name="TextBox 51">
              <a:extLst>
                <a:ext uri="{FF2B5EF4-FFF2-40B4-BE49-F238E27FC236}">
                  <a16:creationId xmlns:a16="http://schemas.microsoft.com/office/drawing/2014/main" id="{00000000-0008-0000-0500-0000F8010000}"/>
                </a:ext>
              </a:extLst>
            </xdr:cNvPr>
            <xdr:cNvSpPr txBox="1"/>
          </xdr:nvSpPr>
          <xdr:spPr>
            <a:xfrm flipH="1">
              <a:off x="2126522" y="98455421"/>
              <a:ext cx="6152334" cy="4580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21498</xdr:colOff>
      <xdr:row>568</xdr:row>
      <xdr:rowOff>105045</xdr:rowOff>
    </xdr:from>
    <xdr:to>
      <xdr:col>4</xdr:col>
      <xdr:colOff>2457449</xdr:colOff>
      <xdr:row>571</xdr:row>
      <xdr:rowOff>2894</xdr:rowOff>
    </xdr:to>
    <mc:AlternateContent xmlns:mc="http://schemas.openxmlformats.org/markup-compatibility/2006" xmlns:a14="http://schemas.microsoft.com/office/drawing/2010/main">
      <mc:Choice Requires="a14">
        <xdr:sp macro="" textlink="">
          <xdr:nvSpPr>
            <xdr:cNvPr id="505" name="TextBox 50">
              <a:extLst>
                <a:ext uri="{FF2B5EF4-FFF2-40B4-BE49-F238E27FC236}">
                  <a16:creationId xmlns:a16="http://schemas.microsoft.com/office/drawing/2014/main" id="{00000000-0008-0000-0500-0000F9010000}"/>
                </a:ext>
              </a:extLst>
            </xdr:cNvPr>
            <xdr:cNvSpPr txBox="1"/>
          </xdr:nvSpPr>
          <xdr:spPr>
            <a:xfrm>
              <a:off x="2062569" y="99001759"/>
              <a:ext cx="4123237" cy="42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541</xdr:row>
      <xdr:rowOff>104443</xdr:rowOff>
    </xdr:from>
    <xdr:to>
      <xdr:col>4</xdr:col>
      <xdr:colOff>4095750</xdr:colOff>
      <xdr:row>544</xdr:row>
      <xdr:rowOff>50852</xdr:rowOff>
    </xdr:to>
    <mc:AlternateContent xmlns:mc="http://schemas.openxmlformats.org/markup-compatibility/2006" xmlns:a14="http://schemas.microsoft.com/office/drawing/2010/main">
      <mc:Choice Requires="a14">
        <xdr:sp macro="" textlink="">
          <xdr:nvSpPr>
            <xdr:cNvPr id="506" name="TextBox 49">
              <a:extLst>
                <a:ext uri="{FF2B5EF4-FFF2-40B4-BE49-F238E27FC236}">
                  <a16:creationId xmlns:a16="http://schemas.microsoft.com/office/drawing/2014/main" id="{00000000-0008-0000-0500-0000FA010000}"/>
                </a:ext>
              </a:extLst>
            </xdr:cNvPr>
            <xdr:cNvSpPr txBox="1"/>
          </xdr:nvSpPr>
          <xdr:spPr>
            <a:xfrm>
              <a:off x="2095500" y="93871264"/>
              <a:ext cx="5728607" cy="4770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21499</xdr:colOff>
      <xdr:row>545</xdr:row>
      <xdr:rowOff>5984</xdr:rowOff>
    </xdr:from>
    <xdr:to>
      <xdr:col>4</xdr:col>
      <xdr:colOff>2296614</xdr:colOff>
      <xdr:row>547</xdr:row>
      <xdr:rowOff>88346</xdr:rowOff>
    </xdr:to>
    <mc:AlternateContent xmlns:mc="http://schemas.openxmlformats.org/markup-compatibility/2006" xmlns:a14="http://schemas.microsoft.com/office/drawing/2010/main">
      <mc:Choice Requires="a14">
        <xdr:sp macro="" textlink="">
          <xdr:nvSpPr>
            <xdr:cNvPr id="507" name="TextBox 48">
              <a:extLst>
                <a:ext uri="{FF2B5EF4-FFF2-40B4-BE49-F238E27FC236}">
                  <a16:creationId xmlns:a16="http://schemas.microsoft.com/office/drawing/2014/main" id="{00000000-0008-0000-0500-0000FB010000}"/>
                </a:ext>
              </a:extLst>
            </xdr:cNvPr>
            <xdr:cNvSpPr txBox="1"/>
          </xdr:nvSpPr>
          <xdr:spPr>
            <a:xfrm>
              <a:off x="2062570" y="94480377"/>
              <a:ext cx="3962401" cy="436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853620</xdr:colOff>
      <xdr:row>522</xdr:row>
      <xdr:rowOff>63621</xdr:rowOff>
    </xdr:from>
    <xdr:to>
      <xdr:col>15</xdr:col>
      <xdr:colOff>734784</xdr:colOff>
      <xdr:row>525</xdr:row>
      <xdr:rowOff>10030</xdr:rowOff>
    </xdr:to>
    <mc:AlternateContent xmlns:mc="http://schemas.openxmlformats.org/markup-compatibility/2006" xmlns:a14="http://schemas.microsoft.com/office/drawing/2010/main">
      <mc:Choice Requires="a14">
        <xdr:sp macro="" textlink="">
          <xdr:nvSpPr>
            <xdr:cNvPr id="508" name="TextBox 47">
              <a:extLst>
                <a:ext uri="{FF2B5EF4-FFF2-40B4-BE49-F238E27FC236}">
                  <a16:creationId xmlns:a16="http://schemas.microsoft.com/office/drawing/2014/main" id="{00000000-0008-0000-0500-0000FC010000}"/>
                </a:ext>
              </a:extLst>
            </xdr:cNvPr>
            <xdr:cNvSpPr txBox="1"/>
          </xdr:nvSpPr>
          <xdr:spPr>
            <a:xfrm>
              <a:off x="1452334" y="103382657"/>
              <a:ext cx="18291629" cy="517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a:extLst>
                <a:ext uri="{FF2B5EF4-FFF2-40B4-BE49-F238E27FC236}">
                  <a16:creationId xmlns:a16="http://schemas.microsoft.com/office/drawing/2014/main" id="{00000000-0008-0000-0200-000030000000}"/>
                </a:ext>
              </a:extLst>
            </xdr:cNvPr>
            <xdr:cNvSpPr txBox="1"/>
          </xdr:nvSpPr>
          <xdr:spPr>
            <a:xfrm>
              <a:off x="1452334" y="103382657"/>
              <a:ext cx="18291629" cy="517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20037</xdr:colOff>
      <xdr:row>525</xdr:row>
      <xdr:rowOff>149675</xdr:rowOff>
    </xdr:from>
    <xdr:to>
      <xdr:col>6</xdr:col>
      <xdr:colOff>92358</xdr:colOff>
      <xdr:row>528</xdr:row>
      <xdr:rowOff>47524</xdr:rowOff>
    </xdr:to>
    <mc:AlternateContent xmlns:mc="http://schemas.openxmlformats.org/markup-compatibility/2006" xmlns:a14="http://schemas.microsoft.com/office/drawing/2010/main">
      <mc:Choice Requires="a14">
        <xdr:sp macro="" textlink="">
          <xdr:nvSpPr>
            <xdr:cNvPr id="509" name="TextBox 46">
              <a:extLst>
                <a:ext uri="{FF2B5EF4-FFF2-40B4-BE49-F238E27FC236}">
                  <a16:creationId xmlns:a16="http://schemas.microsoft.com/office/drawing/2014/main" id="{00000000-0008-0000-0500-0000FD010000}"/>
                </a:ext>
              </a:extLst>
            </xdr:cNvPr>
            <xdr:cNvSpPr txBox="1"/>
          </xdr:nvSpPr>
          <xdr:spPr>
            <a:xfrm>
              <a:off x="2061108" y="90732425"/>
              <a:ext cx="7978071" cy="42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1346632</xdr:colOff>
      <xdr:row>110</xdr:row>
      <xdr:rowOff>125732</xdr:rowOff>
    </xdr:from>
    <xdr:to>
      <xdr:col>4</xdr:col>
      <xdr:colOff>2220686</xdr:colOff>
      <xdr:row>112</xdr:row>
      <xdr:rowOff>65316</xdr:rowOff>
    </xdr:to>
    <mc:AlternateContent xmlns:mc="http://schemas.openxmlformats.org/markup-compatibility/2006" xmlns:a14="http://schemas.microsoft.com/office/drawing/2010/main">
      <mc:Choice Requires="a14">
        <xdr:sp macro="" textlink="">
          <xdr:nvSpPr>
            <xdr:cNvPr id="510" name="TextBox 44">
              <a:extLst>
                <a:ext uri="{FF2B5EF4-FFF2-40B4-BE49-F238E27FC236}">
                  <a16:creationId xmlns:a16="http://schemas.microsoft.com/office/drawing/2014/main" id="{00000000-0008-0000-0500-0000FE01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6</xdr:col>
      <xdr:colOff>742950</xdr:colOff>
      <xdr:row>385</xdr:row>
      <xdr:rowOff>97428</xdr:rowOff>
    </xdr:from>
    <xdr:to>
      <xdr:col>9</xdr:col>
      <xdr:colOff>341962</xdr:colOff>
      <xdr:row>388</xdr:row>
      <xdr:rowOff>135528</xdr:rowOff>
    </xdr:to>
    <mc:AlternateContent xmlns:mc="http://schemas.openxmlformats.org/markup-compatibility/2006" xmlns:a14="http://schemas.microsoft.com/office/drawing/2010/main">
      <mc:Choice Requires="a14">
        <xdr:sp macro="" textlink="">
          <xdr:nvSpPr>
            <xdr:cNvPr id="511" name="TextBox 43">
              <a:extLst>
                <a:ext uri="{FF2B5EF4-FFF2-40B4-BE49-F238E27FC236}">
                  <a16:creationId xmlns:a16="http://schemas.microsoft.com/office/drawing/2014/main" id="{00000000-0008-0000-0500-0000FF010000}"/>
                </a:ext>
              </a:extLst>
            </xdr:cNvPr>
            <xdr:cNvSpPr txBox="1"/>
          </xdr:nvSpPr>
          <xdr:spPr>
            <a:xfrm>
              <a:off x="10689771" y="72841214"/>
              <a:ext cx="4334298" cy="5687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6</xdr:col>
      <xdr:colOff>726621</xdr:colOff>
      <xdr:row>381</xdr:row>
      <xdr:rowOff>19050</xdr:rowOff>
    </xdr:from>
    <xdr:to>
      <xdr:col>9</xdr:col>
      <xdr:colOff>140363</xdr:colOff>
      <xdr:row>384</xdr:row>
      <xdr:rowOff>54610</xdr:rowOff>
    </xdr:to>
    <mc:AlternateContent xmlns:mc="http://schemas.openxmlformats.org/markup-compatibility/2006" xmlns:a14="http://schemas.microsoft.com/office/drawing/2010/main">
      <mc:Choice Requires="a14">
        <xdr:sp macro="" textlink="">
          <xdr:nvSpPr>
            <xdr:cNvPr id="512" name="TextBox 42">
              <a:extLst>
                <a:ext uri="{FF2B5EF4-FFF2-40B4-BE49-F238E27FC236}">
                  <a16:creationId xmlns:a16="http://schemas.microsoft.com/office/drawing/2014/main" id="{00000000-0008-0000-0500-000000020000}"/>
                </a:ext>
              </a:extLst>
            </xdr:cNvPr>
            <xdr:cNvSpPr txBox="1"/>
          </xdr:nvSpPr>
          <xdr:spPr>
            <a:xfrm>
              <a:off x="10673442" y="72041657"/>
              <a:ext cx="4149028" cy="5798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5</xdr:col>
      <xdr:colOff>0</xdr:colOff>
      <xdr:row>383</xdr:row>
      <xdr:rowOff>0</xdr:rowOff>
    </xdr:from>
    <xdr:to>
      <xdr:col>5</xdr:col>
      <xdr:colOff>1343025</xdr:colOff>
      <xdr:row>384</xdr:row>
      <xdr:rowOff>0</xdr:rowOff>
    </xdr:to>
    <xdr:pic>
      <xdr:nvPicPr>
        <xdr:cNvPr id="513" name="Picture 41">
          <a:extLst>
            <a:ext uri="{FF2B5EF4-FFF2-40B4-BE49-F238E27FC236}">
              <a16:creationId xmlns:a16="http://schemas.microsoft.com/office/drawing/2014/main" id="{00000000-0008-0000-0500-00000102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599714" y="72390000"/>
          <a:ext cx="1343025" cy="176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726621</xdr:colOff>
      <xdr:row>281</xdr:row>
      <xdr:rowOff>50074</xdr:rowOff>
    </xdr:from>
    <xdr:to>
      <xdr:col>4</xdr:col>
      <xdr:colOff>1316035</xdr:colOff>
      <xdr:row>282</xdr:row>
      <xdr:rowOff>102867</xdr:rowOff>
    </xdr:to>
    <mc:AlternateContent xmlns:mc="http://schemas.openxmlformats.org/markup-compatibility/2006" xmlns:a14="http://schemas.microsoft.com/office/drawing/2010/main">
      <mc:Choice Requires="a14">
        <xdr:sp macro="" textlink="">
          <xdr:nvSpPr>
            <xdr:cNvPr id="514" name="TextBox 40">
              <a:extLst>
                <a:ext uri="{FF2B5EF4-FFF2-40B4-BE49-F238E27FC236}">
                  <a16:creationId xmlns:a16="http://schemas.microsoft.com/office/drawing/2014/main" id="{00000000-0008-0000-0500-000002020000}"/>
                </a:ext>
              </a:extLst>
            </xdr:cNvPr>
            <xdr:cNvSpPr txBox="1"/>
          </xdr:nvSpPr>
          <xdr:spPr>
            <a:xfrm>
              <a:off x="2767692" y="53920753"/>
              <a:ext cx="2276700" cy="229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4</xdr:col>
      <xdr:colOff>77287</xdr:colOff>
      <xdr:row>457</xdr:row>
      <xdr:rowOff>127363</xdr:rowOff>
    </xdr:from>
    <xdr:to>
      <xdr:col>5</xdr:col>
      <xdr:colOff>6136</xdr:colOff>
      <xdr:row>458</xdr:row>
      <xdr:rowOff>179884</xdr:rowOff>
    </xdr:to>
    <mc:AlternateContent xmlns:mc="http://schemas.openxmlformats.org/markup-compatibility/2006" xmlns:a14="http://schemas.microsoft.com/office/drawing/2010/main">
      <mc:Choice Requires="a14">
        <xdr:sp macro="" textlink="">
          <xdr:nvSpPr>
            <xdr:cNvPr id="517" name="TextBox 37">
              <a:extLst>
                <a:ext uri="{FF2B5EF4-FFF2-40B4-BE49-F238E27FC236}">
                  <a16:creationId xmlns:a16="http://schemas.microsoft.com/office/drawing/2014/main" id="{00000000-0008-0000-0500-00000502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9</xdr:col>
      <xdr:colOff>136071</xdr:colOff>
      <xdr:row>437</xdr:row>
      <xdr:rowOff>149678</xdr:rowOff>
    </xdr:from>
    <xdr:to>
      <xdr:col>14</xdr:col>
      <xdr:colOff>56029</xdr:colOff>
      <xdr:row>440</xdr:row>
      <xdr:rowOff>54601</xdr:rowOff>
    </xdr:to>
    <mc:AlternateContent xmlns:mc="http://schemas.openxmlformats.org/markup-compatibility/2006" xmlns:a14="http://schemas.microsoft.com/office/drawing/2010/main">
      <mc:Choice Requires="a14">
        <xdr:sp macro="" textlink="">
          <xdr:nvSpPr>
            <xdr:cNvPr id="518" name="TextBox 36">
              <a:extLst>
                <a:ext uri="{FF2B5EF4-FFF2-40B4-BE49-F238E27FC236}">
                  <a16:creationId xmlns:a16="http://schemas.microsoft.com/office/drawing/2014/main" id="{00000000-0008-0000-0500-000006020000}"/>
                </a:ext>
              </a:extLst>
            </xdr:cNvPr>
            <xdr:cNvSpPr txBox="1"/>
          </xdr:nvSpPr>
          <xdr:spPr>
            <a:xfrm>
              <a:off x="14818178" y="82568142"/>
              <a:ext cx="5689387" cy="4356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9</xdr:col>
      <xdr:colOff>152400</xdr:colOff>
      <xdr:row>435</xdr:row>
      <xdr:rowOff>16328</xdr:rowOff>
    </xdr:from>
    <xdr:to>
      <xdr:col>13</xdr:col>
      <xdr:colOff>664733</xdr:colOff>
      <xdr:row>437</xdr:row>
      <xdr:rowOff>151121</xdr:rowOff>
    </xdr:to>
    <mc:AlternateContent xmlns:mc="http://schemas.openxmlformats.org/markup-compatibility/2006" xmlns:a14="http://schemas.microsoft.com/office/drawing/2010/main">
      <mc:Choice Requires="a14">
        <xdr:sp macro="" textlink="">
          <xdr:nvSpPr>
            <xdr:cNvPr id="519" name="TextBox 35">
              <a:extLst>
                <a:ext uri="{FF2B5EF4-FFF2-40B4-BE49-F238E27FC236}">
                  <a16:creationId xmlns:a16="http://schemas.microsoft.com/office/drawing/2014/main" id="{00000000-0008-0000-0500-000007020000}"/>
                </a:ext>
              </a:extLst>
            </xdr:cNvPr>
            <xdr:cNvSpPr txBox="1"/>
          </xdr:nvSpPr>
          <xdr:spPr>
            <a:xfrm>
              <a:off x="14834507" y="82081007"/>
              <a:ext cx="5342869" cy="488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3</xdr:col>
      <xdr:colOff>726621</xdr:colOff>
      <xdr:row>436</xdr:row>
      <xdr:rowOff>9253</xdr:rowOff>
    </xdr:from>
    <xdr:to>
      <xdr:col>4</xdr:col>
      <xdr:colOff>1847143</xdr:colOff>
      <xdr:row>437</xdr:row>
      <xdr:rowOff>60141</xdr:rowOff>
    </xdr:to>
    <mc:AlternateContent xmlns:mc="http://schemas.openxmlformats.org/markup-compatibility/2006" xmlns:a14="http://schemas.microsoft.com/office/drawing/2010/main">
      <mc:Choice Requires="a14">
        <xdr:sp macro="" textlink="">
          <xdr:nvSpPr>
            <xdr:cNvPr id="520" name="TextBox 34">
              <a:extLst>
                <a:ext uri="{FF2B5EF4-FFF2-40B4-BE49-F238E27FC236}">
                  <a16:creationId xmlns:a16="http://schemas.microsoft.com/office/drawing/2014/main" id="{00000000-0008-0000-0500-000008020000}"/>
                </a:ext>
              </a:extLst>
            </xdr:cNvPr>
            <xdr:cNvSpPr txBox="1"/>
          </xdr:nvSpPr>
          <xdr:spPr>
            <a:xfrm>
              <a:off x="2767692" y="82250824"/>
              <a:ext cx="2807808" cy="2277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5</xdr:col>
      <xdr:colOff>105046</xdr:colOff>
      <xdr:row>437</xdr:row>
      <xdr:rowOff>169273</xdr:rowOff>
    </xdr:from>
    <xdr:to>
      <xdr:col>8</xdr:col>
      <xdr:colOff>855232</xdr:colOff>
      <xdr:row>440</xdr:row>
      <xdr:rowOff>97056</xdr:rowOff>
    </xdr:to>
    <mc:AlternateContent xmlns:mc="http://schemas.openxmlformats.org/markup-compatibility/2006" xmlns:a14="http://schemas.microsoft.com/office/drawing/2010/main">
      <mc:Choice Requires="a14">
        <xdr:sp macro="" textlink="">
          <xdr:nvSpPr>
            <xdr:cNvPr id="521" name="TextBox 33">
              <a:extLst>
                <a:ext uri="{FF2B5EF4-FFF2-40B4-BE49-F238E27FC236}">
                  <a16:creationId xmlns:a16="http://schemas.microsoft.com/office/drawing/2014/main" id="{00000000-0008-0000-0500-000009020000}"/>
                </a:ext>
              </a:extLst>
            </xdr:cNvPr>
            <xdr:cNvSpPr txBox="1"/>
          </xdr:nvSpPr>
          <xdr:spPr>
            <a:xfrm>
              <a:off x="8704760" y="82587737"/>
              <a:ext cx="5567115" cy="4584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5</xdr:col>
      <xdr:colOff>136071</xdr:colOff>
      <xdr:row>435</xdr:row>
      <xdr:rowOff>21499</xdr:rowOff>
    </xdr:from>
    <xdr:to>
      <xdr:col>8</xdr:col>
      <xdr:colOff>859267</xdr:colOff>
      <xdr:row>437</xdr:row>
      <xdr:rowOff>167722</xdr:rowOff>
    </xdr:to>
    <mc:AlternateContent xmlns:mc="http://schemas.openxmlformats.org/markup-compatibility/2006" xmlns:a14="http://schemas.microsoft.com/office/drawing/2010/main">
      <mc:Choice Requires="a14">
        <xdr:sp macro="" textlink="">
          <xdr:nvSpPr>
            <xdr:cNvPr id="522" name="TextBox 32">
              <a:extLst>
                <a:ext uri="{FF2B5EF4-FFF2-40B4-BE49-F238E27FC236}">
                  <a16:creationId xmlns:a16="http://schemas.microsoft.com/office/drawing/2014/main" id="{00000000-0008-0000-0500-00000A020000}"/>
                </a:ext>
              </a:extLst>
            </xdr:cNvPr>
            <xdr:cNvSpPr txBox="1"/>
          </xdr:nvSpPr>
          <xdr:spPr>
            <a:xfrm>
              <a:off x="8735785" y="82086178"/>
              <a:ext cx="5540125" cy="5000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4</xdr:col>
      <xdr:colOff>59499</xdr:colOff>
      <xdr:row>460</xdr:row>
      <xdr:rowOff>66673</xdr:rowOff>
    </xdr:from>
    <xdr:to>
      <xdr:col>7</xdr:col>
      <xdr:colOff>479890</xdr:colOff>
      <xdr:row>461</xdr:row>
      <xdr:rowOff>163831</xdr:rowOff>
    </xdr:to>
    <mc:AlternateContent xmlns:mc="http://schemas.openxmlformats.org/markup-compatibility/2006" xmlns:a14="http://schemas.microsoft.com/office/drawing/2010/main">
      <mc:Choice Requires="a14">
        <xdr:sp macro="" textlink="">
          <xdr:nvSpPr>
            <xdr:cNvPr id="523" name="TextBox 31">
              <a:extLst>
                <a:ext uri="{FF2B5EF4-FFF2-40B4-BE49-F238E27FC236}">
                  <a16:creationId xmlns:a16="http://schemas.microsoft.com/office/drawing/2014/main" id="{00000000-0008-0000-0500-00000B02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438</xdr:row>
      <xdr:rowOff>95247</xdr:rowOff>
    </xdr:from>
    <xdr:to>
      <xdr:col>6</xdr:col>
      <xdr:colOff>599905</xdr:colOff>
      <xdr:row>440</xdr:row>
      <xdr:rowOff>152572</xdr:rowOff>
    </xdr:to>
    <mc:AlternateContent xmlns:mc="http://schemas.openxmlformats.org/markup-compatibility/2006" xmlns:a14="http://schemas.microsoft.com/office/drawing/2010/main">
      <mc:Choice Requires="a14">
        <xdr:sp macro="" textlink="">
          <xdr:nvSpPr>
            <xdr:cNvPr id="524" name="TextBox 30">
              <a:extLst>
                <a:ext uri="{FF2B5EF4-FFF2-40B4-BE49-F238E27FC236}">
                  <a16:creationId xmlns:a16="http://schemas.microsoft.com/office/drawing/2014/main" id="{00000000-0008-0000-0500-00000C020000}"/>
                </a:ext>
              </a:extLst>
            </xdr:cNvPr>
            <xdr:cNvSpPr txBox="1"/>
          </xdr:nvSpPr>
          <xdr:spPr>
            <a:xfrm>
              <a:off x="2792085" y="82690604"/>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105047</xdr:colOff>
      <xdr:row>411</xdr:row>
      <xdr:rowOff>0</xdr:rowOff>
    </xdr:from>
    <xdr:to>
      <xdr:col>8</xdr:col>
      <xdr:colOff>683559</xdr:colOff>
      <xdr:row>413</xdr:row>
      <xdr:rowOff>134793</xdr:rowOff>
    </xdr:to>
    <mc:AlternateContent xmlns:mc="http://schemas.openxmlformats.org/markup-compatibility/2006" xmlns:a14="http://schemas.microsoft.com/office/drawing/2010/main">
      <mc:Choice Requires="a14">
        <xdr:sp macro="" textlink="">
          <xdr:nvSpPr>
            <xdr:cNvPr id="525" name="TextBox 29">
              <a:extLst>
                <a:ext uri="{FF2B5EF4-FFF2-40B4-BE49-F238E27FC236}">
                  <a16:creationId xmlns:a16="http://schemas.microsoft.com/office/drawing/2014/main" id="{00000000-0008-0000-0500-00000D020000}"/>
                </a:ext>
              </a:extLst>
            </xdr:cNvPr>
            <xdr:cNvSpPr txBox="1"/>
          </xdr:nvSpPr>
          <xdr:spPr>
            <a:xfrm>
              <a:off x="8704761" y="77764821"/>
              <a:ext cx="5395441" cy="488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𝐼𝐸𝐸𝑅〗_</a:t>
              </a:r>
              <a:r>
                <a:rPr lang="en-US" sz="1400" b="0" i="0">
                  <a:latin typeface="Cambria Math" panose="02040503050406030204" pitchFamily="18" charset="0"/>
                  <a:ea typeface="Cambria Math" panose="02040503050406030204" pitchFamily="18" charset="0"/>
                </a:rPr>
                <a:t>𝑏𝑎𝑠𝑒 )−(</a:t>
              </a:r>
              <a:r>
                <a:rPr lang="en-US" sz="1400" b="0" i="0">
                  <a:solidFill>
                    <a:sysClr val="windowText" lastClr="000000"/>
                  </a:solidFill>
                  <a:latin typeface="Cambria Math" panose="02040503050406030204" pitchFamily="18" charset="0"/>
                  <a:ea typeface="Cambria Math" panose="02040503050406030204" pitchFamily="18" charset="0"/>
                </a:rPr>
                <a:t>1/〖𝐼𝐸𝐸𝑅〗_𝑒𝑒 )]</a:t>
              </a:r>
              <a:r>
                <a:rPr lang="en-US" sz="1400" b="0" i="0">
                  <a:latin typeface="Cambria Math" panose="02040503050406030204" pitchFamily="18" charset="0"/>
                  <a:ea typeface="Cambria Math" panose="02040503050406030204" pitchFamily="18" charset="0"/>
                </a:rPr>
                <a:t>∗𝐸𝐹𝐿𝐻</a:t>
              </a:r>
              <a:endParaRPr lang="en-US" sz="1100"/>
            </a:p>
          </xdr:txBody>
        </xdr:sp>
      </mc:Fallback>
    </mc:AlternateContent>
    <xdr:clientData/>
  </xdr:twoCellAnchor>
  <xdr:twoCellAnchor>
    <xdr:from>
      <xdr:col>3</xdr:col>
      <xdr:colOff>781049</xdr:colOff>
      <xdr:row>410</xdr:row>
      <xdr:rowOff>167912</xdr:rowOff>
    </xdr:from>
    <xdr:to>
      <xdr:col>4</xdr:col>
      <xdr:colOff>4112559</xdr:colOff>
      <xdr:row>413</xdr:row>
      <xdr:rowOff>123635</xdr:rowOff>
    </xdr:to>
    <mc:AlternateContent xmlns:mc="http://schemas.openxmlformats.org/markup-compatibility/2006" xmlns:a14="http://schemas.microsoft.com/office/drawing/2010/main">
      <mc:Choice Requires="a14">
        <xdr:sp macro="" textlink="">
          <xdr:nvSpPr>
            <xdr:cNvPr id="526" name="TextBox 28">
              <a:extLst>
                <a:ext uri="{FF2B5EF4-FFF2-40B4-BE49-F238E27FC236}">
                  <a16:creationId xmlns:a16="http://schemas.microsoft.com/office/drawing/2014/main" id="{00000000-0008-0000-0500-00000E020000}"/>
                </a:ext>
              </a:extLst>
            </xdr:cNvPr>
            <xdr:cNvSpPr txBox="1"/>
          </xdr:nvSpPr>
          <xdr:spPr>
            <a:xfrm>
              <a:off x="2822120" y="77755841"/>
              <a:ext cx="5018796" cy="4864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3</xdr:col>
      <xdr:colOff>751014</xdr:colOff>
      <xdr:row>414</xdr:row>
      <xdr:rowOff>21224</xdr:rowOff>
    </xdr:from>
    <xdr:to>
      <xdr:col>6</xdr:col>
      <xdr:colOff>599905</xdr:colOff>
      <xdr:row>415</xdr:row>
      <xdr:rowOff>136071</xdr:rowOff>
    </xdr:to>
    <mc:AlternateContent xmlns:mc="http://schemas.openxmlformats.org/markup-compatibility/2006" xmlns:a14="http://schemas.microsoft.com/office/drawing/2010/main">
      <mc:Choice Requires="a14">
        <xdr:sp macro="" textlink="">
          <xdr:nvSpPr>
            <xdr:cNvPr id="527" name="TextBox 27">
              <a:extLst>
                <a:ext uri="{FF2B5EF4-FFF2-40B4-BE49-F238E27FC236}">
                  <a16:creationId xmlns:a16="http://schemas.microsoft.com/office/drawing/2014/main" id="{00000000-0008-0000-0500-00000F020000}"/>
                </a:ext>
              </a:extLst>
            </xdr:cNvPr>
            <xdr:cNvSpPr txBox="1"/>
          </xdr:nvSpPr>
          <xdr:spPr>
            <a:xfrm>
              <a:off x="2792085" y="78316724"/>
              <a:ext cx="7754641" cy="2917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379</xdr:row>
      <xdr:rowOff>95248</xdr:rowOff>
    </xdr:from>
    <xdr:to>
      <xdr:col>6</xdr:col>
      <xdr:colOff>599905</xdr:colOff>
      <xdr:row>380</xdr:row>
      <xdr:rowOff>105048</xdr:rowOff>
    </xdr:to>
    <mc:AlternateContent xmlns:mc="http://schemas.openxmlformats.org/markup-compatibility/2006" xmlns:a14="http://schemas.microsoft.com/office/drawing/2010/main">
      <mc:Choice Requires="a14">
        <xdr:sp macro="" textlink="">
          <xdr:nvSpPr>
            <xdr:cNvPr id="529" name="TextBox 25">
              <a:extLst>
                <a:ext uri="{FF2B5EF4-FFF2-40B4-BE49-F238E27FC236}">
                  <a16:creationId xmlns:a16="http://schemas.microsoft.com/office/drawing/2014/main" id="{00000000-0008-0000-0500-000011020000}"/>
                </a:ext>
              </a:extLst>
            </xdr:cNvPr>
            <xdr:cNvSpPr txBox="1"/>
          </xdr:nvSpPr>
          <xdr:spPr>
            <a:xfrm>
              <a:off x="2792085" y="71764069"/>
              <a:ext cx="7754641" cy="1866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362</xdr:row>
      <xdr:rowOff>95247</xdr:rowOff>
    </xdr:from>
    <xdr:to>
      <xdr:col>6</xdr:col>
      <xdr:colOff>599905</xdr:colOff>
      <xdr:row>364</xdr:row>
      <xdr:rowOff>152572</xdr:rowOff>
    </xdr:to>
    <mc:AlternateContent xmlns:mc="http://schemas.openxmlformats.org/markup-compatibility/2006" xmlns:a14="http://schemas.microsoft.com/office/drawing/2010/main">
      <mc:Choice Requires="a14">
        <xdr:sp macro="" textlink="">
          <xdr:nvSpPr>
            <xdr:cNvPr id="531" name="TextBox 23">
              <a:extLst>
                <a:ext uri="{FF2B5EF4-FFF2-40B4-BE49-F238E27FC236}">
                  <a16:creationId xmlns:a16="http://schemas.microsoft.com/office/drawing/2014/main" id="{00000000-0008-0000-0500-000013020000}"/>
                </a:ext>
              </a:extLst>
            </xdr:cNvPr>
            <xdr:cNvSpPr txBox="1"/>
          </xdr:nvSpPr>
          <xdr:spPr>
            <a:xfrm>
              <a:off x="2792085" y="68566390"/>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115289</xdr:colOff>
      <xdr:row>345</xdr:row>
      <xdr:rowOff>126271</xdr:rowOff>
    </xdr:from>
    <xdr:to>
      <xdr:col>5</xdr:col>
      <xdr:colOff>1345577</xdr:colOff>
      <xdr:row>348</xdr:row>
      <xdr:rowOff>16500</xdr:rowOff>
    </xdr:to>
    <mc:AlternateContent xmlns:mc="http://schemas.openxmlformats.org/markup-compatibility/2006" xmlns:a14="http://schemas.microsoft.com/office/drawing/2010/main">
      <mc:Choice Requires="a14">
        <xdr:sp macro="" textlink="">
          <xdr:nvSpPr>
            <xdr:cNvPr id="532" name="TextBox 22">
              <a:extLst>
                <a:ext uri="{FF2B5EF4-FFF2-40B4-BE49-F238E27FC236}">
                  <a16:creationId xmlns:a16="http://schemas.microsoft.com/office/drawing/2014/main" id="{00000000-0008-0000-0500-000014020000}"/>
                </a:ext>
              </a:extLst>
            </xdr:cNvPr>
            <xdr:cNvSpPr txBox="1"/>
          </xdr:nvSpPr>
          <xdr:spPr>
            <a:xfrm>
              <a:off x="2156360" y="65399735"/>
              <a:ext cx="7788931" cy="4209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324</xdr:row>
      <xdr:rowOff>21227</xdr:rowOff>
    </xdr:from>
    <xdr:to>
      <xdr:col>4</xdr:col>
      <xdr:colOff>4439769</xdr:colOff>
      <xdr:row>325</xdr:row>
      <xdr:rowOff>60688</xdr:rowOff>
    </xdr:to>
    <xdr:pic>
      <xdr:nvPicPr>
        <xdr:cNvPr id="533" name="Picture 21">
          <a:extLst>
            <a:ext uri="{FF2B5EF4-FFF2-40B4-BE49-F238E27FC236}">
              <a16:creationId xmlns:a16="http://schemas.microsoft.com/office/drawing/2014/main" id="{00000000-0008-0000-0500-00001502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03071" y="61348620"/>
          <a:ext cx="5365055" cy="216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751014</xdr:colOff>
      <xdr:row>326</xdr:row>
      <xdr:rowOff>95247</xdr:rowOff>
    </xdr:from>
    <xdr:to>
      <xdr:col>6</xdr:col>
      <xdr:colOff>599905</xdr:colOff>
      <xdr:row>328</xdr:row>
      <xdr:rowOff>152572</xdr:rowOff>
    </xdr:to>
    <mc:AlternateContent xmlns:mc="http://schemas.openxmlformats.org/markup-compatibility/2006" xmlns:a14="http://schemas.microsoft.com/office/drawing/2010/main">
      <mc:Choice Requires="a14">
        <xdr:sp macro="" textlink="">
          <xdr:nvSpPr>
            <xdr:cNvPr id="534" name="TextBox 20">
              <a:extLst>
                <a:ext uri="{FF2B5EF4-FFF2-40B4-BE49-F238E27FC236}">
                  <a16:creationId xmlns:a16="http://schemas.microsoft.com/office/drawing/2014/main" id="{00000000-0008-0000-0500-000016020000}"/>
                </a:ext>
              </a:extLst>
            </xdr:cNvPr>
            <xdr:cNvSpPr txBox="1"/>
          </xdr:nvSpPr>
          <xdr:spPr>
            <a:xfrm>
              <a:off x="2792085" y="61776426"/>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283</xdr:row>
      <xdr:rowOff>95247</xdr:rowOff>
    </xdr:from>
    <xdr:to>
      <xdr:col>6</xdr:col>
      <xdr:colOff>599905</xdr:colOff>
      <xdr:row>285</xdr:row>
      <xdr:rowOff>152572</xdr:rowOff>
    </xdr:to>
    <mc:AlternateContent xmlns:mc="http://schemas.openxmlformats.org/markup-compatibility/2006" xmlns:a14="http://schemas.microsoft.com/office/drawing/2010/main">
      <mc:Choice Requires="a14">
        <xdr:sp macro="" textlink="">
          <xdr:nvSpPr>
            <xdr:cNvPr id="539" name="TextBox 15">
              <a:extLst>
                <a:ext uri="{FF2B5EF4-FFF2-40B4-BE49-F238E27FC236}">
                  <a16:creationId xmlns:a16="http://schemas.microsoft.com/office/drawing/2014/main" id="{00000000-0008-0000-0500-00001B020000}"/>
                </a:ext>
              </a:extLst>
            </xdr:cNvPr>
            <xdr:cNvSpPr txBox="1"/>
          </xdr:nvSpPr>
          <xdr:spPr>
            <a:xfrm>
              <a:off x="2792085" y="54319711"/>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266</xdr:row>
      <xdr:rowOff>155121</xdr:rowOff>
    </xdr:from>
    <xdr:to>
      <xdr:col>4</xdr:col>
      <xdr:colOff>926930</xdr:colOff>
      <xdr:row>268</xdr:row>
      <xdr:rowOff>56784</xdr:rowOff>
    </xdr:to>
    <mc:AlternateContent xmlns:mc="http://schemas.openxmlformats.org/markup-compatibility/2006" xmlns:a14="http://schemas.microsoft.com/office/drawing/2010/main">
      <mc:Choice Requires="a14">
        <xdr:sp macro="" textlink="">
          <xdr:nvSpPr>
            <xdr:cNvPr id="540" name="TextBox 14">
              <a:extLst>
                <a:ext uri="{FF2B5EF4-FFF2-40B4-BE49-F238E27FC236}">
                  <a16:creationId xmlns:a16="http://schemas.microsoft.com/office/drawing/2014/main" id="{00000000-0008-0000-0500-00001C020000}"/>
                </a:ext>
              </a:extLst>
            </xdr:cNvPr>
            <xdr:cNvSpPr txBox="1"/>
          </xdr:nvSpPr>
          <xdr:spPr>
            <a:xfrm>
              <a:off x="2781298" y="51372407"/>
              <a:ext cx="1873989" cy="25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751014</xdr:colOff>
      <xdr:row>269</xdr:row>
      <xdr:rowOff>95247</xdr:rowOff>
    </xdr:from>
    <xdr:to>
      <xdr:col>6</xdr:col>
      <xdr:colOff>599905</xdr:colOff>
      <xdr:row>271</xdr:row>
      <xdr:rowOff>152572</xdr:rowOff>
    </xdr:to>
    <mc:AlternateContent xmlns:mc="http://schemas.openxmlformats.org/markup-compatibility/2006" xmlns:a14="http://schemas.microsoft.com/office/drawing/2010/main">
      <mc:Choice Requires="a14">
        <xdr:sp macro="" textlink="">
          <xdr:nvSpPr>
            <xdr:cNvPr id="541" name="TextBox 13">
              <a:extLst>
                <a:ext uri="{FF2B5EF4-FFF2-40B4-BE49-F238E27FC236}">
                  <a16:creationId xmlns:a16="http://schemas.microsoft.com/office/drawing/2014/main" id="{00000000-0008-0000-0500-00001D020000}"/>
                </a:ext>
              </a:extLst>
            </xdr:cNvPr>
            <xdr:cNvSpPr txBox="1"/>
          </xdr:nvSpPr>
          <xdr:spPr>
            <a:xfrm>
              <a:off x="2792085" y="51843211"/>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252</xdr:row>
      <xdr:rowOff>95247</xdr:rowOff>
    </xdr:from>
    <xdr:to>
      <xdr:col>6</xdr:col>
      <xdr:colOff>599905</xdr:colOff>
      <xdr:row>254</xdr:row>
      <xdr:rowOff>152572</xdr:rowOff>
    </xdr:to>
    <mc:AlternateContent xmlns:mc="http://schemas.openxmlformats.org/markup-compatibility/2006" xmlns:a14="http://schemas.microsoft.com/office/drawing/2010/main">
      <mc:Choice Requires="a14">
        <xdr:sp macro="" textlink="">
          <xdr:nvSpPr>
            <xdr:cNvPr id="542" name="TextBox 11">
              <a:extLst>
                <a:ext uri="{FF2B5EF4-FFF2-40B4-BE49-F238E27FC236}">
                  <a16:creationId xmlns:a16="http://schemas.microsoft.com/office/drawing/2014/main" id="{00000000-0008-0000-0500-00001E020000}"/>
                </a:ext>
              </a:extLst>
            </xdr:cNvPr>
            <xdr:cNvSpPr txBox="1"/>
          </xdr:nvSpPr>
          <xdr:spPr>
            <a:xfrm>
              <a:off x="2792085" y="48645533"/>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941514</xdr:colOff>
      <xdr:row>230</xdr:row>
      <xdr:rowOff>64222</xdr:rowOff>
    </xdr:from>
    <xdr:to>
      <xdr:col>6</xdr:col>
      <xdr:colOff>790405</xdr:colOff>
      <xdr:row>232</xdr:row>
      <xdr:rowOff>131072</xdr:rowOff>
    </xdr:to>
    <mc:AlternateContent xmlns:mc="http://schemas.openxmlformats.org/markup-compatibility/2006" xmlns:a14="http://schemas.microsoft.com/office/drawing/2010/main">
      <mc:Choice Requires="a14">
        <xdr:sp macro="" textlink="">
          <xdr:nvSpPr>
            <xdr:cNvPr id="546" name="TextBox 7">
              <a:extLst>
                <a:ext uri="{FF2B5EF4-FFF2-40B4-BE49-F238E27FC236}">
                  <a16:creationId xmlns:a16="http://schemas.microsoft.com/office/drawing/2014/main" id="{00000000-0008-0000-0500-00002202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1273628</xdr:colOff>
      <xdr:row>204</xdr:row>
      <xdr:rowOff>182161</xdr:rowOff>
    </xdr:from>
    <xdr:to>
      <xdr:col>4</xdr:col>
      <xdr:colOff>1480457</xdr:colOff>
      <xdr:row>207</xdr:row>
      <xdr:rowOff>54427</xdr:rowOff>
    </xdr:to>
    <mc:AlternateContent xmlns:mc="http://schemas.openxmlformats.org/markup-compatibility/2006" xmlns:a14="http://schemas.microsoft.com/office/drawing/2010/main">
      <mc:Choice Requires="a14">
        <xdr:sp macro="" textlink="">
          <xdr:nvSpPr>
            <xdr:cNvPr id="547" name="TextBox 5">
              <a:extLst>
                <a:ext uri="{FF2B5EF4-FFF2-40B4-BE49-F238E27FC236}">
                  <a16:creationId xmlns:a16="http://schemas.microsoft.com/office/drawing/2014/main" id="{00000000-0008-0000-0500-00002302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1429840</xdr:colOff>
      <xdr:row>43</xdr:row>
      <xdr:rowOff>168825</xdr:rowOff>
    </xdr:from>
    <xdr:to>
      <xdr:col>4</xdr:col>
      <xdr:colOff>2725240</xdr:colOff>
      <xdr:row>46</xdr:row>
      <xdr:rowOff>57150</xdr:rowOff>
    </xdr:to>
    <mc:AlternateContent xmlns:mc="http://schemas.openxmlformats.org/markup-compatibility/2006" xmlns:a14="http://schemas.microsoft.com/office/drawing/2010/main">
      <mc:Choice Requires="a14">
        <xdr:sp macro="" textlink="">
          <xdr:nvSpPr>
            <xdr:cNvPr id="548" name="TextBox 4">
              <a:extLst>
                <a:ext uri="{FF2B5EF4-FFF2-40B4-BE49-F238E27FC236}">
                  <a16:creationId xmlns:a16="http://schemas.microsoft.com/office/drawing/2014/main" id="{00000000-0008-0000-0500-00002402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4</xdr:col>
      <xdr:colOff>38100</xdr:colOff>
      <xdr:row>174</xdr:row>
      <xdr:rowOff>31019</xdr:rowOff>
    </xdr:from>
    <xdr:to>
      <xdr:col>5</xdr:col>
      <xdr:colOff>190500</xdr:colOff>
      <xdr:row>176</xdr:row>
      <xdr:rowOff>13607</xdr:rowOff>
    </xdr:to>
    <mc:AlternateContent xmlns:mc="http://schemas.openxmlformats.org/markup-compatibility/2006" xmlns:a14="http://schemas.microsoft.com/office/drawing/2010/main">
      <mc:Choice Requires="a14">
        <xdr:sp macro="" textlink="">
          <xdr:nvSpPr>
            <xdr:cNvPr id="550" name="TextBox 2">
              <a:extLst>
                <a:ext uri="{FF2B5EF4-FFF2-40B4-BE49-F238E27FC236}">
                  <a16:creationId xmlns:a16="http://schemas.microsoft.com/office/drawing/2014/main" id="{00000000-0008-0000-0500-000026020000}"/>
                </a:ext>
              </a:extLst>
            </xdr:cNvPr>
            <xdr:cNvSpPr txBox="1"/>
          </xdr:nvSpPr>
          <xdr:spPr>
            <a:xfrm>
              <a:off x="4057650" y="42502994"/>
              <a:ext cx="5562600" cy="3635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DOE Fed Reg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550" name="TextBox 2">
              <a:extLst>
                <a:ext uri="{FF2B5EF4-FFF2-40B4-BE49-F238E27FC236}">
                  <a16:creationId xmlns:a16="http://schemas.microsoft.com/office/drawing/2014/main" id="{00000000-0008-0000-0500-000026020000}"/>
                </a:ext>
              </a:extLst>
            </xdr:cNvPr>
            <xdr:cNvSpPr txBox="1"/>
          </xdr:nvSpPr>
          <xdr:spPr>
            <a:xfrm>
              <a:off x="4057650" y="42502994"/>
              <a:ext cx="5562600" cy="3635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DOE Fed Reg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1396911</xdr:colOff>
      <xdr:row>36</xdr:row>
      <xdr:rowOff>167642</xdr:rowOff>
    </xdr:from>
    <xdr:to>
      <xdr:col>9</xdr:col>
      <xdr:colOff>408214</xdr:colOff>
      <xdr:row>39</xdr:row>
      <xdr:rowOff>152401</xdr:rowOff>
    </xdr:to>
    <mc:AlternateContent xmlns:mc="http://schemas.openxmlformats.org/markup-compatibility/2006" xmlns:a14="http://schemas.microsoft.com/office/drawing/2010/main">
      <mc:Choice Requires="a14">
        <xdr:sp macro="" textlink="">
          <xdr:nvSpPr>
            <xdr:cNvPr id="551" name="TextBox 171">
              <a:extLst>
                <a:ext uri="{FF2B5EF4-FFF2-40B4-BE49-F238E27FC236}">
                  <a16:creationId xmlns:a16="http://schemas.microsoft.com/office/drawing/2014/main" id="{00000000-0008-0000-0500-000027020000}"/>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𝑊𝐻𝐹</m:t>
                        </m:r>
                      </m:e>
                      <m:sub>
                        <m:r>
                          <a:rPr lang="en-US" sz="1400" b="0" i="1">
                            <a:solidFill>
                              <a:sysClr val="windowText" lastClr="000000"/>
                            </a:solidFill>
                            <a:effectLst/>
                            <a:latin typeface="Cambria Math" panose="02040503050406030204" pitchFamily="18" charset="0"/>
                            <a:ea typeface="+mn-ea"/>
                            <a:cs typeface="+mn-cs"/>
                          </a:rPr>
                          <m:t>𝑒</m:t>
                        </m:r>
                      </m:sub>
                    </m:sSub>
                  </m:oMath>
                </m:oMathPara>
              </a14:m>
              <a:endParaRPr lang="en-US" sz="1400">
                <a:solidFill>
                  <a:sysClr val="windowText" lastClr="000000"/>
                </a:solidFill>
              </a:endParaRPr>
            </a:p>
          </xdr:txBody>
        </xdr:sp>
      </mc:Choice>
      <mc:Fallback xmlns="">
        <xdr:sp macro="" textlink="">
          <xdr:nvSpPr>
            <xdr:cNvPr id="172" name="TextBox 171">
              <a:extLst>
                <a:ext uri="{FF2B5EF4-FFF2-40B4-BE49-F238E27FC236}">
                  <a16:creationId xmlns:a16="http://schemas.microsoft.com/office/drawing/2014/main" id="{6CF37C97-8F32-450F-9926-0957564B2778}"/>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×〖𝑊𝐻𝐹〗_𝑒</a:t>
              </a:r>
              <a:endParaRPr lang="en-US" sz="1400">
                <a:solidFill>
                  <a:sysClr val="windowText" lastClr="000000"/>
                </a:solidFill>
              </a:endParaRPr>
            </a:p>
          </xdr:txBody>
        </xdr:sp>
      </mc:Fallback>
    </mc:AlternateContent>
    <xdr:clientData/>
  </xdr:twoCellAnchor>
  <xdr:twoCellAnchor>
    <xdr:from>
      <xdr:col>3</xdr:col>
      <xdr:colOff>1295402</xdr:colOff>
      <xdr:row>105</xdr:row>
      <xdr:rowOff>135159</xdr:rowOff>
    </xdr:from>
    <xdr:to>
      <xdr:col>6</xdr:col>
      <xdr:colOff>866775</xdr:colOff>
      <xdr:row>107</xdr:row>
      <xdr:rowOff>63410</xdr:rowOff>
    </xdr:to>
    <mc:AlternateContent xmlns:mc="http://schemas.openxmlformats.org/markup-compatibility/2006" xmlns:a14="http://schemas.microsoft.com/office/drawing/2010/main">
      <mc:Choice Requires="a14">
        <xdr:sp macro="" textlink="">
          <xdr:nvSpPr>
            <xdr:cNvPr id="552" name="TextBox 45">
              <a:extLst>
                <a:ext uri="{FF2B5EF4-FFF2-40B4-BE49-F238E27FC236}">
                  <a16:creationId xmlns:a16="http://schemas.microsoft.com/office/drawing/2014/main" id="{00000000-0008-0000-0500-00002802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𝑘𝑊h</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sSub>
                      <m:sSubPr>
                        <m:ctrlPr>
                          <a:rPr lang="en-US" sz="1400" b="0" i="1" strike="noStrike" baseline="0">
                            <a:solidFill>
                              <a:sysClr val="windowText" lastClr="000000"/>
                            </a:solidFill>
                            <a:latin typeface="Cambria Math" panose="02040503050406030204" pitchFamily="18" charset="0"/>
                            <a:ea typeface="Cambria Math" panose="02040503050406030204" pitchFamily="18" charset="0"/>
                          </a:rPr>
                        </m:ctrlPr>
                      </m:sSubPr>
                      <m:e>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m:t>
                        </m:r>
                      </m:e>
                      <m:sub>
                        <m:r>
                          <a:rPr lang="en-US" sz="1400" b="0" i="1" strike="noStrike" baseline="0">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𝐻𝑜𝑢𝑟𝑠</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𝐸𝑆𝐹</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100" strike="noStrike" baseline="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strike="noStrike" baseline="0">
                  <a:solidFill>
                    <a:sysClr val="windowText" lastClr="000000"/>
                  </a:solidFill>
                  <a:latin typeface="Cambria Math" panose="02040503050406030204" pitchFamily="18" charset="0"/>
                  <a:ea typeface="Cambria Math" panose="02040503050406030204" pitchFamily="18" charset="0"/>
                </a:rPr>
                <a:t>∆</a:t>
              </a:r>
              <a:r>
                <a:rPr lang="en-US" sz="1400" b="0" i="0" strike="noStrike" baseline="0">
                  <a:solidFill>
                    <a:sysClr val="windowText" lastClr="000000"/>
                  </a:solidFill>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strike="noStrike" baseline="0">
                <a:solidFill>
                  <a:sysClr val="windowText" lastClr="000000"/>
                </a:solidFill>
              </a:endParaRPr>
            </a:p>
          </xdr:txBody>
        </xdr:sp>
      </mc:Fallback>
    </mc:AlternateContent>
    <xdr:clientData/>
  </xdr:twoCellAnchor>
  <xdr:twoCellAnchor>
    <xdr:from>
      <xdr:col>3</xdr:col>
      <xdr:colOff>1240971</xdr:colOff>
      <xdr:row>202</xdr:row>
      <xdr:rowOff>163285</xdr:rowOff>
    </xdr:from>
    <xdr:to>
      <xdr:col>5</xdr:col>
      <xdr:colOff>685800</xdr:colOff>
      <xdr:row>204</xdr:row>
      <xdr:rowOff>97971</xdr:rowOff>
    </xdr:to>
    <mc:AlternateContent xmlns:mc="http://schemas.openxmlformats.org/markup-compatibility/2006" xmlns:a14="http://schemas.microsoft.com/office/drawing/2010/main">
      <mc:Choice Requires="a14">
        <xdr:sp macro="" textlink="">
          <xdr:nvSpPr>
            <xdr:cNvPr id="553" name="TextBox 6">
              <a:extLst>
                <a:ext uri="{FF2B5EF4-FFF2-40B4-BE49-F238E27FC236}">
                  <a16:creationId xmlns:a16="http://schemas.microsoft.com/office/drawing/2014/main" id="{00000000-0008-0000-0500-00002902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751014</xdr:colOff>
      <xdr:row>501</xdr:row>
      <xdr:rowOff>21224</xdr:rowOff>
    </xdr:from>
    <xdr:to>
      <xdr:col>6</xdr:col>
      <xdr:colOff>599905</xdr:colOff>
      <xdr:row>502</xdr:row>
      <xdr:rowOff>136071</xdr:rowOff>
    </xdr:to>
    <mc:AlternateContent xmlns:mc="http://schemas.openxmlformats.org/markup-compatibility/2006" xmlns:a14="http://schemas.microsoft.com/office/drawing/2010/main">
      <mc:Choice Requires="a14">
        <xdr:sp macro="" textlink="">
          <xdr:nvSpPr>
            <xdr:cNvPr id="2" name="TextBox 27">
              <a:extLst>
                <a:ext uri="{FF2B5EF4-FFF2-40B4-BE49-F238E27FC236}">
                  <a16:creationId xmlns:a16="http://schemas.microsoft.com/office/drawing/2014/main" id="{91E8E765-9DB7-4BB2-ACE6-9F18E938A5DE}"/>
                </a:ext>
              </a:extLst>
            </xdr:cNvPr>
            <xdr:cNvSpPr txBox="1"/>
          </xdr:nvSpPr>
          <xdr:spPr>
            <a:xfrm>
              <a:off x="3132264" y="104319974"/>
              <a:ext cx="7097416" cy="3053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 name="TextBox 27">
              <a:extLst>
                <a:ext uri="{FF2B5EF4-FFF2-40B4-BE49-F238E27FC236}">
                  <a16:creationId xmlns:a16="http://schemas.microsoft.com/office/drawing/2014/main" id="{91E8E765-9DB7-4BB2-ACE6-9F18E938A5DE}"/>
                </a:ext>
              </a:extLst>
            </xdr:cNvPr>
            <xdr:cNvSpPr txBox="1"/>
          </xdr:nvSpPr>
          <xdr:spPr>
            <a:xfrm>
              <a:off x="3132264" y="104319974"/>
              <a:ext cx="7097416" cy="3053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1038224</xdr:colOff>
      <xdr:row>498</xdr:row>
      <xdr:rowOff>5987</xdr:rowOff>
    </xdr:from>
    <xdr:to>
      <xdr:col>4</xdr:col>
      <xdr:colOff>4369734</xdr:colOff>
      <xdr:row>500</xdr:row>
      <xdr:rowOff>152210</xdr:rowOff>
    </xdr:to>
    <mc:AlternateContent xmlns:mc="http://schemas.openxmlformats.org/markup-compatibility/2006" xmlns:a14="http://schemas.microsoft.com/office/drawing/2010/main">
      <mc:Choice Requires="a14">
        <xdr:sp macro="" textlink="">
          <xdr:nvSpPr>
            <xdr:cNvPr id="3" name="TextBox 28">
              <a:extLst>
                <a:ext uri="{FF2B5EF4-FFF2-40B4-BE49-F238E27FC236}">
                  <a16:creationId xmlns:a16="http://schemas.microsoft.com/office/drawing/2014/main" id="{D39C27F0-07FB-48A6-8C66-1021A595E458}"/>
                </a:ext>
              </a:extLst>
            </xdr:cNvPr>
            <xdr:cNvSpPr txBox="1"/>
          </xdr:nvSpPr>
          <xdr:spPr>
            <a:xfrm>
              <a:off x="3419474" y="104495237"/>
              <a:ext cx="4969810" cy="5272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𝑙𝑏</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𝐼𝑆𝑀𝑅𝐸</m:t>
                                  </m:r>
                                  <m:r>
                                    <a:rPr lang="en-US" sz="1400" b="0" i="1">
                                      <a:latin typeface="Cambria Math" panose="02040503050406030204" pitchFamily="18" charset="0"/>
                                      <a:ea typeface="Cambria Math" panose="02040503050406030204" pitchFamily="18" charset="0"/>
                                    </a:rPr>
                                    <m:t>2</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𝐼𝑆𝑀𝑅𝐸</m:t>
                              </m:r>
                              <m:r>
                                <a:rPr lang="en-US" sz="1400" b="0" i="1">
                                  <a:latin typeface="Cambria Math" panose="02040503050406030204" pitchFamily="18" charset="0"/>
                                  <a:ea typeface="Cambria Math" panose="02040503050406030204" pitchFamily="18" charset="0"/>
                                </a:rPr>
                                <m:t>2</m:t>
                              </m:r>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a14:m>
              <a:r>
                <a:rPr lang="en-US" sz="1100"/>
                <a:t>cool,dehumid</a:t>
              </a:r>
            </a:p>
          </xdr:txBody>
        </xdr:sp>
      </mc:Choice>
      <mc:Fallback xmlns="">
        <xdr:sp macro="" textlink="">
          <xdr:nvSpPr>
            <xdr:cNvPr id="3" name="TextBox 28">
              <a:extLst>
                <a:ext uri="{FF2B5EF4-FFF2-40B4-BE49-F238E27FC236}">
                  <a16:creationId xmlns:a16="http://schemas.microsoft.com/office/drawing/2014/main" id="{D39C27F0-07FB-48A6-8C66-1021A595E458}"/>
                </a:ext>
              </a:extLst>
            </xdr:cNvPr>
            <xdr:cNvSpPr txBox="1"/>
          </xdr:nvSpPr>
          <xdr:spPr>
            <a:xfrm>
              <a:off x="3419474" y="104495237"/>
              <a:ext cx="4969810" cy="5272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𝑘𝑊ℎ=(𝑙𝑏/ℎ𝑟)∗[(1/〖𝐼𝑆𝑀𝑅𝐸2〗_𝑏𝑎𝑠𝑒 )−(1/𝐼𝑆𝑀𝑅𝐸2)]∗𝐸𝐹𝐿𝐻</a:t>
              </a:r>
              <a:r>
                <a:rPr lang="en-US" sz="1100"/>
                <a:t>cool,dehumid</a:t>
              </a:r>
            </a:p>
          </xdr:txBody>
        </xdr:sp>
      </mc:Fallback>
    </mc:AlternateContent>
    <xdr:clientData/>
  </xdr:twoCellAnchor>
  <xdr:twoCellAnchor>
    <xdr:from>
      <xdr:col>4</xdr:col>
      <xdr:colOff>4438922</xdr:colOff>
      <xdr:row>497</xdr:row>
      <xdr:rowOff>171450</xdr:rowOff>
    </xdr:from>
    <xdr:to>
      <xdr:col>10</xdr:col>
      <xdr:colOff>85725</xdr:colOff>
      <xdr:row>502</xdr:row>
      <xdr:rowOff>19050</xdr:rowOff>
    </xdr:to>
    <mc:AlternateContent xmlns:mc="http://schemas.openxmlformats.org/markup-compatibility/2006" xmlns:a14="http://schemas.microsoft.com/office/drawing/2010/main">
      <mc:Choice Requires="a14">
        <xdr:sp macro="" textlink="">
          <xdr:nvSpPr>
            <xdr:cNvPr id="4" name="TextBox 29">
              <a:extLst>
                <a:ext uri="{FF2B5EF4-FFF2-40B4-BE49-F238E27FC236}">
                  <a16:creationId xmlns:a16="http://schemas.microsoft.com/office/drawing/2014/main" id="{6135ADAC-E23A-4814-B432-11FA8F8353EE}"/>
                </a:ext>
              </a:extLst>
            </xdr:cNvPr>
            <xdr:cNvSpPr txBox="1"/>
          </xdr:nvSpPr>
          <xdr:spPr>
            <a:xfrm>
              <a:off x="8458472" y="104660700"/>
              <a:ext cx="6457678" cy="800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𝐼𝑆𝐶𝑂𝑃</m:t>
                                  </m:r>
                                  <m:r>
                                    <a:rPr lang="en-US" sz="1400" b="0" i="1">
                                      <a:solidFill>
                                        <a:sysClr val="windowText" lastClr="000000"/>
                                      </a:solidFill>
                                      <a:latin typeface="Cambria Math" panose="02040503050406030204" pitchFamily="18" charset="0"/>
                                      <a:ea typeface="Cambria Math" panose="02040503050406030204" pitchFamily="18" charset="0"/>
                                    </a:rPr>
                                    <m:t>2</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3.412</m:t>
                              </m:r>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𝐼𝑆𝐶𝑂𝑃</m:t>
                                  </m:r>
                                  <m:r>
                                    <a:rPr lang="en-US" sz="1400" b="0" i="1">
                                      <a:solidFill>
                                        <a:sysClr val="windowText" lastClr="000000"/>
                                      </a:solidFill>
                                      <a:latin typeface="Cambria Math" panose="02040503050406030204" pitchFamily="18" charset="0"/>
                                      <a:ea typeface="Cambria Math" panose="02040503050406030204" pitchFamily="18" charset="0"/>
                                    </a:rPr>
                                    <m:t>2</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3.412</m:t>
                              </m:r>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a14:m>
              <a:r>
                <a:rPr lang="en-US" sz="1100"/>
                <a:t>+heat</a:t>
              </a:r>
            </a:p>
          </xdr:txBody>
        </xdr:sp>
      </mc:Choice>
      <mc:Fallback xmlns="">
        <xdr:sp macro="" textlink="">
          <xdr:nvSpPr>
            <xdr:cNvPr id="4" name="TextBox 29">
              <a:extLst>
                <a:ext uri="{FF2B5EF4-FFF2-40B4-BE49-F238E27FC236}">
                  <a16:creationId xmlns:a16="http://schemas.microsoft.com/office/drawing/2014/main" id="{6135ADAC-E23A-4814-B432-11FA8F8353EE}"/>
                </a:ext>
              </a:extLst>
            </xdr:cNvPr>
            <xdr:cNvSpPr txBox="1"/>
          </xdr:nvSpPr>
          <xdr:spPr>
            <a:xfrm>
              <a:off x="8458472" y="104660700"/>
              <a:ext cx="6457678" cy="800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𝐼𝑆𝐶𝑂𝑃2〗_</a:t>
              </a:r>
              <a:r>
                <a:rPr lang="en-US" sz="1400" b="0" i="0">
                  <a:latin typeface="Cambria Math" panose="02040503050406030204" pitchFamily="18" charset="0"/>
                  <a:ea typeface="Cambria Math" panose="02040503050406030204" pitchFamily="18" charset="0"/>
                </a:rPr>
                <a:t>𝑏𝑎𝑠𝑒  𝑥3.412))−(</a:t>
              </a:r>
              <a:r>
                <a:rPr lang="en-US" sz="1400" b="0" i="0">
                  <a:solidFill>
                    <a:sysClr val="windowText" lastClr="000000"/>
                  </a:solidFill>
                  <a:latin typeface="Cambria Math" panose="02040503050406030204" pitchFamily="18" charset="0"/>
                  <a:ea typeface="Cambria Math" panose="02040503050406030204" pitchFamily="18" charset="0"/>
                </a:rPr>
                <a:t>1/(〖𝐼𝑆𝐶𝑂𝑃2〗_𝑒𝑒  𝑥 3.412))]</a:t>
              </a:r>
              <a:r>
                <a:rPr lang="en-US" sz="1400" b="0" i="0">
                  <a:latin typeface="Cambria Math" panose="02040503050406030204" pitchFamily="18" charset="0"/>
                  <a:ea typeface="Cambria Math" panose="02040503050406030204" pitchFamily="18" charset="0"/>
                </a:rPr>
                <a:t>∗𝐸𝐹𝐿𝐻</a:t>
              </a:r>
              <a:r>
                <a:rPr lang="en-US" sz="1100"/>
                <a:t>+heat</a:t>
              </a:r>
            </a:p>
          </xdr:txBody>
        </xdr:sp>
      </mc:Fallback>
    </mc:AlternateContent>
    <xdr:clientData/>
  </xdr:twoCellAnchor>
  <xdr:twoCellAnchor>
    <xdr:from>
      <xdr:col>3</xdr:col>
      <xdr:colOff>751014</xdr:colOff>
      <xdr:row>501</xdr:row>
      <xdr:rowOff>21224</xdr:rowOff>
    </xdr:from>
    <xdr:to>
      <xdr:col>6</xdr:col>
      <xdr:colOff>599905</xdr:colOff>
      <xdr:row>502</xdr:row>
      <xdr:rowOff>136071</xdr:rowOff>
    </xdr:to>
    <mc:AlternateContent xmlns:mc="http://schemas.openxmlformats.org/markup-compatibility/2006" xmlns:a14="http://schemas.microsoft.com/office/drawing/2010/main">
      <mc:Choice Requires="a14">
        <xdr:sp macro="" textlink="">
          <xdr:nvSpPr>
            <xdr:cNvPr id="7" name="TextBox 27">
              <a:extLst>
                <a:ext uri="{FF2B5EF4-FFF2-40B4-BE49-F238E27FC236}">
                  <a16:creationId xmlns:a16="http://schemas.microsoft.com/office/drawing/2014/main" id="{1439ECCC-6024-4FF9-A064-BF9AE2FF98FE}"/>
                </a:ext>
              </a:extLst>
            </xdr:cNvPr>
            <xdr:cNvSpPr txBox="1"/>
          </xdr:nvSpPr>
          <xdr:spPr>
            <a:xfrm>
              <a:off x="3132264" y="86584424"/>
              <a:ext cx="7097416" cy="3053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 name="TextBox 27">
              <a:extLst>
                <a:ext uri="{FF2B5EF4-FFF2-40B4-BE49-F238E27FC236}">
                  <a16:creationId xmlns:a16="http://schemas.microsoft.com/office/drawing/2014/main" id="{1439ECCC-6024-4FF9-A064-BF9AE2FF98FE}"/>
                </a:ext>
              </a:extLst>
            </xdr:cNvPr>
            <xdr:cNvSpPr txBox="1"/>
          </xdr:nvSpPr>
          <xdr:spPr>
            <a:xfrm>
              <a:off x="3132264" y="86584424"/>
              <a:ext cx="7097416" cy="3053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5029200</xdr:colOff>
      <xdr:row>133</xdr:row>
      <xdr:rowOff>161925</xdr:rowOff>
    </xdr:from>
    <xdr:to>
      <xdr:col>8</xdr:col>
      <xdr:colOff>923925</xdr:colOff>
      <xdr:row>136</xdr:row>
      <xdr:rowOff>112125</xdr:rowOff>
    </xdr:to>
    <mc:AlternateContent xmlns:mc="http://schemas.openxmlformats.org/markup-compatibility/2006" xmlns:a14="http://schemas.microsoft.com/office/drawing/2010/main">
      <mc:Choice Requires="a14">
        <xdr:sp macro="" textlink="">
          <xdr:nvSpPr>
            <xdr:cNvPr id="8" name="TextBox 154">
              <a:extLst>
                <a:ext uri="{FF2B5EF4-FFF2-40B4-BE49-F238E27FC236}">
                  <a16:creationId xmlns:a16="http://schemas.microsoft.com/office/drawing/2014/main" id="{F6DDDDAC-3381-488F-AC6D-473BA039A991}"/>
                </a:ext>
              </a:extLst>
            </xdr:cNvPr>
            <xdr:cNvSpPr txBox="1"/>
          </xdr:nvSpPr>
          <xdr:spPr>
            <a:xfrm>
              <a:off x="9048750" y="31899225"/>
              <a:ext cx="5619750" cy="52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600" i="1">
                            <a:solidFill>
                              <a:sysClr val="windowText" lastClr="000000"/>
                            </a:solidFill>
                            <a:latin typeface="Cambria Math" panose="02040503050406030204" pitchFamily="18" charset="0"/>
                            <a:ea typeface="Cambria Math" panose="02040503050406030204" pitchFamily="18" charset="0"/>
                          </a:rPr>
                        </m:ctrlPr>
                      </m:sSubPr>
                      <m:e>
                        <m:r>
                          <a:rPr lang="en-US" sz="1600" i="1">
                            <a:solidFill>
                              <a:schemeClr val="tx1"/>
                            </a:solidFill>
                            <a:effectLst/>
                            <a:latin typeface="Cambria Math" panose="02040503050406030204" pitchFamily="18" charset="0"/>
                            <a:ea typeface="+mn-ea"/>
                            <a:cs typeface="+mn-cs"/>
                          </a:rPr>
                          <m:t>∆</m:t>
                        </m:r>
                        <m:r>
                          <a:rPr lang="en-US" sz="1600" b="0" i="1">
                            <a:solidFill>
                              <a:schemeClr val="tx1"/>
                            </a:solidFill>
                            <a:effectLst/>
                            <a:latin typeface="Cambria Math" panose="02040503050406030204" pitchFamily="18" charset="0"/>
                            <a:ea typeface="+mn-ea"/>
                            <a:cs typeface="+mn-cs"/>
                          </a:rPr>
                          <m:t>𝑘𝑊h</m:t>
                        </m:r>
                      </m:e>
                      <m:sub>
                        <m:r>
                          <a:rPr lang="en-US" sz="1600" b="0" i="1">
                            <a:solidFill>
                              <a:sysClr val="windowText" lastClr="000000"/>
                            </a:solidFill>
                            <a:latin typeface="Cambria Math" panose="02040503050406030204" pitchFamily="18" charset="0"/>
                            <a:ea typeface="Cambria Math" panose="02040503050406030204" pitchFamily="18" charset="0"/>
                          </a:rPr>
                          <m:t>𝑓𝑖𝑥𝑡𝑢𝑟𝑒</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𝑑𝑒𝑙𝑡𝑎</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𝑤𝑎𝑡𝑡𝑠</m:t>
                        </m:r>
                      </m:sub>
                    </m:sSub>
                    <m:r>
                      <a:rPr lang="en-US" sz="1600" b="0" i="1">
                        <a:solidFill>
                          <a:sysClr val="windowText" lastClr="000000"/>
                        </a:solidFill>
                        <a:latin typeface="Cambria Math" panose="02040503050406030204" pitchFamily="18" charset="0"/>
                        <a:ea typeface="Cambria Math" panose="02040503050406030204" pitchFamily="18" charset="0"/>
                      </a:rPr>
                      <m:t>=</m:t>
                    </m:r>
                    <m:f>
                      <m:fPr>
                        <m:ctrlPr>
                          <a:rPr lang="en-US" sz="1600" b="0" i="1">
                            <a:solidFill>
                              <a:sysClr val="windowText" lastClr="000000"/>
                            </a:solidFill>
                            <a:effectLst/>
                            <a:latin typeface="Cambria Math" panose="02040503050406030204" pitchFamily="18" charset="0"/>
                            <a:ea typeface="Cambria Math" panose="02040503050406030204" pitchFamily="18" charset="0"/>
                            <a:cs typeface="+mn-cs"/>
                          </a:rPr>
                        </m:ctrlPr>
                      </m:fPr>
                      <m:num>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𝑊</m:t>
                            </m:r>
                          </m:e>
                          <m:sub>
                            <m:r>
                              <a:rPr lang="en-US" sz="1600" b="0" i="1">
                                <a:solidFill>
                                  <a:sysClr val="windowText" lastClr="000000"/>
                                </a:solidFill>
                                <a:effectLst/>
                                <a:latin typeface="Cambria Math" panose="02040503050406030204" pitchFamily="18" charset="0"/>
                                <a:ea typeface="+mn-ea"/>
                                <a:cs typeface="+mn-cs"/>
                              </a:rPr>
                              <m:t>𝑏𝑎𝑠𝑒</m:t>
                            </m:r>
                          </m:sub>
                        </m:sSub>
                        <m:r>
                          <a:rPr lang="en-US" sz="1600" b="0" i="1">
                            <a:solidFill>
                              <a:sysClr val="windowText" lastClr="000000"/>
                            </a:solidFill>
                            <a:effectLst/>
                            <a:latin typeface="Cambria Math" panose="02040503050406030204" pitchFamily="18" charset="0"/>
                            <a:ea typeface="+mn-ea"/>
                            <a:cs typeface="+mn-cs"/>
                          </a:rPr>
                          <m:t>−</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𝑊</m:t>
                            </m:r>
                          </m:e>
                          <m:sub>
                            <m:r>
                              <a:rPr lang="en-US" sz="1600" b="0" i="1">
                                <a:solidFill>
                                  <a:sysClr val="windowText" lastClr="000000"/>
                                </a:solidFill>
                                <a:effectLst/>
                                <a:latin typeface="Cambria Math" panose="02040503050406030204" pitchFamily="18" charset="0"/>
                                <a:ea typeface="+mn-ea"/>
                                <a:cs typeface="+mn-cs"/>
                              </a:rPr>
                              <m:t>𝐸𝐸</m:t>
                            </m:r>
                          </m:sub>
                        </m:sSub>
                      </m:num>
                      <m:den>
                        <m:r>
                          <a:rPr lang="en-US" sz="1600" b="0" i="1">
                            <a:solidFill>
                              <a:sysClr val="windowText" lastClr="000000"/>
                            </a:solidFill>
                            <a:latin typeface="Cambria Math" panose="02040503050406030204" pitchFamily="18" charset="0"/>
                            <a:ea typeface="Cambria Math" panose="02040503050406030204" pitchFamily="18" charset="0"/>
                          </a:rPr>
                          <m:t>1000</m:t>
                        </m:r>
                      </m:den>
                    </m:f>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h𝑜𝑢𝑟𝑠</m:t>
                    </m:r>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𝑊𝐻𝐹</m:t>
                        </m:r>
                      </m:e>
                      <m:sub>
                        <m:r>
                          <a:rPr lang="en-US" sz="1600" b="0" i="1">
                            <a:solidFill>
                              <a:sysClr val="windowText" lastClr="000000"/>
                            </a:solidFill>
                            <a:latin typeface="Cambria Math" panose="02040503050406030204" pitchFamily="18" charset="0"/>
                            <a:ea typeface="Cambria Math" panose="02040503050406030204" pitchFamily="18" charset="0"/>
                          </a:rPr>
                          <m:t>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8" name="TextBox 154">
              <a:extLst>
                <a:ext uri="{FF2B5EF4-FFF2-40B4-BE49-F238E27FC236}">
                  <a16:creationId xmlns:a16="http://schemas.microsoft.com/office/drawing/2014/main" id="{F6DDDDAC-3381-488F-AC6D-473BA039A991}"/>
                </a:ext>
              </a:extLst>
            </xdr:cNvPr>
            <xdr:cNvSpPr txBox="1"/>
          </xdr:nvSpPr>
          <xdr:spPr>
            <a:xfrm>
              <a:off x="9048750" y="31899225"/>
              <a:ext cx="5619750" cy="52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i="0">
                  <a:solidFill>
                    <a:schemeClr val="tx1"/>
                  </a:solidFill>
                  <a:effectLst/>
                  <a:latin typeface="+mn-lt"/>
                  <a:ea typeface="+mn-ea"/>
                  <a:cs typeface="+mn-cs"/>
                </a:rPr>
                <a:t>∆</a:t>
              </a:r>
              <a:r>
                <a:rPr lang="en-US" sz="1600" b="0" i="0">
                  <a:solidFill>
                    <a:schemeClr val="tx1"/>
                  </a:solidFill>
                  <a:effectLst/>
                  <a:latin typeface="+mn-lt"/>
                  <a:ea typeface="+mn-ea"/>
                  <a:cs typeface="+mn-cs"/>
                </a:rPr>
                <a:t>𝑘𝑊ℎ</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600" b="0" i="0">
                  <a:solidFill>
                    <a:sysClr val="windowText" lastClr="000000"/>
                  </a:solidFill>
                  <a:latin typeface="Cambria Math" panose="02040503050406030204" pitchFamily="18" charset="0"/>
                  <a:ea typeface="Cambria Math" panose="02040503050406030204" pitchFamily="18" charset="0"/>
                </a:rPr>
                <a:t>𝑓𝑖𝑥𝑡𝑢𝑟𝑒 𝑑𝑒𝑙𝑡𝑎 𝑤𝑎𝑡𝑡𝑠)=</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ysClr val="windowText" lastClr="000000"/>
                  </a:solidFill>
                  <a:effectLst/>
                  <a:latin typeface="Cambria Math" panose="02040503050406030204" pitchFamily="18" charset="0"/>
                  <a:ea typeface="+mn-ea"/>
                  <a:cs typeface="+mn-cs"/>
                </a:rPr>
                <a:t>𝑊_𝑏𝑎𝑠𝑒−𝑊_𝐸𝐸</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ysClr val="windowText" lastClr="000000"/>
                  </a:solidFill>
                  <a:latin typeface="Cambria Math" panose="02040503050406030204" pitchFamily="18" charset="0"/>
                  <a:ea typeface="Cambria Math" panose="02040503050406030204" pitchFamily="18" charset="0"/>
                </a:rPr>
                <a:t>1000×ℎ𝑜𝑢𝑟𝑠×〖𝑊𝐻𝐹〗_𝑒×𝐼𝑆𝑅</a:t>
              </a:r>
              <a:endParaRPr lang="en-US" sz="1600">
                <a:solidFill>
                  <a:sysClr val="windowText" lastClr="000000"/>
                </a:solidFill>
              </a:endParaRPr>
            </a:p>
          </xdr:txBody>
        </xdr:sp>
      </mc:Fallback>
    </mc:AlternateContent>
    <xdr:clientData/>
  </xdr:twoCellAnchor>
  <xdr:twoCellAnchor>
    <xdr:from>
      <xdr:col>9</xdr:col>
      <xdr:colOff>123825</xdr:colOff>
      <xdr:row>134</xdr:row>
      <xdr:rowOff>19050</xdr:rowOff>
    </xdr:from>
    <xdr:to>
      <xdr:col>12</xdr:col>
      <xdr:colOff>695325</xdr:colOff>
      <xdr:row>136</xdr:row>
      <xdr:rowOff>159750</xdr:rowOff>
    </xdr:to>
    <mc:AlternateContent xmlns:mc="http://schemas.openxmlformats.org/markup-compatibility/2006" xmlns:a14="http://schemas.microsoft.com/office/drawing/2010/main">
      <mc:Choice Requires="a14">
        <xdr:sp macro="" textlink="">
          <xdr:nvSpPr>
            <xdr:cNvPr id="9" name="TextBox 154">
              <a:extLst>
                <a:ext uri="{FF2B5EF4-FFF2-40B4-BE49-F238E27FC236}">
                  <a16:creationId xmlns:a16="http://schemas.microsoft.com/office/drawing/2014/main" id="{6A07EF33-8DB5-4A06-92CE-5B23D28E3168}"/>
                </a:ext>
              </a:extLst>
            </xdr:cNvPr>
            <xdr:cNvSpPr txBox="1"/>
          </xdr:nvSpPr>
          <xdr:spPr>
            <a:xfrm>
              <a:off x="15097125" y="31946850"/>
              <a:ext cx="4619625" cy="52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sSub>
                    <m:sSubPr>
                      <m:ctrlPr>
                        <a:rPr lang="en-US" sz="1600" i="1">
                          <a:solidFill>
                            <a:sysClr val="windowText" lastClr="000000"/>
                          </a:solidFill>
                          <a:latin typeface="Cambria Math" panose="02040503050406030204" pitchFamily="18" charset="0"/>
                          <a:ea typeface="Cambria Math" panose="02040503050406030204" pitchFamily="18" charset="0"/>
                        </a:rPr>
                      </m:ctrlPr>
                    </m:sSubPr>
                    <m:e>
                      <m:r>
                        <a:rPr lang="en-US" sz="1600" i="1">
                          <a:solidFill>
                            <a:schemeClr val="tx1"/>
                          </a:solidFill>
                          <a:effectLst/>
                          <a:latin typeface="Cambria Math" panose="02040503050406030204" pitchFamily="18" charset="0"/>
                          <a:ea typeface="+mn-ea"/>
                          <a:cs typeface="+mn-cs"/>
                        </a:rPr>
                        <m:t>∆</m:t>
                      </m:r>
                      <m:r>
                        <a:rPr lang="en-US" sz="1600" b="0" i="1">
                          <a:solidFill>
                            <a:schemeClr val="tx1"/>
                          </a:solidFill>
                          <a:effectLst/>
                          <a:latin typeface="Cambria Math" panose="02040503050406030204" pitchFamily="18" charset="0"/>
                          <a:ea typeface="+mn-ea"/>
                          <a:cs typeface="+mn-cs"/>
                        </a:rPr>
                        <m:t>𝑘𝑊h</m:t>
                      </m:r>
                    </m:e>
                    <m:sub>
                      <m:r>
                        <a:rPr lang="en-US" sz="1600" b="0" i="1">
                          <a:solidFill>
                            <a:sysClr val="windowText" lastClr="000000"/>
                          </a:solidFill>
                          <a:latin typeface="Cambria Math" panose="02040503050406030204" pitchFamily="18" charset="0"/>
                          <a:ea typeface="Cambria Math" panose="02040503050406030204" pitchFamily="18" charset="0"/>
                        </a:rPr>
                        <m:t>𝑐𝑜𝑛𝑡𝑟𝑜𝑙𝑠</m:t>
                      </m:r>
                    </m:sub>
                  </m:sSub>
                  <m:r>
                    <a:rPr lang="en-US" sz="1600" b="0" i="1">
                      <a:solidFill>
                        <a:sysClr val="windowText" lastClr="000000"/>
                      </a:solidFill>
                      <a:latin typeface="Cambria Math" panose="02040503050406030204" pitchFamily="18" charset="0"/>
                      <a:ea typeface="Cambria Math" panose="02040503050406030204" pitchFamily="18" charset="0"/>
                    </a:rPr>
                    <m:t>=</m:t>
                  </m:r>
                  <m:f>
                    <m:fPr>
                      <m:ctrlPr>
                        <a:rPr lang="en-US" sz="1600" b="0" i="1">
                          <a:solidFill>
                            <a:sysClr val="windowText" lastClr="000000"/>
                          </a:solidFill>
                          <a:effectLst/>
                          <a:latin typeface="Cambria Math" panose="02040503050406030204" pitchFamily="18" charset="0"/>
                          <a:ea typeface="Cambria Math" panose="02040503050406030204" pitchFamily="18" charset="0"/>
                          <a:cs typeface="+mn-cs"/>
                        </a:rPr>
                      </m:ctrlPr>
                    </m:fPr>
                    <m:num>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𝑊</m:t>
                          </m:r>
                        </m:e>
                        <m:sub>
                          <m:r>
                            <a:rPr lang="en-US" sz="1600" b="0" i="1">
                              <a:solidFill>
                                <a:sysClr val="windowText" lastClr="000000"/>
                              </a:solidFill>
                              <a:effectLst/>
                              <a:latin typeface="Cambria Math" panose="02040503050406030204" pitchFamily="18" charset="0"/>
                              <a:ea typeface="+mn-ea"/>
                              <a:cs typeface="+mn-cs"/>
                            </a:rPr>
                            <m:t>𝐸𝐸</m:t>
                          </m:r>
                        </m:sub>
                      </m:sSub>
                    </m:num>
                    <m:den>
                      <m:r>
                        <a:rPr lang="en-US" sz="1600" b="0" i="1">
                          <a:solidFill>
                            <a:sysClr val="windowText" lastClr="000000"/>
                          </a:solidFill>
                          <a:latin typeface="Cambria Math" panose="02040503050406030204" pitchFamily="18" charset="0"/>
                          <a:ea typeface="Cambria Math" panose="02040503050406030204" pitchFamily="18" charset="0"/>
                        </a:rPr>
                        <m:t>1000</m:t>
                      </m:r>
                    </m:den>
                  </m:f>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h𝑜𝑢𝑟𝑠</m:t>
                  </m:r>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𝑊𝐻𝐹</m:t>
                      </m:r>
                    </m:e>
                    <m:sub>
                      <m:r>
                        <a:rPr lang="en-US" sz="1600" b="0" i="1">
                          <a:solidFill>
                            <a:sysClr val="windowText" lastClr="000000"/>
                          </a:solidFill>
                          <a:latin typeface="Cambria Math" panose="02040503050406030204" pitchFamily="18" charset="0"/>
                          <a:ea typeface="Cambria Math" panose="02040503050406030204" pitchFamily="18" charset="0"/>
                        </a:rPr>
                        <m:t>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a14:m>
              <a:r>
                <a:rPr lang="en-US" sz="1100">
                  <a:solidFill>
                    <a:sysClr val="windowText" lastClr="000000"/>
                  </a:solidFill>
                </a:rPr>
                <a:t> x </a:t>
              </a:r>
              <a:r>
                <a:rPr lang="en-US" sz="1100" baseline="0">
                  <a:solidFill>
                    <a:sysClr val="windowText" lastClr="000000"/>
                  </a:solidFill>
                </a:rPr>
                <a:t> </a:t>
              </a:r>
              <a14:m>
                <m:oMath xmlns:m="http://schemas.openxmlformats.org/officeDocument/2006/math">
                  <m:r>
                    <a:rPr lang="en-US" sz="1400" b="0" i="1">
                      <a:solidFill>
                        <a:schemeClr val="tx1"/>
                      </a:solidFill>
                      <a:effectLst/>
                      <a:latin typeface="Cambria Math" panose="02040503050406030204" pitchFamily="18" charset="0"/>
                      <a:ea typeface="+mn-ea"/>
                      <a:cs typeface="+mn-cs"/>
                    </a:rPr>
                    <m:t>𝐸𝑆𝐹</m:t>
                  </m:r>
                </m:oMath>
              </a14:m>
              <a:endParaRPr lang="en-US" sz="1400">
                <a:solidFill>
                  <a:sysClr val="windowText" lastClr="000000"/>
                </a:solidFill>
              </a:endParaRPr>
            </a:p>
          </xdr:txBody>
        </xdr:sp>
      </mc:Choice>
      <mc:Fallback xmlns="">
        <xdr:sp macro="" textlink="">
          <xdr:nvSpPr>
            <xdr:cNvPr id="9" name="TextBox 154">
              <a:extLst>
                <a:ext uri="{FF2B5EF4-FFF2-40B4-BE49-F238E27FC236}">
                  <a16:creationId xmlns:a16="http://schemas.microsoft.com/office/drawing/2014/main" id="{6A07EF33-8DB5-4A06-92CE-5B23D28E3168}"/>
                </a:ext>
              </a:extLst>
            </xdr:cNvPr>
            <xdr:cNvSpPr txBox="1"/>
          </xdr:nvSpPr>
          <xdr:spPr>
            <a:xfrm>
              <a:off x="15097125" y="31946850"/>
              <a:ext cx="4619625" cy="52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i="0">
                  <a:solidFill>
                    <a:schemeClr val="tx1"/>
                  </a:solidFill>
                  <a:effectLst/>
                  <a:latin typeface="+mn-lt"/>
                  <a:ea typeface="+mn-ea"/>
                  <a:cs typeface="+mn-cs"/>
                </a:rPr>
                <a:t>∆</a:t>
              </a:r>
              <a:r>
                <a:rPr lang="en-US" sz="1600" b="0" i="0">
                  <a:solidFill>
                    <a:schemeClr val="tx1"/>
                  </a:solidFill>
                  <a:effectLst/>
                  <a:latin typeface="+mn-lt"/>
                  <a:ea typeface="+mn-ea"/>
                  <a:cs typeface="+mn-cs"/>
                </a:rPr>
                <a:t>𝑘𝑊ℎ</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600" b="0" i="0">
                  <a:solidFill>
                    <a:sysClr val="windowText" lastClr="000000"/>
                  </a:solidFill>
                  <a:latin typeface="Cambria Math" panose="02040503050406030204" pitchFamily="18" charset="0"/>
                  <a:ea typeface="Cambria Math" panose="02040503050406030204" pitchFamily="18" charset="0"/>
                </a:rPr>
                <a:t>𝑐𝑜𝑛𝑡𝑟𝑜𝑙𝑠=</a:t>
              </a:r>
              <a:r>
                <a:rPr lang="en-US" sz="1600" b="0" i="0">
                  <a:solidFill>
                    <a:sysClr val="windowText" lastClr="000000"/>
                  </a:solidFill>
                  <a:effectLst/>
                  <a:latin typeface="Cambria Math" panose="02040503050406030204" pitchFamily="18" charset="0"/>
                  <a:ea typeface="+mn-ea"/>
                  <a:cs typeface="+mn-cs"/>
                </a:rPr>
                <a:t>𝑊_𝐸𝐸</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ysClr val="windowText" lastClr="000000"/>
                  </a:solidFill>
                  <a:latin typeface="Cambria Math" panose="02040503050406030204" pitchFamily="18" charset="0"/>
                  <a:ea typeface="Cambria Math" panose="02040503050406030204" pitchFamily="18" charset="0"/>
                </a:rPr>
                <a:t>1000×ℎ𝑜𝑢𝑟𝑠×〖𝑊𝐻𝐹〗_𝑒×𝐼𝑆𝑅</a:t>
              </a:r>
              <a:r>
                <a:rPr lang="en-US" sz="1100">
                  <a:solidFill>
                    <a:sysClr val="windowText" lastClr="000000"/>
                  </a:solidFill>
                </a:rPr>
                <a:t> x </a:t>
              </a:r>
              <a:r>
                <a:rPr lang="en-US" sz="1100" baseline="0">
                  <a:solidFill>
                    <a:sysClr val="windowText" lastClr="000000"/>
                  </a:solidFill>
                </a:rPr>
                <a:t> </a:t>
              </a:r>
              <a:r>
                <a:rPr lang="en-US" sz="1400" b="0" i="0">
                  <a:solidFill>
                    <a:schemeClr val="tx1"/>
                  </a:solidFill>
                  <a:effectLst/>
                  <a:latin typeface="Cambria Math" panose="02040503050406030204" pitchFamily="18" charset="0"/>
                  <a:ea typeface="+mn-ea"/>
                  <a:cs typeface="+mn-cs"/>
                </a:rPr>
                <a:t>𝐸𝑆𝐹</a:t>
              </a:r>
              <a:endParaRPr lang="en-US" sz="1400">
                <a:solidFill>
                  <a:sysClr val="windowText" lastClr="000000"/>
                </a:solidFill>
              </a:endParaRPr>
            </a:p>
          </xdr:txBody>
        </xdr:sp>
      </mc:Fallback>
    </mc:AlternateContent>
    <xdr:clientData/>
  </xdr:twoCellAnchor>
  <xdr:twoCellAnchor>
    <xdr:from>
      <xdr:col>4</xdr:col>
      <xdr:colOff>4891086</xdr:colOff>
      <xdr:row>132</xdr:row>
      <xdr:rowOff>19050</xdr:rowOff>
    </xdr:from>
    <xdr:to>
      <xdr:col>6</xdr:col>
      <xdr:colOff>176893</xdr:colOff>
      <xdr:row>133</xdr:row>
      <xdr:rowOff>61563</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84C45710-95DC-859E-F8C4-1D2AB4742BCB}"/>
                </a:ext>
              </a:extLst>
            </xdr:cNvPr>
            <xdr:cNvSpPr txBox="1"/>
          </xdr:nvSpPr>
          <xdr:spPr>
            <a:xfrm>
              <a:off x="8910636" y="31565850"/>
              <a:ext cx="3967164" cy="23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𝑘𝑊h</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𝑘𝑊h</m:t>
                        </m:r>
                      </m:e>
                      <m:sub>
                        <m:r>
                          <a:rPr lang="en-US" sz="1400" b="0" i="1">
                            <a:latin typeface="Cambria Math" panose="02040503050406030204" pitchFamily="18" charset="0"/>
                          </a:rPr>
                          <m:t>𝑓𝑖𝑥𝑡𝑢𝑟𝑒</m:t>
                        </m:r>
                        <m:r>
                          <a:rPr lang="en-US" sz="1400" b="0" i="1">
                            <a:latin typeface="Cambria Math" panose="02040503050406030204" pitchFamily="18" charset="0"/>
                          </a:rPr>
                          <m:t> </m:t>
                        </m:r>
                        <m:r>
                          <a:rPr lang="en-US" sz="1400" b="0" i="1">
                            <a:latin typeface="Cambria Math" panose="02040503050406030204" pitchFamily="18" charset="0"/>
                          </a:rPr>
                          <m:t>𝑑𝑒𝑙𝑡𝑎</m:t>
                        </m:r>
                        <m:r>
                          <a:rPr lang="en-US" sz="1400" b="0" i="1">
                            <a:latin typeface="Cambria Math" panose="02040503050406030204" pitchFamily="18" charset="0"/>
                          </a:rPr>
                          <m:t> </m:t>
                        </m:r>
                        <m:r>
                          <a:rPr lang="en-US" sz="1400" b="0" i="1">
                            <a:latin typeface="Cambria Math" panose="02040503050406030204" pitchFamily="18" charset="0"/>
                          </a:rPr>
                          <m:t>𝑤𝑎𝑡𝑡𝑠</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𝑘𝑊h</m:t>
                        </m:r>
                      </m:e>
                      <m:sub>
                        <m:r>
                          <a:rPr lang="en-US" sz="1400" b="0" i="1">
                            <a:latin typeface="Cambria Math" panose="02040503050406030204" pitchFamily="18" charset="0"/>
                          </a:rPr>
                          <m:t>𝑐𝑜𝑛𝑡𝑟𝑜𝑙𝑠</m:t>
                        </m:r>
                      </m:sub>
                    </m:sSub>
                  </m:oMath>
                </m:oMathPara>
              </a14:m>
              <a:endParaRPr lang="en-US" sz="1400"/>
            </a:p>
          </xdr:txBody>
        </xdr:sp>
      </mc:Choice>
      <mc:Fallback xmlns="">
        <xdr:sp macro="" textlink="">
          <xdr:nvSpPr>
            <xdr:cNvPr id="10" name="TextBox 9">
              <a:extLst>
                <a:ext uri="{FF2B5EF4-FFF2-40B4-BE49-F238E27FC236}">
                  <a16:creationId xmlns:a16="http://schemas.microsoft.com/office/drawing/2014/main" id="{84C45710-95DC-859E-F8C4-1D2AB4742BCB}"/>
                </a:ext>
              </a:extLst>
            </xdr:cNvPr>
            <xdr:cNvSpPr txBox="1"/>
          </xdr:nvSpPr>
          <xdr:spPr>
            <a:xfrm>
              <a:off x="8910636" y="31565850"/>
              <a:ext cx="3967164" cy="23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𝑘𝑊ℎ=〖𝑘𝑊ℎ〗_(𝑓𝑖𝑥𝑡𝑢𝑟𝑒 𝑑𝑒𝑙𝑡𝑎 𝑤𝑎𝑡𝑡𝑠)+〖𝑘𝑊ℎ〗_𝑐𝑜𝑛𝑡𝑟𝑜𝑙𝑠</a:t>
              </a:r>
              <a:endParaRPr lang="en-US" sz="1400"/>
            </a:p>
          </xdr:txBody>
        </xdr:sp>
      </mc:Fallback>
    </mc:AlternateContent>
    <xdr:clientData/>
  </xdr:twoCellAnchor>
  <xdr:twoCellAnchor>
    <xdr:from>
      <xdr:col>5</xdr:col>
      <xdr:colOff>457200</xdr:colOff>
      <xdr:row>304</xdr:row>
      <xdr:rowOff>123825</xdr:rowOff>
    </xdr:from>
    <xdr:to>
      <xdr:col>9</xdr:col>
      <xdr:colOff>324122</xdr:colOff>
      <xdr:row>306</xdr:row>
      <xdr:rowOff>135524</xdr:rowOff>
    </xdr:to>
    <mc:AlternateContent xmlns:mc="http://schemas.openxmlformats.org/markup-compatibility/2006" xmlns:a14="http://schemas.microsoft.com/office/drawing/2010/main">
      <mc:Choice Requires="a14">
        <xdr:sp macro="" textlink="">
          <xdr:nvSpPr>
            <xdr:cNvPr id="12" name="TextBox 19">
              <a:extLst>
                <a:ext uri="{FF2B5EF4-FFF2-40B4-BE49-F238E27FC236}">
                  <a16:creationId xmlns:a16="http://schemas.microsoft.com/office/drawing/2014/main" id="{55799182-F79C-4FB2-AFD9-731AA5C4EF30}"/>
                </a:ext>
              </a:extLst>
            </xdr:cNvPr>
            <xdr:cNvSpPr txBox="1"/>
          </xdr:nvSpPr>
          <xdr:spPr>
            <a:xfrm>
              <a:off x="9886950" y="69675375"/>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20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𝑃𝑟𝑒𝐻𝑒𝑎𝑡𝐸𝑛𝑒𝑟𝑔𝑦</m:t>
                    </m:r>
                    <m:r>
                      <a:rPr lang="en-US" sz="1200" b="0" i="1">
                        <a:latin typeface="Cambria Math" panose="02040503050406030204" pitchFamily="18" charset="0"/>
                        <a:ea typeface="Cambria Math" panose="02040503050406030204" pitchFamily="18" charset="0"/>
                      </a:rPr>
                      <m:t>=</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𝑃𝑟𝑒𝐻𝑒𝑎𝑡𝐸𝑛𝑒𝑟𝑔𝑦</m:t>
                        </m:r>
                      </m:e>
                      <m:sub>
                        <m:r>
                          <a:rPr lang="en-US" sz="1200" b="0" i="1">
                            <a:latin typeface="Cambria Math" panose="02040503050406030204" pitchFamily="18" charset="0"/>
                            <a:ea typeface="Cambria Math" panose="02040503050406030204" pitchFamily="18" charset="0"/>
                          </a:rPr>
                          <m:t>𝐵𝑎𝑠𝑒</m:t>
                        </m:r>
                      </m:sub>
                    </m:sSub>
                    <m:r>
                      <a:rPr lang="en-US" sz="1200" b="0" i="0">
                        <a:latin typeface="Cambria Math" panose="02040503050406030204" pitchFamily="18" charset="0"/>
                        <a:ea typeface="Cambria Math" panose="02040503050406030204" pitchFamily="18" charset="0"/>
                      </a:rPr>
                      <m:t> </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 − </m:t>
                        </m:r>
                        <m:r>
                          <a:rPr lang="en-US" sz="1200" b="0" i="1">
                            <a:latin typeface="Cambria Math" panose="02040503050406030204" pitchFamily="18" charset="0"/>
                            <a:ea typeface="Cambria Math" panose="02040503050406030204" pitchFamily="18" charset="0"/>
                          </a:rPr>
                          <m:t>𝑃𝑟𝑒𝐻𝑒𝑎𝑡𝐸𝑛𝑒𝑟𝑔𝑦</m:t>
                        </m:r>
                      </m:e>
                      <m:sub>
                        <m:r>
                          <a:rPr lang="en-US" sz="1200" b="0" i="1">
                            <a:latin typeface="Cambria Math" panose="02040503050406030204" pitchFamily="18" charset="0"/>
                            <a:ea typeface="Cambria Math" panose="02040503050406030204" pitchFamily="18" charset="0"/>
                          </a:rPr>
                          <m:t>𝐸𝑆𝑇𝐴𝑅</m:t>
                        </m:r>
                      </m:sub>
                    </m:sSub>
                  </m:oMath>
                </m:oMathPara>
              </a14:m>
              <a:endParaRPr lang="en-US" sz="1200"/>
            </a:p>
          </xdr:txBody>
        </xdr:sp>
      </mc:Choice>
      <mc:Fallback xmlns="">
        <xdr:sp macro="" textlink="">
          <xdr:nvSpPr>
            <xdr:cNvPr id="12" name="TextBox 19">
              <a:extLst>
                <a:ext uri="{FF2B5EF4-FFF2-40B4-BE49-F238E27FC236}">
                  <a16:creationId xmlns:a16="http://schemas.microsoft.com/office/drawing/2014/main" id="{55799182-F79C-4FB2-AFD9-731AA5C4EF30}"/>
                </a:ext>
              </a:extLst>
            </xdr:cNvPr>
            <xdr:cNvSpPr txBox="1"/>
          </xdr:nvSpPr>
          <xdr:spPr>
            <a:xfrm>
              <a:off x="9886950" y="69675375"/>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200" i="0">
                  <a:latin typeface="Cambria Math" panose="02040503050406030204" pitchFamily="18" charset="0"/>
                  <a:ea typeface="Cambria Math" panose="02040503050406030204" pitchFamily="18" charset="0"/>
                </a:rPr>
                <a:t>∆</a:t>
              </a:r>
              <a:r>
                <a:rPr lang="en-US" sz="1200" b="0" i="0">
                  <a:latin typeface="Cambria Math" panose="02040503050406030204" pitchFamily="18" charset="0"/>
                  <a:ea typeface="Cambria Math" panose="02040503050406030204" pitchFamily="18" charset="0"/>
                </a:rPr>
                <a:t>𝑃𝑟𝑒𝐻𝑒𝑎𝑡𝐸𝑛𝑒𝑟𝑔𝑦=〖𝑃𝑟𝑒𝐻𝑒𝑎𝑡𝐸𝑛𝑒𝑟𝑔𝑦〗_𝐵𝑎𝑠𝑒  〖 − 𝑃𝑟𝑒𝐻𝑒𝑎𝑡𝐸𝑛𝑒𝑟𝑔𝑦〗_𝐸𝑆𝑇𝐴𝑅</a:t>
              </a:r>
              <a:endParaRPr lang="en-US" sz="1200"/>
            </a:p>
          </xdr:txBody>
        </xdr:sp>
      </mc:Fallback>
    </mc:AlternateContent>
    <xdr:clientData/>
  </xdr:twoCellAnchor>
  <xdr:oneCellAnchor>
    <xdr:from>
      <xdr:col>4</xdr:col>
      <xdr:colOff>109537</xdr:colOff>
      <xdr:row>299</xdr:row>
      <xdr:rowOff>38101</xdr:rowOff>
    </xdr:from>
    <xdr:ext cx="7796213" cy="228600"/>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AB4A97F8-87E0-207B-ED4A-BDF6EEB20F20}"/>
                </a:ext>
              </a:extLst>
            </xdr:cNvPr>
            <xdr:cNvSpPr txBox="1"/>
          </xdr:nvSpPr>
          <xdr:spPr>
            <a:xfrm>
              <a:off x="4129087" y="68637151"/>
              <a:ext cx="7796213"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b="0" i="1">
                      <a:latin typeface="Cambria Math" panose="02040503050406030204" pitchFamily="18" charset="0"/>
                    </a:rPr>
                    <m:t>∆</m:t>
                  </m:r>
                </m:oMath>
              </a14:m>
              <a:r>
                <a:rPr lang="en-US" sz="1400"/>
                <a:t>kWh =( </a:t>
              </a:r>
              <a14:m>
                <m:oMath xmlns:m="http://schemas.openxmlformats.org/officeDocument/2006/math">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m:t>
                      </m:r>
                      <m:r>
                        <m:rPr>
                          <m:nor/>
                        </m:rPr>
                        <a:rPr lang="en-US" sz="1400">
                          <a:solidFill>
                            <a:schemeClr val="tx1"/>
                          </a:solidFill>
                          <a:effectLst/>
                          <a:latin typeface="+mn-lt"/>
                          <a:ea typeface="+mn-ea"/>
                          <a:cs typeface="+mn-cs"/>
                        </a:rPr>
                        <m:t>kWh</m:t>
                      </m:r>
                      <m:r>
                        <m:rPr>
                          <m:nor/>
                        </m:rPr>
                        <a:rPr lang="en-US" sz="1400">
                          <a:solidFill>
                            <a:schemeClr val="tx1"/>
                          </a:solidFill>
                          <a:effectLst/>
                          <a:latin typeface="+mn-lt"/>
                          <a:ea typeface="+mn-ea"/>
                          <a:cs typeface="+mn-cs"/>
                        </a:rPr>
                        <m:t>   </m:t>
                      </m:r>
                    </m:e>
                    <m:sub>
                      <m:r>
                        <a:rPr lang="en-US" sz="1400" b="0" i="1">
                          <a:solidFill>
                            <a:schemeClr val="tx1"/>
                          </a:solidFill>
                          <a:effectLst/>
                          <a:latin typeface="Cambria Math" panose="02040503050406030204" pitchFamily="18" charset="0"/>
                          <a:ea typeface="+mn-ea"/>
                          <a:cs typeface="+mn-cs"/>
                        </a:rPr>
                        <m:t>𝐼𝑑𝑙𝑒</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𝐸𝑛𝑒𝑟𝑔𝑦</m:t>
                      </m:r>
                      <m:r>
                        <a:rPr lang="en-US" sz="1400" b="0" i="1">
                          <a:solidFill>
                            <a:schemeClr val="tx1"/>
                          </a:solidFill>
                          <a:effectLst/>
                          <a:latin typeface="Cambria Math" panose="02040503050406030204" pitchFamily="18" charset="0"/>
                          <a:ea typeface="+mn-ea"/>
                          <a:cs typeface="+mn-cs"/>
                        </a:rPr>
                        <m:t>+  </m:t>
                      </m:r>
                    </m:sub>
                  </m:sSub>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m:t>
                      </m:r>
                      <m:r>
                        <m:rPr>
                          <m:nor/>
                        </m:rPr>
                        <a:rPr lang="en-US" sz="1400">
                          <a:solidFill>
                            <a:schemeClr val="tx1"/>
                          </a:solidFill>
                          <a:effectLst/>
                          <a:latin typeface="+mn-lt"/>
                          <a:ea typeface="+mn-ea"/>
                          <a:cs typeface="+mn-cs"/>
                        </a:rPr>
                        <m:t>kWh</m:t>
                      </m:r>
                      <m:r>
                        <m:rPr>
                          <m:nor/>
                        </m:rPr>
                        <a:rPr lang="en-US" sz="1400">
                          <a:solidFill>
                            <a:schemeClr val="tx1"/>
                          </a:solidFill>
                          <a:effectLst/>
                          <a:latin typeface="+mn-lt"/>
                          <a:ea typeface="+mn-ea"/>
                          <a:cs typeface="+mn-cs"/>
                        </a:rPr>
                        <m:t>   </m:t>
                      </m:r>
                    </m:e>
                    <m:sub>
                      <m:r>
                        <a:rPr lang="en-US" sz="1400" b="0" i="1">
                          <a:solidFill>
                            <a:schemeClr val="tx1"/>
                          </a:solidFill>
                          <a:effectLst/>
                          <a:latin typeface="Cambria Math" panose="02040503050406030204" pitchFamily="18" charset="0"/>
                          <a:ea typeface="+mn-ea"/>
                          <a:cs typeface="+mn-cs"/>
                        </a:rPr>
                        <m:t>𝐶𝑜𝑜𝑘𝑖𝑛𝑔𝐸𝑛𝑒𝑟𝑔𝑦</m:t>
                      </m:r>
                      <m:r>
                        <a:rPr lang="en-US" sz="1400" b="0" i="1">
                          <a:solidFill>
                            <a:schemeClr val="tx1"/>
                          </a:solidFill>
                          <a:effectLst/>
                          <a:latin typeface="Cambria Math" panose="02040503050406030204" pitchFamily="18" charset="0"/>
                          <a:ea typeface="+mn-ea"/>
                          <a:cs typeface="+mn-cs"/>
                        </a:rPr>
                        <m:t> </m:t>
                      </m:r>
                    </m:sub>
                  </m:sSub>
                  <m:r>
                    <a:rPr lang="en-US" sz="1400" b="0" i="1">
                      <a:solidFill>
                        <a:schemeClr val="tx1"/>
                      </a:solidFill>
                      <a:effectLst/>
                      <a:latin typeface="Cambria Math" panose="02040503050406030204" pitchFamily="18" charset="0"/>
                      <a:ea typeface="+mn-ea"/>
                      <a:cs typeface="+mn-cs"/>
                    </a:rPr>
                    <m:t>+</m:t>
                  </m:r>
                </m:oMath>
              </a14:m>
              <a:r>
                <a:rPr lang="en-US" sz="1400">
                  <a:solidFill>
                    <a:schemeClr val="tx1"/>
                  </a:solidFill>
                  <a:effectLst/>
                  <a:latin typeface="+mn-lt"/>
                  <a:ea typeface="+mn-ea"/>
                  <a:cs typeface="+mn-cs"/>
                </a:rPr>
                <a:t> </a:t>
              </a:r>
              <a14:m>
                <m:oMath xmlns:m="http://schemas.openxmlformats.org/officeDocument/2006/math">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m:t>
                      </m:r>
                      <m:r>
                        <m:rPr>
                          <m:nor/>
                        </m:rPr>
                        <a:rPr lang="en-US" sz="1400">
                          <a:solidFill>
                            <a:schemeClr val="tx1"/>
                          </a:solidFill>
                          <a:effectLst/>
                          <a:latin typeface="+mn-lt"/>
                          <a:ea typeface="+mn-ea"/>
                          <a:cs typeface="+mn-cs"/>
                        </a:rPr>
                        <m:t>kWh</m:t>
                      </m:r>
                      <m:r>
                        <m:rPr>
                          <m:nor/>
                        </m:rPr>
                        <a:rPr lang="en-US" sz="1400" i="1">
                          <a:solidFill>
                            <a:schemeClr val="tx1"/>
                          </a:solidFill>
                          <a:effectLst/>
                          <a:latin typeface="+mn-lt"/>
                          <a:ea typeface="+mn-ea"/>
                          <a:cs typeface="+mn-cs"/>
                        </a:rPr>
                        <m:t>   </m:t>
                      </m:r>
                    </m:e>
                    <m:sub>
                      <m:r>
                        <a:rPr lang="en-US" sz="1400" b="0" i="1">
                          <a:solidFill>
                            <a:schemeClr val="tx1"/>
                          </a:solidFill>
                          <a:effectLst/>
                          <a:latin typeface="Cambria Math" panose="02040503050406030204" pitchFamily="18" charset="0"/>
                          <a:ea typeface="+mn-ea"/>
                          <a:cs typeface="+mn-cs"/>
                        </a:rPr>
                        <m:t>𝑃𝑟𝑒𝐻𝑒𝑎𝑡𝐸𝑛𝑒𝑟𝑔𝑦</m:t>
                      </m:r>
                      <m:r>
                        <a:rPr lang="en-US" sz="1400" b="0" i="1">
                          <a:solidFill>
                            <a:schemeClr val="tx1"/>
                          </a:solidFill>
                          <a:effectLst/>
                          <a:latin typeface="Cambria Math" panose="02040503050406030204" pitchFamily="18" charset="0"/>
                          <a:ea typeface="+mn-ea"/>
                          <a:cs typeface="+mn-cs"/>
                        </a:rPr>
                        <m:t>  </m:t>
                      </m:r>
                    </m:sub>
                  </m:sSub>
                </m:oMath>
              </a14:m>
              <a:r>
                <a:rPr lang="en-US" sz="1400"/>
                <a:t>) x Days/1000</a:t>
              </a:r>
            </a:p>
          </xdr:txBody>
        </xdr:sp>
      </mc:Choice>
      <mc:Fallback xmlns="">
        <xdr:sp macro="" textlink="">
          <xdr:nvSpPr>
            <xdr:cNvPr id="13" name="TextBox 12">
              <a:extLst>
                <a:ext uri="{FF2B5EF4-FFF2-40B4-BE49-F238E27FC236}">
                  <a16:creationId xmlns:a16="http://schemas.microsoft.com/office/drawing/2014/main" id="{AB4A97F8-87E0-207B-ED4A-BDF6EEB20F20}"/>
                </a:ext>
              </a:extLst>
            </xdr:cNvPr>
            <xdr:cNvSpPr txBox="1"/>
          </xdr:nvSpPr>
          <xdr:spPr>
            <a:xfrm>
              <a:off x="4129087" y="68637151"/>
              <a:ext cx="7796213"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b="0" i="0">
                  <a:latin typeface="Cambria Math" panose="02040503050406030204" pitchFamily="18" charset="0"/>
                </a:rPr>
                <a:t>∆</a:t>
              </a:r>
              <a:r>
                <a:rPr lang="en-US" sz="1400"/>
                <a:t>kWh =( </a:t>
              </a:r>
              <a:r>
                <a:rPr lang="en-US" sz="1400" b="0" i="0">
                  <a:solidFill>
                    <a:schemeClr val="tx1"/>
                  </a:solidFill>
                  <a:effectLst/>
                  <a:latin typeface="Cambria Math" panose="02040503050406030204" pitchFamily="18" charset="0"/>
                  <a:ea typeface="+mn-ea"/>
                  <a:cs typeface="+mn-cs"/>
                </a:rPr>
                <a:t>〖</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kWh   </a:t>
              </a:r>
              <a:r>
                <a:rPr lang="en-US" sz="1400" b="0" i="0">
                  <a:solidFill>
                    <a:schemeClr val="tx1"/>
                  </a:solidFill>
                  <a:effectLst/>
                  <a:latin typeface="Cambria Math" panose="02040503050406030204" pitchFamily="18" charset="0"/>
                  <a:ea typeface="+mn-ea"/>
                  <a:cs typeface="+mn-cs"/>
                </a:rPr>
                <a:t>" 〗_(𝐼𝑑𝑙𝑒 𝐸𝑛𝑒𝑟𝑔𝑦+  ) 〖</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kWh   </a:t>
              </a:r>
              <a:r>
                <a:rPr lang="en-US" sz="1400" b="0" i="0">
                  <a:solidFill>
                    <a:schemeClr val="tx1"/>
                  </a:solidFill>
                  <a:effectLst/>
                  <a:latin typeface="Cambria Math" panose="02040503050406030204" pitchFamily="18" charset="0"/>
                  <a:ea typeface="+mn-ea"/>
                  <a:cs typeface="+mn-cs"/>
                </a:rPr>
                <a:t>" 〗_(𝐶𝑜𝑜𝑘𝑖𝑛𝑔𝐸𝑛𝑒𝑟𝑔𝑦 )+</a:t>
              </a:r>
              <a:r>
                <a:rPr lang="en-US" sz="1400">
                  <a:solidFill>
                    <a:schemeClr val="tx1"/>
                  </a:solidFill>
                  <a:effectLst/>
                  <a:latin typeface="+mn-lt"/>
                  <a:ea typeface="+mn-ea"/>
                  <a:cs typeface="+mn-cs"/>
                </a:rPr>
                <a:t> </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kWh   " </a:t>
              </a:r>
              <a:r>
                <a:rPr lang="en-US" sz="1400" b="0" i="0">
                  <a:solidFill>
                    <a:schemeClr val="tx1"/>
                  </a:solidFill>
                  <a:effectLst/>
                  <a:latin typeface="+mn-lt"/>
                  <a:ea typeface="+mn-ea"/>
                  <a:cs typeface="+mn-cs"/>
                </a:rPr>
                <a:t>〗_(</a:t>
              </a:r>
              <a:r>
                <a:rPr lang="en-US" sz="1400" b="0" i="0">
                  <a:solidFill>
                    <a:schemeClr val="tx1"/>
                  </a:solidFill>
                  <a:effectLst/>
                  <a:latin typeface="Cambria Math" panose="02040503050406030204" pitchFamily="18" charset="0"/>
                  <a:ea typeface="+mn-ea"/>
                  <a:cs typeface="+mn-cs"/>
                </a:rPr>
                <a:t>𝑃𝑟𝑒𝐻𝑒𝑎𝑡𝐸𝑛𝑒𝑟𝑔𝑦</a:t>
              </a:r>
              <a:r>
                <a:rPr lang="en-US" sz="1400" b="0" i="0">
                  <a:solidFill>
                    <a:schemeClr val="tx1"/>
                  </a:solidFill>
                  <a:effectLst/>
                  <a:latin typeface="+mn-lt"/>
                  <a:ea typeface="+mn-ea"/>
                  <a:cs typeface="+mn-cs"/>
                </a:rPr>
                <a:t>  )</a:t>
              </a:r>
              <a:r>
                <a:rPr lang="en-US" sz="1400"/>
                <a:t>) x Days/1000</a:t>
              </a:r>
            </a:p>
          </xdr:txBody>
        </xdr:sp>
      </mc:Fallback>
    </mc:AlternateContent>
    <xdr:clientData/>
  </xdr:oneCellAnchor>
  <xdr:twoCellAnchor>
    <xdr:from>
      <xdr:col>5</xdr:col>
      <xdr:colOff>0</xdr:colOff>
      <xdr:row>637</xdr:row>
      <xdr:rowOff>0</xdr:rowOff>
    </xdr:from>
    <xdr:to>
      <xdr:col>6</xdr:col>
      <xdr:colOff>564425</xdr:colOff>
      <xdr:row>639</xdr:row>
      <xdr:rowOff>51882</xdr:rowOff>
    </xdr:to>
    <mc:AlternateContent xmlns:mc="http://schemas.openxmlformats.org/markup-compatibility/2006" xmlns:a14="http://schemas.microsoft.com/office/drawing/2010/main">
      <mc:Choice Requires="a14">
        <xdr:sp macro="" textlink="">
          <xdr:nvSpPr>
            <xdr:cNvPr id="22" name="TextBox 148">
              <a:extLst>
                <a:ext uri="{FF2B5EF4-FFF2-40B4-BE49-F238E27FC236}">
                  <a16:creationId xmlns:a16="http://schemas.microsoft.com/office/drawing/2014/main" id="{CF2E4373-C5B8-4131-9D21-CB6E92A7DED5}"/>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22" name="TextBox 148">
              <a:extLst>
                <a:ext uri="{FF2B5EF4-FFF2-40B4-BE49-F238E27FC236}">
                  <a16:creationId xmlns:a16="http://schemas.microsoft.com/office/drawing/2014/main" id="{CF2E4373-C5B8-4131-9D21-CB6E92A7DED5}"/>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5</xdr:col>
      <xdr:colOff>0</xdr:colOff>
      <xdr:row>637</xdr:row>
      <xdr:rowOff>0</xdr:rowOff>
    </xdr:from>
    <xdr:to>
      <xdr:col>6</xdr:col>
      <xdr:colOff>564425</xdr:colOff>
      <xdr:row>639</xdr:row>
      <xdr:rowOff>51882</xdr:rowOff>
    </xdr:to>
    <mc:AlternateContent xmlns:mc="http://schemas.openxmlformats.org/markup-compatibility/2006" xmlns:a14="http://schemas.microsoft.com/office/drawing/2010/main">
      <mc:Choice Requires="a14">
        <xdr:sp macro="" textlink="">
          <xdr:nvSpPr>
            <xdr:cNvPr id="23" name="TextBox 148">
              <a:extLst>
                <a:ext uri="{FF2B5EF4-FFF2-40B4-BE49-F238E27FC236}">
                  <a16:creationId xmlns:a16="http://schemas.microsoft.com/office/drawing/2014/main" id="{15580BB4-8C5C-4FD8-9608-5FBBB84DDB02}"/>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23" name="TextBox 148">
              <a:extLst>
                <a:ext uri="{FF2B5EF4-FFF2-40B4-BE49-F238E27FC236}">
                  <a16:creationId xmlns:a16="http://schemas.microsoft.com/office/drawing/2014/main" id="{15580BB4-8C5C-4FD8-9608-5FBBB84DDB02}"/>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6</xdr:col>
      <xdr:colOff>0</xdr:colOff>
      <xdr:row>637</xdr:row>
      <xdr:rowOff>0</xdr:rowOff>
    </xdr:from>
    <xdr:to>
      <xdr:col>7</xdr:col>
      <xdr:colOff>564425</xdr:colOff>
      <xdr:row>639</xdr:row>
      <xdr:rowOff>51882</xdr:rowOff>
    </xdr:to>
    <mc:AlternateContent xmlns:mc="http://schemas.openxmlformats.org/markup-compatibility/2006" xmlns:a14="http://schemas.microsoft.com/office/drawing/2010/main">
      <mc:Choice Requires="a14">
        <xdr:sp macro="" textlink="">
          <xdr:nvSpPr>
            <xdr:cNvPr id="24" name="TextBox 148">
              <a:extLst>
                <a:ext uri="{FF2B5EF4-FFF2-40B4-BE49-F238E27FC236}">
                  <a16:creationId xmlns:a16="http://schemas.microsoft.com/office/drawing/2014/main" id="{1946EC10-8D85-43F6-A107-5BE2EE05D570}"/>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24" name="TextBox 148">
              <a:extLst>
                <a:ext uri="{FF2B5EF4-FFF2-40B4-BE49-F238E27FC236}">
                  <a16:creationId xmlns:a16="http://schemas.microsoft.com/office/drawing/2014/main" id="{1946EC10-8D85-43F6-A107-5BE2EE05D570}"/>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6</xdr:col>
      <xdr:colOff>0</xdr:colOff>
      <xdr:row>637</xdr:row>
      <xdr:rowOff>0</xdr:rowOff>
    </xdr:from>
    <xdr:to>
      <xdr:col>7</xdr:col>
      <xdr:colOff>564425</xdr:colOff>
      <xdr:row>639</xdr:row>
      <xdr:rowOff>51882</xdr:rowOff>
    </xdr:to>
    <mc:AlternateContent xmlns:mc="http://schemas.openxmlformats.org/markup-compatibility/2006" xmlns:a14="http://schemas.microsoft.com/office/drawing/2010/main">
      <mc:Choice Requires="a14">
        <xdr:sp macro="" textlink="">
          <xdr:nvSpPr>
            <xdr:cNvPr id="26" name="TextBox 148">
              <a:extLst>
                <a:ext uri="{FF2B5EF4-FFF2-40B4-BE49-F238E27FC236}">
                  <a16:creationId xmlns:a16="http://schemas.microsoft.com/office/drawing/2014/main" id="{60D7A832-12DB-420B-B383-77A77BA32A5D}"/>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26" name="TextBox 148">
              <a:extLst>
                <a:ext uri="{FF2B5EF4-FFF2-40B4-BE49-F238E27FC236}">
                  <a16:creationId xmlns:a16="http://schemas.microsoft.com/office/drawing/2014/main" id="{60D7A832-12DB-420B-B383-77A77BA32A5D}"/>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7</xdr:col>
      <xdr:colOff>0</xdr:colOff>
      <xdr:row>637</xdr:row>
      <xdr:rowOff>0</xdr:rowOff>
    </xdr:from>
    <xdr:to>
      <xdr:col>8</xdr:col>
      <xdr:colOff>564425</xdr:colOff>
      <xdr:row>639</xdr:row>
      <xdr:rowOff>51882</xdr:rowOff>
    </xdr:to>
    <mc:AlternateContent xmlns:mc="http://schemas.openxmlformats.org/markup-compatibility/2006" xmlns:a14="http://schemas.microsoft.com/office/drawing/2010/main">
      <mc:Choice Requires="a14">
        <xdr:sp macro="" textlink="">
          <xdr:nvSpPr>
            <xdr:cNvPr id="27" name="TextBox 148">
              <a:extLst>
                <a:ext uri="{FF2B5EF4-FFF2-40B4-BE49-F238E27FC236}">
                  <a16:creationId xmlns:a16="http://schemas.microsoft.com/office/drawing/2014/main" id="{0489E2E9-0AFF-47F2-B42F-E876630C54F2}"/>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27" name="TextBox 148">
              <a:extLst>
                <a:ext uri="{FF2B5EF4-FFF2-40B4-BE49-F238E27FC236}">
                  <a16:creationId xmlns:a16="http://schemas.microsoft.com/office/drawing/2014/main" id="{0489E2E9-0AFF-47F2-B42F-E876630C54F2}"/>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7</xdr:col>
      <xdr:colOff>0</xdr:colOff>
      <xdr:row>637</xdr:row>
      <xdr:rowOff>0</xdr:rowOff>
    </xdr:from>
    <xdr:to>
      <xdr:col>8</xdr:col>
      <xdr:colOff>564425</xdr:colOff>
      <xdr:row>639</xdr:row>
      <xdr:rowOff>51882</xdr:rowOff>
    </xdr:to>
    <mc:AlternateContent xmlns:mc="http://schemas.openxmlformats.org/markup-compatibility/2006" xmlns:a14="http://schemas.microsoft.com/office/drawing/2010/main">
      <mc:Choice Requires="a14">
        <xdr:sp macro="" textlink="">
          <xdr:nvSpPr>
            <xdr:cNvPr id="28" name="TextBox 148">
              <a:extLst>
                <a:ext uri="{FF2B5EF4-FFF2-40B4-BE49-F238E27FC236}">
                  <a16:creationId xmlns:a16="http://schemas.microsoft.com/office/drawing/2014/main" id="{D9BC0672-B3A6-4749-BB7D-BD7454D7CE11}"/>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28" name="TextBox 148">
              <a:extLst>
                <a:ext uri="{FF2B5EF4-FFF2-40B4-BE49-F238E27FC236}">
                  <a16:creationId xmlns:a16="http://schemas.microsoft.com/office/drawing/2014/main" id="{D9BC0672-B3A6-4749-BB7D-BD7454D7CE11}"/>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7</xdr:col>
      <xdr:colOff>0</xdr:colOff>
      <xdr:row>637</xdr:row>
      <xdr:rowOff>0</xdr:rowOff>
    </xdr:from>
    <xdr:to>
      <xdr:col>8</xdr:col>
      <xdr:colOff>564425</xdr:colOff>
      <xdr:row>639</xdr:row>
      <xdr:rowOff>51882</xdr:rowOff>
    </xdr:to>
    <mc:AlternateContent xmlns:mc="http://schemas.openxmlformats.org/markup-compatibility/2006" xmlns:a14="http://schemas.microsoft.com/office/drawing/2010/main">
      <mc:Choice Requires="a14">
        <xdr:sp macro="" textlink="">
          <xdr:nvSpPr>
            <xdr:cNvPr id="29" name="TextBox 148">
              <a:extLst>
                <a:ext uri="{FF2B5EF4-FFF2-40B4-BE49-F238E27FC236}">
                  <a16:creationId xmlns:a16="http://schemas.microsoft.com/office/drawing/2014/main" id="{17C2E6AD-3F8A-44A6-AB45-7960DBB5437D}"/>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29" name="TextBox 148">
              <a:extLst>
                <a:ext uri="{FF2B5EF4-FFF2-40B4-BE49-F238E27FC236}">
                  <a16:creationId xmlns:a16="http://schemas.microsoft.com/office/drawing/2014/main" id="{17C2E6AD-3F8A-44A6-AB45-7960DBB5437D}"/>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7</xdr:col>
      <xdr:colOff>0</xdr:colOff>
      <xdr:row>637</xdr:row>
      <xdr:rowOff>0</xdr:rowOff>
    </xdr:from>
    <xdr:to>
      <xdr:col>8</xdr:col>
      <xdr:colOff>564425</xdr:colOff>
      <xdr:row>639</xdr:row>
      <xdr:rowOff>51882</xdr:rowOff>
    </xdr:to>
    <mc:AlternateContent xmlns:mc="http://schemas.openxmlformats.org/markup-compatibility/2006" xmlns:a14="http://schemas.microsoft.com/office/drawing/2010/main">
      <mc:Choice Requires="a14">
        <xdr:sp macro="" textlink="">
          <xdr:nvSpPr>
            <xdr:cNvPr id="30" name="TextBox 148">
              <a:extLst>
                <a:ext uri="{FF2B5EF4-FFF2-40B4-BE49-F238E27FC236}">
                  <a16:creationId xmlns:a16="http://schemas.microsoft.com/office/drawing/2014/main" id="{0837BC2E-BB5B-472A-AC13-EBE658B11861}"/>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0" name="TextBox 148">
              <a:extLst>
                <a:ext uri="{FF2B5EF4-FFF2-40B4-BE49-F238E27FC236}">
                  <a16:creationId xmlns:a16="http://schemas.microsoft.com/office/drawing/2014/main" id="{0837BC2E-BB5B-472A-AC13-EBE658B11861}"/>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8</xdr:col>
      <xdr:colOff>0</xdr:colOff>
      <xdr:row>637</xdr:row>
      <xdr:rowOff>0</xdr:rowOff>
    </xdr:from>
    <xdr:to>
      <xdr:col>9</xdr:col>
      <xdr:colOff>564425</xdr:colOff>
      <xdr:row>639</xdr:row>
      <xdr:rowOff>51882</xdr:rowOff>
    </xdr:to>
    <mc:AlternateContent xmlns:mc="http://schemas.openxmlformats.org/markup-compatibility/2006" xmlns:a14="http://schemas.microsoft.com/office/drawing/2010/main">
      <mc:Choice Requires="a14">
        <xdr:sp macro="" textlink="">
          <xdr:nvSpPr>
            <xdr:cNvPr id="31" name="TextBox 148">
              <a:extLst>
                <a:ext uri="{FF2B5EF4-FFF2-40B4-BE49-F238E27FC236}">
                  <a16:creationId xmlns:a16="http://schemas.microsoft.com/office/drawing/2014/main" id="{33B4055C-1B26-471C-95D1-46CDA36677AB}"/>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1" name="TextBox 148">
              <a:extLst>
                <a:ext uri="{FF2B5EF4-FFF2-40B4-BE49-F238E27FC236}">
                  <a16:creationId xmlns:a16="http://schemas.microsoft.com/office/drawing/2014/main" id="{33B4055C-1B26-471C-95D1-46CDA36677AB}"/>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8</xdr:col>
      <xdr:colOff>0</xdr:colOff>
      <xdr:row>637</xdr:row>
      <xdr:rowOff>0</xdr:rowOff>
    </xdr:from>
    <xdr:to>
      <xdr:col>9</xdr:col>
      <xdr:colOff>564425</xdr:colOff>
      <xdr:row>639</xdr:row>
      <xdr:rowOff>51882</xdr:rowOff>
    </xdr:to>
    <mc:AlternateContent xmlns:mc="http://schemas.openxmlformats.org/markup-compatibility/2006" xmlns:a14="http://schemas.microsoft.com/office/drawing/2010/main">
      <mc:Choice Requires="a14">
        <xdr:sp macro="" textlink="">
          <xdr:nvSpPr>
            <xdr:cNvPr id="32" name="TextBox 148">
              <a:extLst>
                <a:ext uri="{FF2B5EF4-FFF2-40B4-BE49-F238E27FC236}">
                  <a16:creationId xmlns:a16="http://schemas.microsoft.com/office/drawing/2014/main" id="{8F921DFB-D63C-431B-95EF-E2F3F0B5BF8D}"/>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2" name="TextBox 148">
              <a:extLst>
                <a:ext uri="{FF2B5EF4-FFF2-40B4-BE49-F238E27FC236}">
                  <a16:creationId xmlns:a16="http://schemas.microsoft.com/office/drawing/2014/main" id="{8F921DFB-D63C-431B-95EF-E2F3F0B5BF8D}"/>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8</xdr:col>
      <xdr:colOff>0</xdr:colOff>
      <xdr:row>637</xdr:row>
      <xdr:rowOff>0</xdr:rowOff>
    </xdr:from>
    <xdr:to>
      <xdr:col>9</xdr:col>
      <xdr:colOff>564425</xdr:colOff>
      <xdr:row>639</xdr:row>
      <xdr:rowOff>51882</xdr:rowOff>
    </xdr:to>
    <mc:AlternateContent xmlns:mc="http://schemas.openxmlformats.org/markup-compatibility/2006" xmlns:a14="http://schemas.microsoft.com/office/drawing/2010/main">
      <mc:Choice Requires="a14">
        <xdr:sp macro="" textlink="">
          <xdr:nvSpPr>
            <xdr:cNvPr id="34" name="TextBox 148">
              <a:extLst>
                <a:ext uri="{FF2B5EF4-FFF2-40B4-BE49-F238E27FC236}">
                  <a16:creationId xmlns:a16="http://schemas.microsoft.com/office/drawing/2014/main" id="{A748D0CB-06E3-4DD0-BE1D-D923278BD023}"/>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4" name="TextBox 148">
              <a:extLst>
                <a:ext uri="{FF2B5EF4-FFF2-40B4-BE49-F238E27FC236}">
                  <a16:creationId xmlns:a16="http://schemas.microsoft.com/office/drawing/2014/main" id="{A748D0CB-06E3-4DD0-BE1D-D923278BD023}"/>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8</xdr:col>
      <xdr:colOff>0</xdr:colOff>
      <xdr:row>637</xdr:row>
      <xdr:rowOff>0</xdr:rowOff>
    </xdr:from>
    <xdr:to>
      <xdr:col>9</xdr:col>
      <xdr:colOff>564425</xdr:colOff>
      <xdr:row>639</xdr:row>
      <xdr:rowOff>51882</xdr:rowOff>
    </xdr:to>
    <mc:AlternateContent xmlns:mc="http://schemas.openxmlformats.org/markup-compatibility/2006" xmlns:a14="http://schemas.microsoft.com/office/drawing/2010/main">
      <mc:Choice Requires="a14">
        <xdr:sp macro="" textlink="">
          <xdr:nvSpPr>
            <xdr:cNvPr id="35" name="TextBox 148">
              <a:extLst>
                <a:ext uri="{FF2B5EF4-FFF2-40B4-BE49-F238E27FC236}">
                  <a16:creationId xmlns:a16="http://schemas.microsoft.com/office/drawing/2014/main" id="{E446AE95-E8CB-409D-89FA-973A1F53D124}"/>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5" name="TextBox 148">
              <a:extLst>
                <a:ext uri="{FF2B5EF4-FFF2-40B4-BE49-F238E27FC236}">
                  <a16:creationId xmlns:a16="http://schemas.microsoft.com/office/drawing/2014/main" id="{E446AE95-E8CB-409D-89FA-973A1F53D124}"/>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9</xdr:col>
      <xdr:colOff>0</xdr:colOff>
      <xdr:row>637</xdr:row>
      <xdr:rowOff>0</xdr:rowOff>
    </xdr:from>
    <xdr:to>
      <xdr:col>10</xdr:col>
      <xdr:colOff>564425</xdr:colOff>
      <xdr:row>639</xdr:row>
      <xdr:rowOff>51882</xdr:rowOff>
    </xdr:to>
    <mc:AlternateContent xmlns:mc="http://schemas.openxmlformats.org/markup-compatibility/2006" xmlns:a14="http://schemas.microsoft.com/office/drawing/2010/main">
      <mc:Choice Requires="a14">
        <xdr:sp macro="" textlink="">
          <xdr:nvSpPr>
            <xdr:cNvPr id="36" name="TextBox 148">
              <a:extLst>
                <a:ext uri="{FF2B5EF4-FFF2-40B4-BE49-F238E27FC236}">
                  <a16:creationId xmlns:a16="http://schemas.microsoft.com/office/drawing/2014/main" id="{C48F4C9A-8FBB-4DD8-B31D-EF6E21B6F114}"/>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6" name="TextBox 148">
              <a:extLst>
                <a:ext uri="{FF2B5EF4-FFF2-40B4-BE49-F238E27FC236}">
                  <a16:creationId xmlns:a16="http://schemas.microsoft.com/office/drawing/2014/main" id="{C48F4C9A-8FBB-4DD8-B31D-EF6E21B6F114}"/>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9</xdr:col>
      <xdr:colOff>0</xdr:colOff>
      <xdr:row>637</xdr:row>
      <xdr:rowOff>0</xdr:rowOff>
    </xdr:from>
    <xdr:to>
      <xdr:col>10</xdr:col>
      <xdr:colOff>564425</xdr:colOff>
      <xdr:row>639</xdr:row>
      <xdr:rowOff>51882</xdr:rowOff>
    </xdr:to>
    <mc:AlternateContent xmlns:mc="http://schemas.openxmlformats.org/markup-compatibility/2006" xmlns:a14="http://schemas.microsoft.com/office/drawing/2010/main">
      <mc:Choice Requires="a14">
        <xdr:sp macro="" textlink="">
          <xdr:nvSpPr>
            <xdr:cNvPr id="37" name="TextBox 148">
              <a:extLst>
                <a:ext uri="{FF2B5EF4-FFF2-40B4-BE49-F238E27FC236}">
                  <a16:creationId xmlns:a16="http://schemas.microsoft.com/office/drawing/2014/main" id="{2A9793BE-AFC3-45FE-9862-C23B01678047}"/>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7" name="TextBox 148">
              <a:extLst>
                <a:ext uri="{FF2B5EF4-FFF2-40B4-BE49-F238E27FC236}">
                  <a16:creationId xmlns:a16="http://schemas.microsoft.com/office/drawing/2014/main" id="{2A9793BE-AFC3-45FE-9862-C23B01678047}"/>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9</xdr:col>
      <xdr:colOff>0</xdr:colOff>
      <xdr:row>637</xdr:row>
      <xdr:rowOff>0</xdr:rowOff>
    </xdr:from>
    <xdr:to>
      <xdr:col>10</xdr:col>
      <xdr:colOff>564425</xdr:colOff>
      <xdr:row>639</xdr:row>
      <xdr:rowOff>51882</xdr:rowOff>
    </xdr:to>
    <mc:AlternateContent xmlns:mc="http://schemas.openxmlformats.org/markup-compatibility/2006" xmlns:a14="http://schemas.microsoft.com/office/drawing/2010/main">
      <mc:Choice Requires="a14">
        <xdr:sp macro="" textlink="">
          <xdr:nvSpPr>
            <xdr:cNvPr id="38" name="TextBox 148">
              <a:extLst>
                <a:ext uri="{FF2B5EF4-FFF2-40B4-BE49-F238E27FC236}">
                  <a16:creationId xmlns:a16="http://schemas.microsoft.com/office/drawing/2014/main" id="{B88E26F0-A23A-4983-A3B8-09F4748E18B0}"/>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8" name="TextBox 148">
              <a:extLst>
                <a:ext uri="{FF2B5EF4-FFF2-40B4-BE49-F238E27FC236}">
                  <a16:creationId xmlns:a16="http://schemas.microsoft.com/office/drawing/2014/main" id="{B88E26F0-A23A-4983-A3B8-09F4748E18B0}"/>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9</xdr:col>
      <xdr:colOff>0</xdr:colOff>
      <xdr:row>637</xdr:row>
      <xdr:rowOff>0</xdr:rowOff>
    </xdr:from>
    <xdr:to>
      <xdr:col>10</xdr:col>
      <xdr:colOff>564425</xdr:colOff>
      <xdr:row>639</xdr:row>
      <xdr:rowOff>51882</xdr:rowOff>
    </xdr:to>
    <mc:AlternateContent xmlns:mc="http://schemas.openxmlformats.org/markup-compatibility/2006" xmlns:a14="http://schemas.microsoft.com/office/drawing/2010/main">
      <mc:Choice Requires="a14">
        <xdr:sp macro="" textlink="">
          <xdr:nvSpPr>
            <xdr:cNvPr id="39" name="TextBox 148">
              <a:extLst>
                <a:ext uri="{FF2B5EF4-FFF2-40B4-BE49-F238E27FC236}">
                  <a16:creationId xmlns:a16="http://schemas.microsoft.com/office/drawing/2014/main" id="{F86B2D1B-3E70-4B5B-ACDF-0D47E2A9EF2D}"/>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9" name="TextBox 148">
              <a:extLst>
                <a:ext uri="{FF2B5EF4-FFF2-40B4-BE49-F238E27FC236}">
                  <a16:creationId xmlns:a16="http://schemas.microsoft.com/office/drawing/2014/main" id="{F86B2D1B-3E70-4B5B-ACDF-0D47E2A9EF2D}"/>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10</xdr:col>
      <xdr:colOff>0</xdr:colOff>
      <xdr:row>637</xdr:row>
      <xdr:rowOff>0</xdr:rowOff>
    </xdr:from>
    <xdr:to>
      <xdr:col>11</xdr:col>
      <xdr:colOff>564425</xdr:colOff>
      <xdr:row>639</xdr:row>
      <xdr:rowOff>51882</xdr:rowOff>
    </xdr:to>
    <mc:AlternateContent xmlns:mc="http://schemas.openxmlformats.org/markup-compatibility/2006" xmlns:a14="http://schemas.microsoft.com/office/drawing/2010/main">
      <mc:Choice Requires="a14">
        <xdr:sp macro="" textlink="">
          <xdr:nvSpPr>
            <xdr:cNvPr id="40" name="TextBox 148">
              <a:extLst>
                <a:ext uri="{FF2B5EF4-FFF2-40B4-BE49-F238E27FC236}">
                  <a16:creationId xmlns:a16="http://schemas.microsoft.com/office/drawing/2014/main" id="{EAD44442-1DB4-410C-B10C-71E4541C2981}"/>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40" name="TextBox 148">
              <a:extLst>
                <a:ext uri="{FF2B5EF4-FFF2-40B4-BE49-F238E27FC236}">
                  <a16:creationId xmlns:a16="http://schemas.microsoft.com/office/drawing/2014/main" id="{EAD44442-1DB4-410C-B10C-71E4541C2981}"/>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10</xdr:col>
      <xdr:colOff>0</xdr:colOff>
      <xdr:row>637</xdr:row>
      <xdr:rowOff>0</xdr:rowOff>
    </xdr:from>
    <xdr:to>
      <xdr:col>11</xdr:col>
      <xdr:colOff>564425</xdr:colOff>
      <xdr:row>639</xdr:row>
      <xdr:rowOff>51882</xdr:rowOff>
    </xdr:to>
    <mc:AlternateContent xmlns:mc="http://schemas.openxmlformats.org/markup-compatibility/2006" xmlns:a14="http://schemas.microsoft.com/office/drawing/2010/main">
      <mc:Choice Requires="a14">
        <xdr:sp macro="" textlink="">
          <xdr:nvSpPr>
            <xdr:cNvPr id="41" name="TextBox 148">
              <a:extLst>
                <a:ext uri="{FF2B5EF4-FFF2-40B4-BE49-F238E27FC236}">
                  <a16:creationId xmlns:a16="http://schemas.microsoft.com/office/drawing/2014/main" id="{9C47A132-919C-49C5-B4CF-82227F7BE791}"/>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41" name="TextBox 148">
              <a:extLst>
                <a:ext uri="{FF2B5EF4-FFF2-40B4-BE49-F238E27FC236}">
                  <a16:creationId xmlns:a16="http://schemas.microsoft.com/office/drawing/2014/main" id="{9C47A132-919C-49C5-B4CF-82227F7BE791}"/>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4</xdr:col>
      <xdr:colOff>381000</xdr:colOff>
      <xdr:row>341</xdr:row>
      <xdr:rowOff>13608</xdr:rowOff>
    </xdr:from>
    <xdr:to>
      <xdr:col>4</xdr:col>
      <xdr:colOff>3125561</xdr:colOff>
      <xdr:row>342</xdr:row>
      <xdr:rowOff>23133</xdr:rowOff>
    </xdr:to>
    <xdr:pic>
      <xdr:nvPicPr>
        <xdr:cNvPr id="15" name="Picture 14">
          <a:extLst>
            <a:ext uri="{FF2B5EF4-FFF2-40B4-BE49-F238E27FC236}">
              <a16:creationId xmlns:a16="http://schemas.microsoft.com/office/drawing/2014/main" id="{BB5462C0-F134-D1BF-77BD-8D5B4204DF0B}"/>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95107" y="76553787"/>
          <a:ext cx="2744561"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421822</xdr:colOff>
      <xdr:row>343</xdr:row>
      <xdr:rowOff>176892</xdr:rowOff>
    </xdr:from>
    <xdr:to>
      <xdr:col>4</xdr:col>
      <xdr:colOff>5150304</xdr:colOff>
      <xdr:row>344</xdr:row>
      <xdr:rowOff>186417</xdr:rowOff>
    </xdr:to>
    <xdr:pic>
      <xdr:nvPicPr>
        <xdr:cNvPr id="16" name="Picture 15">
          <a:extLst>
            <a:ext uri="{FF2B5EF4-FFF2-40B4-BE49-F238E27FC236}">
              <a16:creationId xmlns:a16="http://schemas.microsoft.com/office/drawing/2014/main" id="{D6F34C54-BFF2-50F4-E210-AC1DD5FE2863}"/>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35929" y="77098071"/>
          <a:ext cx="4728482"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394608</xdr:colOff>
      <xdr:row>342</xdr:row>
      <xdr:rowOff>95251</xdr:rowOff>
    </xdr:from>
    <xdr:to>
      <xdr:col>4</xdr:col>
      <xdr:colOff>4703990</xdr:colOff>
      <xdr:row>343</xdr:row>
      <xdr:rowOff>104776</xdr:rowOff>
    </xdr:to>
    <xdr:pic>
      <xdr:nvPicPr>
        <xdr:cNvPr id="17" name="Picture 16">
          <a:extLst>
            <a:ext uri="{FF2B5EF4-FFF2-40B4-BE49-F238E27FC236}">
              <a16:creationId xmlns:a16="http://schemas.microsoft.com/office/drawing/2014/main" id="{50DBB79F-6344-9D22-6FED-B27E6D8869CF}"/>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08715" y="76825930"/>
          <a:ext cx="4309382"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6</xdr:col>
      <xdr:colOff>2269331</xdr:colOff>
      <xdr:row>44</xdr:row>
      <xdr:rowOff>0</xdr:rowOff>
    </xdr:from>
    <xdr:ext cx="65" cy="172227"/>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44</xdr:row>
      <xdr:rowOff>0</xdr:rowOff>
    </xdr:from>
    <xdr:ext cx="65" cy="172227"/>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175</xdr:row>
      <xdr:rowOff>0</xdr:rowOff>
    </xdr:from>
    <xdr:ext cx="65" cy="172227"/>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175</xdr:row>
      <xdr:rowOff>0</xdr:rowOff>
    </xdr:from>
    <xdr:ext cx="65" cy="172227"/>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175</xdr:row>
      <xdr:rowOff>0</xdr:rowOff>
    </xdr:from>
    <xdr:ext cx="65" cy="172227"/>
    <xdr:sp macro="" textlink="">
      <xdr:nvSpPr>
        <xdr:cNvPr id="27" name="TextBox 26">
          <a:extLst>
            <a:ext uri="{FF2B5EF4-FFF2-40B4-BE49-F238E27FC236}">
              <a16:creationId xmlns:a16="http://schemas.microsoft.com/office/drawing/2014/main" id="{00000000-0008-0000-0700-00001B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175</xdr:row>
      <xdr:rowOff>0</xdr:rowOff>
    </xdr:from>
    <xdr:ext cx="65" cy="172227"/>
    <xdr:sp macro="" textlink="">
      <xdr:nvSpPr>
        <xdr:cNvPr id="28" name="TextBox 27">
          <a:extLst>
            <a:ext uri="{FF2B5EF4-FFF2-40B4-BE49-F238E27FC236}">
              <a16:creationId xmlns:a16="http://schemas.microsoft.com/office/drawing/2014/main" id="{00000000-0008-0000-0700-00001C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197</xdr:row>
      <xdr:rowOff>0</xdr:rowOff>
    </xdr:from>
    <xdr:ext cx="65" cy="172227"/>
    <xdr:sp macro="" textlink="">
      <xdr:nvSpPr>
        <xdr:cNvPr id="29" name="TextBox 28">
          <a:extLst>
            <a:ext uri="{FF2B5EF4-FFF2-40B4-BE49-F238E27FC236}">
              <a16:creationId xmlns:a16="http://schemas.microsoft.com/office/drawing/2014/main" id="{00000000-0008-0000-0700-00001D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197</xdr:row>
      <xdr:rowOff>0</xdr:rowOff>
    </xdr:from>
    <xdr:ext cx="65" cy="172227"/>
    <xdr:sp macro="" textlink="">
      <xdr:nvSpPr>
        <xdr:cNvPr id="30" name="TextBox 29">
          <a:extLst>
            <a:ext uri="{FF2B5EF4-FFF2-40B4-BE49-F238E27FC236}">
              <a16:creationId xmlns:a16="http://schemas.microsoft.com/office/drawing/2014/main" id="{00000000-0008-0000-0700-00001E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248</xdr:row>
      <xdr:rowOff>0</xdr:rowOff>
    </xdr:from>
    <xdr:ext cx="65" cy="172227"/>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248</xdr:row>
      <xdr:rowOff>0</xdr:rowOff>
    </xdr:from>
    <xdr:ext cx="65" cy="172227"/>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283</xdr:row>
      <xdr:rowOff>0</xdr:rowOff>
    </xdr:from>
    <xdr:ext cx="65" cy="172227"/>
    <xdr:sp macro="" textlink="">
      <xdr:nvSpPr>
        <xdr:cNvPr id="33" name="TextBox 32">
          <a:extLst>
            <a:ext uri="{FF2B5EF4-FFF2-40B4-BE49-F238E27FC236}">
              <a16:creationId xmlns:a16="http://schemas.microsoft.com/office/drawing/2014/main" id="{00000000-0008-0000-0700-000021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283</xdr:row>
      <xdr:rowOff>0</xdr:rowOff>
    </xdr:from>
    <xdr:ext cx="65" cy="172227"/>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150</xdr:row>
      <xdr:rowOff>0</xdr:rowOff>
    </xdr:from>
    <xdr:ext cx="65" cy="172227"/>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150</xdr:row>
      <xdr:rowOff>0</xdr:rowOff>
    </xdr:from>
    <xdr:ext cx="65" cy="172227"/>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00000000-0008-0000-0700-000028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309</xdr:row>
      <xdr:rowOff>0</xdr:rowOff>
    </xdr:from>
    <xdr:ext cx="65" cy="172227"/>
    <xdr:sp macro="" textlink="">
      <xdr:nvSpPr>
        <xdr:cNvPr id="45" name="TextBox 44">
          <a:extLst>
            <a:ext uri="{FF2B5EF4-FFF2-40B4-BE49-F238E27FC236}">
              <a16:creationId xmlns:a16="http://schemas.microsoft.com/office/drawing/2014/main" id="{00000000-0008-0000-0700-00002D000000}"/>
            </a:ext>
          </a:extLst>
        </xdr:cNvPr>
        <xdr:cNvSpPr txBox="1"/>
      </xdr:nvSpPr>
      <xdr:spPr>
        <a:xfrm>
          <a:off x="32901731" y="540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309</xdr:row>
      <xdr:rowOff>0</xdr:rowOff>
    </xdr:from>
    <xdr:ext cx="65" cy="172227"/>
    <xdr:sp macro="" textlink="">
      <xdr:nvSpPr>
        <xdr:cNvPr id="49" name="TextBox 48">
          <a:extLst>
            <a:ext uri="{FF2B5EF4-FFF2-40B4-BE49-F238E27FC236}">
              <a16:creationId xmlns:a16="http://schemas.microsoft.com/office/drawing/2014/main" id="{00000000-0008-0000-0700-000031000000}"/>
            </a:ext>
          </a:extLst>
        </xdr:cNvPr>
        <xdr:cNvSpPr txBox="1"/>
      </xdr:nvSpPr>
      <xdr:spPr>
        <a:xfrm>
          <a:off x="32901731" y="540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347</xdr:row>
      <xdr:rowOff>0</xdr:rowOff>
    </xdr:from>
    <xdr:ext cx="65" cy="172227"/>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29596556"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347</xdr:row>
      <xdr:rowOff>0</xdr:rowOff>
    </xdr:from>
    <xdr:ext cx="65" cy="172227"/>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29596556"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366</xdr:row>
      <xdr:rowOff>0</xdr:rowOff>
    </xdr:from>
    <xdr:ext cx="65" cy="172227"/>
    <xdr:sp macro="" textlink="">
      <xdr:nvSpPr>
        <xdr:cNvPr id="22" name="TextBox 21">
          <a:extLst>
            <a:ext uri="{FF2B5EF4-FFF2-40B4-BE49-F238E27FC236}">
              <a16:creationId xmlns:a16="http://schemas.microsoft.com/office/drawing/2014/main" id="{00000000-0008-0000-0700-000016000000}"/>
            </a:ext>
          </a:extLst>
        </xdr:cNvPr>
        <xdr:cNvSpPr txBox="1"/>
      </xdr:nvSpPr>
      <xdr:spPr>
        <a:xfrm>
          <a:off x="29596556" y="10377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366</xdr:row>
      <xdr:rowOff>0</xdr:rowOff>
    </xdr:from>
    <xdr:ext cx="65" cy="172227"/>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29596556" y="10377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385</xdr:row>
      <xdr:rowOff>0</xdr:rowOff>
    </xdr:from>
    <xdr:ext cx="65" cy="172227"/>
    <xdr:sp macro="" textlink="">
      <xdr:nvSpPr>
        <xdr:cNvPr id="7" name="TextBox 6">
          <a:extLst>
            <a:ext uri="{FF2B5EF4-FFF2-40B4-BE49-F238E27FC236}">
              <a16:creationId xmlns:a16="http://schemas.microsoft.com/office/drawing/2014/main" id="{440D9799-D7A8-465F-93A4-34D12DAF529E}"/>
            </a:ext>
          </a:extLst>
        </xdr:cNvPr>
        <xdr:cNvSpPr txBox="1"/>
      </xdr:nvSpPr>
      <xdr:spPr>
        <a:xfrm>
          <a:off x="29596556" y="10840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385</xdr:row>
      <xdr:rowOff>0</xdr:rowOff>
    </xdr:from>
    <xdr:ext cx="65" cy="172227"/>
    <xdr:sp macro="" textlink="">
      <xdr:nvSpPr>
        <xdr:cNvPr id="8" name="TextBox 7">
          <a:extLst>
            <a:ext uri="{FF2B5EF4-FFF2-40B4-BE49-F238E27FC236}">
              <a16:creationId xmlns:a16="http://schemas.microsoft.com/office/drawing/2014/main" id="{F936C23F-01F5-4600-8B0E-A601A0981132}"/>
            </a:ext>
          </a:extLst>
        </xdr:cNvPr>
        <xdr:cNvSpPr txBox="1"/>
      </xdr:nvSpPr>
      <xdr:spPr>
        <a:xfrm>
          <a:off x="29596556" y="10840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405</xdr:row>
      <xdr:rowOff>0</xdr:rowOff>
    </xdr:from>
    <xdr:ext cx="65" cy="172227"/>
    <xdr:sp macro="" textlink="">
      <xdr:nvSpPr>
        <xdr:cNvPr id="9" name="TextBox 8">
          <a:extLst>
            <a:ext uri="{FF2B5EF4-FFF2-40B4-BE49-F238E27FC236}">
              <a16:creationId xmlns:a16="http://schemas.microsoft.com/office/drawing/2014/main" id="{AE594591-18C4-4F62-9A40-9DC01870ACAF}"/>
            </a:ext>
          </a:extLst>
        </xdr:cNvPr>
        <xdr:cNvSpPr txBox="1"/>
      </xdr:nvSpPr>
      <xdr:spPr>
        <a:xfrm>
          <a:off x="9927431" y="904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405</xdr:row>
      <xdr:rowOff>0</xdr:rowOff>
    </xdr:from>
    <xdr:ext cx="65" cy="172227"/>
    <xdr:sp macro="" textlink="">
      <xdr:nvSpPr>
        <xdr:cNvPr id="10" name="TextBox 9">
          <a:extLst>
            <a:ext uri="{FF2B5EF4-FFF2-40B4-BE49-F238E27FC236}">
              <a16:creationId xmlns:a16="http://schemas.microsoft.com/office/drawing/2014/main" id="{DADE1B96-3865-4C61-BBAB-2638F027A852}"/>
            </a:ext>
          </a:extLst>
        </xdr:cNvPr>
        <xdr:cNvSpPr txBox="1"/>
      </xdr:nvSpPr>
      <xdr:spPr>
        <a:xfrm>
          <a:off x="9927431" y="904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2269331</xdr:colOff>
      <xdr:row>39</xdr:row>
      <xdr:rowOff>0</xdr:rowOff>
    </xdr:from>
    <xdr:ext cx="65" cy="172227"/>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39</xdr:row>
      <xdr:rowOff>0</xdr:rowOff>
    </xdr:from>
    <xdr:ext cx="65" cy="172227"/>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240</xdr:row>
      <xdr:rowOff>453627</xdr:rowOff>
    </xdr:from>
    <xdr:ext cx="65" cy="172227"/>
    <xdr:sp macro="" textlink="">
      <xdr:nvSpPr>
        <xdr:cNvPr id="14" name="TextBox 13">
          <a:extLst>
            <a:ext uri="{FF2B5EF4-FFF2-40B4-BE49-F238E27FC236}">
              <a16:creationId xmlns:a16="http://schemas.microsoft.com/office/drawing/2014/main" id="{00000000-0008-0000-0800-00000E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240</xdr:row>
      <xdr:rowOff>453627</xdr:rowOff>
    </xdr:from>
    <xdr:ext cx="65" cy="172227"/>
    <xdr:sp macro="" textlink="">
      <xdr:nvSpPr>
        <xdr:cNvPr id="15" name="TextBox 14">
          <a:extLst>
            <a:ext uri="{FF2B5EF4-FFF2-40B4-BE49-F238E27FC236}">
              <a16:creationId xmlns:a16="http://schemas.microsoft.com/office/drawing/2014/main" id="{00000000-0008-0000-0800-00000F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302</xdr:row>
      <xdr:rowOff>0</xdr:rowOff>
    </xdr:from>
    <xdr:ext cx="65" cy="172227"/>
    <xdr:sp macro="" textlink="">
      <xdr:nvSpPr>
        <xdr:cNvPr id="28" name="TextBox 27">
          <a:extLst>
            <a:ext uri="{FF2B5EF4-FFF2-40B4-BE49-F238E27FC236}">
              <a16:creationId xmlns:a16="http://schemas.microsoft.com/office/drawing/2014/main" id="{00000000-0008-0000-0800-00001C000000}"/>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302</xdr:row>
      <xdr:rowOff>0</xdr:rowOff>
    </xdr:from>
    <xdr:ext cx="65" cy="172227"/>
    <xdr:sp macro="" textlink="">
      <xdr:nvSpPr>
        <xdr:cNvPr id="29" name="TextBox 28">
          <a:extLst>
            <a:ext uri="{FF2B5EF4-FFF2-40B4-BE49-F238E27FC236}">
              <a16:creationId xmlns:a16="http://schemas.microsoft.com/office/drawing/2014/main" id="{00000000-0008-0000-0800-00001D000000}"/>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327</xdr:row>
      <xdr:rowOff>0</xdr:rowOff>
    </xdr:from>
    <xdr:ext cx="65" cy="172227"/>
    <xdr:sp macro="" textlink="">
      <xdr:nvSpPr>
        <xdr:cNvPr id="4" name="TextBox 3">
          <a:extLst>
            <a:ext uri="{FF2B5EF4-FFF2-40B4-BE49-F238E27FC236}">
              <a16:creationId xmlns:a16="http://schemas.microsoft.com/office/drawing/2014/main" id="{512A0AEE-0264-419B-A7C3-D5E96B7FEF2C}"/>
            </a:ext>
          </a:extLst>
        </xdr:cNvPr>
        <xdr:cNvSpPr txBox="1"/>
      </xdr:nvSpPr>
      <xdr:spPr>
        <a:xfrm>
          <a:off x="29596556" y="116309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327</xdr:row>
      <xdr:rowOff>0</xdr:rowOff>
    </xdr:from>
    <xdr:ext cx="65" cy="172227"/>
    <xdr:sp macro="" textlink="">
      <xdr:nvSpPr>
        <xdr:cNvPr id="5" name="TextBox 4">
          <a:extLst>
            <a:ext uri="{FF2B5EF4-FFF2-40B4-BE49-F238E27FC236}">
              <a16:creationId xmlns:a16="http://schemas.microsoft.com/office/drawing/2014/main" id="{9B21F813-77E2-40A1-A723-6B58AC2A42AB}"/>
            </a:ext>
          </a:extLst>
        </xdr:cNvPr>
        <xdr:cNvSpPr txBox="1"/>
      </xdr:nvSpPr>
      <xdr:spPr>
        <a:xfrm>
          <a:off x="29596556" y="116309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4470</xdr:row>
      <xdr:rowOff>0</xdr:rowOff>
    </xdr:from>
    <xdr:ext cx="65" cy="172227"/>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4470</xdr:row>
      <xdr:rowOff>0</xdr:rowOff>
    </xdr:from>
    <xdr:ext cx="65" cy="172227"/>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4470</xdr:row>
      <xdr:rowOff>0</xdr:rowOff>
    </xdr:from>
    <xdr:ext cx="65" cy="172227"/>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4470</xdr:row>
      <xdr:rowOff>0</xdr:rowOff>
    </xdr:from>
    <xdr:ext cx="65" cy="172227"/>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4470</xdr:row>
      <xdr:rowOff>0</xdr:rowOff>
    </xdr:from>
    <xdr:ext cx="65" cy="172227"/>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4470</xdr:row>
      <xdr:rowOff>0</xdr:rowOff>
    </xdr:from>
    <xdr:ext cx="65" cy="172227"/>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4523</xdr:row>
      <xdr:rowOff>0</xdr:rowOff>
    </xdr:from>
    <xdr:ext cx="65" cy="172227"/>
    <xdr:sp macro="" textlink="">
      <xdr:nvSpPr>
        <xdr:cNvPr id="40" name="TextBox 39">
          <a:extLst>
            <a:ext uri="{FF2B5EF4-FFF2-40B4-BE49-F238E27FC236}">
              <a16:creationId xmlns:a16="http://schemas.microsoft.com/office/drawing/2014/main" id="{00000000-0008-0000-0900-000028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4523</xdr:row>
      <xdr:rowOff>0</xdr:rowOff>
    </xdr:from>
    <xdr:ext cx="65" cy="172227"/>
    <xdr:sp macro="" textlink="">
      <xdr:nvSpPr>
        <xdr:cNvPr id="43" name="TextBox 42">
          <a:extLst>
            <a:ext uri="{FF2B5EF4-FFF2-40B4-BE49-F238E27FC236}">
              <a16:creationId xmlns:a16="http://schemas.microsoft.com/office/drawing/2014/main" id="{00000000-0008-0000-0900-00002B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4523</xdr:row>
      <xdr:rowOff>0</xdr:rowOff>
    </xdr:from>
    <xdr:ext cx="65" cy="172227"/>
    <xdr:sp macro="" textlink="">
      <xdr:nvSpPr>
        <xdr:cNvPr id="44" name="TextBox 43">
          <a:extLst>
            <a:ext uri="{FF2B5EF4-FFF2-40B4-BE49-F238E27FC236}">
              <a16:creationId xmlns:a16="http://schemas.microsoft.com/office/drawing/2014/main" id="{00000000-0008-0000-0900-00002C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4523</xdr:row>
      <xdr:rowOff>0</xdr:rowOff>
    </xdr:from>
    <xdr:ext cx="65" cy="172227"/>
    <xdr:sp macro="" textlink="">
      <xdr:nvSpPr>
        <xdr:cNvPr id="45" name="TextBox 44">
          <a:extLst>
            <a:ext uri="{FF2B5EF4-FFF2-40B4-BE49-F238E27FC236}">
              <a16:creationId xmlns:a16="http://schemas.microsoft.com/office/drawing/2014/main" id="{00000000-0008-0000-0900-00002D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4523</xdr:row>
      <xdr:rowOff>0</xdr:rowOff>
    </xdr:from>
    <xdr:ext cx="65" cy="172227"/>
    <xdr:sp macro="" textlink="">
      <xdr:nvSpPr>
        <xdr:cNvPr id="46" name="TextBox 45">
          <a:extLst>
            <a:ext uri="{FF2B5EF4-FFF2-40B4-BE49-F238E27FC236}">
              <a16:creationId xmlns:a16="http://schemas.microsoft.com/office/drawing/2014/main" id="{00000000-0008-0000-0900-00002E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4523</xdr:row>
      <xdr:rowOff>0</xdr:rowOff>
    </xdr:from>
    <xdr:ext cx="65" cy="172227"/>
    <xdr:sp macro="" textlink="">
      <xdr:nvSpPr>
        <xdr:cNvPr id="47" name="TextBox 46">
          <a:extLst>
            <a:ext uri="{FF2B5EF4-FFF2-40B4-BE49-F238E27FC236}">
              <a16:creationId xmlns:a16="http://schemas.microsoft.com/office/drawing/2014/main" id="{00000000-0008-0000-0900-00002F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4507</xdr:row>
      <xdr:rowOff>0</xdr:rowOff>
    </xdr:from>
    <xdr:ext cx="65" cy="172227"/>
    <xdr:sp macro="" textlink="">
      <xdr:nvSpPr>
        <xdr:cNvPr id="48" name="TextBox 47">
          <a:extLst>
            <a:ext uri="{FF2B5EF4-FFF2-40B4-BE49-F238E27FC236}">
              <a16:creationId xmlns:a16="http://schemas.microsoft.com/office/drawing/2014/main" id="{00000000-0008-0000-0900-000030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4507</xdr:row>
      <xdr:rowOff>0</xdr:rowOff>
    </xdr:from>
    <xdr:ext cx="65" cy="172227"/>
    <xdr:sp macro="" textlink="">
      <xdr:nvSpPr>
        <xdr:cNvPr id="49" name="TextBox 48">
          <a:extLst>
            <a:ext uri="{FF2B5EF4-FFF2-40B4-BE49-F238E27FC236}">
              <a16:creationId xmlns:a16="http://schemas.microsoft.com/office/drawing/2014/main" id="{00000000-0008-0000-0900-000031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4507</xdr:row>
      <xdr:rowOff>0</xdr:rowOff>
    </xdr:from>
    <xdr:ext cx="65" cy="172227"/>
    <xdr:sp macro="" textlink="">
      <xdr:nvSpPr>
        <xdr:cNvPr id="50" name="TextBox 49">
          <a:extLst>
            <a:ext uri="{FF2B5EF4-FFF2-40B4-BE49-F238E27FC236}">
              <a16:creationId xmlns:a16="http://schemas.microsoft.com/office/drawing/2014/main" id="{00000000-0008-0000-0900-000032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4507</xdr:row>
      <xdr:rowOff>0</xdr:rowOff>
    </xdr:from>
    <xdr:ext cx="65" cy="172227"/>
    <xdr:sp macro="" textlink="">
      <xdr:nvSpPr>
        <xdr:cNvPr id="51" name="TextBox 50">
          <a:extLst>
            <a:ext uri="{FF2B5EF4-FFF2-40B4-BE49-F238E27FC236}">
              <a16:creationId xmlns:a16="http://schemas.microsoft.com/office/drawing/2014/main" id="{00000000-0008-0000-0900-000033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4507</xdr:row>
      <xdr:rowOff>0</xdr:rowOff>
    </xdr:from>
    <xdr:ext cx="65" cy="172227"/>
    <xdr:sp macro="" textlink="">
      <xdr:nvSpPr>
        <xdr:cNvPr id="52" name="TextBox 51">
          <a:extLst>
            <a:ext uri="{FF2B5EF4-FFF2-40B4-BE49-F238E27FC236}">
              <a16:creationId xmlns:a16="http://schemas.microsoft.com/office/drawing/2014/main" id="{00000000-0008-0000-0900-000034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4507</xdr:row>
      <xdr:rowOff>0</xdr:rowOff>
    </xdr:from>
    <xdr:ext cx="65" cy="172227"/>
    <xdr:sp macro="" textlink="">
      <xdr:nvSpPr>
        <xdr:cNvPr id="53" name="TextBox 52">
          <a:extLst>
            <a:ext uri="{FF2B5EF4-FFF2-40B4-BE49-F238E27FC236}">
              <a16:creationId xmlns:a16="http://schemas.microsoft.com/office/drawing/2014/main" id="{00000000-0008-0000-0900-000035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4547</xdr:row>
      <xdr:rowOff>0</xdr:rowOff>
    </xdr:from>
    <xdr:ext cx="65" cy="172227"/>
    <xdr:sp macro="" textlink="">
      <xdr:nvSpPr>
        <xdr:cNvPr id="54" name="TextBox 53">
          <a:extLst>
            <a:ext uri="{FF2B5EF4-FFF2-40B4-BE49-F238E27FC236}">
              <a16:creationId xmlns:a16="http://schemas.microsoft.com/office/drawing/2014/main" id="{00000000-0008-0000-0900-000036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4547</xdr:row>
      <xdr:rowOff>0</xdr:rowOff>
    </xdr:from>
    <xdr:ext cx="65" cy="172227"/>
    <xdr:sp macro="" textlink="">
      <xdr:nvSpPr>
        <xdr:cNvPr id="55" name="TextBox 54">
          <a:extLst>
            <a:ext uri="{FF2B5EF4-FFF2-40B4-BE49-F238E27FC236}">
              <a16:creationId xmlns:a16="http://schemas.microsoft.com/office/drawing/2014/main" id="{00000000-0008-0000-0900-000037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4547</xdr:row>
      <xdr:rowOff>0</xdr:rowOff>
    </xdr:from>
    <xdr:ext cx="65" cy="172227"/>
    <xdr:sp macro="" textlink="">
      <xdr:nvSpPr>
        <xdr:cNvPr id="56" name="TextBox 55">
          <a:extLst>
            <a:ext uri="{FF2B5EF4-FFF2-40B4-BE49-F238E27FC236}">
              <a16:creationId xmlns:a16="http://schemas.microsoft.com/office/drawing/2014/main" id="{00000000-0008-0000-0900-000038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4547</xdr:row>
      <xdr:rowOff>0</xdr:rowOff>
    </xdr:from>
    <xdr:ext cx="65" cy="172227"/>
    <xdr:sp macro="" textlink="">
      <xdr:nvSpPr>
        <xdr:cNvPr id="57" name="TextBox 56">
          <a:extLst>
            <a:ext uri="{FF2B5EF4-FFF2-40B4-BE49-F238E27FC236}">
              <a16:creationId xmlns:a16="http://schemas.microsoft.com/office/drawing/2014/main" id="{00000000-0008-0000-0900-000039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4547</xdr:row>
      <xdr:rowOff>0</xdr:rowOff>
    </xdr:from>
    <xdr:ext cx="65" cy="172227"/>
    <xdr:sp macro="" textlink="">
      <xdr:nvSpPr>
        <xdr:cNvPr id="58" name="TextBox 57">
          <a:extLst>
            <a:ext uri="{FF2B5EF4-FFF2-40B4-BE49-F238E27FC236}">
              <a16:creationId xmlns:a16="http://schemas.microsoft.com/office/drawing/2014/main" id="{00000000-0008-0000-0900-00003A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4547</xdr:row>
      <xdr:rowOff>0</xdr:rowOff>
    </xdr:from>
    <xdr:ext cx="65" cy="172227"/>
    <xdr:sp macro="" textlink="">
      <xdr:nvSpPr>
        <xdr:cNvPr id="59" name="TextBox 58">
          <a:extLst>
            <a:ext uri="{FF2B5EF4-FFF2-40B4-BE49-F238E27FC236}">
              <a16:creationId xmlns:a16="http://schemas.microsoft.com/office/drawing/2014/main" id="{00000000-0008-0000-0900-00003B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4613</xdr:row>
      <xdr:rowOff>0</xdr:rowOff>
    </xdr:from>
    <xdr:ext cx="65" cy="172227"/>
    <xdr:sp macro="" textlink="">
      <xdr:nvSpPr>
        <xdr:cNvPr id="60" name="TextBox 59">
          <a:extLst>
            <a:ext uri="{FF2B5EF4-FFF2-40B4-BE49-F238E27FC236}">
              <a16:creationId xmlns:a16="http://schemas.microsoft.com/office/drawing/2014/main" id="{00000000-0008-0000-0900-00003C000000}"/>
            </a:ext>
          </a:extLst>
        </xdr:cNvPr>
        <xdr:cNvSpPr txBox="1"/>
      </xdr:nvSpPr>
      <xdr:spPr>
        <a:xfrm>
          <a:off x="1189910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4613</xdr:row>
      <xdr:rowOff>0</xdr:rowOff>
    </xdr:from>
    <xdr:ext cx="65" cy="172227"/>
    <xdr:sp macro="" textlink="">
      <xdr:nvSpPr>
        <xdr:cNvPr id="61" name="TextBox 60">
          <a:extLst>
            <a:ext uri="{FF2B5EF4-FFF2-40B4-BE49-F238E27FC236}">
              <a16:creationId xmlns:a16="http://schemas.microsoft.com/office/drawing/2014/main" id="{00000000-0008-0000-0900-00003D000000}"/>
            </a:ext>
          </a:extLst>
        </xdr:cNvPr>
        <xdr:cNvSpPr txBox="1"/>
      </xdr:nvSpPr>
      <xdr:spPr>
        <a:xfrm>
          <a:off x="1189910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4613</xdr:row>
      <xdr:rowOff>0</xdr:rowOff>
    </xdr:from>
    <xdr:ext cx="65" cy="172227"/>
    <xdr:sp macro="" textlink="">
      <xdr:nvSpPr>
        <xdr:cNvPr id="62" name="TextBox 61">
          <a:extLst>
            <a:ext uri="{FF2B5EF4-FFF2-40B4-BE49-F238E27FC236}">
              <a16:creationId xmlns:a16="http://schemas.microsoft.com/office/drawing/2014/main" id="{00000000-0008-0000-0900-00003E000000}"/>
            </a:ext>
          </a:extLst>
        </xdr:cNvPr>
        <xdr:cNvSpPr txBox="1"/>
      </xdr:nvSpPr>
      <xdr:spPr>
        <a:xfrm>
          <a:off x="2959655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4613</xdr:row>
      <xdr:rowOff>0</xdr:rowOff>
    </xdr:from>
    <xdr:ext cx="65" cy="172227"/>
    <xdr:sp macro="" textlink="">
      <xdr:nvSpPr>
        <xdr:cNvPr id="63" name="TextBox 62">
          <a:extLst>
            <a:ext uri="{FF2B5EF4-FFF2-40B4-BE49-F238E27FC236}">
              <a16:creationId xmlns:a16="http://schemas.microsoft.com/office/drawing/2014/main" id="{00000000-0008-0000-0900-00003F000000}"/>
            </a:ext>
          </a:extLst>
        </xdr:cNvPr>
        <xdr:cNvSpPr txBox="1"/>
      </xdr:nvSpPr>
      <xdr:spPr>
        <a:xfrm>
          <a:off x="2959655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84523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14</xdr:col>
      <xdr:colOff>2381</xdr:colOff>
      <xdr:row>637</xdr:row>
      <xdr:rowOff>0</xdr:rowOff>
    </xdr:from>
    <xdr:ext cx="65" cy="172227"/>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20157281"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14</xdr:col>
      <xdr:colOff>2381</xdr:colOff>
      <xdr:row>637</xdr:row>
      <xdr:rowOff>0</xdr:rowOff>
    </xdr:from>
    <xdr:ext cx="65" cy="172227"/>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20157281"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00000000-0008-0000-0A00-00000F000000}"/>
            </a:ext>
          </a:extLst>
        </xdr:cNvPr>
        <xdr:cNvSpPr txBox="1"/>
      </xdr:nvSpPr>
      <xdr:spPr>
        <a:xfrm>
          <a:off x="1845750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2381</xdr:colOff>
      <xdr:row>637</xdr:row>
      <xdr:rowOff>0</xdr:rowOff>
    </xdr:from>
    <xdr:ext cx="65" cy="172227"/>
    <xdr:sp macro="" textlink="">
      <xdr:nvSpPr>
        <xdr:cNvPr id="16" name="TextBox 15">
          <a:extLst>
            <a:ext uri="{FF2B5EF4-FFF2-40B4-BE49-F238E27FC236}">
              <a16:creationId xmlns:a16="http://schemas.microsoft.com/office/drawing/2014/main" id="{00000000-0008-0000-0A00-000010000000}"/>
            </a:ext>
          </a:extLst>
        </xdr:cNvPr>
        <xdr:cNvSpPr txBox="1"/>
      </xdr:nvSpPr>
      <xdr:spPr>
        <a:xfrm>
          <a:off x="14013656"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2381</xdr:colOff>
      <xdr:row>637</xdr:row>
      <xdr:rowOff>0</xdr:rowOff>
    </xdr:from>
    <xdr:ext cx="65" cy="172227"/>
    <xdr:sp macro="" textlink="">
      <xdr:nvSpPr>
        <xdr:cNvPr id="17" name="TextBox 16">
          <a:extLst>
            <a:ext uri="{FF2B5EF4-FFF2-40B4-BE49-F238E27FC236}">
              <a16:creationId xmlns:a16="http://schemas.microsoft.com/office/drawing/2014/main" id="{00000000-0008-0000-0A00-000011000000}"/>
            </a:ext>
          </a:extLst>
        </xdr:cNvPr>
        <xdr:cNvSpPr txBox="1"/>
      </xdr:nvSpPr>
      <xdr:spPr>
        <a:xfrm>
          <a:off x="14013656"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00000000-0008-0000-0A00-00001E000000}"/>
            </a:ext>
          </a:extLst>
        </xdr:cNvPr>
        <xdr:cNvSpPr txBox="1"/>
      </xdr:nvSpPr>
      <xdr:spPr>
        <a:xfrm>
          <a:off x="18452306" y="1047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4521269</xdr:colOff>
      <xdr:row>67</xdr:row>
      <xdr:rowOff>0</xdr:rowOff>
    </xdr:from>
    <xdr:to>
      <xdr:col>6</xdr:col>
      <xdr:colOff>135763</xdr:colOff>
      <xdr:row>67</xdr:row>
      <xdr:rowOff>0</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A00-000021000000}"/>
                </a:ext>
              </a:extLst>
            </xdr:cNvPr>
            <xdr:cNvSpPr txBox="1"/>
          </xdr:nvSpPr>
          <xdr:spPr>
            <a:xfrm>
              <a:off x="8093144" y="6810375"/>
              <a:ext cx="303446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𝑘𝑊∗𝐶𝐹</a:t>
              </a:r>
              <a:endParaRPr lang="en-US" sz="1400"/>
            </a:p>
          </xdr:txBody>
        </xdr:sp>
      </mc:Fallback>
    </mc:AlternateContent>
    <xdr:clientData/>
  </xdr:twoCellAnchor>
  <xdr:twoCellAnchor>
    <xdr:from>
      <xdr:col>4</xdr:col>
      <xdr:colOff>4448094</xdr:colOff>
      <xdr:row>67</xdr:row>
      <xdr:rowOff>0</xdr:rowOff>
    </xdr:from>
    <xdr:to>
      <xdr:col>6</xdr:col>
      <xdr:colOff>324774</xdr:colOff>
      <xdr:row>67</xdr:row>
      <xdr:rowOff>0</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A00-000022000000}"/>
                </a:ext>
              </a:extLst>
            </xdr:cNvPr>
            <xdr:cNvSpPr txBox="1"/>
          </xdr:nvSpPr>
          <xdr:spPr>
            <a:xfrm>
              <a:off x="8019969" y="6810375"/>
              <a:ext cx="32966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𝐷𝑒𝑓𝑎𝑢𝑙𝑡</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𝑇ℎ𝑒𝑟𝑚𝑠=𝐷𝑒𝑓𝑎𝑢𝑙𝑡∗𝑆𝑞𝐹𝑡</a:t>
              </a:r>
              <a:endParaRPr lang="en-US" sz="1400">
                <a:solidFill>
                  <a:sysClr val="windowText" lastClr="000000"/>
                </a:solidFill>
              </a:endParaRPr>
            </a:p>
          </xdr:txBody>
        </xdr:sp>
      </mc:Fallback>
    </mc:AlternateContent>
    <xdr:clientData/>
  </xdr:twoCellAnchor>
  <xdr:twoCellAnchor>
    <xdr:from>
      <xdr:col>6</xdr:col>
      <xdr:colOff>398771</xdr:colOff>
      <xdr:row>451</xdr:row>
      <xdr:rowOff>0</xdr:rowOff>
    </xdr:from>
    <xdr:to>
      <xdr:col>15</xdr:col>
      <xdr:colOff>0</xdr:colOff>
      <xdr:row>451</xdr:row>
      <xdr:rowOff>0</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A00-000027000000}"/>
                </a:ext>
              </a:extLst>
            </xdr:cNvPr>
            <xdr:cNvSpPr txBox="1"/>
          </xdr:nvSpPr>
          <xdr:spPr>
            <a:xfrm>
              <a:off x="11390621" y="29165550"/>
              <a:ext cx="951675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1400962" y="90623571"/>
              <a:ext cx="9200252" cy="1024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4</xdr:col>
      <xdr:colOff>3254</xdr:colOff>
      <xdr:row>451</xdr:row>
      <xdr:rowOff>0</xdr:rowOff>
    </xdr:from>
    <xdr:to>
      <xdr:col>4</xdr:col>
      <xdr:colOff>2739839</xdr:colOff>
      <xdr:row>451</xdr:row>
      <xdr:rowOff>0</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A00-000028000000}"/>
                </a:ext>
              </a:extLst>
            </xdr:cNvPr>
            <xdr:cNvSpPr txBox="1"/>
          </xdr:nvSpPr>
          <xdr:spPr>
            <a:xfrm>
              <a:off x="3575129" y="29165550"/>
              <a:ext cx="27365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0" name="TextBox 39">
              <a:extLst>
                <a:ext uri="{FF2B5EF4-FFF2-40B4-BE49-F238E27FC236}">
                  <a16:creationId xmlns:a16="http://schemas.microsoft.com/office/drawing/2014/main" id="{00000000-0008-0000-0700-000028000000}"/>
                </a:ext>
              </a:extLst>
            </xdr:cNvPr>
            <xdr:cNvSpPr txBox="1"/>
          </xdr:nvSpPr>
          <xdr:spPr>
            <a:xfrm>
              <a:off x="3578123" y="91563327"/>
              <a:ext cx="2740395" cy="2906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784315</xdr:colOff>
      <xdr:row>486</xdr:row>
      <xdr:rowOff>0</xdr:rowOff>
    </xdr:from>
    <xdr:to>
      <xdr:col>14</xdr:col>
      <xdr:colOff>1631</xdr:colOff>
      <xdr:row>486</xdr:row>
      <xdr:rowOff>0</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A00-000029000000}"/>
                </a:ext>
              </a:extLst>
            </xdr:cNvPr>
            <xdr:cNvSpPr txBox="1"/>
          </xdr:nvSpPr>
          <xdr:spPr>
            <a:xfrm>
              <a:off x="4356190" y="30794325"/>
              <a:ext cx="158003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4368709" y="99733826"/>
              <a:ext cx="15484111" cy="3281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4</xdr:col>
      <xdr:colOff>777901</xdr:colOff>
      <xdr:row>486</xdr:row>
      <xdr:rowOff>0</xdr:rowOff>
    </xdr:from>
    <xdr:to>
      <xdr:col>14</xdr:col>
      <xdr:colOff>0</xdr:colOff>
      <xdr:row>486</xdr:row>
      <xdr:rowOff>0</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00000000-0008-0000-0A00-00002A000000}"/>
                </a:ext>
              </a:extLst>
            </xdr:cNvPr>
            <xdr:cNvSpPr txBox="1"/>
          </xdr:nvSpPr>
          <xdr:spPr>
            <a:xfrm>
              <a:off x="4349776" y="30794325"/>
              <a:ext cx="158051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4350865" y="99379299"/>
              <a:ext cx="15501956" cy="3474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7</xdr:col>
      <xdr:colOff>401494</xdr:colOff>
      <xdr:row>516</xdr:row>
      <xdr:rowOff>0</xdr:rowOff>
    </xdr:from>
    <xdr:to>
      <xdr:col>12</xdr:col>
      <xdr:colOff>0</xdr:colOff>
      <xdr:row>516</xdr:row>
      <xdr:rowOff>0</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A00-00002C000000}"/>
                </a:ext>
              </a:extLst>
            </xdr:cNvPr>
            <xdr:cNvSpPr txBox="1"/>
          </xdr:nvSpPr>
          <xdr:spPr>
            <a:xfrm>
              <a:off x="12869719" y="32461200"/>
              <a:ext cx="5361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00000000-0008-0000-0700-00002C000000}"/>
                </a:ext>
              </a:extLst>
            </xdr:cNvPr>
            <xdr:cNvSpPr txBox="1"/>
          </xdr:nvSpPr>
          <xdr:spPr>
            <a:xfrm>
              <a:off x="12772564" y="109545119"/>
              <a:ext cx="5148043" cy="84825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95251</xdr:colOff>
      <xdr:row>516</xdr:row>
      <xdr:rowOff>0</xdr:rowOff>
    </xdr:from>
    <xdr:to>
      <xdr:col>12</xdr:col>
      <xdr:colOff>272</xdr:colOff>
      <xdr:row>516</xdr:row>
      <xdr:rowOff>0</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A00-00002E000000}"/>
                </a:ext>
              </a:extLst>
            </xdr:cNvPr>
            <xdr:cNvSpPr txBox="1"/>
          </xdr:nvSpPr>
          <xdr:spPr>
            <a:xfrm>
              <a:off x="3667126" y="32461200"/>
              <a:ext cx="145639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𝐻𝑒𝑎𝑡𝑖𝑛𝑔𝐸𝑙𝑒𝑐𝑡𝑟𝑖𝑐</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𝐻𝑒𝑎𝑡𝑖𝑛𝑔𝐺𝑎𝑠</m:t>
                        </m:r>
                      </m:sub>
                    </m:sSub>
                  </m:oMath>
                </m:oMathPara>
              </a14:m>
              <a:endParaRPr lang="en-US" sz="140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3673930" y="108380893"/>
              <a:ext cx="14244772" cy="346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𝑘𝑊ℎ_𝐻𝑒𝑎𝑡𝑖𝑛𝑔𝐸𝑙𝑒𝑐𝑡𝑟𝑖𝑐+Δ𝑘𝑊ℎ_𝐻𝑒𝑎𝑡𝑖𝑛𝑔𝐺𝑎𝑠</a:t>
              </a:r>
              <a:endParaRPr lang="en-US" sz="1400">
                <a:solidFill>
                  <a:sysClr val="windowText" lastClr="000000"/>
                </a:solidFill>
              </a:endParaRPr>
            </a:p>
          </xdr:txBody>
        </xdr:sp>
      </mc:Fallback>
    </mc:AlternateContent>
    <xdr:clientData/>
  </xdr:twoCellAnchor>
  <xdr:twoCellAnchor>
    <xdr:from>
      <xdr:col>8</xdr:col>
      <xdr:colOff>2381</xdr:colOff>
      <xdr:row>637</xdr:row>
      <xdr:rowOff>0</xdr:rowOff>
    </xdr:from>
    <xdr:to>
      <xdr:col>8</xdr:col>
      <xdr:colOff>3567</xdr:colOff>
      <xdr:row>637</xdr:row>
      <xdr:rowOff>172227</xdr:rowOff>
    </xdr:to>
    <xdr:sp macro="" textlink="">
      <xdr:nvSpPr>
        <xdr:cNvPr id="49" name="TextBox 48">
          <a:extLst>
            <a:ext uri="{FF2B5EF4-FFF2-40B4-BE49-F238E27FC236}">
              <a16:creationId xmlns:a16="http://schemas.microsoft.com/office/drawing/2014/main" id="{00000000-0008-0000-0A00-000031000000}"/>
            </a:ext>
          </a:extLst>
        </xdr:cNvPr>
        <xdr:cNvSpPr txBox="1"/>
      </xdr:nvSpPr>
      <xdr:spPr>
        <a:xfrm>
          <a:off x="14013656" y="39233475"/>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8</xdr:col>
      <xdr:colOff>2381</xdr:colOff>
      <xdr:row>637</xdr:row>
      <xdr:rowOff>0</xdr:rowOff>
    </xdr:from>
    <xdr:to>
      <xdr:col>8</xdr:col>
      <xdr:colOff>3567</xdr:colOff>
      <xdr:row>637</xdr:row>
      <xdr:rowOff>172227</xdr:rowOff>
    </xdr:to>
    <xdr:sp macro="" textlink="">
      <xdr:nvSpPr>
        <xdr:cNvPr id="50" name="TextBox 49">
          <a:extLst>
            <a:ext uri="{FF2B5EF4-FFF2-40B4-BE49-F238E27FC236}">
              <a16:creationId xmlns:a16="http://schemas.microsoft.com/office/drawing/2014/main" id="{00000000-0008-0000-0A00-000032000000}"/>
            </a:ext>
          </a:extLst>
        </xdr:cNvPr>
        <xdr:cNvSpPr txBox="1"/>
      </xdr:nvSpPr>
      <xdr:spPr>
        <a:xfrm>
          <a:off x="14013656" y="39233475"/>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00000000-0008-0000-0A00-00003F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00000000-0008-0000-0A00-000040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480</xdr:row>
      <xdr:rowOff>0</xdr:rowOff>
    </xdr:from>
    <xdr:ext cx="65" cy="172227"/>
    <xdr:sp macro="" textlink="">
      <xdr:nvSpPr>
        <xdr:cNvPr id="65" name="TextBox 64">
          <a:extLst>
            <a:ext uri="{FF2B5EF4-FFF2-40B4-BE49-F238E27FC236}">
              <a16:creationId xmlns:a16="http://schemas.microsoft.com/office/drawing/2014/main" id="{00000000-0008-0000-0A00-000041000000}"/>
            </a:ext>
          </a:extLst>
        </xdr:cNvPr>
        <xdr:cNvSpPr txBox="1"/>
      </xdr:nvSpPr>
      <xdr:spPr>
        <a:xfrm>
          <a:off x="34176176" y="2952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480</xdr:row>
      <xdr:rowOff>0</xdr:rowOff>
    </xdr:from>
    <xdr:ext cx="65" cy="172227"/>
    <xdr:sp macro="" textlink="">
      <xdr:nvSpPr>
        <xdr:cNvPr id="66" name="TextBox 65">
          <a:extLst>
            <a:ext uri="{FF2B5EF4-FFF2-40B4-BE49-F238E27FC236}">
              <a16:creationId xmlns:a16="http://schemas.microsoft.com/office/drawing/2014/main" id="{00000000-0008-0000-0A00-000042000000}"/>
            </a:ext>
          </a:extLst>
        </xdr:cNvPr>
        <xdr:cNvSpPr txBox="1"/>
      </xdr:nvSpPr>
      <xdr:spPr>
        <a:xfrm>
          <a:off x="34176176" y="2952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709</xdr:row>
      <xdr:rowOff>0</xdr:rowOff>
    </xdr:from>
    <xdr:ext cx="65" cy="172227"/>
    <xdr:sp macro="" textlink="">
      <xdr:nvSpPr>
        <xdr:cNvPr id="67" name="TextBox 66">
          <a:extLst>
            <a:ext uri="{FF2B5EF4-FFF2-40B4-BE49-F238E27FC236}">
              <a16:creationId xmlns:a16="http://schemas.microsoft.com/office/drawing/2014/main" id="{00000000-0008-0000-0A00-000043000000}"/>
            </a:ext>
          </a:extLst>
        </xdr:cNvPr>
        <xdr:cNvSpPr txBox="1"/>
      </xdr:nvSpPr>
      <xdr:spPr>
        <a:xfrm>
          <a:off x="34176176" y="45281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709</xdr:row>
      <xdr:rowOff>0</xdr:rowOff>
    </xdr:from>
    <xdr:ext cx="65" cy="172227"/>
    <xdr:sp macro="" textlink="">
      <xdr:nvSpPr>
        <xdr:cNvPr id="68" name="TextBox 67">
          <a:extLst>
            <a:ext uri="{FF2B5EF4-FFF2-40B4-BE49-F238E27FC236}">
              <a16:creationId xmlns:a16="http://schemas.microsoft.com/office/drawing/2014/main" id="{00000000-0008-0000-0A00-000044000000}"/>
            </a:ext>
          </a:extLst>
        </xdr:cNvPr>
        <xdr:cNvSpPr txBox="1"/>
      </xdr:nvSpPr>
      <xdr:spPr>
        <a:xfrm>
          <a:off x="34176176" y="45281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788</xdr:row>
      <xdr:rowOff>0</xdr:rowOff>
    </xdr:from>
    <xdr:ext cx="65" cy="172227"/>
    <xdr:sp macro="" textlink="">
      <xdr:nvSpPr>
        <xdr:cNvPr id="69" name="TextBox 68">
          <a:extLst>
            <a:ext uri="{FF2B5EF4-FFF2-40B4-BE49-F238E27FC236}">
              <a16:creationId xmlns:a16="http://schemas.microsoft.com/office/drawing/2014/main" id="{00000000-0008-0000-0A00-000045000000}"/>
            </a:ext>
          </a:extLst>
        </xdr:cNvPr>
        <xdr:cNvSpPr txBox="1"/>
      </xdr:nvSpPr>
      <xdr:spPr>
        <a:xfrm>
          <a:off x="34179314" y="48977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788</xdr:row>
      <xdr:rowOff>0</xdr:rowOff>
    </xdr:from>
    <xdr:ext cx="65" cy="172227"/>
    <xdr:sp macro="" textlink="">
      <xdr:nvSpPr>
        <xdr:cNvPr id="70" name="TextBox 69">
          <a:extLst>
            <a:ext uri="{FF2B5EF4-FFF2-40B4-BE49-F238E27FC236}">
              <a16:creationId xmlns:a16="http://schemas.microsoft.com/office/drawing/2014/main" id="{00000000-0008-0000-0A00-000046000000}"/>
            </a:ext>
          </a:extLst>
        </xdr:cNvPr>
        <xdr:cNvSpPr txBox="1"/>
      </xdr:nvSpPr>
      <xdr:spPr>
        <a:xfrm>
          <a:off x="34179314" y="48977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833</xdr:row>
      <xdr:rowOff>0</xdr:rowOff>
    </xdr:from>
    <xdr:ext cx="65" cy="172227"/>
    <xdr:sp macro="" textlink="">
      <xdr:nvSpPr>
        <xdr:cNvPr id="71" name="TextBox 70">
          <a:extLst>
            <a:ext uri="{FF2B5EF4-FFF2-40B4-BE49-F238E27FC236}">
              <a16:creationId xmlns:a16="http://schemas.microsoft.com/office/drawing/2014/main" id="{00000000-0008-0000-0A00-000047000000}"/>
            </a:ext>
          </a:extLst>
        </xdr:cNvPr>
        <xdr:cNvSpPr txBox="1"/>
      </xdr:nvSpPr>
      <xdr:spPr>
        <a:xfrm>
          <a:off x="34179314" y="5125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833</xdr:row>
      <xdr:rowOff>0</xdr:rowOff>
    </xdr:from>
    <xdr:ext cx="65" cy="172227"/>
    <xdr:sp macro="" textlink="">
      <xdr:nvSpPr>
        <xdr:cNvPr id="72" name="TextBox 71">
          <a:extLst>
            <a:ext uri="{FF2B5EF4-FFF2-40B4-BE49-F238E27FC236}">
              <a16:creationId xmlns:a16="http://schemas.microsoft.com/office/drawing/2014/main" id="{00000000-0008-0000-0A00-000048000000}"/>
            </a:ext>
          </a:extLst>
        </xdr:cNvPr>
        <xdr:cNvSpPr txBox="1"/>
      </xdr:nvSpPr>
      <xdr:spPr>
        <a:xfrm>
          <a:off x="34179314" y="5125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863</xdr:row>
      <xdr:rowOff>0</xdr:rowOff>
    </xdr:from>
    <xdr:ext cx="65" cy="172227"/>
    <xdr:sp macro="" textlink="">
      <xdr:nvSpPr>
        <xdr:cNvPr id="73" name="TextBox 72">
          <a:extLst>
            <a:ext uri="{FF2B5EF4-FFF2-40B4-BE49-F238E27FC236}">
              <a16:creationId xmlns:a16="http://schemas.microsoft.com/office/drawing/2014/main" id="{00000000-0008-0000-0A00-000049000000}"/>
            </a:ext>
          </a:extLst>
        </xdr:cNvPr>
        <xdr:cNvSpPr txBox="1"/>
      </xdr:nvSpPr>
      <xdr:spPr>
        <a:xfrm>
          <a:off x="34179314" y="5294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863</xdr:row>
      <xdr:rowOff>0</xdr:rowOff>
    </xdr:from>
    <xdr:ext cx="65" cy="172227"/>
    <xdr:sp macro="" textlink="">
      <xdr:nvSpPr>
        <xdr:cNvPr id="74" name="TextBox 73">
          <a:extLst>
            <a:ext uri="{FF2B5EF4-FFF2-40B4-BE49-F238E27FC236}">
              <a16:creationId xmlns:a16="http://schemas.microsoft.com/office/drawing/2014/main" id="{00000000-0008-0000-0A00-00004A000000}"/>
            </a:ext>
          </a:extLst>
        </xdr:cNvPr>
        <xdr:cNvSpPr txBox="1"/>
      </xdr:nvSpPr>
      <xdr:spPr>
        <a:xfrm>
          <a:off x="34179314" y="5294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951</xdr:row>
      <xdr:rowOff>0</xdr:rowOff>
    </xdr:from>
    <xdr:ext cx="65" cy="172227"/>
    <xdr:sp macro="" textlink="">
      <xdr:nvSpPr>
        <xdr:cNvPr id="75" name="TextBox 74">
          <a:extLst>
            <a:ext uri="{FF2B5EF4-FFF2-40B4-BE49-F238E27FC236}">
              <a16:creationId xmlns:a16="http://schemas.microsoft.com/office/drawing/2014/main" id="{00000000-0008-0000-0A00-00004B000000}"/>
            </a:ext>
          </a:extLst>
        </xdr:cNvPr>
        <xdr:cNvSpPr txBox="1"/>
      </xdr:nvSpPr>
      <xdr:spPr>
        <a:xfrm>
          <a:off x="34179314" y="6427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951</xdr:row>
      <xdr:rowOff>0</xdr:rowOff>
    </xdr:from>
    <xdr:ext cx="65" cy="172227"/>
    <xdr:sp macro="" textlink="">
      <xdr:nvSpPr>
        <xdr:cNvPr id="76" name="TextBox 75">
          <a:extLst>
            <a:ext uri="{FF2B5EF4-FFF2-40B4-BE49-F238E27FC236}">
              <a16:creationId xmlns:a16="http://schemas.microsoft.com/office/drawing/2014/main" id="{00000000-0008-0000-0A00-00004C000000}"/>
            </a:ext>
          </a:extLst>
        </xdr:cNvPr>
        <xdr:cNvSpPr txBox="1"/>
      </xdr:nvSpPr>
      <xdr:spPr>
        <a:xfrm>
          <a:off x="34179314" y="6427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77" name="TextBox 76">
          <a:extLst>
            <a:ext uri="{FF2B5EF4-FFF2-40B4-BE49-F238E27FC236}">
              <a16:creationId xmlns:a16="http://schemas.microsoft.com/office/drawing/2014/main" id="{00000000-0008-0000-0A00-00004D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78" name="TextBox 77">
          <a:extLst>
            <a:ext uri="{FF2B5EF4-FFF2-40B4-BE49-F238E27FC236}">
              <a16:creationId xmlns:a16="http://schemas.microsoft.com/office/drawing/2014/main" id="{00000000-0008-0000-0A00-00004E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123</xdr:row>
      <xdr:rowOff>0</xdr:rowOff>
    </xdr:from>
    <xdr:ext cx="65" cy="172227"/>
    <xdr:sp macro="" textlink="">
      <xdr:nvSpPr>
        <xdr:cNvPr id="79" name="TextBox 78">
          <a:extLst>
            <a:ext uri="{FF2B5EF4-FFF2-40B4-BE49-F238E27FC236}">
              <a16:creationId xmlns:a16="http://schemas.microsoft.com/office/drawing/2014/main" id="{00000000-0008-0000-0A00-00004F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123</xdr:row>
      <xdr:rowOff>0</xdr:rowOff>
    </xdr:from>
    <xdr:ext cx="65" cy="172227"/>
    <xdr:sp macro="" textlink="">
      <xdr:nvSpPr>
        <xdr:cNvPr id="80" name="TextBox 79">
          <a:extLst>
            <a:ext uri="{FF2B5EF4-FFF2-40B4-BE49-F238E27FC236}">
              <a16:creationId xmlns:a16="http://schemas.microsoft.com/office/drawing/2014/main" id="{00000000-0008-0000-0A00-000050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81" name="TextBox 80">
          <a:extLst>
            <a:ext uri="{FF2B5EF4-FFF2-40B4-BE49-F238E27FC236}">
              <a16:creationId xmlns:a16="http://schemas.microsoft.com/office/drawing/2014/main" id="{00000000-0008-0000-0A00-000051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82" name="TextBox 81">
          <a:extLst>
            <a:ext uri="{FF2B5EF4-FFF2-40B4-BE49-F238E27FC236}">
              <a16:creationId xmlns:a16="http://schemas.microsoft.com/office/drawing/2014/main" id="{00000000-0008-0000-0A00-000052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510</xdr:row>
      <xdr:rowOff>0</xdr:rowOff>
    </xdr:from>
    <xdr:ext cx="65" cy="172227"/>
    <xdr:sp macro="" textlink="">
      <xdr:nvSpPr>
        <xdr:cNvPr id="83" name="TextBox 82">
          <a:extLst>
            <a:ext uri="{FF2B5EF4-FFF2-40B4-BE49-F238E27FC236}">
              <a16:creationId xmlns:a16="http://schemas.microsoft.com/office/drawing/2014/main" id="{00000000-0008-0000-0A00-000053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510</xdr:row>
      <xdr:rowOff>0</xdr:rowOff>
    </xdr:from>
    <xdr:ext cx="65" cy="172227"/>
    <xdr:sp macro="" textlink="">
      <xdr:nvSpPr>
        <xdr:cNvPr id="84" name="TextBox 83">
          <a:extLst>
            <a:ext uri="{FF2B5EF4-FFF2-40B4-BE49-F238E27FC236}">
              <a16:creationId xmlns:a16="http://schemas.microsoft.com/office/drawing/2014/main" id="{00000000-0008-0000-0A00-000054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545</xdr:row>
      <xdr:rowOff>0</xdr:rowOff>
    </xdr:from>
    <xdr:ext cx="65" cy="172227"/>
    <xdr:sp macro="" textlink="">
      <xdr:nvSpPr>
        <xdr:cNvPr id="85" name="TextBox 84">
          <a:extLst>
            <a:ext uri="{FF2B5EF4-FFF2-40B4-BE49-F238E27FC236}">
              <a16:creationId xmlns:a16="http://schemas.microsoft.com/office/drawing/2014/main" id="{00000000-0008-0000-0A00-000055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545</xdr:row>
      <xdr:rowOff>0</xdr:rowOff>
    </xdr:from>
    <xdr:ext cx="65" cy="172227"/>
    <xdr:sp macro="" textlink="">
      <xdr:nvSpPr>
        <xdr:cNvPr id="86" name="TextBox 85">
          <a:extLst>
            <a:ext uri="{FF2B5EF4-FFF2-40B4-BE49-F238E27FC236}">
              <a16:creationId xmlns:a16="http://schemas.microsoft.com/office/drawing/2014/main" id="{00000000-0008-0000-0A00-000056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87" name="TextBox 86">
          <a:extLst>
            <a:ext uri="{FF2B5EF4-FFF2-40B4-BE49-F238E27FC236}">
              <a16:creationId xmlns:a16="http://schemas.microsoft.com/office/drawing/2014/main" id="{00000000-0008-0000-0A00-000057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88" name="TextBox 87">
          <a:extLst>
            <a:ext uri="{FF2B5EF4-FFF2-40B4-BE49-F238E27FC236}">
              <a16:creationId xmlns:a16="http://schemas.microsoft.com/office/drawing/2014/main" id="{00000000-0008-0000-0A00-000058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89" name="TextBox 88">
          <a:extLst>
            <a:ext uri="{FF2B5EF4-FFF2-40B4-BE49-F238E27FC236}">
              <a16:creationId xmlns:a16="http://schemas.microsoft.com/office/drawing/2014/main" id="{00000000-0008-0000-0A00-000059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90" name="TextBox 89">
          <a:extLst>
            <a:ext uri="{FF2B5EF4-FFF2-40B4-BE49-F238E27FC236}">
              <a16:creationId xmlns:a16="http://schemas.microsoft.com/office/drawing/2014/main" id="{00000000-0008-0000-0A00-00005A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91" name="TextBox 90">
          <a:extLst>
            <a:ext uri="{FF2B5EF4-FFF2-40B4-BE49-F238E27FC236}">
              <a16:creationId xmlns:a16="http://schemas.microsoft.com/office/drawing/2014/main" id="{00000000-0008-0000-0A00-00005B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92" name="TextBox 91">
          <a:extLst>
            <a:ext uri="{FF2B5EF4-FFF2-40B4-BE49-F238E27FC236}">
              <a16:creationId xmlns:a16="http://schemas.microsoft.com/office/drawing/2014/main" id="{00000000-0008-0000-0A00-00005C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93" name="TextBox 92">
          <a:extLst>
            <a:ext uri="{FF2B5EF4-FFF2-40B4-BE49-F238E27FC236}">
              <a16:creationId xmlns:a16="http://schemas.microsoft.com/office/drawing/2014/main" id="{00000000-0008-0000-0A00-00005D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94" name="TextBox 93">
          <a:extLst>
            <a:ext uri="{FF2B5EF4-FFF2-40B4-BE49-F238E27FC236}">
              <a16:creationId xmlns:a16="http://schemas.microsoft.com/office/drawing/2014/main" id="{00000000-0008-0000-0A00-00005E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95" name="TextBox 94">
          <a:extLst>
            <a:ext uri="{FF2B5EF4-FFF2-40B4-BE49-F238E27FC236}">
              <a16:creationId xmlns:a16="http://schemas.microsoft.com/office/drawing/2014/main" id="{00000000-0008-0000-0A00-00005F000000}"/>
            </a:ext>
          </a:extLst>
        </xdr:cNvPr>
        <xdr:cNvSpPr txBox="1"/>
      </xdr:nvSpPr>
      <xdr:spPr>
        <a:xfrm>
          <a:off x="34179314" y="61426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96" name="TextBox 95">
          <a:extLst>
            <a:ext uri="{FF2B5EF4-FFF2-40B4-BE49-F238E27FC236}">
              <a16:creationId xmlns:a16="http://schemas.microsoft.com/office/drawing/2014/main" id="{00000000-0008-0000-0A00-000060000000}"/>
            </a:ext>
          </a:extLst>
        </xdr:cNvPr>
        <xdr:cNvSpPr txBox="1"/>
      </xdr:nvSpPr>
      <xdr:spPr>
        <a:xfrm>
          <a:off x="34179314" y="61426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950</xdr:row>
      <xdr:rowOff>0</xdr:rowOff>
    </xdr:from>
    <xdr:ext cx="65" cy="172227"/>
    <xdr:sp macro="" textlink="">
      <xdr:nvSpPr>
        <xdr:cNvPr id="97" name="TextBox 96">
          <a:extLst>
            <a:ext uri="{FF2B5EF4-FFF2-40B4-BE49-F238E27FC236}">
              <a16:creationId xmlns:a16="http://schemas.microsoft.com/office/drawing/2014/main" id="{00000000-0008-0000-0A00-000061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950</xdr:row>
      <xdr:rowOff>0</xdr:rowOff>
    </xdr:from>
    <xdr:ext cx="65" cy="172227"/>
    <xdr:sp macro="" textlink="">
      <xdr:nvSpPr>
        <xdr:cNvPr id="98" name="TextBox 97">
          <a:extLst>
            <a:ext uri="{FF2B5EF4-FFF2-40B4-BE49-F238E27FC236}">
              <a16:creationId xmlns:a16="http://schemas.microsoft.com/office/drawing/2014/main" id="{00000000-0008-0000-0A00-000062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1029</xdr:row>
      <xdr:rowOff>0</xdr:rowOff>
    </xdr:from>
    <xdr:ext cx="65" cy="172227"/>
    <xdr:sp macro="" textlink="">
      <xdr:nvSpPr>
        <xdr:cNvPr id="99" name="TextBox 98">
          <a:extLst>
            <a:ext uri="{FF2B5EF4-FFF2-40B4-BE49-F238E27FC236}">
              <a16:creationId xmlns:a16="http://schemas.microsoft.com/office/drawing/2014/main" id="{00000000-0008-0000-0A00-000063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1029</xdr:row>
      <xdr:rowOff>0</xdr:rowOff>
    </xdr:from>
    <xdr:ext cx="65" cy="172227"/>
    <xdr:sp macro="" textlink="">
      <xdr:nvSpPr>
        <xdr:cNvPr id="100" name="TextBox 99">
          <a:extLst>
            <a:ext uri="{FF2B5EF4-FFF2-40B4-BE49-F238E27FC236}">
              <a16:creationId xmlns:a16="http://schemas.microsoft.com/office/drawing/2014/main" id="{00000000-0008-0000-0A00-000064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1086</xdr:row>
      <xdr:rowOff>0</xdr:rowOff>
    </xdr:from>
    <xdr:ext cx="65" cy="172227"/>
    <xdr:sp macro="" textlink="">
      <xdr:nvSpPr>
        <xdr:cNvPr id="101" name="TextBox 100">
          <a:extLst>
            <a:ext uri="{FF2B5EF4-FFF2-40B4-BE49-F238E27FC236}">
              <a16:creationId xmlns:a16="http://schemas.microsoft.com/office/drawing/2014/main" id="{00000000-0008-0000-0A00-000065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1086</xdr:row>
      <xdr:rowOff>0</xdr:rowOff>
    </xdr:from>
    <xdr:ext cx="65" cy="172227"/>
    <xdr:sp macro="" textlink="">
      <xdr:nvSpPr>
        <xdr:cNvPr id="102" name="TextBox 101">
          <a:extLst>
            <a:ext uri="{FF2B5EF4-FFF2-40B4-BE49-F238E27FC236}">
              <a16:creationId xmlns:a16="http://schemas.microsoft.com/office/drawing/2014/main" id="{00000000-0008-0000-0A00-000066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103" name="TextBox 102">
          <a:extLst>
            <a:ext uri="{FF2B5EF4-FFF2-40B4-BE49-F238E27FC236}">
              <a16:creationId xmlns:a16="http://schemas.microsoft.com/office/drawing/2014/main" id="{00000000-0008-0000-0A00-000067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104" name="TextBox 103">
          <a:extLst>
            <a:ext uri="{FF2B5EF4-FFF2-40B4-BE49-F238E27FC236}">
              <a16:creationId xmlns:a16="http://schemas.microsoft.com/office/drawing/2014/main" id="{00000000-0008-0000-0A00-000068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123</xdr:row>
      <xdr:rowOff>0</xdr:rowOff>
    </xdr:from>
    <xdr:ext cx="65" cy="172227"/>
    <xdr:sp macro="" textlink="">
      <xdr:nvSpPr>
        <xdr:cNvPr id="105" name="TextBox 104">
          <a:extLst>
            <a:ext uri="{FF2B5EF4-FFF2-40B4-BE49-F238E27FC236}">
              <a16:creationId xmlns:a16="http://schemas.microsoft.com/office/drawing/2014/main" id="{00000000-0008-0000-0A00-000069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123</xdr:row>
      <xdr:rowOff>0</xdr:rowOff>
    </xdr:from>
    <xdr:ext cx="65" cy="172227"/>
    <xdr:sp macro="" textlink="">
      <xdr:nvSpPr>
        <xdr:cNvPr id="106" name="TextBox 105">
          <a:extLst>
            <a:ext uri="{FF2B5EF4-FFF2-40B4-BE49-F238E27FC236}">
              <a16:creationId xmlns:a16="http://schemas.microsoft.com/office/drawing/2014/main" id="{00000000-0008-0000-0A00-00006A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123</xdr:row>
      <xdr:rowOff>0</xdr:rowOff>
    </xdr:from>
    <xdr:ext cx="65" cy="172227"/>
    <xdr:sp macro="" textlink="">
      <xdr:nvSpPr>
        <xdr:cNvPr id="107" name="TextBox 106">
          <a:extLst>
            <a:ext uri="{FF2B5EF4-FFF2-40B4-BE49-F238E27FC236}">
              <a16:creationId xmlns:a16="http://schemas.microsoft.com/office/drawing/2014/main" id="{00000000-0008-0000-0A00-00006B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123</xdr:row>
      <xdr:rowOff>0</xdr:rowOff>
    </xdr:from>
    <xdr:ext cx="65" cy="172227"/>
    <xdr:sp macro="" textlink="">
      <xdr:nvSpPr>
        <xdr:cNvPr id="108" name="TextBox 107">
          <a:extLst>
            <a:ext uri="{FF2B5EF4-FFF2-40B4-BE49-F238E27FC236}">
              <a16:creationId xmlns:a16="http://schemas.microsoft.com/office/drawing/2014/main" id="{00000000-0008-0000-0A00-00006C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109" name="TextBox 108">
          <a:extLst>
            <a:ext uri="{FF2B5EF4-FFF2-40B4-BE49-F238E27FC236}">
              <a16:creationId xmlns:a16="http://schemas.microsoft.com/office/drawing/2014/main" id="{00000000-0008-0000-0A00-00006D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110" name="TextBox 109">
          <a:extLst>
            <a:ext uri="{FF2B5EF4-FFF2-40B4-BE49-F238E27FC236}">
              <a16:creationId xmlns:a16="http://schemas.microsoft.com/office/drawing/2014/main" id="{00000000-0008-0000-0A00-00006E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111" name="TextBox 110">
          <a:extLst>
            <a:ext uri="{FF2B5EF4-FFF2-40B4-BE49-F238E27FC236}">
              <a16:creationId xmlns:a16="http://schemas.microsoft.com/office/drawing/2014/main" id="{00000000-0008-0000-0A00-00006F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112" name="TextBox 111">
          <a:extLst>
            <a:ext uri="{FF2B5EF4-FFF2-40B4-BE49-F238E27FC236}">
              <a16:creationId xmlns:a16="http://schemas.microsoft.com/office/drawing/2014/main" id="{00000000-0008-0000-0A00-000070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113" name="TextBox 112">
          <a:extLst>
            <a:ext uri="{FF2B5EF4-FFF2-40B4-BE49-F238E27FC236}">
              <a16:creationId xmlns:a16="http://schemas.microsoft.com/office/drawing/2014/main" id="{00000000-0008-0000-0A00-000071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114" name="TextBox 113">
          <a:extLst>
            <a:ext uri="{FF2B5EF4-FFF2-40B4-BE49-F238E27FC236}">
              <a16:creationId xmlns:a16="http://schemas.microsoft.com/office/drawing/2014/main" id="{00000000-0008-0000-0A00-000072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510</xdr:row>
      <xdr:rowOff>0</xdr:rowOff>
    </xdr:from>
    <xdr:ext cx="65" cy="172227"/>
    <xdr:sp macro="" textlink="">
      <xdr:nvSpPr>
        <xdr:cNvPr id="115" name="TextBox 114">
          <a:extLst>
            <a:ext uri="{FF2B5EF4-FFF2-40B4-BE49-F238E27FC236}">
              <a16:creationId xmlns:a16="http://schemas.microsoft.com/office/drawing/2014/main" id="{00000000-0008-0000-0A00-000073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510</xdr:row>
      <xdr:rowOff>0</xdr:rowOff>
    </xdr:from>
    <xdr:ext cx="65" cy="172227"/>
    <xdr:sp macro="" textlink="">
      <xdr:nvSpPr>
        <xdr:cNvPr id="116" name="TextBox 115">
          <a:extLst>
            <a:ext uri="{FF2B5EF4-FFF2-40B4-BE49-F238E27FC236}">
              <a16:creationId xmlns:a16="http://schemas.microsoft.com/office/drawing/2014/main" id="{00000000-0008-0000-0A00-000074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545</xdr:row>
      <xdr:rowOff>0</xdr:rowOff>
    </xdr:from>
    <xdr:ext cx="65" cy="172227"/>
    <xdr:sp macro="" textlink="">
      <xdr:nvSpPr>
        <xdr:cNvPr id="117" name="TextBox 116">
          <a:extLst>
            <a:ext uri="{FF2B5EF4-FFF2-40B4-BE49-F238E27FC236}">
              <a16:creationId xmlns:a16="http://schemas.microsoft.com/office/drawing/2014/main" id="{00000000-0008-0000-0A00-000075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545</xdr:row>
      <xdr:rowOff>0</xdr:rowOff>
    </xdr:from>
    <xdr:ext cx="65" cy="172227"/>
    <xdr:sp macro="" textlink="">
      <xdr:nvSpPr>
        <xdr:cNvPr id="118" name="TextBox 117">
          <a:extLst>
            <a:ext uri="{FF2B5EF4-FFF2-40B4-BE49-F238E27FC236}">
              <a16:creationId xmlns:a16="http://schemas.microsoft.com/office/drawing/2014/main" id="{00000000-0008-0000-0A00-000076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545</xdr:row>
      <xdr:rowOff>0</xdr:rowOff>
    </xdr:from>
    <xdr:ext cx="65" cy="172227"/>
    <xdr:sp macro="" textlink="">
      <xdr:nvSpPr>
        <xdr:cNvPr id="119" name="TextBox 118">
          <a:extLst>
            <a:ext uri="{FF2B5EF4-FFF2-40B4-BE49-F238E27FC236}">
              <a16:creationId xmlns:a16="http://schemas.microsoft.com/office/drawing/2014/main" id="{00000000-0008-0000-0A00-000077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545</xdr:row>
      <xdr:rowOff>0</xdr:rowOff>
    </xdr:from>
    <xdr:ext cx="65" cy="172227"/>
    <xdr:sp macro="" textlink="">
      <xdr:nvSpPr>
        <xdr:cNvPr id="120" name="TextBox 119">
          <a:extLst>
            <a:ext uri="{FF2B5EF4-FFF2-40B4-BE49-F238E27FC236}">
              <a16:creationId xmlns:a16="http://schemas.microsoft.com/office/drawing/2014/main" id="{00000000-0008-0000-0A00-000078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121" name="TextBox 120">
          <a:extLst>
            <a:ext uri="{FF2B5EF4-FFF2-40B4-BE49-F238E27FC236}">
              <a16:creationId xmlns:a16="http://schemas.microsoft.com/office/drawing/2014/main" id="{00000000-0008-0000-0A00-000079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122" name="TextBox 121">
          <a:extLst>
            <a:ext uri="{FF2B5EF4-FFF2-40B4-BE49-F238E27FC236}">
              <a16:creationId xmlns:a16="http://schemas.microsoft.com/office/drawing/2014/main" id="{00000000-0008-0000-0A00-00007A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123" name="TextBox 122">
          <a:extLst>
            <a:ext uri="{FF2B5EF4-FFF2-40B4-BE49-F238E27FC236}">
              <a16:creationId xmlns:a16="http://schemas.microsoft.com/office/drawing/2014/main" id="{00000000-0008-0000-0A00-00007B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124" name="TextBox 123">
          <a:extLst>
            <a:ext uri="{FF2B5EF4-FFF2-40B4-BE49-F238E27FC236}">
              <a16:creationId xmlns:a16="http://schemas.microsoft.com/office/drawing/2014/main" id="{00000000-0008-0000-0A00-00007C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125" name="TextBox 124">
          <a:extLst>
            <a:ext uri="{FF2B5EF4-FFF2-40B4-BE49-F238E27FC236}">
              <a16:creationId xmlns:a16="http://schemas.microsoft.com/office/drawing/2014/main" id="{00000000-0008-0000-0A00-00007D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126" name="TextBox 125">
          <a:extLst>
            <a:ext uri="{FF2B5EF4-FFF2-40B4-BE49-F238E27FC236}">
              <a16:creationId xmlns:a16="http://schemas.microsoft.com/office/drawing/2014/main" id="{00000000-0008-0000-0A00-00007E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27" name="TextBox 126">
          <a:extLst>
            <a:ext uri="{FF2B5EF4-FFF2-40B4-BE49-F238E27FC236}">
              <a16:creationId xmlns:a16="http://schemas.microsoft.com/office/drawing/2014/main" id="{00000000-0008-0000-0A00-00007F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28" name="TextBox 127">
          <a:extLst>
            <a:ext uri="{FF2B5EF4-FFF2-40B4-BE49-F238E27FC236}">
              <a16:creationId xmlns:a16="http://schemas.microsoft.com/office/drawing/2014/main" id="{00000000-0008-0000-0A00-000080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29" name="TextBox 128">
          <a:extLst>
            <a:ext uri="{FF2B5EF4-FFF2-40B4-BE49-F238E27FC236}">
              <a16:creationId xmlns:a16="http://schemas.microsoft.com/office/drawing/2014/main" id="{00000000-0008-0000-0A00-000081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30" name="TextBox 129">
          <a:extLst>
            <a:ext uri="{FF2B5EF4-FFF2-40B4-BE49-F238E27FC236}">
              <a16:creationId xmlns:a16="http://schemas.microsoft.com/office/drawing/2014/main" id="{00000000-0008-0000-0A00-000082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31" name="TextBox 130">
          <a:extLst>
            <a:ext uri="{FF2B5EF4-FFF2-40B4-BE49-F238E27FC236}">
              <a16:creationId xmlns:a16="http://schemas.microsoft.com/office/drawing/2014/main" id="{00000000-0008-0000-0A00-000083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32" name="TextBox 131">
          <a:extLst>
            <a:ext uri="{FF2B5EF4-FFF2-40B4-BE49-F238E27FC236}">
              <a16:creationId xmlns:a16="http://schemas.microsoft.com/office/drawing/2014/main" id="{00000000-0008-0000-0A00-000084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33" name="TextBox 132">
          <a:extLst>
            <a:ext uri="{FF2B5EF4-FFF2-40B4-BE49-F238E27FC236}">
              <a16:creationId xmlns:a16="http://schemas.microsoft.com/office/drawing/2014/main" id="{00000000-0008-0000-0A00-000085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34" name="TextBox 133">
          <a:extLst>
            <a:ext uri="{FF2B5EF4-FFF2-40B4-BE49-F238E27FC236}">
              <a16:creationId xmlns:a16="http://schemas.microsoft.com/office/drawing/2014/main" id="{00000000-0008-0000-0A00-000086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135" name="TextBox 134">
          <a:extLst>
            <a:ext uri="{FF2B5EF4-FFF2-40B4-BE49-F238E27FC236}">
              <a16:creationId xmlns:a16="http://schemas.microsoft.com/office/drawing/2014/main" id="{00000000-0008-0000-0A00-000087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136" name="TextBox 135">
          <a:extLst>
            <a:ext uri="{FF2B5EF4-FFF2-40B4-BE49-F238E27FC236}">
              <a16:creationId xmlns:a16="http://schemas.microsoft.com/office/drawing/2014/main" id="{00000000-0008-0000-0A00-000088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137" name="TextBox 136">
          <a:extLst>
            <a:ext uri="{FF2B5EF4-FFF2-40B4-BE49-F238E27FC236}">
              <a16:creationId xmlns:a16="http://schemas.microsoft.com/office/drawing/2014/main" id="{00000000-0008-0000-0A00-000089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138" name="TextBox 137">
          <a:extLst>
            <a:ext uri="{FF2B5EF4-FFF2-40B4-BE49-F238E27FC236}">
              <a16:creationId xmlns:a16="http://schemas.microsoft.com/office/drawing/2014/main" id="{00000000-0008-0000-0A00-00008A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139" name="TextBox 138">
          <a:extLst>
            <a:ext uri="{FF2B5EF4-FFF2-40B4-BE49-F238E27FC236}">
              <a16:creationId xmlns:a16="http://schemas.microsoft.com/office/drawing/2014/main" id="{00000000-0008-0000-0A00-00008B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140" name="TextBox 139">
          <a:extLst>
            <a:ext uri="{FF2B5EF4-FFF2-40B4-BE49-F238E27FC236}">
              <a16:creationId xmlns:a16="http://schemas.microsoft.com/office/drawing/2014/main" id="{00000000-0008-0000-0A00-00008C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950</xdr:row>
      <xdr:rowOff>0</xdr:rowOff>
    </xdr:from>
    <xdr:ext cx="65" cy="172227"/>
    <xdr:sp macro="" textlink="">
      <xdr:nvSpPr>
        <xdr:cNvPr id="141" name="TextBox 140">
          <a:extLst>
            <a:ext uri="{FF2B5EF4-FFF2-40B4-BE49-F238E27FC236}">
              <a16:creationId xmlns:a16="http://schemas.microsoft.com/office/drawing/2014/main" id="{00000000-0008-0000-0A00-00008D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950</xdr:row>
      <xdr:rowOff>0</xdr:rowOff>
    </xdr:from>
    <xdr:ext cx="65" cy="172227"/>
    <xdr:sp macro="" textlink="">
      <xdr:nvSpPr>
        <xdr:cNvPr id="142" name="TextBox 141">
          <a:extLst>
            <a:ext uri="{FF2B5EF4-FFF2-40B4-BE49-F238E27FC236}">
              <a16:creationId xmlns:a16="http://schemas.microsoft.com/office/drawing/2014/main" id="{00000000-0008-0000-0A00-00008E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1029</xdr:row>
      <xdr:rowOff>0</xdr:rowOff>
    </xdr:from>
    <xdr:ext cx="65" cy="172227"/>
    <xdr:sp macro="" textlink="">
      <xdr:nvSpPr>
        <xdr:cNvPr id="143" name="TextBox 142">
          <a:extLst>
            <a:ext uri="{FF2B5EF4-FFF2-40B4-BE49-F238E27FC236}">
              <a16:creationId xmlns:a16="http://schemas.microsoft.com/office/drawing/2014/main" id="{00000000-0008-0000-0A00-00008F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1029</xdr:row>
      <xdr:rowOff>0</xdr:rowOff>
    </xdr:from>
    <xdr:ext cx="65" cy="172227"/>
    <xdr:sp macro="" textlink="">
      <xdr:nvSpPr>
        <xdr:cNvPr id="144" name="TextBox 143">
          <a:extLst>
            <a:ext uri="{FF2B5EF4-FFF2-40B4-BE49-F238E27FC236}">
              <a16:creationId xmlns:a16="http://schemas.microsoft.com/office/drawing/2014/main" id="{00000000-0008-0000-0A00-000090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1086</xdr:row>
      <xdr:rowOff>0</xdr:rowOff>
    </xdr:from>
    <xdr:ext cx="65" cy="172227"/>
    <xdr:sp macro="" textlink="">
      <xdr:nvSpPr>
        <xdr:cNvPr id="145" name="TextBox 144">
          <a:extLst>
            <a:ext uri="{FF2B5EF4-FFF2-40B4-BE49-F238E27FC236}">
              <a16:creationId xmlns:a16="http://schemas.microsoft.com/office/drawing/2014/main" id="{00000000-0008-0000-0A00-000091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1086</xdr:row>
      <xdr:rowOff>0</xdr:rowOff>
    </xdr:from>
    <xdr:ext cx="65" cy="172227"/>
    <xdr:sp macro="" textlink="">
      <xdr:nvSpPr>
        <xdr:cNvPr id="146" name="TextBox 145">
          <a:extLst>
            <a:ext uri="{FF2B5EF4-FFF2-40B4-BE49-F238E27FC236}">
              <a16:creationId xmlns:a16="http://schemas.microsoft.com/office/drawing/2014/main" id="{00000000-0008-0000-0A00-000092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1149</xdr:row>
      <xdr:rowOff>0</xdr:rowOff>
    </xdr:from>
    <xdr:to>
      <xdr:col>12</xdr:col>
      <xdr:colOff>0</xdr:colOff>
      <xdr:row>1149</xdr:row>
      <xdr:rowOff>0</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00000000-0008-0000-0A00-000094000000}"/>
                </a:ext>
              </a:extLst>
            </xdr:cNvPr>
            <xdr:cNvSpPr txBox="1"/>
          </xdr:nvSpPr>
          <xdr:spPr>
            <a:xfrm>
              <a:off x="3571875" y="80086200"/>
              <a:ext cx="1465897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00000000-0008-0000-0700-000094000000}"/>
                </a:ext>
              </a:extLst>
            </xdr:cNvPr>
            <xdr:cNvSpPr txBox="1"/>
          </xdr:nvSpPr>
          <xdr:spPr>
            <a:xfrm>
              <a:off x="3578679" y="66659168"/>
              <a:ext cx="14518821" cy="3462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27</xdr:col>
      <xdr:colOff>3614</xdr:colOff>
      <xdr:row>1122</xdr:row>
      <xdr:rowOff>0</xdr:rowOff>
    </xdr:from>
    <xdr:ext cx="65" cy="172227"/>
    <xdr:sp macro="" textlink="">
      <xdr:nvSpPr>
        <xdr:cNvPr id="149" name="TextBox 148">
          <a:extLst>
            <a:ext uri="{FF2B5EF4-FFF2-40B4-BE49-F238E27FC236}">
              <a16:creationId xmlns:a16="http://schemas.microsoft.com/office/drawing/2014/main" id="{00000000-0008-0000-0A00-000095000000}"/>
            </a:ext>
          </a:extLst>
        </xdr:cNvPr>
        <xdr:cNvSpPr txBox="1"/>
      </xdr:nvSpPr>
      <xdr:spPr>
        <a:xfrm>
          <a:off x="34179314"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1122</xdr:row>
      <xdr:rowOff>0</xdr:rowOff>
    </xdr:from>
    <xdr:ext cx="65" cy="172227"/>
    <xdr:sp macro="" textlink="">
      <xdr:nvSpPr>
        <xdr:cNvPr id="150" name="TextBox 149">
          <a:extLst>
            <a:ext uri="{FF2B5EF4-FFF2-40B4-BE49-F238E27FC236}">
              <a16:creationId xmlns:a16="http://schemas.microsoft.com/office/drawing/2014/main" id="{00000000-0008-0000-0A00-000096000000}"/>
            </a:ext>
          </a:extLst>
        </xdr:cNvPr>
        <xdr:cNvSpPr txBox="1"/>
      </xdr:nvSpPr>
      <xdr:spPr>
        <a:xfrm>
          <a:off x="34179314"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1045550</xdr:colOff>
      <xdr:row>67</xdr:row>
      <xdr:rowOff>0</xdr:rowOff>
    </xdr:from>
    <xdr:to>
      <xdr:col>8</xdr:col>
      <xdr:colOff>1187609</xdr:colOff>
      <xdr:row>67</xdr:row>
      <xdr:rowOff>0</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00000000-0008-0000-0A00-000097000000}"/>
                </a:ext>
              </a:extLst>
            </xdr:cNvPr>
            <xdr:cNvSpPr txBox="1"/>
          </xdr:nvSpPr>
          <xdr:spPr>
            <a:xfrm>
              <a:off x="12037400" y="6810375"/>
              <a:ext cx="31614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l-GR" sz="1400" b="0" i="1">
                      <a:solidFill>
                        <a:sysClr val="windowText" lastClr="000000"/>
                      </a:solidFill>
                      <a:latin typeface="Cambria Math" panose="02040503050406030204" pitchFamily="18" charset="0"/>
                      <a:ea typeface="Cambria Math" panose="02040503050406030204" pitchFamily="18" charset="0"/>
                    </a:rPr>
                    <m:t>𝛥</m:t>
                  </m:r>
                  <m:r>
                    <a:rPr lang="el-GR"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∗29.3</m:t>
                  </m:r>
                </m:oMath>
              </a14:m>
              <a:endParaRPr lang="en-US" sz="1400">
                <a:solidFill>
                  <a:sysClr val="windowText" lastClr="000000"/>
                </a:solidFill>
              </a:endParaRPr>
            </a:p>
          </xdr:txBody>
        </xdr:sp>
      </mc:Choice>
      <mc:Fallback xmlns="">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l-GR" sz="1400" b="0" i="0">
                  <a:solidFill>
                    <a:sysClr val="windowText" lastClr="000000"/>
                  </a:solidFill>
                  <a:latin typeface="Cambria Math" panose="02040503050406030204" pitchFamily="18" charset="0"/>
                  <a:ea typeface="Cambria Math" panose="02040503050406030204" pitchFamily="18" charset="0"/>
                </a:rPr>
                <a:t>𝛥𝑇ℎ𝑒𝑟𝑚𝑠</a:t>
              </a:r>
              <a:r>
                <a:rPr lang="en-US" sz="1400" b="0" i="0">
                  <a:solidFill>
                    <a:sysClr val="windowText" lastClr="000000"/>
                  </a:solidFill>
                  <a:latin typeface="Cambria Math" panose="02040503050406030204" pitchFamily="18" charset="0"/>
                  <a:ea typeface="Cambria Math" panose="02040503050406030204" pitchFamily="18" charset="0"/>
                </a:rPr>
                <a:t>∗𝐹_𝑒∗29.3</a:t>
              </a:r>
              <a:endParaRPr lang="en-US" sz="1400">
                <a:solidFill>
                  <a:sysClr val="windowText" lastClr="000000"/>
                </a:solidFill>
              </a:endParaRPr>
            </a:p>
          </xdr:txBody>
        </xdr:sp>
      </mc:Fallback>
    </mc:AlternateContent>
    <xdr:clientData/>
  </xdr:twoCellAnchor>
  <xdr:twoCellAnchor>
    <xdr:from>
      <xdr:col>4</xdr:col>
      <xdr:colOff>250372</xdr:colOff>
      <xdr:row>758</xdr:row>
      <xdr:rowOff>114300</xdr:rowOff>
    </xdr:from>
    <xdr:to>
      <xdr:col>13</xdr:col>
      <xdr:colOff>209550</xdr:colOff>
      <xdr:row>758</xdr:row>
      <xdr:rowOff>114300</xdr:rowOff>
    </xdr:to>
    <mc:AlternateContent xmlns:mc="http://schemas.openxmlformats.org/markup-compatibility/2006" xmlns:a14="http://schemas.microsoft.com/office/drawing/2010/main">
      <mc:Choice Requires="a14">
        <xdr:sp macro="" textlink="">
          <xdr:nvSpPr>
            <xdr:cNvPr id="152" name="TextBox 151">
              <a:extLst>
                <a:ext uri="{FF2B5EF4-FFF2-40B4-BE49-F238E27FC236}">
                  <a16:creationId xmlns:a16="http://schemas.microsoft.com/office/drawing/2014/main" id="{00000000-0008-0000-0A00-000098000000}"/>
                </a:ext>
              </a:extLst>
            </xdr:cNvPr>
            <xdr:cNvSpPr txBox="1"/>
          </xdr:nvSpPr>
          <xdr:spPr>
            <a:xfrm>
              <a:off x="3717472" y="172812075"/>
              <a:ext cx="1423715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DF</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𝐹𝑃𝐻</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Choice>
      <mc:Fallback xmlns="">
        <xdr:sp macro="" textlink="">
          <xdr:nvSpPr>
            <xdr:cNvPr id="152" name="TextBox 151">
              <a:extLst>
                <a:ext uri="{FF2B5EF4-FFF2-40B4-BE49-F238E27FC236}">
                  <a16:creationId xmlns:a16="http://schemas.microsoft.com/office/drawing/2014/main" id="{D29502B8-957F-48C9-B5E8-02A39087FEF0}"/>
                </a:ext>
              </a:extLst>
            </xdr:cNvPr>
            <xdr:cNvSpPr txBox="1"/>
          </xdr:nvSpPr>
          <xdr:spPr>
            <a:xfrm>
              <a:off x="3717472" y="172812075"/>
              <a:ext cx="1423715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  〖𝐺𝑃𝑀〗_𝐵𝐴𝑆𝐸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 ×𝐿_𝐵𝐴𝑆𝐸 " " 〖−  𝐺𝑃𝑀〗_𝐿𝑂𝑊 " " ×" " 𝐿_𝐿𝑂𝑊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DF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𝐹𝑃𝐻)</a:t>
              </a:r>
              <a:r>
                <a:rPr lang="en-US" sz="1400" b="0" i="0">
                  <a:solidFill>
                    <a:sysClr val="windowText" lastClr="000000"/>
                  </a:solidFill>
                  <a:latin typeface="Cambria Math" panose="02040503050406030204" pitchFamily="18" charset="0"/>
                  <a:ea typeface="Cambria Math" panose="02040503050406030204" pitchFamily="18" charset="0"/>
                </a:rPr>
                <a:t>×𝐸𝑃𝐺_</a:t>
              </a:r>
              <a:r>
                <a:rPr lang="en-US" sz="14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Fallback>
    </mc:AlternateContent>
    <xdr:clientData/>
  </xdr:twoCellAnchor>
  <xdr:twoCellAnchor>
    <xdr:from>
      <xdr:col>4</xdr:col>
      <xdr:colOff>550272</xdr:colOff>
      <xdr:row>756</xdr:row>
      <xdr:rowOff>0</xdr:rowOff>
    </xdr:from>
    <xdr:to>
      <xdr:col>13</xdr:col>
      <xdr:colOff>0</xdr:colOff>
      <xdr:row>756</xdr:row>
      <xdr:rowOff>0</xdr:rowOff>
    </xdr:to>
    <mc:AlternateContent xmlns:mc="http://schemas.openxmlformats.org/markup-compatibility/2006" xmlns:a14="http://schemas.microsoft.com/office/drawing/2010/main">
      <mc:Choice Requires="a14">
        <xdr:sp macro="" textlink="">
          <xdr:nvSpPr>
            <xdr:cNvPr id="153" name="TextBox 152">
              <a:extLst>
                <a:ext uri="{FF2B5EF4-FFF2-40B4-BE49-F238E27FC236}">
                  <a16:creationId xmlns:a16="http://schemas.microsoft.com/office/drawing/2014/main" id="{00000000-0008-0000-0A00-000099000000}"/>
                </a:ext>
              </a:extLst>
            </xdr:cNvPr>
            <xdr:cNvSpPr txBox="1"/>
          </xdr:nvSpPr>
          <xdr:spPr>
            <a:xfrm>
              <a:off x="4122147" y="48596550"/>
              <a:ext cx="150993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ysClr val="windowText" lastClr="000000"/>
                            </a:solidFill>
                            <a:effectLst/>
                            <a:latin typeface="Cambria Math" panose="02040503050406030204" pitchFamily="18" charset="0"/>
                            <a:ea typeface="+mn-ea"/>
                            <a:cs typeface="+mn-cs"/>
                          </a:rPr>
                          <m:t>8.33</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1.0</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m:t>
                        </m:r>
                        <m:r>
                          <a:rPr lang="en-US" sz="1200" b="0" i="1">
                            <a:solidFill>
                              <a:sysClr val="windowText" lastClr="000000"/>
                            </a:solidFill>
                            <a:effectLst/>
                            <a:latin typeface="Cambria Math" panose="02040503050406030204" pitchFamily="18" charset="0"/>
                            <a:ea typeface="+mn-ea"/>
                            <a:cs typeface="+mn-cs"/>
                          </a:rPr>
                          <m:t>𝑆h𝑜𝑤𝑒𝑟𝑇𝑒𝑚𝑝</m:t>
                        </m:r>
                        <m:r>
                          <a:rPr lang="en-US" sz="1200" b="0" i="1">
                            <a:solidFill>
                              <a:sysClr val="windowText" lastClr="000000"/>
                            </a:solidFill>
                            <a:effectLst/>
                            <a:latin typeface="Cambria Math" panose="02040503050406030204" pitchFamily="18" charset="0"/>
                            <a:ea typeface="+mn-ea"/>
                            <a:cs typeface="+mn-cs"/>
                          </a:rPr>
                          <m:t> −</m:t>
                        </m:r>
                        <m:r>
                          <a:rPr lang="en-US" sz="1200" b="0" i="1">
                            <a:solidFill>
                              <a:sysClr val="windowText" lastClr="000000"/>
                            </a:solidFill>
                            <a:effectLst/>
                            <a:latin typeface="Cambria Math" panose="02040503050406030204" pitchFamily="18" charset="0"/>
                            <a:ea typeface="+mn-ea"/>
                            <a:cs typeface="+mn-cs"/>
                          </a:rPr>
                          <m:t>𝑆𝑢𝑝𝑝𝑙𝑦𝑇𝑒𝑚𝑝</m:t>
                        </m:r>
                        <m:r>
                          <a:rPr lang="en-US" sz="1200" b="0" i="1">
                            <a:solidFill>
                              <a:sysClr val="windowText" lastClr="000000"/>
                            </a:solidFill>
                            <a:effectLst/>
                            <a:latin typeface="Cambria Math" panose="02040503050406030204" pitchFamily="18" charset="0"/>
                            <a:ea typeface="+mn-ea"/>
                            <a:cs typeface="+mn-cs"/>
                          </a:rPr>
                          <m:t>)</m:t>
                        </m:r>
                      </m:num>
                      <m:den>
                        <m:r>
                          <a:rPr lang="en-US" sz="1200" b="0" i="1">
                            <a:solidFill>
                              <a:sysClr val="windowText" lastClr="000000"/>
                            </a:solidFill>
                            <a:effectLst/>
                            <a:latin typeface="Cambria Math" panose="02040503050406030204" pitchFamily="18" charset="0"/>
                            <a:ea typeface="+mn-ea"/>
                            <a:cs typeface="+mn-cs"/>
                          </a:rPr>
                          <m:t>𝑅𝐸</m:t>
                        </m:r>
                        <m:r>
                          <a:rPr lang="en-US" sz="1200" b="0" i="1">
                            <a:solidFill>
                              <a:sysClr val="windowText" lastClr="000000"/>
                            </a:solidFill>
                            <a:effectLst/>
                            <a:latin typeface="Cambria Math" panose="02040503050406030204" pitchFamily="18" charset="0"/>
                            <a:ea typeface="+mn-ea"/>
                            <a:cs typeface="+mn-cs"/>
                          </a:rPr>
                          <m:t>_</m:t>
                        </m:r>
                        <m:r>
                          <a:rPr lang="en-US" sz="1200" b="0" i="1">
                            <a:solidFill>
                              <a:sysClr val="windowText" lastClr="000000"/>
                            </a:solidFill>
                            <a:effectLst/>
                            <a:latin typeface="Cambria Math" panose="02040503050406030204" pitchFamily="18" charset="0"/>
                            <a:ea typeface="+mn-ea"/>
                            <a:cs typeface="+mn-cs"/>
                          </a:rPr>
                          <m:t>𝑒𝑙𝑒𝑐𝑡𝑟𝑖𝑐</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3,412</m:t>
                        </m:r>
                      </m:den>
                    </m:f>
                  </m:oMath>
                </m:oMathPara>
              </a14:m>
              <a:endParaRPr lang="en-US" sz="1200" i="1" baseline="-25000">
                <a:solidFill>
                  <a:sysClr val="windowText" lastClr="000000"/>
                </a:solidFill>
                <a:effectLst/>
                <a:latin typeface="Book Antiqua" panose="02040602050305030304" pitchFamily="18" charset="0"/>
              </a:endParaRPr>
            </a:p>
            <a:p>
              <a:pPr algn="l"/>
              <a:endParaRPr lang="en-US" sz="1200" i="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3883898A-2DF7-4596-85FB-B0D8CE09B75E}"/>
                </a:ext>
              </a:extLst>
            </xdr:cNvPr>
            <xdr:cNvSpPr txBox="1"/>
          </xdr:nvSpPr>
          <xdr:spPr>
            <a:xfrm>
              <a:off x="4136571" y="166117656"/>
              <a:ext cx="14777358" cy="49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ysClr val="windowText" lastClr="000000"/>
                  </a:solidFill>
                  <a:effectLst/>
                  <a:latin typeface="Cambria Math" panose="02040503050406030204" pitchFamily="18" charset="0"/>
                  <a:ea typeface="+mn-ea"/>
                  <a:cs typeface="+mn-cs"/>
                </a:rPr>
                <a:t>8.33</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1.0</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(𝑆ℎ𝑜𝑤𝑒𝑟𝑇𝑒𝑚𝑝 −𝑆𝑢𝑝𝑝𝑙𝑦𝑇𝑒𝑚𝑝)</a:t>
              </a:r>
              <a:r>
                <a:rPr lang="en-US" sz="1600" b="0" i="0">
                  <a:solidFill>
                    <a:sysClr val="windowText" lastClr="000000"/>
                  </a:solidFill>
                  <a:effectLst/>
                  <a:latin typeface="Cambria Math" panose="02040503050406030204" pitchFamily="18" charset="0"/>
                  <a:ea typeface="+mn-ea"/>
                  <a:cs typeface="+mn-cs"/>
                </a:rPr>
                <a:t>)/(</a:t>
              </a:r>
              <a:r>
                <a:rPr lang="en-US" sz="1200" b="0" i="0">
                  <a:solidFill>
                    <a:sysClr val="windowText" lastClr="000000"/>
                  </a:solidFill>
                  <a:effectLst/>
                  <a:latin typeface="Cambria Math" panose="02040503050406030204" pitchFamily="18" charset="0"/>
                  <a:ea typeface="+mn-ea"/>
                  <a:cs typeface="+mn-cs"/>
                </a:rPr>
                <a:t>𝑅𝐸_𝑒𝑙𝑒𝑐𝑡𝑟𝑖𝑐</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3,412</a:t>
              </a:r>
              <a:r>
                <a:rPr lang="en-US" sz="1600" b="0" i="0">
                  <a:solidFill>
                    <a:sysClr val="windowText" lastClr="000000"/>
                  </a:solidFill>
                  <a:effectLst/>
                  <a:latin typeface="Cambria Math" panose="02040503050406030204" pitchFamily="18" charset="0"/>
                  <a:ea typeface="+mn-ea"/>
                  <a:cs typeface="+mn-cs"/>
                </a:rPr>
                <a:t>)</a:t>
              </a:r>
              <a:endParaRPr lang="en-US" sz="1200" i="1" baseline="-25000">
                <a:solidFill>
                  <a:sysClr val="windowText" lastClr="000000"/>
                </a:solidFill>
                <a:effectLst/>
                <a:latin typeface="Book Antiqua" panose="02040602050305030304" pitchFamily="18" charset="0"/>
              </a:endParaRPr>
            </a:p>
            <a:p>
              <a:pPr algn="l"/>
              <a:endParaRPr lang="en-US" sz="1200" i="0">
                <a:solidFill>
                  <a:sysClr val="windowText" lastClr="000000"/>
                </a:solidFill>
              </a:endParaRPr>
            </a:p>
          </xdr:txBody>
        </xdr:sp>
      </mc:Fallback>
    </mc:AlternateContent>
    <xdr:clientData/>
  </xdr:twoCellAnchor>
  <xdr:oneCellAnchor>
    <xdr:from>
      <xdr:col>27</xdr:col>
      <xdr:colOff>3614</xdr:colOff>
      <xdr:row>749</xdr:row>
      <xdr:rowOff>0</xdr:rowOff>
    </xdr:from>
    <xdr:ext cx="65" cy="172227"/>
    <xdr:sp macro="" textlink="">
      <xdr:nvSpPr>
        <xdr:cNvPr id="154" name="TextBox 153">
          <a:extLst>
            <a:ext uri="{FF2B5EF4-FFF2-40B4-BE49-F238E27FC236}">
              <a16:creationId xmlns:a16="http://schemas.microsoft.com/office/drawing/2014/main" id="{00000000-0008-0000-0A00-00009A000000}"/>
            </a:ext>
          </a:extLst>
        </xdr:cNvPr>
        <xdr:cNvSpPr txBox="1"/>
      </xdr:nvSpPr>
      <xdr:spPr>
        <a:xfrm>
          <a:off x="34179314" y="4712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749</xdr:row>
      <xdr:rowOff>0</xdr:rowOff>
    </xdr:from>
    <xdr:ext cx="65" cy="172227"/>
    <xdr:sp macro="" textlink="">
      <xdr:nvSpPr>
        <xdr:cNvPr id="155" name="TextBox 154">
          <a:extLst>
            <a:ext uri="{FF2B5EF4-FFF2-40B4-BE49-F238E27FC236}">
              <a16:creationId xmlns:a16="http://schemas.microsoft.com/office/drawing/2014/main" id="{00000000-0008-0000-0A00-00009B000000}"/>
            </a:ext>
          </a:extLst>
        </xdr:cNvPr>
        <xdr:cNvSpPr txBox="1"/>
      </xdr:nvSpPr>
      <xdr:spPr>
        <a:xfrm>
          <a:off x="34179314" y="4712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3181894</xdr:colOff>
      <xdr:row>1188</xdr:row>
      <xdr:rowOff>0</xdr:rowOff>
    </xdr:from>
    <xdr:to>
      <xdr:col>12</xdr:col>
      <xdr:colOff>271</xdr:colOff>
      <xdr:row>1188</xdr:row>
      <xdr:rowOff>0</xdr:rowOff>
    </xdr:to>
    <mc:AlternateContent xmlns:mc="http://schemas.openxmlformats.org/markup-compatibility/2006" xmlns:a14="http://schemas.microsoft.com/office/drawing/2010/main">
      <mc:Choice Requires="a14">
        <xdr:sp macro="" textlink="">
          <xdr:nvSpPr>
            <xdr:cNvPr id="158" name="TextBox 157">
              <a:extLst>
                <a:ext uri="{FF2B5EF4-FFF2-40B4-BE49-F238E27FC236}">
                  <a16:creationId xmlns:a16="http://schemas.microsoft.com/office/drawing/2014/main" id="{00000000-0008-0000-0A00-00009E000000}"/>
                </a:ext>
              </a:extLst>
            </xdr:cNvPr>
            <xdr:cNvSpPr txBox="1"/>
          </xdr:nvSpPr>
          <xdr:spPr>
            <a:xfrm>
              <a:off x="6753769" y="83524725"/>
              <a:ext cx="1147735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rPr>
                            </m:ctrlPr>
                          </m:sSubPr>
                          <m:e>
                            <m:r>
                              <m:rPr>
                                <m:sty m:val="p"/>
                              </m:rPr>
                              <a:rPr lang="el-GR" sz="1400" b="0" i="1">
                                <a:solidFill>
                                  <a:sysClr val="windowText" lastClr="000000"/>
                                </a:solidFill>
                                <a:latin typeface="Cambria Math" panose="02040503050406030204" pitchFamily="18" charset="0"/>
                              </a:rPr>
                              <m:t>Σ</m:t>
                            </m:r>
                          </m:e>
                          <m:sub>
                            <m:r>
                              <a:rPr lang="en-US" sz="1400" b="0" i="1">
                                <a:solidFill>
                                  <a:sysClr val="windowText" lastClr="000000"/>
                                </a:solidFill>
                                <a:latin typeface="Cambria Math" panose="02040503050406030204" pitchFamily="18" charset="0"/>
                              </a:rPr>
                              <m:t>h𝑒𝑎𝑡</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𝐴</m:t>
                        </m:r>
                      </m:num>
                      <m:den>
                        <m:r>
                          <m:rPr>
                            <m:sty m:val="p"/>
                          </m:rPr>
                          <a:rPr lang="el-GR" sz="1400" b="0" i="1">
                            <a:solidFill>
                              <a:sysClr val="windowText" lastClr="000000"/>
                            </a:solidFill>
                            <a:latin typeface="Cambria Math" panose="02040503050406030204" pitchFamily="18" charset="0"/>
                          </a:rPr>
                          <m:t>η</m:t>
                        </m:r>
                        <m:r>
                          <a:rPr lang="en-US" sz="1400" b="0" i="1">
                            <a:solidFill>
                              <a:sysClr val="windowText" lastClr="000000"/>
                            </a:solidFill>
                            <a:latin typeface="Cambria Math" panose="02040503050406030204" pitchFamily="18" charset="0"/>
                          </a:rPr>
                          <m:t>𝐻𝑒𝑎𝑡</m:t>
                        </m:r>
                        <m:r>
                          <a:rPr lang="en-US" sz="1400" b="0" i="1">
                            <a:solidFill>
                              <a:sysClr val="windowText" lastClr="000000"/>
                            </a:solidFill>
                            <a:latin typeface="Cambria Math" panose="02040503050406030204" pitchFamily="18" charset="0"/>
                          </a:rPr>
                          <m:t>∗3.412</m:t>
                        </m:r>
                      </m:den>
                    </m:f>
                  </m:oMath>
                </m:oMathPara>
              </a14:m>
              <a:endParaRPr lang="en-US" sz="1400">
                <a:solidFill>
                  <a:sysClr val="windowText" lastClr="000000"/>
                </a:solidFill>
              </a:endParaRPr>
            </a:p>
          </xdr:txBody>
        </xdr:sp>
      </mc:Choice>
      <mc:Fallback xmlns="">
        <xdr:sp macro="" textlink="">
          <xdr:nvSpPr>
            <xdr:cNvPr id="158" name="TextBox 157">
              <a:extLst>
                <a:ext uri="{FF2B5EF4-FFF2-40B4-BE49-F238E27FC236}">
                  <a16:creationId xmlns:a16="http://schemas.microsoft.com/office/drawing/2014/main" id="{191AC597-577A-4E08-ACB9-7D110D0FA57D}"/>
                </a:ext>
              </a:extLst>
            </xdr:cNvPr>
            <xdr:cNvSpPr txBox="1"/>
          </xdr:nvSpPr>
          <xdr:spPr>
            <a:xfrm>
              <a:off x="6749143" y="69324662"/>
              <a:ext cx="11346451" cy="4960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n-US" sz="1400" b="0" i="0">
                  <a:solidFill>
                    <a:sysClr val="windowText" lastClr="000000"/>
                  </a:solidFill>
                  <a:latin typeface="Cambria Math" panose="02040503050406030204" pitchFamily="18" charset="0"/>
                </a:rPr>
                <a:t>=(</a:t>
              </a:r>
              <a:r>
                <a:rPr lang="el-GR" sz="1400" b="0" i="0">
                  <a:solidFill>
                    <a:sysClr val="windowText" lastClr="000000"/>
                  </a:solidFill>
                  <a:latin typeface="Cambria Math" panose="02040503050406030204" pitchFamily="18" charset="0"/>
                </a:rPr>
                <a:t>Σ</a:t>
              </a:r>
              <a:r>
                <a:rPr lang="en-US" sz="1400" b="0" i="0">
                  <a:solidFill>
                    <a:sysClr val="windowText" lastClr="000000"/>
                  </a:solidFill>
                  <a:latin typeface="Cambria Math" panose="02040503050406030204" pitchFamily="18" charset="0"/>
                </a:rPr>
                <a:t>_ℎ𝑒𝑎𝑡∗𝐴)/(</a:t>
              </a:r>
              <a:r>
                <a:rPr lang="el-GR" sz="1400" b="0" i="0">
                  <a:solidFill>
                    <a:sysClr val="windowText" lastClr="000000"/>
                  </a:solidFill>
                  <a:latin typeface="Cambria Math" panose="02040503050406030204" pitchFamily="18" charset="0"/>
                </a:rPr>
                <a:t>η</a:t>
              </a:r>
              <a:r>
                <a:rPr lang="en-US" sz="1400" b="0" i="0">
                  <a:solidFill>
                    <a:sysClr val="windowText" lastClr="000000"/>
                  </a:solidFill>
                  <a:latin typeface="Cambria Math" panose="02040503050406030204" pitchFamily="18" charset="0"/>
                </a:rPr>
                <a:t>𝐻𝑒𝑎𝑡∗3.412)</a:t>
              </a:r>
              <a:endParaRPr lang="en-US" sz="1400">
                <a:solidFill>
                  <a:sysClr val="windowText" lastClr="000000"/>
                </a:solidFill>
              </a:endParaRPr>
            </a:p>
          </xdr:txBody>
        </xdr:sp>
      </mc:Fallback>
    </mc:AlternateContent>
    <xdr:clientData/>
  </xdr:twoCellAnchor>
  <xdr:oneCellAnchor>
    <xdr:from>
      <xdr:col>27</xdr:col>
      <xdr:colOff>3614</xdr:colOff>
      <xdr:row>1173</xdr:row>
      <xdr:rowOff>0</xdr:rowOff>
    </xdr:from>
    <xdr:ext cx="65" cy="172227"/>
    <xdr:sp macro="" textlink="">
      <xdr:nvSpPr>
        <xdr:cNvPr id="159" name="TextBox 158">
          <a:extLst>
            <a:ext uri="{FF2B5EF4-FFF2-40B4-BE49-F238E27FC236}">
              <a16:creationId xmlns:a16="http://schemas.microsoft.com/office/drawing/2014/main" id="{00000000-0008-0000-0A00-00009F000000}"/>
            </a:ext>
          </a:extLst>
        </xdr:cNvPr>
        <xdr:cNvSpPr txBox="1"/>
      </xdr:nvSpPr>
      <xdr:spPr>
        <a:xfrm>
          <a:off x="34179314" y="80629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1173</xdr:row>
      <xdr:rowOff>0</xdr:rowOff>
    </xdr:from>
    <xdr:ext cx="65" cy="172227"/>
    <xdr:sp macro="" textlink="">
      <xdr:nvSpPr>
        <xdr:cNvPr id="160" name="TextBox 159">
          <a:extLst>
            <a:ext uri="{FF2B5EF4-FFF2-40B4-BE49-F238E27FC236}">
              <a16:creationId xmlns:a16="http://schemas.microsoft.com/office/drawing/2014/main" id="{00000000-0008-0000-0A00-0000A0000000}"/>
            </a:ext>
          </a:extLst>
        </xdr:cNvPr>
        <xdr:cNvSpPr txBox="1"/>
      </xdr:nvSpPr>
      <xdr:spPr>
        <a:xfrm>
          <a:off x="34179314" y="80629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740500</xdr:colOff>
      <xdr:row>157</xdr:row>
      <xdr:rowOff>0</xdr:rowOff>
    </xdr:from>
    <xdr:to>
      <xdr:col>5</xdr:col>
      <xdr:colOff>340177</xdr:colOff>
      <xdr:row>157</xdr:row>
      <xdr:rowOff>0</xdr:rowOff>
    </xdr:to>
    <mc:AlternateContent xmlns:mc="http://schemas.openxmlformats.org/markup-compatibility/2006" xmlns:a14="http://schemas.microsoft.com/office/drawing/2010/main">
      <mc:Choice Requires="a14">
        <xdr:sp macro="" textlink="">
          <xdr:nvSpPr>
            <xdr:cNvPr id="161" name="TextBox 160">
              <a:extLst>
                <a:ext uri="{FF2B5EF4-FFF2-40B4-BE49-F238E27FC236}">
                  <a16:creationId xmlns:a16="http://schemas.microsoft.com/office/drawing/2014/main" id="{00000000-0008-0000-0A00-0000A1000000}"/>
                </a:ext>
              </a:extLst>
            </xdr:cNvPr>
            <xdr:cNvSpPr txBox="1"/>
          </xdr:nvSpPr>
          <xdr:spPr>
            <a:xfrm>
              <a:off x="4312375" y="27174825"/>
              <a:ext cx="519085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ysClr val="windowText" lastClr="000000"/>
                </a:solidFill>
              </a:endParaRPr>
            </a:p>
          </xdr:txBody>
        </xdr:sp>
      </mc:Choice>
      <mc:Fallback xmlns="">
        <xdr:sp macro="" textlink="">
          <xdr:nvSpPr>
            <xdr:cNvPr id="161" name="TextBox 160">
              <a:extLst>
                <a:ext uri="{FF2B5EF4-FFF2-40B4-BE49-F238E27FC236}">
                  <a16:creationId xmlns:a16="http://schemas.microsoft.com/office/drawing/2014/main" id="{0DC1DB57-A587-409A-98B4-F2009FBD6665}"/>
                </a:ext>
              </a:extLst>
            </xdr:cNvPr>
            <xdr:cNvSpPr txBox="1"/>
          </xdr:nvSpPr>
          <xdr:spPr>
            <a:xfrm>
              <a:off x="4204606" y="37419644"/>
              <a:ext cx="5048250" cy="4027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ysClr val="windowText" lastClr="000000"/>
                </a:solidFill>
              </a:endParaRPr>
            </a:p>
          </xdr:txBody>
        </xdr:sp>
      </mc:Fallback>
    </mc:AlternateContent>
    <xdr:clientData/>
  </xdr:twoCellAnchor>
  <xdr:oneCellAnchor>
    <xdr:from>
      <xdr:col>27</xdr:col>
      <xdr:colOff>3614</xdr:colOff>
      <xdr:row>1086</xdr:row>
      <xdr:rowOff>0</xdr:rowOff>
    </xdr:from>
    <xdr:ext cx="65" cy="172227"/>
    <xdr:sp macro="" textlink="">
      <xdr:nvSpPr>
        <xdr:cNvPr id="165" name="TextBox 164">
          <a:extLst>
            <a:ext uri="{FF2B5EF4-FFF2-40B4-BE49-F238E27FC236}">
              <a16:creationId xmlns:a16="http://schemas.microsoft.com/office/drawing/2014/main" id="{00000000-0008-0000-0A00-0000A5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1086</xdr:row>
      <xdr:rowOff>0</xdr:rowOff>
    </xdr:from>
    <xdr:ext cx="65" cy="172227"/>
    <xdr:sp macro="" textlink="">
      <xdr:nvSpPr>
        <xdr:cNvPr id="166" name="TextBox 165">
          <a:extLst>
            <a:ext uri="{FF2B5EF4-FFF2-40B4-BE49-F238E27FC236}">
              <a16:creationId xmlns:a16="http://schemas.microsoft.com/office/drawing/2014/main" id="{00000000-0008-0000-0A00-0000A6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1086</xdr:row>
      <xdr:rowOff>0</xdr:rowOff>
    </xdr:from>
    <xdr:ext cx="65" cy="172227"/>
    <xdr:sp macro="" textlink="">
      <xdr:nvSpPr>
        <xdr:cNvPr id="167" name="TextBox 166">
          <a:extLst>
            <a:ext uri="{FF2B5EF4-FFF2-40B4-BE49-F238E27FC236}">
              <a16:creationId xmlns:a16="http://schemas.microsoft.com/office/drawing/2014/main" id="{00000000-0008-0000-0A00-0000A7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1086</xdr:row>
      <xdr:rowOff>0</xdr:rowOff>
    </xdr:from>
    <xdr:ext cx="65" cy="172227"/>
    <xdr:sp macro="" textlink="">
      <xdr:nvSpPr>
        <xdr:cNvPr id="168" name="TextBox 167">
          <a:extLst>
            <a:ext uri="{FF2B5EF4-FFF2-40B4-BE49-F238E27FC236}">
              <a16:creationId xmlns:a16="http://schemas.microsoft.com/office/drawing/2014/main" id="{00000000-0008-0000-0A00-0000A8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1086</xdr:row>
      <xdr:rowOff>0</xdr:rowOff>
    </xdr:from>
    <xdr:ext cx="65" cy="172227"/>
    <xdr:sp macro="" textlink="">
      <xdr:nvSpPr>
        <xdr:cNvPr id="169" name="TextBox 168">
          <a:extLst>
            <a:ext uri="{FF2B5EF4-FFF2-40B4-BE49-F238E27FC236}">
              <a16:creationId xmlns:a16="http://schemas.microsoft.com/office/drawing/2014/main" id="{00000000-0008-0000-0A00-0000A9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1086</xdr:row>
      <xdr:rowOff>0</xdr:rowOff>
    </xdr:from>
    <xdr:ext cx="65" cy="172227"/>
    <xdr:sp macro="" textlink="">
      <xdr:nvSpPr>
        <xdr:cNvPr id="170" name="TextBox 169">
          <a:extLst>
            <a:ext uri="{FF2B5EF4-FFF2-40B4-BE49-F238E27FC236}">
              <a16:creationId xmlns:a16="http://schemas.microsoft.com/office/drawing/2014/main" id="{00000000-0008-0000-0A00-0000AA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1086</xdr:row>
      <xdr:rowOff>0</xdr:rowOff>
    </xdr:from>
    <xdr:ext cx="65" cy="172227"/>
    <xdr:sp macro="" textlink="">
      <xdr:nvSpPr>
        <xdr:cNvPr id="171" name="TextBox 170">
          <a:extLst>
            <a:ext uri="{FF2B5EF4-FFF2-40B4-BE49-F238E27FC236}">
              <a16:creationId xmlns:a16="http://schemas.microsoft.com/office/drawing/2014/main" id="{00000000-0008-0000-0A00-0000AB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1086</xdr:row>
      <xdr:rowOff>0</xdr:rowOff>
    </xdr:from>
    <xdr:ext cx="65" cy="172227"/>
    <xdr:sp macro="" textlink="">
      <xdr:nvSpPr>
        <xdr:cNvPr id="172" name="TextBox 171">
          <a:extLst>
            <a:ext uri="{FF2B5EF4-FFF2-40B4-BE49-F238E27FC236}">
              <a16:creationId xmlns:a16="http://schemas.microsoft.com/office/drawing/2014/main" id="{00000000-0008-0000-0A00-0000AC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1086</xdr:row>
      <xdr:rowOff>0</xdr:rowOff>
    </xdr:from>
    <xdr:ext cx="65" cy="172227"/>
    <xdr:sp macro="" textlink="">
      <xdr:nvSpPr>
        <xdr:cNvPr id="173" name="TextBox 172">
          <a:extLst>
            <a:ext uri="{FF2B5EF4-FFF2-40B4-BE49-F238E27FC236}">
              <a16:creationId xmlns:a16="http://schemas.microsoft.com/office/drawing/2014/main" id="{00000000-0008-0000-0A00-0000AD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1086</xdr:row>
      <xdr:rowOff>0</xdr:rowOff>
    </xdr:from>
    <xdr:ext cx="65" cy="172227"/>
    <xdr:sp macro="" textlink="">
      <xdr:nvSpPr>
        <xdr:cNvPr id="174" name="TextBox 173">
          <a:extLst>
            <a:ext uri="{FF2B5EF4-FFF2-40B4-BE49-F238E27FC236}">
              <a16:creationId xmlns:a16="http://schemas.microsoft.com/office/drawing/2014/main" id="{00000000-0008-0000-0A00-0000AE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1086</xdr:row>
      <xdr:rowOff>0</xdr:rowOff>
    </xdr:from>
    <xdr:ext cx="65" cy="172227"/>
    <xdr:sp macro="" textlink="">
      <xdr:nvSpPr>
        <xdr:cNvPr id="175" name="TextBox 174">
          <a:extLst>
            <a:ext uri="{FF2B5EF4-FFF2-40B4-BE49-F238E27FC236}">
              <a16:creationId xmlns:a16="http://schemas.microsoft.com/office/drawing/2014/main" id="{00000000-0008-0000-0A00-0000AF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1086</xdr:row>
      <xdr:rowOff>0</xdr:rowOff>
    </xdr:from>
    <xdr:ext cx="65" cy="172227"/>
    <xdr:sp macro="" textlink="">
      <xdr:nvSpPr>
        <xdr:cNvPr id="176" name="TextBox 175">
          <a:extLst>
            <a:ext uri="{FF2B5EF4-FFF2-40B4-BE49-F238E27FC236}">
              <a16:creationId xmlns:a16="http://schemas.microsoft.com/office/drawing/2014/main" id="{00000000-0008-0000-0A00-0000B0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1086</xdr:row>
      <xdr:rowOff>0</xdr:rowOff>
    </xdr:from>
    <xdr:ext cx="65" cy="172227"/>
    <xdr:sp macro="" textlink="">
      <xdr:nvSpPr>
        <xdr:cNvPr id="177" name="TextBox 176">
          <a:extLst>
            <a:ext uri="{FF2B5EF4-FFF2-40B4-BE49-F238E27FC236}">
              <a16:creationId xmlns:a16="http://schemas.microsoft.com/office/drawing/2014/main" id="{00000000-0008-0000-0A00-0000B1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1086</xdr:row>
      <xdr:rowOff>0</xdr:rowOff>
    </xdr:from>
    <xdr:ext cx="65" cy="172227"/>
    <xdr:sp macro="" textlink="">
      <xdr:nvSpPr>
        <xdr:cNvPr id="178" name="TextBox 177">
          <a:extLst>
            <a:ext uri="{FF2B5EF4-FFF2-40B4-BE49-F238E27FC236}">
              <a16:creationId xmlns:a16="http://schemas.microsoft.com/office/drawing/2014/main" id="{00000000-0008-0000-0A00-0000B2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1086</xdr:row>
      <xdr:rowOff>0</xdr:rowOff>
    </xdr:from>
    <xdr:ext cx="65" cy="172227"/>
    <xdr:sp macro="" textlink="">
      <xdr:nvSpPr>
        <xdr:cNvPr id="179" name="TextBox 178">
          <a:extLst>
            <a:ext uri="{FF2B5EF4-FFF2-40B4-BE49-F238E27FC236}">
              <a16:creationId xmlns:a16="http://schemas.microsoft.com/office/drawing/2014/main" id="{00000000-0008-0000-0A00-0000B3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1086</xdr:row>
      <xdr:rowOff>0</xdr:rowOff>
    </xdr:from>
    <xdr:ext cx="65" cy="172227"/>
    <xdr:sp macro="" textlink="">
      <xdr:nvSpPr>
        <xdr:cNvPr id="180" name="TextBox 179">
          <a:extLst>
            <a:ext uri="{FF2B5EF4-FFF2-40B4-BE49-F238E27FC236}">
              <a16:creationId xmlns:a16="http://schemas.microsoft.com/office/drawing/2014/main" id="{00000000-0008-0000-0A00-0000B4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1086</xdr:row>
      <xdr:rowOff>0</xdr:rowOff>
    </xdr:from>
    <xdr:ext cx="65" cy="172227"/>
    <xdr:sp macro="" textlink="">
      <xdr:nvSpPr>
        <xdr:cNvPr id="181" name="TextBox 180">
          <a:extLst>
            <a:ext uri="{FF2B5EF4-FFF2-40B4-BE49-F238E27FC236}">
              <a16:creationId xmlns:a16="http://schemas.microsoft.com/office/drawing/2014/main" id="{00000000-0008-0000-0A00-0000B5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1086</xdr:row>
      <xdr:rowOff>0</xdr:rowOff>
    </xdr:from>
    <xdr:ext cx="65" cy="172227"/>
    <xdr:sp macro="" textlink="">
      <xdr:nvSpPr>
        <xdr:cNvPr id="182" name="TextBox 181">
          <a:extLst>
            <a:ext uri="{FF2B5EF4-FFF2-40B4-BE49-F238E27FC236}">
              <a16:creationId xmlns:a16="http://schemas.microsoft.com/office/drawing/2014/main" id="{00000000-0008-0000-0A00-0000B6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1086</xdr:row>
      <xdr:rowOff>0</xdr:rowOff>
    </xdr:from>
    <xdr:ext cx="65" cy="172227"/>
    <xdr:sp macro="" textlink="">
      <xdr:nvSpPr>
        <xdr:cNvPr id="183" name="TextBox 182">
          <a:extLst>
            <a:ext uri="{FF2B5EF4-FFF2-40B4-BE49-F238E27FC236}">
              <a16:creationId xmlns:a16="http://schemas.microsoft.com/office/drawing/2014/main" id="{00000000-0008-0000-0A00-0000B7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1086</xdr:row>
      <xdr:rowOff>0</xdr:rowOff>
    </xdr:from>
    <xdr:ext cx="65" cy="172227"/>
    <xdr:sp macro="" textlink="">
      <xdr:nvSpPr>
        <xdr:cNvPr id="184" name="TextBox 183">
          <a:extLst>
            <a:ext uri="{FF2B5EF4-FFF2-40B4-BE49-F238E27FC236}">
              <a16:creationId xmlns:a16="http://schemas.microsoft.com/office/drawing/2014/main" id="{00000000-0008-0000-0A00-0000B8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1086</xdr:row>
      <xdr:rowOff>0</xdr:rowOff>
    </xdr:from>
    <xdr:ext cx="65" cy="172227"/>
    <xdr:sp macro="" textlink="">
      <xdr:nvSpPr>
        <xdr:cNvPr id="185" name="TextBox 184">
          <a:extLst>
            <a:ext uri="{FF2B5EF4-FFF2-40B4-BE49-F238E27FC236}">
              <a16:creationId xmlns:a16="http://schemas.microsoft.com/office/drawing/2014/main" id="{00000000-0008-0000-0A00-0000B9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1086</xdr:row>
      <xdr:rowOff>0</xdr:rowOff>
    </xdr:from>
    <xdr:ext cx="65" cy="172227"/>
    <xdr:sp macro="" textlink="">
      <xdr:nvSpPr>
        <xdr:cNvPr id="186" name="TextBox 185">
          <a:extLst>
            <a:ext uri="{FF2B5EF4-FFF2-40B4-BE49-F238E27FC236}">
              <a16:creationId xmlns:a16="http://schemas.microsoft.com/office/drawing/2014/main" id="{00000000-0008-0000-0A00-0000BA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1086</xdr:row>
      <xdr:rowOff>0</xdr:rowOff>
    </xdr:from>
    <xdr:ext cx="65" cy="172227"/>
    <xdr:sp macro="" textlink="">
      <xdr:nvSpPr>
        <xdr:cNvPr id="187" name="TextBox 186">
          <a:extLst>
            <a:ext uri="{FF2B5EF4-FFF2-40B4-BE49-F238E27FC236}">
              <a16:creationId xmlns:a16="http://schemas.microsoft.com/office/drawing/2014/main" id="{00000000-0008-0000-0A00-0000BB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1086</xdr:row>
      <xdr:rowOff>0</xdr:rowOff>
    </xdr:from>
    <xdr:ext cx="65" cy="172227"/>
    <xdr:sp macro="" textlink="">
      <xdr:nvSpPr>
        <xdr:cNvPr id="188" name="TextBox 187">
          <a:extLst>
            <a:ext uri="{FF2B5EF4-FFF2-40B4-BE49-F238E27FC236}">
              <a16:creationId xmlns:a16="http://schemas.microsoft.com/office/drawing/2014/main" id="{00000000-0008-0000-0A00-0000BC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1086</xdr:row>
      <xdr:rowOff>0</xdr:rowOff>
    </xdr:from>
    <xdr:ext cx="65" cy="172227"/>
    <xdr:sp macro="" textlink="">
      <xdr:nvSpPr>
        <xdr:cNvPr id="189" name="TextBox 188">
          <a:extLst>
            <a:ext uri="{FF2B5EF4-FFF2-40B4-BE49-F238E27FC236}">
              <a16:creationId xmlns:a16="http://schemas.microsoft.com/office/drawing/2014/main" id="{00000000-0008-0000-0A00-0000BD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1086</xdr:row>
      <xdr:rowOff>0</xdr:rowOff>
    </xdr:from>
    <xdr:ext cx="65" cy="172227"/>
    <xdr:sp macro="" textlink="">
      <xdr:nvSpPr>
        <xdr:cNvPr id="190" name="TextBox 189">
          <a:extLst>
            <a:ext uri="{FF2B5EF4-FFF2-40B4-BE49-F238E27FC236}">
              <a16:creationId xmlns:a16="http://schemas.microsoft.com/office/drawing/2014/main" id="{00000000-0008-0000-0A00-0000BE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1086</xdr:row>
      <xdr:rowOff>0</xdr:rowOff>
    </xdr:from>
    <xdr:ext cx="65" cy="172227"/>
    <xdr:sp macro="" textlink="">
      <xdr:nvSpPr>
        <xdr:cNvPr id="191" name="TextBox 190">
          <a:extLst>
            <a:ext uri="{FF2B5EF4-FFF2-40B4-BE49-F238E27FC236}">
              <a16:creationId xmlns:a16="http://schemas.microsoft.com/office/drawing/2014/main" id="{00000000-0008-0000-0A00-0000BF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1086</xdr:row>
      <xdr:rowOff>0</xdr:rowOff>
    </xdr:from>
    <xdr:ext cx="65" cy="172227"/>
    <xdr:sp macro="" textlink="">
      <xdr:nvSpPr>
        <xdr:cNvPr id="192" name="TextBox 191">
          <a:extLst>
            <a:ext uri="{FF2B5EF4-FFF2-40B4-BE49-F238E27FC236}">
              <a16:creationId xmlns:a16="http://schemas.microsoft.com/office/drawing/2014/main" id="{00000000-0008-0000-0A00-0000C0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1086</xdr:row>
      <xdr:rowOff>0</xdr:rowOff>
    </xdr:from>
    <xdr:ext cx="65" cy="172227"/>
    <xdr:sp macro="" textlink="">
      <xdr:nvSpPr>
        <xdr:cNvPr id="193" name="TextBox 192">
          <a:extLst>
            <a:ext uri="{FF2B5EF4-FFF2-40B4-BE49-F238E27FC236}">
              <a16:creationId xmlns:a16="http://schemas.microsoft.com/office/drawing/2014/main" id="{00000000-0008-0000-0A00-0000C1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1086</xdr:row>
      <xdr:rowOff>0</xdr:rowOff>
    </xdr:from>
    <xdr:ext cx="65" cy="172227"/>
    <xdr:sp macro="" textlink="">
      <xdr:nvSpPr>
        <xdr:cNvPr id="194" name="TextBox 193">
          <a:extLst>
            <a:ext uri="{FF2B5EF4-FFF2-40B4-BE49-F238E27FC236}">
              <a16:creationId xmlns:a16="http://schemas.microsoft.com/office/drawing/2014/main" id="{00000000-0008-0000-0A00-0000C2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1086</xdr:row>
      <xdr:rowOff>0</xdr:rowOff>
    </xdr:from>
    <xdr:ext cx="65" cy="172227"/>
    <xdr:sp macro="" textlink="">
      <xdr:nvSpPr>
        <xdr:cNvPr id="195" name="TextBox 194">
          <a:extLst>
            <a:ext uri="{FF2B5EF4-FFF2-40B4-BE49-F238E27FC236}">
              <a16:creationId xmlns:a16="http://schemas.microsoft.com/office/drawing/2014/main" id="{00000000-0008-0000-0A00-0000C3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1086</xdr:row>
      <xdr:rowOff>0</xdr:rowOff>
    </xdr:from>
    <xdr:ext cx="65" cy="172227"/>
    <xdr:sp macro="" textlink="">
      <xdr:nvSpPr>
        <xdr:cNvPr id="196" name="TextBox 195">
          <a:extLst>
            <a:ext uri="{FF2B5EF4-FFF2-40B4-BE49-F238E27FC236}">
              <a16:creationId xmlns:a16="http://schemas.microsoft.com/office/drawing/2014/main" id="{00000000-0008-0000-0A00-0000C4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1086</xdr:row>
      <xdr:rowOff>0</xdr:rowOff>
    </xdr:from>
    <xdr:ext cx="65" cy="172227"/>
    <xdr:sp macro="" textlink="">
      <xdr:nvSpPr>
        <xdr:cNvPr id="197" name="TextBox 196">
          <a:extLst>
            <a:ext uri="{FF2B5EF4-FFF2-40B4-BE49-F238E27FC236}">
              <a16:creationId xmlns:a16="http://schemas.microsoft.com/office/drawing/2014/main" id="{00000000-0008-0000-0A00-0000C5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1086</xdr:row>
      <xdr:rowOff>0</xdr:rowOff>
    </xdr:from>
    <xdr:ext cx="65" cy="172227"/>
    <xdr:sp macro="" textlink="">
      <xdr:nvSpPr>
        <xdr:cNvPr id="198" name="TextBox 197">
          <a:extLst>
            <a:ext uri="{FF2B5EF4-FFF2-40B4-BE49-F238E27FC236}">
              <a16:creationId xmlns:a16="http://schemas.microsoft.com/office/drawing/2014/main" id="{00000000-0008-0000-0A00-0000C6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1086</xdr:row>
      <xdr:rowOff>0</xdr:rowOff>
    </xdr:from>
    <xdr:ext cx="65" cy="172227"/>
    <xdr:sp macro="" textlink="">
      <xdr:nvSpPr>
        <xdr:cNvPr id="199" name="TextBox 198">
          <a:extLst>
            <a:ext uri="{FF2B5EF4-FFF2-40B4-BE49-F238E27FC236}">
              <a16:creationId xmlns:a16="http://schemas.microsoft.com/office/drawing/2014/main" id="{00000000-0008-0000-0A00-0000C7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1086</xdr:row>
      <xdr:rowOff>0</xdr:rowOff>
    </xdr:from>
    <xdr:ext cx="65" cy="172227"/>
    <xdr:sp macro="" textlink="">
      <xdr:nvSpPr>
        <xdr:cNvPr id="200" name="TextBox 199">
          <a:extLst>
            <a:ext uri="{FF2B5EF4-FFF2-40B4-BE49-F238E27FC236}">
              <a16:creationId xmlns:a16="http://schemas.microsoft.com/office/drawing/2014/main" id="{00000000-0008-0000-0A00-0000C8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1086</xdr:row>
      <xdr:rowOff>0</xdr:rowOff>
    </xdr:from>
    <xdr:ext cx="65" cy="172227"/>
    <xdr:sp macro="" textlink="">
      <xdr:nvSpPr>
        <xdr:cNvPr id="201" name="TextBox 200">
          <a:extLst>
            <a:ext uri="{FF2B5EF4-FFF2-40B4-BE49-F238E27FC236}">
              <a16:creationId xmlns:a16="http://schemas.microsoft.com/office/drawing/2014/main" id="{00000000-0008-0000-0A00-0000C9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1086</xdr:row>
      <xdr:rowOff>0</xdr:rowOff>
    </xdr:from>
    <xdr:ext cx="65" cy="172227"/>
    <xdr:sp macro="" textlink="">
      <xdr:nvSpPr>
        <xdr:cNvPr id="202" name="TextBox 201">
          <a:extLst>
            <a:ext uri="{FF2B5EF4-FFF2-40B4-BE49-F238E27FC236}">
              <a16:creationId xmlns:a16="http://schemas.microsoft.com/office/drawing/2014/main" id="{00000000-0008-0000-0A00-0000CA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1086</xdr:row>
      <xdr:rowOff>0</xdr:rowOff>
    </xdr:from>
    <xdr:ext cx="65" cy="172227"/>
    <xdr:sp macro="" textlink="">
      <xdr:nvSpPr>
        <xdr:cNvPr id="203" name="TextBox 202">
          <a:extLst>
            <a:ext uri="{FF2B5EF4-FFF2-40B4-BE49-F238E27FC236}">
              <a16:creationId xmlns:a16="http://schemas.microsoft.com/office/drawing/2014/main" id="{00000000-0008-0000-0A00-0000CB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1086</xdr:row>
      <xdr:rowOff>0</xdr:rowOff>
    </xdr:from>
    <xdr:ext cx="65" cy="172227"/>
    <xdr:sp macro="" textlink="">
      <xdr:nvSpPr>
        <xdr:cNvPr id="204" name="TextBox 203">
          <a:extLst>
            <a:ext uri="{FF2B5EF4-FFF2-40B4-BE49-F238E27FC236}">
              <a16:creationId xmlns:a16="http://schemas.microsoft.com/office/drawing/2014/main" id="{00000000-0008-0000-0A00-0000CC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1086</xdr:row>
      <xdr:rowOff>0</xdr:rowOff>
    </xdr:from>
    <xdr:ext cx="65" cy="172227"/>
    <xdr:sp macro="" textlink="">
      <xdr:nvSpPr>
        <xdr:cNvPr id="205" name="TextBox 204">
          <a:extLst>
            <a:ext uri="{FF2B5EF4-FFF2-40B4-BE49-F238E27FC236}">
              <a16:creationId xmlns:a16="http://schemas.microsoft.com/office/drawing/2014/main" id="{00000000-0008-0000-0A00-0000CD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1086</xdr:row>
      <xdr:rowOff>0</xdr:rowOff>
    </xdr:from>
    <xdr:ext cx="65" cy="172227"/>
    <xdr:sp macro="" textlink="">
      <xdr:nvSpPr>
        <xdr:cNvPr id="206" name="TextBox 205">
          <a:extLst>
            <a:ext uri="{FF2B5EF4-FFF2-40B4-BE49-F238E27FC236}">
              <a16:creationId xmlns:a16="http://schemas.microsoft.com/office/drawing/2014/main" id="{00000000-0008-0000-0A00-0000CE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1086</xdr:row>
      <xdr:rowOff>0</xdr:rowOff>
    </xdr:from>
    <xdr:ext cx="65" cy="172227"/>
    <xdr:sp macro="" textlink="">
      <xdr:nvSpPr>
        <xdr:cNvPr id="207" name="TextBox 206">
          <a:extLst>
            <a:ext uri="{FF2B5EF4-FFF2-40B4-BE49-F238E27FC236}">
              <a16:creationId xmlns:a16="http://schemas.microsoft.com/office/drawing/2014/main" id="{00000000-0008-0000-0A00-0000CF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1086</xdr:row>
      <xdr:rowOff>0</xdr:rowOff>
    </xdr:from>
    <xdr:ext cx="65" cy="172227"/>
    <xdr:sp macro="" textlink="">
      <xdr:nvSpPr>
        <xdr:cNvPr id="208" name="TextBox 207">
          <a:extLst>
            <a:ext uri="{FF2B5EF4-FFF2-40B4-BE49-F238E27FC236}">
              <a16:creationId xmlns:a16="http://schemas.microsoft.com/office/drawing/2014/main" id="{00000000-0008-0000-0A00-0000D0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1086</xdr:row>
      <xdr:rowOff>0</xdr:rowOff>
    </xdr:from>
    <xdr:ext cx="65" cy="172227"/>
    <xdr:sp macro="" textlink="">
      <xdr:nvSpPr>
        <xdr:cNvPr id="209" name="TextBox 208">
          <a:extLst>
            <a:ext uri="{FF2B5EF4-FFF2-40B4-BE49-F238E27FC236}">
              <a16:creationId xmlns:a16="http://schemas.microsoft.com/office/drawing/2014/main" id="{00000000-0008-0000-0A00-0000D1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1086</xdr:row>
      <xdr:rowOff>0</xdr:rowOff>
    </xdr:from>
    <xdr:ext cx="65" cy="172227"/>
    <xdr:sp macro="" textlink="">
      <xdr:nvSpPr>
        <xdr:cNvPr id="210" name="TextBox 209">
          <a:extLst>
            <a:ext uri="{FF2B5EF4-FFF2-40B4-BE49-F238E27FC236}">
              <a16:creationId xmlns:a16="http://schemas.microsoft.com/office/drawing/2014/main" id="{00000000-0008-0000-0A00-0000D2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1086</xdr:row>
      <xdr:rowOff>0</xdr:rowOff>
    </xdr:from>
    <xdr:ext cx="65" cy="172227"/>
    <xdr:sp macro="" textlink="">
      <xdr:nvSpPr>
        <xdr:cNvPr id="211" name="TextBox 210">
          <a:extLst>
            <a:ext uri="{FF2B5EF4-FFF2-40B4-BE49-F238E27FC236}">
              <a16:creationId xmlns:a16="http://schemas.microsoft.com/office/drawing/2014/main" id="{00000000-0008-0000-0A00-0000D3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1086</xdr:row>
      <xdr:rowOff>0</xdr:rowOff>
    </xdr:from>
    <xdr:ext cx="65" cy="172227"/>
    <xdr:sp macro="" textlink="">
      <xdr:nvSpPr>
        <xdr:cNvPr id="212" name="TextBox 211">
          <a:extLst>
            <a:ext uri="{FF2B5EF4-FFF2-40B4-BE49-F238E27FC236}">
              <a16:creationId xmlns:a16="http://schemas.microsoft.com/office/drawing/2014/main" id="{00000000-0008-0000-0A00-0000D4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1086</xdr:row>
      <xdr:rowOff>0</xdr:rowOff>
    </xdr:from>
    <xdr:ext cx="65" cy="172227"/>
    <xdr:sp macro="" textlink="">
      <xdr:nvSpPr>
        <xdr:cNvPr id="213" name="TextBox 212">
          <a:extLst>
            <a:ext uri="{FF2B5EF4-FFF2-40B4-BE49-F238E27FC236}">
              <a16:creationId xmlns:a16="http://schemas.microsoft.com/office/drawing/2014/main" id="{00000000-0008-0000-0A00-0000D5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1086</xdr:row>
      <xdr:rowOff>0</xdr:rowOff>
    </xdr:from>
    <xdr:ext cx="65" cy="172227"/>
    <xdr:sp macro="" textlink="">
      <xdr:nvSpPr>
        <xdr:cNvPr id="214" name="TextBox 213">
          <a:extLst>
            <a:ext uri="{FF2B5EF4-FFF2-40B4-BE49-F238E27FC236}">
              <a16:creationId xmlns:a16="http://schemas.microsoft.com/office/drawing/2014/main" id="{00000000-0008-0000-0A00-0000D6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1086</xdr:row>
      <xdr:rowOff>0</xdr:rowOff>
    </xdr:from>
    <xdr:ext cx="65" cy="172227"/>
    <xdr:sp macro="" textlink="">
      <xdr:nvSpPr>
        <xdr:cNvPr id="215" name="TextBox 214">
          <a:extLst>
            <a:ext uri="{FF2B5EF4-FFF2-40B4-BE49-F238E27FC236}">
              <a16:creationId xmlns:a16="http://schemas.microsoft.com/office/drawing/2014/main" id="{00000000-0008-0000-0A00-0000D7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1086</xdr:row>
      <xdr:rowOff>0</xdr:rowOff>
    </xdr:from>
    <xdr:ext cx="65" cy="172227"/>
    <xdr:sp macro="" textlink="">
      <xdr:nvSpPr>
        <xdr:cNvPr id="216" name="TextBox 215">
          <a:extLst>
            <a:ext uri="{FF2B5EF4-FFF2-40B4-BE49-F238E27FC236}">
              <a16:creationId xmlns:a16="http://schemas.microsoft.com/office/drawing/2014/main" id="{00000000-0008-0000-0A00-0000D8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1086</xdr:row>
      <xdr:rowOff>0</xdr:rowOff>
    </xdr:from>
    <xdr:ext cx="65" cy="172227"/>
    <xdr:sp macro="" textlink="">
      <xdr:nvSpPr>
        <xdr:cNvPr id="217" name="TextBox 216">
          <a:extLst>
            <a:ext uri="{FF2B5EF4-FFF2-40B4-BE49-F238E27FC236}">
              <a16:creationId xmlns:a16="http://schemas.microsoft.com/office/drawing/2014/main" id="{00000000-0008-0000-0A00-0000D9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1086</xdr:row>
      <xdr:rowOff>0</xdr:rowOff>
    </xdr:from>
    <xdr:ext cx="65" cy="172227"/>
    <xdr:sp macro="" textlink="">
      <xdr:nvSpPr>
        <xdr:cNvPr id="218" name="TextBox 217">
          <a:extLst>
            <a:ext uri="{FF2B5EF4-FFF2-40B4-BE49-F238E27FC236}">
              <a16:creationId xmlns:a16="http://schemas.microsoft.com/office/drawing/2014/main" id="{00000000-0008-0000-0A00-0000DA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1086</xdr:row>
      <xdr:rowOff>0</xdr:rowOff>
    </xdr:from>
    <xdr:ext cx="65" cy="172227"/>
    <xdr:sp macro="" textlink="">
      <xdr:nvSpPr>
        <xdr:cNvPr id="219" name="TextBox 218">
          <a:extLst>
            <a:ext uri="{FF2B5EF4-FFF2-40B4-BE49-F238E27FC236}">
              <a16:creationId xmlns:a16="http://schemas.microsoft.com/office/drawing/2014/main" id="{00000000-0008-0000-0A00-0000DB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1086</xdr:row>
      <xdr:rowOff>0</xdr:rowOff>
    </xdr:from>
    <xdr:ext cx="65" cy="172227"/>
    <xdr:sp macro="" textlink="">
      <xdr:nvSpPr>
        <xdr:cNvPr id="220" name="TextBox 219">
          <a:extLst>
            <a:ext uri="{FF2B5EF4-FFF2-40B4-BE49-F238E27FC236}">
              <a16:creationId xmlns:a16="http://schemas.microsoft.com/office/drawing/2014/main" id="{00000000-0008-0000-0A00-0000DC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1086</xdr:row>
      <xdr:rowOff>0</xdr:rowOff>
    </xdr:from>
    <xdr:ext cx="65" cy="172227"/>
    <xdr:sp macro="" textlink="">
      <xdr:nvSpPr>
        <xdr:cNvPr id="221" name="TextBox 220">
          <a:extLst>
            <a:ext uri="{FF2B5EF4-FFF2-40B4-BE49-F238E27FC236}">
              <a16:creationId xmlns:a16="http://schemas.microsoft.com/office/drawing/2014/main" id="{00000000-0008-0000-0A00-0000DD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1086</xdr:row>
      <xdr:rowOff>0</xdr:rowOff>
    </xdr:from>
    <xdr:ext cx="65" cy="172227"/>
    <xdr:sp macro="" textlink="">
      <xdr:nvSpPr>
        <xdr:cNvPr id="222" name="TextBox 221">
          <a:extLst>
            <a:ext uri="{FF2B5EF4-FFF2-40B4-BE49-F238E27FC236}">
              <a16:creationId xmlns:a16="http://schemas.microsoft.com/office/drawing/2014/main" id="{00000000-0008-0000-0A00-0000DE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1086</xdr:row>
      <xdr:rowOff>0</xdr:rowOff>
    </xdr:from>
    <xdr:ext cx="65" cy="172227"/>
    <xdr:sp macro="" textlink="">
      <xdr:nvSpPr>
        <xdr:cNvPr id="223" name="TextBox 222">
          <a:extLst>
            <a:ext uri="{FF2B5EF4-FFF2-40B4-BE49-F238E27FC236}">
              <a16:creationId xmlns:a16="http://schemas.microsoft.com/office/drawing/2014/main" id="{00000000-0008-0000-0A00-0000DF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1086</xdr:row>
      <xdr:rowOff>0</xdr:rowOff>
    </xdr:from>
    <xdr:ext cx="65" cy="172227"/>
    <xdr:sp macro="" textlink="">
      <xdr:nvSpPr>
        <xdr:cNvPr id="224" name="TextBox 223">
          <a:extLst>
            <a:ext uri="{FF2B5EF4-FFF2-40B4-BE49-F238E27FC236}">
              <a16:creationId xmlns:a16="http://schemas.microsoft.com/office/drawing/2014/main" id="{00000000-0008-0000-0A00-0000E0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1086</xdr:row>
      <xdr:rowOff>0</xdr:rowOff>
    </xdr:from>
    <xdr:ext cx="65" cy="172227"/>
    <xdr:sp macro="" textlink="">
      <xdr:nvSpPr>
        <xdr:cNvPr id="225" name="TextBox 224">
          <a:extLst>
            <a:ext uri="{FF2B5EF4-FFF2-40B4-BE49-F238E27FC236}">
              <a16:creationId xmlns:a16="http://schemas.microsoft.com/office/drawing/2014/main" id="{00000000-0008-0000-0A00-0000E1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1086</xdr:row>
      <xdr:rowOff>0</xdr:rowOff>
    </xdr:from>
    <xdr:ext cx="65" cy="172227"/>
    <xdr:sp macro="" textlink="">
      <xdr:nvSpPr>
        <xdr:cNvPr id="226" name="TextBox 225">
          <a:extLst>
            <a:ext uri="{FF2B5EF4-FFF2-40B4-BE49-F238E27FC236}">
              <a16:creationId xmlns:a16="http://schemas.microsoft.com/office/drawing/2014/main" id="{00000000-0008-0000-0A00-0000E2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1086</xdr:row>
      <xdr:rowOff>0</xdr:rowOff>
    </xdr:from>
    <xdr:ext cx="65" cy="172227"/>
    <xdr:sp macro="" textlink="">
      <xdr:nvSpPr>
        <xdr:cNvPr id="227" name="TextBox 226">
          <a:extLst>
            <a:ext uri="{FF2B5EF4-FFF2-40B4-BE49-F238E27FC236}">
              <a16:creationId xmlns:a16="http://schemas.microsoft.com/office/drawing/2014/main" id="{00000000-0008-0000-0A00-0000E3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1086</xdr:row>
      <xdr:rowOff>0</xdr:rowOff>
    </xdr:from>
    <xdr:ext cx="65" cy="172227"/>
    <xdr:sp macro="" textlink="">
      <xdr:nvSpPr>
        <xdr:cNvPr id="228" name="TextBox 227">
          <a:extLst>
            <a:ext uri="{FF2B5EF4-FFF2-40B4-BE49-F238E27FC236}">
              <a16:creationId xmlns:a16="http://schemas.microsoft.com/office/drawing/2014/main" id="{00000000-0008-0000-0A00-0000E4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1086</xdr:row>
      <xdr:rowOff>0</xdr:rowOff>
    </xdr:from>
    <xdr:ext cx="65" cy="172227"/>
    <xdr:sp macro="" textlink="">
      <xdr:nvSpPr>
        <xdr:cNvPr id="229" name="TextBox 228">
          <a:extLst>
            <a:ext uri="{FF2B5EF4-FFF2-40B4-BE49-F238E27FC236}">
              <a16:creationId xmlns:a16="http://schemas.microsoft.com/office/drawing/2014/main" id="{00000000-0008-0000-0A00-0000E5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1086</xdr:row>
      <xdr:rowOff>0</xdr:rowOff>
    </xdr:from>
    <xdr:ext cx="65" cy="172227"/>
    <xdr:sp macro="" textlink="">
      <xdr:nvSpPr>
        <xdr:cNvPr id="230" name="TextBox 229">
          <a:extLst>
            <a:ext uri="{FF2B5EF4-FFF2-40B4-BE49-F238E27FC236}">
              <a16:creationId xmlns:a16="http://schemas.microsoft.com/office/drawing/2014/main" id="{00000000-0008-0000-0A00-0000E6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1086</xdr:row>
      <xdr:rowOff>0</xdr:rowOff>
    </xdr:from>
    <xdr:ext cx="65" cy="172227"/>
    <xdr:sp macro="" textlink="">
      <xdr:nvSpPr>
        <xdr:cNvPr id="231" name="TextBox 230">
          <a:extLst>
            <a:ext uri="{FF2B5EF4-FFF2-40B4-BE49-F238E27FC236}">
              <a16:creationId xmlns:a16="http://schemas.microsoft.com/office/drawing/2014/main" id="{00000000-0008-0000-0A00-0000E7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1086</xdr:row>
      <xdr:rowOff>0</xdr:rowOff>
    </xdr:from>
    <xdr:ext cx="65" cy="172227"/>
    <xdr:sp macro="" textlink="">
      <xdr:nvSpPr>
        <xdr:cNvPr id="232" name="TextBox 231">
          <a:extLst>
            <a:ext uri="{FF2B5EF4-FFF2-40B4-BE49-F238E27FC236}">
              <a16:creationId xmlns:a16="http://schemas.microsoft.com/office/drawing/2014/main" id="{00000000-0008-0000-0A00-0000E8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1086</xdr:row>
      <xdr:rowOff>0</xdr:rowOff>
    </xdr:from>
    <xdr:ext cx="65" cy="172227"/>
    <xdr:sp macro="" textlink="">
      <xdr:nvSpPr>
        <xdr:cNvPr id="233" name="TextBox 232">
          <a:extLst>
            <a:ext uri="{FF2B5EF4-FFF2-40B4-BE49-F238E27FC236}">
              <a16:creationId xmlns:a16="http://schemas.microsoft.com/office/drawing/2014/main" id="{00000000-0008-0000-0A00-0000E9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1086</xdr:row>
      <xdr:rowOff>0</xdr:rowOff>
    </xdr:from>
    <xdr:ext cx="65" cy="172227"/>
    <xdr:sp macro="" textlink="">
      <xdr:nvSpPr>
        <xdr:cNvPr id="234" name="TextBox 233">
          <a:extLst>
            <a:ext uri="{FF2B5EF4-FFF2-40B4-BE49-F238E27FC236}">
              <a16:creationId xmlns:a16="http://schemas.microsoft.com/office/drawing/2014/main" id="{00000000-0008-0000-0A00-0000EA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1086</xdr:row>
      <xdr:rowOff>0</xdr:rowOff>
    </xdr:from>
    <xdr:ext cx="65" cy="172227"/>
    <xdr:sp macro="" textlink="">
      <xdr:nvSpPr>
        <xdr:cNvPr id="235" name="TextBox 234">
          <a:extLst>
            <a:ext uri="{FF2B5EF4-FFF2-40B4-BE49-F238E27FC236}">
              <a16:creationId xmlns:a16="http://schemas.microsoft.com/office/drawing/2014/main" id="{00000000-0008-0000-0A00-0000EB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1086</xdr:row>
      <xdr:rowOff>0</xdr:rowOff>
    </xdr:from>
    <xdr:ext cx="65" cy="172227"/>
    <xdr:sp macro="" textlink="">
      <xdr:nvSpPr>
        <xdr:cNvPr id="236" name="TextBox 235">
          <a:extLst>
            <a:ext uri="{FF2B5EF4-FFF2-40B4-BE49-F238E27FC236}">
              <a16:creationId xmlns:a16="http://schemas.microsoft.com/office/drawing/2014/main" id="{00000000-0008-0000-0A00-0000EC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1086</xdr:row>
      <xdr:rowOff>0</xdr:rowOff>
    </xdr:from>
    <xdr:ext cx="65" cy="172227"/>
    <xdr:sp macro="" textlink="">
      <xdr:nvSpPr>
        <xdr:cNvPr id="237" name="TextBox 236">
          <a:extLst>
            <a:ext uri="{FF2B5EF4-FFF2-40B4-BE49-F238E27FC236}">
              <a16:creationId xmlns:a16="http://schemas.microsoft.com/office/drawing/2014/main" id="{00000000-0008-0000-0A00-0000ED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1086</xdr:row>
      <xdr:rowOff>0</xdr:rowOff>
    </xdr:from>
    <xdr:ext cx="65" cy="172227"/>
    <xdr:sp macro="" textlink="">
      <xdr:nvSpPr>
        <xdr:cNvPr id="238" name="TextBox 237">
          <a:extLst>
            <a:ext uri="{FF2B5EF4-FFF2-40B4-BE49-F238E27FC236}">
              <a16:creationId xmlns:a16="http://schemas.microsoft.com/office/drawing/2014/main" id="{00000000-0008-0000-0A00-0000EE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1086</xdr:row>
      <xdr:rowOff>0</xdr:rowOff>
    </xdr:from>
    <xdr:ext cx="65" cy="172227"/>
    <xdr:sp macro="" textlink="">
      <xdr:nvSpPr>
        <xdr:cNvPr id="239" name="TextBox 238">
          <a:extLst>
            <a:ext uri="{FF2B5EF4-FFF2-40B4-BE49-F238E27FC236}">
              <a16:creationId xmlns:a16="http://schemas.microsoft.com/office/drawing/2014/main" id="{00000000-0008-0000-0A00-0000EF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1086</xdr:row>
      <xdr:rowOff>0</xdr:rowOff>
    </xdr:from>
    <xdr:ext cx="65" cy="172227"/>
    <xdr:sp macro="" textlink="">
      <xdr:nvSpPr>
        <xdr:cNvPr id="240" name="TextBox 239">
          <a:extLst>
            <a:ext uri="{FF2B5EF4-FFF2-40B4-BE49-F238E27FC236}">
              <a16:creationId xmlns:a16="http://schemas.microsoft.com/office/drawing/2014/main" id="{00000000-0008-0000-0A00-0000F0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1086</xdr:row>
      <xdr:rowOff>0</xdr:rowOff>
    </xdr:from>
    <xdr:ext cx="65" cy="172227"/>
    <xdr:sp macro="" textlink="">
      <xdr:nvSpPr>
        <xdr:cNvPr id="241" name="TextBox 240">
          <a:extLst>
            <a:ext uri="{FF2B5EF4-FFF2-40B4-BE49-F238E27FC236}">
              <a16:creationId xmlns:a16="http://schemas.microsoft.com/office/drawing/2014/main" id="{00000000-0008-0000-0A00-0000F1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1086</xdr:row>
      <xdr:rowOff>0</xdr:rowOff>
    </xdr:from>
    <xdr:ext cx="65" cy="172227"/>
    <xdr:sp macro="" textlink="">
      <xdr:nvSpPr>
        <xdr:cNvPr id="242" name="TextBox 241">
          <a:extLst>
            <a:ext uri="{FF2B5EF4-FFF2-40B4-BE49-F238E27FC236}">
              <a16:creationId xmlns:a16="http://schemas.microsoft.com/office/drawing/2014/main" id="{00000000-0008-0000-0A00-0000F2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1086</xdr:row>
      <xdr:rowOff>0</xdr:rowOff>
    </xdr:from>
    <xdr:ext cx="65" cy="172227"/>
    <xdr:sp macro="" textlink="">
      <xdr:nvSpPr>
        <xdr:cNvPr id="243" name="TextBox 242">
          <a:extLst>
            <a:ext uri="{FF2B5EF4-FFF2-40B4-BE49-F238E27FC236}">
              <a16:creationId xmlns:a16="http://schemas.microsoft.com/office/drawing/2014/main" id="{00000000-0008-0000-0A00-0000F3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1086</xdr:row>
      <xdr:rowOff>0</xdr:rowOff>
    </xdr:from>
    <xdr:ext cx="65" cy="172227"/>
    <xdr:sp macro="" textlink="">
      <xdr:nvSpPr>
        <xdr:cNvPr id="244" name="TextBox 243">
          <a:extLst>
            <a:ext uri="{FF2B5EF4-FFF2-40B4-BE49-F238E27FC236}">
              <a16:creationId xmlns:a16="http://schemas.microsoft.com/office/drawing/2014/main" id="{00000000-0008-0000-0A00-0000F4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1086</xdr:row>
      <xdr:rowOff>0</xdr:rowOff>
    </xdr:from>
    <xdr:ext cx="65" cy="172227"/>
    <xdr:sp macro="" textlink="">
      <xdr:nvSpPr>
        <xdr:cNvPr id="245" name="TextBox 244">
          <a:extLst>
            <a:ext uri="{FF2B5EF4-FFF2-40B4-BE49-F238E27FC236}">
              <a16:creationId xmlns:a16="http://schemas.microsoft.com/office/drawing/2014/main" id="{00000000-0008-0000-0A00-0000F5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1086</xdr:row>
      <xdr:rowOff>0</xdr:rowOff>
    </xdr:from>
    <xdr:ext cx="65" cy="172227"/>
    <xdr:sp macro="" textlink="">
      <xdr:nvSpPr>
        <xdr:cNvPr id="246" name="TextBox 245">
          <a:extLst>
            <a:ext uri="{FF2B5EF4-FFF2-40B4-BE49-F238E27FC236}">
              <a16:creationId xmlns:a16="http://schemas.microsoft.com/office/drawing/2014/main" id="{00000000-0008-0000-0A00-0000F6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1086</xdr:row>
      <xdr:rowOff>0</xdr:rowOff>
    </xdr:from>
    <xdr:ext cx="65" cy="172227"/>
    <xdr:sp macro="" textlink="">
      <xdr:nvSpPr>
        <xdr:cNvPr id="247" name="TextBox 246">
          <a:extLst>
            <a:ext uri="{FF2B5EF4-FFF2-40B4-BE49-F238E27FC236}">
              <a16:creationId xmlns:a16="http://schemas.microsoft.com/office/drawing/2014/main" id="{00000000-0008-0000-0A00-0000F7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1086</xdr:row>
      <xdr:rowOff>0</xdr:rowOff>
    </xdr:from>
    <xdr:ext cx="65" cy="172227"/>
    <xdr:sp macro="" textlink="">
      <xdr:nvSpPr>
        <xdr:cNvPr id="248" name="TextBox 247">
          <a:extLst>
            <a:ext uri="{FF2B5EF4-FFF2-40B4-BE49-F238E27FC236}">
              <a16:creationId xmlns:a16="http://schemas.microsoft.com/office/drawing/2014/main" id="{00000000-0008-0000-0A00-0000F8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1086</xdr:row>
      <xdr:rowOff>0</xdr:rowOff>
    </xdr:from>
    <xdr:ext cx="65" cy="172227"/>
    <xdr:sp macro="" textlink="">
      <xdr:nvSpPr>
        <xdr:cNvPr id="249" name="TextBox 248">
          <a:extLst>
            <a:ext uri="{FF2B5EF4-FFF2-40B4-BE49-F238E27FC236}">
              <a16:creationId xmlns:a16="http://schemas.microsoft.com/office/drawing/2014/main" id="{00000000-0008-0000-0A00-0000F9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1086</xdr:row>
      <xdr:rowOff>0</xdr:rowOff>
    </xdr:from>
    <xdr:ext cx="65" cy="172227"/>
    <xdr:sp macro="" textlink="">
      <xdr:nvSpPr>
        <xdr:cNvPr id="250" name="TextBox 249">
          <a:extLst>
            <a:ext uri="{FF2B5EF4-FFF2-40B4-BE49-F238E27FC236}">
              <a16:creationId xmlns:a16="http://schemas.microsoft.com/office/drawing/2014/main" id="{00000000-0008-0000-0A00-0000FA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1086</xdr:row>
      <xdr:rowOff>0</xdr:rowOff>
    </xdr:from>
    <xdr:ext cx="65" cy="172227"/>
    <xdr:sp macro="" textlink="">
      <xdr:nvSpPr>
        <xdr:cNvPr id="251" name="TextBox 250">
          <a:extLst>
            <a:ext uri="{FF2B5EF4-FFF2-40B4-BE49-F238E27FC236}">
              <a16:creationId xmlns:a16="http://schemas.microsoft.com/office/drawing/2014/main" id="{00000000-0008-0000-0A00-0000FB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1086</xdr:row>
      <xdr:rowOff>0</xdr:rowOff>
    </xdr:from>
    <xdr:ext cx="65" cy="172227"/>
    <xdr:sp macro="" textlink="">
      <xdr:nvSpPr>
        <xdr:cNvPr id="252" name="TextBox 251">
          <a:extLst>
            <a:ext uri="{FF2B5EF4-FFF2-40B4-BE49-F238E27FC236}">
              <a16:creationId xmlns:a16="http://schemas.microsoft.com/office/drawing/2014/main" id="{00000000-0008-0000-0A00-0000FC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1086</xdr:row>
      <xdr:rowOff>0</xdr:rowOff>
    </xdr:from>
    <xdr:ext cx="65" cy="172227"/>
    <xdr:sp macro="" textlink="">
      <xdr:nvSpPr>
        <xdr:cNvPr id="253" name="TextBox 252">
          <a:extLst>
            <a:ext uri="{FF2B5EF4-FFF2-40B4-BE49-F238E27FC236}">
              <a16:creationId xmlns:a16="http://schemas.microsoft.com/office/drawing/2014/main" id="{00000000-0008-0000-0A00-0000FD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1086</xdr:row>
      <xdr:rowOff>0</xdr:rowOff>
    </xdr:from>
    <xdr:ext cx="65" cy="172227"/>
    <xdr:sp macro="" textlink="">
      <xdr:nvSpPr>
        <xdr:cNvPr id="254" name="TextBox 253">
          <a:extLst>
            <a:ext uri="{FF2B5EF4-FFF2-40B4-BE49-F238E27FC236}">
              <a16:creationId xmlns:a16="http://schemas.microsoft.com/office/drawing/2014/main" id="{00000000-0008-0000-0A00-0000FE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1086</xdr:row>
      <xdr:rowOff>0</xdr:rowOff>
    </xdr:from>
    <xdr:ext cx="65" cy="172227"/>
    <xdr:sp macro="" textlink="">
      <xdr:nvSpPr>
        <xdr:cNvPr id="255" name="TextBox 254">
          <a:extLst>
            <a:ext uri="{FF2B5EF4-FFF2-40B4-BE49-F238E27FC236}">
              <a16:creationId xmlns:a16="http://schemas.microsoft.com/office/drawing/2014/main" id="{00000000-0008-0000-0A00-0000FF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1086</xdr:row>
      <xdr:rowOff>0</xdr:rowOff>
    </xdr:from>
    <xdr:ext cx="65" cy="172227"/>
    <xdr:sp macro="" textlink="">
      <xdr:nvSpPr>
        <xdr:cNvPr id="256" name="TextBox 255">
          <a:extLst>
            <a:ext uri="{FF2B5EF4-FFF2-40B4-BE49-F238E27FC236}">
              <a16:creationId xmlns:a16="http://schemas.microsoft.com/office/drawing/2014/main" id="{00000000-0008-0000-0A00-000000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1086</xdr:row>
      <xdr:rowOff>0</xdr:rowOff>
    </xdr:from>
    <xdr:ext cx="65" cy="172227"/>
    <xdr:sp macro="" textlink="">
      <xdr:nvSpPr>
        <xdr:cNvPr id="257" name="TextBox 256">
          <a:extLst>
            <a:ext uri="{FF2B5EF4-FFF2-40B4-BE49-F238E27FC236}">
              <a16:creationId xmlns:a16="http://schemas.microsoft.com/office/drawing/2014/main" id="{00000000-0008-0000-0A00-000001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1086</xdr:row>
      <xdr:rowOff>0</xdr:rowOff>
    </xdr:from>
    <xdr:ext cx="65" cy="172227"/>
    <xdr:sp macro="" textlink="">
      <xdr:nvSpPr>
        <xdr:cNvPr id="258" name="TextBox 257">
          <a:extLst>
            <a:ext uri="{FF2B5EF4-FFF2-40B4-BE49-F238E27FC236}">
              <a16:creationId xmlns:a16="http://schemas.microsoft.com/office/drawing/2014/main" id="{00000000-0008-0000-0A00-000002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1086</xdr:row>
      <xdr:rowOff>0</xdr:rowOff>
    </xdr:from>
    <xdr:ext cx="65" cy="172227"/>
    <xdr:sp macro="" textlink="">
      <xdr:nvSpPr>
        <xdr:cNvPr id="259" name="TextBox 258">
          <a:extLst>
            <a:ext uri="{FF2B5EF4-FFF2-40B4-BE49-F238E27FC236}">
              <a16:creationId xmlns:a16="http://schemas.microsoft.com/office/drawing/2014/main" id="{00000000-0008-0000-0A00-000003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1086</xdr:row>
      <xdr:rowOff>0</xdr:rowOff>
    </xdr:from>
    <xdr:ext cx="65" cy="172227"/>
    <xdr:sp macro="" textlink="">
      <xdr:nvSpPr>
        <xdr:cNvPr id="260" name="TextBox 259">
          <a:extLst>
            <a:ext uri="{FF2B5EF4-FFF2-40B4-BE49-F238E27FC236}">
              <a16:creationId xmlns:a16="http://schemas.microsoft.com/office/drawing/2014/main" id="{00000000-0008-0000-0A00-000004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1086</xdr:row>
      <xdr:rowOff>0</xdr:rowOff>
    </xdr:from>
    <xdr:ext cx="65" cy="172227"/>
    <xdr:sp macro="" textlink="">
      <xdr:nvSpPr>
        <xdr:cNvPr id="261" name="TextBox 260">
          <a:extLst>
            <a:ext uri="{FF2B5EF4-FFF2-40B4-BE49-F238E27FC236}">
              <a16:creationId xmlns:a16="http://schemas.microsoft.com/office/drawing/2014/main" id="{00000000-0008-0000-0A00-000005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1086</xdr:row>
      <xdr:rowOff>0</xdr:rowOff>
    </xdr:from>
    <xdr:ext cx="65" cy="172227"/>
    <xdr:sp macro="" textlink="">
      <xdr:nvSpPr>
        <xdr:cNvPr id="262" name="TextBox 261">
          <a:extLst>
            <a:ext uri="{FF2B5EF4-FFF2-40B4-BE49-F238E27FC236}">
              <a16:creationId xmlns:a16="http://schemas.microsoft.com/office/drawing/2014/main" id="{00000000-0008-0000-0A00-000006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1086</xdr:row>
      <xdr:rowOff>0</xdr:rowOff>
    </xdr:from>
    <xdr:ext cx="65" cy="172227"/>
    <xdr:sp macro="" textlink="">
      <xdr:nvSpPr>
        <xdr:cNvPr id="263" name="TextBox 262">
          <a:extLst>
            <a:ext uri="{FF2B5EF4-FFF2-40B4-BE49-F238E27FC236}">
              <a16:creationId xmlns:a16="http://schemas.microsoft.com/office/drawing/2014/main" id="{00000000-0008-0000-0A00-000007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1086</xdr:row>
      <xdr:rowOff>0</xdr:rowOff>
    </xdr:from>
    <xdr:ext cx="65" cy="172227"/>
    <xdr:sp macro="" textlink="">
      <xdr:nvSpPr>
        <xdr:cNvPr id="264" name="TextBox 263">
          <a:extLst>
            <a:ext uri="{FF2B5EF4-FFF2-40B4-BE49-F238E27FC236}">
              <a16:creationId xmlns:a16="http://schemas.microsoft.com/office/drawing/2014/main" id="{00000000-0008-0000-0A00-000008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1086</xdr:row>
      <xdr:rowOff>0</xdr:rowOff>
    </xdr:from>
    <xdr:ext cx="65" cy="172227"/>
    <xdr:sp macro="" textlink="">
      <xdr:nvSpPr>
        <xdr:cNvPr id="265" name="TextBox 264">
          <a:extLst>
            <a:ext uri="{FF2B5EF4-FFF2-40B4-BE49-F238E27FC236}">
              <a16:creationId xmlns:a16="http://schemas.microsoft.com/office/drawing/2014/main" id="{00000000-0008-0000-0A00-000009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1086</xdr:row>
      <xdr:rowOff>0</xdr:rowOff>
    </xdr:from>
    <xdr:ext cx="65" cy="172227"/>
    <xdr:sp macro="" textlink="">
      <xdr:nvSpPr>
        <xdr:cNvPr id="266" name="TextBox 265">
          <a:extLst>
            <a:ext uri="{FF2B5EF4-FFF2-40B4-BE49-F238E27FC236}">
              <a16:creationId xmlns:a16="http://schemas.microsoft.com/office/drawing/2014/main" id="{00000000-0008-0000-0A00-00000A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1086</xdr:row>
      <xdr:rowOff>0</xdr:rowOff>
    </xdr:from>
    <xdr:ext cx="65" cy="172227"/>
    <xdr:sp macro="" textlink="">
      <xdr:nvSpPr>
        <xdr:cNvPr id="267" name="TextBox 266">
          <a:extLst>
            <a:ext uri="{FF2B5EF4-FFF2-40B4-BE49-F238E27FC236}">
              <a16:creationId xmlns:a16="http://schemas.microsoft.com/office/drawing/2014/main" id="{00000000-0008-0000-0A00-00000B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1086</xdr:row>
      <xdr:rowOff>0</xdr:rowOff>
    </xdr:from>
    <xdr:ext cx="65" cy="172227"/>
    <xdr:sp macro="" textlink="">
      <xdr:nvSpPr>
        <xdr:cNvPr id="268" name="TextBox 267">
          <a:extLst>
            <a:ext uri="{FF2B5EF4-FFF2-40B4-BE49-F238E27FC236}">
              <a16:creationId xmlns:a16="http://schemas.microsoft.com/office/drawing/2014/main" id="{00000000-0008-0000-0A00-00000C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1086</xdr:row>
      <xdr:rowOff>0</xdr:rowOff>
    </xdr:from>
    <xdr:ext cx="65" cy="172227"/>
    <xdr:sp macro="" textlink="">
      <xdr:nvSpPr>
        <xdr:cNvPr id="269" name="TextBox 268">
          <a:extLst>
            <a:ext uri="{FF2B5EF4-FFF2-40B4-BE49-F238E27FC236}">
              <a16:creationId xmlns:a16="http://schemas.microsoft.com/office/drawing/2014/main" id="{00000000-0008-0000-0A00-00000D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1086</xdr:row>
      <xdr:rowOff>0</xdr:rowOff>
    </xdr:from>
    <xdr:ext cx="65" cy="172227"/>
    <xdr:sp macro="" textlink="">
      <xdr:nvSpPr>
        <xdr:cNvPr id="270" name="TextBox 269">
          <a:extLst>
            <a:ext uri="{FF2B5EF4-FFF2-40B4-BE49-F238E27FC236}">
              <a16:creationId xmlns:a16="http://schemas.microsoft.com/office/drawing/2014/main" id="{00000000-0008-0000-0A00-00000E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1086</xdr:row>
      <xdr:rowOff>0</xdr:rowOff>
    </xdr:from>
    <xdr:ext cx="65" cy="172227"/>
    <xdr:sp macro="" textlink="">
      <xdr:nvSpPr>
        <xdr:cNvPr id="271" name="TextBox 270">
          <a:extLst>
            <a:ext uri="{FF2B5EF4-FFF2-40B4-BE49-F238E27FC236}">
              <a16:creationId xmlns:a16="http://schemas.microsoft.com/office/drawing/2014/main" id="{00000000-0008-0000-0A00-00000F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1086</xdr:row>
      <xdr:rowOff>0</xdr:rowOff>
    </xdr:from>
    <xdr:ext cx="65" cy="172227"/>
    <xdr:sp macro="" textlink="">
      <xdr:nvSpPr>
        <xdr:cNvPr id="272" name="TextBox 271">
          <a:extLst>
            <a:ext uri="{FF2B5EF4-FFF2-40B4-BE49-F238E27FC236}">
              <a16:creationId xmlns:a16="http://schemas.microsoft.com/office/drawing/2014/main" id="{00000000-0008-0000-0A00-000010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3502</xdr:colOff>
      <xdr:row>1214</xdr:row>
      <xdr:rowOff>0</xdr:rowOff>
    </xdr:from>
    <xdr:ext cx="65" cy="172227"/>
    <xdr:sp macro="" textlink="">
      <xdr:nvSpPr>
        <xdr:cNvPr id="273" name="TextBox 272">
          <a:extLst>
            <a:ext uri="{FF2B5EF4-FFF2-40B4-BE49-F238E27FC236}">
              <a16:creationId xmlns:a16="http://schemas.microsoft.com/office/drawing/2014/main" id="{00000000-0008-0000-0A00-000011010000}"/>
            </a:ext>
          </a:extLst>
        </xdr:cNvPr>
        <xdr:cNvSpPr txBox="1"/>
      </xdr:nvSpPr>
      <xdr:spPr>
        <a:xfrm>
          <a:off x="12471727"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3502</xdr:colOff>
      <xdr:row>1214</xdr:row>
      <xdr:rowOff>0</xdr:rowOff>
    </xdr:from>
    <xdr:ext cx="65" cy="172227"/>
    <xdr:sp macro="" textlink="">
      <xdr:nvSpPr>
        <xdr:cNvPr id="274" name="TextBox 273">
          <a:extLst>
            <a:ext uri="{FF2B5EF4-FFF2-40B4-BE49-F238E27FC236}">
              <a16:creationId xmlns:a16="http://schemas.microsoft.com/office/drawing/2014/main" id="{00000000-0008-0000-0A00-000012010000}"/>
            </a:ext>
          </a:extLst>
        </xdr:cNvPr>
        <xdr:cNvSpPr txBox="1"/>
      </xdr:nvSpPr>
      <xdr:spPr>
        <a:xfrm>
          <a:off x="12471727"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1214</xdr:row>
      <xdr:rowOff>0</xdr:rowOff>
    </xdr:from>
    <xdr:ext cx="65" cy="172227"/>
    <xdr:sp macro="" textlink="">
      <xdr:nvSpPr>
        <xdr:cNvPr id="279" name="TextBox 278">
          <a:extLst>
            <a:ext uri="{FF2B5EF4-FFF2-40B4-BE49-F238E27FC236}">
              <a16:creationId xmlns:a16="http://schemas.microsoft.com/office/drawing/2014/main" id="{00000000-0008-0000-0A00-000017010000}"/>
            </a:ext>
          </a:extLst>
        </xdr:cNvPr>
        <xdr:cNvSpPr txBox="1"/>
      </xdr:nvSpPr>
      <xdr:spPr>
        <a:xfrm>
          <a:off x="34179314"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1214</xdr:row>
      <xdr:rowOff>0</xdr:rowOff>
    </xdr:from>
    <xdr:ext cx="65" cy="172227"/>
    <xdr:sp macro="" textlink="">
      <xdr:nvSpPr>
        <xdr:cNvPr id="280" name="TextBox 279">
          <a:extLst>
            <a:ext uri="{FF2B5EF4-FFF2-40B4-BE49-F238E27FC236}">
              <a16:creationId xmlns:a16="http://schemas.microsoft.com/office/drawing/2014/main" id="{00000000-0008-0000-0A00-000018010000}"/>
            </a:ext>
          </a:extLst>
        </xdr:cNvPr>
        <xdr:cNvSpPr txBox="1"/>
      </xdr:nvSpPr>
      <xdr:spPr>
        <a:xfrm>
          <a:off x="34179314"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542925</xdr:colOff>
      <xdr:row>759</xdr:row>
      <xdr:rowOff>19050</xdr:rowOff>
    </xdr:from>
    <xdr:to>
      <xdr:col>13</xdr:col>
      <xdr:colOff>542925</xdr:colOff>
      <xdr:row>759</xdr:row>
      <xdr:rowOff>19050</xdr:rowOff>
    </xdr:to>
    <mc:AlternateContent xmlns:mc="http://schemas.openxmlformats.org/markup-compatibility/2006" xmlns:a14="http://schemas.microsoft.com/office/drawing/2010/main">
      <mc:Choice Requires="a14">
        <xdr:sp macro="" textlink="">
          <xdr:nvSpPr>
            <xdr:cNvPr id="282" name="TextBox 281">
              <a:extLst>
                <a:ext uri="{FF2B5EF4-FFF2-40B4-BE49-F238E27FC236}">
                  <a16:creationId xmlns:a16="http://schemas.microsoft.com/office/drawing/2014/main" id="{00000000-0008-0000-0A00-00001A010000}"/>
                </a:ext>
              </a:extLst>
            </xdr:cNvPr>
            <xdr:cNvSpPr txBox="1"/>
          </xdr:nvSpPr>
          <xdr:spPr>
            <a:xfrm>
              <a:off x="4010025" y="172907325"/>
              <a:ext cx="1427797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𝑇𝑅𝑀</m:t>
                    </m:r>
                    <m:r>
                      <a:rPr lang="en-US" sz="1600" b="0" i="1">
                        <a:solidFill>
                          <a:srgbClr val="FF0000"/>
                        </a:solidFill>
                        <a:latin typeface="Cambria Math" panose="02040503050406030204" pitchFamily="18" charset="0"/>
                        <a:ea typeface="Cambria Math" panose="02040503050406030204" pitchFamily="18" charset="0"/>
                      </a:rPr>
                      <m:t> </m:t>
                    </m:r>
                    <m:r>
                      <a:rPr lang="en-US" sz="1600" b="0" i="1">
                        <a:solidFill>
                          <a:srgbClr val="FF0000"/>
                        </a:solidFill>
                        <a:latin typeface="Cambria Math" panose="02040503050406030204" pitchFamily="18" charset="0"/>
                        <a:ea typeface="Cambria Math" panose="02040503050406030204" pitchFamily="18" charset="0"/>
                      </a:rPr>
                      <m:t>𝑆𝑒𝑐𝑡𝑖𝑜𝑛</m:t>
                    </m:r>
                    <m:r>
                      <a:rPr lang="en-US" sz="1600" b="0" i="1">
                        <a:solidFill>
                          <a:srgbClr val="FF0000"/>
                        </a:solidFill>
                        <a:latin typeface="Cambria Math" panose="02040503050406030204" pitchFamily="18" charset="0"/>
                        <a:ea typeface="Cambria Math" panose="02040503050406030204" pitchFamily="18" charset="0"/>
                      </a:rPr>
                      <m:t>: 3.3.1 </m:t>
                    </m:r>
                    <m:r>
                      <a:rPr lang="en-US" sz="1600" b="0" i="1">
                        <a:solidFill>
                          <a:srgbClr val="FF0000"/>
                        </a:solidFill>
                        <a:latin typeface="Cambria Math" panose="02040503050406030204" pitchFamily="18" charset="0"/>
                        <a:ea typeface="Cambria Math" panose="02040503050406030204" pitchFamily="18" charset="0"/>
                      </a:rPr>
                      <m:t>𝑘𝑊</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𝐶𝐹</m:t>
                    </m:r>
                  </m:oMath>
                </m:oMathPara>
              </a14:m>
              <a:endParaRPr lang="en-US" sz="1600">
                <a:solidFill>
                  <a:srgbClr val="FF0000"/>
                </a:solidFill>
              </a:endParaRPr>
            </a:p>
          </xdr:txBody>
        </xdr:sp>
      </mc:Choice>
      <mc:Fallback xmlns="">
        <xdr:sp macro="" textlink="">
          <xdr:nvSpPr>
            <xdr:cNvPr id="282" name="TextBox 281">
              <a:extLst>
                <a:ext uri="{FF2B5EF4-FFF2-40B4-BE49-F238E27FC236}">
                  <a16:creationId xmlns:a16="http://schemas.microsoft.com/office/drawing/2014/main" id="{D285F6E1-CDF3-46C2-8A6C-484E27F0A4D2}"/>
                </a:ext>
              </a:extLst>
            </xdr:cNvPr>
            <xdr:cNvSpPr txBox="1"/>
          </xdr:nvSpPr>
          <xdr:spPr>
            <a:xfrm>
              <a:off x="4010025" y="172907325"/>
              <a:ext cx="1427797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𝑇𝑅𝑀 𝑆𝑒𝑐𝑡𝑖𝑜𝑛: 3.3.1 𝑘𝑊=∆𝑘𝑊ℎ∗𝐶𝐹</a:t>
              </a:r>
              <a:endParaRPr lang="en-US" sz="1600">
                <a:solidFill>
                  <a:srgbClr val="FF0000"/>
                </a:solidFill>
              </a:endParaRPr>
            </a:p>
          </xdr:txBody>
        </xdr:sp>
      </mc:Fallback>
    </mc:AlternateContent>
    <xdr:clientData/>
  </xdr:twoCellAnchor>
  <xdr:oneCellAnchor>
    <xdr:from>
      <xdr:col>28</xdr:col>
      <xdr:colOff>3614</xdr:colOff>
      <xdr:row>1029</xdr:row>
      <xdr:rowOff>0</xdr:rowOff>
    </xdr:from>
    <xdr:ext cx="65" cy="172227"/>
    <xdr:sp macro="" textlink="">
      <xdr:nvSpPr>
        <xdr:cNvPr id="286" name="TextBox 285">
          <a:extLst>
            <a:ext uri="{FF2B5EF4-FFF2-40B4-BE49-F238E27FC236}">
              <a16:creationId xmlns:a16="http://schemas.microsoft.com/office/drawing/2014/main" id="{00000000-0008-0000-0A00-00001E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1029</xdr:row>
      <xdr:rowOff>0</xdr:rowOff>
    </xdr:from>
    <xdr:ext cx="65" cy="172227"/>
    <xdr:sp macro="" textlink="">
      <xdr:nvSpPr>
        <xdr:cNvPr id="287" name="TextBox 286">
          <a:extLst>
            <a:ext uri="{FF2B5EF4-FFF2-40B4-BE49-F238E27FC236}">
              <a16:creationId xmlns:a16="http://schemas.microsoft.com/office/drawing/2014/main" id="{00000000-0008-0000-0A00-00001F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1029</xdr:row>
      <xdr:rowOff>0</xdr:rowOff>
    </xdr:from>
    <xdr:ext cx="65" cy="172227"/>
    <xdr:sp macro="" textlink="">
      <xdr:nvSpPr>
        <xdr:cNvPr id="288" name="TextBox 287">
          <a:extLst>
            <a:ext uri="{FF2B5EF4-FFF2-40B4-BE49-F238E27FC236}">
              <a16:creationId xmlns:a16="http://schemas.microsoft.com/office/drawing/2014/main" id="{00000000-0008-0000-0A00-000020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1029</xdr:row>
      <xdr:rowOff>0</xdr:rowOff>
    </xdr:from>
    <xdr:ext cx="65" cy="172227"/>
    <xdr:sp macro="" textlink="">
      <xdr:nvSpPr>
        <xdr:cNvPr id="289" name="TextBox 288">
          <a:extLst>
            <a:ext uri="{FF2B5EF4-FFF2-40B4-BE49-F238E27FC236}">
              <a16:creationId xmlns:a16="http://schemas.microsoft.com/office/drawing/2014/main" id="{00000000-0008-0000-0A00-000021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1029</xdr:row>
      <xdr:rowOff>0</xdr:rowOff>
    </xdr:from>
    <xdr:ext cx="65" cy="172227"/>
    <xdr:sp macro="" textlink="">
      <xdr:nvSpPr>
        <xdr:cNvPr id="290" name="TextBox 289">
          <a:extLst>
            <a:ext uri="{FF2B5EF4-FFF2-40B4-BE49-F238E27FC236}">
              <a16:creationId xmlns:a16="http://schemas.microsoft.com/office/drawing/2014/main" id="{00000000-0008-0000-0A00-000022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1029</xdr:row>
      <xdr:rowOff>0</xdr:rowOff>
    </xdr:from>
    <xdr:ext cx="65" cy="172227"/>
    <xdr:sp macro="" textlink="">
      <xdr:nvSpPr>
        <xdr:cNvPr id="291" name="TextBox 290">
          <a:extLst>
            <a:ext uri="{FF2B5EF4-FFF2-40B4-BE49-F238E27FC236}">
              <a16:creationId xmlns:a16="http://schemas.microsoft.com/office/drawing/2014/main" id="{00000000-0008-0000-0A00-000023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1029</xdr:row>
      <xdr:rowOff>0</xdr:rowOff>
    </xdr:from>
    <xdr:ext cx="65" cy="172227"/>
    <xdr:sp macro="" textlink="">
      <xdr:nvSpPr>
        <xdr:cNvPr id="292" name="TextBox 291">
          <a:extLst>
            <a:ext uri="{FF2B5EF4-FFF2-40B4-BE49-F238E27FC236}">
              <a16:creationId xmlns:a16="http://schemas.microsoft.com/office/drawing/2014/main" id="{00000000-0008-0000-0A00-000024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1029</xdr:row>
      <xdr:rowOff>0</xdr:rowOff>
    </xdr:from>
    <xdr:ext cx="65" cy="172227"/>
    <xdr:sp macro="" textlink="">
      <xdr:nvSpPr>
        <xdr:cNvPr id="293" name="TextBox 292">
          <a:extLst>
            <a:ext uri="{FF2B5EF4-FFF2-40B4-BE49-F238E27FC236}">
              <a16:creationId xmlns:a16="http://schemas.microsoft.com/office/drawing/2014/main" id="{00000000-0008-0000-0A00-000025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1029</xdr:row>
      <xdr:rowOff>0</xdr:rowOff>
    </xdr:from>
    <xdr:ext cx="65" cy="172227"/>
    <xdr:sp macro="" textlink="">
      <xdr:nvSpPr>
        <xdr:cNvPr id="294" name="TextBox 293">
          <a:extLst>
            <a:ext uri="{FF2B5EF4-FFF2-40B4-BE49-F238E27FC236}">
              <a16:creationId xmlns:a16="http://schemas.microsoft.com/office/drawing/2014/main" id="{00000000-0008-0000-0A00-000026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1029</xdr:row>
      <xdr:rowOff>0</xdr:rowOff>
    </xdr:from>
    <xdr:ext cx="65" cy="172227"/>
    <xdr:sp macro="" textlink="">
      <xdr:nvSpPr>
        <xdr:cNvPr id="295" name="TextBox 294">
          <a:extLst>
            <a:ext uri="{FF2B5EF4-FFF2-40B4-BE49-F238E27FC236}">
              <a16:creationId xmlns:a16="http://schemas.microsoft.com/office/drawing/2014/main" id="{00000000-0008-0000-0A00-000027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1029</xdr:row>
      <xdr:rowOff>0</xdr:rowOff>
    </xdr:from>
    <xdr:ext cx="65" cy="172227"/>
    <xdr:sp macro="" textlink="">
      <xdr:nvSpPr>
        <xdr:cNvPr id="296" name="TextBox 295">
          <a:extLst>
            <a:ext uri="{FF2B5EF4-FFF2-40B4-BE49-F238E27FC236}">
              <a16:creationId xmlns:a16="http://schemas.microsoft.com/office/drawing/2014/main" id="{00000000-0008-0000-0A00-000028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1029</xdr:row>
      <xdr:rowOff>0</xdr:rowOff>
    </xdr:from>
    <xdr:ext cx="65" cy="172227"/>
    <xdr:sp macro="" textlink="">
      <xdr:nvSpPr>
        <xdr:cNvPr id="297" name="TextBox 296">
          <a:extLst>
            <a:ext uri="{FF2B5EF4-FFF2-40B4-BE49-F238E27FC236}">
              <a16:creationId xmlns:a16="http://schemas.microsoft.com/office/drawing/2014/main" id="{00000000-0008-0000-0A00-000029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1029</xdr:row>
      <xdr:rowOff>0</xdr:rowOff>
    </xdr:from>
    <xdr:ext cx="65" cy="172227"/>
    <xdr:sp macro="" textlink="">
      <xdr:nvSpPr>
        <xdr:cNvPr id="298" name="TextBox 297">
          <a:extLst>
            <a:ext uri="{FF2B5EF4-FFF2-40B4-BE49-F238E27FC236}">
              <a16:creationId xmlns:a16="http://schemas.microsoft.com/office/drawing/2014/main" id="{00000000-0008-0000-0A00-00002A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1029</xdr:row>
      <xdr:rowOff>0</xdr:rowOff>
    </xdr:from>
    <xdr:ext cx="65" cy="172227"/>
    <xdr:sp macro="" textlink="">
      <xdr:nvSpPr>
        <xdr:cNvPr id="299" name="TextBox 298">
          <a:extLst>
            <a:ext uri="{FF2B5EF4-FFF2-40B4-BE49-F238E27FC236}">
              <a16:creationId xmlns:a16="http://schemas.microsoft.com/office/drawing/2014/main" id="{00000000-0008-0000-0A00-00002B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1029</xdr:row>
      <xdr:rowOff>0</xdr:rowOff>
    </xdr:from>
    <xdr:ext cx="65" cy="172227"/>
    <xdr:sp macro="" textlink="">
      <xdr:nvSpPr>
        <xdr:cNvPr id="300" name="TextBox 299">
          <a:extLst>
            <a:ext uri="{FF2B5EF4-FFF2-40B4-BE49-F238E27FC236}">
              <a16:creationId xmlns:a16="http://schemas.microsoft.com/office/drawing/2014/main" id="{00000000-0008-0000-0A00-00002C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1029</xdr:row>
      <xdr:rowOff>0</xdr:rowOff>
    </xdr:from>
    <xdr:ext cx="65" cy="172227"/>
    <xdr:sp macro="" textlink="">
      <xdr:nvSpPr>
        <xdr:cNvPr id="301" name="TextBox 300">
          <a:extLst>
            <a:ext uri="{FF2B5EF4-FFF2-40B4-BE49-F238E27FC236}">
              <a16:creationId xmlns:a16="http://schemas.microsoft.com/office/drawing/2014/main" id="{00000000-0008-0000-0A00-00002D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1029</xdr:row>
      <xdr:rowOff>0</xdr:rowOff>
    </xdr:from>
    <xdr:ext cx="65" cy="172227"/>
    <xdr:sp macro="" textlink="">
      <xdr:nvSpPr>
        <xdr:cNvPr id="302" name="TextBox 301">
          <a:extLst>
            <a:ext uri="{FF2B5EF4-FFF2-40B4-BE49-F238E27FC236}">
              <a16:creationId xmlns:a16="http://schemas.microsoft.com/office/drawing/2014/main" id="{00000000-0008-0000-0A00-00002E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1029</xdr:row>
      <xdr:rowOff>0</xdr:rowOff>
    </xdr:from>
    <xdr:ext cx="65" cy="172227"/>
    <xdr:sp macro="" textlink="">
      <xdr:nvSpPr>
        <xdr:cNvPr id="303" name="TextBox 302">
          <a:extLst>
            <a:ext uri="{FF2B5EF4-FFF2-40B4-BE49-F238E27FC236}">
              <a16:creationId xmlns:a16="http://schemas.microsoft.com/office/drawing/2014/main" id="{00000000-0008-0000-0A00-00002F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1029</xdr:row>
      <xdr:rowOff>0</xdr:rowOff>
    </xdr:from>
    <xdr:ext cx="65" cy="172227"/>
    <xdr:sp macro="" textlink="">
      <xdr:nvSpPr>
        <xdr:cNvPr id="304" name="TextBox 303">
          <a:extLst>
            <a:ext uri="{FF2B5EF4-FFF2-40B4-BE49-F238E27FC236}">
              <a16:creationId xmlns:a16="http://schemas.microsoft.com/office/drawing/2014/main" id="{00000000-0008-0000-0A00-000030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1029</xdr:row>
      <xdr:rowOff>0</xdr:rowOff>
    </xdr:from>
    <xdr:ext cx="65" cy="172227"/>
    <xdr:sp macro="" textlink="">
      <xdr:nvSpPr>
        <xdr:cNvPr id="305" name="TextBox 304">
          <a:extLst>
            <a:ext uri="{FF2B5EF4-FFF2-40B4-BE49-F238E27FC236}">
              <a16:creationId xmlns:a16="http://schemas.microsoft.com/office/drawing/2014/main" id="{00000000-0008-0000-0A00-000031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1029</xdr:row>
      <xdr:rowOff>0</xdr:rowOff>
    </xdr:from>
    <xdr:ext cx="65" cy="172227"/>
    <xdr:sp macro="" textlink="">
      <xdr:nvSpPr>
        <xdr:cNvPr id="306" name="TextBox 305">
          <a:extLst>
            <a:ext uri="{FF2B5EF4-FFF2-40B4-BE49-F238E27FC236}">
              <a16:creationId xmlns:a16="http://schemas.microsoft.com/office/drawing/2014/main" id="{00000000-0008-0000-0A00-000032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1029</xdr:row>
      <xdr:rowOff>0</xdr:rowOff>
    </xdr:from>
    <xdr:ext cx="65" cy="172227"/>
    <xdr:sp macro="" textlink="">
      <xdr:nvSpPr>
        <xdr:cNvPr id="307" name="TextBox 306">
          <a:extLst>
            <a:ext uri="{FF2B5EF4-FFF2-40B4-BE49-F238E27FC236}">
              <a16:creationId xmlns:a16="http://schemas.microsoft.com/office/drawing/2014/main" id="{00000000-0008-0000-0A00-000033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1029</xdr:row>
      <xdr:rowOff>0</xdr:rowOff>
    </xdr:from>
    <xdr:ext cx="65" cy="172227"/>
    <xdr:sp macro="" textlink="">
      <xdr:nvSpPr>
        <xdr:cNvPr id="308" name="TextBox 307">
          <a:extLst>
            <a:ext uri="{FF2B5EF4-FFF2-40B4-BE49-F238E27FC236}">
              <a16:creationId xmlns:a16="http://schemas.microsoft.com/office/drawing/2014/main" id="{00000000-0008-0000-0A00-000034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1029</xdr:row>
      <xdr:rowOff>0</xdr:rowOff>
    </xdr:from>
    <xdr:ext cx="65" cy="172227"/>
    <xdr:sp macro="" textlink="">
      <xdr:nvSpPr>
        <xdr:cNvPr id="309" name="TextBox 308">
          <a:extLst>
            <a:ext uri="{FF2B5EF4-FFF2-40B4-BE49-F238E27FC236}">
              <a16:creationId xmlns:a16="http://schemas.microsoft.com/office/drawing/2014/main" id="{00000000-0008-0000-0A00-000035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1029</xdr:row>
      <xdr:rowOff>0</xdr:rowOff>
    </xdr:from>
    <xdr:ext cx="65" cy="172227"/>
    <xdr:sp macro="" textlink="">
      <xdr:nvSpPr>
        <xdr:cNvPr id="310" name="TextBox 309">
          <a:extLst>
            <a:ext uri="{FF2B5EF4-FFF2-40B4-BE49-F238E27FC236}">
              <a16:creationId xmlns:a16="http://schemas.microsoft.com/office/drawing/2014/main" id="{00000000-0008-0000-0A00-000036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1029</xdr:row>
      <xdr:rowOff>0</xdr:rowOff>
    </xdr:from>
    <xdr:ext cx="65" cy="172227"/>
    <xdr:sp macro="" textlink="">
      <xdr:nvSpPr>
        <xdr:cNvPr id="311" name="TextBox 310">
          <a:extLst>
            <a:ext uri="{FF2B5EF4-FFF2-40B4-BE49-F238E27FC236}">
              <a16:creationId xmlns:a16="http://schemas.microsoft.com/office/drawing/2014/main" id="{00000000-0008-0000-0A00-000037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1029</xdr:row>
      <xdr:rowOff>0</xdr:rowOff>
    </xdr:from>
    <xdr:ext cx="65" cy="172227"/>
    <xdr:sp macro="" textlink="">
      <xdr:nvSpPr>
        <xdr:cNvPr id="312" name="TextBox 311">
          <a:extLst>
            <a:ext uri="{FF2B5EF4-FFF2-40B4-BE49-F238E27FC236}">
              <a16:creationId xmlns:a16="http://schemas.microsoft.com/office/drawing/2014/main" id="{00000000-0008-0000-0A00-000038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1029</xdr:row>
      <xdr:rowOff>0</xdr:rowOff>
    </xdr:from>
    <xdr:ext cx="65" cy="172227"/>
    <xdr:sp macro="" textlink="">
      <xdr:nvSpPr>
        <xdr:cNvPr id="313" name="TextBox 312">
          <a:extLst>
            <a:ext uri="{FF2B5EF4-FFF2-40B4-BE49-F238E27FC236}">
              <a16:creationId xmlns:a16="http://schemas.microsoft.com/office/drawing/2014/main" id="{00000000-0008-0000-0A00-000039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1307</xdr:row>
      <xdr:rowOff>0</xdr:rowOff>
    </xdr:from>
    <xdr:ext cx="65" cy="172227"/>
    <xdr:sp macro="" textlink="">
      <xdr:nvSpPr>
        <xdr:cNvPr id="60" name="TextBox 59">
          <a:extLst>
            <a:ext uri="{FF2B5EF4-FFF2-40B4-BE49-F238E27FC236}">
              <a16:creationId xmlns:a16="http://schemas.microsoft.com/office/drawing/2014/main" id="{00000000-0008-0000-0A00-00003C000000}"/>
            </a:ext>
          </a:extLst>
        </xdr:cNvPr>
        <xdr:cNvSpPr txBox="1"/>
      </xdr:nvSpPr>
      <xdr:spPr>
        <a:xfrm>
          <a:off x="12699206"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7576</xdr:colOff>
      <xdr:row>1307</xdr:row>
      <xdr:rowOff>0</xdr:rowOff>
    </xdr:from>
    <xdr:ext cx="65" cy="172227"/>
    <xdr:sp macro="" textlink="">
      <xdr:nvSpPr>
        <xdr:cNvPr id="314" name="TextBox 313">
          <a:extLst>
            <a:ext uri="{FF2B5EF4-FFF2-40B4-BE49-F238E27FC236}">
              <a16:creationId xmlns:a16="http://schemas.microsoft.com/office/drawing/2014/main" id="{00000000-0008-0000-0A00-00003A010000}"/>
            </a:ext>
          </a:extLst>
        </xdr:cNvPr>
        <xdr:cNvSpPr txBox="1"/>
      </xdr:nvSpPr>
      <xdr:spPr>
        <a:xfrm>
          <a:off x="12704401"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7</xdr:col>
      <xdr:colOff>2269331</xdr:colOff>
      <xdr:row>1307</xdr:row>
      <xdr:rowOff>0</xdr:rowOff>
    </xdr:from>
    <xdr:to>
      <xdr:col>8</xdr:col>
      <xdr:colOff>3567</xdr:colOff>
      <xdr:row>1307</xdr:row>
      <xdr:rowOff>172227</xdr:rowOff>
    </xdr:to>
    <xdr:sp macro="" textlink="">
      <xdr:nvSpPr>
        <xdr:cNvPr id="316" name="TextBox 315">
          <a:extLst>
            <a:ext uri="{FF2B5EF4-FFF2-40B4-BE49-F238E27FC236}">
              <a16:creationId xmlns:a16="http://schemas.microsoft.com/office/drawing/2014/main" id="{00000000-0008-0000-0A00-00003C010000}"/>
            </a:ext>
          </a:extLst>
        </xdr:cNvPr>
        <xdr:cNvSpPr txBox="1"/>
      </xdr:nvSpPr>
      <xdr:spPr>
        <a:xfrm>
          <a:off x="12699206" y="1428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26</xdr:col>
      <xdr:colOff>2269331</xdr:colOff>
      <xdr:row>1305</xdr:row>
      <xdr:rowOff>0</xdr:rowOff>
    </xdr:from>
    <xdr:ext cx="65" cy="172227"/>
    <xdr:sp macro="" textlink="">
      <xdr:nvSpPr>
        <xdr:cNvPr id="317" name="TextBox 316">
          <a:extLst>
            <a:ext uri="{FF2B5EF4-FFF2-40B4-BE49-F238E27FC236}">
              <a16:creationId xmlns:a16="http://schemas.microsoft.com/office/drawing/2014/main" id="{00000000-0008-0000-0A00-00003D010000}"/>
            </a:ext>
          </a:extLst>
        </xdr:cNvPr>
        <xdr:cNvSpPr txBox="1"/>
      </xdr:nvSpPr>
      <xdr:spPr>
        <a:xfrm>
          <a:off x="317492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1305</xdr:row>
      <xdr:rowOff>0</xdr:rowOff>
    </xdr:from>
    <xdr:ext cx="65" cy="172227"/>
    <xdr:sp macro="" textlink="">
      <xdr:nvSpPr>
        <xdr:cNvPr id="318" name="TextBox 317">
          <a:extLst>
            <a:ext uri="{FF2B5EF4-FFF2-40B4-BE49-F238E27FC236}">
              <a16:creationId xmlns:a16="http://schemas.microsoft.com/office/drawing/2014/main" id="{00000000-0008-0000-0A00-00003E010000}"/>
            </a:ext>
          </a:extLst>
        </xdr:cNvPr>
        <xdr:cNvSpPr txBox="1"/>
      </xdr:nvSpPr>
      <xdr:spPr>
        <a:xfrm>
          <a:off x="317492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740500</xdr:colOff>
      <xdr:row>68</xdr:row>
      <xdr:rowOff>0</xdr:rowOff>
    </xdr:from>
    <xdr:to>
      <xdr:col>5</xdr:col>
      <xdr:colOff>340177</xdr:colOff>
      <xdr:row>68</xdr:row>
      <xdr:rowOff>0</xdr:rowOff>
    </xdr:to>
    <mc:AlternateContent xmlns:mc="http://schemas.openxmlformats.org/markup-compatibility/2006" xmlns:a14="http://schemas.microsoft.com/office/drawing/2010/main">
      <mc:Choice Requires="a14">
        <xdr:sp macro="" textlink="">
          <xdr:nvSpPr>
            <xdr:cNvPr id="319" name="TextBox 318">
              <a:extLst>
                <a:ext uri="{FF2B5EF4-FFF2-40B4-BE49-F238E27FC236}">
                  <a16:creationId xmlns:a16="http://schemas.microsoft.com/office/drawing/2014/main" id="{00000000-0008-0000-0A00-00003F010000}"/>
                </a:ext>
              </a:extLst>
            </xdr:cNvPr>
            <xdr:cNvSpPr txBox="1"/>
          </xdr:nvSpPr>
          <xdr:spPr>
            <a:xfrm>
              <a:off x="4207600" y="35128200"/>
              <a:ext cx="41050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ysClr val="windowText" lastClr="000000"/>
                </a:solidFill>
              </a:endParaRPr>
            </a:p>
          </xdr:txBody>
        </xdr:sp>
      </mc:Choice>
      <mc:Fallback xmlns="">
        <xdr:sp macro="" textlink="">
          <xdr:nvSpPr>
            <xdr:cNvPr id="319" name="TextBox 318">
              <a:extLst>
                <a:ext uri="{FF2B5EF4-FFF2-40B4-BE49-F238E27FC236}">
                  <a16:creationId xmlns:a16="http://schemas.microsoft.com/office/drawing/2014/main" id="{D3A7DD60-BA72-4C61-A683-AF67467630FC}"/>
                </a:ext>
              </a:extLst>
            </xdr:cNvPr>
            <xdr:cNvSpPr txBox="1"/>
          </xdr:nvSpPr>
          <xdr:spPr>
            <a:xfrm>
              <a:off x="4207600" y="35128200"/>
              <a:ext cx="41050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ysClr val="windowText" lastClr="000000"/>
                </a:solidFill>
              </a:endParaRPr>
            </a:p>
          </xdr:txBody>
        </xdr:sp>
      </mc:Fallback>
    </mc:AlternateContent>
    <xdr:clientData/>
  </xdr:twoCellAnchor>
  <xdr:oneCellAnchor>
    <xdr:from>
      <xdr:col>6</xdr:col>
      <xdr:colOff>2269331</xdr:colOff>
      <xdr:row>845</xdr:row>
      <xdr:rowOff>453627</xdr:rowOff>
    </xdr:from>
    <xdr:ext cx="65" cy="172227"/>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2130881" y="842355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845</xdr:row>
      <xdr:rowOff>453627</xdr:rowOff>
    </xdr:from>
    <xdr:ext cx="65" cy="172227"/>
    <xdr:sp macro="" textlink="">
      <xdr:nvSpPr>
        <xdr:cNvPr id="8" name="TextBox 7">
          <a:extLst>
            <a:ext uri="{FF2B5EF4-FFF2-40B4-BE49-F238E27FC236}">
              <a16:creationId xmlns:a16="http://schemas.microsoft.com/office/drawing/2014/main" id="{00000000-0008-0000-0A00-000008000000}"/>
            </a:ext>
          </a:extLst>
        </xdr:cNvPr>
        <xdr:cNvSpPr txBox="1"/>
      </xdr:nvSpPr>
      <xdr:spPr>
        <a:xfrm>
          <a:off x="12130881" y="842355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645777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1645777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9" name="TextBox 8">
          <a:extLst>
            <a:ext uri="{FF2B5EF4-FFF2-40B4-BE49-F238E27FC236}">
              <a16:creationId xmlns:a16="http://schemas.microsoft.com/office/drawing/2014/main" id="{00000000-0008-0000-0C00-000009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10" name="TextBox 9">
          <a:extLst>
            <a:ext uri="{FF2B5EF4-FFF2-40B4-BE49-F238E27FC236}">
              <a16:creationId xmlns:a16="http://schemas.microsoft.com/office/drawing/2014/main" id="{00000000-0008-0000-0C00-00000A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11" name="TextBox 10">
          <a:extLst>
            <a:ext uri="{FF2B5EF4-FFF2-40B4-BE49-F238E27FC236}">
              <a16:creationId xmlns:a16="http://schemas.microsoft.com/office/drawing/2014/main" id="{00000000-0008-0000-0C00-00000B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12" name="TextBox 11">
          <a:extLst>
            <a:ext uri="{FF2B5EF4-FFF2-40B4-BE49-F238E27FC236}">
              <a16:creationId xmlns:a16="http://schemas.microsoft.com/office/drawing/2014/main" id="{00000000-0008-0000-0C00-00000C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13" name="TextBox 12">
          <a:extLst>
            <a:ext uri="{FF2B5EF4-FFF2-40B4-BE49-F238E27FC236}">
              <a16:creationId xmlns:a16="http://schemas.microsoft.com/office/drawing/2014/main" id="{00000000-0008-0000-0C00-00000D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14" name="TextBox 13">
          <a:extLst>
            <a:ext uri="{FF2B5EF4-FFF2-40B4-BE49-F238E27FC236}">
              <a16:creationId xmlns:a16="http://schemas.microsoft.com/office/drawing/2014/main" id="{00000000-0008-0000-0C00-00000E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16" name="TextBox 15">
          <a:extLst>
            <a:ext uri="{FF2B5EF4-FFF2-40B4-BE49-F238E27FC236}">
              <a16:creationId xmlns:a16="http://schemas.microsoft.com/office/drawing/2014/main" id="{00000000-0008-0000-0C00-000010000000}"/>
            </a:ext>
          </a:extLst>
        </xdr:cNvPr>
        <xdr:cNvSpPr txBox="1"/>
      </xdr:nvSpPr>
      <xdr:spPr>
        <a:xfrm>
          <a:off x="16462814" y="1357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17" name="TextBox 16">
          <a:extLst>
            <a:ext uri="{FF2B5EF4-FFF2-40B4-BE49-F238E27FC236}">
              <a16:creationId xmlns:a16="http://schemas.microsoft.com/office/drawing/2014/main" id="{00000000-0008-0000-0C00-000011000000}"/>
            </a:ext>
          </a:extLst>
        </xdr:cNvPr>
        <xdr:cNvSpPr txBox="1"/>
      </xdr:nvSpPr>
      <xdr:spPr>
        <a:xfrm>
          <a:off x="16462814" y="1357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75</xdr:row>
      <xdr:rowOff>0</xdr:rowOff>
    </xdr:from>
    <xdr:ext cx="65" cy="172227"/>
    <xdr:sp macro="" textlink="">
      <xdr:nvSpPr>
        <xdr:cNvPr id="20" name="TextBox 19">
          <a:extLst>
            <a:ext uri="{FF2B5EF4-FFF2-40B4-BE49-F238E27FC236}">
              <a16:creationId xmlns:a16="http://schemas.microsoft.com/office/drawing/2014/main" id="{00000000-0008-0000-0C00-000014000000}"/>
            </a:ext>
          </a:extLst>
        </xdr:cNvPr>
        <xdr:cNvSpPr txBox="1"/>
      </xdr:nvSpPr>
      <xdr:spPr>
        <a:xfrm>
          <a:off x="16462814" y="19002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75</xdr:row>
      <xdr:rowOff>0</xdr:rowOff>
    </xdr:from>
    <xdr:ext cx="65" cy="172227"/>
    <xdr:sp macro="" textlink="">
      <xdr:nvSpPr>
        <xdr:cNvPr id="21" name="TextBox 20">
          <a:extLst>
            <a:ext uri="{FF2B5EF4-FFF2-40B4-BE49-F238E27FC236}">
              <a16:creationId xmlns:a16="http://schemas.microsoft.com/office/drawing/2014/main" id="{00000000-0008-0000-0C00-000015000000}"/>
            </a:ext>
          </a:extLst>
        </xdr:cNvPr>
        <xdr:cNvSpPr txBox="1"/>
      </xdr:nvSpPr>
      <xdr:spPr>
        <a:xfrm>
          <a:off x="16462814" y="19002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112</xdr:row>
      <xdr:rowOff>0</xdr:rowOff>
    </xdr:from>
    <xdr:ext cx="65" cy="172227"/>
    <xdr:sp macro="" textlink="">
      <xdr:nvSpPr>
        <xdr:cNvPr id="25" name="TextBox 24">
          <a:extLst>
            <a:ext uri="{FF2B5EF4-FFF2-40B4-BE49-F238E27FC236}">
              <a16:creationId xmlns:a16="http://schemas.microsoft.com/office/drawing/2014/main" id="{00000000-0008-0000-0C00-000019000000}"/>
            </a:ext>
          </a:extLst>
        </xdr:cNvPr>
        <xdr:cNvSpPr txBox="1"/>
      </xdr:nvSpPr>
      <xdr:spPr>
        <a:xfrm>
          <a:off x="16459676" y="2714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112</xdr:row>
      <xdr:rowOff>0</xdr:rowOff>
    </xdr:from>
    <xdr:ext cx="65" cy="172227"/>
    <xdr:sp macro="" textlink="">
      <xdr:nvSpPr>
        <xdr:cNvPr id="26" name="TextBox 25">
          <a:extLst>
            <a:ext uri="{FF2B5EF4-FFF2-40B4-BE49-F238E27FC236}">
              <a16:creationId xmlns:a16="http://schemas.microsoft.com/office/drawing/2014/main" id="{00000000-0008-0000-0C00-00001A000000}"/>
            </a:ext>
          </a:extLst>
        </xdr:cNvPr>
        <xdr:cNvSpPr txBox="1"/>
      </xdr:nvSpPr>
      <xdr:spPr>
        <a:xfrm>
          <a:off x="16459676" y="2714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148</xdr:row>
      <xdr:rowOff>0</xdr:rowOff>
    </xdr:from>
    <xdr:ext cx="65" cy="172227"/>
    <xdr:sp macro="" textlink="">
      <xdr:nvSpPr>
        <xdr:cNvPr id="29" name="TextBox 28">
          <a:extLst>
            <a:ext uri="{FF2B5EF4-FFF2-40B4-BE49-F238E27FC236}">
              <a16:creationId xmlns:a16="http://schemas.microsoft.com/office/drawing/2014/main" id="{00000000-0008-0000-0C00-00001D000000}"/>
            </a:ext>
          </a:extLst>
        </xdr:cNvPr>
        <xdr:cNvSpPr txBox="1"/>
      </xdr:nvSpPr>
      <xdr:spPr>
        <a:xfrm>
          <a:off x="16462814" y="343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148</xdr:row>
      <xdr:rowOff>0</xdr:rowOff>
    </xdr:from>
    <xdr:ext cx="65" cy="172227"/>
    <xdr:sp macro="" textlink="">
      <xdr:nvSpPr>
        <xdr:cNvPr id="30" name="TextBox 29">
          <a:extLst>
            <a:ext uri="{FF2B5EF4-FFF2-40B4-BE49-F238E27FC236}">
              <a16:creationId xmlns:a16="http://schemas.microsoft.com/office/drawing/2014/main" id="{00000000-0008-0000-0C00-00001E000000}"/>
            </a:ext>
          </a:extLst>
        </xdr:cNvPr>
        <xdr:cNvSpPr txBox="1"/>
      </xdr:nvSpPr>
      <xdr:spPr>
        <a:xfrm>
          <a:off x="16462814" y="343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183</xdr:row>
      <xdr:rowOff>0</xdr:rowOff>
    </xdr:from>
    <xdr:ext cx="65" cy="172227"/>
    <xdr:sp macro="" textlink="">
      <xdr:nvSpPr>
        <xdr:cNvPr id="34" name="TextBox 33">
          <a:extLst>
            <a:ext uri="{FF2B5EF4-FFF2-40B4-BE49-F238E27FC236}">
              <a16:creationId xmlns:a16="http://schemas.microsoft.com/office/drawing/2014/main" id="{00000000-0008-0000-0C00-000022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183</xdr:row>
      <xdr:rowOff>0</xdr:rowOff>
    </xdr:from>
    <xdr:ext cx="65" cy="172227"/>
    <xdr:sp macro="" textlink="">
      <xdr:nvSpPr>
        <xdr:cNvPr id="35" name="TextBox 34">
          <a:extLst>
            <a:ext uri="{FF2B5EF4-FFF2-40B4-BE49-F238E27FC236}">
              <a16:creationId xmlns:a16="http://schemas.microsoft.com/office/drawing/2014/main" id="{00000000-0008-0000-0C00-000023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183</xdr:row>
      <xdr:rowOff>0</xdr:rowOff>
    </xdr:from>
    <xdr:ext cx="65" cy="172227"/>
    <xdr:sp macro="" textlink="">
      <xdr:nvSpPr>
        <xdr:cNvPr id="36" name="TextBox 35">
          <a:extLst>
            <a:ext uri="{FF2B5EF4-FFF2-40B4-BE49-F238E27FC236}">
              <a16:creationId xmlns:a16="http://schemas.microsoft.com/office/drawing/2014/main" id="{00000000-0008-0000-0C00-000024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183</xdr:row>
      <xdr:rowOff>0</xdr:rowOff>
    </xdr:from>
    <xdr:ext cx="65" cy="172227"/>
    <xdr:sp macro="" textlink="">
      <xdr:nvSpPr>
        <xdr:cNvPr id="37" name="TextBox 36">
          <a:extLst>
            <a:ext uri="{FF2B5EF4-FFF2-40B4-BE49-F238E27FC236}">
              <a16:creationId xmlns:a16="http://schemas.microsoft.com/office/drawing/2014/main" id="{00000000-0008-0000-0C00-000025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183</xdr:row>
      <xdr:rowOff>0</xdr:rowOff>
    </xdr:from>
    <xdr:ext cx="65" cy="172227"/>
    <xdr:sp macro="" textlink="">
      <xdr:nvSpPr>
        <xdr:cNvPr id="38" name="TextBox 37">
          <a:extLst>
            <a:ext uri="{FF2B5EF4-FFF2-40B4-BE49-F238E27FC236}">
              <a16:creationId xmlns:a16="http://schemas.microsoft.com/office/drawing/2014/main" id="{00000000-0008-0000-0C00-000026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183</xdr:row>
      <xdr:rowOff>0</xdr:rowOff>
    </xdr:from>
    <xdr:ext cx="65" cy="172227"/>
    <xdr:sp macro="" textlink="">
      <xdr:nvSpPr>
        <xdr:cNvPr id="39" name="TextBox 38">
          <a:extLst>
            <a:ext uri="{FF2B5EF4-FFF2-40B4-BE49-F238E27FC236}">
              <a16:creationId xmlns:a16="http://schemas.microsoft.com/office/drawing/2014/main" id="{00000000-0008-0000-0C00-000027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183</xdr:row>
      <xdr:rowOff>0</xdr:rowOff>
    </xdr:from>
    <xdr:ext cx="65" cy="172227"/>
    <xdr:sp macro="" textlink="">
      <xdr:nvSpPr>
        <xdr:cNvPr id="40" name="TextBox 39">
          <a:extLst>
            <a:ext uri="{FF2B5EF4-FFF2-40B4-BE49-F238E27FC236}">
              <a16:creationId xmlns:a16="http://schemas.microsoft.com/office/drawing/2014/main" id="{00000000-0008-0000-0C00-000028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183</xdr:row>
      <xdr:rowOff>0</xdr:rowOff>
    </xdr:from>
    <xdr:ext cx="65" cy="172227"/>
    <xdr:sp macro="" textlink="">
      <xdr:nvSpPr>
        <xdr:cNvPr id="41" name="TextBox 40">
          <a:extLst>
            <a:ext uri="{FF2B5EF4-FFF2-40B4-BE49-F238E27FC236}">
              <a16:creationId xmlns:a16="http://schemas.microsoft.com/office/drawing/2014/main" id="{00000000-0008-0000-0C00-000029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183</xdr:row>
      <xdr:rowOff>0</xdr:rowOff>
    </xdr:from>
    <xdr:ext cx="65" cy="172227"/>
    <xdr:sp macro="" textlink="">
      <xdr:nvSpPr>
        <xdr:cNvPr id="42" name="TextBox 41">
          <a:extLst>
            <a:ext uri="{FF2B5EF4-FFF2-40B4-BE49-F238E27FC236}">
              <a16:creationId xmlns:a16="http://schemas.microsoft.com/office/drawing/2014/main" id="{00000000-0008-0000-0C00-00002A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183</xdr:row>
      <xdr:rowOff>0</xdr:rowOff>
    </xdr:from>
    <xdr:ext cx="65" cy="172227"/>
    <xdr:sp macro="" textlink="">
      <xdr:nvSpPr>
        <xdr:cNvPr id="43" name="TextBox 42">
          <a:extLst>
            <a:ext uri="{FF2B5EF4-FFF2-40B4-BE49-F238E27FC236}">
              <a16:creationId xmlns:a16="http://schemas.microsoft.com/office/drawing/2014/main" id="{00000000-0008-0000-0C00-00002B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183</xdr:row>
      <xdr:rowOff>0</xdr:rowOff>
    </xdr:from>
    <xdr:ext cx="65" cy="172227"/>
    <xdr:sp macro="" textlink="">
      <xdr:nvSpPr>
        <xdr:cNvPr id="44" name="TextBox 43">
          <a:extLst>
            <a:ext uri="{FF2B5EF4-FFF2-40B4-BE49-F238E27FC236}">
              <a16:creationId xmlns:a16="http://schemas.microsoft.com/office/drawing/2014/main" id="{00000000-0008-0000-0C00-00002C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183</xdr:row>
      <xdr:rowOff>0</xdr:rowOff>
    </xdr:from>
    <xdr:ext cx="65" cy="172227"/>
    <xdr:sp macro="" textlink="">
      <xdr:nvSpPr>
        <xdr:cNvPr id="45" name="TextBox 44">
          <a:extLst>
            <a:ext uri="{FF2B5EF4-FFF2-40B4-BE49-F238E27FC236}">
              <a16:creationId xmlns:a16="http://schemas.microsoft.com/office/drawing/2014/main" id="{00000000-0008-0000-0C00-00002D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183</xdr:row>
      <xdr:rowOff>0</xdr:rowOff>
    </xdr:from>
    <xdr:ext cx="65" cy="172227"/>
    <xdr:sp macro="" textlink="">
      <xdr:nvSpPr>
        <xdr:cNvPr id="46" name="TextBox 45">
          <a:extLst>
            <a:ext uri="{FF2B5EF4-FFF2-40B4-BE49-F238E27FC236}">
              <a16:creationId xmlns:a16="http://schemas.microsoft.com/office/drawing/2014/main" id="{00000000-0008-0000-0C00-00002E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183</xdr:row>
      <xdr:rowOff>0</xdr:rowOff>
    </xdr:from>
    <xdr:ext cx="65" cy="172227"/>
    <xdr:sp macro="" textlink="">
      <xdr:nvSpPr>
        <xdr:cNvPr id="47" name="TextBox 46">
          <a:extLst>
            <a:ext uri="{FF2B5EF4-FFF2-40B4-BE49-F238E27FC236}">
              <a16:creationId xmlns:a16="http://schemas.microsoft.com/office/drawing/2014/main" id="{00000000-0008-0000-0C00-00002F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183</xdr:row>
      <xdr:rowOff>0</xdr:rowOff>
    </xdr:from>
    <xdr:ext cx="65" cy="172227"/>
    <xdr:sp macro="" textlink="">
      <xdr:nvSpPr>
        <xdr:cNvPr id="48" name="TextBox 47">
          <a:extLst>
            <a:ext uri="{FF2B5EF4-FFF2-40B4-BE49-F238E27FC236}">
              <a16:creationId xmlns:a16="http://schemas.microsoft.com/office/drawing/2014/main" id="{00000000-0008-0000-0C00-000030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183</xdr:row>
      <xdr:rowOff>0</xdr:rowOff>
    </xdr:from>
    <xdr:ext cx="65" cy="172227"/>
    <xdr:sp macro="" textlink="">
      <xdr:nvSpPr>
        <xdr:cNvPr id="49" name="TextBox 48">
          <a:extLst>
            <a:ext uri="{FF2B5EF4-FFF2-40B4-BE49-F238E27FC236}">
              <a16:creationId xmlns:a16="http://schemas.microsoft.com/office/drawing/2014/main" id="{00000000-0008-0000-0C00-000031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183</xdr:row>
      <xdr:rowOff>0</xdr:rowOff>
    </xdr:from>
    <xdr:ext cx="65" cy="172227"/>
    <xdr:sp macro="" textlink="">
      <xdr:nvSpPr>
        <xdr:cNvPr id="50" name="TextBox 49">
          <a:extLst>
            <a:ext uri="{FF2B5EF4-FFF2-40B4-BE49-F238E27FC236}">
              <a16:creationId xmlns:a16="http://schemas.microsoft.com/office/drawing/2014/main" id="{00000000-0008-0000-0C00-000032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183</xdr:row>
      <xdr:rowOff>0</xdr:rowOff>
    </xdr:from>
    <xdr:ext cx="65" cy="172227"/>
    <xdr:sp macro="" textlink="">
      <xdr:nvSpPr>
        <xdr:cNvPr id="51" name="TextBox 50">
          <a:extLst>
            <a:ext uri="{FF2B5EF4-FFF2-40B4-BE49-F238E27FC236}">
              <a16:creationId xmlns:a16="http://schemas.microsoft.com/office/drawing/2014/main" id="{00000000-0008-0000-0C00-000033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183</xdr:row>
      <xdr:rowOff>0</xdr:rowOff>
    </xdr:from>
    <xdr:ext cx="65" cy="172227"/>
    <xdr:sp macro="" textlink="">
      <xdr:nvSpPr>
        <xdr:cNvPr id="52" name="TextBox 51">
          <a:extLst>
            <a:ext uri="{FF2B5EF4-FFF2-40B4-BE49-F238E27FC236}">
              <a16:creationId xmlns:a16="http://schemas.microsoft.com/office/drawing/2014/main" id="{00000000-0008-0000-0C00-000034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183</xdr:row>
      <xdr:rowOff>0</xdr:rowOff>
    </xdr:from>
    <xdr:ext cx="65" cy="172227"/>
    <xdr:sp macro="" textlink="">
      <xdr:nvSpPr>
        <xdr:cNvPr id="53" name="TextBox 52">
          <a:extLst>
            <a:ext uri="{FF2B5EF4-FFF2-40B4-BE49-F238E27FC236}">
              <a16:creationId xmlns:a16="http://schemas.microsoft.com/office/drawing/2014/main" id="{00000000-0008-0000-0C00-000035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183</xdr:row>
      <xdr:rowOff>0</xdr:rowOff>
    </xdr:from>
    <xdr:ext cx="65" cy="172227"/>
    <xdr:sp macro="" textlink="">
      <xdr:nvSpPr>
        <xdr:cNvPr id="54" name="TextBox 53">
          <a:extLst>
            <a:ext uri="{FF2B5EF4-FFF2-40B4-BE49-F238E27FC236}">
              <a16:creationId xmlns:a16="http://schemas.microsoft.com/office/drawing/2014/main" id="{00000000-0008-0000-0C00-000036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183</xdr:row>
      <xdr:rowOff>0</xdr:rowOff>
    </xdr:from>
    <xdr:ext cx="65" cy="172227"/>
    <xdr:sp macro="" textlink="">
      <xdr:nvSpPr>
        <xdr:cNvPr id="55" name="TextBox 54">
          <a:extLst>
            <a:ext uri="{FF2B5EF4-FFF2-40B4-BE49-F238E27FC236}">
              <a16:creationId xmlns:a16="http://schemas.microsoft.com/office/drawing/2014/main" id="{00000000-0008-0000-0C00-000037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183</xdr:row>
      <xdr:rowOff>0</xdr:rowOff>
    </xdr:from>
    <xdr:ext cx="65" cy="172227"/>
    <xdr:sp macro="" textlink="">
      <xdr:nvSpPr>
        <xdr:cNvPr id="56" name="TextBox 55">
          <a:extLst>
            <a:ext uri="{FF2B5EF4-FFF2-40B4-BE49-F238E27FC236}">
              <a16:creationId xmlns:a16="http://schemas.microsoft.com/office/drawing/2014/main" id="{00000000-0008-0000-0C00-000038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183</xdr:row>
      <xdr:rowOff>0</xdr:rowOff>
    </xdr:from>
    <xdr:ext cx="65" cy="172227"/>
    <xdr:sp macro="" textlink="">
      <xdr:nvSpPr>
        <xdr:cNvPr id="57" name="TextBox 56">
          <a:extLst>
            <a:ext uri="{FF2B5EF4-FFF2-40B4-BE49-F238E27FC236}">
              <a16:creationId xmlns:a16="http://schemas.microsoft.com/office/drawing/2014/main" id="{00000000-0008-0000-0C00-000039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183</xdr:row>
      <xdr:rowOff>0</xdr:rowOff>
    </xdr:from>
    <xdr:ext cx="65" cy="172227"/>
    <xdr:sp macro="" textlink="">
      <xdr:nvSpPr>
        <xdr:cNvPr id="58" name="TextBox 57">
          <a:extLst>
            <a:ext uri="{FF2B5EF4-FFF2-40B4-BE49-F238E27FC236}">
              <a16:creationId xmlns:a16="http://schemas.microsoft.com/office/drawing/2014/main" id="{00000000-0008-0000-0C00-00003A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183</xdr:row>
      <xdr:rowOff>0</xdr:rowOff>
    </xdr:from>
    <xdr:ext cx="65" cy="172227"/>
    <xdr:sp macro="" textlink="">
      <xdr:nvSpPr>
        <xdr:cNvPr id="59" name="TextBox 58">
          <a:extLst>
            <a:ext uri="{FF2B5EF4-FFF2-40B4-BE49-F238E27FC236}">
              <a16:creationId xmlns:a16="http://schemas.microsoft.com/office/drawing/2014/main" id="{00000000-0008-0000-0C00-00003B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183</xdr:row>
      <xdr:rowOff>0</xdr:rowOff>
    </xdr:from>
    <xdr:ext cx="65" cy="172227"/>
    <xdr:sp macro="" textlink="">
      <xdr:nvSpPr>
        <xdr:cNvPr id="60" name="TextBox 59">
          <a:extLst>
            <a:ext uri="{FF2B5EF4-FFF2-40B4-BE49-F238E27FC236}">
              <a16:creationId xmlns:a16="http://schemas.microsoft.com/office/drawing/2014/main" id="{00000000-0008-0000-0C00-00003C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183</xdr:row>
      <xdr:rowOff>0</xdr:rowOff>
    </xdr:from>
    <xdr:ext cx="65" cy="172227"/>
    <xdr:sp macro="" textlink="">
      <xdr:nvSpPr>
        <xdr:cNvPr id="61" name="TextBox 60">
          <a:extLst>
            <a:ext uri="{FF2B5EF4-FFF2-40B4-BE49-F238E27FC236}">
              <a16:creationId xmlns:a16="http://schemas.microsoft.com/office/drawing/2014/main" id="{00000000-0008-0000-0C00-00003D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183</xdr:row>
      <xdr:rowOff>0</xdr:rowOff>
    </xdr:from>
    <xdr:ext cx="65" cy="172227"/>
    <xdr:sp macro="" textlink="">
      <xdr:nvSpPr>
        <xdr:cNvPr id="62" name="TextBox 61">
          <a:extLst>
            <a:ext uri="{FF2B5EF4-FFF2-40B4-BE49-F238E27FC236}">
              <a16:creationId xmlns:a16="http://schemas.microsoft.com/office/drawing/2014/main" id="{00000000-0008-0000-0C00-00003E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183</xdr:row>
      <xdr:rowOff>0</xdr:rowOff>
    </xdr:from>
    <xdr:ext cx="65" cy="172227"/>
    <xdr:sp macro="" textlink="">
      <xdr:nvSpPr>
        <xdr:cNvPr id="63" name="TextBox 62">
          <a:extLst>
            <a:ext uri="{FF2B5EF4-FFF2-40B4-BE49-F238E27FC236}">
              <a16:creationId xmlns:a16="http://schemas.microsoft.com/office/drawing/2014/main" id="{00000000-0008-0000-0C00-00003F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183</xdr:row>
      <xdr:rowOff>0</xdr:rowOff>
    </xdr:from>
    <xdr:ext cx="65" cy="172227"/>
    <xdr:sp macro="" textlink="">
      <xdr:nvSpPr>
        <xdr:cNvPr id="64" name="TextBox 63">
          <a:extLst>
            <a:ext uri="{FF2B5EF4-FFF2-40B4-BE49-F238E27FC236}">
              <a16:creationId xmlns:a16="http://schemas.microsoft.com/office/drawing/2014/main" id="{00000000-0008-0000-0C00-000040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183</xdr:row>
      <xdr:rowOff>0</xdr:rowOff>
    </xdr:from>
    <xdr:ext cx="65" cy="172227"/>
    <xdr:sp macro="" textlink="">
      <xdr:nvSpPr>
        <xdr:cNvPr id="65" name="TextBox 64">
          <a:extLst>
            <a:ext uri="{FF2B5EF4-FFF2-40B4-BE49-F238E27FC236}">
              <a16:creationId xmlns:a16="http://schemas.microsoft.com/office/drawing/2014/main" id="{00000000-0008-0000-0C00-000041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58</xdr:row>
      <xdr:rowOff>453627</xdr:rowOff>
    </xdr:from>
    <xdr:ext cx="65" cy="172227"/>
    <xdr:sp macro="" textlink="">
      <xdr:nvSpPr>
        <xdr:cNvPr id="4" name="TextBox 6">
          <a:extLst>
            <a:ext uri="{FF2B5EF4-FFF2-40B4-BE49-F238E27FC236}">
              <a16:creationId xmlns:a16="http://schemas.microsoft.com/office/drawing/2014/main" id="{00000000-0008-0000-0C00-000004000000}"/>
            </a:ext>
            <a:ext uri="{147F2762-F138-4A5C-976F-8EAC2B608ADB}">
              <a16:predDERef xmlns:a16="http://schemas.microsoft.com/office/drawing/2014/main" pred="{56E2258D-9AAB-4AD0-BCE1-24EF46E7123D}"/>
            </a:ext>
          </a:extLst>
        </xdr:cNvPr>
        <xdr:cNvSpPr txBox="1"/>
      </xdr:nvSpPr>
      <xdr:spPr>
        <a:xfrm>
          <a:off x="11194256" y="2045458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58</xdr:row>
      <xdr:rowOff>453627</xdr:rowOff>
    </xdr:from>
    <xdr:ext cx="65" cy="172227"/>
    <xdr:sp macro="" textlink="">
      <xdr:nvSpPr>
        <xdr:cNvPr id="5" name="TextBox 7">
          <a:extLst>
            <a:ext uri="{FF2B5EF4-FFF2-40B4-BE49-F238E27FC236}">
              <a16:creationId xmlns:a16="http://schemas.microsoft.com/office/drawing/2014/main" id="{00000000-0008-0000-0C00-000005000000}"/>
            </a:ext>
            <a:ext uri="{147F2762-F138-4A5C-976F-8EAC2B608ADB}">
              <a16:predDERef xmlns:a16="http://schemas.microsoft.com/office/drawing/2014/main" pred="{FAD1180E-A01F-4C81-80DC-FAA6BD54F43F}"/>
            </a:ext>
          </a:extLst>
        </xdr:cNvPr>
        <xdr:cNvSpPr txBox="1"/>
      </xdr:nvSpPr>
      <xdr:spPr>
        <a:xfrm>
          <a:off x="11194256" y="2045458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00000000-0008-0000-0F00-000004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00000000-0008-0000-0F00-000005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00000000-0008-0000-0F00-000006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00000000-0008-0000-0F00-000007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24</xdr:row>
      <xdr:rowOff>0</xdr:rowOff>
    </xdr:from>
    <xdr:ext cx="65" cy="172227"/>
    <xdr:sp macro="" textlink="">
      <xdr:nvSpPr>
        <xdr:cNvPr id="8" name="TextBox 1">
          <a:extLst>
            <a:ext uri="{FF2B5EF4-FFF2-40B4-BE49-F238E27FC236}">
              <a16:creationId xmlns:a16="http://schemas.microsoft.com/office/drawing/2014/main" id="{00000000-0008-0000-0F00-000008000000}"/>
            </a:ext>
            <a:ext uri="{147F2762-F138-4A5C-976F-8EAC2B608ADB}">
              <a16:predDERef xmlns:a16="http://schemas.microsoft.com/office/drawing/2014/main" pred="{00000000-0008-0000-0B00-000007000000}"/>
            </a:ext>
          </a:extLst>
        </xdr:cNvPr>
        <xdr:cNvSpPr txBox="1"/>
      </xdr:nvSpPr>
      <xdr:spPr>
        <a:xfrm>
          <a:off x="1001315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24</xdr:row>
      <xdr:rowOff>0</xdr:rowOff>
    </xdr:from>
    <xdr:ext cx="65" cy="172227"/>
    <xdr:sp macro="" textlink="">
      <xdr:nvSpPr>
        <xdr:cNvPr id="9" name="TextBox 2">
          <a:extLst>
            <a:ext uri="{FF2B5EF4-FFF2-40B4-BE49-F238E27FC236}">
              <a16:creationId xmlns:a16="http://schemas.microsoft.com/office/drawing/2014/main" id="{00000000-0008-0000-0F00-000009000000}"/>
            </a:ext>
            <a:ext uri="{147F2762-F138-4A5C-976F-8EAC2B608ADB}">
              <a16:predDERef xmlns:a16="http://schemas.microsoft.com/office/drawing/2014/main" pred="{263E590A-4514-48C1-A656-8BDA1BB14E93}"/>
            </a:ext>
          </a:extLst>
        </xdr:cNvPr>
        <xdr:cNvSpPr txBox="1"/>
      </xdr:nvSpPr>
      <xdr:spPr>
        <a:xfrm>
          <a:off x="1001315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0" name="TextBox 3">
          <a:extLst>
            <a:ext uri="{FF2B5EF4-FFF2-40B4-BE49-F238E27FC236}">
              <a16:creationId xmlns:a16="http://schemas.microsoft.com/office/drawing/2014/main" id="{00000000-0008-0000-0F00-00000A000000}"/>
            </a:ext>
            <a:ext uri="{147F2762-F138-4A5C-976F-8EAC2B608ADB}">
              <a16:predDERef xmlns:a16="http://schemas.microsoft.com/office/drawing/2014/main" pred="{95739A5B-1106-4816-85FB-5D9CB5965F25}"/>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1" name="TextBox 4">
          <a:extLst>
            <a:ext uri="{FF2B5EF4-FFF2-40B4-BE49-F238E27FC236}">
              <a16:creationId xmlns:a16="http://schemas.microsoft.com/office/drawing/2014/main" id="{00000000-0008-0000-0F00-00000B000000}"/>
            </a:ext>
            <a:ext uri="{147F2762-F138-4A5C-976F-8EAC2B608ADB}">
              <a16:predDERef xmlns:a16="http://schemas.microsoft.com/office/drawing/2014/main" pred="{BFE9A93B-3360-4CFD-80EA-9FA6B38BB269}"/>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2" name="TextBox 5">
          <a:extLst>
            <a:ext uri="{FF2B5EF4-FFF2-40B4-BE49-F238E27FC236}">
              <a16:creationId xmlns:a16="http://schemas.microsoft.com/office/drawing/2014/main" id="{00000000-0008-0000-0F00-00000C000000}"/>
            </a:ext>
            <a:ext uri="{147F2762-F138-4A5C-976F-8EAC2B608ADB}">
              <a16:predDERef xmlns:a16="http://schemas.microsoft.com/office/drawing/2014/main" pred="{E061AF9D-F3EE-4F45-9330-791838AC8903}"/>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3" name="TextBox 6">
          <a:extLst>
            <a:ext uri="{FF2B5EF4-FFF2-40B4-BE49-F238E27FC236}">
              <a16:creationId xmlns:a16="http://schemas.microsoft.com/office/drawing/2014/main" id="{00000000-0008-0000-0F00-00000D000000}"/>
            </a:ext>
            <a:ext uri="{147F2762-F138-4A5C-976F-8EAC2B608ADB}">
              <a16:predDERef xmlns:a16="http://schemas.microsoft.com/office/drawing/2014/main" pred="{9701C93A-2432-4D55-B6D9-129D1A996217}"/>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14" name="TextBox 1">
          <a:extLst>
            <a:ext uri="{FF2B5EF4-FFF2-40B4-BE49-F238E27FC236}">
              <a16:creationId xmlns:a16="http://schemas.microsoft.com/office/drawing/2014/main" id="{00000000-0008-0000-0F00-00000E000000}"/>
            </a:ext>
            <a:ext uri="{147F2762-F138-4A5C-976F-8EAC2B608ADB}">
              <a16:predDERef xmlns:a16="http://schemas.microsoft.com/office/drawing/2014/main" pred="{4184217F-ED80-4283-B5BB-DEA06A6739DE}"/>
            </a:ext>
          </a:extLst>
        </xdr:cNvPr>
        <xdr:cNvSpPr txBox="1"/>
      </xdr:nvSpPr>
      <xdr:spPr>
        <a:xfrm>
          <a:off x="10013156"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15" name="TextBox 2">
          <a:extLst>
            <a:ext uri="{FF2B5EF4-FFF2-40B4-BE49-F238E27FC236}">
              <a16:creationId xmlns:a16="http://schemas.microsoft.com/office/drawing/2014/main" id="{00000000-0008-0000-0F00-00000F000000}"/>
            </a:ext>
            <a:ext uri="{147F2762-F138-4A5C-976F-8EAC2B608ADB}">
              <a16:predDERef xmlns:a16="http://schemas.microsoft.com/office/drawing/2014/main" pred="{DEE0FB69-0DF9-4025-A326-AC010840AB34}"/>
            </a:ext>
          </a:extLst>
        </xdr:cNvPr>
        <xdr:cNvSpPr txBox="1"/>
      </xdr:nvSpPr>
      <xdr:spPr>
        <a:xfrm>
          <a:off x="10013156"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6" name="TextBox 3">
          <a:extLst>
            <a:ext uri="{FF2B5EF4-FFF2-40B4-BE49-F238E27FC236}">
              <a16:creationId xmlns:a16="http://schemas.microsoft.com/office/drawing/2014/main" id="{00000000-0008-0000-0F00-000010000000}"/>
            </a:ext>
            <a:ext uri="{147F2762-F138-4A5C-976F-8EAC2B608ADB}">
              <a16:predDERef xmlns:a16="http://schemas.microsoft.com/office/drawing/2014/main" pred="{FC3E8F35-8292-49C8-BF71-0894F6785C30}"/>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7" name="TextBox 4">
          <a:extLst>
            <a:ext uri="{FF2B5EF4-FFF2-40B4-BE49-F238E27FC236}">
              <a16:creationId xmlns:a16="http://schemas.microsoft.com/office/drawing/2014/main" id="{00000000-0008-0000-0F00-000011000000}"/>
            </a:ext>
            <a:ext uri="{147F2762-F138-4A5C-976F-8EAC2B608ADB}">
              <a16:predDERef xmlns:a16="http://schemas.microsoft.com/office/drawing/2014/main" pred="{D9E843B1-2A2E-438C-A7C2-F488A8615BD2}"/>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8" name="TextBox 5">
          <a:extLst>
            <a:ext uri="{FF2B5EF4-FFF2-40B4-BE49-F238E27FC236}">
              <a16:creationId xmlns:a16="http://schemas.microsoft.com/office/drawing/2014/main" id="{00000000-0008-0000-0F00-000012000000}"/>
            </a:ext>
            <a:ext uri="{147F2762-F138-4A5C-976F-8EAC2B608ADB}">
              <a16:predDERef xmlns:a16="http://schemas.microsoft.com/office/drawing/2014/main" pred="{0635A0CD-00CB-46B6-9E3E-59394AF3ABAE}"/>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9" name="TextBox 6">
          <a:extLst>
            <a:ext uri="{FF2B5EF4-FFF2-40B4-BE49-F238E27FC236}">
              <a16:creationId xmlns:a16="http://schemas.microsoft.com/office/drawing/2014/main" id="{00000000-0008-0000-0F00-000013000000}"/>
            </a:ext>
            <a:ext uri="{147F2762-F138-4A5C-976F-8EAC2B608ADB}">
              <a16:predDERef xmlns:a16="http://schemas.microsoft.com/office/drawing/2014/main" pred="{47194AFE-9D14-4AF4-BFF3-AEF1D70EE507}"/>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44</xdr:row>
      <xdr:rowOff>0</xdr:rowOff>
    </xdr:from>
    <xdr:ext cx="65" cy="172227"/>
    <xdr:sp macro="" textlink="">
      <xdr:nvSpPr>
        <xdr:cNvPr id="20" name="TextBox 1">
          <a:extLst>
            <a:ext uri="{FF2B5EF4-FFF2-40B4-BE49-F238E27FC236}">
              <a16:creationId xmlns:a16="http://schemas.microsoft.com/office/drawing/2014/main" id="{6101D062-A06A-468D-BAB9-9A453524C5EC}"/>
            </a:ext>
            <a:ext uri="{147F2762-F138-4A5C-976F-8EAC2B608ADB}">
              <a16:predDERef xmlns:a16="http://schemas.microsoft.com/office/drawing/2014/main" pred="{00000000-0008-0000-0B00-000007000000}"/>
            </a:ext>
          </a:extLst>
        </xdr:cNvPr>
        <xdr:cNvSpPr txBox="1"/>
      </xdr:nvSpPr>
      <xdr:spPr>
        <a:xfrm>
          <a:off x="105560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44</xdr:row>
      <xdr:rowOff>0</xdr:rowOff>
    </xdr:from>
    <xdr:ext cx="65" cy="172227"/>
    <xdr:sp macro="" textlink="">
      <xdr:nvSpPr>
        <xdr:cNvPr id="21" name="TextBox 2">
          <a:extLst>
            <a:ext uri="{FF2B5EF4-FFF2-40B4-BE49-F238E27FC236}">
              <a16:creationId xmlns:a16="http://schemas.microsoft.com/office/drawing/2014/main" id="{D11E2FA8-FDD4-46B9-BD9F-FE28B614A317}"/>
            </a:ext>
            <a:ext uri="{147F2762-F138-4A5C-976F-8EAC2B608ADB}">
              <a16:predDERef xmlns:a16="http://schemas.microsoft.com/office/drawing/2014/main" pred="{263E590A-4514-48C1-A656-8BDA1BB14E93}"/>
            </a:ext>
          </a:extLst>
        </xdr:cNvPr>
        <xdr:cNvSpPr txBox="1"/>
      </xdr:nvSpPr>
      <xdr:spPr>
        <a:xfrm>
          <a:off x="105560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22" name="TextBox 3">
          <a:extLst>
            <a:ext uri="{FF2B5EF4-FFF2-40B4-BE49-F238E27FC236}">
              <a16:creationId xmlns:a16="http://schemas.microsoft.com/office/drawing/2014/main" id="{C3B002D2-47A0-4971-A677-367A1D595464}"/>
            </a:ext>
            <a:ext uri="{147F2762-F138-4A5C-976F-8EAC2B608ADB}">
              <a16:predDERef xmlns:a16="http://schemas.microsoft.com/office/drawing/2014/main" pred="{95739A5B-1106-4816-85FB-5D9CB5965F25}"/>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23" name="TextBox 4">
          <a:extLst>
            <a:ext uri="{FF2B5EF4-FFF2-40B4-BE49-F238E27FC236}">
              <a16:creationId xmlns:a16="http://schemas.microsoft.com/office/drawing/2014/main" id="{15F2499F-29C2-4356-9959-BB8541226FFB}"/>
            </a:ext>
            <a:ext uri="{147F2762-F138-4A5C-976F-8EAC2B608ADB}">
              <a16:predDERef xmlns:a16="http://schemas.microsoft.com/office/drawing/2014/main" pred="{BFE9A93B-3360-4CFD-80EA-9FA6B38BB269}"/>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24" name="TextBox 5">
          <a:extLst>
            <a:ext uri="{FF2B5EF4-FFF2-40B4-BE49-F238E27FC236}">
              <a16:creationId xmlns:a16="http://schemas.microsoft.com/office/drawing/2014/main" id="{5DAFC26A-2EA3-4D66-A486-6E8B3264F70D}"/>
            </a:ext>
            <a:ext uri="{147F2762-F138-4A5C-976F-8EAC2B608ADB}">
              <a16:predDERef xmlns:a16="http://schemas.microsoft.com/office/drawing/2014/main" pred="{E061AF9D-F3EE-4F45-9330-791838AC8903}"/>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25" name="TextBox 6">
          <a:extLst>
            <a:ext uri="{FF2B5EF4-FFF2-40B4-BE49-F238E27FC236}">
              <a16:creationId xmlns:a16="http://schemas.microsoft.com/office/drawing/2014/main" id="{4F401B77-1550-4CFB-9C64-8E62A98A3241}"/>
            </a:ext>
            <a:ext uri="{147F2762-F138-4A5C-976F-8EAC2B608ADB}">
              <a16:predDERef xmlns:a16="http://schemas.microsoft.com/office/drawing/2014/main" pred="{9701C93A-2432-4D55-B6D9-129D1A996217}"/>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8" dT="2022-11-04T20:01:26.79" personId="{00000000-0000-0000-0000-000000000000}" id="{229520D7-7016-42E4-8C7A-C79132BFAEF2}">
    <text>[Mention was removed] I would start over with Revision 1 for this filing</text>
  </threadedComment>
</ThreadedComments>
</file>

<file path=xl/threadedComments/threadedComment2.xml><?xml version="1.0" encoding="utf-8"?>
<ThreadedComments xmlns="http://schemas.microsoft.com/office/spreadsheetml/2018/threadedcomments" xmlns:x="http://schemas.openxmlformats.org/spreadsheetml/2006/main">
  <threadedComment ref="CA47" dT="2022-08-12T18:02:36.79" personId="{00000000-0000-0000-0000-000000000000}" id="{1F79EB30-40E6-4FEE-8081-264A0DD3316F}">
    <text>New Parameter in 2022</text>
  </threadedComment>
  <threadedComment ref="J48" dT="2022-08-23T16:30:24.86" personId="{00000000-0000-0000-0000-000000000000}" id="{4FD58C77-BC14-487C-A631-ECCF90B20D10}">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CA90" dT="2022-08-12T18:02:36.79" personId="{00000000-0000-0000-0000-000000000000}" id="{3FD83065-96A6-464C-9E8E-273A11926546}">
    <text>New Parameter in 2022</text>
  </threadedComment>
  <threadedComment ref="K91" dT="2022-08-23T16:30:24.86" personId="{00000000-0000-0000-0000-000000000000}" id="{109B7D96-496F-49F3-A4EB-E4D20B2F633F}">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CA113" dT="2022-08-12T18:02:36.79" personId="{00000000-0000-0000-0000-000000000000}" id="{032AEE45-646D-4A2E-93EE-ADA5B4D4ED52}">
    <text>New Parameter in 2022</text>
  </threadedComment>
  <threadedComment ref="J114" dT="2022-08-23T16:30:24.86" personId="{00000000-0000-0000-0000-000000000000}" id="{9A5B632C-620F-4DEF-870E-DEB9BAABB0E4}">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CM139" dT="2022-08-12T18:02:36.79" personId="{00000000-0000-0000-0000-000000000000}" id="{F24F4E8F-98C0-4133-9385-04E85E29C6B5}">
    <text>New Parameter in 2022</text>
  </threadedComment>
  <threadedComment ref="K140" dT="2022-08-23T16:30:24.86" personId="{00000000-0000-0000-0000-000000000000}" id="{02C142E9-5B6D-479B-AF8F-203809E105F8}">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G233" dT="2024-08-30T02:36:14.30" personId="{00000000-0000-0000-0000-000000000000}" id="{6FA16D5E-F5F5-4EA9-95C4-3ACB1336652A}">
    <text>AO Smith heat pump water heater eff</text>
  </threadedComment>
  <threadedComment ref="F487" dT="2024-08-26T19:55:54.20" personId="{00000000-0000-0000-0000-000000000000}" id="{68A376A1-7560-48F6-863F-A71AE02B15F7}">
    <text>Measure up to 324 lb/hr</text>
  </threadedComment>
  <threadedComment ref="N487" dT="2024-08-27T00:51:25.68" personId="{00000000-0000-0000-0000-000000000000}" id="{FDD28FC1-819C-49C6-BB0B-DA13E9838726}">
    <text>$2 per CFM, $4.6 per CFM with VRS</text>
  </threadedComment>
  <threadedComment ref="G504" dT="2024-08-27T01:00:10.57" personId="{00000000-0000-0000-0000-000000000000}" id="{22887473-0942-4054-8884-17737EA9E0DF}">
    <text>Both with and without VRS have same non VRS baseline</text>
  </threadedComment>
  <threadedComment ref="N504" dT="2024-08-26T19:57:23.14" personId="{00000000-0000-0000-0000-000000000000}" id="{E946C9F2-7054-4A91-A570-359D26BE5220}">
    <text>Sample of units MRC32 4.2 tons, MRC 43 6 tons, MRC 70 11 tongs</text>
  </threadedComment>
  <threadedComment ref="N504" dT="2024-08-26T19:58:08.52" personId="{00000000-0000-0000-0000-000000000000}" id="{2A6A2CC5-EAB8-4369-A1BF-BF44503E4DEA}" parentId="{E946C9F2-7054-4A91-A570-359D26BE5220}">
    <text>Value is used to normalize measure to lb/hr</text>
  </threadedComment>
</ThreadedComments>
</file>

<file path=xl/threadedComments/threadedComment3.xml><?xml version="1.0" encoding="utf-8"?>
<ThreadedComments xmlns="http://schemas.microsoft.com/office/spreadsheetml/2018/threadedcomments" xmlns:x="http://schemas.openxmlformats.org/spreadsheetml/2006/main">
  <threadedComment ref="F804" dT="2022-08-03T02:20:56.11" personId="{00000000-0000-0000-0000-000000000000}" id="{58353720-9FD7-401B-A6E9-79C2EF090359}">
    <text>Updated the formula, the HF value for #351851 was used by mistake</text>
  </threadedComment>
  <threadedComment ref="J887" dT="2023-08-23T21:25:46.03" personId="{00000000-0000-0000-0000-000000000000}" id="{964B95CF-B44E-481D-8797-EC09060FC94D}">
    <text>In an effort to clean up and maintain consistency: When replacing a CAC with non-electric heating only cooling savings can be claimed. Therefore, HSPFbase for these measures is 0.</text>
  </threadedComment>
  <threadedComment ref="J888" dT="2023-08-23T21:25:54.14" personId="{00000000-0000-0000-0000-000000000000}" id="{F77C096A-F478-48D9-B3E2-408CC9EB5843}">
    <text xml:space="preserve">In an effort to clean up and maintain consistency: When replacing a CAC with non-electric heating only cooling savings can be claimed. Therefore, HSPFbase for these measures is 0.
</text>
  </threadedComment>
  <threadedComment ref="J896" dT="2023-08-23T21:25:59.07" personId="{00000000-0000-0000-0000-000000000000}" id="{AF5CD540-E7BC-4181-833E-49D2D926D927}">
    <text xml:space="preserve">In an effort to clean up and maintain consistency: When replacing a CAC with non-electric heating only cooling savings can be claimed. Therefore, HSPFbase for these measures is 0.
</text>
  </threadedComment>
  <threadedComment ref="J897" dT="2023-08-23T21:26:13.60" personId="{00000000-0000-0000-0000-000000000000}" id="{AC0C4346-ACA4-4C58-8BAB-09A3CDAFEE7B}">
    <text xml:space="preserve">In an effort to clean up and maintain consistency: When replacing a CAC with non-electric heating only cooling savings can be claimed. Therefore, HSPFbase for these measures is 0.
</text>
  </threadedComment>
  <threadedComment ref="J905" dT="2023-08-23T21:26:29.59" personId="{00000000-0000-0000-0000-000000000000}" id="{F323E481-1993-4B82-917C-67D249CB87DE}">
    <text xml:space="preserve">In an effort to clean up and maintain consistency: When replacing a CAC with non-electric heating only cooling savings can be claimed. Therefore, HSPFbase for these measures is 0.
</text>
  </threadedComment>
  <threadedComment ref="J906" dT="2023-08-23T21:26:35.85" personId="{00000000-0000-0000-0000-000000000000}" id="{7AF596AA-FA3D-42FF-A62B-D225BEE3CB60}">
    <text xml:space="preserve">In an effort to clean up and maintain consistency: When replacing a CAC with non-electric heating only cooling savings can be claimed. Therefore, HSPFbase for these measures is 0.
</text>
  </threadedComment>
  <threadedComment ref="AD4475" dT="2022-08-12T15:07:42.42" personId="{00000000-0000-0000-0000-000000000000}" id="{D33F3C28-9C7D-4C8B-A43A-D5A62E829534}">
    <text>New Measure in 2022</text>
  </threadedComment>
</ThreadedComments>
</file>

<file path=xl/threadedComments/threadedComment4.xml><?xml version="1.0" encoding="utf-8"?>
<ThreadedComments xmlns="http://schemas.microsoft.com/office/spreadsheetml/2018/threadedcomments" xmlns:x="http://schemas.openxmlformats.org/spreadsheetml/2006/main">
  <threadedComment ref="AF822" dT="2022-08-11T20:19:44.76" personId="{00000000-0000-0000-0000-000000000000}" id="{369C16B0-CF35-41B8-97CA-780A26286298}">
    <text>Small Typo found that used 3,413 instead of 3,412</text>
  </threadedComment>
  <threadedComment ref="AD1242" dT="2022-08-12T13:54:52.58" personId="{00000000-0000-0000-0000-000000000000}" id="{4DF66CAA-922E-462C-9181-59F8894605CA}">
    <text>New measure in 2022</text>
  </threadedComment>
</ThreadedComments>
</file>

<file path=xl/threadedComments/threadedComment5.xml><?xml version="1.0" encoding="utf-8"?>
<ThreadedComments xmlns="http://schemas.microsoft.com/office/spreadsheetml/2018/threadedcomments" xmlns:x="http://schemas.openxmlformats.org/spreadsheetml/2006/main">
  <threadedComment ref="G106" dT="2022-08-11T20:19:44.76" personId="{00000000-0000-0000-0000-000000000000}" id="{8F201561-A9B9-4ADD-A545-D6684AE4253A}">
    <text>Small Typo found that used 3,413 instead of 3,412</text>
  </threadedComment>
  <threadedComment ref="AF106" dT="2022-08-11T20:19:44.76" personId="{00000000-0000-0000-0000-000000000000}" id="{76BC8B44-4B42-439F-A367-AAFDEEB37AB7}">
    <text>Small Typo found that used 3,413 instead of 3,412</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weather.gov/ncrfc/LMI_SoilTemperatureDepthMaps" TargetMode="External"/><Relationship Id="rId1" Type="http://schemas.openxmlformats.org/officeDocument/2006/relationships/hyperlink" Target="https://www.federalregister.gov/documents/2024/05/06/2024-09209/energy-conservation-program-energy-conservation-standards-for-consumer-water-heaters"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www.nrel.gov/docs/fy10osti/47246.pdf"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microsoft.com/office/2017/10/relationships/threadedComment" Target="../threadedComments/threadedComment3.xm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microsoft.com/office/2017/10/relationships/threadedComment" Target="../threadedComments/threadedComment4.xm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5" Type="http://schemas.microsoft.com/office/2017/10/relationships/threadedComment" Target="../threadedComments/threadedComment5.xml"/><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U64"/>
  <sheetViews>
    <sheetView zoomScale="70" zoomScaleNormal="70" workbookViewId="0">
      <selection activeCell="AC8" sqref="AC8"/>
    </sheetView>
  </sheetViews>
  <sheetFormatPr defaultColWidth="9.28515625" defaultRowHeight="15"/>
  <cols>
    <col min="1" max="1" width="13.5703125" style="129" customWidth="1"/>
    <col min="2" max="5" width="9.28515625" style="129"/>
    <col min="6" max="6" width="7.7109375" style="129" customWidth="1"/>
    <col min="7" max="7" width="12.5703125" style="129" customWidth="1"/>
    <col min="8" max="16384" width="9.28515625" style="129"/>
  </cols>
  <sheetData>
    <row r="2" spans="2:21" ht="36">
      <c r="J2" s="2063" t="s">
        <v>0</v>
      </c>
    </row>
    <row r="4" spans="2:21" ht="18.75">
      <c r="J4" s="2064" t="s">
        <v>1</v>
      </c>
      <c r="O4" s="2065" t="s">
        <v>2</v>
      </c>
      <c r="U4" s="2065" t="s">
        <v>3</v>
      </c>
    </row>
    <row r="7" spans="2:21" ht="18.75">
      <c r="B7" s="2064" t="s">
        <v>4</v>
      </c>
      <c r="C7" s="2064"/>
    </row>
    <row r="8" spans="2:21" ht="18.75">
      <c r="B8" s="2064" t="s">
        <v>5</v>
      </c>
    </row>
    <row r="9" spans="2:21" ht="18.75">
      <c r="B9" s="2064" t="s">
        <v>6</v>
      </c>
    </row>
    <row r="16" spans="2:21" ht="18.75">
      <c r="E16" s="2064" t="s">
        <v>7</v>
      </c>
    </row>
    <row r="17" spans="6:8" ht="18.75">
      <c r="F17" s="2065" t="s">
        <v>8</v>
      </c>
      <c r="G17" s="2066"/>
      <c r="H17" s="2066"/>
    </row>
    <row r="18" spans="6:8" ht="18.75">
      <c r="F18" s="2065" t="s">
        <v>9</v>
      </c>
      <c r="H18" s="2066"/>
    </row>
    <row r="46" spans="10:10" ht="18.75">
      <c r="J46" s="2067" t="s">
        <v>10</v>
      </c>
    </row>
    <row r="53" spans="4:15">
      <c r="D53" s="2005" t="s">
        <v>11</v>
      </c>
      <c r="F53" s="1825"/>
    </row>
    <row r="54" spans="4:15">
      <c r="F54" s="1825"/>
    </row>
    <row r="55" spans="4:15" ht="26.25" customHeight="1">
      <c r="D55" s="1652"/>
      <c r="F55" s="3977" t="s">
        <v>12</v>
      </c>
      <c r="G55" s="3977"/>
      <c r="H55" s="3977"/>
      <c r="I55" s="3977"/>
      <c r="J55" s="3977"/>
      <c r="K55" s="3977"/>
      <c r="L55" s="3977"/>
      <c r="M55" s="3977"/>
      <c r="N55" s="3977"/>
      <c r="O55" s="3977"/>
    </row>
    <row r="56" spans="4:15" ht="24.75" customHeight="1">
      <c r="F56" s="2071"/>
      <c r="G56" s="1882"/>
      <c r="H56" s="1882"/>
      <c r="I56" s="1882"/>
      <c r="J56" s="1882"/>
      <c r="K56" s="1882"/>
      <c r="L56" s="1882"/>
      <c r="M56" s="1882"/>
      <c r="N56" s="1882"/>
      <c r="O56" s="1882"/>
    </row>
    <row r="57" spans="4:15" ht="26.25" customHeight="1">
      <c r="D57" s="1803"/>
      <c r="F57" s="3977" t="s">
        <v>13</v>
      </c>
      <c r="G57" s="3977"/>
      <c r="H57" s="3977"/>
      <c r="I57" s="3977"/>
      <c r="J57" s="3977"/>
      <c r="K57" s="3977"/>
      <c r="L57" s="3977"/>
      <c r="M57" s="3977"/>
      <c r="N57" s="3977"/>
      <c r="O57" s="3977"/>
    </row>
    <row r="58" spans="4:15" ht="24.75" customHeight="1">
      <c r="F58" s="2071"/>
      <c r="G58" s="1882"/>
      <c r="H58" s="1882"/>
      <c r="I58" s="1882"/>
      <c r="J58" s="1882"/>
      <c r="K58" s="1882"/>
      <c r="L58" s="1882"/>
      <c r="M58" s="1882"/>
      <c r="N58" s="1882"/>
      <c r="O58" s="1882"/>
    </row>
    <row r="59" spans="4:15" ht="26.25" customHeight="1">
      <c r="D59" s="1665"/>
      <c r="F59" s="3977" t="s">
        <v>14</v>
      </c>
      <c r="G59" s="3977"/>
      <c r="H59" s="3977"/>
      <c r="I59" s="3977"/>
      <c r="J59" s="3977"/>
      <c r="K59" s="3977"/>
      <c r="L59" s="3977"/>
      <c r="M59" s="3977"/>
      <c r="N59" s="3977"/>
      <c r="O59" s="3977"/>
    </row>
    <row r="60" spans="4:15" ht="24.75" customHeight="1">
      <c r="F60" s="3977"/>
      <c r="G60" s="3977"/>
      <c r="H60" s="3977"/>
      <c r="I60" s="3977"/>
      <c r="J60" s="3977"/>
      <c r="K60" s="3977"/>
      <c r="L60" s="3977"/>
      <c r="M60" s="3977"/>
      <c r="N60" s="3977"/>
      <c r="O60" s="3977"/>
    </row>
    <row r="61" spans="4:15" ht="26.25" customHeight="1">
      <c r="D61" s="1736"/>
      <c r="F61" s="3977" t="s">
        <v>15</v>
      </c>
      <c r="G61" s="3977"/>
      <c r="H61" s="3977"/>
      <c r="I61" s="3977"/>
      <c r="J61" s="3977"/>
      <c r="K61" s="3977"/>
      <c r="L61" s="3977"/>
      <c r="M61" s="3977"/>
      <c r="N61" s="3977"/>
      <c r="O61" s="3977"/>
    </row>
    <row r="62" spans="4:15" ht="24.75" customHeight="1">
      <c r="F62" s="2071"/>
      <c r="G62" s="1882"/>
      <c r="H62" s="1882"/>
      <c r="I62" s="1882"/>
      <c r="J62" s="1882"/>
      <c r="K62" s="1882"/>
      <c r="L62" s="1882"/>
      <c r="M62" s="1882"/>
      <c r="N62" s="1882"/>
      <c r="O62" s="1882"/>
    </row>
    <row r="63" spans="4:15" ht="26.25" customHeight="1">
      <c r="D63" s="1696"/>
      <c r="F63" s="3977" t="s">
        <v>16</v>
      </c>
      <c r="G63" s="3977"/>
      <c r="H63" s="3977"/>
      <c r="I63" s="3977"/>
      <c r="J63" s="3977"/>
      <c r="K63" s="3977"/>
      <c r="L63" s="3977"/>
      <c r="M63" s="3977"/>
      <c r="N63" s="3977"/>
      <c r="O63" s="3977"/>
    </row>
    <row r="64" spans="4:15">
      <c r="F64" s="1825"/>
    </row>
  </sheetData>
  <mergeCells count="5">
    <mergeCell ref="F55:O55"/>
    <mergeCell ref="F57:O57"/>
    <mergeCell ref="F61:O61"/>
    <mergeCell ref="F63:O63"/>
    <mergeCell ref="F59:O60"/>
  </mergeCells>
  <pageMargins left="0.7" right="0.7" top="0.75" bottom="0.75" header="0.3" footer="0.3"/>
  <pageSetup orientation="portrait" r:id="rId1"/>
  <headerFooter>
    <oddHeader>&amp;RAppendix F - TRM - Deemed Savings Table Clean</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
    <tabColor rgb="FF0070C0"/>
    <pageSetUpPr fitToPage="1"/>
  </sheetPr>
  <dimension ref="A1:BN981"/>
  <sheetViews>
    <sheetView zoomScale="70" zoomScaleNormal="70" workbookViewId="0">
      <pane xSplit="1" ySplit="7" topLeftCell="B726" activePane="bottomRight" state="frozen"/>
      <selection pane="bottomRight" activeCell="E753" sqref="E753"/>
      <selection pane="bottomLeft" activeCell="A8" sqref="A8"/>
      <selection pane="topRight" activeCell="B1" sqref="B1"/>
    </sheetView>
  </sheetViews>
  <sheetFormatPr defaultRowHeight="15" outlineLevelCol="1"/>
  <cols>
    <col min="1" max="1" width="16.28515625" style="43" bestFit="1" customWidth="1"/>
    <col min="2" max="2" width="23" style="52" bestFit="1" customWidth="1"/>
    <col min="3" max="3" width="19.7109375" style="52" customWidth="1"/>
    <col min="4" max="4" width="22.5703125" style="52" bestFit="1" customWidth="1"/>
    <col min="5" max="5" width="17.42578125" style="52" bestFit="1" customWidth="1"/>
    <col min="6" max="6" width="17.7109375" style="52" bestFit="1" customWidth="1"/>
    <col min="7" max="7" width="76.7109375" style="52" customWidth="1"/>
    <col min="8" max="8" width="20.7109375" style="51" customWidth="1"/>
    <col min="9" max="10" width="18.7109375" style="891" customWidth="1"/>
    <col min="11" max="14" width="11.7109375" style="553" customWidth="1" outlineLevel="1"/>
    <col min="15" max="16" width="18.7109375" style="551" customWidth="1"/>
    <col min="17" max="20" width="12.7109375" style="52" customWidth="1" outlineLevel="1"/>
    <col min="21" max="23" width="12.7109375" customWidth="1"/>
    <col min="24" max="26" width="10.7109375" style="892" customWidth="1"/>
    <col min="27" max="27" width="10.7109375" style="261" customWidth="1"/>
    <col min="28" max="28" width="30.7109375" style="893" customWidth="1"/>
    <col min="29" max="29" width="16.7109375" style="893" customWidth="1"/>
    <col min="30" max="30" width="16.7109375" style="894" customWidth="1"/>
    <col min="31" max="31" width="16.7109375" style="51" customWidth="1" outlineLevel="1"/>
    <col min="32" max="34" width="16.7109375" style="52" customWidth="1" outlineLevel="1"/>
    <col min="35" max="35" width="14.7109375" style="52" customWidth="1"/>
    <col min="36" max="36" width="14.7109375" customWidth="1"/>
    <col min="37" max="49" width="2.28515625" customWidth="1"/>
    <col min="50" max="50" width="45.5703125" style="52" customWidth="1"/>
    <col min="51" max="52" width="8.7109375" style="52" customWidth="1"/>
    <col min="53" max="56" width="13.28515625" style="43" customWidth="1"/>
    <col min="57" max="57" width="3.7109375" customWidth="1"/>
    <col min="58" max="58" width="13.28515625" customWidth="1"/>
    <col min="59" max="59" width="13.28515625" style="1196" customWidth="1"/>
    <col min="60" max="61" width="13.28515625" customWidth="1"/>
    <col min="62" max="62" width="2.28515625" customWidth="1"/>
    <col min="63" max="66" width="13.28515625" customWidth="1"/>
    <col min="67" max="67" width="1.7109375" customWidth="1"/>
  </cols>
  <sheetData>
    <row r="1" spans="1:66" ht="27" thickBot="1">
      <c r="B1" s="4859" t="s">
        <v>3729</v>
      </c>
      <c r="C1" s="4859"/>
      <c r="D1" s="4859"/>
      <c r="E1" s="4859"/>
      <c r="F1" s="4859"/>
      <c r="G1" s="4859"/>
      <c r="H1" s="4859"/>
      <c r="I1" s="4859"/>
      <c r="J1" s="4859"/>
      <c r="K1" s="4859"/>
      <c r="L1" s="4859"/>
      <c r="M1" s="4859"/>
      <c r="N1" s="4859"/>
      <c r="O1" s="4859"/>
      <c r="P1" s="4859"/>
      <c r="Q1" s="4859"/>
      <c r="R1" s="4859"/>
      <c r="S1" s="4859"/>
      <c r="T1" s="4859"/>
      <c r="U1" s="4859"/>
      <c r="V1" s="4859"/>
      <c r="W1" s="4859"/>
      <c r="X1" s="4859"/>
      <c r="Y1" s="4859"/>
      <c r="Z1" s="4859"/>
      <c r="AA1" s="4859"/>
      <c r="AB1" s="4859"/>
      <c r="AC1" s="4859"/>
      <c r="AD1" s="4859"/>
      <c r="AE1" s="4859"/>
      <c r="AF1" s="4859"/>
      <c r="AG1" s="4859"/>
      <c r="AH1" s="4859"/>
      <c r="BA1" s="1451"/>
      <c r="BB1" s="1451"/>
      <c r="BC1" s="1451"/>
      <c r="BD1" s="1451"/>
    </row>
    <row r="2" spans="1:66" ht="55.15" customHeight="1" thickBot="1">
      <c r="B2" s="4859"/>
      <c r="C2" s="4859"/>
      <c r="D2" s="4859"/>
      <c r="E2" s="4859"/>
      <c r="F2" s="4859"/>
      <c r="G2" s="4859"/>
      <c r="H2" s="4859"/>
      <c r="I2" s="4859"/>
      <c r="J2" s="4859"/>
      <c r="K2" s="4859"/>
      <c r="L2" s="4859"/>
      <c r="M2" s="4859"/>
      <c r="N2" s="4859"/>
      <c r="O2" s="4859"/>
      <c r="P2" s="4859"/>
      <c r="Q2" s="4859"/>
      <c r="R2" s="4859"/>
      <c r="S2" s="4859"/>
      <c r="T2" s="4859"/>
      <c r="U2" s="4859"/>
      <c r="V2" s="4859"/>
      <c r="W2" s="4859"/>
      <c r="X2" s="4859"/>
      <c r="Y2" s="4859"/>
      <c r="Z2" s="4859"/>
      <c r="AA2" s="4859"/>
      <c r="AB2" s="4859"/>
      <c r="AC2" s="4859"/>
      <c r="AD2" s="4859"/>
      <c r="AE2" s="4859"/>
      <c r="AF2" s="4859"/>
      <c r="AG2" s="4859"/>
      <c r="AH2" s="4859"/>
      <c r="AX2" s="1319"/>
      <c r="AY2" s="1320"/>
      <c r="AZ2" s="1320"/>
      <c r="BA2" s="4771" t="s">
        <v>3730</v>
      </c>
      <c r="BB2" s="4772"/>
      <c r="BC2" s="4772"/>
      <c r="BD2" s="4772"/>
      <c r="BE2" s="4772"/>
      <c r="BF2" s="4772"/>
      <c r="BG2" s="4772"/>
      <c r="BH2" s="4772"/>
      <c r="BI2" s="4772"/>
      <c r="BJ2" s="4860"/>
      <c r="BK2" s="4860"/>
      <c r="BL2" s="4860"/>
      <c r="BM2" s="4860"/>
      <c r="BN2" s="4861"/>
    </row>
    <row r="3" spans="1:66" ht="36">
      <c r="B3" s="4859"/>
      <c r="C3" s="4859"/>
      <c r="D3" s="4859"/>
      <c r="E3" s="4859"/>
      <c r="F3" s="4859"/>
      <c r="G3" s="4859"/>
      <c r="H3" s="4859"/>
      <c r="I3" s="4859"/>
      <c r="J3" s="4859"/>
      <c r="K3" s="4859"/>
      <c r="L3" s="4859"/>
      <c r="M3" s="4859"/>
      <c r="N3" s="4859"/>
      <c r="O3" s="4859"/>
      <c r="P3" s="4859"/>
      <c r="Q3" s="4859"/>
      <c r="R3" s="4859"/>
      <c r="S3" s="4859"/>
      <c r="T3" s="4859"/>
      <c r="U3" s="4859"/>
      <c r="V3" s="4859"/>
      <c r="W3" s="4859"/>
      <c r="X3" s="4859"/>
      <c r="Y3" s="4859"/>
      <c r="Z3" s="4859"/>
      <c r="AA3" s="4859"/>
      <c r="AB3" s="4859"/>
      <c r="AC3" s="4859"/>
      <c r="AD3" s="4859"/>
      <c r="AE3" s="4859"/>
      <c r="AF3" s="4859"/>
      <c r="AG3" s="4859"/>
      <c r="AH3" s="4859"/>
      <c r="AX3" s="1313"/>
      <c r="AY3" s="1314"/>
      <c r="AZ3" s="1314"/>
      <c r="BA3" s="1294" t="s">
        <v>2603</v>
      </c>
      <c r="BB3" s="1291"/>
      <c r="BC3" s="1295">
        <v>0.6</v>
      </c>
      <c r="BD3" s="1292"/>
      <c r="BE3" s="1304"/>
      <c r="BF3" s="1304"/>
      <c r="BG3" s="1309"/>
      <c r="BH3" s="1304"/>
      <c r="BI3" s="1304"/>
      <c r="BJ3" s="1304"/>
      <c r="BK3" s="1304"/>
      <c r="BL3" s="1304"/>
      <c r="BM3" s="1304"/>
      <c r="BN3" s="1310"/>
    </row>
    <row r="4" spans="1:66" ht="36.75" thickBot="1">
      <c r="C4" s="52" t="s">
        <v>3731</v>
      </c>
      <c r="I4" s="875"/>
      <c r="J4" s="875"/>
      <c r="K4" s="876"/>
      <c r="L4" s="876"/>
      <c r="M4" s="876"/>
      <c r="N4" s="876"/>
      <c r="O4" s="61"/>
      <c r="P4" s="61"/>
      <c r="Q4" s="51"/>
      <c r="R4" s="51"/>
      <c r="S4" s="51"/>
      <c r="T4" s="51"/>
      <c r="U4" s="43"/>
      <c r="V4" s="43"/>
      <c r="W4" s="43"/>
      <c r="AX4" s="1315"/>
      <c r="AY4" s="1307"/>
      <c r="AZ4" s="1307"/>
      <c r="BA4" s="1296" t="s">
        <v>2604</v>
      </c>
      <c r="BB4" s="1297"/>
      <c r="BC4" s="1298">
        <f>1-BC3</f>
        <v>0.4</v>
      </c>
      <c r="BD4" s="1293"/>
      <c r="BE4" s="1305"/>
      <c r="BF4" s="1305"/>
      <c r="BG4" s="1311"/>
      <c r="BH4" s="1305"/>
      <c r="BI4" s="1305"/>
      <c r="BJ4" s="1305"/>
      <c r="BK4" s="1305"/>
      <c r="BL4" s="1305"/>
      <c r="BM4" s="1305"/>
      <c r="BN4" s="1312"/>
    </row>
    <row r="5" spans="1:66" ht="15.75" thickBot="1">
      <c r="C5" s="1243" t="s">
        <v>3732</v>
      </c>
      <c r="D5" s="159"/>
      <c r="E5" s="159"/>
      <c r="F5" s="159"/>
      <c r="G5" s="159"/>
      <c r="I5" s="875"/>
      <c r="J5" s="875"/>
      <c r="K5" s="876"/>
      <c r="L5" s="876"/>
      <c r="M5" s="876"/>
      <c r="N5" s="876"/>
      <c r="O5" s="61"/>
      <c r="P5" s="61"/>
      <c r="Q5" s="51"/>
      <c r="R5" s="51"/>
      <c r="S5" s="51"/>
      <c r="T5" s="51"/>
      <c r="U5" s="43"/>
      <c r="V5" s="43"/>
      <c r="W5" s="43"/>
      <c r="AC5" s="895"/>
      <c r="AD5" s="896"/>
      <c r="AE5" s="1286" t="s">
        <v>3733</v>
      </c>
      <c r="AF5" s="1286" t="s">
        <v>3734</v>
      </c>
      <c r="AG5" s="1286" t="s">
        <v>3735</v>
      </c>
      <c r="AH5" s="1286" t="s">
        <v>3736</v>
      </c>
      <c r="AX5" s="1315"/>
      <c r="AY5" s="1307"/>
      <c r="AZ5" s="1307"/>
      <c r="BA5" s="1307"/>
      <c r="BB5" s="1307"/>
      <c r="BC5" s="1307"/>
      <c r="BD5" s="1307"/>
      <c r="BE5" s="1305"/>
      <c r="BF5" s="1305"/>
      <c r="BG5" s="1311"/>
      <c r="BH5" s="1305"/>
      <c r="BI5" s="1305"/>
      <c r="BJ5" s="1305"/>
      <c r="BK5" s="1305"/>
      <c r="BL5" s="1305"/>
      <c r="BM5" s="1305"/>
      <c r="BN5" s="1312"/>
    </row>
    <row r="6" spans="1:66" ht="63" customHeight="1">
      <c r="B6" s="4793" t="s">
        <v>42</v>
      </c>
      <c r="C6" s="4797" t="s">
        <v>46</v>
      </c>
      <c r="D6" s="4798"/>
      <c r="E6" s="4798"/>
      <c r="F6" s="4799"/>
      <c r="G6" s="639" t="s">
        <v>3737</v>
      </c>
      <c r="H6" s="4805" t="s">
        <v>43</v>
      </c>
      <c r="I6" s="651" t="s">
        <v>3738</v>
      </c>
      <c r="J6" s="651" t="s">
        <v>3739</v>
      </c>
      <c r="K6" s="4773" t="s">
        <v>3740</v>
      </c>
      <c r="L6" s="4774"/>
      <c r="M6" s="4774"/>
      <c r="N6" s="4775"/>
      <c r="O6" s="649" t="s">
        <v>3741</v>
      </c>
      <c r="P6" s="649" t="s">
        <v>3742</v>
      </c>
      <c r="Q6" s="4776" t="s">
        <v>3743</v>
      </c>
      <c r="R6" s="4777"/>
      <c r="S6" s="4777"/>
      <c r="T6" s="4778"/>
      <c r="U6" s="4795" t="s">
        <v>3744</v>
      </c>
      <c r="V6" s="4795" t="s">
        <v>3745</v>
      </c>
      <c r="W6" s="4795" t="s">
        <v>3746</v>
      </c>
      <c r="X6" s="4802" t="s">
        <v>49</v>
      </c>
      <c r="Y6" s="4803"/>
      <c r="Z6" s="4804"/>
      <c r="AA6" s="4800" t="s">
        <v>3747</v>
      </c>
      <c r="AB6" s="4789" t="s">
        <v>3532</v>
      </c>
      <c r="AC6" s="4789" t="s">
        <v>3748</v>
      </c>
      <c r="AD6" s="4791" t="s">
        <v>3749</v>
      </c>
      <c r="AE6" s="4785" t="s">
        <v>3750</v>
      </c>
      <c r="AF6" s="4785" t="s">
        <v>3750</v>
      </c>
      <c r="AG6" s="4787" t="s">
        <v>3751</v>
      </c>
      <c r="AH6" s="4787" t="s">
        <v>3751</v>
      </c>
      <c r="AI6" s="897"/>
      <c r="AJ6" s="664"/>
      <c r="AK6" s="664"/>
      <c r="AX6" s="1315"/>
      <c r="AY6" s="1307"/>
      <c r="AZ6" s="1307"/>
      <c r="BA6" s="4779" t="s">
        <v>3752</v>
      </c>
      <c r="BB6" s="4780"/>
      <c r="BC6" s="4780"/>
      <c r="BD6" s="4781"/>
      <c r="BE6" s="1343"/>
      <c r="BF6" s="4782" t="s">
        <v>3752</v>
      </c>
      <c r="BG6" s="4783"/>
      <c r="BH6" s="4783"/>
      <c r="BI6" s="4784"/>
      <c r="BJ6" s="1305"/>
      <c r="BK6" s="4768" t="s">
        <v>3753</v>
      </c>
      <c r="BL6" s="4769"/>
      <c r="BM6" s="4769"/>
      <c r="BN6" s="4770"/>
    </row>
    <row r="7" spans="1:66" ht="60" thickBot="1">
      <c r="B7" s="4794"/>
      <c r="C7" s="643">
        <v>1</v>
      </c>
      <c r="D7" s="643">
        <v>2</v>
      </c>
      <c r="E7" s="643">
        <v>3</v>
      </c>
      <c r="F7" s="643">
        <v>4</v>
      </c>
      <c r="G7" s="643"/>
      <c r="H7" s="4806"/>
      <c r="I7" s="877" t="s">
        <v>3754</v>
      </c>
      <c r="J7" s="877" t="s">
        <v>2620</v>
      </c>
      <c r="K7" s="878" t="s">
        <v>3755</v>
      </c>
      <c r="L7" s="878" t="s">
        <v>3756</v>
      </c>
      <c r="M7" s="878" t="s">
        <v>3757</v>
      </c>
      <c r="N7" s="878" t="s">
        <v>3758</v>
      </c>
      <c r="O7" s="879" t="s">
        <v>3759</v>
      </c>
      <c r="P7" s="879" t="s">
        <v>3760</v>
      </c>
      <c r="Q7" s="880" t="s">
        <v>3755</v>
      </c>
      <c r="R7" s="880" t="s">
        <v>3756</v>
      </c>
      <c r="S7" s="880" t="s">
        <v>3757</v>
      </c>
      <c r="T7" s="880" t="s">
        <v>3758</v>
      </c>
      <c r="U7" s="4796" t="s">
        <v>3744</v>
      </c>
      <c r="V7" s="4796" t="s">
        <v>3745</v>
      </c>
      <c r="W7" s="4796" t="s">
        <v>3746</v>
      </c>
      <c r="X7" s="898" t="s">
        <v>2619</v>
      </c>
      <c r="Y7" s="898" t="s">
        <v>2620</v>
      </c>
      <c r="Z7" s="898" t="s">
        <v>3761</v>
      </c>
      <c r="AA7" s="4801"/>
      <c r="AB7" s="4790"/>
      <c r="AC7" s="4790" t="s">
        <v>3762</v>
      </c>
      <c r="AD7" s="4792" t="s">
        <v>3762</v>
      </c>
      <c r="AE7" s="4786"/>
      <c r="AF7" s="4786"/>
      <c r="AG7" s="4788"/>
      <c r="AH7" s="4788"/>
      <c r="AI7" s="1378" t="s">
        <v>51</v>
      </c>
      <c r="AJ7" s="71" t="s">
        <v>3763</v>
      </c>
      <c r="AX7" s="1318" t="s">
        <v>3764</v>
      </c>
      <c r="AY7" s="1316" t="s">
        <v>204</v>
      </c>
      <c r="AZ7" s="1317" t="s">
        <v>3765</v>
      </c>
      <c r="BA7" s="1345" t="s">
        <v>3766</v>
      </c>
      <c r="BB7" s="1346" t="s">
        <v>3767</v>
      </c>
      <c r="BC7" s="1347" t="s">
        <v>3768</v>
      </c>
      <c r="BD7" s="1348" t="s">
        <v>3769</v>
      </c>
      <c r="BE7" s="1344"/>
      <c r="BF7" s="1349" t="s">
        <v>3770</v>
      </c>
      <c r="BG7" s="1350" t="s">
        <v>3771</v>
      </c>
      <c r="BH7" s="1351" t="s">
        <v>3772</v>
      </c>
      <c r="BI7" s="1352" t="s">
        <v>3773</v>
      </c>
      <c r="BJ7" s="1344"/>
      <c r="BK7" s="1345" t="s">
        <v>3774</v>
      </c>
      <c r="BL7" s="1353" t="s">
        <v>3775</v>
      </c>
      <c r="BM7" s="1349" t="s">
        <v>3776</v>
      </c>
      <c r="BN7" s="1354" t="s">
        <v>3777</v>
      </c>
    </row>
    <row r="8" spans="1:66" ht="14.65" customHeight="1" thickBot="1">
      <c r="B8" s="644"/>
      <c r="C8" s="640"/>
      <c r="D8" s="640"/>
      <c r="E8" s="640"/>
      <c r="F8" s="640"/>
      <c r="G8" s="640"/>
      <c r="H8" s="881"/>
      <c r="I8" s="882"/>
      <c r="J8" s="882"/>
      <c r="K8" s="883"/>
      <c r="L8" s="883"/>
      <c r="M8" s="883"/>
      <c r="N8" s="883"/>
      <c r="O8" s="884"/>
      <c r="P8" s="884"/>
      <c r="Q8" s="885"/>
      <c r="R8" s="885"/>
      <c r="S8" s="885"/>
      <c r="T8" s="885"/>
      <c r="U8" s="645"/>
      <c r="V8" s="645"/>
      <c r="W8" s="645"/>
      <c r="X8" s="899"/>
      <c r="Y8" s="899"/>
      <c r="Z8" s="899"/>
      <c r="AA8" s="1289"/>
      <c r="AB8" s="901"/>
      <c r="AC8" s="646"/>
      <c r="AD8" s="647"/>
      <c r="AE8" s="900"/>
      <c r="AF8" s="1378"/>
      <c r="AG8" s="1378"/>
      <c r="AH8" s="1378"/>
      <c r="AI8" s="1378"/>
      <c r="AJ8" s="71"/>
      <c r="AX8" s="1299"/>
      <c r="BA8" s="1345"/>
      <c r="BB8" s="1346"/>
      <c r="BC8" s="1347"/>
      <c r="BD8" s="1348"/>
      <c r="BE8" s="1344"/>
      <c r="BF8" s="1349"/>
      <c r="BG8" s="1350"/>
      <c r="BH8" s="1351"/>
      <c r="BI8" s="1352"/>
      <c r="BJ8" s="1344"/>
      <c r="BK8" s="1345"/>
      <c r="BL8" s="1353"/>
      <c r="BM8" s="1349"/>
      <c r="BN8" s="1354"/>
    </row>
    <row r="9" spans="1:66">
      <c r="A9" s="51" t="str">
        <f t="shared" ref="A9:A45" si="0">LEFT(B9,6)</f>
        <v>250050</v>
      </c>
      <c r="B9" s="1442" t="str">
        <f>'Efficient Products Deemed Table'!C7</f>
        <v>250050_2024_12_</v>
      </c>
      <c r="C9" s="1378" t="str">
        <f>'Efficient Products Deemed Table'!G7</f>
        <v>Water Heating RES</v>
      </c>
      <c r="D9" s="1378"/>
      <c r="E9" s="1378"/>
      <c r="F9" s="1378"/>
      <c r="G9" s="1378" t="str">
        <f>'Efficient Products Deemed Table'!E7</f>
        <v>Heat Pump Hot Water Heater</v>
      </c>
      <c r="H9" s="1378" t="str">
        <f>'Efficient Products Deemed Table'!D7</f>
        <v>MFIE</v>
      </c>
      <c r="I9" s="785">
        <f>'Efficient Products Deemed Table'!F7</f>
        <v>2396.2600000000002</v>
      </c>
      <c r="J9" s="785">
        <v>0</v>
      </c>
      <c r="K9" s="202">
        <v>0</v>
      </c>
      <c r="L9" s="202">
        <v>0</v>
      </c>
      <c r="M9" s="202">
        <v>0</v>
      </c>
      <c r="N9" s="202">
        <v>0</v>
      </c>
      <c r="O9" s="786">
        <f>'Efficient Products Deemed Table'!M7</f>
        <v>0.21262400000000001</v>
      </c>
      <c r="P9" s="786">
        <v>0</v>
      </c>
      <c r="Q9" s="787">
        <v>0</v>
      </c>
      <c r="R9" s="787">
        <v>0</v>
      </c>
      <c r="S9" s="787"/>
      <c r="T9" s="787"/>
      <c r="U9" s="788">
        <f t="shared" ref="U9:U37" si="1">IFERROR(IF(V9+W9&gt;0,0,IF(Z9&gt;0,O9,0)),0)</f>
        <v>0</v>
      </c>
      <c r="V9" s="788">
        <f t="shared" ref="V9:V37" si="2">IF(W9&gt;0,0,IF(Z9&gt;9,O9,0))</f>
        <v>0.21262400000000001</v>
      </c>
      <c r="W9" s="788">
        <f t="shared" ref="W9:W37" si="3">IF(Z9&gt;14,O9,0)</f>
        <v>0</v>
      </c>
      <c r="X9" s="23">
        <f>'Efficient Products Deemed Table'!N7</f>
        <v>13</v>
      </c>
      <c r="Y9" s="23"/>
      <c r="Z9" s="23">
        <f t="shared" ref="Z9:Z45" si="4">Y9+X9</f>
        <v>13</v>
      </c>
      <c r="AA9" s="18">
        <f>'Efficient Products Deemed Table'!DG7</f>
        <v>1.1871774588443991</v>
      </c>
      <c r="AB9" s="807">
        <f>'Efficient Products Deemed Table'!O7</f>
        <v>1199</v>
      </c>
      <c r="AC9" s="903">
        <f t="shared" ref="AC9:AC45" si="5">AE9+AF9</f>
        <v>1423.4257731544344</v>
      </c>
      <c r="AD9" s="903"/>
      <c r="AE9" s="610">
        <f>'Efficient Products Deemed Table'!DI7</f>
        <v>1423.4257731544344</v>
      </c>
      <c r="AF9" s="208"/>
      <c r="AG9" s="208"/>
      <c r="AH9" s="208"/>
      <c r="AI9" s="904" t="str">
        <f>'Efficient Products Deemed Table'!P7</f>
        <v>per measure</v>
      </c>
      <c r="AJ9" s="789"/>
      <c r="AX9" s="1355" t="str">
        <f t="shared" ref="AX9:AX45" si="6">G9</f>
        <v>Heat Pump Hot Water Heater</v>
      </c>
      <c r="AY9" s="1378"/>
      <c r="AZ9" s="1446" t="str">
        <f t="shared" ref="AZ9:AZ45" si="7">A9</f>
        <v>250050</v>
      </c>
      <c r="BA9" s="1300" t="s">
        <v>1303</v>
      </c>
      <c r="BB9" s="1300" t="s">
        <v>1303</v>
      </c>
      <c r="BC9" s="1300" t="s">
        <v>1303</v>
      </c>
      <c r="BD9" s="1300" t="s">
        <v>1303</v>
      </c>
      <c r="BE9" s="1305"/>
      <c r="BF9" s="1300" t="s">
        <v>1303</v>
      </c>
      <c r="BG9" s="1300" t="s">
        <v>1303</v>
      </c>
      <c r="BH9" s="1300" t="s">
        <v>1303</v>
      </c>
      <c r="BI9" s="1301" t="s">
        <v>1303</v>
      </c>
      <c r="BJ9" s="1305"/>
      <c r="BK9" s="1300" t="s">
        <v>1303</v>
      </c>
      <c r="BL9" s="1301" t="s">
        <v>1303</v>
      </c>
      <c r="BM9" s="1300" t="s">
        <v>1303</v>
      </c>
      <c r="BN9" s="1301" t="s">
        <v>1303</v>
      </c>
    </row>
    <row r="10" spans="1:66">
      <c r="A10" s="51" t="str">
        <f t="shared" si="0"/>
        <v>250100</v>
      </c>
      <c r="B10" s="1442" t="str">
        <f>'Efficient Products Deemed Table'!C48</f>
        <v>250100_2024_12_</v>
      </c>
      <c r="C10" s="1378" t="str">
        <f>'Efficient Products Deemed Table'!G48</f>
        <v>Cooling RES</v>
      </c>
      <c r="D10" s="1378" t="str">
        <f>'Efficient Products Deemed Table'!G49</f>
        <v>Heating RES</v>
      </c>
      <c r="E10" s="1378"/>
      <c r="F10" s="1378"/>
      <c r="G10" s="1378" t="str">
        <f>'Efficient Products Deemed Table'!E48</f>
        <v>Learning Thermostat - ASHP heating/cooling SF</v>
      </c>
      <c r="H10" s="1378" t="str">
        <f>'Efficient Products Deemed Table'!D48</f>
        <v>PAYS/SFIE</v>
      </c>
      <c r="I10" s="785">
        <f t="shared" ref="I10:I21" si="8">K10+L10</f>
        <v>0</v>
      </c>
      <c r="J10" s="202">
        <f t="shared" ref="J10:J21" si="9">M10+N10</f>
        <v>0</v>
      </c>
      <c r="K10" s="202">
        <f>'Efficient Products Deemed Table'!F48</f>
        <v>0</v>
      </c>
      <c r="L10" s="202">
        <f>'Efficient Products Deemed Table'!F49</f>
        <v>0</v>
      </c>
      <c r="M10" s="202">
        <v>0</v>
      </c>
      <c r="N10" s="202">
        <v>0</v>
      </c>
      <c r="O10" s="786">
        <f t="shared" ref="O10:O21" si="10">Q10+R10</f>
        <v>0</v>
      </c>
      <c r="P10" s="786">
        <f t="shared" ref="P10:P21" si="11">S10+T10</f>
        <v>0</v>
      </c>
      <c r="Q10" s="787">
        <f>'Efficient Products Deemed Table'!I48</f>
        <v>0</v>
      </c>
      <c r="R10" s="787">
        <v>0</v>
      </c>
      <c r="S10" s="787"/>
      <c r="T10" s="787"/>
      <c r="U10" s="788">
        <f t="shared" si="1"/>
        <v>0</v>
      </c>
      <c r="V10" s="788">
        <f t="shared" si="2"/>
        <v>0</v>
      </c>
      <c r="W10" s="788">
        <f t="shared" si="3"/>
        <v>0</v>
      </c>
      <c r="X10" s="23">
        <f>'Efficient Products Deemed Table'!J48</f>
        <v>11</v>
      </c>
      <c r="Y10" s="23"/>
      <c r="Z10" s="23">
        <f t="shared" si="4"/>
        <v>11</v>
      </c>
      <c r="AA10" s="18">
        <f>'Efficient Products Deemed Table'!DG48</f>
        <v>0</v>
      </c>
      <c r="AB10" s="807">
        <f>'Efficient Products Deemed Table'!K48</f>
        <v>79</v>
      </c>
      <c r="AC10" s="903">
        <f t="shared" si="5"/>
        <v>0</v>
      </c>
      <c r="AD10" s="903"/>
      <c r="AE10" s="610">
        <f>'Efficient Products Deemed Table'!DI48</f>
        <v>0</v>
      </c>
      <c r="AF10" s="208">
        <f>'Efficient Products Deemed Table'!DI49</f>
        <v>0</v>
      </c>
      <c r="AG10" s="208"/>
      <c r="AH10" s="208"/>
      <c r="AI10" s="1442" t="str">
        <f>'Efficient Products Deemed Table'!L48</f>
        <v>per measure</v>
      </c>
      <c r="AJ10" s="789"/>
      <c r="AK10" s="642"/>
      <c r="AL10" s="642"/>
      <c r="AX10" s="1355" t="str">
        <f t="shared" si="6"/>
        <v>Learning Thermostat - ASHP heating/cooling SF</v>
      </c>
      <c r="AY10" s="1378"/>
      <c r="AZ10" s="1446" t="str">
        <f t="shared" si="7"/>
        <v>250100</v>
      </c>
      <c r="BA10" s="1300" t="s">
        <v>1303</v>
      </c>
      <c r="BB10" s="1300" t="s">
        <v>1303</v>
      </c>
      <c r="BC10" s="1300" t="s">
        <v>1303</v>
      </c>
      <c r="BD10" s="1300" t="s">
        <v>1303</v>
      </c>
      <c r="BE10" s="1305"/>
      <c r="BF10" s="1300" t="s">
        <v>1303</v>
      </c>
      <c r="BG10" s="1300" t="s">
        <v>1303</v>
      </c>
      <c r="BH10" s="1300" t="s">
        <v>1303</v>
      </c>
      <c r="BI10" s="1301" t="s">
        <v>1303</v>
      </c>
      <c r="BJ10" s="1305"/>
      <c r="BK10" s="1300" t="s">
        <v>1303</v>
      </c>
      <c r="BL10" s="1301" t="s">
        <v>1303</v>
      </c>
      <c r="BM10" s="1300" t="s">
        <v>1303</v>
      </c>
      <c r="BN10" s="1301" t="s">
        <v>1303</v>
      </c>
    </row>
    <row r="11" spans="1:66">
      <c r="A11" s="51" t="str">
        <f t="shared" si="0"/>
        <v>250101</v>
      </c>
      <c r="B11" s="1442" t="str">
        <f>'Efficient Products Deemed Table'!C50</f>
        <v>250101_2024_12_</v>
      </c>
      <c r="C11" s="1378" t="str">
        <f>'Efficient Products Deemed Table'!G50</f>
        <v>Cooling RES</v>
      </c>
      <c r="D11" s="1378" t="str">
        <f>'Efficient Products Deemed Table'!G51</f>
        <v>Heating RES</v>
      </c>
      <c r="E11" s="1378"/>
      <c r="F11" s="1378"/>
      <c r="G11" s="1378" t="str">
        <f>'Efficient Products Deemed Table'!E50</f>
        <v>Learning Thermostat - ASHP heating/cooling MF</v>
      </c>
      <c r="H11" s="1378" t="str">
        <f>'Efficient Products Deemed Table'!D50</f>
        <v>MFIE</v>
      </c>
      <c r="I11" s="785">
        <f t="shared" si="8"/>
        <v>0</v>
      </c>
      <c r="J11" s="202">
        <f t="shared" si="9"/>
        <v>0</v>
      </c>
      <c r="K11" s="202">
        <f>'Efficient Products Deemed Table'!F50</f>
        <v>0</v>
      </c>
      <c r="L11" s="202">
        <f>'Efficient Products Deemed Table'!F51</f>
        <v>0</v>
      </c>
      <c r="M11" s="202">
        <v>0</v>
      </c>
      <c r="N11" s="202">
        <v>0</v>
      </c>
      <c r="O11" s="786">
        <f t="shared" si="10"/>
        <v>0</v>
      </c>
      <c r="P11" s="786">
        <f t="shared" si="11"/>
        <v>0</v>
      </c>
      <c r="Q11" s="787">
        <f>'Efficient Products Deemed Table'!I50</f>
        <v>0</v>
      </c>
      <c r="R11" s="787">
        <v>0</v>
      </c>
      <c r="S11" s="787"/>
      <c r="T11" s="787"/>
      <c r="U11" s="788">
        <f t="shared" si="1"/>
        <v>0</v>
      </c>
      <c r="V11" s="788">
        <f t="shared" si="2"/>
        <v>0</v>
      </c>
      <c r="W11" s="788">
        <f t="shared" si="3"/>
        <v>0</v>
      </c>
      <c r="X11" s="23">
        <f>'Efficient Products Deemed Table'!J50</f>
        <v>11</v>
      </c>
      <c r="Y11" s="23"/>
      <c r="Z11" s="23">
        <f t="shared" si="4"/>
        <v>11</v>
      </c>
      <c r="AA11" s="18">
        <f>'Efficient Products Deemed Table'!DG50</f>
        <v>0</v>
      </c>
      <c r="AB11" s="807">
        <f>'Efficient Products Deemed Table'!K50</f>
        <v>79</v>
      </c>
      <c r="AC11" s="903">
        <f t="shared" si="5"/>
        <v>0</v>
      </c>
      <c r="AD11" s="903"/>
      <c r="AE11" s="610">
        <f>'Efficient Products Deemed Table'!DI50</f>
        <v>0</v>
      </c>
      <c r="AF11" s="208">
        <f>'Efficient Products Deemed Table'!DI51</f>
        <v>0</v>
      </c>
      <c r="AG11" s="208"/>
      <c r="AH11" s="208"/>
      <c r="AI11" s="1442" t="str">
        <f>'Efficient Products Deemed Table'!L50</f>
        <v>per measure</v>
      </c>
      <c r="AJ11" s="789"/>
      <c r="AK11" s="642"/>
      <c r="AL11" s="642"/>
      <c r="AX11" s="1355" t="str">
        <f t="shared" si="6"/>
        <v>Learning Thermostat - ASHP heating/cooling MF</v>
      </c>
      <c r="AY11" s="1378"/>
      <c r="AZ11" s="1446" t="str">
        <f t="shared" si="7"/>
        <v>250101</v>
      </c>
      <c r="BA11" s="1300" t="s">
        <v>1303</v>
      </c>
      <c r="BB11" s="1300" t="s">
        <v>1303</v>
      </c>
      <c r="BC11" s="1300" t="s">
        <v>1303</v>
      </c>
      <c r="BD11" s="1300" t="s">
        <v>1303</v>
      </c>
      <c r="BE11" s="1305"/>
      <c r="BF11" s="1300" t="s">
        <v>1303</v>
      </c>
      <c r="BG11" s="1300" t="s">
        <v>1303</v>
      </c>
      <c r="BH11" s="1300" t="s">
        <v>1303</v>
      </c>
      <c r="BI11" s="1301" t="s">
        <v>1303</v>
      </c>
      <c r="BJ11" s="1305"/>
      <c r="BK11" s="1300" t="s">
        <v>1303</v>
      </c>
      <c r="BL11" s="1301" t="s">
        <v>1303</v>
      </c>
      <c r="BM11" s="1300" t="s">
        <v>1303</v>
      </c>
      <c r="BN11" s="1301" t="s">
        <v>1303</v>
      </c>
    </row>
    <row r="12" spans="1:66" s="696" customFormat="1">
      <c r="A12" s="2958" t="str">
        <f t="shared" si="0"/>
        <v>250102</v>
      </c>
      <c r="B12" s="2233" t="str">
        <f>'Efficient Products Deemed Table'!C52</f>
        <v>250102_2024_12_</v>
      </c>
      <c r="C12" s="2724" t="str">
        <f>'Efficient Products Deemed Table'!G52</f>
        <v>Cooling RES</v>
      </c>
      <c r="D12" s="2724" t="str">
        <f>'Efficient Products Deemed Table'!G53</f>
        <v>Heating RES</v>
      </c>
      <c r="E12" s="2724"/>
      <c r="F12" s="2724"/>
      <c r="G12" s="2724" t="str">
        <f>'Efficient Products Deemed Table'!E52</f>
        <v>Learning Thermostat - ASHP heating/cooling MF_CompE</v>
      </c>
      <c r="H12" s="2724" t="str">
        <f>'Efficient Products Deemed Table'!D52</f>
        <v>MFIE_CompE</v>
      </c>
      <c r="I12" s="3840">
        <f t="shared" si="8"/>
        <v>0</v>
      </c>
      <c r="J12" s="3251">
        <f t="shared" si="9"/>
        <v>0</v>
      </c>
      <c r="K12" s="3251">
        <f>'Efficient Products Deemed Table'!F52</f>
        <v>0</v>
      </c>
      <c r="L12" s="3251">
        <f>'Efficient Products Deemed Table'!F53</f>
        <v>0</v>
      </c>
      <c r="M12" s="3251">
        <v>0</v>
      </c>
      <c r="N12" s="3251">
        <v>0</v>
      </c>
      <c r="O12" s="3841">
        <f t="shared" si="10"/>
        <v>0</v>
      </c>
      <c r="P12" s="3841">
        <f t="shared" si="11"/>
        <v>0</v>
      </c>
      <c r="Q12" s="3842">
        <f>'Efficient Products Deemed Table'!I52</f>
        <v>0</v>
      </c>
      <c r="R12" s="3842">
        <v>0</v>
      </c>
      <c r="S12" s="3842"/>
      <c r="T12" s="3842"/>
      <c r="U12" s="3843">
        <f t="shared" si="1"/>
        <v>0</v>
      </c>
      <c r="V12" s="3843">
        <f t="shared" si="2"/>
        <v>0</v>
      </c>
      <c r="W12" s="3843">
        <f t="shared" si="3"/>
        <v>0</v>
      </c>
      <c r="X12" s="2846">
        <f>'Efficient Products Deemed Table'!J52</f>
        <v>11</v>
      </c>
      <c r="Y12" s="2846"/>
      <c r="Z12" s="2846">
        <f t="shared" si="4"/>
        <v>11</v>
      </c>
      <c r="AA12" s="2529">
        <f>'Efficient Products Deemed Table'!DG52</f>
        <v>0</v>
      </c>
      <c r="AB12" s="3844">
        <f>'Efficient Products Deemed Table'!K52</f>
        <v>79</v>
      </c>
      <c r="AC12" s="3845">
        <f t="shared" si="5"/>
        <v>0</v>
      </c>
      <c r="AD12" s="3845"/>
      <c r="AE12" s="3865">
        <f>'Efficient Products Deemed Table'!DI52</f>
        <v>0</v>
      </c>
      <c r="AF12" s="3846">
        <f>'Efficient Products Deemed Table'!DI53</f>
        <v>0</v>
      </c>
      <c r="AG12" s="3846"/>
      <c r="AH12" s="3846"/>
      <c r="AI12" s="2233" t="str">
        <f>'Efficient Products Deemed Table'!L52</f>
        <v>per measure</v>
      </c>
      <c r="AJ12" s="3251"/>
      <c r="AK12" s="3873"/>
      <c r="AL12" s="3873"/>
      <c r="AX12" s="3849" t="str">
        <f t="shared" si="6"/>
        <v>Learning Thermostat - ASHP heating/cooling MF_CompE</v>
      </c>
      <c r="AY12" s="2724"/>
      <c r="AZ12" s="3850" t="str">
        <f t="shared" si="7"/>
        <v>250102</v>
      </c>
      <c r="BA12" s="3866" t="s">
        <v>1303</v>
      </c>
      <c r="BB12" s="3866" t="s">
        <v>1303</v>
      </c>
      <c r="BC12" s="3866" t="s">
        <v>1303</v>
      </c>
      <c r="BD12" s="3866" t="s">
        <v>1303</v>
      </c>
      <c r="BE12" s="3853"/>
      <c r="BF12" s="3866" t="s">
        <v>1303</v>
      </c>
      <c r="BG12" s="3866" t="s">
        <v>1303</v>
      </c>
      <c r="BH12" s="3866" t="s">
        <v>1303</v>
      </c>
      <c r="BI12" s="3867" t="s">
        <v>1303</v>
      </c>
      <c r="BJ12" s="3853"/>
      <c r="BK12" s="3866" t="s">
        <v>1303</v>
      </c>
      <c r="BL12" s="3867" t="s">
        <v>1303</v>
      </c>
      <c r="BM12" s="3866" t="s">
        <v>1303</v>
      </c>
      <c r="BN12" s="3867" t="s">
        <v>1303</v>
      </c>
    </row>
    <row r="13" spans="1:66">
      <c r="A13" s="51" t="str">
        <f t="shared" si="0"/>
        <v>250150</v>
      </c>
      <c r="B13" s="1442" t="str">
        <f>'Efficient Products Deemed Table'!C54</f>
        <v>250150_2024_12_</v>
      </c>
      <c r="C13" s="1378" t="str">
        <f>'Efficient Products Deemed Table'!G54</f>
        <v>Cooling RES</v>
      </c>
      <c r="D13" s="1378" t="str">
        <f>'Efficient Products Deemed Table'!G55</f>
        <v>Heating RES</v>
      </c>
      <c r="E13" s="1378"/>
      <c r="F13" s="1378"/>
      <c r="G13" s="1378" t="str">
        <f>'Efficient Products Deemed Table'!E54</f>
        <v>Learning Thermostat - electric furnace heating / central AC MF</v>
      </c>
      <c r="H13" s="1378" t="str">
        <f>'Efficient Products Deemed Table'!D54</f>
        <v>MFIE</v>
      </c>
      <c r="I13" s="785">
        <f t="shared" si="8"/>
        <v>0</v>
      </c>
      <c r="J13" s="202">
        <f t="shared" si="9"/>
        <v>0</v>
      </c>
      <c r="K13" s="202">
        <f>'Efficient Products Deemed Table'!F54</f>
        <v>0</v>
      </c>
      <c r="L13" s="202">
        <f>'Efficient Products Deemed Table'!F55</f>
        <v>0</v>
      </c>
      <c r="M13" s="202">
        <v>0</v>
      </c>
      <c r="N13" s="202">
        <v>0</v>
      </c>
      <c r="O13" s="786">
        <f t="shared" si="10"/>
        <v>0</v>
      </c>
      <c r="P13" s="786">
        <f t="shared" si="11"/>
        <v>0</v>
      </c>
      <c r="Q13" s="787">
        <f>'Efficient Products Deemed Table'!I54</f>
        <v>0</v>
      </c>
      <c r="R13" s="787">
        <v>0</v>
      </c>
      <c r="S13" s="787"/>
      <c r="T13" s="787"/>
      <c r="U13" s="788">
        <f t="shared" si="1"/>
        <v>0</v>
      </c>
      <c r="V13" s="788">
        <f t="shared" si="2"/>
        <v>0</v>
      </c>
      <c r="W13" s="788">
        <f t="shared" si="3"/>
        <v>0</v>
      </c>
      <c r="X13" s="23">
        <f>'Efficient Products Deemed Table'!J54</f>
        <v>11</v>
      </c>
      <c r="Y13" s="23"/>
      <c r="Z13" s="23">
        <f t="shared" si="4"/>
        <v>11</v>
      </c>
      <c r="AA13" s="18">
        <f>'Efficient Products Deemed Table'!DG54</f>
        <v>0</v>
      </c>
      <c r="AB13" s="807">
        <f>'Efficient Products Deemed Table'!K54</f>
        <v>79</v>
      </c>
      <c r="AC13" s="903">
        <f t="shared" si="5"/>
        <v>0</v>
      </c>
      <c r="AD13" s="903"/>
      <c r="AE13" s="610">
        <f>'Efficient Products Deemed Table'!DI54</f>
        <v>0</v>
      </c>
      <c r="AF13" s="208">
        <f>'Efficient Products Deemed Table'!DI55</f>
        <v>0</v>
      </c>
      <c r="AG13" s="208"/>
      <c r="AH13" s="208"/>
      <c r="AI13" s="1442" t="str">
        <f>'Efficient Products Deemed Table'!L54</f>
        <v>per measure</v>
      </c>
      <c r="AJ13" s="789"/>
      <c r="AK13" s="642"/>
      <c r="AL13" s="642"/>
      <c r="AX13" s="1355" t="str">
        <f t="shared" si="6"/>
        <v>Learning Thermostat - electric furnace heating / central AC MF</v>
      </c>
      <c r="AY13" s="1378"/>
      <c r="AZ13" s="1446" t="str">
        <f t="shared" si="7"/>
        <v>250150</v>
      </c>
      <c r="BA13" s="1300" t="s">
        <v>1303</v>
      </c>
      <c r="BB13" s="1300" t="s">
        <v>1303</v>
      </c>
      <c r="BC13" s="1300" t="s">
        <v>1303</v>
      </c>
      <c r="BD13" s="1300" t="s">
        <v>1303</v>
      </c>
      <c r="BE13" s="1305"/>
      <c r="BF13" s="1300" t="s">
        <v>1303</v>
      </c>
      <c r="BG13" s="1300" t="s">
        <v>1303</v>
      </c>
      <c r="BH13" s="1300" t="s">
        <v>1303</v>
      </c>
      <c r="BI13" s="1301" t="s">
        <v>1303</v>
      </c>
      <c r="BJ13" s="1305"/>
      <c r="BK13" s="1300" t="s">
        <v>1303</v>
      </c>
      <c r="BL13" s="1301" t="s">
        <v>1303</v>
      </c>
      <c r="BM13" s="1300" t="s">
        <v>1303</v>
      </c>
      <c r="BN13" s="1301" t="s">
        <v>1303</v>
      </c>
    </row>
    <row r="14" spans="1:66" s="696" customFormat="1">
      <c r="A14" s="2958" t="str">
        <f t="shared" si="0"/>
        <v>250151</v>
      </c>
      <c r="B14" s="2233" t="str">
        <f>'Efficient Products Deemed Table'!C56</f>
        <v>250151_2024_12_</v>
      </c>
      <c r="C14" s="2724" t="str">
        <f>'Efficient Products Deemed Table'!G56</f>
        <v>Cooling RES</v>
      </c>
      <c r="D14" s="2724" t="str">
        <f>'Efficient Products Deemed Table'!G57</f>
        <v>Heating RES</v>
      </c>
      <c r="E14" s="2724"/>
      <c r="F14" s="2724"/>
      <c r="G14" s="2724" t="str">
        <f>'Efficient Products Deemed Table'!E56</f>
        <v>Learning Thermostat - electric furnace heating / central AC MF_CompE</v>
      </c>
      <c r="H14" s="2724" t="str">
        <f>'Efficient Products Deemed Table'!D56</f>
        <v>MFIE_CompE</v>
      </c>
      <c r="I14" s="3840">
        <f t="shared" si="8"/>
        <v>0</v>
      </c>
      <c r="J14" s="3251">
        <f t="shared" si="9"/>
        <v>0</v>
      </c>
      <c r="K14" s="3251">
        <f>'Efficient Products Deemed Table'!F56</f>
        <v>0</v>
      </c>
      <c r="L14" s="3251">
        <f>'Efficient Products Deemed Table'!F57</f>
        <v>0</v>
      </c>
      <c r="M14" s="3251">
        <v>0</v>
      </c>
      <c r="N14" s="3251">
        <v>0</v>
      </c>
      <c r="O14" s="3841">
        <f t="shared" si="10"/>
        <v>0</v>
      </c>
      <c r="P14" s="3841">
        <f t="shared" si="11"/>
        <v>0</v>
      </c>
      <c r="Q14" s="3842">
        <f>'Efficient Products Deemed Table'!I56</f>
        <v>0</v>
      </c>
      <c r="R14" s="3842">
        <v>0</v>
      </c>
      <c r="S14" s="3842"/>
      <c r="T14" s="3842"/>
      <c r="U14" s="3843">
        <f t="shared" si="1"/>
        <v>0</v>
      </c>
      <c r="V14" s="3843">
        <f t="shared" si="2"/>
        <v>0</v>
      </c>
      <c r="W14" s="3843">
        <f t="shared" si="3"/>
        <v>0</v>
      </c>
      <c r="X14" s="2846">
        <f>'Efficient Products Deemed Table'!J56</f>
        <v>11</v>
      </c>
      <c r="Y14" s="2846"/>
      <c r="Z14" s="2846">
        <f t="shared" si="4"/>
        <v>11</v>
      </c>
      <c r="AA14" s="2529">
        <f>'Efficient Products Deemed Table'!DG56</f>
        <v>0</v>
      </c>
      <c r="AB14" s="3844">
        <f>'Efficient Products Deemed Table'!K56</f>
        <v>79</v>
      </c>
      <c r="AC14" s="3845">
        <f t="shared" si="5"/>
        <v>0</v>
      </c>
      <c r="AD14" s="3845"/>
      <c r="AE14" s="3865">
        <f>'Efficient Products Deemed Table'!DI56</f>
        <v>0</v>
      </c>
      <c r="AF14" s="3846">
        <f>'Efficient Products Deemed Table'!DI57</f>
        <v>0</v>
      </c>
      <c r="AG14" s="3846"/>
      <c r="AH14" s="3846"/>
      <c r="AI14" s="2233" t="str">
        <f>'Efficient Products Deemed Table'!L56</f>
        <v>per measure</v>
      </c>
      <c r="AJ14" s="3251"/>
      <c r="AK14" s="3873"/>
      <c r="AL14" s="3873"/>
      <c r="AX14" s="3849" t="str">
        <f t="shared" si="6"/>
        <v>Learning Thermostat - electric furnace heating / central AC MF_CompE</v>
      </c>
      <c r="AY14" s="2724"/>
      <c r="AZ14" s="3850" t="str">
        <f t="shared" si="7"/>
        <v>250151</v>
      </c>
      <c r="BA14" s="3866" t="s">
        <v>1303</v>
      </c>
      <c r="BB14" s="3866" t="s">
        <v>1303</v>
      </c>
      <c r="BC14" s="3866" t="s">
        <v>1303</v>
      </c>
      <c r="BD14" s="3866" t="s">
        <v>1303</v>
      </c>
      <c r="BE14" s="3853"/>
      <c r="BF14" s="3866" t="s">
        <v>1303</v>
      </c>
      <c r="BG14" s="3866" t="s">
        <v>1303</v>
      </c>
      <c r="BH14" s="3866" t="s">
        <v>1303</v>
      </c>
      <c r="BI14" s="3867" t="s">
        <v>1303</v>
      </c>
      <c r="BJ14" s="3853"/>
      <c r="BK14" s="3866" t="s">
        <v>1303</v>
      </c>
      <c r="BL14" s="3867" t="s">
        <v>1303</v>
      </c>
      <c r="BM14" s="3866" t="s">
        <v>1303</v>
      </c>
      <c r="BN14" s="3867" t="s">
        <v>1303</v>
      </c>
    </row>
    <row r="15" spans="1:66">
      <c r="A15" s="51" t="str">
        <f t="shared" si="0"/>
        <v>250250</v>
      </c>
      <c r="B15" s="1442" t="str">
        <f>'Efficient Products Deemed Table'!C58</f>
        <v>250250_2024_12_</v>
      </c>
      <c r="C15" s="1378" t="str">
        <f>'Efficient Products Deemed Table'!G58</f>
        <v>Cooling RES</v>
      </c>
      <c r="D15" s="1378" t="str">
        <f>'Efficient Products Deemed Table'!G59</f>
        <v>Heating RES</v>
      </c>
      <c r="E15" s="1378"/>
      <c r="F15" s="1378"/>
      <c r="G15" s="1378" t="str">
        <f>'Efficient Products Deemed Table'!E58</f>
        <v>Learning Thermostat - electric furnace heating / central AC SF</v>
      </c>
      <c r="H15" s="1378" t="str">
        <f>'Efficient Products Deemed Table'!D58</f>
        <v>PAYS/SFIE</v>
      </c>
      <c r="I15" s="785">
        <f t="shared" si="8"/>
        <v>0</v>
      </c>
      <c r="J15" s="202">
        <f t="shared" si="9"/>
        <v>0</v>
      </c>
      <c r="K15" s="202">
        <f>'Efficient Products Deemed Table'!F58</f>
        <v>0</v>
      </c>
      <c r="L15" s="202">
        <f>'Efficient Products Deemed Table'!F59</f>
        <v>0</v>
      </c>
      <c r="M15" s="202">
        <v>0</v>
      </c>
      <c r="N15" s="202">
        <v>0</v>
      </c>
      <c r="O15" s="786">
        <f t="shared" si="10"/>
        <v>0</v>
      </c>
      <c r="P15" s="786">
        <f t="shared" si="11"/>
        <v>0</v>
      </c>
      <c r="Q15" s="787">
        <f>'Efficient Products Deemed Table'!I58</f>
        <v>0</v>
      </c>
      <c r="R15" s="787">
        <v>0</v>
      </c>
      <c r="S15" s="787"/>
      <c r="T15" s="787"/>
      <c r="U15" s="788">
        <f t="shared" si="1"/>
        <v>0</v>
      </c>
      <c r="V15" s="788">
        <f t="shared" si="2"/>
        <v>0</v>
      </c>
      <c r="W15" s="788">
        <f t="shared" si="3"/>
        <v>0</v>
      </c>
      <c r="X15" s="23">
        <f>'Efficient Products Deemed Table'!J58</f>
        <v>11</v>
      </c>
      <c r="Y15" s="23"/>
      <c r="Z15" s="23">
        <f t="shared" si="4"/>
        <v>11</v>
      </c>
      <c r="AA15" s="18">
        <f>'Efficient Products Deemed Table'!DG58</f>
        <v>0</v>
      </c>
      <c r="AB15" s="807">
        <f>'Efficient Products Deemed Table'!K58</f>
        <v>79</v>
      </c>
      <c r="AC15" s="903">
        <f t="shared" si="5"/>
        <v>0</v>
      </c>
      <c r="AD15" s="903"/>
      <c r="AE15" s="610">
        <f>'Efficient Products Deemed Table'!DI58</f>
        <v>0</v>
      </c>
      <c r="AF15" s="208">
        <f>'Efficient Products Deemed Table'!DI59</f>
        <v>0</v>
      </c>
      <c r="AG15" s="208"/>
      <c r="AH15" s="208"/>
      <c r="AI15" s="1442" t="str">
        <f>'Efficient Products Deemed Table'!L58</f>
        <v>per measure</v>
      </c>
      <c r="AJ15" s="789"/>
      <c r="AK15" s="642"/>
      <c r="AL15" s="642"/>
      <c r="AX15" s="1355" t="str">
        <f t="shared" si="6"/>
        <v>Learning Thermostat - electric furnace heating / central AC SF</v>
      </c>
      <c r="AY15" s="1378"/>
      <c r="AZ15" s="1446" t="str">
        <f t="shared" si="7"/>
        <v>250250</v>
      </c>
      <c r="BA15" s="1300" t="s">
        <v>1303</v>
      </c>
      <c r="BB15" s="1300" t="s">
        <v>1303</v>
      </c>
      <c r="BC15" s="1300" t="s">
        <v>1303</v>
      </c>
      <c r="BD15" s="1300" t="s">
        <v>1303</v>
      </c>
      <c r="BE15" s="1305"/>
      <c r="BF15" s="1300" t="s">
        <v>1303</v>
      </c>
      <c r="BG15" s="1300" t="s">
        <v>1303</v>
      </c>
      <c r="BH15" s="1300" t="s">
        <v>1303</v>
      </c>
      <c r="BI15" s="1301" t="s">
        <v>1303</v>
      </c>
      <c r="BJ15" s="1305"/>
      <c r="BK15" s="1300" t="s">
        <v>1303</v>
      </c>
      <c r="BL15" s="1301" t="s">
        <v>1303</v>
      </c>
      <c r="BM15" s="1300" t="s">
        <v>1303</v>
      </c>
      <c r="BN15" s="1301" t="s">
        <v>1303</v>
      </c>
    </row>
    <row r="16" spans="1:66">
      <c r="A16" s="51" t="str">
        <f t="shared" si="0"/>
        <v>250350</v>
      </c>
      <c r="B16" s="1442" t="str">
        <f>'Efficient Products Deemed Table'!C60</f>
        <v>250350_2024_12_</v>
      </c>
      <c r="C16" s="1378" t="str">
        <f>'Efficient Products Deemed Table'!G60</f>
        <v>Cooling RES</v>
      </c>
      <c r="D16" s="1378" t="str">
        <f>'Efficient Products Deemed Table'!G61</f>
        <v>Heating RES</v>
      </c>
      <c r="E16" s="1378"/>
      <c r="F16" s="1378"/>
      <c r="G16" s="1378" t="str">
        <f>'Efficient Products Deemed Table'!E60</f>
        <v>Learning Thermostat - Gas Heated / central AC SF**</v>
      </c>
      <c r="H16" s="1378" t="str">
        <f>'Efficient Products Deemed Table'!D60</f>
        <v>PAYS/SFIE</v>
      </c>
      <c r="I16" s="785">
        <f t="shared" si="8"/>
        <v>0</v>
      </c>
      <c r="J16" s="202">
        <f t="shared" si="9"/>
        <v>0</v>
      </c>
      <c r="K16" s="202">
        <f>'Efficient Products Deemed Table'!F60</f>
        <v>0</v>
      </c>
      <c r="L16" s="202">
        <f>'Efficient Products Deemed Table'!F61</f>
        <v>0</v>
      </c>
      <c r="M16" s="202">
        <v>0</v>
      </c>
      <c r="N16" s="202">
        <v>0</v>
      </c>
      <c r="O16" s="786">
        <f t="shared" si="10"/>
        <v>0</v>
      </c>
      <c r="P16" s="786">
        <f t="shared" si="11"/>
        <v>0</v>
      </c>
      <c r="Q16" s="787">
        <f>'Efficient Products Deemed Table'!I60</f>
        <v>0</v>
      </c>
      <c r="R16" s="787">
        <v>0</v>
      </c>
      <c r="S16" s="787"/>
      <c r="T16" s="787"/>
      <c r="U16" s="788">
        <f t="shared" si="1"/>
        <v>0</v>
      </c>
      <c r="V16" s="788">
        <f t="shared" si="2"/>
        <v>0</v>
      </c>
      <c r="W16" s="788">
        <f t="shared" si="3"/>
        <v>0</v>
      </c>
      <c r="X16" s="23">
        <f>'Efficient Products Deemed Table'!J60</f>
        <v>11</v>
      </c>
      <c r="Y16" s="23"/>
      <c r="Z16" s="23">
        <f t="shared" si="4"/>
        <v>11</v>
      </c>
      <c r="AA16" s="18">
        <f>'Efficient Products Deemed Table'!DG60</f>
        <v>0</v>
      </c>
      <c r="AB16" s="807">
        <f>'Efficient Products Deemed Table'!K60</f>
        <v>79</v>
      </c>
      <c r="AC16" s="903">
        <f t="shared" si="5"/>
        <v>0</v>
      </c>
      <c r="AD16" s="903"/>
      <c r="AE16" s="610">
        <f>'Efficient Products Deemed Table'!DI60</f>
        <v>0</v>
      </c>
      <c r="AF16" s="208">
        <f>'Efficient Products Deemed Table'!DI61</f>
        <v>0</v>
      </c>
      <c r="AG16" s="208"/>
      <c r="AH16" s="208"/>
      <c r="AI16" s="1442" t="str">
        <f>'Efficient Products Deemed Table'!L60</f>
        <v>per measure</v>
      </c>
      <c r="AJ16" s="789"/>
      <c r="AK16" s="642"/>
      <c r="AL16" s="642"/>
      <c r="AX16" s="1355" t="str">
        <f t="shared" si="6"/>
        <v>Learning Thermostat - Gas Heated / central AC SF**</v>
      </c>
      <c r="AY16" s="1378"/>
      <c r="AZ16" s="1446" t="str">
        <f t="shared" si="7"/>
        <v>250350</v>
      </c>
      <c r="BA16" s="1300" t="s">
        <v>1303</v>
      </c>
      <c r="BB16" s="1300" t="s">
        <v>1303</v>
      </c>
      <c r="BC16" s="1300" t="s">
        <v>1303</v>
      </c>
      <c r="BD16" s="1300" t="s">
        <v>1303</v>
      </c>
      <c r="BE16" s="1305"/>
      <c r="BF16" s="1300" t="s">
        <v>1303</v>
      </c>
      <c r="BG16" s="1300" t="s">
        <v>1303</v>
      </c>
      <c r="BH16" s="1300" t="s">
        <v>1303</v>
      </c>
      <c r="BI16" s="1301" t="s">
        <v>1303</v>
      </c>
      <c r="BJ16" s="1305"/>
      <c r="BK16" s="1300" t="s">
        <v>1303</v>
      </c>
      <c r="BL16" s="1301" t="s">
        <v>1303</v>
      </c>
      <c r="BM16" s="1300" t="s">
        <v>1303</v>
      </c>
      <c r="BN16" s="1301" t="s">
        <v>1303</v>
      </c>
    </row>
    <row r="17" spans="1:66">
      <c r="A17" s="51" t="str">
        <f t="shared" si="0"/>
        <v>250351</v>
      </c>
      <c r="B17" s="1442" t="str">
        <f>'Efficient Products Deemed Table'!C62</f>
        <v>250351_2024_12_</v>
      </c>
      <c r="C17" s="1378" t="str">
        <f>'Efficient Products Deemed Table'!G62</f>
        <v>Cooling RES</v>
      </c>
      <c r="D17" s="1378" t="str">
        <f>'Efficient Products Deemed Table'!G63</f>
        <v>Heating RES</v>
      </c>
      <c r="E17" s="1378"/>
      <c r="F17" s="1378"/>
      <c r="G17" s="1378" t="str">
        <f>'Efficient Products Deemed Table'!E62</f>
        <v>Learning Thermostat - Gas Heated / central AC MF**</v>
      </c>
      <c r="H17" s="1378" t="str">
        <f>'Efficient Products Deemed Table'!D62</f>
        <v>MFIE</v>
      </c>
      <c r="I17" s="785">
        <f t="shared" si="8"/>
        <v>0</v>
      </c>
      <c r="J17" s="202">
        <f t="shared" si="9"/>
        <v>0</v>
      </c>
      <c r="K17" s="202">
        <f>'Efficient Products Deemed Table'!F62</f>
        <v>0</v>
      </c>
      <c r="L17" s="202">
        <f>'Efficient Products Deemed Table'!F63</f>
        <v>0</v>
      </c>
      <c r="M17" s="202">
        <v>0</v>
      </c>
      <c r="N17" s="202">
        <v>0</v>
      </c>
      <c r="O17" s="786">
        <f t="shared" si="10"/>
        <v>0</v>
      </c>
      <c r="P17" s="786">
        <f t="shared" si="11"/>
        <v>0</v>
      </c>
      <c r="Q17" s="787">
        <f>'Efficient Products Deemed Table'!I62</f>
        <v>0</v>
      </c>
      <c r="R17" s="787">
        <v>0</v>
      </c>
      <c r="S17" s="787"/>
      <c r="T17" s="787"/>
      <c r="U17" s="788">
        <f t="shared" si="1"/>
        <v>0</v>
      </c>
      <c r="V17" s="788">
        <f t="shared" si="2"/>
        <v>0</v>
      </c>
      <c r="W17" s="788">
        <f t="shared" si="3"/>
        <v>0</v>
      </c>
      <c r="X17" s="23">
        <f>'Efficient Products Deemed Table'!J62</f>
        <v>11</v>
      </c>
      <c r="Y17" s="23"/>
      <c r="Z17" s="23">
        <f t="shared" si="4"/>
        <v>11</v>
      </c>
      <c r="AA17" s="18">
        <f>'Efficient Products Deemed Table'!DG62</f>
        <v>0</v>
      </c>
      <c r="AB17" s="807">
        <f>'Efficient Products Deemed Table'!K62</f>
        <v>79</v>
      </c>
      <c r="AC17" s="903">
        <f t="shared" si="5"/>
        <v>0</v>
      </c>
      <c r="AD17" s="903"/>
      <c r="AE17" s="610">
        <f>'Efficient Products Deemed Table'!DI62</f>
        <v>0</v>
      </c>
      <c r="AF17" s="208">
        <f>'Efficient Products Deemed Table'!DI63</f>
        <v>0</v>
      </c>
      <c r="AG17" s="208"/>
      <c r="AH17" s="208"/>
      <c r="AI17" s="1442" t="str">
        <f>'Efficient Products Deemed Table'!L62</f>
        <v>per measure</v>
      </c>
      <c r="AJ17" s="789"/>
      <c r="AK17" s="642"/>
      <c r="AL17" s="642"/>
      <c r="AX17" s="1355" t="str">
        <f t="shared" si="6"/>
        <v>Learning Thermostat - Gas Heated / central AC MF**</v>
      </c>
      <c r="AY17" s="1378"/>
      <c r="AZ17" s="1446" t="str">
        <f t="shared" si="7"/>
        <v>250351</v>
      </c>
      <c r="BA17" s="1300" t="s">
        <v>1303</v>
      </c>
      <c r="BB17" s="1300" t="s">
        <v>1303</v>
      </c>
      <c r="BC17" s="1300" t="s">
        <v>1303</v>
      </c>
      <c r="BD17" s="1300" t="s">
        <v>1303</v>
      </c>
      <c r="BE17" s="1305"/>
      <c r="BF17" s="1300" t="s">
        <v>1303</v>
      </c>
      <c r="BG17" s="1300" t="s">
        <v>1303</v>
      </c>
      <c r="BH17" s="1300" t="s">
        <v>1303</v>
      </c>
      <c r="BI17" s="1301" t="s">
        <v>1303</v>
      </c>
      <c r="BJ17" s="1305"/>
      <c r="BK17" s="1300" t="s">
        <v>1303</v>
      </c>
      <c r="BL17" s="1301" t="s">
        <v>1303</v>
      </c>
      <c r="BM17" s="1300" t="s">
        <v>1303</v>
      </c>
      <c r="BN17" s="1301" t="s">
        <v>1303</v>
      </c>
    </row>
    <row r="18" spans="1:66" s="696" customFormat="1">
      <c r="A18" s="2958" t="str">
        <f t="shared" si="0"/>
        <v>250352</v>
      </c>
      <c r="B18" s="2233" t="str">
        <f>'Efficient Products Deemed Table'!C64</f>
        <v>250352_2024_12_</v>
      </c>
      <c r="C18" s="2724" t="str">
        <f>'Efficient Products Deemed Table'!G64</f>
        <v>Cooling RES</v>
      </c>
      <c r="D18" s="2724" t="str">
        <f>'Efficient Products Deemed Table'!G65</f>
        <v>Heating RES</v>
      </c>
      <c r="E18" s="2724"/>
      <c r="F18" s="2724"/>
      <c r="G18" s="2724" t="str">
        <f>'Efficient Products Deemed Table'!E64</f>
        <v>Learning Thermostat - Gas Heated / central AC MF_CompE**</v>
      </c>
      <c r="H18" s="2724" t="str">
        <f>'Efficient Products Deemed Table'!D64</f>
        <v>MFIE_CompE</v>
      </c>
      <c r="I18" s="3840">
        <f t="shared" si="8"/>
        <v>0</v>
      </c>
      <c r="J18" s="3251">
        <f t="shared" si="9"/>
        <v>0</v>
      </c>
      <c r="K18" s="3251">
        <f>'Efficient Products Deemed Table'!F64</f>
        <v>0</v>
      </c>
      <c r="L18" s="3251">
        <f>'Efficient Products Deemed Table'!F65</f>
        <v>0</v>
      </c>
      <c r="M18" s="3251">
        <v>0</v>
      </c>
      <c r="N18" s="3251">
        <v>0</v>
      </c>
      <c r="O18" s="3841">
        <f t="shared" si="10"/>
        <v>0</v>
      </c>
      <c r="P18" s="3841">
        <f t="shared" si="11"/>
        <v>0</v>
      </c>
      <c r="Q18" s="3842">
        <f>'Efficient Products Deemed Table'!I64</f>
        <v>0</v>
      </c>
      <c r="R18" s="3842">
        <v>0</v>
      </c>
      <c r="S18" s="3842"/>
      <c r="T18" s="3842"/>
      <c r="U18" s="3843">
        <f t="shared" si="1"/>
        <v>0</v>
      </c>
      <c r="V18" s="3843">
        <f t="shared" si="2"/>
        <v>0</v>
      </c>
      <c r="W18" s="3843">
        <f t="shared" si="3"/>
        <v>0</v>
      </c>
      <c r="X18" s="2846">
        <f>'Efficient Products Deemed Table'!J64</f>
        <v>11</v>
      </c>
      <c r="Y18" s="2846"/>
      <c r="Z18" s="2846">
        <f t="shared" si="4"/>
        <v>11</v>
      </c>
      <c r="AA18" s="2529">
        <f>'Efficient Products Deemed Table'!DG64</f>
        <v>0</v>
      </c>
      <c r="AB18" s="3844">
        <f>'Efficient Products Deemed Table'!K64</f>
        <v>79</v>
      </c>
      <c r="AC18" s="3845">
        <f t="shared" si="5"/>
        <v>0</v>
      </c>
      <c r="AD18" s="3845"/>
      <c r="AE18" s="3865">
        <f>'Efficient Products Deemed Table'!DI64</f>
        <v>0</v>
      </c>
      <c r="AF18" s="3846">
        <f>'Efficient Products Deemed Table'!DI65</f>
        <v>0</v>
      </c>
      <c r="AG18" s="3846"/>
      <c r="AH18" s="3846"/>
      <c r="AI18" s="2233" t="str">
        <f>'Efficient Products Deemed Table'!L64</f>
        <v>per measure</v>
      </c>
      <c r="AJ18" s="3251"/>
      <c r="AK18" s="3873"/>
      <c r="AL18" s="3873"/>
      <c r="AX18" s="3849" t="str">
        <f t="shared" si="6"/>
        <v>Learning Thermostat - Gas Heated / central AC MF_CompE**</v>
      </c>
      <c r="AY18" s="2724"/>
      <c r="AZ18" s="3850" t="str">
        <f t="shared" si="7"/>
        <v>250352</v>
      </c>
      <c r="BA18" s="3866" t="s">
        <v>1303</v>
      </c>
      <c r="BB18" s="3866" t="s">
        <v>1303</v>
      </c>
      <c r="BC18" s="3866" t="s">
        <v>1303</v>
      </c>
      <c r="BD18" s="3866" t="s">
        <v>1303</v>
      </c>
      <c r="BE18" s="3853"/>
      <c r="BF18" s="3866" t="s">
        <v>1303</v>
      </c>
      <c r="BG18" s="3866" t="s">
        <v>1303</v>
      </c>
      <c r="BH18" s="3866" t="s">
        <v>1303</v>
      </c>
      <c r="BI18" s="3867" t="s">
        <v>1303</v>
      </c>
      <c r="BJ18" s="3853"/>
      <c r="BK18" s="3866" t="s">
        <v>1303</v>
      </c>
      <c r="BL18" s="3867" t="s">
        <v>1303</v>
      </c>
      <c r="BM18" s="3866" t="s">
        <v>1303</v>
      </c>
      <c r="BN18" s="3867" t="s">
        <v>1303</v>
      </c>
    </row>
    <row r="19" spans="1:66">
      <c r="A19" s="51" t="str">
        <f t="shared" si="0"/>
        <v>250450</v>
      </c>
      <c r="B19" s="1442" t="str">
        <f>'Efficient Products Deemed Table'!C66</f>
        <v>250450_2024_12_</v>
      </c>
      <c r="C19" s="1378" t="str">
        <f>'Efficient Products Deemed Table'!G66</f>
        <v>Cooling RES</v>
      </c>
      <c r="D19" s="1378" t="str">
        <f>'Efficient Products Deemed Table'!G67</f>
        <v>Heating RES</v>
      </c>
      <c r="E19" s="1378"/>
      <c r="F19" s="1378"/>
      <c r="G19" s="1378" t="str">
        <f>'Efficient Products Deemed Table'!E66</f>
        <v>Learning Thermostat - Unknown SF**</v>
      </c>
      <c r="H19" s="1378" t="str">
        <f>'Efficient Products Deemed Table'!D66</f>
        <v>Smart Thermostats</v>
      </c>
      <c r="I19" s="785">
        <f t="shared" si="8"/>
        <v>0</v>
      </c>
      <c r="J19" s="202">
        <f t="shared" si="9"/>
        <v>0</v>
      </c>
      <c r="K19" s="202">
        <f>'Efficient Products Deemed Table'!F66</f>
        <v>0</v>
      </c>
      <c r="L19" s="202">
        <f>'Efficient Products Deemed Table'!F67</f>
        <v>0</v>
      </c>
      <c r="M19" s="202">
        <v>0</v>
      </c>
      <c r="N19" s="202">
        <v>0</v>
      </c>
      <c r="O19" s="786">
        <f t="shared" si="10"/>
        <v>0</v>
      </c>
      <c r="P19" s="786">
        <f t="shared" si="11"/>
        <v>0</v>
      </c>
      <c r="Q19" s="787">
        <f>'Efficient Products Deemed Table'!I66</f>
        <v>0</v>
      </c>
      <c r="R19" s="787">
        <v>0</v>
      </c>
      <c r="S19" s="787"/>
      <c r="T19" s="787"/>
      <c r="U19" s="788">
        <f t="shared" si="1"/>
        <v>0</v>
      </c>
      <c r="V19" s="788">
        <f t="shared" si="2"/>
        <v>0</v>
      </c>
      <c r="W19" s="788">
        <f t="shared" si="3"/>
        <v>0</v>
      </c>
      <c r="X19" s="23">
        <f>'Efficient Products Deemed Table'!J66</f>
        <v>11</v>
      </c>
      <c r="Y19" s="23"/>
      <c r="Z19" s="23">
        <f t="shared" si="4"/>
        <v>11</v>
      </c>
      <c r="AA19" s="18">
        <f>'Efficient Products Deemed Table'!DG66</f>
        <v>0</v>
      </c>
      <c r="AB19" s="807">
        <f>'Efficient Products Deemed Table'!K66</f>
        <v>79</v>
      </c>
      <c r="AC19" s="903">
        <f t="shared" si="5"/>
        <v>0</v>
      </c>
      <c r="AD19" s="903"/>
      <c r="AE19" s="610">
        <f>'Efficient Products Deemed Table'!DI66</f>
        <v>0</v>
      </c>
      <c r="AF19" s="208">
        <f>'Efficient Products Deemed Table'!DI67</f>
        <v>0</v>
      </c>
      <c r="AG19" s="208"/>
      <c r="AH19" s="208"/>
      <c r="AI19" s="1442" t="str">
        <f>'Efficient Products Deemed Table'!L66</f>
        <v>per measure</v>
      </c>
      <c r="AJ19" s="789"/>
      <c r="AK19" s="642"/>
      <c r="AL19" s="642"/>
      <c r="AX19" s="1355" t="str">
        <f t="shared" si="6"/>
        <v>Learning Thermostat - Unknown SF**</v>
      </c>
      <c r="AY19" s="1378"/>
      <c r="AZ19" s="1446" t="str">
        <f t="shared" si="7"/>
        <v>250450</v>
      </c>
      <c r="BA19" s="1300" t="s">
        <v>1303</v>
      </c>
      <c r="BB19" s="1300" t="s">
        <v>1303</v>
      </c>
      <c r="BC19" s="1300" t="s">
        <v>1303</v>
      </c>
      <c r="BD19" s="1300" t="s">
        <v>1303</v>
      </c>
      <c r="BE19" s="1305"/>
      <c r="BF19" s="1300" t="s">
        <v>1303</v>
      </c>
      <c r="BG19" s="1300" t="s">
        <v>1303</v>
      </c>
      <c r="BH19" s="1300" t="s">
        <v>1303</v>
      </c>
      <c r="BI19" s="1301" t="s">
        <v>1303</v>
      </c>
      <c r="BJ19" s="1305"/>
      <c r="BK19" s="1300" t="s">
        <v>1303</v>
      </c>
      <c r="BL19" s="1301" t="s">
        <v>1303</v>
      </c>
      <c r="BM19" s="1300" t="s">
        <v>1303</v>
      </c>
      <c r="BN19" s="1301" t="s">
        <v>1303</v>
      </c>
    </row>
    <row r="20" spans="1:66" s="696" customFormat="1">
      <c r="A20" s="2958" t="str">
        <f t="shared" si="0"/>
        <v>250451</v>
      </c>
      <c r="B20" s="2233" t="str">
        <f>'Efficient Products Deemed Table'!C68</f>
        <v>250451_2024_12_</v>
      </c>
      <c r="C20" s="2724" t="str">
        <f>'Efficient Products Deemed Table'!G68</f>
        <v>Cooling RES</v>
      </c>
      <c r="D20" s="2724" t="str">
        <f>'Efficient Products Deemed Table'!G69</f>
        <v>Heating RES</v>
      </c>
      <c r="E20" s="2724"/>
      <c r="F20" s="2724"/>
      <c r="G20" s="2724" t="str">
        <f>'Efficient Products Deemed Table'!E68</f>
        <v>Learning Thermostat - Unknown MF**</v>
      </c>
      <c r="H20" s="2724" t="str">
        <f>'Efficient Products Deemed Table'!D68</f>
        <v>Efficient Products</v>
      </c>
      <c r="I20" s="3840">
        <f t="shared" si="8"/>
        <v>0</v>
      </c>
      <c r="J20" s="3251">
        <f t="shared" si="9"/>
        <v>0</v>
      </c>
      <c r="K20" s="3251">
        <f>'Efficient Products Deemed Table'!F68</f>
        <v>0</v>
      </c>
      <c r="L20" s="3251">
        <f>'Efficient Products Deemed Table'!F69</f>
        <v>0</v>
      </c>
      <c r="M20" s="3251">
        <v>0</v>
      </c>
      <c r="N20" s="3251">
        <v>0</v>
      </c>
      <c r="O20" s="3841">
        <f t="shared" si="10"/>
        <v>0</v>
      </c>
      <c r="P20" s="3841">
        <f t="shared" si="11"/>
        <v>0</v>
      </c>
      <c r="Q20" s="3842">
        <f>'Efficient Products Deemed Table'!I68</f>
        <v>0</v>
      </c>
      <c r="R20" s="3842">
        <v>0</v>
      </c>
      <c r="S20" s="3842"/>
      <c r="T20" s="3842"/>
      <c r="U20" s="3843">
        <f t="shared" si="1"/>
        <v>0</v>
      </c>
      <c r="V20" s="3843">
        <f t="shared" si="2"/>
        <v>0</v>
      </c>
      <c r="W20" s="3843">
        <f t="shared" si="3"/>
        <v>0</v>
      </c>
      <c r="X20" s="2846">
        <f>'Efficient Products Deemed Table'!J68</f>
        <v>11</v>
      </c>
      <c r="Y20" s="2846"/>
      <c r="Z20" s="2846">
        <f t="shared" si="4"/>
        <v>11</v>
      </c>
      <c r="AA20" s="2529">
        <f>'Efficient Products Deemed Table'!DG68</f>
        <v>0</v>
      </c>
      <c r="AB20" s="3844">
        <f>'Efficient Products Deemed Table'!K68</f>
        <v>79</v>
      </c>
      <c r="AC20" s="3845">
        <f t="shared" si="5"/>
        <v>0</v>
      </c>
      <c r="AD20" s="3845"/>
      <c r="AE20" s="3865">
        <f>'Efficient Products Deemed Table'!DI68</f>
        <v>0</v>
      </c>
      <c r="AF20" s="3846">
        <f>'Efficient Products Deemed Table'!DI69</f>
        <v>0</v>
      </c>
      <c r="AG20" s="3846"/>
      <c r="AH20" s="3846"/>
      <c r="AI20" s="2233" t="str">
        <f>'Efficient Products Deemed Table'!L68</f>
        <v>per measure</v>
      </c>
      <c r="AJ20" s="3251"/>
      <c r="AK20" s="3873"/>
      <c r="AL20" s="3873"/>
      <c r="AX20" s="3849" t="str">
        <f t="shared" si="6"/>
        <v>Learning Thermostat - Unknown MF**</v>
      </c>
      <c r="AY20" s="2724"/>
      <c r="AZ20" s="3850" t="str">
        <f t="shared" si="7"/>
        <v>250451</v>
      </c>
      <c r="BA20" s="3866" t="s">
        <v>1303</v>
      </c>
      <c r="BB20" s="3866" t="s">
        <v>1303</v>
      </c>
      <c r="BC20" s="3866" t="s">
        <v>1303</v>
      </c>
      <c r="BD20" s="3866" t="s">
        <v>1303</v>
      </c>
      <c r="BE20" s="3853"/>
      <c r="BF20" s="3866" t="s">
        <v>1303</v>
      </c>
      <c r="BG20" s="3866" t="s">
        <v>1303</v>
      </c>
      <c r="BH20" s="3866" t="s">
        <v>1303</v>
      </c>
      <c r="BI20" s="3867" t="s">
        <v>1303</v>
      </c>
      <c r="BJ20" s="3853"/>
      <c r="BK20" s="3866" t="s">
        <v>1303</v>
      </c>
      <c r="BL20" s="3867" t="s">
        <v>1303</v>
      </c>
      <c r="BM20" s="3866" t="s">
        <v>1303</v>
      </c>
      <c r="BN20" s="3867" t="s">
        <v>1303</v>
      </c>
    </row>
    <row r="21" spans="1:66" s="696" customFormat="1">
      <c r="A21" s="2958" t="str">
        <f t="shared" si="0"/>
        <v>250452</v>
      </c>
      <c r="B21" s="2233" t="str">
        <f>'Efficient Products Deemed Table'!C70</f>
        <v>250452_2024_12_</v>
      </c>
      <c r="C21" s="2724" t="str">
        <f>'Efficient Products Deemed Table'!G70</f>
        <v>Cooling RES</v>
      </c>
      <c r="D21" s="2724" t="str">
        <f>'Efficient Products Deemed Table'!G71</f>
        <v>Heating RES</v>
      </c>
      <c r="E21" s="2724"/>
      <c r="F21" s="2724"/>
      <c r="G21" s="2724" t="str">
        <f>'Efficient Products Deemed Table'!E70</f>
        <v>Learning Thermostat - Unknown MF_CompE**</v>
      </c>
      <c r="H21" s="2724" t="str">
        <f>'Efficient Products Deemed Table'!D70</f>
        <v>Efficient Products_CompE</v>
      </c>
      <c r="I21" s="3840">
        <f t="shared" si="8"/>
        <v>0</v>
      </c>
      <c r="J21" s="3251">
        <f t="shared" si="9"/>
        <v>0</v>
      </c>
      <c r="K21" s="3251">
        <f>'Efficient Products Deemed Table'!F70</f>
        <v>0</v>
      </c>
      <c r="L21" s="3251">
        <f>'Efficient Products Deemed Table'!F71</f>
        <v>0</v>
      </c>
      <c r="M21" s="3251">
        <v>0</v>
      </c>
      <c r="N21" s="3251">
        <v>0</v>
      </c>
      <c r="O21" s="3841">
        <f t="shared" si="10"/>
        <v>0</v>
      </c>
      <c r="P21" s="3841">
        <f t="shared" si="11"/>
        <v>0</v>
      </c>
      <c r="Q21" s="3842">
        <f>'Efficient Products Deemed Table'!I70</f>
        <v>0</v>
      </c>
      <c r="R21" s="3842">
        <v>0</v>
      </c>
      <c r="S21" s="3842"/>
      <c r="T21" s="3842"/>
      <c r="U21" s="3843">
        <f t="shared" si="1"/>
        <v>0</v>
      </c>
      <c r="V21" s="3843">
        <f t="shared" si="2"/>
        <v>0</v>
      </c>
      <c r="W21" s="3843">
        <f t="shared" si="3"/>
        <v>0</v>
      </c>
      <c r="X21" s="2846">
        <f>'Efficient Products Deemed Table'!J70</f>
        <v>11</v>
      </c>
      <c r="Y21" s="2846"/>
      <c r="Z21" s="2846">
        <f t="shared" si="4"/>
        <v>11</v>
      </c>
      <c r="AA21" s="2529">
        <f>'Efficient Products Deemed Table'!DG70</f>
        <v>0</v>
      </c>
      <c r="AB21" s="3844">
        <f>'Efficient Products Deemed Table'!K70</f>
        <v>79</v>
      </c>
      <c r="AC21" s="3845">
        <f t="shared" si="5"/>
        <v>0</v>
      </c>
      <c r="AD21" s="3845"/>
      <c r="AE21" s="3865">
        <f>'Efficient Products Deemed Table'!DI70</f>
        <v>0</v>
      </c>
      <c r="AF21" s="3846">
        <f>'Efficient Products Deemed Table'!DI71</f>
        <v>0</v>
      </c>
      <c r="AG21" s="3846"/>
      <c r="AH21" s="3846"/>
      <c r="AI21" s="2233" t="str">
        <f>'Efficient Products Deemed Table'!L70</f>
        <v>per measure</v>
      </c>
      <c r="AJ21" s="3251"/>
      <c r="AK21" s="3873"/>
      <c r="AL21" s="3873"/>
      <c r="AX21" s="3849" t="str">
        <f t="shared" si="6"/>
        <v>Learning Thermostat - Unknown MF_CompE**</v>
      </c>
      <c r="AY21" s="2724"/>
      <c r="AZ21" s="3850" t="str">
        <f t="shared" si="7"/>
        <v>250452</v>
      </c>
      <c r="BA21" s="3866" t="s">
        <v>1303</v>
      </c>
      <c r="BB21" s="3866" t="s">
        <v>1303</v>
      </c>
      <c r="BC21" s="3866" t="s">
        <v>1303</v>
      </c>
      <c r="BD21" s="3866" t="s">
        <v>1303</v>
      </c>
      <c r="BE21" s="3853"/>
      <c r="BF21" s="3866" t="s">
        <v>1303</v>
      </c>
      <c r="BG21" s="3866" t="s">
        <v>1303</v>
      </c>
      <c r="BH21" s="3866" t="s">
        <v>1303</v>
      </c>
      <c r="BI21" s="3867" t="s">
        <v>1303</v>
      </c>
      <c r="BJ21" s="3853"/>
      <c r="BK21" s="3866" t="s">
        <v>1303</v>
      </c>
      <c r="BL21" s="3867" t="s">
        <v>1303</v>
      </c>
      <c r="BM21" s="3866" t="s">
        <v>1303</v>
      </c>
      <c r="BN21" s="3867" t="s">
        <v>1303</v>
      </c>
    </row>
    <row r="22" spans="1:66" s="696" customFormat="1">
      <c r="A22" s="2958" t="str">
        <f t="shared" si="0"/>
        <v>250550</v>
      </c>
      <c r="B22" s="2233" t="str">
        <f>'Efficient Products Deemed Table'!C154</f>
        <v>250550_2021_12_</v>
      </c>
      <c r="C22" s="2724" t="str">
        <f>'Efficient Products Deemed Table'!G154</f>
        <v>Pool Spa RES</v>
      </c>
      <c r="D22" s="2724"/>
      <c r="E22" s="2724"/>
      <c r="F22" s="2724"/>
      <c r="G22" s="2724" t="str">
        <f>'Efficient Products Deemed Table'!E154</f>
        <v>ENERGY STAR VFDs on Residential Swimming Pool Pumps - ROF</v>
      </c>
      <c r="H22" s="2724" t="str">
        <f>'Efficient Products Deemed Table'!D154</f>
        <v>IE/PAYS</v>
      </c>
      <c r="I22" s="3840">
        <f>'Efficient Products Deemed Table'!F154</f>
        <v>315.20999999999998</v>
      </c>
      <c r="J22" s="3840">
        <v>0</v>
      </c>
      <c r="K22" s="3251">
        <v>0</v>
      </c>
      <c r="L22" s="3251">
        <v>0</v>
      </c>
      <c r="M22" s="3251">
        <v>0</v>
      </c>
      <c r="N22" s="3251">
        <v>0</v>
      </c>
      <c r="O22" s="3841">
        <f>'Efficient Products Deemed Table'!I154</f>
        <v>7.4215000000000003E-2</v>
      </c>
      <c r="P22" s="3841">
        <v>0</v>
      </c>
      <c r="Q22" s="3842">
        <v>0</v>
      </c>
      <c r="R22" s="3842">
        <v>0</v>
      </c>
      <c r="S22" s="3842"/>
      <c r="T22" s="3842"/>
      <c r="U22" s="3843">
        <f t="shared" si="1"/>
        <v>0</v>
      </c>
      <c r="V22" s="3843">
        <f t="shared" si="2"/>
        <v>7.4215000000000003E-2</v>
      </c>
      <c r="W22" s="3843">
        <f t="shared" si="3"/>
        <v>0</v>
      </c>
      <c r="X22" s="2846">
        <f>'Efficient Products Deemed Table'!J154</f>
        <v>10</v>
      </c>
      <c r="Y22" s="2846"/>
      <c r="Z22" s="2846">
        <f t="shared" si="4"/>
        <v>10</v>
      </c>
      <c r="AA22" s="2529">
        <f>'Efficient Products Deemed Table'!DG154</f>
        <v>0.60449854209882281</v>
      </c>
      <c r="AB22" s="3844">
        <f>'Efficient Products Deemed Table'!K154</f>
        <v>314</v>
      </c>
      <c r="AC22" s="3845">
        <f t="shared" si="5"/>
        <v>189.81254221903038</v>
      </c>
      <c r="AD22" s="3845"/>
      <c r="AE22" s="3865">
        <f>'Efficient Products Deemed Table'!DI154</f>
        <v>189.81254221903038</v>
      </c>
      <c r="AF22" s="3846"/>
      <c r="AG22" s="3846"/>
      <c r="AH22" s="3846"/>
      <c r="AI22" s="2233" t="str">
        <f>'Efficient Products Deemed Table'!L154</f>
        <v>per measure</v>
      </c>
      <c r="AJ22" s="3251"/>
      <c r="AX22" s="3849" t="str">
        <f t="shared" si="6"/>
        <v>ENERGY STAR VFDs on Residential Swimming Pool Pumps - ROF</v>
      </c>
      <c r="AY22" s="2724"/>
      <c r="AZ22" s="3850" t="str">
        <f t="shared" si="7"/>
        <v>250550</v>
      </c>
      <c r="BA22" s="3866" t="s">
        <v>1303</v>
      </c>
      <c r="BB22" s="3866" t="s">
        <v>1303</v>
      </c>
      <c r="BC22" s="3866" t="s">
        <v>1303</v>
      </c>
      <c r="BD22" s="3866" t="s">
        <v>1303</v>
      </c>
      <c r="BE22" s="3853"/>
      <c r="BF22" s="3866" t="s">
        <v>1303</v>
      </c>
      <c r="BG22" s="3866" t="s">
        <v>1303</v>
      </c>
      <c r="BH22" s="3866" t="s">
        <v>1303</v>
      </c>
      <c r="BI22" s="3867" t="s">
        <v>1303</v>
      </c>
      <c r="BJ22" s="3853"/>
      <c r="BK22" s="3866" t="s">
        <v>1303</v>
      </c>
      <c r="BL22" s="3867" t="s">
        <v>1303</v>
      </c>
      <c r="BM22" s="3866" t="s">
        <v>1303</v>
      </c>
      <c r="BN22" s="3867" t="s">
        <v>1303</v>
      </c>
    </row>
    <row r="23" spans="1:66" s="696" customFormat="1">
      <c r="A23" s="2958" t="str">
        <f t="shared" si="0"/>
        <v>250551</v>
      </c>
      <c r="B23" s="2233" t="str">
        <f>'Efficient Products Deemed Table'!C155</f>
        <v>250551_2021_12_</v>
      </c>
      <c r="C23" s="2724" t="str">
        <f>'Efficient Products Deemed Table'!G155</f>
        <v>Pool Spa RES</v>
      </c>
      <c r="D23" s="2724"/>
      <c r="E23" s="2724"/>
      <c r="F23" s="2724"/>
      <c r="G23" s="2724" t="str">
        <f>'Efficient Products Deemed Table'!E155</f>
        <v>ENERGY STAR VFDs on Residential Swimming Pool Pumps - ER</v>
      </c>
      <c r="H23" s="2724" t="str">
        <f>'Efficient Products Deemed Table'!D155</f>
        <v>IE/PAYS</v>
      </c>
      <c r="I23" s="3840">
        <f>'Efficient Products Deemed Table'!F155</f>
        <v>1478.34</v>
      </c>
      <c r="J23" s="3840">
        <v>0</v>
      </c>
      <c r="K23" s="3251">
        <v>0</v>
      </c>
      <c r="L23" s="3251">
        <v>0</v>
      </c>
      <c r="M23" s="3251">
        <v>0</v>
      </c>
      <c r="N23" s="3251">
        <v>0</v>
      </c>
      <c r="O23" s="3841">
        <f>'Efficient Products Deemed Table'!I155</f>
        <v>0.34806900000000002</v>
      </c>
      <c r="P23" s="3841">
        <v>0</v>
      </c>
      <c r="Q23" s="3842">
        <v>0</v>
      </c>
      <c r="R23" s="3842">
        <v>0</v>
      </c>
      <c r="S23" s="3842"/>
      <c r="T23" s="3842"/>
      <c r="U23" s="3843">
        <f t="shared" si="1"/>
        <v>0</v>
      </c>
      <c r="V23" s="3843">
        <f t="shared" si="2"/>
        <v>0.34806900000000002</v>
      </c>
      <c r="W23" s="3843">
        <f t="shared" si="3"/>
        <v>0</v>
      </c>
      <c r="X23" s="2846">
        <f>'Efficient Products Deemed Table'!J155</f>
        <v>10</v>
      </c>
      <c r="Y23" s="2846"/>
      <c r="Z23" s="2846">
        <f t="shared" si="4"/>
        <v>10</v>
      </c>
      <c r="AA23" s="2529">
        <f>'Efficient Products Deemed Table'!DG155</f>
        <v>1.6215371477509883</v>
      </c>
      <c r="AB23" s="3844">
        <f>'Efficient Products Deemed Table'!K155</f>
        <v>549</v>
      </c>
      <c r="AC23" s="3845">
        <f t="shared" si="5"/>
        <v>890.22389411529264</v>
      </c>
      <c r="AD23" s="3845"/>
      <c r="AE23" s="3865">
        <f>'Efficient Products Deemed Table'!DI155</f>
        <v>890.22389411529264</v>
      </c>
      <c r="AF23" s="3846"/>
      <c r="AG23" s="3846"/>
      <c r="AH23" s="3846"/>
      <c r="AI23" s="2233" t="str">
        <f>'Efficient Products Deemed Table'!L155</f>
        <v>per measure</v>
      </c>
      <c r="AJ23" s="3251"/>
      <c r="AX23" s="3849" t="str">
        <f t="shared" si="6"/>
        <v>ENERGY STAR VFDs on Residential Swimming Pool Pumps - ER</v>
      </c>
      <c r="AY23" s="2724"/>
      <c r="AZ23" s="3850" t="str">
        <f t="shared" si="7"/>
        <v>250551</v>
      </c>
      <c r="BA23" s="3866" t="s">
        <v>1303</v>
      </c>
      <c r="BB23" s="3866" t="s">
        <v>1303</v>
      </c>
      <c r="BC23" s="3866" t="s">
        <v>1303</v>
      </c>
      <c r="BD23" s="3866" t="s">
        <v>1303</v>
      </c>
      <c r="BE23" s="3853"/>
      <c r="BF23" s="3866" t="s">
        <v>1303</v>
      </c>
      <c r="BG23" s="3866" t="s">
        <v>1303</v>
      </c>
      <c r="BH23" s="3866" t="s">
        <v>1303</v>
      </c>
      <c r="BI23" s="3867" t="s">
        <v>1303</v>
      </c>
      <c r="BJ23" s="3853"/>
      <c r="BK23" s="3866" t="s">
        <v>1303</v>
      </c>
      <c r="BL23" s="3867" t="s">
        <v>1303</v>
      </c>
      <c r="BM23" s="3866" t="s">
        <v>1303</v>
      </c>
      <c r="BN23" s="3867" t="s">
        <v>1303</v>
      </c>
    </row>
    <row r="24" spans="1:66" s="696" customFormat="1">
      <c r="A24" s="2958" t="str">
        <f t="shared" si="0"/>
        <v>251000</v>
      </c>
      <c r="B24" s="2233" t="str">
        <f>'Efficient Products Deemed Table'!C179</f>
        <v>251000_2024_12_</v>
      </c>
      <c r="C24" s="2724" t="str">
        <f>'Efficient Products Deemed Table'!G179</f>
        <v>Miscellaneous RES</v>
      </c>
      <c r="D24" s="2724"/>
      <c r="E24" s="2724"/>
      <c r="F24" s="2724"/>
      <c r="G24" s="2724" t="str">
        <f>'Efficient Products Deemed Table'!E179</f>
        <v>Advanced Tier 2 Power Strips: Infrared, TOS/NC</v>
      </c>
      <c r="H24" s="2724" t="str">
        <f>'Efficient Products Deemed Table'!D179</f>
        <v>IE/PAYS</v>
      </c>
      <c r="I24" s="3840">
        <f>'Efficient Products Deemed Table'!F179</f>
        <v>174.84</v>
      </c>
      <c r="J24" s="3840">
        <v>0</v>
      </c>
      <c r="K24" s="3251">
        <v>0</v>
      </c>
      <c r="L24" s="3251">
        <v>0</v>
      </c>
      <c r="M24" s="3251">
        <v>0</v>
      </c>
      <c r="N24" s="3251">
        <v>0</v>
      </c>
      <c r="O24" s="3841">
        <f>'Efficient Products Deemed Table'!I179</f>
        <v>2.0076E-2</v>
      </c>
      <c r="P24" s="3841">
        <v>0</v>
      </c>
      <c r="Q24" s="3842">
        <v>0</v>
      </c>
      <c r="R24" s="3842">
        <v>0</v>
      </c>
      <c r="S24" s="3842"/>
      <c r="T24" s="3842"/>
      <c r="U24" s="3843">
        <f t="shared" si="1"/>
        <v>0</v>
      </c>
      <c r="V24" s="3843">
        <f t="shared" si="2"/>
        <v>2.0076E-2</v>
      </c>
      <c r="W24" s="3843">
        <f t="shared" si="3"/>
        <v>0</v>
      </c>
      <c r="X24" s="2846">
        <f>'Efficient Products Deemed Table'!J179</f>
        <v>10</v>
      </c>
      <c r="Y24" s="2846"/>
      <c r="Z24" s="2846">
        <f t="shared" si="4"/>
        <v>10</v>
      </c>
      <c r="AA24" s="2529">
        <f>'Efficient Products Deemed Table'!DG179</f>
        <v>1.3477748379720833</v>
      </c>
      <c r="AB24" s="3844">
        <f>'Efficient Products Deemed Table'!K179</f>
        <v>65</v>
      </c>
      <c r="AC24" s="3845">
        <f t="shared" si="5"/>
        <v>87.605364468185414</v>
      </c>
      <c r="AD24" s="3845"/>
      <c r="AE24" s="3865">
        <f>'Efficient Products Deemed Table'!DI179</f>
        <v>87.605364468185414</v>
      </c>
      <c r="AF24" s="3846"/>
      <c r="AG24" s="3846"/>
      <c r="AH24" s="3846"/>
      <c r="AI24" s="2233" t="str">
        <f>'Efficient Products Deemed Table'!L179</f>
        <v>per measure</v>
      </c>
      <c r="AJ24" s="3251"/>
      <c r="AX24" s="3849" t="str">
        <f t="shared" si="6"/>
        <v>Advanced Tier 2 Power Strips: Infrared, TOS/NC</v>
      </c>
      <c r="AY24" s="2724"/>
      <c r="AZ24" s="3850" t="str">
        <f t="shared" si="7"/>
        <v>251000</v>
      </c>
      <c r="BA24" s="3866" t="s">
        <v>1303</v>
      </c>
      <c r="BB24" s="3866" t="s">
        <v>1303</v>
      </c>
      <c r="BC24" s="3866" t="s">
        <v>1303</v>
      </c>
      <c r="BD24" s="3866" t="s">
        <v>1303</v>
      </c>
      <c r="BE24" s="3853"/>
      <c r="BF24" s="3866" t="s">
        <v>1303</v>
      </c>
      <c r="BG24" s="3866" t="s">
        <v>1303</v>
      </c>
      <c r="BH24" s="3866" t="s">
        <v>1303</v>
      </c>
      <c r="BI24" s="3867" t="s">
        <v>1303</v>
      </c>
      <c r="BJ24" s="3853"/>
      <c r="BK24" s="3866" t="s">
        <v>1303</v>
      </c>
      <c r="BL24" s="3867" t="s">
        <v>1303</v>
      </c>
      <c r="BM24" s="3866" t="s">
        <v>1303</v>
      </c>
      <c r="BN24" s="3867" t="s">
        <v>1303</v>
      </c>
    </row>
    <row r="25" spans="1:66" s="696" customFormat="1">
      <c r="A25" s="2958" t="str">
        <f t="shared" si="0"/>
        <v>251001</v>
      </c>
      <c r="B25" s="2233" t="str">
        <f>'Efficient Products Deemed Table'!C180</f>
        <v>251001_2024_12_</v>
      </c>
      <c r="C25" s="2724" t="str">
        <f>'Efficient Products Deemed Table'!G180</f>
        <v>Miscellaneous RES</v>
      </c>
      <c r="D25" s="2724"/>
      <c r="E25" s="2724"/>
      <c r="F25" s="2724"/>
      <c r="G25" s="2724" t="str">
        <f>'Efficient Products Deemed Table'!E180</f>
        <v>Advanced Tier 2 Power Strips: Infrared, DI</v>
      </c>
      <c r="H25" s="2724" t="str">
        <f>'Efficient Products Deemed Table'!D180</f>
        <v>IE/PAYS</v>
      </c>
      <c r="I25" s="3840">
        <f>'Efficient Products Deemed Table'!F180</f>
        <v>177.08</v>
      </c>
      <c r="J25" s="3840">
        <v>0</v>
      </c>
      <c r="K25" s="3251">
        <v>0</v>
      </c>
      <c r="L25" s="3251">
        <v>0</v>
      </c>
      <c r="M25" s="3251">
        <v>0</v>
      </c>
      <c r="N25" s="3251">
        <v>0</v>
      </c>
      <c r="O25" s="3841">
        <f>'Efficient Products Deemed Table'!I180</f>
        <v>2.0333E-2</v>
      </c>
      <c r="P25" s="3841">
        <v>0</v>
      </c>
      <c r="Q25" s="3842">
        <v>0</v>
      </c>
      <c r="R25" s="3842">
        <v>0</v>
      </c>
      <c r="S25" s="3842"/>
      <c r="T25" s="3842"/>
      <c r="U25" s="3843">
        <f t="shared" si="1"/>
        <v>0</v>
      </c>
      <c r="V25" s="3843">
        <f t="shared" si="2"/>
        <v>2.0333E-2</v>
      </c>
      <c r="W25" s="3843">
        <f t="shared" si="3"/>
        <v>0</v>
      </c>
      <c r="X25" s="2846">
        <f>'Efficient Products Deemed Table'!J180</f>
        <v>10</v>
      </c>
      <c r="Y25" s="2846"/>
      <c r="Z25" s="2846">
        <f t="shared" si="4"/>
        <v>10</v>
      </c>
      <c r="AA25" s="2529">
        <f>'Efficient Products Deemed Table'!DG180</f>
        <v>1.4787956550776209</v>
      </c>
      <c r="AB25" s="3844">
        <f>'Efficient Products Deemed Table'!K180</f>
        <v>60</v>
      </c>
      <c r="AC25" s="3845">
        <f t="shared" si="5"/>
        <v>88.727739304657248</v>
      </c>
      <c r="AD25" s="3845"/>
      <c r="AE25" s="3865">
        <f>'Efficient Products Deemed Table'!DI180</f>
        <v>88.727739304657248</v>
      </c>
      <c r="AF25" s="3846"/>
      <c r="AG25" s="3846"/>
      <c r="AH25" s="3846"/>
      <c r="AI25" s="2233" t="str">
        <f>'Efficient Products Deemed Table'!L180</f>
        <v>per measure</v>
      </c>
      <c r="AJ25" s="3251"/>
      <c r="AX25" s="3849" t="str">
        <f t="shared" si="6"/>
        <v>Advanced Tier 2 Power Strips: Infrared, DI</v>
      </c>
      <c r="AY25" s="2724"/>
      <c r="AZ25" s="3850" t="str">
        <f t="shared" si="7"/>
        <v>251001</v>
      </c>
      <c r="BA25" s="3866" t="s">
        <v>1303</v>
      </c>
      <c r="BB25" s="3866" t="s">
        <v>1303</v>
      </c>
      <c r="BC25" s="3866" t="s">
        <v>1303</v>
      </c>
      <c r="BD25" s="3866" t="s">
        <v>1303</v>
      </c>
      <c r="BE25" s="3853"/>
      <c r="BF25" s="3866" t="s">
        <v>1303</v>
      </c>
      <c r="BG25" s="3866" t="s">
        <v>1303</v>
      </c>
      <c r="BH25" s="3866" t="s">
        <v>1303</v>
      </c>
      <c r="BI25" s="3867" t="s">
        <v>1303</v>
      </c>
      <c r="BJ25" s="3853"/>
      <c r="BK25" s="3866" t="s">
        <v>1303</v>
      </c>
      <c r="BL25" s="3867" t="s">
        <v>1303</v>
      </c>
      <c r="BM25" s="3866" t="s">
        <v>1303</v>
      </c>
      <c r="BN25" s="3867" t="s">
        <v>1303</v>
      </c>
    </row>
    <row r="26" spans="1:66" s="696" customFormat="1">
      <c r="A26" s="2958" t="str">
        <f t="shared" ref="A26:A27" si="12">LEFT(B26,6)</f>
        <v>251002</v>
      </c>
      <c r="B26" s="2233" t="str">
        <f>'Efficient Products Deemed Table'!C181</f>
        <v>251002_2024_12_</v>
      </c>
      <c r="C26" s="2724" t="str">
        <f>'Efficient Products Deemed Table'!G181</f>
        <v>Miscellaneous RES</v>
      </c>
      <c r="D26" s="2724"/>
      <c r="E26" s="2724"/>
      <c r="F26" s="2724"/>
      <c r="G26" s="2724" t="str">
        <f>'Efficient Products Deemed Table'!E181</f>
        <v>Advanced Tier 2 Power Strips: Infrared &amp; Occupancy Sensor, TOS/NC</v>
      </c>
      <c r="H26" s="2724" t="str">
        <f>'Efficient Products Deemed Table'!D181</f>
        <v>IE/PAYS</v>
      </c>
      <c r="I26" s="3840">
        <f>'Efficient Products Deemed Table'!F181</f>
        <v>109.28</v>
      </c>
      <c r="J26" s="3840">
        <v>0</v>
      </c>
      <c r="K26" s="3251">
        <v>0</v>
      </c>
      <c r="L26" s="3251">
        <v>0</v>
      </c>
      <c r="M26" s="3251">
        <v>0</v>
      </c>
      <c r="N26" s="3251">
        <v>0</v>
      </c>
      <c r="O26" s="3841">
        <f>'Efficient Products Deemed Table'!I181</f>
        <v>1.2548E-2</v>
      </c>
      <c r="P26" s="3841">
        <v>0</v>
      </c>
      <c r="Q26" s="3842">
        <v>0</v>
      </c>
      <c r="R26" s="3842">
        <v>0</v>
      </c>
      <c r="S26" s="3842"/>
      <c r="T26" s="3842"/>
      <c r="U26" s="3843">
        <f t="shared" si="1"/>
        <v>0</v>
      </c>
      <c r="V26" s="3843">
        <f t="shared" si="2"/>
        <v>1.2548E-2</v>
      </c>
      <c r="W26" s="3843">
        <f t="shared" si="3"/>
        <v>0</v>
      </c>
      <c r="X26" s="2846">
        <f>'Efficient Products Deemed Table'!J181</f>
        <v>10</v>
      </c>
      <c r="Y26" s="2846"/>
      <c r="Z26" s="2846">
        <f t="shared" ref="Z26:Z27" si="13">Y26+X26</f>
        <v>10</v>
      </c>
      <c r="AA26" s="2529">
        <f>'Efficient Products Deemed Table'!DG181</f>
        <v>0.8423978168244638</v>
      </c>
      <c r="AB26" s="3844">
        <f>'Efficient Products Deemed Table'!K181</f>
        <v>65</v>
      </c>
      <c r="AC26" s="3845">
        <f t="shared" ref="AC26:AC27" si="14">AE26+AF26</f>
        <v>54.755858093590149</v>
      </c>
      <c r="AD26" s="3845"/>
      <c r="AE26" s="3865">
        <f>'Efficient Products Deemed Table'!DI181</f>
        <v>54.755858093590149</v>
      </c>
      <c r="AF26" s="3846"/>
      <c r="AG26" s="3846"/>
      <c r="AH26" s="3846"/>
      <c r="AI26" s="2233" t="str">
        <f>'Efficient Products Deemed Table'!L181</f>
        <v>per measure</v>
      </c>
      <c r="AJ26" s="3251"/>
      <c r="AX26" s="3849" t="str">
        <f t="shared" ref="AX26:AX27" si="15">G26</f>
        <v>Advanced Tier 2 Power Strips: Infrared &amp; Occupancy Sensor, TOS/NC</v>
      </c>
      <c r="AY26" s="2724"/>
      <c r="AZ26" s="3850" t="str">
        <f t="shared" ref="AZ26:AZ27" si="16">A26</f>
        <v>251002</v>
      </c>
      <c r="BA26" s="3866" t="s">
        <v>1303</v>
      </c>
      <c r="BB26" s="3866" t="s">
        <v>1303</v>
      </c>
      <c r="BC26" s="3866" t="s">
        <v>1303</v>
      </c>
      <c r="BD26" s="3866" t="s">
        <v>1303</v>
      </c>
      <c r="BE26" s="3853"/>
      <c r="BF26" s="3866" t="s">
        <v>1303</v>
      </c>
      <c r="BG26" s="3866" t="s">
        <v>1303</v>
      </c>
      <c r="BH26" s="3866" t="s">
        <v>1303</v>
      </c>
      <c r="BI26" s="3867" t="s">
        <v>1303</v>
      </c>
      <c r="BJ26" s="3853"/>
      <c r="BK26" s="3866" t="s">
        <v>1303</v>
      </c>
      <c r="BL26" s="3867" t="s">
        <v>1303</v>
      </c>
      <c r="BM26" s="3866" t="s">
        <v>1303</v>
      </c>
      <c r="BN26" s="3867" t="s">
        <v>1303</v>
      </c>
    </row>
    <row r="27" spans="1:66" s="696" customFormat="1">
      <c r="A27" s="2958" t="str">
        <f t="shared" si="12"/>
        <v>251003</v>
      </c>
      <c r="B27" s="2233" t="str">
        <f>'Efficient Products Deemed Table'!C182</f>
        <v>251003_2024_12_</v>
      </c>
      <c r="C27" s="2724" t="str">
        <f>'Efficient Products Deemed Table'!G182</f>
        <v>Miscellaneous RES</v>
      </c>
      <c r="D27" s="2724"/>
      <c r="E27" s="2724"/>
      <c r="F27" s="2724"/>
      <c r="G27" s="2724" t="str">
        <f>'Efficient Products Deemed Table'!E182</f>
        <v>Advanced Tier 2 Power Strips: Infrared &amp; Occupancy Sensor, DI</v>
      </c>
      <c r="H27" s="2724" t="str">
        <f>'Efficient Products Deemed Table'!D182</f>
        <v>IE/PAYS</v>
      </c>
      <c r="I27" s="3840">
        <f>'Efficient Products Deemed Table'!F182</f>
        <v>110.68</v>
      </c>
      <c r="J27" s="3840">
        <v>0</v>
      </c>
      <c r="K27" s="3251">
        <v>0</v>
      </c>
      <c r="L27" s="3251">
        <v>0</v>
      </c>
      <c r="M27" s="3251">
        <v>0</v>
      </c>
      <c r="N27" s="3251">
        <v>0</v>
      </c>
      <c r="O27" s="3841">
        <f>'Efficient Products Deemed Table'!I182</f>
        <v>1.2709E-2</v>
      </c>
      <c r="P27" s="3841">
        <v>0</v>
      </c>
      <c r="Q27" s="3842">
        <v>0</v>
      </c>
      <c r="R27" s="3842">
        <v>0</v>
      </c>
      <c r="S27" s="3842"/>
      <c r="T27" s="3842"/>
      <c r="U27" s="3843">
        <f t="shared" si="1"/>
        <v>0</v>
      </c>
      <c r="V27" s="3843">
        <f t="shared" si="2"/>
        <v>1.2709E-2</v>
      </c>
      <c r="W27" s="3843">
        <f t="shared" si="3"/>
        <v>0</v>
      </c>
      <c r="X27" s="2846">
        <f>'Efficient Products Deemed Table'!J182</f>
        <v>10</v>
      </c>
      <c r="Y27" s="2846"/>
      <c r="Z27" s="2846">
        <f t="shared" si="13"/>
        <v>10</v>
      </c>
      <c r="AA27" s="2529">
        <f>'Efficient Products Deemed Table'!DG182</f>
        <v>0.92428903943975083</v>
      </c>
      <c r="AB27" s="3844">
        <f>'Efficient Products Deemed Table'!K182</f>
        <v>60</v>
      </c>
      <c r="AC27" s="3845">
        <f t="shared" si="14"/>
        <v>55.457342366385049</v>
      </c>
      <c r="AD27" s="3845"/>
      <c r="AE27" s="3865">
        <f>'Efficient Products Deemed Table'!DI182</f>
        <v>55.457342366385049</v>
      </c>
      <c r="AF27" s="3846"/>
      <c r="AG27" s="3846"/>
      <c r="AH27" s="3846"/>
      <c r="AI27" s="2233" t="str">
        <f>'Efficient Products Deemed Table'!L182</f>
        <v>per measure</v>
      </c>
      <c r="AJ27" s="3251"/>
      <c r="AX27" s="3849" t="str">
        <f t="shared" si="15"/>
        <v>Advanced Tier 2 Power Strips: Infrared &amp; Occupancy Sensor, DI</v>
      </c>
      <c r="AY27" s="2724"/>
      <c r="AZ27" s="3850" t="str">
        <f t="shared" si="16"/>
        <v>251003</v>
      </c>
      <c r="BA27" s="3866" t="s">
        <v>1303</v>
      </c>
      <c r="BB27" s="3866" t="s">
        <v>1303</v>
      </c>
      <c r="BC27" s="3866" t="s">
        <v>1303</v>
      </c>
      <c r="BD27" s="3866" t="s">
        <v>1303</v>
      </c>
      <c r="BE27" s="3853"/>
      <c r="BF27" s="3866" t="s">
        <v>1303</v>
      </c>
      <c r="BG27" s="3866" t="s">
        <v>1303</v>
      </c>
      <c r="BH27" s="3866" t="s">
        <v>1303</v>
      </c>
      <c r="BI27" s="3867" t="s">
        <v>1303</v>
      </c>
      <c r="BJ27" s="3853"/>
      <c r="BK27" s="3866" t="s">
        <v>1303</v>
      </c>
      <c r="BL27" s="3867" t="s">
        <v>1303</v>
      </c>
      <c r="BM27" s="3866" t="s">
        <v>1303</v>
      </c>
      <c r="BN27" s="3867" t="s">
        <v>1303</v>
      </c>
    </row>
    <row r="28" spans="1:66" s="696" customFormat="1">
      <c r="A28" s="2958" t="str">
        <f t="shared" si="0"/>
        <v>251051</v>
      </c>
      <c r="B28" s="2233" t="str">
        <f>'Efficient Products Deemed Table'!C201</f>
        <v>251051_2024_12_</v>
      </c>
      <c r="C28" s="2724" t="str">
        <f>'Efficient Products Deemed Table'!G201</f>
        <v>HVAC RES</v>
      </c>
      <c r="D28" s="2724"/>
      <c r="E28" s="2724"/>
      <c r="F28" s="2724"/>
      <c r="G28" s="2724" t="str">
        <f>'Efficient Products Deemed Table'!E201</f>
        <v>ENERGY STAR Air Purifier/Cleaner: 30 ≤ Smoke CADR &lt; 100</v>
      </c>
      <c r="H28" s="2554" t="str">
        <f>'Efficient Products Deemed Table'!D201</f>
        <v>IE/PAYS</v>
      </c>
      <c r="I28" s="3840">
        <f>'Efficient Products Deemed Table'!F201</f>
        <v>130.65805191993269</v>
      </c>
      <c r="J28" s="3840">
        <v>0</v>
      </c>
      <c r="K28" s="3251">
        <v>0</v>
      </c>
      <c r="L28" s="3251">
        <v>0</v>
      </c>
      <c r="M28" s="3251">
        <v>0</v>
      </c>
      <c r="N28" s="3251">
        <v>0</v>
      </c>
      <c r="O28" s="3841">
        <f>'Efficient Products Deemed Table'!I201</f>
        <v>6.0897E-2</v>
      </c>
      <c r="P28" s="3841">
        <v>0</v>
      </c>
      <c r="Q28" s="3842">
        <v>0</v>
      </c>
      <c r="R28" s="3842">
        <v>0</v>
      </c>
      <c r="S28" s="3842"/>
      <c r="T28" s="3842"/>
      <c r="U28" s="3843">
        <f t="shared" si="1"/>
        <v>6.0897E-2</v>
      </c>
      <c r="V28" s="3843">
        <f t="shared" si="2"/>
        <v>0</v>
      </c>
      <c r="W28" s="3843">
        <f t="shared" si="3"/>
        <v>0</v>
      </c>
      <c r="X28" s="2846">
        <f>'Efficient Products Deemed Table'!J201</f>
        <v>9</v>
      </c>
      <c r="Y28" s="2846"/>
      <c r="Z28" s="2846">
        <f t="shared" si="4"/>
        <v>9</v>
      </c>
      <c r="AA28" s="2529">
        <f>'Efficient Products Deemed Table'!DG201</f>
        <v>13.513126894665204</v>
      </c>
      <c r="AB28" s="3844">
        <f>'Efficient Products Deemed Table'!K201</f>
        <v>8.44</v>
      </c>
      <c r="AC28" s="3845">
        <f t="shared" si="5"/>
        <v>114.05079099097432</v>
      </c>
      <c r="AD28" s="3845"/>
      <c r="AE28" s="3865">
        <f>'Efficient Products Deemed Table'!DI201</f>
        <v>114.05079099097432</v>
      </c>
      <c r="AF28" s="3846"/>
      <c r="AG28" s="3846"/>
      <c r="AH28" s="3846"/>
      <c r="AI28" s="2233" t="str">
        <f>'Efficient Products Deemed Table'!L201</f>
        <v>per measure</v>
      </c>
      <c r="AJ28" s="3251"/>
      <c r="AX28" s="3849" t="str">
        <f t="shared" si="6"/>
        <v>ENERGY STAR Air Purifier/Cleaner: 30 ≤ Smoke CADR &lt; 100</v>
      </c>
      <c r="AY28" s="2724"/>
      <c r="AZ28" s="3850" t="str">
        <f t="shared" si="7"/>
        <v>251051</v>
      </c>
      <c r="BA28" s="3866" t="s">
        <v>1303</v>
      </c>
      <c r="BB28" s="3866" t="s">
        <v>1303</v>
      </c>
      <c r="BC28" s="3866" t="s">
        <v>1303</v>
      </c>
      <c r="BD28" s="3866" t="s">
        <v>1303</v>
      </c>
      <c r="BE28" s="3853"/>
      <c r="BF28" s="3866" t="s">
        <v>1303</v>
      </c>
      <c r="BG28" s="3866" t="s">
        <v>1303</v>
      </c>
      <c r="BH28" s="3866" t="s">
        <v>1303</v>
      </c>
      <c r="BI28" s="3867" t="s">
        <v>1303</v>
      </c>
      <c r="BJ28" s="3853"/>
      <c r="BK28" s="3866" t="s">
        <v>1303</v>
      </c>
      <c r="BL28" s="3867" t="s">
        <v>1303</v>
      </c>
      <c r="BM28" s="3866" t="s">
        <v>1303</v>
      </c>
      <c r="BN28" s="3867" t="s">
        <v>1303</v>
      </c>
    </row>
    <row r="29" spans="1:66" s="696" customFormat="1">
      <c r="A29" s="2958" t="str">
        <f t="shared" ref="A29:A31" si="17">LEFT(B29,6)</f>
        <v>251052</v>
      </c>
      <c r="B29" s="2233" t="str">
        <f>'Efficient Products Deemed Table'!C202</f>
        <v>251052_2024_12_</v>
      </c>
      <c r="C29" s="2724" t="str">
        <f>'Efficient Products Deemed Table'!G202</f>
        <v>HVAC RES</v>
      </c>
      <c r="D29" s="2724"/>
      <c r="E29" s="2724"/>
      <c r="F29" s="2724"/>
      <c r="G29" s="2724" t="str">
        <f>'Efficient Products Deemed Table'!E202</f>
        <v>ENERGY STAR Air Purifier/Cleaner: 100 ≤ Smoke CADR &lt; 150</v>
      </c>
      <c r="H29" s="2554" t="str">
        <f>'Efficient Products Deemed Table'!D202</f>
        <v>IE/PAYS</v>
      </c>
      <c r="I29" s="3840">
        <f>'Efficient Products Deemed Table'!F202</f>
        <v>224.86318964320154</v>
      </c>
      <c r="J29" s="3840">
        <v>0</v>
      </c>
      <c r="K29" s="3251">
        <v>0</v>
      </c>
      <c r="L29" s="3251">
        <v>0</v>
      </c>
      <c r="M29" s="3251">
        <v>0</v>
      </c>
      <c r="N29" s="3251">
        <v>0</v>
      </c>
      <c r="O29" s="3841">
        <f>'Efficient Products Deemed Table'!I202</f>
        <v>0.10480399999999999</v>
      </c>
      <c r="P29" s="3841">
        <v>0</v>
      </c>
      <c r="Q29" s="3842">
        <v>0</v>
      </c>
      <c r="R29" s="3842">
        <v>0</v>
      </c>
      <c r="S29" s="3842"/>
      <c r="T29" s="3842"/>
      <c r="U29" s="3843">
        <f t="shared" si="1"/>
        <v>0.10480399999999999</v>
      </c>
      <c r="V29" s="3843">
        <f t="shared" si="2"/>
        <v>0</v>
      </c>
      <c r="W29" s="3843">
        <f t="shared" si="3"/>
        <v>0</v>
      </c>
      <c r="X29" s="2846">
        <f>'Efficient Products Deemed Table'!J202</f>
        <v>9</v>
      </c>
      <c r="Y29" s="2846"/>
      <c r="Z29" s="2846">
        <f t="shared" ref="Z29:Z31" si="18">Y29+X29</f>
        <v>9</v>
      </c>
      <c r="AA29" s="2529">
        <f>'Efficient Products Deemed Table'!DG202</f>
        <v>8.7900585249566419</v>
      </c>
      <c r="AB29" s="3844">
        <f>'Efficient Products Deemed Table'!K202</f>
        <v>22.33</v>
      </c>
      <c r="AC29" s="3845">
        <f t="shared" ref="AC29:AC31" si="19">AE29+AF29</f>
        <v>196.2820068622818</v>
      </c>
      <c r="AD29" s="3845"/>
      <c r="AE29" s="3865">
        <f>'Efficient Products Deemed Table'!DI202</f>
        <v>196.2820068622818</v>
      </c>
      <c r="AF29" s="3846"/>
      <c r="AG29" s="3846"/>
      <c r="AH29" s="3846"/>
      <c r="AI29" s="2233" t="str">
        <f>'Efficient Products Deemed Table'!L202</f>
        <v>per measure</v>
      </c>
      <c r="AJ29" s="3251"/>
      <c r="AX29" s="3849" t="str">
        <f t="shared" ref="AX29:AX31" si="20">G29</f>
        <v>ENERGY STAR Air Purifier/Cleaner: 100 ≤ Smoke CADR &lt; 150</v>
      </c>
      <c r="AY29" s="2724"/>
      <c r="AZ29" s="3850" t="str">
        <f t="shared" ref="AZ29:AZ31" si="21">A29</f>
        <v>251052</v>
      </c>
      <c r="BA29" s="3866" t="s">
        <v>1303</v>
      </c>
      <c r="BB29" s="3866" t="s">
        <v>1303</v>
      </c>
      <c r="BC29" s="3866" t="s">
        <v>1303</v>
      </c>
      <c r="BD29" s="3866" t="s">
        <v>1303</v>
      </c>
      <c r="BE29" s="3853"/>
      <c r="BF29" s="3866" t="s">
        <v>1303</v>
      </c>
      <c r="BG29" s="3866" t="s">
        <v>1303</v>
      </c>
      <c r="BH29" s="3866" t="s">
        <v>1303</v>
      </c>
      <c r="BI29" s="3867" t="s">
        <v>1303</v>
      </c>
      <c r="BJ29" s="3853"/>
      <c r="BK29" s="3866" t="s">
        <v>1303</v>
      </c>
      <c r="BL29" s="3867" t="s">
        <v>1303</v>
      </c>
      <c r="BM29" s="3866" t="s">
        <v>1303</v>
      </c>
      <c r="BN29" s="3867" t="s">
        <v>1303</v>
      </c>
    </row>
    <row r="30" spans="1:66" s="696" customFormat="1">
      <c r="A30" s="2958" t="str">
        <f t="shared" si="17"/>
        <v>251053</v>
      </c>
      <c r="B30" s="2233" t="str">
        <f>'Efficient Products Deemed Table'!C203</f>
        <v>251053_2024_12_</v>
      </c>
      <c r="C30" s="2724" t="str">
        <f>'Efficient Products Deemed Table'!G203</f>
        <v>HVAC RES</v>
      </c>
      <c r="D30" s="2724"/>
      <c r="E30" s="2724"/>
      <c r="F30" s="2724"/>
      <c r="G30" s="2724" t="str">
        <f>'Efficient Products Deemed Table'!E203</f>
        <v>ENERGY STAR Air Purifier/Cleaner: 150 ≤ Smoke CADR &lt; 200</v>
      </c>
      <c r="H30" s="2554" t="str">
        <f>'Efficient Products Deemed Table'!D203</f>
        <v>IE/PAYS</v>
      </c>
      <c r="I30" s="3840">
        <f>'Efficient Products Deemed Table'!F203</f>
        <v>296.65433124627413</v>
      </c>
      <c r="J30" s="3840">
        <v>0</v>
      </c>
      <c r="K30" s="3251">
        <v>0</v>
      </c>
      <c r="L30" s="3251">
        <v>0</v>
      </c>
      <c r="M30" s="3251">
        <v>0</v>
      </c>
      <c r="N30" s="3251">
        <v>0</v>
      </c>
      <c r="O30" s="3841">
        <f>'Efficient Products Deemed Table'!I203</f>
        <v>0.138265</v>
      </c>
      <c r="P30" s="3841">
        <v>0</v>
      </c>
      <c r="Q30" s="3842">
        <v>0</v>
      </c>
      <c r="R30" s="3842">
        <v>0</v>
      </c>
      <c r="S30" s="3842"/>
      <c r="T30" s="3842"/>
      <c r="U30" s="3843">
        <f t="shared" si="1"/>
        <v>0.138265</v>
      </c>
      <c r="V30" s="3843">
        <f t="shared" si="2"/>
        <v>0</v>
      </c>
      <c r="W30" s="3843">
        <f t="shared" si="3"/>
        <v>0</v>
      </c>
      <c r="X30" s="2846">
        <f>'Efficient Products Deemed Table'!J203</f>
        <v>9</v>
      </c>
      <c r="Y30" s="2846"/>
      <c r="Z30" s="2846">
        <f t="shared" si="18"/>
        <v>9</v>
      </c>
      <c r="AA30" s="2529">
        <f>'Efficient Products Deemed Table'!DG203</f>
        <v>2.8042901485099554</v>
      </c>
      <c r="AB30" s="3844">
        <f>'Efficient Products Deemed Table'!K203</f>
        <v>92.34</v>
      </c>
      <c r="AC30" s="3845">
        <f t="shared" si="19"/>
        <v>258.94815231340931</v>
      </c>
      <c r="AD30" s="3845"/>
      <c r="AE30" s="3865">
        <f>'Efficient Products Deemed Table'!DI203</f>
        <v>258.94815231340931</v>
      </c>
      <c r="AF30" s="3846"/>
      <c r="AG30" s="3846"/>
      <c r="AH30" s="3846"/>
      <c r="AI30" s="2233" t="str">
        <f>'Efficient Products Deemed Table'!L203</f>
        <v>per measure</v>
      </c>
      <c r="AJ30" s="3251"/>
      <c r="AX30" s="3849" t="str">
        <f t="shared" si="20"/>
        <v>ENERGY STAR Air Purifier/Cleaner: 150 ≤ Smoke CADR &lt; 200</v>
      </c>
      <c r="AY30" s="2724"/>
      <c r="AZ30" s="3850" t="str">
        <f t="shared" si="21"/>
        <v>251053</v>
      </c>
      <c r="BA30" s="3866" t="s">
        <v>1303</v>
      </c>
      <c r="BB30" s="3866" t="s">
        <v>1303</v>
      </c>
      <c r="BC30" s="3866" t="s">
        <v>1303</v>
      </c>
      <c r="BD30" s="3866" t="s">
        <v>1303</v>
      </c>
      <c r="BE30" s="3853"/>
      <c r="BF30" s="3866" t="s">
        <v>1303</v>
      </c>
      <c r="BG30" s="3866" t="s">
        <v>1303</v>
      </c>
      <c r="BH30" s="3866" t="s">
        <v>1303</v>
      </c>
      <c r="BI30" s="3867" t="s">
        <v>1303</v>
      </c>
      <c r="BJ30" s="3853"/>
      <c r="BK30" s="3866" t="s">
        <v>1303</v>
      </c>
      <c r="BL30" s="3867" t="s">
        <v>1303</v>
      </c>
      <c r="BM30" s="3866" t="s">
        <v>1303</v>
      </c>
      <c r="BN30" s="3867" t="s">
        <v>1303</v>
      </c>
    </row>
    <row r="31" spans="1:66" s="696" customFormat="1">
      <c r="A31" s="2958" t="str">
        <f t="shared" si="17"/>
        <v>251054</v>
      </c>
      <c r="B31" s="2233" t="str">
        <f>'Efficient Products Deemed Table'!C204</f>
        <v>251054_2024_12_</v>
      </c>
      <c r="C31" s="2724" t="str">
        <f>'Efficient Products Deemed Table'!G204</f>
        <v>HVAC RES</v>
      </c>
      <c r="D31" s="2724"/>
      <c r="E31" s="2724"/>
      <c r="F31" s="2724"/>
      <c r="G31" s="2724" t="str">
        <f>'Efficient Products Deemed Table'!E204</f>
        <v>ENERGY STAR Air Purifier/Cleaner: 200 ≤ Smoke CADR</v>
      </c>
      <c r="H31" s="2554" t="str">
        <f>'Efficient Products Deemed Table'!D204</f>
        <v>IE/PAYS</v>
      </c>
      <c r="I31" s="3840">
        <f>'Efficient Products Deemed Table'!F204</f>
        <v>558.89649179259254</v>
      </c>
      <c r="J31" s="3840">
        <v>0</v>
      </c>
      <c r="K31" s="3251">
        <v>0</v>
      </c>
      <c r="L31" s="3251">
        <v>0</v>
      </c>
      <c r="M31" s="3251">
        <v>0</v>
      </c>
      <c r="N31" s="3251">
        <v>0</v>
      </c>
      <c r="O31" s="3841">
        <f>'Efficient Products Deemed Table'!I204</f>
        <v>0.26049099999999997</v>
      </c>
      <c r="P31" s="3841">
        <v>0</v>
      </c>
      <c r="Q31" s="3842">
        <v>0</v>
      </c>
      <c r="R31" s="3842">
        <v>0</v>
      </c>
      <c r="S31" s="3842"/>
      <c r="T31" s="3842"/>
      <c r="U31" s="3843">
        <f t="shared" si="1"/>
        <v>0.26049099999999997</v>
      </c>
      <c r="V31" s="3843">
        <f t="shared" si="2"/>
        <v>0</v>
      </c>
      <c r="W31" s="3843">
        <f t="shared" si="3"/>
        <v>0</v>
      </c>
      <c r="X31" s="2846">
        <f>'Efficient Products Deemed Table'!J204</f>
        <v>9</v>
      </c>
      <c r="Y31" s="2846"/>
      <c r="Z31" s="2846">
        <f t="shared" si="18"/>
        <v>9</v>
      </c>
      <c r="AA31" s="2529">
        <f>'Efficient Products Deemed Table'!DG204</f>
        <v>10.963103028812478</v>
      </c>
      <c r="AB31" s="3844">
        <f>'Efficient Products Deemed Table'!K204</f>
        <v>44.5</v>
      </c>
      <c r="AC31" s="3845">
        <f t="shared" si="19"/>
        <v>487.85808478215529</v>
      </c>
      <c r="AD31" s="3845"/>
      <c r="AE31" s="3865">
        <f>'Efficient Products Deemed Table'!DI204</f>
        <v>487.85808478215529</v>
      </c>
      <c r="AF31" s="3846"/>
      <c r="AG31" s="3846"/>
      <c r="AH31" s="3846"/>
      <c r="AI31" s="2233" t="str">
        <f>'Efficient Products Deemed Table'!L204</f>
        <v>per measure</v>
      </c>
      <c r="AJ31" s="3251"/>
      <c r="AX31" s="3849" t="str">
        <f t="shared" si="20"/>
        <v>ENERGY STAR Air Purifier/Cleaner: 200 ≤ Smoke CADR</v>
      </c>
      <c r="AY31" s="2724"/>
      <c r="AZ31" s="3850" t="str">
        <f t="shared" si="21"/>
        <v>251054</v>
      </c>
      <c r="BA31" s="3866" t="s">
        <v>1303</v>
      </c>
      <c r="BB31" s="3866" t="s">
        <v>1303</v>
      </c>
      <c r="BC31" s="3866" t="s">
        <v>1303</v>
      </c>
      <c r="BD31" s="3866" t="s">
        <v>1303</v>
      </c>
      <c r="BE31" s="3853"/>
      <c r="BF31" s="3866" t="s">
        <v>1303</v>
      </c>
      <c r="BG31" s="3866" t="s">
        <v>1303</v>
      </c>
      <c r="BH31" s="3866" t="s">
        <v>1303</v>
      </c>
      <c r="BI31" s="3867" t="s">
        <v>1303</v>
      </c>
      <c r="BJ31" s="3853"/>
      <c r="BK31" s="3866" t="s">
        <v>1303</v>
      </c>
      <c r="BL31" s="3867" t="s">
        <v>1303</v>
      </c>
      <c r="BM31" s="3866" t="s">
        <v>1303</v>
      </c>
      <c r="BN31" s="3867" t="s">
        <v>1303</v>
      </c>
    </row>
    <row r="32" spans="1:66" s="696" customFormat="1">
      <c r="A32" s="2958" t="str">
        <f t="shared" si="0"/>
        <v>251100</v>
      </c>
      <c r="B32" s="2233" t="str">
        <f>'Efficient Products Deemed Table'!C252</f>
        <v>251100_2024_12_</v>
      </c>
      <c r="C32" s="2724" t="str">
        <f>'Efficient Products Deemed Table'!G252</f>
        <v>Cooling RES</v>
      </c>
      <c r="D32" s="2724"/>
      <c r="E32" s="2724"/>
      <c r="F32" s="2724"/>
      <c r="G32" s="2724" t="str">
        <f>'Efficient Products Deemed Table'!E252</f>
        <v>ENERGY STAR Dehumidifier</v>
      </c>
      <c r="H32" s="2554" t="str">
        <f>'Efficient Products Deemed Table'!D252</f>
        <v>IE/PAYS</v>
      </c>
      <c r="I32" s="3840">
        <f>'Efficient Products Deemed Table'!F252</f>
        <v>131.4264285714286</v>
      </c>
      <c r="J32" s="3840">
        <v>0</v>
      </c>
      <c r="K32" s="3251">
        <f>I32</f>
        <v>131.4264285714286</v>
      </c>
      <c r="L32" s="3251">
        <v>0</v>
      </c>
      <c r="M32" s="3251">
        <v>0</v>
      </c>
      <c r="N32" s="3251">
        <v>0</v>
      </c>
      <c r="O32" s="3841">
        <f>'Efficient Products Deemed Table'!I252</f>
        <v>0.124516</v>
      </c>
      <c r="P32" s="3841">
        <v>0</v>
      </c>
      <c r="Q32" s="3842">
        <f>O32</f>
        <v>0.124516</v>
      </c>
      <c r="R32" s="3842">
        <v>0</v>
      </c>
      <c r="S32" s="3842"/>
      <c r="T32" s="3842"/>
      <c r="U32" s="3843">
        <f t="shared" si="1"/>
        <v>0</v>
      </c>
      <c r="V32" s="3843">
        <f t="shared" si="2"/>
        <v>0.124516</v>
      </c>
      <c r="W32" s="3843">
        <f t="shared" si="3"/>
        <v>0</v>
      </c>
      <c r="X32" s="2846">
        <f>'Efficient Products Deemed Table'!J252</f>
        <v>12</v>
      </c>
      <c r="Y32" s="2846"/>
      <c r="Z32" s="2846">
        <f t="shared" si="4"/>
        <v>12</v>
      </c>
      <c r="AA32" s="2529">
        <f>'Efficient Products Deemed Table'!DG252</f>
        <v>22.820619257748554</v>
      </c>
      <c r="AB32" s="3844">
        <f>'Efficient Products Deemed Table'!K252</f>
        <v>10</v>
      </c>
      <c r="AC32" s="3845">
        <f t="shared" si="5"/>
        <v>228.20619257748552</v>
      </c>
      <c r="AD32" s="3845"/>
      <c r="AE32" s="3865">
        <f>'Efficient Products Deemed Table'!DI252</f>
        <v>228.20619257748552</v>
      </c>
      <c r="AF32" s="3846"/>
      <c r="AG32" s="3846"/>
      <c r="AH32" s="3846"/>
      <c r="AI32" s="2233" t="str">
        <f>'Efficient Products Deemed Table'!L252</f>
        <v>per measure</v>
      </c>
      <c r="AJ32" s="3251"/>
      <c r="AX32" s="3849" t="str">
        <f t="shared" si="6"/>
        <v>ENERGY STAR Dehumidifier</v>
      </c>
      <c r="AY32" s="2724"/>
      <c r="AZ32" s="3850" t="str">
        <f t="shared" si="7"/>
        <v>251100</v>
      </c>
      <c r="BA32" s="3866" t="s">
        <v>1303</v>
      </c>
      <c r="BB32" s="3866" t="s">
        <v>1303</v>
      </c>
      <c r="BC32" s="3866" t="s">
        <v>1303</v>
      </c>
      <c r="BD32" s="3866" t="s">
        <v>1303</v>
      </c>
      <c r="BE32" s="3853"/>
      <c r="BF32" s="3866" t="s">
        <v>1303</v>
      </c>
      <c r="BG32" s="3866" t="s">
        <v>1303</v>
      </c>
      <c r="BH32" s="3866" t="s">
        <v>1303</v>
      </c>
      <c r="BI32" s="3867" t="s">
        <v>1303</v>
      </c>
      <c r="BJ32" s="3853"/>
      <c r="BK32" s="3866" t="s">
        <v>1303</v>
      </c>
      <c r="BL32" s="3867" t="s">
        <v>1303</v>
      </c>
      <c r="BM32" s="3866" t="s">
        <v>1303</v>
      </c>
      <c r="BN32" s="3867" t="s">
        <v>1303</v>
      </c>
    </row>
    <row r="33" spans="1:66" s="696" customFormat="1">
      <c r="A33" s="2958" t="str">
        <f t="shared" ref="A33" si="22">LEFT(B33,6)</f>
        <v>251101</v>
      </c>
      <c r="B33" s="2233" t="str">
        <f>'Efficient Products Deemed Table'!C253</f>
        <v>251101_2024_12_</v>
      </c>
      <c r="C33" s="2724" t="str">
        <f>'Efficient Products Deemed Table'!G253</f>
        <v>Cooling RES</v>
      </c>
      <c r="D33" s="2724"/>
      <c r="E33" s="2724"/>
      <c r="F33" s="2724"/>
      <c r="G33" s="2724" t="str">
        <f>'Efficient Products Deemed Table'!E253</f>
        <v>ENERGY STAR Most Efficient Dehumidifier</v>
      </c>
      <c r="H33" s="2554" t="str">
        <f>'Efficient Products Deemed Table'!D253</f>
        <v>IE/PAYS</v>
      </c>
      <c r="I33" s="3840">
        <f>'Efficient Products Deemed Table'!F253</f>
        <v>188.42498719918078</v>
      </c>
      <c r="J33" s="3840">
        <v>0</v>
      </c>
      <c r="K33" s="3251">
        <f>I33</f>
        <v>188.42498719918078</v>
      </c>
      <c r="L33" s="3251">
        <v>0</v>
      </c>
      <c r="M33" s="3251">
        <v>0</v>
      </c>
      <c r="N33" s="3251">
        <v>0</v>
      </c>
      <c r="O33" s="3841">
        <f>'Efficient Products Deemed Table'!I253</f>
        <v>0.17851700000000001</v>
      </c>
      <c r="P33" s="3841">
        <v>0</v>
      </c>
      <c r="Q33" s="3842">
        <f>O33</f>
        <v>0.17851700000000001</v>
      </c>
      <c r="R33" s="3842">
        <v>0</v>
      </c>
      <c r="S33" s="3842"/>
      <c r="T33" s="3842"/>
      <c r="U33" s="3843">
        <f t="shared" si="1"/>
        <v>0</v>
      </c>
      <c r="V33" s="3843">
        <f t="shared" si="2"/>
        <v>0.17851700000000001</v>
      </c>
      <c r="W33" s="3843">
        <f t="shared" si="3"/>
        <v>0</v>
      </c>
      <c r="X33" s="2846">
        <f>'Efficient Products Deemed Table'!J253</f>
        <v>12</v>
      </c>
      <c r="Y33" s="2846"/>
      <c r="Z33" s="2846">
        <f t="shared" ref="Z33" si="23">Y33+X33</f>
        <v>12</v>
      </c>
      <c r="AA33" s="2529">
        <f>'Efficient Products Deemed Table'!DG253</f>
        <v>4.3623644937153738</v>
      </c>
      <c r="AB33" s="3844">
        <f>'Efficient Products Deemed Table'!K253</f>
        <v>75</v>
      </c>
      <c r="AC33" s="3845">
        <f t="shared" ref="AC33" si="24">AE33+AF33</f>
        <v>327.17733702865303</v>
      </c>
      <c r="AD33" s="3845"/>
      <c r="AE33" s="3865">
        <f>'Efficient Products Deemed Table'!DI253</f>
        <v>327.17733702865303</v>
      </c>
      <c r="AF33" s="3846"/>
      <c r="AG33" s="3846"/>
      <c r="AH33" s="3846"/>
      <c r="AI33" s="2233" t="str">
        <f>'Efficient Products Deemed Table'!L253</f>
        <v>per measure</v>
      </c>
      <c r="AJ33" s="3251"/>
      <c r="AX33" s="3849" t="str">
        <f t="shared" ref="AX33" si="25">G33</f>
        <v>ENERGY STAR Most Efficient Dehumidifier</v>
      </c>
      <c r="AY33" s="2724"/>
      <c r="AZ33" s="3850" t="str">
        <f t="shared" ref="AZ33" si="26">A33</f>
        <v>251101</v>
      </c>
      <c r="BA33" s="3866" t="s">
        <v>1303</v>
      </c>
      <c r="BB33" s="3866" t="s">
        <v>1303</v>
      </c>
      <c r="BC33" s="3866" t="s">
        <v>1303</v>
      </c>
      <c r="BD33" s="3866" t="s">
        <v>1303</v>
      </c>
      <c r="BE33" s="3853"/>
      <c r="BF33" s="3866" t="s">
        <v>1303</v>
      </c>
      <c r="BG33" s="3866" t="s">
        <v>1303</v>
      </c>
      <c r="BH33" s="3866" t="s">
        <v>1303</v>
      </c>
      <c r="BI33" s="3867" t="s">
        <v>1303</v>
      </c>
      <c r="BJ33" s="3853"/>
      <c r="BK33" s="3866" t="s">
        <v>1303</v>
      </c>
      <c r="BL33" s="3867" t="s">
        <v>1303</v>
      </c>
      <c r="BM33" s="3866" t="s">
        <v>1303</v>
      </c>
      <c r="BN33" s="3867" t="s">
        <v>1303</v>
      </c>
    </row>
    <row r="34" spans="1:66" s="696" customFormat="1">
      <c r="A34" s="2958" t="str">
        <f t="shared" si="0"/>
        <v>251150</v>
      </c>
      <c r="B34" s="2233" t="str">
        <f>'Efficient Products Deemed Table'!C287</f>
        <v>251150_2024_12_</v>
      </c>
      <c r="C34" s="2724" t="str">
        <f>'Efficient Products Deemed Table'!G287</f>
        <v>Cooling RES</v>
      </c>
      <c r="D34" s="2724"/>
      <c r="E34" s="2724"/>
      <c r="F34" s="2724"/>
      <c r="G34" s="2724" t="str">
        <f>'Efficient Products Deemed Table'!E287</f>
        <v>ENERGY STAR Room AC (kWh w ISR)</v>
      </c>
      <c r="H34" s="2554" t="str">
        <f>'Efficient Products Deemed Table'!D287</f>
        <v>IE/PAYS</v>
      </c>
      <c r="I34" s="3840">
        <f>'Efficient Products Deemed Table'!F287</f>
        <v>47.07</v>
      </c>
      <c r="J34" s="3840">
        <v>0</v>
      </c>
      <c r="K34" s="3251">
        <f>I34</f>
        <v>47.07</v>
      </c>
      <c r="L34" s="3251">
        <v>0</v>
      </c>
      <c r="M34" s="3251">
        <v>0</v>
      </c>
      <c r="N34" s="3251">
        <v>0</v>
      </c>
      <c r="O34" s="3841">
        <f>'Efficient Products Deemed Table'!I287</f>
        <v>4.4595000000000003E-2</v>
      </c>
      <c r="P34" s="3841">
        <v>0</v>
      </c>
      <c r="Q34" s="3842">
        <f>O34</f>
        <v>4.4595000000000003E-2</v>
      </c>
      <c r="R34" s="3842">
        <v>0</v>
      </c>
      <c r="S34" s="3842"/>
      <c r="T34" s="3842"/>
      <c r="U34" s="3843">
        <f t="shared" si="1"/>
        <v>0</v>
      </c>
      <c r="V34" s="3843">
        <f t="shared" si="2"/>
        <v>4.4595000000000003E-2</v>
      </c>
      <c r="W34" s="3843">
        <f t="shared" si="3"/>
        <v>0</v>
      </c>
      <c r="X34" s="2846">
        <f>'Efficient Products Deemed Table'!J287</f>
        <v>12</v>
      </c>
      <c r="Y34" s="2846"/>
      <c r="Z34" s="2846">
        <f t="shared" si="4"/>
        <v>12</v>
      </c>
      <c r="AA34" s="2529">
        <f>'Efficient Products Deemed Table'!DG287</f>
        <v>2.0432849011765324</v>
      </c>
      <c r="AB34" s="3844">
        <f>'Efficient Products Deemed Table'!K287</f>
        <v>40</v>
      </c>
      <c r="AC34" s="3845">
        <f t="shared" si="5"/>
        <v>81.731396047061295</v>
      </c>
      <c r="AD34" s="3845"/>
      <c r="AE34" s="3865">
        <f>'Efficient Products Deemed Table'!DI287</f>
        <v>81.731396047061295</v>
      </c>
      <c r="AF34" s="3846"/>
      <c r="AG34" s="3846"/>
      <c r="AH34" s="3846"/>
      <c r="AI34" s="2233" t="str">
        <f>'Efficient Products Deemed Table'!L287</f>
        <v>per measure</v>
      </c>
      <c r="AJ34" s="3251"/>
      <c r="AX34" s="3849" t="str">
        <f t="shared" si="6"/>
        <v>ENERGY STAR Room AC (kWh w ISR)</v>
      </c>
      <c r="AY34" s="2724"/>
      <c r="AZ34" s="3850" t="str">
        <f t="shared" si="7"/>
        <v>251150</v>
      </c>
      <c r="BA34" s="3866" t="s">
        <v>1303</v>
      </c>
      <c r="BB34" s="3866" t="s">
        <v>1303</v>
      </c>
      <c r="BC34" s="3866" t="s">
        <v>1303</v>
      </c>
      <c r="BD34" s="3866" t="s">
        <v>1303</v>
      </c>
      <c r="BE34" s="3853"/>
      <c r="BF34" s="3866" t="s">
        <v>1303</v>
      </c>
      <c r="BG34" s="3866" t="s">
        <v>1303</v>
      </c>
      <c r="BH34" s="3866" t="s">
        <v>1303</v>
      </c>
      <c r="BI34" s="3867" t="s">
        <v>1303</v>
      </c>
      <c r="BJ34" s="3853"/>
      <c r="BK34" s="3866" t="s">
        <v>1303</v>
      </c>
      <c r="BL34" s="3867" t="s">
        <v>1303</v>
      </c>
      <c r="BM34" s="3866" t="s">
        <v>1303</v>
      </c>
      <c r="BN34" s="3867" t="s">
        <v>1303</v>
      </c>
    </row>
    <row r="35" spans="1:66" s="696" customFormat="1">
      <c r="A35" s="2958" t="str">
        <f t="shared" si="0"/>
        <v>251200</v>
      </c>
      <c r="B35" s="2233" t="str">
        <f>'Efficient Products Deemed Table'!C288</f>
        <v>251200_2024_12_</v>
      </c>
      <c r="C35" s="2724" t="str">
        <f>'Efficient Products Deemed Table'!G288</f>
        <v>Cooling RES</v>
      </c>
      <c r="D35" s="2724"/>
      <c r="E35" s="2724"/>
      <c r="F35" s="2724"/>
      <c r="G35" s="2724" t="str">
        <f>'Efficient Products Deemed Table'!E288</f>
        <v>ENERGY STAR Room AC (kWh w/o ISR)</v>
      </c>
      <c r="H35" s="2554" t="str">
        <f>'Efficient Products Deemed Table'!D288</f>
        <v>IE/PAYS</v>
      </c>
      <c r="I35" s="3840">
        <f>'Efficient Products Deemed Table'!F288</f>
        <v>48.3</v>
      </c>
      <c r="J35" s="3840">
        <v>0</v>
      </c>
      <c r="K35" s="3251">
        <f>I35</f>
        <v>48.3</v>
      </c>
      <c r="L35" s="3251">
        <v>0</v>
      </c>
      <c r="M35" s="3251">
        <v>0</v>
      </c>
      <c r="N35" s="3251">
        <v>0</v>
      </c>
      <c r="O35" s="3841">
        <f>'Efficient Products Deemed Table'!I288</f>
        <v>4.5760000000000002E-2</v>
      </c>
      <c r="P35" s="3841">
        <v>0</v>
      </c>
      <c r="Q35" s="3842">
        <f>O35</f>
        <v>4.5760000000000002E-2</v>
      </c>
      <c r="R35" s="3842">
        <v>0</v>
      </c>
      <c r="S35" s="3842"/>
      <c r="T35" s="3842"/>
      <c r="U35" s="3843">
        <f t="shared" si="1"/>
        <v>0</v>
      </c>
      <c r="V35" s="3843">
        <f t="shared" si="2"/>
        <v>4.5760000000000002E-2</v>
      </c>
      <c r="W35" s="3843">
        <f t="shared" si="3"/>
        <v>0</v>
      </c>
      <c r="X35" s="2846">
        <f>'Efficient Products Deemed Table'!J288</f>
        <v>12</v>
      </c>
      <c r="Y35" s="2846"/>
      <c r="Z35" s="2846">
        <f t="shared" si="4"/>
        <v>12</v>
      </c>
      <c r="AA35" s="2529">
        <f>'Efficient Products Deemed Table'!DG288</f>
        <v>2.0966785792824836</v>
      </c>
      <c r="AB35" s="3844">
        <f>'Efficient Products Deemed Table'!K288</f>
        <v>40</v>
      </c>
      <c r="AC35" s="3845">
        <f t="shared" si="5"/>
        <v>83.867143171299347</v>
      </c>
      <c r="AD35" s="3845"/>
      <c r="AE35" s="3865">
        <f>'Efficient Products Deemed Table'!DI288</f>
        <v>83.867143171299347</v>
      </c>
      <c r="AF35" s="3846"/>
      <c r="AG35" s="3846"/>
      <c r="AH35" s="3846"/>
      <c r="AI35" s="2233" t="str">
        <f>'Efficient Products Deemed Table'!L288</f>
        <v>per measure</v>
      </c>
      <c r="AJ35" s="3251"/>
      <c r="AX35" s="3849" t="str">
        <f t="shared" si="6"/>
        <v>ENERGY STAR Room AC (kWh w/o ISR)</v>
      </c>
      <c r="AY35" s="2724"/>
      <c r="AZ35" s="3850" t="str">
        <f t="shared" si="7"/>
        <v>251200</v>
      </c>
      <c r="BA35" s="3866" t="s">
        <v>1303</v>
      </c>
      <c r="BB35" s="3866" t="s">
        <v>1303</v>
      </c>
      <c r="BC35" s="3866" t="s">
        <v>1303</v>
      </c>
      <c r="BD35" s="3866" t="s">
        <v>1303</v>
      </c>
      <c r="BE35" s="3853"/>
      <c r="BF35" s="3866" t="s">
        <v>1303</v>
      </c>
      <c r="BG35" s="3866" t="s">
        <v>1303</v>
      </c>
      <c r="BH35" s="3866" t="s">
        <v>1303</v>
      </c>
      <c r="BI35" s="3867" t="s">
        <v>1303</v>
      </c>
      <c r="BJ35" s="3853"/>
      <c r="BK35" s="3866" t="s">
        <v>1303</v>
      </c>
      <c r="BL35" s="3867" t="s">
        <v>1303</v>
      </c>
      <c r="BM35" s="3866" t="s">
        <v>1303</v>
      </c>
      <c r="BN35" s="3867" t="s">
        <v>1303</v>
      </c>
    </row>
    <row r="36" spans="1:66" s="696" customFormat="1">
      <c r="A36" s="2958" t="str">
        <f t="shared" si="0"/>
        <v>251300</v>
      </c>
      <c r="B36" s="2233" t="str">
        <f>'Efficient Products Deemed Table'!C313</f>
        <v>251300_2024_12_</v>
      </c>
      <c r="C36" s="2724" t="str">
        <f>'Efficient Products Deemed Table'!G313</f>
        <v>Water heating RES</v>
      </c>
      <c r="D36" s="2724"/>
      <c r="E36" s="2724"/>
      <c r="F36" s="2724"/>
      <c r="G36" s="2724" t="str">
        <f>'Efficient Products Deemed Table'!E313</f>
        <v>Low Flow Handheld Showerhead SF</v>
      </c>
      <c r="H36" s="2554" t="str">
        <f>'Efficient Products Deemed Table'!D313</f>
        <v>IE/PAYS</v>
      </c>
      <c r="I36" s="3840">
        <f>'Efficient Products Deemed Table'!F313</f>
        <v>92.67</v>
      </c>
      <c r="J36" s="3840">
        <v>0</v>
      </c>
      <c r="K36" s="3251">
        <v>0</v>
      </c>
      <c r="L36" s="3251">
        <v>0</v>
      </c>
      <c r="M36" s="3251">
        <v>0</v>
      </c>
      <c r="N36" s="3251">
        <v>0</v>
      </c>
      <c r="O36" s="3841">
        <f>'Efficient Products Deemed Table'!J313</f>
        <v>8.2229999999999994E-3</v>
      </c>
      <c r="P36" s="3841">
        <v>0</v>
      </c>
      <c r="Q36" s="3842">
        <v>0</v>
      </c>
      <c r="R36" s="3842">
        <v>0</v>
      </c>
      <c r="S36" s="3842"/>
      <c r="T36" s="3842"/>
      <c r="U36" s="3843">
        <f t="shared" si="1"/>
        <v>0</v>
      </c>
      <c r="V36" s="3843">
        <f t="shared" si="2"/>
        <v>8.2229999999999994E-3</v>
      </c>
      <c r="W36" s="3843">
        <f t="shared" si="3"/>
        <v>0</v>
      </c>
      <c r="X36" s="2846">
        <f>'Efficient Products Deemed Table'!K313</f>
        <v>10</v>
      </c>
      <c r="Y36" s="2846"/>
      <c r="Z36" s="2846">
        <f t="shared" si="4"/>
        <v>10</v>
      </c>
      <c r="AA36" s="2529">
        <f>'Efficient Products Deemed Table'!DG313</f>
        <v>3.0311782417932105</v>
      </c>
      <c r="AB36" s="3844">
        <f>'Efficient Products Deemed Table'!L313</f>
        <v>15.02</v>
      </c>
      <c r="AC36" s="3845">
        <f t="shared" si="5"/>
        <v>45.528297191734019</v>
      </c>
      <c r="AD36" s="3845"/>
      <c r="AE36" s="3865">
        <f>'Efficient Products Deemed Table'!DI313</f>
        <v>45.528297191734019</v>
      </c>
      <c r="AF36" s="3846"/>
      <c r="AG36" s="3846"/>
      <c r="AH36" s="3846"/>
      <c r="AI36" s="3872" t="str">
        <f>'Efficient Products Deemed Table'!M313</f>
        <v>per measure</v>
      </c>
      <c r="AJ36" s="3251"/>
      <c r="AX36" s="3849" t="str">
        <f t="shared" si="6"/>
        <v>Low Flow Handheld Showerhead SF</v>
      </c>
      <c r="AY36" s="2724"/>
      <c r="AZ36" s="3850" t="str">
        <f t="shared" si="7"/>
        <v>251300</v>
      </c>
      <c r="BA36" s="3866" t="s">
        <v>1303</v>
      </c>
      <c r="BB36" s="3866" t="s">
        <v>1303</v>
      </c>
      <c r="BC36" s="3866" t="s">
        <v>1303</v>
      </c>
      <c r="BD36" s="3866" t="s">
        <v>1303</v>
      </c>
      <c r="BE36" s="3853"/>
      <c r="BF36" s="3866" t="s">
        <v>1303</v>
      </c>
      <c r="BG36" s="3866" t="s">
        <v>1303</v>
      </c>
      <c r="BH36" s="3866" t="s">
        <v>1303</v>
      </c>
      <c r="BI36" s="3867" t="s">
        <v>1303</v>
      </c>
      <c r="BJ36" s="3853"/>
      <c r="BK36" s="3866" t="s">
        <v>1303</v>
      </c>
      <c r="BL36" s="3867" t="s">
        <v>1303</v>
      </c>
      <c r="BM36" s="3866" t="s">
        <v>1303</v>
      </c>
      <c r="BN36" s="3867" t="s">
        <v>1303</v>
      </c>
    </row>
    <row r="37" spans="1:66" s="696" customFormat="1">
      <c r="A37" s="2958" t="str">
        <f t="shared" si="0"/>
        <v>251350</v>
      </c>
      <c r="B37" s="2233" t="str">
        <f>'Efficient Products Deemed Table'!C314</f>
        <v>251350_2024_12_</v>
      </c>
      <c r="C37" s="2724" t="str">
        <f>'Efficient Products Deemed Table'!G314</f>
        <v>Water heating RES</v>
      </c>
      <c r="D37" s="2724"/>
      <c r="E37" s="2724"/>
      <c r="F37" s="2724"/>
      <c r="G37" s="2724" t="str">
        <f>'Efficient Products Deemed Table'!E314</f>
        <v>Low Flow Handheld Showerhead MF</v>
      </c>
      <c r="H37" s="2554" t="str">
        <f>'Efficient Products Deemed Table'!D314</f>
        <v>IE/PAYS</v>
      </c>
      <c r="I37" s="3840">
        <f>'Efficient Products Deemed Table'!F314</f>
        <v>105.2</v>
      </c>
      <c r="J37" s="3840">
        <v>0</v>
      </c>
      <c r="K37" s="3251">
        <v>0</v>
      </c>
      <c r="L37" s="3251">
        <v>0</v>
      </c>
      <c r="M37" s="3251">
        <v>0</v>
      </c>
      <c r="N37" s="3251">
        <v>0</v>
      </c>
      <c r="O37" s="3841">
        <f>'Efficient Products Deemed Table'!J314</f>
        <v>9.3349999999999995E-3</v>
      </c>
      <c r="P37" s="3841">
        <v>0</v>
      </c>
      <c r="Q37" s="3842">
        <v>0</v>
      </c>
      <c r="R37" s="3842">
        <v>0</v>
      </c>
      <c r="S37" s="3842"/>
      <c r="T37" s="3842"/>
      <c r="U37" s="3843">
        <f t="shared" si="1"/>
        <v>0</v>
      </c>
      <c r="V37" s="3843">
        <f t="shared" si="2"/>
        <v>9.3349999999999995E-3</v>
      </c>
      <c r="W37" s="3843">
        <f t="shared" si="3"/>
        <v>0</v>
      </c>
      <c r="X37" s="2846">
        <f>'Efficient Products Deemed Table'!K314</f>
        <v>10</v>
      </c>
      <c r="Y37" s="2846"/>
      <c r="Z37" s="2846">
        <f t="shared" si="4"/>
        <v>10</v>
      </c>
      <c r="AA37" s="2529">
        <f>'Efficient Products Deemed Table'!DG314</f>
        <v>3.4410267728137018</v>
      </c>
      <c r="AB37" s="3844">
        <f>'Efficient Products Deemed Table'!L314</f>
        <v>15.02</v>
      </c>
      <c r="AC37" s="3845">
        <f t="shared" si="5"/>
        <v>51.684222127661798</v>
      </c>
      <c r="AD37" s="3845"/>
      <c r="AE37" s="3865">
        <f>'Efficient Products Deemed Table'!DI314</f>
        <v>51.684222127661798</v>
      </c>
      <c r="AF37" s="3846"/>
      <c r="AG37" s="3846"/>
      <c r="AH37" s="3846"/>
      <c r="AI37" s="3872" t="str">
        <f>'Efficient Products Deemed Table'!M314</f>
        <v>per measure</v>
      </c>
      <c r="AJ37" s="3251"/>
      <c r="AX37" s="3849" t="str">
        <f t="shared" si="6"/>
        <v>Low Flow Handheld Showerhead MF</v>
      </c>
      <c r="AY37" s="2724"/>
      <c r="AZ37" s="3850" t="str">
        <f t="shared" si="7"/>
        <v>251350</v>
      </c>
      <c r="BA37" s="3866" t="s">
        <v>1303</v>
      </c>
      <c r="BB37" s="3866" t="s">
        <v>1303</v>
      </c>
      <c r="BC37" s="3866" t="s">
        <v>1303</v>
      </c>
      <c r="BD37" s="3866" t="s">
        <v>1303</v>
      </c>
      <c r="BE37" s="3853"/>
      <c r="BF37" s="3866" t="s">
        <v>1303</v>
      </c>
      <c r="BG37" s="3866" t="s">
        <v>1303</v>
      </c>
      <c r="BH37" s="3866" t="s">
        <v>1303</v>
      </c>
      <c r="BI37" s="3867" t="s">
        <v>1303</v>
      </c>
      <c r="BJ37" s="3853"/>
      <c r="BK37" s="3866" t="s">
        <v>1303</v>
      </c>
      <c r="BL37" s="3867" t="s">
        <v>1303</v>
      </c>
      <c r="BM37" s="3866" t="s">
        <v>1303</v>
      </c>
      <c r="BN37" s="3867" t="s">
        <v>1303</v>
      </c>
    </row>
    <row r="38" spans="1:66" s="696" customFormat="1">
      <c r="A38" s="2958" t="str">
        <f t="shared" ref="A38" si="27">LEFT(B38,6)</f>
        <v>251500</v>
      </c>
      <c r="B38" s="2233" t="str">
        <f>'Efficient Products Deemed Table'!C351</f>
        <v>251500_2024_12_</v>
      </c>
      <c r="C38" s="2724" t="str">
        <f>'Efficient Products Deemed Table'!G351</f>
        <v>Building Shell RES</v>
      </c>
      <c r="D38" s="2724"/>
      <c r="E38" s="2724"/>
      <c r="F38" s="2724"/>
      <c r="G38" s="2724" t="str">
        <f>'Efficient Products Deemed Table'!E351</f>
        <v>Spray Foam Insulation: 12 oz. Can</v>
      </c>
      <c r="H38" s="2554" t="str">
        <f>'Efficient Products Deemed Table'!D351</f>
        <v>IE/PAYS</v>
      </c>
      <c r="I38" s="3840">
        <f>'Efficient Products Deemed Table'!F351</f>
        <v>53.42</v>
      </c>
      <c r="J38" s="3840">
        <v>0</v>
      </c>
      <c r="K38" s="3251">
        <v>0</v>
      </c>
      <c r="L38" s="3251">
        <v>0</v>
      </c>
      <c r="M38" s="3251">
        <v>0</v>
      </c>
      <c r="N38" s="3251">
        <v>0</v>
      </c>
      <c r="O38" s="3841">
        <f>'Efficient Products Deemed Table'!I351</f>
        <v>2.4898E-2</v>
      </c>
      <c r="P38" s="3841">
        <v>0</v>
      </c>
      <c r="Q38" s="3842">
        <v>0</v>
      </c>
      <c r="R38" s="3842">
        <v>0</v>
      </c>
      <c r="S38" s="3842"/>
      <c r="T38" s="3842"/>
      <c r="U38" s="3843">
        <f>IFERROR(IF(V38+W38&gt;0,0,IF(Z38&gt;0,O38,0)),0)</f>
        <v>0</v>
      </c>
      <c r="V38" s="3843">
        <f t="shared" ref="V38:V81" si="28">IF(W38&gt;0,0,IF(Z38&gt;9,O38,0))</f>
        <v>0</v>
      </c>
      <c r="W38" s="3843">
        <f t="shared" ref="W38:W81" si="29">IF(Z38&gt;14,O38,0)</f>
        <v>2.4898E-2</v>
      </c>
      <c r="X38" s="2846">
        <f>'Efficient Products Deemed Table'!J351</f>
        <v>20</v>
      </c>
      <c r="Y38" s="2846"/>
      <c r="Z38" s="2846">
        <f t="shared" ref="Z38" si="30">Y38+X38</f>
        <v>20</v>
      </c>
      <c r="AA38" s="2529">
        <f>'Efficient Products Deemed Table'!DG351</f>
        <v>13.555781811304826</v>
      </c>
      <c r="AB38" s="3844">
        <f>'Efficient Products Deemed Table'!K351</f>
        <v>6</v>
      </c>
      <c r="AC38" s="3845">
        <f t="shared" ref="AC38" si="31">AE38+AF38</f>
        <v>81.334690867828954</v>
      </c>
      <c r="AD38" s="3845"/>
      <c r="AE38" s="3865">
        <f>'Efficient Products Deemed Table'!DI351</f>
        <v>81.334690867828954</v>
      </c>
      <c r="AF38" s="3846"/>
      <c r="AG38" s="3846"/>
      <c r="AH38" s="3846"/>
      <c r="AI38" s="3872" t="str">
        <f>'Efficient Products Deemed Table'!L351</f>
        <v>per measure</v>
      </c>
      <c r="AJ38" s="3251"/>
      <c r="AX38" s="3849" t="str">
        <f t="shared" ref="AX38" si="32">G38</f>
        <v>Spray Foam Insulation: 12 oz. Can</v>
      </c>
      <c r="AY38" s="2724"/>
      <c r="AZ38" s="3850" t="str">
        <f t="shared" ref="AZ38" si="33">A38</f>
        <v>251500</v>
      </c>
      <c r="BA38" s="3866" t="s">
        <v>1303</v>
      </c>
      <c r="BB38" s="3866" t="s">
        <v>1303</v>
      </c>
      <c r="BC38" s="3866" t="s">
        <v>1303</v>
      </c>
      <c r="BD38" s="3866" t="s">
        <v>1303</v>
      </c>
      <c r="BE38" s="3853"/>
      <c r="BF38" s="3866" t="s">
        <v>1303</v>
      </c>
      <c r="BG38" s="3866" t="s">
        <v>1303</v>
      </c>
      <c r="BH38" s="3866" t="s">
        <v>1303</v>
      </c>
      <c r="BI38" s="3867" t="s">
        <v>1303</v>
      </c>
      <c r="BJ38" s="3853"/>
      <c r="BK38" s="3866" t="s">
        <v>1303</v>
      </c>
      <c r="BL38" s="3867" t="s">
        <v>1303</v>
      </c>
      <c r="BM38" s="3866" t="s">
        <v>1303</v>
      </c>
      <c r="BN38" s="3867" t="s">
        <v>1303</v>
      </c>
    </row>
    <row r="39" spans="1:66" s="696" customFormat="1">
      <c r="A39" s="2958" t="str">
        <f t="shared" ref="A39" si="34">LEFT(B39,6)</f>
        <v>251510</v>
      </c>
      <c r="B39" s="2233" t="str">
        <f>'Efficient Products Deemed Table'!C370</f>
        <v>251510_2024_12_</v>
      </c>
      <c r="C39" s="2724" t="str">
        <f>'Efficient Products Deemed Table'!G370</f>
        <v>Building Shell RES</v>
      </c>
      <c r="D39" s="2724"/>
      <c r="E39" s="2724"/>
      <c r="F39" s="2724"/>
      <c r="G39" s="2724" t="str">
        <f>'Efficient Products Deemed Table'!E370</f>
        <v>Door Sweep</v>
      </c>
      <c r="H39" s="2554" t="str">
        <f>'Efficient Products Deemed Table'!D370</f>
        <v>IE/PAYS</v>
      </c>
      <c r="I39" s="3840">
        <f>'Efficient Products Deemed Table'!F370</f>
        <v>28.24</v>
      </c>
      <c r="J39" s="3840">
        <v>0</v>
      </c>
      <c r="K39" s="3251">
        <v>0</v>
      </c>
      <c r="L39" s="3251">
        <v>0</v>
      </c>
      <c r="M39" s="3251">
        <v>0</v>
      </c>
      <c r="N39" s="3251">
        <v>0</v>
      </c>
      <c r="O39" s="3841">
        <f>'Efficient Products Deemed Table'!J370</f>
        <v>20</v>
      </c>
      <c r="P39" s="3841">
        <v>0</v>
      </c>
      <c r="Q39" s="3842">
        <v>0</v>
      </c>
      <c r="R39" s="3842">
        <v>0</v>
      </c>
      <c r="S39" s="3842"/>
      <c r="T39" s="3842"/>
      <c r="U39" s="3843">
        <f t="shared" ref="U39:U81" si="35">IFERROR(IF(V39+W39&gt;0,0,IF(Z39&gt;0,O39,0)),0)</f>
        <v>0</v>
      </c>
      <c r="V39" s="3843">
        <f t="shared" si="28"/>
        <v>0</v>
      </c>
      <c r="W39" s="3843">
        <f t="shared" si="29"/>
        <v>20</v>
      </c>
      <c r="X39" s="2846">
        <f>'Efficient Products Deemed Table'!K370</f>
        <v>15</v>
      </c>
      <c r="Y39" s="2846"/>
      <c r="Z39" s="2846">
        <f t="shared" ref="Z39" si="36">Y39+X39</f>
        <v>15</v>
      </c>
      <c r="AA39" s="2529">
        <f>'Efficient Products Deemed Table'!DG370</f>
        <v>2.8664565956664041</v>
      </c>
      <c r="AB39" s="3844">
        <f>'Efficient Products Deemed Table'!K370</f>
        <v>15</v>
      </c>
      <c r="AC39" s="3845">
        <f t="shared" ref="AC39" si="37">AE39+AF39</f>
        <v>42.996848934996059</v>
      </c>
      <c r="AD39" s="3845"/>
      <c r="AE39" s="3865">
        <f>'Efficient Products Deemed Table'!DI370</f>
        <v>42.996848934996059</v>
      </c>
      <c r="AF39" s="3846"/>
      <c r="AG39" s="3846"/>
      <c r="AH39" s="3846"/>
      <c r="AI39" s="3872" t="str">
        <f>'Efficient Products Deemed Table'!L370</f>
        <v>per measure</v>
      </c>
      <c r="AJ39" s="3251"/>
      <c r="AX39" s="3849" t="str">
        <f t="shared" ref="AX39" si="38">G39</f>
        <v>Door Sweep</v>
      </c>
      <c r="AY39" s="2724"/>
      <c r="AZ39" s="3850" t="str">
        <f t="shared" ref="AZ39" si="39">A39</f>
        <v>251510</v>
      </c>
      <c r="BA39" s="3866" t="s">
        <v>1303</v>
      </c>
      <c r="BB39" s="3866" t="s">
        <v>1303</v>
      </c>
      <c r="BC39" s="3866" t="s">
        <v>1303</v>
      </c>
      <c r="BD39" s="3866" t="s">
        <v>1303</v>
      </c>
      <c r="BE39" s="3853"/>
      <c r="BF39" s="3866" t="s">
        <v>1303</v>
      </c>
      <c r="BG39" s="3866" t="s">
        <v>1303</v>
      </c>
      <c r="BH39" s="3866" t="s">
        <v>1303</v>
      </c>
      <c r="BI39" s="3867" t="s">
        <v>1303</v>
      </c>
      <c r="BJ39" s="3853"/>
      <c r="BK39" s="3866" t="s">
        <v>1303</v>
      </c>
      <c r="BL39" s="3867" t="s">
        <v>1303</v>
      </c>
      <c r="BM39" s="3866" t="s">
        <v>1303</v>
      </c>
      <c r="BN39" s="3867" t="s">
        <v>1303</v>
      </c>
    </row>
    <row r="40" spans="1:66" s="696" customFormat="1">
      <c r="A40" s="2958" t="str">
        <f t="shared" ref="A40" si="40">LEFT(B40,6)</f>
        <v>251520</v>
      </c>
      <c r="B40" s="2233" t="str">
        <f>'Efficient Products Deemed Table'!C389</f>
        <v>251520_2024_12_</v>
      </c>
      <c r="C40" s="2724" t="str">
        <f>'Efficient Products Deemed Table'!G389</f>
        <v>Building Shell RES</v>
      </c>
      <c r="D40" s="2724"/>
      <c r="E40" s="2724"/>
      <c r="F40" s="2724"/>
      <c r="G40" s="2724" t="str">
        <f>'Efficient Products Deemed Table'!E389</f>
        <v>Weatherstripping: 17' Roll</v>
      </c>
      <c r="H40" s="2554" t="str">
        <f>'Efficient Products Deemed Table'!D389</f>
        <v>IE/PAYS</v>
      </c>
      <c r="I40" s="3840">
        <f>'Efficient Products Deemed Table'!F389</f>
        <v>18.84</v>
      </c>
      <c r="J40" s="3840">
        <v>0</v>
      </c>
      <c r="K40" s="3251">
        <v>0</v>
      </c>
      <c r="L40" s="3251">
        <v>0</v>
      </c>
      <c r="M40" s="3251">
        <v>0</v>
      </c>
      <c r="N40" s="3251">
        <v>0</v>
      </c>
      <c r="O40" s="3841">
        <f>'Efficient Products Deemed Table'!I389</f>
        <v>8.7810000000000006E-3</v>
      </c>
      <c r="P40" s="3841">
        <v>0</v>
      </c>
      <c r="Q40" s="3842">
        <v>0</v>
      </c>
      <c r="R40" s="3842">
        <v>0</v>
      </c>
      <c r="S40" s="3842"/>
      <c r="T40" s="3842"/>
      <c r="U40" s="3843">
        <f t="shared" si="35"/>
        <v>0</v>
      </c>
      <c r="V40" s="3843">
        <f t="shared" si="28"/>
        <v>0</v>
      </c>
      <c r="W40" s="3843">
        <f t="shared" si="29"/>
        <v>8.7810000000000006E-3</v>
      </c>
      <c r="X40" s="2846">
        <f>'Efficient Products Deemed Table'!J389</f>
        <v>20</v>
      </c>
      <c r="Y40" s="2846"/>
      <c r="Z40" s="2846">
        <f t="shared" ref="Z40" si="41">Y40+X40</f>
        <v>20</v>
      </c>
      <c r="AA40" s="2529">
        <f>'Efficient Products Deemed Table'!DG389</f>
        <v>5.7369733281538657</v>
      </c>
      <c r="AB40" s="3844">
        <f>'Efficient Products Deemed Table'!K389</f>
        <v>5</v>
      </c>
      <c r="AC40" s="3845">
        <f t="shared" ref="AC40" si="42">AE40+AF40</f>
        <v>28.684866640769329</v>
      </c>
      <c r="AD40" s="3845"/>
      <c r="AE40" s="3865">
        <f>'Efficient Products Deemed Table'!DI389</f>
        <v>28.684866640769329</v>
      </c>
      <c r="AF40" s="3846"/>
      <c r="AG40" s="3846"/>
      <c r="AH40" s="3846"/>
      <c r="AI40" s="3872" t="str">
        <f>'Efficient Products Deemed Table'!L389</f>
        <v>per measure</v>
      </c>
      <c r="AJ40" s="3251"/>
      <c r="AX40" s="3849" t="str">
        <f t="shared" ref="AX40" si="43">G40</f>
        <v>Weatherstripping: 17' Roll</v>
      </c>
      <c r="AY40" s="2724"/>
      <c r="AZ40" s="3850" t="str">
        <f t="shared" ref="AZ40" si="44">A40</f>
        <v>251520</v>
      </c>
      <c r="BA40" s="3866" t="s">
        <v>1303</v>
      </c>
      <c r="BB40" s="3866" t="s">
        <v>1303</v>
      </c>
      <c r="BC40" s="3866" t="s">
        <v>1303</v>
      </c>
      <c r="BD40" s="3866" t="s">
        <v>1303</v>
      </c>
      <c r="BE40" s="3853"/>
      <c r="BF40" s="3866" t="s">
        <v>1303</v>
      </c>
      <c r="BG40" s="3866" t="s">
        <v>1303</v>
      </c>
      <c r="BH40" s="3866" t="s">
        <v>1303</v>
      </c>
      <c r="BI40" s="3867" t="s">
        <v>1303</v>
      </c>
      <c r="BJ40" s="3853"/>
      <c r="BK40" s="3866" t="s">
        <v>1303</v>
      </c>
      <c r="BL40" s="3867" t="s">
        <v>1303</v>
      </c>
      <c r="BM40" s="3866" t="s">
        <v>1303</v>
      </c>
      <c r="BN40" s="3867" t="s">
        <v>1303</v>
      </c>
    </row>
    <row r="41" spans="1:66" s="41" customFormat="1">
      <c r="A41" s="51" t="str">
        <f t="shared" ref="A41" si="45">LEFT(B41,6)</f>
        <v>251530</v>
      </c>
      <c r="B41" s="1442" t="str">
        <f>'Efficient Products Deemed Table'!C408</f>
        <v>251530_2024_12_</v>
      </c>
      <c r="C41" s="1378" t="str">
        <f>'Efficient Products Deemed Table'!G408</f>
        <v>Lighting RES</v>
      </c>
      <c r="D41" s="1378"/>
      <c r="E41" s="1378"/>
      <c r="F41" s="1378"/>
      <c r="G41" s="1378" t="str">
        <f>'Efficient Products Deemed Table'!E408</f>
        <v>LED Nightlights</v>
      </c>
      <c r="H41" s="19" t="str">
        <f>'Efficient Products Deemed Table'!D408</f>
        <v>IE/PAYS</v>
      </c>
      <c r="I41" s="785">
        <f>'Efficient Products Deemed Table'!F408</f>
        <v>23.24</v>
      </c>
      <c r="J41" s="785">
        <v>0</v>
      </c>
      <c r="K41" s="202">
        <v>0</v>
      </c>
      <c r="L41" s="202">
        <v>0</v>
      </c>
      <c r="M41" s="202">
        <v>0</v>
      </c>
      <c r="N41" s="202">
        <v>0</v>
      </c>
      <c r="O41" s="786">
        <f>'Efficient Products Deemed Table'!J408</f>
        <v>8</v>
      </c>
      <c r="P41" s="786">
        <v>0</v>
      </c>
      <c r="Q41" s="787">
        <v>0</v>
      </c>
      <c r="R41" s="787">
        <v>0</v>
      </c>
      <c r="S41" s="787"/>
      <c r="T41" s="787"/>
      <c r="U41" s="788">
        <f t="shared" si="35"/>
        <v>8</v>
      </c>
      <c r="V41" s="788">
        <f t="shared" si="28"/>
        <v>0</v>
      </c>
      <c r="W41" s="788">
        <f t="shared" si="29"/>
        <v>0</v>
      </c>
      <c r="X41" s="23">
        <f>'Efficient Products Deemed Table'!K408</f>
        <v>3.35</v>
      </c>
      <c r="Y41" s="23"/>
      <c r="Z41" s="23">
        <f t="shared" ref="Z41" si="46">Y41+X41</f>
        <v>3.35</v>
      </c>
      <c r="AA41" s="18">
        <f>'Efficient Products Deemed Table'!DG408</f>
        <v>2.7690008676024807</v>
      </c>
      <c r="AB41" s="807">
        <f>'Efficient Products Deemed Table'!K408</f>
        <v>3.35</v>
      </c>
      <c r="AC41" s="903">
        <f t="shared" ref="AC41" si="47">AE41+AF41</f>
        <v>9.2761529064683099</v>
      </c>
      <c r="AD41" s="903"/>
      <c r="AE41" s="610">
        <f>'Efficient Products Deemed Table'!DI408</f>
        <v>9.2761529064683099</v>
      </c>
      <c r="AF41" s="208"/>
      <c r="AG41" s="208"/>
      <c r="AH41" s="208"/>
      <c r="AI41" s="904" t="str">
        <f>'Efficient Products Deemed Table'!L408</f>
        <v>per measure</v>
      </c>
      <c r="AJ41" s="789"/>
      <c r="AK41"/>
      <c r="AL41"/>
      <c r="AM41"/>
      <c r="AN41"/>
      <c r="AO41"/>
      <c r="AP41"/>
      <c r="AQ41"/>
      <c r="AR41"/>
      <c r="AS41"/>
      <c r="AT41"/>
      <c r="AU41"/>
      <c r="AV41"/>
      <c r="AW41"/>
      <c r="AX41" s="1355" t="str">
        <f t="shared" ref="AX41" si="48">G41</f>
        <v>LED Nightlights</v>
      </c>
      <c r="AY41" s="1378"/>
      <c r="AZ41" s="1446" t="str">
        <f t="shared" ref="AZ41" si="49">A41</f>
        <v>251530</v>
      </c>
      <c r="BA41" s="1300" t="s">
        <v>1303</v>
      </c>
      <c r="BB41" s="1300" t="s">
        <v>1303</v>
      </c>
      <c r="BC41" s="1300" t="s">
        <v>1303</v>
      </c>
      <c r="BD41" s="1300" t="s">
        <v>1303</v>
      </c>
      <c r="BE41" s="1306"/>
      <c r="BF41" s="1300" t="s">
        <v>1303</v>
      </c>
      <c r="BG41" s="1300" t="s">
        <v>1303</v>
      </c>
      <c r="BH41" s="1300" t="s">
        <v>1303</v>
      </c>
      <c r="BI41" s="1301" t="s">
        <v>1303</v>
      </c>
      <c r="BJ41" s="1305"/>
      <c r="BK41" s="1300" t="s">
        <v>1303</v>
      </c>
      <c r="BL41" s="1301" t="s">
        <v>1303</v>
      </c>
      <c r="BM41" s="1300" t="s">
        <v>1303</v>
      </c>
      <c r="BN41" s="1301" t="s">
        <v>1303</v>
      </c>
    </row>
    <row r="42" spans="1:66" s="696" customFormat="1">
      <c r="A42" s="2958" t="str">
        <f t="shared" si="0"/>
        <v>300050</v>
      </c>
      <c r="B42" s="2233" t="str">
        <f>'Energy Effic. Kits Deemed Table'!C7</f>
        <v>300050_2024_12_</v>
      </c>
      <c r="C42" s="2724" t="str">
        <f>'Energy Effic. Kits Deemed Table'!G7</f>
        <v>HVAC RES</v>
      </c>
      <c r="D42" s="2724"/>
      <c r="E42" s="2724"/>
      <c r="F42" s="2724"/>
      <c r="G42" s="2724" t="str">
        <f>'Energy Effic. Kits Deemed Table'!E7</f>
        <v>Dirty Filter Alarm_SF</v>
      </c>
      <c r="H42" s="2554" t="str">
        <f>'Energy Effic. Kits Deemed Table'!D7</f>
        <v>IE/PAYS</v>
      </c>
      <c r="I42" s="3840">
        <f>'Energy Effic. Kits Deemed Table'!F7</f>
        <v>35.83</v>
      </c>
      <c r="J42" s="3840">
        <v>0</v>
      </c>
      <c r="K42" s="3871">
        <v>0</v>
      </c>
      <c r="L42" s="3871">
        <v>0</v>
      </c>
      <c r="M42" s="3251">
        <v>0</v>
      </c>
      <c r="N42" s="3251">
        <v>0</v>
      </c>
      <c r="O42" s="3841">
        <f>'Energy Effic. Kits Deemed Table'!K7</f>
        <v>1.67E-2</v>
      </c>
      <c r="P42" s="3841">
        <v>0</v>
      </c>
      <c r="Q42" s="3842">
        <v>0</v>
      </c>
      <c r="R42" s="3842">
        <v>0</v>
      </c>
      <c r="S42" s="3842"/>
      <c r="T42" s="3842"/>
      <c r="U42" s="3843">
        <f t="shared" si="35"/>
        <v>1.67E-2</v>
      </c>
      <c r="V42" s="3843">
        <f t="shared" si="28"/>
        <v>0</v>
      </c>
      <c r="W42" s="3843">
        <f t="shared" si="29"/>
        <v>0</v>
      </c>
      <c r="X42" s="2846">
        <f>'Energy Effic. Kits Deemed Table'!L7</f>
        <v>5</v>
      </c>
      <c r="Y42" s="2846"/>
      <c r="Z42" s="2846">
        <f t="shared" si="4"/>
        <v>5</v>
      </c>
      <c r="AA42" s="2529">
        <f>'Energy Effic. Kits Deemed Table'!DG7</f>
        <v>3.81083459638322</v>
      </c>
      <c r="AB42" s="3844">
        <f>'Energy Effic. Kits Deemed Table'!M7</f>
        <v>5</v>
      </c>
      <c r="AC42" s="3864">
        <f t="shared" si="5"/>
        <v>19.0541729819161</v>
      </c>
      <c r="AD42" s="3864"/>
      <c r="AE42" s="3865">
        <f>'Energy Effic. Kits Deemed Table'!DI7</f>
        <v>19.0541729819161</v>
      </c>
      <c r="AF42" s="3846"/>
      <c r="AG42" s="3846"/>
      <c r="AH42" s="3846"/>
      <c r="AI42" s="3872" t="str">
        <f>'Energy Effic. Kits Deemed Table'!N7</f>
        <v>per measure</v>
      </c>
      <c r="AJ42" s="3251"/>
      <c r="AX42" s="3849" t="str">
        <f t="shared" si="6"/>
        <v>Dirty Filter Alarm_SF</v>
      </c>
      <c r="AY42" s="2724"/>
      <c r="AZ42" s="3850" t="str">
        <f t="shared" si="7"/>
        <v>300050</v>
      </c>
      <c r="BA42" s="3866" t="s">
        <v>1303</v>
      </c>
      <c r="BB42" s="3866" t="s">
        <v>1303</v>
      </c>
      <c r="BC42" s="3866" t="s">
        <v>1303</v>
      </c>
      <c r="BD42" s="3866" t="s">
        <v>1303</v>
      </c>
      <c r="BE42" s="3853"/>
      <c r="BF42" s="3866" t="s">
        <v>1303</v>
      </c>
      <c r="BG42" s="3866" t="s">
        <v>1303</v>
      </c>
      <c r="BH42" s="3866" t="s">
        <v>1303</v>
      </c>
      <c r="BI42" s="3867" t="s">
        <v>1303</v>
      </c>
      <c r="BJ42" s="3853"/>
      <c r="BK42" s="3866" t="s">
        <v>1303</v>
      </c>
      <c r="BL42" s="3867" t="s">
        <v>1303</v>
      </c>
      <c r="BM42" s="3866" t="s">
        <v>1303</v>
      </c>
      <c r="BN42" s="3867" t="s">
        <v>1303</v>
      </c>
    </row>
    <row r="43" spans="1:66" s="696" customFormat="1">
      <c r="A43" s="2958" t="str">
        <f t="shared" si="0"/>
        <v>300051</v>
      </c>
      <c r="B43" s="2233" t="str">
        <f>'Energy Effic. Kits Deemed Table'!C8</f>
        <v>300051_2024_12_</v>
      </c>
      <c r="C43" s="2724" t="str">
        <f>'Energy Effic. Kits Deemed Table'!G8</f>
        <v>HVAC RES</v>
      </c>
      <c r="D43" s="2724"/>
      <c r="E43" s="2724"/>
      <c r="F43" s="2724"/>
      <c r="G43" s="2724" t="str">
        <f>'Energy Effic. Kits Deemed Table'!E8</f>
        <v>Dirty Filter Alarm_SF - IE Kits</v>
      </c>
      <c r="H43" s="2554" t="str">
        <f>'Energy Effic. Kits Deemed Table'!D8</f>
        <v>IE</v>
      </c>
      <c r="I43" s="3840">
        <f>'Energy Effic. Kits Deemed Table'!F8</f>
        <v>65.48</v>
      </c>
      <c r="J43" s="3840">
        <v>0</v>
      </c>
      <c r="K43" s="3871">
        <v>0</v>
      </c>
      <c r="L43" s="3871">
        <v>0</v>
      </c>
      <c r="M43" s="3251">
        <v>0</v>
      </c>
      <c r="N43" s="3251">
        <v>0</v>
      </c>
      <c r="O43" s="3841">
        <f>'Energy Effic. Kits Deemed Table'!K8</f>
        <v>3.0519000000000001E-2</v>
      </c>
      <c r="P43" s="3841">
        <v>0</v>
      </c>
      <c r="Q43" s="3842">
        <v>0</v>
      </c>
      <c r="R43" s="3842">
        <v>0</v>
      </c>
      <c r="S43" s="3842"/>
      <c r="T43" s="3842"/>
      <c r="U43" s="3843">
        <f t="shared" si="35"/>
        <v>3.0519000000000001E-2</v>
      </c>
      <c r="V43" s="3843">
        <f t="shared" si="28"/>
        <v>0</v>
      </c>
      <c r="W43" s="3843">
        <f t="shared" si="29"/>
        <v>0</v>
      </c>
      <c r="X43" s="2846">
        <f>'Energy Effic. Kits Deemed Table'!L8</f>
        <v>5</v>
      </c>
      <c r="Y43" s="2846"/>
      <c r="Z43" s="2846">
        <f t="shared" si="4"/>
        <v>5</v>
      </c>
      <c r="AA43" s="2529">
        <f>'Energy Effic. Kits Deemed Table'!DG8</f>
        <v>6.9643720170575847</v>
      </c>
      <c r="AB43" s="3844">
        <f>'Energy Effic. Kits Deemed Table'!M8</f>
        <v>5</v>
      </c>
      <c r="AC43" s="3864">
        <f t="shared" si="5"/>
        <v>34.821860085287923</v>
      </c>
      <c r="AD43" s="3864"/>
      <c r="AE43" s="3865">
        <f>'Energy Effic. Kits Deemed Table'!DI8</f>
        <v>34.821860085287923</v>
      </c>
      <c r="AF43" s="3846"/>
      <c r="AG43" s="3846"/>
      <c r="AH43" s="3846"/>
      <c r="AI43" s="3872" t="str">
        <f>'Energy Effic. Kits Deemed Table'!N8</f>
        <v>per measure</v>
      </c>
      <c r="AJ43" s="3251"/>
      <c r="AX43" s="3849" t="str">
        <f t="shared" si="6"/>
        <v>Dirty Filter Alarm_SF - IE Kits</v>
      </c>
      <c r="AY43" s="2724"/>
      <c r="AZ43" s="3850" t="str">
        <f t="shared" si="7"/>
        <v>300051</v>
      </c>
      <c r="BA43" s="3866" t="s">
        <v>1303</v>
      </c>
      <c r="BB43" s="3866" t="s">
        <v>1303</v>
      </c>
      <c r="BC43" s="3866" t="s">
        <v>1303</v>
      </c>
      <c r="BD43" s="3866" t="s">
        <v>1303</v>
      </c>
      <c r="BE43" s="3853"/>
      <c r="BF43" s="3866" t="s">
        <v>1303</v>
      </c>
      <c r="BG43" s="3866" t="s">
        <v>1303</v>
      </c>
      <c r="BH43" s="3866" t="s">
        <v>1303</v>
      </c>
      <c r="BI43" s="3867" t="s">
        <v>1303</v>
      </c>
      <c r="BJ43" s="3853"/>
      <c r="BK43" s="3866" t="s">
        <v>1303</v>
      </c>
      <c r="BL43" s="3867" t="s">
        <v>1303</v>
      </c>
      <c r="BM43" s="3866" t="s">
        <v>1303</v>
      </c>
      <c r="BN43" s="3867" t="s">
        <v>1303</v>
      </c>
    </row>
    <row r="44" spans="1:66">
      <c r="A44" s="51" t="str">
        <f t="shared" si="0"/>
        <v>300100</v>
      </c>
      <c r="B44" s="1442" t="str">
        <f>'Energy Effic. Kits Deemed Table'!C9</f>
        <v>300100_2024_12_</v>
      </c>
      <c r="C44" s="1378" t="str">
        <f>'Energy Effic. Kits Deemed Table'!G9</f>
        <v>HVAC RES</v>
      </c>
      <c r="D44" s="1378"/>
      <c r="E44" s="1378"/>
      <c r="F44" s="1378"/>
      <c r="G44" s="1378" t="str">
        <f>'Energy Effic. Kits Deemed Table'!E9</f>
        <v>Dirty Filter Alarm_MF</v>
      </c>
      <c r="H44" s="19" t="str">
        <f>'Energy Effic. Kits Deemed Table'!D9</f>
        <v>MFIE</v>
      </c>
      <c r="I44" s="785">
        <f>'Energy Effic. Kits Deemed Table'!F9</f>
        <v>118.25</v>
      </c>
      <c r="J44" s="785">
        <v>0</v>
      </c>
      <c r="K44" s="886">
        <v>0</v>
      </c>
      <c r="L44" s="886">
        <v>0</v>
      </c>
      <c r="M44" s="202">
        <v>0</v>
      </c>
      <c r="N44" s="202">
        <v>0</v>
      </c>
      <c r="O44" s="786">
        <f>'Energy Effic. Kits Deemed Table'!K9</f>
        <v>5.5114000000000003E-2</v>
      </c>
      <c r="P44" s="786">
        <v>0</v>
      </c>
      <c r="Q44" s="787">
        <v>0</v>
      </c>
      <c r="R44" s="787">
        <v>0</v>
      </c>
      <c r="S44" s="787"/>
      <c r="T44" s="787"/>
      <c r="U44" s="788">
        <f t="shared" si="35"/>
        <v>5.5114000000000003E-2</v>
      </c>
      <c r="V44" s="788">
        <f t="shared" si="28"/>
        <v>0</v>
      </c>
      <c r="W44" s="788">
        <f t="shared" si="29"/>
        <v>0</v>
      </c>
      <c r="X44" s="23">
        <f>'Energy Effic. Kits Deemed Table'!L9</f>
        <v>5</v>
      </c>
      <c r="Y44" s="23"/>
      <c r="Z44" s="23">
        <f t="shared" si="4"/>
        <v>5</v>
      </c>
      <c r="AA44" s="18">
        <f>'Energy Effic. Kits Deemed Table'!DG9</f>
        <v>12.576924114493881</v>
      </c>
      <c r="AB44" s="807">
        <f>'Energy Effic. Kits Deemed Table'!M9</f>
        <v>5</v>
      </c>
      <c r="AC44" s="902">
        <f t="shared" si="5"/>
        <v>62.884620572469409</v>
      </c>
      <c r="AD44" s="902"/>
      <c r="AE44" s="610">
        <f>'Energy Effic. Kits Deemed Table'!DI9</f>
        <v>62.884620572469409</v>
      </c>
      <c r="AF44" s="208"/>
      <c r="AG44" s="208"/>
      <c r="AH44" s="208"/>
      <c r="AI44" s="1442" t="str">
        <f>'Energy Effic. Kits Deemed Table'!N9</f>
        <v>per measure</v>
      </c>
      <c r="AJ44" s="789"/>
      <c r="AX44" s="1355" t="str">
        <f t="shared" si="6"/>
        <v>Dirty Filter Alarm_MF</v>
      </c>
      <c r="AY44" s="1378"/>
      <c r="AZ44" s="1446" t="str">
        <f t="shared" si="7"/>
        <v>300100</v>
      </c>
      <c r="BA44" s="1300" t="s">
        <v>1303</v>
      </c>
      <c r="BB44" s="1300" t="s">
        <v>1303</v>
      </c>
      <c r="BC44" s="1300" t="s">
        <v>1303</v>
      </c>
      <c r="BD44" s="1300" t="s">
        <v>1303</v>
      </c>
      <c r="BE44" s="1305"/>
      <c r="BF44" s="1300" t="s">
        <v>1303</v>
      </c>
      <c r="BG44" s="1300" t="s">
        <v>1303</v>
      </c>
      <c r="BH44" s="1300" t="s">
        <v>1303</v>
      </c>
      <c r="BI44" s="1301" t="s">
        <v>1303</v>
      </c>
      <c r="BJ44" s="1305"/>
      <c r="BK44" s="1300" t="s">
        <v>1303</v>
      </c>
      <c r="BL44" s="1301" t="s">
        <v>1303</v>
      </c>
      <c r="BM44" s="1300" t="s">
        <v>1303</v>
      </c>
      <c r="BN44" s="1301" t="s">
        <v>1303</v>
      </c>
    </row>
    <row r="45" spans="1:66" s="696" customFormat="1">
      <c r="A45" s="2958" t="str">
        <f t="shared" si="0"/>
        <v>300101</v>
      </c>
      <c r="B45" s="2233" t="str">
        <f>'Energy Effic. Kits Deemed Table'!C10</f>
        <v>300101_2024_12_</v>
      </c>
      <c r="C45" s="2724" t="str">
        <f>'Energy Effic. Kits Deemed Table'!G10</f>
        <v>HVAC RES</v>
      </c>
      <c r="D45" s="2724"/>
      <c r="E45" s="2724"/>
      <c r="F45" s="2724"/>
      <c r="G45" s="2724" t="str">
        <f>'Energy Effic. Kits Deemed Table'!E10</f>
        <v>Dirty Filter Alarm_MF_CompE</v>
      </c>
      <c r="H45" s="2554" t="str">
        <f>'Energy Effic. Kits Deemed Table'!D10</f>
        <v>IE/PAYS</v>
      </c>
      <c r="I45" s="3840">
        <f>'Energy Effic. Kits Deemed Table'!F10</f>
        <v>57.1</v>
      </c>
      <c r="J45" s="3840">
        <v>0</v>
      </c>
      <c r="K45" s="3871">
        <v>0</v>
      </c>
      <c r="L45" s="3871">
        <v>0</v>
      </c>
      <c r="M45" s="3251">
        <v>0</v>
      </c>
      <c r="N45" s="3251">
        <v>0</v>
      </c>
      <c r="O45" s="3841">
        <f>'Energy Effic. Kits Deemed Table'!K10</f>
        <v>2.6613000000000001E-2</v>
      </c>
      <c r="P45" s="3841">
        <v>0</v>
      </c>
      <c r="Q45" s="3842">
        <v>0</v>
      </c>
      <c r="R45" s="3842">
        <v>0</v>
      </c>
      <c r="S45" s="3842"/>
      <c r="T45" s="3842"/>
      <c r="U45" s="3843">
        <f t="shared" si="35"/>
        <v>2.6613000000000001E-2</v>
      </c>
      <c r="V45" s="3843">
        <f t="shared" si="28"/>
        <v>0</v>
      </c>
      <c r="W45" s="3843">
        <f t="shared" si="29"/>
        <v>0</v>
      </c>
      <c r="X45" s="2846">
        <f>'Energy Effic. Kits Deemed Table'!L10</f>
        <v>5</v>
      </c>
      <c r="Y45" s="2846"/>
      <c r="Z45" s="2846">
        <f t="shared" si="4"/>
        <v>5</v>
      </c>
      <c r="AA45" s="2529">
        <f>'Energy Effic. Kits Deemed Table'!DG10</f>
        <v>6.0730855554976806</v>
      </c>
      <c r="AB45" s="3844">
        <f>'Energy Effic. Kits Deemed Table'!M10</f>
        <v>5</v>
      </c>
      <c r="AC45" s="3864">
        <f t="shared" si="5"/>
        <v>30.365427777488403</v>
      </c>
      <c r="AD45" s="3864"/>
      <c r="AE45" s="3865">
        <f>'Energy Effic. Kits Deemed Table'!DI10</f>
        <v>30.365427777488403</v>
      </c>
      <c r="AF45" s="3846"/>
      <c r="AG45" s="3846"/>
      <c r="AH45" s="3846"/>
      <c r="AI45" s="2233" t="str">
        <f>'Energy Effic. Kits Deemed Table'!N10</f>
        <v>per measure</v>
      </c>
      <c r="AJ45" s="3251"/>
      <c r="AX45" s="3849" t="str">
        <f t="shared" si="6"/>
        <v>Dirty Filter Alarm_MF_CompE</v>
      </c>
      <c r="AY45" s="2724"/>
      <c r="AZ45" s="3850" t="str">
        <f t="shared" si="7"/>
        <v>300101</v>
      </c>
      <c r="BA45" s="3866" t="s">
        <v>1303</v>
      </c>
      <c r="BB45" s="3866" t="s">
        <v>1303</v>
      </c>
      <c r="BC45" s="3866" t="s">
        <v>1303</v>
      </c>
      <c r="BD45" s="3866" t="s">
        <v>1303</v>
      </c>
      <c r="BE45" s="3853"/>
      <c r="BF45" s="3866" t="s">
        <v>1303</v>
      </c>
      <c r="BG45" s="3866" t="s">
        <v>1303</v>
      </c>
      <c r="BH45" s="3866" t="s">
        <v>1303</v>
      </c>
      <c r="BI45" s="3867" t="s">
        <v>1303</v>
      </c>
      <c r="BJ45" s="3853"/>
      <c r="BK45" s="3866" t="s">
        <v>1303</v>
      </c>
      <c r="BL45" s="3867" t="s">
        <v>1303</v>
      </c>
      <c r="BM45" s="3866" t="s">
        <v>1303</v>
      </c>
      <c r="BN45" s="3867" t="s">
        <v>1303</v>
      </c>
    </row>
    <row r="46" spans="1:66" s="696" customFormat="1">
      <c r="A46" s="2958" t="str">
        <f t="shared" ref="A46:A99" si="50">LEFT(B46,6)</f>
        <v>300430</v>
      </c>
      <c r="B46" s="2233" t="str">
        <f>'Energy Effic. Kits Deemed Table'!C42</f>
        <v>300430_2024_12_</v>
      </c>
      <c r="C46" s="2724" t="str">
        <f>'Energy Effic. Kits Deemed Table'!G42</f>
        <v>Lighting RES</v>
      </c>
      <c r="D46" s="2724"/>
      <c r="E46" s="2724"/>
      <c r="F46" s="2724"/>
      <c r="G46" s="2724" t="str">
        <f>'Energy Effic. Kits Deemed Table'!E42</f>
        <v>LED Nightlights</v>
      </c>
      <c r="H46" s="2554" t="str">
        <f>'Energy Effic. Kits Deemed Table'!D42</f>
        <v>IE</v>
      </c>
      <c r="I46" s="3840">
        <f>'Energy Effic. Kits Deemed Table'!F42</f>
        <v>26.15</v>
      </c>
      <c r="J46" s="3840">
        <v>0</v>
      </c>
      <c r="K46" s="3251">
        <v>0</v>
      </c>
      <c r="L46" s="3251">
        <v>0</v>
      </c>
      <c r="M46" s="3251">
        <v>0</v>
      </c>
      <c r="N46" s="3251">
        <v>0</v>
      </c>
      <c r="O46" s="3841">
        <f>'Energy Effic. Kits Deemed Table'!I42</f>
        <v>3.9029999999999998E-3</v>
      </c>
      <c r="P46" s="3841">
        <v>0</v>
      </c>
      <c r="Q46" s="3842">
        <v>0</v>
      </c>
      <c r="R46" s="3842">
        <v>0</v>
      </c>
      <c r="S46" s="3842"/>
      <c r="T46" s="3842"/>
      <c r="U46" s="3843">
        <f t="shared" si="35"/>
        <v>0</v>
      </c>
      <c r="V46" s="3843">
        <f t="shared" si="28"/>
        <v>0</v>
      </c>
      <c r="W46" s="3843">
        <f t="shared" si="29"/>
        <v>3.9029999999999998E-3</v>
      </c>
      <c r="X46" s="2846">
        <f>'Energy Effic. Kits Deemed Table'!J42</f>
        <v>20</v>
      </c>
      <c r="Y46" s="2846"/>
      <c r="Z46" s="2846">
        <f t="shared" ref="Z46:Z99" si="51">Y46+X46</f>
        <v>20</v>
      </c>
      <c r="AA46" s="2529">
        <f>'Energy Effic. Kits Deemed Table'!DG42</f>
        <v>5.9073576615594581</v>
      </c>
      <c r="AB46" s="3844">
        <f>'Energy Effic. Kits Deemed Table'!K42</f>
        <v>3.35</v>
      </c>
      <c r="AC46" s="3864">
        <f t="shared" ref="AC46:AC99" si="52">AE46+AF46</f>
        <v>19.789648166224186</v>
      </c>
      <c r="AD46" s="3864"/>
      <c r="AE46" s="3865">
        <f>'Energy Effic. Kits Deemed Table'!DI42</f>
        <v>19.789648166224186</v>
      </c>
      <c r="AF46" s="3846"/>
      <c r="AG46" s="3846"/>
      <c r="AH46" s="3846"/>
      <c r="AI46" s="2233" t="str">
        <f>'Energy Effic. Kits Deemed Table'!L42</f>
        <v>per measure</v>
      </c>
      <c r="AJ46" s="3251"/>
      <c r="AX46" s="3849" t="str">
        <f t="shared" ref="AX46:AX100" si="53">G46</f>
        <v>LED Nightlights</v>
      </c>
      <c r="AY46" s="2724"/>
      <c r="AZ46" s="3850" t="str">
        <f t="shared" ref="AZ46:AZ100" si="54">A46</f>
        <v>300430</v>
      </c>
      <c r="BA46" s="3866" t="s">
        <v>1303</v>
      </c>
      <c r="BB46" s="3866" t="s">
        <v>1303</v>
      </c>
      <c r="BC46" s="3866" t="s">
        <v>1303</v>
      </c>
      <c r="BD46" s="3866" t="s">
        <v>1303</v>
      </c>
      <c r="BE46" s="3853"/>
      <c r="BF46" s="3866" t="s">
        <v>1303</v>
      </c>
      <c r="BG46" s="3866" t="s">
        <v>1303</v>
      </c>
      <c r="BH46" s="3866" t="s">
        <v>1303</v>
      </c>
      <c r="BI46" s="3867" t="s">
        <v>1303</v>
      </c>
      <c r="BJ46" s="3853"/>
      <c r="BK46" s="3866" t="s">
        <v>1303</v>
      </c>
      <c r="BL46" s="3867" t="s">
        <v>1303</v>
      </c>
      <c r="BM46" s="3866" t="s">
        <v>1303</v>
      </c>
      <c r="BN46" s="3867" t="s">
        <v>1303</v>
      </c>
    </row>
    <row r="47" spans="1:66">
      <c r="A47" s="51" t="str">
        <f t="shared" ref="A47:A51" si="55">LEFT(B47,6)</f>
        <v>300431</v>
      </c>
      <c r="B47" s="1442" t="str">
        <f>'Energy Effic. Kits Deemed Table'!C43</f>
        <v>300431_2024_12_</v>
      </c>
      <c r="C47" s="1378" t="str">
        <f>'Energy Effic. Kits Deemed Table'!G43</f>
        <v>Lighting RES</v>
      </c>
      <c r="D47" s="1378"/>
      <c r="E47" s="1378"/>
      <c r="F47" s="1378"/>
      <c r="G47" s="1378" t="str">
        <f>'Energy Effic. Kits Deemed Table'!E43</f>
        <v>LED - 10W (750-899 lumens) IE</v>
      </c>
      <c r="H47" s="19" t="str">
        <f>'Energy Effic. Kits Deemed Table'!D43</f>
        <v>SFIE</v>
      </c>
      <c r="I47" s="785">
        <f>'Energy Effic. Kits Deemed Table'!F43</f>
        <v>30.06</v>
      </c>
      <c r="J47" s="785">
        <v>0</v>
      </c>
      <c r="K47" s="202">
        <v>0</v>
      </c>
      <c r="L47" s="202">
        <v>0</v>
      </c>
      <c r="M47" s="202">
        <v>0</v>
      </c>
      <c r="N47" s="202">
        <v>0</v>
      </c>
      <c r="O47" s="786">
        <f>'Energy Effic. Kits Deemed Table'!I43</f>
        <v>4.4869999999999997E-3</v>
      </c>
      <c r="P47" s="786">
        <v>0</v>
      </c>
      <c r="Q47" s="787">
        <v>0</v>
      </c>
      <c r="R47" s="787">
        <v>0</v>
      </c>
      <c r="S47" s="787"/>
      <c r="T47" s="787"/>
      <c r="U47" s="788">
        <f t="shared" si="35"/>
        <v>4.4869999999999997E-3</v>
      </c>
      <c r="V47" s="788">
        <f t="shared" si="28"/>
        <v>0</v>
      </c>
      <c r="W47" s="788">
        <f t="shared" si="29"/>
        <v>0</v>
      </c>
      <c r="X47" s="23">
        <f>'Energy Effic. Kits Deemed Table'!J43</f>
        <v>8</v>
      </c>
      <c r="Y47" s="23"/>
      <c r="Z47" s="23">
        <f t="shared" ref="Z47:Z51" si="56">Y47+X47</f>
        <v>8</v>
      </c>
      <c r="AA47" s="18">
        <f>'Energy Effic. Kits Deemed Table'!DG43</f>
        <v>8.274709370539421</v>
      </c>
      <c r="AB47" s="807">
        <f>'Energy Effic. Kits Deemed Table'!K43</f>
        <v>1.45</v>
      </c>
      <c r="AC47" s="902">
        <f t="shared" ref="AC47:AC51" si="57">AE47+AF47</f>
        <v>11.99832858728216</v>
      </c>
      <c r="AD47" s="902"/>
      <c r="AE47" s="610">
        <f>'Energy Effic. Kits Deemed Table'!DI43</f>
        <v>11.99832858728216</v>
      </c>
      <c r="AF47" s="208"/>
      <c r="AG47" s="208"/>
      <c r="AH47" s="208"/>
      <c r="AI47" s="1442" t="str">
        <f>'Energy Effic. Kits Deemed Table'!L43</f>
        <v>per measure</v>
      </c>
      <c r="AJ47" s="789"/>
      <c r="AK47" s="41"/>
      <c r="AL47" s="41"/>
      <c r="AX47" s="1355" t="str">
        <f t="shared" ref="AX47:AX51" si="58">G47</f>
        <v>LED - 10W (750-899 lumens) IE</v>
      </c>
      <c r="AY47" s="1378"/>
      <c r="AZ47" s="1446" t="str">
        <f t="shared" ref="AZ47:AZ51" si="59">A47</f>
        <v>300431</v>
      </c>
      <c r="BA47" s="1300" t="s">
        <v>1303</v>
      </c>
      <c r="BB47" s="1300" t="s">
        <v>1303</v>
      </c>
      <c r="BC47" s="1300" t="s">
        <v>1303</v>
      </c>
      <c r="BD47" s="1300" t="s">
        <v>1303</v>
      </c>
      <c r="BE47" s="1305"/>
      <c r="BF47" s="1300" t="s">
        <v>1303</v>
      </c>
      <c r="BG47" s="1300" t="s">
        <v>1303</v>
      </c>
      <c r="BH47" s="1300" t="s">
        <v>1303</v>
      </c>
      <c r="BI47" s="1301" t="s">
        <v>1303</v>
      </c>
      <c r="BJ47" s="1305"/>
      <c r="BK47" s="1300" t="s">
        <v>1303</v>
      </c>
      <c r="BL47" s="1301" t="s">
        <v>1303</v>
      </c>
      <c r="BM47" s="1300" t="s">
        <v>1303</v>
      </c>
      <c r="BN47" s="1301" t="s">
        <v>1303</v>
      </c>
    </row>
    <row r="48" spans="1:66" s="696" customFormat="1">
      <c r="A48" s="2958" t="str">
        <f t="shared" si="55"/>
        <v>300432</v>
      </c>
      <c r="B48" s="2233" t="str">
        <f>'Energy Effic. Kits Deemed Table'!C44</f>
        <v>300432_2024_12_</v>
      </c>
      <c r="C48" s="2724" t="str">
        <f>'Energy Effic. Kits Deemed Table'!G44</f>
        <v>Lighting RES</v>
      </c>
      <c r="D48" s="2724"/>
      <c r="E48" s="2724"/>
      <c r="F48" s="2724"/>
      <c r="G48" s="2724" t="str">
        <f>'Energy Effic. Kits Deemed Table'!E44</f>
        <v>LED - 15W (900-1399 lumens) IE</v>
      </c>
      <c r="H48" s="2554" t="str">
        <f>'Energy Effic. Kits Deemed Table'!D44</f>
        <v>IE</v>
      </c>
      <c r="I48" s="3840">
        <f>'Energy Effic. Kits Deemed Table'!F44</f>
        <v>37.6</v>
      </c>
      <c r="J48" s="3840">
        <v>0</v>
      </c>
      <c r="K48" s="3251">
        <v>0</v>
      </c>
      <c r="L48" s="3251">
        <v>0</v>
      </c>
      <c r="M48" s="3251">
        <v>0</v>
      </c>
      <c r="N48" s="3251">
        <v>0</v>
      </c>
      <c r="O48" s="3841">
        <f>'Energy Effic. Kits Deemed Table'!I44</f>
        <v>5.6119999999999998E-3</v>
      </c>
      <c r="P48" s="3841">
        <v>0</v>
      </c>
      <c r="Q48" s="3842">
        <v>0</v>
      </c>
      <c r="R48" s="3842">
        <v>0</v>
      </c>
      <c r="S48" s="3842"/>
      <c r="T48" s="3842"/>
      <c r="U48" s="3843">
        <f t="shared" si="35"/>
        <v>5.6119999999999998E-3</v>
      </c>
      <c r="V48" s="3843">
        <f t="shared" si="28"/>
        <v>0</v>
      </c>
      <c r="W48" s="3843">
        <f t="shared" si="29"/>
        <v>0</v>
      </c>
      <c r="X48" s="2846">
        <f>'Energy Effic. Kits Deemed Table'!J44</f>
        <v>8</v>
      </c>
      <c r="Y48" s="2846"/>
      <c r="Z48" s="2846">
        <f t="shared" si="56"/>
        <v>8</v>
      </c>
      <c r="AA48" s="2529">
        <f>'Energy Effic. Kits Deemed Table'!DG44</f>
        <v>10.350268540661418</v>
      </c>
      <c r="AB48" s="3844">
        <f>'Energy Effic. Kits Deemed Table'!K44</f>
        <v>1.45</v>
      </c>
      <c r="AC48" s="3864">
        <f t="shared" si="57"/>
        <v>15.007889383959055</v>
      </c>
      <c r="AD48" s="3864"/>
      <c r="AE48" s="3865">
        <f>'Energy Effic. Kits Deemed Table'!DI44</f>
        <v>15.007889383959055</v>
      </c>
      <c r="AF48" s="3846"/>
      <c r="AG48" s="3846"/>
      <c r="AH48" s="3846"/>
      <c r="AI48" s="2233" t="str">
        <f>'Energy Effic. Kits Deemed Table'!L44</f>
        <v>per measure</v>
      </c>
      <c r="AJ48" s="3251"/>
      <c r="AX48" s="3849" t="str">
        <f t="shared" si="58"/>
        <v>LED - 15W (900-1399 lumens) IE</v>
      </c>
      <c r="AY48" s="2724"/>
      <c r="AZ48" s="3850" t="str">
        <f t="shared" si="59"/>
        <v>300432</v>
      </c>
      <c r="BA48" s="3866" t="s">
        <v>1303</v>
      </c>
      <c r="BB48" s="3866" t="s">
        <v>1303</v>
      </c>
      <c r="BC48" s="3866" t="s">
        <v>1303</v>
      </c>
      <c r="BD48" s="3866" t="s">
        <v>1303</v>
      </c>
      <c r="BE48" s="3853"/>
      <c r="BF48" s="3866" t="s">
        <v>1303</v>
      </c>
      <c r="BG48" s="3866" t="s">
        <v>1303</v>
      </c>
      <c r="BH48" s="3866" t="s">
        <v>1303</v>
      </c>
      <c r="BI48" s="3867" t="s">
        <v>1303</v>
      </c>
      <c r="BJ48" s="3853"/>
      <c r="BK48" s="3866" t="s">
        <v>1303</v>
      </c>
      <c r="BL48" s="3867" t="s">
        <v>1303</v>
      </c>
      <c r="BM48" s="3866" t="s">
        <v>1303</v>
      </c>
      <c r="BN48" s="3867" t="s">
        <v>1303</v>
      </c>
    </row>
    <row r="49" spans="1:66" s="696" customFormat="1">
      <c r="A49" s="2958" t="str">
        <f t="shared" si="55"/>
        <v>300433</v>
      </c>
      <c r="B49" s="2233" t="str">
        <f>'Energy Effic. Kits Deemed Table'!C45</f>
        <v>300433_2024_12_</v>
      </c>
      <c r="C49" s="2724" t="str">
        <f>'Energy Effic. Kits Deemed Table'!G45</f>
        <v>Lighting RES</v>
      </c>
      <c r="D49" s="2724"/>
      <c r="E49" s="2724"/>
      <c r="F49" s="2724"/>
      <c r="G49" s="2724" t="str">
        <f>'Energy Effic. Kits Deemed Table'!E45</f>
        <v>LED Nightlights</v>
      </c>
      <c r="H49" s="2554" t="str">
        <f>'Energy Effic. Kits Deemed Table'!D45</f>
        <v>IE/PAYS</v>
      </c>
      <c r="I49" s="3840">
        <f>'Energy Effic. Kits Deemed Table'!F45</f>
        <v>19.239999999999998</v>
      </c>
      <c r="J49" s="3840">
        <v>0</v>
      </c>
      <c r="K49" s="3251">
        <v>0</v>
      </c>
      <c r="L49" s="3251">
        <v>0</v>
      </c>
      <c r="M49" s="3251">
        <v>0</v>
      </c>
      <c r="N49" s="3251">
        <v>0</v>
      </c>
      <c r="O49" s="3841">
        <f>'Energy Effic. Kits Deemed Table'!I45</f>
        <v>2.872E-3</v>
      </c>
      <c r="P49" s="3841">
        <v>0</v>
      </c>
      <c r="Q49" s="3842">
        <v>0</v>
      </c>
      <c r="R49" s="3842">
        <v>0</v>
      </c>
      <c r="S49" s="3842"/>
      <c r="T49" s="3842"/>
      <c r="U49" s="3843">
        <f t="shared" si="35"/>
        <v>2.872E-3</v>
      </c>
      <c r="V49" s="3843">
        <f t="shared" si="28"/>
        <v>0</v>
      </c>
      <c r="W49" s="3843">
        <f t="shared" si="29"/>
        <v>0</v>
      </c>
      <c r="X49" s="2846">
        <f>'Energy Effic. Kits Deemed Table'!J45</f>
        <v>8</v>
      </c>
      <c r="Y49" s="2846"/>
      <c r="Z49" s="2846">
        <f t="shared" si="56"/>
        <v>8</v>
      </c>
      <c r="AA49" s="2529">
        <f>'Energy Effic. Kits Deemed Table'!DG45</f>
        <v>2.2924086356571309</v>
      </c>
      <c r="AB49" s="3844">
        <f>'Energy Effic. Kits Deemed Table'!K45</f>
        <v>3.35</v>
      </c>
      <c r="AC49" s="3864">
        <f t="shared" si="57"/>
        <v>7.6795689294513885</v>
      </c>
      <c r="AD49" s="3864"/>
      <c r="AE49" s="3865">
        <f>'Energy Effic. Kits Deemed Table'!DI45</f>
        <v>7.6795689294513885</v>
      </c>
      <c r="AF49" s="3846"/>
      <c r="AG49" s="3846"/>
      <c r="AH49" s="3846"/>
      <c r="AI49" s="2233" t="str">
        <f>'Energy Effic. Kits Deemed Table'!L45</f>
        <v>per measure</v>
      </c>
      <c r="AJ49" s="3251"/>
      <c r="AX49" s="3849" t="str">
        <f t="shared" si="58"/>
        <v>LED Nightlights</v>
      </c>
      <c r="AY49" s="2724"/>
      <c r="AZ49" s="3850" t="str">
        <f t="shared" si="59"/>
        <v>300433</v>
      </c>
      <c r="BA49" s="3866" t="s">
        <v>1303</v>
      </c>
      <c r="BB49" s="3866" t="s">
        <v>1303</v>
      </c>
      <c r="BC49" s="3866" t="s">
        <v>1303</v>
      </c>
      <c r="BD49" s="3866" t="s">
        <v>1303</v>
      </c>
      <c r="BE49" s="3853"/>
      <c r="BF49" s="3866" t="s">
        <v>1303</v>
      </c>
      <c r="BG49" s="3866" t="s">
        <v>1303</v>
      </c>
      <c r="BH49" s="3866" t="s">
        <v>1303</v>
      </c>
      <c r="BI49" s="3867" t="s">
        <v>1303</v>
      </c>
      <c r="BJ49" s="3853"/>
      <c r="BK49" s="3866" t="s">
        <v>1303</v>
      </c>
      <c r="BL49" s="3867" t="s">
        <v>1303</v>
      </c>
      <c r="BM49" s="3866" t="s">
        <v>1303</v>
      </c>
      <c r="BN49" s="3867" t="s">
        <v>1303</v>
      </c>
    </row>
    <row r="50" spans="1:66" s="696" customFormat="1">
      <c r="A50" s="2958" t="str">
        <f t="shared" si="55"/>
        <v>300434</v>
      </c>
      <c r="B50" s="2233" t="str">
        <f>'Energy Effic. Kits Deemed Table'!C46</f>
        <v>300434_2024_12_</v>
      </c>
      <c r="C50" s="2724" t="str">
        <f>'Energy Effic. Kits Deemed Table'!G46</f>
        <v>Lighting RES</v>
      </c>
      <c r="D50" s="2724"/>
      <c r="E50" s="2724"/>
      <c r="F50" s="2724"/>
      <c r="G50" s="2724" t="str">
        <f>'Energy Effic. Kits Deemed Table'!E46</f>
        <v>LED A19 800 Lumens 6W</v>
      </c>
      <c r="H50" s="2554" t="str">
        <f>'Energy Effic. Kits Deemed Table'!D46</f>
        <v>IE</v>
      </c>
      <c r="I50" s="3840">
        <f>'Energy Effic. Kits Deemed Table'!F46</f>
        <v>3.19</v>
      </c>
      <c r="J50" s="3840">
        <v>0</v>
      </c>
      <c r="K50" s="3251">
        <v>0</v>
      </c>
      <c r="L50" s="3251">
        <v>0</v>
      </c>
      <c r="M50" s="3251">
        <v>0</v>
      </c>
      <c r="N50" s="3251">
        <v>0</v>
      </c>
      <c r="O50" s="3841">
        <f>'Energy Effic. Kits Deemed Table'!I46</f>
        <v>4.7600000000000002E-4</v>
      </c>
      <c r="P50" s="3841">
        <v>0</v>
      </c>
      <c r="Q50" s="3842">
        <v>0</v>
      </c>
      <c r="R50" s="3842">
        <v>0</v>
      </c>
      <c r="S50" s="3842"/>
      <c r="T50" s="3842"/>
      <c r="U50" s="3843">
        <f t="shared" si="35"/>
        <v>0</v>
      </c>
      <c r="V50" s="3843">
        <f t="shared" si="28"/>
        <v>0</v>
      </c>
      <c r="W50" s="3843">
        <f t="shared" si="29"/>
        <v>4.7600000000000002E-4</v>
      </c>
      <c r="X50" s="2846">
        <f>'Energy Effic. Kits Deemed Table'!J46</f>
        <v>20</v>
      </c>
      <c r="Y50" s="2846"/>
      <c r="Z50" s="2846">
        <f t="shared" si="56"/>
        <v>20</v>
      </c>
      <c r="AA50" s="2529">
        <f>'Energy Effic. Kits Deemed Table'!DG46</f>
        <v>2.4141100439868128</v>
      </c>
      <c r="AB50" s="3844">
        <f>'Energy Effic. Kits Deemed Table'!K46</f>
        <v>1</v>
      </c>
      <c r="AC50" s="3864">
        <f t="shared" si="57"/>
        <v>2.4141100439868128</v>
      </c>
      <c r="AD50" s="3864"/>
      <c r="AE50" s="3865">
        <f>'Energy Effic. Kits Deemed Table'!DI46</f>
        <v>2.4141100439868128</v>
      </c>
      <c r="AF50" s="3846"/>
      <c r="AG50" s="3846"/>
      <c r="AH50" s="3846"/>
      <c r="AI50" s="2233" t="str">
        <f>'Energy Effic. Kits Deemed Table'!L46</f>
        <v>per measure</v>
      </c>
      <c r="AJ50" s="3251"/>
      <c r="AX50" s="3849" t="str">
        <f t="shared" si="58"/>
        <v>LED A19 800 Lumens 6W</v>
      </c>
      <c r="AY50" s="2724"/>
      <c r="AZ50" s="3850" t="str">
        <f t="shared" si="59"/>
        <v>300434</v>
      </c>
      <c r="BA50" s="3866" t="s">
        <v>1303</v>
      </c>
      <c r="BB50" s="3866" t="s">
        <v>1303</v>
      </c>
      <c r="BC50" s="3866" t="s">
        <v>1303</v>
      </c>
      <c r="BD50" s="3866" t="s">
        <v>1303</v>
      </c>
      <c r="BE50" s="3853"/>
      <c r="BF50" s="3866" t="s">
        <v>1303</v>
      </c>
      <c r="BG50" s="3866" t="s">
        <v>1303</v>
      </c>
      <c r="BH50" s="3866" t="s">
        <v>1303</v>
      </c>
      <c r="BI50" s="3867" t="s">
        <v>1303</v>
      </c>
      <c r="BJ50" s="3853"/>
      <c r="BK50" s="3866" t="s">
        <v>1303</v>
      </c>
      <c r="BL50" s="3867" t="s">
        <v>1303</v>
      </c>
      <c r="BM50" s="3866" t="s">
        <v>1303</v>
      </c>
      <c r="BN50" s="3867" t="s">
        <v>1303</v>
      </c>
    </row>
    <row r="51" spans="1:66" s="696" customFormat="1">
      <c r="A51" s="2958" t="str">
        <f t="shared" si="55"/>
        <v>300435</v>
      </c>
      <c r="B51" s="2233" t="str">
        <f>'Energy Effic. Kits Deemed Table'!C47</f>
        <v>300435_2024_12_</v>
      </c>
      <c r="C51" s="2724" t="str">
        <f>'Energy Effic. Kits Deemed Table'!G47</f>
        <v>Lighting RES</v>
      </c>
      <c r="D51" s="2724"/>
      <c r="E51" s="2724"/>
      <c r="F51" s="2724"/>
      <c r="G51" s="2724" t="str">
        <f>'Energy Effic. Kits Deemed Table'!E47</f>
        <v>LED A19 800 Lumens 6W</v>
      </c>
      <c r="H51" s="2554" t="str">
        <f>'Energy Effic. Kits Deemed Table'!D47</f>
        <v>IE/PAYS</v>
      </c>
      <c r="I51" s="3840">
        <f>'Energy Effic. Kits Deemed Table'!F47</f>
        <v>2.35</v>
      </c>
      <c r="J51" s="3840">
        <v>0</v>
      </c>
      <c r="K51" s="3251">
        <v>0</v>
      </c>
      <c r="L51" s="3251">
        <v>0</v>
      </c>
      <c r="M51" s="3251">
        <v>0</v>
      </c>
      <c r="N51" s="3251">
        <v>0</v>
      </c>
      <c r="O51" s="3841">
        <f>'Energy Effic. Kits Deemed Table'!I47</f>
        <v>3.5100000000000002E-4</v>
      </c>
      <c r="P51" s="3841">
        <v>0</v>
      </c>
      <c r="Q51" s="3842">
        <v>0</v>
      </c>
      <c r="R51" s="3842">
        <v>0</v>
      </c>
      <c r="S51" s="3842"/>
      <c r="T51" s="3842"/>
      <c r="U51" s="3843">
        <f t="shared" si="35"/>
        <v>0</v>
      </c>
      <c r="V51" s="3843">
        <f t="shared" si="28"/>
        <v>0</v>
      </c>
      <c r="W51" s="3843">
        <f t="shared" si="29"/>
        <v>3.5100000000000002E-4</v>
      </c>
      <c r="X51" s="2846">
        <f>'Energy Effic. Kits Deemed Table'!J47</f>
        <v>20</v>
      </c>
      <c r="Y51" s="2846"/>
      <c r="Z51" s="2846">
        <f t="shared" si="56"/>
        <v>20</v>
      </c>
      <c r="AA51" s="2529">
        <f>'Energy Effic. Kits Deemed Table'!DG47</f>
        <v>1.7784196248805677</v>
      </c>
      <c r="AB51" s="3844">
        <f>'Energy Effic. Kits Deemed Table'!K47</f>
        <v>1</v>
      </c>
      <c r="AC51" s="3864">
        <f t="shared" si="57"/>
        <v>1.7784196248805677</v>
      </c>
      <c r="AD51" s="3864"/>
      <c r="AE51" s="3865">
        <f>'Energy Effic. Kits Deemed Table'!DI47</f>
        <v>1.7784196248805677</v>
      </c>
      <c r="AF51" s="3846"/>
      <c r="AG51" s="3846"/>
      <c r="AH51" s="3846"/>
      <c r="AI51" s="2233" t="str">
        <f>'Energy Effic. Kits Deemed Table'!L47</f>
        <v>per measure</v>
      </c>
      <c r="AJ51" s="3251"/>
      <c r="AX51" s="3849" t="str">
        <f t="shared" si="58"/>
        <v>LED A19 800 Lumens 6W</v>
      </c>
      <c r="AY51" s="2724"/>
      <c r="AZ51" s="3850" t="str">
        <f t="shared" si="59"/>
        <v>300435</v>
      </c>
      <c r="BA51" s="3866" t="s">
        <v>1303</v>
      </c>
      <c r="BB51" s="3866" t="s">
        <v>1303</v>
      </c>
      <c r="BC51" s="3866" t="s">
        <v>1303</v>
      </c>
      <c r="BD51" s="3866" t="s">
        <v>1303</v>
      </c>
      <c r="BE51" s="3853"/>
      <c r="BF51" s="3866" t="s">
        <v>1303</v>
      </c>
      <c r="BG51" s="3866" t="s">
        <v>1303</v>
      </c>
      <c r="BH51" s="3866" t="s">
        <v>1303</v>
      </c>
      <c r="BI51" s="3867" t="s">
        <v>1303</v>
      </c>
      <c r="BJ51" s="3853"/>
      <c r="BK51" s="3866" t="s">
        <v>1303</v>
      </c>
      <c r="BL51" s="3867" t="s">
        <v>1303</v>
      </c>
      <c r="BM51" s="3866" t="s">
        <v>1303</v>
      </c>
      <c r="BN51" s="3867" t="s">
        <v>1303</v>
      </c>
    </row>
    <row r="52" spans="1:66" s="696" customFormat="1">
      <c r="A52" s="2958" t="str">
        <f t="shared" si="50"/>
        <v>300450</v>
      </c>
      <c r="B52" s="2233" t="str">
        <f>'Energy Effic. Kits Deemed Table'!C84</f>
        <v>300450_2024_12_</v>
      </c>
      <c r="C52" s="2724" t="str">
        <f>'Energy Effic. Kits Deemed Table'!G84</f>
        <v>Water Heating RES</v>
      </c>
      <c r="D52" s="2724"/>
      <c r="E52" s="2724"/>
      <c r="F52" s="2724"/>
      <c r="G52" s="2724" t="str">
        <f>'Energy Effic. Kits Deemed Table'!E84</f>
        <v>Kit Faucet Aerator (Kitchen)</v>
      </c>
      <c r="H52" s="2554" t="str">
        <f>'Energy Effic. Kits Deemed Table'!D84</f>
        <v>IE/PAYS</v>
      </c>
      <c r="I52" s="3840">
        <f>'Energy Effic. Kits Deemed Table'!F84</f>
        <v>32.47</v>
      </c>
      <c r="J52" s="3840">
        <v>0</v>
      </c>
      <c r="K52" s="3251">
        <v>0</v>
      </c>
      <c r="L52" s="3251">
        <v>0</v>
      </c>
      <c r="M52" s="3251">
        <v>0</v>
      </c>
      <c r="N52" s="3251">
        <v>0</v>
      </c>
      <c r="O52" s="3841">
        <f>'Energy Effic. Kits Deemed Table'!J84</f>
        <v>2.8809999999999999E-3</v>
      </c>
      <c r="P52" s="3841">
        <v>0</v>
      </c>
      <c r="Q52" s="3842">
        <v>0</v>
      </c>
      <c r="R52" s="3842">
        <v>0</v>
      </c>
      <c r="S52" s="3842"/>
      <c r="T52" s="3842"/>
      <c r="U52" s="3843">
        <f t="shared" si="35"/>
        <v>0</v>
      </c>
      <c r="V52" s="3843">
        <f t="shared" si="28"/>
        <v>2.8809999999999999E-3</v>
      </c>
      <c r="W52" s="3843">
        <f t="shared" si="29"/>
        <v>0</v>
      </c>
      <c r="X52" s="2846">
        <f>'Energy Effic. Kits Deemed Table'!K84</f>
        <v>10</v>
      </c>
      <c r="Y52" s="2846"/>
      <c r="Z52" s="2846">
        <f t="shared" si="51"/>
        <v>10</v>
      </c>
      <c r="AA52" s="2529">
        <f>'Energy Effic. Kits Deemed Table'!DG84</f>
        <v>5.3174483285335183</v>
      </c>
      <c r="AB52" s="3844">
        <f>'Energy Effic. Kits Deemed Table'!L84</f>
        <v>3</v>
      </c>
      <c r="AC52" s="3864">
        <f t="shared" si="52"/>
        <v>15.952344985600554</v>
      </c>
      <c r="AD52" s="3864"/>
      <c r="AE52" s="3865">
        <f>'Energy Effic. Kits Deemed Table'!DI84</f>
        <v>15.952344985600554</v>
      </c>
      <c r="AF52" s="3846"/>
      <c r="AG52" s="3846"/>
      <c r="AH52" s="3846"/>
      <c r="AI52" s="3868" t="str">
        <f>'Energy Effic. Kits Deemed Table'!M84</f>
        <v>per measure</v>
      </c>
      <c r="AJ52" s="3251"/>
      <c r="AX52" s="3849" t="str">
        <f t="shared" si="53"/>
        <v>Kit Faucet Aerator (Kitchen)</v>
      </c>
      <c r="AY52" s="2724"/>
      <c r="AZ52" s="3850" t="str">
        <f t="shared" si="54"/>
        <v>300450</v>
      </c>
      <c r="BA52" s="3866" t="s">
        <v>1303</v>
      </c>
      <c r="BB52" s="3866" t="s">
        <v>1303</v>
      </c>
      <c r="BC52" s="3866" t="s">
        <v>1303</v>
      </c>
      <c r="BD52" s="3866" t="s">
        <v>1303</v>
      </c>
      <c r="BE52" s="3853"/>
      <c r="BF52" s="3866" t="s">
        <v>1303</v>
      </c>
      <c r="BG52" s="3866" t="s">
        <v>1303</v>
      </c>
      <c r="BH52" s="3866" t="s">
        <v>1303</v>
      </c>
      <c r="BI52" s="3867" t="s">
        <v>1303</v>
      </c>
      <c r="BJ52" s="3853"/>
      <c r="BK52" s="3866" t="s">
        <v>1303</v>
      </c>
      <c r="BL52" s="3867" t="s">
        <v>1303</v>
      </c>
      <c r="BM52" s="3866" t="s">
        <v>1303</v>
      </c>
      <c r="BN52" s="3867" t="s">
        <v>1303</v>
      </c>
    </row>
    <row r="53" spans="1:66" s="696" customFormat="1">
      <c r="A53" s="2958" t="str">
        <f t="shared" si="50"/>
        <v>300500</v>
      </c>
      <c r="B53" s="2233" t="str">
        <f>'Energy Effic. Kits Deemed Table'!C85</f>
        <v>300500_2024_12_</v>
      </c>
      <c r="C53" s="2724" t="str">
        <f>'Energy Effic. Kits Deemed Table'!G85</f>
        <v>Water Heating RES</v>
      </c>
      <c r="D53" s="2724"/>
      <c r="E53" s="2724"/>
      <c r="F53" s="2724"/>
      <c r="G53" s="2724" t="str">
        <f>'Energy Effic. Kits Deemed Table'!E85</f>
        <v>Kit Faucet Aerator (Kitchen)</v>
      </c>
      <c r="H53" s="2554" t="str">
        <f>'Energy Effic. Kits Deemed Table'!D85</f>
        <v>MF</v>
      </c>
      <c r="I53" s="3840">
        <f>'Energy Effic. Kits Deemed Table'!F85</f>
        <v>108.66</v>
      </c>
      <c r="J53" s="3840">
        <v>0</v>
      </c>
      <c r="K53" s="3251">
        <v>0</v>
      </c>
      <c r="L53" s="3251">
        <v>0</v>
      </c>
      <c r="M53" s="3251">
        <v>0</v>
      </c>
      <c r="N53" s="3251">
        <v>0</v>
      </c>
      <c r="O53" s="3841">
        <f>'Energy Effic. Kits Deemed Table'!J85</f>
        <v>9.6419999999999995E-3</v>
      </c>
      <c r="P53" s="3841">
        <v>0</v>
      </c>
      <c r="Q53" s="3842">
        <v>0</v>
      </c>
      <c r="R53" s="3842">
        <v>0</v>
      </c>
      <c r="S53" s="3842"/>
      <c r="T53" s="3842"/>
      <c r="U53" s="3843">
        <f t="shared" si="35"/>
        <v>0</v>
      </c>
      <c r="V53" s="3843">
        <f t="shared" si="28"/>
        <v>9.6419999999999995E-3</v>
      </c>
      <c r="W53" s="3843">
        <f t="shared" si="29"/>
        <v>0</v>
      </c>
      <c r="X53" s="2846">
        <f>'Energy Effic. Kits Deemed Table'!K85</f>
        <v>10</v>
      </c>
      <c r="Y53" s="2846"/>
      <c r="Z53" s="2846">
        <f t="shared" si="51"/>
        <v>10</v>
      </c>
      <c r="AA53" s="2529">
        <f>'Energy Effic. Kits Deemed Table'!DG85</f>
        <v>17.794700812394584</v>
      </c>
      <c r="AB53" s="3844">
        <f>'Energy Effic. Kits Deemed Table'!L85</f>
        <v>3</v>
      </c>
      <c r="AC53" s="3864">
        <f t="shared" si="52"/>
        <v>53.384102437183749</v>
      </c>
      <c r="AD53" s="3864"/>
      <c r="AE53" s="3865">
        <f>'Energy Effic. Kits Deemed Table'!DI85</f>
        <v>53.384102437183749</v>
      </c>
      <c r="AF53" s="3846"/>
      <c r="AG53" s="3846"/>
      <c r="AH53" s="3846"/>
      <c r="AI53" s="3868" t="str">
        <f>'Energy Effic. Kits Deemed Table'!M85</f>
        <v>per measure</v>
      </c>
      <c r="AJ53" s="3251"/>
      <c r="AX53" s="3849" t="str">
        <f t="shared" si="53"/>
        <v>Kit Faucet Aerator (Kitchen)</v>
      </c>
      <c r="AY53" s="2724"/>
      <c r="AZ53" s="3850" t="str">
        <f t="shared" si="54"/>
        <v>300500</v>
      </c>
      <c r="BA53" s="3866" t="s">
        <v>1303</v>
      </c>
      <c r="BB53" s="3866" t="s">
        <v>1303</v>
      </c>
      <c r="BC53" s="3866" t="s">
        <v>1303</v>
      </c>
      <c r="BD53" s="3866" t="s">
        <v>1303</v>
      </c>
      <c r="BE53" s="3853"/>
      <c r="BF53" s="3866" t="s">
        <v>1303</v>
      </c>
      <c r="BG53" s="3866" t="s">
        <v>1303</v>
      </c>
      <c r="BH53" s="3866" t="s">
        <v>1303</v>
      </c>
      <c r="BI53" s="3867" t="s">
        <v>1303</v>
      </c>
      <c r="BJ53" s="3853"/>
      <c r="BK53" s="3866" t="s">
        <v>1303</v>
      </c>
      <c r="BL53" s="3867" t="s">
        <v>1303</v>
      </c>
      <c r="BM53" s="3866" t="s">
        <v>1303</v>
      </c>
      <c r="BN53" s="3867" t="s">
        <v>1303</v>
      </c>
    </row>
    <row r="54" spans="1:66" s="696" customFormat="1">
      <c r="A54" s="2958" t="str">
        <f t="shared" si="50"/>
        <v>300501</v>
      </c>
      <c r="B54" s="2233" t="str">
        <f>'Energy Effic. Kits Deemed Table'!C86</f>
        <v>300501_2024_12_</v>
      </c>
      <c r="C54" s="2724" t="str">
        <f>'Energy Effic. Kits Deemed Table'!G86</f>
        <v>Water Heating RES</v>
      </c>
      <c r="D54" s="2724"/>
      <c r="E54" s="2724"/>
      <c r="F54" s="2724"/>
      <c r="G54" s="2724" t="str">
        <f>'Energy Effic. Kits Deemed Table'!E86</f>
        <v>Kit Faucet Aerator (Kitchen) - SFIE Kits</v>
      </c>
      <c r="H54" s="2554" t="str">
        <f>'Energy Effic. Kits Deemed Table'!D86</f>
        <v>IE</v>
      </c>
      <c r="I54" s="3840">
        <f>'Energy Effic. Kits Deemed Table'!F86</f>
        <v>47.69</v>
      </c>
      <c r="J54" s="3840">
        <v>0</v>
      </c>
      <c r="K54" s="3251">
        <v>0</v>
      </c>
      <c r="L54" s="3251">
        <v>0</v>
      </c>
      <c r="M54" s="3251">
        <v>0</v>
      </c>
      <c r="N54" s="3251">
        <v>0</v>
      </c>
      <c r="O54" s="3841">
        <f>'Energy Effic. Kits Deemed Table'!J86</f>
        <v>4.2319999999999997E-3</v>
      </c>
      <c r="P54" s="3841">
        <v>0</v>
      </c>
      <c r="Q54" s="3842">
        <v>0</v>
      </c>
      <c r="R54" s="3842">
        <v>0</v>
      </c>
      <c r="S54" s="3842"/>
      <c r="T54" s="3842"/>
      <c r="U54" s="3843">
        <f t="shared" si="35"/>
        <v>0</v>
      </c>
      <c r="V54" s="3843">
        <f t="shared" si="28"/>
        <v>4.2319999999999997E-3</v>
      </c>
      <c r="W54" s="3843">
        <f t="shared" si="29"/>
        <v>0</v>
      </c>
      <c r="X54" s="2846">
        <f>'Energy Effic. Kits Deemed Table'!K86</f>
        <v>10</v>
      </c>
      <c r="Y54" s="2846"/>
      <c r="Z54" s="2846">
        <f t="shared" si="51"/>
        <v>10</v>
      </c>
      <c r="AA54" s="2529">
        <f>'Energy Effic. Kits Deemed Table'!DG86</f>
        <v>7.8099510559828609</v>
      </c>
      <c r="AB54" s="3844">
        <f>'Energy Effic. Kits Deemed Table'!L86</f>
        <v>3</v>
      </c>
      <c r="AC54" s="3864">
        <f t="shared" si="52"/>
        <v>23.429853167948583</v>
      </c>
      <c r="AD54" s="3864"/>
      <c r="AE54" s="3865">
        <f>'Energy Effic. Kits Deemed Table'!DI86</f>
        <v>23.429853167948583</v>
      </c>
      <c r="AF54" s="3846"/>
      <c r="AG54" s="3846"/>
      <c r="AH54" s="3846"/>
      <c r="AI54" s="3868" t="str">
        <f>'Energy Effic. Kits Deemed Table'!M86</f>
        <v>per measure</v>
      </c>
      <c r="AJ54" s="3251"/>
      <c r="AX54" s="3849" t="str">
        <f t="shared" si="53"/>
        <v>Kit Faucet Aerator (Kitchen) - SFIE Kits</v>
      </c>
      <c r="AY54" s="2724"/>
      <c r="AZ54" s="3850" t="str">
        <f t="shared" si="54"/>
        <v>300501</v>
      </c>
      <c r="BA54" s="3866" t="s">
        <v>1303</v>
      </c>
      <c r="BB54" s="3866" t="s">
        <v>1303</v>
      </c>
      <c r="BC54" s="3866" t="s">
        <v>1303</v>
      </c>
      <c r="BD54" s="3866" t="s">
        <v>1303</v>
      </c>
      <c r="BE54" s="3853"/>
      <c r="BF54" s="3866" t="s">
        <v>1303</v>
      </c>
      <c r="BG54" s="3866" t="s">
        <v>1303</v>
      </c>
      <c r="BH54" s="3866" t="s">
        <v>1303</v>
      </c>
      <c r="BI54" s="3867" t="s">
        <v>1303</v>
      </c>
      <c r="BJ54" s="3853"/>
      <c r="BK54" s="3866" t="s">
        <v>1303</v>
      </c>
      <c r="BL54" s="3867" t="s">
        <v>1303</v>
      </c>
      <c r="BM54" s="3866" t="s">
        <v>1303</v>
      </c>
      <c r="BN54" s="3867" t="s">
        <v>1303</v>
      </c>
    </row>
    <row r="55" spans="1:66" s="696" customFormat="1">
      <c r="A55" s="2958" t="str">
        <f t="shared" si="50"/>
        <v>300550</v>
      </c>
      <c r="B55" s="2233" t="str">
        <f>'Energy Effic. Kits Deemed Table'!C133</f>
        <v>300550_2024_12_</v>
      </c>
      <c r="C55" s="2724" t="str">
        <f>'Energy Effic. Kits Deemed Table'!G133</f>
        <v>Water Heating RES</v>
      </c>
      <c r="D55" s="2724"/>
      <c r="E55" s="2724"/>
      <c r="F55" s="2724"/>
      <c r="G55" s="2724" t="str">
        <f>'Energy Effic. Kits Deemed Table'!E133</f>
        <v>Kit Faucet Aerator (Bathroom)</v>
      </c>
      <c r="H55" s="2554" t="str">
        <f>'Energy Effic. Kits Deemed Table'!D133</f>
        <v>IE/PAYS</v>
      </c>
      <c r="I55" s="3840">
        <f>'Energy Effic. Kits Deemed Table'!F133</f>
        <v>6.9</v>
      </c>
      <c r="J55" s="3840">
        <v>0</v>
      </c>
      <c r="K55" s="3251">
        <v>0</v>
      </c>
      <c r="L55" s="3251">
        <v>0</v>
      </c>
      <c r="M55" s="3251">
        <v>0</v>
      </c>
      <c r="N55" s="3251">
        <v>0</v>
      </c>
      <c r="O55" s="3841">
        <f>'Energy Effic. Kits Deemed Table'!J133</f>
        <v>6.1200000000000002E-4</v>
      </c>
      <c r="P55" s="3841">
        <v>0</v>
      </c>
      <c r="Q55" s="3842">
        <v>0</v>
      </c>
      <c r="R55" s="3842">
        <v>0</v>
      </c>
      <c r="S55" s="3842"/>
      <c r="T55" s="3842"/>
      <c r="U55" s="3843">
        <f t="shared" si="35"/>
        <v>0</v>
      </c>
      <c r="V55" s="3843">
        <f t="shared" si="28"/>
        <v>6.1200000000000002E-4</v>
      </c>
      <c r="W55" s="3843">
        <f t="shared" si="29"/>
        <v>0</v>
      </c>
      <c r="X55" s="2846">
        <f>'Energy Effic. Kits Deemed Table'!K133</f>
        <v>10</v>
      </c>
      <c r="Y55" s="2846"/>
      <c r="Z55" s="2846">
        <f t="shared" si="51"/>
        <v>10</v>
      </c>
      <c r="AA55" s="2529">
        <f>'Energy Effic. Kits Deemed Table'!DG133</f>
        <v>1.1299782404336705</v>
      </c>
      <c r="AB55" s="3844">
        <f>'Energy Effic. Kits Deemed Table'!L133</f>
        <v>3</v>
      </c>
      <c r="AC55" s="3864">
        <f t="shared" si="52"/>
        <v>3.3899347213010111</v>
      </c>
      <c r="AD55" s="3864"/>
      <c r="AE55" s="3865">
        <f>'Energy Effic. Kits Deemed Table'!DI133</f>
        <v>3.3899347213010111</v>
      </c>
      <c r="AF55" s="3846"/>
      <c r="AG55" s="3846"/>
      <c r="AH55" s="3846"/>
      <c r="AI55" s="3868" t="str">
        <f>'Energy Effic. Kits Deemed Table'!M133</f>
        <v>per measure</v>
      </c>
      <c r="AJ55" s="3251"/>
      <c r="AX55" s="3849" t="str">
        <f t="shared" si="53"/>
        <v>Kit Faucet Aerator (Bathroom)</v>
      </c>
      <c r="AY55" s="2724"/>
      <c r="AZ55" s="3850" t="str">
        <f t="shared" si="54"/>
        <v>300550</v>
      </c>
      <c r="BA55" s="3866" t="s">
        <v>1303</v>
      </c>
      <c r="BB55" s="3866" t="s">
        <v>1303</v>
      </c>
      <c r="BC55" s="3866" t="s">
        <v>1303</v>
      </c>
      <c r="BD55" s="3866" t="s">
        <v>1303</v>
      </c>
      <c r="BE55" s="3853"/>
      <c r="BF55" s="3866" t="s">
        <v>1303</v>
      </c>
      <c r="BG55" s="3866" t="s">
        <v>1303</v>
      </c>
      <c r="BH55" s="3866" t="s">
        <v>1303</v>
      </c>
      <c r="BI55" s="3867" t="s">
        <v>1303</v>
      </c>
      <c r="BJ55" s="3853"/>
      <c r="BK55" s="3866" t="s">
        <v>1303</v>
      </c>
      <c r="BL55" s="3867" t="s">
        <v>1303</v>
      </c>
      <c r="BM55" s="3866" t="s">
        <v>1303</v>
      </c>
      <c r="BN55" s="3867" t="s">
        <v>1303</v>
      </c>
    </row>
    <row r="56" spans="1:66" s="696" customFormat="1">
      <c r="A56" s="2958" t="str">
        <f t="shared" si="50"/>
        <v>300600</v>
      </c>
      <c r="B56" s="2233" t="str">
        <f>'Energy Effic. Kits Deemed Table'!C134</f>
        <v>300600_2024_12_</v>
      </c>
      <c r="C56" s="2724" t="str">
        <f>'Energy Effic. Kits Deemed Table'!G134</f>
        <v>Water Heating RES</v>
      </c>
      <c r="D56" s="2724"/>
      <c r="E56" s="2724"/>
      <c r="F56" s="2724"/>
      <c r="G56" s="2724" t="str">
        <f>'Energy Effic. Kits Deemed Table'!E134</f>
        <v>Kit Faucet Aerator (Bathroom)</v>
      </c>
      <c r="H56" s="2554" t="str">
        <f>'Energy Effic. Kits Deemed Table'!D134</f>
        <v>MF</v>
      </c>
      <c r="I56" s="3840">
        <f>'Energy Effic. Kits Deemed Table'!F134</f>
        <v>33.64</v>
      </c>
      <c r="J56" s="3840">
        <v>0</v>
      </c>
      <c r="K56" s="3251">
        <v>0</v>
      </c>
      <c r="L56" s="3251">
        <v>0</v>
      </c>
      <c r="M56" s="3251">
        <v>0</v>
      </c>
      <c r="N56" s="3251">
        <v>0</v>
      </c>
      <c r="O56" s="3841">
        <f>'Energy Effic. Kits Deemed Table'!J134</f>
        <v>2.9849999999999998E-3</v>
      </c>
      <c r="P56" s="3841">
        <v>0</v>
      </c>
      <c r="Q56" s="3842">
        <v>0</v>
      </c>
      <c r="R56" s="3842">
        <v>0</v>
      </c>
      <c r="S56" s="3842"/>
      <c r="T56" s="3842"/>
      <c r="U56" s="3843">
        <f t="shared" si="35"/>
        <v>0</v>
      </c>
      <c r="V56" s="3843">
        <f t="shared" si="28"/>
        <v>2.9849999999999998E-3</v>
      </c>
      <c r="W56" s="3843">
        <f t="shared" si="29"/>
        <v>0</v>
      </c>
      <c r="X56" s="2846">
        <f>'Energy Effic. Kits Deemed Table'!K134</f>
        <v>10</v>
      </c>
      <c r="Y56" s="2846"/>
      <c r="Z56" s="2846">
        <f t="shared" si="51"/>
        <v>10</v>
      </c>
      <c r="AA56" s="2529">
        <f>'Energy Effic. Kits Deemed Table'!DG134</f>
        <v>5.5090533345200976</v>
      </c>
      <c r="AB56" s="3844">
        <f>'Energy Effic. Kits Deemed Table'!L134</f>
        <v>3</v>
      </c>
      <c r="AC56" s="3864">
        <f t="shared" si="52"/>
        <v>16.527160003560294</v>
      </c>
      <c r="AD56" s="3864"/>
      <c r="AE56" s="3865">
        <f>'Energy Effic. Kits Deemed Table'!DI134</f>
        <v>16.527160003560294</v>
      </c>
      <c r="AF56" s="3846"/>
      <c r="AG56" s="3846"/>
      <c r="AH56" s="3846"/>
      <c r="AI56" s="3868" t="str">
        <f>'Energy Effic. Kits Deemed Table'!M134</f>
        <v>per measure</v>
      </c>
      <c r="AJ56" s="3251"/>
      <c r="AX56" s="3849" t="str">
        <f t="shared" si="53"/>
        <v>Kit Faucet Aerator (Bathroom)</v>
      </c>
      <c r="AY56" s="2724"/>
      <c r="AZ56" s="3850" t="str">
        <f t="shared" si="54"/>
        <v>300600</v>
      </c>
      <c r="BA56" s="3866" t="s">
        <v>1303</v>
      </c>
      <c r="BB56" s="3866" t="s">
        <v>1303</v>
      </c>
      <c r="BC56" s="3866" t="s">
        <v>1303</v>
      </c>
      <c r="BD56" s="3866" t="s">
        <v>1303</v>
      </c>
      <c r="BE56" s="3853"/>
      <c r="BF56" s="3866" t="s">
        <v>1303</v>
      </c>
      <c r="BG56" s="3866" t="s">
        <v>1303</v>
      </c>
      <c r="BH56" s="3866" t="s">
        <v>1303</v>
      </c>
      <c r="BI56" s="3867" t="s">
        <v>1303</v>
      </c>
      <c r="BJ56" s="3853"/>
      <c r="BK56" s="3866" t="s">
        <v>1303</v>
      </c>
      <c r="BL56" s="3867" t="s">
        <v>1303</v>
      </c>
      <c r="BM56" s="3866" t="s">
        <v>1303</v>
      </c>
      <c r="BN56" s="3867" t="s">
        <v>1303</v>
      </c>
    </row>
    <row r="57" spans="1:66" s="696" customFormat="1">
      <c r="A57" s="2958" t="str">
        <f t="shared" si="50"/>
        <v>300601</v>
      </c>
      <c r="B57" s="2233" t="str">
        <f>'Energy Effic. Kits Deemed Table'!C135</f>
        <v>300601_2024_12_</v>
      </c>
      <c r="C57" s="2724" t="str">
        <f>'Energy Effic. Kits Deemed Table'!G135</f>
        <v>Water Heating RES</v>
      </c>
      <c r="D57" s="2724"/>
      <c r="E57" s="2724"/>
      <c r="F57" s="2724"/>
      <c r="G57" s="2724" t="str">
        <f>'Energy Effic. Kits Deemed Table'!E135</f>
        <v>Kit Faucet Aerator (Bathroom) - SFLI Kits</v>
      </c>
      <c r="H57" s="2554" t="str">
        <f>'Energy Effic. Kits Deemed Table'!D135</f>
        <v>IE</v>
      </c>
      <c r="I57" s="3840">
        <f>'Energy Effic. Kits Deemed Table'!F135</f>
        <v>15.98</v>
      </c>
      <c r="J57" s="3840">
        <v>0</v>
      </c>
      <c r="K57" s="3251">
        <v>0</v>
      </c>
      <c r="L57" s="3251">
        <v>0</v>
      </c>
      <c r="M57" s="3251">
        <v>0</v>
      </c>
      <c r="N57" s="3251">
        <v>0</v>
      </c>
      <c r="O57" s="3841">
        <f>'Energy Effic. Kits Deemed Table'!J135</f>
        <v>1.418E-3</v>
      </c>
      <c r="P57" s="3841">
        <v>0</v>
      </c>
      <c r="Q57" s="3842">
        <v>0</v>
      </c>
      <c r="R57" s="3842">
        <v>0</v>
      </c>
      <c r="S57" s="3842"/>
      <c r="T57" s="3842"/>
      <c r="U57" s="3843">
        <f t="shared" si="35"/>
        <v>0</v>
      </c>
      <c r="V57" s="3843">
        <f t="shared" si="28"/>
        <v>1.418E-3</v>
      </c>
      <c r="W57" s="3843">
        <f t="shared" si="29"/>
        <v>0</v>
      </c>
      <c r="X57" s="2846">
        <f>'Energy Effic. Kits Deemed Table'!K135</f>
        <v>10</v>
      </c>
      <c r="Y57" s="2846"/>
      <c r="Z57" s="2846">
        <f t="shared" si="51"/>
        <v>10</v>
      </c>
      <c r="AA57" s="2529">
        <f>'Energy Effic. Kits Deemed Table'!DG135</f>
        <v>2.616964098859428</v>
      </c>
      <c r="AB57" s="3844">
        <f>'Energy Effic. Kits Deemed Table'!L135</f>
        <v>3</v>
      </c>
      <c r="AC57" s="3864">
        <f t="shared" si="52"/>
        <v>7.8508922965782837</v>
      </c>
      <c r="AD57" s="3864"/>
      <c r="AE57" s="3865">
        <f>'Energy Effic. Kits Deemed Table'!DI135</f>
        <v>7.8508922965782837</v>
      </c>
      <c r="AF57" s="3846"/>
      <c r="AG57" s="3846"/>
      <c r="AH57" s="3846"/>
      <c r="AI57" s="3868" t="str">
        <f>'Energy Effic. Kits Deemed Table'!M135</f>
        <v>per measure</v>
      </c>
      <c r="AJ57" s="3251"/>
      <c r="AX57" s="3849" t="str">
        <f t="shared" si="53"/>
        <v>Kit Faucet Aerator (Bathroom) - SFLI Kits</v>
      </c>
      <c r="AY57" s="2724"/>
      <c r="AZ57" s="3850" t="str">
        <f t="shared" si="54"/>
        <v>300601</v>
      </c>
      <c r="BA57" s="3866" t="s">
        <v>1303</v>
      </c>
      <c r="BB57" s="3866" t="s">
        <v>1303</v>
      </c>
      <c r="BC57" s="3866" t="s">
        <v>1303</v>
      </c>
      <c r="BD57" s="3866" t="s">
        <v>1303</v>
      </c>
      <c r="BE57" s="3853"/>
      <c r="BF57" s="3866" t="s">
        <v>1303</v>
      </c>
      <c r="BG57" s="3866" t="s">
        <v>1303</v>
      </c>
      <c r="BH57" s="3866" t="s">
        <v>1303</v>
      </c>
      <c r="BI57" s="3867" t="s">
        <v>1303</v>
      </c>
      <c r="BJ57" s="3853"/>
      <c r="BK57" s="3866" t="s">
        <v>1303</v>
      </c>
      <c r="BL57" s="3867" t="s">
        <v>1303</v>
      </c>
      <c r="BM57" s="3866" t="s">
        <v>1303</v>
      </c>
      <c r="BN57" s="3867" t="s">
        <v>1303</v>
      </c>
    </row>
    <row r="58" spans="1:66" s="696" customFormat="1">
      <c r="A58" s="2958" t="str">
        <f t="shared" si="50"/>
        <v>300650</v>
      </c>
      <c r="B58" s="2233" t="str">
        <f>'Energy Effic. Kits Deemed Table'!C182</f>
        <v>300650_2024_12_</v>
      </c>
      <c r="C58" s="2724" t="str">
        <f>'Energy Effic. Kits Deemed Table'!G182</f>
        <v>Water Heating RES</v>
      </c>
      <c r="D58" s="2724"/>
      <c r="E58" s="2724"/>
      <c r="F58" s="2724"/>
      <c r="G58" s="2724" t="str">
        <f>'Energy Effic. Kits Deemed Table'!E182</f>
        <v>Low Flow Showerheads</v>
      </c>
      <c r="H58" s="2554" t="str">
        <f>'Energy Effic. Kits Deemed Table'!D182</f>
        <v>IE/PAYS</v>
      </c>
      <c r="I58" s="3840">
        <f>'Energy Effic. Kits Deemed Table'!F182</f>
        <v>76.42</v>
      </c>
      <c r="J58" s="3840">
        <v>0</v>
      </c>
      <c r="K58" s="3251">
        <v>0</v>
      </c>
      <c r="L58" s="3251">
        <v>0</v>
      </c>
      <c r="M58" s="3251">
        <v>0</v>
      </c>
      <c r="N58" s="3251">
        <v>0</v>
      </c>
      <c r="O58" s="3841">
        <f>'Energy Effic. Kits Deemed Table'!J182</f>
        <v>6.7809999999999997E-3</v>
      </c>
      <c r="P58" s="3841">
        <v>0</v>
      </c>
      <c r="Q58" s="3842">
        <v>0</v>
      </c>
      <c r="R58" s="3842">
        <v>0</v>
      </c>
      <c r="S58" s="3842"/>
      <c r="T58" s="3842"/>
      <c r="U58" s="3843">
        <f t="shared" si="35"/>
        <v>0</v>
      </c>
      <c r="V58" s="3843">
        <f t="shared" si="28"/>
        <v>6.7809999999999997E-3</v>
      </c>
      <c r="W58" s="3843">
        <f t="shared" si="29"/>
        <v>0</v>
      </c>
      <c r="X58" s="2846">
        <f>'Energy Effic. Kits Deemed Table'!K182</f>
        <v>10</v>
      </c>
      <c r="Y58" s="2846"/>
      <c r="Z58" s="2846">
        <f t="shared" si="51"/>
        <v>10</v>
      </c>
      <c r="AA58" s="2529">
        <f>'Energy Effic. Kits Deemed Table'!DG182</f>
        <v>5.363536467946652</v>
      </c>
      <c r="AB58" s="3844">
        <f>'Energy Effic. Kits Deemed Table'!L182</f>
        <v>7</v>
      </c>
      <c r="AC58" s="3864">
        <f t="shared" si="52"/>
        <v>37.544755275626564</v>
      </c>
      <c r="AD58" s="3864"/>
      <c r="AE58" s="3865">
        <f>'Energy Effic. Kits Deemed Table'!DI182</f>
        <v>37.544755275626564</v>
      </c>
      <c r="AF58" s="3846"/>
      <c r="AG58" s="3846"/>
      <c r="AH58" s="3846"/>
      <c r="AI58" s="3869" t="str">
        <f>'Energy Effic. Kits Deemed Table'!M182</f>
        <v>per measure</v>
      </c>
      <c r="AJ58" s="3251"/>
      <c r="AX58" s="3849" t="str">
        <f t="shared" si="53"/>
        <v>Low Flow Showerheads</v>
      </c>
      <c r="AY58" s="2724"/>
      <c r="AZ58" s="3850" t="str">
        <f t="shared" si="54"/>
        <v>300650</v>
      </c>
      <c r="BA58" s="3866" t="s">
        <v>1303</v>
      </c>
      <c r="BB58" s="3866" t="s">
        <v>1303</v>
      </c>
      <c r="BC58" s="3866" t="s">
        <v>1303</v>
      </c>
      <c r="BD58" s="3866" t="s">
        <v>1303</v>
      </c>
      <c r="BE58" s="3853"/>
      <c r="BF58" s="3866" t="s">
        <v>1303</v>
      </c>
      <c r="BG58" s="3866" t="s">
        <v>1303</v>
      </c>
      <c r="BH58" s="3866" t="s">
        <v>1303</v>
      </c>
      <c r="BI58" s="3867" t="s">
        <v>1303</v>
      </c>
      <c r="BJ58" s="3853"/>
      <c r="BK58" s="3866" t="s">
        <v>1303</v>
      </c>
      <c r="BL58" s="3867" t="s">
        <v>1303</v>
      </c>
      <c r="BM58" s="3866" t="s">
        <v>1303</v>
      </c>
      <c r="BN58" s="3867" t="s">
        <v>1303</v>
      </c>
    </row>
    <row r="59" spans="1:66" s="696" customFormat="1">
      <c r="A59" s="2958" t="str">
        <f t="shared" si="50"/>
        <v>300700</v>
      </c>
      <c r="B59" s="2233" t="str">
        <f>'Energy Effic. Kits Deemed Table'!C183</f>
        <v>300700_2024_12_</v>
      </c>
      <c r="C59" s="2724" t="str">
        <f>'Energy Effic. Kits Deemed Table'!G183</f>
        <v>Water Heating RES</v>
      </c>
      <c r="D59" s="2724"/>
      <c r="E59" s="2724"/>
      <c r="F59" s="2724"/>
      <c r="G59" s="2724" t="str">
        <f>'Energy Effic. Kits Deemed Table'!E183</f>
        <v>Low Flow Showerheads</v>
      </c>
      <c r="H59" s="2554" t="str">
        <f>'Energy Effic. Kits Deemed Table'!D183</f>
        <v>MF</v>
      </c>
      <c r="I59" s="3840">
        <f>'Energy Effic. Kits Deemed Table'!F183</f>
        <v>310.79000000000002</v>
      </c>
      <c r="J59" s="3840">
        <v>0</v>
      </c>
      <c r="K59" s="3251">
        <v>0</v>
      </c>
      <c r="L59" s="3251">
        <v>0</v>
      </c>
      <c r="M59" s="3251">
        <v>0</v>
      </c>
      <c r="N59" s="3251">
        <v>0</v>
      </c>
      <c r="O59" s="3841">
        <f>'Energy Effic. Kits Deemed Table'!J183</f>
        <v>2.7577000000000001E-2</v>
      </c>
      <c r="P59" s="3841">
        <v>0</v>
      </c>
      <c r="Q59" s="3842">
        <v>0</v>
      </c>
      <c r="R59" s="3842">
        <v>0</v>
      </c>
      <c r="S59" s="3842"/>
      <c r="T59" s="3842"/>
      <c r="U59" s="3843">
        <f t="shared" si="35"/>
        <v>0</v>
      </c>
      <c r="V59" s="3843">
        <f t="shared" si="28"/>
        <v>2.7577000000000001E-2</v>
      </c>
      <c r="W59" s="3843">
        <f t="shared" si="29"/>
        <v>0</v>
      </c>
      <c r="X59" s="2846">
        <f>'Energy Effic. Kits Deemed Table'!K183</f>
        <v>10</v>
      </c>
      <c r="Y59" s="2846"/>
      <c r="Z59" s="2846">
        <f t="shared" si="51"/>
        <v>10</v>
      </c>
      <c r="AA59" s="2529">
        <f>'Energy Effic. Kits Deemed Table'!DG183</f>
        <v>21.812791139402513</v>
      </c>
      <c r="AB59" s="3844">
        <f>'Energy Effic. Kits Deemed Table'!L183</f>
        <v>7</v>
      </c>
      <c r="AC59" s="3864">
        <f t="shared" si="52"/>
        <v>152.68953797581759</v>
      </c>
      <c r="AD59" s="3864"/>
      <c r="AE59" s="3865">
        <f>'Energy Effic. Kits Deemed Table'!DI183</f>
        <v>152.68953797581759</v>
      </c>
      <c r="AF59" s="3846"/>
      <c r="AG59" s="3846"/>
      <c r="AH59" s="3846"/>
      <c r="AI59" s="3869" t="str">
        <f>'Energy Effic. Kits Deemed Table'!M183</f>
        <v>per measure</v>
      </c>
      <c r="AJ59" s="3251"/>
      <c r="AX59" s="3849" t="str">
        <f t="shared" si="53"/>
        <v>Low Flow Showerheads</v>
      </c>
      <c r="AY59" s="2724"/>
      <c r="AZ59" s="3850" t="str">
        <f t="shared" si="54"/>
        <v>300700</v>
      </c>
      <c r="BA59" s="3866" t="s">
        <v>1303</v>
      </c>
      <c r="BB59" s="3866" t="s">
        <v>1303</v>
      </c>
      <c r="BC59" s="3866" t="s">
        <v>1303</v>
      </c>
      <c r="BD59" s="3866" t="s">
        <v>1303</v>
      </c>
      <c r="BE59" s="3853"/>
      <c r="BF59" s="3866" t="s">
        <v>1303</v>
      </c>
      <c r="BG59" s="3866" t="s">
        <v>1303</v>
      </c>
      <c r="BH59" s="3866" t="s">
        <v>1303</v>
      </c>
      <c r="BI59" s="3867" t="s">
        <v>1303</v>
      </c>
      <c r="BJ59" s="3853"/>
      <c r="BK59" s="3866" t="s">
        <v>1303</v>
      </c>
      <c r="BL59" s="3867" t="s">
        <v>1303</v>
      </c>
      <c r="BM59" s="3866" t="s">
        <v>1303</v>
      </c>
      <c r="BN59" s="3867" t="s">
        <v>1303</v>
      </c>
    </row>
    <row r="60" spans="1:66" s="696" customFormat="1">
      <c r="A60" s="2958" t="str">
        <f t="shared" si="50"/>
        <v>300701</v>
      </c>
      <c r="B60" s="2233" t="str">
        <f>'Energy Effic. Kits Deemed Table'!C184</f>
        <v>300701_2024_12_</v>
      </c>
      <c r="C60" s="2724" t="str">
        <f>'Energy Effic. Kits Deemed Table'!G184</f>
        <v>Water Heating RES</v>
      </c>
      <c r="D60" s="2724"/>
      <c r="E60" s="2724"/>
      <c r="F60" s="2724"/>
      <c r="G60" s="2724" t="str">
        <f>'Energy Effic. Kits Deemed Table'!E184</f>
        <v>Low Flow Showerheads - SFIE Kits</v>
      </c>
      <c r="H60" s="2554" t="str">
        <f>'Energy Effic. Kits Deemed Table'!D184</f>
        <v>IE</v>
      </c>
      <c r="I60" s="3840">
        <f>'Energy Effic. Kits Deemed Table'!F184</f>
        <v>84.77</v>
      </c>
      <c r="J60" s="3840">
        <v>0</v>
      </c>
      <c r="K60" s="3251">
        <v>0</v>
      </c>
      <c r="L60" s="3251">
        <v>0</v>
      </c>
      <c r="M60" s="3251">
        <v>0</v>
      </c>
      <c r="N60" s="3251">
        <v>0</v>
      </c>
      <c r="O60" s="3841">
        <f>'Energy Effic. Kits Deemed Table'!J184</f>
        <v>7.522E-3</v>
      </c>
      <c r="P60" s="3841">
        <v>0</v>
      </c>
      <c r="Q60" s="3842">
        <v>0</v>
      </c>
      <c r="R60" s="3842">
        <v>0</v>
      </c>
      <c r="S60" s="3842"/>
      <c r="T60" s="3842"/>
      <c r="U60" s="3843">
        <f t="shared" si="35"/>
        <v>0</v>
      </c>
      <c r="V60" s="3843">
        <f t="shared" si="28"/>
        <v>7.522E-3</v>
      </c>
      <c r="W60" s="3843">
        <f t="shared" si="29"/>
        <v>0</v>
      </c>
      <c r="X60" s="2846">
        <f>'Energy Effic. Kits Deemed Table'!K184</f>
        <v>10</v>
      </c>
      <c r="Y60" s="2846"/>
      <c r="Z60" s="2846">
        <f t="shared" si="51"/>
        <v>10</v>
      </c>
      <c r="AA60" s="2529">
        <f>'Energy Effic. Kits Deemed Table'!DG184</f>
        <v>5.949581083326847</v>
      </c>
      <c r="AB60" s="3844">
        <f>'Energy Effic. Kits Deemed Table'!L184</f>
        <v>7</v>
      </c>
      <c r="AC60" s="3864">
        <f t="shared" si="52"/>
        <v>41.647067583287928</v>
      </c>
      <c r="AD60" s="3864"/>
      <c r="AE60" s="3865">
        <f>'Energy Effic. Kits Deemed Table'!DI184</f>
        <v>41.647067583287928</v>
      </c>
      <c r="AF60" s="3846"/>
      <c r="AG60" s="3846"/>
      <c r="AH60" s="3846"/>
      <c r="AI60" s="3869" t="str">
        <f>'Energy Effic. Kits Deemed Table'!M184</f>
        <v>per measure</v>
      </c>
      <c r="AJ60" s="3251"/>
      <c r="AX60" s="3849" t="str">
        <f t="shared" si="53"/>
        <v>Low Flow Showerheads - SFIE Kits</v>
      </c>
      <c r="AY60" s="2724"/>
      <c r="AZ60" s="3850" t="str">
        <f t="shared" si="54"/>
        <v>300701</v>
      </c>
      <c r="BA60" s="3866" t="s">
        <v>1303</v>
      </c>
      <c r="BB60" s="3866" t="s">
        <v>1303</v>
      </c>
      <c r="BC60" s="3866" t="s">
        <v>1303</v>
      </c>
      <c r="BD60" s="3866" t="s">
        <v>1303</v>
      </c>
      <c r="BE60" s="3853"/>
      <c r="BF60" s="3866" t="s">
        <v>1303</v>
      </c>
      <c r="BG60" s="3866" t="s">
        <v>1303</v>
      </c>
      <c r="BH60" s="3866" t="s">
        <v>1303</v>
      </c>
      <c r="BI60" s="3867" t="s">
        <v>1303</v>
      </c>
      <c r="BJ60" s="3853"/>
      <c r="BK60" s="3866" t="s">
        <v>1303</v>
      </c>
      <c r="BL60" s="3867" t="s">
        <v>1303</v>
      </c>
      <c r="BM60" s="3866" t="s">
        <v>1303</v>
      </c>
      <c r="BN60" s="3867" t="s">
        <v>1303</v>
      </c>
    </row>
    <row r="61" spans="1:66" s="696" customFormat="1">
      <c r="A61" s="2958" t="str">
        <f t="shared" si="50"/>
        <v>300750</v>
      </c>
      <c r="B61" s="2233" t="str">
        <f>'Energy Effic. Kits Deemed Table'!C230</f>
        <v>300750_2019_12_</v>
      </c>
      <c r="C61" s="2724" t="str">
        <f>'Energy Effic. Kits Deemed Table'!G230</f>
        <v>Water Heating RES</v>
      </c>
      <c r="D61" s="2724"/>
      <c r="E61" s="2724"/>
      <c r="F61" s="2724"/>
      <c r="G61" s="2724" t="str">
        <f>'Energy Effic. Kits Deemed Table'!E230</f>
        <v>Pipe Insulation</v>
      </c>
      <c r="H61" s="2554" t="str">
        <f>'Energy Effic. Kits Deemed Table'!D230</f>
        <v>IE/PAYS</v>
      </c>
      <c r="I61" s="3840">
        <f>'Energy Effic. Kits Deemed Table'!F230</f>
        <v>3.24</v>
      </c>
      <c r="J61" s="3840">
        <v>0</v>
      </c>
      <c r="K61" s="3251">
        <v>0</v>
      </c>
      <c r="L61" s="3251">
        <v>0</v>
      </c>
      <c r="M61" s="3251">
        <v>0</v>
      </c>
      <c r="N61" s="3251">
        <v>0</v>
      </c>
      <c r="O61" s="3841">
        <f>'Energy Effic. Kits Deemed Table'!I230</f>
        <v>2.8699999999999998E-4</v>
      </c>
      <c r="P61" s="3841">
        <v>0</v>
      </c>
      <c r="Q61" s="3842">
        <v>0</v>
      </c>
      <c r="R61" s="3842">
        <v>0</v>
      </c>
      <c r="S61" s="3842"/>
      <c r="T61" s="3842"/>
      <c r="U61" s="3843">
        <f t="shared" si="35"/>
        <v>0</v>
      </c>
      <c r="V61" s="3843">
        <f t="shared" si="28"/>
        <v>2.8699999999999998E-4</v>
      </c>
      <c r="W61" s="3843">
        <f t="shared" si="29"/>
        <v>0</v>
      </c>
      <c r="X61" s="2846">
        <f>'Energy Effic. Kits Deemed Table'!J230</f>
        <v>12</v>
      </c>
      <c r="Y61" s="2846"/>
      <c r="Z61" s="2846">
        <f t="shared" si="51"/>
        <v>12</v>
      </c>
      <c r="AA61" s="2529">
        <f>'Energy Effic. Kits Deemed Table'!DG230</f>
        <v>0.63383576430481758</v>
      </c>
      <c r="AB61" s="3844">
        <f>'Energy Effic. Kits Deemed Table'!K230</f>
        <v>2.87</v>
      </c>
      <c r="AC61" s="3864">
        <f t="shared" si="52"/>
        <v>1.8191086435548265</v>
      </c>
      <c r="AD61" s="3864"/>
      <c r="AE61" s="3865">
        <f>'Energy Effic. Kits Deemed Table'!DI230</f>
        <v>1.8191086435548265</v>
      </c>
      <c r="AF61" s="3846"/>
      <c r="AG61" s="3846"/>
      <c r="AH61" s="3846"/>
      <c r="AI61" s="2233" t="str">
        <f>'Energy Effic. Kits Deemed Table'!L230</f>
        <v>per foot</v>
      </c>
      <c r="AJ61" s="3251"/>
      <c r="AX61" s="3849" t="str">
        <f t="shared" si="53"/>
        <v>Pipe Insulation</v>
      </c>
      <c r="AY61" s="2724"/>
      <c r="AZ61" s="3850" t="str">
        <f t="shared" si="54"/>
        <v>300750</v>
      </c>
      <c r="BA61" s="3866" t="s">
        <v>1303</v>
      </c>
      <c r="BB61" s="3866" t="s">
        <v>1303</v>
      </c>
      <c r="BC61" s="3866" t="s">
        <v>1303</v>
      </c>
      <c r="BD61" s="3866" t="s">
        <v>1303</v>
      </c>
      <c r="BE61" s="3853"/>
      <c r="BF61" s="3866" t="s">
        <v>1303</v>
      </c>
      <c r="BG61" s="3866" t="s">
        <v>1303</v>
      </c>
      <c r="BH61" s="3866" t="s">
        <v>1303</v>
      </c>
      <c r="BI61" s="3867" t="s">
        <v>1303</v>
      </c>
      <c r="BJ61" s="3853"/>
      <c r="BK61" s="3866" t="s">
        <v>1303</v>
      </c>
      <c r="BL61" s="3867" t="s">
        <v>1303</v>
      </c>
      <c r="BM61" s="3866" t="s">
        <v>1303</v>
      </c>
      <c r="BN61" s="3867" t="s">
        <v>1303</v>
      </c>
    </row>
    <row r="62" spans="1:66" s="696" customFormat="1">
      <c r="A62" s="2958" t="str">
        <f t="shared" si="50"/>
        <v>300800</v>
      </c>
      <c r="B62" s="2233" t="str">
        <f>'Energy Effic. Kits Deemed Table'!C231</f>
        <v>300800_2019_12_</v>
      </c>
      <c r="C62" s="2724" t="str">
        <f>'Energy Effic. Kits Deemed Table'!G231</f>
        <v>Water Heating RES</v>
      </c>
      <c r="D62" s="2724"/>
      <c r="E62" s="2724"/>
      <c r="F62" s="2724"/>
      <c r="G62" s="2724" t="str">
        <f>'Energy Effic. Kits Deemed Table'!E231</f>
        <v>Pipe Insulation</v>
      </c>
      <c r="H62" s="2554" t="str">
        <f>'Energy Effic. Kits Deemed Table'!D231</f>
        <v>MF</v>
      </c>
      <c r="I62" s="3840">
        <f>'Energy Effic. Kits Deemed Table'!F231</f>
        <v>15.01</v>
      </c>
      <c r="J62" s="3840">
        <v>0</v>
      </c>
      <c r="K62" s="3251">
        <v>0</v>
      </c>
      <c r="L62" s="3251">
        <v>0</v>
      </c>
      <c r="M62" s="3251">
        <v>0</v>
      </c>
      <c r="N62" s="3251">
        <v>0</v>
      </c>
      <c r="O62" s="3841">
        <f>'Energy Effic. Kits Deemed Table'!I231</f>
        <v>1.3320000000000001E-3</v>
      </c>
      <c r="P62" s="3841">
        <v>0</v>
      </c>
      <c r="Q62" s="3842">
        <v>0</v>
      </c>
      <c r="R62" s="3842">
        <v>0</v>
      </c>
      <c r="S62" s="3842"/>
      <c r="T62" s="3842"/>
      <c r="U62" s="3843">
        <f t="shared" si="35"/>
        <v>0</v>
      </c>
      <c r="V62" s="3843">
        <f t="shared" si="28"/>
        <v>1.3320000000000001E-3</v>
      </c>
      <c r="W62" s="3843">
        <f t="shared" si="29"/>
        <v>0</v>
      </c>
      <c r="X62" s="2846">
        <f>'Energy Effic. Kits Deemed Table'!J231</f>
        <v>12</v>
      </c>
      <c r="Y62" s="2846"/>
      <c r="Z62" s="2846">
        <f t="shared" si="51"/>
        <v>12</v>
      </c>
      <c r="AA62" s="2529">
        <f>'Energy Effic. Kits Deemed Table'!DG231</f>
        <v>2.9363811179676884</v>
      </c>
      <c r="AB62" s="3844">
        <f>'Energy Effic. Kits Deemed Table'!K231</f>
        <v>2.87</v>
      </c>
      <c r="AC62" s="3864">
        <f t="shared" si="52"/>
        <v>8.4274138085672661</v>
      </c>
      <c r="AD62" s="3864"/>
      <c r="AE62" s="3865">
        <f>'Energy Effic. Kits Deemed Table'!DI231</f>
        <v>8.4274138085672661</v>
      </c>
      <c r="AF62" s="3846"/>
      <c r="AG62" s="3846"/>
      <c r="AH62" s="3846"/>
      <c r="AI62" s="2233" t="str">
        <f>'Energy Effic. Kits Deemed Table'!L231</f>
        <v>per foot</v>
      </c>
      <c r="AJ62" s="3251"/>
      <c r="AX62" s="3849" t="str">
        <f t="shared" si="53"/>
        <v>Pipe Insulation</v>
      </c>
      <c r="AY62" s="2724"/>
      <c r="AZ62" s="3850" t="str">
        <f t="shared" si="54"/>
        <v>300800</v>
      </c>
      <c r="BA62" s="3866" t="s">
        <v>1303</v>
      </c>
      <c r="BB62" s="3866" t="s">
        <v>1303</v>
      </c>
      <c r="BC62" s="3866" t="s">
        <v>1303</v>
      </c>
      <c r="BD62" s="3866" t="s">
        <v>1303</v>
      </c>
      <c r="BE62" s="3853"/>
      <c r="BF62" s="3866" t="s">
        <v>1303</v>
      </c>
      <c r="BG62" s="3866" t="s">
        <v>1303</v>
      </c>
      <c r="BH62" s="3866" t="s">
        <v>1303</v>
      </c>
      <c r="BI62" s="3867" t="s">
        <v>1303</v>
      </c>
      <c r="BJ62" s="3853"/>
      <c r="BK62" s="3866" t="s">
        <v>1303</v>
      </c>
      <c r="BL62" s="3867" t="s">
        <v>1303</v>
      </c>
      <c r="BM62" s="3866" t="s">
        <v>1303</v>
      </c>
      <c r="BN62" s="3867" t="s">
        <v>1303</v>
      </c>
    </row>
    <row r="63" spans="1:66" s="696" customFormat="1">
      <c r="A63" s="2958" t="str">
        <f t="shared" si="50"/>
        <v>300801</v>
      </c>
      <c r="B63" s="2233" t="str">
        <f>'Energy Effic. Kits Deemed Table'!C232</f>
        <v>300801_2020_12_</v>
      </c>
      <c r="C63" s="2724" t="str">
        <f>'Energy Effic. Kits Deemed Table'!G232</f>
        <v>Water Heating RES</v>
      </c>
      <c r="D63" s="2724"/>
      <c r="E63" s="2724"/>
      <c r="F63" s="2724"/>
      <c r="G63" s="2724" t="str">
        <f>'Energy Effic. Kits Deemed Table'!E232</f>
        <v>Pipe Insulation - SFIE Kits</v>
      </c>
      <c r="H63" s="2554" t="str">
        <f>'Energy Effic. Kits Deemed Table'!D232</f>
        <v>IE/PAYS</v>
      </c>
      <c r="I63" s="3840">
        <f>'Energy Effic. Kits Deemed Table'!F232</f>
        <v>3.4</v>
      </c>
      <c r="J63" s="3840">
        <v>0</v>
      </c>
      <c r="K63" s="3251">
        <v>0</v>
      </c>
      <c r="L63" s="3251">
        <v>0</v>
      </c>
      <c r="M63" s="3251">
        <v>0</v>
      </c>
      <c r="N63" s="3251">
        <v>0</v>
      </c>
      <c r="O63" s="3841">
        <f>'Energy Effic. Kits Deemed Table'!I232</f>
        <v>3.0200000000000002E-4</v>
      </c>
      <c r="P63" s="3841">
        <v>0</v>
      </c>
      <c r="Q63" s="3842">
        <v>0</v>
      </c>
      <c r="R63" s="3842">
        <v>0</v>
      </c>
      <c r="S63" s="3842"/>
      <c r="T63" s="3842"/>
      <c r="U63" s="3843">
        <f t="shared" si="35"/>
        <v>0</v>
      </c>
      <c r="V63" s="3843">
        <f t="shared" si="28"/>
        <v>3.0200000000000002E-4</v>
      </c>
      <c r="W63" s="3843">
        <f t="shared" si="29"/>
        <v>0</v>
      </c>
      <c r="X63" s="2846">
        <f>'Energy Effic. Kits Deemed Table'!J232</f>
        <v>12</v>
      </c>
      <c r="Y63" s="2846"/>
      <c r="Z63" s="2846">
        <f t="shared" si="51"/>
        <v>12</v>
      </c>
      <c r="AA63" s="2529">
        <f>'Energy Effic. Kits Deemed Table'!DG232</f>
        <v>0.66513629587542578</v>
      </c>
      <c r="AB63" s="3844">
        <f>'Energy Effic. Kits Deemed Table'!K232</f>
        <v>2.87</v>
      </c>
      <c r="AC63" s="3864">
        <f t="shared" si="52"/>
        <v>1.908941169162472</v>
      </c>
      <c r="AD63" s="3864"/>
      <c r="AE63" s="3865">
        <f>'Energy Effic. Kits Deemed Table'!DI232</f>
        <v>1.908941169162472</v>
      </c>
      <c r="AF63" s="3846"/>
      <c r="AG63" s="3846"/>
      <c r="AH63" s="3846"/>
      <c r="AI63" s="2233" t="str">
        <f>'Energy Effic. Kits Deemed Table'!L232</f>
        <v>per foot</v>
      </c>
      <c r="AJ63" s="3251"/>
      <c r="AX63" s="3849" t="str">
        <f t="shared" si="53"/>
        <v>Pipe Insulation - SFIE Kits</v>
      </c>
      <c r="AY63" s="2724"/>
      <c r="AZ63" s="3850" t="str">
        <f t="shared" si="54"/>
        <v>300801</v>
      </c>
      <c r="BA63" s="3866" t="s">
        <v>1303</v>
      </c>
      <c r="BB63" s="3866" t="s">
        <v>1303</v>
      </c>
      <c r="BC63" s="3866" t="s">
        <v>1303</v>
      </c>
      <c r="BD63" s="3866" t="s">
        <v>1303</v>
      </c>
      <c r="BE63" s="3853"/>
      <c r="BF63" s="3866" t="s">
        <v>1303</v>
      </c>
      <c r="BG63" s="3866" t="s">
        <v>1303</v>
      </c>
      <c r="BH63" s="3866" t="s">
        <v>1303</v>
      </c>
      <c r="BI63" s="3867" t="s">
        <v>1303</v>
      </c>
      <c r="BJ63" s="3853"/>
      <c r="BK63" s="3866" t="s">
        <v>1303</v>
      </c>
      <c r="BL63" s="3867" t="s">
        <v>1303</v>
      </c>
      <c r="BM63" s="3866" t="s">
        <v>1303</v>
      </c>
      <c r="BN63" s="3867" t="s">
        <v>1303</v>
      </c>
    </row>
    <row r="64" spans="1:66" s="696" customFormat="1">
      <c r="A64" s="2958" t="str">
        <f t="shared" si="50"/>
        <v>300850</v>
      </c>
      <c r="B64" s="2233" t="str">
        <f>'Energy Effic. Kits Deemed Table'!C270</f>
        <v>300850_2019_12_</v>
      </c>
      <c r="C64" s="2724" t="str">
        <f>'Energy Effic. Kits Deemed Table'!G270</f>
        <v>Miscellaneous RES</v>
      </c>
      <c r="D64" s="2724"/>
      <c r="E64" s="2724"/>
      <c r="F64" s="2724"/>
      <c r="G64" s="2724" t="str">
        <f>'Energy Effic. Kits Deemed Table'!E270</f>
        <v>Advanced Tier 1 Power Strips -TOS/NC - Home Office</v>
      </c>
      <c r="H64" s="2554" t="str">
        <f>'Energy Effic. Kits Deemed Table'!D270</f>
        <v>IE/PAYS</v>
      </c>
      <c r="I64" s="3840">
        <f>'Energy Effic. Kits Deemed Table'!F270</f>
        <v>29.45</v>
      </c>
      <c r="J64" s="3840">
        <v>0</v>
      </c>
      <c r="K64" s="3251">
        <v>0</v>
      </c>
      <c r="L64" s="3251">
        <v>0</v>
      </c>
      <c r="M64" s="3251">
        <v>0</v>
      </c>
      <c r="N64" s="3251">
        <v>0</v>
      </c>
      <c r="O64" s="3841">
        <f>'Energy Effic. Kits Deemed Table'!I270</f>
        <v>3.382E-3</v>
      </c>
      <c r="P64" s="3841">
        <v>0</v>
      </c>
      <c r="Q64" s="3842">
        <v>0</v>
      </c>
      <c r="R64" s="3842">
        <v>0</v>
      </c>
      <c r="S64" s="3842"/>
      <c r="T64" s="3842"/>
      <c r="U64" s="3843">
        <f t="shared" si="35"/>
        <v>0</v>
      </c>
      <c r="V64" s="3843">
        <f t="shared" si="28"/>
        <v>3.382E-3</v>
      </c>
      <c r="W64" s="3843">
        <f t="shared" si="29"/>
        <v>0</v>
      </c>
      <c r="X64" s="2846">
        <f>'Energy Effic. Kits Deemed Table'!J270</f>
        <v>10</v>
      </c>
      <c r="Y64" s="2846"/>
      <c r="Z64" s="2846">
        <f t="shared" si="51"/>
        <v>10</v>
      </c>
      <c r="AA64" s="2529">
        <f>'Energy Effic. Kits Deemed Table'!DG270</f>
        <v>0.73781113692177425</v>
      </c>
      <c r="AB64" s="3844">
        <f>'Energy Effic. Kits Deemed Table'!K270</f>
        <v>20</v>
      </c>
      <c r="AC64" s="3864">
        <f t="shared" si="52"/>
        <v>14.756222738435484</v>
      </c>
      <c r="AD64" s="3864"/>
      <c r="AE64" s="3865">
        <f>'Energy Effic. Kits Deemed Table'!DI270</f>
        <v>14.756222738435484</v>
      </c>
      <c r="AF64" s="3846"/>
      <c r="AG64" s="3846"/>
      <c r="AH64" s="3846"/>
      <c r="AI64" s="2233" t="str">
        <f>'Energy Effic. Kits Deemed Table'!L270</f>
        <v>per measure</v>
      </c>
      <c r="AJ64" s="3251"/>
      <c r="AX64" s="3849" t="str">
        <f t="shared" si="53"/>
        <v>Advanced Tier 1 Power Strips -TOS/NC - Home Office</v>
      </c>
      <c r="AY64" s="2724"/>
      <c r="AZ64" s="3850" t="str">
        <f t="shared" si="54"/>
        <v>300850</v>
      </c>
      <c r="BA64" s="3866" t="s">
        <v>1303</v>
      </c>
      <c r="BB64" s="3866" t="s">
        <v>1303</v>
      </c>
      <c r="BC64" s="3866" t="s">
        <v>1303</v>
      </c>
      <c r="BD64" s="3866" t="s">
        <v>1303</v>
      </c>
      <c r="BE64" s="3853"/>
      <c r="BF64" s="3866" t="s">
        <v>1303</v>
      </c>
      <c r="BG64" s="3866" t="s">
        <v>1303</v>
      </c>
      <c r="BH64" s="3866" t="s">
        <v>1303</v>
      </c>
      <c r="BI64" s="3867" t="s">
        <v>1303</v>
      </c>
      <c r="BJ64" s="3853"/>
      <c r="BK64" s="3866" t="s">
        <v>1303</v>
      </c>
      <c r="BL64" s="3867" t="s">
        <v>1303</v>
      </c>
      <c r="BM64" s="3866" t="s">
        <v>1303</v>
      </c>
      <c r="BN64" s="3867" t="s">
        <v>1303</v>
      </c>
    </row>
    <row r="65" spans="1:66" s="696" customFormat="1">
      <c r="A65" s="2958" t="str">
        <f t="shared" si="50"/>
        <v>300851</v>
      </c>
      <c r="B65" s="2233" t="str">
        <f>'Energy Effic. Kits Deemed Table'!C271</f>
        <v>300851_2020_12_</v>
      </c>
      <c r="C65" s="2724" t="str">
        <f>'Energy Effic. Kits Deemed Table'!G271</f>
        <v>Miscellaneous RES</v>
      </c>
      <c r="D65" s="2724"/>
      <c r="E65" s="2724"/>
      <c r="F65" s="2724"/>
      <c r="G65" s="2724" t="str">
        <f>'Energy Effic. Kits Deemed Table'!E271</f>
        <v>Advanced Tier 1 Power Strips -DI - Home Office</v>
      </c>
      <c r="H65" s="2554" t="str">
        <f>'Energy Effic. Kits Deemed Table'!D271</f>
        <v>IE/PAYS</v>
      </c>
      <c r="I65" s="3840">
        <f>'Energy Effic. Kits Deemed Table'!F271</f>
        <v>29.45</v>
      </c>
      <c r="J65" s="3840">
        <v>0</v>
      </c>
      <c r="K65" s="3251">
        <v>0</v>
      </c>
      <c r="L65" s="3251">
        <v>0</v>
      </c>
      <c r="M65" s="3251">
        <v>0</v>
      </c>
      <c r="N65" s="3251">
        <v>0</v>
      </c>
      <c r="O65" s="3841">
        <f>'Energy Effic. Kits Deemed Table'!I271</f>
        <v>3.382E-3</v>
      </c>
      <c r="P65" s="3841">
        <v>0</v>
      </c>
      <c r="Q65" s="3842">
        <v>0</v>
      </c>
      <c r="R65" s="3842">
        <v>0</v>
      </c>
      <c r="S65" s="3842"/>
      <c r="T65" s="3842"/>
      <c r="U65" s="3843">
        <f t="shared" si="35"/>
        <v>0</v>
      </c>
      <c r="V65" s="3843">
        <f t="shared" si="28"/>
        <v>3.382E-3</v>
      </c>
      <c r="W65" s="3843">
        <f t="shared" si="29"/>
        <v>0</v>
      </c>
      <c r="X65" s="2846">
        <f>'Energy Effic. Kits Deemed Table'!J271</f>
        <v>10</v>
      </c>
      <c r="Y65" s="2846"/>
      <c r="Z65" s="2846">
        <f t="shared" si="51"/>
        <v>10</v>
      </c>
      <c r="AA65" s="2529">
        <f>'Energy Effic. Kits Deemed Table'!DG271</f>
        <v>0.49187409128118281</v>
      </c>
      <c r="AB65" s="3844">
        <f>'Energy Effic. Kits Deemed Table'!K271</f>
        <v>30</v>
      </c>
      <c r="AC65" s="3864">
        <f t="shared" si="52"/>
        <v>14.756222738435484</v>
      </c>
      <c r="AD65" s="3864"/>
      <c r="AE65" s="3865">
        <f>'Energy Effic. Kits Deemed Table'!DI271</f>
        <v>14.756222738435484</v>
      </c>
      <c r="AF65" s="3846"/>
      <c r="AG65" s="3846"/>
      <c r="AH65" s="3846"/>
      <c r="AI65" s="2233" t="str">
        <f>'Energy Effic. Kits Deemed Table'!L271</f>
        <v>per measure</v>
      </c>
      <c r="AJ65" s="3251"/>
      <c r="AX65" s="3849" t="str">
        <f t="shared" si="53"/>
        <v>Advanced Tier 1 Power Strips -DI - Home Office</v>
      </c>
      <c r="AY65" s="2724"/>
      <c r="AZ65" s="3850" t="str">
        <f t="shared" si="54"/>
        <v>300851</v>
      </c>
      <c r="BA65" s="3866" t="s">
        <v>1303</v>
      </c>
      <c r="BB65" s="3866" t="s">
        <v>1303</v>
      </c>
      <c r="BC65" s="3866" t="s">
        <v>1303</v>
      </c>
      <c r="BD65" s="3866" t="s">
        <v>1303</v>
      </c>
      <c r="BE65" s="3853"/>
      <c r="BF65" s="3866" t="s">
        <v>1303</v>
      </c>
      <c r="BG65" s="3866" t="s">
        <v>1303</v>
      </c>
      <c r="BH65" s="3866" t="s">
        <v>1303</v>
      </c>
      <c r="BI65" s="3867" t="s">
        <v>1303</v>
      </c>
      <c r="BJ65" s="3853"/>
      <c r="BK65" s="3866" t="s">
        <v>1303</v>
      </c>
      <c r="BL65" s="3867" t="s">
        <v>1303</v>
      </c>
      <c r="BM65" s="3866" t="s">
        <v>1303</v>
      </c>
      <c r="BN65" s="3867" t="s">
        <v>1303</v>
      </c>
    </row>
    <row r="66" spans="1:66" s="696" customFormat="1">
      <c r="A66" s="2958" t="str">
        <f t="shared" si="50"/>
        <v>300900</v>
      </c>
      <c r="B66" s="2233" t="str">
        <f>'Energy Effic. Kits Deemed Table'!C272</f>
        <v>300900_2019_12_</v>
      </c>
      <c r="C66" s="2724" t="str">
        <f>'Energy Effic. Kits Deemed Table'!G272</f>
        <v>Miscellaneous RES</v>
      </c>
      <c r="D66" s="2724"/>
      <c r="E66" s="2724"/>
      <c r="F66" s="2724"/>
      <c r="G66" s="2724" t="str">
        <f>'Energy Effic. Kits Deemed Table'!E272</f>
        <v>Advanced Tier 1 Power Strips -Kits - Home Office</v>
      </c>
      <c r="H66" s="2554" t="str">
        <f>'Energy Effic. Kits Deemed Table'!D272</f>
        <v>IE/PAYS</v>
      </c>
      <c r="I66" s="3840">
        <f>'Energy Effic. Kits Deemed Table'!F272</f>
        <v>29.08</v>
      </c>
      <c r="J66" s="3840">
        <v>0</v>
      </c>
      <c r="K66" s="3251">
        <v>0</v>
      </c>
      <c r="L66" s="3251">
        <v>0</v>
      </c>
      <c r="M66" s="3251">
        <v>0</v>
      </c>
      <c r="N66" s="3251">
        <v>0</v>
      </c>
      <c r="O66" s="3841">
        <f>'Energy Effic. Kits Deemed Table'!I272</f>
        <v>3.339E-3</v>
      </c>
      <c r="P66" s="3841">
        <v>0</v>
      </c>
      <c r="Q66" s="3842">
        <v>0</v>
      </c>
      <c r="R66" s="3842">
        <v>0</v>
      </c>
      <c r="S66" s="3842"/>
      <c r="T66" s="3842"/>
      <c r="U66" s="3843">
        <f t="shared" si="35"/>
        <v>0</v>
      </c>
      <c r="V66" s="3843">
        <f t="shared" si="28"/>
        <v>3.339E-3</v>
      </c>
      <c r="W66" s="3843">
        <f t="shared" si="29"/>
        <v>0</v>
      </c>
      <c r="X66" s="2846">
        <f>'Energy Effic. Kits Deemed Table'!J272</f>
        <v>10</v>
      </c>
      <c r="Y66" s="2846"/>
      <c r="Z66" s="2846">
        <f t="shared" si="51"/>
        <v>10</v>
      </c>
      <c r="AA66" s="2529">
        <f>'Energy Effic. Kits Deemed Table'!DG272</f>
        <v>0.72854152331698452</v>
      </c>
      <c r="AB66" s="3844">
        <f>'Energy Effic. Kits Deemed Table'!K272</f>
        <v>20</v>
      </c>
      <c r="AC66" s="3864">
        <f t="shared" si="52"/>
        <v>14.570830466339691</v>
      </c>
      <c r="AD66" s="3864"/>
      <c r="AE66" s="3865">
        <f>'Energy Effic. Kits Deemed Table'!DI272</f>
        <v>14.570830466339691</v>
      </c>
      <c r="AF66" s="3846"/>
      <c r="AG66" s="3846"/>
      <c r="AH66" s="3846"/>
      <c r="AI66" s="2233" t="str">
        <f>'Energy Effic. Kits Deemed Table'!L272</f>
        <v>per measure</v>
      </c>
      <c r="AJ66" s="3251"/>
      <c r="AX66" s="3849" t="str">
        <f t="shared" si="53"/>
        <v>Advanced Tier 1 Power Strips -Kits - Home Office</v>
      </c>
      <c r="AY66" s="2724"/>
      <c r="AZ66" s="3850" t="str">
        <f t="shared" si="54"/>
        <v>300900</v>
      </c>
      <c r="BA66" s="3866" t="s">
        <v>1303</v>
      </c>
      <c r="BB66" s="3866" t="s">
        <v>1303</v>
      </c>
      <c r="BC66" s="3866" t="s">
        <v>1303</v>
      </c>
      <c r="BD66" s="3866" t="s">
        <v>1303</v>
      </c>
      <c r="BE66" s="3853"/>
      <c r="BF66" s="3866" t="s">
        <v>1303</v>
      </c>
      <c r="BG66" s="3866" t="s">
        <v>1303</v>
      </c>
      <c r="BH66" s="3866" t="s">
        <v>1303</v>
      </c>
      <c r="BI66" s="3867" t="s">
        <v>1303</v>
      </c>
      <c r="BJ66" s="3853"/>
      <c r="BK66" s="3866" t="s">
        <v>1303</v>
      </c>
      <c r="BL66" s="3867" t="s">
        <v>1303</v>
      </c>
      <c r="BM66" s="3866" t="s">
        <v>1303</v>
      </c>
      <c r="BN66" s="3867" t="s">
        <v>1303</v>
      </c>
    </row>
    <row r="67" spans="1:66" s="696" customFormat="1">
      <c r="A67" s="2958" t="str">
        <f t="shared" si="50"/>
        <v>300950</v>
      </c>
      <c r="B67" s="2233" t="str">
        <f>'Energy Effic. Kits Deemed Table'!C273</f>
        <v>300950_2019_12_</v>
      </c>
      <c r="C67" s="2724" t="str">
        <f>'Energy Effic. Kits Deemed Table'!G273</f>
        <v>Miscellaneous RES</v>
      </c>
      <c r="D67" s="2724"/>
      <c r="E67" s="2724"/>
      <c r="F67" s="2724"/>
      <c r="G67" s="2724" t="str">
        <f>'Energy Effic. Kits Deemed Table'!E273</f>
        <v>Advanced Tier 1 Power Strips -TOS/NC - Home Entertainment</v>
      </c>
      <c r="H67" s="2554" t="str">
        <f>'Energy Effic. Kits Deemed Table'!D273</f>
        <v>IE/PAYS</v>
      </c>
      <c r="I67" s="3840">
        <f>'Energy Effic. Kits Deemed Table'!F273</f>
        <v>71.349999999999994</v>
      </c>
      <c r="J67" s="3840">
        <v>0</v>
      </c>
      <c r="K67" s="3251">
        <v>0</v>
      </c>
      <c r="L67" s="3251">
        <v>0</v>
      </c>
      <c r="M67" s="3251">
        <v>0</v>
      </c>
      <c r="N67" s="3251">
        <v>0</v>
      </c>
      <c r="O67" s="3841">
        <f>'Energy Effic. Kits Deemed Table'!I273</f>
        <v>8.1930000000000006E-3</v>
      </c>
      <c r="P67" s="3841">
        <v>0</v>
      </c>
      <c r="Q67" s="3842">
        <v>0</v>
      </c>
      <c r="R67" s="3842">
        <v>0</v>
      </c>
      <c r="S67" s="3842"/>
      <c r="T67" s="3842"/>
      <c r="U67" s="3843">
        <f t="shared" si="35"/>
        <v>0</v>
      </c>
      <c r="V67" s="3843">
        <f t="shared" si="28"/>
        <v>8.1930000000000006E-3</v>
      </c>
      <c r="W67" s="3843">
        <f t="shared" si="29"/>
        <v>0</v>
      </c>
      <c r="X67" s="2846">
        <f>'Energy Effic. Kits Deemed Table'!J273</f>
        <v>10</v>
      </c>
      <c r="Y67" s="2846"/>
      <c r="Z67" s="2846">
        <f t="shared" si="51"/>
        <v>10</v>
      </c>
      <c r="AA67" s="2529">
        <f>'Energy Effic. Kits Deemed Table'!DG273</f>
        <v>1.7875322451398503</v>
      </c>
      <c r="AB67" s="3844">
        <f>'Energy Effic. Kits Deemed Table'!K273</f>
        <v>20</v>
      </c>
      <c r="AC67" s="3864">
        <f t="shared" si="52"/>
        <v>35.750644902797006</v>
      </c>
      <c r="AD67" s="3864"/>
      <c r="AE67" s="3865">
        <f>'Energy Effic. Kits Deemed Table'!DI273</f>
        <v>35.750644902797006</v>
      </c>
      <c r="AF67" s="3846"/>
      <c r="AG67" s="3846"/>
      <c r="AH67" s="3846"/>
      <c r="AI67" s="2233" t="str">
        <f>'Energy Effic. Kits Deemed Table'!L273</f>
        <v>per measure</v>
      </c>
      <c r="AJ67" s="3251"/>
      <c r="AX67" s="3849" t="str">
        <f t="shared" si="53"/>
        <v>Advanced Tier 1 Power Strips -TOS/NC - Home Entertainment</v>
      </c>
      <c r="AY67" s="2724"/>
      <c r="AZ67" s="3850" t="str">
        <f t="shared" si="54"/>
        <v>300950</v>
      </c>
      <c r="BA67" s="3866" t="s">
        <v>1303</v>
      </c>
      <c r="BB67" s="3866" t="s">
        <v>1303</v>
      </c>
      <c r="BC67" s="3866" t="s">
        <v>1303</v>
      </c>
      <c r="BD67" s="3866" t="s">
        <v>1303</v>
      </c>
      <c r="BE67" s="3853"/>
      <c r="BF67" s="3866" t="s">
        <v>1303</v>
      </c>
      <c r="BG67" s="3866" t="s">
        <v>1303</v>
      </c>
      <c r="BH67" s="3866" t="s">
        <v>1303</v>
      </c>
      <c r="BI67" s="3867" t="s">
        <v>1303</v>
      </c>
      <c r="BJ67" s="3853"/>
      <c r="BK67" s="3866" t="s">
        <v>1303</v>
      </c>
      <c r="BL67" s="3867" t="s">
        <v>1303</v>
      </c>
      <c r="BM67" s="3866" t="s">
        <v>1303</v>
      </c>
      <c r="BN67" s="3867" t="s">
        <v>1303</v>
      </c>
    </row>
    <row r="68" spans="1:66" s="696" customFormat="1">
      <c r="A68" s="2958" t="str">
        <f t="shared" si="50"/>
        <v>300951</v>
      </c>
      <c r="B68" s="2233" t="str">
        <f>'Energy Effic. Kits Deemed Table'!C274</f>
        <v>300951_2020_12_</v>
      </c>
      <c r="C68" s="2724" t="str">
        <f>'Energy Effic. Kits Deemed Table'!G274</f>
        <v>Miscellaneous RES</v>
      </c>
      <c r="D68" s="2724"/>
      <c r="E68" s="2724"/>
      <c r="F68" s="2724"/>
      <c r="G68" s="2724" t="str">
        <f>'Energy Effic. Kits Deemed Table'!E274</f>
        <v>Advanced Tier 1 Power Strips -DI - Home Entertainment</v>
      </c>
      <c r="H68" s="2554" t="str">
        <f>'Energy Effic. Kits Deemed Table'!D274</f>
        <v>IE/PAYS</v>
      </c>
      <c r="I68" s="3840">
        <f>'Energy Effic. Kits Deemed Table'!F274</f>
        <v>71.349999999999994</v>
      </c>
      <c r="J68" s="3840">
        <v>0</v>
      </c>
      <c r="K68" s="3251">
        <v>0</v>
      </c>
      <c r="L68" s="3251">
        <v>0</v>
      </c>
      <c r="M68" s="3251">
        <v>0</v>
      </c>
      <c r="N68" s="3251">
        <v>0</v>
      </c>
      <c r="O68" s="3841">
        <f>'Energy Effic. Kits Deemed Table'!I274</f>
        <v>8.1930000000000006E-3</v>
      </c>
      <c r="P68" s="3841">
        <v>0</v>
      </c>
      <c r="Q68" s="3842">
        <v>0</v>
      </c>
      <c r="R68" s="3842">
        <v>0</v>
      </c>
      <c r="S68" s="3842"/>
      <c r="T68" s="3842"/>
      <c r="U68" s="3843">
        <f t="shared" si="35"/>
        <v>0</v>
      </c>
      <c r="V68" s="3843">
        <f t="shared" si="28"/>
        <v>8.1930000000000006E-3</v>
      </c>
      <c r="W68" s="3843">
        <f t="shared" si="29"/>
        <v>0</v>
      </c>
      <c r="X68" s="2846">
        <f>'Energy Effic. Kits Deemed Table'!J274</f>
        <v>10</v>
      </c>
      <c r="Y68" s="2846"/>
      <c r="Z68" s="2846">
        <f t="shared" si="51"/>
        <v>10</v>
      </c>
      <c r="AA68" s="2529">
        <f>'Energy Effic. Kits Deemed Table'!DG274</f>
        <v>1.1916881634265668</v>
      </c>
      <c r="AB68" s="3844">
        <f>'Energy Effic. Kits Deemed Table'!K274</f>
        <v>30</v>
      </c>
      <c r="AC68" s="3864">
        <f t="shared" si="52"/>
        <v>35.750644902797006</v>
      </c>
      <c r="AD68" s="3864"/>
      <c r="AE68" s="3865">
        <f>'Energy Effic. Kits Deemed Table'!DI274</f>
        <v>35.750644902797006</v>
      </c>
      <c r="AF68" s="3846"/>
      <c r="AG68" s="3846"/>
      <c r="AH68" s="3846"/>
      <c r="AI68" s="2233" t="str">
        <f>'Energy Effic. Kits Deemed Table'!L274</f>
        <v>per measure</v>
      </c>
      <c r="AJ68" s="3251"/>
      <c r="AX68" s="3849" t="str">
        <f t="shared" si="53"/>
        <v>Advanced Tier 1 Power Strips -DI - Home Entertainment</v>
      </c>
      <c r="AY68" s="2724"/>
      <c r="AZ68" s="3850" t="str">
        <f t="shared" si="54"/>
        <v>300951</v>
      </c>
      <c r="BA68" s="3866" t="s">
        <v>1303</v>
      </c>
      <c r="BB68" s="3866" t="s">
        <v>1303</v>
      </c>
      <c r="BC68" s="3866" t="s">
        <v>1303</v>
      </c>
      <c r="BD68" s="3866" t="s">
        <v>1303</v>
      </c>
      <c r="BE68" s="3853"/>
      <c r="BF68" s="3866" t="s">
        <v>1303</v>
      </c>
      <c r="BG68" s="3866" t="s">
        <v>1303</v>
      </c>
      <c r="BH68" s="3866" t="s">
        <v>1303</v>
      </c>
      <c r="BI68" s="3867" t="s">
        <v>1303</v>
      </c>
      <c r="BJ68" s="3853"/>
      <c r="BK68" s="3866" t="s">
        <v>1303</v>
      </c>
      <c r="BL68" s="3867" t="s">
        <v>1303</v>
      </c>
      <c r="BM68" s="3866" t="s">
        <v>1303</v>
      </c>
      <c r="BN68" s="3867" t="s">
        <v>1303</v>
      </c>
    </row>
    <row r="69" spans="1:66" s="696" customFormat="1">
      <c r="A69" s="2958" t="str">
        <f t="shared" si="50"/>
        <v>301000</v>
      </c>
      <c r="B69" s="2233" t="str">
        <f>'Energy Effic. Kits Deemed Table'!C275</f>
        <v>301000_2019_12_</v>
      </c>
      <c r="C69" s="2724" t="str">
        <f>'Energy Effic. Kits Deemed Table'!G275</f>
        <v>Miscellaneous RES</v>
      </c>
      <c r="D69" s="2724"/>
      <c r="E69" s="2724"/>
      <c r="F69" s="2724"/>
      <c r="G69" s="2724" t="str">
        <f>'Energy Effic. Kits Deemed Table'!E275</f>
        <v>Advanced Tier 1 Power Strips -Kits - Home Entertainment</v>
      </c>
      <c r="H69" s="2554" t="str">
        <f>'Energy Effic. Kits Deemed Table'!D275</f>
        <v>IE/PAYS</v>
      </c>
      <c r="I69" s="3840">
        <f>'Energy Effic. Kits Deemed Table'!F275</f>
        <v>70.44</v>
      </c>
      <c r="J69" s="3840">
        <v>0</v>
      </c>
      <c r="K69" s="3251">
        <v>0</v>
      </c>
      <c r="L69" s="3251">
        <v>0</v>
      </c>
      <c r="M69" s="3251">
        <v>0</v>
      </c>
      <c r="N69" s="3251">
        <v>0</v>
      </c>
      <c r="O69" s="3841">
        <f>'Energy Effic. Kits Deemed Table'!I275</f>
        <v>8.0879999999999997E-3</v>
      </c>
      <c r="P69" s="3841">
        <v>0</v>
      </c>
      <c r="Q69" s="3842">
        <v>0</v>
      </c>
      <c r="R69" s="3842">
        <v>0</v>
      </c>
      <c r="S69" s="3842"/>
      <c r="T69" s="3842"/>
      <c r="U69" s="3843">
        <f t="shared" si="35"/>
        <v>0</v>
      </c>
      <c r="V69" s="3843">
        <f t="shared" si="28"/>
        <v>8.0879999999999997E-3</v>
      </c>
      <c r="W69" s="3843">
        <f t="shared" si="29"/>
        <v>0</v>
      </c>
      <c r="X69" s="2846">
        <f>'Energy Effic. Kits Deemed Table'!J275</f>
        <v>10</v>
      </c>
      <c r="Y69" s="2846"/>
      <c r="Z69" s="2846">
        <f t="shared" si="51"/>
        <v>10</v>
      </c>
      <c r="AA69" s="2529">
        <f>'Energy Effic. Kits Deemed Table'!DG275</f>
        <v>1.7647340062740162</v>
      </c>
      <c r="AB69" s="3844">
        <f>'Energy Effic. Kits Deemed Table'!K275</f>
        <v>20</v>
      </c>
      <c r="AC69" s="3864">
        <f t="shared" si="52"/>
        <v>35.294680125480326</v>
      </c>
      <c r="AD69" s="3864"/>
      <c r="AE69" s="3865">
        <f>'Energy Effic. Kits Deemed Table'!DI275</f>
        <v>35.294680125480326</v>
      </c>
      <c r="AF69" s="3846"/>
      <c r="AG69" s="3846"/>
      <c r="AH69" s="3846"/>
      <c r="AI69" s="2233" t="str">
        <f>'Energy Effic. Kits Deemed Table'!L275</f>
        <v>per measure</v>
      </c>
      <c r="AJ69" s="3251"/>
      <c r="AX69" s="3849" t="str">
        <f t="shared" si="53"/>
        <v>Advanced Tier 1 Power Strips -Kits - Home Entertainment</v>
      </c>
      <c r="AY69" s="2724"/>
      <c r="AZ69" s="3850" t="str">
        <f t="shared" si="54"/>
        <v>301000</v>
      </c>
      <c r="BA69" s="3866" t="s">
        <v>1303</v>
      </c>
      <c r="BB69" s="3866" t="s">
        <v>1303</v>
      </c>
      <c r="BC69" s="3866" t="s">
        <v>1303</v>
      </c>
      <c r="BD69" s="3866" t="s">
        <v>1303</v>
      </c>
      <c r="BE69" s="3853"/>
      <c r="BF69" s="3866" t="s">
        <v>1303</v>
      </c>
      <c r="BG69" s="3866" t="s">
        <v>1303</v>
      </c>
      <c r="BH69" s="3866" t="s">
        <v>1303</v>
      </c>
      <c r="BI69" s="3867" t="s">
        <v>1303</v>
      </c>
      <c r="BJ69" s="3853"/>
      <c r="BK69" s="3866" t="s">
        <v>1303</v>
      </c>
      <c r="BL69" s="3867" t="s">
        <v>1303</v>
      </c>
      <c r="BM69" s="3866" t="s">
        <v>1303</v>
      </c>
      <c r="BN69" s="3867" t="s">
        <v>1303</v>
      </c>
    </row>
    <row r="70" spans="1:66" s="696" customFormat="1">
      <c r="A70" s="2958" t="str">
        <f t="shared" si="50"/>
        <v>301050</v>
      </c>
      <c r="B70" s="2233" t="str">
        <f>'Energy Effic. Kits Deemed Table'!C276</f>
        <v>301050_2019_12_</v>
      </c>
      <c r="C70" s="2724" t="str">
        <f>'Energy Effic. Kits Deemed Table'!G276</f>
        <v>Miscellaneous RES</v>
      </c>
      <c r="D70" s="2724"/>
      <c r="E70" s="2724"/>
      <c r="F70" s="2724"/>
      <c r="G70" s="2724" t="str">
        <f>'Energy Effic. Kits Deemed Table'!E276</f>
        <v>Advanced Tier 1 Power Strips -TOS/NC - Unknown Location</v>
      </c>
      <c r="H70" s="2554" t="str">
        <f>'Energy Effic. Kits Deemed Table'!D276</f>
        <v>IE/PAYS</v>
      </c>
      <c r="I70" s="3840">
        <f>'Energy Effic. Kits Deemed Table'!F276</f>
        <v>56.26</v>
      </c>
      <c r="J70" s="3840">
        <v>0</v>
      </c>
      <c r="K70" s="3251">
        <v>0</v>
      </c>
      <c r="L70" s="3251">
        <v>0</v>
      </c>
      <c r="M70" s="3251">
        <v>0</v>
      </c>
      <c r="N70" s="3251">
        <v>0</v>
      </c>
      <c r="O70" s="3841">
        <f>'Energy Effic. Kits Deemed Table'!I276</f>
        <v>6.4599999999999996E-3</v>
      </c>
      <c r="P70" s="3841">
        <v>0</v>
      </c>
      <c r="Q70" s="3842">
        <v>0</v>
      </c>
      <c r="R70" s="3842">
        <v>0</v>
      </c>
      <c r="S70" s="3842"/>
      <c r="T70" s="3842"/>
      <c r="U70" s="3843">
        <f t="shared" si="35"/>
        <v>0</v>
      </c>
      <c r="V70" s="3843">
        <f t="shared" si="28"/>
        <v>6.4599999999999996E-3</v>
      </c>
      <c r="W70" s="3843">
        <f t="shared" si="29"/>
        <v>0</v>
      </c>
      <c r="X70" s="2846">
        <f>'Energy Effic. Kits Deemed Table'!J276</f>
        <v>10</v>
      </c>
      <c r="Y70" s="2846"/>
      <c r="Z70" s="2846">
        <f t="shared" si="51"/>
        <v>10</v>
      </c>
      <c r="AA70" s="2529">
        <f>'Energy Effic. Kits Deemed Table'!DG276</f>
        <v>1.409482328122887</v>
      </c>
      <c r="AB70" s="3844">
        <f>'Energy Effic. Kits Deemed Table'!K276</f>
        <v>20</v>
      </c>
      <c r="AC70" s="3864">
        <f t="shared" si="52"/>
        <v>28.189646562457739</v>
      </c>
      <c r="AD70" s="3864"/>
      <c r="AE70" s="3865">
        <f>'Energy Effic. Kits Deemed Table'!DI276</f>
        <v>28.189646562457739</v>
      </c>
      <c r="AF70" s="3846"/>
      <c r="AG70" s="3846"/>
      <c r="AH70" s="3846"/>
      <c r="AI70" s="2233" t="str">
        <f>'Energy Effic. Kits Deemed Table'!L276</f>
        <v>per measure</v>
      </c>
      <c r="AJ70" s="3251"/>
      <c r="AX70" s="3849" t="str">
        <f t="shared" si="53"/>
        <v>Advanced Tier 1 Power Strips -TOS/NC - Unknown Location</v>
      </c>
      <c r="AY70" s="2724"/>
      <c r="AZ70" s="3850" t="str">
        <f t="shared" si="54"/>
        <v>301050</v>
      </c>
      <c r="BA70" s="3866" t="s">
        <v>1303</v>
      </c>
      <c r="BB70" s="3866" t="s">
        <v>1303</v>
      </c>
      <c r="BC70" s="3866" t="s">
        <v>1303</v>
      </c>
      <c r="BD70" s="3866" t="s">
        <v>1303</v>
      </c>
      <c r="BE70" s="3853"/>
      <c r="BF70" s="3866" t="s">
        <v>1303</v>
      </c>
      <c r="BG70" s="3866" t="s">
        <v>1303</v>
      </c>
      <c r="BH70" s="3866" t="s">
        <v>1303</v>
      </c>
      <c r="BI70" s="3867" t="s">
        <v>1303</v>
      </c>
      <c r="BJ70" s="3853"/>
      <c r="BK70" s="3866" t="s">
        <v>1303</v>
      </c>
      <c r="BL70" s="3867" t="s">
        <v>1303</v>
      </c>
      <c r="BM70" s="3866" t="s">
        <v>1303</v>
      </c>
      <c r="BN70" s="3867" t="s">
        <v>1303</v>
      </c>
    </row>
    <row r="71" spans="1:66" s="696" customFormat="1">
      <c r="A71" s="2958" t="str">
        <f t="shared" si="50"/>
        <v>301051</v>
      </c>
      <c r="B71" s="2233" t="str">
        <f>'Energy Effic. Kits Deemed Table'!C277</f>
        <v>301051_2020_12_</v>
      </c>
      <c r="C71" s="2724" t="str">
        <f>'Energy Effic. Kits Deemed Table'!G277</f>
        <v>Miscellaneous RES</v>
      </c>
      <c r="D71" s="2724"/>
      <c r="E71" s="2724"/>
      <c r="F71" s="2724"/>
      <c r="G71" s="2724" t="str">
        <f>'Energy Effic. Kits Deemed Table'!E277</f>
        <v>Advanced Tier 1 Power Strips -DI - Unknown Location</v>
      </c>
      <c r="H71" s="2554" t="str">
        <f>'Energy Effic. Kits Deemed Table'!D277</f>
        <v>IE/PAYS</v>
      </c>
      <c r="I71" s="3840">
        <f>'Energy Effic. Kits Deemed Table'!F277</f>
        <v>56.26</v>
      </c>
      <c r="J71" s="3840">
        <v>0</v>
      </c>
      <c r="K71" s="3251">
        <v>0</v>
      </c>
      <c r="L71" s="3251">
        <v>0</v>
      </c>
      <c r="M71" s="3251">
        <v>0</v>
      </c>
      <c r="N71" s="3251">
        <v>0</v>
      </c>
      <c r="O71" s="3841">
        <f>'Energy Effic. Kits Deemed Table'!I277</f>
        <v>6.4599999999999996E-3</v>
      </c>
      <c r="P71" s="3841">
        <v>0</v>
      </c>
      <c r="Q71" s="3842">
        <v>0</v>
      </c>
      <c r="R71" s="3842">
        <v>0</v>
      </c>
      <c r="S71" s="3842"/>
      <c r="T71" s="3842"/>
      <c r="U71" s="3843">
        <f t="shared" si="35"/>
        <v>0</v>
      </c>
      <c r="V71" s="3843">
        <f t="shared" si="28"/>
        <v>6.4599999999999996E-3</v>
      </c>
      <c r="W71" s="3843">
        <f t="shared" si="29"/>
        <v>0</v>
      </c>
      <c r="X71" s="2846">
        <f>'Energy Effic. Kits Deemed Table'!J277</f>
        <v>10</v>
      </c>
      <c r="Y71" s="2846"/>
      <c r="Z71" s="2846">
        <f t="shared" si="51"/>
        <v>10</v>
      </c>
      <c r="AA71" s="2529">
        <f>'Energy Effic. Kits Deemed Table'!DG277</f>
        <v>0.93965488541525799</v>
      </c>
      <c r="AB71" s="3844">
        <f>'Energy Effic. Kits Deemed Table'!K277</f>
        <v>30</v>
      </c>
      <c r="AC71" s="3864">
        <f t="shared" si="52"/>
        <v>28.189646562457739</v>
      </c>
      <c r="AD71" s="3864"/>
      <c r="AE71" s="3865">
        <f>'Energy Effic. Kits Deemed Table'!DI277</f>
        <v>28.189646562457739</v>
      </c>
      <c r="AF71" s="3846"/>
      <c r="AG71" s="3846"/>
      <c r="AH71" s="3846"/>
      <c r="AI71" s="2233" t="str">
        <f>'Energy Effic. Kits Deemed Table'!L277</f>
        <v>per measure</v>
      </c>
      <c r="AJ71" s="3251"/>
      <c r="AX71" s="3849" t="str">
        <f t="shared" si="53"/>
        <v>Advanced Tier 1 Power Strips -DI - Unknown Location</v>
      </c>
      <c r="AY71" s="2724"/>
      <c r="AZ71" s="3850" t="str">
        <f t="shared" si="54"/>
        <v>301051</v>
      </c>
      <c r="BA71" s="3866" t="s">
        <v>1303</v>
      </c>
      <c r="BB71" s="3866" t="s">
        <v>1303</v>
      </c>
      <c r="BC71" s="3866" t="s">
        <v>1303</v>
      </c>
      <c r="BD71" s="3866" t="s">
        <v>1303</v>
      </c>
      <c r="BE71" s="3853"/>
      <c r="BF71" s="3866" t="s">
        <v>1303</v>
      </c>
      <c r="BG71" s="3866" t="s">
        <v>1303</v>
      </c>
      <c r="BH71" s="3866" t="s">
        <v>1303</v>
      </c>
      <c r="BI71" s="3867" t="s">
        <v>1303</v>
      </c>
      <c r="BJ71" s="3853"/>
      <c r="BK71" s="3866" t="s">
        <v>1303</v>
      </c>
      <c r="BL71" s="3867" t="s">
        <v>1303</v>
      </c>
      <c r="BM71" s="3866" t="s">
        <v>1303</v>
      </c>
      <c r="BN71" s="3867" t="s">
        <v>1303</v>
      </c>
    </row>
    <row r="72" spans="1:66" s="696" customFormat="1">
      <c r="A72" s="2958" t="str">
        <f t="shared" si="50"/>
        <v>301100</v>
      </c>
      <c r="B72" s="2233" t="str">
        <f>'Energy Effic. Kits Deemed Table'!C278</f>
        <v>301100_2019_12_</v>
      </c>
      <c r="C72" s="2724" t="str">
        <f>'Energy Effic. Kits Deemed Table'!G278</f>
        <v>Miscellaneous RES</v>
      </c>
      <c r="D72" s="2724"/>
      <c r="E72" s="2724"/>
      <c r="F72" s="2724"/>
      <c r="G72" s="2724" t="str">
        <f>'Energy Effic. Kits Deemed Table'!E278</f>
        <v>Advanced Tier 1 Power Strips -Kits - Unknown Location</v>
      </c>
      <c r="H72" s="2554" t="str">
        <f>'Energy Effic. Kits Deemed Table'!D278</f>
        <v>IE/PAYS</v>
      </c>
      <c r="I72" s="3840">
        <f>'Energy Effic. Kits Deemed Table'!F278</f>
        <v>50.59</v>
      </c>
      <c r="J72" s="3840">
        <v>0</v>
      </c>
      <c r="K72" s="3251">
        <v>0</v>
      </c>
      <c r="L72" s="3251">
        <v>0</v>
      </c>
      <c r="M72" s="3251">
        <v>0</v>
      </c>
      <c r="N72" s="3251">
        <v>0</v>
      </c>
      <c r="O72" s="3841">
        <f>'Energy Effic. Kits Deemed Table'!I278</f>
        <v>5.8089999999999999E-3</v>
      </c>
      <c r="P72" s="3841">
        <v>0</v>
      </c>
      <c r="Q72" s="3842">
        <v>0</v>
      </c>
      <c r="R72" s="3842">
        <v>0</v>
      </c>
      <c r="S72" s="3842"/>
      <c r="T72" s="3842"/>
      <c r="U72" s="3843">
        <f t="shared" si="35"/>
        <v>0</v>
      </c>
      <c r="V72" s="3843">
        <f t="shared" si="28"/>
        <v>5.8089999999999999E-3</v>
      </c>
      <c r="W72" s="3843">
        <f t="shared" si="29"/>
        <v>0</v>
      </c>
      <c r="X72" s="2846">
        <f>'Energy Effic. Kits Deemed Table'!J278</f>
        <v>10</v>
      </c>
      <c r="Y72" s="2846"/>
      <c r="Z72" s="2846">
        <f t="shared" si="51"/>
        <v>10</v>
      </c>
      <c r="AA72" s="2529">
        <f>'Energy Effic. Kits Deemed Table'!DG278</f>
        <v>1.2674317628819207</v>
      </c>
      <c r="AB72" s="3844">
        <f>'Energy Effic. Kits Deemed Table'!K278</f>
        <v>20</v>
      </c>
      <c r="AC72" s="3864">
        <f t="shared" si="52"/>
        <v>25.348635257638414</v>
      </c>
      <c r="AD72" s="3864"/>
      <c r="AE72" s="3865">
        <f>'Energy Effic. Kits Deemed Table'!DI278</f>
        <v>25.348635257638414</v>
      </c>
      <c r="AF72" s="3846"/>
      <c r="AG72" s="3846"/>
      <c r="AH72" s="3846"/>
      <c r="AI72" s="2233" t="str">
        <f>'Energy Effic. Kits Deemed Table'!L278</f>
        <v>per measure</v>
      </c>
      <c r="AJ72" s="3251"/>
      <c r="AX72" s="3849" t="str">
        <f t="shared" si="53"/>
        <v>Advanced Tier 1 Power Strips -Kits - Unknown Location</v>
      </c>
      <c r="AY72" s="2724"/>
      <c r="AZ72" s="3850" t="str">
        <f t="shared" si="54"/>
        <v>301100</v>
      </c>
      <c r="BA72" s="3866" t="s">
        <v>1303</v>
      </c>
      <c r="BB72" s="3866" t="s">
        <v>1303</v>
      </c>
      <c r="BC72" s="3866" t="s">
        <v>1303</v>
      </c>
      <c r="BD72" s="3866" t="s">
        <v>1303</v>
      </c>
      <c r="BE72" s="3853"/>
      <c r="BF72" s="3866" t="s">
        <v>1303</v>
      </c>
      <c r="BG72" s="3866" t="s">
        <v>1303</v>
      </c>
      <c r="BH72" s="3866" t="s">
        <v>1303</v>
      </c>
      <c r="BI72" s="3867" t="s">
        <v>1303</v>
      </c>
      <c r="BJ72" s="3853"/>
      <c r="BK72" s="3866" t="s">
        <v>1303</v>
      </c>
      <c r="BL72" s="3867" t="s">
        <v>1303</v>
      </c>
      <c r="BM72" s="3866" t="s">
        <v>1303</v>
      </c>
      <c r="BN72" s="3867" t="s">
        <v>1303</v>
      </c>
    </row>
    <row r="73" spans="1:66" s="696" customFormat="1">
      <c r="A73" s="2958" t="str">
        <f t="shared" si="50"/>
        <v>301149</v>
      </c>
      <c r="B73" s="2233" t="str">
        <f>'Energy Effic. Kits Deemed Table'!C306</f>
        <v>301149_2024_12_</v>
      </c>
      <c r="C73" s="2724" t="str">
        <f>'Energy Effic. Kits Deemed Table'!G306</f>
        <v>Miscellaneous RES</v>
      </c>
      <c r="D73" s="2724"/>
      <c r="E73" s="2724"/>
      <c r="F73" s="2724"/>
      <c r="G73" s="2724" t="str">
        <f>'Energy Effic. Kits Deemed Table'!E306</f>
        <v>Advanced Tier 2 Power Strips: Infrared, TOS/NC/DI - Unknown Location</v>
      </c>
      <c r="H73" s="2554" t="str">
        <f>'Energy Effic. Kits Deemed Table'!D306</f>
        <v>IE/PAYS</v>
      </c>
      <c r="I73" s="3840">
        <f>'Energy Effic. Kits Deemed Table'!F306</f>
        <v>177.08</v>
      </c>
      <c r="J73" s="3840">
        <v>0</v>
      </c>
      <c r="K73" s="3251">
        <v>0</v>
      </c>
      <c r="L73" s="3251">
        <v>0</v>
      </c>
      <c r="M73" s="3251">
        <v>0</v>
      </c>
      <c r="N73" s="3251">
        <v>0</v>
      </c>
      <c r="O73" s="3841">
        <f>'Energy Effic. Kits Deemed Table'!I306</f>
        <v>2.0333E-2</v>
      </c>
      <c r="P73" s="3841">
        <v>0</v>
      </c>
      <c r="Q73" s="3842">
        <v>0</v>
      </c>
      <c r="R73" s="3842">
        <v>0</v>
      </c>
      <c r="S73" s="3842"/>
      <c r="T73" s="3842"/>
      <c r="U73" s="3843">
        <f t="shared" si="35"/>
        <v>0</v>
      </c>
      <c r="V73" s="3843">
        <f t="shared" si="28"/>
        <v>2.0333E-2</v>
      </c>
      <c r="W73" s="3843">
        <f t="shared" si="29"/>
        <v>0</v>
      </c>
      <c r="X73" s="2846">
        <f>'Energy Effic. Kits Deemed Table'!J306</f>
        <v>10</v>
      </c>
      <c r="Y73" s="2846"/>
      <c r="Z73" s="2846">
        <f t="shared" si="51"/>
        <v>10</v>
      </c>
      <c r="AA73" s="2529">
        <f>'Energy Effic. Kits Deemed Table'!DG306</f>
        <v>1.3650421431485731</v>
      </c>
      <c r="AB73" s="3844">
        <f>'Energy Effic. Kits Deemed Table'!K306</f>
        <v>65</v>
      </c>
      <c r="AC73" s="3864">
        <f t="shared" si="52"/>
        <v>88.727739304657248</v>
      </c>
      <c r="AD73" s="3864"/>
      <c r="AE73" s="3865">
        <f>'Energy Effic. Kits Deemed Table'!DI306</f>
        <v>88.727739304657248</v>
      </c>
      <c r="AF73" s="3846"/>
      <c r="AG73" s="3846"/>
      <c r="AH73" s="3846"/>
      <c r="AI73" s="2233" t="str">
        <f>'Energy Effic. Kits Deemed Table'!L306</f>
        <v>per measure</v>
      </c>
      <c r="AJ73" s="3251"/>
      <c r="AX73" s="3849" t="str">
        <f t="shared" si="53"/>
        <v>Advanced Tier 2 Power Strips: Infrared, TOS/NC/DI - Unknown Location</v>
      </c>
      <c r="AY73" s="2724"/>
      <c r="AZ73" s="3850" t="str">
        <f t="shared" si="54"/>
        <v>301149</v>
      </c>
      <c r="BA73" s="3866" t="s">
        <v>1303</v>
      </c>
      <c r="BB73" s="3866" t="s">
        <v>1303</v>
      </c>
      <c r="BC73" s="3866" t="s">
        <v>1303</v>
      </c>
      <c r="BD73" s="3866" t="s">
        <v>1303</v>
      </c>
      <c r="BE73" s="3853"/>
      <c r="BF73" s="3866" t="s">
        <v>1303</v>
      </c>
      <c r="BG73" s="3866" t="s">
        <v>1303</v>
      </c>
      <c r="BH73" s="3866" t="s">
        <v>1303</v>
      </c>
      <c r="BI73" s="3867" t="s">
        <v>1303</v>
      </c>
      <c r="BJ73" s="3853"/>
      <c r="BK73" s="3866" t="s">
        <v>1303</v>
      </c>
      <c r="BL73" s="3867" t="s">
        <v>1303</v>
      </c>
      <c r="BM73" s="3866" t="s">
        <v>1303</v>
      </c>
      <c r="BN73" s="3867" t="s">
        <v>1303</v>
      </c>
    </row>
    <row r="74" spans="1:66" s="696" customFormat="1">
      <c r="A74" s="2958" t="str">
        <f t="shared" si="50"/>
        <v>301150</v>
      </c>
      <c r="B74" s="2233" t="str">
        <f>'Energy Effic. Kits Deemed Table'!C307</f>
        <v>301150_2024_12_</v>
      </c>
      <c r="C74" s="2724" t="str">
        <f>'Energy Effic. Kits Deemed Table'!G307</f>
        <v>Miscellaneous RES</v>
      </c>
      <c r="D74" s="2724"/>
      <c r="E74" s="2724"/>
      <c r="F74" s="2724"/>
      <c r="G74" s="2724" t="str">
        <f>'Energy Effic. Kits Deemed Table'!E307</f>
        <v>Advanced Tier 2 Power Strips: Infrared, SFIE Kits - Unknown Location</v>
      </c>
      <c r="H74" s="2554" t="str">
        <f>'Energy Effic. Kits Deemed Table'!D307</f>
        <v>IE/PAYS</v>
      </c>
      <c r="I74" s="3840">
        <f>'Energy Effic. Kits Deemed Table'!F307</f>
        <v>174.84</v>
      </c>
      <c r="J74" s="3840">
        <v>0</v>
      </c>
      <c r="K74" s="3251">
        <v>0</v>
      </c>
      <c r="L74" s="3251">
        <v>0</v>
      </c>
      <c r="M74" s="3251">
        <v>0</v>
      </c>
      <c r="N74" s="3251">
        <v>0</v>
      </c>
      <c r="O74" s="3841">
        <f>'Energy Effic. Kits Deemed Table'!I307</f>
        <v>2.0076E-2</v>
      </c>
      <c r="P74" s="3841">
        <v>0</v>
      </c>
      <c r="Q74" s="3842">
        <v>0</v>
      </c>
      <c r="R74" s="3842">
        <v>0</v>
      </c>
      <c r="S74" s="3842"/>
      <c r="T74" s="3842"/>
      <c r="U74" s="3843">
        <f t="shared" si="35"/>
        <v>0</v>
      </c>
      <c r="V74" s="3843">
        <f t="shared" si="28"/>
        <v>2.0076E-2</v>
      </c>
      <c r="W74" s="3843">
        <f t="shared" si="29"/>
        <v>0</v>
      </c>
      <c r="X74" s="2846">
        <f>'Energy Effic. Kits Deemed Table'!J307</f>
        <v>10</v>
      </c>
      <c r="Y74" s="2846"/>
      <c r="Z74" s="2846">
        <f t="shared" si="51"/>
        <v>10</v>
      </c>
      <c r="AA74" s="2529">
        <f>'Energy Effic. Kits Deemed Table'!DG307</f>
        <v>1.3477748379720833</v>
      </c>
      <c r="AB74" s="3844">
        <f>'Energy Effic. Kits Deemed Table'!K307</f>
        <v>65</v>
      </c>
      <c r="AC74" s="3864">
        <f t="shared" si="52"/>
        <v>87.605364468185414</v>
      </c>
      <c r="AD74" s="3864"/>
      <c r="AE74" s="3865">
        <f>'Energy Effic. Kits Deemed Table'!DI307</f>
        <v>87.605364468185414</v>
      </c>
      <c r="AF74" s="3846"/>
      <c r="AG74" s="3846"/>
      <c r="AH74" s="3846"/>
      <c r="AI74" s="2233" t="str">
        <f>'Energy Effic. Kits Deemed Table'!L307</f>
        <v>per measure</v>
      </c>
      <c r="AJ74" s="3251"/>
      <c r="AX74" s="3849" t="str">
        <f t="shared" si="53"/>
        <v>Advanced Tier 2 Power Strips: Infrared, SFIE Kits - Unknown Location</v>
      </c>
      <c r="AY74" s="2724"/>
      <c r="AZ74" s="3850" t="str">
        <f t="shared" si="54"/>
        <v>301150</v>
      </c>
      <c r="BA74" s="3866" t="s">
        <v>1303</v>
      </c>
      <c r="BB74" s="3866" t="s">
        <v>1303</v>
      </c>
      <c r="BC74" s="3866" t="s">
        <v>1303</v>
      </c>
      <c r="BD74" s="3866" t="s">
        <v>1303</v>
      </c>
      <c r="BE74" s="3853"/>
      <c r="BF74" s="3866" t="s">
        <v>1303</v>
      </c>
      <c r="BG74" s="3866" t="s">
        <v>1303</v>
      </c>
      <c r="BH74" s="3866" t="s">
        <v>1303</v>
      </c>
      <c r="BI74" s="3867" t="s">
        <v>1303</v>
      </c>
      <c r="BJ74" s="3853"/>
      <c r="BK74" s="3866" t="s">
        <v>1303</v>
      </c>
      <c r="BL74" s="3867" t="s">
        <v>1303</v>
      </c>
      <c r="BM74" s="3866" t="s">
        <v>1303</v>
      </c>
      <c r="BN74" s="3867" t="s">
        <v>1303</v>
      </c>
    </row>
    <row r="75" spans="1:66" s="696" customFormat="1">
      <c r="A75" s="2958" t="str">
        <f t="shared" ref="A75:A77" si="60">LEFT(B75,6)</f>
        <v>301151</v>
      </c>
      <c r="B75" s="2233" t="str">
        <f>'Energy Effic. Kits Deemed Table'!C308</f>
        <v>301151_2024_12_</v>
      </c>
      <c r="C75" s="2724" t="str">
        <f>'Energy Effic. Kits Deemed Table'!G308</f>
        <v>Miscellaneous RES</v>
      </c>
      <c r="D75" s="2724"/>
      <c r="E75" s="2724"/>
      <c r="F75" s="2724"/>
      <c r="G75" s="2724" t="str">
        <f>'Energy Effic. Kits Deemed Table'!E308</f>
        <v>Advanced Tier 2 Power Strips: Infrared &amp; Occupancy Sensor, TOS/NC/DI - Unknown Location</v>
      </c>
      <c r="H75" s="2554" t="str">
        <f>'Energy Effic. Kits Deemed Table'!D308</f>
        <v>IE/PAYS</v>
      </c>
      <c r="I75" s="3840">
        <f>'Energy Effic. Kits Deemed Table'!F308</f>
        <v>110.68</v>
      </c>
      <c r="J75" s="3840">
        <v>0</v>
      </c>
      <c r="K75" s="3251">
        <v>0</v>
      </c>
      <c r="L75" s="3251">
        <v>0</v>
      </c>
      <c r="M75" s="3251">
        <v>0</v>
      </c>
      <c r="N75" s="3251">
        <v>0</v>
      </c>
      <c r="O75" s="3841">
        <f>'Energy Effic. Kits Deemed Table'!I308</f>
        <v>1.2709E-2</v>
      </c>
      <c r="P75" s="3841">
        <v>0</v>
      </c>
      <c r="Q75" s="3842">
        <v>0</v>
      </c>
      <c r="R75" s="3842">
        <v>0</v>
      </c>
      <c r="S75" s="3842"/>
      <c r="T75" s="3842"/>
      <c r="U75" s="3843">
        <f t="shared" si="35"/>
        <v>0</v>
      </c>
      <c r="V75" s="3843">
        <f t="shared" si="28"/>
        <v>1.2709E-2</v>
      </c>
      <c r="W75" s="3843">
        <f t="shared" si="29"/>
        <v>0</v>
      </c>
      <c r="X75" s="2846">
        <f>'Energy Effic. Kits Deemed Table'!J308</f>
        <v>10</v>
      </c>
      <c r="Y75" s="2846"/>
      <c r="Z75" s="2846">
        <f t="shared" ref="Z75:Z77" si="61">Y75+X75</f>
        <v>10</v>
      </c>
      <c r="AA75" s="2529">
        <f>'Energy Effic. Kits Deemed Table'!DG308</f>
        <v>0.85318988255977002</v>
      </c>
      <c r="AB75" s="3844">
        <f>'Energy Effic. Kits Deemed Table'!K308</f>
        <v>65</v>
      </c>
      <c r="AC75" s="3864">
        <f t="shared" ref="AC75:AC77" si="62">AE75+AF75</f>
        <v>55.457342366385049</v>
      </c>
      <c r="AD75" s="3864"/>
      <c r="AE75" s="3865">
        <f>'Energy Effic. Kits Deemed Table'!DI308</f>
        <v>55.457342366385049</v>
      </c>
      <c r="AF75" s="3846"/>
      <c r="AG75" s="3846"/>
      <c r="AH75" s="3846"/>
      <c r="AI75" s="2233" t="str">
        <f>'Energy Effic. Kits Deemed Table'!L308</f>
        <v>per measure</v>
      </c>
      <c r="AJ75" s="3251"/>
      <c r="AX75" s="3849" t="str">
        <f t="shared" ref="AX75:AX77" si="63">G75</f>
        <v>Advanced Tier 2 Power Strips: Infrared &amp; Occupancy Sensor, TOS/NC/DI - Unknown Location</v>
      </c>
      <c r="AY75" s="2724"/>
      <c r="AZ75" s="3850" t="str">
        <f t="shared" ref="AZ75:AZ77" si="64">A75</f>
        <v>301151</v>
      </c>
      <c r="BA75" s="3866" t="s">
        <v>1303</v>
      </c>
      <c r="BB75" s="3866" t="s">
        <v>1303</v>
      </c>
      <c r="BC75" s="3866" t="s">
        <v>1303</v>
      </c>
      <c r="BD75" s="3866" t="s">
        <v>1303</v>
      </c>
      <c r="BE75" s="3853"/>
      <c r="BF75" s="3866" t="s">
        <v>1303</v>
      </c>
      <c r="BG75" s="3866" t="s">
        <v>1303</v>
      </c>
      <c r="BH75" s="3866" t="s">
        <v>1303</v>
      </c>
      <c r="BI75" s="3867" t="s">
        <v>1303</v>
      </c>
      <c r="BJ75" s="3853"/>
      <c r="BK75" s="3866" t="s">
        <v>1303</v>
      </c>
      <c r="BL75" s="3867" t="s">
        <v>1303</v>
      </c>
      <c r="BM75" s="3866" t="s">
        <v>1303</v>
      </c>
      <c r="BN75" s="3867" t="s">
        <v>1303</v>
      </c>
    </row>
    <row r="76" spans="1:66" s="696" customFormat="1">
      <c r="A76" s="2958" t="str">
        <f t="shared" si="60"/>
        <v>301152</v>
      </c>
      <c r="B76" s="2233" t="str">
        <f>'Energy Effic. Kits Deemed Table'!C309</f>
        <v>301152_2024_12_</v>
      </c>
      <c r="C76" s="2724" t="str">
        <f>'Energy Effic. Kits Deemed Table'!G309</f>
        <v>Miscellaneous RES</v>
      </c>
      <c r="D76" s="2724"/>
      <c r="E76" s="2724"/>
      <c r="F76" s="2724"/>
      <c r="G76" s="2724" t="str">
        <f>'Energy Effic. Kits Deemed Table'!E309</f>
        <v>Advanced Tier 2 Power Strips: Infrared &amp; Occupancy Sensor, SFIE Kits - Unknown Location</v>
      </c>
      <c r="H76" s="2554" t="str">
        <f>'Energy Effic. Kits Deemed Table'!D309</f>
        <v>IE</v>
      </c>
      <c r="I76" s="3840">
        <f>'Energy Effic. Kits Deemed Table'!F309</f>
        <v>109.28</v>
      </c>
      <c r="J76" s="3840">
        <v>0</v>
      </c>
      <c r="K76" s="3251">
        <v>0</v>
      </c>
      <c r="L76" s="3251">
        <v>0</v>
      </c>
      <c r="M76" s="3251">
        <v>0</v>
      </c>
      <c r="N76" s="3251">
        <v>0</v>
      </c>
      <c r="O76" s="3841">
        <f>'Energy Effic. Kits Deemed Table'!I309</f>
        <v>1.2548E-2</v>
      </c>
      <c r="P76" s="3841">
        <v>0</v>
      </c>
      <c r="Q76" s="3842">
        <v>0</v>
      </c>
      <c r="R76" s="3842">
        <v>0</v>
      </c>
      <c r="S76" s="3842"/>
      <c r="T76" s="3842"/>
      <c r="U76" s="3843">
        <f t="shared" si="35"/>
        <v>0</v>
      </c>
      <c r="V76" s="3843">
        <f t="shared" si="28"/>
        <v>1.2548E-2</v>
      </c>
      <c r="W76" s="3843">
        <f t="shared" si="29"/>
        <v>0</v>
      </c>
      <c r="X76" s="2846">
        <f>'Energy Effic. Kits Deemed Table'!J309</f>
        <v>10</v>
      </c>
      <c r="Y76" s="2846"/>
      <c r="Z76" s="2846">
        <f t="shared" si="61"/>
        <v>10</v>
      </c>
      <c r="AA76" s="2529">
        <f>'Energy Effic. Kits Deemed Table'!DG309</f>
        <v>0.8423978168244638</v>
      </c>
      <c r="AB76" s="3844">
        <f>'Energy Effic. Kits Deemed Table'!K309</f>
        <v>65</v>
      </c>
      <c r="AC76" s="3864">
        <f t="shared" si="62"/>
        <v>54.755858093590149</v>
      </c>
      <c r="AD76" s="3864"/>
      <c r="AE76" s="3865">
        <f>'Energy Effic. Kits Deemed Table'!DI309</f>
        <v>54.755858093590149</v>
      </c>
      <c r="AF76" s="3846"/>
      <c r="AG76" s="3846"/>
      <c r="AH76" s="3846"/>
      <c r="AI76" s="2233" t="str">
        <f>'Energy Effic. Kits Deemed Table'!L309</f>
        <v>per measure</v>
      </c>
      <c r="AJ76" s="3251"/>
      <c r="AX76" s="3849" t="str">
        <f t="shared" si="63"/>
        <v>Advanced Tier 2 Power Strips: Infrared &amp; Occupancy Sensor, SFIE Kits - Unknown Location</v>
      </c>
      <c r="AY76" s="2724"/>
      <c r="AZ76" s="3850" t="str">
        <f t="shared" si="64"/>
        <v>301152</v>
      </c>
      <c r="BA76" s="3866" t="s">
        <v>1303</v>
      </c>
      <c r="BB76" s="3866" t="s">
        <v>1303</v>
      </c>
      <c r="BC76" s="3866" t="s">
        <v>1303</v>
      </c>
      <c r="BD76" s="3866" t="s">
        <v>1303</v>
      </c>
      <c r="BE76" s="3853"/>
      <c r="BF76" s="3866" t="s">
        <v>1303</v>
      </c>
      <c r="BG76" s="3866" t="s">
        <v>1303</v>
      </c>
      <c r="BH76" s="3866" t="s">
        <v>1303</v>
      </c>
      <c r="BI76" s="3867" t="s">
        <v>1303</v>
      </c>
      <c r="BJ76" s="3853"/>
      <c r="BK76" s="3866" t="s">
        <v>1303</v>
      </c>
      <c r="BL76" s="3867" t="s">
        <v>1303</v>
      </c>
      <c r="BM76" s="3866" t="s">
        <v>1303</v>
      </c>
      <c r="BN76" s="3867" t="s">
        <v>1303</v>
      </c>
    </row>
    <row r="77" spans="1:66" s="696" customFormat="1">
      <c r="A77" s="2958" t="str">
        <f t="shared" si="60"/>
        <v>301200</v>
      </c>
      <c r="B77" s="2233" t="str">
        <f>'Energy Effic. Kits Deemed Table'!C331</f>
        <v>301200_2024_12_</v>
      </c>
      <c r="C77" s="2724" t="str">
        <f>'Energy Effic. Kits Deemed Table'!G331</f>
        <v>Building Shell RES</v>
      </c>
      <c r="D77" s="2724"/>
      <c r="E77" s="2724"/>
      <c r="F77" s="2724"/>
      <c r="G77" s="2724" t="str">
        <f>'Energy Effic. Kits Deemed Table'!E331</f>
        <v>Weatherstripping: 17' Roll</v>
      </c>
      <c r="H77" s="2554" t="str">
        <f>'Energy Effic. Kits Deemed Table'!D331</f>
        <v>IE/PAYS</v>
      </c>
      <c r="I77" s="3840">
        <f>'Energy Effic. Kits Deemed Table'!F331</f>
        <v>18.84</v>
      </c>
      <c r="J77" s="3840">
        <v>0</v>
      </c>
      <c r="K77" s="3251">
        <v>0</v>
      </c>
      <c r="L77" s="3251">
        <v>0</v>
      </c>
      <c r="M77" s="3251">
        <v>0</v>
      </c>
      <c r="N77" s="3251">
        <v>0</v>
      </c>
      <c r="O77" s="3841">
        <f>'Energy Effic. Kits Deemed Table'!I331</f>
        <v>8.7810000000000006E-3</v>
      </c>
      <c r="P77" s="3841">
        <v>0</v>
      </c>
      <c r="Q77" s="3842">
        <v>0</v>
      </c>
      <c r="R77" s="3842">
        <v>0</v>
      </c>
      <c r="S77" s="3842"/>
      <c r="T77" s="3842"/>
      <c r="U77" s="3843">
        <f t="shared" si="35"/>
        <v>0</v>
      </c>
      <c r="V77" s="3843">
        <f t="shared" si="28"/>
        <v>0</v>
      </c>
      <c r="W77" s="3843">
        <f t="shared" si="29"/>
        <v>8.7810000000000006E-3</v>
      </c>
      <c r="X77" s="2846">
        <f>'Energy Effic. Kits Deemed Table'!J331</f>
        <v>20</v>
      </c>
      <c r="Y77" s="2846"/>
      <c r="Z77" s="2846">
        <f t="shared" si="61"/>
        <v>20</v>
      </c>
      <c r="AA77" s="2529">
        <f>'Energy Effic. Kits Deemed Table'!DG331</f>
        <v>5.7369733281538657</v>
      </c>
      <c r="AB77" s="3844">
        <f>'Energy Effic. Kits Deemed Table'!K331</f>
        <v>5</v>
      </c>
      <c r="AC77" s="3864">
        <f t="shared" si="62"/>
        <v>28.684866640769329</v>
      </c>
      <c r="AD77" s="3864"/>
      <c r="AE77" s="3008">
        <f>'Energy Effic. Kits Deemed Table'!DI331</f>
        <v>28.684866640769329</v>
      </c>
      <c r="AF77" s="3846"/>
      <c r="AG77" s="3846"/>
      <c r="AH77" s="3846"/>
      <c r="AI77" s="2233" t="str">
        <f>'Energy Effic. Kits Deemed Table'!L331</f>
        <v>per measure</v>
      </c>
      <c r="AJ77" s="3251"/>
      <c r="AX77" s="3849" t="str">
        <f t="shared" si="63"/>
        <v>Weatherstripping: 17' Roll</v>
      </c>
      <c r="AY77" s="2724"/>
      <c r="AZ77" s="3850" t="str">
        <f t="shared" si="64"/>
        <v>301200</v>
      </c>
      <c r="BA77" s="3866" t="s">
        <v>1303</v>
      </c>
      <c r="BB77" s="3866" t="s">
        <v>1303</v>
      </c>
      <c r="BC77" s="3866" t="s">
        <v>1303</v>
      </c>
      <c r="BD77" s="3866" t="s">
        <v>1303</v>
      </c>
      <c r="BE77" s="3853"/>
      <c r="BF77" s="3866" t="s">
        <v>1303</v>
      </c>
      <c r="BG77" s="3866" t="s">
        <v>1303</v>
      </c>
      <c r="BH77" s="3866" t="s">
        <v>1303</v>
      </c>
      <c r="BI77" s="3867" t="s">
        <v>1303</v>
      </c>
      <c r="BJ77" s="3853"/>
      <c r="BK77" s="3866" t="s">
        <v>1303</v>
      </c>
      <c r="BL77" s="3867" t="s">
        <v>1303</v>
      </c>
      <c r="BM77" s="3866" t="s">
        <v>1303</v>
      </c>
      <c r="BN77" s="3867" t="s">
        <v>1303</v>
      </c>
    </row>
    <row r="78" spans="1:66" s="696" customFormat="1">
      <c r="A78" s="2958" t="str">
        <f t="shared" si="50"/>
        <v>350150</v>
      </c>
      <c r="B78" s="2233" t="str">
        <f>'HVAC Deemed Table'!C7</f>
        <v>350150_2024_12_</v>
      </c>
      <c r="C78" s="2724" t="str">
        <f>'HVAC Deemed Table'!G7</f>
        <v>HVAC RES</v>
      </c>
      <c r="D78" s="2724" t="str">
        <f>'HVAC Deemed Table'!G8</f>
        <v>HVAC RES ER2</v>
      </c>
      <c r="E78" s="2724"/>
      <c r="F78" s="2724"/>
      <c r="G78" s="2724" t="str">
        <f>'HVAC Deemed Table'!E7</f>
        <v>ECM Auto Fan ER1 - SF</v>
      </c>
      <c r="H78" s="2554" t="str">
        <f>'HVAC Deemed Table'!D7</f>
        <v>SF</v>
      </c>
      <c r="I78" s="3840">
        <f>'HVAC Deemed Table'!F7</f>
        <v>579.09</v>
      </c>
      <c r="J78" s="3840">
        <f>'HVAC Deemed Table'!F8</f>
        <v>0</v>
      </c>
      <c r="K78" s="3251">
        <v>0</v>
      </c>
      <c r="L78" s="3251">
        <v>0</v>
      </c>
      <c r="M78" s="3251">
        <v>0</v>
      </c>
      <c r="N78" s="3251">
        <v>0</v>
      </c>
      <c r="O78" s="3841">
        <f>'HVAC Deemed Table'!M7</f>
        <v>0.269903</v>
      </c>
      <c r="P78" s="3841">
        <f>'HVAC Deemed Table'!M8</f>
        <v>0</v>
      </c>
      <c r="Q78" s="3842">
        <v>0</v>
      </c>
      <c r="R78" s="3842">
        <v>0</v>
      </c>
      <c r="S78" s="3842"/>
      <c r="T78" s="3842"/>
      <c r="U78" s="3843">
        <f t="shared" si="35"/>
        <v>0.269903</v>
      </c>
      <c r="V78" s="3843">
        <f t="shared" si="28"/>
        <v>0</v>
      </c>
      <c r="W78" s="3843">
        <f t="shared" si="29"/>
        <v>0</v>
      </c>
      <c r="X78" s="2846">
        <f>'HVAC Deemed Table'!N7</f>
        <v>6</v>
      </c>
      <c r="Y78" s="2846">
        <f>'HVAC Deemed Table'!N8</f>
        <v>0</v>
      </c>
      <c r="Z78" s="2846">
        <f t="shared" si="51"/>
        <v>6</v>
      </c>
      <c r="AA78" s="2529">
        <f>'HVAC Deemed Table'!DG7</f>
        <v>4.1244462294213049</v>
      </c>
      <c r="AB78" s="3844">
        <f>'HVAC Deemed Table'!O7</f>
        <v>87.5</v>
      </c>
      <c r="AC78" s="3845">
        <f t="shared" si="52"/>
        <v>360.88904507436416</v>
      </c>
      <c r="AD78" s="3845">
        <f t="shared" ref="AD78:AD139" si="65">AG78+AH78</f>
        <v>0</v>
      </c>
      <c r="AE78" s="3870">
        <f>'HVAC Deemed Table'!DI7</f>
        <v>360.88904507436416</v>
      </c>
      <c r="AF78" s="3846">
        <v>0</v>
      </c>
      <c r="AG78" s="3870">
        <f>'HVAC Deemed Table'!DI8</f>
        <v>0</v>
      </c>
      <c r="AH78" s="3846">
        <v>0</v>
      </c>
      <c r="AI78" s="3847" t="str">
        <f>AI77</f>
        <v>per measure</v>
      </c>
      <c r="AJ78" s="3251"/>
      <c r="AK78" s="3848"/>
      <c r="AL78" s="3848"/>
      <c r="AX78" s="3849" t="str">
        <f t="shared" si="53"/>
        <v>ECM Auto Fan ER1 - SF</v>
      </c>
      <c r="AY78" s="2724"/>
      <c r="AZ78" s="3850" t="str">
        <f t="shared" si="54"/>
        <v>350150</v>
      </c>
      <c r="BA78" s="3866" t="s">
        <v>1303</v>
      </c>
      <c r="BB78" s="3866" t="s">
        <v>1303</v>
      </c>
      <c r="BC78" s="3866" t="s">
        <v>1303</v>
      </c>
      <c r="BD78" s="3866" t="s">
        <v>1303</v>
      </c>
      <c r="BE78" s="3853"/>
      <c r="BF78" s="3866" t="s">
        <v>1303</v>
      </c>
      <c r="BG78" s="3866" t="s">
        <v>1303</v>
      </c>
      <c r="BH78" s="3866" t="s">
        <v>1303</v>
      </c>
      <c r="BI78" s="3867" t="s">
        <v>1303</v>
      </c>
      <c r="BJ78" s="3853"/>
      <c r="BK78" s="3866" t="s">
        <v>1303</v>
      </c>
      <c r="BL78" s="3867" t="s">
        <v>1303</v>
      </c>
      <c r="BM78" s="3866" t="s">
        <v>1303</v>
      </c>
      <c r="BN78" s="3867" t="s">
        <v>1303</v>
      </c>
    </row>
    <row r="79" spans="1:66" s="696" customFormat="1">
      <c r="A79" s="2958" t="str">
        <f t="shared" si="50"/>
        <v>350175</v>
      </c>
      <c r="B79" s="2233" t="str">
        <f>'HVAC Deemed Table'!C9</f>
        <v>350175_2024_12_</v>
      </c>
      <c r="C79" s="2724" t="str">
        <f>'HVAC Deemed Table'!G9</f>
        <v>HVAC RES</v>
      </c>
      <c r="D79" s="2724" t="str">
        <f>'HVAC Deemed Table'!G10</f>
        <v>HVAC RES ER2</v>
      </c>
      <c r="E79" s="2724"/>
      <c r="F79" s="2724"/>
      <c r="G79" s="2724" t="str">
        <f>'HVAC Deemed Table'!E9</f>
        <v>ECM Auto Fan ER1 - MF</v>
      </c>
      <c r="H79" s="2554" t="str">
        <f>'HVAC Deemed Table'!D9</f>
        <v>MF</v>
      </c>
      <c r="I79" s="3840">
        <f>'HVAC Deemed Table'!F9</f>
        <v>579.09</v>
      </c>
      <c r="J79" s="3840">
        <f>'HVAC Deemed Table'!F10</f>
        <v>0</v>
      </c>
      <c r="K79" s="3251">
        <v>0</v>
      </c>
      <c r="L79" s="3251">
        <v>0</v>
      </c>
      <c r="M79" s="3251">
        <v>0</v>
      </c>
      <c r="N79" s="3251">
        <v>0</v>
      </c>
      <c r="O79" s="3841">
        <f>'HVAC Deemed Table'!M9</f>
        <v>0.269903</v>
      </c>
      <c r="P79" s="3841">
        <f>'HVAC Deemed Table'!M10</f>
        <v>0</v>
      </c>
      <c r="Q79" s="3842">
        <v>0</v>
      </c>
      <c r="R79" s="3842">
        <v>0</v>
      </c>
      <c r="S79" s="3842"/>
      <c r="T79" s="3842"/>
      <c r="U79" s="3843">
        <f t="shared" si="35"/>
        <v>0.269903</v>
      </c>
      <c r="V79" s="3843">
        <f t="shared" si="28"/>
        <v>0</v>
      </c>
      <c r="W79" s="3843">
        <f t="shared" si="29"/>
        <v>0</v>
      </c>
      <c r="X79" s="2846">
        <f>'HVAC Deemed Table'!N9</f>
        <v>6</v>
      </c>
      <c r="Y79" s="2846">
        <f>'HVAC Deemed Table'!N10</f>
        <v>0</v>
      </c>
      <c r="Z79" s="2846">
        <f t="shared" si="51"/>
        <v>6</v>
      </c>
      <c r="AA79" s="2529">
        <f>'HVAC Deemed Table'!DG9</f>
        <v>4.1244462294213049</v>
      </c>
      <c r="AB79" s="3844">
        <f>'HVAC Deemed Table'!O9</f>
        <v>87.5</v>
      </c>
      <c r="AC79" s="3845">
        <f t="shared" si="52"/>
        <v>360.88904507436416</v>
      </c>
      <c r="AD79" s="3845">
        <f t="shared" si="65"/>
        <v>0</v>
      </c>
      <c r="AE79" s="3870">
        <f>'HVAC Deemed Table'!DI9</f>
        <v>360.88904507436416</v>
      </c>
      <c r="AF79" s="3846">
        <v>0</v>
      </c>
      <c r="AG79" s="3870">
        <f>'HVAC Deemed Table'!DI10</f>
        <v>0</v>
      </c>
      <c r="AH79" s="3846">
        <v>0</v>
      </c>
      <c r="AI79" s="3847" t="str">
        <f t="shared" ref="AI79:AI106" si="66">AI78</f>
        <v>per measure</v>
      </c>
      <c r="AJ79" s="3251"/>
      <c r="AK79" s="3848"/>
      <c r="AL79" s="3848"/>
      <c r="AX79" s="3849" t="str">
        <f t="shared" si="53"/>
        <v>ECM Auto Fan ER1 - MF</v>
      </c>
      <c r="AY79" s="2724"/>
      <c r="AZ79" s="3850" t="str">
        <f t="shared" si="54"/>
        <v>350175</v>
      </c>
      <c r="BA79" s="3866" t="s">
        <v>1303</v>
      </c>
      <c r="BB79" s="3866" t="s">
        <v>1303</v>
      </c>
      <c r="BC79" s="3866" t="s">
        <v>1303</v>
      </c>
      <c r="BD79" s="3866" t="s">
        <v>1303</v>
      </c>
      <c r="BE79" s="3853"/>
      <c r="BF79" s="3866" t="s">
        <v>1303</v>
      </c>
      <c r="BG79" s="3866" t="s">
        <v>1303</v>
      </c>
      <c r="BH79" s="3866" t="s">
        <v>1303</v>
      </c>
      <c r="BI79" s="3867" t="s">
        <v>1303</v>
      </c>
      <c r="BJ79" s="3853"/>
      <c r="BK79" s="3866" t="s">
        <v>1303</v>
      </c>
      <c r="BL79" s="3867" t="s">
        <v>1303</v>
      </c>
      <c r="BM79" s="3866" t="s">
        <v>1303</v>
      </c>
      <c r="BN79" s="3867" t="s">
        <v>1303</v>
      </c>
    </row>
    <row r="80" spans="1:66" s="696" customFormat="1">
      <c r="A80" s="2958" t="str">
        <f t="shared" si="50"/>
        <v>350300</v>
      </c>
      <c r="B80" s="2233" t="str">
        <f>'HVAC Deemed Table'!C11</f>
        <v>350300_2024_12_</v>
      </c>
      <c r="C80" s="2724" t="str">
        <f>'HVAC Deemed Table'!G11</f>
        <v>HVAC RES</v>
      </c>
      <c r="D80" s="2724" t="str">
        <f>'HVAC Deemed Table'!G12</f>
        <v>HVAC RES ER2</v>
      </c>
      <c r="E80" s="2724"/>
      <c r="F80" s="2724"/>
      <c r="G80" s="2724" t="str">
        <f>'HVAC Deemed Table'!E11</f>
        <v>ECM Continuous Fan ER1 - SF</v>
      </c>
      <c r="H80" s="2554" t="str">
        <f>'HVAC Deemed Table'!D11</f>
        <v>SF</v>
      </c>
      <c r="I80" s="3840">
        <f>'HVAC Deemed Table'!F11</f>
        <v>579.09</v>
      </c>
      <c r="J80" s="3840">
        <f>'HVAC Deemed Table'!F12</f>
        <v>0</v>
      </c>
      <c r="K80" s="3251">
        <v>0</v>
      </c>
      <c r="L80" s="3251">
        <v>0</v>
      </c>
      <c r="M80" s="3251">
        <v>0</v>
      </c>
      <c r="N80" s="3251">
        <v>0</v>
      </c>
      <c r="O80" s="3841">
        <f>'HVAC Deemed Table'!M11</f>
        <v>0.269903</v>
      </c>
      <c r="P80" s="3841">
        <f>'HVAC Deemed Table'!M12</f>
        <v>0</v>
      </c>
      <c r="Q80" s="3842">
        <v>0</v>
      </c>
      <c r="R80" s="3842">
        <v>0</v>
      </c>
      <c r="S80" s="3842"/>
      <c r="T80" s="3842"/>
      <c r="U80" s="3843">
        <f t="shared" si="35"/>
        <v>0.269903</v>
      </c>
      <c r="V80" s="3843">
        <f t="shared" si="28"/>
        <v>0</v>
      </c>
      <c r="W80" s="3843">
        <f t="shared" si="29"/>
        <v>0</v>
      </c>
      <c r="X80" s="2846">
        <f>'HVAC Deemed Table'!N11</f>
        <v>6</v>
      </c>
      <c r="Y80" s="2846">
        <f>'HVAC Deemed Table'!N12</f>
        <v>0</v>
      </c>
      <c r="Z80" s="2846">
        <f t="shared" si="51"/>
        <v>6</v>
      </c>
      <c r="AA80" s="2529">
        <f>'HVAC Deemed Table'!DG11</f>
        <v>4.1244462294213049</v>
      </c>
      <c r="AB80" s="3844">
        <f>'HVAC Deemed Table'!O11</f>
        <v>87.5</v>
      </c>
      <c r="AC80" s="3845">
        <f t="shared" si="52"/>
        <v>360.88904507436416</v>
      </c>
      <c r="AD80" s="3845">
        <f t="shared" si="65"/>
        <v>0</v>
      </c>
      <c r="AE80" s="3870">
        <f>'HVAC Deemed Table'!DI11</f>
        <v>360.88904507436416</v>
      </c>
      <c r="AF80" s="3846">
        <v>0</v>
      </c>
      <c r="AG80" s="3870">
        <f>'HVAC Deemed Table'!DI12</f>
        <v>0</v>
      </c>
      <c r="AH80" s="3846">
        <v>0</v>
      </c>
      <c r="AI80" s="3847" t="str">
        <f>AI79</f>
        <v>per measure</v>
      </c>
      <c r="AJ80" s="3251"/>
      <c r="AK80" s="3848"/>
      <c r="AL80" s="3848"/>
      <c r="AX80" s="3849" t="str">
        <f t="shared" si="53"/>
        <v>ECM Continuous Fan ER1 - SF</v>
      </c>
      <c r="AY80" s="2724"/>
      <c r="AZ80" s="3850" t="str">
        <f t="shared" si="54"/>
        <v>350300</v>
      </c>
      <c r="BA80" s="3866" t="s">
        <v>1303</v>
      </c>
      <c r="BB80" s="3866" t="s">
        <v>1303</v>
      </c>
      <c r="BC80" s="3866" t="s">
        <v>1303</v>
      </c>
      <c r="BD80" s="3866" t="s">
        <v>1303</v>
      </c>
      <c r="BE80" s="3853"/>
      <c r="BF80" s="3866" t="s">
        <v>1303</v>
      </c>
      <c r="BG80" s="3866" t="s">
        <v>1303</v>
      </c>
      <c r="BH80" s="3866" t="s">
        <v>1303</v>
      </c>
      <c r="BI80" s="3867" t="s">
        <v>1303</v>
      </c>
      <c r="BJ80" s="3853"/>
      <c r="BK80" s="3866" t="s">
        <v>1303</v>
      </c>
      <c r="BL80" s="3867" t="s">
        <v>1303</v>
      </c>
      <c r="BM80" s="3866" t="s">
        <v>1303</v>
      </c>
      <c r="BN80" s="3867" t="s">
        <v>1303</v>
      </c>
    </row>
    <row r="81" spans="1:66" s="696" customFormat="1">
      <c r="A81" s="2958" t="str">
        <f t="shared" si="50"/>
        <v>350350</v>
      </c>
      <c r="B81" s="2233" t="str">
        <f>'HVAC Deemed Table'!C13</f>
        <v>350350_2024_12_</v>
      </c>
      <c r="C81" s="2724" t="str">
        <f>'HVAC Deemed Table'!G13</f>
        <v>HVAC RES</v>
      </c>
      <c r="D81" s="2724" t="str">
        <f>'HVAC Deemed Table'!G14</f>
        <v>HVAC RES ER2</v>
      </c>
      <c r="E81" s="2724"/>
      <c r="F81" s="2724"/>
      <c r="G81" s="2724" t="str">
        <f>'HVAC Deemed Table'!E13</f>
        <v>ECM Continuous Fan ER1 - MF</v>
      </c>
      <c r="H81" s="2554" t="str">
        <f>'HVAC Deemed Table'!D13</f>
        <v>MF</v>
      </c>
      <c r="I81" s="3840">
        <f>'HVAC Deemed Table'!F13</f>
        <v>579.09</v>
      </c>
      <c r="J81" s="3840">
        <f>'HVAC Deemed Table'!F14</f>
        <v>0</v>
      </c>
      <c r="K81" s="3251">
        <v>0</v>
      </c>
      <c r="L81" s="3251">
        <v>0</v>
      </c>
      <c r="M81" s="3251">
        <v>0</v>
      </c>
      <c r="N81" s="3251">
        <v>0</v>
      </c>
      <c r="O81" s="3841">
        <f>'HVAC Deemed Table'!M13</f>
        <v>0.269903</v>
      </c>
      <c r="P81" s="3841">
        <f>'HVAC Deemed Table'!M14</f>
        <v>0</v>
      </c>
      <c r="Q81" s="3842">
        <v>0</v>
      </c>
      <c r="R81" s="3842">
        <v>0</v>
      </c>
      <c r="S81" s="3842"/>
      <c r="T81" s="3842"/>
      <c r="U81" s="3843">
        <f t="shared" si="35"/>
        <v>0.269903</v>
      </c>
      <c r="V81" s="3843">
        <f t="shared" si="28"/>
        <v>0</v>
      </c>
      <c r="W81" s="3843">
        <f t="shared" si="29"/>
        <v>0</v>
      </c>
      <c r="X81" s="2846">
        <f>'HVAC Deemed Table'!N13</f>
        <v>6</v>
      </c>
      <c r="Y81" s="2846">
        <f>'HVAC Deemed Table'!N14</f>
        <v>0</v>
      </c>
      <c r="Z81" s="2846">
        <f t="shared" si="51"/>
        <v>6</v>
      </c>
      <c r="AA81" s="2529">
        <f>'HVAC Deemed Table'!DG13</f>
        <v>4.1244462294213049</v>
      </c>
      <c r="AB81" s="3844">
        <f>'HVAC Deemed Table'!O13</f>
        <v>87.5</v>
      </c>
      <c r="AC81" s="3845">
        <f t="shared" si="52"/>
        <v>360.88904507436416</v>
      </c>
      <c r="AD81" s="3845">
        <f t="shared" si="65"/>
        <v>0</v>
      </c>
      <c r="AE81" s="3870">
        <f>'HVAC Deemed Table'!DI13</f>
        <v>360.88904507436416</v>
      </c>
      <c r="AF81" s="3846">
        <v>0</v>
      </c>
      <c r="AG81" s="3870">
        <f>'HVAC Deemed Table'!DI14</f>
        <v>0</v>
      </c>
      <c r="AH81" s="3846">
        <v>0</v>
      </c>
      <c r="AI81" s="3847" t="str">
        <f t="shared" si="66"/>
        <v>per measure</v>
      </c>
      <c r="AJ81" s="3251"/>
      <c r="AK81" s="3848"/>
      <c r="AL81" s="3848"/>
      <c r="AX81" s="3849" t="str">
        <f t="shared" si="53"/>
        <v>ECM Continuous Fan ER1 - MF</v>
      </c>
      <c r="AY81" s="2724"/>
      <c r="AZ81" s="3850" t="str">
        <f t="shared" si="54"/>
        <v>350350</v>
      </c>
      <c r="BA81" s="3866" t="s">
        <v>1303</v>
      </c>
      <c r="BB81" s="3866" t="s">
        <v>1303</v>
      </c>
      <c r="BC81" s="3866" t="s">
        <v>1303</v>
      </c>
      <c r="BD81" s="3866" t="s">
        <v>1303</v>
      </c>
      <c r="BE81" s="3853"/>
      <c r="BF81" s="3866" t="s">
        <v>1303</v>
      </c>
      <c r="BG81" s="3866" t="s">
        <v>1303</v>
      </c>
      <c r="BH81" s="3866" t="s">
        <v>1303</v>
      </c>
      <c r="BI81" s="3867" t="s">
        <v>1303</v>
      </c>
      <c r="BJ81" s="3853"/>
      <c r="BK81" s="3866" t="s">
        <v>1303</v>
      </c>
      <c r="BL81" s="3867" t="s">
        <v>1303</v>
      </c>
      <c r="BM81" s="3866" t="s">
        <v>1303</v>
      </c>
      <c r="BN81" s="3867" t="s">
        <v>1303</v>
      </c>
    </row>
    <row r="82" spans="1:66" s="696" customFormat="1">
      <c r="A82" s="2958" t="str">
        <f t="shared" si="50"/>
        <v>350400</v>
      </c>
      <c r="B82" s="2233" t="str">
        <f>'HVAC Deemed Table'!C84</f>
        <v>350400_2024_12_</v>
      </c>
      <c r="C82" s="2724" t="str">
        <f>'HVAC Deemed Table'!G84</f>
        <v>Cooling RES</v>
      </c>
      <c r="D82" s="2724" t="str">
        <f>'HVAC Deemed Table'!G85</f>
        <v>Cooling RES ER2</v>
      </c>
      <c r="E82" s="2724"/>
      <c r="F82" s="2724"/>
      <c r="G82" s="2724" t="str">
        <f>'HVAC Deemed Table'!E84</f>
        <v>CAC-SEER14_ER1_SF</v>
      </c>
      <c r="H82" s="2554" t="str">
        <f>'HVAC Deemed Table'!D84</f>
        <v>SF</v>
      </c>
      <c r="I82" s="3840">
        <f t="shared" ref="I82:I145" si="67">K82+L82</f>
        <v>1507.85</v>
      </c>
      <c r="J82" s="3840">
        <f t="shared" ref="J82:J145" si="68">M82+N82</f>
        <v>99.19</v>
      </c>
      <c r="K82" s="3251">
        <f>'HVAC Deemed Table'!F84</f>
        <v>1507.85</v>
      </c>
      <c r="L82" s="3251">
        <v>0</v>
      </c>
      <c r="M82" s="3251">
        <f>'HVAC Deemed Table'!F85</f>
        <v>99.19</v>
      </c>
      <c r="N82" s="3251">
        <v>0</v>
      </c>
      <c r="O82" s="3841">
        <f t="shared" ref="O82:O145" si="69">Q82+R82</f>
        <v>1.4285639999999999</v>
      </c>
      <c r="P82" s="3841">
        <f t="shared" ref="P82:P145" si="70">S82+T82</f>
        <v>9.3974000000000002E-2</v>
      </c>
      <c r="Q82" s="3842">
        <f>'HVAC Deemed Table'!I84</f>
        <v>1.4285639999999999</v>
      </c>
      <c r="R82" s="3842"/>
      <c r="S82" s="3842">
        <f>'HVAC Deemed Table'!I85</f>
        <v>9.3974000000000002E-2</v>
      </c>
      <c r="T82" s="3842"/>
      <c r="U82" s="3843">
        <f t="shared" ref="U82:U145" si="71">IFERROR(IF(V82+W82&gt;0,0,IF(Z82&gt;0,O82,0)),0)</f>
        <v>0</v>
      </c>
      <c r="V82" s="3843">
        <f t="shared" ref="V82:V145" si="72">IF(W82&gt;0,0,IF(Z82&gt;9,O82,0))</f>
        <v>0</v>
      </c>
      <c r="W82" s="3843">
        <f t="shared" ref="W82:W145" si="73">IF(Z82&gt;14,O82,0)</f>
        <v>1.4285639999999999</v>
      </c>
      <c r="X82" s="2846">
        <f>'HVAC Deemed Table'!J84</f>
        <v>6</v>
      </c>
      <c r="Y82" s="2846">
        <f>'HVAC Deemed Table'!J85</f>
        <v>12</v>
      </c>
      <c r="Z82" s="2846">
        <f t="shared" si="51"/>
        <v>18</v>
      </c>
      <c r="AA82" s="2529">
        <f>'HVAC Deemed Table'!DG84</f>
        <v>8.7939733776785278</v>
      </c>
      <c r="AB82" s="3844">
        <f>'HVAC Deemed Table'!K84</f>
        <v>185.34665593474892</v>
      </c>
      <c r="AC82" s="3845">
        <f t="shared" si="52"/>
        <v>1501.5895535501304</v>
      </c>
      <c r="AD82" s="3845">
        <f t="shared" si="65"/>
        <v>128.3440043817935</v>
      </c>
      <c r="AE82" s="3846">
        <f>'HVAC Deemed Table'!DI84</f>
        <v>1501.5895535501304</v>
      </c>
      <c r="AF82" s="3846">
        <v>0</v>
      </c>
      <c r="AG82" s="3846">
        <f>'HVAC Deemed Table'!DI85</f>
        <v>128.3440043817935</v>
      </c>
      <c r="AH82" s="3846">
        <v>0</v>
      </c>
      <c r="AI82" s="3847" t="str">
        <f t="shared" si="66"/>
        <v>per measure</v>
      </c>
      <c r="AJ82" s="3220">
        <f>'HVAC Deemed Table'!L84</f>
        <v>2.98</v>
      </c>
      <c r="AK82" s="3848"/>
      <c r="AL82" s="3848"/>
      <c r="AX82" s="3849" t="str">
        <f t="shared" si="53"/>
        <v>CAC-SEER14_ER1_SF</v>
      </c>
      <c r="AY82" s="2724"/>
      <c r="AZ82" s="3850" t="str">
        <f t="shared" si="54"/>
        <v>350400</v>
      </c>
      <c r="BA82" s="3866" t="s">
        <v>1303</v>
      </c>
      <c r="BB82" s="3866" t="s">
        <v>1303</v>
      </c>
      <c r="BC82" s="3866" t="s">
        <v>1303</v>
      </c>
      <c r="BD82" s="3866" t="s">
        <v>1303</v>
      </c>
      <c r="BE82" s="3853"/>
      <c r="BF82" s="3866" t="s">
        <v>1303</v>
      </c>
      <c r="BG82" s="3866" t="s">
        <v>1303</v>
      </c>
      <c r="BH82" s="3866" t="s">
        <v>1303</v>
      </c>
      <c r="BI82" s="3867" t="s">
        <v>1303</v>
      </c>
      <c r="BJ82" s="3853"/>
      <c r="BK82" s="3866" t="s">
        <v>1303</v>
      </c>
      <c r="BL82" s="3867" t="s">
        <v>1303</v>
      </c>
      <c r="BM82" s="3866" t="s">
        <v>1303</v>
      </c>
      <c r="BN82" s="3867" t="s">
        <v>1303</v>
      </c>
    </row>
    <row r="83" spans="1:66" s="696" customFormat="1">
      <c r="A83" s="2958" t="str">
        <f t="shared" si="50"/>
        <v>350450</v>
      </c>
      <c r="B83" s="2233" t="str">
        <f>'HVAC Deemed Table'!C86</f>
        <v>350450_2024_12_</v>
      </c>
      <c r="C83" s="2724" t="str">
        <f>'HVAC Deemed Table'!G86</f>
        <v>Cooling RES</v>
      </c>
      <c r="D83" s="2724"/>
      <c r="E83" s="2724"/>
      <c r="F83" s="2724"/>
      <c r="G83" s="2724" t="str">
        <f>'HVAC Deemed Table'!E86</f>
        <v>CAC-SEER14_ROF_SF</v>
      </c>
      <c r="H83" s="2554" t="str">
        <f>'HVAC Deemed Table'!D86</f>
        <v>SF</v>
      </c>
      <c r="I83" s="3840">
        <f t="shared" si="67"/>
        <v>98.86</v>
      </c>
      <c r="J83" s="3840">
        <f t="shared" si="68"/>
        <v>0</v>
      </c>
      <c r="K83" s="3251">
        <f>'HVAC Deemed Table'!F86</f>
        <v>98.86</v>
      </c>
      <c r="L83" s="3251">
        <v>0</v>
      </c>
      <c r="M83" s="3251">
        <v>0</v>
      </c>
      <c r="N83" s="3251">
        <v>0</v>
      </c>
      <c r="O83" s="3841">
        <f t="shared" si="69"/>
        <v>9.3661999999999995E-2</v>
      </c>
      <c r="P83" s="3841">
        <f t="shared" si="70"/>
        <v>0</v>
      </c>
      <c r="Q83" s="3842">
        <f>'HVAC Deemed Table'!I86</f>
        <v>9.3661999999999995E-2</v>
      </c>
      <c r="R83" s="3842"/>
      <c r="S83" s="3842"/>
      <c r="T83" s="3842"/>
      <c r="U83" s="3843">
        <f t="shared" si="71"/>
        <v>0</v>
      </c>
      <c r="V83" s="3843">
        <f t="shared" si="72"/>
        <v>0</v>
      </c>
      <c r="W83" s="3843">
        <f t="shared" si="73"/>
        <v>9.3661999999999995E-2</v>
      </c>
      <c r="X83" s="2846">
        <f>'HVAC Deemed Table'!J86</f>
        <v>18</v>
      </c>
      <c r="Y83" s="2846"/>
      <c r="Z83" s="2846">
        <f t="shared" si="51"/>
        <v>18</v>
      </c>
      <c r="AA83" s="2529">
        <f>'HVAC Deemed Table'!DG86</f>
        <v>2.0320118320333687</v>
      </c>
      <c r="AB83" s="3844">
        <f>'HVAC Deemed Table'!K86</f>
        <v>111.40021423594317</v>
      </c>
      <c r="AC83" s="3845">
        <f t="shared" si="52"/>
        <v>226.36655341848862</v>
      </c>
      <c r="AD83" s="3845">
        <f t="shared" si="65"/>
        <v>0</v>
      </c>
      <c r="AE83" s="3846">
        <f>'HVAC Deemed Table'!DI86</f>
        <v>226.36655341848862</v>
      </c>
      <c r="AF83" s="3846">
        <v>0</v>
      </c>
      <c r="AG83" s="3846">
        <v>0</v>
      </c>
      <c r="AH83" s="3846">
        <v>0</v>
      </c>
      <c r="AI83" s="3847" t="str">
        <f t="shared" si="66"/>
        <v>per measure</v>
      </c>
      <c r="AJ83" s="3220">
        <f>'HVAC Deemed Table'!L86</f>
        <v>2.97</v>
      </c>
      <c r="AK83" s="3848"/>
      <c r="AL83" s="3848"/>
      <c r="AX83" s="3849" t="str">
        <f t="shared" si="53"/>
        <v>CAC-SEER14_ROF_SF</v>
      </c>
      <c r="AY83" s="2724"/>
      <c r="AZ83" s="3850" t="str">
        <f t="shared" si="54"/>
        <v>350450</v>
      </c>
      <c r="BA83" s="3866" t="s">
        <v>1303</v>
      </c>
      <c r="BB83" s="3866" t="s">
        <v>1303</v>
      </c>
      <c r="BC83" s="3866" t="s">
        <v>1303</v>
      </c>
      <c r="BD83" s="3866" t="s">
        <v>1303</v>
      </c>
      <c r="BE83" s="3853"/>
      <c r="BF83" s="3866" t="s">
        <v>1303</v>
      </c>
      <c r="BG83" s="3866" t="s">
        <v>1303</v>
      </c>
      <c r="BH83" s="3866" t="s">
        <v>1303</v>
      </c>
      <c r="BI83" s="3867" t="s">
        <v>1303</v>
      </c>
      <c r="BJ83" s="3853"/>
      <c r="BK83" s="3866" t="s">
        <v>1303</v>
      </c>
      <c r="BL83" s="3867" t="s">
        <v>1303</v>
      </c>
      <c r="BM83" s="3866" t="s">
        <v>1303</v>
      </c>
      <c r="BN83" s="3867" t="s">
        <v>1303</v>
      </c>
    </row>
    <row r="84" spans="1:66" s="696" customFormat="1">
      <c r="A84" s="2958" t="str">
        <f t="shared" si="50"/>
        <v>350500</v>
      </c>
      <c r="B84" s="2233" t="str">
        <f>'HVAC Deemed Table'!C87</f>
        <v>350500_2024_12_</v>
      </c>
      <c r="C84" s="2724" t="str">
        <f>'HVAC Deemed Table'!G87</f>
        <v>Cooling RES</v>
      </c>
      <c r="D84" s="2724" t="str">
        <f>'HVAC Deemed Table'!G88</f>
        <v>Cooling RES ER2</v>
      </c>
      <c r="E84" s="2724"/>
      <c r="F84" s="2724"/>
      <c r="G84" s="2724" t="str">
        <f>'HVAC Deemed Table'!E87</f>
        <v>CAC-SEER14_ER1_MF</v>
      </c>
      <c r="H84" s="2554" t="str">
        <f>'HVAC Deemed Table'!D87</f>
        <v>MF</v>
      </c>
      <c r="I84" s="3840">
        <f t="shared" si="67"/>
        <v>1011.98</v>
      </c>
      <c r="J84" s="3840">
        <f t="shared" si="68"/>
        <v>66.569999999999993</v>
      </c>
      <c r="K84" s="3251">
        <f>'HVAC Deemed Table'!F87</f>
        <v>1011.98</v>
      </c>
      <c r="L84" s="3251">
        <v>0</v>
      </c>
      <c r="M84" s="3251">
        <f>'HVAC Deemed Table'!F88</f>
        <v>66.569999999999993</v>
      </c>
      <c r="N84" s="3251">
        <v>0</v>
      </c>
      <c r="O84" s="3841">
        <f t="shared" si="69"/>
        <v>0.95876799999999995</v>
      </c>
      <c r="P84" s="3841">
        <f t="shared" si="70"/>
        <v>6.3070000000000001E-2</v>
      </c>
      <c r="Q84" s="3842">
        <f>'HVAC Deemed Table'!I87</f>
        <v>0.95876799999999995</v>
      </c>
      <c r="R84" s="3842"/>
      <c r="S84" s="3842">
        <f>'HVAC Deemed Table'!I88</f>
        <v>6.3070000000000001E-2</v>
      </c>
      <c r="T84" s="3842"/>
      <c r="U84" s="3843">
        <f t="shared" si="71"/>
        <v>0</v>
      </c>
      <c r="V84" s="3843">
        <f t="shared" si="72"/>
        <v>0</v>
      </c>
      <c r="W84" s="3843">
        <f t="shared" si="73"/>
        <v>0.95876799999999995</v>
      </c>
      <c r="X84" s="2846">
        <f>'HVAC Deemed Table'!J87</f>
        <v>6</v>
      </c>
      <c r="Y84" s="2846">
        <f>'HVAC Deemed Table'!J88</f>
        <v>12</v>
      </c>
      <c r="Z84" s="2846">
        <f t="shared" si="51"/>
        <v>18</v>
      </c>
      <c r="AA84" s="2529">
        <f>'HVAC Deemed Table'!DG87</f>
        <v>5.9019929969784171</v>
      </c>
      <c r="AB84" s="3844">
        <f>'HVAC Deemed Table'!K87</f>
        <v>185.34665593474892</v>
      </c>
      <c r="AC84" s="3845">
        <f t="shared" si="52"/>
        <v>1007.7783575300336</v>
      </c>
      <c r="AD84" s="3845">
        <f t="shared" si="65"/>
        <v>86.136307810222718</v>
      </c>
      <c r="AE84" s="3846">
        <f>'HVAC Deemed Table'!DI87</f>
        <v>1007.7783575300336</v>
      </c>
      <c r="AF84" s="3846">
        <v>0</v>
      </c>
      <c r="AG84" s="3846">
        <f>'HVAC Deemed Table'!DI88</f>
        <v>86.136307810222718</v>
      </c>
      <c r="AH84" s="3846">
        <v>0</v>
      </c>
      <c r="AI84" s="3847" t="str">
        <f t="shared" si="66"/>
        <v>per measure</v>
      </c>
      <c r="AJ84" s="3220">
        <f>'HVAC Deemed Table'!L87</f>
        <v>2</v>
      </c>
      <c r="AK84" s="3848"/>
      <c r="AL84" s="3848"/>
      <c r="AX84" s="3849" t="str">
        <f t="shared" si="53"/>
        <v>CAC-SEER14_ER1_MF</v>
      </c>
      <c r="AY84" s="2724"/>
      <c r="AZ84" s="3850" t="str">
        <f t="shared" si="54"/>
        <v>350500</v>
      </c>
      <c r="BA84" s="3866" t="s">
        <v>1303</v>
      </c>
      <c r="BB84" s="3866" t="s">
        <v>1303</v>
      </c>
      <c r="BC84" s="3866" t="s">
        <v>1303</v>
      </c>
      <c r="BD84" s="3866" t="s">
        <v>1303</v>
      </c>
      <c r="BE84" s="3853"/>
      <c r="BF84" s="3866" t="s">
        <v>1303</v>
      </c>
      <c r="BG84" s="3866" t="s">
        <v>1303</v>
      </c>
      <c r="BH84" s="3866" t="s">
        <v>1303</v>
      </c>
      <c r="BI84" s="3867" t="s">
        <v>1303</v>
      </c>
      <c r="BJ84" s="3853"/>
      <c r="BK84" s="3866" t="s">
        <v>1303</v>
      </c>
      <c r="BL84" s="3867" t="s">
        <v>1303</v>
      </c>
      <c r="BM84" s="3866" t="s">
        <v>1303</v>
      </c>
      <c r="BN84" s="3867" t="s">
        <v>1303</v>
      </c>
    </row>
    <row r="85" spans="1:66" s="696" customFormat="1">
      <c r="A85" s="2958" t="str">
        <f t="shared" si="50"/>
        <v>350501</v>
      </c>
      <c r="B85" s="2233" t="str">
        <f>'HVAC Deemed Table'!C89</f>
        <v>350501_2024_12_</v>
      </c>
      <c r="C85" s="2724" t="str">
        <f>'HVAC Deemed Table'!G89</f>
        <v>Cooling RES</v>
      </c>
      <c r="D85" s="2724" t="str">
        <f>'HVAC Deemed Table'!G90</f>
        <v>Cooling RES ER2</v>
      </c>
      <c r="E85" s="2724"/>
      <c r="F85" s="2724"/>
      <c r="G85" s="2724" t="str">
        <f>'HVAC Deemed Table'!E89</f>
        <v>CAC-SEER14_ER1_MF_CompE</v>
      </c>
      <c r="H85" s="2554" t="str">
        <f>'HVAC Deemed Table'!D89</f>
        <v>MFc</v>
      </c>
      <c r="I85" s="3840">
        <f t="shared" si="67"/>
        <v>735.98</v>
      </c>
      <c r="J85" s="3840">
        <f t="shared" si="68"/>
        <v>48.41</v>
      </c>
      <c r="K85" s="3251">
        <f>'HVAC Deemed Table'!F89</f>
        <v>735.98</v>
      </c>
      <c r="L85" s="3251">
        <v>0</v>
      </c>
      <c r="M85" s="3251">
        <f>'HVAC Deemed Table'!F90</f>
        <v>48.41</v>
      </c>
      <c r="N85" s="3251">
        <v>0</v>
      </c>
      <c r="O85" s="3841">
        <f t="shared" si="69"/>
        <v>0.69728100000000004</v>
      </c>
      <c r="P85" s="3841">
        <f t="shared" si="70"/>
        <v>4.5865000000000003E-2</v>
      </c>
      <c r="Q85" s="3842">
        <f>'HVAC Deemed Table'!I89</f>
        <v>0.69728100000000004</v>
      </c>
      <c r="R85" s="3842"/>
      <c r="S85" s="3842">
        <f>'HVAC Deemed Table'!I90</f>
        <v>4.5865000000000003E-2</v>
      </c>
      <c r="T85" s="3842"/>
      <c r="U85" s="3843">
        <f t="shared" si="71"/>
        <v>0</v>
      </c>
      <c r="V85" s="3843">
        <f t="shared" si="72"/>
        <v>0</v>
      </c>
      <c r="W85" s="3843">
        <f t="shared" si="73"/>
        <v>0.69728100000000004</v>
      </c>
      <c r="X85" s="2846">
        <f>'HVAC Deemed Table'!J89</f>
        <v>6</v>
      </c>
      <c r="Y85" s="2846">
        <f>'HVAC Deemed Table'!J90</f>
        <v>12</v>
      </c>
      <c r="Z85" s="2846">
        <f t="shared" si="51"/>
        <v>18</v>
      </c>
      <c r="AA85" s="2529">
        <f>'HVAC Deemed Table'!DG89</f>
        <v>4.2922975043521312</v>
      </c>
      <c r="AB85" s="3844">
        <f>'HVAC Deemed Table'!K89</f>
        <v>185.34665593474892</v>
      </c>
      <c r="AC85" s="3845">
        <f t="shared" si="52"/>
        <v>732.92428266858451</v>
      </c>
      <c r="AD85" s="3845">
        <f t="shared" si="65"/>
        <v>62.638706040151447</v>
      </c>
      <c r="AE85" s="3846">
        <f>'HVAC Deemed Table'!DI89</f>
        <v>732.92428266858451</v>
      </c>
      <c r="AF85" s="3846">
        <v>0</v>
      </c>
      <c r="AG85" s="3846">
        <f>'HVAC Deemed Table'!DI90</f>
        <v>62.638706040151447</v>
      </c>
      <c r="AH85" s="3846">
        <v>0</v>
      </c>
      <c r="AI85" s="3847" t="str">
        <f t="shared" si="66"/>
        <v>per measure</v>
      </c>
      <c r="AJ85" s="3220">
        <f>'HVAC Deemed Table'!L89</f>
        <v>2</v>
      </c>
      <c r="AK85" s="3848"/>
      <c r="AL85" s="3848"/>
      <c r="AX85" s="3849" t="str">
        <f t="shared" si="53"/>
        <v>CAC-SEER14_ER1_MF_CompE</v>
      </c>
      <c r="AY85" s="2724"/>
      <c r="AZ85" s="3850" t="str">
        <f t="shared" si="54"/>
        <v>350501</v>
      </c>
      <c r="BA85" s="3866" t="s">
        <v>1303</v>
      </c>
      <c r="BB85" s="3866" t="s">
        <v>1303</v>
      </c>
      <c r="BC85" s="3866" t="s">
        <v>1303</v>
      </c>
      <c r="BD85" s="3866" t="s">
        <v>1303</v>
      </c>
      <c r="BE85" s="3853"/>
      <c r="BF85" s="3866" t="s">
        <v>1303</v>
      </c>
      <c r="BG85" s="3866" t="s">
        <v>1303</v>
      </c>
      <c r="BH85" s="3866" t="s">
        <v>1303</v>
      </c>
      <c r="BI85" s="3867" t="s">
        <v>1303</v>
      </c>
      <c r="BJ85" s="3853"/>
      <c r="BK85" s="3866" t="s">
        <v>1303</v>
      </c>
      <c r="BL85" s="3867" t="s">
        <v>1303</v>
      </c>
      <c r="BM85" s="3866" t="s">
        <v>1303</v>
      </c>
      <c r="BN85" s="3867" t="s">
        <v>1303</v>
      </c>
    </row>
    <row r="86" spans="1:66" s="696" customFormat="1">
      <c r="A86" s="2958" t="str">
        <f t="shared" si="50"/>
        <v>350550</v>
      </c>
      <c r="B86" s="2233" t="str">
        <f>'HVAC Deemed Table'!C91</f>
        <v>350550_2024_12_</v>
      </c>
      <c r="C86" s="2724" t="str">
        <f>'HVAC Deemed Table'!G91</f>
        <v>Cooling RES</v>
      </c>
      <c r="D86" s="2724"/>
      <c r="E86" s="2724"/>
      <c r="F86" s="2724"/>
      <c r="G86" s="2724" t="str">
        <f>'HVAC Deemed Table'!E91</f>
        <v>CAC-SEER14_ROF_MF</v>
      </c>
      <c r="H86" s="2554" t="str">
        <f>'HVAC Deemed Table'!D91</f>
        <v>MF</v>
      </c>
      <c r="I86" s="3840">
        <f t="shared" si="67"/>
        <v>66.569999999999993</v>
      </c>
      <c r="J86" s="3840">
        <f t="shared" si="68"/>
        <v>0</v>
      </c>
      <c r="K86" s="3251">
        <f>'HVAC Deemed Table'!F91</f>
        <v>66.569999999999993</v>
      </c>
      <c r="L86" s="3251">
        <v>0</v>
      </c>
      <c r="M86" s="3251">
        <v>0</v>
      </c>
      <c r="N86" s="3251">
        <v>0</v>
      </c>
      <c r="O86" s="3841">
        <f t="shared" si="69"/>
        <v>6.3070000000000001E-2</v>
      </c>
      <c r="P86" s="3841">
        <f t="shared" si="70"/>
        <v>0</v>
      </c>
      <c r="Q86" s="3842">
        <f>'HVAC Deemed Table'!I91</f>
        <v>6.3070000000000001E-2</v>
      </c>
      <c r="R86" s="3842"/>
      <c r="S86" s="3842"/>
      <c r="T86" s="3842"/>
      <c r="U86" s="3843">
        <f t="shared" si="71"/>
        <v>0</v>
      </c>
      <c r="V86" s="3843">
        <f t="shared" si="72"/>
        <v>0</v>
      </c>
      <c r="W86" s="3843">
        <f t="shared" si="73"/>
        <v>6.3070000000000001E-2</v>
      </c>
      <c r="X86" s="2846">
        <f>'HVAC Deemed Table'!J91</f>
        <v>18</v>
      </c>
      <c r="Y86" s="2846"/>
      <c r="Z86" s="2846">
        <f t="shared" si="51"/>
        <v>18</v>
      </c>
      <c r="AA86" s="2525">
        <f>'HVAC Deemed Table'!DG91</f>
        <v>1.3683089991752109</v>
      </c>
      <c r="AB86" s="3844">
        <f>'HVAC Deemed Table'!K91</f>
        <v>111.40021423594317</v>
      </c>
      <c r="AC86" s="3845">
        <f t="shared" si="52"/>
        <v>152.42991564908746</v>
      </c>
      <c r="AD86" s="3845">
        <f t="shared" si="65"/>
        <v>0</v>
      </c>
      <c r="AE86" s="3846">
        <f>'HVAC Deemed Table'!DI91</f>
        <v>152.42991564908746</v>
      </c>
      <c r="AF86" s="3846">
        <v>0</v>
      </c>
      <c r="AG86" s="3846">
        <v>0</v>
      </c>
      <c r="AH86" s="3846">
        <v>0</v>
      </c>
      <c r="AI86" s="3847" t="str">
        <f t="shared" si="66"/>
        <v>per measure</v>
      </c>
      <c r="AJ86" s="3220">
        <f>'HVAC Deemed Table'!L91</f>
        <v>2</v>
      </c>
      <c r="AK86" s="3848"/>
      <c r="AL86" s="3848"/>
      <c r="AX86" s="3849" t="str">
        <f t="shared" si="53"/>
        <v>CAC-SEER14_ROF_MF</v>
      </c>
      <c r="AY86" s="2724"/>
      <c r="AZ86" s="3850" t="str">
        <f t="shared" si="54"/>
        <v>350550</v>
      </c>
      <c r="BA86" s="3866" t="s">
        <v>1303</v>
      </c>
      <c r="BB86" s="3866" t="s">
        <v>1303</v>
      </c>
      <c r="BC86" s="3866" t="s">
        <v>1303</v>
      </c>
      <c r="BD86" s="3866" t="s">
        <v>1303</v>
      </c>
      <c r="BE86" s="3853"/>
      <c r="BF86" s="3866" t="s">
        <v>1303</v>
      </c>
      <c r="BG86" s="3866" t="s">
        <v>1303</v>
      </c>
      <c r="BH86" s="3866" t="s">
        <v>1303</v>
      </c>
      <c r="BI86" s="3867" t="s">
        <v>1303</v>
      </c>
      <c r="BJ86" s="3853"/>
      <c r="BK86" s="3866" t="s">
        <v>1303</v>
      </c>
      <c r="BL86" s="3867" t="s">
        <v>1303</v>
      </c>
      <c r="BM86" s="3866" t="s">
        <v>1303</v>
      </c>
      <c r="BN86" s="3867" t="s">
        <v>1303</v>
      </c>
    </row>
    <row r="87" spans="1:66" s="696" customFormat="1">
      <c r="A87" s="2958" t="str">
        <f t="shared" si="50"/>
        <v>350551</v>
      </c>
      <c r="B87" s="2233" t="str">
        <f>'HVAC Deemed Table'!C92</f>
        <v>350551_2024_12_</v>
      </c>
      <c r="C87" s="2724" t="str">
        <f>'HVAC Deemed Table'!G92</f>
        <v>Cooling RES</v>
      </c>
      <c r="D87" s="2724"/>
      <c r="E87" s="2724"/>
      <c r="F87" s="2724"/>
      <c r="G87" s="2724" t="str">
        <f>'HVAC Deemed Table'!E92</f>
        <v>CAC-SEER14_ROF_MF_CompE</v>
      </c>
      <c r="H87" s="2554" t="str">
        <f>'HVAC Deemed Table'!D92</f>
        <v>MFc</v>
      </c>
      <c r="I87" s="3840">
        <f t="shared" si="67"/>
        <v>48.41</v>
      </c>
      <c r="J87" s="3840">
        <f t="shared" si="68"/>
        <v>0</v>
      </c>
      <c r="K87" s="3251">
        <f>'HVAC Deemed Table'!F92</f>
        <v>48.41</v>
      </c>
      <c r="L87" s="3251">
        <v>0</v>
      </c>
      <c r="M87" s="3251">
        <v>0</v>
      </c>
      <c r="N87" s="3251">
        <v>0</v>
      </c>
      <c r="O87" s="3841">
        <f t="shared" si="69"/>
        <v>4.5865000000000003E-2</v>
      </c>
      <c r="P87" s="3841">
        <f t="shared" si="70"/>
        <v>0</v>
      </c>
      <c r="Q87" s="3842">
        <f>'HVAC Deemed Table'!I92</f>
        <v>4.5865000000000003E-2</v>
      </c>
      <c r="R87" s="3842"/>
      <c r="S87" s="3842"/>
      <c r="T87" s="3842"/>
      <c r="U87" s="3843">
        <f t="shared" si="71"/>
        <v>0</v>
      </c>
      <c r="V87" s="3843">
        <f t="shared" si="72"/>
        <v>0</v>
      </c>
      <c r="W87" s="3843">
        <f t="shared" si="73"/>
        <v>4.5865000000000003E-2</v>
      </c>
      <c r="X87" s="2846">
        <f>'HVAC Deemed Table'!J92</f>
        <v>18</v>
      </c>
      <c r="Y87" s="2846"/>
      <c r="Z87" s="2846">
        <f t="shared" si="51"/>
        <v>18</v>
      </c>
      <c r="AA87" s="2525">
        <f>'HVAC Deemed Table'!DG92</f>
        <v>0.99504038831413488</v>
      </c>
      <c r="AB87" s="3844">
        <f>'HVAC Deemed Table'!K92</f>
        <v>111.40021423594317</v>
      </c>
      <c r="AC87" s="3845">
        <f t="shared" si="52"/>
        <v>110.8477124316107</v>
      </c>
      <c r="AD87" s="3845">
        <f t="shared" si="65"/>
        <v>0</v>
      </c>
      <c r="AE87" s="3846">
        <f>'HVAC Deemed Table'!DI92</f>
        <v>110.8477124316107</v>
      </c>
      <c r="AF87" s="3846">
        <v>0</v>
      </c>
      <c r="AG87" s="3846">
        <v>0</v>
      </c>
      <c r="AH87" s="3846">
        <v>0</v>
      </c>
      <c r="AI87" s="3847" t="str">
        <f t="shared" si="66"/>
        <v>per measure</v>
      </c>
      <c r="AJ87" s="3220">
        <f>'HVAC Deemed Table'!L92</f>
        <v>2</v>
      </c>
      <c r="AK87" s="3848"/>
      <c r="AL87" s="3848"/>
      <c r="AX87" s="3849" t="str">
        <f t="shared" si="53"/>
        <v>CAC-SEER14_ROF_MF_CompE</v>
      </c>
      <c r="AY87" s="2724"/>
      <c r="AZ87" s="3850" t="str">
        <f t="shared" si="54"/>
        <v>350551</v>
      </c>
      <c r="BA87" s="3866" t="s">
        <v>1303</v>
      </c>
      <c r="BB87" s="3866" t="s">
        <v>1303</v>
      </c>
      <c r="BC87" s="3866" t="s">
        <v>1303</v>
      </c>
      <c r="BD87" s="3866" t="s">
        <v>1303</v>
      </c>
      <c r="BE87" s="3853"/>
      <c r="BF87" s="3866" t="s">
        <v>1303</v>
      </c>
      <c r="BG87" s="3866" t="s">
        <v>1303</v>
      </c>
      <c r="BH87" s="3866" t="s">
        <v>1303</v>
      </c>
      <c r="BI87" s="3867" t="s">
        <v>1303</v>
      </c>
      <c r="BJ87" s="3853"/>
      <c r="BK87" s="3866" t="s">
        <v>1303</v>
      </c>
      <c r="BL87" s="3867" t="s">
        <v>1303</v>
      </c>
      <c r="BM87" s="3866" t="s">
        <v>1303</v>
      </c>
      <c r="BN87" s="3867" t="s">
        <v>1303</v>
      </c>
    </row>
    <row r="88" spans="1:66">
      <c r="A88" s="51" t="str">
        <f t="shared" si="50"/>
        <v>350600</v>
      </c>
      <c r="B88" s="1442" t="str">
        <f>'HVAC Deemed Table'!C93</f>
        <v>350600_2024_12_</v>
      </c>
      <c r="C88" s="1378" t="str">
        <f>'HVAC Deemed Table'!G93</f>
        <v>Cooling RES</v>
      </c>
      <c r="D88" s="1378" t="str">
        <f>'HVAC Deemed Table'!G94</f>
        <v>Cooling RES ER2</v>
      </c>
      <c r="E88" s="1378"/>
      <c r="F88" s="1378"/>
      <c r="G88" s="1378" t="str">
        <f>'HVAC Deemed Table'!E93</f>
        <v>CAC-SEER15_ER1_SF</v>
      </c>
      <c r="H88" s="19" t="str">
        <f>'HVAC Deemed Table'!D93</f>
        <v>PAYS</v>
      </c>
      <c r="I88" s="785">
        <f t="shared" si="67"/>
        <v>2107.9899999999998</v>
      </c>
      <c r="J88" s="785">
        <f t="shared" si="68"/>
        <v>273.32</v>
      </c>
      <c r="K88" s="202">
        <f>'HVAC Deemed Table'!F93</f>
        <v>2107.9899999999998</v>
      </c>
      <c r="L88" s="202">
        <v>0</v>
      </c>
      <c r="M88" s="202">
        <f>'HVAC Deemed Table'!F94</f>
        <v>273.32</v>
      </c>
      <c r="N88" s="202">
        <v>0</v>
      </c>
      <c r="O88" s="786">
        <f t="shared" si="69"/>
        <v>1.9971479999999999</v>
      </c>
      <c r="P88" s="786">
        <f t="shared" si="70"/>
        <v>0.25894800000000001</v>
      </c>
      <c r="Q88" s="787">
        <f>'HVAC Deemed Table'!I93</f>
        <v>1.9971479999999999</v>
      </c>
      <c r="R88" s="787"/>
      <c r="S88" s="787">
        <f>'HVAC Deemed Table'!I94</f>
        <v>0.25894800000000001</v>
      </c>
      <c r="T88" s="787"/>
      <c r="U88" s="788">
        <f t="shared" si="71"/>
        <v>0</v>
      </c>
      <c r="V88" s="788">
        <f t="shared" si="72"/>
        <v>0</v>
      </c>
      <c r="W88" s="788">
        <f t="shared" si="73"/>
        <v>1.9971479999999999</v>
      </c>
      <c r="X88" s="23">
        <f>'HVAC Deemed Table'!J93</f>
        <v>6</v>
      </c>
      <c r="Y88" s="23">
        <v>12</v>
      </c>
      <c r="Z88" s="23">
        <f t="shared" si="51"/>
        <v>18</v>
      </c>
      <c r="AA88" s="18">
        <f>'HVAC Deemed Table'!DG93</f>
        <v>4.6546743470487746</v>
      </c>
      <c r="AB88" s="807">
        <f>'HVAC Deemed Table'!K93</f>
        <v>526.97397959163982</v>
      </c>
      <c r="AC88" s="903">
        <f t="shared" si="52"/>
        <v>2099.2378306782102</v>
      </c>
      <c r="AD88" s="903">
        <f t="shared" si="65"/>
        <v>353.65443368920046</v>
      </c>
      <c r="AE88" s="208">
        <f>'HVAC Deemed Table'!DI93</f>
        <v>2099.2378306782102</v>
      </c>
      <c r="AF88" s="208">
        <v>0</v>
      </c>
      <c r="AG88" s="208">
        <f>'HVAC Deemed Table'!DI94</f>
        <v>353.65443368920046</v>
      </c>
      <c r="AH88" s="208">
        <v>0</v>
      </c>
      <c r="AI88" s="906" t="str">
        <f t="shared" si="66"/>
        <v>per measure</v>
      </c>
      <c r="AJ88" s="53">
        <f>'HVAC Deemed Table'!L93</f>
        <v>3.1148319327731095</v>
      </c>
      <c r="AK88" s="641"/>
      <c r="AL88" s="641"/>
      <c r="AX88" s="1355" t="str">
        <f t="shared" si="53"/>
        <v>CAC-SEER15_ER1_SF</v>
      </c>
      <c r="AY88" s="1378"/>
      <c r="AZ88" s="1446" t="str">
        <f t="shared" si="54"/>
        <v>350600</v>
      </c>
      <c r="BA88" s="906">
        <f>ROUND((K88*$BC$3)+(K89*$BC$4),2)</f>
        <v>1369.95</v>
      </c>
      <c r="BB88" s="1324"/>
      <c r="BC88" s="906">
        <f>ROUND((M88*$BC$3)+(K89*$BC$4),2)</f>
        <v>269.14999999999998</v>
      </c>
      <c r="BD88" s="1324"/>
      <c r="BE88" s="1305"/>
      <c r="BF88" s="1321">
        <f>ROUND(BA88*'CP FACTORS'!$B$9,6)</f>
        <v>1.2979149999999999</v>
      </c>
      <c r="BG88" s="1322">
        <f>ROUND(BB88*'CP FACTORS'!$B$14,6)</f>
        <v>0</v>
      </c>
      <c r="BH88" s="1321">
        <f>ROUND(BC88*'CP FACTORS'!$B$9,6)</f>
        <v>0.254998</v>
      </c>
      <c r="BI88" s="1323">
        <f>ROUND(BD88*'CP FACTORS'!$B$14,6)</f>
        <v>0</v>
      </c>
      <c r="BJ88" s="1305"/>
      <c r="BK88" s="730">
        <f t="shared" ref="BK88:BK146" si="74">BA88+BB88</f>
        <v>1369.95</v>
      </c>
      <c r="BL88" s="1342">
        <f t="shared" ref="BL88:BL146" si="75">BC88+BD88</f>
        <v>269.14999999999998</v>
      </c>
      <c r="BM88" s="1341">
        <f t="shared" ref="BM88:BM146" si="76">BF88+BG88</f>
        <v>1.2979149999999999</v>
      </c>
      <c r="BN88" s="1340">
        <f t="shared" ref="BN88:BN146" si="77">BH88+BI88</f>
        <v>0.254998</v>
      </c>
    </row>
    <row r="89" spans="1:66">
      <c r="A89" s="51" t="str">
        <f t="shared" si="50"/>
        <v>350650</v>
      </c>
      <c r="B89" s="1442" t="str">
        <f>'HVAC Deemed Table'!C95</f>
        <v>350650_2024_12_</v>
      </c>
      <c r="C89" s="1378" t="str">
        <f>'HVAC Deemed Table'!G95</f>
        <v>Cooling RES</v>
      </c>
      <c r="D89" s="1378"/>
      <c r="E89" s="1378"/>
      <c r="F89" s="1378"/>
      <c r="G89" s="1378" t="str">
        <f>'HVAC Deemed Table'!E95</f>
        <v>CAC-SEER15_ROF_SF</v>
      </c>
      <c r="H89" s="19" t="str">
        <f>'HVAC Deemed Table'!D95</f>
        <v>PAYS</v>
      </c>
      <c r="I89" s="785">
        <f t="shared" si="67"/>
        <v>262.89999999999998</v>
      </c>
      <c r="J89" s="785">
        <f t="shared" si="68"/>
        <v>0</v>
      </c>
      <c r="K89" s="202">
        <f>'HVAC Deemed Table'!F95</f>
        <v>262.89999999999998</v>
      </c>
      <c r="L89" s="202">
        <v>0</v>
      </c>
      <c r="M89" s="202">
        <v>0</v>
      </c>
      <c r="N89" s="202">
        <v>0</v>
      </c>
      <c r="O89" s="786">
        <f t="shared" si="69"/>
        <v>0.24907599999999999</v>
      </c>
      <c r="P89" s="786">
        <f t="shared" si="70"/>
        <v>0</v>
      </c>
      <c r="Q89" s="787">
        <f>'HVAC Deemed Table'!I95</f>
        <v>0.24907599999999999</v>
      </c>
      <c r="R89" s="787"/>
      <c r="S89" s="787"/>
      <c r="T89" s="787"/>
      <c r="U89" s="788">
        <f t="shared" si="71"/>
        <v>0</v>
      </c>
      <c r="V89" s="788">
        <f t="shared" si="72"/>
        <v>0</v>
      </c>
      <c r="W89" s="788">
        <f t="shared" si="73"/>
        <v>0.24907599999999999</v>
      </c>
      <c r="X89" s="23">
        <f>'HVAC Deemed Table'!J95</f>
        <v>18</v>
      </c>
      <c r="Y89" s="23"/>
      <c r="Z89" s="23">
        <f t="shared" si="51"/>
        <v>18</v>
      </c>
      <c r="AA89" s="18">
        <f>'HVAC Deemed Table'!DG95</f>
        <v>1.3287939327387319</v>
      </c>
      <c r="AB89" s="807">
        <f>'HVAC Deemed Table'!K95</f>
        <v>453.02753789283406</v>
      </c>
      <c r="AC89" s="903">
        <f t="shared" si="52"/>
        <v>601.98024371556392</v>
      </c>
      <c r="AD89" s="903">
        <f t="shared" si="65"/>
        <v>0</v>
      </c>
      <c r="AE89" s="208">
        <f>'HVAC Deemed Table'!DI95</f>
        <v>601.98024371556392</v>
      </c>
      <c r="AF89" s="208">
        <v>0</v>
      </c>
      <c r="AG89" s="208">
        <v>0</v>
      </c>
      <c r="AH89" s="208">
        <v>0</v>
      </c>
      <c r="AI89" s="906" t="str">
        <f t="shared" si="66"/>
        <v>per measure</v>
      </c>
      <c r="AJ89" s="53">
        <f>'HVAC Deemed Table'!L95</f>
        <v>2.9891966173361513</v>
      </c>
      <c r="AK89" s="641"/>
      <c r="AL89" s="641"/>
      <c r="AX89" s="1355" t="str">
        <f t="shared" si="53"/>
        <v>CAC-SEER15_ROF_SF</v>
      </c>
      <c r="AY89" s="1378"/>
      <c r="AZ89" s="1446" t="str">
        <f t="shared" si="54"/>
        <v>350650</v>
      </c>
      <c r="BA89" s="906">
        <f>ROUND((K88*$BC$3)+(K89*$BC$4),2)</f>
        <v>1369.95</v>
      </c>
      <c r="BB89" s="1324"/>
      <c r="BC89" s="906">
        <f>ROUND((M88*$BC$3)+(K89*$BC$4),2)</f>
        <v>269.14999999999998</v>
      </c>
      <c r="BD89" s="1324"/>
      <c r="BE89" s="1305"/>
      <c r="BF89" s="1321">
        <f>ROUND(BA89*'CP FACTORS'!$B$9,6)</f>
        <v>1.2979149999999999</v>
      </c>
      <c r="BG89" s="1322">
        <f>ROUND(BB89*'CP FACTORS'!$B$14,6)</f>
        <v>0</v>
      </c>
      <c r="BH89" s="1321">
        <f>ROUND(BC89*'CP FACTORS'!$B$9,6)</f>
        <v>0.254998</v>
      </c>
      <c r="BI89" s="1323">
        <f>ROUND(BD89*'CP FACTORS'!$B$14,6)</f>
        <v>0</v>
      </c>
      <c r="BJ89" s="1305"/>
      <c r="BK89" s="730">
        <f t="shared" si="74"/>
        <v>1369.95</v>
      </c>
      <c r="BL89" s="1342">
        <f t="shared" si="75"/>
        <v>269.14999999999998</v>
      </c>
      <c r="BM89" s="1341">
        <f t="shared" si="76"/>
        <v>1.2979149999999999</v>
      </c>
      <c r="BN89" s="1340">
        <f t="shared" si="77"/>
        <v>0.254998</v>
      </c>
    </row>
    <row r="90" spans="1:66" s="696" customFormat="1">
      <c r="A90" s="2958" t="str">
        <f t="shared" si="50"/>
        <v>350700</v>
      </c>
      <c r="B90" s="2233" t="str">
        <f>'HVAC Deemed Table'!C96</f>
        <v>350700_2024_12_</v>
      </c>
      <c r="C90" s="2724" t="str">
        <f>'HVAC Deemed Table'!G96</f>
        <v>Cooling RES</v>
      </c>
      <c r="D90" s="2724" t="str">
        <f>'HVAC Deemed Table'!G97</f>
        <v>Cooling RES ER2</v>
      </c>
      <c r="E90" s="2724"/>
      <c r="F90" s="2724"/>
      <c r="G90" s="3860" t="str">
        <f>'HVAC Deemed Table'!E96</f>
        <v>CAC-SEER15_ER1_MF</v>
      </c>
      <c r="H90" s="2554" t="str">
        <f>'HVAC Deemed Table'!D96</f>
        <v>MF</v>
      </c>
      <c r="I90" s="3840">
        <f t="shared" si="67"/>
        <v>1759.78</v>
      </c>
      <c r="J90" s="3840">
        <f t="shared" si="68"/>
        <v>213.12</v>
      </c>
      <c r="K90" s="3251">
        <f>'HVAC Deemed Table'!F96</f>
        <v>1759.78</v>
      </c>
      <c r="L90" s="3251">
        <v>0</v>
      </c>
      <c r="M90" s="3251">
        <f>'HVAC Deemed Table'!F97</f>
        <v>213.12</v>
      </c>
      <c r="N90" s="3251">
        <v>0</v>
      </c>
      <c r="O90" s="3841">
        <f t="shared" si="69"/>
        <v>1.6672469999999999</v>
      </c>
      <c r="P90" s="3841">
        <f t="shared" si="70"/>
        <v>0.20191400000000001</v>
      </c>
      <c r="Q90" s="3842">
        <f>'HVAC Deemed Table'!I96</f>
        <v>1.6672469999999999</v>
      </c>
      <c r="R90" s="3842"/>
      <c r="S90" s="3842">
        <f>'HVAC Deemed Table'!I97</f>
        <v>0.20191400000000001</v>
      </c>
      <c r="T90" s="3842"/>
      <c r="U90" s="3843">
        <f t="shared" si="71"/>
        <v>0</v>
      </c>
      <c r="V90" s="3843">
        <f t="shared" si="72"/>
        <v>0</v>
      </c>
      <c r="W90" s="3843">
        <f t="shared" si="73"/>
        <v>1.6672469999999999</v>
      </c>
      <c r="X90" s="2846">
        <f>'HVAC Deemed Table'!J96</f>
        <v>6</v>
      </c>
      <c r="Y90" s="2846">
        <f>'HVAC Deemed Table'!J97</f>
        <v>12</v>
      </c>
      <c r="Z90" s="2846">
        <f t="shared" si="51"/>
        <v>18</v>
      </c>
      <c r="AA90" s="2529">
        <f>'HVAC Deemed Table'!DG96</f>
        <v>3.8488313363601621</v>
      </c>
      <c r="AB90" s="3844">
        <f>'HVAC Deemed Table'!K96</f>
        <v>526.97397959163982</v>
      </c>
      <c r="AC90" s="3845">
        <f t="shared" si="52"/>
        <v>1752.4735647089888</v>
      </c>
      <c r="AD90" s="3845">
        <f t="shared" si="65"/>
        <v>275.76040138973514</v>
      </c>
      <c r="AE90" s="3846">
        <f>'HVAC Deemed Table'!DI96</f>
        <v>1752.4735647089888</v>
      </c>
      <c r="AF90" s="3846">
        <v>0</v>
      </c>
      <c r="AG90" s="3846">
        <f>'HVAC Deemed Table'!DI97</f>
        <v>275.76040138973514</v>
      </c>
      <c r="AH90" s="3846">
        <v>0</v>
      </c>
      <c r="AI90" s="3847" t="str">
        <f t="shared" si="66"/>
        <v>per measure</v>
      </c>
      <c r="AJ90" s="3220">
        <f>'HVAC Deemed Table'!L96</f>
        <v>2.4444444444444446</v>
      </c>
      <c r="AK90" s="3848"/>
      <c r="AL90" s="3848"/>
      <c r="AX90" s="3849" t="str">
        <f t="shared" si="53"/>
        <v>CAC-SEER15_ER1_MF</v>
      </c>
      <c r="AY90" s="2724"/>
      <c r="AZ90" s="3850" t="str">
        <f t="shared" si="54"/>
        <v>350700</v>
      </c>
      <c r="BA90" s="3851">
        <f>ROUND((K90*$BC$3)+(K92*$BC$4),2)</f>
        <v>1122.1400000000001</v>
      </c>
      <c r="BB90" s="3852"/>
      <c r="BC90" s="3851">
        <f>ROUND((M90*$BC$3)+(K92*$BC$4),2)</f>
        <v>194.15</v>
      </c>
      <c r="BD90" s="3852"/>
      <c r="BE90" s="3853"/>
      <c r="BF90" s="3854">
        <f>ROUND(BA90*'CP FACTORS'!$B$9,6)</f>
        <v>1.0631360000000001</v>
      </c>
      <c r="BG90" s="3854">
        <f>ROUND(BB90*'CP FACTORS'!$B$14,6)</f>
        <v>0</v>
      </c>
      <c r="BH90" s="3854">
        <f>ROUND(BC90*'CP FACTORS'!$B$9,6)</f>
        <v>0.18394099999999999</v>
      </c>
      <c r="BI90" s="3855">
        <f>ROUND(BD90*'CP FACTORS'!$B$14,6)</f>
        <v>0</v>
      </c>
      <c r="BJ90" s="3853"/>
      <c r="BK90" s="3856">
        <f t="shared" si="74"/>
        <v>1122.1400000000001</v>
      </c>
      <c r="BL90" s="3857">
        <f t="shared" si="75"/>
        <v>194.15</v>
      </c>
      <c r="BM90" s="3858">
        <f t="shared" si="76"/>
        <v>1.0631360000000001</v>
      </c>
      <c r="BN90" s="3855">
        <f t="shared" si="77"/>
        <v>0.18394099999999999</v>
      </c>
    </row>
    <row r="91" spans="1:66" s="696" customFormat="1">
      <c r="A91" s="2958" t="str">
        <f t="shared" si="50"/>
        <v>350701</v>
      </c>
      <c r="B91" s="2233" t="str">
        <f>'HVAC Deemed Table'!C98</f>
        <v>350701_2024_12_</v>
      </c>
      <c r="C91" s="2724" t="str">
        <f>'HVAC Deemed Table'!G98</f>
        <v>Cooling RES</v>
      </c>
      <c r="D91" s="2724" t="str">
        <f>'HVAC Deemed Table'!G99</f>
        <v>Cooling RES ER2</v>
      </c>
      <c r="E91" s="2724"/>
      <c r="F91" s="2724"/>
      <c r="G91" s="2724" t="str">
        <f>'HVAC Deemed Table'!E98</f>
        <v>CAC-SEER15_ER1_MF_CompE</v>
      </c>
      <c r="H91" s="2554" t="str">
        <f>'HVAC Deemed Table'!D98</f>
        <v>MFc</v>
      </c>
      <c r="I91" s="3840">
        <f t="shared" si="67"/>
        <v>1279.8399999999999</v>
      </c>
      <c r="J91" s="3840">
        <f t="shared" si="68"/>
        <v>154.99</v>
      </c>
      <c r="K91" s="3251">
        <f>'HVAC Deemed Table'!F98</f>
        <v>1279.8399999999999</v>
      </c>
      <c r="L91" s="3251">
        <v>0</v>
      </c>
      <c r="M91" s="3251">
        <f>'HVAC Deemed Table'!F99</f>
        <v>154.99</v>
      </c>
      <c r="N91" s="3251">
        <v>0</v>
      </c>
      <c r="O91" s="3841">
        <f t="shared" si="69"/>
        <v>1.2125440000000001</v>
      </c>
      <c r="P91" s="3841">
        <f t="shared" si="70"/>
        <v>0.14684</v>
      </c>
      <c r="Q91" s="3842">
        <f>'HVAC Deemed Table'!I98</f>
        <v>1.2125440000000001</v>
      </c>
      <c r="R91" s="3842"/>
      <c r="S91" s="3842">
        <f>'HVAC Deemed Table'!I99</f>
        <v>0.14684</v>
      </c>
      <c r="T91" s="3842"/>
      <c r="U91" s="3843">
        <f t="shared" si="71"/>
        <v>0</v>
      </c>
      <c r="V91" s="3843">
        <f t="shared" si="72"/>
        <v>0</v>
      </c>
      <c r="W91" s="3843">
        <f t="shared" si="73"/>
        <v>1.2125440000000001</v>
      </c>
      <c r="X91" s="2846">
        <f>'HVAC Deemed Table'!J98</f>
        <v>6</v>
      </c>
      <c r="Y91" s="2846">
        <f>'HVAC Deemed Table'!J99</f>
        <v>12</v>
      </c>
      <c r="Z91" s="2846">
        <f t="shared" si="51"/>
        <v>18</v>
      </c>
      <c r="AA91" s="2529">
        <f>'HVAC Deemed Table'!DG98</f>
        <v>2.799134437668791</v>
      </c>
      <c r="AB91" s="3844">
        <f>'HVAC Deemed Table'!K98</f>
        <v>526.97397959163982</v>
      </c>
      <c r="AC91" s="3845">
        <f t="shared" si="52"/>
        <v>1274.5262288792644</v>
      </c>
      <c r="AD91" s="3845">
        <f t="shared" si="65"/>
        <v>200.54478515106535</v>
      </c>
      <c r="AE91" s="3846">
        <f>'HVAC Deemed Table'!DI98</f>
        <v>1274.5262288792644</v>
      </c>
      <c r="AF91" s="3846">
        <v>0</v>
      </c>
      <c r="AG91" s="3846">
        <f>'HVAC Deemed Table'!DI99</f>
        <v>200.54478515106535</v>
      </c>
      <c r="AH91" s="3846">
        <v>0</v>
      </c>
      <c r="AI91" s="3847" t="str">
        <f t="shared" si="66"/>
        <v>per measure</v>
      </c>
      <c r="AJ91" s="3220">
        <f>'HVAC Deemed Table'!L98</f>
        <v>2.4444444444444446</v>
      </c>
      <c r="AK91" s="3848"/>
      <c r="AL91" s="3848"/>
      <c r="AX91" s="3849" t="str">
        <f t="shared" si="53"/>
        <v>CAC-SEER15_ER1_MF_CompE</v>
      </c>
      <c r="AY91" s="2724"/>
      <c r="AZ91" s="3850" t="str">
        <f t="shared" si="54"/>
        <v>350701</v>
      </c>
      <c r="BA91" s="3859">
        <f>ROUND((K91*$BC$3)+(K93*$BC$4),2)</f>
        <v>816.1</v>
      </c>
      <c r="BB91" s="3852"/>
      <c r="BC91" s="3859">
        <f>ROUND((M91*$BC$3)+(K93*$BC$4),2)</f>
        <v>141.19</v>
      </c>
      <c r="BD91" s="3852"/>
      <c r="BE91" s="3853"/>
      <c r="BF91" s="3854">
        <f>ROUND(BA91*'CP FACTORS'!$B$9,6)</f>
        <v>0.77318799999999999</v>
      </c>
      <c r="BG91" s="3854">
        <f>ROUND(BB91*'CP FACTORS'!$B$14,6)</f>
        <v>0</v>
      </c>
      <c r="BH91" s="3854">
        <f>ROUND(BC91*'CP FACTORS'!$B$9,6)</f>
        <v>0.133766</v>
      </c>
      <c r="BI91" s="3855">
        <f>ROUND(BD91*'CP FACTORS'!$B$14,6)</f>
        <v>0</v>
      </c>
      <c r="BJ91" s="3853"/>
      <c r="BK91" s="3856">
        <f t="shared" si="74"/>
        <v>816.1</v>
      </c>
      <c r="BL91" s="3857">
        <f t="shared" si="75"/>
        <v>141.19</v>
      </c>
      <c r="BM91" s="3858">
        <f t="shared" si="76"/>
        <v>0.77318799999999999</v>
      </c>
      <c r="BN91" s="3855">
        <f t="shared" si="77"/>
        <v>0.133766</v>
      </c>
    </row>
    <row r="92" spans="1:66" s="696" customFormat="1">
      <c r="A92" s="2958" t="str">
        <f t="shared" si="50"/>
        <v>350750</v>
      </c>
      <c r="B92" s="2233" t="str">
        <f>'HVAC Deemed Table'!C100</f>
        <v>350750_2024_12_</v>
      </c>
      <c r="C92" s="2724" t="str">
        <f>'HVAC Deemed Table'!G100</f>
        <v>Cooling RES</v>
      </c>
      <c r="D92" s="2724"/>
      <c r="E92" s="2724"/>
      <c r="F92" s="2724"/>
      <c r="G92" s="2724" t="str">
        <f>'HVAC Deemed Table'!E100</f>
        <v>CAC-SEER15_ROF_MF</v>
      </c>
      <c r="H92" s="2554" t="str">
        <f>'HVAC Deemed Table'!D100</f>
        <v>MF</v>
      </c>
      <c r="I92" s="3840">
        <f t="shared" si="67"/>
        <v>165.69</v>
      </c>
      <c r="J92" s="3840">
        <f t="shared" si="68"/>
        <v>0</v>
      </c>
      <c r="K92" s="3251">
        <f>'HVAC Deemed Table'!F100</f>
        <v>165.69</v>
      </c>
      <c r="L92" s="3251">
        <v>0</v>
      </c>
      <c r="M92" s="3251">
        <v>0</v>
      </c>
      <c r="N92" s="3251">
        <v>0</v>
      </c>
      <c r="O92" s="3841">
        <f t="shared" si="69"/>
        <v>0.15697800000000001</v>
      </c>
      <c r="P92" s="3841">
        <f t="shared" si="70"/>
        <v>0</v>
      </c>
      <c r="Q92" s="3842">
        <f>'HVAC Deemed Table'!I100</f>
        <v>0.15697800000000001</v>
      </c>
      <c r="R92" s="3842"/>
      <c r="S92" s="3842"/>
      <c r="T92" s="3842"/>
      <c r="U92" s="3843">
        <f t="shared" si="71"/>
        <v>0</v>
      </c>
      <c r="V92" s="3843">
        <f t="shared" si="72"/>
        <v>0</v>
      </c>
      <c r="W92" s="3843">
        <f t="shared" si="73"/>
        <v>0.15697800000000001</v>
      </c>
      <c r="X92" s="2846">
        <f>'HVAC Deemed Table'!J100</f>
        <v>18</v>
      </c>
      <c r="Y92" s="2846"/>
      <c r="Z92" s="2846">
        <f t="shared" si="51"/>
        <v>18</v>
      </c>
      <c r="AA92" s="2529">
        <f>'HVAC Deemed Table'!DG100</f>
        <v>0.83745860294971686</v>
      </c>
      <c r="AB92" s="3844">
        <f>'HVAC Deemed Table'!K100</f>
        <v>453.02753789283406</v>
      </c>
      <c r="AC92" s="3845">
        <f t="shared" si="52"/>
        <v>379.39180898148271</v>
      </c>
      <c r="AD92" s="3845">
        <f t="shared" si="65"/>
        <v>0</v>
      </c>
      <c r="AE92" s="3846">
        <f>'HVAC Deemed Table'!DI100</f>
        <v>379.39180898148271</v>
      </c>
      <c r="AF92" s="3846">
        <v>0</v>
      </c>
      <c r="AG92" s="3846">
        <v>0</v>
      </c>
      <c r="AH92" s="3846">
        <v>0</v>
      </c>
      <c r="AI92" s="3847" t="str">
        <f t="shared" si="66"/>
        <v>per measure</v>
      </c>
      <c r="AJ92" s="3220">
        <f>'HVAC Deemed Table'!L100</f>
        <v>2</v>
      </c>
      <c r="AK92" s="3848"/>
      <c r="AL92" s="3848"/>
      <c r="AX92" s="3849" t="str">
        <f t="shared" si="53"/>
        <v>CAC-SEER15_ROF_MF</v>
      </c>
      <c r="AY92" s="2724"/>
      <c r="AZ92" s="3850" t="str">
        <f t="shared" si="54"/>
        <v>350750</v>
      </c>
      <c r="BA92" s="3851">
        <f>ROUND((K90*$BC$3)+(K92*$BC$4),2)</f>
        <v>1122.1400000000001</v>
      </c>
      <c r="BB92" s="3852"/>
      <c r="BC92" s="3851">
        <f>ROUND((M90*$BC$3)+(K92*$BC$4),2)</f>
        <v>194.15</v>
      </c>
      <c r="BD92" s="3852"/>
      <c r="BE92" s="3853"/>
      <c r="BF92" s="3854">
        <f>ROUND(BA92*'CP FACTORS'!$B$9,6)</f>
        <v>1.0631360000000001</v>
      </c>
      <c r="BG92" s="3854">
        <f>ROUND(BB92*'CP FACTORS'!$B$14,6)</f>
        <v>0</v>
      </c>
      <c r="BH92" s="3854">
        <f>ROUND(BC92*'CP FACTORS'!$B$9,6)</f>
        <v>0.18394099999999999</v>
      </c>
      <c r="BI92" s="3855">
        <f>ROUND(BD92*'CP FACTORS'!$B$14,6)</f>
        <v>0</v>
      </c>
      <c r="BJ92" s="3853"/>
      <c r="BK92" s="3856">
        <f t="shared" si="74"/>
        <v>1122.1400000000001</v>
      </c>
      <c r="BL92" s="3857">
        <f t="shared" si="75"/>
        <v>194.15</v>
      </c>
      <c r="BM92" s="3858">
        <f t="shared" si="76"/>
        <v>1.0631360000000001</v>
      </c>
      <c r="BN92" s="3855">
        <f t="shared" si="77"/>
        <v>0.18394099999999999</v>
      </c>
    </row>
    <row r="93" spans="1:66" s="696" customFormat="1">
      <c r="A93" s="2958" t="str">
        <f t="shared" si="50"/>
        <v>350751</v>
      </c>
      <c r="B93" s="2233" t="str">
        <f>'HVAC Deemed Table'!C101</f>
        <v>350751_2024_12_</v>
      </c>
      <c r="C93" s="2724" t="str">
        <f>'HVAC Deemed Table'!G101</f>
        <v>Cooling RES</v>
      </c>
      <c r="D93" s="2724"/>
      <c r="E93" s="2724"/>
      <c r="F93" s="2724"/>
      <c r="G93" s="2724" t="str">
        <f>'HVAC Deemed Table'!E101</f>
        <v>CAC-SEER15_ROF_MF_CompE</v>
      </c>
      <c r="H93" s="2554" t="str">
        <f>'HVAC Deemed Table'!D101</f>
        <v>MFc</v>
      </c>
      <c r="I93" s="3840">
        <f t="shared" si="67"/>
        <v>120.5</v>
      </c>
      <c r="J93" s="3840">
        <f t="shared" si="68"/>
        <v>0</v>
      </c>
      <c r="K93" s="3251">
        <f>'HVAC Deemed Table'!F101</f>
        <v>120.5</v>
      </c>
      <c r="L93" s="3251">
        <v>0</v>
      </c>
      <c r="M93" s="3251">
        <v>0</v>
      </c>
      <c r="N93" s="3251">
        <v>0</v>
      </c>
      <c r="O93" s="3841">
        <f t="shared" si="69"/>
        <v>0.114164</v>
      </c>
      <c r="P93" s="3841">
        <f t="shared" si="70"/>
        <v>0</v>
      </c>
      <c r="Q93" s="3842">
        <f>'HVAC Deemed Table'!I101</f>
        <v>0.114164</v>
      </c>
      <c r="R93" s="3842"/>
      <c r="S93" s="3842"/>
      <c r="T93" s="3842"/>
      <c r="U93" s="3843">
        <f t="shared" si="71"/>
        <v>0</v>
      </c>
      <c r="V93" s="3843">
        <f t="shared" si="72"/>
        <v>0</v>
      </c>
      <c r="W93" s="3843">
        <f t="shared" si="73"/>
        <v>0.114164</v>
      </c>
      <c r="X93" s="2846">
        <f>'HVAC Deemed Table'!J101</f>
        <v>18</v>
      </c>
      <c r="Y93" s="2846"/>
      <c r="Z93" s="2846">
        <f t="shared" si="51"/>
        <v>18</v>
      </c>
      <c r="AA93" s="2529">
        <f>'HVAC Deemed Table'!DG101</f>
        <v>0.60905161238119909</v>
      </c>
      <c r="AB93" s="3844">
        <f>'HVAC Deemed Table'!K101</f>
        <v>453.02753789283406</v>
      </c>
      <c r="AC93" s="3845">
        <f t="shared" si="52"/>
        <v>275.91715240671533</v>
      </c>
      <c r="AD93" s="3845">
        <f t="shared" si="65"/>
        <v>0</v>
      </c>
      <c r="AE93" s="3846">
        <f>'HVAC Deemed Table'!DI101</f>
        <v>275.91715240671533</v>
      </c>
      <c r="AF93" s="3846">
        <v>0</v>
      </c>
      <c r="AG93" s="3846">
        <v>0</v>
      </c>
      <c r="AH93" s="3846">
        <v>0</v>
      </c>
      <c r="AI93" s="3847" t="str">
        <f t="shared" si="66"/>
        <v>per measure</v>
      </c>
      <c r="AJ93" s="3220">
        <f>'HVAC Deemed Table'!L101</f>
        <v>2</v>
      </c>
      <c r="AK93" s="3848"/>
      <c r="AL93" s="3848"/>
      <c r="AX93" s="3849" t="str">
        <f t="shared" si="53"/>
        <v>CAC-SEER15_ROF_MF_CompE</v>
      </c>
      <c r="AY93" s="2724"/>
      <c r="AZ93" s="3850" t="str">
        <f t="shared" si="54"/>
        <v>350751</v>
      </c>
      <c r="BA93" s="3859">
        <f>ROUND((K91*$BC$3)+(K93*$BC$4),2)</f>
        <v>816.1</v>
      </c>
      <c r="BB93" s="3852"/>
      <c r="BC93" s="3859">
        <f>ROUND((M91*$BC$3)+(K93*$BC$4),2)</f>
        <v>141.19</v>
      </c>
      <c r="BD93" s="3852"/>
      <c r="BE93" s="3853"/>
      <c r="BF93" s="3854">
        <f>ROUND(BA93*'CP FACTORS'!$B$9,6)</f>
        <v>0.77318799999999999</v>
      </c>
      <c r="BG93" s="3854">
        <f>ROUND(BB93*'CP FACTORS'!$B$14,6)</f>
        <v>0</v>
      </c>
      <c r="BH93" s="3854">
        <f>ROUND(BC93*'CP FACTORS'!$B$9,6)</f>
        <v>0.133766</v>
      </c>
      <c r="BI93" s="3855">
        <f>ROUND(BD93*'CP FACTORS'!$B$14,6)</f>
        <v>0</v>
      </c>
      <c r="BJ93" s="3853"/>
      <c r="BK93" s="3856">
        <f t="shared" si="74"/>
        <v>816.1</v>
      </c>
      <c r="BL93" s="3857">
        <f t="shared" si="75"/>
        <v>141.19</v>
      </c>
      <c r="BM93" s="3858">
        <f t="shared" si="76"/>
        <v>0.77318799999999999</v>
      </c>
      <c r="BN93" s="3855">
        <f t="shared" si="77"/>
        <v>0.133766</v>
      </c>
    </row>
    <row r="94" spans="1:66">
      <c r="A94" s="51" t="str">
        <f t="shared" si="50"/>
        <v>350800</v>
      </c>
      <c r="B94" s="1442" t="str">
        <f>'HVAC Deemed Table'!C102</f>
        <v>350800_2024_12_</v>
      </c>
      <c r="C94" s="1378" t="str">
        <f>'HVAC Deemed Table'!G102</f>
        <v>Cooling RES</v>
      </c>
      <c r="D94" s="1378" t="str">
        <f>'HVAC Deemed Table'!G103</f>
        <v>Cooling RES ER2</v>
      </c>
      <c r="E94" s="1378"/>
      <c r="F94" s="1378"/>
      <c r="G94" s="1378" t="str">
        <f>'HVAC Deemed Table'!E102</f>
        <v>CAC-SEER16_ER1_SF</v>
      </c>
      <c r="H94" s="19" t="str">
        <f>'HVAC Deemed Table'!D102</f>
        <v>PAYS/SFIE</v>
      </c>
      <c r="I94" s="785">
        <f t="shared" si="67"/>
        <v>2184.27</v>
      </c>
      <c r="J94" s="785">
        <f t="shared" si="68"/>
        <v>366.69</v>
      </c>
      <c r="K94" s="202">
        <f>'HVAC Deemed Table'!F102</f>
        <v>2184.27</v>
      </c>
      <c r="L94" s="202">
        <v>0</v>
      </c>
      <c r="M94" s="202">
        <f>'HVAC Deemed Table'!F103</f>
        <v>366.69</v>
      </c>
      <c r="N94" s="202">
        <v>0</v>
      </c>
      <c r="O94" s="786">
        <f t="shared" si="69"/>
        <v>2.0694170000000001</v>
      </c>
      <c r="P94" s="786">
        <f t="shared" si="70"/>
        <v>0.34740900000000002</v>
      </c>
      <c r="Q94" s="787">
        <f>'HVAC Deemed Table'!I102</f>
        <v>2.0694170000000001</v>
      </c>
      <c r="R94" s="787"/>
      <c r="S94" s="787">
        <f>'HVAC Deemed Table'!I103</f>
        <v>0.34740900000000002</v>
      </c>
      <c r="T94" s="787"/>
      <c r="U94" s="788">
        <f t="shared" si="71"/>
        <v>0</v>
      </c>
      <c r="V94" s="788">
        <f t="shared" si="72"/>
        <v>0</v>
      </c>
      <c r="W94" s="788">
        <f t="shared" si="73"/>
        <v>2.0694170000000001</v>
      </c>
      <c r="X94" s="23">
        <f>'HVAC Deemed Table'!J102</f>
        <v>6</v>
      </c>
      <c r="Y94" s="23">
        <f>'HVAC Deemed Table'!J103</f>
        <v>12</v>
      </c>
      <c r="Z94" s="23">
        <f t="shared" si="51"/>
        <v>18</v>
      </c>
      <c r="AA94" s="18">
        <f>'HVAC Deemed Table'!DG102</f>
        <v>3.737573071863415</v>
      </c>
      <c r="AB94" s="807">
        <f>'HVAC Deemed Table'!K102</f>
        <v>708.92766284367963</v>
      </c>
      <c r="AC94" s="903">
        <f t="shared" si="52"/>
        <v>2175.2011235420923</v>
      </c>
      <c r="AD94" s="903">
        <f t="shared" si="65"/>
        <v>474.46781900151075</v>
      </c>
      <c r="AE94" s="208">
        <f>'HVAC Deemed Table'!DI102</f>
        <v>2175.2011235420923</v>
      </c>
      <c r="AF94" s="208">
        <v>0</v>
      </c>
      <c r="AG94" s="208">
        <f>'HVAC Deemed Table'!DI103</f>
        <v>474.46781900151075</v>
      </c>
      <c r="AH94" s="208">
        <v>0</v>
      </c>
      <c r="AI94" s="906" t="str">
        <f t="shared" si="66"/>
        <v>per measure</v>
      </c>
      <c r="AJ94" s="53">
        <f>'HVAC Deemed Table'!L102</f>
        <v>2.8756478324403312</v>
      </c>
      <c r="AK94" s="641"/>
      <c r="AL94" s="641"/>
      <c r="AX94" s="1355" t="str">
        <f t="shared" si="53"/>
        <v>CAC-SEER16_ER1_SF</v>
      </c>
      <c r="AY94" s="1378"/>
      <c r="AZ94" s="1446" t="str">
        <f t="shared" si="54"/>
        <v>350800</v>
      </c>
      <c r="BA94" s="906">
        <f>ROUND((K94*$BC$3)+(K95*$BC$4),2)</f>
        <v>1455.93</v>
      </c>
      <c r="BB94" s="1324"/>
      <c r="BC94" s="906">
        <f>ROUND((M94*$BC$3)+(K95*$BC$4),2)</f>
        <v>365.39</v>
      </c>
      <c r="BD94" s="1324"/>
      <c r="BE94" s="1305"/>
      <c r="BF94" s="1321">
        <f>ROUND(BA94*'CP FACTORS'!$B$9,6)</f>
        <v>1.3793740000000001</v>
      </c>
      <c r="BG94" s="1322">
        <f>ROUND(BB94*'CP FACTORS'!$B$14,6)</f>
        <v>0</v>
      </c>
      <c r="BH94" s="1321">
        <f>ROUND(BC94*'CP FACTORS'!$B$9,6)</f>
        <v>0.34617700000000001</v>
      </c>
      <c r="BI94" s="1323">
        <f>ROUND(BD94*'CP FACTORS'!$B$14,6)</f>
        <v>0</v>
      </c>
      <c r="BJ94" s="1305"/>
      <c r="BK94" s="730">
        <f t="shared" si="74"/>
        <v>1455.93</v>
      </c>
      <c r="BL94" s="1342">
        <f t="shared" si="75"/>
        <v>365.39</v>
      </c>
      <c r="BM94" s="1341">
        <f t="shared" si="76"/>
        <v>1.3793740000000001</v>
      </c>
      <c r="BN94" s="1340">
        <f t="shared" si="77"/>
        <v>0.34617700000000001</v>
      </c>
    </row>
    <row r="95" spans="1:66">
      <c r="A95" s="51" t="str">
        <f t="shared" si="50"/>
        <v>350850</v>
      </c>
      <c r="B95" s="1442" t="str">
        <f>'HVAC Deemed Table'!C104</f>
        <v>350850_2024_12_</v>
      </c>
      <c r="C95" s="1378" t="str">
        <f>'HVAC Deemed Table'!G104</f>
        <v>Cooling RES</v>
      </c>
      <c r="D95" s="1378"/>
      <c r="E95" s="1378"/>
      <c r="F95" s="1378"/>
      <c r="G95" s="1378" t="str">
        <f>'HVAC Deemed Table'!E104</f>
        <v>CAC-SEER16_ROF_SF</v>
      </c>
      <c r="H95" s="19" t="str">
        <f>'HVAC Deemed Table'!D104</f>
        <v>PAYS/SFIE</v>
      </c>
      <c r="I95" s="785">
        <f t="shared" si="67"/>
        <v>363.43</v>
      </c>
      <c r="J95" s="785">
        <f t="shared" si="68"/>
        <v>0</v>
      </c>
      <c r="K95" s="202">
        <f>'HVAC Deemed Table'!F104</f>
        <v>363.43</v>
      </c>
      <c r="L95" s="202">
        <v>0</v>
      </c>
      <c r="M95" s="202"/>
      <c r="N95" s="202">
        <v>0</v>
      </c>
      <c r="O95" s="786">
        <f t="shared" si="69"/>
        <v>0.34432000000000001</v>
      </c>
      <c r="P95" s="786">
        <f t="shared" si="70"/>
        <v>0</v>
      </c>
      <c r="Q95" s="787">
        <f>'HVAC Deemed Table'!I104</f>
        <v>0.34432000000000001</v>
      </c>
      <c r="R95" s="787"/>
      <c r="S95" s="787"/>
      <c r="T95" s="787"/>
      <c r="U95" s="788">
        <f t="shared" si="71"/>
        <v>0</v>
      </c>
      <c r="V95" s="788">
        <f t="shared" si="72"/>
        <v>0</v>
      </c>
      <c r="W95" s="788">
        <f t="shared" si="73"/>
        <v>0.34432000000000001</v>
      </c>
      <c r="X95" s="23">
        <f>'HVAC Deemed Table'!J104</f>
        <v>18</v>
      </c>
      <c r="Y95" s="23"/>
      <c r="Z95" s="23">
        <f t="shared" si="51"/>
        <v>18</v>
      </c>
      <c r="AA95" s="18">
        <f>'HVAC Deemed Table'!DG104</f>
        <v>1.3105438137147511</v>
      </c>
      <c r="AB95" s="807">
        <f>'HVAC Deemed Table'!K104</f>
        <v>634.98122114487387</v>
      </c>
      <c r="AC95" s="903">
        <f t="shared" si="52"/>
        <v>832.17071119645277</v>
      </c>
      <c r="AD95" s="903">
        <f t="shared" si="65"/>
        <v>0</v>
      </c>
      <c r="AE95" s="208">
        <f>'HVAC Deemed Table'!DI104</f>
        <v>832.17071119645277</v>
      </c>
      <c r="AF95" s="208">
        <v>0</v>
      </c>
      <c r="AG95" s="208"/>
      <c r="AH95" s="208">
        <v>0</v>
      </c>
      <c r="AI95" s="906" t="str">
        <f t="shared" si="66"/>
        <v>per measure</v>
      </c>
      <c r="AJ95" s="53">
        <f>'HVAC Deemed Table'!L104</f>
        <v>2.8453773584905662</v>
      </c>
      <c r="AK95" s="641"/>
      <c r="AL95" s="641"/>
      <c r="AX95" s="1355" t="str">
        <f t="shared" si="53"/>
        <v>CAC-SEER16_ROF_SF</v>
      </c>
      <c r="AY95" s="1378"/>
      <c r="AZ95" s="1446" t="str">
        <f t="shared" si="54"/>
        <v>350850</v>
      </c>
      <c r="BA95" s="906">
        <f>ROUND((K94*$BC$3)+(K95*$BC$4),2)</f>
        <v>1455.93</v>
      </c>
      <c r="BB95" s="1324"/>
      <c r="BC95" s="906">
        <f>ROUND((M94*$BC$3)+(K95*$BC$4),2)</f>
        <v>365.39</v>
      </c>
      <c r="BD95" s="1324"/>
      <c r="BE95" s="1305"/>
      <c r="BF95" s="1321">
        <f>ROUND(BA95*'CP FACTORS'!$B$9,6)</f>
        <v>1.3793740000000001</v>
      </c>
      <c r="BG95" s="1322">
        <f>ROUND(BB95*'CP FACTORS'!$B$14,6)</f>
        <v>0</v>
      </c>
      <c r="BH95" s="1321">
        <f>ROUND(BC95*'CP FACTORS'!$B$9,6)</f>
        <v>0.34617700000000001</v>
      </c>
      <c r="BI95" s="1323">
        <f>ROUND(BD95*'CP FACTORS'!$B$14,6)</f>
        <v>0</v>
      </c>
      <c r="BJ95" s="1305"/>
      <c r="BK95" s="730">
        <f t="shared" si="74"/>
        <v>1455.93</v>
      </c>
      <c r="BL95" s="1342">
        <f t="shared" si="75"/>
        <v>365.39</v>
      </c>
      <c r="BM95" s="1341">
        <f t="shared" si="76"/>
        <v>1.3793740000000001</v>
      </c>
      <c r="BN95" s="1340">
        <f t="shared" si="77"/>
        <v>0.34617700000000001</v>
      </c>
    </row>
    <row r="96" spans="1:66">
      <c r="A96" s="51" t="str">
        <f t="shared" si="50"/>
        <v>350900</v>
      </c>
      <c r="B96" s="1442" t="str">
        <f>'HVAC Deemed Table'!C105</f>
        <v>350900_2024_12_</v>
      </c>
      <c r="C96" s="1378" t="str">
        <f>'HVAC Deemed Table'!G105</f>
        <v>Cooling RES</v>
      </c>
      <c r="D96" s="1378" t="str">
        <f>'HVAC Deemed Table'!G106</f>
        <v>Cooling RES ER2</v>
      </c>
      <c r="E96" s="1378"/>
      <c r="F96" s="1378"/>
      <c r="G96" s="1378" t="str">
        <f>'HVAC Deemed Table'!E105</f>
        <v>CAC-SEER16_ER1_MF</v>
      </c>
      <c r="H96" s="19" t="str">
        <f>'HVAC Deemed Table'!D105</f>
        <v>MFIE</v>
      </c>
      <c r="I96" s="785">
        <f t="shared" si="67"/>
        <v>1902.85</v>
      </c>
      <c r="J96" s="785">
        <f t="shared" si="68"/>
        <v>324.05</v>
      </c>
      <c r="K96" s="202">
        <f>'HVAC Deemed Table'!F105</f>
        <v>1902.85</v>
      </c>
      <c r="L96" s="202">
        <v>0</v>
      </c>
      <c r="M96" s="202">
        <f>'HVAC Deemed Table'!F106</f>
        <v>324.05</v>
      </c>
      <c r="N96" s="202">
        <v>0</v>
      </c>
      <c r="O96" s="786">
        <f t="shared" si="69"/>
        <v>1.8027949999999999</v>
      </c>
      <c r="P96" s="786">
        <f t="shared" si="70"/>
        <v>0.30701099999999998</v>
      </c>
      <c r="Q96" s="787">
        <f>'HVAC Deemed Table'!I105</f>
        <v>1.8027949999999999</v>
      </c>
      <c r="R96" s="787"/>
      <c r="S96" s="787">
        <f>'HVAC Deemed Table'!I106</f>
        <v>0.30701099999999998</v>
      </c>
      <c r="T96" s="787"/>
      <c r="U96" s="788">
        <f t="shared" si="71"/>
        <v>0</v>
      </c>
      <c r="V96" s="788">
        <f t="shared" si="72"/>
        <v>0</v>
      </c>
      <c r="W96" s="788">
        <f t="shared" si="73"/>
        <v>1.8027949999999999</v>
      </c>
      <c r="X96" s="23">
        <f>'HVAC Deemed Table'!J105</f>
        <v>6</v>
      </c>
      <c r="Y96" s="23">
        <f>'HVAC Deemed Table'!J106</f>
        <v>12</v>
      </c>
      <c r="Z96" s="23">
        <f t="shared" si="51"/>
        <v>18</v>
      </c>
      <c r="AA96" s="18">
        <f>'HVAC Deemed Table'!DG105</f>
        <v>3.2644297990868072</v>
      </c>
      <c r="AB96" s="807">
        <f>'HVAC Deemed Table'!K105</f>
        <v>708.92766284367963</v>
      </c>
      <c r="AC96" s="903">
        <f t="shared" si="52"/>
        <v>1894.9495519931463</v>
      </c>
      <c r="AD96" s="903">
        <f t="shared" si="65"/>
        <v>419.29503599072672</v>
      </c>
      <c r="AE96" s="208">
        <f>'HVAC Deemed Table'!DI105</f>
        <v>1894.9495519931463</v>
      </c>
      <c r="AF96" s="208">
        <v>0</v>
      </c>
      <c r="AG96" s="208">
        <f>'HVAC Deemed Table'!DI106</f>
        <v>419.29503599072672</v>
      </c>
      <c r="AH96" s="208">
        <v>0</v>
      </c>
      <c r="AI96" s="906" t="str">
        <f t="shared" si="66"/>
        <v>per measure</v>
      </c>
      <c r="AJ96" s="53">
        <f>'HVAC Deemed Table'!L105</f>
        <v>2.5384615384615383</v>
      </c>
      <c r="AK96" s="641"/>
      <c r="AL96" s="641"/>
      <c r="AX96" s="1355" t="str">
        <f t="shared" si="53"/>
        <v>CAC-SEER16_ER1_MF</v>
      </c>
      <c r="AY96" s="1378"/>
      <c r="AZ96" s="1446" t="str">
        <f t="shared" si="54"/>
        <v>350900</v>
      </c>
      <c r="BA96" s="1325">
        <f>ROUND((K96*$BC$3)+(K98*$BC$4),2)</f>
        <v>1281.47</v>
      </c>
      <c r="BB96" s="1324"/>
      <c r="BC96" s="1325">
        <f>ROUND((M96*$BC$3)+(K98*$BC$4),2)</f>
        <v>334.19</v>
      </c>
      <c r="BD96" s="1324"/>
      <c r="BE96" s="1305"/>
      <c r="BF96" s="1321">
        <f>ROUND(BA96*'CP FACTORS'!$B$9,6)</f>
        <v>1.2140880000000001</v>
      </c>
      <c r="BG96" s="1322">
        <f>ROUND(BB96*'CP FACTORS'!$B$14,6)</f>
        <v>0</v>
      </c>
      <c r="BH96" s="1321">
        <f>ROUND(BC96*'CP FACTORS'!$B$9,6)</f>
        <v>0.31661800000000001</v>
      </c>
      <c r="BI96" s="1323">
        <f>ROUND(BD96*'CP FACTORS'!$B$14,6)</f>
        <v>0</v>
      </c>
      <c r="BJ96" s="1305"/>
      <c r="BK96" s="730">
        <f t="shared" si="74"/>
        <v>1281.47</v>
      </c>
      <c r="BL96" s="1342">
        <f t="shared" si="75"/>
        <v>334.19</v>
      </c>
      <c r="BM96" s="1341">
        <f t="shared" si="76"/>
        <v>1.2140880000000001</v>
      </c>
      <c r="BN96" s="1340">
        <f t="shared" si="77"/>
        <v>0.31661800000000001</v>
      </c>
    </row>
    <row r="97" spans="1:66" s="696" customFormat="1">
      <c r="A97" s="2958" t="str">
        <f t="shared" si="50"/>
        <v>350901</v>
      </c>
      <c r="B97" s="2233" t="str">
        <f>'HVAC Deemed Table'!C107</f>
        <v>350901_2024_12_</v>
      </c>
      <c r="C97" s="2724" t="str">
        <f>'HVAC Deemed Table'!G107</f>
        <v>Cooling RES</v>
      </c>
      <c r="D97" s="2724" t="str">
        <f>'HVAC Deemed Table'!G108</f>
        <v>Cooling RES ER2</v>
      </c>
      <c r="E97" s="2724"/>
      <c r="F97" s="2724"/>
      <c r="G97" s="2724" t="str">
        <f>'HVAC Deemed Table'!E107</f>
        <v>CAC-SEER16_ER1_MF_CompE</v>
      </c>
      <c r="H97" s="2554" t="str">
        <f>'HVAC Deemed Table'!D107</f>
        <v>MFc</v>
      </c>
      <c r="I97" s="3840">
        <f t="shared" si="67"/>
        <v>1383.89</v>
      </c>
      <c r="J97" s="3840">
        <f t="shared" si="68"/>
        <v>235.67</v>
      </c>
      <c r="K97" s="3251">
        <f>'HVAC Deemed Table'!F107</f>
        <v>1383.89</v>
      </c>
      <c r="L97" s="3251">
        <v>0</v>
      </c>
      <c r="M97" s="3251">
        <f>'HVAC Deemed Table'!F108</f>
        <v>235.67</v>
      </c>
      <c r="N97" s="3251">
        <v>0</v>
      </c>
      <c r="O97" s="3841">
        <f t="shared" si="69"/>
        <v>1.3111219999999999</v>
      </c>
      <c r="P97" s="3841">
        <f t="shared" si="70"/>
        <v>0.223278</v>
      </c>
      <c r="Q97" s="3842">
        <f>'HVAC Deemed Table'!I107</f>
        <v>1.3111219999999999</v>
      </c>
      <c r="R97" s="3842"/>
      <c r="S97" s="3842">
        <f>'HVAC Deemed Table'!I108</f>
        <v>0.223278</v>
      </c>
      <c r="T97" s="3842"/>
      <c r="U97" s="3843">
        <f t="shared" si="71"/>
        <v>0</v>
      </c>
      <c r="V97" s="3843">
        <f t="shared" si="72"/>
        <v>0</v>
      </c>
      <c r="W97" s="3843">
        <f t="shared" si="73"/>
        <v>1.3111219999999999</v>
      </c>
      <c r="X97" s="2846">
        <f>'HVAC Deemed Table'!J107</f>
        <v>6</v>
      </c>
      <c r="Y97" s="2846">
        <f>'HVAC Deemed Table'!J108</f>
        <v>12</v>
      </c>
      <c r="Z97" s="2846">
        <f t="shared" si="51"/>
        <v>18</v>
      </c>
      <c r="AA97" s="2529">
        <f>'HVAC Deemed Table'!DG107</f>
        <v>2.3741245081854521</v>
      </c>
      <c r="AB97" s="3844">
        <f>'HVAC Deemed Table'!K107</f>
        <v>708.92766284367963</v>
      </c>
      <c r="AC97" s="3845">
        <f t="shared" si="52"/>
        <v>1378.1442234058363</v>
      </c>
      <c r="AD97" s="3845">
        <f t="shared" si="65"/>
        <v>304.9383154819767</v>
      </c>
      <c r="AE97" s="3846">
        <f>'HVAC Deemed Table'!DI107</f>
        <v>1378.1442234058363</v>
      </c>
      <c r="AF97" s="3846">
        <v>0</v>
      </c>
      <c r="AG97" s="3846">
        <f>'HVAC Deemed Table'!DI108</f>
        <v>304.9383154819767</v>
      </c>
      <c r="AH97" s="3846">
        <v>0</v>
      </c>
      <c r="AI97" s="3847" t="str">
        <f t="shared" si="66"/>
        <v>per measure</v>
      </c>
      <c r="AJ97" s="3220">
        <f>'HVAC Deemed Table'!L107</f>
        <v>2.5384615384615383</v>
      </c>
      <c r="AK97" s="3848"/>
      <c r="AL97" s="3848"/>
      <c r="AX97" s="3849" t="str">
        <f t="shared" si="53"/>
        <v>CAC-SEER16_ER1_MF_CompE</v>
      </c>
      <c r="AY97" s="2724"/>
      <c r="AZ97" s="3850" t="str">
        <f t="shared" si="54"/>
        <v>350901</v>
      </c>
      <c r="BA97" s="3859">
        <f>ROUND((K97*$BC$3)+(K99*$BC$4),2)</f>
        <v>931.97</v>
      </c>
      <c r="BB97" s="3852"/>
      <c r="BC97" s="3859">
        <f>ROUND((M97*$BC$3)+(K99*$BC$4),2)</f>
        <v>243.04</v>
      </c>
      <c r="BD97" s="3852"/>
      <c r="BE97" s="3853"/>
      <c r="BF97" s="3854">
        <f>ROUND(BA97*'CP FACTORS'!$B$9,6)</f>
        <v>0.882965</v>
      </c>
      <c r="BG97" s="3854">
        <f>ROUND(BB97*'CP FACTORS'!$B$14,6)</f>
        <v>0</v>
      </c>
      <c r="BH97" s="3854">
        <f>ROUND(BC97*'CP FACTORS'!$B$9,6)</f>
        <v>0.23025999999999999</v>
      </c>
      <c r="BI97" s="3855">
        <f>ROUND(BD97*'CP FACTORS'!$B$14,6)</f>
        <v>0</v>
      </c>
      <c r="BJ97" s="3853"/>
      <c r="BK97" s="3856">
        <f t="shared" si="74"/>
        <v>931.97</v>
      </c>
      <c r="BL97" s="3857">
        <f t="shared" si="75"/>
        <v>243.04</v>
      </c>
      <c r="BM97" s="3858">
        <f t="shared" si="76"/>
        <v>0.882965</v>
      </c>
      <c r="BN97" s="3855">
        <f t="shared" si="77"/>
        <v>0.23025999999999999</v>
      </c>
    </row>
    <row r="98" spans="1:66" s="696" customFormat="1">
      <c r="A98" s="2958" t="str">
        <f t="shared" si="50"/>
        <v>350950</v>
      </c>
      <c r="B98" s="2233" t="str">
        <f>'HVAC Deemed Table'!C109</f>
        <v>350950_2024_12_</v>
      </c>
      <c r="C98" s="2724" t="str">
        <f>'HVAC Deemed Table'!G109</f>
        <v>Cooling RES</v>
      </c>
      <c r="D98" s="2724"/>
      <c r="E98" s="2724"/>
      <c r="F98" s="2724"/>
      <c r="G98" s="2724" t="str">
        <f>'HVAC Deemed Table'!E109</f>
        <v>CAC-SEER16_ROF_MF</v>
      </c>
      <c r="H98" s="2554" t="str">
        <f>'HVAC Deemed Table'!D109</f>
        <v>MF</v>
      </c>
      <c r="I98" s="3840">
        <f t="shared" si="67"/>
        <v>349.39</v>
      </c>
      <c r="J98" s="3840">
        <f t="shared" si="68"/>
        <v>0</v>
      </c>
      <c r="K98" s="3251">
        <f>'HVAC Deemed Table'!F109</f>
        <v>349.39</v>
      </c>
      <c r="L98" s="3251">
        <v>0</v>
      </c>
      <c r="M98" s="3251"/>
      <c r="N98" s="3251">
        <v>0</v>
      </c>
      <c r="O98" s="3841">
        <f t="shared" si="69"/>
        <v>0.33101799999999998</v>
      </c>
      <c r="P98" s="3841">
        <f t="shared" si="70"/>
        <v>0</v>
      </c>
      <c r="Q98" s="3842">
        <f>'HVAC Deemed Table'!I109</f>
        <v>0.33101799999999998</v>
      </c>
      <c r="R98" s="3842"/>
      <c r="S98" s="3842"/>
      <c r="T98" s="3842"/>
      <c r="U98" s="3843">
        <f t="shared" si="71"/>
        <v>0</v>
      </c>
      <c r="V98" s="3843">
        <f t="shared" si="72"/>
        <v>0</v>
      </c>
      <c r="W98" s="3843">
        <f t="shared" si="73"/>
        <v>0.33101799999999998</v>
      </c>
      <c r="X98" s="2846">
        <f>'HVAC Deemed Table'!J109</f>
        <v>18</v>
      </c>
      <c r="Y98" s="2846"/>
      <c r="Z98" s="2846">
        <f t="shared" si="51"/>
        <v>18</v>
      </c>
      <c r="AA98" s="2529">
        <f>'HVAC Deemed Table'!DG109</f>
        <v>1.2599149852070464</v>
      </c>
      <c r="AB98" s="3844">
        <f>'HVAC Deemed Table'!K109</f>
        <v>634.98122114487387</v>
      </c>
      <c r="AC98" s="3845">
        <f t="shared" si="52"/>
        <v>800.02235584549601</v>
      </c>
      <c r="AD98" s="3845">
        <f t="shared" si="65"/>
        <v>0</v>
      </c>
      <c r="AE98" s="3846">
        <f>'HVAC Deemed Table'!DI109</f>
        <v>800.02235584549601</v>
      </c>
      <c r="AF98" s="3846">
        <v>0</v>
      </c>
      <c r="AG98" s="3846"/>
      <c r="AH98" s="3846">
        <v>0</v>
      </c>
      <c r="AI98" s="3847" t="str">
        <f t="shared" si="66"/>
        <v>per measure</v>
      </c>
      <c r="AJ98" s="3220">
        <f>'HVAC Deemed Table'!L109</f>
        <v>2.75</v>
      </c>
      <c r="AK98" s="3848"/>
      <c r="AL98" s="3848"/>
      <c r="AX98" s="3849" t="str">
        <f t="shared" si="53"/>
        <v>CAC-SEER16_ROF_MF</v>
      </c>
      <c r="AY98" s="2724"/>
      <c r="AZ98" s="3850" t="str">
        <f t="shared" si="54"/>
        <v>350950</v>
      </c>
      <c r="BA98" s="3851">
        <f>ROUND((K96*$BC$3)+(K98*$BC$4),2)</f>
        <v>1281.47</v>
      </c>
      <c r="BB98" s="3852"/>
      <c r="BC98" s="3851">
        <f>ROUND((M96*$BC$3)+(K98*$BC$4),2)</f>
        <v>334.19</v>
      </c>
      <c r="BD98" s="3852"/>
      <c r="BE98" s="3853"/>
      <c r="BF98" s="3854">
        <f>ROUND(BA98*'CP FACTORS'!$B$9,6)</f>
        <v>1.2140880000000001</v>
      </c>
      <c r="BG98" s="3854">
        <f>ROUND(BB98*'CP FACTORS'!$B$14,6)</f>
        <v>0</v>
      </c>
      <c r="BH98" s="3854">
        <f>ROUND(BC98*'CP FACTORS'!$B$9,6)</f>
        <v>0.31661800000000001</v>
      </c>
      <c r="BI98" s="3855">
        <f>ROUND(BD98*'CP FACTORS'!$B$14,6)</f>
        <v>0</v>
      </c>
      <c r="BJ98" s="3853"/>
      <c r="BK98" s="3856">
        <f t="shared" si="74"/>
        <v>1281.47</v>
      </c>
      <c r="BL98" s="3857">
        <f t="shared" si="75"/>
        <v>334.19</v>
      </c>
      <c r="BM98" s="3858">
        <f t="shared" si="76"/>
        <v>1.2140880000000001</v>
      </c>
      <c r="BN98" s="3855">
        <f t="shared" si="77"/>
        <v>0.31661800000000001</v>
      </c>
    </row>
    <row r="99" spans="1:66" s="696" customFormat="1">
      <c r="A99" s="2958" t="str">
        <f t="shared" si="50"/>
        <v>350951</v>
      </c>
      <c r="B99" s="2233" t="str">
        <f>'HVAC Deemed Table'!C110</f>
        <v>350951_2024_12_</v>
      </c>
      <c r="C99" s="2724" t="str">
        <f>'HVAC Deemed Table'!G110</f>
        <v>Cooling RES</v>
      </c>
      <c r="D99" s="2724"/>
      <c r="E99" s="2724"/>
      <c r="F99" s="2724"/>
      <c r="G99" s="2724" t="str">
        <f>'HVAC Deemed Table'!E110</f>
        <v>CAC-SEER16_ROF_MF_CompE</v>
      </c>
      <c r="H99" s="2554" t="str">
        <f>'HVAC Deemed Table'!D110</f>
        <v>MFc</v>
      </c>
      <c r="I99" s="3840">
        <f t="shared" si="67"/>
        <v>254.1</v>
      </c>
      <c r="J99" s="3840">
        <f t="shared" si="68"/>
        <v>0</v>
      </c>
      <c r="K99" s="3251">
        <f>'HVAC Deemed Table'!F110</f>
        <v>254.1</v>
      </c>
      <c r="L99" s="3251">
        <v>0</v>
      </c>
      <c r="M99" s="3251"/>
      <c r="N99" s="3251">
        <v>0</v>
      </c>
      <c r="O99" s="3841">
        <f t="shared" si="69"/>
        <v>0.24073900000000001</v>
      </c>
      <c r="P99" s="3841">
        <f t="shared" si="70"/>
        <v>0</v>
      </c>
      <c r="Q99" s="3842">
        <f>'HVAC Deemed Table'!I110</f>
        <v>0.24073900000000001</v>
      </c>
      <c r="R99" s="3842"/>
      <c r="S99" s="3842"/>
      <c r="T99" s="3842"/>
      <c r="U99" s="3843">
        <f t="shared" si="71"/>
        <v>0</v>
      </c>
      <c r="V99" s="3843">
        <f t="shared" si="72"/>
        <v>0</v>
      </c>
      <c r="W99" s="3843">
        <f t="shared" si="73"/>
        <v>0.24073900000000001</v>
      </c>
      <c r="X99" s="2846">
        <f>'HVAC Deemed Table'!J110</f>
        <v>18</v>
      </c>
      <c r="Y99" s="2846"/>
      <c r="Z99" s="2846">
        <f t="shared" si="51"/>
        <v>18</v>
      </c>
      <c r="AA99" s="2529">
        <f>'HVAC Deemed Table'!DG110</f>
        <v>0.91629525098345821</v>
      </c>
      <c r="AB99" s="3844">
        <f>'HVAC Deemed Table'!K110</f>
        <v>634.98122114487387</v>
      </c>
      <c r="AC99" s="3845">
        <f t="shared" si="52"/>
        <v>581.830277398725</v>
      </c>
      <c r="AD99" s="3845">
        <f t="shared" si="65"/>
        <v>0</v>
      </c>
      <c r="AE99" s="3846">
        <f>'HVAC Deemed Table'!DI110</f>
        <v>581.830277398725</v>
      </c>
      <c r="AF99" s="3846">
        <v>0</v>
      </c>
      <c r="AG99" s="3846"/>
      <c r="AH99" s="3846">
        <v>0</v>
      </c>
      <c r="AI99" s="3847" t="str">
        <f t="shared" si="66"/>
        <v>per measure</v>
      </c>
      <c r="AJ99" s="3220">
        <f>'HVAC Deemed Table'!L110</f>
        <v>2.75</v>
      </c>
      <c r="AK99" s="3848"/>
      <c r="AL99" s="3848"/>
      <c r="AX99" s="3849" t="str">
        <f t="shared" si="53"/>
        <v>CAC-SEER16_ROF_MF_CompE</v>
      </c>
      <c r="AY99" s="2724"/>
      <c r="AZ99" s="3850" t="str">
        <f t="shared" si="54"/>
        <v>350951</v>
      </c>
      <c r="BA99" s="3859">
        <f>ROUND((K97*$BC$3)+(K99*$BC$4),2)</f>
        <v>931.97</v>
      </c>
      <c r="BB99" s="3852"/>
      <c r="BC99" s="3859">
        <f>ROUND((M97*$BC$3)+(K99*$BC$4),2)</f>
        <v>243.04</v>
      </c>
      <c r="BD99" s="3852"/>
      <c r="BE99" s="3853"/>
      <c r="BF99" s="3854">
        <f>ROUND(BA99*'CP FACTORS'!$B$9,6)</f>
        <v>0.882965</v>
      </c>
      <c r="BG99" s="3854">
        <f>ROUND(BB99*'CP FACTORS'!$B$14,6)</f>
        <v>0</v>
      </c>
      <c r="BH99" s="3854">
        <f>ROUND(BC99*'CP FACTORS'!$B$9,6)</f>
        <v>0.23025999999999999</v>
      </c>
      <c r="BI99" s="3855">
        <f>ROUND(BD99*'CP FACTORS'!$B$14,6)</f>
        <v>0</v>
      </c>
      <c r="BJ99" s="3853"/>
      <c r="BK99" s="3856">
        <f t="shared" si="74"/>
        <v>931.97</v>
      </c>
      <c r="BL99" s="3857">
        <f t="shared" si="75"/>
        <v>243.04</v>
      </c>
      <c r="BM99" s="3858">
        <f t="shared" si="76"/>
        <v>0.882965</v>
      </c>
      <c r="BN99" s="3855">
        <f t="shared" si="77"/>
        <v>0.23025999999999999</v>
      </c>
    </row>
    <row r="100" spans="1:66">
      <c r="A100" s="51" t="str">
        <f t="shared" ref="A100:A163" si="78">LEFT(B100,6)</f>
        <v>351000</v>
      </c>
      <c r="B100" s="1442" t="str">
        <f>'HVAC Deemed Table'!C111</f>
        <v>351000_2024_12_</v>
      </c>
      <c r="C100" s="1378" t="str">
        <f>'HVAC Deemed Table'!G111</f>
        <v>Cooling RES</v>
      </c>
      <c r="D100" s="1378" t="str">
        <f>'HVAC Deemed Table'!G112</f>
        <v>Cooling RES ER2</v>
      </c>
      <c r="E100" s="1378"/>
      <c r="F100" s="1378"/>
      <c r="G100" s="1378" t="str">
        <f>'HVAC Deemed Table'!E111</f>
        <v>CAC-SEER17_ER1_SF</v>
      </c>
      <c r="H100" s="19" t="str">
        <f>'HVAC Deemed Table'!D111</f>
        <v>PAYS/SFIE</v>
      </c>
      <c r="I100" s="785">
        <f t="shared" si="67"/>
        <v>2381.9499999999998</v>
      </c>
      <c r="J100" s="785">
        <f t="shared" si="68"/>
        <v>530.38</v>
      </c>
      <c r="K100" s="202">
        <f>'HVAC Deemed Table'!F111</f>
        <v>2381.9499999999998</v>
      </c>
      <c r="L100" s="202">
        <v>0</v>
      </c>
      <c r="M100" s="202">
        <f>'HVAC Deemed Table'!F112</f>
        <v>530.38</v>
      </c>
      <c r="N100" s="202">
        <v>0</v>
      </c>
      <c r="O100" s="786">
        <f t="shared" si="69"/>
        <v>2.2567029999999999</v>
      </c>
      <c r="P100" s="786">
        <f t="shared" si="70"/>
        <v>0.50249200000000005</v>
      </c>
      <c r="Q100" s="787">
        <f>'HVAC Deemed Table'!I111</f>
        <v>2.2567029999999999</v>
      </c>
      <c r="R100" s="787"/>
      <c r="S100" s="787">
        <f>'HVAC Deemed Table'!I112</f>
        <v>0.50249200000000005</v>
      </c>
      <c r="T100" s="787"/>
      <c r="U100" s="788">
        <f t="shared" si="71"/>
        <v>0</v>
      </c>
      <c r="V100" s="788">
        <f t="shared" si="72"/>
        <v>0</v>
      </c>
      <c r="W100" s="788">
        <f t="shared" si="73"/>
        <v>2.2567029999999999</v>
      </c>
      <c r="X100" s="23">
        <f>'HVAC Deemed Table'!J111</f>
        <v>6</v>
      </c>
      <c r="Y100" s="23">
        <f>'HVAC Deemed Table'!J112</f>
        <v>12</v>
      </c>
      <c r="Z100" s="23">
        <f t="shared" ref="Z100:Z163" si="79">Y100+X100</f>
        <v>18</v>
      </c>
      <c r="AA100" s="18">
        <f>'HVAC Deemed Table'!DG111</f>
        <v>3.1687674818130427</v>
      </c>
      <c r="AB100" s="807">
        <f>'HVAC Deemed Table'!K111</f>
        <v>965.14815558634655</v>
      </c>
      <c r="AC100" s="903">
        <f t="shared" ref="AC100:AC163" si="80">AE100+AF100</f>
        <v>2372.0603754211184</v>
      </c>
      <c r="AD100" s="903">
        <f t="shared" si="65"/>
        <v>686.26971513273145</v>
      </c>
      <c r="AE100" s="208">
        <f>'HVAC Deemed Table'!DI111</f>
        <v>2372.0603754211184</v>
      </c>
      <c r="AF100" s="208">
        <v>0</v>
      </c>
      <c r="AG100" s="208">
        <f>'HVAC Deemed Table'!DI112</f>
        <v>686.26971513273145</v>
      </c>
      <c r="AH100" s="208">
        <v>0</v>
      </c>
      <c r="AI100" s="906" t="str">
        <f t="shared" si="66"/>
        <v>per measure</v>
      </c>
      <c r="AJ100" s="53">
        <f>'HVAC Deemed Table'!L111</f>
        <v>3.1718995290423861</v>
      </c>
      <c r="AK100" s="641"/>
      <c r="AL100" s="641"/>
      <c r="AX100" s="1355" t="str">
        <f t="shared" si="53"/>
        <v>CAC-SEER17_ER1_SF</v>
      </c>
      <c r="AY100" s="1378"/>
      <c r="AZ100" s="1446" t="str">
        <f t="shared" si="54"/>
        <v>351000</v>
      </c>
      <c r="BA100" s="906">
        <f>ROUND((K100*$BC$3)+(K101*$BC$4),2)</f>
        <v>1648.96</v>
      </c>
      <c r="BB100" s="1324"/>
      <c r="BC100" s="906">
        <f>ROUND((M100*$BC$3)+(K101*$BC$4),2)</f>
        <v>538.02</v>
      </c>
      <c r="BD100" s="1324"/>
      <c r="BE100" s="1305"/>
      <c r="BF100" s="1321">
        <f>ROUND(BA100*'CP FACTORS'!$B$9,6)</f>
        <v>1.5622549999999999</v>
      </c>
      <c r="BG100" s="1322">
        <f>ROUND(BB100*'CP FACTORS'!$B$14,6)</f>
        <v>0</v>
      </c>
      <c r="BH100" s="1321">
        <f>ROUND(BC100*'CP FACTORS'!$B$9,6)</f>
        <v>0.50973000000000002</v>
      </c>
      <c r="BI100" s="1323">
        <f>ROUND(BD100*'CP FACTORS'!$B$14,6)</f>
        <v>0</v>
      </c>
      <c r="BJ100" s="1305"/>
      <c r="BK100" s="730">
        <f t="shared" si="74"/>
        <v>1648.96</v>
      </c>
      <c r="BL100" s="1342">
        <f t="shared" si="75"/>
        <v>538.02</v>
      </c>
      <c r="BM100" s="1341">
        <f t="shared" si="76"/>
        <v>1.5622549999999999</v>
      </c>
      <c r="BN100" s="1340">
        <f t="shared" si="77"/>
        <v>0.50973000000000002</v>
      </c>
    </row>
    <row r="101" spans="1:66">
      <c r="A101" s="51" t="str">
        <f t="shared" si="78"/>
        <v>351050</v>
      </c>
      <c r="B101" s="1442" t="str">
        <f>'HVAC Deemed Table'!C113</f>
        <v>351050_2024_12_</v>
      </c>
      <c r="C101" s="1378" t="str">
        <f>'HVAC Deemed Table'!G113</f>
        <v>Cooling RES</v>
      </c>
      <c r="D101" s="1378"/>
      <c r="E101" s="1378"/>
      <c r="F101" s="1378"/>
      <c r="G101" s="1378" t="str">
        <f>'HVAC Deemed Table'!E113</f>
        <v>CAC-SEER17_ROF_SF</v>
      </c>
      <c r="H101" s="19" t="str">
        <f>'HVAC Deemed Table'!D113</f>
        <v>PAYS/SFIE</v>
      </c>
      <c r="I101" s="785">
        <f t="shared" si="67"/>
        <v>549.48</v>
      </c>
      <c r="J101" s="785">
        <f t="shared" si="68"/>
        <v>0</v>
      </c>
      <c r="K101" s="202">
        <f>'HVAC Deemed Table'!F113</f>
        <v>549.48</v>
      </c>
      <c r="L101" s="202">
        <v>0</v>
      </c>
      <c r="M101" s="202"/>
      <c r="N101" s="202">
        <v>0</v>
      </c>
      <c r="O101" s="786">
        <f t="shared" si="69"/>
        <v>0.52058700000000002</v>
      </c>
      <c r="P101" s="786">
        <f t="shared" si="70"/>
        <v>0</v>
      </c>
      <c r="Q101" s="787">
        <f>'HVAC Deemed Table'!I113</f>
        <v>0.52058700000000002</v>
      </c>
      <c r="R101" s="787"/>
      <c r="S101" s="787"/>
      <c r="T101" s="787"/>
      <c r="U101" s="788">
        <f t="shared" si="71"/>
        <v>0</v>
      </c>
      <c r="V101" s="788">
        <f t="shared" si="72"/>
        <v>0</v>
      </c>
      <c r="W101" s="788">
        <f t="shared" si="73"/>
        <v>0.52058700000000002</v>
      </c>
      <c r="X101" s="23">
        <f>'HVAC Deemed Table'!J113</f>
        <v>18</v>
      </c>
      <c r="Y101" s="23"/>
      <c r="Z101" s="23">
        <f t="shared" si="79"/>
        <v>18</v>
      </c>
      <c r="AA101" s="18">
        <f>'HVAC Deemed Table'!DG113</f>
        <v>1.4117816374996219</v>
      </c>
      <c r="AB101" s="807">
        <f>'HVAC Deemed Table'!K113</f>
        <v>891.20171388754079</v>
      </c>
      <c r="AC101" s="903">
        <f t="shared" si="80"/>
        <v>1258.182214974622</v>
      </c>
      <c r="AD101" s="903">
        <f t="shared" si="65"/>
        <v>0</v>
      </c>
      <c r="AE101" s="208">
        <f>'HVAC Deemed Table'!DI113</f>
        <v>1258.182214974622</v>
      </c>
      <c r="AF101" s="208">
        <v>0</v>
      </c>
      <c r="AG101" s="208"/>
      <c r="AH101" s="208">
        <v>0</v>
      </c>
      <c r="AI101" s="906" t="str">
        <f t="shared" si="66"/>
        <v>per measure</v>
      </c>
      <c r="AJ101" s="53">
        <f>'HVAC Deemed Table'!L113</f>
        <v>3.3001127819548874</v>
      </c>
      <c r="AK101" s="641"/>
      <c r="AL101" s="641"/>
      <c r="AX101" s="1355" t="str">
        <f t="shared" ref="AX101:AX164" si="81">G101</f>
        <v>CAC-SEER17_ROF_SF</v>
      </c>
      <c r="AY101" s="1378"/>
      <c r="AZ101" s="1446" t="str">
        <f t="shared" ref="AZ101:AZ164" si="82">A101</f>
        <v>351050</v>
      </c>
      <c r="BA101" s="906">
        <f>ROUND((K100*$BC$3)+(K101*$BC$4),2)</f>
        <v>1648.96</v>
      </c>
      <c r="BB101" s="1324"/>
      <c r="BC101" s="906">
        <f>ROUND((M100*$BC$3)+(K101*$BC$4),2)</f>
        <v>538.02</v>
      </c>
      <c r="BD101" s="1324"/>
      <c r="BE101" s="1305"/>
      <c r="BF101" s="1321">
        <f>ROUND(BA101*'CP FACTORS'!$B$9,6)</f>
        <v>1.5622549999999999</v>
      </c>
      <c r="BG101" s="1322">
        <f>ROUND(BB101*'CP FACTORS'!$B$14,6)</f>
        <v>0</v>
      </c>
      <c r="BH101" s="1321">
        <f>ROUND(BC101*'CP FACTORS'!$B$9,6)</f>
        <v>0.50973000000000002</v>
      </c>
      <c r="BI101" s="1323">
        <f>ROUND(BD101*'CP FACTORS'!$B$14,6)</f>
        <v>0</v>
      </c>
      <c r="BJ101" s="1305"/>
      <c r="BK101" s="730">
        <f t="shared" si="74"/>
        <v>1648.96</v>
      </c>
      <c r="BL101" s="1342">
        <f t="shared" si="75"/>
        <v>538.02</v>
      </c>
      <c r="BM101" s="1341">
        <f t="shared" si="76"/>
        <v>1.5622549999999999</v>
      </c>
      <c r="BN101" s="1340">
        <f t="shared" si="77"/>
        <v>0.50973000000000002</v>
      </c>
    </row>
    <row r="102" spans="1:66" s="696" customFormat="1">
      <c r="A102" s="2958" t="str">
        <f t="shared" si="78"/>
        <v>351100</v>
      </c>
      <c r="B102" s="2233" t="str">
        <f>'HVAC Deemed Table'!C114</f>
        <v>351100_2024_12_</v>
      </c>
      <c r="C102" s="2724" t="str">
        <f>'HVAC Deemed Table'!G114</f>
        <v>Cooling RES</v>
      </c>
      <c r="D102" s="2724" t="str">
        <f>'HVAC Deemed Table'!G115</f>
        <v>Cooling RES ER2</v>
      </c>
      <c r="E102" s="2724"/>
      <c r="F102" s="2724"/>
      <c r="G102" s="3860" t="str">
        <f>'HVAC Deemed Table'!E114</f>
        <v>CAC-SEER17_ER1_MF</v>
      </c>
      <c r="H102" s="2554" t="str">
        <f>'HVAC Deemed Table'!D114</f>
        <v>MF</v>
      </c>
      <c r="I102" s="3840">
        <f t="shared" si="67"/>
        <v>1936.61</v>
      </c>
      <c r="J102" s="3840">
        <f t="shared" si="68"/>
        <v>407.29</v>
      </c>
      <c r="K102" s="3251">
        <f>'HVAC Deemed Table'!F114</f>
        <v>1936.61</v>
      </c>
      <c r="L102" s="3251">
        <v>0</v>
      </c>
      <c r="M102" s="3251">
        <f>'HVAC Deemed Table'!F115</f>
        <v>407.29</v>
      </c>
      <c r="N102" s="3251">
        <v>0</v>
      </c>
      <c r="O102" s="3841">
        <f t="shared" si="69"/>
        <v>1.8347789999999999</v>
      </c>
      <c r="P102" s="3841">
        <f t="shared" si="70"/>
        <v>0.38587399999999999</v>
      </c>
      <c r="Q102" s="3842">
        <f>'HVAC Deemed Table'!I114</f>
        <v>1.8347789999999999</v>
      </c>
      <c r="R102" s="3842"/>
      <c r="S102" s="3842">
        <f>'HVAC Deemed Table'!I115</f>
        <v>0.38587399999999999</v>
      </c>
      <c r="T102" s="3842"/>
      <c r="U102" s="3843">
        <f t="shared" si="71"/>
        <v>0</v>
      </c>
      <c r="V102" s="3843">
        <f t="shared" si="72"/>
        <v>0</v>
      </c>
      <c r="W102" s="3843">
        <f t="shared" si="73"/>
        <v>1.8347789999999999</v>
      </c>
      <c r="X102" s="2846">
        <f>'HVAC Deemed Table'!J114</f>
        <v>6</v>
      </c>
      <c r="Y102" s="2846">
        <f>'HVAC Deemed Table'!J115</f>
        <v>12</v>
      </c>
      <c r="Z102" s="2846">
        <f t="shared" si="79"/>
        <v>18</v>
      </c>
      <c r="AA102" s="2529">
        <f>'HVAC Deemed Table'!DG114</f>
        <v>2.5442419105516176</v>
      </c>
      <c r="AB102" s="3844">
        <f>'HVAC Deemed Table'!K114</f>
        <v>965.14815558634655</v>
      </c>
      <c r="AC102" s="3845">
        <f t="shared" si="80"/>
        <v>1928.5693837588076</v>
      </c>
      <c r="AD102" s="3845">
        <f t="shared" si="65"/>
        <v>527.0010035755688</v>
      </c>
      <c r="AE102" s="3846">
        <f>'HVAC Deemed Table'!DI114</f>
        <v>1928.5693837588076</v>
      </c>
      <c r="AF102" s="3846">
        <v>0</v>
      </c>
      <c r="AG102" s="3846">
        <f>'HVAC Deemed Table'!DI115</f>
        <v>527.0010035755688</v>
      </c>
      <c r="AH102" s="3846">
        <v>0</v>
      </c>
      <c r="AI102" s="3847" t="str">
        <f t="shared" si="66"/>
        <v>per measure</v>
      </c>
      <c r="AJ102" s="3220">
        <f>'HVAC Deemed Table'!L114</f>
        <v>2.4</v>
      </c>
      <c r="AK102" s="3848"/>
      <c r="AL102" s="3848"/>
      <c r="AX102" s="3849" t="str">
        <f t="shared" si="81"/>
        <v>CAC-SEER17_ER1_MF</v>
      </c>
      <c r="AY102" s="2724"/>
      <c r="AZ102" s="3850" t="str">
        <f t="shared" si="82"/>
        <v>351100</v>
      </c>
      <c r="BA102" s="3851">
        <f>ROUND((K102*$BC$3)+(K104*$BC$4),2)</f>
        <v>1342.88</v>
      </c>
      <c r="BB102" s="3852"/>
      <c r="BC102" s="3851">
        <f>ROUND((M102*$BC$3)+(K104*$BC$4),2)</f>
        <v>425.29</v>
      </c>
      <c r="BD102" s="3852"/>
      <c r="BE102" s="3853"/>
      <c r="BF102" s="3854">
        <f>ROUND(BA102*'CP FACTORS'!$B$9,6)</f>
        <v>1.2722690000000001</v>
      </c>
      <c r="BG102" s="3854">
        <f>ROUND(BB102*'CP FACTORS'!$B$14,6)</f>
        <v>0</v>
      </c>
      <c r="BH102" s="3854">
        <f>ROUND(BC102*'CP FACTORS'!$B$9,6)</f>
        <v>0.40292699999999998</v>
      </c>
      <c r="BI102" s="3855">
        <f>ROUND(BD102*'CP FACTORS'!$B$14,6)</f>
        <v>0</v>
      </c>
      <c r="BJ102" s="3853"/>
      <c r="BK102" s="3856">
        <f t="shared" si="74"/>
        <v>1342.88</v>
      </c>
      <c r="BL102" s="3857">
        <f t="shared" si="75"/>
        <v>425.29</v>
      </c>
      <c r="BM102" s="3858">
        <f t="shared" si="76"/>
        <v>1.2722690000000001</v>
      </c>
      <c r="BN102" s="3855">
        <f t="shared" si="77"/>
        <v>0.40292699999999998</v>
      </c>
    </row>
    <row r="103" spans="1:66" s="696" customFormat="1">
      <c r="A103" s="2958" t="str">
        <f t="shared" si="78"/>
        <v>351101</v>
      </c>
      <c r="B103" s="2233" t="str">
        <f>'HVAC Deemed Table'!C116</f>
        <v>351101_2024_12_</v>
      </c>
      <c r="C103" s="2724" t="str">
        <f>'HVAC Deemed Table'!G116</f>
        <v>Cooling RES</v>
      </c>
      <c r="D103" s="2724" t="str">
        <f>'HVAC Deemed Table'!G117</f>
        <v>Cooling RES ER2</v>
      </c>
      <c r="E103" s="2724"/>
      <c r="F103" s="2724"/>
      <c r="G103" s="2724" t="str">
        <f>'HVAC Deemed Table'!E116</f>
        <v>CAC-SEER17_ER1_MF_CompE</v>
      </c>
      <c r="H103" s="2554" t="str">
        <f>'HVAC Deemed Table'!D116</f>
        <v>MFc</v>
      </c>
      <c r="I103" s="3840">
        <f t="shared" si="67"/>
        <v>1408.44</v>
      </c>
      <c r="J103" s="3840">
        <f t="shared" si="68"/>
        <v>296.20999999999998</v>
      </c>
      <c r="K103" s="3251">
        <f>'HVAC Deemed Table'!F116</f>
        <v>1408.44</v>
      </c>
      <c r="L103" s="3251">
        <v>0</v>
      </c>
      <c r="M103" s="3251">
        <f>'HVAC Deemed Table'!F117</f>
        <v>296.20999999999998</v>
      </c>
      <c r="N103" s="3251">
        <v>0</v>
      </c>
      <c r="O103" s="3841">
        <f t="shared" si="69"/>
        <v>1.334382</v>
      </c>
      <c r="P103" s="3841">
        <f t="shared" si="70"/>
        <v>0.28063500000000002</v>
      </c>
      <c r="Q103" s="3842">
        <f>'HVAC Deemed Table'!I116</f>
        <v>1.334382</v>
      </c>
      <c r="R103" s="3842"/>
      <c r="S103" s="3842">
        <f>'HVAC Deemed Table'!I117</f>
        <v>0.28063500000000002</v>
      </c>
      <c r="T103" s="3842"/>
      <c r="U103" s="3843">
        <f t="shared" si="71"/>
        <v>0</v>
      </c>
      <c r="V103" s="3843">
        <f t="shared" si="72"/>
        <v>0</v>
      </c>
      <c r="W103" s="3843">
        <f t="shared" si="73"/>
        <v>1.334382</v>
      </c>
      <c r="X103" s="2846">
        <f>'HVAC Deemed Table'!J116</f>
        <v>6</v>
      </c>
      <c r="Y103" s="2846">
        <f>'HVAC Deemed Table'!J117</f>
        <v>12</v>
      </c>
      <c r="Z103" s="2846">
        <f t="shared" si="79"/>
        <v>18</v>
      </c>
      <c r="AA103" s="2529">
        <f>'HVAC Deemed Table'!DG116</f>
        <v>1.8503527823294905</v>
      </c>
      <c r="AB103" s="3844">
        <f>'HVAC Deemed Table'!K116</f>
        <v>965.14815558634655</v>
      </c>
      <c r="AC103" s="3845">
        <f t="shared" si="80"/>
        <v>1402.5922941951428</v>
      </c>
      <c r="AD103" s="3845">
        <f t="shared" si="65"/>
        <v>383.27228085422973</v>
      </c>
      <c r="AE103" s="3846">
        <f>'HVAC Deemed Table'!DI116</f>
        <v>1402.5922941951428</v>
      </c>
      <c r="AF103" s="3846">
        <v>0</v>
      </c>
      <c r="AG103" s="3846">
        <f>'HVAC Deemed Table'!DI117</f>
        <v>383.27228085422973</v>
      </c>
      <c r="AH103" s="3846">
        <v>0</v>
      </c>
      <c r="AI103" s="3847" t="str">
        <f t="shared" si="66"/>
        <v>per measure</v>
      </c>
      <c r="AJ103" s="3220">
        <f>'HVAC Deemed Table'!L116</f>
        <v>2.4</v>
      </c>
      <c r="AK103" s="3848"/>
      <c r="AL103" s="3848"/>
      <c r="AX103" s="3849" t="str">
        <f t="shared" si="81"/>
        <v>CAC-SEER17_ER1_MF_CompE</v>
      </c>
      <c r="AY103" s="2724"/>
      <c r="AZ103" s="3850" t="str">
        <f t="shared" si="82"/>
        <v>351101</v>
      </c>
      <c r="BA103" s="3859">
        <f>ROUND((K103*$BC$3)+(K105*$BC$4),2)</f>
        <v>976.64</v>
      </c>
      <c r="BB103" s="3852"/>
      <c r="BC103" s="3859">
        <f>ROUND((M103*$BC$3)+(K105*$BC$4),2)</f>
        <v>309.3</v>
      </c>
      <c r="BD103" s="3852"/>
      <c r="BE103" s="3853"/>
      <c r="BF103" s="3854">
        <f>ROUND(BA103*'CP FACTORS'!$B$9,6)</f>
        <v>0.92528600000000005</v>
      </c>
      <c r="BG103" s="3854">
        <f>ROUND(BB103*'CP FACTORS'!$B$14,6)</f>
        <v>0</v>
      </c>
      <c r="BH103" s="3854">
        <f>ROUND(BC103*'CP FACTORS'!$B$9,6)</f>
        <v>0.29303600000000002</v>
      </c>
      <c r="BI103" s="3855">
        <f>ROUND(BD103*'CP FACTORS'!$B$14,6)</f>
        <v>0</v>
      </c>
      <c r="BJ103" s="3853"/>
      <c r="BK103" s="3856">
        <f t="shared" si="74"/>
        <v>976.64</v>
      </c>
      <c r="BL103" s="3857">
        <f t="shared" si="75"/>
        <v>309.3</v>
      </c>
      <c r="BM103" s="3858">
        <f t="shared" si="76"/>
        <v>0.92528600000000005</v>
      </c>
      <c r="BN103" s="3855">
        <f t="shared" si="77"/>
        <v>0.29303600000000002</v>
      </c>
    </row>
    <row r="104" spans="1:66" s="696" customFormat="1">
      <c r="A104" s="2958" t="str">
        <f t="shared" si="78"/>
        <v>351150</v>
      </c>
      <c r="B104" s="2233" t="str">
        <f>'HVAC Deemed Table'!C118</f>
        <v>351150_2024_12_</v>
      </c>
      <c r="C104" s="2724" t="str">
        <f>'HVAC Deemed Table'!G118</f>
        <v>Cooling RES</v>
      </c>
      <c r="D104" s="2724"/>
      <c r="E104" s="2724"/>
      <c r="F104" s="2724"/>
      <c r="G104" s="2724" t="str">
        <f>'HVAC Deemed Table'!E118</f>
        <v>CAC-SEER17_ROF_MF</v>
      </c>
      <c r="H104" s="2554" t="str">
        <f>'HVAC Deemed Table'!D118</f>
        <v>MF</v>
      </c>
      <c r="I104" s="3840">
        <f t="shared" si="67"/>
        <v>452.29</v>
      </c>
      <c r="J104" s="3840">
        <f t="shared" si="68"/>
        <v>0</v>
      </c>
      <c r="K104" s="3251">
        <f>'HVAC Deemed Table'!F118</f>
        <v>452.29</v>
      </c>
      <c r="L104" s="3251">
        <v>0</v>
      </c>
      <c r="M104" s="3251"/>
      <c r="N104" s="3251">
        <v>0</v>
      </c>
      <c r="O104" s="3841">
        <f t="shared" si="69"/>
        <v>0.428508</v>
      </c>
      <c r="P104" s="3841">
        <f t="shared" si="70"/>
        <v>0</v>
      </c>
      <c r="Q104" s="3842">
        <f>'HVAC Deemed Table'!I118</f>
        <v>0.428508</v>
      </c>
      <c r="R104" s="3842"/>
      <c r="S104" s="3842"/>
      <c r="T104" s="3842"/>
      <c r="U104" s="3843">
        <f t="shared" si="71"/>
        <v>0</v>
      </c>
      <c r="V104" s="3843">
        <f t="shared" si="72"/>
        <v>0</v>
      </c>
      <c r="W104" s="3843">
        <f t="shared" si="73"/>
        <v>0.428508</v>
      </c>
      <c r="X104" s="2846">
        <f>'HVAC Deemed Table'!J118</f>
        <v>18</v>
      </c>
      <c r="Y104" s="2846"/>
      <c r="Z104" s="2846">
        <f t="shared" si="79"/>
        <v>18</v>
      </c>
      <c r="AA104" s="2529">
        <f>'HVAC Deemed Table'!DG118</f>
        <v>1.1620708976208487</v>
      </c>
      <c r="AB104" s="3844">
        <f>'HVAC Deemed Table'!K118</f>
        <v>891.20171388754079</v>
      </c>
      <c r="AC104" s="3845">
        <f t="shared" si="80"/>
        <v>1035.6395756185334</v>
      </c>
      <c r="AD104" s="3845">
        <f t="shared" si="65"/>
        <v>0</v>
      </c>
      <c r="AE104" s="3846">
        <f>'HVAC Deemed Table'!DI118</f>
        <v>1035.6395756185334</v>
      </c>
      <c r="AF104" s="3846">
        <v>0</v>
      </c>
      <c r="AG104" s="3846"/>
      <c r="AH104" s="3846">
        <v>0</v>
      </c>
      <c r="AI104" s="3847" t="str">
        <f t="shared" si="66"/>
        <v>per measure</v>
      </c>
      <c r="AJ104" s="3220">
        <f>'HVAC Deemed Table'!L118</f>
        <v>2.75</v>
      </c>
      <c r="AK104" s="3848"/>
      <c r="AL104" s="3848"/>
      <c r="AX104" s="3849" t="str">
        <f t="shared" si="81"/>
        <v>CAC-SEER17_ROF_MF</v>
      </c>
      <c r="AY104" s="2724"/>
      <c r="AZ104" s="3850" t="str">
        <f t="shared" si="82"/>
        <v>351150</v>
      </c>
      <c r="BA104" s="3851">
        <f>ROUND((K102*$BC$3)+(K104*$BC$4),2)</f>
        <v>1342.88</v>
      </c>
      <c r="BB104" s="3852"/>
      <c r="BC104" s="3851">
        <f>ROUND((M102*$BC$3)+(K104*$BC$4),2)</f>
        <v>425.29</v>
      </c>
      <c r="BD104" s="3852"/>
      <c r="BE104" s="3853"/>
      <c r="BF104" s="3854">
        <f>ROUND(BA104*'CP FACTORS'!$B$9,6)</f>
        <v>1.2722690000000001</v>
      </c>
      <c r="BG104" s="3854">
        <f>ROUND(BB104*'CP FACTORS'!$B$14,6)</f>
        <v>0</v>
      </c>
      <c r="BH104" s="3854">
        <f>ROUND(BC104*'CP FACTORS'!$B$9,6)</f>
        <v>0.40292699999999998</v>
      </c>
      <c r="BI104" s="3855">
        <f>ROUND(BD104*'CP FACTORS'!$B$14,6)</f>
        <v>0</v>
      </c>
      <c r="BJ104" s="3853"/>
      <c r="BK104" s="3856">
        <f t="shared" si="74"/>
        <v>1342.88</v>
      </c>
      <c r="BL104" s="3857">
        <f t="shared" si="75"/>
        <v>425.29</v>
      </c>
      <c r="BM104" s="3858">
        <f t="shared" si="76"/>
        <v>1.2722690000000001</v>
      </c>
      <c r="BN104" s="3855">
        <f t="shared" si="77"/>
        <v>0.40292699999999998</v>
      </c>
    </row>
    <row r="105" spans="1:66" s="696" customFormat="1">
      <c r="A105" s="2958" t="str">
        <f t="shared" si="78"/>
        <v>351151</v>
      </c>
      <c r="B105" s="2233" t="str">
        <f>'HVAC Deemed Table'!C119</f>
        <v>351151_2024_12_</v>
      </c>
      <c r="C105" s="2724" t="str">
        <f>'HVAC Deemed Table'!G119</f>
        <v>Cooling RES</v>
      </c>
      <c r="D105" s="2724"/>
      <c r="E105" s="2724"/>
      <c r="F105" s="2724"/>
      <c r="G105" s="2724" t="str">
        <f>'HVAC Deemed Table'!E119</f>
        <v>CAC-SEER17_ROF_MF_CompE</v>
      </c>
      <c r="H105" s="2554" t="str">
        <f>'HVAC Deemed Table'!D119</f>
        <v>MFc</v>
      </c>
      <c r="I105" s="3840">
        <f t="shared" si="67"/>
        <v>328.94</v>
      </c>
      <c r="J105" s="3840">
        <f t="shared" si="68"/>
        <v>0</v>
      </c>
      <c r="K105" s="3251">
        <f>'HVAC Deemed Table'!F119</f>
        <v>328.94</v>
      </c>
      <c r="L105" s="3251">
        <v>0</v>
      </c>
      <c r="M105" s="3251"/>
      <c r="N105" s="3251">
        <v>0</v>
      </c>
      <c r="O105" s="3841">
        <f t="shared" si="69"/>
        <v>0.31164399999999998</v>
      </c>
      <c r="P105" s="3841">
        <f t="shared" si="70"/>
        <v>0</v>
      </c>
      <c r="Q105" s="3842">
        <f>'HVAC Deemed Table'!I119</f>
        <v>0.31164399999999998</v>
      </c>
      <c r="R105" s="3842"/>
      <c r="S105" s="3842"/>
      <c r="T105" s="3842"/>
      <c r="U105" s="3843">
        <f t="shared" si="71"/>
        <v>0</v>
      </c>
      <c r="V105" s="3843">
        <f t="shared" si="72"/>
        <v>0</v>
      </c>
      <c r="W105" s="3843">
        <f t="shared" si="73"/>
        <v>0.31164399999999998</v>
      </c>
      <c r="X105" s="2846">
        <f>'HVAC Deemed Table'!J119</f>
        <v>18</v>
      </c>
      <c r="Y105" s="2846"/>
      <c r="Z105" s="2846">
        <f t="shared" si="79"/>
        <v>18</v>
      </c>
      <c r="AA105" s="2529">
        <f>'HVAC Deemed Table'!DG119</f>
        <v>0.84514714246037292</v>
      </c>
      <c r="AB105" s="3844">
        <f>'HVAC Deemed Table'!K119</f>
        <v>891.20171388754079</v>
      </c>
      <c r="AC105" s="3845">
        <f t="shared" si="80"/>
        <v>753.19658184784191</v>
      </c>
      <c r="AD105" s="3845">
        <f t="shared" si="65"/>
        <v>0</v>
      </c>
      <c r="AE105" s="3846">
        <f>'HVAC Deemed Table'!DI119</f>
        <v>753.19658184784191</v>
      </c>
      <c r="AF105" s="3846">
        <v>0</v>
      </c>
      <c r="AG105" s="3846"/>
      <c r="AH105" s="3846">
        <v>0</v>
      </c>
      <c r="AI105" s="3847" t="str">
        <f t="shared" si="66"/>
        <v>per measure</v>
      </c>
      <c r="AJ105" s="3220">
        <f>'HVAC Deemed Table'!L119</f>
        <v>2.75</v>
      </c>
      <c r="AK105" s="3848"/>
      <c r="AL105" s="3848"/>
      <c r="AX105" s="3849" t="str">
        <f t="shared" si="81"/>
        <v>CAC-SEER17_ROF_MF_CompE</v>
      </c>
      <c r="AY105" s="2724"/>
      <c r="AZ105" s="3850" t="str">
        <f t="shared" si="82"/>
        <v>351151</v>
      </c>
      <c r="BA105" s="3859">
        <f>ROUND((K103*$BC$3)+(K105*$BC$4),2)</f>
        <v>976.64</v>
      </c>
      <c r="BB105" s="3852"/>
      <c r="BC105" s="3859">
        <f>ROUND((M103*$BC$3)+(K105*$BC$4),2)</f>
        <v>309.3</v>
      </c>
      <c r="BD105" s="3852"/>
      <c r="BE105" s="3853"/>
      <c r="BF105" s="3854">
        <f>ROUND(BA105*'CP FACTORS'!$B$9,6)</f>
        <v>0.92528600000000005</v>
      </c>
      <c r="BG105" s="3854">
        <f>ROUND(BB105*'CP FACTORS'!$B$14,6)</f>
        <v>0</v>
      </c>
      <c r="BH105" s="3854">
        <f>ROUND(BC105*'CP FACTORS'!$B$9,6)</f>
        <v>0.29303600000000002</v>
      </c>
      <c r="BI105" s="3855">
        <f>ROUND(BD105*'CP FACTORS'!$B$14,6)</f>
        <v>0</v>
      </c>
      <c r="BJ105" s="3853"/>
      <c r="BK105" s="3856">
        <f t="shared" si="74"/>
        <v>976.64</v>
      </c>
      <c r="BL105" s="3857">
        <f t="shared" si="75"/>
        <v>309.3</v>
      </c>
      <c r="BM105" s="3858">
        <f t="shared" si="76"/>
        <v>0.92528600000000005</v>
      </c>
      <c r="BN105" s="3855">
        <f t="shared" si="77"/>
        <v>0.29303600000000002</v>
      </c>
    </row>
    <row r="106" spans="1:66">
      <c r="A106" s="51" t="str">
        <f t="shared" si="78"/>
        <v>351160</v>
      </c>
      <c r="B106" s="1442" t="str">
        <f>'HVAC Deemed Table'!C120</f>
        <v>351160_2024_12_</v>
      </c>
      <c r="C106" s="1378" t="str">
        <f>'HVAC Deemed Table'!G120</f>
        <v>Cooling RES</v>
      </c>
      <c r="D106" s="1378" t="str">
        <f>'HVAC Deemed Table'!G121</f>
        <v>Cooling RES ER2</v>
      </c>
      <c r="E106" s="1378"/>
      <c r="F106" s="1378"/>
      <c r="G106" s="1378" t="str">
        <f>'HVAC Deemed Table'!E120</f>
        <v>CAC-SEER18_ER1_SF</v>
      </c>
      <c r="H106" s="19" t="str">
        <f>'HVAC Deemed Table'!D120</f>
        <v>PAYS/SFIE</v>
      </c>
      <c r="I106" s="785">
        <f t="shared" si="67"/>
        <v>2517.94</v>
      </c>
      <c r="J106" s="785">
        <f t="shared" si="68"/>
        <v>662.17</v>
      </c>
      <c r="K106" s="202">
        <f>'HVAC Deemed Table'!F120</f>
        <v>2517.94</v>
      </c>
      <c r="L106" s="202">
        <v>0</v>
      </c>
      <c r="M106" s="202">
        <f>'HVAC Deemed Table'!F121</f>
        <v>662.17</v>
      </c>
      <c r="N106" s="202">
        <v>0</v>
      </c>
      <c r="O106" s="786">
        <f t="shared" si="69"/>
        <v>2.3855420000000001</v>
      </c>
      <c r="P106" s="786">
        <f t="shared" si="70"/>
        <v>0.62735200000000002</v>
      </c>
      <c r="Q106" s="787">
        <f>'HVAC Deemed Table'!I120</f>
        <v>2.3855420000000001</v>
      </c>
      <c r="R106" s="787">
        <v>0</v>
      </c>
      <c r="S106" s="787">
        <f>'HVAC Deemed Table'!I121</f>
        <v>0.62735200000000002</v>
      </c>
      <c r="T106" s="787">
        <v>0</v>
      </c>
      <c r="U106" s="788">
        <f t="shared" si="71"/>
        <v>0</v>
      </c>
      <c r="V106" s="788">
        <f t="shared" si="72"/>
        <v>0</v>
      </c>
      <c r="W106" s="788">
        <f t="shared" si="73"/>
        <v>2.3855420000000001</v>
      </c>
      <c r="X106" s="23">
        <f>'HVAC Deemed Table'!J120</f>
        <v>6</v>
      </c>
      <c r="Y106" s="23">
        <f>'HVAC Deemed Table'!J121</f>
        <v>12</v>
      </c>
      <c r="Z106" s="23">
        <f t="shared" si="79"/>
        <v>18</v>
      </c>
      <c r="AA106" s="18">
        <f>'HVAC Deemed Table'!DG120</f>
        <v>3.3816804496492248</v>
      </c>
      <c r="AB106" s="807">
        <f>'HVAC Deemed Table'!K120</f>
        <v>994.85487938259848</v>
      </c>
      <c r="AC106" s="903">
        <f t="shared" si="80"/>
        <v>2507.4857581762217</v>
      </c>
      <c r="AD106" s="903">
        <f t="shared" si="65"/>
        <v>856.79553767004927</v>
      </c>
      <c r="AE106" s="208">
        <f>'HVAC Deemed Table'!DI120</f>
        <v>2507.4857581762217</v>
      </c>
      <c r="AF106" s="208"/>
      <c r="AG106" s="208">
        <f>'HVAC Deemed Table'!DI121</f>
        <v>856.79553767004927</v>
      </c>
      <c r="AH106" s="208"/>
      <c r="AI106" s="906" t="str">
        <f t="shared" si="66"/>
        <v>per measure</v>
      </c>
      <c r="AJ106" s="53">
        <f>'HVAC Deemed Table'!L120</f>
        <v>3.3330761421319792</v>
      </c>
      <c r="AK106" s="641"/>
      <c r="AL106" s="641"/>
      <c r="AX106" s="1355" t="str">
        <f t="shared" si="81"/>
        <v>CAC-SEER18_ER1_SF</v>
      </c>
      <c r="AY106" s="1378"/>
      <c r="AZ106" s="1446" t="str">
        <f t="shared" si="82"/>
        <v>351160</v>
      </c>
      <c r="BA106" s="906">
        <f>ROUND((K106*$BC$3)+(K107*$BC$4),2)</f>
        <v>1775.01</v>
      </c>
      <c r="BB106" s="1324"/>
      <c r="BC106" s="906">
        <f>ROUND((M106*$BC$3)+(K107*$BC$4),2)</f>
        <v>661.55</v>
      </c>
      <c r="BD106" s="1324"/>
      <c r="BE106" s="1305"/>
      <c r="BF106" s="1321">
        <f>ROUND(BA106*'CP FACTORS'!$B$9,6)</f>
        <v>1.6816770000000001</v>
      </c>
      <c r="BG106" s="1322">
        <f>ROUND(BB106*'CP FACTORS'!$B$14,6)</f>
        <v>0</v>
      </c>
      <c r="BH106" s="1321">
        <f>ROUND(BC106*'CP FACTORS'!$B$9,6)</f>
        <v>0.62676399999999999</v>
      </c>
      <c r="BI106" s="1323">
        <f>ROUND(BD106*'CP FACTORS'!$B$14,6)</f>
        <v>0</v>
      </c>
      <c r="BJ106" s="1305"/>
      <c r="BK106" s="730">
        <f t="shared" si="74"/>
        <v>1775.01</v>
      </c>
      <c r="BL106" s="1342">
        <f t="shared" si="75"/>
        <v>661.55</v>
      </c>
      <c r="BM106" s="1341">
        <f t="shared" si="76"/>
        <v>1.6816770000000001</v>
      </c>
      <c r="BN106" s="1340">
        <f t="shared" si="77"/>
        <v>0.62676399999999999</v>
      </c>
    </row>
    <row r="107" spans="1:66">
      <c r="A107" s="51" t="str">
        <f t="shared" si="78"/>
        <v>351161</v>
      </c>
      <c r="B107" s="1442" t="str">
        <f>'HVAC Deemed Table'!C122</f>
        <v>351161_2024_12_</v>
      </c>
      <c r="C107" s="1378" t="str">
        <f>'HVAC Deemed Table'!G122</f>
        <v>Cooling RES</v>
      </c>
      <c r="D107" s="1378"/>
      <c r="E107" s="1378"/>
      <c r="F107" s="1378"/>
      <c r="G107" s="1378" t="str">
        <f>'HVAC Deemed Table'!E122</f>
        <v>CAC-SEER18_ROF_SF</v>
      </c>
      <c r="H107" s="19" t="str">
        <f>'HVAC Deemed Table'!D122</f>
        <v>PAYS/SFIE</v>
      </c>
      <c r="I107" s="785">
        <f t="shared" si="67"/>
        <v>660.62</v>
      </c>
      <c r="J107" s="785">
        <f t="shared" si="68"/>
        <v>0</v>
      </c>
      <c r="K107" s="202">
        <f>'HVAC Deemed Table'!F122</f>
        <v>660.62</v>
      </c>
      <c r="L107" s="202">
        <v>0</v>
      </c>
      <c r="M107" s="202"/>
      <c r="N107" s="202">
        <v>0</v>
      </c>
      <c r="O107" s="786">
        <f t="shared" si="69"/>
        <v>0.62588299999999997</v>
      </c>
      <c r="P107" s="786">
        <f t="shared" si="70"/>
        <v>0</v>
      </c>
      <c r="Q107" s="787">
        <f>'HVAC Deemed Table'!I122</f>
        <v>0.62588299999999997</v>
      </c>
      <c r="R107" s="787">
        <v>0</v>
      </c>
      <c r="S107" s="787"/>
      <c r="T107" s="787">
        <v>0</v>
      </c>
      <c r="U107" s="788">
        <f t="shared" si="71"/>
        <v>0</v>
      </c>
      <c r="V107" s="788">
        <f t="shared" si="72"/>
        <v>0</v>
      </c>
      <c r="W107" s="788">
        <f t="shared" si="73"/>
        <v>0.62588299999999997</v>
      </c>
      <c r="X107" s="23">
        <f>'HVAC Deemed Table'!J122</f>
        <v>18</v>
      </c>
      <c r="Y107" s="23"/>
      <c r="Z107" s="23">
        <f t="shared" si="79"/>
        <v>18</v>
      </c>
      <c r="AA107" s="18">
        <f>'HVAC Deemed Table'!DG122</f>
        <v>1.6425814647602304</v>
      </c>
      <c r="AB107" s="807">
        <f>'HVAC Deemed Table'!K122</f>
        <v>920.90843768379273</v>
      </c>
      <c r="AC107" s="903">
        <f t="shared" si="80"/>
        <v>1512.6671304806996</v>
      </c>
      <c r="AD107" s="903">
        <f t="shared" si="65"/>
        <v>0</v>
      </c>
      <c r="AE107" s="208">
        <f>'HVAC Deemed Table'!DI122</f>
        <v>1512.6671304806996</v>
      </c>
      <c r="AF107" s="208"/>
      <c r="AG107" s="208"/>
      <c r="AH107" s="208"/>
      <c r="AI107" s="906" t="str">
        <f t="shared" ref="AI107:AI135" si="83">AI106</f>
        <v>per measure</v>
      </c>
      <c r="AJ107" s="53">
        <f>'HVAC Deemed Table'!L122</f>
        <v>3.3284552845487805</v>
      </c>
      <c r="AK107" s="641"/>
      <c r="AL107" s="641"/>
      <c r="AX107" s="1355" t="str">
        <f t="shared" si="81"/>
        <v>CAC-SEER18_ROF_SF</v>
      </c>
      <c r="AY107" s="1378"/>
      <c r="AZ107" s="1446" t="str">
        <f t="shared" si="82"/>
        <v>351161</v>
      </c>
      <c r="BA107" s="906">
        <f>ROUND((K106*$BC$3)+(K107*$BC$4),2)</f>
        <v>1775.01</v>
      </c>
      <c r="BB107" s="1324"/>
      <c r="BC107" s="906">
        <f>ROUND((M106*$BC$3)+(K107*$BC$4),2)</f>
        <v>661.55</v>
      </c>
      <c r="BD107" s="1324"/>
      <c r="BE107" s="1305"/>
      <c r="BF107" s="1321">
        <f>ROUND(BA107*'CP FACTORS'!$B$9,6)</f>
        <v>1.6816770000000001</v>
      </c>
      <c r="BG107" s="1322">
        <f>ROUND(BB107*'CP FACTORS'!$B$14,6)</f>
        <v>0</v>
      </c>
      <c r="BH107" s="1321">
        <f>ROUND(BC107*'CP FACTORS'!$B$9,6)</f>
        <v>0.62676399999999999</v>
      </c>
      <c r="BI107" s="1323">
        <f>ROUND(BD107*'CP FACTORS'!$B$14,6)</f>
        <v>0</v>
      </c>
      <c r="BJ107" s="1305"/>
      <c r="BK107" s="730">
        <f t="shared" si="74"/>
        <v>1775.01</v>
      </c>
      <c r="BL107" s="1342">
        <f t="shared" si="75"/>
        <v>661.55</v>
      </c>
      <c r="BM107" s="1341">
        <f t="shared" si="76"/>
        <v>1.6816770000000001</v>
      </c>
      <c r="BN107" s="1340">
        <f t="shared" si="77"/>
        <v>0.62676399999999999</v>
      </c>
    </row>
    <row r="108" spans="1:66" s="696" customFormat="1">
      <c r="A108" s="2958" t="str">
        <f t="shared" si="78"/>
        <v>351162</v>
      </c>
      <c r="B108" s="2233" t="str">
        <f>'HVAC Deemed Table'!C123</f>
        <v>351162_2024_12_</v>
      </c>
      <c r="C108" s="2724" t="str">
        <f>'HVAC Deemed Table'!G123</f>
        <v>Cooling RES</v>
      </c>
      <c r="D108" s="2724" t="str">
        <f>'HVAC Deemed Table'!G124</f>
        <v>Cooling RES ER2</v>
      </c>
      <c r="E108" s="2724"/>
      <c r="F108" s="2724"/>
      <c r="G108" s="3860" t="str">
        <f>'HVAC Deemed Table'!E123</f>
        <v>CAC-SEER18_ER1_MF</v>
      </c>
      <c r="H108" s="2554" t="str">
        <f>'HVAC Deemed Table'!D123</f>
        <v>MF</v>
      </c>
      <c r="I108" s="3840">
        <f t="shared" si="67"/>
        <v>2128.65</v>
      </c>
      <c r="J108" s="3840">
        <f t="shared" si="68"/>
        <v>496.19</v>
      </c>
      <c r="K108" s="3251">
        <f>'HVAC Deemed Table'!F123</f>
        <v>2128.65</v>
      </c>
      <c r="L108" s="3251">
        <v>0</v>
      </c>
      <c r="M108" s="3251">
        <f>'HVAC Deemed Table'!F124</f>
        <v>496.19</v>
      </c>
      <c r="N108" s="3251">
        <v>0</v>
      </c>
      <c r="O108" s="3841">
        <f t="shared" si="69"/>
        <v>2.0167220000000001</v>
      </c>
      <c r="P108" s="3841">
        <f t="shared" si="70"/>
        <v>0.47009899999999999</v>
      </c>
      <c r="Q108" s="3842">
        <f>'HVAC Deemed Table'!I123</f>
        <v>2.0167220000000001</v>
      </c>
      <c r="R108" s="3842">
        <v>0</v>
      </c>
      <c r="S108" s="3842">
        <f>'HVAC Deemed Table'!I124</f>
        <v>0.47009899999999999</v>
      </c>
      <c r="T108" s="3842">
        <v>0</v>
      </c>
      <c r="U108" s="3843">
        <f t="shared" si="71"/>
        <v>0</v>
      </c>
      <c r="V108" s="3843">
        <f t="shared" si="72"/>
        <v>0</v>
      </c>
      <c r="W108" s="3843">
        <f t="shared" si="73"/>
        <v>2.0167220000000001</v>
      </c>
      <c r="X108" s="2846">
        <f>'HVAC Deemed Table'!J123</f>
        <v>6</v>
      </c>
      <c r="Y108" s="2846">
        <f>'HVAC Deemed Table'!J124</f>
        <v>12</v>
      </c>
      <c r="Z108" s="2846">
        <f t="shared" si="79"/>
        <v>18</v>
      </c>
      <c r="AA108" s="2529">
        <f>'HVAC Deemed Table'!DG123</f>
        <v>2.7761261190018329</v>
      </c>
      <c r="AB108" s="3844">
        <f>'HVAC Deemed Table'!K123</f>
        <v>994.85487938259848</v>
      </c>
      <c r="AC108" s="3845">
        <f t="shared" si="80"/>
        <v>2119.8120523689263</v>
      </c>
      <c r="AD108" s="3845">
        <f t="shared" si="65"/>
        <v>642.03056290152347</v>
      </c>
      <c r="AE108" s="3846">
        <f>'HVAC Deemed Table'!DI123</f>
        <v>2119.8120523689263</v>
      </c>
      <c r="AF108" s="3846"/>
      <c r="AG108" s="3846">
        <f>'HVAC Deemed Table'!DI124</f>
        <v>642.03056290152347</v>
      </c>
      <c r="AH108" s="3846"/>
      <c r="AI108" s="3847" t="str">
        <f t="shared" si="83"/>
        <v>per measure</v>
      </c>
      <c r="AJ108" s="3220">
        <f>'HVAC Deemed Table'!L123</f>
        <v>2.5</v>
      </c>
      <c r="AK108" s="3848"/>
      <c r="AL108" s="3848"/>
      <c r="AX108" s="3849" t="str">
        <f t="shared" si="81"/>
        <v>CAC-SEER18_ER1_MF</v>
      </c>
      <c r="AY108" s="2724"/>
      <c r="AZ108" s="3850" t="str">
        <f t="shared" si="82"/>
        <v>351162</v>
      </c>
      <c r="BA108" s="3851">
        <f>ROUND((K108*$BC$3)+(K110*$BC$4),2)</f>
        <v>1435.97</v>
      </c>
      <c r="BB108" s="3852"/>
      <c r="BC108" s="3851">
        <f>ROUND((M108*$BC$3)+(K110*$BC$4),2)</f>
        <v>456.5</v>
      </c>
      <c r="BD108" s="3852"/>
      <c r="BE108" s="3853"/>
      <c r="BF108" s="3854">
        <f>ROUND(BA108*'CP FACTORS'!$B$9,6)</f>
        <v>1.3604639999999999</v>
      </c>
      <c r="BG108" s="3854">
        <f>ROUND(BB108*'CP FACTORS'!$B$14,6)</f>
        <v>0</v>
      </c>
      <c r="BH108" s="3854">
        <f>ROUND(BC108*'CP FACTORS'!$B$9,6)</f>
        <v>0.43249599999999999</v>
      </c>
      <c r="BI108" s="3855">
        <f>ROUND(BD108*'CP FACTORS'!$B$14,6)</f>
        <v>0</v>
      </c>
      <c r="BJ108" s="3853"/>
      <c r="BK108" s="3856">
        <f t="shared" si="74"/>
        <v>1435.97</v>
      </c>
      <c r="BL108" s="3857">
        <f t="shared" si="75"/>
        <v>456.5</v>
      </c>
      <c r="BM108" s="3858">
        <f t="shared" si="76"/>
        <v>1.3604639999999999</v>
      </c>
      <c r="BN108" s="3855">
        <f t="shared" si="77"/>
        <v>0.43249599999999999</v>
      </c>
    </row>
    <row r="109" spans="1:66" s="696" customFormat="1">
      <c r="A109" s="2958" t="str">
        <f t="shared" si="78"/>
        <v>351163</v>
      </c>
      <c r="B109" s="2233" t="str">
        <f>'HVAC Deemed Table'!C125</f>
        <v>351163_2024_12_</v>
      </c>
      <c r="C109" s="2724" t="str">
        <f>'HVAC Deemed Table'!G125</f>
        <v>Cooling RES</v>
      </c>
      <c r="D109" s="2724" t="str">
        <f>'HVAC Deemed Table'!G126</f>
        <v>Cooling RES ER2</v>
      </c>
      <c r="E109" s="2724"/>
      <c r="F109" s="2724"/>
      <c r="G109" s="2724" t="str">
        <f>'HVAC Deemed Table'!E125</f>
        <v>CAC-SEER18_ER1_MF_CompE</v>
      </c>
      <c r="H109" s="2554" t="str">
        <f>'HVAC Deemed Table'!D125</f>
        <v>MFc</v>
      </c>
      <c r="I109" s="3840">
        <f t="shared" si="67"/>
        <v>1220.33</v>
      </c>
      <c r="J109" s="3840">
        <f t="shared" si="68"/>
        <v>360.87</v>
      </c>
      <c r="K109" s="3251">
        <f>'HVAC Deemed Table'!F125</f>
        <v>1220.33</v>
      </c>
      <c r="L109" s="3251">
        <v>0</v>
      </c>
      <c r="M109" s="3251">
        <f>'HVAC Deemed Table'!F126</f>
        <v>360.87</v>
      </c>
      <c r="N109" s="3251">
        <v>0</v>
      </c>
      <c r="O109" s="3841">
        <f t="shared" si="69"/>
        <v>1.1561630000000001</v>
      </c>
      <c r="P109" s="3841">
        <f t="shared" si="70"/>
        <v>0.341895</v>
      </c>
      <c r="Q109" s="3842">
        <f>'HVAC Deemed Table'!I125</f>
        <v>1.1561630000000001</v>
      </c>
      <c r="R109" s="3842">
        <v>0</v>
      </c>
      <c r="S109" s="3842">
        <f>'HVAC Deemed Table'!I126</f>
        <v>0.341895</v>
      </c>
      <c r="T109" s="3842">
        <v>0</v>
      </c>
      <c r="U109" s="3843">
        <f t="shared" si="71"/>
        <v>0</v>
      </c>
      <c r="V109" s="3843">
        <f t="shared" si="72"/>
        <v>0</v>
      </c>
      <c r="W109" s="3843">
        <f t="shared" si="73"/>
        <v>1.1561630000000001</v>
      </c>
      <c r="X109" s="2846">
        <f>'HVAC Deemed Table'!J125</f>
        <v>6</v>
      </c>
      <c r="Y109" s="2846">
        <f>'HVAC Deemed Table'!J126</f>
        <v>12</v>
      </c>
      <c r="Z109" s="2846">
        <f t="shared" si="79"/>
        <v>18</v>
      </c>
      <c r="AA109" s="2529">
        <f>'HVAC Deemed Table'!DG125</f>
        <v>1.6909003950239456</v>
      </c>
      <c r="AB109" s="3844">
        <f>'HVAC Deemed Table'!K125</f>
        <v>994.85487938259848</v>
      </c>
      <c r="AC109" s="3845">
        <f t="shared" si="80"/>
        <v>1215.263308607508</v>
      </c>
      <c r="AD109" s="3845">
        <f t="shared" si="65"/>
        <v>466.93719993202757</v>
      </c>
      <c r="AE109" s="3846">
        <f>'HVAC Deemed Table'!DI125</f>
        <v>1215.263308607508</v>
      </c>
      <c r="AF109" s="3846"/>
      <c r="AG109" s="3846">
        <f>'HVAC Deemed Table'!DI126</f>
        <v>466.93719993202757</v>
      </c>
      <c r="AH109" s="3846"/>
      <c r="AI109" s="3847" t="str">
        <f t="shared" si="83"/>
        <v>per measure</v>
      </c>
      <c r="AJ109" s="3220">
        <f>'HVAC Deemed Table'!L125</f>
        <v>2.5</v>
      </c>
      <c r="AK109" s="3848"/>
      <c r="AL109" s="3848"/>
      <c r="AX109" s="3849" t="str">
        <f t="shared" si="81"/>
        <v>CAC-SEER18_ER1_MF_CompE</v>
      </c>
      <c r="AY109" s="2724"/>
      <c r="AZ109" s="3850" t="str">
        <f t="shared" si="82"/>
        <v>351163</v>
      </c>
      <c r="BA109" s="3859">
        <f>ROUND((K109*$BC$3)+(K111*$BC$4),2)</f>
        <v>847.68</v>
      </c>
      <c r="BB109" s="3852"/>
      <c r="BC109" s="3859">
        <f>ROUND((M109*$BC$3)+(K111*$BC$4),2)</f>
        <v>332</v>
      </c>
      <c r="BD109" s="3852"/>
      <c r="BE109" s="3853"/>
      <c r="BF109" s="3854">
        <f>ROUND(BA109*'CP FACTORS'!$B$9,6)</f>
        <v>0.80310700000000002</v>
      </c>
      <c r="BG109" s="3854">
        <f>ROUND(BB109*'CP FACTORS'!$B$14,6)</f>
        <v>0</v>
      </c>
      <c r="BH109" s="3854">
        <f>ROUND(BC109*'CP FACTORS'!$B$9,6)</f>
        <v>0.31454300000000002</v>
      </c>
      <c r="BI109" s="3855">
        <f>ROUND(BD109*'CP FACTORS'!$B$14,6)</f>
        <v>0</v>
      </c>
      <c r="BJ109" s="3853"/>
      <c r="BK109" s="3856">
        <f t="shared" si="74"/>
        <v>847.68</v>
      </c>
      <c r="BL109" s="3857">
        <f t="shared" si="75"/>
        <v>332</v>
      </c>
      <c r="BM109" s="3858">
        <f t="shared" si="76"/>
        <v>0.80310700000000002</v>
      </c>
      <c r="BN109" s="3855">
        <f t="shared" si="77"/>
        <v>0.31454300000000002</v>
      </c>
    </row>
    <row r="110" spans="1:66" s="696" customFormat="1">
      <c r="A110" s="2958" t="str">
        <f t="shared" si="78"/>
        <v>351164</v>
      </c>
      <c r="B110" s="2233" t="str">
        <f>'HVAC Deemed Table'!C127</f>
        <v>351164_2024_12_</v>
      </c>
      <c r="C110" s="2724" t="str">
        <f>'HVAC Deemed Table'!G127</f>
        <v>Cooling RES</v>
      </c>
      <c r="D110" s="2724"/>
      <c r="E110" s="2724"/>
      <c r="F110" s="2724"/>
      <c r="G110" s="2724" t="str">
        <f>'HVAC Deemed Table'!E127</f>
        <v>CAC-SEER18_ROF_MF</v>
      </c>
      <c r="H110" s="2554" t="str">
        <f>'HVAC Deemed Table'!D127</f>
        <v>MF</v>
      </c>
      <c r="I110" s="3840">
        <f t="shared" si="67"/>
        <v>396.96</v>
      </c>
      <c r="J110" s="3840">
        <f t="shared" si="68"/>
        <v>0</v>
      </c>
      <c r="K110" s="3251">
        <f>'HVAC Deemed Table'!F127</f>
        <v>396.96</v>
      </c>
      <c r="L110" s="3251">
        <v>0</v>
      </c>
      <c r="M110" s="3251"/>
      <c r="N110" s="3251">
        <v>0</v>
      </c>
      <c r="O110" s="3841">
        <f t="shared" si="69"/>
        <v>0.376087</v>
      </c>
      <c r="P110" s="3841">
        <f t="shared" si="70"/>
        <v>0</v>
      </c>
      <c r="Q110" s="3842">
        <f>'HVAC Deemed Table'!I127</f>
        <v>0.376087</v>
      </c>
      <c r="R110" s="3842">
        <v>0</v>
      </c>
      <c r="S110" s="3842"/>
      <c r="T110" s="3842">
        <v>0</v>
      </c>
      <c r="U110" s="3843">
        <f t="shared" si="71"/>
        <v>0</v>
      </c>
      <c r="V110" s="3843">
        <f t="shared" si="72"/>
        <v>0</v>
      </c>
      <c r="W110" s="3843">
        <f t="shared" si="73"/>
        <v>0.376087</v>
      </c>
      <c r="X110" s="2846">
        <f>'HVAC Deemed Table'!J127</f>
        <v>18</v>
      </c>
      <c r="Y110" s="2846"/>
      <c r="Z110" s="2846">
        <f t="shared" si="79"/>
        <v>18</v>
      </c>
      <c r="AA110" s="2529">
        <f>'HVAC Deemed Table'!DG127</f>
        <v>0.98701089620541449</v>
      </c>
      <c r="AB110" s="3844">
        <f>'HVAC Deemed Table'!K127</f>
        <v>920.90843768379273</v>
      </c>
      <c r="AC110" s="3845">
        <f t="shared" si="80"/>
        <v>908.94666240140839</v>
      </c>
      <c r="AD110" s="3845">
        <f t="shared" si="65"/>
        <v>0</v>
      </c>
      <c r="AE110" s="3846">
        <f>'HVAC Deemed Table'!DI127</f>
        <v>908.94666240140839</v>
      </c>
      <c r="AF110" s="3846"/>
      <c r="AG110" s="3846"/>
      <c r="AH110" s="3846"/>
      <c r="AI110" s="3847" t="str">
        <f t="shared" si="83"/>
        <v>per measure</v>
      </c>
      <c r="AJ110" s="3220">
        <f>'HVAC Deemed Table'!L127</f>
        <v>2</v>
      </c>
      <c r="AK110" s="3848"/>
      <c r="AL110" s="3848"/>
      <c r="AX110" s="3849" t="str">
        <f t="shared" si="81"/>
        <v>CAC-SEER18_ROF_MF</v>
      </c>
      <c r="AY110" s="2724"/>
      <c r="AZ110" s="3850" t="str">
        <f t="shared" si="82"/>
        <v>351164</v>
      </c>
      <c r="BA110" s="3851">
        <f>ROUND((K108*$BC$3)+(K110*$BC$4),2)</f>
        <v>1435.97</v>
      </c>
      <c r="BB110" s="3852"/>
      <c r="BC110" s="3851">
        <f>ROUND((M108*$BC$3)+(K110*$BC$4),2)</f>
        <v>456.5</v>
      </c>
      <c r="BD110" s="3852"/>
      <c r="BE110" s="3853"/>
      <c r="BF110" s="3854">
        <f>ROUND(BA110*'CP FACTORS'!$B$9,6)</f>
        <v>1.3604639999999999</v>
      </c>
      <c r="BG110" s="3854">
        <f>ROUND(BB110*'CP FACTORS'!$B$14,6)</f>
        <v>0</v>
      </c>
      <c r="BH110" s="3854">
        <f>ROUND(BC110*'CP FACTORS'!$B$9,6)</f>
        <v>0.43249599999999999</v>
      </c>
      <c r="BI110" s="3855">
        <f>ROUND(BD110*'CP FACTORS'!$B$14,6)</f>
        <v>0</v>
      </c>
      <c r="BJ110" s="3853"/>
      <c r="BK110" s="3856">
        <f t="shared" si="74"/>
        <v>1435.97</v>
      </c>
      <c r="BL110" s="3857">
        <f t="shared" si="75"/>
        <v>456.5</v>
      </c>
      <c r="BM110" s="3858">
        <f t="shared" si="76"/>
        <v>1.3604639999999999</v>
      </c>
      <c r="BN110" s="3855">
        <f t="shared" si="77"/>
        <v>0.43249599999999999</v>
      </c>
    </row>
    <row r="111" spans="1:66" s="696" customFormat="1">
      <c r="A111" s="2958" t="str">
        <f t="shared" si="78"/>
        <v>351165</v>
      </c>
      <c r="B111" s="2233" t="str">
        <f>'HVAC Deemed Table'!C128</f>
        <v>351165_2024_12_</v>
      </c>
      <c r="C111" s="2724" t="str">
        <f>'HVAC Deemed Table'!G128</f>
        <v>Cooling RES</v>
      </c>
      <c r="D111" s="2724"/>
      <c r="E111" s="2724"/>
      <c r="F111" s="2724"/>
      <c r="G111" s="2724" t="str">
        <f>'HVAC Deemed Table'!E128</f>
        <v>CAC-SEER18_ROF_MF_CompE</v>
      </c>
      <c r="H111" s="2554" t="str">
        <f>'HVAC Deemed Table'!D128</f>
        <v>MFc</v>
      </c>
      <c r="I111" s="3840">
        <f t="shared" si="67"/>
        <v>288.7</v>
      </c>
      <c r="J111" s="3840">
        <f t="shared" si="68"/>
        <v>0</v>
      </c>
      <c r="K111" s="3251">
        <f>'HVAC Deemed Table'!F128</f>
        <v>288.7</v>
      </c>
      <c r="L111" s="3251">
        <v>0</v>
      </c>
      <c r="M111" s="3251"/>
      <c r="N111" s="3251">
        <v>0</v>
      </c>
      <c r="O111" s="3841">
        <f t="shared" si="69"/>
        <v>0.27351999999999999</v>
      </c>
      <c r="P111" s="3841">
        <f t="shared" si="70"/>
        <v>0</v>
      </c>
      <c r="Q111" s="3842">
        <f>'HVAC Deemed Table'!I128</f>
        <v>0.27351999999999999</v>
      </c>
      <c r="R111" s="3842">
        <v>0</v>
      </c>
      <c r="S111" s="3842"/>
      <c r="T111" s="3842">
        <v>0</v>
      </c>
      <c r="U111" s="3843">
        <f t="shared" si="71"/>
        <v>0</v>
      </c>
      <c r="V111" s="3843">
        <f t="shared" si="72"/>
        <v>0</v>
      </c>
      <c r="W111" s="3843">
        <f t="shared" si="73"/>
        <v>0.27351999999999999</v>
      </c>
      <c r="X111" s="2846">
        <f>'HVAC Deemed Table'!J128</f>
        <v>18</v>
      </c>
      <c r="Y111" s="2846"/>
      <c r="Z111" s="2846">
        <f t="shared" si="79"/>
        <v>18</v>
      </c>
      <c r="AA111" s="2529">
        <f>'HVAC Deemed Table'!DG128</f>
        <v>0.71783062710223489</v>
      </c>
      <c r="AB111" s="3844">
        <f>'HVAC Deemed Table'!K128</f>
        <v>920.90843768379273</v>
      </c>
      <c r="AC111" s="3845">
        <f t="shared" si="80"/>
        <v>661.05628132629636</v>
      </c>
      <c r="AD111" s="3845">
        <f t="shared" si="65"/>
        <v>0</v>
      </c>
      <c r="AE111" s="3846">
        <f>'HVAC Deemed Table'!DI128</f>
        <v>661.05628132629636</v>
      </c>
      <c r="AF111" s="3846"/>
      <c r="AG111" s="3846"/>
      <c r="AH111" s="3846"/>
      <c r="AI111" s="3847" t="str">
        <f t="shared" si="83"/>
        <v>per measure</v>
      </c>
      <c r="AJ111" s="3220">
        <f>'HVAC Deemed Table'!L128</f>
        <v>2</v>
      </c>
      <c r="AK111" s="3848"/>
      <c r="AL111" s="3848"/>
      <c r="AX111" s="3849" t="str">
        <f t="shared" si="81"/>
        <v>CAC-SEER18_ROF_MF_CompE</v>
      </c>
      <c r="AY111" s="2724"/>
      <c r="AZ111" s="3850" t="str">
        <f t="shared" si="82"/>
        <v>351165</v>
      </c>
      <c r="BA111" s="3859">
        <f>ROUND((K109*$BC$3)+(K111*$BC$4),2)</f>
        <v>847.68</v>
      </c>
      <c r="BB111" s="3852"/>
      <c r="BC111" s="3859">
        <f>ROUND((M109*$BC$3)+(K111*$BC$4),2)</f>
        <v>332</v>
      </c>
      <c r="BD111" s="3852"/>
      <c r="BE111" s="3853"/>
      <c r="BF111" s="3854">
        <f>ROUND(BA111*'CP FACTORS'!$B$9,6)</f>
        <v>0.80310700000000002</v>
      </c>
      <c r="BG111" s="3854">
        <f>ROUND(BB111*'CP FACTORS'!$B$14,6)</f>
        <v>0</v>
      </c>
      <c r="BH111" s="3854">
        <f>ROUND(BC111*'CP FACTORS'!$B$9,6)</f>
        <v>0.31454300000000002</v>
      </c>
      <c r="BI111" s="3855">
        <f>ROUND(BD111*'CP FACTORS'!$B$14,6)</f>
        <v>0</v>
      </c>
      <c r="BJ111" s="3853"/>
      <c r="BK111" s="3856">
        <f t="shared" si="74"/>
        <v>847.68</v>
      </c>
      <c r="BL111" s="3857">
        <f t="shared" si="75"/>
        <v>332</v>
      </c>
      <c r="BM111" s="3858">
        <f t="shared" si="76"/>
        <v>0.80310700000000002</v>
      </c>
      <c r="BN111" s="3855">
        <f t="shared" si="77"/>
        <v>0.31454300000000002</v>
      </c>
    </row>
    <row r="112" spans="1:66">
      <c r="A112" s="51" t="str">
        <f t="shared" si="78"/>
        <v>351170</v>
      </c>
      <c r="B112" s="1442" t="str">
        <f>'HVAC Deemed Table'!C129</f>
        <v>351170_2024_12_</v>
      </c>
      <c r="C112" s="1378" t="str">
        <f>'HVAC Deemed Table'!G129</f>
        <v>Cooling RES</v>
      </c>
      <c r="D112" s="1378" t="str">
        <f>'HVAC Deemed Table'!G130</f>
        <v>Cooling RES ER2</v>
      </c>
      <c r="E112" s="1378"/>
      <c r="F112" s="1378"/>
      <c r="G112" s="1378" t="str">
        <f>'HVAC Deemed Table'!E129</f>
        <v>CAC-SEER19_ER1_SF</v>
      </c>
      <c r="H112" s="19" t="str">
        <f>'HVAC Deemed Table'!D129</f>
        <v>PAYS/SFIE</v>
      </c>
      <c r="I112" s="785">
        <f t="shared" si="67"/>
        <v>3468.74</v>
      </c>
      <c r="J112" s="785">
        <f t="shared" si="68"/>
        <v>1002.03</v>
      </c>
      <c r="K112" s="202">
        <f>'HVAC Deemed Table'!F129</f>
        <v>3468.74</v>
      </c>
      <c r="L112" s="202">
        <v>0</v>
      </c>
      <c r="M112" s="202">
        <f>'HVAC Deemed Table'!F130</f>
        <v>1002.03</v>
      </c>
      <c r="N112" s="202">
        <v>0</v>
      </c>
      <c r="O112" s="786">
        <f t="shared" si="69"/>
        <v>3.2863470000000001</v>
      </c>
      <c r="P112" s="786">
        <f t="shared" si="70"/>
        <v>0.94934099999999999</v>
      </c>
      <c r="Q112" s="787">
        <f>'HVAC Deemed Table'!I129</f>
        <v>3.2863470000000001</v>
      </c>
      <c r="R112" s="787">
        <v>0</v>
      </c>
      <c r="S112" s="787">
        <f>'HVAC Deemed Table'!I130</f>
        <v>0.94934099999999999</v>
      </c>
      <c r="T112" s="787">
        <v>0</v>
      </c>
      <c r="U112" s="788">
        <f t="shared" si="71"/>
        <v>0</v>
      </c>
      <c r="V112" s="788">
        <f t="shared" si="72"/>
        <v>0</v>
      </c>
      <c r="W112" s="788">
        <f t="shared" si="73"/>
        <v>3.2863470000000001</v>
      </c>
      <c r="X112" s="23">
        <f>'HVAC Deemed Table'!J129</f>
        <v>6</v>
      </c>
      <c r="Y112" s="23">
        <f>'HVAC Deemed Table'!J130</f>
        <v>12</v>
      </c>
      <c r="Z112" s="23">
        <f t="shared" si="79"/>
        <v>18</v>
      </c>
      <c r="AA112" s="18">
        <f>'HVAC Deemed Table'!DG129</f>
        <v>4.7754558872000947</v>
      </c>
      <c r="AB112" s="807">
        <f>'HVAC Deemed Table'!K129</f>
        <v>994.85487938259848</v>
      </c>
      <c r="AC112" s="903">
        <f t="shared" si="80"/>
        <v>3454.3381291119672</v>
      </c>
      <c r="AD112" s="903">
        <f t="shared" si="65"/>
        <v>1296.5474615454029</v>
      </c>
      <c r="AE112" s="208">
        <f>'HVAC Deemed Table'!DI129</f>
        <v>3454.3381291119672</v>
      </c>
      <c r="AF112" s="208"/>
      <c r="AG112" s="208">
        <f>'HVAC Deemed Table'!DI130</f>
        <v>1296.5474615454029</v>
      </c>
      <c r="AH112" s="208"/>
      <c r="AI112" s="906" t="str">
        <f t="shared" si="83"/>
        <v>per measure</v>
      </c>
      <c r="AJ112" s="53">
        <f>'HVAC Deemed Table'!L129</f>
        <v>4.3031428571428565</v>
      </c>
      <c r="AK112" s="641"/>
      <c r="AL112" s="641"/>
      <c r="AX112" s="1355" t="str">
        <f t="shared" si="81"/>
        <v>CAC-SEER19_ER1_SF</v>
      </c>
      <c r="AY112" s="1378"/>
      <c r="AZ112" s="1446" t="str">
        <f t="shared" si="82"/>
        <v>351170</v>
      </c>
      <c r="BA112" s="906">
        <f>ROUND((K112*$BC$3)+(K113*$BC$4),2)</f>
        <v>2496.2199999999998</v>
      </c>
      <c r="BB112" s="1324"/>
      <c r="BC112" s="906">
        <f>ROUND((M112*$BC$3)+(K113*$BC$4),2)</f>
        <v>1016.19</v>
      </c>
      <c r="BD112" s="1324"/>
      <c r="BE112" s="1305"/>
      <c r="BF112" s="1321">
        <f>ROUND(BA112*'CP FACTORS'!$B$9,6)</f>
        <v>2.3649640000000001</v>
      </c>
      <c r="BG112" s="1322">
        <f>ROUND(BB112*'CP FACTORS'!$B$14,6)</f>
        <v>0</v>
      </c>
      <c r="BH112" s="1321">
        <f>ROUND(BC112*'CP FACTORS'!$B$9,6)</f>
        <v>0.96275699999999997</v>
      </c>
      <c r="BI112" s="1323">
        <f>ROUND(BD112*'CP FACTORS'!$B$14,6)</f>
        <v>0</v>
      </c>
      <c r="BJ112" s="1305"/>
      <c r="BK112" s="730">
        <f t="shared" si="74"/>
        <v>2496.2199999999998</v>
      </c>
      <c r="BL112" s="1342">
        <f t="shared" si="75"/>
        <v>1016.19</v>
      </c>
      <c r="BM112" s="1341">
        <f t="shared" si="76"/>
        <v>2.3649640000000001</v>
      </c>
      <c r="BN112" s="1340">
        <f t="shared" si="77"/>
        <v>0.96275699999999997</v>
      </c>
    </row>
    <row r="113" spans="1:66">
      <c r="A113" s="51" t="str">
        <f t="shared" si="78"/>
        <v>351171</v>
      </c>
      <c r="B113" s="1442" t="str">
        <f>'HVAC Deemed Table'!C131</f>
        <v>351171_2024_12_</v>
      </c>
      <c r="C113" s="1378" t="str">
        <f>'HVAC Deemed Table'!G131</f>
        <v>Cooling RES</v>
      </c>
      <c r="D113" s="1378"/>
      <c r="E113" s="1378"/>
      <c r="F113" s="1378"/>
      <c r="G113" s="1378" t="str">
        <f>'HVAC Deemed Table'!E131</f>
        <v>CAC-SEER19_ROF_SF</v>
      </c>
      <c r="H113" s="19" t="str">
        <f>'HVAC Deemed Table'!D131</f>
        <v>PAYS/SFIE</v>
      </c>
      <c r="I113" s="785">
        <f t="shared" si="67"/>
        <v>1037.44</v>
      </c>
      <c r="J113" s="785">
        <f t="shared" si="68"/>
        <v>0</v>
      </c>
      <c r="K113" s="202">
        <f>'HVAC Deemed Table'!F131</f>
        <v>1037.44</v>
      </c>
      <c r="L113" s="202">
        <v>0</v>
      </c>
      <c r="M113" s="202"/>
      <c r="N113" s="202">
        <v>0</v>
      </c>
      <c r="O113" s="786">
        <f t="shared" si="69"/>
        <v>0.98288900000000001</v>
      </c>
      <c r="P113" s="786">
        <f t="shared" si="70"/>
        <v>0</v>
      </c>
      <c r="Q113" s="787">
        <f>'HVAC Deemed Table'!I131</f>
        <v>0.98288900000000001</v>
      </c>
      <c r="R113" s="787">
        <v>0</v>
      </c>
      <c r="S113" s="787"/>
      <c r="T113" s="787">
        <v>0</v>
      </c>
      <c r="U113" s="788">
        <f t="shared" si="71"/>
        <v>0</v>
      </c>
      <c r="V113" s="788">
        <f t="shared" si="72"/>
        <v>0</v>
      </c>
      <c r="W113" s="788">
        <f t="shared" si="73"/>
        <v>0.98288900000000001</v>
      </c>
      <c r="X113" s="23">
        <f>'HVAC Deemed Table'!J131</f>
        <v>18</v>
      </c>
      <c r="Y113" s="23"/>
      <c r="Z113" s="23">
        <f t="shared" si="79"/>
        <v>18</v>
      </c>
      <c r="AA113" s="18">
        <f>'HVAC Deemed Table'!DG131</f>
        <v>2.5795157803288631</v>
      </c>
      <c r="AB113" s="807">
        <f>'HVAC Deemed Table'!K131</f>
        <v>920.90843768379273</v>
      </c>
      <c r="AC113" s="903">
        <f t="shared" si="80"/>
        <v>2375.4978472433427</v>
      </c>
      <c r="AD113" s="903">
        <f t="shared" si="65"/>
        <v>0</v>
      </c>
      <c r="AE113" s="208">
        <f>'HVAC Deemed Table'!DI131</f>
        <v>2375.4978472433427</v>
      </c>
      <c r="AF113" s="208"/>
      <c r="AG113" s="208"/>
      <c r="AH113" s="208"/>
      <c r="AI113" s="906" t="str">
        <f t="shared" si="83"/>
        <v>per measure</v>
      </c>
      <c r="AJ113" s="53">
        <f>'HVAC Deemed Table'!L131</f>
        <v>4.4285714285714288</v>
      </c>
      <c r="AK113" s="641"/>
      <c r="AL113" s="641"/>
      <c r="AX113" s="1355" t="str">
        <f t="shared" si="81"/>
        <v>CAC-SEER19_ROF_SF</v>
      </c>
      <c r="AY113" s="1378"/>
      <c r="AZ113" s="1446" t="str">
        <f t="shared" si="82"/>
        <v>351171</v>
      </c>
      <c r="BA113" s="906">
        <f>ROUND((K112*$BC$3)+(K113*$BC$4),2)</f>
        <v>2496.2199999999998</v>
      </c>
      <c r="BB113" s="1324"/>
      <c r="BC113" s="906">
        <f>ROUND((M112*$BC$3)+(K113*$BC$4),2)</f>
        <v>1016.19</v>
      </c>
      <c r="BD113" s="1324"/>
      <c r="BE113" s="1305"/>
      <c r="BF113" s="1321">
        <f>ROUND(BA113*'CP FACTORS'!$B$9,6)</f>
        <v>2.3649640000000001</v>
      </c>
      <c r="BG113" s="1322">
        <f>ROUND(BB113*'CP FACTORS'!$B$14,6)</f>
        <v>0</v>
      </c>
      <c r="BH113" s="1321">
        <f>ROUND(BC113*'CP FACTORS'!$B$9,6)</f>
        <v>0.96275699999999997</v>
      </c>
      <c r="BI113" s="1323">
        <f>ROUND(BD113*'CP FACTORS'!$B$14,6)</f>
        <v>0</v>
      </c>
      <c r="BJ113" s="1305"/>
      <c r="BK113" s="730">
        <f t="shared" si="74"/>
        <v>2496.2199999999998</v>
      </c>
      <c r="BL113" s="1342">
        <f t="shared" si="75"/>
        <v>1016.19</v>
      </c>
      <c r="BM113" s="1341">
        <f t="shared" si="76"/>
        <v>2.3649640000000001</v>
      </c>
      <c r="BN113" s="1340">
        <f t="shared" si="77"/>
        <v>0.96275699999999997</v>
      </c>
    </row>
    <row r="114" spans="1:66" s="696" customFormat="1">
      <c r="A114" s="2958" t="str">
        <f t="shared" si="78"/>
        <v>351172</v>
      </c>
      <c r="B114" s="2233" t="str">
        <f>'HVAC Deemed Table'!C132</f>
        <v>351172_2024_12_</v>
      </c>
      <c r="C114" s="2724" t="str">
        <f>'HVAC Deemed Table'!G132</f>
        <v>Cooling RES</v>
      </c>
      <c r="D114" s="2724" t="str">
        <f>'HVAC Deemed Table'!G133</f>
        <v>Cooling RES ER2</v>
      </c>
      <c r="E114" s="2724"/>
      <c r="F114" s="2724"/>
      <c r="G114" s="2724" t="str">
        <f>'HVAC Deemed Table'!E132</f>
        <v>CAC-SEER19_ER1_MF</v>
      </c>
      <c r="H114" s="2554" t="str">
        <f>'HVAC Deemed Table'!D132</f>
        <v>MF</v>
      </c>
      <c r="I114" s="3840">
        <f t="shared" si="67"/>
        <v>1403.23</v>
      </c>
      <c r="J114" s="3840">
        <f t="shared" si="68"/>
        <v>457.82</v>
      </c>
      <c r="K114" s="3251">
        <f>'HVAC Deemed Table'!F132</f>
        <v>1403.23</v>
      </c>
      <c r="L114" s="3251">
        <v>0</v>
      </c>
      <c r="M114" s="3251">
        <f>'HVAC Deemed Table'!F133</f>
        <v>457.82</v>
      </c>
      <c r="N114" s="3251">
        <v>0</v>
      </c>
      <c r="O114" s="3841">
        <f t="shared" si="69"/>
        <v>1.3294459999999999</v>
      </c>
      <c r="P114" s="3841">
        <f t="shared" si="70"/>
        <v>0.43374699999999999</v>
      </c>
      <c r="Q114" s="3842">
        <f>'HVAC Deemed Table'!I132</f>
        <v>1.3294459999999999</v>
      </c>
      <c r="R114" s="3842">
        <v>0</v>
      </c>
      <c r="S114" s="3842">
        <f>'HVAC Deemed Table'!I133</f>
        <v>0.43374699999999999</v>
      </c>
      <c r="T114" s="3842">
        <v>0</v>
      </c>
      <c r="U114" s="3843">
        <f t="shared" si="71"/>
        <v>0</v>
      </c>
      <c r="V114" s="3843">
        <f t="shared" si="72"/>
        <v>0</v>
      </c>
      <c r="W114" s="3843">
        <f t="shared" si="73"/>
        <v>1.3294459999999999</v>
      </c>
      <c r="X114" s="2846">
        <f>'HVAC Deemed Table'!J132</f>
        <v>6</v>
      </c>
      <c r="Y114" s="2846">
        <f>'HVAC Deemed Table'!J133</f>
        <v>12</v>
      </c>
      <c r="Z114" s="2846">
        <f t="shared" si="79"/>
        <v>18</v>
      </c>
      <c r="AA114" s="2529">
        <f>'HVAC Deemed Table'!DG132</f>
        <v>2.0000773867235453</v>
      </c>
      <c r="AB114" s="3844">
        <f>'HVAC Deemed Table'!K132</f>
        <v>994.85487938259848</v>
      </c>
      <c r="AC114" s="3845">
        <f t="shared" si="80"/>
        <v>1397.4039256080841</v>
      </c>
      <c r="AD114" s="3845">
        <f t="shared" si="65"/>
        <v>592.38282171663161</v>
      </c>
      <c r="AE114" s="3846">
        <f>'HVAC Deemed Table'!DI132</f>
        <v>1397.4039256080841</v>
      </c>
      <c r="AF114" s="3846"/>
      <c r="AG114" s="3846">
        <f>'HVAC Deemed Table'!DI133</f>
        <v>592.38282171663161</v>
      </c>
      <c r="AH114" s="3846"/>
      <c r="AI114" s="3847" t="str">
        <f t="shared" si="83"/>
        <v>per measure</v>
      </c>
      <c r="AJ114" s="3220">
        <f>'HVAC Deemed Table'!L132</f>
        <v>2</v>
      </c>
      <c r="AK114" s="3848"/>
      <c r="AL114" s="3848"/>
      <c r="AX114" s="3849" t="str">
        <f t="shared" si="81"/>
        <v>CAC-SEER19_ER1_MF</v>
      </c>
      <c r="AY114" s="2724"/>
      <c r="AZ114" s="3850" t="str">
        <f t="shared" si="82"/>
        <v>351172</v>
      </c>
      <c r="BA114" s="3851">
        <f>ROUND((K114*$BC$3)+(K116*$BC$4),2)</f>
        <v>1025.07</v>
      </c>
      <c r="BB114" s="3852"/>
      <c r="BC114" s="3851">
        <f>ROUND((M114*$BC$3)+(K116*$BC$4),2)</f>
        <v>457.82</v>
      </c>
      <c r="BD114" s="3852"/>
      <c r="BE114" s="3853"/>
      <c r="BF114" s="3854">
        <f>ROUND(BA114*'CP FACTORS'!$B$9,6)</f>
        <v>0.97116999999999998</v>
      </c>
      <c r="BG114" s="3854">
        <f>ROUND(BB114*'CP FACTORS'!$B$14,6)</f>
        <v>0</v>
      </c>
      <c r="BH114" s="3854">
        <f>ROUND(BC114*'CP FACTORS'!$B$9,6)</f>
        <v>0.43374699999999999</v>
      </c>
      <c r="BI114" s="3855">
        <f>ROUND(BD114*'CP FACTORS'!$B$14,6)</f>
        <v>0</v>
      </c>
      <c r="BJ114" s="3853"/>
      <c r="BK114" s="3856">
        <f t="shared" si="74"/>
        <v>1025.07</v>
      </c>
      <c r="BL114" s="3857">
        <f t="shared" si="75"/>
        <v>457.82</v>
      </c>
      <c r="BM114" s="3858">
        <f t="shared" si="76"/>
        <v>0.97116999999999998</v>
      </c>
      <c r="BN114" s="3855">
        <f t="shared" si="77"/>
        <v>0.43374699999999999</v>
      </c>
    </row>
    <row r="115" spans="1:66" s="696" customFormat="1">
      <c r="A115" s="2958" t="str">
        <f t="shared" si="78"/>
        <v>351173</v>
      </c>
      <c r="B115" s="2233" t="str">
        <f>'HVAC Deemed Table'!C134</f>
        <v>351173_2024_12_</v>
      </c>
      <c r="C115" s="2724" t="str">
        <f>'HVAC Deemed Table'!G134</f>
        <v>Cooling RES</v>
      </c>
      <c r="D115" s="2724" t="str">
        <f>'HVAC Deemed Table'!G135</f>
        <v>Cooling RES ER2</v>
      </c>
      <c r="E115" s="2724"/>
      <c r="F115" s="2724"/>
      <c r="G115" s="2724" t="str">
        <f>'HVAC Deemed Table'!E134</f>
        <v>CAC-SEER19_ER1_MF_CompE</v>
      </c>
      <c r="H115" s="2554" t="str">
        <f>'HVAC Deemed Table'!D134</f>
        <v>MFc</v>
      </c>
      <c r="I115" s="3840">
        <f t="shared" si="67"/>
        <v>1020.53</v>
      </c>
      <c r="J115" s="3840">
        <f t="shared" si="68"/>
        <v>332.96</v>
      </c>
      <c r="K115" s="3251">
        <f>'HVAC Deemed Table'!F134</f>
        <v>1020.53</v>
      </c>
      <c r="L115" s="3251">
        <v>0</v>
      </c>
      <c r="M115" s="3251">
        <f>'HVAC Deemed Table'!F135</f>
        <v>332.96</v>
      </c>
      <c r="N115" s="3251">
        <v>0</v>
      </c>
      <c r="O115" s="3841">
        <f t="shared" si="69"/>
        <v>0.96686899999999998</v>
      </c>
      <c r="P115" s="3841">
        <f t="shared" si="70"/>
        <v>0.31545200000000001</v>
      </c>
      <c r="Q115" s="3842">
        <f>'HVAC Deemed Table'!I134</f>
        <v>0.96686899999999998</v>
      </c>
      <c r="R115" s="3842">
        <v>0</v>
      </c>
      <c r="S115" s="3842">
        <f>'HVAC Deemed Table'!I135</f>
        <v>0.31545200000000001</v>
      </c>
      <c r="T115" s="3842">
        <v>0</v>
      </c>
      <c r="U115" s="3843">
        <f t="shared" si="71"/>
        <v>0</v>
      </c>
      <c r="V115" s="3843">
        <f t="shared" si="72"/>
        <v>0</v>
      </c>
      <c r="W115" s="3843">
        <f t="shared" si="73"/>
        <v>0.96686899999999998</v>
      </c>
      <c r="X115" s="2846">
        <f>'HVAC Deemed Table'!J134</f>
        <v>6</v>
      </c>
      <c r="Y115" s="2846">
        <f>'HVAC Deemed Table'!J135</f>
        <v>12</v>
      </c>
      <c r="Z115" s="2846">
        <f t="shared" si="79"/>
        <v>18</v>
      </c>
      <c r="AA115" s="2529">
        <f>'HVAC Deemed Table'!DG134</f>
        <v>1.4546008258004381</v>
      </c>
      <c r="AB115" s="3844">
        <f>'HVAC Deemed Table'!K134</f>
        <v>994.85487938259848</v>
      </c>
      <c r="AC115" s="3845">
        <f t="shared" si="80"/>
        <v>1016.2928587621545</v>
      </c>
      <c r="AD115" s="3845">
        <f t="shared" si="65"/>
        <v>430.82387033936845</v>
      </c>
      <c r="AE115" s="3846">
        <f>'HVAC Deemed Table'!DI134</f>
        <v>1016.2928587621545</v>
      </c>
      <c r="AF115" s="3846"/>
      <c r="AG115" s="3846">
        <f>'HVAC Deemed Table'!DI135</f>
        <v>430.82387033936845</v>
      </c>
      <c r="AH115" s="3846"/>
      <c r="AI115" s="3847" t="str">
        <f t="shared" si="83"/>
        <v>per measure</v>
      </c>
      <c r="AJ115" s="3220">
        <f>'HVAC Deemed Table'!L134</f>
        <v>2</v>
      </c>
      <c r="AK115" s="3848"/>
      <c r="AL115" s="3848"/>
      <c r="AX115" s="3849" t="str">
        <f t="shared" si="81"/>
        <v>CAC-SEER19_ER1_MF_CompE</v>
      </c>
      <c r="AY115" s="2724"/>
      <c r="AZ115" s="3850" t="str">
        <f t="shared" si="82"/>
        <v>351173</v>
      </c>
      <c r="BA115" s="3859">
        <f>ROUND((K115*$BC$3)+(K117*$BC$4),2)</f>
        <v>745.5</v>
      </c>
      <c r="BB115" s="3852"/>
      <c r="BC115" s="3859">
        <f>ROUND((M115*$BC$3)+(K117*$BC$4),2)</f>
        <v>332.96</v>
      </c>
      <c r="BD115" s="3852"/>
      <c r="BE115" s="3853"/>
      <c r="BF115" s="3854">
        <f>ROUND(BA115*'CP FACTORS'!$B$9,6)</f>
        <v>0.70630000000000004</v>
      </c>
      <c r="BG115" s="3854">
        <f>ROUND(BB115*'CP FACTORS'!$B$14,6)</f>
        <v>0</v>
      </c>
      <c r="BH115" s="3854">
        <f>ROUND(BC115*'CP FACTORS'!$B$9,6)</f>
        <v>0.31545200000000001</v>
      </c>
      <c r="BI115" s="3855">
        <f>ROUND(BD115*'CP FACTORS'!$B$14,6)</f>
        <v>0</v>
      </c>
      <c r="BJ115" s="3853"/>
      <c r="BK115" s="3856">
        <f t="shared" si="74"/>
        <v>745.5</v>
      </c>
      <c r="BL115" s="3857">
        <f t="shared" si="75"/>
        <v>332.96</v>
      </c>
      <c r="BM115" s="3858">
        <f t="shared" si="76"/>
        <v>0.70630000000000004</v>
      </c>
      <c r="BN115" s="3855">
        <f t="shared" si="77"/>
        <v>0.31545200000000001</v>
      </c>
    </row>
    <row r="116" spans="1:66" s="696" customFormat="1">
      <c r="A116" s="2958" t="str">
        <f t="shared" si="78"/>
        <v>351174</v>
      </c>
      <c r="B116" s="2233" t="str">
        <f>'HVAC Deemed Table'!C136</f>
        <v>351174_2024_12_</v>
      </c>
      <c r="C116" s="2724" t="str">
        <f>'HVAC Deemed Table'!G136</f>
        <v>Cooling RES</v>
      </c>
      <c r="D116" s="2724"/>
      <c r="E116" s="2724"/>
      <c r="F116" s="2724"/>
      <c r="G116" s="2724" t="str">
        <f>'HVAC Deemed Table'!E136</f>
        <v>CAC-SEER19_ROF_MF</v>
      </c>
      <c r="H116" s="2554" t="str">
        <f>'HVAC Deemed Table'!D136</f>
        <v>MF</v>
      </c>
      <c r="I116" s="3840">
        <f t="shared" si="67"/>
        <v>457.82</v>
      </c>
      <c r="J116" s="3840">
        <f t="shared" si="68"/>
        <v>0</v>
      </c>
      <c r="K116" s="3251">
        <f>'HVAC Deemed Table'!F136</f>
        <v>457.82</v>
      </c>
      <c r="L116" s="3251">
        <v>0</v>
      </c>
      <c r="M116" s="3251"/>
      <c r="N116" s="3251">
        <v>0</v>
      </c>
      <c r="O116" s="3841">
        <f t="shared" si="69"/>
        <v>0.43374699999999999</v>
      </c>
      <c r="P116" s="3841">
        <f t="shared" si="70"/>
        <v>0</v>
      </c>
      <c r="Q116" s="3842">
        <f>'HVAC Deemed Table'!I136</f>
        <v>0.43374699999999999</v>
      </c>
      <c r="R116" s="3842">
        <v>0</v>
      </c>
      <c r="S116" s="3842"/>
      <c r="T116" s="3842">
        <v>0</v>
      </c>
      <c r="U116" s="3843">
        <f t="shared" si="71"/>
        <v>0</v>
      </c>
      <c r="V116" s="3843">
        <f t="shared" si="72"/>
        <v>0</v>
      </c>
      <c r="W116" s="3843">
        <f t="shared" si="73"/>
        <v>0.43374699999999999</v>
      </c>
      <c r="X116" s="2846">
        <f>'HVAC Deemed Table'!J136</f>
        <v>18</v>
      </c>
      <c r="Y116" s="2846"/>
      <c r="Z116" s="2846">
        <f t="shared" si="79"/>
        <v>18</v>
      </c>
      <c r="AA116" s="2529">
        <f>'HVAC Deemed Table'!DG136</f>
        <v>1.138334664703655</v>
      </c>
      <c r="AB116" s="3844">
        <f>'HVAC Deemed Table'!K136</f>
        <v>920.90843768379273</v>
      </c>
      <c r="AC116" s="3845">
        <f t="shared" si="80"/>
        <v>1048.301997633547</v>
      </c>
      <c r="AD116" s="3845">
        <f t="shared" si="65"/>
        <v>0</v>
      </c>
      <c r="AE116" s="3846">
        <f>'HVAC Deemed Table'!DI136</f>
        <v>1048.301997633547</v>
      </c>
      <c r="AF116" s="3846"/>
      <c r="AG116" s="3846"/>
      <c r="AH116" s="3846"/>
      <c r="AI116" s="3847" t="str">
        <f t="shared" si="83"/>
        <v>per measure</v>
      </c>
      <c r="AJ116" s="3220">
        <f>'HVAC Deemed Table'!L136</f>
        <v>2</v>
      </c>
      <c r="AK116" s="3848"/>
      <c r="AL116" s="3848"/>
      <c r="AX116" s="3849" t="str">
        <f t="shared" si="81"/>
        <v>CAC-SEER19_ROF_MF</v>
      </c>
      <c r="AY116" s="2724"/>
      <c r="AZ116" s="3850" t="str">
        <f t="shared" si="82"/>
        <v>351174</v>
      </c>
      <c r="BA116" s="3851">
        <f>ROUND((K114*$BC$3)+(K116*$BC$4),2)</f>
        <v>1025.07</v>
      </c>
      <c r="BB116" s="3852"/>
      <c r="BC116" s="3851">
        <f>ROUND((M114*$BC$3)+(K116*$BC$4),2)</f>
        <v>457.82</v>
      </c>
      <c r="BD116" s="3852"/>
      <c r="BE116" s="3853"/>
      <c r="BF116" s="3854">
        <f>ROUND(BA116*'CP FACTORS'!$B$9,6)</f>
        <v>0.97116999999999998</v>
      </c>
      <c r="BG116" s="3854">
        <f>ROUND(BB116*'CP FACTORS'!$B$14,6)</f>
        <v>0</v>
      </c>
      <c r="BH116" s="3854">
        <f>ROUND(BC116*'CP FACTORS'!$B$9,6)</f>
        <v>0.43374699999999999</v>
      </c>
      <c r="BI116" s="3855">
        <f>ROUND(BD116*'CP FACTORS'!$B$14,6)</f>
        <v>0</v>
      </c>
      <c r="BJ116" s="3853"/>
      <c r="BK116" s="3856">
        <f t="shared" si="74"/>
        <v>1025.07</v>
      </c>
      <c r="BL116" s="3857">
        <f t="shared" si="75"/>
        <v>457.82</v>
      </c>
      <c r="BM116" s="3858">
        <f t="shared" si="76"/>
        <v>0.97116999999999998</v>
      </c>
      <c r="BN116" s="3855">
        <f t="shared" si="77"/>
        <v>0.43374699999999999</v>
      </c>
    </row>
    <row r="117" spans="1:66" s="696" customFormat="1">
      <c r="A117" s="2958" t="str">
        <f t="shared" si="78"/>
        <v>351175</v>
      </c>
      <c r="B117" s="2233" t="str">
        <f>'HVAC Deemed Table'!C137</f>
        <v>351175_2024_12_</v>
      </c>
      <c r="C117" s="2724" t="str">
        <f>'HVAC Deemed Table'!G137</f>
        <v>Cooling RES</v>
      </c>
      <c r="D117" s="2724"/>
      <c r="E117" s="2724"/>
      <c r="F117" s="2724"/>
      <c r="G117" s="2724" t="str">
        <f>'HVAC Deemed Table'!E137</f>
        <v>CAC-SEER19_ROF_MF_CompE</v>
      </c>
      <c r="H117" s="2554" t="str">
        <f>'HVAC Deemed Table'!D137</f>
        <v>MFc</v>
      </c>
      <c r="I117" s="3840">
        <f t="shared" si="67"/>
        <v>332.96</v>
      </c>
      <c r="J117" s="3840">
        <f t="shared" si="68"/>
        <v>0</v>
      </c>
      <c r="K117" s="3251">
        <f>'HVAC Deemed Table'!F137</f>
        <v>332.96</v>
      </c>
      <c r="L117" s="3251">
        <v>0</v>
      </c>
      <c r="M117" s="3251"/>
      <c r="N117" s="3251">
        <v>0</v>
      </c>
      <c r="O117" s="3841">
        <f t="shared" si="69"/>
        <v>0.31545200000000001</v>
      </c>
      <c r="P117" s="3841">
        <f t="shared" si="70"/>
        <v>0</v>
      </c>
      <c r="Q117" s="3842">
        <f>'HVAC Deemed Table'!I137</f>
        <v>0.31545200000000001</v>
      </c>
      <c r="R117" s="3842">
        <v>0</v>
      </c>
      <c r="S117" s="3842"/>
      <c r="T117" s="3842">
        <v>0</v>
      </c>
      <c r="U117" s="3843">
        <f t="shared" si="71"/>
        <v>0</v>
      </c>
      <c r="V117" s="3843">
        <f t="shared" si="72"/>
        <v>0</v>
      </c>
      <c r="W117" s="3843">
        <f t="shared" si="73"/>
        <v>0.31545200000000001</v>
      </c>
      <c r="X117" s="2846">
        <f>'HVAC Deemed Table'!J137</f>
        <v>18</v>
      </c>
      <c r="Y117" s="2846"/>
      <c r="Z117" s="2846">
        <f t="shared" si="79"/>
        <v>18</v>
      </c>
      <c r="AA117" s="2529">
        <f>'HVAC Deemed Table'!DG137</f>
        <v>0.82787975614811271</v>
      </c>
      <c r="AB117" s="3844">
        <f>'HVAC Deemed Table'!K137</f>
        <v>920.90843768379273</v>
      </c>
      <c r="AC117" s="3845">
        <f t="shared" si="80"/>
        <v>762.40145282439778</v>
      </c>
      <c r="AD117" s="3845">
        <f t="shared" si="65"/>
        <v>0</v>
      </c>
      <c r="AE117" s="3846">
        <f>'HVAC Deemed Table'!DI137</f>
        <v>762.40145282439778</v>
      </c>
      <c r="AF117" s="3846"/>
      <c r="AG117" s="3846"/>
      <c r="AH117" s="3846"/>
      <c r="AI117" s="3847" t="str">
        <f t="shared" si="83"/>
        <v>per measure</v>
      </c>
      <c r="AJ117" s="3220">
        <f>'HVAC Deemed Table'!L137</f>
        <v>2</v>
      </c>
      <c r="AK117" s="3848"/>
      <c r="AL117" s="3848"/>
      <c r="AX117" s="3849" t="str">
        <f t="shared" si="81"/>
        <v>CAC-SEER19_ROF_MF_CompE</v>
      </c>
      <c r="AY117" s="2724"/>
      <c r="AZ117" s="3850" t="str">
        <f t="shared" si="82"/>
        <v>351175</v>
      </c>
      <c r="BA117" s="3859">
        <f>ROUND((K115*$BC$3)+(K117*$BC$4),2)</f>
        <v>745.5</v>
      </c>
      <c r="BB117" s="3852"/>
      <c r="BC117" s="3859">
        <f>ROUND((M115*$BC$3)+(K117*$BC$4),2)</f>
        <v>332.96</v>
      </c>
      <c r="BD117" s="3852"/>
      <c r="BE117" s="3853"/>
      <c r="BF117" s="3854">
        <f>ROUND(BA117*'CP FACTORS'!$B$9,6)</f>
        <v>0.70630000000000004</v>
      </c>
      <c r="BG117" s="3854">
        <f>ROUND(BB117*'CP FACTORS'!$B$14,6)</f>
        <v>0</v>
      </c>
      <c r="BH117" s="3854">
        <f>ROUND(BC117*'CP FACTORS'!$B$9,6)</f>
        <v>0.31545200000000001</v>
      </c>
      <c r="BI117" s="3855">
        <f>ROUND(BD117*'CP FACTORS'!$B$14,6)</f>
        <v>0</v>
      </c>
      <c r="BJ117" s="3853"/>
      <c r="BK117" s="3856">
        <f t="shared" si="74"/>
        <v>745.5</v>
      </c>
      <c r="BL117" s="3857">
        <f t="shared" si="75"/>
        <v>332.96</v>
      </c>
      <c r="BM117" s="3858">
        <f t="shared" si="76"/>
        <v>0.70630000000000004</v>
      </c>
      <c r="BN117" s="3855">
        <f t="shared" si="77"/>
        <v>0.31545200000000001</v>
      </c>
    </row>
    <row r="118" spans="1:66">
      <c r="A118" s="51" t="str">
        <f t="shared" si="78"/>
        <v>351180</v>
      </c>
      <c r="B118" s="1442" t="str">
        <f>'HVAC Deemed Table'!C138</f>
        <v>351180_2024_12_</v>
      </c>
      <c r="C118" s="1378" t="str">
        <f>'HVAC Deemed Table'!G138</f>
        <v>Cooling RES</v>
      </c>
      <c r="D118" s="1378" t="str">
        <f>'HVAC Deemed Table'!G139</f>
        <v>Cooling RES ER2</v>
      </c>
      <c r="E118" s="1378"/>
      <c r="F118" s="1378"/>
      <c r="G118" s="1378" t="str">
        <f>'HVAC Deemed Table'!E138</f>
        <v>CAC-SEER20_ER1_SF</v>
      </c>
      <c r="H118" s="19" t="str">
        <f>'HVAC Deemed Table'!D138</f>
        <v>PAYS/SFIE</v>
      </c>
      <c r="I118" s="785">
        <f t="shared" si="67"/>
        <v>2828.06</v>
      </c>
      <c r="J118" s="785">
        <f t="shared" si="68"/>
        <v>935.32</v>
      </c>
      <c r="K118" s="202">
        <f>'HVAC Deemed Table'!F138</f>
        <v>2828.06</v>
      </c>
      <c r="L118" s="202">
        <v>0</v>
      </c>
      <c r="M118" s="202">
        <f>'HVAC Deemed Table'!F139</f>
        <v>935.32</v>
      </c>
      <c r="N118" s="202">
        <v>0</v>
      </c>
      <c r="O118" s="786">
        <f t="shared" si="69"/>
        <v>2.6793550000000002</v>
      </c>
      <c r="P118" s="786">
        <f t="shared" si="70"/>
        <v>0.88613900000000001</v>
      </c>
      <c r="Q118" s="787">
        <f>'HVAC Deemed Table'!I138</f>
        <v>2.6793550000000002</v>
      </c>
      <c r="R118" s="787">
        <v>0</v>
      </c>
      <c r="S118" s="787">
        <f>'HVAC Deemed Table'!I139</f>
        <v>0.88613900000000001</v>
      </c>
      <c r="T118" s="787">
        <v>0</v>
      </c>
      <c r="U118" s="788">
        <f t="shared" si="71"/>
        <v>0</v>
      </c>
      <c r="V118" s="788">
        <f t="shared" si="72"/>
        <v>0</v>
      </c>
      <c r="W118" s="788">
        <f t="shared" si="73"/>
        <v>2.6793550000000002</v>
      </c>
      <c r="X118" s="23">
        <f>'HVAC Deemed Table'!J138</f>
        <v>6</v>
      </c>
      <c r="Y118" s="23">
        <f>'HVAC Deemed Table'!J139</f>
        <v>12</v>
      </c>
      <c r="Z118" s="23">
        <f t="shared" si="79"/>
        <v>18</v>
      </c>
      <c r="AA118" s="18">
        <f>'HVAC Deemed Table'!DG138</f>
        <v>3.7273821117244457</v>
      </c>
      <c r="AB118" s="807">
        <f>'HVAC Deemed Table'!K138</f>
        <v>1080.2617102968206</v>
      </c>
      <c r="AC118" s="903">
        <f t="shared" si="80"/>
        <v>2816.3181701183685</v>
      </c>
      <c r="AD118" s="903">
        <f t="shared" si="65"/>
        <v>1210.230004822856</v>
      </c>
      <c r="AE118" s="208">
        <f>'HVAC Deemed Table'!DI138</f>
        <v>2816.3181701183685</v>
      </c>
      <c r="AF118" s="208"/>
      <c r="AG118" s="208">
        <f>'HVAC Deemed Table'!DI139</f>
        <v>1210.230004822856</v>
      </c>
      <c r="AH118" s="208"/>
      <c r="AI118" s="906" t="str">
        <f t="shared" si="83"/>
        <v>per measure</v>
      </c>
      <c r="AJ118" s="53">
        <f>'HVAC Deemed Table'!L138</f>
        <v>3.6090823970000003</v>
      </c>
      <c r="AK118" s="641"/>
      <c r="AL118" s="641"/>
      <c r="AX118" s="1355" t="str">
        <f t="shared" si="81"/>
        <v>CAC-SEER20_ER1_SF</v>
      </c>
      <c r="AY118" s="1378"/>
      <c r="AZ118" s="1446" t="str">
        <f t="shared" si="82"/>
        <v>351180</v>
      </c>
      <c r="BA118" s="906">
        <f>ROUND((K118*$BC$3)+(K119*$BC$4),2)</f>
        <v>2084.33</v>
      </c>
      <c r="BB118" s="1324"/>
      <c r="BC118" s="906">
        <f>ROUND((M118*$BC$3)+(K119*$BC$4),2)</f>
        <v>948.68</v>
      </c>
      <c r="BD118" s="1324"/>
      <c r="BE118" s="1305"/>
      <c r="BF118" s="1321">
        <f>ROUND(BA118*'CP FACTORS'!$B$9,6)</f>
        <v>1.9747319999999999</v>
      </c>
      <c r="BG118" s="1322">
        <f>ROUND(BB118*'CP FACTORS'!$B$14,6)</f>
        <v>0</v>
      </c>
      <c r="BH118" s="1321">
        <f>ROUND(BC118*'CP FACTORS'!$B$9,6)</f>
        <v>0.89879699999999996</v>
      </c>
      <c r="BI118" s="1323">
        <f>ROUND(BD118*'CP FACTORS'!$B$14,6)</f>
        <v>0</v>
      </c>
      <c r="BJ118" s="1305"/>
      <c r="BK118" s="730">
        <f t="shared" si="74"/>
        <v>2084.33</v>
      </c>
      <c r="BL118" s="1342">
        <f t="shared" si="75"/>
        <v>948.68</v>
      </c>
      <c r="BM118" s="1341">
        <f t="shared" si="76"/>
        <v>1.9747319999999999</v>
      </c>
      <c r="BN118" s="1340">
        <f t="shared" si="77"/>
        <v>0.89879699999999996</v>
      </c>
    </row>
    <row r="119" spans="1:66">
      <c r="A119" s="51" t="str">
        <f t="shared" si="78"/>
        <v>351181</v>
      </c>
      <c r="B119" s="1442" t="str">
        <f>'HVAC Deemed Table'!C140</f>
        <v>351181_2024_12_</v>
      </c>
      <c r="C119" s="1378" t="str">
        <f>'HVAC Deemed Table'!G140</f>
        <v>Cooling RES</v>
      </c>
      <c r="D119" s="1378"/>
      <c r="E119" s="1378"/>
      <c r="F119" s="1378"/>
      <c r="G119" s="1378" t="str">
        <f>'HVAC Deemed Table'!E140</f>
        <v>CAC-SEER20_ROF_SF</v>
      </c>
      <c r="H119" s="19" t="str">
        <f>'HVAC Deemed Table'!D140</f>
        <v>PAYS/SFIE</v>
      </c>
      <c r="I119" s="785">
        <f t="shared" si="67"/>
        <v>968.73</v>
      </c>
      <c r="J119" s="785">
        <f t="shared" si="68"/>
        <v>0</v>
      </c>
      <c r="K119" s="202">
        <f>'HVAC Deemed Table'!F140</f>
        <v>968.73</v>
      </c>
      <c r="L119" s="202">
        <v>0</v>
      </c>
      <c r="M119" s="202"/>
      <c r="N119" s="202">
        <v>0</v>
      </c>
      <c r="O119" s="786">
        <f t="shared" si="69"/>
        <v>0.91779200000000005</v>
      </c>
      <c r="P119" s="786">
        <f t="shared" si="70"/>
        <v>0</v>
      </c>
      <c r="Q119" s="787">
        <f>'HVAC Deemed Table'!I140</f>
        <v>0.91779200000000005</v>
      </c>
      <c r="R119" s="787">
        <v>0</v>
      </c>
      <c r="S119" s="787"/>
      <c r="T119" s="787">
        <v>0</v>
      </c>
      <c r="U119" s="788">
        <f t="shared" si="71"/>
        <v>0</v>
      </c>
      <c r="V119" s="788">
        <f t="shared" si="72"/>
        <v>0</v>
      </c>
      <c r="W119" s="788">
        <f t="shared" si="73"/>
        <v>0.91779200000000005</v>
      </c>
      <c r="X119" s="23">
        <f>'HVAC Deemed Table'!J140</f>
        <v>18</v>
      </c>
      <c r="Y119" s="23"/>
      <c r="Z119" s="23">
        <f t="shared" si="79"/>
        <v>18</v>
      </c>
      <c r="AA119" s="18">
        <f>'HVAC Deemed Table'!DG140</f>
        <v>2.2042474116877364</v>
      </c>
      <c r="AB119" s="807">
        <f>'HVAC Deemed Table'!K140</f>
        <v>1006.3152685980149</v>
      </c>
      <c r="AC119" s="903">
        <f t="shared" si="80"/>
        <v>2218.1678261490238</v>
      </c>
      <c r="AD119" s="903">
        <f t="shared" si="65"/>
        <v>0</v>
      </c>
      <c r="AE119" s="208">
        <f>'HVAC Deemed Table'!DI140</f>
        <v>2218.1678261490238</v>
      </c>
      <c r="AF119" s="208"/>
      <c r="AG119" s="208"/>
      <c r="AH119" s="208"/>
      <c r="AI119" s="906" t="str">
        <f t="shared" si="83"/>
        <v>per measure</v>
      </c>
      <c r="AJ119" s="53">
        <f>'HVAC Deemed Table'!L140</f>
        <v>3.7737500000000002</v>
      </c>
      <c r="AK119" s="641"/>
      <c r="AL119" s="641"/>
      <c r="AX119" s="1355" t="str">
        <f t="shared" si="81"/>
        <v>CAC-SEER20_ROF_SF</v>
      </c>
      <c r="AY119" s="1378"/>
      <c r="AZ119" s="1446" t="str">
        <f t="shared" si="82"/>
        <v>351181</v>
      </c>
      <c r="BA119" s="906">
        <f>ROUND((K118*$BC$3)+(K119*$BC$4),2)</f>
        <v>2084.33</v>
      </c>
      <c r="BB119" s="1324"/>
      <c r="BC119" s="906">
        <f>ROUND((M118*$BC$3)+(K119*$BC$4),2)</f>
        <v>948.68</v>
      </c>
      <c r="BD119" s="1324"/>
      <c r="BE119" s="1305"/>
      <c r="BF119" s="1321">
        <f>ROUND(BA119*'CP FACTORS'!$B$9,6)</f>
        <v>1.9747319999999999</v>
      </c>
      <c r="BG119" s="1322">
        <f>ROUND(BB119*'CP FACTORS'!$B$14,6)</f>
        <v>0</v>
      </c>
      <c r="BH119" s="1321">
        <f>ROUND(BC119*'CP FACTORS'!$B$9,6)</f>
        <v>0.89879699999999996</v>
      </c>
      <c r="BI119" s="1323">
        <f>ROUND(BD119*'CP FACTORS'!$B$14,6)</f>
        <v>0</v>
      </c>
      <c r="BJ119" s="1305"/>
      <c r="BK119" s="730">
        <f t="shared" si="74"/>
        <v>2084.33</v>
      </c>
      <c r="BL119" s="1342">
        <f t="shared" si="75"/>
        <v>948.68</v>
      </c>
      <c r="BM119" s="1341">
        <f t="shared" si="76"/>
        <v>1.9747319999999999</v>
      </c>
      <c r="BN119" s="1340">
        <f t="shared" si="77"/>
        <v>0.89879699999999996</v>
      </c>
    </row>
    <row r="120" spans="1:66" s="696" customFormat="1">
      <c r="A120" s="2958" t="str">
        <f t="shared" si="78"/>
        <v>351182</v>
      </c>
      <c r="B120" s="2233" t="str">
        <f>'HVAC Deemed Table'!C141</f>
        <v>351182_2024_12_</v>
      </c>
      <c r="C120" s="2724" t="str">
        <f>'HVAC Deemed Table'!G141</f>
        <v>Cooling RES</v>
      </c>
      <c r="D120" s="2724" t="str">
        <f>'HVAC Deemed Table'!G142</f>
        <v>Cooling RES ER2</v>
      </c>
      <c r="E120" s="2724"/>
      <c r="F120" s="2724"/>
      <c r="G120" s="2724" t="str">
        <f>'HVAC Deemed Table'!E141</f>
        <v>CAC-SEER20_ER1_MF</v>
      </c>
      <c r="H120" s="2554" t="str">
        <f>'HVAC Deemed Table'!D141</f>
        <v>MF</v>
      </c>
      <c r="I120" s="3840">
        <f t="shared" si="67"/>
        <v>1436.44</v>
      </c>
      <c r="J120" s="3840">
        <f t="shared" si="68"/>
        <v>512.59</v>
      </c>
      <c r="K120" s="3251">
        <f>'HVAC Deemed Table'!F141</f>
        <v>1436.44</v>
      </c>
      <c r="L120" s="3251">
        <v>0</v>
      </c>
      <c r="M120" s="3251">
        <f>'HVAC Deemed Table'!F142</f>
        <v>512.59</v>
      </c>
      <c r="N120" s="3251">
        <v>0</v>
      </c>
      <c r="O120" s="3841">
        <f t="shared" si="69"/>
        <v>1.3609089999999999</v>
      </c>
      <c r="P120" s="3841">
        <f t="shared" si="70"/>
        <v>0.48563699999999999</v>
      </c>
      <c r="Q120" s="3842">
        <f>'HVAC Deemed Table'!I141</f>
        <v>1.3609089999999999</v>
      </c>
      <c r="R120" s="3842">
        <v>0</v>
      </c>
      <c r="S120" s="3842">
        <f>'HVAC Deemed Table'!I142</f>
        <v>0.48563699999999999</v>
      </c>
      <c r="T120" s="3842">
        <v>0</v>
      </c>
      <c r="U120" s="3843">
        <f t="shared" si="71"/>
        <v>0</v>
      </c>
      <c r="V120" s="3843">
        <f t="shared" si="72"/>
        <v>0</v>
      </c>
      <c r="W120" s="3843">
        <f t="shared" si="73"/>
        <v>1.3609089999999999</v>
      </c>
      <c r="X120" s="2846">
        <f>'HVAC Deemed Table'!J141</f>
        <v>6</v>
      </c>
      <c r="Y120" s="2846">
        <f>'HVAC Deemed Table'!J142</f>
        <v>12</v>
      </c>
      <c r="Z120" s="2846">
        <f t="shared" si="79"/>
        <v>18</v>
      </c>
      <c r="AA120" s="2529">
        <f>'HVAC Deemed Table'!DG141</f>
        <v>1.9381663582285509</v>
      </c>
      <c r="AB120" s="3844">
        <f>'HVAC Deemed Table'!K141</f>
        <v>1080.2617102968206</v>
      </c>
      <c r="AC120" s="3845">
        <f t="shared" si="80"/>
        <v>1430.4760409202172</v>
      </c>
      <c r="AD120" s="3845">
        <f t="shared" si="65"/>
        <v>663.25086405951743</v>
      </c>
      <c r="AE120" s="3846">
        <f>'HVAC Deemed Table'!DI141</f>
        <v>1430.4760409202172</v>
      </c>
      <c r="AF120" s="3846"/>
      <c r="AG120" s="3846">
        <f>'HVAC Deemed Table'!DI142</f>
        <v>663.25086405951743</v>
      </c>
      <c r="AH120" s="3846"/>
      <c r="AI120" s="3847" t="str">
        <f t="shared" si="83"/>
        <v>per measure</v>
      </c>
      <c r="AJ120" s="3220">
        <f>'HVAC Deemed Table'!L141</f>
        <v>2</v>
      </c>
      <c r="AK120" s="3848"/>
      <c r="AL120" s="3848"/>
      <c r="AX120" s="3849" t="str">
        <f t="shared" si="81"/>
        <v>CAC-SEER20_ER1_MF</v>
      </c>
      <c r="AY120" s="2724"/>
      <c r="AZ120" s="3850" t="str">
        <f t="shared" si="82"/>
        <v>351182</v>
      </c>
      <c r="BA120" s="3851">
        <f>ROUND((K120*$BC$3)+(K122*$BC$4),2)</f>
        <v>1066.9000000000001</v>
      </c>
      <c r="BB120" s="3852"/>
      <c r="BC120" s="3851">
        <f>ROUND((M120*$BC$3)+(K122*$BC$4),2)</f>
        <v>512.59</v>
      </c>
      <c r="BD120" s="3852"/>
      <c r="BE120" s="3853"/>
      <c r="BF120" s="3854">
        <f>ROUND(BA120*'CP FACTORS'!$B$9,6)</f>
        <v>1.0107999999999999</v>
      </c>
      <c r="BG120" s="3854">
        <f>ROUND(BB120*'CP FACTORS'!$B$14,6)</f>
        <v>0</v>
      </c>
      <c r="BH120" s="3854">
        <f>ROUND(BC120*'CP FACTORS'!$B$9,6)</f>
        <v>0.48563699999999999</v>
      </c>
      <c r="BI120" s="3855">
        <f>ROUND(BD120*'CP FACTORS'!$B$14,6)</f>
        <v>0</v>
      </c>
      <c r="BJ120" s="3853"/>
      <c r="BK120" s="3856">
        <f t="shared" si="74"/>
        <v>1066.9000000000001</v>
      </c>
      <c r="BL120" s="3857">
        <f t="shared" si="75"/>
        <v>512.59</v>
      </c>
      <c r="BM120" s="3858">
        <f t="shared" si="76"/>
        <v>1.0107999999999999</v>
      </c>
      <c r="BN120" s="3855">
        <f t="shared" si="77"/>
        <v>0.48563699999999999</v>
      </c>
    </row>
    <row r="121" spans="1:66" s="696" customFormat="1">
      <c r="A121" s="2958" t="str">
        <f t="shared" si="78"/>
        <v>351183</v>
      </c>
      <c r="B121" s="2233" t="str">
        <f>'HVAC Deemed Table'!C143</f>
        <v>351183_2024_12_</v>
      </c>
      <c r="C121" s="2724" t="str">
        <f>'HVAC Deemed Table'!G143</f>
        <v>Cooling RES</v>
      </c>
      <c r="D121" s="2724" t="str">
        <f>'HVAC Deemed Table'!G144</f>
        <v>Cooling RES ER2</v>
      </c>
      <c r="E121" s="2724"/>
      <c r="F121" s="2724"/>
      <c r="G121" s="2724" t="str">
        <f>'HVAC Deemed Table'!E143</f>
        <v>CAC-SEER20_ER1_MF_CompE</v>
      </c>
      <c r="H121" s="2554" t="str">
        <f>'HVAC Deemed Table'!D143</f>
        <v>MFc</v>
      </c>
      <c r="I121" s="3840">
        <f t="shared" si="67"/>
        <v>1060.3599999999999</v>
      </c>
      <c r="J121" s="3840">
        <f t="shared" si="68"/>
        <v>372.79</v>
      </c>
      <c r="K121" s="3251">
        <f>'HVAC Deemed Table'!F143</f>
        <v>1060.3599999999999</v>
      </c>
      <c r="L121" s="3251">
        <v>0</v>
      </c>
      <c r="M121" s="3251">
        <f>'HVAC Deemed Table'!F144</f>
        <v>372.79</v>
      </c>
      <c r="N121" s="3251">
        <v>0</v>
      </c>
      <c r="O121" s="3841">
        <f t="shared" si="69"/>
        <v>1.0046040000000001</v>
      </c>
      <c r="P121" s="3841">
        <f t="shared" si="70"/>
        <v>0.353188</v>
      </c>
      <c r="Q121" s="3842">
        <f>'HVAC Deemed Table'!I143</f>
        <v>1.0046040000000001</v>
      </c>
      <c r="R121" s="3842">
        <v>0</v>
      </c>
      <c r="S121" s="3842">
        <f>'HVAC Deemed Table'!I144</f>
        <v>0.353188</v>
      </c>
      <c r="T121" s="3842">
        <v>0</v>
      </c>
      <c r="U121" s="3843">
        <f t="shared" si="71"/>
        <v>0</v>
      </c>
      <c r="V121" s="3843">
        <f t="shared" si="72"/>
        <v>0</v>
      </c>
      <c r="W121" s="3843">
        <f t="shared" si="73"/>
        <v>1.0046040000000001</v>
      </c>
      <c r="X121" s="2846">
        <f>'HVAC Deemed Table'!J143</f>
        <v>6</v>
      </c>
      <c r="Y121" s="2846">
        <f>'HVAC Deemed Table'!J144</f>
        <v>12</v>
      </c>
      <c r="Z121" s="2846">
        <f t="shared" si="79"/>
        <v>18</v>
      </c>
      <c r="AA121" s="2529">
        <f>'HVAC Deemed Table'!DG143</f>
        <v>1.4240236506684441</v>
      </c>
      <c r="AB121" s="3844">
        <f>'HVAC Deemed Table'!K143</f>
        <v>1080.2617102968206</v>
      </c>
      <c r="AC121" s="3845">
        <f t="shared" si="80"/>
        <v>1055.9574884785729</v>
      </c>
      <c r="AD121" s="3845">
        <f t="shared" si="65"/>
        <v>482.36073589564268</v>
      </c>
      <c r="AE121" s="3846">
        <f>'HVAC Deemed Table'!DI143</f>
        <v>1055.9574884785729</v>
      </c>
      <c r="AF121" s="3846"/>
      <c r="AG121" s="3846">
        <f>'HVAC Deemed Table'!DI144</f>
        <v>482.36073589564268</v>
      </c>
      <c r="AH121" s="3846"/>
      <c r="AI121" s="3847" t="str">
        <f t="shared" si="83"/>
        <v>per measure</v>
      </c>
      <c r="AJ121" s="3220">
        <f>'HVAC Deemed Table'!L143</f>
        <v>2</v>
      </c>
      <c r="AK121" s="3848"/>
      <c r="AL121" s="3848"/>
      <c r="AX121" s="3849" t="str">
        <f t="shared" si="81"/>
        <v>CAC-SEER20_ER1_MF_CompE</v>
      </c>
      <c r="AY121" s="2724"/>
      <c r="AZ121" s="3850" t="str">
        <f t="shared" si="82"/>
        <v>351183</v>
      </c>
      <c r="BA121" s="3859">
        <f>ROUND((K121*$BC$3)+(K123*$BC$4),2)</f>
        <v>785.33</v>
      </c>
      <c r="BB121" s="3852"/>
      <c r="BC121" s="3859">
        <f>ROUND((M121*$BC$3)+(K123*$BC$4),2)</f>
        <v>372.79</v>
      </c>
      <c r="BD121" s="3852"/>
      <c r="BE121" s="3853"/>
      <c r="BF121" s="3854">
        <f>ROUND(BA121*'CP FACTORS'!$B$9,6)</f>
        <v>0.74403600000000003</v>
      </c>
      <c r="BG121" s="3854">
        <f>ROUND(BB121*'CP FACTORS'!$B$14,6)</f>
        <v>0</v>
      </c>
      <c r="BH121" s="3854">
        <f>ROUND(BC121*'CP FACTORS'!$B$9,6)</f>
        <v>0.353188</v>
      </c>
      <c r="BI121" s="3855">
        <f>ROUND(BD121*'CP FACTORS'!$B$14,6)</f>
        <v>0</v>
      </c>
      <c r="BJ121" s="3853"/>
      <c r="BK121" s="3856">
        <f t="shared" si="74"/>
        <v>785.33</v>
      </c>
      <c r="BL121" s="3857">
        <f t="shared" si="75"/>
        <v>372.79</v>
      </c>
      <c r="BM121" s="3858">
        <f t="shared" si="76"/>
        <v>0.74403600000000003</v>
      </c>
      <c r="BN121" s="3855">
        <f t="shared" si="77"/>
        <v>0.353188</v>
      </c>
    </row>
    <row r="122" spans="1:66" s="696" customFormat="1">
      <c r="A122" s="2958" t="str">
        <f t="shared" si="78"/>
        <v>351184</v>
      </c>
      <c r="B122" s="2233" t="str">
        <f>'HVAC Deemed Table'!C145</f>
        <v>351184_2024_12_</v>
      </c>
      <c r="C122" s="2724" t="str">
        <f>'HVAC Deemed Table'!G145</f>
        <v>Cooling RES</v>
      </c>
      <c r="D122" s="2724"/>
      <c r="E122" s="2724"/>
      <c r="F122" s="2724"/>
      <c r="G122" s="2724" t="str">
        <f>'HVAC Deemed Table'!E145</f>
        <v>CAC-SEER20_ROF_MF</v>
      </c>
      <c r="H122" s="2554" t="str">
        <f>'HVAC Deemed Table'!D145</f>
        <v>MF</v>
      </c>
      <c r="I122" s="3840">
        <f t="shared" si="67"/>
        <v>512.59</v>
      </c>
      <c r="J122" s="3840">
        <f t="shared" si="68"/>
        <v>0</v>
      </c>
      <c r="K122" s="3251">
        <f>'HVAC Deemed Table'!F145</f>
        <v>512.59</v>
      </c>
      <c r="L122" s="3251">
        <v>0</v>
      </c>
      <c r="M122" s="3251"/>
      <c r="N122" s="3251">
        <v>0</v>
      </c>
      <c r="O122" s="3841">
        <f t="shared" si="69"/>
        <v>0.48563699999999999</v>
      </c>
      <c r="P122" s="3841">
        <f t="shared" si="70"/>
        <v>0</v>
      </c>
      <c r="Q122" s="3842">
        <f>'HVAC Deemed Table'!I145</f>
        <v>0.48563699999999999</v>
      </c>
      <c r="R122" s="3842">
        <v>0</v>
      </c>
      <c r="S122" s="3842"/>
      <c r="T122" s="3842">
        <v>0</v>
      </c>
      <c r="U122" s="3843">
        <f t="shared" si="71"/>
        <v>0</v>
      </c>
      <c r="V122" s="3843">
        <f t="shared" si="72"/>
        <v>0</v>
      </c>
      <c r="W122" s="3843">
        <f t="shared" si="73"/>
        <v>0.48563699999999999</v>
      </c>
      <c r="X122" s="2846">
        <f>'HVAC Deemed Table'!J145</f>
        <v>18</v>
      </c>
      <c r="Y122" s="2846"/>
      <c r="Z122" s="2846">
        <f t="shared" si="79"/>
        <v>18</v>
      </c>
      <c r="AA122" s="2529">
        <f>'HVAC Deemed Table'!DG145</f>
        <v>1.1663468466518192</v>
      </c>
      <c r="AB122" s="3844">
        <f>'HVAC Deemed Table'!K145</f>
        <v>1006.3152685980149</v>
      </c>
      <c r="AC122" s="3845">
        <f t="shared" si="80"/>
        <v>1173.7126402668732</v>
      </c>
      <c r="AD122" s="3845">
        <f t="shared" si="65"/>
        <v>0</v>
      </c>
      <c r="AE122" s="3846">
        <f>'HVAC Deemed Table'!DI145</f>
        <v>1173.7126402668732</v>
      </c>
      <c r="AF122" s="3846"/>
      <c r="AG122" s="3846"/>
      <c r="AH122" s="3846"/>
      <c r="AI122" s="3847" t="str">
        <f t="shared" si="83"/>
        <v>per measure</v>
      </c>
      <c r="AJ122" s="3220">
        <f>'HVAC Deemed Table'!L145</f>
        <v>2</v>
      </c>
      <c r="AK122" s="3848"/>
      <c r="AL122" s="3848"/>
      <c r="AX122" s="3849" t="str">
        <f t="shared" si="81"/>
        <v>CAC-SEER20_ROF_MF</v>
      </c>
      <c r="AY122" s="2724"/>
      <c r="AZ122" s="3850" t="str">
        <f t="shared" si="82"/>
        <v>351184</v>
      </c>
      <c r="BA122" s="3851">
        <f>ROUND((K120*$BC$3)+(K122*$BC$4),2)</f>
        <v>1066.9000000000001</v>
      </c>
      <c r="BB122" s="3852"/>
      <c r="BC122" s="3851">
        <f>ROUND((M120*$BC$3)+(K122*$BC$4),2)</f>
        <v>512.59</v>
      </c>
      <c r="BD122" s="3852"/>
      <c r="BE122" s="3853"/>
      <c r="BF122" s="3854">
        <f>ROUND(BA122*'CP FACTORS'!$B$9,6)</f>
        <v>1.0107999999999999</v>
      </c>
      <c r="BG122" s="3854">
        <f>ROUND(BB122*'CP FACTORS'!$B$14,6)</f>
        <v>0</v>
      </c>
      <c r="BH122" s="3854">
        <f>ROUND(BC122*'CP FACTORS'!$B$9,6)</f>
        <v>0.48563699999999999</v>
      </c>
      <c r="BI122" s="3855">
        <f>ROUND(BD122*'CP FACTORS'!$B$14,6)</f>
        <v>0</v>
      </c>
      <c r="BJ122" s="3853"/>
      <c r="BK122" s="3856">
        <f t="shared" si="74"/>
        <v>1066.9000000000001</v>
      </c>
      <c r="BL122" s="3857">
        <f t="shared" si="75"/>
        <v>512.59</v>
      </c>
      <c r="BM122" s="3858">
        <f t="shared" si="76"/>
        <v>1.0107999999999999</v>
      </c>
      <c r="BN122" s="3855">
        <f t="shared" si="77"/>
        <v>0.48563699999999999</v>
      </c>
    </row>
    <row r="123" spans="1:66" s="696" customFormat="1">
      <c r="A123" s="2958" t="str">
        <f t="shared" si="78"/>
        <v>351185</v>
      </c>
      <c r="B123" s="2233" t="str">
        <f>'HVAC Deemed Table'!C146</f>
        <v>351185_2024_12_</v>
      </c>
      <c r="C123" s="2724" t="str">
        <f>'HVAC Deemed Table'!G146</f>
        <v>Cooling RES</v>
      </c>
      <c r="D123" s="2724"/>
      <c r="E123" s="2724"/>
      <c r="F123" s="2724"/>
      <c r="G123" s="2724" t="str">
        <f>'HVAC Deemed Table'!E146</f>
        <v>CAC-SEER20_ROF_MF_CompE</v>
      </c>
      <c r="H123" s="2554" t="str">
        <f>'HVAC Deemed Table'!D146</f>
        <v>MFc</v>
      </c>
      <c r="I123" s="3840">
        <f t="shared" si="67"/>
        <v>372.79</v>
      </c>
      <c r="J123" s="3840">
        <f t="shared" si="68"/>
        <v>0</v>
      </c>
      <c r="K123" s="3251">
        <f>'HVAC Deemed Table'!F146</f>
        <v>372.79</v>
      </c>
      <c r="L123" s="3251">
        <v>0</v>
      </c>
      <c r="M123" s="3251"/>
      <c r="N123" s="3251">
        <v>0</v>
      </c>
      <c r="O123" s="3841">
        <f t="shared" si="69"/>
        <v>0.353188</v>
      </c>
      <c r="P123" s="3841">
        <f t="shared" si="70"/>
        <v>0</v>
      </c>
      <c r="Q123" s="3842">
        <f>'HVAC Deemed Table'!I146</f>
        <v>0.353188</v>
      </c>
      <c r="R123" s="3842">
        <v>0</v>
      </c>
      <c r="S123" s="3842"/>
      <c r="T123" s="3842">
        <v>0</v>
      </c>
      <c r="U123" s="3843">
        <f t="shared" si="71"/>
        <v>0</v>
      </c>
      <c r="V123" s="3843">
        <f t="shared" si="72"/>
        <v>0</v>
      </c>
      <c r="W123" s="3843">
        <f t="shared" si="73"/>
        <v>0.353188</v>
      </c>
      <c r="X123" s="2846">
        <f>'HVAC Deemed Table'!J146</f>
        <v>18</v>
      </c>
      <c r="Y123" s="2846"/>
      <c r="Z123" s="2846">
        <f t="shared" si="79"/>
        <v>18</v>
      </c>
      <c r="AA123" s="2529">
        <f>'HVAC Deemed Table'!DG146</f>
        <v>0.84824604647638802</v>
      </c>
      <c r="AB123" s="3844">
        <f>'HVAC Deemed Table'!K146</f>
        <v>1006.3152685980149</v>
      </c>
      <c r="AC123" s="3845">
        <f t="shared" si="80"/>
        <v>853.60294809709058</v>
      </c>
      <c r="AD123" s="3845">
        <f t="shared" si="65"/>
        <v>0</v>
      </c>
      <c r="AE123" s="3846">
        <f>'HVAC Deemed Table'!DI146</f>
        <v>853.60294809709058</v>
      </c>
      <c r="AF123" s="3846"/>
      <c r="AG123" s="3846"/>
      <c r="AH123" s="3846"/>
      <c r="AI123" s="3847" t="str">
        <f t="shared" si="83"/>
        <v>per measure</v>
      </c>
      <c r="AJ123" s="3220">
        <f>'HVAC Deemed Table'!L146</f>
        <v>2</v>
      </c>
      <c r="AK123" s="3848"/>
      <c r="AL123" s="3848"/>
      <c r="AX123" s="3849" t="str">
        <f t="shared" si="81"/>
        <v>CAC-SEER20_ROF_MF_CompE</v>
      </c>
      <c r="AY123" s="2724"/>
      <c r="AZ123" s="3850" t="str">
        <f t="shared" si="82"/>
        <v>351185</v>
      </c>
      <c r="BA123" s="3859">
        <f>ROUND((K121*$BC$3)+(K123*$BC$4),2)</f>
        <v>785.33</v>
      </c>
      <c r="BB123" s="3852"/>
      <c r="BC123" s="3859">
        <f>ROUND((M121*$BC$3)+(K123*$BC$4),2)</f>
        <v>372.79</v>
      </c>
      <c r="BD123" s="3852"/>
      <c r="BE123" s="3853"/>
      <c r="BF123" s="3854">
        <f>ROUND(BA123*'CP FACTORS'!$B$9,6)</f>
        <v>0.74403600000000003</v>
      </c>
      <c r="BG123" s="3854">
        <f>ROUND(BB123*'CP FACTORS'!$B$14,6)</f>
        <v>0</v>
      </c>
      <c r="BH123" s="3854">
        <f>ROUND(BC123*'CP FACTORS'!$B$9,6)</f>
        <v>0.353188</v>
      </c>
      <c r="BI123" s="3855">
        <f>ROUND(BD123*'CP FACTORS'!$B$14,6)</f>
        <v>0</v>
      </c>
      <c r="BJ123" s="3853"/>
      <c r="BK123" s="3856">
        <f t="shared" si="74"/>
        <v>785.33</v>
      </c>
      <c r="BL123" s="3857">
        <f t="shared" si="75"/>
        <v>372.79</v>
      </c>
      <c r="BM123" s="3858">
        <f t="shared" si="76"/>
        <v>0.74403600000000003</v>
      </c>
      <c r="BN123" s="3855">
        <f t="shared" si="77"/>
        <v>0.353188</v>
      </c>
    </row>
    <row r="124" spans="1:66">
      <c r="A124" s="51" t="str">
        <f t="shared" si="78"/>
        <v>351190</v>
      </c>
      <c r="B124" s="1442" t="str">
        <f>'HVAC Deemed Table'!C147</f>
        <v>351190_2024_12_</v>
      </c>
      <c r="C124" s="1378" t="str">
        <f>'HVAC Deemed Table'!G147</f>
        <v>Cooling RES</v>
      </c>
      <c r="D124" s="1378" t="str">
        <f>'HVAC Deemed Table'!G148</f>
        <v>Cooling RES ER2</v>
      </c>
      <c r="E124" s="1378"/>
      <c r="F124" s="1378"/>
      <c r="G124" s="1378" t="str">
        <f>'HVAC Deemed Table'!E147</f>
        <v>CAC-SEER21+_ER1_SF</v>
      </c>
      <c r="H124" s="19" t="str">
        <f>'HVAC Deemed Table'!D147</f>
        <v>PAYS/SFIE</v>
      </c>
      <c r="I124" s="785">
        <f t="shared" si="67"/>
        <v>2724.14</v>
      </c>
      <c r="J124" s="785">
        <f t="shared" si="68"/>
        <v>1010.53</v>
      </c>
      <c r="K124" s="202">
        <f>'HVAC Deemed Table'!F147</f>
        <v>2724.14</v>
      </c>
      <c r="L124" s="202">
        <v>0</v>
      </c>
      <c r="M124" s="202">
        <f>'HVAC Deemed Table'!F148</f>
        <v>1010.53</v>
      </c>
      <c r="N124" s="202">
        <v>0</v>
      </c>
      <c r="O124" s="786">
        <f t="shared" si="69"/>
        <v>2.5809000000000002</v>
      </c>
      <c r="P124" s="786">
        <f t="shared" si="70"/>
        <v>0.95739399999999997</v>
      </c>
      <c r="Q124" s="787">
        <f>'HVAC Deemed Table'!I147</f>
        <v>2.5809000000000002</v>
      </c>
      <c r="R124" s="787">
        <v>0</v>
      </c>
      <c r="S124" s="787">
        <f>'HVAC Deemed Table'!I148</f>
        <v>0.95739399999999997</v>
      </c>
      <c r="T124" s="787">
        <v>0</v>
      </c>
      <c r="U124" s="788">
        <f t="shared" si="71"/>
        <v>0</v>
      </c>
      <c r="V124" s="788">
        <f t="shared" si="72"/>
        <v>0</v>
      </c>
      <c r="W124" s="788">
        <f t="shared" si="73"/>
        <v>2.5809000000000002</v>
      </c>
      <c r="X124" s="23">
        <f>'HVAC Deemed Table'!J147</f>
        <v>6</v>
      </c>
      <c r="Y124" s="23">
        <f>'HVAC Deemed Table'!J148</f>
        <v>12</v>
      </c>
      <c r="Z124" s="23">
        <f t="shared" si="79"/>
        <v>18</v>
      </c>
      <c r="AA124" s="18">
        <f>'HVAC Deemed Table'!DG147</f>
        <v>3.3685067344796575</v>
      </c>
      <c r="AB124" s="807">
        <f>'HVAC Deemed Table'!K147</f>
        <v>1193.5185947700302</v>
      </c>
      <c r="AC124" s="903">
        <f t="shared" si="80"/>
        <v>2712.8296358444491</v>
      </c>
      <c r="AD124" s="903">
        <f t="shared" si="65"/>
        <v>1307.5457883650949</v>
      </c>
      <c r="AE124" s="208">
        <f>'HVAC Deemed Table'!DI147</f>
        <v>2712.8296358444491</v>
      </c>
      <c r="AF124" s="208"/>
      <c r="AG124" s="208">
        <f>'HVAC Deemed Table'!DI148</f>
        <v>1307.5457883650949</v>
      </c>
      <c r="AH124" s="208"/>
      <c r="AI124" s="906" t="str">
        <f t="shared" si="83"/>
        <v>per measure</v>
      </c>
      <c r="AJ124" s="53">
        <f>'HVAC Deemed Table'!L147</f>
        <v>3.297874149663266</v>
      </c>
      <c r="AK124" s="641"/>
      <c r="AL124" s="641"/>
      <c r="AX124" s="1355" t="str">
        <f t="shared" si="81"/>
        <v>CAC-SEER21+_ER1_SF</v>
      </c>
      <c r="AY124" s="1378"/>
      <c r="AZ124" s="1446" t="str">
        <f t="shared" si="82"/>
        <v>351190</v>
      </c>
      <c r="BA124" s="906">
        <f>ROUND((K124*$BC$3)+(K125*$BC$4),2)</f>
        <v>2061.5100000000002</v>
      </c>
      <c r="BB124" s="1324"/>
      <c r="BC124" s="906">
        <f>ROUND((M124*$BC$3)+(K125*$BC$4),2)</f>
        <v>1033.3499999999999</v>
      </c>
      <c r="BD124" s="1324"/>
      <c r="BE124" s="1305"/>
      <c r="BF124" s="1321">
        <f>ROUND(BA124*'CP FACTORS'!$B$9,6)</f>
        <v>1.953112</v>
      </c>
      <c r="BG124" s="1322">
        <f>ROUND(BB124*'CP FACTORS'!$B$14,6)</f>
        <v>0</v>
      </c>
      <c r="BH124" s="1321">
        <f>ROUND(BC124*'CP FACTORS'!$B$9,6)</f>
        <v>0.97901400000000005</v>
      </c>
      <c r="BI124" s="1323">
        <f>ROUND(BD124*'CP FACTORS'!$B$14,6)</f>
        <v>0</v>
      </c>
      <c r="BJ124" s="1305"/>
      <c r="BK124" s="730">
        <f t="shared" si="74"/>
        <v>2061.5100000000002</v>
      </c>
      <c r="BL124" s="1342">
        <f t="shared" si="75"/>
        <v>1033.3499999999999</v>
      </c>
      <c r="BM124" s="1341">
        <f t="shared" si="76"/>
        <v>1.953112</v>
      </c>
      <c r="BN124" s="1340">
        <f t="shared" si="77"/>
        <v>0.97901400000000005</v>
      </c>
    </row>
    <row r="125" spans="1:66">
      <c r="A125" s="51" t="str">
        <f t="shared" si="78"/>
        <v>351191</v>
      </c>
      <c r="B125" s="1442" t="str">
        <f>'HVAC Deemed Table'!C149</f>
        <v>351191_2024_12_</v>
      </c>
      <c r="C125" s="1378" t="str">
        <f>'HVAC Deemed Table'!G149</f>
        <v>Cooling RES</v>
      </c>
      <c r="D125" s="1378"/>
      <c r="E125" s="1378"/>
      <c r="F125" s="1378"/>
      <c r="G125" s="1378" t="str">
        <f>'HVAC Deemed Table'!E149</f>
        <v>CAC-SEER21+_ROF_SF</v>
      </c>
      <c r="H125" s="19" t="str">
        <f>'HVAC Deemed Table'!D149</f>
        <v>PAYS/SFIE</v>
      </c>
      <c r="I125" s="785">
        <f t="shared" si="67"/>
        <v>1067.57</v>
      </c>
      <c r="J125" s="785">
        <f t="shared" si="68"/>
        <v>0</v>
      </c>
      <c r="K125" s="202">
        <f>'HVAC Deemed Table'!F149</f>
        <v>1067.57</v>
      </c>
      <c r="L125" s="202">
        <v>0</v>
      </c>
      <c r="M125" s="202"/>
      <c r="N125" s="202">
        <v>0</v>
      </c>
      <c r="O125" s="786">
        <f t="shared" si="69"/>
        <v>1.0114350000000001</v>
      </c>
      <c r="P125" s="786">
        <f t="shared" si="70"/>
        <v>0</v>
      </c>
      <c r="Q125" s="787">
        <f>'HVAC Deemed Table'!I149</f>
        <v>1.0114350000000001</v>
      </c>
      <c r="R125" s="787">
        <v>0</v>
      </c>
      <c r="S125" s="787"/>
      <c r="T125" s="787">
        <v>0</v>
      </c>
      <c r="U125" s="788">
        <f t="shared" si="71"/>
        <v>0</v>
      </c>
      <c r="V125" s="788">
        <f t="shared" si="72"/>
        <v>0</v>
      </c>
      <c r="W125" s="788">
        <f t="shared" si="73"/>
        <v>1.0114350000000001</v>
      </c>
      <c r="X125" s="23">
        <f>'HVAC Deemed Table'!J149</f>
        <v>18</v>
      </c>
      <c r="Y125" s="23"/>
      <c r="Z125" s="23">
        <f t="shared" si="79"/>
        <v>18</v>
      </c>
      <c r="AA125" s="18">
        <f>'HVAC Deemed Table'!DG149</f>
        <v>1.9709553019910859</v>
      </c>
      <c r="AB125" s="807">
        <f>'HVAC Deemed Table'!K149</f>
        <v>1240.2557184934958</v>
      </c>
      <c r="AC125" s="903">
        <f t="shared" si="80"/>
        <v>2444.4885841895193</v>
      </c>
      <c r="AD125" s="903">
        <f t="shared" si="65"/>
        <v>0</v>
      </c>
      <c r="AE125" s="208">
        <f>'HVAC Deemed Table'!DI149</f>
        <v>2444.4885841895193</v>
      </c>
      <c r="AF125" s="208"/>
      <c r="AG125" s="208"/>
      <c r="AH125" s="208"/>
      <c r="AI125" s="906" t="str">
        <f t="shared" si="83"/>
        <v>per measure</v>
      </c>
      <c r="AJ125" s="53">
        <f>'HVAC Deemed Table'!L149</f>
        <v>3.376689189189189</v>
      </c>
      <c r="AK125" s="641"/>
      <c r="AL125" s="641"/>
      <c r="AX125" s="1355" t="str">
        <f t="shared" si="81"/>
        <v>CAC-SEER21+_ROF_SF</v>
      </c>
      <c r="AY125" s="1378"/>
      <c r="AZ125" s="1446" t="str">
        <f t="shared" si="82"/>
        <v>351191</v>
      </c>
      <c r="BA125" s="906">
        <f>ROUND((K124*$BC$3)+(K125*$BC$4),2)</f>
        <v>2061.5100000000002</v>
      </c>
      <c r="BB125" s="1324"/>
      <c r="BC125" s="906">
        <f>ROUND((M124*$BC$3)+(K125*$BC$4),2)</f>
        <v>1033.3499999999999</v>
      </c>
      <c r="BD125" s="1324"/>
      <c r="BE125" s="1305"/>
      <c r="BF125" s="1321">
        <f>ROUND(BA125*'CP FACTORS'!$B$9,6)</f>
        <v>1.953112</v>
      </c>
      <c r="BG125" s="1322">
        <f>ROUND(BB125*'CP FACTORS'!$B$14,6)</f>
        <v>0</v>
      </c>
      <c r="BH125" s="1321">
        <f>ROUND(BC125*'CP FACTORS'!$B$9,6)</f>
        <v>0.97901400000000005</v>
      </c>
      <c r="BI125" s="1323">
        <f>ROUND(BD125*'CP FACTORS'!$B$14,6)</f>
        <v>0</v>
      </c>
      <c r="BJ125" s="1305"/>
      <c r="BK125" s="730">
        <f t="shared" si="74"/>
        <v>2061.5100000000002</v>
      </c>
      <c r="BL125" s="1342">
        <f t="shared" si="75"/>
        <v>1033.3499999999999</v>
      </c>
      <c r="BM125" s="1341">
        <f t="shared" si="76"/>
        <v>1.953112</v>
      </c>
      <c r="BN125" s="1340">
        <f t="shared" si="77"/>
        <v>0.97901400000000005</v>
      </c>
    </row>
    <row r="126" spans="1:66" s="696" customFormat="1">
      <c r="A126" s="2958" t="str">
        <f t="shared" si="78"/>
        <v>351192</v>
      </c>
      <c r="B126" s="2233" t="str">
        <f>'HVAC Deemed Table'!C150</f>
        <v>351192_2024_12_</v>
      </c>
      <c r="C126" s="2724" t="str">
        <f>'HVAC Deemed Table'!G150</f>
        <v>Cooling RES</v>
      </c>
      <c r="D126" s="2724" t="str">
        <f>'HVAC Deemed Table'!G151</f>
        <v>Cooling RES ER2</v>
      </c>
      <c r="E126" s="2724"/>
      <c r="F126" s="2724"/>
      <c r="G126" s="2724" t="str">
        <f>'HVAC Deemed Table'!E150</f>
        <v>CAC-SEER21+_ER1_MF</v>
      </c>
      <c r="H126" s="2554" t="str">
        <f>'HVAC Deemed Table'!D150</f>
        <v>MF</v>
      </c>
      <c r="I126" s="3840">
        <f t="shared" si="67"/>
        <v>1507.56</v>
      </c>
      <c r="J126" s="3840">
        <f t="shared" si="68"/>
        <v>562.15</v>
      </c>
      <c r="K126" s="3251">
        <f>'HVAC Deemed Table'!F150</f>
        <v>1507.56</v>
      </c>
      <c r="L126" s="3251">
        <v>0</v>
      </c>
      <c r="M126" s="3251">
        <f>'HVAC Deemed Table'!F151</f>
        <v>562.15</v>
      </c>
      <c r="N126" s="3251">
        <v>0</v>
      </c>
      <c r="O126" s="3841">
        <f t="shared" si="69"/>
        <v>1.4282900000000001</v>
      </c>
      <c r="P126" s="3841">
        <f t="shared" si="70"/>
        <v>0.53259100000000004</v>
      </c>
      <c r="Q126" s="3842">
        <f>'HVAC Deemed Table'!I150</f>
        <v>1.4282900000000001</v>
      </c>
      <c r="R126" s="3842">
        <v>0</v>
      </c>
      <c r="S126" s="3842">
        <f>'HVAC Deemed Table'!I151</f>
        <v>0.53259100000000004</v>
      </c>
      <c r="T126" s="3842">
        <v>0</v>
      </c>
      <c r="U126" s="3843">
        <f t="shared" si="71"/>
        <v>0</v>
      </c>
      <c r="V126" s="3843">
        <f t="shared" si="72"/>
        <v>0</v>
      </c>
      <c r="W126" s="3843">
        <f t="shared" si="73"/>
        <v>1.4282900000000001</v>
      </c>
      <c r="X126" s="2846">
        <f>'HVAC Deemed Table'!J150</f>
        <v>6</v>
      </c>
      <c r="Y126" s="2846">
        <f>'HVAC Deemed Table'!J151</f>
        <v>12</v>
      </c>
      <c r="Z126" s="2846">
        <f t="shared" si="79"/>
        <v>18</v>
      </c>
      <c r="AA126" s="2529">
        <f>'HVAC Deemed Table'!DG150</f>
        <v>2.0630911152186182</v>
      </c>
      <c r="AB126" s="3844">
        <f>'HVAC Deemed Table'!K150</f>
        <v>1080.2617102968206</v>
      </c>
      <c r="AC126" s="3845">
        <f t="shared" si="80"/>
        <v>1501.3007576019065</v>
      </c>
      <c r="AD126" s="3845">
        <f t="shared" si="65"/>
        <v>727.37757902233295</v>
      </c>
      <c r="AE126" s="3846">
        <f>'HVAC Deemed Table'!DI150</f>
        <v>1501.3007576019065</v>
      </c>
      <c r="AF126" s="3846"/>
      <c r="AG126" s="3846">
        <f>'HVAC Deemed Table'!DI151</f>
        <v>727.37757902233295</v>
      </c>
      <c r="AH126" s="3846"/>
      <c r="AI126" s="3847" t="str">
        <f t="shared" si="83"/>
        <v>per measure</v>
      </c>
      <c r="AJ126" s="3220">
        <f>'HVAC Deemed Table'!L150</f>
        <v>2</v>
      </c>
      <c r="AK126" s="3848"/>
      <c r="AL126" s="3848"/>
      <c r="AX126" s="3849" t="str">
        <f t="shared" si="81"/>
        <v>CAC-SEER21+_ER1_MF</v>
      </c>
      <c r="AY126" s="2724"/>
      <c r="AZ126" s="3850" t="str">
        <f t="shared" si="82"/>
        <v>351192</v>
      </c>
      <c r="BA126" s="3851">
        <f>ROUND((K126*$BC$3)+(K128*$BC$4),2)</f>
        <v>1129.4000000000001</v>
      </c>
      <c r="BB126" s="3852"/>
      <c r="BC126" s="3851">
        <f>ROUND((M126*$BC$3)+(K128*$BC$4),2)</f>
        <v>562.15</v>
      </c>
      <c r="BD126" s="3852"/>
      <c r="BE126" s="3853"/>
      <c r="BF126" s="3854">
        <f>ROUND(BA126*'CP FACTORS'!$B$9,6)</f>
        <v>1.070014</v>
      </c>
      <c r="BG126" s="3854">
        <f>ROUND(BB126*'CP FACTORS'!$B$14,6)</f>
        <v>0</v>
      </c>
      <c r="BH126" s="3854">
        <f>ROUND(BC126*'CP FACTORS'!$B$9,6)</f>
        <v>0.53259100000000004</v>
      </c>
      <c r="BI126" s="3855">
        <f>ROUND(BD126*'CP FACTORS'!$B$14,6)</f>
        <v>0</v>
      </c>
      <c r="BJ126" s="3853"/>
      <c r="BK126" s="3856">
        <f t="shared" si="74"/>
        <v>1129.4000000000001</v>
      </c>
      <c r="BL126" s="3857">
        <f t="shared" si="75"/>
        <v>562.15</v>
      </c>
      <c r="BM126" s="3858">
        <f t="shared" si="76"/>
        <v>1.070014</v>
      </c>
      <c r="BN126" s="3855">
        <f t="shared" si="77"/>
        <v>0.53259100000000004</v>
      </c>
    </row>
    <row r="127" spans="1:66" s="696" customFormat="1">
      <c r="A127" s="2958" t="str">
        <f t="shared" si="78"/>
        <v>351193</v>
      </c>
      <c r="B127" s="2233" t="str">
        <f>'HVAC Deemed Table'!C152</f>
        <v>351193_2024_12_</v>
      </c>
      <c r="C127" s="2724" t="str">
        <f>'HVAC Deemed Table'!G152</f>
        <v>Cooling RES</v>
      </c>
      <c r="D127" s="2724" t="str">
        <f>'HVAC Deemed Table'!G153</f>
        <v>Cooling RES ER2</v>
      </c>
      <c r="E127" s="2724"/>
      <c r="F127" s="2724"/>
      <c r="G127" s="2724" t="str">
        <f>'HVAC Deemed Table'!E152</f>
        <v>CAC-SEER21+_ER1_MF_CompE</v>
      </c>
      <c r="H127" s="2554" t="str">
        <f>'HVAC Deemed Table'!D152</f>
        <v>MFc</v>
      </c>
      <c r="I127" s="3840">
        <f t="shared" si="67"/>
        <v>1096.4100000000001</v>
      </c>
      <c r="J127" s="3840">
        <f t="shared" si="68"/>
        <v>408.84</v>
      </c>
      <c r="K127" s="3251">
        <f>'HVAC Deemed Table'!F152</f>
        <v>1096.4100000000001</v>
      </c>
      <c r="L127" s="3251">
        <v>0</v>
      </c>
      <c r="M127" s="3251">
        <f>'HVAC Deemed Table'!F153</f>
        <v>408.84</v>
      </c>
      <c r="N127" s="3251">
        <v>0</v>
      </c>
      <c r="O127" s="3841">
        <f t="shared" si="69"/>
        <v>1.038759</v>
      </c>
      <c r="P127" s="3841">
        <f t="shared" si="70"/>
        <v>0.38734200000000002</v>
      </c>
      <c r="Q127" s="3842">
        <f>'HVAC Deemed Table'!I152</f>
        <v>1.038759</v>
      </c>
      <c r="R127" s="3842">
        <v>0</v>
      </c>
      <c r="S127" s="3842">
        <f>'HVAC Deemed Table'!I153</f>
        <v>0.38734200000000002</v>
      </c>
      <c r="T127" s="3842">
        <v>0</v>
      </c>
      <c r="U127" s="3843">
        <f t="shared" si="71"/>
        <v>0</v>
      </c>
      <c r="V127" s="3843">
        <f t="shared" si="72"/>
        <v>0</v>
      </c>
      <c r="W127" s="3843">
        <f t="shared" si="73"/>
        <v>1.038759</v>
      </c>
      <c r="X127" s="2846">
        <f>'HVAC Deemed Table'!J152</f>
        <v>6</v>
      </c>
      <c r="Y127" s="2846">
        <f>'HVAC Deemed Table'!J153</f>
        <v>12</v>
      </c>
      <c r="Z127" s="2846">
        <f t="shared" si="79"/>
        <v>18</v>
      </c>
      <c r="AA127" s="2529">
        <f>'HVAC Deemed Table'!DG152</f>
        <v>1.5004367717160927</v>
      </c>
      <c r="AB127" s="3844">
        <f>'HVAC Deemed Table'!K152</f>
        <v>1080.2617102968206</v>
      </c>
      <c r="AC127" s="3845">
        <f t="shared" si="80"/>
        <v>1091.8578123871066</v>
      </c>
      <c r="AD127" s="3845">
        <f t="shared" si="65"/>
        <v>529.00658081915969</v>
      </c>
      <c r="AE127" s="3846">
        <f>'HVAC Deemed Table'!DI152</f>
        <v>1091.8578123871066</v>
      </c>
      <c r="AF127" s="3846"/>
      <c r="AG127" s="3846">
        <f>'HVAC Deemed Table'!DI153</f>
        <v>529.00658081915969</v>
      </c>
      <c r="AH127" s="3846"/>
      <c r="AI127" s="3847" t="str">
        <f t="shared" si="83"/>
        <v>per measure</v>
      </c>
      <c r="AJ127" s="3220">
        <f>'HVAC Deemed Table'!L152</f>
        <v>2</v>
      </c>
      <c r="AK127" s="3848"/>
      <c r="AL127" s="3848"/>
      <c r="AX127" s="3849" t="str">
        <f t="shared" si="81"/>
        <v>CAC-SEER21+_ER1_MF_CompE</v>
      </c>
      <c r="AY127" s="2724"/>
      <c r="AZ127" s="3850" t="str">
        <f t="shared" si="82"/>
        <v>351193</v>
      </c>
      <c r="BA127" s="3859">
        <f>ROUND((K127*$BC$3)+(K129*$BC$4),2)</f>
        <v>821.38</v>
      </c>
      <c r="BB127" s="3852"/>
      <c r="BC127" s="3859">
        <f>ROUND((M127*$BC$3)+(K129*$BC$4),2)</f>
        <v>408.84</v>
      </c>
      <c r="BD127" s="3852"/>
      <c r="BE127" s="3853"/>
      <c r="BF127" s="3854">
        <f>ROUND(BA127*'CP FACTORS'!$B$9,6)</f>
        <v>0.77819000000000005</v>
      </c>
      <c r="BG127" s="3854">
        <f>ROUND(BB127*'CP FACTORS'!$B$14,6)</f>
        <v>0</v>
      </c>
      <c r="BH127" s="3854">
        <f>ROUND(BC127*'CP FACTORS'!$B$9,6)</f>
        <v>0.38734200000000002</v>
      </c>
      <c r="BI127" s="3855">
        <f>ROUND(BD127*'CP FACTORS'!$B$14,6)</f>
        <v>0</v>
      </c>
      <c r="BJ127" s="3853"/>
      <c r="BK127" s="3856">
        <f t="shared" si="74"/>
        <v>821.38</v>
      </c>
      <c r="BL127" s="3857">
        <f t="shared" si="75"/>
        <v>408.84</v>
      </c>
      <c r="BM127" s="3858">
        <f t="shared" si="76"/>
        <v>0.77819000000000005</v>
      </c>
      <c r="BN127" s="3855">
        <f t="shared" si="77"/>
        <v>0.38734200000000002</v>
      </c>
    </row>
    <row r="128" spans="1:66" s="696" customFormat="1">
      <c r="A128" s="2958" t="str">
        <f t="shared" si="78"/>
        <v>351194</v>
      </c>
      <c r="B128" s="2233" t="str">
        <f>'HVAC Deemed Table'!C154</f>
        <v>351194_2024_12_</v>
      </c>
      <c r="C128" s="2724" t="str">
        <f>'HVAC Deemed Table'!G154</f>
        <v>Cooling RES</v>
      </c>
      <c r="D128" s="2724"/>
      <c r="E128" s="2724"/>
      <c r="F128" s="2724"/>
      <c r="G128" s="2724" t="str">
        <f>'HVAC Deemed Table'!E154</f>
        <v>CAC-SEER21+_ROF_MF</v>
      </c>
      <c r="H128" s="2554" t="str">
        <f>'HVAC Deemed Table'!D154</f>
        <v>MF</v>
      </c>
      <c r="I128" s="3840">
        <f t="shared" si="67"/>
        <v>562.15</v>
      </c>
      <c r="J128" s="3840">
        <f t="shared" si="68"/>
        <v>0</v>
      </c>
      <c r="K128" s="3251">
        <f>'HVAC Deemed Table'!F154</f>
        <v>562.15</v>
      </c>
      <c r="L128" s="3251">
        <v>0</v>
      </c>
      <c r="M128" s="3251"/>
      <c r="N128" s="3251">
        <v>0</v>
      </c>
      <c r="O128" s="3841">
        <f t="shared" si="69"/>
        <v>0.53259100000000004</v>
      </c>
      <c r="P128" s="3841">
        <f t="shared" si="70"/>
        <v>0</v>
      </c>
      <c r="Q128" s="3842">
        <f>'HVAC Deemed Table'!I154</f>
        <v>0.53259100000000004</v>
      </c>
      <c r="R128" s="3842">
        <v>0</v>
      </c>
      <c r="S128" s="3842"/>
      <c r="T128" s="3842">
        <v>0</v>
      </c>
      <c r="U128" s="3843">
        <f t="shared" si="71"/>
        <v>0</v>
      </c>
      <c r="V128" s="3843">
        <f t="shared" si="72"/>
        <v>0</v>
      </c>
      <c r="W128" s="3843">
        <f t="shared" si="73"/>
        <v>0.53259100000000004</v>
      </c>
      <c r="X128" s="2846">
        <f>'HVAC Deemed Table'!J154</f>
        <v>18</v>
      </c>
      <c r="Y128" s="2846"/>
      <c r="Z128" s="2846">
        <f t="shared" si="79"/>
        <v>18</v>
      </c>
      <c r="AA128" s="2529">
        <f>'HVAC Deemed Table'!DG154</f>
        <v>1.2791156281732381</v>
      </c>
      <c r="AB128" s="3844">
        <f>'HVAC Deemed Table'!K154</f>
        <v>1006.3152685980149</v>
      </c>
      <c r="AC128" s="3845">
        <f t="shared" si="80"/>
        <v>1287.1935869330707</v>
      </c>
      <c r="AD128" s="3845">
        <f t="shared" si="65"/>
        <v>0</v>
      </c>
      <c r="AE128" s="3846">
        <f>'HVAC Deemed Table'!DI154</f>
        <v>1287.1935869330707</v>
      </c>
      <c r="AF128" s="3846"/>
      <c r="AG128" s="3846"/>
      <c r="AH128" s="3846"/>
      <c r="AI128" s="3847" t="str">
        <f t="shared" si="83"/>
        <v>per measure</v>
      </c>
      <c r="AJ128" s="3220">
        <f>'HVAC Deemed Table'!L154</f>
        <v>2</v>
      </c>
      <c r="AK128" s="3848"/>
      <c r="AL128" s="3848"/>
      <c r="AX128" s="3849" t="str">
        <f t="shared" si="81"/>
        <v>CAC-SEER21+_ROF_MF</v>
      </c>
      <c r="AY128" s="2724"/>
      <c r="AZ128" s="3850" t="str">
        <f t="shared" si="82"/>
        <v>351194</v>
      </c>
      <c r="BA128" s="3851">
        <f>ROUND((K126*$BC$3)+(K128*$BC$4),2)</f>
        <v>1129.4000000000001</v>
      </c>
      <c r="BB128" s="3852"/>
      <c r="BC128" s="3851">
        <f>ROUND((M126*$BC$3)+(K128*$BC$4),2)</f>
        <v>562.15</v>
      </c>
      <c r="BD128" s="3852"/>
      <c r="BE128" s="3853"/>
      <c r="BF128" s="3854">
        <f>ROUND(BA128*'CP FACTORS'!$B$9,6)</f>
        <v>1.070014</v>
      </c>
      <c r="BG128" s="3854">
        <f>ROUND(BB128*'CP FACTORS'!$B$14,6)</f>
        <v>0</v>
      </c>
      <c r="BH128" s="3854">
        <f>ROUND(BC128*'CP FACTORS'!$B$9,6)</f>
        <v>0.53259100000000004</v>
      </c>
      <c r="BI128" s="3855">
        <f>ROUND(BD128*'CP FACTORS'!$B$14,6)</f>
        <v>0</v>
      </c>
      <c r="BJ128" s="3853"/>
      <c r="BK128" s="3856">
        <f t="shared" si="74"/>
        <v>1129.4000000000001</v>
      </c>
      <c r="BL128" s="3857">
        <f t="shared" si="75"/>
        <v>562.15</v>
      </c>
      <c r="BM128" s="3858">
        <f t="shared" si="76"/>
        <v>1.070014</v>
      </c>
      <c r="BN128" s="3855">
        <f t="shared" si="77"/>
        <v>0.53259100000000004</v>
      </c>
    </row>
    <row r="129" spans="1:66" s="696" customFormat="1">
      <c r="A129" s="2958" t="str">
        <f t="shared" si="78"/>
        <v>351195</v>
      </c>
      <c r="B129" s="2233" t="str">
        <f>'HVAC Deemed Table'!C155</f>
        <v>351195_2024_12_</v>
      </c>
      <c r="C129" s="2724" t="str">
        <f>'HVAC Deemed Table'!G155</f>
        <v>Cooling RES</v>
      </c>
      <c r="D129" s="2724"/>
      <c r="E129" s="2724"/>
      <c r="F129" s="2724"/>
      <c r="G129" s="2724" t="str">
        <f>'HVAC Deemed Table'!E155</f>
        <v>CAC-SEER21+_ROF_MF_CompE</v>
      </c>
      <c r="H129" s="2554" t="str">
        <f>'HVAC Deemed Table'!D155</f>
        <v>MFc</v>
      </c>
      <c r="I129" s="3840">
        <f t="shared" si="67"/>
        <v>408.84</v>
      </c>
      <c r="J129" s="3840">
        <f t="shared" si="68"/>
        <v>0</v>
      </c>
      <c r="K129" s="3251">
        <f>'HVAC Deemed Table'!F155</f>
        <v>408.84</v>
      </c>
      <c r="L129" s="3251">
        <v>0</v>
      </c>
      <c r="M129" s="3251"/>
      <c r="N129" s="3251">
        <v>0</v>
      </c>
      <c r="O129" s="3841">
        <f t="shared" si="69"/>
        <v>0.38734200000000002</v>
      </c>
      <c r="P129" s="3841">
        <f t="shared" si="70"/>
        <v>0</v>
      </c>
      <c r="Q129" s="3842">
        <f>'HVAC Deemed Table'!I155</f>
        <v>0.38734200000000002</v>
      </c>
      <c r="R129" s="3842">
        <v>0</v>
      </c>
      <c r="S129" s="3842"/>
      <c r="T129" s="3842">
        <v>0</v>
      </c>
      <c r="U129" s="3843">
        <f t="shared" si="71"/>
        <v>0</v>
      </c>
      <c r="V129" s="3843">
        <f t="shared" si="72"/>
        <v>0</v>
      </c>
      <c r="W129" s="3843">
        <f t="shared" si="73"/>
        <v>0.38734200000000002</v>
      </c>
      <c r="X129" s="2846">
        <f>'HVAC Deemed Table'!J155</f>
        <v>18</v>
      </c>
      <c r="Y129" s="2846"/>
      <c r="Z129" s="2846">
        <f t="shared" si="79"/>
        <v>18</v>
      </c>
      <c r="AA129" s="2529">
        <f>'HVAC Deemed Table'!DG155</f>
        <v>0.93027418557742003</v>
      </c>
      <c r="AB129" s="3844">
        <f>'HVAC Deemed Table'!K155</f>
        <v>1006.3152685980149</v>
      </c>
      <c r="AC129" s="3845">
        <f t="shared" si="80"/>
        <v>936.14911692914097</v>
      </c>
      <c r="AD129" s="3845">
        <f t="shared" si="65"/>
        <v>0</v>
      </c>
      <c r="AE129" s="3846">
        <f>'HVAC Deemed Table'!DI155</f>
        <v>936.14911692914097</v>
      </c>
      <c r="AF129" s="3846"/>
      <c r="AG129" s="3846"/>
      <c r="AH129" s="3846"/>
      <c r="AI129" s="3847" t="str">
        <f t="shared" si="83"/>
        <v>per measure</v>
      </c>
      <c r="AJ129" s="3220">
        <f>'HVAC Deemed Table'!L155</f>
        <v>2</v>
      </c>
      <c r="AK129" s="3848"/>
      <c r="AL129" s="3848"/>
      <c r="AX129" s="3849" t="str">
        <f t="shared" si="81"/>
        <v>CAC-SEER21+_ROF_MF_CompE</v>
      </c>
      <c r="AY129" s="2724"/>
      <c r="AZ129" s="3850" t="str">
        <f t="shared" si="82"/>
        <v>351195</v>
      </c>
      <c r="BA129" s="3859">
        <f>ROUND((K127*$BC$3)+(K129*$BC$4),2)</f>
        <v>821.38</v>
      </c>
      <c r="BB129" s="3852"/>
      <c r="BC129" s="3859">
        <f>ROUND((M127*$BC$3)+(K129*$BC$4),2)</f>
        <v>408.84</v>
      </c>
      <c r="BD129" s="3852"/>
      <c r="BE129" s="3853"/>
      <c r="BF129" s="3854">
        <f>ROUND(BA129*'CP FACTORS'!$B$9,6)</f>
        <v>0.77819000000000005</v>
      </c>
      <c r="BG129" s="3854">
        <f>ROUND(BB129*'CP FACTORS'!$B$14,6)</f>
        <v>0</v>
      </c>
      <c r="BH129" s="3854">
        <f>ROUND(BC129*'CP FACTORS'!$B$9,6)</f>
        <v>0.38734200000000002</v>
      </c>
      <c r="BI129" s="3855">
        <f>ROUND(BD129*'CP FACTORS'!$B$14,6)</f>
        <v>0</v>
      </c>
      <c r="BJ129" s="3853"/>
      <c r="BK129" s="3856">
        <f t="shared" si="74"/>
        <v>821.38</v>
      </c>
      <c r="BL129" s="3857">
        <f t="shared" si="75"/>
        <v>408.84</v>
      </c>
      <c r="BM129" s="3858">
        <f t="shared" si="76"/>
        <v>0.77819000000000005</v>
      </c>
      <c r="BN129" s="3855">
        <f t="shared" si="77"/>
        <v>0.38734200000000002</v>
      </c>
    </row>
    <row r="130" spans="1:66">
      <c r="A130" s="51" t="str">
        <f t="shared" si="78"/>
        <v>351200</v>
      </c>
      <c r="B130" s="1442" t="str">
        <f>'HVAC Deemed Table'!C749</f>
        <v>351200_2024_12_</v>
      </c>
      <c r="C130" s="1378" t="str">
        <f>'HVAC Deemed Table'!G749</f>
        <v>Cooling RES</v>
      </c>
      <c r="D130" s="1378" t="str">
        <f>'HVAC Deemed Table'!G750</f>
        <v>Cooling RES ER2</v>
      </c>
      <c r="E130" s="1378"/>
      <c r="F130" s="1378"/>
      <c r="G130" s="1378" t="str">
        <f>'HVAC Deemed Table'!E749</f>
        <v>Mini/MultiSplitAC_ER1_SF</v>
      </c>
      <c r="H130" s="19" t="str">
        <f>'HVAC Deemed Table'!D749</f>
        <v>PAYS</v>
      </c>
      <c r="I130" s="785">
        <f t="shared" si="67"/>
        <v>1227.25</v>
      </c>
      <c r="J130" s="785">
        <f t="shared" si="68"/>
        <v>322.8</v>
      </c>
      <c r="K130" s="202">
        <f>'HVAC Deemed Table'!F749</f>
        <v>1227.25</v>
      </c>
      <c r="L130" s="202"/>
      <c r="M130" s="202">
        <f>'HVAC Deemed Table'!F750</f>
        <v>322.8</v>
      </c>
      <c r="N130" s="202">
        <v>0</v>
      </c>
      <c r="O130" s="786">
        <f t="shared" si="69"/>
        <v>1.1627190000000001</v>
      </c>
      <c r="P130" s="786">
        <f t="shared" si="70"/>
        <v>0.30582700000000002</v>
      </c>
      <c r="Q130" s="787">
        <f>'HVAC Deemed Table'!I749</f>
        <v>1.1627190000000001</v>
      </c>
      <c r="R130" s="787"/>
      <c r="S130" s="787">
        <f>'HVAC Deemed Table'!I750</f>
        <v>0.30582700000000002</v>
      </c>
      <c r="T130" s="787"/>
      <c r="U130" s="788">
        <f t="shared" si="71"/>
        <v>0</v>
      </c>
      <c r="V130" s="788">
        <f t="shared" si="72"/>
        <v>0</v>
      </c>
      <c r="W130" s="788">
        <f t="shared" si="73"/>
        <v>1.1627190000000001</v>
      </c>
      <c r="X130" s="23">
        <f>'HVAC Deemed Table'!J749</f>
        <v>6</v>
      </c>
      <c r="Y130" s="23">
        <f>'HVAC Deemed Table'!J750</f>
        <v>12</v>
      </c>
      <c r="Z130" s="23">
        <f t="shared" si="79"/>
        <v>18</v>
      </c>
      <c r="AA130" s="18">
        <f>'HVAC Deemed Table'!DG749</f>
        <v>2.397703376394094</v>
      </c>
      <c r="AB130" s="807">
        <f>'HVAC Deemed Table'!K749</f>
        <v>683.91788099116957</v>
      </c>
      <c r="AC130" s="903">
        <f t="shared" si="80"/>
        <v>1222.1545774409906</v>
      </c>
      <c r="AD130" s="903">
        <f t="shared" si="65"/>
        <v>417.6776349878308</v>
      </c>
      <c r="AE130" s="208">
        <f>'HVAC Deemed Table'!DI749</f>
        <v>1222.1545774409906</v>
      </c>
      <c r="AF130" s="208"/>
      <c r="AG130" s="208">
        <f>'HVAC Deemed Table'!DI750</f>
        <v>417.6776349878308</v>
      </c>
      <c r="AH130" s="208">
        <v>0</v>
      </c>
      <c r="AI130" s="906" t="str">
        <f t="shared" si="83"/>
        <v>per measure</v>
      </c>
      <c r="AJ130" s="53">
        <f>'HVAC Deemed Table'!L749</f>
        <v>1.75</v>
      </c>
      <c r="AK130" s="641"/>
      <c r="AL130" s="641"/>
      <c r="AX130" s="1355" t="str">
        <f t="shared" si="81"/>
        <v>Mini/MultiSplitAC_ER1_SF</v>
      </c>
      <c r="AY130" s="1378"/>
      <c r="AZ130" s="1446" t="str">
        <f t="shared" si="82"/>
        <v>351200</v>
      </c>
      <c r="BA130" s="906">
        <f>ROUND((K130*$BC$3)+(K131*$BC$4),2)</f>
        <v>832.46</v>
      </c>
      <c r="BB130" s="1324"/>
      <c r="BC130" s="906">
        <f>ROUND((M130*$BC$3)+(K131*$BC$4),2)</f>
        <v>289.79000000000002</v>
      </c>
      <c r="BD130" s="1324"/>
      <c r="BE130" s="1305"/>
      <c r="BF130" s="1321">
        <f>ROUND(BA130*'CP FACTORS'!$B$9,6)</f>
        <v>0.78868799999999994</v>
      </c>
      <c r="BG130" s="1322">
        <f>ROUND(BB130*'CP FACTORS'!$B$14,6)</f>
        <v>0</v>
      </c>
      <c r="BH130" s="1321">
        <f>ROUND(BC130*'CP FACTORS'!$B$9,6)</f>
        <v>0.27455200000000002</v>
      </c>
      <c r="BI130" s="1323">
        <f>ROUND(BD130*'CP FACTORS'!$B$14,6)</f>
        <v>0</v>
      </c>
      <c r="BJ130" s="1305"/>
      <c r="BK130" s="730">
        <f t="shared" si="74"/>
        <v>832.46</v>
      </c>
      <c r="BL130" s="1342">
        <f t="shared" si="75"/>
        <v>289.79000000000002</v>
      </c>
      <c r="BM130" s="1341">
        <f t="shared" si="76"/>
        <v>0.78868799999999994</v>
      </c>
      <c r="BN130" s="1340">
        <f t="shared" si="77"/>
        <v>0.27455200000000002</v>
      </c>
    </row>
    <row r="131" spans="1:66">
      <c r="A131" s="51" t="str">
        <f t="shared" si="78"/>
        <v>351250</v>
      </c>
      <c r="B131" s="1442" t="str">
        <f>'HVAC Deemed Table'!C751</f>
        <v>351250_2024_12_</v>
      </c>
      <c r="C131" s="1378" t="str">
        <f>'HVAC Deemed Table'!G751</f>
        <v>Cooling RES</v>
      </c>
      <c r="D131" s="1378"/>
      <c r="E131" s="1378"/>
      <c r="F131" s="1378"/>
      <c r="G131" s="1378" t="str">
        <f>'HVAC Deemed Table'!E751</f>
        <v>Mini/MultiSplitAC_ROF_SF</v>
      </c>
      <c r="H131" s="19" t="str">
        <f>'HVAC Deemed Table'!D751</f>
        <v>PAYS</v>
      </c>
      <c r="I131" s="785">
        <f t="shared" si="67"/>
        <v>240.28</v>
      </c>
      <c r="J131" s="785">
        <f t="shared" si="68"/>
        <v>0</v>
      </c>
      <c r="K131" s="202">
        <f>'HVAC Deemed Table'!F751</f>
        <v>240.28</v>
      </c>
      <c r="L131" s="202"/>
      <c r="M131" s="202"/>
      <c r="N131" s="202">
        <v>0</v>
      </c>
      <c r="O131" s="786">
        <f t="shared" si="69"/>
        <v>0.22764599999999999</v>
      </c>
      <c r="P131" s="786">
        <f t="shared" si="70"/>
        <v>0</v>
      </c>
      <c r="Q131" s="787">
        <f>'HVAC Deemed Table'!I751</f>
        <v>0.22764599999999999</v>
      </c>
      <c r="R131" s="787"/>
      <c r="S131" s="787"/>
      <c r="T131" s="787"/>
      <c r="U131" s="788">
        <f t="shared" si="71"/>
        <v>0</v>
      </c>
      <c r="V131" s="788">
        <f t="shared" si="72"/>
        <v>0</v>
      </c>
      <c r="W131" s="788">
        <f t="shared" si="73"/>
        <v>0.22764599999999999</v>
      </c>
      <c r="X131" s="23">
        <f>'HVAC Deemed Table'!J751</f>
        <v>18</v>
      </c>
      <c r="Y131" s="23"/>
      <c r="Z131" s="23">
        <f t="shared" si="79"/>
        <v>18</v>
      </c>
      <c r="AA131" s="18">
        <f>'HVAC Deemed Table'!DG751</f>
        <v>1.0119161965158152</v>
      </c>
      <c r="AB131" s="807">
        <f>'HVAC Deemed Table'!K751</f>
        <v>543.7067546700647</v>
      </c>
      <c r="AC131" s="903">
        <f t="shared" si="80"/>
        <v>550.18567120568935</v>
      </c>
      <c r="AD131" s="903">
        <f t="shared" si="65"/>
        <v>0</v>
      </c>
      <c r="AE131" s="208">
        <f>'HVAC Deemed Table'!DI751</f>
        <v>550.18567120568935</v>
      </c>
      <c r="AF131" s="208"/>
      <c r="AG131" s="208"/>
      <c r="AH131" s="208">
        <v>0</v>
      </c>
      <c r="AI131" s="906" t="str">
        <f t="shared" si="83"/>
        <v>per measure</v>
      </c>
      <c r="AJ131" s="53">
        <f>'HVAC Deemed Table'!L751</f>
        <v>1.0555555555555556</v>
      </c>
      <c r="AK131" s="641"/>
      <c r="AL131" s="641"/>
      <c r="AX131" s="1355" t="str">
        <f t="shared" si="81"/>
        <v>Mini/MultiSplitAC_ROF_SF</v>
      </c>
      <c r="AY131" s="1378"/>
      <c r="AZ131" s="1446" t="str">
        <f t="shared" si="82"/>
        <v>351250</v>
      </c>
      <c r="BA131" s="906">
        <f>ROUND((K130*$BC$3)+(K131*$BC$4),2)</f>
        <v>832.46</v>
      </c>
      <c r="BB131" s="1324"/>
      <c r="BC131" s="906">
        <f>ROUND((M130*$BC$3)+(K131*$BC$4),2)</f>
        <v>289.79000000000002</v>
      </c>
      <c r="BD131" s="1324"/>
      <c r="BE131" s="1305"/>
      <c r="BF131" s="1321">
        <f>ROUND(BA131*'CP FACTORS'!$B$9,6)</f>
        <v>0.78868799999999994</v>
      </c>
      <c r="BG131" s="1322">
        <f>ROUND(BB131*'CP FACTORS'!$B$14,6)</f>
        <v>0</v>
      </c>
      <c r="BH131" s="1321">
        <f>ROUND(BC131*'CP FACTORS'!$B$9,6)</f>
        <v>0.27455200000000002</v>
      </c>
      <c r="BI131" s="1323">
        <f>ROUND(BD131*'CP FACTORS'!$B$14,6)</f>
        <v>0</v>
      </c>
      <c r="BJ131" s="1305"/>
      <c r="BK131" s="730">
        <f t="shared" si="74"/>
        <v>832.46</v>
      </c>
      <c r="BL131" s="1342">
        <f t="shared" si="75"/>
        <v>289.79000000000002</v>
      </c>
      <c r="BM131" s="1341">
        <f t="shared" si="76"/>
        <v>0.78868799999999994</v>
      </c>
      <c r="BN131" s="1340">
        <f t="shared" si="77"/>
        <v>0.27455200000000002</v>
      </c>
    </row>
    <row r="132" spans="1:66">
      <c r="A132" s="51" t="str">
        <f t="shared" si="78"/>
        <v>351300</v>
      </c>
      <c r="B132" s="1442" t="str">
        <f>'HVAC Deemed Table'!C752</f>
        <v>351300_2024_12_</v>
      </c>
      <c r="C132" s="1378" t="str">
        <f>'HVAC Deemed Table'!G752</f>
        <v>Cooling RES</v>
      </c>
      <c r="D132" s="1378" t="str">
        <f>'HVAC Deemed Table'!G753</f>
        <v>Heating RES</v>
      </c>
      <c r="E132" s="1378"/>
      <c r="F132" s="1378"/>
      <c r="G132" s="1378" t="str">
        <f>'HVAC Deemed Table'!E752</f>
        <v>Mini/MultiSplitASHP_ROF_SF_NC</v>
      </c>
      <c r="H132" s="19" t="str">
        <f>'HVAC Deemed Table'!D752</f>
        <v>PAYS</v>
      </c>
      <c r="I132" s="785">
        <f t="shared" si="67"/>
        <v>1168.58</v>
      </c>
      <c r="J132" s="785">
        <f t="shared" si="68"/>
        <v>0</v>
      </c>
      <c r="K132" s="202">
        <f>'HVAC Deemed Table'!F752</f>
        <v>251.78</v>
      </c>
      <c r="L132" s="202">
        <f>'HVAC Deemed Table'!F753</f>
        <v>916.8</v>
      </c>
      <c r="M132" s="202">
        <v>0</v>
      </c>
      <c r="N132" s="202">
        <v>0</v>
      </c>
      <c r="O132" s="786">
        <f t="shared" si="69"/>
        <v>0.238541</v>
      </c>
      <c r="P132" s="786">
        <f t="shared" si="70"/>
        <v>0</v>
      </c>
      <c r="Q132" s="787">
        <f>'HVAC Deemed Table'!I752</f>
        <v>0.238541</v>
      </c>
      <c r="R132" s="787">
        <f>'HVAC Deemed Table'!I753</f>
        <v>0</v>
      </c>
      <c r="S132" s="787"/>
      <c r="T132" s="787"/>
      <c r="U132" s="788">
        <f t="shared" si="71"/>
        <v>0</v>
      </c>
      <c r="V132" s="788">
        <f t="shared" si="72"/>
        <v>0</v>
      </c>
      <c r="W132" s="788">
        <f t="shared" si="73"/>
        <v>0.238541</v>
      </c>
      <c r="X132" s="23">
        <f>'HVAC Deemed Table'!J752</f>
        <v>18</v>
      </c>
      <c r="Y132" s="23"/>
      <c r="Z132" s="23">
        <f t="shared" si="79"/>
        <v>18</v>
      </c>
      <c r="AA132" s="18">
        <f>'HVAC Deemed Table'!DG752</f>
        <v>2.0823125947678669</v>
      </c>
      <c r="AB132" s="807">
        <f>'HVAC Deemed Table'!K752</f>
        <v>543.7067546700647</v>
      </c>
      <c r="AC132" s="903">
        <f t="shared" si="80"/>
        <v>1132.1674231098384</v>
      </c>
      <c r="AD132" s="903">
        <f t="shared" si="65"/>
        <v>0</v>
      </c>
      <c r="AE132" s="208">
        <f>'HVAC Deemed Table'!DI752</f>
        <v>576.5180135515584</v>
      </c>
      <c r="AF132" s="208">
        <f>'HVAC Deemed Table'!DI753</f>
        <v>555.64940955828001</v>
      </c>
      <c r="AG132" s="208">
        <v>0</v>
      </c>
      <c r="AH132" s="208">
        <v>0</v>
      </c>
      <c r="AI132" s="906" t="str">
        <f t="shared" si="83"/>
        <v>per measure</v>
      </c>
      <c r="AJ132" s="53">
        <f>'HVAC Deemed Table'!L752</f>
        <v>1.3282828282828283</v>
      </c>
      <c r="AK132" s="641"/>
      <c r="AL132" s="641"/>
      <c r="AX132" s="1355" t="str">
        <f t="shared" si="81"/>
        <v>Mini/MultiSplitASHP_ROF_SF_NC</v>
      </c>
      <c r="AY132" s="1378"/>
      <c r="AZ132" s="1446" t="str">
        <f t="shared" si="82"/>
        <v>351300</v>
      </c>
      <c r="BA132" s="1327">
        <f>BA133</f>
        <v>795.42</v>
      </c>
      <c r="BB132" s="1327">
        <f>BB133</f>
        <v>1240.51</v>
      </c>
      <c r="BC132" s="1327">
        <f>BC133</f>
        <v>583.36</v>
      </c>
      <c r="BD132" s="1327">
        <f>BD133</f>
        <v>980.18</v>
      </c>
      <c r="BE132" s="1305"/>
      <c r="BF132" s="1321">
        <f>ROUND(BA132*'CP FACTORS'!$B$9,6)</f>
        <v>0.75359500000000001</v>
      </c>
      <c r="BG132" s="1322">
        <f>ROUND(BB132*'CP FACTORS'!$B$14,6)</f>
        <v>0</v>
      </c>
      <c r="BH132" s="1321">
        <f>ROUND(BC132*'CP FACTORS'!$B$9,6)</f>
        <v>0.55268600000000001</v>
      </c>
      <c r="BI132" s="1323">
        <f>ROUND(BD132*'CP FACTORS'!$B$14,6)</f>
        <v>0</v>
      </c>
      <c r="BJ132" s="1305"/>
      <c r="BK132" s="730">
        <f t="shared" si="74"/>
        <v>2035.9299999999998</v>
      </c>
      <c r="BL132" s="1342">
        <f t="shared" si="75"/>
        <v>1563.54</v>
      </c>
      <c r="BM132" s="1341">
        <f t="shared" si="76"/>
        <v>0.75359500000000001</v>
      </c>
      <c r="BN132" s="1340">
        <f t="shared" si="77"/>
        <v>0.55268600000000001</v>
      </c>
    </row>
    <row r="133" spans="1:66">
      <c r="A133" s="51" t="str">
        <f t="shared" si="78"/>
        <v>351350</v>
      </c>
      <c r="B133" s="1442" t="str">
        <f>'HVAC Deemed Table'!C754</f>
        <v>351350_2024_12_</v>
      </c>
      <c r="C133" s="1378" t="str">
        <f>'HVAC Deemed Table'!G754</f>
        <v>Cooling RES</v>
      </c>
      <c r="D133" s="1378" t="str">
        <f>'HVAC Deemed Table'!G755</f>
        <v>Heating RES</v>
      </c>
      <c r="E133" s="1378"/>
      <c r="F133" s="1378"/>
      <c r="G133" s="1378" t="str">
        <f>'HVAC Deemed Table'!E754</f>
        <v>Mini/MultiSplitASHP_ROF_SF</v>
      </c>
      <c r="H133" s="19" t="str">
        <f>'HVAC Deemed Table'!D754</f>
        <v>PAYS</v>
      </c>
      <c r="I133" s="785">
        <f t="shared" si="67"/>
        <v>1168.58</v>
      </c>
      <c r="J133" s="785">
        <f t="shared" si="68"/>
        <v>0</v>
      </c>
      <c r="K133" s="202">
        <f>'HVAC Deemed Table'!F754</f>
        <v>251.78</v>
      </c>
      <c r="L133" s="202">
        <f>'HVAC Deemed Table'!F755</f>
        <v>916.8</v>
      </c>
      <c r="M133" s="202">
        <v>0</v>
      </c>
      <c r="N133" s="202">
        <v>0</v>
      </c>
      <c r="O133" s="786">
        <f t="shared" si="69"/>
        <v>0.238541</v>
      </c>
      <c r="P133" s="786">
        <f t="shared" si="70"/>
        <v>0</v>
      </c>
      <c r="Q133" s="787">
        <f>'HVAC Deemed Table'!I754</f>
        <v>0.238541</v>
      </c>
      <c r="R133" s="787">
        <f>'HVAC Deemed Table'!I755</f>
        <v>0</v>
      </c>
      <c r="S133" s="787"/>
      <c r="T133" s="787"/>
      <c r="U133" s="788">
        <f t="shared" si="71"/>
        <v>0</v>
      </c>
      <c r="V133" s="788">
        <f t="shared" si="72"/>
        <v>0</v>
      </c>
      <c r="W133" s="788">
        <f t="shared" si="73"/>
        <v>0.238541</v>
      </c>
      <c r="X133" s="23">
        <f>'HVAC Deemed Table'!J754</f>
        <v>18</v>
      </c>
      <c r="Y133" s="23"/>
      <c r="Z133" s="23">
        <f t="shared" si="79"/>
        <v>18</v>
      </c>
      <c r="AA133" s="18">
        <f>'HVAC Deemed Table'!DG754</f>
        <v>2.0823125947678669</v>
      </c>
      <c r="AB133" s="807">
        <f>'HVAC Deemed Table'!K754</f>
        <v>543.7067546700647</v>
      </c>
      <c r="AC133" s="903">
        <f t="shared" si="80"/>
        <v>1132.1674231098384</v>
      </c>
      <c r="AD133" s="903">
        <f t="shared" si="65"/>
        <v>0</v>
      </c>
      <c r="AE133" s="208">
        <f>'HVAC Deemed Table'!DI754</f>
        <v>576.5180135515584</v>
      </c>
      <c r="AF133" s="208">
        <f>'HVAC Deemed Table'!DI755</f>
        <v>555.64940955828001</v>
      </c>
      <c r="AG133" s="208">
        <v>0</v>
      </c>
      <c r="AH133" s="208">
        <v>0</v>
      </c>
      <c r="AI133" s="906" t="str">
        <f t="shared" si="83"/>
        <v>per measure</v>
      </c>
      <c r="AJ133" s="53">
        <f>'HVAC Deemed Table'!L754</f>
        <v>1.3282828282828283</v>
      </c>
      <c r="AK133" s="641"/>
      <c r="AL133" s="641"/>
      <c r="AX133" s="1355" t="str">
        <f t="shared" si="81"/>
        <v>Mini/MultiSplitASHP_ROF_SF</v>
      </c>
      <c r="AY133" s="1378"/>
      <c r="AZ133" s="1446" t="str">
        <f t="shared" si="82"/>
        <v>351350</v>
      </c>
      <c r="BA133" s="730">
        <f>BA138</f>
        <v>795.42</v>
      </c>
      <c r="BB133" s="730">
        <f>BB138</f>
        <v>1240.51</v>
      </c>
      <c r="BC133" s="730">
        <f>BC138</f>
        <v>583.36</v>
      </c>
      <c r="BD133" s="730">
        <f>BD138</f>
        <v>980.18</v>
      </c>
      <c r="BE133" s="1305"/>
      <c r="BF133" s="1321">
        <f>ROUND(BA133*'CP FACTORS'!$B$9,6)</f>
        <v>0.75359500000000001</v>
      </c>
      <c r="BG133" s="1322">
        <f>ROUND(BB133*'CP FACTORS'!$B$14,6)</f>
        <v>0</v>
      </c>
      <c r="BH133" s="1321">
        <f>ROUND(BC133*'CP FACTORS'!$B$9,6)</f>
        <v>0.55268600000000001</v>
      </c>
      <c r="BI133" s="1323">
        <f>ROUND(BD133*'CP FACTORS'!$B$14,6)</f>
        <v>0</v>
      </c>
      <c r="BJ133" s="1305"/>
      <c r="BK133" s="730">
        <f t="shared" si="74"/>
        <v>2035.9299999999998</v>
      </c>
      <c r="BL133" s="1342">
        <f t="shared" si="75"/>
        <v>1563.54</v>
      </c>
      <c r="BM133" s="1341">
        <f t="shared" si="76"/>
        <v>0.75359500000000001</v>
      </c>
      <c r="BN133" s="1340">
        <f t="shared" si="77"/>
        <v>0.55268600000000001</v>
      </c>
    </row>
    <row r="134" spans="1:66">
      <c r="A134" s="51" t="str">
        <f t="shared" si="78"/>
        <v>351400</v>
      </c>
      <c r="B134" s="1442" t="str">
        <f>'HVAC Deemed Table'!C756</f>
        <v>351400_2024_12_</v>
      </c>
      <c r="C134" s="1378" t="str">
        <f>'HVAC Deemed Table'!G756</f>
        <v>Cooling RES</v>
      </c>
      <c r="D134" s="1378" t="str">
        <f>'HVAC Deemed Table'!G757</f>
        <v>Heating RES</v>
      </c>
      <c r="E134" s="1378" t="str">
        <f>'HVAC Deemed Table'!G758</f>
        <v>Cooling RES ER2</v>
      </c>
      <c r="F134" s="1378" t="str">
        <f>'HVAC Deemed Table'!G759</f>
        <v>Heating RES ER2</v>
      </c>
      <c r="G134" s="1378" t="str">
        <f>'HVAC Deemed Table'!E756</f>
        <v>Mini/MultiSplitASHP-Replace_CAC_ElectricHeat_ER1_SF</v>
      </c>
      <c r="H134" s="19" t="str">
        <f>'HVAC Deemed Table'!D756</f>
        <v>PAYS</v>
      </c>
      <c r="I134" s="785">
        <f t="shared" si="67"/>
        <v>5898.35</v>
      </c>
      <c r="J134" s="785">
        <f t="shared" si="68"/>
        <v>5170.45</v>
      </c>
      <c r="K134" s="202">
        <f>'HVAC Deemed Table'!F756</f>
        <v>1157.8399999999999</v>
      </c>
      <c r="L134" s="202">
        <f>'HVAC Deemed Table'!F757</f>
        <v>4740.51</v>
      </c>
      <c r="M134" s="202">
        <f>'HVAC Deemed Table'!F758</f>
        <v>429.94</v>
      </c>
      <c r="N134" s="202">
        <f>'HVAC Deemed Table'!F759</f>
        <v>4740.51</v>
      </c>
      <c r="O134" s="786">
        <f t="shared" si="69"/>
        <v>1.096959</v>
      </c>
      <c r="P134" s="786">
        <f t="shared" si="70"/>
        <v>0.407333</v>
      </c>
      <c r="Q134" s="787">
        <f>'HVAC Deemed Table'!I756</f>
        <v>1.096959</v>
      </c>
      <c r="R134" s="787">
        <f>'HVAC Deemed Table'!I757</f>
        <v>0</v>
      </c>
      <c r="S134" s="787">
        <f>'HVAC Deemed Table'!I758</f>
        <v>0.407333</v>
      </c>
      <c r="T134" s="787">
        <f>'HVAC Deemed Table'!I759</f>
        <v>0</v>
      </c>
      <c r="U134" s="788">
        <f t="shared" si="71"/>
        <v>0</v>
      </c>
      <c r="V134" s="788">
        <f t="shared" si="72"/>
        <v>0</v>
      </c>
      <c r="W134" s="788">
        <f t="shared" si="73"/>
        <v>1.096959</v>
      </c>
      <c r="X134" s="23">
        <f>'HVAC Deemed Table'!J756</f>
        <v>6</v>
      </c>
      <c r="Y134" s="23">
        <f>'HVAC Deemed Table'!J758</f>
        <v>12</v>
      </c>
      <c r="Z134" s="23">
        <f t="shared" si="79"/>
        <v>18</v>
      </c>
      <c r="AA134" s="18">
        <f>'HVAC Deemed Table'!DG756</f>
        <v>7.3143219896259657</v>
      </c>
      <c r="AB134" s="807">
        <f>'HVAC Deemed Table'!K756</f>
        <v>626.5030303030303</v>
      </c>
      <c r="AC134" s="903">
        <f t="shared" si="80"/>
        <v>2424.3370946237897</v>
      </c>
      <c r="AD134" s="903">
        <f t="shared" si="65"/>
        <v>2158.1077964889673</v>
      </c>
      <c r="AE134" s="208">
        <f>'HVAC Deemed Table'!DI756</f>
        <v>1153.0327610057254</v>
      </c>
      <c r="AF134" s="208">
        <f>'HVAC Deemed Table'!DI757</f>
        <v>1271.3043336180642</v>
      </c>
      <c r="AG134" s="208">
        <f>'HVAC Deemed Table'!DI758</f>
        <v>556.30830974804201</v>
      </c>
      <c r="AH134" s="208">
        <f>'HVAC Deemed Table'!DI759</f>
        <v>1601.7994867409254</v>
      </c>
      <c r="AI134" s="906" t="str">
        <f t="shared" si="83"/>
        <v>per measure</v>
      </c>
      <c r="AJ134" s="53">
        <f>'HVAC Deemed Table'!L756</f>
        <v>1.9242424242424243</v>
      </c>
      <c r="AK134" s="641"/>
      <c r="AL134" s="641"/>
      <c r="AX134" s="1355" t="str">
        <f t="shared" si="81"/>
        <v>Mini/MultiSplitASHP-Replace_CAC_ElectricHeat_ER1_SF</v>
      </c>
      <c r="AY134" s="1378"/>
      <c r="AZ134" s="1446" t="str">
        <f t="shared" si="82"/>
        <v>351400</v>
      </c>
      <c r="BA134" s="1325">
        <f>ROUND((K134*$BC$3)+(K136*$BC$4),2)</f>
        <v>814.43</v>
      </c>
      <c r="BB134" s="1325">
        <f>ROUND((L134*$BC$3)+(L136*$BC$4),2)</f>
        <v>4501.71</v>
      </c>
      <c r="BC134" s="1325">
        <f>ROUND((M134*$BC$3)+(K136*$BC$4),2)</f>
        <v>377.69</v>
      </c>
      <c r="BD134" s="1325">
        <f>ROUND((N134*$BC$3)+(L136*$BC$4),2)</f>
        <v>4501.71</v>
      </c>
      <c r="BE134" s="1305"/>
      <c r="BF134" s="1321">
        <f>ROUND(BA134*'CP FACTORS'!$B$9,6)</f>
        <v>0.77160600000000001</v>
      </c>
      <c r="BG134" s="1322">
        <f>ROUND(BB134*'CP FACTORS'!$B$14,6)</f>
        <v>0</v>
      </c>
      <c r="BH134" s="1321">
        <f>ROUND(BC134*'CP FACTORS'!$B$9,6)</f>
        <v>0.35782999999999998</v>
      </c>
      <c r="BI134" s="1323">
        <f>ROUND(BD134*'CP FACTORS'!$B$14,6)</f>
        <v>0</v>
      </c>
      <c r="BJ134" s="1305"/>
      <c r="BK134" s="730">
        <f t="shared" si="74"/>
        <v>5316.14</v>
      </c>
      <c r="BL134" s="1342">
        <f t="shared" si="75"/>
        <v>4879.3999999999996</v>
      </c>
      <c r="BM134" s="1341">
        <f t="shared" si="76"/>
        <v>0.77160600000000001</v>
      </c>
      <c r="BN134" s="1340">
        <f t="shared" si="77"/>
        <v>0.35782999999999998</v>
      </c>
    </row>
    <row r="135" spans="1:66">
      <c r="A135" s="51" t="str">
        <f t="shared" si="78"/>
        <v>351401</v>
      </c>
      <c r="B135" s="1442" t="str">
        <f>'HVAC Deemed Table'!C760</f>
        <v>351401_2024_12_</v>
      </c>
      <c r="C135" s="887" t="str">
        <f>'HVAC Deemed Table'!G760</f>
        <v>Cooling RES</v>
      </c>
      <c r="D135" s="887" t="str">
        <f>'HVAC Deemed Table'!G761</f>
        <v>Heating RES</v>
      </c>
      <c r="E135" s="1378" t="str">
        <f>'HVAC Deemed Table'!G762</f>
        <v>Cooling RES ER2</v>
      </c>
      <c r="F135" s="887" t="str">
        <f>'HVAC Deemed Table'!G763</f>
        <v>Heating RES ER2</v>
      </c>
      <c r="G135" s="1378" t="str">
        <f>'HVAC Deemed Table'!E760</f>
        <v>Mini/MultiSplitASHP-Replace_CAC_NonElectricHeat_ER1_SF</v>
      </c>
      <c r="H135" s="19" t="str">
        <f>'HVAC Deemed Table'!D760</f>
        <v>PAYS</v>
      </c>
      <c r="I135" s="785">
        <f t="shared" si="67"/>
        <v>1157.8399999999999</v>
      </c>
      <c r="J135" s="785">
        <f t="shared" si="68"/>
        <v>429.94</v>
      </c>
      <c r="K135" s="202">
        <f>'HVAC Deemed Table'!F760</f>
        <v>1157.8399999999999</v>
      </c>
      <c r="L135" s="202">
        <f>'HVAC Deemed Table'!F761</f>
        <v>0</v>
      </c>
      <c r="M135" s="202">
        <f>'HVAC Deemed Table'!F762</f>
        <v>429.94</v>
      </c>
      <c r="N135" s="202">
        <f>'HVAC Deemed Table'!F763</f>
        <v>0</v>
      </c>
      <c r="O135" s="786">
        <f t="shared" si="69"/>
        <v>1.096959</v>
      </c>
      <c r="P135" s="786">
        <f t="shared" si="70"/>
        <v>0.407333</v>
      </c>
      <c r="Q135" s="787">
        <f>'HVAC Deemed Table'!I760</f>
        <v>1.096959</v>
      </c>
      <c r="R135" s="787">
        <f>'HVAC Deemed Table'!I761</f>
        <v>0</v>
      </c>
      <c r="S135" s="787">
        <f>'HVAC Deemed Table'!I762</f>
        <v>0.407333</v>
      </c>
      <c r="T135" s="787">
        <f>'HVAC Deemed Table'!I763</f>
        <v>0</v>
      </c>
      <c r="U135" s="788">
        <f t="shared" si="71"/>
        <v>0</v>
      </c>
      <c r="V135" s="788">
        <f t="shared" si="72"/>
        <v>0</v>
      </c>
      <c r="W135" s="788">
        <f t="shared" si="73"/>
        <v>1.096959</v>
      </c>
      <c r="X135" s="23">
        <f>'HVAC Deemed Table'!J760</f>
        <v>6</v>
      </c>
      <c r="Y135" s="23">
        <f>'HVAC Deemed Table'!J762</f>
        <v>12</v>
      </c>
      <c r="Z135" s="23">
        <f t="shared" si="79"/>
        <v>18</v>
      </c>
      <c r="AA135" s="18">
        <f>'HVAC Deemed Table'!DG760</f>
        <v>19.020230024557058</v>
      </c>
      <c r="AB135" s="807">
        <f>'HVAC Deemed Table'!K760</f>
        <v>89.869631889142951</v>
      </c>
      <c r="AC135" s="903">
        <f t="shared" si="80"/>
        <v>1153.0327610057254</v>
      </c>
      <c r="AD135" s="903">
        <f t="shared" si="65"/>
        <v>556.30830974804201</v>
      </c>
      <c r="AE135" s="208">
        <f>'HVAC Deemed Table'!DI760</f>
        <v>1153.0327610057254</v>
      </c>
      <c r="AF135" s="208">
        <f>'HVAC Deemed Table'!DI761</f>
        <v>0</v>
      </c>
      <c r="AG135" s="208">
        <f>'HVAC Deemed Table'!DI762</f>
        <v>556.30830974804201</v>
      </c>
      <c r="AH135" s="208">
        <f>'HVAC Deemed Table'!DI763</f>
        <v>0</v>
      </c>
      <c r="AI135" s="906" t="str">
        <f t="shared" si="83"/>
        <v>per measure</v>
      </c>
      <c r="AJ135" s="48">
        <f>'HVAC Deemed Table'!L760</f>
        <v>1.924242424242425</v>
      </c>
      <c r="AK135" s="641"/>
      <c r="AL135" s="641"/>
      <c r="AX135" s="1355" t="str">
        <f t="shared" si="81"/>
        <v>Mini/MultiSplitASHP-Replace_CAC_NonElectricHeat_ER1_SF</v>
      </c>
      <c r="AY135" s="1378"/>
      <c r="AZ135" s="1446" t="str">
        <f t="shared" si="82"/>
        <v>351401</v>
      </c>
      <c r="BA135" s="1326">
        <f>ROUND((K135*$BC$3)+(K137*$BC$4),2)</f>
        <v>814.43</v>
      </c>
      <c r="BB135" s="1326">
        <f>ROUND((L135*$BC$3)+(L137*$BC$4),2)</f>
        <v>0</v>
      </c>
      <c r="BC135" s="1326">
        <f>ROUND((M135*$BC$3)+(K137*$BC$4),2)</f>
        <v>377.69</v>
      </c>
      <c r="BD135" s="1326">
        <f>ROUND((N135*$BC$3)+(L137*$BC$4),2)</f>
        <v>0</v>
      </c>
      <c r="BE135" s="1305"/>
      <c r="BF135" s="1321">
        <f>ROUND(BA135*'CP FACTORS'!$B$9,6)</f>
        <v>0.77160600000000001</v>
      </c>
      <c r="BG135" s="1322">
        <f>ROUND(BB135*'CP FACTORS'!$B$14,6)</f>
        <v>0</v>
      </c>
      <c r="BH135" s="1321">
        <f>ROUND(BC135*'CP FACTORS'!$B$9,6)</f>
        <v>0.35782999999999998</v>
      </c>
      <c r="BI135" s="1323">
        <f>ROUND(BD135*'CP FACTORS'!$B$14,6)</f>
        <v>0</v>
      </c>
      <c r="BJ135" s="1305"/>
      <c r="BK135" s="730">
        <f t="shared" si="74"/>
        <v>814.43</v>
      </c>
      <c r="BL135" s="1342">
        <f t="shared" si="75"/>
        <v>377.69</v>
      </c>
      <c r="BM135" s="1341">
        <f t="shared" si="76"/>
        <v>0.77160600000000001</v>
      </c>
      <c r="BN135" s="1340">
        <f t="shared" si="77"/>
        <v>0.35782999999999998</v>
      </c>
    </row>
    <row r="136" spans="1:66">
      <c r="A136" s="51" t="str">
        <f t="shared" si="78"/>
        <v>351450</v>
      </c>
      <c r="B136" s="1442" t="str">
        <f>'HVAC Deemed Table'!C764</f>
        <v>351450_2024_12_</v>
      </c>
      <c r="C136" s="1378" t="str">
        <f>'HVAC Deemed Table'!G764</f>
        <v>Cooling RES</v>
      </c>
      <c r="D136" s="1378" t="str">
        <f>'HVAC Deemed Table'!G765</f>
        <v>Heating RES</v>
      </c>
      <c r="E136" s="1378"/>
      <c r="F136" s="1378"/>
      <c r="G136" s="1378" t="str">
        <f>'HVAC Deemed Table'!E764</f>
        <v>Mini/MultiSplitASHP-Replace_CAC_ElectricHeat_ROF_SF</v>
      </c>
      <c r="H136" s="19" t="str">
        <f>'HVAC Deemed Table'!D764</f>
        <v>PAYS</v>
      </c>
      <c r="I136" s="785">
        <f t="shared" si="67"/>
        <v>4442.83</v>
      </c>
      <c r="J136" s="785">
        <f t="shared" si="68"/>
        <v>0</v>
      </c>
      <c r="K136" s="202">
        <f>'HVAC Deemed Table'!F764</f>
        <v>299.32</v>
      </c>
      <c r="L136" s="202">
        <f>'HVAC Deemed Table'!F765</f>
        <v>4143.51</v>
      </c>
      <c r="M136" s="202"/>
      <c r="N136" s="202"/>
      <c r="O136" s="786">
        <f t="shared" si="69"/>
        <v>0.28358100000000003</v>
      </c>
      <c r="P136" s="786">
        <f t="shared" si="70"/>
        <v>0</v>
      </c>
      <c r="Q136" s="787">
        <f>'HVAC Deemed Table'!I764</f>
        <v>0.28358100000000003</v>
      </c>
      <c r="R136" s="787">
        <f>'HVAC Deemed Table'!I765</f>
        <v>0</v>
      </c>
      <c r="S136" s="787"/>
      <c r="T136" s="787"/>
      <c r="U136" s="788">
        <f t="shared" si="71"/>
        <v>0</v>
      </c>
      <c r="V136" s="788">
        <f t="shared" si="72"/>
        <v>0</v>
      </c>
      <c r="W136" s="788">
        <f t="shared" si="73"/>
        <v>0.28358100000000003</v>
      </c>
      <c r="X136" s="23">
        <f>'HVAC Deemed Table'!J764</f>
        <v>18</v>
      </c>
      <c r="Y136" s="23"/>
      <c r="Z136" s="23">
        <f t="shared" si="79"/>
        <v>18</v>
      </c>
      <c r="AA136" s="18">
        <f>'HVAC Deemed Table'!DG764</f>
        <v>5.8793655640780518</v>
      </c>
      <c r="AB136" s="807">
        <f>'HVAC Deemed Table'!K764</f>
        <v>543.7067546700647</v>
      </c>
      <c r="AC136" s="903">
        <f t="shared" si="80"/>
        <v>3196.6507703638117</v>
      </c>
      <c r="AD136" s="903">
        <f t="shared" si="65"/>
        <v>0</v>
      </c>
      <c r="AE136" s="208">
        <f>'HVAC Deemed Table'!DI764</f>
        <v>685.37362704048167</v>
      </c>
      <c r="AF136" s="208">
        <f>'HVAC Deemed Table'!DI765</f>
        <v>2511.2771433233302</v>
      </c>
      <c r="AG136" s="208">
        <v>0</v>
      </c>
      <c r="AH136" s="208">
        <v>0</v>
      </c>
      <c r="AI136" s="906" t="str">
        <f>AI134</f>
        <v>per measure</v>
      </c>
      <c r="AJ136" s="53">
        <f>'HVAC Deemed Table'!L764</f>
        <v>1.3282828282828283</v>
      </c>
      <c r="AK136" s="641"/>
      <c r="AL136" s="641"/>
      <c r="AX136" s="1355" t="str">
        <f t="shared" si="81"/>
        <v>Mini/MultiSplitASHP-Replace_CAC_ElectricHeat_ROF_SF</v>
      </c>
      <c r="AY136" s="1378"/>
      <c r="AZ136" s="1446" t="str">
        <f t="shared" si="82"/>
        <v>351450</v>
      </c>
      <c r="BA136" s="1325">
        <f>ROUND((K134*$BC$3)+(K136*$BC$4),2)</f>
        <v>814.43</v>
      </c>
      <c r="BB136" s="1325">
        <f>ROUND((L134*$BC$3)+(L136*$BC$4),2)</f>
        <v>4501.71</v>
      </c>
      <c r="BC136" s="1325">
        <f>ROUND((M134*$BC$3)+(K136*$BC$4),2)</f>
        <v>377.69</v>
      </c>
      <c r="BD136" s="1325">
        <f>ROUND((N134*$BC$3)+(L136*$BC$4),2)</f>
        <v>4501.71</v>
      </c>
      <c r="BE136" s="1305"/>
      <c r="BF136" s="1321">
        <f>ROUND(BA136*'CP FACTORS'!$B$9,6)</f>
        <v>0.77160600000000001</v>
      </c>
      <c r="BG136" s="1322">
        <f>ROUND(BB136*'CP FACTORS'!$B$14,6)</f>
        <v>0</v>
      </c>
      <c r="BH136" s="1321">
        <f>ROUND(BC136*'CP FACTORS'!$B$9,6)</f>
        <v>0.35782999999999998</v>
      </c>
      <c r="BI136" s="1323">
        <f>ROUND(BD136*'CP FACTORS'!$B$14,6)</f>
        <v>0</v>
      </c>
      <c r="BJ136" s="1305"/>
      <c r="BK136" s="730">
        <f t="shared" si="74"/>
        <v>5316.14</v>
      </c>
      <c r="BL136" s="1342">
        <f t="shared" si="75"/>
        <v>4879.3999999999996</v>
      </c>
      <c r="BM136" s="1341">
        <f t="shared" si="76"/>
        <v>0.77160600000000001</v>
      </c>
      <c r="BN136" s="1340">
        <f t="shared" si="77"/>
        <v>0.35782999999999998</v>
      </c>
    </row>
    <row r="137" spans="1:66" s="41" customFormat="1">
      <c r="A137" s="51" t="str">
        <f t="shared" si="78"/>
        <v>351451</v>
      </c>
      <c r="B137" s="1442" t="str">
        <f>'HVAC Deemed Table'!C766</f>
        <v>351451_2024_12_</v>
      </c>
      <c r="C137" s="887" t="str">
        <f>'HVAC Deemed Table'!G766</f>
        <v>Cooling RES</v>
      </c>
      <c r="D137" s="887" t="str">
        <f>'HVAC Deemed Table'!G767</f>
        <v>Heating RES</v>
      </c>
      <c r="E137" s="1378"/>
      <c r="F137" s="1378"/>
      <c r="G137" s="1378" t="str">
        <f>'HVAC Deemed Table'!E766</f>
        <v>Mini/MultiSplitASHP-Replace_CAC_NonElectricHeat_ROF_SF</v>
      </c>
      <c r="H137" s="19" t="str">
        <f>'HVAC Deemed Table'!D766</f>
        <v>PAYS</v>
      </c>
      <c r="I137" s="785">
        <f t="shared" si="67"/>
        <v>299.32</v>
      </c>
      <c r="J137" s="785">
        <f t="shared" si="68"/>
        <v>0</v>
      </c>
      <c r="K137" s="202">
        <f>'HVAC Deemed Table'!F766</f>
        <v>299.32</v>
      </c>
      <c r="L137" s="202">
        <f>'HVAC Deemed Table'!F767</f>
        <v>0</v>
      </c>
      <c r="M137" s="202"/>
      <c r="N137" s="202"/>
      <c r="O137" s="786">
        <f t="shared" si="69"/>
        <v>0.28358100000000003</v>
      </c>
      <c r="P137" s="786">
        <f t="shared" si="70"/>
        <v>0</v>
      </c>
      <c r="Q137" s="787">
        <f>'HVAC Deemed Table'!I766</f>
        <v>0.28358100000000003</v>
      </c>
      <c r="R137" s="787">
        <f>'HVAC Deemed Table'!I767</f>
        <v>0</v>
      </c>
      <c r="S137" s="787"/>
      <c r="T137" s="787"/>
      <c r="U137" s="788">
        <f t="shared" si="71"/>
        <v>0</v>
      </c>
      <c r="V137" s="788">
        <f t="shared" si="72"/>
        <v>0</v>
      </c>
      <c r="W137" s="788">
        <f t="shared" si="73"/>
        <v>0.28358100000000003</v>
      </c>
      <c r="X137" s="23">
        <f>'HVAC Deemed Table'!J766</f>
        <v>18</v>
      </c>
      <c r="Y137" s="23"/>
      <c r="Z137" s="23">
        <f t="shared" si="79"/>
        <v>18</v>
      </c>
      <c r="AA137" s="18">
        <f>'HVAC Deemed Table'!DG766</f>
        <v>18.710552835718158</v>
      </c>
      <c r="AB137" s="807">
        <f>'HVAC Deemed Table'!K766</f>
        <v>36.630324772238367</v>
      </c>
      <c r="AC137" s="903">
        <f t="shared" si="80"/>
        <v>685.37362704048167</v>
      </c>
      <c r="AD137" s="903">
        <f t="shared" si="65"/>
        <v>0</v>
      </c>
      <c r="AE137" s="208">
        <f>'HVAC Deemed Table'!DI766</f>
        <v>685.37362704048167</v>
      </c>
      <c r="AF137" s="208">
        <f>'HVAC Deemed Table'!DI767</f>
        <v>0</v>
      </c>
      <c r="AG137" s="208">
        <v>0</v>
      </c>
      <c r="AH137" s="208">
        <v>0</v>
      </c>
      <c r="AI137" s="906" t="str">
        <f>AI135</f>
        <v>per measure</v>
      </c>
      <c r="AJ137" s="48">
        <f>'HVAC Deemed Table'!L766</f>
        <v>1.3282828282828283</v>
      </c>
      <c r="AK137" s="918"/>
      <c r="AL137" s="918"/>
      <c r="AM137"/>
      <c r="AN137"/>
      <c r="AO137"/>
      <c r="AP137"/>
      <c r="AQ137"/>
      <c r="AR137"/>
      <c r="AS137"/>
      <c r="AT137"/>
      <c r="AU137"/>
      <c r="AV137"/>
      <c r="AW137"/>
      <c r="AX137" s="1355" t="str">
        <f t="shared" si="81"/>
        <v>Mini/MultiSplitASHP-Replace_CAC_NonElectricHeat_ROF_SF</v>
      </c>
      <c r="AY137" s="1378"/>
      <c r="AZ137" s="1446" t="str">
        <f t="shared" si="82"/>
        <v>351451</v>
      </c>
      <c r="BA137" s="1326">
        <f>ROUND((K135*$BC$3)+(K137*$BC$4),2)</f>
        <v>814.43</v>
      </c>
      <c r="BB137" s="1326">
        <f>ROUND((L135*$BC$3)+(L137*$BC$4),2)</f>
        <v>0</v>
      </c>
      <c r="BC137" s="1326">
        <f>ROUND((M135*$BC$3)+(K137*$BC$4),2)</f>
        <v>377.69</v>
      </c>
      <c r="BD137" s="1326">
        <f>ROUND((N135*$BC$3)+(L137*$BC$4),2)</f>
        <v>0</v>
      </c>
      <c r="BE137" s="1306"/>
      <c r="BF137" s="1321">
        <f>ROUND(BA137*'CP FACTORS'!$B$9,6)</f>
        <v>0.77160600000000001</v>
      </c>
      <c r="BG137" s="1322">
        <f>ROUND(BB137*'CP FACTORS'!$B$14,6)</f>
        <v>0</v>
      </c>
      <c r="BH137" s="1321">
        <f>ROUND(BC137*'CP FACTORS'!$B$9,6)</f>
        <v>0.35782999999999998</v>
      </c>
      <c r="BI137" s="1323">
        <f>ROUND(BD137*'CP FACTORS'!$B$14,6)</f>
        <v>0</v>
      </c>
      <c r="BJ137" s="1305"/>
      <c r="BK137" s="730">
        <f t="shared" si="74"/>
        <v>814.43</v>
      </c>
      <c r="BL137" s="1342">
        <f t="shared" si="75"/>
        <v>377.69</v>
      </c>
      <c r="BM137" s="1341">
        <f t="shared" si="76"/>
        <v>0.77160600000000001</v>
      </c>
      <c r="BN137" s="1340">
        <f t="shared" si="77"/>
        <v>0.35782999999999998</v>
      </c>
    </row>
    <row r="138" spans="1:66">
      <c r="A138" s="51" t="str">
        <f t="shared" si="78"/>
        <v>351500</v>
      </c>
      <c r="B138" s="1442" t="str">
        <f>'HVAC Deemed Table'!C768</f>
        <v>351500_2024_12_</v>
      </c>
      <c r="C138" s="1378" t="str">
        <f>'HVAC Deemed Table'!G768</f>
        <v>Cooling RES</v>
      </c>
      <c r="D138" s="1378" t="str">
        <f>'HVAC Deemed Table'!G769</f>
        <v>Heating RES</v>
      </c>
      <c r="E138" s="1378" t="str">
        <f>'HVAC Deemed Table'!G770</f>
        <v>Cooling RES ER2</v>
      </c>
      <c r="F138" s="1378" t="str">
        <f>'HVAC Deemed Table'!G771</f>
        <v>Heating RES ER2</v>
      </c>
      <c r="G138" s="1378" t="str">
        <f>'HVAC Deemed Table'!E768</f>
        <v>Mini/MultiSplitASHP_ER1_SF</v>
      </c>
      <c r="H138" s="19" t="str">
        <f>'HVAC Deemed Table'!D768</f>
        <v>PAYS</v>
      </c>
      <c r="I138" s="785">
        <f t="shared" si="67"/>
        <v>2614.16</v>
      </c>
      <c r="J138" s="785">
        <f t="shared" si="68"/>
        <v>1383.5</v>
      </c>
      <c r="K138" s="202">
        <f>'HVAC Deemed Table'!F768</f>
        <v>1157.8399999999999</v>
      </c>
      <c r="L138" s="202">
        <f>'HVAC Deemed Table'!F769</f>
        <v>1456.32</v>
      </c>
      <c r="M138" s="202">
        <f>'HVAC Deemed Table'!F770</f>
        <v>361.07</v>
      </c>
      <c r="N138" s="202">
        <f>'HVAC Deemed Table'!F771</f>
        <v>1022.43</v>
      </c>
      <c r="O138" s="786">
        <f t="shared" si="69"/>
        <v>1.096959</v>
      </c>
      <c r="P138" s="786">
        <f t="shared" si="70"/>
        <v>0.342084</v>
      </c>
      <c r="Q138" s="787">
        <f>'HVAC Deemed Table'!I768</f>
        <v>1.096959</v>
      </c>
      <c r="R138" s="787">
        <f>'HVAC Deemed Table'!I769</f>
        <v>0</v>
      </c>
      <c r="S138" s="787">
        <f>'HVAC Deemed Table'!I770</f>
        <v>0.342084</v>
      </c>
      <c r="T138" s="787">
        <f>'HVAC Deemed Table'!I771</f>
        <v>0</v>
      </c>
      <c r="U138" s="788">
        <f t="shared" si="71"/>
        <v>0</v>
      </c>
      <c r="V138" s="788">
        <f t="shared" si="72"/>
        <v>0</v>
      </c>
      <c r="W138" s="788">
        <f t="shared" si="73"/>
        <v>1.096959</v>
      </c>
      <c r="X138" s="23">
        <f>'HVAC Deemed Table'!J768</f>
        <v>6</v>
      </c>
      <c r="Y138" s="23">
        <f>'HVAC Deemed Table'!J770</f>
        <v>12</v>
      </c>
      <c r="Z138" s="23">
        <f t="shared" si="79"/>
        <v>18</v>
      </c>
      <c r="AA138" s="18">
        <f>'HVAC Deemed Table'!DG768</f>
        <v>3.4452351798525354</v>
      </c>
      <c r="AB138" s="807">
        <f>'HVAC Deemed Table'!K768</f>
        <v>683.91788099116957</v>
      </c>
      <c r="AC138" s="903">
        <f t="shared" si="80"/>
        <v>1543.5869265142169</v>
      </c>
      <c r="AD138" s="903">
        <f t="shared" si="65"/>
        <v>812.6710172067601</v>
      </c>
      <c r="AE138" s="208">
        <f>'HVAC Deemed Table'!DI768</f>
        <v>1153.0327610057254</v>
      </c>
      <c r="AF138" s="208">
        <f>'HVAC Deemed Table'!DI769</f>
        <v>390.55416550849151</v>
      </c>
      <c r="AG138" s="208">
        <f>'HVAC Deemed Table'!DI770</f>
        <v>467.1959840924909</v>
      </c>
      <c r="AH138" s="208">
        <f>'HVAC Deemed Table'!DI771</f>
        <v>345.47503311426919</v>
      </c>
      <c r="AI138" s="906" t="str">
        <f>AI136</f>
        <v>per measure</v>
      </c>
      <c r="AJ138" s="53">
        <f>'HVAC Deemed Table'!L768</f>
        <v>1.9242424242424243</v>
      </c>
      <c r="AK138" s="641"/>
      <c r="AL138" s="641"/>
      <c r="AX138" s="1355" t="str">
        <f t="shared" si="81"/>
        <v>Mini/MultiSplitASHP_ER1_SF</v>
      </c>
      <c r="AY138" s="1378"/>
      <c r="AZ138" s="1446" t="str">
        <f t="shared" si="82"/>
        <v>351500</v>
      </c>
      <c r="BA138" s="1328">
        <f>ROUND((K138*$BC$3)+(K133*$BC$4),2)</f>
        <v>795.42</v>
      </c>
      <c r="BB138" s="1328">
        <f>ROUND((L138*$BC$3)+(L133*$BC$4),2)</f>
        <v>1240.51</v>
      </c>
      <c r="BC138" s="1328">
        <f>ROUND((M138*$BC$3)+(L133*$BC$4),2)</f>
        <v>583.36</v>
      </c>
      <c r="BD138" s="1328">
        <f>ROUND((N138*$BC$3)+(L133*$BC$4),2)</f>
        <v>980.18</v>
      </c>
      <c r="BE138" s="1305"/>
      <c r="BF138" s="1321">
        <f>ROUND(BA138*'CP FACTORS'!$B$9,6)</f>
        <v>0.75359500000000001</v>
      </c>
      <c r="BG138" s="1322">
        <f>ROUND(BB138*'CP FACTORS'!$B$14,6)</f>
        <v>0</v>
      </c>
      <c r="BH138" s="1321">
        <f>ROUND(BC138*'CP FACTORS'!$B$9,6)</f>
        <v>0.55268600000000001</v>
      </c>
      <c r="BI138" s="1323">
        <f>ROUND(BD138*'CP FACTORS'!$B$14,6)</f>
        <v>0</v>
      </c>
      <c r="BJ138" s="1305"/>
      <c r="BK138" s="730">
        <f t="shared" si="74"/>
        <v>2035.9299999999998</v>
      </c>
      <c r="BL138" s="1342">
        <f t="shared" si="75"/>
        <v>1563.54</v>
      </c>
      <c r="BM138" s="1341">
        <f t="shared" si="76"/>
        <v>0.75359500000000001</v>
      </c>
      <c r="BN138" s="1340">
        <f t="shared" si="77"/>
        <v>0.55268600000000001</v>
      </c>
    </row>
    <row r="139" spans="1:66">
      <c r="A139" s="51" t="str">
        <f t="shared" si="78"/>
        <v>351550</v>
      </c>
      <c r="B139" s="1442" t="str">
        <f>'HVAC Deemed Table'!C772</f>
        <v>351550_2024_12_</v>
      </c>
      <c r="C139" s="1378" t="str">
        <f>'HVAC Deemed Table'!G772</f>
        <v>Cooling RES</v>
      </c>
      <c r="D139" s="1378" t="str">
        <f>'HVAC Deemed Table'!G773</f>
        <v>Cooling RES ER2</v>
      </c>
      <c r="E139" s="1378"/>
      <c r="F139" s="1378"/>
      <c r="G139" s="1378" t="str">
        <f>'HVAC Deemed Table'!E772</f>
        <v>Mini/MultiSplitAC_ER1_MF</v>
      </c>
      <c r="H139" s="19" t="str">
        <f>'HVAC Deemed Table'!D772</f>
        <v>MFIE</v>
      </c>
      <c r="I139" s="785">
        <f t="shared" si="67"/>
        <v>1402.57</v>
      </c>
      <c r="J139" s="785">
        <f t="shared" si="68"/>
        <v>368.91</v>
      </c>
      <c r="K139" s="202">
        <f>'HVAC Deemed Table'!F772</f>
        <v>1402.57</v>
      </c>
      <c r="L139" s="202"/>
      <c r="M139" s="202">
        <f>'HVAC Deemed Table'!F773</f>
        <v>368.91</v>
      </c>
      <c r="N139" s="202"/>
      <c r="O139" s="786">
        <f t="shared" si="69"/>
        <v>1.3288199999999999</v>
      </c>
      <c r="P139" s="786">
        <f t="shared" si="70"/>
        <v>0.34951199999999999</v>
      </c>
      <c r="Q139" s="787">
        <f>'HVAC Deemed Table'!I772</f>
        <v>1.3288199999999999</v>
      </c>
      <c r="R139" s="787"/>
      <c r="S139" s="787">
        <f>'HVAC Deemed Table'!I773</f>
        <v>0.34951199999999999</v>
      </c>
      <c r="T139" s="787"/>
      <c r="U139" s="788">
        <f t="shared" si="71"/>
        <v>0</v>
      </c>
      <c r="V139" s="788">
        <f t="shared" si="72"/>
        <v>0</v>
      </c>
      <c r="W139" s="788">
        <f t="shared" si="73"/>
        <v>1.3288199999999999</v>
      </c>
      <c r="X139" s="23">
        <f>'HVAC Deemed Table'!J772</f>
        <v>6</v>
      </c>
      <c r="Y139" s="23">
        <f>'HVAC Deemed Table'!J773</f>
        <v>12</v>
      </c>
      <c r="Z139" s="23">
        <f t="shared" si="79"/>
        <v>18</v>
      </c>
      <c r="AA139" s="18">
        <f>'HVAC Deemed Table'!DG772</f>
        <v>1.3568367173903013</v>
      </c>
      <c r="AB139" s="807">
        <f>'HVAC Deemed Table'!K772</f>
        <v>1381.2177729469663</v>
      </c>
      <c r="AC139" s="903">
        <f t="shared" si="80"/>
        <v>1396.7466658638502</v>
      </c>
      <c r="AD139" s="903">
        <f t="shared" si="65"/>
        <v>477.34032318265389</v>
      </c>
      <c r="AE139" s="208">
        <f>'HVAC Deemed Table'!DI772</f>
        <v>1396.7466658638502</v>
      </c>
      <c r="AF139" s="208"/>
      <c r="AG139" s="208">
        <f>'HVAC Deemed Table'!DI773</f>
        <v>477.34032318265389</v>
      </c>
      <c r="AH139" s="208"/>
      <c r="AI139" s="906" t="str">
        <f t="shared" ref="AI139:AI150" si="84">AI138</f>
        <v>per measure</v>
      </c>
      <c r="AJ139" s="53">
        <f>'HVAC Deemed Table'!L772</f>
        <v>1.75</v>
      </c>
      <c r="AK139" s="641"/>
      <c r="AL139" s="641"/>
      <c r="AX139" s="1355" t="str">
        <f t="shared" si="81"/>
        <v>Mini/MultiSplitAC_ER1_MF</v>
      </c>
      <c r="AY139" s="1378"/>
      <c r="AZ139" s="1446" t="str">
        <f t="shared" si="82"/>
        <v>351550</v>
      </c>
      <c r="BA139" s="1325">
        <f>ROUND((K139*$BC$3)+(K141*$BC$4),2)</f>
        <v>1023.65</v>
      </c>
      <c r="BB139" s="1325">
        <f>ROUND((L139*$BC$3)+(L141*$BC$4),2)</f>
        <v>0</v>
      </c>
      <c r="BC139" s="1325">
        <f>ROUND((M139*$BC$3)+(K141*$BC$4),2)</f>
        <v>403.45</v>
      </c>
      <c r="BD139" s="1325">
        <f>ROUND((N139*$BC$3)+(L141*$BC$4),2)</f>
        <v>0</v>
      </c>
      <c r="BE139" s="1305"/>
      <c r="BF139" s="1321">
        <f>ROUND(BA139*'CP FACTORS'!$B$9,6)</f>
        <v>0.96982500000000005</v>
      </c>
      <c r="BG139" s="1322">
        <f>ROUND(BB139*'CP FACTORS'!$B$14,6)</f>
        <v>0</v>
      </c>
      <c r="BH139" s="1321">
        <f>ROUND(BC139*'CP FACTORS'!$B$9,6)</f>
        <v>0.38223600000000002</v>
      </c>
      <c r="BI139" s="1323">
        <f>ROUND(BD139*'CP FACTORS'!$B$14,6)</f>
        <v>0</v>
      </c>
      <c r="BJ139" s="1305"/>
      <c r="BK139" s="730">
        <f t="shared" si="74"/>
        <v>1023.65</v>
      </c>
      <c r="BL139" s="1342">
        <f t="shared" si="75"/>
        <v>403.45</v>
      </c>
      <c r="BM139" s="1341">
        <f t="shared" si="76"/>
        <v>0.96982500000000005</v>
      </c>
      <c r="BN139" s="1340">
        <f t="shared" si="77"/>
        <v>0.38223600000000002</v>
      </c>
    </row>
    <row r="140" spans="1:66" s="696" customFormat="1">
      <c r="A140" s="2958" t="str">
        <f t="shared" si="78"/>
        <v>351551</v>
      </c>
      <c r="B140" s="2233" t="str">
        <f>'HVAC Deemed Table'!C774</f>
        <v>351551_2024_12_</v>
      </c>
      <c r="C140" s="2724" t="str">
        <f>'HVAC Deemed Table'!G774</f>
        <v>Cooling RES</v>
      </c>
      <c r="D140" s="2724" t="str">
        <f>'HVAC Deemed Table'!G775</f>
        <v>Cooling RES ER2</v>
      </c>
      <c r="E140" s="2724"/>
      <c r="F140" s="2724"/>
      <c r="G140" s="2724" t="str">
        <f>'HVAC Deemed Table'!E774</f>
        <v>Mini/MultiSplitAC_ER1_MF_CompE</v>
      </c>
      <c r="H140" s="2554" t="str">
        <f>'HVAC Deemed Table'!D774</f>
        <v>MFc</v>
      </c>
      <c r="I140" s="3840">
        <f t="shared" si="67"/>
        <v>937.47</v>
      </c>
      <c r="J140" s="3840">
        <f t="shared" si="68"/>
        <v>258.67</v>
      </c>
      <c r="K140" s="3251">
        <f>'HVAC Deemed Table'!F774</f>
        <v>937.47</v>
      </c>
      <c r="L140" s="3251"/>
      <c r="M140" s="3251">
        <f>'HVAC Deemed Table'!F775</f>
        <v>258.67</v>
      </c>
      <c r="N140" s="3251"/>
      <c r="O140" s="3841">
        <f t="shared" si="69"/>
        <v>0.88817599999999997</v>
      </c>
      <c r="P140" s="3841">
        <f t="shared" si="70"/>
        <v>0.24506900000000001</v>
      </c>
      <c r="Q140" s="3842">
        <f>'HVAC Deemed Table'!I774</f>
        <v>0.88817599999999997</v>
      </c>
      <c r="R140" s="3842"/>
      <c r="S140" s="3842">
        <f>'HVAC Deemed Table'!I775</f>
        <v>0.24506900000000001</v>
      </c>
      <c r="T140" s="3842"/>
      <c r="U140" s="3843">
        <f t="shared" si="71"/>
        <v>0</v>
      </c>
      <c r="V140" s="3843">
        <f t="shared" si="72"/>
        <v>0</v>
      </c>
      <c r="W140" s="3843">
        <f t="shared" si="73"/>
        <v>0.88817599999999997</v>
      </c>
      <c r="X140" s="2846">
        <f>'HVAC Deemed Table'!J774</f>
        <v>6</v>
      </c>
      <c r="Y140" s="2846">
        <f>'HVAC Deemed Table'!J775</f>
        <v>12</v>
      </c>
      <c r="Z140" s="2846">
        <f t="shared" si="79"/>
        <v>18</v>
      </c>
      <c r="AA140" s="2529">
        <f>'HVAC Deemed Table'!DG774</f>
        <v>0.91823044459360115</v>
      </c>
      <c r="AB140" s="3844">
        <f>'HVAC Deemed Table'!K774</f>
        <v>1381.2177729469663</v>
      </c>
      <c r="AC140" s="3845">
        <f t="shared" si="80"/>
        <v>933.57771579841562</v>
      </c>
      <c r="AD140" s="3845">
        <f t="shared" ref="AD140:AD206" si="85">AG140+AH140</f>
        <v>334.69849393526084</v>
      </c>
      <c r="AE140" s="3846">
        <f>'HVAC Deemed Table'!DI774</f>
        <v>933.57771579841562</v>
      </c>
      <c r="AF140" s="3846"/>
      <c r="AG140" s="3846">
        <f>'HVAC Deemed Table'!DI775</f>
        <v>334.69849393526084</v>
      </c>
      <c r="AH140" s="3846"/>
      <c r="AI140" s="3847" t="str">
        <f t="shared" si="84"/>
        <v>per measure</v>
      </c>
      <c r="AJ140" s="3220">
        <f>'HVAC Deemed Table'!L774</f>
        <v>2</v>
      </c>
      <c r="AK140" s="3848"/>
      <c r="AL140" s="3848"/>
      <c r="AX140" s="3849" t="str">
        <f t="shared" si="81"/>
        <v>Mini/MultiSplitAC_ER1_MF_CompE</v>
      </c>
      <c r="AY140" s="2724"/>
      <c r="AZ140" s="3850" t="str">
        <f t="shared" si="82"/>
        <v>351551</v>
      </c>
      <c r="BA140" s="3859">
        <f>ROUND((K140*$BC$3)+(K142*$BC$4),2)</f>
        <v>1002.63</v>
      </c>
      <c r="BB140" s="3859">
        <f>ROUND((L140*$BC$3)+(L142*$BC$4),2)</f>
        <v>0</v>
      </c>
      <c r="BC140" s="3859">
        <f>ROUND((M140*$BC$3)+(K142*$BC$4),2)</f>
        <v>595.35</v>
      </c>
      <c r="BD140" s="3859">
        <f>ROUND((N140*$BC$3)+(L142*$BC$4),2)</f>
        <v>0</v>
      </c>
      <c r="BE140" s="3853"/>
      <c r="BF140" s="3854">
        <f>ROUND(BA140*'CP FACTORS'!$B$9,6)</f>
        <v>0.94991000000000003</v>
      </c>
      <c r="BG140" s="3854">
        <f>ROUND(BB140*'CP FACTORS'!$B$14,6)</f>
        <v>0</v>
      </c>
      <c r="BH140" s="3854">
        <f>ROUND(BC140*'CP FACTORS'!$B$9,6)</f>
        <v>0.56404500000000002</v>
      </c>
      <c r="BI140" s="3855">
        <f>ROUND(BD140*'CP FACTORS'!$B$14,6)</f>
        <v>0</v>
      </c>
      <c r="BJ140" s="3853"/>
      <c r="BK140" s="3856">
        <f t="shared" si="74"/>
        <v>1002.63</v>
      </c>
      <c r="BL140" s="3857">
        <f t="shared" si="75"/>
        <v>595.35</v>
      </c>
      <c r="BM140" s="3858">
        <f t="shared" si="76"/>
        <v>0.94991000000000003</v>
      </c>
      <c r="BN140" s="3855">
        <f t="shared" si="77"/>
        <v>0.56404500000000002</v>
      </c>
    </row>
    <row r="141" spans="1:66" s="696" customFormat="1">
      <c r="A141" s="2958" t="str">
        <f t="shared" si="78"/>
        <v>351600</v>
      </c>
      <c r="B141" s="2233" t="str">
        <f>'HVAC Deemed Table'!C776</f>
        <v>351600_2024_12_</v>
      </c>
      <c r="C141" s="2724" t="str">
        <f>'HVAC Deemed Table'!G776</f>
        <v>Cooling RES</v>
      </c>
      <c r="D141" s="2724"/>
      <c r="E141" s="2724"/>
      <c r="F141" s="2724"/>
      <c r="G141" s="2724" t="str">
        <f>'HVAC Deemed Table'!E776</f>
        <v>Mini/MultiSplitAC_ROF_MF</v>
      </c>
      <c r="H141" s="2554" t="str">
        <f>'HVAC Deemed Table'!D776</f>
        <v>MF</v>
      </c>
      <c r="I141" s="3840">
        <f t="shared" si="67"/>
        <v>455.26</v>
      </c>
      <c r="J141" s="3840">
        <f t="shared" si="68"/>
        <v>0</v>
      </c>
      <c r="K141" s="3251">
        <f>'HVAC Deemed Table'!F776</f>
        <v>455.26</v>
      </c>
      <c r="L141" s="3251"/>
      <c r="M141" s="3251"/>
      <c r="N141" s="3251"/>
      <c r="O141" s="3841">
        <f t="shared" si="69"/>
        <v>0.43132199999999998</v>
      </c>
      <c r="P141" s="3841">
        <f t="shared" si="70"/>
        <v>0</v>
      </c>
      <c r="Q141" s="3842">
        <f>'HVAC Deemed Table'!I776</f>
        <v>0.43132199999999998</v>
      </c>
      <c r="R141" s="3842"/>
      <c r="S141" s="3842"/>
      <c r="T141" s="3842"/>
      <c r="U141" s="3843">
        <f t="shared" si="71"/>
        <v>0</v>
      </c>
      <c r="V141" s="3843">
        <f t="shared" si="72"/>
        <v>0</v>
      </c>
      <c r="W141" s="3843">
        <f t="shared" si="73"/>
        <v>0.43132199999999998</v>
      </c>
      <c r="X141" s="2846">
        <f>'HVAC Deemed Table'!J776</f>
        <v>18</v>
      </c>
      <c r="Y141" s="2846"/>
      <c r="Z141" s="2846">
        <f t="shared" si="79"/>
        <v>18</v>
      </c>
      <c r="AA141" s="2529">
        <f>'HVAC Deemed Table'!DG776</f>
        <v>1.5605392054647704</v>
      </c>
      <c r="AB141" s="3844">
        <f>'HVAC Deemed Table'!K776</f>
        <v>668</v>
      </c>
      <c r="AC141" s="3845">
        <f t="shared" si="80"/>
        <v>1042.4401892504666</v>
      </c>
      <c r="AD141" s="3845">
        <f t="shared" si="85"/>
        <v>0</v>
      </c>
      <c r="AE141" s="3846">
        <f>'HVAC Deemed Table'!DI776</f>
        <v>1042.4401892504666</v>
      </c>
      <c r="AF141" s="3846"/>
      <c r="AG141" s="3846"/>
      <c r="AH141" s="3846"/>
      <c r="AI141" s="3847" t="str">
        <f t="shared" si="84"/>
        <v>per measure</v>
      </c>
      <c r="AJ141" s="3220">
        <f>'HVAC Deemed Table'!L776</f>
        <v>1.0555555555555556</v>
      </c>
      <c r="AK141" s="3848"/>
      <c r="AL141" s="3848"/>
      <c r="AX141" s="3849" t="str">
        <f t="shared" si="81"/>
        <v>Mini/MultiSplitAC_ROF_MF</v>
      </c>
      <c r="AY141" s="2724"/>
      <c r="AZ141" s="3850" t="str">
        <f t="shared" si="82"/>
        <v>351600</v>
      </c>
      <c r="BA141" s="3851">
        <f>ROUND((K139*$BC$3)+(K141*$BC$4),2)</f>
        <v>1023.65</v>
      </c>
      <c r="BB141" s="3851">
        <f>ROUND((L139*$BC$3)+(L141*$BC$4),2)</f>
        <v>0</v>
      </c>
      <c r="BC141" s="3851">
        <f>ROUND((M139*$BC$3)+(K141*$BC$4),2)</f>
        <v>403.45</v>
      </c>
      <c r="BD141" s="3851">
        <f>ROUND((N139*$BC$3)+(L141*$BC$4),2)</f>
        <v>0</v>
      </c>
      <c r="BE141" s="3853"/>
      <c r="BF141" s="3854">
        <f>ROUND(BA141*'CP FACTORS'!$B$9,6)</f>
        <v>0.96982500000000005</v>
      </c>
      <c r="BG141" s="3854">
        <f>ROUND(BB141*'CP FACTORS'!$B$14,6)</f>
        <v>0</v>
      </c>
      <c r="BH141" s="3854">
        <f>ROUND(BC141*'CP FACTORS'!$B$9,6)</f>
        <v>0.38223600000000002</v>
      </c>
      <c r="BI141" s="3855">
        <f>ROUND(BD141*'CP FACTORS'!$B$14,6)</f>
        <v>0</v>
      </c>
      <c r="BJ141" s="3853"/>
      <c r="BK141" s="3856">
        <f t="shared" si="74"/>
        <v>1023.65</v>
      </c>
      <c r="BL141" s="3857">
        <f t="shared" si="75"/>
        <v>403.45</v>
      </c>
      <c r="BM141" s="3858">
        <f t="shared" si="76"/>
        <v>0.96982500000000005</v>
      </c>
      <c r="BN141" s="3855">
        <f t="shared" si="77"/>
        <v>0.38223600000000002</v>
      </c>
    </row>
    <row r="142" spans="1:66" s="696" customFormat="1">
      <c r="A142" s="2958" t="str">
        <f t="shared" si="78"/>
        <v>351601</v>
      </c>
      <c r="B142" s="2233" t="str">
        <f>'HVAC Deemed Table'!C777</f>
        <v>351601_2024_12_</v>
      </c>
      <c r="C142" s="2724" t="str">
        <f>'HVAC Deemed Table'!G777</f>
        <v>Cooling RES</v>
      </c>
      <c r="D142" s="2724"/>
      <c r="E142" s="2724"/>
      <c r="F142" s="2724"/>
      <c r="G142" s="2724" t="str">
        <f>'HVAC Deemed Table'!E777</f>
        <v>Mini/MultiSplitAC_ROF_MF_CompE</v>
      </c>
      <c r="H142" s="2554" t="str">
        <f>'HVAC Deemed Table'!D777</f>
        <v>MFc</v>
      </c>
      <c r="I142" s="3840">
        <f t="shared" si="67"/>
        <v>1100.3800000000001</v>
      </c>
      <c r="J142" s="3840">
        <f t="shared" si="68"/>
        <v>0</v>
      </c>
      <c r="K142" s="3251">
        <f>'HVAC Deemed Table'!F777</f>
        <v>1100.3800000000001</v>
      </c>
      <c r="L142" s="3251"/>
      <c r="M142" s="3251"/>
      <c r="N142" s="3251"/>
      <c r="O142" s="3841">
        <f t="shared" si="69"/>
        <v>1.0425199999999999</v>
      </c>
      <c r="P142" s="3841">
        <f t="shared" si="70"/>
        <v>0</v>
      </c>
      <c r="Q142" s="3842">
        <f>'HVAC Deemed Table'!I777</f>
        <v>1.0425199999999999</v>
      </c>
      <c r="R142" s="3842"/>
      <c r="S142" s="3842"/>
      <c r="T142" s="3842"/>
      <c r="U142" s="3843">
        <f t="shared" si="71"/>
        <v>0</v>
      </c>
      <c r="V142" s="3843">
        <f t="shared" si="72"/>
        <v>0</v>
      </c>
      <c r="W142" s="3843">
        <f t="shared" si="73"/>
        <v>1.0425199999999999</v>
      </c>
      <c r="X142" s="2846">
        <f>'HVAC Deemed Table'!J777</f>
        <v>18</v>
      </c>
      <c r="Y142" s="2846"/>
      <c r="Z142" s="2846">
        <f t="shared" si="79"/>
        <v>18</v>
      </c>
      <c r="AA142" s="2529">
        <f>'HVAC Deemed Table'!DG777</f>
        <v>3.7718800924951106</v>
      </c>
      <c r="AB142" s="3844">
        <f>'HVAC Deemed Table'!K777</f>
        <v>668</v>
      </c>
      <c r="AC142" s="3845">
        <f t="shared" si="80"/>
        <v>2519.615901786734</v>
      </c>
      <c r="AD142" s="3845">
        <f t="shared" si="85"/>
        <v>0</v>
      </c>
      <c r="AE142" s="3846">
        <f>'HVAC Deemed Table'!DI777</f>
        <v>2519.615901786734</v>
      </c>
      <c r="AF142" s="3846"/>
      <c r="AG142" s="3846"/>
      <c r="AH142" s="3846"/>
      <c r="AI142" s="3847" t="str">
        <f t="shared" si="84"/>
        <v>per measure</v>
      </c>
      <c r="AJ142" s="3220">
        <f>'HVAC Deemed Table'!L777</f>
        <v>2</v>
      </c>
      <c r="AK142" s="3848"/>
      <c r="AL142" s="3848"/>
      <c r="AX142" s="3849" t="str">
        <f t="shared" si="81"/>
        <v>Mini/MultiSplitAC_ROF_MF_CompE</v>
      </c>
      <c r="AY142" s="2724"/>
      <c r="AZ142" s="3850" t="str">
        <f t="shared" si="82"/>
        <v>351601</v>
      </c>
      <c r="BA142" s="3859">
        <f>ROUND((K140*$BC$3)+(K142*$BC$4),2)</f>
        <v>1002.63</v>
      </c>
      <c r="BB142" s="3859">
        <f>ROUND((L140*$BC$3)+(L142*$BC$4),2)</f>
        <v>0</v>
      </c>
      <c r="BC142" s="3859">
        <f>ROUND((M140*$BC$3)+(K142*$BC$4),2)</f>
        <v>595.35</v>
      </c>
      <c r="BD142" s="3859">
        <f>ROUND((N140*$BC$3)+(L142*$BC$4),2)</f>
        <v>0</v>
      </c>
      <c r="BE142" s="3853"/>
      <c r="BF142" s="3854">
        <f>ROUND(BA142*'CP FACTORS'!$B$9,6)</f>
        <v>0.94991000000000003</v>
      </c>
      <c r="BG142" s="3854">
        <f>ROUND(BB142*'CP FACTORS'!$B$14,6)</f>
        <v>0</v>
      </c>
      <c r="BH142" s="3854">
        <f>ROUND(BC142*'CP FACTORS'!$B$9,6)</f>
        <v>0.56404500000000002</v>
      </c>
      <c r="BI142" s="3855">
        <f>ROUND(BD142*'CP FACTORS'!$B$14,6)</f>
        <v>0</v>
      </c>
      <c r="BJ142" s="3853"/>
      <c r="BK142" s="3856">
        <f t="shared" si="74"/>
        <v>1002.63</v>
      </c>
      <c r="BL142" s="3857">
        <f t="shared" si="75"/>
        <v>595.35</v>
      </c>
      <c r="BM142" s="3858">
        <f t="shared" si="76"/>
        <v>0.94991000000000003</v>
      </c>
      <c r="BN142" s="3855">
        <f t="shared" si="77"/>
        <v>0.56404500000000002</v>
      </c>
    </row>
    <row r="143" spans="1:66" s="696" customFormat="1">
      <c r="A143" s="2958" t="str">
        <f t="shared" si="78"/>
        <v>351650</v>
      </c>
      <c r="B143" s="2233" t="str">
        <f>'HVAC Deemed Table'!C778</f>
        <v>351650_2024_12_</v>
      </c>
      <c r="C143" s="2724" t="str">
        <f>'HVAC Deemed Table'!G778</f>
        <v>Cooling RES</v>
      </c>
      <c r="D143" s="2724" t="str">
        <f>'HVAC Deemed Table'!G779</f>
        <v>Heating RES</v>
      </c>
      <c r="E143" s="2724"/>
      <c r="F143" s="2724"/>
      <c r="G143" s="2724" t="str">
        <f>'HVAC Deemed Table'!E778</f>
        <v>Mini/MultiSplitASHP_ROF_MF_NC</v>
      </c>
      <c r="H143" s="2554" t="str">
        <f>'HVAC Deemed Table'!D778</f>
        <v>MF</v>
      </c>
      <c r="I143" s="3840">
        <f t="shared" si="67"/>
        <v>981.75</v>
      </c>
      <c r="J143" s="3840">
        <f t="shared" si="68"/>
        <v>0</v>
      </c>
      <c r="K143" s="3251">
        <f>'HVAC Deemed Table'!F778</f>
        <v>188.86</v>
      </c>
      <c r="L143" s="3251">
        <f>'HVAC Deemed Table'!F779</f>
        <v>792.89</v>
      </c>
      <c r="M143" s="3251"/>
      <c r="N143" s="3251"/>
      <c r="O143" s="3841">
        <f t="shared" si="69"/>
        <v>0.178929</v>
      </c>
      <c r="P143" s="3841">
        <f t="shared" si="70"/>
        <v>0</v>
      </c>
      <c r="Q143" s="3842">
        <f>'HVAC Deemed Table'!I778</f>
        <v>0.178929</v>
      </c>
      <c r="R143" s="3842">
        <f>'HVAC Deemed Table'!I779</f>
        <v>0</v>
      </c>
      <c r="S143" s="3842"/>
      <c r="T143" s="3842"/>
      <c r="U143" s="3843">
        <f t="shared" si="71"/>
        <v>0</v>
      </c>
      <c r="V143" s="3843">
        <f t="shared" si="72"/>
        <v>0</v>
      </c>
      <c r="W143" s="3843">
        <f t="shared" si="73"/>
        <v>0.178929</v>
      </c>
      <c r="X143" s="2846">
        <f>'HVAC Deemed Table'!J778</f>
        <v>18</v>
      </c>
      <c r="Y143" s="2846"/>
      <c r="Z143" s="2846">
        <f t="shared" si="79"/>
        <v>18</v>
      </c>
      <c r="AA143" s="2529">
        <f>'HVAC Deemed Table'!DG778</f>
        <v>1.3667611242924753</v>
      </c>
      <c r="AB143" s="3844">
        <f>'HVAC Deemed Table'!K778</f>
        <v>668</v>
      </c>
      <c r="AC143" s="3845">
        <f t="shared" si="80"/>
        <v>912.99643102737355</v>
      </c>
      <c r="AD143" s="3845">
        <f t="shared" si="85"/>
        <v>0</v>
      </c>
      <c r="AE143" s="3846">
        <f>'HVAC Deemed Table'!DI778</f>
        <v>432.44575438615988</v>
      </c>
      <c r="AF143" s="3846">
        <f>'HVAC Deemed Table'!DI779</f>
        <v>480.55067664121361</v>
      </c>
      <c r="AG143" s="3846"/>
      <c r="AH143" s="3846"/>
      <c r="AI143" s="3847" t="str">
        <f t="shared" si="84"/>
        <v>per measure</v>
      </c>
      <c r="AJ143" s="3220">
        <f>'HVAC Deemed Table'!L778</f>
        <v>1.3282828282828283</v>
      </c>
      <c r="AK143" s="3848"/>
      <c r="AL143" s="3848"/>
      <c r="AX143" s="3849" t="str">
        <f t="shared" si="81"/>
        <v>Mini/MultiSplitASHP_ROF_MF_NC</v>
      </c>
      <c r="AY143" s="2724"/>
      <c r="AZ143" s="3850" t="str">
        <f t="shared" si="82"/>
        <v>351650</v>
      </c>
      <c r="BA143" s="3892">
        <f t="shared" ref="BA143:BD144" si="86">BA155</f>
        <v>765.81</v>
      </c>
      <c r="BB143" s="3892">
        <f t="shared" si="86"/>
        <v>1388.85</v>
      </c>
      <c r="BC143" s="3892">
        <f t="shared" si="86"/>
        <v>268.94</v>
      </c>
      <c r="BD143" s="3892">
        <f t="shared" si="86"/>
        <v>930.61</v>
      </c>
      <c r="BE143" s="3853"/>
      <c r="BF143" s="3854">
        <f>ROUND(BA143*'CP FACTORS'!$B$9,6)</f>
        <v>0.72554200000000002</v>
      </c>
      <c r="BG143" s="3854">
        <f>ROUND(BB143*'CP FACTORS'!$B$14,6)</f>
        <v>0</v>
      </c>
      <c r="BH143" s="3854">
        <f>ROUND(BC143*'CP FACTORS'!$B$9,6)</f>
        <v>0.254799</v>
      </c>
      <c r="BI143" s="3855">
        <f>ROUND(BD143*'CP FACTORS'!$B$14,6)</f>
        <v>0</v>
      </c>
      <c r="BJ143" s="3853"/>
      <c r="BK143" s="3856">
        <f t="shared" si="74"/>
        <v>2154.66</v>
      </c>
      <c r="BL143" s="3857">
        <f t="shared" si="75"/>
        <v>1199.55</v>
      </c>
      <c r="BM143" s="3858">
        <f t="shared" si="76"/>
        <v>0.72554200000000002</v>
      </c>
      <c r="BN143" s="3855">
        <f t="shared" si="77"/>
        <v>0.254799</v>
      </c>
    </row>
    <row r="144" spans="1:66" s="696" customFormat="1">
      <c r="A144" s="2958" t="str">
        <f t="shared" si="78"/>
        <v>351651</v>
      </c>
      <c r="B144" s="2233" t="str">
        <f>'HVAC Deemed Table'!C780</f>
        <v>351651_2024_12_</v>
      </c>
      <c r="C144" s="2724" t="str">
        <f>'HVAC Deemed Table'!G780</f>
        <v>Cooling RES</v>
      </c>
      <c r="D144" s="2724" t="str">
        <f>'HVAC Deemed Table'!G781</f>
        <v>Heating RES</v>
      </c>
      <c r="E144" s="2724"/>
      <c r="F144" s="2724"/>
      <c r="G144" s="2724" t="str">
        <f>'HVAC Deemed Table'!E780</f>
        <v>Mini/MultiSplitASHP_ROF_MF_NC_CompE</v>
      </c>
      <c r="H144" s="2554" t="str">
        <f>'HVAC Deemed Table'!D780</f>
        <v>MFc</v>
      </c>
      <c r="I144" s="3840">
        <f t="shared" si="67"/>
        <v>425.39</v>
      </c>
      <c r="J144" s="3840">
        <f t="shared" si="68"/>
        <v>0</v>
      </c>
      <c r="K144" s="3251">
        <f>'HVAC Deemed Table'!F780</f>
        <v>124.03</v>
      </c>
      <c r="L144" s="3251">
        <f>'HVAC Deemed Table'!F781</f>
        <v>301.36</v>
      </c>
      <c r="M144" s="3251"/>
      <c r="N144" s="3251"/>
      <c r="O144" s="3841">
        <f t="shared" si="69"/>
        <v>0.117508</v>
      </c>
      <c r="P144" s="3841">
        <f t="shared" si="70"/>
        <v>0</v>
      </c>
      <c r="Q144" s="3842">
        <f>'HVAC Deemed Table'!I780</f>
        <v>0.117508</v>
      </c>
      <c r="R144" s="3842">
        <f>'HVAC Deemed Table'!I781</f>
        <v>0</v>
      </c>
      <c r="S144" s="3842"/>
      <c r="T144" s="3842"/>
      <c r="U144" s="3843">
        <f t="shared" si="71"/>
        <v>0</v>
      </c>
      <c r="V144" s="3843">
        <f t="shared" si="72"/>
        <v>0</v>
      </c>
      <c r="W144" s="3843">
        <f t="shared" si="73"/>
        <v>0.117508</v>
      </c>
      <c r="X144" s="2846">
        <f>'HVAC Deemed Table'!J780</f>
        <v>18</v>
      </c>
      <c r="Y144" s="2846"/>
      <c r="Z144" s="2846">
        <f t="shared" si="79"/>
        <v>18</v>
      </c>
      <c r="AA144" s="2529">
        <f>'HVAC Deemed Table'!DG780</f>
        <v>0.69857297780084959</v>
      </c>
      <c r="AB144" s="3844">
        <f>'HVAC Deemed Table'!K780</f>
        <v>668</v>
      </c>
      <c r="AC144" s="3845">
        <f t="shared" si="80"/>
        <v>466.6467491709675</v>
      </c>
      <c r="AD144" s="3845">
        <f t="shared" si="85"/>
        <v>0</v>
      </c>
      <c r="AE144" s="3846">
        <f>'HVAC Deemed Table'!DI780</f>
        <v>284.00003662244734</v>
      </c>
      <c r="AF144" s="3846">
        <f>'HVAC Deemed Table'!DI781</f>
        <v>182.64671254852016</v>
      </c>
      <c r="AG144" s="3846"/>
      <c r="AH144" s="3846"/>
      <c r="AI144" s="3847" t="str">
        <f t="shared" si="84"/>
        <v>per measure</v>
      </c>
      <c r="AJ144" s="3220">
        <f>'HVAC Deemed Table'!L780</f>
        <v>1.0068493150684932</v>
      </c>
      <c r="AK144" s="3848"/>
      <c r="AL144" s="3848"/>
      <c r="AX144" s="3849" t="str">
        <f t="shared" si="81"/>
        <v>Mini/MultiSplitASHP_ROF_MF_NC_CompE</v>
      </c>
      <c r="AY144" s="2724"/>
      <c r="AZ144" s="3850" t="str">
        <f t="shared" si="82"/>
        <v>351651</v>
      </c>
      <c r="BA144" s="3892">
        <f t="shared" si="86"/>
        <v>502.91</v>
      </c>
      <c r="BB144" s="3892">
        <f t="shared" si="86"/>
        <v>527.87</v>
      </c>
      <c r="BC144" s="3892">
        <f t="shared" si="86"/>
        <v>176.61</v>
      </c>
      <c r="BD144" s="3892">
        <f t="shared" si="86"/>
        <v>422.37</v>
      </c>
      <c r="BE144" s="3853"/>
      <c r="BF144" s="3854">
        <f>ROUND(BA144*'CP FACTORS'!$B$9,6)</f>
        <v>0.476466</v>
      </c>
      <c r="BG144" s="3854">
        <f>ROUND(BB144*'CP FACTORS'!$B$14,6)</f>
        <v>0</v>
      </c>
      <c r="BH144" s="3854">
        <f>ROUND(BC144*'CP FACTORS'!$B$9,6)</f>
        <v>0.167324</v>
      </c>
      <c r="BI144" s="3855">
        <f>ROUND(BD144*'CP FACTORS'!$B$14,6)</f>
        <v>0</v>
      </c>
      <c r="BJ144" s="3853"/>
      <c r="BK144" s="3856">
        <f t="shared" si="74"/>
        <v>1030.78</v>
      </c>
      <c r="BL144" s="3857">
        <f t="shared" si="75"/>
        <v>598.98</v>
      </c>
      <c r="BM144" s="3858">
        <f t="shared" si="76"/>
        <v>0.476466</v>
      </c>
      <c r="BN144" s="3855">
        <f t="shared" si="77"/>
        <v>0.167324</v>
      </c>
    </row>
    <row r="145" spans="1:66" s="696" customFormat="1">
      <c r="A145" s="2958" t="str">
        <f t="shared" si="78"/>
        <v>351700</v>
      </c>
      <c r="B145" s="2233" t="str">
        <f>'HVAC Deemed Table'!C782</f>
        <v>351700_2024_12_</v>
      </c>
      <c r="C145" s="2724" t="str">
        <f>'HVAC Deemed Table'!G782</f>
        <v>Cooling RES</v>
      </c>
      <c r="D145" s="2724" t="str">
        <f>'HVAC Deemed Table'!G783</f>
        <v>Heating RES</v>
      </c>
      <c r="E145" s="2724"/>
      <c r="F145" s="2724"/>
      <c r="G145" s="2724" t="str">
        <f>'HVAC Deemed Table'!E782</f>
        <v>Mini/MultiSplitASHP_ROF_MF</v>
      </c>
      <c r="H145" s="2554" t="str">
        <f>'HVAC Deemed Table'!D782</f>
        <v>MF</v>
      </c>
      <c r="I145" s="3840">
        <f t="shared" si="67"/>
        <v>981.75</v>
      </c>
      <c r="J145" s="3840">
        <f t="shared" si="68"/>
        <v>0</v>
      </c>
      <c r="K145" s="3251">
        <f>'HVAC Deemed Table'!F782</f>
        <v>188.86</v>
      </c>
      <c r="L145" s="3251">
        <f>'HVAC Deemed Table'!F783</f>
        <v>792.89</v>
      </c>
      <c r="M145" s="3251"/>
      <c r="N145" s="3251"/>
      <c r="O145" s="3841">
        <f t="shared" si="69"/>
        <v>0.178929</v>
      </c>
      <c r="P145" s="3841">
        <f t="shared" si="70"/>
        <v>0</v>
      </c>
      <c r="Q145" s="3842">
        <f>'HVAC Deemed Table'!I782</f>
        <v>0.178929</v>
      </c>
      <c r="R145" s="3842">
        <f>'HVAC Deemed Table'!I783</f>
        <v>0</v>
      </c>
      <c r="S145" s="3842"/>
      <c r="T145" s="3842"/>
      <c r="U145" s="3843">
        <f t="shared" si="71"/>
        <v>0</v>
      </c>
      <c r="V145" s="3843">
        <f t="shared" si="72"/>
        <v>0</v>
      </c>
      <c r="W145" s="3843">
        <f t="shared" si="73"/>
        <v>0.178929</v>
      </c>
      <c r="X145" s="2846">
        <f>'HVAC Deemed Table'!J782</f>
        <v>18</v>
      </c>
      <c r="Y145" s="2846"/>
      <c r="Z145" s="2846">
        <f t="shared" si="79"/>
        <v>18</v>
      </c>
      <c r="AA145" s="2529">
        <f>'HVAC Deemed Table'!DG782</f>
        <v>1.3667611242924753</v>
      </c>
      <c r="AB145" s="3844">
        <f>'HVAC Deemed Table'!K782</f>
        <v>668</v>
      </c>
      <c r="AC145" s="3845">
        <f t="shared" si="80"/>
        <v>912.99643102737355</v>
      </c>
      <c r="AD145" s="3845">
        <f t="shared" si="85"/>
        <v>0</v>
      </c>
      <c r="AE145" s="3846">
        <f>'HVAC Deemed Table'!DI782</f>
        <v>432.44575438615988</v>
      </c>
      <c r="AF145" s="3846">
        <f>'HVAC Deemed Table'!DI783</f>
        <v>480.55067664121361</v>
      </c>
      <c r="AG145" s="3846"/>
      <c r="AH145" s="3846"/>
      <c r="AI145" s="3847" t="str">
        <f t="shared" si="84"/>
        <v>per measure</v>
      </c>
      <c r="AJ145" s="3220">
        <f>'HVAC Deemed Table'!L782</f>
        <v>1.3282828282828283</v>
      </c>
      <c r="AK145" s="3848"/>
      <c r="AL145" s="3848"/>
      <c r="AX145" s="3849" t="str">
        <f t="shared" si="81"/>
        <v>Mini/MultiSplitASHP_ROF_MF</v>
      </c>
      <c r="AY145" s="2724"/>
      <c r="AZ145" s="3850" t="str">
        <f t="shared" si="82"/>
        <v>351700</v>
      </c>
      <c r="BA145" s="3892">
        <f>BA155</f>
        <v>765.81</v>
      </c>
      <c r="BB145" s="3892">
        <f t="shared" ref="BB145:BD146" si="87">BB155</f>
        <v>1388.85</v>
      </c>
      <c r="BC145" s="3892">
        <f t="shared" si="87"/>
        <v>268.94</v>
      </c>
      <c r="BD145" s="3892">
        <f t="shared" si="87"/>
        <v>930.61</v>
      </c>
      <c r="BE145" s="3853"/>
      <c r="BF145" s="3854">
        <f>ROUND(BA145*'CP FACTORS'!$B$9,6)</f>
        <v>0.72554200000000002</v>
      </c>
      <c r="BG145" s="3854">
        <f>ROUND(BB145*'CP FACTORS'!$B$14,6)</f>
        <v>0</v>
      </c>
      <c r="BH145" s="3854">
        <f>ROUND(BC145*'CP FACTORS'!$B$9,6)</f>
        <v>0.254799</v>
      </c>
      <c r="BI145" s="3855">
        <f>ROUND(BD145*'CP FACTORS'!$B$14,6)</f>
        <v>0</v>
      </c>
      <c r="BJ145" s="3853"/>
      <c r="BK145" s="3856">
        <f t="shared" si="74"/>
        <v>2154.66</v>
      </c>
      <c r="BL145" s="3857">
        <f t="shared" si="75"/>
        <v>1199.55</v>
      </c>
      <c r="BM145" s="3858">
        <f t="shared" si="76"/>
        <v>0.72554200000000002</v>
      </c>
      <c r="BN145" s="3855">
        <f t="shared" si="77"/>
        <v>0.254799</v>
      </c>
    </row>
    <row r="146" spans="1:66" s="696" customFormat="1">
      <c r="A146" s="2958" t="str">
        <f t="shared" si="78"/>
        <v>351701</v>
      </c>
      <c r="B146" s="2233" t="str">
        <f>'HVAC Deemed Table'!C784</f>
        <v>351701_2024_12_</v>
      </c>
      <c r="C146" s="2724" t="str">
        <f>'HVAC Deemed Table'!G784</f>
        <v>Cooling RES</v>
      </c>
      <c r="D146" s="2724" t="str">
        <f>'HVAC Deemed Table'!G785</f>
        <v>Heating RES</v>
      </c>
      <c r="E146" s="2724"/>
      <c r="F146" s="2724"/>
      <c r="G146" s="2724" t="str">
        <f>'HVAC Deemed Table'!E784</f>
        <v>Mini/MultiSplitASHP_ROF_MF_CompE</v>
      </c>
      <c r="H146" s="2554" t="str">
        <f>'HVAC Deemed Table'!D784</f>
        <v>MFc</v>
      </c>
      <c r="I146" s="3840">
        <f t="shared" ref="I146:I213" si="88">K146+L146</f>
        <v>425.39</v>
      </c>
      <c r="J146" s="3840">
        <f t="shared" ref="J146:J213" si="89">M146+N146</f>
        <v>0</v>
      </c>
      <c r="K146" s="3251">
        <f>'HVAC Deemed Table'!F784</f>
        <v>124.03</v>
      </c>
      <c r="L146" s="3251">
        <f>'HVAC Deemed Table'!F785</f>
        <v>301.36</v>
      </c>
      <c r="M146" s="3251"/>
      <c r="N146" s="3251"/>
      <c r="O146" s="3841">
        <f t="shared" ref="O146:O213" si="90">Q146+R146</f>
        <v>0.117508</v>
      </c>
      <c r="P146" s="3841">
        <f t="shared" ref="P146:P213" si="91">S146+T146</f>
        <v>0</v>
      </c>
      <c r="Q146" s="3842">
        <f>'HVAC Deemed Table'!I784</f>
        <v>0.117508</v>
      </c>
      <c r="R146" s="3842">
        <f>'HVAC Deemed Table'!I785</f>
        <v>0</v>
      </c>
      <c r="S146" s="3842"/>
      <c r="T146" s="3842"/>
      <c r="U146" s="3843">
        <f t="shared" ref="U146:U209" si="92">IFERROR(IF(V146+W146&gt;0,0,IF(Z146&gt;0,O146,0)),0)</f>
        <v>0</v>
      </c>
      <c r="V146" s="3843">
        <f t="shared" ref="V146:V209" si="93">IF(W146&gt;0,0,IF(Z146&gt;9,O146,0))</f>
        <v>0</v>
      </c>
      <c r="W146" s="3843">
        <f t="shared" ref="W146:W209" si="94">IF(Z146&gt;14,O146,0)</f>
        <v>0.117508</v>
      </c>
      <c r="X146" s="2846">
        <f>'HVAC Deemed Table'!J784</f>
        <v>18</v>
      </c>
      <c r="Y146" s="2846"/>
      <c r="Z146" s="2846">
        <f t="shared" si="79"/>
        <v>18</v>
      </c>
      <c r="AA146" s="2529">
        <f>'HVAC Deemed Table'!DG784</f>
        <v>0.69857297780084959</v>
      </c>
      <c r="AB146" s="3844">
        <f>'HVAC Deemed Table'!K784</f>
        <v>668</v>
      </c>
      <c r="AC146" s="3845">
        <f t="shared" si="80"/>
        <v>466.6467491709675</v>
      </c>
      <c r="AD146" s="3845">
        <f t="shared" si="85"/>
        <v>0</v>
      </c>
      <c r="AE146" s="3846">
        <f>'HVAC Deemed Table'!DI784</f>
        <v>284.00003662244734</v>
      </c>
      <c r="AF146" s="3846">
        <f>'HVAC Deemed Table'!DI785</f>
        <v>182.64671254852016</v>
      </c>
      <c r="AG146" s="3846"/>
      <c r="AH146" s="3846"/>
      <c r="AI146" s="3847" t="str">
        <f t="shared" si="84"/>
        <v>per measure</v>
      </c>
      <c r="AJ146" s="3220">
        <f>'HVAC Deemed Table'!L784</f>
        <v>1.0068493150684932</v>
      </c>
      <c r="AK146" s="3848"/>
      <c r="AL146" s="3848"/>
      <c r="AX146" s="3849" t="str">
        <f t="shared" si="81"/>
        <v>Mini/MultiSplitASHP_ROF_MF_CompE</v>
      </c>
      <c r="AY146" s="2724"/>
      <c r="AZ146" s="3850" t="str">
        <f t="shared" si="82"/>
        <v>351701</v>
      </c>
      <c r="BA146" s="3892">
        <f>BA156</f>
        <v>502.91</v>
      </c>
      <c r="BB146" s="3892">
        <f t="shared" si="87"/>
        <v>527.87</v>
      </c>
      <c r="BC146" s="3892">
        <f t="shared" si="87"/>
        <v>176.61</v>
      </c>
      <c r="BD146" s="3892">
        <f t="shared" si="87"/>
        <v>422.37</v>
      </c>
      <c r="BE146" s="3853"/>
      <c r="BF146" s="3854">
        <f>ROUND(BA146*'CP FACTORS'!$B$9,6)</f>
        <v>0.476466</v>
      </c>
      <c r="BG146" s="3854">
        <f>ROUND(BB146*'CP FACTORS'!$B$14,6)</f>
        <v>0</v>
      </c>
      <c r="BH146" s="3854">
        <f>ROUND(BC146*'CP FACTORS'!$B$9,6)</f>
        <v>0.167324</v>
      </c>
      <c r="BI146" s="3855">
        <f>ROUND(BD146*'CP FACTORS'!$B$14,6)</f>
        <v>0</v>
      </c>
      <c r="BJ146" s="3853"/>
      <c r="BK146" s="3856">
        <f t="shared" si="74"/>
        <v>1030.78</v>
      </c>
      <c r="BL146" s="3857">
        <f t="shared" si="75"/>
        <v>598.98</v>
      </c>
      <c r="BM146" s="3858">
        <f t="shared" si="76"/>
        <v>0.476466</v>
      </c>
      <c r="BN146" s="3855">
        <f t="shared" si="77"/>
        <v>0.167324</v>
      </c>
    </row>
    <row r="147" spans="1:66" s="696" customFormat="1">
      <c r="A147" s="2958" t="str">
        <f t="shared" si="78"/>
        <v>351750</v>
      </c>
      <c r="B147" s="2233" t="str">
        <f>'HVAC Deemed Table'!C786</f>
        <v>351750_2024_12_</v>
      </c>
      <c r="C147" s="2724" t="str">
        <f>'HVAC Deemed Table'!G786</f>
        <v>Cooling RES</v>
      </c>
      <c r="D147" s="2724" t="str">
        <f>'HVAC Deemed Table'!G787</f>
        <v>Heating RES</v>
      </c>
      <c r="E147" s="2724" t="str">
        <f>'HVAC Deemed Table'!G788</f>
        <v>Cooling RES ER2</v>
      </c>
      <c r="F147" s="2724" t="str">
        <f>'HVAC Deemed Table'!G789</f>
        <v>Heating RES ER2</v>
      </c>
      <c r="G147" s="2724" t="str">
        <f>'HVAC Deemed Table'!E786</f>
        <v>Mini/MultiSplitASHP-Replace_CAC_ElectricHeat_ER1_MF</v>
      </c>
      <c r="H147" s="2554" t="str">
        <f>'HVAC Deemed Table'!D786</f>
        <v>MF</v>
      </c>
      <c r="I147" s="3840">
        <f t="shared" si="88"/>
        <v>6438.32</v>
      </c>
      <c r="J147" s="3840">
        <f t="shared" si="89"/>
        <v>5681.7699999999995</v>
      </c>
      <c r="K147" s="3251">
        <f>'HVAC Deemed Table'!F786</f>
        <v>1150.45</v>
      </c>
      <c r="L147" s="3251">
        <f>'HVAC Deemed Table'!F787</f>
        <v>5287.87</v>
      </c>
      <c r="M147" s="3251">
        <f>'HVAC Deemed Table'!F788</f>
        <v>393.9</v>
      </c>
      <c r="N147" s="3251">
        <f>'HVAC Deemed Table'!F789</f>
        <v>5287.87</v>
      </c>
      <c r="O147" s="3841">
        <f t="shared" si="90"/>
        <v>1.0899570000000001</v>
      </c>
      <c r="P147" s="3841">
        <f t="shared" si="91"/>
        <v>0.37318800000000002</v>
      </c>
      <c r="Q147" s="3842">
        <f>'HVAC Deemed Table'!I786</f>
        <v>1.0899570000000001</v>
      </c>
      <c r="R147" s="3842">
        <f>'HVAC Deemed Table'!I787</f>
        <v>0</v>
      </c>
      <c r="S147" s="3842">
        <f>'HVAC Deemed Table'!I788</f>
        <v>0.37318800000000002</v>
      </c>
      <c r="T147" s="3842">
        <f>'HVAC Deemed Table'!I789</f>
        <v>0</v>
      </c>
      <c r="U147" s="3843">
        <f t="shared" si="92"/>
        <v>0</v>
      </c>
      <c r="V147" s="3843">
        <f t="shared" si="93"/>
        <v>0</v>
      </c>
      <c r="W147" s="3843">
        <f t="shared" si="94"/>
        <v>1.0899570000000001</v>
      </c>
      <c r="X147" s="2846">
        <f>'HVAC Deemed Table'!J786</f>
        <v>6</v>
      </c>
      <c r="Y147" s="2846">
        <f>'HVAC Deemed Table'!J788</f>
        <v>12</v>
      </c>
      <c r="Z147" s="2846">
        <f t="shared" si="79"/>
        <v>18</v>
      </c>
      <c r="AA147" s="2529">
        <f>'HVAC Deemed Table'!DG786</f>
        <v>3.6819649925298052</v>
      </c>
      <c r="AB147" s="3844">
        <f>'HVAC Deemed Table'!K786</f>
        <v>1320</v>
      </c>
      <c r="AC147" s="3845">
        <f t="shared" si="80"/>
        <v>2563.7681309754403</v>
      </c>
      <c r="AD147" s="3845">
        <f t="shared" si="85"/>
        <v>2296.4256591639023</v>
      </c>
      <c r="AE147" s="3846">
        <f>'HVAC Deemed Table'!DI786</f>
        <v>1145.6734435665005</v>
      </c>
      <c r="AF147" s="3846">
        <f>'HVAC Deemed Table'!DI787</f>
        <v>1418.0946874089398</v>
      </c>
      <c r="AG147" s="3846">
        <f>'HVAC Deemed Table'!DI788</f>
        <v>509.67540403254816</v>
      </c>
      <c r="AH147" s="3846">
        <f>'HVAC Deemed Table'!DI789</f>
        <v>1786.7502551313544</v>
      </c>
      <c r="AI147" s="3847" t="str">
        <f t="shared" si="84"/>
        <v>per measure</v>
      </c>
      <c r="AJ147" s="3220">
        <f>'HVAC Deemed Table'!L786</f>
        <v>2</v>
      </c>
      <c r="AK147" s="3848"/>
      <c r="AL147" s="3848"/>
      <c r="AX147" s="3849" t="str">
        <f t="shared" si="81"/>
        <v>Mini/MultiSplitASHP-Replace_CAC_ElectricHeat_ER1_MF</v>
      </c>
      <c r="AY147" s="2724"/>
      <c r="AZ147" s="3850" t="str">
        <f t="shared" si="82"/>
        <v>351750</v>
      </c>
      <c r="BA147" s="3893">
        <f t="shared" ref="BA147:BB150" si="95">ROUND((K147*$BC$3)+(K151*$BC$4),2)</f>
        <v>780.23</v>
      </c>
      <c r="BB147" s="3893">
        <f t="shared" si="95"/>
        <v>4721.55</v>
      </c>
      <c r="BC147" s="3893">
        <f t="shared" ref="BC147:BD150" si="96">ROUND((M147*$BC$3)+(K151*$BC$4),2)</f>
        <v>326.3</v>
      </c>
      <c r="BD147" s="3893">
        <f t="shared" si="96"/>
        <v>4721.55</v>
      </c>
      <c r="BE147" s="3853"/>
      <c r="BF147" s="3854">
        <f>ROUND(BA147*'CP FACTORS'!$B$9,6)</f>
        <v>0.73920399999999997</v>
      </c>
      <c r="BG147" s="3854">
        <f>ROUND(BB147*'CP FACTORS'!$B$14,6)</f>
        <v>0</v>
      </c>
      <c r="BH147" s="3854">
        <f>ROUND(BC147*'CP FACTORS'!$B$9,6)</f>
        <v>0.309143</v>
      </c>
      <c r="BI147" s="3855">
        <f>ROUND(BD147*'CP FACTORS'!$B$14,6)</f>
        <v>0</v>
      </c>
      <c r="BJ147" s="3853"/>
      <c r="BK147" s="3856">
        <f t="shared" ref="BK147:BK211" si="97">BA147+BB147</f>
        <v>5501.7800000000007</v>
      </c>
      <c r="BL147" s="3857">
        <f t="shared" ref="BL147:BL211" si="98">BC147+BD147</f>
        <v>5047.8500000000004</v>
      </c>
      <c r="BM147" s="3858">
        <f t="shared" ref="BM147:BM211" si="99">BF147+BG147</f>
        <v>0.73920399999999997</v>
      </c>
      <c r="BN147" s="3855">
        <f t="shared" ref="BN147:BN211" si="100">BH147+BI147</f>
        <v>0.309143</v>
      </c>
    </row>
    <row r="148" spans="1:66" s="696" customFormat="1">
      <c r="A148" s="2958" t="str">
        <f t="shared" si="78"/>
        <v>351751</v>
      </c>
      <c r="B148" s="2233" t="str">
        <f>'HVAC Deemed Table'!C790</f>
        <v>351751_2024_12_</v>
      </c>
      <c r="C148" s="2724" t="str">
        <f>'HVAC Deemed Table'!G790</f>
        <v>Cooling RES</v>
      </c>
      <c r="D148" s="2724" t="str">
        <f>'HVAC Deemed Table'!G791</f>
        <v>Heating RES</v>
      </c>
      <c r="E148" s="2724" t="str">
        <f>'HVAC Deemed Table'!G792</f>
        <v>Cooling RES ER2</v>
      </c>
      <c r="F148" s="2724" t="str">
        <f>'HVAC Deemed Table'!G793</f>
        <v>Heating RES ER2</v>
      </c>
      <c r="G148" s="2724" t="str">
        <f>'HVAC Deemed Table'!E790</f>
        <v>Mini/MultiSplitASHP-Replace_CAC_ElectricHeat_ER1_MF_CompE</v>
      </c>
      <c r="H148" s="2554" t="str">
        <f>'HVAC Deemed Table'!D790</f>
        <v>MFc</v>
      </c>
      <c r="I148" s="3840">
        <f t="shared" si="88"/>
        <v>2765.29</v>
      </c>
      <c r="J148" s="3840">
        <f t="shared" si="89"/>
        <v>2268.4699999999998</v>
      </c>
      <c r="K148" s="3251">
        <f>'HVAC Deemed Table'!F790</f>
        <v>755.49</v>
      </c>
      <c r="L148" s="3251">
        <f>'HVAC Deemed Table'!F791</f>
        <v>2009.8</v>
      </c>
      <c r="M148" s="3251">
        <f>'HVAC Deemed Table'!F792</f>
        <v>258.67</v>
      </c>
      <c r="N148" s="3251">
        <f>'HVAC Deemed Table'!F793</f>
        <v>2009.8</v>
      </c>
      <c r="O148" s="3841">
        <f t="shared" si="90"/>
        <v>0.71576499999999998</v>
      </c>
      <c r="P148" s="3841">
        <f t="shared" si="91"/>
        <v>0.24506900000000001</v>
      </c>
      <c r="Q148" s="3842">
        <f>'HVAC Deemed Table'!I790</f>
        <v>0.71576499999999998</v>
      </c>
      <c r="R148" s="3842">
        <f>'HVAC Deemed Table'!I791</f>
        <v>0</v>
      </c>
      <c r="S148" s="3842">
        <f>'HVAC Deemed Table'!I792</f>
        <v>0.24506900000000001</v>
      </c>
      <c r="T148" s="3842">
        <f>'HVAC Deemed Table'!I793</f>
        <v>0</v>
      </c>
      <c r="U148" s="3843">
        <f t="shared" si="92"/>
        <v>0</v>
      </c>
      <c r="V148" s="3843">
        <f t="shared" si="93"/>
        <v>0</v>
      </c>
      <c r="W148" s="3843">
        <f t="shared" si="94"/>
        <v>0.71576499999999998</v>
      </c>
      <c r="X148" s="2846">
        <f>'HVAC Deemed Table'!J790</f>
        <v>6</v>
      </c>
      <c r="Y148" s="2846">
        <f>'HVAC Deemed Table'!J792</f>
        <v>12</v>
      </c>
      <c r="Z148" s="2846">
        <f t="shared" si="79"/>
        <v>18</v>
      </c>
      <c r="AA148" s="2529">
        <f>'HVAC Deemed Table'!DG790</f>
        <v>1.7463189228680076</v>
      </c>
      <c r="AB148" s="3844">
        <f>'HVAC Deemed Table'!K790</f>
        <v>1320</v>
      </c>
      <c r="AC148" s="3845">
        <f t="shared" si="80"/>
        <v>1291.33905266785</v>
      </c>
      <c r="AD148" s="3845">
        <f t="shared" si="85"/>
        <v>1013.8019255179202</v>
      </c>
      <c r="AE148" s="3846">
        <f>'HVAC Deemed Table'!DI790</f>
        <v>752.35327904737744</v>
      </c>
      <c r="AF148" s="3846">
        <f>'HVAC Deemed Table'!DI791</f>
        <v>538.9857736204724</v>
      </c>
      <c r="AG148" s="3846">
        <f>'HVAC Deemed Table'!DI792</f>
        <v>334.69849393526084</v>
      </c>
      <c r="AH148" s="3846">
        <f>'HVAC Deemed Table'!DI793</f>
        <v>679.10343158265925</v>
      </c>
      <c r="AI148" s="3847" t="str">
        <f t="shared" si="84"/>
        <v>per measure</v>
      </c>
      <c r="AJ148" s="3220">
        <f>'HVAC Deemed Table'!L790</f>
        <v>2</v>
      </c>
      <c r="AK148" s="3848"/>
      <c r="AL148" s="3848"/>
      <c r="AX148" s="3849" t="str">
        <f t="shared" si="81"/>
        <v>Mini/MultiSplitASHP-Replace_CAC_ElectricHeat_ER1_MF_CompE</v>
      </c>
      <c r="AY148" s="2724"/>
      <c r="AZ148" s="3850" t="str">
        <f t="shared" si="82"/>
        <v>351751</v>
      </c>
      <c r="BA148" s="3893">
        <f t="shared" si="95"/>
        <v>512.37</v>
      </c>
      <c r="BB148" s="3893">
        <f t="shared" si="95"/>
        <v>1929.13</v>
      </c>
      <c r="BC148" s="3893">
        <f t="shared" si="96"/>
        <v>214.28</v>
      </c>
      <c r="BD148" s="3893">
        <f t="shared" si="96"/>
        <v>1929.13</v>
      </c>
      <c r="BE148" s="3853"/>
      <c r="BF148" s="3854">
        <f>ROUND(BA148*'CP FACTORS'!$B$9,6)</f>
        <v>0.485429</v>
      </c>
      <c r="BG148" s="3854">
        <f>ROUND(BB148*'CP FACTORS'!$B$14,6)</f>
        <v>0</v>
      </c>
      <c r="BH148" s="3854">
        <f>ROUND(BC148*'CP FACTORS'!$B$9,6)</f>
        <v>0.203013</v>
      </c>
      <c r="BI148" s="3855">
        <f>ROUND(BD148*'CP FACTORS'!$B$14,6)</f>
        <v>0</v>
      </c>
      <c r="BJ148" s="3853"/>
      <c r="BK148" s="3856">
        <f t="shared" si="97"/>
        <v>2441.5</v>
      </c>
      <c r="BL148" s="3857">
        <f t="shared" si="98"/>
        <v>2143.4100000000003</v>
      </c>
      <c r="BM148" s="3858">
        <f t="shared" si="99"/>
        <v>0.485429</v>
      </c>
      <c r="BN148" s="3855">
        <f t="shared" si="100"/>
        <v>0.203013</v>
      </c>
    </row>
    <row r="149" spans="1:66" s="696" customFormat="1">
      <c r="A149" s="2958" t="str">
        <f t="shared" si="78"/>
        <v>351752</v>
      </c>
      <c r="B149" s="2233" t="str">
        <f>'HVAC Deemed Table'!C794</f>
        <v>351752_2024_12_</v>
      </c>
      <c r="C149" s="3874" t="str">
        <f>'HVAC Deemed Table'!G794</f>
        <v>Cooling RES</v>
      </c>
      <c r="D149" s="3874" t="str">
        <f>'HVAC Deemed Table'!G795</f>
        <v>Heating RES</v>
      </c>
      <c r="E149" s="2724" t="str">
        <f>'HVAC Deemed Table'!G796</f>
        <v>Cooling RES ER2</v>
      </c>
      <c r="F149" s="3874" t="str">
        <f>'HVAC Deemed Table'!G797</f>
        <v>Heating RES ER2</v>
      </c>
      <c r="G149" s="2724" t="str">
        <f>'HVAC Deemed Table'!E794</f>
        <v>Mini/MultiSplitASHP-Replace_CAC_NonElectricHeat_ER1_MF</v>
      </c>
      <c r="H149" s="2554" t="str">
        <f>'HVAC Deemed Table'!D794</f>
        <v>MF</v>
      </c>
      <c r="I149" s="3840">
        <f t="shared" si="88"/>
        <v>1093.24</v>
      </c>
      <c r="J149" s="3840">
        <f t="shared" si="89"/>
        <v>393.9</v>
      </c>
      <c r="K149" s="3251">
        <f>'HVAC Deemed Table'!F794</f>
        <v>1093.24</v>
      </c>
      <c r="L149" s="3251">
        <f>'HVAC Deemed Table'!F795</f>
        <v>0</v>
      </c>
      <c r="M149" s="3251">
        <f>'HVAC Deemed Table'!F796</f>
        <v>393.9</v>
      </c>
      <c r="N149" s="3251">
        <f>'HVAC Deemed Table'!F797</f>
        <v>0</v>
      </c>
      <c r="O149" s="3841">
        <f t="shared" si="90"/>
        <v>1.035755</v>
      </c>
      <c r="P149" s="3841">
        <f t="shared" si="91"/>
        <v>0.37318800000000002</v>
      </c>
      <c r="Q149" s="3842">
        <f>'HVAC Deemed Table'!I794</f>
        <v>1.035755</v>
      </c>
      <c r="R149" s="3842">
        <f>'HVAC Deemed Table'!I795</f>
        <v>0</v>
      </c>
      <c r="S149" s="3842">
        <f>'HVAC Deemed Table'!I796</f>
        <v>0.37318800000000002</v>
      </c>
      <c r="T149" s="3842">
        <f>'HVAC Deemed Table'!I797</f>
        <v>0</v>
      </c>
      <c r="U149" s="3843">
        <f t="shared" si="92"/>
        <v>0</v>
      </c>
      <c r="V149" s="3843">
        <f t="shared" si="93"/>
        <v>0</v>
      </c>
      <c r="W149" s="3843">
        <f t="shared" si="94"/>
        <v>1.035755</v>
      </c>
      <c r="X149" s="2846">
        <f>'HVAC Deemed Table'!J794</f>
        <v>6</v>
      </c>
      <c r="Y149" s="2846">
        <f>'HVAC Deemed Table'!J796</f>
        <v>12</v>
      </c>
      <c r="Z149" s="2846">
        <f t="shared" si="79"/>
        <v>18</v>
      </c>
      <c r="AA149" s="2529">
        <f>'HVAC Deemed Table'!DG794</f>
        <v>9.8686810042551691</v>
      </c>
      <c r="AB149" s="3844">
        <f>'HVAC Deemed Table'!K794</f>
        <v>161.96453986727821</v>
      </c>
      <c r="AC149" s="3845">
        <f t="shared" si="80"/>
        <v>1088.7009739185892</v>
      </c>
      <c r="AD149" s="3845">
        <f t="shared" si="85"/>
        <v>509.67540403254816</v>
      </c>
      <c r="AE149" s="3846">
        <f>'HVAC Deemed Table'!DI794</f>
        <v>1088.7009739185892</v>
      </c>
      <c r="AF149" s="3846">
        <f>'HVAC Deemed Table'!DI795</f>
        <v>0</v>
      </c>
      <c r="AG149" s="3846">
        <f>'HVAC Deemed Table'!DI796</f>
        <v>509.67540403254816</v>
      </c>
      <c r="AH149" s="3846">
        <f>'HVAC Deemed Table'!DI797</f>
        <v>0</v>
      </c>
      <c r="AI149" s="3847" t="str">
        <f t="shared" si="84"/>
        <v>per measure</v>
      </c>
      <c r="AJ149" s="3220">
        <f>'HVAC Deemed Table'!L794</f>
        <v>2</v>
      </c>
      <c r="AK149" s="3848"/>
      <c r="AL149" s="3848"/>
      <c r="AX149" s="3849" t="str">
        <f t="shared" si="81"/>
        <v>Mini/MultiSplitASHP-Replace_CAC_NonElectricHeat_ER1_MF</v>
      </c>
      <c r="AY149" s="2724"/>
      <c r="AZ149" s="3850" t="str">
        <f t="shared" si="82"/>
        <v>351752</v>
      </c>
      <c r="BA149" s="3893">
        <f t="shared" si="95"/>
        <v>745.9</v>
      </c>
      <c r="BB149" s="3893">
        <f t="shared" si="95"/>
        <v>0</v>
      </c>
      <c r="BC149" s="3893">
        <f t="shared" si="96"/>
        <v>326.3</v>
      </c>
      <c r="BD149" s="3893">
        <f t="shared" si="96"/>
        <v>0</v>
      </c>
      <c r="BE149" s="3853"/>
      <c r="BF149" s="3854">
        <f>ROUND(BA149*'CP FACTORS'!$B$9,6)</f>
        <v>0.70667899999999995</v>
      </c>
      <c r="BG149" s="3854">
        <f>ROUND(BB149*'CP FACTORS'!$B$14,6)</f>
        <v>0</v>
      </c>
      <c r="BH149" s="3854">
        <f>ROUND(BC149*'CP FACTORS'!$B$9,6)</f>
        <v>0.309143</v>
      </c>
      <c r="BI149" s="3855">
        <f>ROUND(BD149*'CP FACTORS'!$B$14,6)</f>
        <v>0</v>
      </c>
      <c r="BJ149" s="3853"/>
      <c r="BK149" s="3856">
        <f t="shared" si="97"/>
        <v>745.9</v>
      </c>
      <c r="BL149" s="3857">
        <f t="shared" si="98"/>
        <v>326.3</v>
      </c>
      <c r="BM149" s="3858">
        <f t="shared" si="99"/>
        <v>0.70667899999999995</v>
      </c>
      <c r="BN149" s="3855">
        <f t="shared" si="100"/>
        <v>0.309143</v>
      </c>
    </row>
    <row r="150" spans="1:66" s="696" customFormat="1">
      <c r="A150" s="2958" t="str">
        <f t="shared" si="78"/>
        <v>351753</v>
      </c>
      <c r="B150" s="2233" t="str">
        <f>'HVAC Deemed Table'!C798</f>
        <v>351753_2024_12_</v>
      </c>
      <c r="C150" s="3874" t="str">
        <f>'HVAC Deemed Table'!G798</f>
        <v>Cooling RES</v>
      </c>
      <c r="D150" s="3874" t="str">
        <f>'HVAC Deemed Table'!G799</f>
        <v>Heating RES</v>
      </c>
      <c r="E150" s="2724" t="str">
        <f>'HVAC Deemed Table'!G800</f>
        <v>Cooling RES ER2</v>
      </c>
      <c r="F150" s="3874" t="str">
        <f>'HVAC Deemed Table'!G801</f>
        <v>Heating RES ER2</v>
      </c>
      <c r="G150" s="2724" t="str">
        <f>'HVAC Deemed Table'!E798</f>
        <v>Mini/MultiSplitASHP-Replace_CAC_NonElectricHeat_ER1_MF_CompE</v>
      </c>
      <c r="H150" s="2554" t="str">
        <f>'HVAC Deemed Table'!D798</f>
        <v>MFc</v>
      </c>
      <c r="I150" s="3840">
        <f t="shared" si="88"/>
        <v>755.49</v>
      </c>
      <c r="J150" s="3840">
        <f t="shared" si="89"/>
        <v>258.67</v>
      </c>
      <c r="K150" s="3251">
        <f>'HVAC Deemed Table'!F798</f>
        <v>755.49</v>
      </c>
      <c r="L150" s="3251">
        <f>'HVAC Deemed Table'!F799</f>
        <v>0</v>
      </c>
      <c r="M150" s="3251">
        <f>'HVAC Deemed Table'!F800</f>
        <v>258.67</v>
      </c>
      <c r="N150" s="3251">
        <f>'HVAC Deemed Table'!F801</f>
        <v>0</v>
      </c>
      <c r="O150" s="3841">
        <f t="shared" si="90"/>
        <v>0.71576499999999998</v>
      </c>
      <c r="P150" s="3841">
        <f t="shared" si="91"/>
        <v>0.24506900000000001</v>
      </c>
      <c r="Q150" s="3842">
        <f>'HVAC Deemed Table'!I798</f>
        <v>0.71576499999999998</v>
      </c>
      <c r="R150" s="3842">
        <f>'HVAC Deemed Table'!I799</f>
        <v>0</v>
      </c>
      <c r="S150" s="3842">
        <f>'HVAC Deemed Table'!I800</f>
        <v>0.24506900000000001</v>
      </c>
      <c r="T150" s="3842">
        <f>'HVAC Deemed Table'!I801</f>
        <v>0</v>
      </c>
      <c r="U150" s="3843">
        <f t="shared" si="92"/>
        <v>0</v>
      </c>
      <c r="V150" s="3843">
        <f t="shared" si="93"/>
        <v>0</v>
      </c>
      <c r="W150" s="3843">
        <f t="shared" si="94"/>
        <v>0.71576499999999998</v>
      </c>
      <c r="X150" s="2846">
        <f>'HVAC Deemed Table'!J798</f>
        <v>6</v>
      </c>
      <c r="Y150" s="2846">
        <f>'HVAC Deemed Table'!J800</f>
        <v>12</v>
      </c>
      <c r="Z150" s="2846">
        <f t="shared" si="79"/>
        <v>18</v>
      </c>
      <c r="AA150" s="2529">
        <f>'HVAC Deemed Table'!DG798</f>
        <v>6.7116652439689739</v>
      </c>
      <c r="AB150" s="3844">
        <f>'HVAC Deemed Table'!K798</f>
        <v>161.96453986727821</v>
      </c>
      <c r="AC150" s="3845">
        <f t="shared" si="80"/>
        <v>752.35327904737744</v>
      </c>
      <c r="AD150" s="3845">
        <f t="shared" si="85"/>
        <v>334.69849393526084</v>
      </c>
      <c r="AE150" s="3846">
        <f>'HVAC Deemed Table'!DI798</f>
        <v>752.35327904737744</v>
      </c>
      <c r="AF150" s="3846">
        <f>'HVAC Deemed Table'!DI799</f>
        <v>0</v>
      </c>
      <c r="AG150" s="3846">
        <f>'HVAC Deemed Table'!DI800</f>
        <v>334.69849393526084</v>
      </c>
      <c r="AH150" s="3846">
        <f>'HVAC Deemed Table'!DI801</f>
        <v>0</v>
      </c>
      <c r="AI150" s="3847" t="str">
        <f t="shared" si="84"/>
        <v>per measure</v>
      </c>
      <c r="AJ150" s="3220">
        <f>'HVAC Deemed Table'!L798</f>
        <v>2</v>
      </c>
      <c r="AK150" s="3848"/>
      <c r="AL150" s="3848"/>
      <c r="AX150" s="3849" t="str">
        <f t="shared" si="81"/>
        <v>Mini/MultiSplitASHP-Replace_CAC_NonElectricHeat_ER1_MF_CompE</v>
      </c>
      <c r="AY150" s="2724"/>
      <c r="AZ150" s="3850" t="str">
        <f t="shared" si="82"/>
        <v>351753</v>
      </c>
      <c r="BA150" s="3893">
        <f t="shared" si="95"/>
        <v>512.37</v>
      </c>
      <c r="BB150" s="3893">
        <f t="shared" si="95"/>
        <v>0</v>
      </c>
      <c r="BC150" s="3893">
        <f t="shared" si="96"/>
        <v>214.28</v>
      </c>
      <c r="BD150" s="3893">
        <f t="shared" si="96"/>
        <v>0</v>
      </c>
      <c r="BE150" s="3853"/>
      <c r="BF150" s="3854">
        <f>ROUND(BA150*'CP FACTORS'!$B$9,6)</f>
        <v>0.485429</v>
      </c>
      <c r="BG150" s="3854">
        <f>ROUND(BB150*'CP FACTORS'!$B$14,6)</f>
        <v>0</v>
      </c>
      <c r="BH150" s="3854">
        <f>ROUND(BC150*'CP FACTORS'!$B$9,6)</f>
        <v>0.203013</v>
      </c>
      <c r="BI150" s="3855">
        <f>ROUND(BD150*'CP FACTORS'!$B$14,6)</f>
        <v>0</v>
      </c>
      <c r="BJ150" s="3853"/>
      <c r="BK150" s="3856">
        <f t="shared" si="97"/>
        <v>512.37</v>
      </c>
      <c r="BL150" s="3857">
        <f t="shared" si="98"/>
        <v>214.28</v>
      </c>
      <c r="BM150" s="3858">
        <f t="shared" si="99"/>
        <v>0.485429</v>
      </c>
      <c r="BN150" s="3855">
        <f t="shared" si="100"/>
        <v>0.203013</v>
      </c>
    </row>
    <row r="151" spans="1:66" s="696" customFormat="1">
      <c r="A151" s="2958" t="str">
        <f t="shared" si="78"/>
        <v>351800</v>
      </c>
      <c r="B151" s="2233" t="str">
        <f>'HVAC Deemed Table'!C802</f>
        <v>351800_2024_12_</v>
      </c>
      <c r="C151" s="2724" t="str">
        <f>'HVAC Deemed Table'!G802</f>
        <v>Cooling RES</v>
      </c>
      <c r="D151" s="2724" t="str">
        <f>'HVAC Deemed Table'!G803</f>
        <v>Heating RES</v>
      </c>
      <c r="E151" s="2724"/>
      <c r="F151" s="2724"/>
      <c r="G151" s="2724" t="str">
        <f>'HVAC Deemed Table'!E802</f>
        <v>Mini/MultiSplitASHP-Replace_CAC_ElectricHeat_ROF_MF</v>
      </c>
      <c r="H151" s="2554" t="str">
        <f>'HVAC Deemed Table'!D802</f>
        <v>MF</v>
      </c>
      <c r="I151" s="3840">
        <f t="shared" si="88"/>
        <v>4096.9799999999996</v>
      </c>
      <c r="J151" s="3840">
        <f t="shared" si="89"/>
        <v>0</v>
      </c>
      <c r="K151" s="3251">
        <f>'HVAC Deemed Table'!F802</f>
        <v>224.9</v>
      </c>
      <c r="L151" s="3251">
        <f>'HVAC Deemed Table'!F803</f>
        <v>3872.08</v>
      </c>
      <c r="M151" s="3251"/>
      <c r="N151" s="3251"/>
      <c r="O151" s="3841">
        <f t="shared" si="90"/>
        <v>0.21307400000000001</v>
      </c>
      <c r="P151" s="3841">
        <f t="shared" si="91"/>
        <v>0</v>
      </c>
      <c r="Q151" s="3842">
        <f>'HVAC Deemed Table'!I802</f>
        <v>0.21307400000000001</v>
      </c>
      <c r="R151" s="3842">
        <f>'HVAC Deemed Table'!I803</f>
        <v>0</v>
      </c>
      <c r="S151" s="3842"/>
      <c r="T151" s="3842"/>
      <c r="U151" s="3843">
        <f t="shared" si="92"/>
        <v>0</v>
      </c>
      <c r="V151" s="3843">
        <f t="shared" si="93"/>
        <v>0</v>
      </c>
      <c r="W151" s="3843">
        <f t="shared" si="94"/>
        <v>0.21307400000000001</v>
      </c>
      <c r="X151" s="2846">
        <f>'HVAC Deemed Table'!J802</f>
        <v>18</v>
      </c>
      <c r="Y151" s="2846"/>
      <c r="Z151" s="2846">
        <f t="shared" si="79"/>
        <v>18</v>
      </c>
      <c r="AA151" s="2529">
        <f>'HVAC Deemed Table'!DG802</f>
        <v>4.2840408325489205</v>
      </c>
      <c r="AB151" s="3844">
        <f>'HVAC Deemed Table'!K802</f>
        <v>668</v>
      </c>
      <c r="AC151" s="3845">
        <f t="shared" si="80"/>
        <v>2861.739276142679</v>
      </c>
      <c r="AD151" s="3845">
        <f t="shared" si="85"/>
        <v>0</v>
      </c>
      <c r="AE151" s="3846">
        <f>'HVAC Deemed Table'!DI802</f>
        <v>514.96902552921392</v>
      </c>
      <c r="AF151" s="3846">
        <f>'HVAC Deemed Table'!DI803</f>
        <v>2346.7702506134651</v>
      </c>
      <c r="AG151" s="3846"/>
      <c r="AH151" s="3846"/>
      <c r="AI151" s="3847" t="str">
        <f>AI148</f>
        <v>per measure</v>
      </c>
      <c r="AJ151" s="3220">
        <f>'HVAC Deemed Table'!L802</f>
        <v>1.0068493150684932</v>
      </c>
      <c r="AK151" s="3848"/>
      <c r="AL151" s="3848"/>
      <c r="AX151" s="3849" t="str">
        <f t="shared" si="81"/>
        <v>Mini/MultiSplitASHP-Replace_CAC_ElectricHeat_ROF_MF</v>
      </c>
      <c r="AY151" s="2724"/>
      <c r="AZ151" s="3850" t="str">
        <f t="shared" si="82"/>
        <v>351800</v>
      </c>
      <c r="BA151" s="3885">
        <f>BA147</f>
        <v>780.23</v>
      </c>
      <c r="BB151" s="3885">
        <f>BB147</f>
        <v>4721.55</v>
      </c>
      <c r="BC151" s="3885">
        <f>BC147</f>
        <v>326.3</v>
      </c>
      <c r="BD151" s="3885">
        <f>BD147</f>
        <v>4721.55</v>
      </c>
      <c r="BE151" s="3853"/>
      <c r="BF151" s="3854">
        <f>ROUND(BA151*'CP FACTORS'!$B$9,6)</f>
        <v>0.73920399999999997</v>
      </c>
      <c r="BG151" s="3854">
        <f>ROUND(BB151*'CP FACTORS'!$B$14,6)</f>
        <v>0</v>
      </c>
      <c r="BH151" s="3854">
        <f>ROUND(BC151*'CP FACTORS'!$B$9,6)</f>
        <v>0.309143</v>
      </c>
      <c r="BI151" s="3855">
        <f>ROUND(BD151*'CP FACTORS'!$B$14,6)</f>
        <v>0</v>
      </c>
      <c r="BJ151" s="3853"/>
      <c r="BK151" s="3856">
        <f t="shared" si="97"/>
        <v>5501.7800000000007</v>
      </c>
      <c r="BL151" s="3857">
        <f t="shared" si="98"/>
        <v>5047.8500000000004</v>
      </c>
      <c r="BM151" s="3858">
        <f t="shared" si="99"/>
        <v>0.73920399999999997</v>
      </c>
      <c r="BN151" s="3855">
        <f t="shared" si="100"/>
        <v>0.309143</v>
      </c>
    </row>
    <row r="152" spans="1:66" s="696" customFormat="1">
      <c r="A152" s="2958" t="str">
        <f t="shared" si="78"/>
        <v>351801</v>
      </c>
      <c r="B152" s="2233" t="str">
        <f>'HVAC Deemed Table'!C804</f>
        <v>351801_2024_12_</v>
      </c>
      <c r="C152" s="2724" t="str">
        <f>'HVAC Deemed Table'!G804</f>
        <v>Cooling RES</v>
      </c>
      <c r="D152" s="2724" t="str">
        <f>'HVAC Deemed Table'!G805</f>
        <v>Heating RES</v>
      </c>
      <c r="E152" s="2724"/>
      <c r="F152" s="2724"/>
      <c r="G152" s="2724" t="str">
        <f>'HVAC Deemed Table'!E804</f>
        <v>Mini/MultiSplitASHP-Replace_CAC_ElectricHeat_ROF_MF_CompE</v>
      </c>
      <c r="H152" s="2554" t="str">
        <f>'HVAC Deemed Table'!D804</f>
        <v>MFc</v>
      </c>
      <c r="I152" s="3840">
        <f t="shared" si="88"/>
        <v>1955.81</v>
      </c>
      <c r="J152" s="3840">
        <f t="shared" si="89"/>
        <v>0</v>
      </c>
      <c r="K152" s="3251">
        <f>'HVAC Deemed Table'!F804</f>
        <v>147.69</v>
      </c>
      <c r="L152" s="3251">
        <f>'HVAC Deemed Table'!F805</f>
        <v>1808.12</v>
      </c>
      <c r="M152" s="3251"/>
      <c r="N152" s="3251"/>
      <c r="O152" s="3841">
        <f t="shared" si="90"/>
        <v>0.13992399999999999</v>
      </c>
      <c r="P152" s="3841">
        <f t="shared" si="91"/>
        <v>0</v>
      </c>
      <c r="Q152" s="3842">
        <f>'HVAC Deemed Table'!I804</f>
        <v>0.13992399999999999</v>
      </c>
      <c r="R152" s="3842">
        <f>'HVAC Deemed Table'!I805</f>
        <v>0</v>
      </c>
      <c r="S152" s="3842"/>
      <c r="T152" s="3842"/>
      <c r="U152" s="3843">
        <f t="shared" si="92"/>
        <v>0</v>
      </c>
      <c r="V152" s="3843">
        <f t="shared" si="93"/>
        <v>0</v>
      </c>
      <c r="W152" s="3843">
        <f t="shared" si="94"/>
        <v>0.13992399999999999</v>
      </c>
      <c r="X152" s="2846">
        <f>'HVAC Deemed Table'!J804</f>
        <v>18</v>
      </c>
      <c r="Y152" s="2846"/>
      <c r="Z152" s="2846">
        <f t="shared" si="79"/>
        <v>18</v>
      </c>
      <c r="AA152" s="2529">
        <f>'HVAC Deemed Table'!DG804</f>
        <v>2.1467544926431632</v>
      </c>
      <c r="AB152" s="3844">
        <f>'HVAC Deemed Table'!K804</f>
        <v>668</v>
      </c>
      <c r="AC152" s="3845">
        <f t="shared" si="80"/>
        <v>1434.0320010856331</v>
      </c>
      <c r="AD152" s="3845">
        <f t="shared" si="85"/>
        <v>0</v>
      </c>
      <c r="AE152" s="3846">
        <f>'HVAC Deemed Table'!DI804</f>
        <v>338.17596878794848</v>
      </c>
      <c r="AF152" s="3846">
        <f>'HVAC Deemed Table'!DI805</f>
        <v>1095.8560322976846</v>
      </c>
      <c r="AG152" s="3846"/>
      <c r="AH152" s="3846"/>
      <c r="AI152" s="3847" t="str">
        <f>AI151</f>
        <v>per measure</v>
      </c>
      <c r="AJ152" s="3220">
        <f>'HVAC Deemed Table'!L804</f>
        <v>1.0068493150684932</v>
      </c>
      <c r="AK152" s="3848"/>
      <c r="AL152" s="3848"/>
      <c r="AX152" s="3849" t="str">
        <f t="shared" si="81"/>
        <v>Mini/MultiSplitASHP-Replace_CAC_ElectricHeat_ROF_MF_CompE</v>
      </c>
      <c r="AY152" s="2724"/>
      <c r="AZ152" s="3850" t="str">
        <f t="shared" si="82"/>
        <v>351801</v>
      </c>
      <c r="BA152" s="3885">
        <f t="shared" ref="BA152:BD154" si="101">BA148</f>
        <v>512.37</v>
      </c>
      <c r="BB152" s="3885">
        <f t="shared" si="101"/>
        <v>1929.13</v>
      </c>
      <c r="BC152" s="3885">
        <f t="shared" si="101"/>
        <v>214.28</v>
      </c>
      <c r="BD152" s="3885">
        <f t="shared" si="101"/>
        <v>1929.13</v>
      </c>
      <c r="BE152" s="3853"/>
      <c r="BF152" s="3854">
        <f>ROUND(BA152*'CP FACTORS'!$B$9,6)</f>
        <v>0.485429</v>
      </c>
      <c r="BG152" s="3854">
        <f>ROUND(BB152*'CP FACTORS'!$B$14,6)</f>
        <v>0</v>
      </c>
      <c r="BH152" s="3854">
        <f>ROUND(BC152*'CP FACTORS'!$B$9,6)</f>
        <v>0.203013</v>
      </c>
      <c r="BI152" s="3855">
        <f>ROUND(BD152*'CP FACTORS'!$B$14,6)</f>
        <v>0</v>
      </c>
      <c r="BJ152" s="3853"/>
      <c r="BK152" s="3856">
        <f t="shared" si="97"/>
        <v>2441.5</v>
      </c>
      <c r="BL152" s="3857">
        <f t="shared" si="98"/>
        <v>2143.4100000000003</v>
      </c>
      <c r="BM152" s="3858">
        <f t="shared" si="99"/>
        <v>0.485429</v>
      </c>
      <c r="BN152" s="3855">
        <f t="shared" si="100"/>
        <v>0.203013</v>
      </c>
    </row>
    <row r="153" spans="1:66" s="696" customFormat="1">
      <c r="A153" s="2958" t="str">
        <f t="shared" si="78"/>
        <v>351802</v>
      </c>
      <c r="B153" s="2233" t="str">
        <f>'HVAC Deemed Table'!C806</f>
        <v>351802_2024_12_</v>
      </c>
      <c r="C153" s="3874" t="str">
        <f>'HVAC Deemed Table'!G806</f>
        <v>Cooling RES</v>
      </c>
      <c r="D153" s="3874" t="str">
        <f>'HVAC Deemed Table'!G807</f>
        <v>Heating RES</v>
      </c>
      <c r="E153" s="2724"/>
      <c r="F153" s="2724"/>
      <c r="G153" s="2724" t="str">
        <f>'HVAC Deemed Table'!E806</f>
        <v>Mini/MultiSplitASHP-Replace_CAC_NonElectricHeat_ROF_MF</v>
      </c>
      <c r="H153" s="2554" t="str">
        <f>'HVAC Deemed Table'!D806</f>
        <v>MF</v>
      </c>
      <c r="I153" s="3840">
        <f t="shared" si="88"/>
        <v>224.9</v>
      </c>
      <c r="J153" s="3840">
        <f t="shared" si="89"/>
        <v>0</v>
      </c>
      <c r="K153" s="3251">
        <f>'HVAC Deemed Table'!F806</f>
        <v>224.9</v>
      </c>
      <c r="L153" s="3251">
        <f>'HVAC Deemed Table'!F807</f>
        <v>0</v>
      </c>
      <c r="M153" s="3251"/>
      <c r="N153" s="3251"/>
      <c r="O153" s="3841">
        <f t="shared" si="90"/>
        <v>0.21307400000000001</v>
      </c>
      <c r="P153" s="3841">
        <f t="shared" si="91"/>
        <v>0</v>
      </c>
      <c r="Q153" s="3842">
        <f>'HVAC Deemed Table'!I806</f>
        <v>0.21307400000000001</v>
      </c>
      <c r="R153" s="3842">
        <f>'HVAC Deemed Table'!I807</f>
        <v>0</v>
      </c>
      <c r="S153" s="3842"/>
      <c r="T153" s="3842"/>
      <c r="U153" s="3843">
        <f t="shared" si="92"/>
        <v>0</v>
      </c>
      <c r="V153" s="3843">
        <f t="shared" si="93"/>
        <v>0</v>
      </c>
      <c r="W153" s="3843">
        <f t="shared" si="94"/>
        <v>0.21307400000000001</v>
      </c>
      <c r="X153" s="2846">
        <f>'HVAC Deemed Table'!J806</f>
        <v>18</v>
      </c>
      <c r="Y153" s="2846"/>
      <c r="Z153" s="2846">
        <f t="shared" si="79"/>
        <v>18</v>
      </c>
      <c r="AA153" s="2529">
        <f>'HVAC Deemed Table'!DG806</f>
        <v>14.043618841991508</v>
      </c>
      <c r="AB153" s="3844">
        <f>'HVAC Deemed Table'!K806</f>
        <v>36.669253938266728</v>
      </c>
      <c r="AC153" s="3845">
        <f t="shared" si="80"/>
        <v>514.96902552921392</v>
      </c>
      <c r="AD153" s="3845">
        <f t="shared" si="85"/>
        <v>0</v>
      </c>
      <c r="AE153" s="3846">
        <f>'HVAC Deemed Table'!DI806</f>
        <v>514.96902552921392</v>
      </c>
      <c r="AF153" s="3846">
        <f>'HVAC Deemed Table'!DI807</f>
        <v>0</v>
      </c>
      <c r="AG153" s="3846"/>
      <c r="AH153" s="3846"/>
      <c r="AI153" s="3847" t="str">
        <f>AI152</f>
        <v>per measure</v>
      </c>
      <c r="AJ153" s="3220">
        <f>'HVAC Deemed Table'!L806</f>
        <v>1.0068493150684932</v>
      </c>
      <c r="AK153" s="3848"/>
      <c r="AL153" s="3848"/>
      <c r="AX153" s="3849" t="str">
        <f t="shared" si="81"/>
        <v>Mini/MultiSplitASHP-Replace_CAC_NonElectricHeat_ROF_MF</v>
      </c>
      <c r="AY153" s="2724"/>
      <c r="AZ153" s="3850" t="str">
        <f t="shared" si="82"/>
        <v>351802</v>
      </c>
      <c r="BA153" s="3885">
        <f t="shared" si="101"/>
        <v>745.9</v>
      </c>
      <c r="BB153" s="3885">
        <f t="shared" si="101"/>
        <v>0</v>
      </c>
      <c r="BC153" s="3885">
        <f t="shared" si="101"/>
        <v>326.3</v>
      </c>
      <c r="BD153" s="3885">
        <f t="shared" si="101"/>
        <v>0</v>
      </c>
      <c r="BE153" s="3853"/>
      <c r="BF153" s="3854">
        <f>ROUND(BA153*'CP FACTORS'!$B$9,6)</f>
        <v>0.70667899999999995</v>
      </c>
      <c r="BG153" s="3854">
        <f>ROUND(BB153*'CP FACTORS'!$B$14,6)</f>
        <v>0</v>
      </c>
      <c r="BH153" s="3854">
        <f>ROUND(BC153*'CP FACTORS'!$B$9,6)</f>
        <v>0.309143</v>
      </c>
      <c r="BI153" s="3855">
        <f>ROUND(BD153*'CP FACTORS'!$B$14,6)</f>
        <v>0</v>
      </c>
      <c r="BJ153" s="3853"/>
      <c r="BK153" s="3856">
        <f t="shared" si="97"/>
        <v>745.9</v>
      </c>
      <c r="BL153" s="3857">
        <f t="shared" si="98"/>
        <v>326.3</v>
      </c>
      <c r="BM153" s="3858">
        <f t="shared" si="99"/>
        <v>0.70667899999999995</v>
      </c>
      <c r="BN153" s="3855">
        <f t="shared" si="100"/>
        <v>0.309143</v>
      </c>
    </row>
    <row r="154" spans="1:66" s="696" customFormat="1">
      <c r="A154" s="2958" t="str">
        <f t="shared" si="78"/>
        <v>351803</v>
      </c>
      <c r="B154" s="2233" t="str">
        <f>'HVAC Deemed Table'!C808</f>
        <v>351803_2024_12_</v>
      </c>
      <c r="C154" s="3874" t="str">
        <f>'HVAC Deemed Table'!G808</f>
        <v>Cooling RES</v>
      </c>
      <c r="D154" s="3874" t="str">
        <f>'HVAC Deemed Table'!G809</f>
        <v>Heating RES</v>
      </c>
      <c r="E154" s="2724"/>
      <c r="F154" s="2724"/>
      <c r="G154" s="2724" t="str">
        <f>'HVAC Deemed Table'!E808</f>
        <v>Mini/MultiSplitASHP-Replace_CAC_NonElectricHeat_ROF_MF_CompE</v>
      </c>
      <c r="H154" s="2554" t="str">
        <f>'HVAC Deemed Table'!D808</f>
        <v>MFc</v>
      </c>
      <c r="I154" s="3840">
        <f t="shared" si="88"/>
        <v>147.69</v>
      </c>
      <c r="J154" s="3840">
        <f t="shared" si="89"/>
        <v>0</v>
      </c>
      <c r="K154" s="3251">
        <f>'HVAC Deemed Table'!F808</f>
        <v>147.69</v>
      </c>
      <c r="L154" s="3251">
        <f>'HVAC Deemed Table'!F809</f>
        <v>0</v>
      </c>
      <c r="M154" s="3251"/>
      <c r="N154" s="3251"/>
      <c r="O154" s="3841">
        <f t="shared" si="90"/>
        <v>0.13992399999999999</v>
      </c>
      <c r="P154" s="3841">
        <f t="shared" si="91"/>
        <v>0</v>
      </c>
      <c r="Q154" s="3842">
        <f>'HVAC Deemed Table'!I808</f>
        <v>0.13992399999999999</v>
      </c>
      <c r="R154" s="3842">
        <f>'HVAC Deemed Table'!I809</f>
        <v>0</v>
      </c>
      <c r="S154" s="3842"/>
      <c r="T154" s="3842"/>
      <c r="U154" s="3843">
        <f t="shared" si="92"/>
        <v>0</v>
      </c>
      <c r="V154" s="3843">
        <f t="shared" si="93"/>
        <v>0</v>
      </c>
      <c r="W154" s="3843">
        <f t="shared" si="94"/>
        <v>0.13992399999999999</v>
      </c>
      <c r="X154" s="2846">
        <f>'HVAC Deemed Table'!J808</f>
        <v>18</v>
      </c>
      <c r="Y154" s="2846"/>
      <c r="Z154" s="2846">
        <f t="shared" si="79"/>
        <v>18</v>
      </c>
      <c r="AA154" s="2529">
        <f>'HVAC Deemed Table'!DG808</f>
        <v>9.2223302213149214</v>
      </c>
      <c r="AB154" s="3844">
        <f>'HVAC Deemed Table'!K808</f>
        <v>36.669253938266728</v>
      </c>
      <c r="AC154" s="3845">
        <f t="shared" si="80"/>
        <v>338.17596878794848</v>
      </c>
      <c r="AD154" s="3845">
        <f t="shared" si="85"/>
        <v>0</v>
      </c>
      <c r="AE154" s="3846">
        <f>'HVAC Deemed Table'!DI808</f>
        <v>338.17596878794848</v>
      </c>
      <c r="AF154" s="3846">
        <f>'HVAC Deemed Table'!DI809</f>
        <v>0</v>
      </c>
      <c r="AG154" s="3846"/>
      <c r="AH154" s="3846"/>
      <c r="AI154" s="3847" t="str">
        <f>AI153</f>
        <v>per measure</v>
      </c>
      <c r="AJ154" s="3220">
        <f>'HVAC Deemed Table'!L808</f>
        <v>1.0068493150684932</v>
      </c>
      <c r="AK154" s="3848"/>
      <c r="AL154" s="3848"/>
      <c r="AX154" s="3849" t="str">
        <f t="shared" si="81"/>
        <v>Mini/MultiSplitASHP-Replace_CAC_NonElectricHeat_ROF_MF_CompE</v>
      </c>
      <c r="AY154" s="2724"/>
      <c r="AZ154" s="3850" t="str">
        <f t="shared" si="82"/>
        <v>351803</v>
      </c>
      <c r="BA154" s="3885">
        <f t="shared" si="101"/>
        <v>512.37</v>
      </c>
      <c r="BB154" s="3885">
        <f t="shared" si="101"/>
        <v>0</v>
      </c>
      <c r="BC154" s="3885">
        <f t="shared" si="101"/>
        <v>214.28</v>
      </c>
      <c r="BD154" s="3885">
        <f t="shared" si="101"/>
        <v>0</v>
      </c>
      <c r="BE154" s="3853"/>
      <c r="BF154" s="3854">
        <f>ROUND(BA154*'CP FACTORS'!$B$9,6)</f>
        <v>0.485429</v>
      </c>
      <c r="BG154" s="3854">
        <f>ROUND(BB154*'CP FACTORS'!$B$14,6)</f>
        <v>0</v>
      </c>
      <c r="BH154" s="3854">
        <f>ROUND(BC154*'CP FACTORS'!$B$9,6)</f>
        <v>0.203013</v>
      </c>
      <c r="BI154" s="3855">
        <f>ROUND(BD154*'CP FACTORS'!$B$14,6)</f>
        <v>0</v>
      </c>
      <c r="BJ154" s="3853"/>
      <c r="BK154" s="3856">
        <f t="shared" si="97"/>
        <v>512.37</v>
      </c>
      <c r="BL154" s="3857">
        <f t="shared" si="98"/>
        <v>214.28</v>
      </c>
      <c r="BM154" s="3858">
        <f t="shared" si="99"/>
        <v>0.485429</v>
      </c>
      <c r="BN154" s="3855">
        <f t="shared" si="100"/>
        <v>0.203013</v>
      </c>
    </row>
    <row r="155" spans="1:66" s="696" customFormat="1">
      <c r="A155" s="2958" t="str">
        <f t="shared" si="78"/>
        <v>351850</v>
      </c>
      <c r="B155" s="2233" t="str">
        <f>'HVAC Deemed Table'!C810</f>
        <v>351850_2024_12_</v>
      </c>
      <c r="C155" s="2724" t="str">
        <f>'HVAC Deemed Table'!G810</f>
        <v>Cooling RES</v>
      </c>
      <c r="D155" s="2724" t="str">
        <f>'HVAC Deemed Table'!G811</f>
        <v>Heating RES</v>
      </c>
      <c r="E155" s="2724" t="str">
        <f>'HVAC Deemed Table'!G812</f>
        <v>Cooling RES ER2</v>
      </c>
      <c r="F155" s="2724" t="str">
        <f>'HVAC Deemed Table'!G813</f>
        <v>Heating RES ER2</v>
      </c>
      <c r="G155" s="2724" t="str">
        <f>'HVAC Deemed Table'!E810</f>
        <v>Mini/MultiSplitASHP_ER1_MF</v>
      </c>
      <c r="H155" s="2554" t="str">
        <f>'HVAC Deemed Table'!D810</f>
        <v>MF</v>
      </c>
      <c r="I155" s="3840">
        <f t="shared" si="88"/>
        <v>2936.6000000000004</v>
      </c>
      <c r="J155" s="3840">
        <f t="shared" si="89"/>
        <v>1344.75</v>
      </c>
      <c r="K155" s="3251">
        <f>'HVAC Deemed Table'!F810</f>
        <v>1150.45</v>
      </c>
      <c r="L155" s="3251">
        <f>'HVAC Deemed Table'!F811</f>
        <v>1786.15</v>
      </c>
      <c r="M155" s="3251">
        <f>'HVAC Deemed Table'!F812</f>
        <v>322.32</v>
      </c>
      <c r="N155" s="3251">
        <f>'HVAC Deemed Table'!F813</f>
        <v>1022.43</v>
      </c>
      <c r="O155" s="3841">
        <f t="shared" si="90"/>
        <v>1.0899570000000001</v>
      </c>
      <c r="P155" s="3841">
        <f t="shared" si="91"/>
        <v>0.30537199999999998</v>
      </c>
      <c r="Q155" s="3842">
        <f>'HVAC Deemed Table'!I810</f>
        <v>1.0899570000000001</v>
      </c>
      <c r="R155" s="3842">
        <f>'HVAC Deemed Table'!I811</f>
        <v>0</v>
      </c>
      <c r="S155" s="3842">
        <f>'HVAC Deemed Table'!I812</f>
        <v>0.30537199999999998</v>
      </c>
      <c r="T155" s="3842">
        <f>'HVAC Deemed Table'!I813</f>
        <v>0</v>
      </c>
      <c r="U155" s="3843">
        <f t="shared" si="92"/>
        <v>0</v>
      </c>
      <c r="V155" s="3843">
        <f t="shared" si="93"/>
        <v>0</v>
      </c>
      <c r="W155" s="3843">
        <f t="shared" si="94"/>
        <v>1.0899570000000001</v>
      </c>
      <c r="X155" s="2846">
        <f>'HVAC Deemed Table'!J810</f>
        <v>6</v>
      </c>
      <c r="Y155" s="2846">
        <f>'HVAC Deemed Table'!J812</f>
        <v>12</v>
      </c>
      <c r="Z155" s="2846">
        <f t="shared" si="79"/>
        <v>18</v>
      </c>
      <c r="AA155" s="2529">
        <f>'HVAC Deemed Table'!DG810</f>
        <v>1.7283390491069275</v>
      </c>
      <c r="AB155" s="3844">
        <f>'HVAC Deemed Table'!K810</f>
        <v>1381.2177729469663</v>
      </c>
      <c r="AC155" s="3845">
        <f t="shared" si="80"/>
        <v>1624.6810261877597</v>
      </c>
      <c r="AD155" s="3845">
        <f t="shared" si="85"/>
        <v>762.53158611698791</v>
      </c>
      <c r="AE155" s="3846">
        <f>'HVAC Deemed Table'!DI810</f>
        <v>1145.6734435665005</v>
      </c>
      <c r="AF155" s="3846">
        <f>'HVAC Deemed Table'!DI811</f>
        <v>479.00758262125919</v>
      </c>
      <c r="AG155" s="3846">
        <f>'HVAC Deemed Table'!DI812</f>
        <v>417.05655300271877</v>
      </c>
      <c r="AH155" s="3846">
        <f>'HVAC Deemed Table'!DI813</f>
        <v>345.47503311426919</v>
      </c>
      <c r="AI155" s="3847" t="str">
        <f>AI152</f>
        <v>per measure</v>
      </c>
      <c r="AJ155" s="3220">
        <f>'HVAC Deemed Table'!L810</f>
        <v>2</v>
      </c>
      <c r="AK155" s="3848"/>
      <c r="AL155" s="3848"/>
      <c r="AX155" s="3849" t="str">
        <f t="shared" si="81"/>
        <v>Mini/MultiSplitASHP_ER1_MF</v>
      </c>
      <c r="AY155" s="2724"/>
      <c r="AZ155" s="3850" t="str">
        <f t="shared" si="82"/>
        <v>351850</v>
      </c>
      <c r="BA155" s="3892">
        <f>ROUND((K155*$BC$3)+(K145*$BC$4),2)</f>
        <v>765.81</v>
      </c>
      <c r="BB155" s="3892">
        <f>ROUND((L155*$BC$3)+(L145*$BC$4),2)</f>
        <v>1388.85</v>
      </c>
      <c r="BC155" s="3892">
        <f>ROUND((M155*$BC$3)+(K145*$BC$4),2)</f>
        <v>268.94</v>
      </c>
      <c r="BD155" s="3892">
        <f>ROUND((N155*$BC$3)+(L145*$BC$4),2)</f>
        <v>930.61</v>
      </c>
      <c r="BE155" s="3853"/>
      <c r="BF155" s="3854">
        <f>ROUND(BA155*'CP FACTORS'!$B$9,6)</f>
        <v>0.72554200000000002</v>
      </c>
      <c r="BG155" s="3854">
        <f>ROUND(BB155*'CP FACTORS'!$B$14,6)</f>
        <v>0</v>
      </c>
      <c r="BH155" s="3854">
        <f>ROUND(BC155*'CP FACTORS'!$B$9,6)</f>
        <v>0.254799</v>
      </c>
      <c r="BI155" s="3855">
        <f>ROUND(BD155*'CP FACTORS'!$B$14,6)</f>
        <v>0</v>
      </c>
      <c r="BJ155" s="3853"/>
      <c r="BK155" s="3856">
        <f t="shared" si="97"/>
        <v>2154.66</v>
      </c>
      <c r="BL155" s="3857">
        <f t="shared" si="98"/>
        <v>1199.55</v>
      </c>
      <c r="BM155" s="3858">
        <f t="shared" si="99"/>
        <v>0.72554200000000002</v>
      </c>
      <c r="BN155" s="3855">
        <f t="shared" si="100"/>
        <v>0.254799</v>
      </c>
    </row>
    <row r="156" spans="1:66" s="696" customFormat="1">
      <c r="A156" s="2958" t="str">
        <f t="shared" si="78"/>
        <v>351851</v>
      </c>
      <c r="B156" s="2233" t="str">
        <f>'HVAC Deemed Table'!C814</f>
        <v>351851_2024_12_</v>
      </c>
      <c r="C156" s="2724" t="str">
        <f>'HVAC Deemed Table'!G814</f>
        <v>Cooling RES</v>
      </c>
      <c r="D156" s="2724" t="str">
        <f>'HVAC Deemed Table'!G815</f>
        <v>Heating RES</v>
      </c>
      <c r="E156" s="2724" t="str">
        <f>'HVAC Deemed Table'!G816</f>
        <v>Cooling RES ER2</v>
      </c>
      <c r="F156" s="2724" t="str">
        <f>'HVAC Deemed Table'!G817</f>
        <v>Heating RES ER2</v>
      </c>
      <c r="G156" s="2724" t="str">
        <f>'HVAC Deemed Table'!E814</f>
        <v>Mini/MultiSplitASHP_ER1_MF_CompE</v>
      </c>
      <c r="H156" s="2554" t="str">
        <f>'HVAC Deemed Table'!D814</f>
        <v>MFc</v>
      </c>
      <c r="I156" s="3840">
        <f t="shared" si="88"/>
        <v>1434.3600000000001</v>
      </c>
      <c r="J156" s="3840">
        <f t="shared" si="89"/>
        <v>714.71</v>
      </c>
      <c r="K156" s="3251">
        <f>'HVAC Deemed Table'!F814</f>
        <v>755.49</v>
      </c>
      <c r="L156" s="3251">
        <f>'HVAC Deemed Table'!F815</f>
        <v>678.87</v>
      </c>
      <c r="M156" s="3251">
        <f>'HVAC Deemed Table'!F816</f>
        <v>211.67</v>
      </c>
      <c r="N156" s="3251">
        <f>'HVAC Deemed Table'!F817</f>
        <v>503.04</v>
      </c>
      <c r="O156" s="3841">
        <f t="shared" si="90"/>
        <v>0.71576499999999998</v>
      </c>
      <c r="P156" s="3841">
        <f t="shared" si="91"/>
        <v>0.20054</v>
      </c>
      <c r="Q156" s="3842">
        <f>'HVAC Deemed Table'!I814</f>
        <v>0.71576499999999998</v>
      </c>
      <c r="R156" s="3842">
        <f>'HVAC Deemed Table'!I815</f>
        <v>0</v>
      </c>
      <c r="S156" s="3842">
        <f>'HVAC Deemed Table'!I816</f>
        <v>0.20054</v>
      </c>
      <c r="T156" s="3842">
        <f>'HVAC Deemed Table'!I817</f>
        <v>0</v>
      </c>
      <c r="U156" s="3843">
        <f t="shared" si="92"/>
        <v>0</v>
      </c>
      <c r="V156" s="3843">
        <f t="shared" si="93"/>
        <v>0</v>
      </c>
      <c r="W156" s="3843">
        <f t="shared" si="94"/>
        <v>0.71576499999999998</v>
      </c>
      <c r="X156" s="2846">
        <f>'HVAC Deemed Table'!J814</f>
        <v>6</v>
      </c>
      <c r="Y156" s="2846">
        <f>'HVAC Deemed Table'!J816</f>
        <v>12</v>
      </c>
      <c r="Z156" s="2846">
        <f t="shared" si="79"/>
        <v>18</v>
      </c>
      <c r="AA156" s="2529">
        <f>'HVAC Deemed Table'!DG814</f>
        <v>0.99786672890947503</v>
      </c>
      <c r="AB156" s="3844">
        <f>'HVAC Deemed Table'!K814</f>
        <v>1381.2177729469663</v>
      </c>
      <c r="AC156" s="3845">
        <f t="shared" si="80"/>
        <v>934.41182822527082</v>
      </c>
      <c r="AD156" s="3845">
        <f t="shared" si="85"/>
        <v>443.85943277694855</v>
      </c>
      <c r="AE156" s="3846">
        <f>'HVAC Deemed Table'!DI814</f>
        <v>752.35327904737744</v>
      </c>
      <c r="AF156" s="3846">
        <f>'HVAC Deemed Table'!DI815</f>
        <v>182.05854917789335</v>
      </c>
      <c r="AG156" s="3846">
        <f>'HVAC Deemed Table'!DI816</f>
        <v>273.88421622637588</v>
      </c>
      <c r="AH156" s="3846">
        <f>'HVAC Deemed Table'!DI817</f>
        <v>169.97521655057264</v>
      </c>
      <c r="AI156" s="3847" t="str">
        <f t="shared" ref="AI156:AI220" si="102">AI155</f>
        <v>per measure</v>
      </c>
      <c r="AJ156" s="3220">
        <f>'HVAC Deemed Table'!L814</f>
        <v>2</v>
      </c>
      <c r="AK156" s="3848"/>
      <c r="AL156" s="3848"/>
      <c r="AX156" s="3849" t="str">
        <f t="shared" si="81"/>
        <v>Mini/MultiSplitASHP_ER1_MF_CompE</v>
      </c>
      <c r="AY156" s="2724"/>
      <c r="AZ156" s="3850" t="str">
        <f t="shared" si="82"/>
        <v>351851</v>
      </c>
      <c r="BA156" s="3892">
        <f>ROUND((K156*$BC$3)+(K146*$BC$4),2)</f>
        <v>502.91</v>
      </c>
      <c r="BB156" s="3892">
        <f>ROUND((L156*$BC$3)+(L146*$BC$4),2)</f>
        <v>527.87</v>
      </c>
      <c r="BC156" s="3892">
        <f>ROUND((M156*$BC$3)+(K146*$BC$4),2)</f>
        <v>176.61</v>
      </c>
      <c r="BD156" s="3892">
        <f>ROUND((N156*$BC$3)+(L146*$BC$4),2)</f>
        <v>422.37</v>
      </c>
      <c r="BE156" s="3853"/>
      <c r="BF156" s="3854">
        <f>ROUND(BA156*'CP FACTORS'!$B$9,6)</f>
        <v>0.476466</v>
      </c>
      <c r="BG156" s="3854">
        <f>ROUND(BB156*'CP FACTORS'!$B$14,6)</f>
        <v>0</v>
      </c>
      <c r="BH156" s="3854">
        <f>ROUND(BC156*'CP FACTORS'!$B$9,6)</f>
        <v>0.167324</v>
      </c>
      <c r="BI156" s="3855">
        <f>ROUND(BD156*'CP FACTORS'!$B$14,6)</f>
        <v>0</v>
      </c>
      <c r="BJ156" s="3853"/>
      <c r="BK156" s="3856">
        <f t="shared" si="97"/>
        <v>1030.78</v>
      </c>
      <c r="BL156" s="3857">
        <f t="shared" si="98"/>
        <v>598.98</v>
      </c>
      <c r="BM156" s="3858">
        <f t="shared" si="99"/>
        <v>0.476466</v>
      </c>
      <c r="BN156" s="3855">
        <f t="shared" si="100"/>
        <v>0.167324</v>
      </c>
    </row>
    <row r="157" spans="1:66">
      <c r="A157" s="51" t="str">
        <f t="shared" si="78"/>
        <v>351900</v>
      </c>
      <c r="B157" s="1442" t="str">
        <f>'HVAC Deemed Table'!C1269</f>
        <v>351900_2024_12_</v>
      </c>
      <c r="C157" s="887" t="str">
        <f>'HVAC Deemed Table'!G1269</f>
        <v>Cooling Res</v>
      </c>
      <c r="D157" s="887" t="str">
        <f>'HVAC Deemed Table'!G1270</f>
        <v>Heating Res</v>
      </c>
      <c r="E157" s="1378"/>
      <c r="F157" s="1378"/>
      <c r="G157" s="1378" t="str">
        <f>'HVAC Deemed Table'!E1269</f>
        <v>DFHP-SEER19-ROF_MF</v>
      </c>
      <c r="H157" s="19" t="str">
        <f>'HVAC Deemed Table'!D1269</f>
        <v>PAYS</v>
      </c>
      <c r="I157" s="785">
        <f t="shared" si="88"/>
        <v>944.42000000000007</v>
      </c>
      <c r="J157" s="785">
        <f t="shared" si="89"/>
        <v>0</v>
      </c>
      <c r="K157" s="202">
        <f>'HVAC Deemed Table'!F1269</f>
        <v>398.66</v>
      </c>
      <c r="L157" s="202">
        <f>'HVAC Deemed Table'!F1270</f>
        <v>545.76</v>
      </c>
      <c r="M157" s="202"/>
      <c r="N157" s="202"/>
      <c r="O157" s="786">
        <f t="shared" si="90"/>
        <v>0.37769799999999998</v>
      </c>
      <c r="P157" s="786">
        <f t="shared" si="91"/>
        <v>0</v>
      </c>
      <c r="Q157" s="787">
        <f>'HVAC Deemed Table'!I1269</f>
        <v>0.37769799999999998</v>
      </c>
      <c r="R157" s="787">
        <f>'HVAC Deemed Table'!I1270</f>
        <v>0</v>
      </c>
      <c r="S157" s="787"/>
      <c r="T157" s="787"/>
      <c r="U157" s="788">
        <f t="shared" si="92"/>
        <v>0</v>
      </c>
      <c r="V157" s="788">
        <f t="shared" si="93"/>
        <v>0</v>
      </c>
      <c r="W157" s="788">
        <f t="shared" si="94"/>
        <v>0.37769799999999998</v>
      </c>
      <c r="X157" s="23">
        <f>'HVAC Deemed Table'!J1269</f>
        <v>18</v>
      </c>
      <c r="Y157" s="23"/>
      <c r="Z157" s="23">
        <f t="shared" si="79"/>
        <v>18</v>
      </c>
      <c r="AA157" s="18">
        <f>'HVAC Deemed Table'!DG1269</f>
        <v>1.15042615353807</v>
      </c>
      <c r="AB157" s="807">
        <f>'HVAC Deemed Table'!K1269</f>
        <v>1081</v>
      </c>
      <c r="AC157" s="903">
        <f t="shared" si="80"/>
        <v>1243.6106719746535</v>
      </c>
      <c r="AD157" s="903">
        <f t="shared" si="85"/>
        <v>0</v>
      </c>
      <c r="AE157" s="208">
        <f>'HVAC Deemed Table'!DI1269</f>
        <v>912.83926953079788</v>
      </c>
      <c r="AF157" s="208">
        <f>'HVAC Deemed Table'!DI1270</f>
        <v>330.77140244385566</v>
      </c>
      <c r="AG157" s="208"/>
      <c r="AH157" s="208"/>
      <c r="AI157" s="906" t="str">
        <f t="shared" si="102"/>
        <v>per measure</v>
      </c>
      <c r="AJ157" s="47">
        <f>'HVAC Deemed Table'!L1269</f>
        <v>3.4</v>
      </c>
      <c r="AK157" s="641"/>
      <c r="AL157" s="641"/>
      <c r="AX157" s="1355" t="str">
        <f t="shared" si="81"/>
        <v>DFHP-SEER19-ROF_MF</v>
      </c>
      <c r="AY157" s="1378"/>
      <c r="AZ157" s="1446" t="str">
        <f t="shared" si="82"/>
        <v>351900</v>
      </c>
      <c r="BA157" s="1327">
        <f t="shared" ref="BA157:BD162" si="103">K157</f>
        <v>398.66</v>
      </c>
      <c r="BB157" s="1327">
        <f t="shared" si="103"/>
        <v>545.76</v>
      </c>
      <c r="BC157" s="1327">
        <f t="shared" si="103"/>
        <v>0</v>
      </c>
      <c r="BD157" s="1327">
        <f t="shared" si="103"/>
        <v>0</v>
      </c>
      <c r="BE157" s="1305"/>
      <c r="BF157" s="1321">
        <f>ROUND(BA157*'CP FACTORS'!$B$9,6)</f>
        <v>0.37769799999999998</v>
      </c>
      <c r="BG157" s="1322">
        <f>ROUND(BB157*'CP FACTORS'!$B$14,6)</f>
        <v>0</v>
      </c>
      <c r="BH157" s="1321">
        <f>ROUND(BC157*'CP FACTORS'!$B$9,6)</f>
        <v>0</v>
      </c>
      <c r="BI157" s="1323">
        <f>ROUND(BD157*'CP FACTORS'!$B$14,6)</f>
        <v>0</v>
      </c>
      <c r="BJ157" s="1305"/>
      <c r="BK157" s="730">
        <f t="shared" si="97"/>
        <v>944.42000000000007</v>
      </c>
      <c r="BL157" s="1342">
        <f t="shared" si="98"/>
        <v>0</v>
      </c>
      <c r="BM157" s="1341">
        <f t="shared" si="99"/>
        <v>0.37769799999999998</v>
      </c>
      <c r="BN157" s="1340">
        <f t="shared" si="100"/>
        <v>0</v>
      </c>
    </row>
    <row r="158" spans="1:66" s="696" customFormat="1">
      <c r="A158" s="2958" t="str">
        <f t="shared" si="78"/>
        <v>351901</v>
      </c>
      <c r="B158" s="2233" t="str">
        <f>'HVAC Deemed Table'!C1271</f>
        <v>351901_2024_12_</v>
      </c>
      <c r="C158" s="3874" t="str">
        <f>'HVAC Deemed Table'!G1271</f>
        <v>Cooling Res</v>
      </c>
      <c r="D158" s="3874" t="str">
        <f>'HVAC Deemed Table'!G1272</f>
        <v>Heating Res</v>
      </c>
      <c r="E158" s="2724"/>
      <c r="F158" s="2724"/>
      <c r="G158" s="2724" t="str">
        <f>'HVAC Deemed Table'!E1271</f>
        <v>DFHP-SEER19-ROF_MF_CompE</v>
      </c>
      <c r="H158" s="2554" t="str">
        <f>'HVAC Deemed Table'!D1271</f>
        <v>MFc</v>
      </c>
      <c r="I158" s="3840">
        <f t="shared" si="88"/>
        <v>538.67000000000007</v>
      </c>
      <c r="J158" s="3840">
        <f t="shared" si="89"/>
        <v>0</v>
      </c>
      <c r="K158" s="3251">
        <f>'HVAC Deemed Table'!F1271</f>
        <v>289.93</v>
      </c>
      <c r="L158" s="3251">
        <f>'HVAC Deemed Table'!F1272</f>
        <v>248.74</v>
      </c>
      <c r="M158" s="3251"/>
      <c r="N158" s="3251"/>
      <c r="O158" s="3841">
        <f t="shared" si="90"/>
        <v>0.27468500000000001</v>
      </c>
      <c r="P158" s="3841">
        <f t="shared" si="91"/>
        <v>0</v>
      </c>
      <c r="Q158" s="3842">
        <f>'HVAC Deemed Table'!I1271</f>
        <v>0.27468500000000001</v>
      </c>
      <c r="R158" s="3842">
        <f>'HVAC Deemed Table'!I1272</f>
        <v>0</v>
      </c>
      <c r="S158" s="3842"/>
      <c r="T158" s="3842"/>
      <c r="U158" s="3843">
        <f t="shared" si="92"/>
        <v>0</v>
      </c>
      <c r="V158" s="3843">
        <f t="shared" si="93"/>
        <v>0</v>
      </c>
      <c r="W158" s="3843">
        <f t="shared" si="94"/>
        <v>0.27468500000000001</v>
      </c>
      <c r="X158" s="2846">
        <f>'HVAC Deemed Table'!J1271</f>
        <v>18</v>
      </c>
      <c r="Y158" s="2846"/>
      <c r="Z158" s="2846">
        <f t="shared" si="79"/>
        <v>18</v>
      </c>
      <c r="AA158" s="2529">
        <f>'HVAC Deemed Table'!DG1271</f>
        <v>0.75358718941352509</v>
      </c>
      <c r="AB158" s="3844">
        <f>'HVAC Deemed Table'!K1271</f>
        <v>1081</v>
      </c>
      <c r="AC158" s="3845">
        <f t="shared" si="80"/>
        <v>814.62775175602064</v>
      </c>
      <c r="AD158" s="3845">
        <f t="shared" si="85"/>
        <v>0</v>
      </c>
      <c r="AE158" s="3846">
        <f>'HVAC Deemed Table'!DI1271</f>
        <v>663.87269707285463</v>
      </c>
      <c r="AF158" s="3846">
        <f>'HVAC Deemed Table'!DI1272</f>
        <v>150.75505468316598</v>
      </c>
      <c r="AG158" s="3846"/>
      <c r="AH158" s="3846"/>
      <c r="AI158" s="3847" t="str">
        <f t="shared" si="102"/>
        <v>per measure</v>
      </c>
      <c r="AJ158" s="3220">
        <f>'HVAC Deemed Table'!L1271</f>
        <v>3.4</v>
      </c>
      <c r="AK158" s="3848"/>
      <c r="AL158" s="3848"/>
      <c r="AX158" s="3849" t="str">
        <f t="shared" si="81"/>
        <v>DFHP-SEER19-ROF_MF_CompE</v>
      </c>
      <c r="AY158" s="2724"/>
      <c r="AZ158" s="3850" t="str">
        <f t="shared" si="82"/>
        <v>351901</v>
      </c>
      <c r="BA158" s="3889">
        <f t="shared" si="103"/>
        <v>289.93</v>
      </c>
      <c r="BB158" s="3889">
        <f t="shared" si="103"/>
        <v>248.74</v>
      </c>
      <c r="BC158" s="3889">
        <f t="shared" si="103"/>
        <v>0</v>
      </c>
      <c r="BD158" s="3889">
        <f t="shared" si="103"/>
        <v>0</v>
      </c>
      <c r="BE158" s="3853"/>
      <c r="BF158" s="3854">
        <f>ROUND(BA158*'CP FACTORS'!$B$9,6)</f>
        <v>0.27468500000000001</v>
      </c>
      <c r="BG158" s="3854">
        <f>ROUND(BB158*'CP FACTORS'!$B$14,6)</f>
        <v>0</v>
      </c>
      <c r="BH158" s="3854">
        <f>ROUND(BC158*'CP FACTORS'!$B$9,6)</f>
        <v>0</v>
      </c>
      <c r="BI158" s="3855">
        <f>ROUND(BD158*'CP FACTORS'!$B$14,6)</f>
        <v>0</v>
      </c>
      <c r="BJ158" s="3853"/>
      <c r="BK158" s="3856">
        <f t="shared" si="97"/>
        <v>538.67000000000007</v>
      </c>
      <c r="BL158" s="3857">
        <f t="shared" si="98"/>
        <v>0</v>
      </c>
      <c r="BM158" s="3858">
        <f t="shared" si="99"/>
        <v>0.27468500000000001</v>
      </c>
      <c r="BN158" s="3855">
        <f t="shared" si="100"/>
        <v>0</v>
      </c>
    </row>
    <row r="159" spans="1:66">
      <c r="A159" s="51" t="str">
        <f t="shared" si="78"/>
        <v>351950</v>
      </c>
      <c r="B159" s="1442" t="str">
        <f>'HVAC Deemed Table'!C1273</f>
        <v>351950_2024_12_</v>
      </c>
      <c r="C159" s="887" t="str">
        <f>'HVAC Deemed Table'!G1273</f>
        <v>Cooling Res</v>
      </c>
      <c r="D159" s="887" t="str">
        <f>'HVAC Deemed Table'!G1274</f>
        <v>Heating Res</v>
      </c>
      <c r="E159" s="1378"/>
      <c r="F159" s="1378"/>
      <c r="G159" s="1378" t="str">
        <f>'HVAC Deemed Table'!E1273</f>
        <v>DFHP-SEER20-ROF_MF</v>
      </c>
      <c r="H159" s="19" t="str">
        <f>'HVAC Deemed Table'!D1273</f>
        <v>PAYS</v>
      </c>
      <c r="I159" s="785">
        <f t="shared" si="88"/>
        <v>1470.46</v>
      </c>
      <c r="J159" s="785">
        <f t="shared" si="89"/>
        <v>0</v>
      </c>
      <c r="K159" s="202">
        <f>'HVAC Deemed Table'!F1273</f>
        <v>594.4</v>
      </c>
      <c r="L159" s="202">
        <f>'HVAC Deemed Table'!F1274</f>
        <v>876.06</v>
      </c>
      <c r="M159" s="202"/>
      <c r="N159" s="202"/>
      <c r="O159" s="786">
        <f t="shared" si="90"/>
        <v>0.56314500000000001</v>
      </c>
      <c r="P159" s="786">
        <f t="shared" si="91"/>
        <v>0</v>
      </c>
      <c r="Q159" s="787">
        <f>'HVAC Deemed Table'!I1273</f>
        <v>0.56314500000000001</v>
      </c>
      <c r="R159" s="787">
        <f>'HVAC Deemed Table'!I1274</f>
        <v>0</v>
      </c>
      <c r="S159" s="787"/>
      <c r="T159" s="787"/>
      <c r="U159" s="788">
        <f t="shared" si="92"/>
        <v>0</v>
      </c>
      <c r="V159" s="788">
        <f t="shared" si="93"/>
        <v>0</v>
      </c>
      <c r="W159" s="788">
        <f t="shared" si="94"/>
        <v>0.56314500000000001</v>
      </c>
      <c r="X159" s="23">
        <f>'HVAC Deemed Table'!J1273</f>
        <v>18</v>
      </c>
      <c r="Y159" s="23"/>
      <c r="Z159" s="23">
        <f t="shared" si="79"/>
        <v>18</v>
      </c>
      <c r="AA159" s="18">
        <f>'HVAC Deemed Table'!DG1273</f>
        <v>1.7502280801942376</v>
      </c>
      <c r="AB159" s="807">
        <f>'HVAC Deemed Table'!K1273</f>
        <v>1081</v>
      </c>
      <c r="AC159" s="903">
        <f t="shared" si="80"/>
        <v>1891.9965546899709</v>
      </c>
      <c r="AD159" s="903">
        <f t="shared" si="85"/>
        <v>0</v>
      </c>
      <c r="AE159" s="208">
        <f>'HVAC Deemed Table'!DI1273</f>
        <v>1361.0386339464862</v>
      </c>
      <c r="AF159" s="208">
        <f>'HVAC Deemed Table'!DI1274</f>
        <v>530.95792074348469</v>
      </c>
      <c r="AG159" s="208"/>
      <c r="AH159" s="208"/>
      <c r="AI159" s="906" t="str">
        <f t="shared" si="102"/>
        <v>per measure</v>
      </c>
      <c r="AJ159" s="47">
        <f>'HVAC Deemed Table'!L1273</f>
        <v>4.4000000000000004</v>
      </c>
      <c r="AK159" s="641"/>
      <c r="AL159" s="641"/>
      <c r="AX159" s="1355" t="str">
        <f t="shared" si="81"/>
        <v>DFHP-SEER20-ROF_MF</v>
      </c>
      <c r="AY159" s="1378"/>
      <c r="AZ159" s="1446" t="str">
        <f t="shared" si="82"/>
        <v>351950</v>
      </c>
      <c r="BA159" s="1327">
        <f t="shared" si="103"/>
        <v>594.4</v>
      </c>
      <c r="BB159" s="1327">
        <f t="shared" si="103"/>
        <v>876.06</v>
      </c>
      <c r="BC159" s="1327">
        <f t="shared" si="103"/>
        <v>0</v>
      </c>
      <c r="BD159" s="1327">
        <f t="shared" si="103"/>
        <v>0</v>
      </c>
      <c r="BE159" s="1305"/>
      <c r="BF159" s="1321">
        <f>ROUND(BA159*'CP FACTORS'!$B$9,6)</f>
        <v>0.56314500000000001</v>
      </c>
      <c r="BG159" s="1322">
        <f>ROUND(BB159*'CP FACTORS'!$B$14,6)</f>
        <v>0</v>
      </c>
      <c r="BH159" s="1321">
        <f>ROUND(BC159*'CP FACTORS'!$B$9,6)</f>
        <v>0</v>
      </c>
      <c r="BI159" s="1323">
        <f>ROUND(BD159*'CP FACTORS'!$B$14,6)</f>
        <v>0</v>
      </c>
      <c r="BJ159" s="1305"/>
      <c r="BK159" s="730">
        <f t="shared" si="97"/>
        <v>1470.46</v>
      </c>
      <c r="BL159" s="1342">
        <f t="shared" si="98"/>
        <v>0</v>
      </c>
      <c r="BM159" s="1341">
        <f t="shared" si="99"/>
        <v>0.56314500000000001</v>
      </c>
      <c r="BN159" s="1340">
        <f t="shared" si="100"/>
        <v>0</v>
      </c>
    </row>
    <row r="160" spans="1:66" s="696" customFormat="1">
      <c r="A160" s="2958" t="str">
        <f t="shared" si="78"/>
        <v>351951</v>
      </c>
      <c r="B160" s="2233" t="str">
        <f>'HVAC Deemed Table'!C1275</f>
        <v>351951_2024_12_</v>
      </c>
      <c r="C160" s="3874" t="str">
        <f>'HVAC Deemed Table'!G1275</f>
        <v>Cooling Res</v>
      </c>
      <c r="D160" s="3874" t="str">
        <f>'HVAC Deemed Table'!G1276</f>
        <v>Heating Res</v>
      </c>
      <c r="E160" s="2724"/>
      <c r="F160" s="2724"/>
      <c r="G160" s="2724" t="str">
        <f>'HVAC Deemed Table'!E1275</f>
        <v>DFHP-SEER20-ROF_MF_CompE</v>
      </c>
      <c r="H160" s="2554" t="str">
        <f>'HVAC Deemed Table'!D1275</f>
        <v>MFc</v>
      </c>
      <c r="I160" s="3840">
        <f t="shared" si="88"/>
        <v>831.56999999999994</v>
      </c>
      <c r="J160" s="3840">
        <f t="shared" si="89"/>
        <v>0</v>
      </c>
      <c r="K160" s="3251">
        <f>'HVAC Deemed Table'!F1275</f>
        <v>432.29</v>
      </c>
      <c r="L160" s="3251">
        <f>'HVAC Deemed Table'!F1276</f>
        <v>399.28</v>
      </c>
      <c r="M160" s="3251"/>
      <c r="N160" s="3251"/>
      <c r="O160" s="3841">
        <f t="shared" si="90"/>
        <v>0.40955900000000001</v>
      </c>
      <c r="P160" s="3841">
        <f t="shared" si="91"/>
        <v>0</v>
      </c>
      <c r="Q160" s="3842">
        <f>'HVAC Deemed Table'!I1275</f>
        <v>0.40955900000000001</v>
      </c>
      <c r="R160" s="3842">
        <f>'HVAC Deemed Table'!I1276</f>
        <v>0</v>
      </c>
      <c r="S160" s="3842"/>
      <c r="T160" s="3842"/>
      <c r="U160" s="3843">
        <f t="shared" si="92"/>
        <v>0</v>
      </c>
      <c r="V160" s="3843">
        <f t="shared" si="93"/>
        <v>0</v>
      </c>
      <c r="W160" s="3843">
        <f t="shared" si="94"/>
        <v>0.40955900000000001</v>
      </c>
      <c r="X160" s="2846">
        <f>'HVAC Deemed Table'!J1275</f>
        <v>18</v>
      </c>
      <c r="Y160" s="2846"/>
      <c r="Z160" s="2846">
        <f t="shared" si="79"/>
        <v>18</v>
      </c>
      <c r="AA160" s="2529">
        <f>'HVAC Deemed Table'!DG1275</f>
        <v>1.1395353914025135</v>
      </c>
      <c r="AB160" s="3844">
        <f>'HVAC Deemed Table'!K1275</f>
        <v>1081</v>
      </c>
      <c r="AC160" s="3845">
        <f t="shared" si="80"/>
        <v>1231.837758106117</v>
      </c>
      <c r="AD160" s="3845">
        <f t="shared" si="85"/>
        <v>0</v>
      </c>
      <c r="AE160" s="3846">
        <f>'HVAC Deemed Table'!DI1275</f>
        <v>989.8441976257177</v>
      </c>
      <c r="AF160" s="3846">
        <f>'HVAC Deemed Table'!DI1276</f>
        <v>241.99356048039925</v>
      </c>
      <c r="AG160" s="3846"/>
      <c r="AH160" s="3846"/>
      <c r="AI160" s="3847" t="str">
        <f t="shared" si="102"/>
        <v>per measure</v>
      </c>
      <c r="AJ160" s="3220">
        <f>'HVAC Deemed Table'!L1275</f>
        <v>4.4000000000000004</v>
      </c>
      <c r="AK160" s="3848"/>
      <c r="AL160" s="3848"/>
      <c r="AX160" s="3849" t="str">
        <f t="shared" si="81"/>
        <v>DFHP-SEER20-ROF_MF_CompE</v>
      </c>
      <c r="AY160" s="2724"/>
      <c r="AZ160" s="3850" t="str">
        <f t="shared" si="82"/>
        <v>351951</v>
      </c>
      <c r="BA160" s="3889">
        <f t="shared" si="103"/>
        <v>432.29</v>
      </c>
      <c r="BB160" s="3889">
        <f t="shared" si="103"/>
        <v>399.28</v>
      </c>
      <c r="BC160" s="3889">
        <f t="shared" si="103"/>
        <v>0</v>
      </c>
      <c r="BD160" s="3889">
        <f t="shared" si="103"/>
        <v>0</v>
      </c>
      <c r="BE160" s="3853"/>
      <c r="BF160" s="3854">
        <f>ROUND(BA160*'CP FACTORS'!$B$9,6)</f>
        <v>0.40955900000000001</v>
      </c>
      <c r="BG160" s="3854">
        <f>ROUND(BB160*'CP FACTORS'!$B$14,6)</f>
        <v>0</v>
      </c>
      <c r="BH160" s="3854">
        <f>ROUND(BC160*'CP FACTORS'!$B$9,6)</f>
        <v>0</v>
      </c>
      <c r="BI160" s="3855">
        <f>ROUND(BD160*'CP FACTORS'!$B$14,6)</f>
        <v>0</v>
      </c>
      <c r="BJ160" s="3853"/>
      <c r="BK160" s="3856">
        <f t="shared" si="97"/>
        <v>831.56999999999994</v>
      </c>
      <c r="BL160" s="3857">
        <f t="shared" si="98"/>
        <v>0</v>
      </c>
      <c r="BM160" s="3858">
        <f t="shared" si="99"/>
        <v>0.40955900000000001</v>
      </c>
      <c r="BN160" s="3855">
        <f t="shared" si="100"/>
        <v>0</v>
      </c>
    </row>
    <row r="161" spans="1:66">
      <c r="A161" s="51" t="str">
        <f t="shared" si="78"/>
        <v>352000</v>
      </c>
      <c r="B161" s="1442" t="str">
        <f>'HVAC Deemed Table'!C1277</f>
        <v>352000_2024_12_</v>
      </c>
      <c r="C161" s="887" t="str">
        <f>'HVAC Deemed Table'!G1277</f>
        <v>Cooling Res</v>
      </c>
      <c r="D161" s="887" t="str">
        <f>'HVAC Deemed Table'!G1278</f>
        <v>Heating Res</v>
      </c>
      <c r="E161" s="1378"/>
      <c r="F161" s="1378"/>
      <c r="G161" s="1378" t="str">
        <f>'HVAC Deemed Table'!E1277</f>
        <v>DFHP-SEER21-ROF_MF</v>
      </c>
      <c r="H161" s="19" t="str">
        <f>'HVAC Deemed Table'!D1277</f>
        <v>PAYS</v>
      </c>
      <c r="I161" s="785">
        <f t="shared" si="88"/>
        <v>2084.73</v>
      </c>
      <c r="J161" s="785">
        <f t="shared" si="89"/>
        <v>0</v>
      </c>
      <c r="K161" s="202">
        <f>'HVAC Deemed Table'!F1277</f>
        <v>816.63</v>
      </c>
      <c r="L161" s="202">
        <f>'HVAC Deemed Table'!F1278</f>
        <v>1268.0999999999999</v>
      </c>
      <c r="M161" s="202"/>
      <c r="N161" s="202"/>
      <c r="O161" s="786">
        <f t="shared" si="90"/>
        <v>0.77368999999999999</v>
      </c>
      <c r="P161" s="786">
        <f t="shared" si="91"/>
        <v>0</v>
      </c>
      <c r="Q161" s="787">
        <f>'HVAC Deemed Table'!I1277</f>
        <v>0.77368999999999999</v>
      </c>
      <c r="R161" s="787">
        <f>'HVAC Deemed Table'!I1278</f>
        <v>0</v>
      </c>
      <c r="S161" s="787"/>
      <c r="T161" s="787"/>
      <c r="U161" s="788">
        <f t="shared" si="92"/>
        <v>0</v>
      </c>
      <c r="V161" s="788">
        <f t="shared" si="93"/>
        <v>0</v>
      </c>
      <c r="W161" s="788">
        <f t="shared" si="94"/>
        <v>0.77368999999999999</v>
      </c>
      <c r="X161" s="23">
        <f>'HVAC Deemed Table'!J1277</f>
        <v>18</v>
      </c>
      <c r="Y161" s="23"/>
      <c r="Z161" s="23">
        <f t="shared" si="79"/>
        <v>18</v>
      </c>
      <c r="AA161" s="18">
        <f>'HVAC Deemed Table'!DG1277</f>
        <v>2.4407562219478138</v>
      </c>
      <c r="AB161" s="807">
        <f>'HVAC Deemed Table'!K1277</f>
        <v>1081</v>
      </c>
      <c r="AC161" s="903">
        <f t="shared" si="80"/>
        <v>2638.4574759255866</v>
      </c>
      <c r="AD161" s="903">
        <f t="shared" si="85"/>
        <v>0</v>
      </c>
      <c r="AE161" s="208">
        <f>'HVAC Deemed Table'!DI1277</f>
        <v>1869.8939765136593</v>
      </c>
      <c r="AF161" s="208">
        <f>'HVAC Deemed Table'!DI1278</f>
        <v>768.56349941192718</v>
      </c>
      <c r="AG161" s="208"/>
      <c r="AH161" s="208"/>
      <c r="AI161" s="906" t="str">
        <f t="shared" si="102"/>
        <v>per measure</v>
      </c>
      <c r="AJ161" s="47">
        <f>'HVAC Deemed Table'!L1277</f>
        <v>5.4</v>
      </c>
      <c r="AK161" s="641"/>
      <c r="AL161" s="641"/>
      <c r="AX161" s="1355" t="str">
        <f t="shared" si="81"/>
        <v>DFHP-SEER21-ROF_MF</v>
      </c>
      <c r="AY161" s="1378"/>
      <c r="AZ161" s="1446" t="str">
        <f t="shared" si="82"/>
        <v>352000</v>
      </c>
      <c r="BA161" s="1327">
        <f t="shared" si="103"/>
        <v>816.63</v>
      </c>
      <c r="BB161" s="1327">
        <f t="shared" si="103"/>
        <v>1268.0999999999999</v>
      </c>
      <c r="BC161" s="1327">
        <f t="shared" si="103"/>
        <v>0</v>
      </c>
      <c r="BD161" s="1327">
        <f t="shared" si="103"/>
        <v>0</v>
      </c>
      <c r="BE161" s="1305"/>
      <c r="BF161" s="1321">
        <f>ROUND(BA161*'CP FACTORS'!$B$9,6)</f>
        <v>0.77368999999999999</v>
      </c>
      <c r="BG161" s="1322">
        <f>ROUND(BB161*'CP FACTORS'!$B$14,6)</f>
        <v>0</v>
      </c>
      <c r="BH161" s="1321">
        <f>ROUND(BC161*'CP FACTORS'!$B$9,6)</f>
        <v>0</v>
      </c>
      <c r="BI161" s="1323">
        <f>ROUND(BD161*'CP FACTORS'!$B$14,6)</f>
        <v>0</v>
      </c>
      <c r="BJ161" s="1305"/>
      <c r="BK161" s="730">
        <f t="shared" si="97"/>
        <v>2084.73</v>
      </c>
      <c r="BL161" s="1342">
        <f t="shared" si="98"/>
        <v>0</v>
      </c>
      <c r="BM161" s="1341">
        <f t="shared" si="99"/>
        <v>0.77368999999999999</v>
      </c>
      <c r="BN161" s="1340">
        <f t="shared" si="100"/>
        <v>0</v>
      </c>
    </row>
    <row r="162" spans="1:66" s="696" customFormat="1">
      <c r="A162" s="2958" t="str">
        <f t="shared" si="78"/>
        <v>352001</v>
      </c>
      <c r="B162" s="2233" t="str">
        <f>'HVAC Deemed Table'!C1279</f>
        <v>352001_2024_12_</v>
      </c>
      <c r="C162" s="3874" t="str">
        <f>'HVAC Deemed Table'!G1279</f>
        <v>Cooling Res</v>
      </c>
      <c r="D162" s="3874" t="str">
        <f>'HVAC Deemed Table'!G1280</f>
        <v>Heating Res</v>
      </c>
      <c r="E162" s="2724"/>
      <c r="F162" s="2724"/>
      <c r="G162" s="2724" t="str">
        <f>'HVAC Deemed Table'!E1279</f>
        <v>DFHP-SEER21-ROF_MF_CompE</v>
      </c>
      <c r="H162" s="2554" t="str">
        <f>'HVAC Deemed Table'!D1279</f>
        <v>MFc</v>
      </c>
      <c r="I162" s="3840">
        <f t="shared" si="88"/>
        <v>1171.8699999999999</v>
      </c>
      <c r="J162" s="3840">
        <f t="shared" si="89"/>
        <v>0</v>
      </c>
      <c r="K162" s="3251">
        <f>'HVAC Deemed Table'!F1279</f>
        <v>593.91999999999996</v>
      </c>
      <c r="L162" s="3251">
        <f>'HVAC Deemed Table'!F1280</f>
        <v>577.95000000000005</v>
      </c>
      <c r="M162" s="3251"/>
      <c r="N162" s="3251"/>
      <c r="O162" s="3841">
        <f t="shared" si="90"/>
        <v>0.56269100000000005</v>
      </c>
      <c r="P162" s="3841">
        <f t="shared" si="91"/>
        <v>0</v>
      </c>
      <c r="Q162" s="3842">
        <f>'HVAC Deemed Table'!I1279</f>
        <v>0.56269100000000005</v>
      </c>
      <c r="R162" s="3842">
        <f>'HVAC Deemed Table'!I1280</f>
        <v>0</v>
      </c>
      <c r="S162" s="3842"/>
      <c r="T162" s="3842"/>
      <c r="U162" s="3843">
        <f t="shared" si="92"/>
        <v>0</v>
      </c>
      <c r="V162" s="3843">
        <f t="shared" si="93"/>
        <v>0</v>
      </c>
      <c r="W162" s="3843">
        <f t="shared" si="94"/>
        <v>0.56269100000000005</v>
      </c>
      <c r="X162" s="2846">
        <f>'HVAC Deemed Table'!J1279</f>
        <v>18</v>
      </c>
      <c r="Y162" s="2846"/>
      <c r="Z162" s="2846">
        <f t="shared" si="79"/>
        <v>18</v>
      </c>
      <c r="AA162" s="2529">
        <f>'HVAC Deemed Table'!DG1279</f>
        <v>1.5820726145109312</v>
      </c>
      <c r="AB162" s="3844">
        <f>'HVAC Deemed Table'!K1279</f>
        <v>1081</v>
      </c>
      <c r="AC162" s="3845">
        <f t="shared" si="80"/>
        <v>1710.2204962863166</v>
      </c>
      <c r="AD162" s="3845">
        <f t="shared" si="85"/>
        <v>0</v>
      </c>
      <c r="AE162" s="3846">
        <f>'HVAC Deemed Table'!DI1279</f>
        <v>1359.9395448746586</v>
      </c>
      <c r="AF162" s="3846">
        <f>'HVAC Deemed Table'!DI1280</f>
        <v>350.2809514116579</v>
      </c>
      <c r="AG162" s="3846"/>
      <c r="AH162" s="3846"/>
      <c r="AI162" s="3847" t="str">
        <f t="shared" si="102"/>
        <v>per measure</v>
      </c>
      <c r="AJ162" s="3220">
        <f>'HVAC Deemed Table'!L1279</f>
        <v>5.4</v>
      </c>
      <c r="AK162" s="3848"/>
      <c r="AL162" s="3848"/>
      <c r="AX162" s="3849" t="str">
        <f t="shared" si="81"/>
        <v>DFHP-SEER21-ROF_MF_CompE</v>
      </c>
      <c r="AY162" s="2724"/>
      <c r="AZ162" s="3850" t="str">
        <f t="shared" si="82"/>
        <v>352001</v>
      </c>
      <c r="BA162" s="3889">
        <f t="shared" si="103"/>
        <v>593.91999999999996</v>
      </c>
      <c r="BB162" s="3889">
        <f t="shared" si="103"/>
        <v>577.95000000000005</v>
      </c>
      <c r="BC162" s="3889">
        <f t="shared" si="103"/>
        <v>0</v>
      </c>
      <c r="BD162" s="3889">
        <f t="shared" si="103"/>
        <v>0</v>
      </c>
      <c r="BE162" s="3853"/>
      <c r="BF162" s="3854">
        <f>ROUND(BA162*'CP FACTORS'!$B$9,6)</f>
        <v>0.56269100000000005</v>
      </c>
      <c r="BG162" s="3854">
        <f>ROUND(BB162*'CP FACTORS'!$B$14,6)</f>
        <v>0</v>
      </c>
      <c r="BH162" s="3854">
        <f>ROUND(BC162*'CP FACTORS'!$B$9,6)</f>
        <v>0</v>
      </c>
      <c r="BI162" s="3855">
        <f>ROUND(BD162*'CP FACTORS'!$B$14,6)</f>
        <v>0</v>
      </c>
      <c r="BJ162" s="3853"/>
      <c r="BK162" s="3856">
        <f t="shared" si="97"/>
        <v>1171.8699999999999</v>
      </c>
      <c r="BL162" s="3857">
        <f t="shared" si="98"/>
        <v>0</v>
      </c>
      <c r="BM162" s="3858">
        <f t="shared" si="99"/>
        <v>0.56269100000000005</v>
      </c>
      <c r="BN162" s="3855">
        <f t="shared" si="100"/>
        <v>0</v>
      </c>
    </row>
    <row r="163" spans="1:66">
      <c r="A163" s="51" t="str">
        <f t="shared" si="78"/>
        <v>352050</v>
      </c>
      <c r="B163" s="1442" t="str">
        <f>'HVAC Deemed Table'!C1373</f>
        <v>352050_2024_12_</v>
      </c>
      <c r="C163" s="887" t="str">
        <f>'HVAC Deemed Table'!G1373</f>
        <v>Cooling Res</v>
      </c>
      <c r="D163" s="887" t="str">
        <f>'HVAC Deemed Table'!G1374</f>
        <v>Heating RES</v>
      </c>
      <c r="E163" s="1378"/>
      <c r="F163" s="1378"/>
      <c r="G163" s="1378" t="str">
        <f>'HVAC Deemed Table'!E1373</f>
        <v>GSHP-EER23-Replace_CAC_ElectricHeat_ROF_SF</v>
      </c>
      <c r="H163" s="19" t="str">
        <f>'HVAC Deemed Table'!D1373</f>
        <v>PAYS</v>
      </c>
      <c r="I163" s="785">
        <f t="shared" si="88"/>
        <v>17830.329999999998</v>
      </c>
      <c r="J163" s="785">
        <f t="shared" si="89"/>
        <v>0</v>
      </c>
      <c r="K163" s="202">
        <f>'HVAC Deemed Table'!F1373</f>
        <v>1606.94</v>
      </c>
      <c r="L163" s="202">
        <f>'HVAC Deemed Table'!F1374</f>
        <v>16223.39</v>
      </c>
      <c r="M163" s="202"/>
      <c r="N163" s="202"/>
      <c r="O163" s="786">
        <f t="shared" si="90"/>
        <v>1.5224439999999999</v>
      </c>
      <c r="P163" s="786">
        <f t="shared" si="91"/>
        <v>0</v>
      </c>
      <c r="Q163" s="787">
        <f>'HVAC Deemed Table'!I1373</f>
        <v>1.5224439999999999</v>
      </c>
      <c r="R163" s="787">
        <f>'HVAC Deemed Table'!I1374</f>
        <v>0</v>
      </c>
      <c r="S163" s="787"/>
      <c r="T163" s="787"/>
      <c r="U163" s="788">
        <f t="shared" si="92"/>
        <v>0</v>
      </c>
      <c r="V163" s="788">
        <f t="shared" si="93"/>
        <v>0</v>
      </c>
      <c r="W163" s="788">
        <f t="shared" si="94"/>
        <v>1.5224439999999999</v>
      </c>
      <c r="X163" s="23">
        <f>'HVAC Deemed Table'!J1373</f>
        <v>18</v>
      </c>
      <c r="Y163" s="23"/>
      <c r="Z163" s="23">
        <f t="shared" si="79"/>
        <v>18</v>
      </c>
      <c r="AA163" s="18">
        <f>'HVAC Deemed Table'!DG1373</f>
        <v>1.300507010341031</v>
      </c>
      <c r="AB163" s="807">
        <f>'HVAC Deemed Table'!K1373</f>
        <v>10389.878378378377</v>
      </c>
      <c r="AC163" s="903">
        <f t="shared" si="80"/>
        <v>13512.109667671783</v>
      </c>
      <c r="AD163" s="903">
        <f t="shared" si="85"/>
        <v>0</v>
      </c>
      <c r="AE163" s="208">
        <f>'HVAC Deemed Table'!DI1373</f>
        <v>3679.5212355887734</v>
      </c>
      <c r="AF163" s="208">
        <f>'HVAC Deemed Table'!DI1374</f>
        <v>9832.58843208301</v>
      </c>
      <c r="AG163" s="208"/>
      <c r="AH163" s="208"/>
      <c r="AI163" s="906" t="str">
        <f t="shared" si="102"/>
        <v>per measure</v>
      </c>
      <c r="AJ163" s="47">
        <f>'HVAC Deemed Table'!L1373</f>
        <v>3.993150684931507</v>
      </c>
      <c r="AK163" s="641"/>
      <c r="AL163" s="641"/>
      <c r="AX163" s="1355" t="str">
        <f t="shared" si="81"/>
        <v>GSHP-EER23-Replace_CAC_ElectricHeat_ROF_SF</v>
      </c>
      <c r="AY163" s="1378"/>
      <c r="AZ163" s="1446" t="str">
        <f t="shared" si="82"/>
        <v>352050</v>
      </c>
      <c r="BA163" s="1330">
        <f>ROUND((K164*$BC$3)+(K163*$BC$4),2)</f>
        <v>3478.2</v>
      </c>
      <c r="BB163" s="1330">
        <f>ROUND((L164*$BC$3)+(L163*$BC$4),2)</f>
        <v>15960.03</v>
      </c>
      <c r="BC163" s="1330">
        <f>ROUND((M164*$BC$3)+(K163*$BC$4),2)</f>
        <v>1577.17</v>
      </c>
      <c r="BD163" s="1330">
        <f>ROUND((N164*$BC$3)+(L163*$BC$4),2)</f>
        <v>15960.03</v>
      </c>
      <c r="BE163" s="1305"/>
      <c r="BF163" s="1321">
        <f>ROUND(BA163*'CP FACTORS'!$B$9,6)</f>
        <v>3.2953100000000002</v>
      </c>
      <c r="BG163" s="1322">
        <f>ROUND(BB163*'CP FACTORS'!$B$14,6)</f>
        <v>0</v>
      </c>
      <c r="BH163" s="1321">
        <f>ROUND(BC163*'CP FACTORS'!$B$9,6)</f>
        <v>1.4942390000000001</v>
      </c>
      <c r="BI163" s="1323">
        <f>ROUND(BD163*'CP FACTORS'!$B$14,6)</f>
        <v>0</v>
      </c>
      <c r="BJ163" s="1305"/>
      <c r="BK163" s="730">
        <f t="shared" si="97"/>
        <v>19438.23</v>
      </c>
      <c r="BL163" s="1342">
        <f t="shared" si="98"/>
        <v>17537.2</v>
      </c>
      <c r="BM163" s="1341">
        <f t="shared" si="99"/>
        <v>3.2953100000000002</v>
      </c>
      <c r="BN163" s="1340">
        <f t="shared" si="100"/>
        <v>1.4942390000000001</v>
      </c>
    </row>
    <row r="164" spans="1:66">
      <c r="A164" s="51" t="str">
        <f t="shared" ref="A164:A233" si="104">LEFT(B164,6)</f>
        <v>352100</v>
      </c>
      <c r="B164" s="1442" t="str">
        <f>'HVAC Deemed Table'!C1375</f>
        <v>352100_2024_12_</v>
      </c>
      <c r="C164" s="887" t="str">
        <f>'HVAC Deemed Table'!G1375</f>
        <v>Cooling Res</v>
      </c>
      <c r="D164" s="887" t="str">
        <f>'HVAC Deemed Table'!G1376</f>
        <v>Heating RES</v>
      </c>
      <c r="E164" s="887" t="str">
        <f>'HVAC Deemed Table'!G1377</f>
        <v>Cooling Res ER2</v>
      </c>
      <c r="F164" s="887" t="str">
        <f>'HVAC Deemed Table'!G1378</f>
        <v>Heating RES ER2</v>
      </c>
      <c r="G164" s="1378" t="str">
        <f>'HVAC Deemed Table'!E1375</f>
        <v>GSHP-EER23-Replace_CAC_ElectricHeat_ER1_SF</v>
      </c>
      <c r="H164" s="19" t="str">
        <f>'HVAC Deemed Table'!D1375</f>
        <v>PAYS</v>
      </c>
      <c r="I164" s="785">
        <f t="shared" si="88"/>
        <v>20510.150000000001</v>
      </c>
      <c r="J164" s="785">
        <f t="shared" si="89"/>
        <v>17341.78</v>
      </c>
      <c r="K164" s="202">
        <f>'HVAC Deemed Table'!F1375</f>
        <v>4725.7</v>
      </c>
      <c r="L164" s="202">
        <f>'HVAC Deemed Table'!F1376</f>
        <v>15784.45</v>
      </c>
      <c r="M164" s="202">
        <f>'HVAC Deemed Table'!F1377</f>
        <v>1557.33</v>
      </c>
      <c r="N164" s="202">
        <f>'HVAC Deemed Table'!F1378</f>
        <v>15784.45</v>
      </c>
      <c r="O164" s="786">
        <f t="shared" si="90"/>
        <v>4.477214</v>
      </c>
      <c r="P164" s="786">
        <f t="shared" si="91"/>
        <v>1.4754430000000001</v>
      </c>
      <c r="Q164" s="787">
        <f>'HVAC Deemed Table'!I1375</f>
        <v>4.477214</v>
      </c>
      <c r="R164" s="787">
        <f>'HVAC Deemed Table'!I1376</f>
        <v>0</v>
      </c>
      <c r="S164" s="787">
        <f>'HVAC Deemed Table'!I1377</f>
        <v>1.4754430000000001</v>
      </c>
      <c r="T164" s="787">
        <f>'HVAC Deemed Table'!I1378</f>
        <v>0</v>
      </c>
      <c r="U164" s="788">
        <f t="shared" si="92"/>
        <v>0</v>
      </c>
      <c r="V164" s="788">
        <f t="shared" si="93"/>
        <v>0</v>
      </c>
      <c r="W164" s="788">
        <f t="shared" si="94"/>
        <v>4.477214</v>
      </c>
      <c r="X164" s="23">
        <f>'HVAC Deemed Table'!J1375</f>
        <v>6</v>
      </c>
      <c r="Y164" s="23">
        <f>'HVAC Deemed Table'!J1377</f>
        <v>12</v>
      </c>
      <c r="Z164" s="23">
        <f t="shared" ref="Z164:Z233" si="105">Y164+X164</f>
        <v>18</v>
      </c>
      <c r="AA164" s="18">
        <f>'HVAC Deemed Table'!DG1375</f>
        <v>1.6278290817075913</v>
      </c>
      <c r="AB164" s="807">
        <f>'HVAC Deemed Table'!K1375</f>
        <v>10005.779576760684</v>
      </c>
      <c r="AC164" s="903">
        <f t="shared" ref="AC164:AC233" si="106">AE164+AF164</f>
        <v>8939.1343811011629</v>
      </c>
      <c r="AD164" s="903">
        <f t="shared" si="85"/>
        <v>7348.5645991057536</v>
      </c>
      <c r="AE164" s="208">
        <f>'HVAC Deemed Table'!DI1375</f>
        <v>4706.0793535244566</v>
      </c>
      <c r="AF164" s="208">
        <f>'HVAC Deemed Table'!DI1376</f>
        <v>4233.0550275767064</v>
      </c>
      <c r="AG164" s="208">
        <f>'HVAC Deemed Table'!DI1377</f>
        <v>2015.0616830718666</v>
      </c>
      <c r="AH164" s="208">
        <f>'HVAC Deemed Table'!DI1378</f>
        <v>5333.5029160338872</v>
      </c>
      <c r="AI164" s="906" t="str">
        <f t="shared" si="102"/>
        <v>per measure</v>
      </c>
      <c r="AJ164" s="47">
        <f>'HVAC Deemed Table'!L1375</f>
        <v>3.8698630136986303</v>
      </c>
      <c r="AK164" s="641"/>
      <c r="AL164" s="641"/>
      <c r="AX164" s="1355" t="str">
        <f t="shared" si="81"/>
        <v>GSHP-EER23-Replace_CAC_ElectricHeat_ER1_SF</v>
      </c>
      <c r="AY164" s="1378"/>
      <c r="AZ164" s="1446" t="str">
        <f t="shared" si="82"/>
        <v>352100</v>
      </c>
      <c r="BA164" s="1330">
        <f>BA163</f>
        <v>3478.2</v>
      </c>
      <c r="BB164" s="1330">
        <f>BB163</f>
        <v>15960.03</v>
      </c>
      <c r="BC164" s="1330">
        <f>BC163</f>
        <v>1577.17</v>
      </c>
      <c r="BD164" s="1330">
        <f>BD163</f>
        <v>15960.03</v>
      </c>
      <c r="BE164" s="1305"/>
      <c r="BF164" s="1321">
        <f>ROUND(BA164*'CP FACTORS'!$B$9,6)</f>
        <v>3.2953100000000002</v>
      </c>
      <c r="BG164" s="1322">
        <f>ROUND(BB164*'CP FACTORS'!$B$14,6)</f>
        <v>0</v>
      </c>
      <c r="BH164" s="1321">
        <f>ROUND(BC164*'CP FACTORS'!$B$9,6)</f>
        <v>1.4942390000000001</v>
      </c>
      <c r="BI164" s="1323">
        <f>ROUND(BD164*'CP FACTORS'!$B$14,6)</f>
        <v>0</v>
      </c>
      <c r="BJ164" s="1305"/>
      <c r="BK164" s="730">
        <f t="shared" si="97"/>
        <v>19438.23</v>
      </c>
      <c r="BL164" s="1342">
        <f t="shared" si="98"/>
        <v>17537.2</v>
      </c>
      <c r="BM164" s="1341">
        <f t="shared" si="99"/>
        <v>3.2953100000000002</v>
      </c>
      <c r="BN164" s="1340">
        <f t="shared" si="100"/>
        <v>1.4942390000000001</v>
      </c>
    </row>
    <row r="165" spans="1:66">
      <c r="A165" s="51" t="str">
        <f t="shared" si="104"/>
        <v>352200</v>
      </c>
      <c r="B165" s="1442" t="str">
        <f>'HVAC Deemed Table'!C1379</f>
        <v>352200_2024_12_</v>
      </c>
      <c r="C165" s="887" t="str">
        <f>'HVAC Deemed Table'!G1379</f>
        <v>Cooling Res</v>
      </c>
      <c r="D165" s="887" t="str">
        <f>'HVAC Deemed Table'!G1380</f>
        <v>Heating RES</v>
      </c>
      <c r="E165" s="887" t="str">
        <f>'HVAC Deemed Table'!G1381</f>
        <v>Cooling Res ER2</v>
      </c>
      <c r="F165" s="887" t="str">
        <f>'HVAC Deemed Table'!G1382</f>
        <v>Heating RES ER2</v>
      </c>
      <c r="G165" s="1378" t="str">
        <f>'HVAC Deemed Table'!E1379</f>
        <v>GSHP-EER23-Replace_ASHP_ER1_SF</v>
      </c>
      <c r="H165" s="19" t="str">
        <f>'HVAC Deemed Table'!D1379</f>
        <v>PAYS</v>
      </c>
      <c r="I165" s="785">
        <f t="shared" si="88"/>
        <v>9060.25</v>
      </c>
      <c r="J165" s="785">
        <f t="shared" si="89"/>
        <v>6042.19</v>
      </c>
      <c r="K165" s="202">
        <f>'HVAC Deemed Table'!F1379</f>
        <v>4385.8500000000004</v>
      </c>
      <c r="L165" s="202">
        <f>'HVAC Deemed Table'!F1380</f>
        <v>4674.3999999999996</v>
      </c>
      <c r="M165" s="202">
        <f>'HVAC Deemed Table'!F1381</f>
        <v>1367.79</v>
      </c>
      <c r="N165" s="202">
        <f>'HVAC Deemed Table'!F1382</f>
        <v>4674.3999999999996</v>
      </c>
      <c r="O165" s="786">
        <f t="shared" si="90"/>
        <v>4.1552340000000001</v>
      </c>
      <c r="P165" s="786">
        <f t="shared" si="91"/>
        <v>1.2958689999999999</v>
      </c>
      <c r="Q165" s="787">
        <f>'HVAC Deemed Table'!I1379</f>
        <v>4.1552340000000001</v>
      </c>
      <c r="R165" s="787">
        <f>'HVAC Deemed Table'!I1380</f>
        <v>0</v>
      </c>
      <c r="S165" s="787">
        <f>'HVAC Deemed Table'!I1381</f>
        <v>1.2958689999999999</v>
      </c>
      <c r="T165" s="787">
        <f>'HVAC Deemed Table'!I1382</f>
        <v>0</v>
      </c>
      <c r="U165" s="788">
        <f t="shared" si="92"/>
        <v>0</v>
      </c>
      <c r="V165" s="788">
        <f t="shared" si="93"/>
        <v>0</v>
      </c>
      <c r="W165" s="788">
        <f t="shared" si="94"/>
        <v>4.1552340000000001</v>
      </c>
      <c r="X165" s="23">
        <f>'HVAC Deemed Table'!J1379</f>
        <v>6</v>
      </c>
      <c r="Y165" s="23">
        <f>'HVAC Deemed Table'!J1381</f>
        <v>12</v>
      </c>
      <c r="Z165" s="23">
        <f t="shared" si="105"/>
        <v>18</v>
      </c>
      <c r="AA165" s="18">
        <f>'HVAC Deemed Table'!DG1379</f>
        <v>1.4355894503288062</v>
      </c>
      <c r="AB165" s="807">
        <f>'HVAC Deemed Table'!K1379</f>
        <v>6248.64477985144</v>
      </c>
      <c r="AC165" s="903">
        <f t="shared" si="106"/>
        <v>5621.2154100956441</v>
      </c>
      <c r="AD165" s="903">
        <f t="shared" si="85"/>
        <v>3349.273114711249</v>
      </c>
      <c r="AE165" s="208">
        <f>'HVAC Deemed Table'!DI1379</f>
        <v>4367.6403776488651</v>
      </c>
      <c r="AF165" s="208">
        <f>'HVAC Deemed Table'!DI1380</f>
        <v>1253.5750324467788</v>
      </c>
      <c r="AG165" s="208">
        <f>'HVAC Deemed Table'!DI1381</f>
        <v>1769.8119342007592</v>
      </c>
      <c r="AH165" s="208">
        <f>'HVAC Deemed Table'!DI1382</f>
        <v>1579.4611805104896</v>
      </c>
      <c r="AI165" s="906" t="str">
        <f t="shared" si="102"/>
        <v>per measure</v>
      </c>
      <c r="AJ165" s="47">
        <f>'HVAC Deemed Table'!L1379</f>
        <v>3.8698630136986303</v>
      </c>
      <c r="AK165" s="641"/>
      <c r="AL165" s="641"/>
      <c r="AX165" s="1355" t="str">
        <f t="shared" ref="AX165:AX229" si="107">G165</f>
        <v>GSHP-EER23-Replace_ASHP_ER1_SF</v>
      </c>
      <c r="AY165" s="1378"/>
      <c r="AZ165" s="1446" t="str">
        <f t="shared" ref="AZ165:AZ229" si="108">A165</f>
        <v>352200</v>
      </c>
      <c r="BA165" s="1331">
        <f>ROUND((K165*$BC$3)+(K166*$BC$4),2)</f>
        <v>3196.06</v>
      </c>
      <c r="BB165" s="1331">
        <f>ROUND((L165*$BC$3)+(L166*$BC$4),2)</f>
        <v>4726.3999999999996</v>
      </c>
      <c r="BC165" s="1331">
        <f>ROUND((M165*$BC$3)+(K166*$BC$4),2)</f>
        <v>1385.22</v>
      </c>
      <c r="BD165" s="1331">
        <f>ROUND((N165*$BC$3)+(L166*$BC$4),2)</f>
        <v>4726.3999999999996</v>
      </c>
      <c r="BE165" s="1305"/>
      <c r="BF165" s="1321">
        <f>ROUND(BA165*'CP FACTORS'!$B$9,6)</f>
        <v>3.0280049999999998</v>
      </c>
      <c r="BG165" s="1322">
        <f>ROUND(BB165*'CP FACTORS'!$B$14,6)</f>
        <v>0</v>
      </c>
      <c r="BH165" s="1321">
        <f>ROUND(BC165*'CP FACTORS'!$B$9,6)</f>
        <v>1.3123830000000001</v>
      </c>
      <c r="BI165" s="1323">
        <f>ROUND(BD165*'CP FACTORS'!$B$14,6)</f>
        <v>0</v>
      </c>
      <c r="BJ165" s="1305"/>
      <c r="BK165" s="730">
        <f t="shared" si="97"/>
        <v>7922.4599999999991</v>
      </c>
      <c r="BL165" s="1342">
        <f t="shared" si="98"/>
        <v>6111.62</v>
      </c>
      <c r="BM165" s="1341">
        <f t="shared" si="99"/>
        <v>3.0280049999999998</v>
      </c>
      <c r="BN165" s="1340">
        <f t="shared" si="100"/>
        <v>1.3123830000000001</v>
      </c>
    </row>
    <row r="166" spans="1:66" s="41" customFormat="1" ht="14.25" customHeight="1">
      <c r="A166" s="51" t="str">
        <f t="shared" si="104"/>
        <v>352250</v>
      </c>
      <c r="B166" s="1442" t="str">
        <f>'HVAC Deemed Table'!C1383</f>
        <v>352250_2024_12_</v>
      </c>
      <c r="C166" s="887" t="str">
        <f>'HVAC Deemed Table'!G1383</f>
        <v>Cooling Res</v>
      </c>
      <c r="D166" s="887" t="str">
        <f>'HVAC Deemed Table'!G1384</f>
        <v>Heating RES</v>
      </c>
      <c r="E166" s="1378"/>
      <c r="F166" s="1378"/>
      <c r="G166" s="1378" t="str">
        <f>'HVAC Deemed Table'!E1383</f>
        <v>GSHP-EER23_ROF_SF</v>
      </c>
      <c r="H166" s="19" t="str">
        <f>'HVAC Deemed Table'!D1383</f>
        <v>PAYS</v>
      </c>
      <c r="I166" s="785">
        <f t="shared" si="88"/>
        <v>6215.76</v>
      </c>
      <c r="J166" s="785">
        <f t="shared" si="89"/>
        <v>0</v>
      </c>
      <c r="K166" s="202">
        <f>'HVAC Deemed Table'!F1383</f>
        <v>1411.37</v>
      </c>
      <c r="L166" s="202">
        <f>'HVAC Deemed Table'!F1384</f>
        <v>4804.3900000000003</v>
      </c>
      <c r="M166" s="202"/>
      <c r="N166" s="202"/>
      <c r="O166" s="786">
        <f t="shared" si="90"/>
        <v>1.3371569999999999</v>
      </c>
      <c r="P166" s="786">
        <f t="shared" si="91"/>
        <v>0</v>
      </c>
      <c r="Q166" s="787">
        <f>'HVAC Deemed Table'!I1383</f>
        <v>1.3371569999999999</v>
      </c>
      <c r="R166" s="787">
        <f>'HVAC Deemed Table'!I1384</f>
        <v>0</v>
      </c>
      <c r="S166" s="787"/>
      <c r="T166" s="787"/>
      <c r="U166" s="788">
        <f t="shared" si="92"/>
        <v>0</v>
      </c>
      <c r="V166" s="788">
        <f t="shared" si="93"/>
        <v>0</v>
      </c>
      <c r="W166" s="788">
        <f t="shared" si="94"/>
        <v>1.3371569999999999</v>
      </c>
      <c r="X166" s="23">
        <f>'HVAC Deemed Table'!J1383</f>
        <v>18</v>
      </c>
      <c r="Y166" s="23"/>
      <c r="Z166" s="23">
        <f t="shared" si="105"/>
        <v>18</v>
      </c>
      <c r="AA166" s="18">
        <f>'HVAC Deemed Table'!DG1383</f>
        <v>0.81816786649657092</v>
      </c>
      <c r="AB166" s="807">
        <f>'HVAC Deemed Table'!K1383</f>
        <v>7508.8881687196081</v>
      </c>
      <c r="AC166" s="903">
        <f t="shared" si="106"/>
        <v>6143.5310127626653</v>
      </c>
      <c r="AD166" s="903">
        <f t="shared" si="85"/>
        <v>0</v>
      </c>
      <c r="AE166" s="208">
        <f>'HVAC Deemed Table'!DI1383</f>
        <v>3231.7111318860234</v>
      </c>
      <c r="AF166" s="208">
        <f>'HVAC Deemed Table'!DI1384</f>
        <v>2911.8198808766415</v>
      </c>
      <c r="AG166" s="208"/>
      <c r="AH166" s="208"/>
      <c r="AI166" s="906" t="str">
        <f t="shared" si="102"/>
        <v>per measure</v>
      </c>
      <c r="AJ166" s="47">
        <f>'HVAC Deemed Table'!L1383</f>
        <v>3.993150684931507</v>
      </c>
      <c r="AK166" s="641"/>
      <c r="AL166" s="641"/>
      <c r="AM166"/>
      <c r="AN166"/>
      <c r="AO166"/>
      <c r="AP166"/>
      <c r="AQ166"/>
      <c r="AR166"/>
      <c r="AS166"/>
      <c r="AT166"/>
      <c r="AU166"/>
      <c r="AV166"/>
      <c r="AW166"/>
      <c r="AX166" s="1355" t="str">
        <f t="shared" si="107"/>
        <v>GSHP-EER23_ROF_SF</v>
      </c>
      <c r="AY166" s="1378"/>
      <c r="AZ166" s="1446" t="str">
        <f t="shared" si="108"/>
        <v>352250</v>
      </c>
      <c r="BA166" s="1331">
        <f t="shared" ref="BA166:BD167" si="109">BA165</f>
        <v>3196.06</v>
      </c>
      <c r="BB166" s="1331">
        <f t="shared" si="109"/>
        <v>4726.3999999999996</v>
      </c>
      <c r="BC166" s="1331">
        <f t="shared" si="109"/>
        <v>1385.22</v>
      </c>
      <c r="BD166" s="1331">
        <f t="shared" si="109"/>
        <v>4726.3999999999996</v>
      </c>
      <c r="BE166" s="1306"/>
      <c r="BF166" s="1321">
        <f>ROUND(BA166*'CP FACTORS'!$B$9,6)</f>
        <v>3.0280049999999998</v>
      </c>
      <c r="BG166" s="1322">
        <f>ROUND(BB166*'CP FACTORS'!$B$14,6)</f>
        <v>0</v>
      </c>
      <c r="BH166" s="1321">
        <f>ROUND(BC166*'CP FACTORS'!$B$9,6)</f>
        <v>1.3123830000000001</v>
      </c>
      <c r="BI166" s="1323">
        <f>ROUND(BD166*'CP FACTORS'!$B$14,6)</f>
        <v>0</v>
      </c>
      <c r="BJ166" s="1305"/>
      <c r="BK166" s="730">
        <f t="shared" si="97"/>
        <v>7922.4599999999991</v>
      </c>
      <c r="BL166" s="1342">
        <f t="shared" si="98"/>
        <v>6111.62</v>
      </c>
      <c r="BM166" s="1341">
        <f t="shared" si="99"/>
        <v>3.0280049999999998</v>
      </c>
      <c r="BN166" s="1340">
        <f t="shared" si="100"/>
        <v>1.3123830000000001</v>
      </c>
    </row>
    <row r="167" spans="1:66" s="41" customFormat="1" ht="14.25" customHeight="1">
      <c r="A167" s="51" t="str">
        <f t="shared" ref="A167" si="110">LEFT(B167,6)</f>
        <v>352260</v>
      </c>
      <c r="B167" s="1442" t="str">
        <f>'HVAC Deemed Table'!C1385</f>
        <v>352260_2024_12_</v>
      </c>
      <c r="C167" s="887" t="str">
        <f>'HVAC Deemed Table'!G1385</f>
        <v>Cooling Res</v>
      </c>
      <c r="D167" s="887" t="str">
        <f>'HVAC Deemed Table'!G1386</f>
        <v>Heating RES</v>
      </c>
      <c r="E167" s="1378"/>
      <c r="F167" s="1378"/>
      <c r="G167" s="1378" t="str">
        <f>'HVAC Deemed Table'!E1385</f>
        <v>GSHP-EER23-Replace_GSHP_ER1_SF</v>
      </c>
      <c r="H167" s="19" t="str">
        <f>'HVAC Deemed Table'!D1385</f>
        <v>PAYS</v>
      </c>
      <c r="I167" s="785">
        <f t="shared" ref="I167" si="111">K167+L167</f>
        <v>6231.73</v>
      </c>
      <c r="J167" s="785">
        <f t="shared" ref="J167" si="112">M167+N167</f>
        <v>0</v>
      </c>
      <c r="K167" s="202">
        <f>'HVAC Deemed Table'!F1385</f>
        <v>1557.33</v>
      </c>
      <c r="L167" s="202">
        <f>'HVAC Deemed Table'!F1386</f>
        <v>4674.3999999999996</v>
      </c>
      <c r="M167" s="202"/>
      <c r="N167" s="202"/>
      <c r="O167" s="786">
        <f t="shared" ref="O167" si="113">Q167+R167</f>
        <v>1.4754430000000001</v>
      </c>
      <c r="P167" s="786">
        <f t="shared" ref="P167" si="114">S167+T167</f>
        <v>0</v>
      </c>
      <c r="Q167" s="787">
        <f>'HVAC Deemed Table'!I1385</f>
        <v>1.4754430000000001</v>
      </c>
      <c r="R167" s="787">
        <f>'HVAC Deemed Table'!I1386</f>
        <v>0</v>
      </c>
      <c r="S167" s="787"/>
      <c r="T167" s="787"/>
      <c r="U167" s="788">
        <f t="shared" si="92"/>
        <v>0</v>
      </c>
      <c r="V167" s="788">
        <f t="shared" si="93"/>
        <v>0</v>
      </c>
      <c r="W167" s="788">
        <f t="shared" si="94"/>
        <v>1.4754430000000001</v>
      </c>
      <c r="X167" s="23">
        <f>'HVAC Deemed Table'!J1385</f>
        <v>6</v>
      </c>
      <c r="Y167" s="23">
        <f>'HVAC Deemed Table'!J1387</f>
        <v>12</v>
      </c>
      <c r="Z167" s="23">
        <f t="shared" ref="Z167" si="115">Y167+X167</f>
        <v>18</v>
      </c>
      <c r="AA167" s="18">
        <f>'HVAC Deemed Table'!DG1385</f>
        <v>0.98480750328554567</v>
      </c>
      <c r="AB167" s="807">
        <f>'HVAC Deemed Table'!K1385</f>
        <v>6248.64477985144</v>
      </c>
      <c r="AC167" s="903">
        <f t="shared" ref="AC167" si="116">AE167+AF167</f>
        <v>2804.4391498525056</v>
      </c>
      <c r="AD167" s="903">
        <f t="shared" ref="AD167" si="117">AG167+AH167</f>
        <v>0</v>
      </c>
      <c r="AE167" s="208">
        <f>'HVAC Deemed Table'!DI1385</f>
        <v>1550.8641174057266</v>
      </c>
      <c r="AF167" s="208">
        <f>'HVAC Deemed Table'!DI1386</f>
        <v>1253.5750324467788</v>
      </c>
      <c r="AG167" s="208"/>
      <c r="AH167" s="208"/>
      <c r="AI167" s="906" t="str">
        <f t="shared" si="102"/>
        <v>per measure</v>
      </c>
      <c r="AJ167" s="47">
        <f>'HVAC Deemed Table'!L1385</f>
        <v>3.8698630136986303</v>
      </c>
      <c r="AK167" s="641"/>
      <c r="AL167" s="641"/>
      <c r="AM167"/>
      <c r="AN167"/>
      <c r="AO167"/>
      <c r="AP167"/>
      <c r="AQ167"/>
      <c r="AR167"/>
      <c r="AS167"/>
      <c r="AT167"/>
      <c r="AU167"/>
      <c r="AV167"/>
      <c r="AW167"/>
      <c r="AX167" s="1355" t="str">
        <f t="shared" ref="AX167" si="118">G167</f>
        <v>GSHP-EER23-Replace_GSHP_ER1_SF</v>
      </c>
      <c r="AY167" s="1378"/>
      <c r="AZ167" s="1446" t="str">
        <f t="shared" ref="AZ167" si="119">A167</f>
        <v>352260</v>
      </c>
      <c r="BA167" s="1331">
        <f t="shared" si="109"/>
        <v>3196.06</v>
      </c>
      <c r="BB167" s="1331">
        <f t="shared" si="109"/>
        <v>4726.3999999999996</v>
      </c>
      <c r="BC167" s="1331">
        <f t="shared" si="109"/>
        <v>1385.22</v>
      </c>
      <c r="BD167" s="1331">
        <f t="shared" si="109"/>
        <v>4726.3999999999996</v>
      </c>
      <c r="BE167" s="1306"/>
      <c r="BF167" s="1321">
        <f>ROUND(BA167*'CP FACTORS'!$B$9,6)</f>
        <v>3.0280049999999998</v>
      </c>
      <c r="BG167" s="1322">
        <f>ROUND(BB167*'CP FACTORS'!$B$14,6)</f>
        <v>0</v>
      </c>
      <c r="BH167" s="1321">
        <f>ROUND(BC167*'CP FACTORS'!$B$9,6)</f>
        <v>1.3123830000000001</v>
      </c>
      <c r="BI167" s="1323">
        <f>ROUND(BD167*'CP FACTORS'!$B$14,6)</f>
        <v>0</v>
      </c>
      <c r="BJ167" s="1305"/>
      <c r="BK167" s="730">
        <f t="shared" ref="BK167" si="120">BA167+BB167</f>
        <v>7922.4599999999991</v>
      </c>
      <c r="BL167" s="1342">
        <f t="shared" ref="BL167" si="121">BC167+BD167</f>
        <v>6111.62</v>
      </c>
      <c r="BM167" s="1341">
        <f t="shared" ref="BM167" si="122">BF167+BG167</f>
        <v>3.0280049999999998</v>
      </c>
      <c r="BN167" s="1340">
        <f t="shared" ref="BN167" si="123">BH167+BI167</f>
        <v>1.3123830000000001</v>
      </c>
    </row>
    <row r="168" spans="1:66">
      <c r="A168" s="51" t="str">
        <f t="shared" si="104"/>
        <v>352300</v>
      </c>
      <c r="B168" s="1442" t="str">
        <f>'HVAC Deemed Table'!C1508</f>
        <v>352300_2024_12_</v>
      </c>
      <c r="C168" s="887" t="str">
        <f>'HVAC Deemed Table'!G1508</f>
        <v>Cooling Res</v>
      </c>
      <c r="D168" s="887" t="str">
        <f>'HVAC Deemed Table'!G1509</f>
        <v>Heating Res</v>
      </c>
      <c r="E168" s="887" t="str">
        <f>'HVAC Deemed Table'!G1510</f>
        <v>Cooling Res ER2</v>
      </c>
      <c r="F168" s="887" t="str">
        <f>'HVAC Deemed Table'!G1511</f>
        <v>Heating Res ER2</v>
      </c>
      <c r="G168" s="1378" t="str">
        <f>'HVAC Deemed Table'!E1508</f>
        <v>ASHP-SEER15-Replace_CAC_ElectricHeat_ER1_SF</v>
      </c>
      <c r="H168" s="19" t="str">
        <f>'HVAC Deemed Table'!D1508</f>
        <v>PAYS</v>
      </c>
      <c r="I168" s="785">
        <f t="shared" si="88"/>
        <v>10303.56</v>
      </c>
      <c r="J168" s="785">
        <f t="shared" si="89"/>
        <v>8565.5399999999991</v>
      </c>
      <c r="K168" s="202">
        <f>'HVAC Deemed Table'!F1508</f>
        <v>2004.34</v>
      </c>
      <c r="L168" s="202">
        <f>'HVAC Deemed Table'!F1509</f>
        <v>8299.2199999999993</v>
      </c>
      <c r="M168" s="202">
        <f>'HVAC Deemed Table'!F1510</f>
        <v>266.32</v>
      </c>
      <c r="N168" s="202">
        <f>'HVAC Deemed Table'!F1511</f>
        <v>8299.2199999999993</v>
      </c>
      <c r="O168" s="786">
        <f t="shared" si="90"/>
        <v>1.8989480000000001</v>
      </c>
      <c r="P168" s="786">
        <f t="shared" si="91"/>
        <v>0.25231599999999998</v>
      </c>
      <c r="Q168" s="787">
        <f>'HVAC Deemed Table'!I1508</f>
        <v>1.8989480000000001</v>
      </c>
      <c r="R168" s="787">
        <f>'HVAC Deemed Table'!I1509</f>
        <v>0</v>
      </c>
      <c r="S168" s="787">
        <f>'HVAC Deemed Table'!I1510</f>
        <v>0.25231599999999998</v>
      </c>
      <c r="T168" s="787">
        <f>'HVAC Deemed Table'!I1511</f>
        <v>0</v>
      </c>
      <c r="U168" s="788">
        <f t="shared" si="92"/>
        <v>0</v>
      </c>
      <c r="V168" s="788">
        <f t="shared" si="93"/>
        <v>0</v>
      </c>
      <c r="W168" s="788">
        <f t="shared" si="94"/>
        <v>1.8989480000000001</v>
      </c>
      <c r="X168" s="23">
        <f>'HVAC Deemed Table'!J1508</f>
        <v>6</v>
      </c>
      <c r="Y168" s="23">
        <f>'HVAC Deemed Table'!J1510</f>
        <v>12</v>
      </c>
      <c r="Z168" s="23">
        <f t="shared" si="105"/>
        <v>18</v>
      </c>
      <c r="AA168" s="18">
        <f>'HVAC Deemed Table'!DG1508</f>
        <v>2.2774505609007343</v>
      </c>
      <c r="AB168" s="259">
        <f>'HVAC Deemed Table'!K1508</f>
        <v>3236.3220917485878</v>
      </c>
      <c r="AC168" s="903">
        <f t="shared" si="106"/>
        <v>4221.6931242145793</v>
      </c>
      <c r="AD168" s="903">
        <f t="shared" si="85"/>
        <v>3148.8704388936803</v>
      </c>
      <c r="AE168" s="208">
        <f>'HVAC Deemed Table'!DI1508</f>
        <v>1996.0181753905683</v>
      </c>
      <c r="AF168" s="208">
        <f>'HVAC Deemed Table'!DI1509</f>
        <v>2225.6749488240107</v>
      </c>
      <c r="AG168" s="208">
        <f>'HVAC Deemed Table'!DI1510</f>
        <v>344.59698807298355</v>
      </c>
      <c r="AH168" s="208">
        <f>'HVAC Deemed Table'!DI1511</f>
        <v>2804.2734508206968</v>
      </c>
      <c r="AI168" s="906" t="str">
        <f>AI166</f>
        <v>per measure</v>
      </c>
      <c r="AJ168" s="47">
        <f>'HVAC Deemed Table'!L1508</f>
        <v>2.5726507669889709</v>
      </c>
      <c r="AK168" s="641"/>
      <c r="AL168" s="641"/>
      <c r="AX168" s="1355" t="str">
        <f t="shared" si="107"/>
        <v>ASHP-SEER15-Replace_CAC_ElectricHeat_ER1_SF</v>
      </c>
      <c r="AY168" s="1378"/>
      <c r="AZ168" s="1446" t="str">
        <f t="shared" si="108"/>
        <v>352300</v>
      </c>
      <c r="BA168" s="1332">
        <f t="shared" ref="BA168:BB170" si="124">ROUND((K168*$BC$3)+(K171*$BC$4),2)</f>
        <v>1312.07</v>
      </c>
      <c r="BB168" s="1332">
        <f t="shared" si="124"/>
        <v>8563.1299999999992</v>
      </c>
      <c r="BC168" s="1332">
        <f t="shared" ref="BC168:BD170" si="125">ROUND((M168*$BC$3)+(K171*$BC$4),2)</f>
        <v>269.26</v>
      </c>
      <c r="BD168" s="1332">
        <f t="shared" si="125"/>
        <v>8563.1299999999992</v>
      </c>
      <c r="BE168" s="1305"/>
      <c r="BF168" s="1321">
        <f>ROUND(BA168*'CP FACTORS'!$B$9,6)</f>
        <v>1.243079</v>
      </c>
      <c r="BG168" s="1322">
        <f>ROUND(BB168*'CP FACTORS'!$B$14,6)</f>
        <v>0</v>
      </c>
      <c r="BH168" s="1321">
        <f>ROUND(BC168*'CP FACTORS'!$B$9,6)</f>
        <v>0.255102</v>
      </c>
      <c r="BI168" s="1323">
        <f>ROUND(BD168*'CP FACTORS'!$B$14,6)</f>
        <v>0</v>
      </c>
      <c r="BJ168" s="1305"/>
      <c r="BK168" s="730">
        <f t="shared" si="97"/>
        <v>9875.1999999999989</v>
      </c>
      <c r="BL168" s="1342">
        <f t="shared" si="98"/>
        <v>8832.39</v>
      </c>
      <c r="BM168" s="1341">
        <f t="shared" si="99"/>
        <v>1.243079</v>
      </c>
      <c r="BN168" s="1340">
        <f t="shared" si="100"/>
        <v>0.255102</v>
      </c>
    </row>
    <row r="169" spans="1:66">
      <c r="A169" s="51" t="str">
        <f t="shared" si="104"/>
        <v>352310</v>
      </c>
      <c r="B169" s="1442" t="str">
        <f>'HVAC Deemed Table'!C1512</f>
        <v>352310_2024_12_</v>
      </c>
      <c r="C169" s="887" t="str">
        <f>'HVAC Deemed Table'!G1512</f>
        <v>Cooling Res</v>
      </c>
      <c r="D169" s="887" t="str">
        <f>'HVAC Deemed Table'!G1513</f>
        <v>Heating Res</v>
      </c>
      <c r="E169" s="887" t="str">
        <f>'HVAC Deemed Table'!G1514</f>
        <v>Cooling Res ER2</v>
      </c>
      <c r="F169" s="887" t="str">
        <f>'HVAC Deemed Table'!G1515</f>
        <v>Heating Res ER2</v>
      </c>
      <c r="G169" s="1378" t="str">
        <f>'HVAC Deemed Table'!E1512</f>
        <v>ASHP-SEER15-Replace_CAC_NonElectricHeat_ER1_SF</v>
      </c>
      <c r="H169" s="19" t="str">
        <f>'HVAC Deemed Table'!D1512</f>
        <v>PAYS</v>
      </c>
      <c r="I169" s="785">
        <f t="shared" si="88"/>
        <v>2004.34</v>
      </c>
      <c r="J169" s="785">
        <f t="shared" si="89"/>
        <v>266.32</v>
      </c>
      <c r="K169" s="202">
        <f>'HVAC Deemed Table'!F1512</f>
        <v>2004.34</v>
      </c>
      <c r="L169" s="202">
        <f>'HVAC Deemed Table'!F1513</f>
        <v>0</v>
      </c>
      <c r="M169" s="202">
        <f>'HVAC Deemed Table'!F1514</f>
        <v>266.32</v>
      </c>
      <c r="N169" s="202">
        <f>'HVAC Deemed Table'!F1515</f>
        <v>0</v>
      </c>
      <c r="O169" s="786">
        <f t="shared" si="90"/>
        <v>1.8989480000000001</v>
      </c>
      <c r="P169" s="786">
        <f t="shared" si="91"/>
        <v>0.25231599999999998</v>
      </c>
      <c r="Q169" s="787">
        <f>'HVAC Deemed Table'!I1512</f>
        <v>1.8989480000000001</v>
      </c>
      <c r="R169" s="787">
        <f>'HVAC Deemed Table'!I1513</f>
        <v>0</v>
      </c>
      <c r="S169" s="787">
        <f>'HVAC Deemed Table'!I1514</f>
        <v>0.25231599999999998</v>
      </c>
      <c r="T169" s="787">
        <f>'HVAC Deemed Table'!I1515</f>
        <v>0</v>
      </c>
      <c r="U169" s="788">
        <f t="shared" si="92"/>
        <v>0</v>
      </c>
      <c r="V169" s="788">
        <f t="shared" si="93"/>
        <v>0</v>
      </c>
      <c r="W169" s="788">
        <f t="shared" si="94"/>
        <v>1.8989480000000001</v>
      </c>
      <c r="X169" s="23">
        <f>'HVAC Deemed Table'!J1512</f>
        <v>6</v>
      </c>
      <c r="Y169" s="23">
        <f>'HVAC Deemed Table'!J1514</f>
        <v>12</v>
      </c>
      <c r="Z169" s="23">
        <f t="shared" si="105"/>
        <v>18</v>
      </c>
      <c r="AA169" s="18">
        <f>'HVAC Deemed Table'!DG1512</f>
        <v>6.0100398695147375</v>
      </c>
      <c r="AB169" s="259">
        <f>'HVAC Deemed Table'!K1512</f>
        <v>389.45085461679935</v>
      </c>
      <c r="AC169" s="903">
        <f t="shared" si="106"/>
        <v>1996.0181753905683</v>
      </c>
      <c r="AD169" s="903">
        <f t="shared" si="85"/>
        <v>344.59698807298355</v>
      </c>
      <c r="AE169" s="208">
        <f>'HVAC Deemed Table'!DI1512</f>
        <v>1996.0181753905683</v>
      </c>
      <c r="AF169" s="208">
        <f>'HVAC Deemed Table'!DI1513</f>
        <v>0</v>
      </c>
      <c r="AG169" s="208">
        <f>'HVAC Deemed Table'!DI1514</f>
        <v>344.59698807298355</v>
      </c>
      <c r="AH169" s="208">
        <f>'HVAC Deemed Table'!DI1515</f>
        <v>0</v>
      </c>
      <c r="AI169" s="906" t="str">
        <f t="shared" si="102"/>
        <v>per measure</v>
      </c>
      <c r="AJ169" s="47">
        <f>'HVAC Deemed Table'!L1512</f>
        <v>2.5726507669889709</v>
      </c>
      <c r="AK169" s="918"/>
      <c r="AL169" s="918"/>
      <c r="AX169" s="1355" t="str">
        <f t="shared" si="107"/>
        <v>ASHP-SEER15-Replace_CAC_NonElectricHeat_ER1_SF</v>
      </c>
      <c r="AY169" s="1378"/>
      <c r="AZ169" s="1446" t="str">
        <f t="shared" si="108"/>
        <v>352310</v>
      </c>
      <c r="BA169" s="1332">
        <f t="shared" si="124"/>
        <v>1312.07</v>
      </c>
      <c r="BB169" s="1332">
        <f t="shared" si="124"/>
        <v>0</v>
      </c>
      <c r="BC169" s="1332">
        <f t="shared" si="125"/>
        <v>269.26</v>
      </c>
      <c r="BD169" s="1332">
        <f t="shared" si="125"/>
        <v>0</v>
      </c>
      <c r="BE169" s="1305"/>
      <c r="BF169" s="1321">
        <f>ROUND(BA169*'CP FACTORS'!$B$9,6)</f>
        <v>1.243079</v>
      </c>
      <c r="BG169" s="1322">
        <f>ROUND(BB169*'CP FACTORS'!$B$14,6)</f>
        <v>0</v>
      </c>
      <c r="BH169" s="1321">
        <f>ROUND(BC169*'CP FACTORS'!$B$9,6)</f>
        <v>0.255102</v>
      </c>
      <c r="BI169" s="1323">
        <f>ROUND(BD169*'CP FACTORS'!$B$14,6)</f>
        <v>0</v>
      </c>
      <c r="BJ169" s="1305"/>
      <c r="BK169" s="730">
        <f t="shared" si="97"/>
        <v>1312.07</v>
      </c>
      <c r="BL169" s="1342">
        <f t="shared" si="98"/>
        <v>269.26</v>
      </c>
      <c r="BM169" s="1341">
        <f t="shared" si="99"/>
        <v>1.243079</v>
      </c>
      <c r="BN169" s="1340">
        <f t="shared" si="100"/>
        <v>0.255102</v>
      </c>
    </row>
    <row r="170" spans="1:66" s="41" customFormat="1">
      <c r="A170" s="51" t="str">
        <f t="shared" si="104"/>
        <v>352350</v>
      </c>
      <c r="B170" s="1442" t="str">
        <f>'HVAC Deemed Table'!C1516</f>
        <v>352350_2024_12_</v>
      </c>
      <c r="C170" s="887" t="str">
        <f>'HVAC Deemed Table'!G1516</f>
        <v>Cooling Res</v>
      </c>
      <c r="D170" s="887" t="str">
        <f>'HVAC Deemed Table'!G1517</f>
        <v>Heating Res</v>
      </c>
      <c r="E170" s="887" t="str">
        <f>'HVAC Deemed Table'!G1518</f>
        <v>Cooling Res ER2</v>
      </c>
      <c r="F170" s="887" t="str">
        <f>'HVAC Deemed Table'!G1519</f>
        <v>Heating Res ER2</v>
      </c>
      <c r="G170" s="1378" t="str">
        <f>'HVAC Deemed Table'!E1516</f>
        <v>ASHP-SEER15_ER1_SF</v>
      </c>
      <c r="H170" s="19" t="str">
        <f>'HVAC Deemed Table'!D1516</f>
        <v>PAYS</v>
      </c>
      <c r="I170" s="785">
        <f t="shared" si="88"/>
        <v>3778.68</v>
      </c>
      <c r="J170" s="785">
        <f t="shared" si="89"/>
        <v>1032.82</v>
      </c>
      <c r="K170" s="202">
        <f>'HVAC Deemed Table'!F1516</f>
        <v>2004.34</v>
      </c>
      <c r="L170" s="202">
        <f>'HVAC Deemed Table'!F1517</f>
        <v>1774.34</v>
      </c>
      <c r="M170" s="202">
        <f>'HVAC Deemed Table'!F1518</f>
        <v>119.46</v>
      </c>
      <c r="N170" s="202">
        <f>'HVAC Deemed Table'!F1519</f>
        <v>913.36</v>
      </c>
      <c r="O170" s="786">
        <f t="shared" si="90"/>
        <v>1.8989480000000001</v>
      </c>
      <c r="P170" s="786">
        <f t="shared" si="91"/>
        <v>0.113179</v>
      </c>
      <c r="Q170" s="787">
        <f>'HVAC Deemed Table'!I1516</f>
        <v>1.8989480000000001</v>
      </c>
      <c r="R170" s="787">
        <f>'HVAC Deemed Table'!I1517</f>
        <v>0</v>
      </c>
      <c r="S170" s="787">
        <f>'HVAC Deemed Table'!I1518</f>
        <v>0.113179</v>
      </c>
      <c r="T170" s="787">
        <f>'HVAC Deemed Table'!I1519</f>
        <v>0</v>
      </c>
      <c r="U170" s="788">
        <f t="shared" si="92"/>
        <v>0</v>
      </c>
      <c r="V170" s="788">
        <f t="shared" si="93"/>
        <v>0</v>
      </c>
      <c r="W170" s="788">
        <f t="shared" si="94"/>
        <v>1.8989480000000001</v>
      </c>
      <c r="X170" s="23">
        <f>'HVAC Deemed Table'!J1516</f>
        <v>6</v>
      </c>
      <c r="Y170" s="23">
        <f>'HVAC Deemed Table'!J1518</f>
        <v>12</v>
      </c>
      <c r="Z170" s="23">
        <f t="shared" si="105"/>
        <v>18</v>
      </c>
      <c r="AA170" s="18">
        <f>'HVAC Deemed Table'!DG1516</f>
        <v>22.286283086578191</v>
      </c>
      <c r="AB170" s="259">
        <f>'HVAC Deemed Table'!K1516</f>
        <v>131.69764772075905</v>
      </c>
      <c r="AC170" s="903">
        <f t="shared" si="106"/>
        <v>2471.8585662581913</v>
      </c>
      <c r="AD170" s="903">
        <f t="shared" si="85"/>
        <v>463.19249268309392</v>
      </c>
      <c r="AE170" s="208">
        <f>'HVAC Deemed Table'!DI1516</f>
        <v>1996.0181753905683</v>
      </c>
      <c r="AF170" s="208">
        <f>'HVAC Deemed Table'!DI1517</f>
        <v>475.84039086762311</v>
      </c>
      <c r="AG170" s="208">
        <f>'HVAC Deemed Table'!DI1518</f>
        <v>154.57177904475299</v>
      </c>
      <c r="AH170" s="208">
        <f>'HVAC Deemed Table'!DI1519</f>
        <v>308.62071363834093</v>
      </c>
      <c r="AI170" s="906" t="str">
        <f t="shared" si="102"/>
        <v>per measure</v>
      </c>
      <c r="AJ170" s="47">
        <f>'HVAC Deemed Table'!L1516</f>
        <v>2.5726507669889709</v>
      </c>
      <c r="AK170" s="641"/>
      <c r="AL170" s="641"/>
      <c r="AM170"/>
      <c r="AN170"/>
      <c r="AO170"/>
      <c r="AP170"/>
      <c r="AQ170"/>
      <c r="AR170"/>
      <c r="AS170"/>
      <c r="AT170"/>
      <c r="AU170"/>
      <c r="AV170"/>
      <c r="AW170"/>
      <c r="AX170" s="1355" t="str">
        <f t="shared" si="107"/>
        <v>ASHP-SEER15_ER1_SF</v>
      </c>
      <c r="AY170" s="1378"/>
      <c r="AZ170" s="1446" t="str">
        <f t="shared" si="108"/>
        <v>352350</v>
      </c>
      <c r="BA170" s="1332">
        <f t="shared" si="124"/>
        <v>1252.01</v>
      </c>
      <c r="BB170" s="1332">
        <f t="shared" si="124"/>
        <v>1425.89</v>
      </c>
      <c r="BC170" s="1332">
        <f t="shared" si="125"/>
        <v>121.08</v>
      </c>
      <c r="BD170" s="1332">
        <f t="shared" si="125"/>
        <v>909.3</v>
      </c>
      <c r="BE170" s="1306"/>
      <c r="BF170" s="1321">
        <f>ROUND(BA170*'CP FACTORS'!$B$9,6)</f>
        <v>1.186177</v>
      </c>
      <c r="BG170" s="1322">
        <f>ROUND(BB170*'CP FACTORS'!$B$14,6)</f>
        <v>0</v>
      </c>
      <c r="BH170" s="1321">
        <f>ROUND(BC170*'CP FACTORS'!$B$9,6)</f>
        <v>0.114713</v>
      </c>
      <c r="BI170" s="1323">
        <f>ROUND(BD170*'CP FACTORS'!$B$14,6)</f>
        <v>0</v>
      </c>
      <c r="BJ170" s="1305"/>
      <c r="BK170" s="730">
        <f t="shared" si="97"/>
        <v>2677.9</v>
      </c>
      <c r="BL170" s="1342">
        <f t="shared" si="98"/>
        <v>1030.3799999999999</v>
      </c>
      <c r="BM170" s="1341">
        <f t="shared" si="99"/>
        <v>1.186177</v>
      </c>
      <c r="BN170" s="1340">
        <f t="shared" si="100"/>
        <v>0.114713</v>
      </c>
    </row>
    <row r="171" spans="1:66">
      <c r="A171" s="51" t="str">
        <f>LEFT(B171,6)</f>
        <v>352400</v>
      </c>
      <c r="B171" s="1442" t="str">
        <f>'HVAC Deemed Table'!C1520</f>
        <v>352400_2024_12_</v>
      </c>
      <c r="C171" s="887" t="str">
        <f>'HVAC Deemed Table'!G1520</f>
        <v>Cooling Res</v>
      </c>
      <c r="D171" s="887" t="str">
        <f>'HVAC Deemed Table'!G1521</f>
        <v>Heating Res</v>
      </c>
      <c r="E171" s="1378"/>
      <c r="F171" s="1378"/>
      <c r="G171" s="1378" t="str">
        <f>'HVAC Deemed Table'!E1520</f>
        <v>ASHP-SEER15-Replace_CAC_ElectricHeat_ROF_SF</v>
      </c>
      <c r="H171" s="19" t="str">
        <f>'HVAC Deemed Table'!D1520</f>
        <v>PAYS</v>
      </c>
      <c r="I171" s="785">
        <f t="shared" si="88"/>
        <v>9232.66</v>
      </c>
      <c r="J171" s="785">
        <f t="shared" si="89"/>
        <v>0</v>
      </c>
      <c r="K171" s="202">
        <f>'HVAC Deemed Table'!F1520</f>
        <v>273.67</v>
      </c>
      <c r="L171" s="202">
        <f>'HVAC Deemed Table'!F1521</f>
        <v>8958.99</v>
      </c>
      <c r="M171" s="202"/>
      <c r="N171" s="202"/>
      <c r="O171" s="786">
        <f t="shared" si="90"/>
        <v>0.25928000000000001</v>
      </c>
      <c r="P171" s="786">
        <f t="shared" si="91"/>
        <v>0</v>
      </c>
      <c r="Q171" s="787">
        <f>'HVAC Deemed Table'!I1520</f>
        <v>0.25928000000000001</v>
      </c>
      <c r="R171" s="787">
        <f>'HVAC Deemed Table'!I1521</f>
        <v>0</v>
      </c>
      <c r="S171" s="787"/>
      <c r="T171" s="787"/>
      <c r="U171" s="788">
        <f t="shared" si="92"/>
        <v>0</v>
      </c>
      <c r="V171" s="788">
        <f t="shared" si="93"/>
        <v>0</v>
      </c>
      <c r="W171" s="788">
        <f t="shared" si="94"/>
        <v>0.25928000000000001</v>
      </c>
      <c r="X171" s="23">
        <f>'HVAC Deemed Table'!J1520</f>
        <v>18</v>
      </c>
      <c r="Y171" s="23"/>
      <c r="Z171" s="23">
        <f t="shared" si="105"/>
        <v>18</v>
      </c>
      <c r="AA171" s="18">
        <f>'HVAC Deemed Table'!DG1520</f>
        <v>1.8162501539997935</v>
      </c>
      <c r="AB171" s="259">
        <f>'HVAC Deemed Table'!K1520</f>
        <v>3334.5954220882886</v>
      </c>
      <c r="AC171" s="903">
        <f t="shared" si="106"/>
        <v>6056.4594488948605</v>
      </c>
      <c r="AD171" s="903">
        <f t="shared" si="85"/>
        <v>0</v>
      </c>
      <c r="AE171" s="208">
        <f>'HVAC Deemed Table'!DI1520</f>
        <v>626.64105476469535</v>
      </c>
      <c r="AF171" s="208">
        <f>'HVAC Deemed Table'!DI1521</f>
        <v>5429.818394130165</v>
      </c>
      <c r="AG171" s="208"/>
      <c r="AH171" s="208"/>
      <c r="AI171" s="906" t="str">
        <f t="shared" si="102"/>
        <v>per measure</v>
      </c>
      <c r="AJ171" s="47">
        <f>'HVAC Deemed Table'!L1520</f>
        <v>2.8059923701471465</v>
      </c>
      <c r="AK171" s="641"/>
      <c r="AL171" s="641"/>
      <c r="AX171" s="1355" t="str">
        <f t="shared" si="107"/>
        <v>ASHP-SEER15-Replace_CAC_ElectricHeat_ROF_SF</v>
      </c>
      <c r="AY171" s="1378"/>
      <c r="AZ171" s="1446" t="str">
        <f t="shared" si="108"/>
        <v>352400</v>
      </c>
      <c r="BA171" s="1333">
        <f>BA168</f>
        <v>1312.07</v>
      </c>
      <c r="BB171" s="1333">
        <f>BB168</f>
        <v>8563.1299999999992</v>
      </c>
      <c r="BC171" s="1333">
        <f>BC168</f>
        <v>269.26</v>
      </c>
      <c r="BD171" s="1333">
        <f>BD168</f>
        <v>8563.1299999999992</v>
      </c>
      <c r="BE171" s="1305"/>
      <c r="BF171" s="1321">
        <f>ROUND(BA171*'CP FACTORS'!$B$9,6)</f>
        <v>1.243079</v>
      </c>
      <c r="BG171" s="1322">
        <f>ROUND(BB171*'CP FACTORS'!$B$14,6)</f>
        <v>0</v>
      </c>
      <c r="BH171" s="1321">
        <f>ROUND(BC171*'CP FACTORS'!$B$9,6)</f>
        <v>0.255102</v>
      </c>
      <c r="BI171" s="1323">
        <f>ROUND(BD171*'CP FACTORS'!$B$14,6)</f>
        <v>0</v>
      </c>
      <c r="BJ171" s="1305"/>
      <c r="BK171" s="730">
        <f t="shared" si="97"/>
        <v>9875.1999999999989</v>
      </c>
      <c r="BL171" s="1342">
        <f t="shared" si="98"/>
        <v>8832.39</v>
      </c>
      <c r="BM171" s="1341">
        <f t="shared" si="99"/>
        <v>1.243079</v>
      </c>
      <c r="BN171" s="1340">
        <f t="shared" si="100"/>
        <v>0.255102</v>
      </c>
    </row>
    <row r="172" spans="1:66">
      <c r="A172" s="51" t="str">
        <f t="shared" si="104"/>
        <v>352410</v>
      </c>
      <c r="B172" s="1442" t="str">
        <f>'HVAC Deemed Table'!C1522</f>
        <v>352410_2024_12_</v>
      </c>
      <c r="C172" s="887" t="str">
        <f>'HVAC Deemed Table'!G1522</f>
        <v>Cooling Res</v>
      </c>
      <c r="D172" s="887" t="str">
        <f>'HVAC Deemed Table'!G1523</f>
        <v>Heating Res</v>
      </c>
      <c r="E172" s="1378"/>
      <c r="F172" s="1378"/>
      <c r="G172" s="1378" t="str">
        <f>'HVAC Deemed Table'!E1522</f>
        <v>ASHP-SEER15-Replace_CAC_NonElectricHeat_ROF_SF</v>
      </c>
      <c r="H172" s="19" t="str">
        <f>'HVAC Deemed Table'!D1522</f>
        <v>PAYS</v>
      </c>
      <c r="I172" s="785">
        <f t="shared" si="88"/>
        <v>273.67</v>
      </c>
      <c r="J172" s="785">
        <f t="shared" si="89"/>
        <v>0</v>
      </c>
      <c r="K172" s="202">
        <f>'HVAC Deemed Table'!F1522</f>
        <v>273.67</v>
      </c>
      <c r="L172" s="202">
        <f>'HVAC Deemed Table'!F1523</f>
        <v>0</v>
      </c>
      <c r="M172" s="202"/>
      <c r="N172" s="202"/>
      <c r="O172" s="786">
        <f t="shared" si="90"/>
        <v>0.25928000000000001</v>
      </c>
      <c r="P172" s="786">
        <f t="shared" si="91"/>
        <v>0</v>
      </c>
      <c r="Q172" s="787">
        <f>'HVAC Deemed Table'!I1522</f>
        <v>0.25928000000000001</v>
      </c>
      <c r="R172" s="787">
        <f>'HVAC Deemed Table'!I1523</f>
        <v>0</v>
      </c>
      <c r="S172" s="787"/>
      <c r="T172" s="787"/>
      <c r="U172" s="788">
        <f t="shared" si="92"/>
        <v>0</v>
      </c>
      <c r="V172" s="788">
        <f t="shared" si="93"/>
        <v>0</v>
      </c>
      <c r="W172" s="788">
        <f t="shared" si="94"/>
        <v>0.25928000000000001</v>
      </c>
      <c r="X172" s="23">
        <f>'HVAC Deemed Table'!J1522</f>
        <v>18</v>
      </c>
      <c r="Y172" s="23"/>
      <c r="Z172" s="23">
        <f t="shared" si="105"/>
        <v>18</v>
      </c>
      <c r="AA172" s="18">
        <f>'HVAC Deemed Table'!DG1522</f>
        <v>6.3397969027733563</v>
      </c>
      <c r="AB172" s="259">
        <f>'HVAC Deemed Table'!K1522</f>
        <v>98.842449430922628</v>
      </c>
      <c r="AC172" s="903">
        <f t="shared" si="106"/>
        <v>626.64105476469535</v>
      </c>
      <c r="AD172" s="903">
        <f t="shared" si="85"/>
        <v>0</v>
      </c>
      <c r="AE172" s="208">
        <f>'HVAC Deemed Table'!DI1522</f>
        <v>626.64105476469535</v>
      </c>
      <c r="AF172" s="208">
        <f>'HVAC Deemed Table'!DI1523</f>
        <v>0</v>
      </c>
      <c r="AG172" s="208"/>
      <c r="AH172" s="208"/>
      <c r="AI172" s="906" t="str">
        <f t="shared" si="102"/>
        <v>per measure</v>
      </c>
      <c r="AJ172" s="47">
        <f>'HVAC Deemed Table'!L1522</f>
        <v>2.8059923701471465</v>
      </c>
      <c r="AK172" s="918"/>
      <c r="AL172" s="918"/>
      <c r="AX172" s="1355" t="str">
        <f t="shared" si="107"/>
        <v>ASHP-SEER15-Replace_CAC_NonElectricHeat_ROF_SF</v>
      </c>
      <c r="AY172" s="1378"/>
      <c r="AZ172" s="1446" t="str">
        <f t="shared" si="108"/>
        <v>352410</v>
      </c>
      <c r="BA172" s="1333">
        <f t="shared" ref="BA172:BD173" si="126">BA169</f>
        <v>1312.07</v>
      </c>
      <c r="BB172" s="1333">
        <f t="shared" si="126"/>
        <v>0</v>
      </c>
      <c r="BC172" s="1333">
        <f t="shared" si="126"/>
        <v>269.26</v>
      </c>
      <c r="BD172" s="1333">
        <f t="shared" si="126"/>
        <v>0</v>
      </c>
      <c r="BE172" s="1305"/>
      <c r="BF172" s="1321">
        <f>ROUND(BA172*'CP FACTORS'!$B$9,6)</f>
        <v>1.243079</v>
      </c>
      <c r="BG172" s="1322">
        <f>ROUND(BB172*'CP FACTORS'!$B$14,6)</f>
        <v>0</v>
      </c>
      <c r="BH172" s="1321">
        <f>ROUND(BC172*'CP FACTORS'!$B$9,6)</f>
        <v>0.255102</v>
      </c>
      <c r="BI172" s="1323">
        <f>ROUND(BD172*'CP FACTORS'!$B$14,6)</f>
        <v>0</v>
      </c>
      <c r="BJ172" s="1305"/>
      <c r="BK172" s="730">
        <f t="shared" si="97"/>
        <v>1312.07</v>
      </c>
      <c r="BL172" s="1342">
        <f t="shared" si="98"/>
        <v>269.26</v>
      </c>
      <c r="BM172" s="1341">
        <f t="shared" si="99"/>
        <v>1.243079</v>
      </c>
      <c r="BN172" s="1340">
        <f t="shared" si="100"/>
        <v>0.255102</v>
      </c>
    </row>
    <row r="173" spans="1:66" s="696" customFormat="1">
      <c r="A173" s="2958" t="str">
        <f t="shared" si="104"/>
        <v>352450</v>
      </c>
      <c r="B173" s="2233" t="str">
        <f>'HVAC Deemed Table'!C1524</f>
        <v>352450_2024_12_</v>
      </c>
      <c r="C173" s="3874" t="str">
        <f>'HVAC Deemed Table'!G1524</f>
        <v>Cooling Res</v>
      </c>
      <c r="D173" s="3874" t="str">
        <f>'HVAC Deemed Table'!G1525</f>
        <v>Heating Res</v>
      </c>
      <c r="E173" s="2724"/>
      <c r="F173" s="2724"/>
      <c r="G173" s="2724" t="str">
        <f>'HVAC Deemed Table'!E1524</f>
        <v>ASHP-SEER15_ROF_SF</v>
      </c>
      <c r="H173" s="2554" t="str">
        <f>'HVAC Deemed Table'!D1524</f>
        <v>SF</v>
      </c>
      <c r="I173" s="3840">
        <f t="shared" si="88"/>
        <v>1026.74</v>
      </c>
      <c r="J173" s="3840">
        <f t="shared" si="89"/>
        <v>0</v>
      </c>
      <c r="K173" s="3251">
        <f>'HVAC Deemed Table'!F1524</f>
        <v>123.52</v>
      </c>
      <c r="L173" s="3251">
        <f>'HVAC Deemed Table'!F1525</f>
        <v>903.22</v>
      </c>
      <c r="M173" s="3251"/>
      <c r="N173" s="3251"/>
      <c r="O173" s="3841">
        <f t="shared" si="90"/>
        <v>0.117025</v>
      </c>
      <c r="P173" s="3841">
        <f t="shared" si="91"/>
        <v>0</v>
      </c>
      <c r="Q173" s="3842">
        <f>'HVAC Deemed Table'!I1524</f>
        <v>0.117025</v>
      </c>
      <c r="R173" s="3842">
        <f>'HVAC Deemed Table'!I1525</f>
        <v>0</v>
      </c>
      <c r="S173" s="3842"/>
      <c r="T173" s="3842"/>
      <c r="U173" s="3843">
        <f t="shared" si="92"/>
        <v>0</v>
      </c>
      <c r="V173" s="3843">
        <f t="shared" si="93"/>
        <v>0</v>
      </c>
      <c r="W173" s="3843">
        <f t="shared" si="94"/>
        <v>0.117025</v>
      </c>
      <c r="X173" s="2846">
        <f>'HVAC Deemed Table'!J1524</f>
        <v>18</v>
      </c>
      <c r="Y173" s="2846"/>
      <c r="Z173" s="2846">
        <f t="shared" si="105"/>
        <v>18</v>
      </c>
      <c r="AA173" s="2529">
        <f>'HVAC Deemed Table'!DG1524</f>
        <v>6.1500086501504603</v>
      </c>
      <c r="AB173" s="3878">
        <f>'HVAC Deemed Table'!K1524</f>
        <v>135</v>
      </c>
      <c r="AC173" s="3845">
        <f t="shared" si="106"/>
        <v>830.25116777031212</v>
      </c>
      <c r="AD173" s="3845">
        <f t="shared" si="85"/>
        <v>0</v>
      </c>
      <c r="AE173" s="3846">
        <f>'HVAC Deemed Table'!DI1524</f>
        <v>282.83225448363055</v>
      </c>
      <c r="AF173" s="3846">
        <f>'HVAC Deemed Table'!DI1525</f>
        <v>547.41891328668157</v>
      </c>
      <c r="AG173" s="3846"/>
      <c r="AH173" s="3846"/>
      <c r="AI173" s="3847" t="str">
        <f t="shared" si="102"/>
        <v>per measure</v>
      </c>
      <c r="AJ173" s="3220">
        <f>'HVAC Deemed Table'!L1524</f>
        <v>2.8059923701471465</v>
      </c>
      <c r="AK173" s="3848"/>
      <c r="AL173" s="3848"/>
      <c r="AX173" s="3849" t="str">
        <f t="shared" si="107"/>
        <v>ASHP-SEER15_ROF_SF</v>
      </c>
      <c r="AY173" s="2724"/>
      <c r="AZ173" s="3850" t="str">
        <f t="shared" si="108"/>
        <v>352450</v>
      </c>
      <c r="BA173" s="3879">
        <f t="shared" si="126"/>
        <v>1252.01</v>
      </c>
      <c r="BB173" s="3879">
        <f t="shared" si="126"/>
        <v>1425.89</v>
      </c>
      <c r="BC173" s="3879">
        <f t="shared" si="126"/>
        <v>121.08</v>
      </c>
      <c r="BD173" s="3879">
        <f t="shared" si="126"/>
        <v>909.3</v>
      </c>
      <c r="BE173" s="3853"/>
      <c r="BF173" s="3854">
        <f>ROUND(BA173*'CP FACTORS'!$B$9,6)</f>
        <v>1.186177</v>
      </c>
      <c r="BG173" s="3854">
        <f>ROUND(BB173*'CP FACTORS'!$B$14,6)</f>
        <v>0</v>
      </c>
      <c r="BH173" s="3854">
        <f>ROUND(BC173*'CP FACTORS'!$B$9,6)</f>
        <v>0.114713</v>
      </c>
      <c r="BI173" s="3855">
        <f>ROUND(BD173*'CP FACTORS'!$B$14,6)</f>
        <v>0</v>
      </c>
      <c r="BJ173" s="3853"/>
      <c r="BK173" s="3856">
        <f t="shared" si="97"/>
        <v>2677.9</v>
      </c>
      <c r="BL173" s="3857">
        <f t="shared" si="98"/>
        <v>1030.3799999999999</v>
      </c>
      <c r="BM173" s="3858">
        <f t="shared" si="99"/>
        <v>1.186177</v>
      </c>
      <c r="BN173" s="3855">
        <f t="shared" si="100"/>
        <v>0.114713</v>
      </c>
    </row>
    <row r="174" spans="1:66">
      <c r="A174" s="51" t="str">
        <f t="shared" si="104"/>
        <v>352500</v>
      </c>
      <c r="B174" s="1442" t="str">
        <f>'HVAC Deemed Table'!C1526</f>
        <v>352500_2024_12_</v>
      </c>
      <c r="C174" s="887" t="str">
        <f>'HVAC Deemed Table'!G1526</f>
        <v>Cooling Res</v>
      </c>
      <c r="D174" s="887" t="str">
        <f>'HVAC Deemed Table'!G1527</f>
        <v>Heating Res</v>
      </c>
      <c r="E174" s="887" t="str">
        <f>'HVAC Deemed Table'!G1528</f>
        <v>Cooling Res ER2</v>
      </c>
      <c r="F174" s="887" t="str">
        <f>'HVAC Deemed Table'!G1529</f>
        <v>Heating Res ER2</v>
      </c>
      <c r="G174" s="1378" t="str">
        <f>'HVAC Deemed Table'!E1526</f>
        <v>ASHP-SEER16-Replace_CAC_ElectricHeat_ER1_SF</v>
      </c>
      <c r="H174" s="19" t="str">
        <f>'HVAC Deemed Table'!D1526</f>
        <v>PAYS/SFIE</v>
      </c>
      <c r="I174" s="785">
        <f t="shared" si="88"/>
        <v>10496.43</v>
      </c>
      <c r="J174" s="785">
        <f t="shared" si="89"/>
        <v>8733.69</v>
      </c>
      <c r="K174" s="202">
        <f>'HVAC Deemed Table'!F1526</f>
        <v>2150.16</v>
      </c>
      <c r="L174" s="202">
        <f>'HVAC Deemed Table'!F1527</f>
        <v>8346.27</v>
      </c>
      <c r="M174" s="202">
        <f>'HVAC Deemed Table'!F1528</f>
        <v>387.42</v>
      </c>
      <c r="N174" s="202">
        <f>'HVAC Deemed Table'!F1529</f>
        <v>8346.27</v>
      </c>
      <c r="O174" s="786">
        <f t="shared" si="90"/>
        <v>2.0371009999999998</v>
      </c>
      <c r="P174" s="786">
        <f t="shared" si="91"/>
        <v>0.36704900000000001</v>
      </c>
      <c r="Q174" s="787">
        <f>'HVAC Deemed Table'!I1526</f>
        <v>2.0371009999999998</v>
      </c>
      <c r="R174" s="787">
        <f>'HVAC Deemed Table'!I1527</f>
        <v>0</v>
      </c>
      <c r="S174" s="787">
        <f>'HVAC Deemed Table'!I1528</f>
        <v>0.36704900000000001</v>
      </c>
      <c r="T174" s="787">
        <f>'HVAC Deemed Table'!I1529</f>
        <v>0</v>
      </c>
      <c r="U174" s="788">
        <f t="shared" si="92"/>
        <v>0</v>
      </c>
      <c r="V174" s="788">
        <f t="shared" si="93"/>
        <v>0</v>
      </c>
      <c r="W174" s="788">
        <f t="shared" si="94"/>
        <v>2.0371009999999998</v>
      </c>
      <c r="X174" s="23">
        <f>'HVAC Deemed Table'!J1526</f>
        <v>6</v>
      </c>
      <c r="Y174" s="23">
        <f>'HVAC Deemed Table'!J1528</f>
        <v>12</v>
      </c>
      <c r="Z174" s="23">
        <f t="shared" si="105"/>
        <v>18</v>
      </c>
      <c r="AA174" s="18">
        <f>'HVAC Deemed Table'!DG1526</f>
        <v>2.2019497986351224</v>
      </c>
      <c r="AB174" s="259">
        <f>'HVAC Deemed Table'!K1526</f>
        <v>3497.3493799102171</v>
      </c>
      <c r="AC174" s="903">
        <f t="shared" si="106"/>
        <v>4379.5255068069018</v>
      </c>
      <c r="AD174" s="903">
        <f t="shared" si="85"/>
        <v>3321.4622560430703</v>
      </c>
      <c r="AE174" s="208">
        <f>'HVAC Deemed Table'!DI1526</f>
        <v>2141.2327449423674</v>
      </c>
      <c r="AF174" s="208">
        <f>'HVAC Deemed Table'!DI1527</f>
        <v>2238.292761864534</v>
      </c>
      <c r="AG174" s="208">
        <f>'HVAC Deemed Table'!DI1528</f>
        <v>501.29079723353601</v>
      </c>
      <c r="AH174" s="208">
        <f>'HVAC Deemed Table'!DI1529</f>
        <v>2820.1714588095342</v>
      </c>
      <c r="AI174" s="906" t="str">
        <f t="shared" si="102"/>
        <v>per measure</v>
      </c>
      <c r="AJ174" s="47">
        <f>'HVAC Deemed Table'!L1526</f>
        <v>2.5310295805916874</v>
      </c>
      <c r="AK174" s="641"/>
      <c r="AL174" s="641"/>
      <c r="AX174" s="1355" t="str">
        <f t="shared" si="107"/>
        <v>ASHP-SEER16-Replace_CAC_ElectricHeat_ER1_SF</v>
      </c>
      <c r="AY174" s="1378"/>
      <c r="AZ174" s="1446" t="str">
        <f t="shared" si="108"/>
        <v>352500</v>
      </c>
      <c r="BA174" s="1332">
        <f t="shared" ref="BA174:BB176" si="127">ROUND((K174*$BC$3)+(K177*$BC$4),2)</f>
        <v>1447.94</v>
      </c>
      <c r="BB174" s="1332">
        <f t="shared" si="127"/>
        <v>8676.99</v>
      </c>
      <c r="BC174" s="1332">
        <f t="shared" ref="BC174:BD176" si="128">ROUND((M174*$BC$3)+(K177*$BC$4),2)</f>
        <v>390.3</v>
      </c>
      <c r="BD174" s="1332">
        <f t="shared" si="128"/>
        <v>8676.99</v>
      </c>
      <c r="BE174" s="1305"/>
      <c r="BF174" s="1321">
        <f>ROUND(BA174*'CP FACTORS'!$B$9,6)</f>
        <v>1.3718049999999999</v>
      </c>
      <c r="BG174" s="1322">
        <f>ROUND(BB174*'CP FACTORS'!$B$14,6)</f>
        <v>0</v>
      </c>
      <c r="BH174" s="1321">
        <f>ROUND(BC174*'CP FACTORS'!$B$9,6)</f>
        <v>0.36977700000000002</v>
      </c>
      <c r="BI174" s="1323">
        <f>ROUND(BD174*'CP FACTORS'!$B$14,6)</f>
        <v>0</v>
      </c>
      <c r="BJ174" s="1305"/>
      <c r="BK174" s="730">
        <f t="shared" si="97"/>
        <v>10124.93</v>
      </c>
      <c r="BL174" s="1342">
        <f t="shared" si="98"/>
        <v>9067.2899999999991</v>
      </c>
      <c r="BM174" s="1341">
        <f t="shared" si="99"/>
        <v>1.3718049999999999</v>
      </c>
      <c r="BN174" s="1340">
        <f t="shared" si="100"/>
        <v>0.36977700000000002</v>
      </c>
    </row>
    <row r="175" spans="1:66">
      <c r="A175" s="51" t="str">
        <f t="shared" si="104"/>
        <v>352510</v>
      </c>
      <c r="B175" s="1442" t="str">
        <f>'HVAC Deemed Table'!C1530</f>
        <v>352510_2024_12_</v>
      </c>
      <c r="C175" s="887" t="str">
        <f>'HVAC Deemed Table'!G1530</f>
        <v>Cooling Res</v>
      </c>
      <c r="D175" s="887" t="str">
        <f>'HVAC Deemed Table'!G1531</f>
        <v>Heating Res</v>
      </c>
      <c r="E175" s="887" t="str">
        <f>'HVAC Deemed Table'!G1532</f>
        <v>Cooling Res ER2</v>
      </c>
      <c r="F175" s="887" t="str">
        <f>'HVAC Deemed Table'!G1533</f>
        <v>Heating Res ER2</v>
      </c>
      <c r="G175" s="1378" t="str">
        <f>'HVAC Deemed Table'!E1530</f>
        <v>ASHP-SEER16-Replace_CAC_NonElectricHeat_ER1_SF</v>
      </c>
      <c r="H175" s="19" t="str">
        <f>'HVAC Deemed Table'!D1530</f>
        <v>PAYS</v>
      </c>
      <c r="I175" s="785">
        <f t="shared" si="88"/>
        <v>2150.16</v>
      </c>
      <c r="J175" s="785">
        <f t="shared" si="89"/>
        <v>387.42</v>
      </c>
      <c r="K175" s="202">
        <f>'HVAC Deemed Table'!F1530</f>
        <v>2150.16</v>
      </c>
      <c r="L175" s="202">
        <f>'HVAC Deemed Table'!F1531</f>
        <v>0</v>
      </c>
      <c r="M175" s="202">
        <f>'HVAC Deemed Table'!F1532</f>
        <v>387.42</v>
      </c>
      <c r="N175" s="202">
        <f>'HVAC Deemed Table'!F1533</f>
        <v>0</v>
      </c>
      <c r="O175" s="786">
        <f t="shared" si="90"/>
        <v>2.0371009999999998</v>
      </c>
      <c r="P175" s="786">
        <f t="shared" si="91"/>
        <v>0.36704900000000001</v>
      </c>
      <c r="Q175" s="787">
        <f>'HVAC Deemed Table'!I1530</f>
        <v>2.0371009999999998</v>
      </c>
      <c r="R175" s="787">
        <f>'HVAC Deemed Table'!I1531</f>
        <v>0</v>
      </c>
      <c r="S175" s="787">
        <f>'HVAC Deemed Table'!I1532</f>
        <v>0.36704900000000001</v>
      </c>
      <c r="T175" s="787">
        <f>'HVAC Deemed Table'!I1533</f>
        <v>0</v>
      </c>
      <c r="U175" s="788">
        <f t="shared" si="92"/>
        <v>0</v>
      </c>
      <c r="V175" s="788">
        <f t="shared" si="93"/>
        <v>0</v>
      </c>
      <c r="W175" s="788">
        <f t="shared" si="94"/>
        <v>2.0371009999999998</v>
      </c>
      <c r="X175" s="23">
        <f>'HVAC Deemed Table'!J1530</f>
        <v>6</v>
      </c>
      <c r="Y175" s="23">
        <f>'HVAC Deemed Table'!J1532</f>
        <v>12</v>
      </c>
      <c r="Z175" s="23">
        <f t="shared" si="105"/>
        <v>18</v>
      </c>
      <c r="AA175" s="18">
        <f>'HVAC Deemed Table'!DG1530</f>
        <v>5.7258780856487865</v>
      </c>
      <c r="AB175" s="259">
        <f>'HVAC Deemed Table'!K1530</f>
        <v>461.50538007420482</v>
      </c>
      <c r="AC175" s="903">
        <f t="shared" si="106"/>
        <v>2141.2327449423674</v>
      </c>
      <c r="AD175" s="903">
        <f t="shared" si="85"/>
        <v>501.29079723353601</v>
      </c>
      <c r="AE175" s="208">
        <f>'HVAC Deemed Table'!DI1530</f>
        <v>2141.2327449423674</v>
      </c>
      <c r="AF175" s="208">
        <f>'HVAC Deemed Table'!DI1531</f>
        <v>0</v>
      </c>
      <c r="AG175" s="208">
        <f>'HVAC Deemed Table'!DI1532</f>
        <v>501.29079723353601</v>
      </c>
      <c r="AH175" s="208">
        <f>'HVAC Deemed Table'!DI1533</f>
        <v>0</v>
      </c>
      <c r="AI175" s="906" t="str">
        <f t="shared" si="102"/>
        <v>per measure</v>
      </c>
      <c r="AJ175" s="47">
        <f>'HVAC Deemed Table'!L1530</f>
        <v>2.5310295805916874</v>
      </c>
      <c r="AK175" s="918"/>
      <c r="AL175" s="918"/>
      <c r="AX175" s="1355" t="str">
        <f t="shared" si="107"/>
        <v>ASHP-SEER16-Replace_CAC_NonElectricHeat_ER1_SF</v>
      </c>
      <c r="AY175" s="1378"/>
      <c r="AZ175" s="1446" t="str">
        <f t="shared" si="108"/>
        <v>352510</v>
      </c>
      <c r="BA175" s="1332">
        <f t="shared" si="127"/>
        <v>1447.94</v>
      </c>
      <c r="BB175" s="1332">
        <f t="shared" si="127"/>
        <v>0</v>
      </c>
      <c r="BC175" s="1332">
        <f t="shared" si="128"/>
        <v>390.3</v>
      </c>
      <c r="BD175" s="1332">
        <f t="shared" si="128"/>
        <v>0</v>
      </c>
      <c r="BE175" s="1305"/>
      <c r="BF175" s="1321">
        <f>ROUND(BA175*'CP FACTORS'!$B$9,6)</f>
        <v>1.3718049999999999</v>
      </c>
      <c r="BG175" s="1322">
        <f>ROUND(BB175*'CP FACTORS'!$B$14,6)</f>
        <v>0</v>
      </c>
      <c r="BH175" s="1321">
        <f>ROUND(BC175*'CP FACTORS'!$B$9,6)</f>
        <v>0.36977700000000002</v>
      </c>
      <c r="BI175" s="1323">
        <f>ROUND(BD175*'CP FACTORS'!$B$14,6)</f>
        <v>0</v>
      </c>
      <c r="BJ175" s="1305"/>
      <c r="BK175" s="730">
        <f t="shared" si="97"/>
        <v>1447.94</v>
      </c>
      <c r="BL175" s="1342">
        <f t="shared" si="98"/>
        <v>390.3</v>
      </c>
      <c r="BM175" s="1341">
        <f t="shared" si="99"/>
        <v>1.3718049999999999</v>
      </c>
      <c r="BN175" s="1340">
        <f t="shared" si="100"/>
        <v>0.36977700000000002</v>
      </c>
    </row>
    <row r="176" spans="1:66">
      <c r="A176" s="51" t="str">
        <f t="shared" si="104"/>
        <v>352550</v>
      </c>
      <c r="B176" s="1442" t="str">
        <f>'HVAC Deemed Table'!C1534</f>
        <v>352550_2024_12_</v>
      </c>
      <c r="C176" s="887" t="str">
        <f>'HVAC Deemed Table'!G1534</f>
        <v>Cooling Res</v>
      </c>
      <c r="D176" s="887" t="str">
        <f>'HVAC Deemed Table'!G1535</f>
        <v>Heating Res</v>
      </c>
      <c r="E176" s="887" t="str">
        <f>'HVAC Deemed Table'!G1536</f>
        <v>Cooling Res ER2</v>
      </c>
      <c r="F176" s="887" t="str">
        <f>'HVAC Deemed Table'!G1537</f>
        <v>Heating Res ER2</v>
      </c>
      <c r="G176" s="1378" t="str">
        <f>'HVAC Deemed Table'!E1534</f>
        <v>ASHP-SEER16_ER1_SF</v>
      </c>
      <c r="H176" s="19" t="str">
        <f>'HVAC Deemed Table'!D1534</f>
        <v>PAYS/SFIE</v>
      </c>
      <c r="I176" s="785">
        <f t="shared" si="88"/>
        <v>4077.1</v>
      </c>
      <c r="J176" s="785">
        <f t="shared" si="89"/>
        <v>1319.63</v>
      </c>
      <c r="K176" s="202">
        <f>'HVAC Deemed Table'!F1534</f>
        <v>2150.16</v>
      </c>
      <c r="L176" s="202">
        <f>'HVAC Deemed Table'!F1535</f>
        <v>1926.94</v>
      </c>
      <c r="M176" s="202">
        <f>'HVAC Deemed Table'!F1536</f>
        <v>239.74</v>
      </c>
      <c r="N176" s="202">
        <f>'HVAC Deemed Table'!F1537</f>
        <v>1079.8900000000001</v>
      </c>
      <c r="O176" s="786">
        <f t="shared" si="90"/>
        <v>2.0371009999999998</v>
      </c>
      <c r="P176" s="786">
        <f t="shared" si="91"/>
        <v>0.227134</v>
      </c>
      <c r="Q176" s="787">
        <f>'HVAC Deemed Table'!I1534</f>
        <v>2.0371009999999998</v>
      </c>
      <c r="R176" s="787">
        <f>'HVAC Deemed Table'!I1535</f>
        <v>0</v>
      </c>
      <c r="S176" s="787">
        <f>'HVAC Deemed Table'!I1536</f>
        <v>0.227134</v>
      </c>
      <c r="T176" s="787">
        <f>'HVAC Deemed Table'!I1537</f>
        <v>0</v>
      </c>
      <c r="U176" s="788">
        <f t="shared" si="92"/>
        <v>0</v>
      </c>
      <c r="V176" s="788">
        <f t="shared" si="93"/>
        <v>0</v>
      </c>
      <c r="W176" s="788">
        <f t="shared" si="94"/>
        <v>2.0371009999999998</v>
      </c>
      <c r="X176" s="23">
        <f>'HVAC Deemed Table'!J1534</f>
        <v>6</v>
      </c>
      <c r="Y176" s="23">
        <f>'HVAC Deemed Table'!J1536</f>
        <v>12</v>
      </c>
      <c r="Z176" s="23">
        <f t="shared" si="105"/>
        <v>18</v>
      </c>
      <c r="AA176" s="18">
        <f>'HVAC Deemed Table'!DG1534</f>
        <v>7.9800104070902824</v>
      </c>
      <c r="AB176" s="259">
        <f>'HVAC Deemed Table'!K1534</f>
        <v>417.68019891621225</v>
      </c>
      <c r="AC176" s="903">
        <f t="shared" si="106"/>
        <v>2657.9972223133659</v>
      </c>
      <c r="AD176" s="903">
        <f t="shared" si="85"/>
        <v>675.09511187354656</v>
      </c>
      <c r="AE176" s="208">
        <f>'HVAC Deemed Table'!DI1534</f>
        <v>2141.2327449423674</v>
      </c>
      <c r="AF176" s="208">
        <f>'HVAC Deemed Table'!DI1535</f>
        <v>516.76447737099863</v>
      </c>
      <c r="AG176" s="208">
        <f>'HVAC Deemed Table'!DI1536</f>
        <v>310.20457314740571</v>
      </c>
      <c r="AH176" s="208">
        <f>'HVAC Deemed Table'!DI1537</f>
        <v>364.8905387261409</v>
      </c>
      <c r="AI176" s="906" t="str">
        <f t="shared" si="102"/>
        <v>per measure</v>
      </c>
      <c r="AJ176" s="47">
        <f>'HVAC Deemed Table'!L1534</f>
        <v>2.5310295805916874</v>
      </c>
      <c r="AK176" s="641"/>
      <c r="AL176" s="641"/>
      <c r="AX176" s="1355" t="str">
        <f t="shared" si="107"/>
        <v>ASHP-SEER16_ER1_SF</v>
      </c>
      <c r="AY176" s="1378"/>
      <c r="AZ176" s="1446" t="str">
        <f t="shared" si="108"/>
        <v>352550</v>
      </c>
      <c r="BA176" s="1332">
        <f t="shared" si="127"/>
        <v>1387.72</v>
      </c>
      <c r="BB176" s="1332">
        <f t="shared" si="127"/>
        <v>1597.98</v>
      </c>
      <c r="BC176" s="1332">
        <f t="shared" si="128"/>
        <v>241.47</v>
      </c>
      <c r="BD176" s="1332">
        <f t="shared" si="128"/>
        <v>1089.75</v>
      </c>
      <c r="BE176" s="1305"/>
      <c r="BF176" s="1321">
        <f>ROUND(BA176*'CP FACTORS'!$B$9,6)</f>
        <v>1.314751</v>
      </c>
      <c r="BG176" s="1322">
        <f>ROUND(BB176*'CP FACTORS'!$B$14,6)</f>
        <v>0</v>
      </c>
      <c r="BH176" s="1321">
        <f>ROUND(BC176*'CP FACTORS'!$B$9,6)</f>
        <v>0.228773</v>
      </c>
      <c r="BI176" s="1323">
        <f>ROUND(BD176*'CP FACTORS'!$B$14,6)</f>
        <v>0</v>
      </c>
      <c r="BJ176" s="1305"/>
      <c r="BK176" s="730">
        <f t="shared" si="97"/>
        <v>2985.7</v>
      </c>
      <c r="BL176" s="1342">
        <f t="shared" si="98"/>
        <v>1331.22</v>
      </c>
      <c r="BM176" s="1341">
        <f t="shared" si="99"/>
        <v>1.314751</v>
      </c>
      <c r="BN176" s="1340">
        <f t="shared" si="100"/>
        <v>0.228773</v>
      </c>
    </row>
    <row r="177" spans="1:66">
      <c r="A177" s="51" t="str">
        <f t="shared" si="104"/>
        <v>352600</v>
      </c>
      <c r="B177" s="1442" t="str">
        <f>'HVAC Deemed Table'!C1538</f>
        <v>352600_2024_12_</v>
      </c>
      <c r="C177" s="887" t="str">
        <f>'HVAC Deemed Table'!G1538</f>
        <v>Cooling Res</v>
      </c>
      <c r="D177" s="887" t="str">
        <f>'HVAC Deemed Table'!G1539</f>
        <v>Heating Res</v>
      </c>
      <c r="E177" s="1378"/>
      <c r="F177" s="1378"/>
      <c r="G177" s="1378" t="str">
        <f>'HVAC Deemed Table'!E1538</f>
        <v>ASHP-SEER16-Replace_CAC_ElectricHeat_ROF_SF</v>
      </c>
      <c r="H177" s="19" t="str">
        <f>'HVAC Deemed Table'!D1538</f>
        <v>PAYS/SFIE</v>
      </c>
      <c r="I177" s="785">
        <f t="shared" si="88"/>
        <v>9567.69</v>
      </c>
      <c r="J177" s="785">
        <f t="shared" si="89"/>
        <v>0</v>
      </c>
      <c r="K177" s="202">
        <f>'HVAC Deemed Table'!F1538</f>
        <v>394.62</v>
      </c>
      <c r="L177" s="202">
        <f>'HVAC Deemed Table'!F1539</f>
        <v>9173.07</v>
      </c>
      <c r="M177" s="202"/>
      <c r="N177" s="202"/>
      <c r="O177" s="786">
        <f t="shared" si="90"/>
        <v>0.37386999999999998</v>
      </c>
      <c r="P177" s="786">
        <f t="shared" si="91"/>
        <v>0</v>
      </c>
      <c r="Q177" s="787">
        <f>'HVAC Deemed Table'!I1538</f>
        <v>0.37386999999999998</v>
      </c>
      <c r="R177" s="787">
        <f>'HVAC Deemed Table'!I1539</f>
        <v>0</v>
      </c>
      <c r="S177" s="787"/>
      <c r="T177" s="787"/>
      <c r="U177" s="788">
        <f t="shared" si="92"/>
        <v>0</v>
      </c>
      <c r="V177" s="788">
        <f t="shared" si="93"/>
        <v>0</v>
      </c>
      <c r="W177" s="788">
        <f t="shared" si="94"/>
        <v>0.37386999999999998</v>
      </c>
      <c r="X177" s="23">
        <f>'HVAC Deemed Table'!J1538</f>
        <v>18</v>
      </c>
      <c r="Y177" s="23"/>
      <c r="Z177" s="23">
        <f t="shared" si="105"/>
        <v>18</v>
      </c>
      <c r="AA177" s="18">
        <f>'HVAC Deemed Table'!DG1538</f>
        <v>1.7837950310688742</v>
      </c>
      <c r="AB177" s="259">
        <f>'HVAC Deemed Table'!K1538</f>
        <v>3623.261297181818</v>
      </c>
      <c r="AC177" s="903">
        <f t="shared" si="106"/>
        <v>6463.1554981770905</v>
      </c>
      <c r="AD177" s="903">
        <f t="shared" si="85"/>
        <v>0</v>
      </c>
      <c r="AE177" s="208">
        <f>'HVAC Deemed Table'!DI1538</f>
        <v>903.58860317624908</v>
      </c>
      <c r="AF177" s="208">
        <f>'HVAC Deemed Table'!DI1539</f>
        <v>5559.5668950008412</v>
      </c>
      <c r="AG177" s="208"/>
      <c r="AH177" s="208"/>
      <c r="AI177" s="906" t="str">
        <f t="shared" si="102"/>
        <v>per measure</v>
      </c>
      <c r="AJ177" s="47">
        <f>'HVAC Deemed Table'!L1538</f>
        <v>2.8104354953030306</v>
      </c>
      <c r="AK177" s="641"/>
      <c r="AL177" s="641"/>
      <c r="AX177" s="1355" t="str">
        <f t="shared" si="107"/>
        <v>ASHP-SEER16-Replace_CAC_ElectricHeat_ROF_SF</v>
      </c>
      <c r="AY177" s="1378"/>
      <c r="AZ177" s="1446" t="str">
        <f t="shared" si="108"/>
        <v>352600</v>
      </c>
      <c r="BA177" s="1333">
        <f>BA174</f>
        <v>1447.94</v>
      </c>
      <c r="BB177" s="1333">
        <f>BB174</f>
        <v>8676.99</v>
      </c>
      <c r="BC177" s="1333">
        <f>BC174</f>
        <v>390.3</v>
      </c>
      <c r="BD177" s="1333">
        <f>BD174</f>
        <v>8676.99</v>
      </c>
      <c r="BE177" s="1305"/>
      <c r="BF177" s="1321">
        <f>ROUND(BA177*'CP FACTORS'!$B$9,6)</f>
        <v>1.3718049999999999</v>
      </c>
      <c r="BG177" s="1322">
        <f>ROUND(BB177*'CP FACTORS'!$B$14,6)</f>
        <v>0</v>
      </c>
      <c r="BH177" s="1321">
        <f>ROUND(BC177*'CP FACTORS'!$B$9,6)</f>
        <v>0.36977700000000002</v>
      </c>
      <c r="BI177" s="1323">
        <f>ROUND(BD177*'CP FACTORS'!$B$14,6)</f>
        <v>0</v>
      </c>
      <c r="BJ177" s="1305"/>
      <c r="BK177" s="730">
        <f t="shared" si="97"/>
        <v>10124.93</v>
      </c>
      <c r="BL177" s="1342">
        <f t="shared" si="98"/>
        <v>9067.2899999999991</v>
      </c>
      <c r="BM177" s="1341">
        <f t="shared" si="99"/>
        <v>1.3718049999999999</v>
      </c>
      <c r="BN177" s="1340">
        <f t="shared" si="100"/>
        <v>0.36977700000000002</v>
      </c>
    </row>
    <row r="178" spans="1:66" s="41" customFormat="1">
      <c r="A178" s="51" t="str">
        <f>LEFT(B178,6)</f>
        <v>352610</v>
      </c>
      <c r="B178" s="1442" t="str">
        <f>'HVAC Deemed Table'!C1540</f>
        <v>352610_2024_12_</v>
      </c>
      <c r="C178" s="887" t="str">
        <f>'HVAC Deemed Table'!G1540</f>
        <v>Cooling Res</v>
      </c>
      <c r="D178" s="887" t="str">
        <f>'HVAC Deemed Table'!G1541</f>
        <v>Heating Res</v>
      </c>
      <c r="E178" s="1378"/>
      <c r="F178" s="1378"/>
      <c r="G178" s="1378" t="str">
        <f>'HVAC Deemed Table'!E1540</f>
        <v>ASHP-SEER16-Replace_CAC_NonElectricHeat_ROF_SF</v>
      </c>
      <c r="H178" s="19" t="str">
        <f>'HVAC Deemed Table'!D1540</f>
        <v>PAYS</v>
      </c>
      <c r="I178" s="785">
        <f>K178+L178</f>
        <v>394.62</v>
      </c>
      <c r="J178" s="785">
        <f>M178+N178</f>
        <v>0</v>
      </c>
      <c r="K178" s="202">
        <f>'HVAC Deemed Table'!F1540</f>
        <v>394.62</v>
      </c>
      <c r="L178" s="202">
        <f>'HVAC Deemed Table'!F1541</f>
        <v>0</v>
      </c>
      <c r="M178" s="202"/>
      <c r="N178" s="202"/>
      <c r="O178" s="786">
        <f>Q178+R178</f>
        <v>0.37386999999999998</v>
      </c>
      <c r="P178" s="786">
        <f>S178+T178</f>
        <v>0</v>
      </c>
      <c r="Q178" s="787">
        <f>'HVAC Deemed Table'!I1540</f>
        <v>0.37386999999999998</v>
      </c>
      <c r="R178" s="787">
        <f>'HVAC Deemed Table'!I1541</f>
        <v>0</v>
      </c>
      <c r="S178" s="787"/>
      <c r="T178" s="787"/>
      <c r="U178" s="788">
        <f t="shared" si="92"/>
        <v>0</v>
      </c>
      <c r="V178" s="788">
        <f t="shared" si="93"/>
        <v>0</v>
      </c>
      <c r="W178" s="788">
        <f t="shared" si="94"/>
        <v>0.37386999999999998</v>
      </c>
      <c r="X178" s="23">
        <f>'HVAC Deemed Table'!J1540</f>
        <v>18</v>
      </c>
      <c r="Y178" s="23"/>
      <c r="Z178" s="23">
        <f>Y178+X178</f>
        <v>18</v>
      </c>
      <c r="AA178" s="18">
        <f>'HVAC Deemed Table'!DG1540</f>
        <v>6.0464308827089415</v>
      </c>
      <c r="AB178" s="807">
        <f>'HVAC Deemed Table'!K1540</f>
        <v>149.4416492480305</v>
      </c>
      <c r="AC178" s="903">
        <f>AE178+AF178</f>
        <v>903.58860317624908</v>
      </c>
      <c r="AD178" s="903">
        <f>AG178+AH178</f>
        <v>0</v>
      </c>
      <c r="AE178" s="208">
        <f>'HVAC Deemed Table'!DI1540</f>
        <v>903.58860317624908</v>
      </c>
      <c r="AF178" s="208">
        <f>'HVAC Deemed Table'!DI1541</f>
        <v>0</v>
      </c>
      <c r="AG178" s="208"/>
      <c r="AH178" s="208"/>
      <c r="AI178" s="906" t="str">
        <f t="shared" si="102"/>
        <v>per measure</v>
      </c>
      <c r="AJ178" s="48">
        <f>'HVAC Deemed Table'!L1540</f>
        <v>2.9733333333333332</v>
      </c>
      <c r="AK178" s="918"/>
      <c r="AL178" s="918"/>
      <c r="AM178"/>
      <c r="AN178"/>
      <c r="AO178"/>
      <c r="AP178"/>
      <c r="AQ178"/>
      <c r="AR178"/>
      <c r="AS178"/>
      <c r="AT178"/>
      <c r="AU178"/>
      <c r="AV178"/>
      <c r="AW178"/>
      <c r="AX178" s="1355" t="str">
        <f t="shared" si="107"/>
        <v>ASHP-SEER16-Replace_CAC_NonElectricHeat_ROF_SF</v>
      </c>
      <c r="AY178" s="1378"/>
      <c r="AZ178" s="1446" t="str">
        <f t="shared" si="108"/>
        <v>352610</v>
      </c>
      <c r="BA178" s="1333">
        <f t="shared" ref="BA178:BD179" si="129">BA175</f>
        <v>1447.94</v>
      </c>
      <c r="BB178" s="1333">
        <f t="shared" si="129"/>
        <v>0</v>
      </c>
      <c r="BC178" s="1333">
        <f t="shared" si="129"/>
        <v>390.3</v>
      </c>
      <c r="BD178" s="1333">
        <f t="shared" si="129"/>
        <v>0</v>
      </c>
      <c r="BE178" s="1306"/>
      <c r="BF178" s="1321">
        <f>ROUND(BA178*'CP FACTORS'!$B$9,6)</f>
        <v>1.3718049999999999</v>
      </c>
      <c r="BG178" s="1322">
        <f>ROUND(BB178*'CP FACTORS'!$B$14,6)</f>
        <v>0</v>
      </c>
      <c r="BH178" s="1321">
        <f>ROUND(BC178*'CP FACTORS'!$B$9,6)</f>
        <v>0.36977700000000002</v>
      </c>
      <c r="BI178" s="1323">
        <f>ROUND(BD178*'CP FACTORS'!$B$14,6)</f>
        <v>0</v>
      </c>
      <c r="BJ178" s="1305"/>
      <c r="BK178" s="730">
        <f t="shared" si="97"/>
        <v>1447.94</v>
      </c>
      <c r="BL178" s="1342">
        <f t="shared" si="98"/>
        <v>390.3</v>
      </c>
      <c r="BM178" s="1341">
        <f t="shared" si="99"/>
        <v>1.3718049999999999</v>
      </c>
      <c r="BN178" s="1340">
        <f t="shared" si="100"/>
        <v>0.36977700000000002</v>
      </c>
    </row>
    <row r="179" spans="1:66">
      <c r="A179" s="51" t="str">
        <f t="shared" si="104"/>
        <v>352650</v>
      </c>
      <c r="B179" s="1442" t="str">
        <f>'HVAC Deemed Table'!C1542</f>
        <v>352650_2024_12_</v>
      </c>
      <c r="C179" s="887" t="str">
        <f>'HVAC Deemed Table'!G1542</f>
        <v>Cooling Res</v>
      </c>
      <c r="D179" s="887" t="str">
        <f>'HVAC Deemed Table'!G1543</f>
        <v>Heating Res</v>
      </c>
      <c r="E179" s="1378"/>
      <c r="F179" s="1378"/>
      <c r="G179" s="1378" t="str">
        <f>'HVAC Deemed Table'!E1542</f>
        <v>ASHP-SEER16_ROF_SF</v>
      </c>
      <c r="H179" s="19" t="str">
        <f>'HVAC Deemed Table'!D1542</f>
        <v>PAYS/SFIE</v>
      </c>
      <c r="I179" s="785">
        <f t="shared" si="88"/>
        <v>1348.61</v>
      </c>
      <c r="J179" s="785">
        <f t="shared" si="89"/>
        <v>0</v>
      </c>
      <c r="K179" s="202">
        <f>'HVAC Deemed Table'!F1542</f>
        <v>244.06</v>
      </c>
      <c r="L179" s="202">
        <f>'HVAC Deemed Table'!F1543</f>
        <v>1104.55</v>
      </c>
      <c r="M179" s="202"/>
      <c r="N179" s="202"/>
      <c r="O179" s="786">
        <f t="shared" si="90"/>
        <v>0.23122699999999999</v>
      </c>
      <c r="P179" s="786">
        <f t="shared" si="91"/>
        <v>0</v>
      </c>
      <c r="Q179" s="787">
        <f>'HVAC Deemed Table'!I1542</f>
        <v>0.23122699999999999</v>
      </c>
      <c r="R179" s="787">
        <f>'HVAC Deemed Table'!I1543</f>
        <v>0</v>
      </c>
      <c r="S179" s="787"/>
      <c r="T179" s="787"/>
      <c r="U179" s="788">
        <f t="shared" si="92"/>
        <v>0</v>
      </c>
      <c r="V179" s="788">
        <f t="shared" si="93"/>
        <v>0</v>
      </c>
      <c r="W179" s="788">
        <f t="shared" si="94"/>
        <v>0.23122699999999999</v>
      </c>
      <c r="X179" s="23">
        <f>'HVAC Deemed Table'!J1542</f>
        <v>18</v>
      </c>
      <c r="Y179" s="23"/>
      <c r="Z179" s="23">
        <f t="shared" si="105"/>
        <v>18</v>
      </c>
      <c r="AA179" s="18">
        <f>'HVAC Deemed Table'!DG1542</f>
        <v>2.9175319659047343</v>
      </c>
      <c r="AB179" s="259">
        <f>'HVAC Deemed Table'!K1542</f>
        <v>421</v>
      </c>
      <c r="AC179" s="903">
        <f t="shared" si="106"/>
        <v>1228.2809576458931</v>
      </c>
      <c r="AD179" s="903">
        <f t="shared" si="85"/>
        <v>0</v>
      </c>
      <c r="AE179" s="208">
        <f>'HVAC Deemed Table'!DI1542</f>
        <v>558.84099764633152</v>
      </c>
      <c r="AF179" s="208">
        <f>'HVAC Deemed Table'!DI1543</f>
        <v>669.43995999956167</v>
      </c>
      <c r="AG179" s="208"/>
      <c r="AH179" s="208"/>
      <c r="AI179" s="906" t="str">
        <f t="shared" si="102"/>
        <v>per measure</v>
      </c>
      <c r="AJ179" s="47">
        <f>'HVAC Deemed Table'!L1542</f>
        <v>2.8104354953030306</v>
      </c>
      <c r="AK179" s="641"/>
      <c r="AL179" s="641"/>
      <c r="AX179" s="1355" t="str">
        <f t="shared" si="107"/>
        <v>ASHP-SEER16_ROF_SF</v>
      </c>
      <c r="AY179" s="1378"/>
      <c r="AZ179" s="1446" t="str">
        <f t="shared" si="108"/>
        <v>352650</v>
      </c>
      <c r="BA179" s="1333">
        <f t="shared" si="129"/>
        <v>1387.72</v>
      </c>
      <c r="BB179" s="1333">
        <f t="shared" si="129"/>
        <v>1597.98</v>
      </c>
      <c r="BC179" s="1333">
        <f t="shared" si="129"/>
        <v>241.47</v>
      </c>
      <c r="BD179" s="1333">
        <f t="shared" si="129"/>
        <v>1089.75</v>
      </c>
      <c r="BE179" s="1305"/>
      <c r="BF179" s="1321">
        <f>ROUND(BA179*'CP FACTORS'!$B$9,6)</f>
        <v>1.314751</v>
      </c>
      <c r="BG179" s="1322">
        <f>ROUND(BB179*'CP FACTORS'!$B$14,6)</f>
        <v>0</v>
      </c>
      <c r="BH179" s="1321">
        <f>ROUND(BC179*'CP FACTORS'!$B$9,6)</f>
        <v>0.228773</v>
      </c>
      <c r="BI179" s="1323">
        <f>ROUND(BD179*'CP FACTORS'!$B$14,6)</f>
        <v>0</v>
      </c>
      <c r="BJ179" s="1305"/>
      <c r="BK179" s="730">
        <f t="shared" si="97"/>
        <v>2985.7</v>
      </c>
      <c r="BL179" s="1342">
        <f t="shared" si="98"/>
        <v>1331.22</v>
      </c>
      <c r="BM179" s="1341">
        <f t="shared" si="99"/>
        <v>1.314751</v>
      </c>
      <c r="BN179" s="1340">
        <f t="shared" si="100"/>
        <v>0.228773</v>
      </c>
    </row>
    <row r="180" spans="1:66" s="696" customFormat="1">
      <c r="A180" s="2958" t="str">
        <f t="shared" si="104"/>
        <v>352700</v>
      </c>
      <c r="B180" s="2233" t="str">
        <f>'HVAC Deemed Table'!C1544</f>
        <v>352700_2024_12_</v>
      </c>
      <c r="C180" s="3874" t="str">
        <f>'HVAC Deemed Table'!G1544</f>
        <v>Cooling Res</v>
      </c>
      <c r="D180" s="3874" t="str">
        <f>'HVAC Deemed Table'!G1545</f>
        <v>Heating Res</v>
      </c>
      <c r="E180" s="3874" t="str">
        <f>'HVAC Deemed Table'!G1546</f>
        <v>Cooling Res ER2</v>
      </c>
      <c r="F180" s="3874" t="str">
        <f>'HVAC Deemed Table'!G1547</f>
        <v>Heating Res ER2</v>
      </c>
      <c r="G180" s="2724" t="str">
        <f>'HVAC Deemed Table'!E1544</f>
        <v>ASHP-SEER15_ER1_MF</v>
      </c>
      <c r="H180" s="2554" t="str">
        <f>'HVAC Deemed Table'!D1544</f>
        <v>MF</v>
      </c>
      <c r="I180" s="3840">
        <f t="shared" si="88"/>
        <v>4746.95</v>
      </c>
      <c r="J180" s="3840">
        <f t="shared" si="89"/>
        <v>1497.4</v>
      </c>
      <c r="K180" s="3251">
        <f>'HVAC Deemed Table'!F1544</f>
        <v>2374.39</v>
      </c>
      <c r="L180" s="3251">
        <f>'HVAC Deemed Table'!F1545</f>
        <v>2372.56</v>
      </c>
      <c r="M180" s="3251">
        <f>'HVAC Deemed Table'!F1546</f>
        <v>119.92</v>
      </c>
      <c r="N180" s="3251">
        <f>'HVAC Deemed Table'!F1547</f>
        <v>1377.48</v>
      </c>
      <c r="O180" s="3841">
        <f t="shared" si="90"/>
        <v>2.2495400000000001</v>
      </c>
      <c r="P180" s="3841">
        <f t="shared" si="91"/>
        <v>0.11361400000000001</v>
      </c>
      <c r="Q180" s="3842">
        <f>'HVAC Deemed Table'!I1544</f>
        <v>2.2495400000000001</v>
      </c>
      <c r="R180" s="3842">
        <f>'HVAC Deemed Table'!I1545</f>
        <v>0</v>
      </c>
      <c r="S180" s="3842">
        <f>'HVAC Deemed Table'!I1546</f>
        <v>0.11361400000000001</v>
      </c>
      <c r="T180" s="3842">
        <f>'HVAC Deemed Table'!I1547</f>
        <v>0</v>
      </c>
      <c r="U180" s="3843">
        <f t="shared" si="92"/>
        <v>0</v>
      </c>
      <c r="V180" s="3843">
        <f t="shared" si="93"/>
        <v>0</v>
      </c>
      <c r="W180" s="3843">
        <f t="shared" si="94"/>
        <v>2.2495400000000001</v>
      </c>
      <c r="X180" s="2846">
        <f>'HVAC Deemed Table'!J1544</f>
        <v>6</v>
      </c>
      <c r="Y180" s="2846">
        <f>'HVAC Deemed Table'!J1546</f>
        <v>12</v>
      </c>
      <c r="Z180" s="2846">
        <f t="shared" si="105"/>
        <v>18</v>
      </c>
      <c r="AA180" s="2529">
        <f>'HVAC Deemed Table'!DG1544</f>
        <v>27.462912114559437</v>
      </c>
      <c r="AB180" s="3878">
        <f>'HVAC Deemed Table'!K1544</f>
        <v>131.86562543570653</v>
      </c>
      <c r="AC180" s="3845">
        <f t="shared" si="106"/>
        <v>3000.8020827729015</v>
      </c>
      <c r="AD180" s="3845">
        <f t="shared" si="85"/>
        <v>620.61199949932052</v>
      </c>
      <c r="AE180" s="3846">
        <f>'HVAC Deemed Table'!DI1544</f>
        <v>2364.5317638053484</v>
      </c>
      <c r="AF180" s="3846">
        <f>'HVAC Deemed Table'!DI1545</f>
        <v>636.27031896755295</v>
      </c>
      <c r="AG180" s="3846">
        <f>'HVAC Deemed Table'!DI1546</f>
        <v>155.16698261381867</v>
      </c>
      <c r="AH180" s="3846">
        <f>'HVAC Deemed Table'!DI1547</f>
        <v>465.44501688550179</v>
      </c>
      <c r="AI180" s="3847" t="str">
        <f t="shared" si="102"/>
        <v>per measure</v>
      </c>
      <c r="AJ180" s="3220">
        <f>'HVAC Deemed Table'!L1544</f>
        <v>2.9733333333333332</v>
      </c>
      <c r="AK180" s="3848"/>
      <c r="AL180" s="3848"/>
      <c r="AX180" s="3849" t="str">
        <f t="shared" si="107"/>
        <v>ASHP-SEER15_ER1_MF</v>
      </c>
      <c r="AY180" s="2724"/>
      <c r="AZ180" s="3850" t="str">
        <f t="shared" si="108"/>
        <v>352700</v>
      </c>
      <c r="BA180" s="3891">
        <f>ROUND((K180*$BC$3)+(K202*$BC$4),2)</f>
        <v>1458.67</v>
      </c>
      <c r="BB180" s="3891">
        <f>ROUND((L180*$BC$3)+(L202*$BC$4),2)</f>
        <v>1423.54</v>
      </c>
      <c r="BC180" s="3891">
        <f>ROUND((M180*$BC$3)+(K202*$BC$4),2)</f>
        <v>105.98</v>
      </c>
      <c r="BD180" s="3891">
        <f>ROUND((N180*$BC$3)+(L202*$BC$4),2)</f>
        <v>826.49</v>
      </c>
      <c r="BE180" s="3853"/>
      <c r="BF180" s="3854">
        <f>ROUND(BA180*'CP FACTORS'!$B$9,6)</f>
        <v>1.3819699999999999</v>
      </c>
      <c r="BG180" s="3854">
        <f>ROUND(BB180*'CP FACTORS'!$B$14,6)</f>
        <v>0</v>
      </c>
      <c r="BH180" s="3854">
        <f>ROUND(BC180*'CP FACTORS'!$B$9,6)</f>
        <v>0.100407</v>
      </c>
      <c r="BI180" s="3855">
        <f>ROUND(BD180*'CP FACTORS'!$B$14,6)</f>
        <v>0</v>
      </c>
      <c r="BJ180" s="3853"/>
      <c r="BK180" s="3856">
        <f t="shared" si="97"/>
        <v>2882.21</v>
      </c>
      <c r="BL180" s="3857">
        <f t="shared" si="98"/>
        <v>932.47</v>
      </c>
      <c r="BM180" s="3858">
        <f t="shared" si="99"/>
        <v>1.3819699999999999</v>
      </c>
      <c r="BN180" s="3855">
        <f t="shared" si="100"/>
        <v>0.100407</v>
      </c>
    </row>
    <row r="181" spans="1:66" s="696" customFormat="1">
      <c r="A181" s="2958" t="str">
        <f t="shared" si="104"/>
        <v>352701</v>
      </c>
      <c r="B181" s="2233" t="str">
        <f>'HVAC Deemed Table'!C1548</f>
        <v>352701_2024_12_</v>
      </c>
      <c r="C181" s="3874" t="str">
        <f>'HVAC Deemed Table'!G1548</f>
        <v>Cooling Res</v>
      </c>
      <c r="D181" s="3874" t="str">
        <f>'HVAC Deemed Table'!G1549</f>
        <v>Heating Res</v>
      </c>
      <c r="E181" s="3874" t="str">
        <f>'HVAC Deemed Table'!G1550</f>
        <v>Cooling Res ER2</v>
      </c>
      <c r="F181" s="3874" t="str">
        <f>'HVAC Deemed Table'!G1551</f>
        <v>Heating Res ER2</v>
      </c>
      <c r="G181" s="2724" t="str">
        <f>'HVAC Deemed Table'!E1548</f>
        <v>ASHP-SEER15_ER1_MF_CompE</v>
      </c>
      <c r="H181" s="2554" t="str">
        <f>'HVAC Deemed Table'!D1548</f>
        <v>MFc</v>
      </c>
      <c r="I181" s="3840">
        <f t="shared" si="88"/>
        <v>2535.66</v>
      </c>
      <c r="J181" s="3840">
        <f t="shared" si="89"/>
        <v>556.80999999999995</v>
      </c>
      <c r="K181" s="3251">
        <f>'HVAC Deemed Table'!F1548</f>
        <v>1726.83</v>
      </c>
      <c r="L181" s="3251">
        <f>'HVAC Deemed Table'!F1549</f>
        <v>808.83</v>
      </c>
      <c r="M181" s="3251">
        <f>'HVAC Deemed Table'!F1550</f>
        <v>87.22</v>
      </c>
      <c r="N181" s="3251">
        <f>'HVAC Deemed Table'!F1551</f>
        <v>469.59</v>
      </c>
      <c r="O181" s="3841">
        <f t="shared" si="90"/>
        <v>1.6360300000000001</v>
      </c>
      <c r="P181" s="3841">
        <f t="shared" si="91"/>
        <v>8.2633999999999999E-2</v>
      </c>
      <c r="Q181" s="3842">
        <f>'HVAC Deemed Table'!I1548</f>
        <v>1.6360300000000001</v>
      </c>
      <c r="R181" s="3842">
        <f>'HVAC Deemed Table'!I1549</f>
        <v>0</v>
      </c>
      <c r="S181" s="3842">
        <f>'HVAC Deemed Table'!I1550</f>
        <v>8.2633999999999999E-2</v>
      </c>
      <c r="T181" s="3842">
        <f>'HVAC Deemed Table'!I1551</f>
        <v>0</v>
      </c>
      <c r="U181" s="3843">
        <f t="shared" si="92"/>
        <v>0</v>
      </c>
      <c r="V181" s="3843">
        <f t="shared" si="93"/>
        <v>0</v>
      </c>
      <c r="W181" s="3843">
        <f t="shared" si="94"/>
        <v>1.6360300000000001</v>
      </c>
      <c r="X181" s="2846">
        <f>'HVAC Deemed Table'!J1548</f>
        <v>6</v>
      </c>
      <c r="Y181" s="2846">
        <f>'HVAC Deemed Table'!J1550</f>
        <v>12</v>
      </c>
      <c r="Z181" s="2846">
        <f t="shared" si="105"/>
        <v>18</v>
      </c>
      <c r="AA181" s="2529">
        <f>'HVAC Deemed Table'!DG1548</f>
        <v>16.745075123998998</v>
      </c>
      <c r="AB181" s="3878">
        <f>'HVAC Deemed Table'!K1548</f>
        <v>131.86562543570653</v>
      </c>
      <c r="AC181" s="3845">
        <f t="shared" si="106"/>
        <v>1936.571437310582</v>
      </c>
      <c r="AD181" s="3845">
        <f t="shared" si="85"/>
        <v>271.52836688343672</v>
      </c>
      <c r="AE181" s="3846">
        <f>'HVAC Deemed Table'!DI1548</f>
        <v>1719.66036990216</v>
      </c>
      <c r="AF181" s="3846">
        <f>'HVAC Deemed Table'!DI1549</f>
        <v>216.91106740842207</v>
      </c>
      <c r="AG181" s="3846">
        <f>'HVAC Deemed Table'!DI1550</f>
        <v>112.85577237806258</v>
      </c>
      <c r="AH181" s="3846">
        <f>'HVAC Deemed Table'!DI1551</f>
        <v>158.67259450537412</v>
      </c>
      <c r="AI181" s="3847" t="str">
        <f t="shared" si="102"/>
        <v>per measure</v>
      </c>
      <c r="AJ181" s="3220">
        <f>'HVAC Deemed Table'!L1548</f>
        <v>2.9733333333333332</v>
      </c>
      <c r="AK181" s="3848"/>
      <c r="AL181" s="3848"/>
      <c r="AX181" s="3849" t="str">
        <f t="shared" si="107"/>
        <v>ASHP-SEER15_ER1_MF_CompE</v>
      </c>
      <c r="AY181" s="2724"/>
      <c r="AZ181" s="3850" t="str">
        <f t="shared" si="108"/>
        <v>352701</v>
      </c>
      <c r="BA181" s="3891">
        <f>ROUND((K181*$BC$3)+(K203*$BC$4),2)</f>
        <v>1060.8499999999999</v>
      </c>
      <c r="BB181" s="3891">
        <f>ROUND((L181*$BC$3)+(L203*$BC$4),2)</f>
        <v>485.3</v>
      </c>
      <c r="BC181" s="3891">
        <f>ROUND((M181*$BC$3)+(K203*$BC$4),2)</f>
        <v>77.08</v>
      </c>
      <c r="BD181" s="3891">
        <f>ROUND((N181*$BC$3)+(L203*$BC$4),2)</f>
        <v>281.75</v>
      </c>
      <c r="BE181" s="3853"/>
      <c r="BF181" s="3854">
        <f>ROUND(BA181*'CP FACTORS'!$B$9,6)</f>
        <v>1.0050680000000001</v>
      </c>
      <c r="BG181" s="3854">
        <f>ROUND(BB181*'CP FACTORS'!$B$14,6)</f>
        <v>0</v>
      </c>
      <c r="BH181" s="3854">
        <f>ROUND(BC181*'CP FACTORS'!$B$9,6)</f>
        <v>7.3026999999999995E-2</v>
      </c>
      <c r="BI181" s="3855">
        <f>ROUND(BD181*'CP FACTORS'!$B$14,6)</f>
        <v>0</v>
      </c>
      <c r="BJ181" s="3853"/>
      <c r="BK181" s="3856">
        <f t="shared" si="97"/>
        <v>1546.1499999999999</v>
      </c>
      <c r="BL181" s="3857">
        <f t="shared" si="98"/>
        <v>358.83</v>
      </c>
      <c r="BM181" s="3858">
        <f t="shared" si="99"/>
        <v>1.0050680000000001</v>
      </c>
      <c r="BN181" s="3855">
        <f t="shared" si="100"/>
        <v>7.3026999999999995E-2</v>
      </c>
    </row>
    <row r="182" spans="1:66" s="696" customFormat="1">
      <c r="A182" s="2958" t="str">
        <f t="shared" si="104"/>
        <v>352750</v>
      </c>
      <c r="B182" s="2233" t="str">
        <f>'HVAC Deemed Table'!C1552</f>
        <v>352750_2024_12_</v>
      </c>
      <c r="C182" s="3874" t="str">
        <f>'HVAC Deemed Table'!G1552</f>
        <v>Cooling Res</v>
      </c>
      <c r="D182" s="3874" t="str">
        <f>'HVAC Deemed Table'!G1553</f>
        <v>Heating Res</v>
      </c>
      <c r="E182" s="3874" t="str">
        <f>'HVAC Deemed Table'!G1554</f>
        <v>Cooling Res ER2</v>
      </c>
      <c r="F182" s="3874" t="str">
        <f>'HVAC Deemed Table'!G1555</f>
        <v>Heating Res ER2</v>
      </c>
      <c r="G182" s="2724" t="str">
        <f>'HVAC Deemed Table'!E1552</f>
        <v>ASHP-SEER15-Replace_CAC_ElectricHeat_ER1_MF</v>
      </c>
      <c r="H182" s="2554" t="str">
        <f>'HVAC Deemed Table'!D1552</f>
        <v>MF</v>
      </c>
      <c r="I182" s="3840">
        <f t="shared" si="88"/>
        <v>12288.06</v>
      </c>
      <c r="J182" s="3840">
        <f t="shared" si="89"/>
        <v>10195.219999999999</v>
      </c>
      <c r="K182" s="3251">
        <f>'HVAC Deemed Table'!F1552</f>
        <v>2374.39</v>
      </c>
      <c r="L182" s="3251">
        <f>'HVAC Deemed Table'!F1553</f>
        <v>9913.67</v>
      </c>
      <c r="M182" s="3251">
        <f>'HVAC Deemed Table'!F1554</f>
        <v>281.55</v>
      </c>
      <c r="N182" s="3251">
        <f>'HVAC Deemed Table'!F1555</f>
        <v>9913.67</v>
      </c>
      <c r="O182" s="3841">
        <f t="shared" si="90"/>
        <v>2.2495400000000001</v>
      </c>
      <c r="P182" s="3841">
        <f t="shared" si="91"/>
        <v>0.26674599999999998</v>
      </c>
      <c r="Q182" s="3842">
        <f>'HVAC Deemed Table'!I1552</f>
        <v>2.2495400000000001</v>
      </c>
      <c r="R182" s="3842">
        <f>'HVAC Deemed Table'!I1553</f>
        <v>0</v>
      </c>
      <c r="S182" s="3842">
        <f>'HVAC Deemed Table'!I1554</f>
        <v>0.26674599999999998</v>
      </c>
      <c r="T182" s="3842">
        <f>'HVAC Deemed Table'!I1555</f>
        <v>0</v>
      </c>
      <c r="U182" s="3843">
        <f t="shared" si="92"/>
        <v>0</v>
      </c>
      <c r="V182" s="3843">
        <f t="shared" si="93"/>
        <v>0</v>
      </c>
      <c r="W182" s="3843">
        <f t="shared" si="94"/>
        <v>2.2495400000000001</v>
      </c>
      <c r="X182" s="2846">
        <f>'HVAC Deemed Table'!J1552</f>
        <v>6</v>
      </c>
      <c r="Y182" s="2846">
        <f>'HVAC Deemed Table'!J1554</f>
        <v>12</v>
      </c>
      <c r="Z182" s="2846">
        <f t="shared" si="105"/>
        <v>18</v>
      </c>
      <c r="AA182" s="2529">
        <f>'HVAC Deemed Table'!DG1552</f>
        <v>2.5130674466990226</v>
      </c>
      <c r="AB182" s="3878">
        <f>'HVAC Deemed Table'!K1552</f>
        <v>3476.7316315552043</v>
      </c>
      <c r="AC182" s="3845">
        <f t="shared" si="106"/>
        <v>5023.1679934640542</v>
      </c>
      <c r="AD182" s="3845">
        <f t="shared" si="85"/>
        <v>3714.0930907061102</v>
      </c>
      <c r="AE182" s="3846">
        <f>'HVAC Deemed Table'!DI1552</f>
        <v>2364.5317638053484</v>
      </c>
      <c r="AF182" s="3846">
        <f>'HVAC Deemed Table'!DI1553</f>
        <v>2658.6362296587063</v>
      </c>
      <c r="AG182" s="3846">
        <f>'HVAC Deemed Table'!DI1554</f>
        <v>364.30340189226695</v>
      </c>
      <c r="AH182" s="3846">
        <f>'HVAC Deemed Table'!DI1555</f>
        <v>3349.789688813843</v>
      </c>
      <c r="AI182" s="3847" t="str">
        <f t="shared" si="102"/>
        <v>per measure</v>
      </c>
      <c r="AJ182" s="3220">
        <f>'HVAC Deemed Table'!L1552</f>
        <v>2.9733333333333332</v>
      </c>
      <c r="AK182" s="3848"/>
      <c r="AL182" s="3848"/>
      <c r="AX182" s="3849" t="str">
        <f t="shared" si="107"/>
        <v>ASHP-SEER15-Replace_CAC_ElectricHeat_ER1_MF</v>
      </c>
      <c r="AY182" s="2724"/>
      <c r="AZ182" s="3850" t="str">
        <f t="shared" si="108"/>
        <v>352750</v>
      </c>
      <c r="BA182" s="3859">
        <f t="shared" ref="BA182:BB185" si="130">ROUND((K182*$BC$3)+(K186*$BC$4),2)</f>
        <v>1507.64</v>
      </c>
      <c r="BB182" s="3859">
        <f t="shared" si="130"/>
        <v>8701.4</v>
      </c>
      <c r="BC182" s="3859">
        <f t="shared" ref="BC182:BD185" si="131">ROUND((M182*$BC$3)+(K186*$BC$4),2)</f>
        <v>251.94</v>
      </c>
      <c r="BD182" s="3859">
        <f t="shared" si="131"/>
        <v>8701.4</v>
      </c>
      <c r="BE182" s="3853"/>
      <c r="BF182" s="3854">
        <f>ROUND(BA182*'CP FACTORS'!$B$9,6)</f>
        <v>1.4283650000000001</v>
      </c>
      <c r="BG182" s="3854">
        <f>ROUND(BB182*'CP FACTORS'!$B$14,6)</f>
        <v>0</v>
      </c>
      <c r="BH182" s="3854">
        <f>ROUND(BC182*'CP FACTORS'!$B$9,6)</f>
        <v>0.23869299999999999</v>
      </c>
      <c r="BI182" s="3855">
        <f>ROUND(BD182*'CP FACTORS'!$B$14,6)</f>
        <v>0</v>
      </c>
      <c r="BJ182" s="3853"/>
      <c r="BK182" s="3856">
        <f t="shared" si="97"/>
        <v>10209.039999999999</v>
      </c>
      <c r="BL182" s="3857">
        <f t="shared" si="98"/>
        <v>8953.34</v>
      </c>
      <c r="BM182" s="3858">
        <f t="shared" si="99"/>
        <v>1.4283650000000001</v>
      </c>
      <c r="BN182" s="3855">
        <f t="shared" si="100"/>
        <v>0.23869299999999999</v>
      </c>
    </row>
    <row r="183" spans="1:66" s="696" customFormat="1">
      <c r="A183" s="2958" t="str">
        <f t="shared" si="104"/>
        <v>352751</v>
      </c>
      <c r="B183" s="2233" t="str">
        <f>'HVAC Deemed Table'!C1556</f>
        <v>352751_2024_12_</v>
      </c>
      <c r="C183" s="3874" t="str">
        <f>'HVAC Deemed Table'!G1556</f>
        <v>Cooling Res</v>
      </c>
      <c r="D183" s="3874" t="str">
        <f>'HVAC Deemed Table'!G1557</f>
        <v>Heating Res</v>
      </c>
      <c r="E183" s="3874" t="str">
        <f>'HVAC Deemed Table'!G1558</f>
        <v>Cooling Res ER2</v>
      </c>
      <c r="F183" s="3874" t="str">
        <f>'HVAC Deemed Table'!G1559</f>
        <v>Heating Res ER2</v>
      </c>
      <c r="G183" s="2724" t="str">
        <f>'HVAC Deemed Table'!E1556</f>
        <v>ASHP-SEER15-Replace_CAC_ElectricHeat_ER1_MF_CompE</v>
      </c>
      <c r="H183" s="2554" t="str">
        <f>'HVAC Deemed Table'!D1556</f>
        <v>MFc</v>
      </c>
      <c r="I183" s="3840">
        <f t="shared" si="88"/>
        <v>5106.49</v>
      </c>
      <c r="J183" s="3840">
        <f t="shared" si="89"/>
        <v>3584.42</v>
      </c>
      <c r="K183" s="3251">
        <f>'HVAC Deemed Table'!F1556</f>
        <v>1726.83</v>
      </c>
      <c r="L183" s="3251">
        <f>'HVAC Deemed Table'!F1557</f>
        <v>3379.66</v>
      </c>
      <c r="M183" s="3251">
        <f>'HVAC Deemed Table'!F1558</f>
        <v>204.76</v>
      </c>
      <c r="N183" s="3251">
        <f>'HVAC Deemed Table'!F1559</f>
        <v>3379.66</v>
      </c>
      <c r="O183" s="3841">
        <f t="shared" si="90"/>
        <v>1.6360300000000001</v>
      </c>
      <c r="P183" s="3841">
        <f t="shared" si="91"/>
        <v>0.193993</v>
      </c>
      <c r="Q183" s="3842">
        <f>'HVAC Deemed Table'!I1556</f>
        <v>1.6360300000000001</v>
      </c>
      <c r="R183" s="3842">
        <f>'HVAC Deemed Table'!I1557</f>
        <v>0</v>
      </c>
      <c r="S183" s="3842">
        <f>'HVAC Deemed Table'!I1558</f>
        <v>0.193993</v>
      </c>
      <c r="T183" s="3842">
        <f>'HVAC Deemed Table'!I1559</f>
        <v>0</v>
      </c>
      <c r="U183" s="3843">
        <f t="shared" si="92"/>
        <v>0</v>
      </c>
      <c r="V183" s="3843">
        <f t="shared" si="93"/>
        <v>0</v>
      </c>
      <c r="W183" s="3843">
        <f t="shared" si="94"/>
        <v>1.6360300000000001</v>
      </c>
      <c r="X183" s="2846">
        <f>'HVAC Deemed Table'!J1556</f>
        <v>6</v>
      </c>
      <c r="Y183" s="2846">
        <f>'HVAC Deemed Table'!J1558</f>
        <v>12</v>
      </c>
      <c r="Z183" s="2846">
        <f t="shared" si="105"/>
        <v>18</v>
      </c>
      <c r="AA183" s="2529">
        <f>'HVAC Deemed Table'!DG1556</f>
        <v>1.1599775020591223</v>
      </c>
      <c r="AB183" s="3878">
        <f>'HVAC Deemed Table'!K1556</f>
        <v>3476.7316315552043</v>
      </c>
      <c r="AC183" s="3845">
        <f t="shared" si="106"/>
        <v>2626.0135690633529</v>
      </c>
      <c r="AD183" s="3845">
        <f t="shared" si="85"/>
        <v>1406.9169042379899</v>
      </c>
      <c r="AE183" s="3846">
        <f>'HVAC Deemed Table'!DI1556</f>
        <v>1719.66036990216</v>
      </c>
      <c r="AF183" s="3846">
        <f>'HVAC Deemed Table'!DI1557</f>
        <v>906.35319916119295</v>
      </c>
      <c r="AG183" s="3846">
        <f>'HVAC Deemed Table'!DI1558</f>
        <v>264.9432234823675</v>
      </c>
      <c r="AH183" s="3846">
        <f>'HVAC Deemed Table'!DI1559</f>
        <v>1141.9736807556224</v>
      </c>
      <c r="AI183" s="3847" t="str">
        <f t="shared" si="102"/>
        <v>per measure</v>
      </c>
      <c r="AJ183" s="3220">
        <f>'HVAC Deemed Table'!L1556</f>
        <v>2.9733333333333332</v>
      </c>
      <c r="AK183" s="3848"/>
      <c r="AL183" s="3848"/>
      <c r="AX183" s="3849" t="str">
        <f t="shared" si="107"/>
        <v>ASHP-SEER15-Replace_CAC_ElectricHeat_ER1_MF_CompE</v>
      </c>
      <c r="AY183" s="2724"/>
      <c r="AZ183" s="3850" t="str">
        <f t="shared" si="108"/>
        <v>352751</v>
      </c>
      <c r="BA183" s="3859">
        <f t="shared" si="130"/>
        <v>1096.47</v>
      </c>
      <c r="BB183" s="3859">
        <f t="shared" si="130"/>
        <v>2966.39</v>
      </c>
      <c r="BC183" s="3859">
        <f t="shared" si="131"/>
        <v>183.23</v>
      </c>
      <c r="BD183" s="3859">
        <f t="shared" si="131"/>
        <v>2966.39</v>
      </c>
      <c r="BE183" s="3853"/>
      <c r="BF183" s="3854">
        <f>ROUND(BA183*'CP FACTORS'!$B$9,6)</f>
        <v>1.038816</v>
      </c>
      <c r="BG183" s="3854">
        <f>ROUND(BB183*'CP FACTORS'!$B$14,6)</f>
        <v>0</v>
      </c>
      <c r="BH183" s="3854">
        <f>ROUND(BC183*'CP FACTORS'!$B$9,6)</f>
        <v>0.173595</v>
      </c>
      <c r="BI183" s="3855">
        <f>ROUND(BD183*'CP FACTORS'!$B$14,6)</f>
        <v>0</v>
      </c>
      <c r="BJ183" s="3853"/>
      <c r="BK183" s="3856">
        <f t="shared" si="97"/>
        <v>4062.8599999999997</v>
      </c>
      <c r="BL183" s="3857">
        <f t="shared" si="98"/>
        <v>3149.62</v>
      </c>
      <c r="BM183" s="3858">
        <f t="shared" si="99"/>
        <v>1.038816</v>
      </c>
      <c r="BN183" s="3855">
        <f t="shared" si="100"/>
        <v>0.173595</v>
      </c>
    </row>
    <row r="184" spans="1:66" s="696" customFormat="1">
      <c r="A184" s="2958" t="str">
        <f t="shared" si="104"/>
        <v>352760</v>
      </c>
      <c r="B184" s="2233" t="str">
        <f>'HVAC Deemed Table'!C1560</f>
        <v>352760_2024_12_</v>
      </c>
      <c r="C184" s="3874" t="str">
        <f>'HVAC Deemed Table'!G1560</f>
        <v>Cooling Res</v>
      </c>
      <c r="D184" s="3874" t="str">
        <f>'HVAC Deemed Table'!G1561</f>
        <v>Heating Res</v>
      </c>
      <c r="E184" s="3874" t="str">
        <f>'HVAC Deemed Table'!G1562</f>
        <v>Cooling Res ER2</v>
      </c>
      <c r="F184" s="3874" t="str">
        <f>'HVAC Deemed Table'!G1563</f>
        <v>Heating Res ER2</v>
      </c>
      <c r="G184" s="2724" t="str">
        <f>'HVAC Deemed Table'!E1560</f>
        <v>ASHP-SEER15-Replace_CAC_NonElectricHeat_ER1_MF</v>
      </c>
      <c r="H184" s="2554" t="str">
        <f>'HVAC Deemed Table'!D1560</f>
        <v>MF</v>
      </c>
      <c r="I184" s="3840">
        <f t="shared" si="88"/>
        <v>2374.39</v>
      </c>
      <c r="J184" s="3840">
        <f t="shared" si="89"/>
        <v>281.55</v>
      </c>
      <c r="K184" s="3251">
        <f>'HVAC Deemed Table'!F1560</f>
        <v>2374.39</v>
      </c>
      <c r="L184" s="3251">
        <f>'HVAC Deemed Table'!F1561</f>
        <v>0</v>
      </c>
      <c r="M184" s="3251">
        <f>'HVAC Deemed Table'!F1562</f>
        <v>281.55</v>
      </c>
      <c r="N184" s="3251">
        <f>'HVAC Deemed Table'!F1563</f>
        <v>0</v>
      </c>
      <c r="O184" s="3841">
        <f t="shared" si="90"/>
        <v>2.2495400000000001</v>
      </c>
      <c r="P184" s="3841">
        <f t="shared" si="91"/>
        <v>0.26674599999999998</v>
      </c>
      <c r="Q184" s="3842">
        <f>'HVAC Deemed Table'!I1560</f>
        <v>2.2495400000000001</v>
      </c>
      <c r="R184" s="3842">
        <f>'HVAC Deemed Table'!I1561</f>
        <v>0</v>
      </c>
      <c r="S184" s="3842">
        <f>'HVAC Deemed Table'!I1562</f>
        <v>0.26674599999999998</v>
      </c>
      <c r="T184" s="3842">
        <f>'HVAC Deemed Table'!I1563</f>
        <v>0</v>
      </c>
      <c r="U184" s="3843">
        <f t="shared" si="92"/>
        <v>0</v>
      </c>
      <c r="V184" s="3843">
        <f t="shared" si="93"/>
        <v>0</v>
      </c>
      <c r="W184" s="3843">
        <f t="shared" si="94"/>
        <v>2.2495400000000001</v>
      </c>
      <c r="X184" s="2846">
        <f>'HVAC Deemed Table'!J1560</f>
        <v>6</v>
      </c>
      <c r="Y184" s="2846">
        <f>'HVAC Deemed Table'!J1562</f>
        <v>12</v>
      </c>
      <c r="Z184" s="2846">
        <f t="shared" si="105"/>
        <v>18</v>
      </c>
      <c r="AA184" s="2529">
        <f>'HVAC Deemed Table'!DG1560</f>
        <v>6.6442741495773996</v>
      </c>
      <c r="AB184" s="3878">
        <f>'HVAC Deemed Table'!K1560</f>
        <v>410.70478193185022</v>
      </c>
      <c r="AC184" s="3845">
        <f t="shared" si="106"/>
        <v>2364.5317638053484</v>
      </c>
      <c r="AD184" s="3845">
        <f t="shared" si="85"/>
        <v>364.30340189226695</v>
      </c>
      <c r="AE184" s="3846">
        <f>'HVAC Deemed Table'!DI1560</f>
        <v>2364.5317638053484</v>
      </c>
      <c r="AF184" s="3846">
        <f>'HVAC Deemed Table'!DI1561</f>
        <v>0</v>
      </c>
      <c r="AG184" s="3846">
        <f>'HVAC Deemed Table'!DI1562</f>
        <v>364.30340189226695</v>
      </c>
      <c r="AH184" s="3846">
        <f>'HVAC Deemed Table'!DI1563</f>
        <v>0</v>
      </c>
      <c r="AI184" s="3847" t="str">
        <f t="shared" si="102"/>
        <v>per measure</v>
      </c>
      <c r="AJ184" s="3220">
        <f>'HVAC Deemed Table'!L1560</f>
        <v>2.9733333333333332</v>
      </c>
      <c r="AK184" s="3848"/>
      <c r="AL184" s="3848"/>
      <c r="AX184" s="3849" t="str">
        <f t="shared" si="107"/>
        <v>ASHP-SEER15-Replace_CAC_NonElectricHeat_ER1_MF</v>
      </c>
      <c r="AY184" s="2724"/>
      <c r="AZ184" s="3850" t="str">
        <f t="shared" si="108"/>
        <v>352760</v>
      </c>
      <c r="BA184" s="3859">
        <f t="shared" si="130"/>
        <v>1507.64</v>
      </c>
      <c r="BB184" s="3859">
        <f t="shared" si="130"/>
        <v>0</v>
      </c>
      <c r="BC184" s="3859">
        <f t="shared" si="131"/>
        <v>251.94</v>
      </c>
      <c r="BD184" s="3859">
        <f t="shared" si="131"/>
        <v>0</v>
      </c>
      <c r="BE184" s="3853"/>
      <c r="BF184" s="3854">
        <f>ROUND(BA184*'CP FACTORS'!$B$9,6)</f>
        <v>1.4283650000000001</v>
      </c>
      <c r="BG184" s="3854">
        <f>ROUND(BB184*'CP FACTORS'!$B$14,6)</f>
        <v>0</v>
      </c>
      <c r="BH184" s="3854">
        <f>ROUND(BC184*'CP FACTORS'!$B$9,6)</f>
        <v>0.23869299999999999</v>
      </c>
      <c r="BI184" s="3855">
        <f>ROUND(BD184*'CP FACTORS'!$B$14,6)</f>
        <v>0</v>
      </c>
      <c r="BJ184" s="3853"/>
      <c r="BK184" s="3856">
        <f t="shared" si="97"/>
        <v>1507.64</v>
      </c>
      <c r="BL184" s="3857">
        <f t="shared" si="98"/>
        <v>251.94</v>
      </c>
      <c r="BM184" s="3858">
        <f t="shared" si="99"/>
        <v>1.4283650000000001</v>
      </c>
      <c r="BN184" s="3855">
        <f t="shared" si="100"/>
        <v>0.23869299999999999</v>
      </c>
    </row>
    <row r="185" spans="1:66" s="696" customFormat="1">
      <c r="A185" s="2958" t="str">
        <f t="shared" si="104"/>
        <v>352761</v>
      </c>
      <c r="B185" s="2233" t="str">
        <f>'HVAC Deemed Table'!C1564</f>
        <v>352761_2024_12_</v>
      </c>
      <c r="C185" s="3874" t="str">
        <f>'HVAC Deemed Table'!G1564</f>
        <v>Cooling Res</v>
      </c>
      <c r="D185" s="3874" t="str">
        <f>'HVAC Deemed Table'!G1565</f>
        <v>Heating Res</v>
      </c>
      <c r="E185" s="3874" t="str">
        <f>'HVAC Deemed Table'!G1566</f>
        <v>Cooling Res ER2</v>
      </c>
      <c r="F185" s="3874" t="str">
        <f>'HVAC Deemed Table'!G1567</f>
        <v>Heating Res ER2</v>
      </c>
      <c r="G185" s="2724" t="str">
        <f>'HVAC Deemed Table'!E1564</f>
        <v>ASHP-SEER15-Replace_CAC_NonElectricHeat_ER1_MF_CompE</v>
      </c>
      <c r="H185" s="2554" t="str">
        <f>'HVAC Deemed Table'!D1564</f>
        <v>MFc</v>
      </c>
      <c r="I185" s="3840">
        <f t="shared" si="88"/>
        <v>1726.83</v>
      </c>
      <c r="J185" s="3840">
        <f t="shared" si="89"/>
        <v>204.76</v>
      </c>
      <c r="K185" s="3251">
        <f>'HVAC Deemed Table'!F1564</f>
        <v>1726.83</v>
      </c>
      <c r="L185" s="3251">
        <f>'HVAC Deemed Table'!F1565</f>
        <v>0</v>
      </c>
      <c r="M185" s="3251">
        <f>'HVAC Deemed Table'!F1566</f>
        <v>204.76</v>
      </c>
      <c r="N185" s="3251">
        <f>'HVAC Deemed Table'!F1567</f>
        <v>0</v>
      </c>
      <c r="O185" s="3841">
        <f t="shared" si="90"/>
        <v>1.6360300000000001</v>
      </c>
      <c r="P185" s="3841">
        <f t="shared" si="91"/>
        <v>0.193993</v>
      </c>
      <c r="Q185" s="3842">
        <f>'HVAC Deemed Table'!I1564</f>
        <v>1.6360300000000001</v>
      </c>
      <c r="R185" s="3842">
        <f>'HVAC Deemed Table'!I1565</f>
        <v>0</v>
      </c>
      <c r="S185" s="3842">
        <f>'HVAC Deemed Table'!I1566</f>
        <v>0.193993</v>
      </c>
      <c r="T185" s="3842">
        <f>'HVAC Deemed Table'!I1567</f>
        <v>0</v>
      </c>
      <c r="U185" s="3843">
        <f t="shared" si="92"/>
        <v>0</v>
      </c>
      <c r="V185" s="3843">
        <f t="shared" si="93"/>
        <v>0</v>
      </c>
      <c r="W185" s="3843">
        <f t="shared" si="94"/>
        <v>1.6360300000000001</v>
      </c>
      <c r="X185" s="2846">
        <f>'HVAC Deemed Table'!J1564</f>
        <v>6</v>
      </c>
      <c r="Y185" s="2846">
        <f>'HVAC Deemed Table'!J1566</f>
        <v>12</v>
      </c>
      <c r="Z185" s="2846">
        <f t="shared" si="105"/>
        <v>18</v>
      </c>
      <c r="AA185" s="2529">
        <f>'HVAC Deemed Table'!DG1564</f>
        <v>2.568342324569445</v>
      </c>
      <c r="AB185" s="3878">
        <f>'HVAC Deemed Table'!K1564</f>
        <v>772.71770760434947</v>
      </c>
      <c r="AC185" s="3845">
        <f t="shared" si="106"/>
        <v>1719.66036990216</v>
      </c>
      <c r="AD185" s="3845">
        <f t="shared" si="85"/>
        <v>264.9432234823675</v>
      </c>
      <c r="AE185" s="3846">
        <f>'HVAC Deemed Table'!DI1564</f>
        <v>1719.66036990216</v>
      </c>
      <c r="AF185" s="3846">
        <f>'HVAC Deemed Table'!DI1565</f>
        <v>0</v>
      </c>
      <c r="AG185" s="3846">
        <f>'HVAC Deemed Table'!DI1566</f>
        <v>264.9432234823675</v>
      </c>
      <c r="AH185" s="3846">
        <f>'HVAC Deemed Table'!DI1567</f>
        <v>0</v>
      </c>
      <c r="AI185" s="3847" t="str">
        <f t="shared" si="102"/>
        <v>per measure</v>
      </c>
      <c r="AJ185" s="3220">
        <f>'HVAC Deemed Table'!L1564</f>
        <v>2.9733333333333332</v>
      </c>
      <c r="AK185" s="3848"/>
      <c r="AL185" s="3848"/>
      <c r="AX185" s="3849" t="str">
        <f t="shared" si="107"/>
        <v>ASHP-SEER15-Replace_CAC_NonElectricHeat_ER1_MF_CompE</v>
      </c>
      <c r="AY185" s="2724"/>
      <c r="AZ185" s="3850" t="str">
        <f t="shared" si="108"/>
        <v>352761</v>
      </c>
      <c r="BA185" s="3859">
        <f t="shared" si="130"/>
        <v>1096.47</v>
      </c>
      <c r="BB185" s="3859">
        <f t="shared" si="130"/>
        <v>0</v>
      </c>
      <c r="BC185" s="3859">
        <f t="shared" si="131"/>
        <v>183.23</v>
      </c>
      <c r="BD185" s="3859">
        <f t="shared" si="131"/>
        <v>0</v>
      </c>
      <c r="BE185" s="3853"/>
      <c r="BF185" s="3854">
        <f>ROUND(BA185*'CP FACTORS'!$B$9,6)</f>
        <v>1.038816</v>
      </c>
      <c r="BG185" s="3854">
        <f>ROUND(BB185*'CP FACTORS'!$B$14,6)</f>
        <v>0</v>
      </c>
      <c r="BH185" s="3854">
        <f>ROUND(BC185*'CP FACTORS'!$B$9,6)</f>
        <v>0.173595</v>
      </c>
      <c r="BI185" s="3855">
        <f>ROUND(BD185*'CP FACTORS'!$B$14,6)</f>
        <v>0</v>
      </c>
      <c r="BJ185" s="3853"/>
      <c r="BK185" s="3856">
        <f t="shared" si="97"/>
        <v>1096.47</v>
      </c>
      <c r="BL185" s="3857">
        <f t="shared" si="98"/>
        <v>183.23</v>
      </c>
      <c r="BM185" s="3858">
        <f t="shared" si="99"/>
        <v>1.038816</v>
      </c>
      <c r="BN185" s="3855">
        <f t="shared" si="100"/>
        <v>0.173595</v>
      </c>
    </row>
    <row r="186" spans="1:66" s="696" customFormat="1">
      <c r="A186" s="2958" t="str">
        <f t="shared" si="104"/>
        <v>352800</v>
      </c>
      <c r="B186" s="2233" t="str">
        <f>'HVAC Deemed Table'!C1568</f>
        <v>352800_2024_12_</v>
      </c>
      <c r="C186" s="3874" t="str">
        <f>'HVAC Deemed Table'!G1568</f>
        <v>Cooling Res</v>
      </c>
      <c r="D186" s="3874" t="str">
        <f>'HVAC Deemed Table'!G1569</f>
        <v>Heating Res</v>
      </c>
      <c r="E186" s="2724"/>
      <c r="F186" s="2724"/>
      <c r="G186" s="2724" t="str">
        <f>'HVAC Deemed Table'!E1568</f>
        <v>ASHP-SEER15-Replace_CAC_ElectricHeat_ROF_MF</v>
      </c>
      <c r="H186" s="2554" t="str">
        <f>'HVAC Deemed Table'!D1568</f>
        <v>MF</v>
      </c>
      <c r="I186" s="3840">
        <f t="shared" si="88"/>
        <v>7090.51</v>
      </c>
      <c r="J186" s="3840">
        <f t="shared" si="89"/>
        <v>0</v>
      </c>
      <c r="K186" s="3251">
        <f>'HVAC Deemed Table'!F1568</f>
        <v>207.52</v>
      </c>
      <c r="L186" s="3251">
        <f>'HVAC Deemed Table'!F1569</f>
        <v>6882.99</v>
      </c>
      <c r="M186" s="3251"/>
      <c r="N186" s="3251"/>
      <c r="O186" s="3841">
        <f t="shared" si="90"/>
        <v>0.196608</v>
      </c>
      <c r="P186" s="3841">
        <f t="shared" si="91"/>
        <v>0</v>
      </c>
      <c r="Q186" s="3842">
        <f>'HVAC Deemed Table'!I1568</f>
        <v>0.196608</v>
      </c>
      <c r="R186" s="3842">
        <f>'HVAC Deemed Table'!I1569</f>
        <v>0</v>
      </c>
      <c r="S186" s="3842"/>
      <c r="T186" s="3842"/>
      <c r="U186" s="3843">
        <f t="shared" si="92"/>
        <v>0</v>
      </c>
      <c r="V186" s="3843">
        <f t="shared" si="93"/>
        <v>0</v>
      </c>
      <c r="W186" s="3843">
        <f t="shared" si="94"/>
        <v>0.196608</v>
      </c>
      <c r="X186" s="2846">
        <f>'HVAC Deemed Table'!J1568</f>
        <v>18</v>
      </c>
      <c r="Y186" s="2846"/>
      <c r="Z186" s="2846">
        <f t="shared" si="105"/>
        <v>18</v>
      </c>
      <c r="AA186" s="2529">
        <f>'HVAC Deemed Table'!DG1568</f>
        <v>1.5693278881606003</v>
      </c>
      <c r="AB186" s="3878">
        <f>'HVAC Deemed Table'!K1568</f>
        <v>2961</v>
      </c>
      <c r="AC186" s="3845">
        <f t="shared" si="106"/>
        <v>4646.7798768435377</v>
      </c>
      <c r="AD186" s="3845">
        <f t="shared" si="85"/>
        <v>0</v>
      </c>
      <c r="AE186" s="3846">
        <f>'HVAC Deemed Table'!DI1568</f>
        <v>475.17284205345703</v>
      </c>
      <c r="AF186" s="3846">
        <f>'HVAC Deemed Table'!DI1569</f>
        <v>4171.6070347900804</v>
      </c>
      <c r="AG186" s="3846"/>
      <c r="AH186" s="3846"/>
      <c r="AI186" s="3847" t="str">
        <f t="shared" si="102"/>
        <v>per measure</v>
      </c>
      <c r="AJ186" s="3220">
        <f>'HVAC Deemed Table'!L1568</f>
        <v>2.1833333333333331</v>
      </c>
      <c r="AK186" s="3848"/>
      <c r="AL186" s="3848"/>
      <c r="AX186" s="3849" t="str">
        <f t="shared" si="107"/>
        <v>ASHP-SEER15-Replace_CAC_ElectricHeat_ROF_MF</v>
      </c>
      <c r="AY186" s="2724"/>
      <c r="AZ186" s="3850" t="str">
        <f t="shared" si="108"/>
        <v>352800</v>
      </c>
      <c r="BA186" s="3888">
        <f>BA182</f>
        <v>1507.64</v>
      </c>
      <c r="BB186" s="3888">
        <f>BB182</f>
        <v>8701.4</v>
      </c>
      <c r="BC186" s="3888">
        <f>BC182</f>
        <v>251.94</v>
      </c>
      <c r="BD186" s="3888">
        <f>BD182</f>
        <v>8701.4</v>
      </c>
      <c r="BE186" s="3853"/>
      <c r="BF186" s="3854">
        <f>ROUND(BA186*'CP FACTORS'!$B$9,6)</f>
        <v>1.4283650000000001</v>
      </c>
      <c r="BG186" s="3854">
        <f>ROUND(BB186*'CP FACTORS'!$B$14,6)</f>
        <v>0</v>
      </c>
      <c r="BH186" s="3854">
        <f>ROUND(BC186*'CP FACTORS'!$B$9,6)</f>
        <v>0.23869299999999999</v>
      </c>
      <c r="BI186" s="3855">
        <f>ROUND(BD186*'CP FACTORS'!$B$14,6)</f>
        <v>0</v>
      </c>
      <c r="BJ186" s="3853"/>
      <c r="BK186" s="3856">
        <f t="shared" si="97"/>
        <v>10209.039999999999</v>
      </c>
      <c r="BL186" s="3857">
        <f t="shared" si="98"/>
        <v>8953.34</v>
      </c>
      <c r="BM186" s="3858">
        <f t="shared" si="99"/>
        <v>1.4283650000000001</v>
      </c>
      <c r="BN186" s="3855">
        <f t="shared" si="100"/>
        <v>0.23869299999999999</v>
      </c>
    </row>
    <row r="187" spans="1:66" s="696" customFormat="1">
      <c r="A187" s="2958" t="str">
        <f t="shared" si="104"/>
        <v>352801</v>
      </c>
      <c r="B187" s="2233" t="str">
        <f>'HVAC Deemed Table'!C1570</f>
        <v>352801_2024_12_</v>
      </c>
      <c r="C187" s="3874" t="str">
        <f>'HVAC Deemed Table'!G1570</f>
        <v>Cooling Res</v>
      </c>
      <c r="D187" s="3874" t="str">
        <f>'HVAC Deemed Table'!G1571</f>
        <v>Heating Res</v>
      </c>
      <c r="E187" s="2724"/>
      <c r="F187" s="2724"/>
      <c r="G187" s="2724" t="str">
        <f>'HVAC Deemed Table'!E1570</f>
        <v>ASHP-SEER15-Replace_CAC_ElectricHeat_ROF_MF_CompE</v>
      </c>
      <c r="H187" s="2554" t="str">
        <f>'HVAC Deemed Table'!D1570</f>
        <v>MFc</v>
      </c>
      <c r="I187" s="3840">
        <f t="shared" si="88"/>
        <v>2497.41</v>
      </c>
      <c r="J187" s="3840">
        <f t="shared" si="89"/>
        <v>0</v>
      </c>
      <c r="K187" s="3251">
        <f>'HVAC Deemed Table'!F1570</f>
        <v>150.93</v>
      </c>
      <c r="L187" s="3251">
        <f>'HVAC Deemed Table'!F1571</f>
        <v>2346.48</v>
      </c>
      <c r="M187" s="3251"/>
      <c r="N187" s="3251"/>
      <c r="O187" s="3841">
        <f t="shared" si="90"/>
        <v>0.14299400000000001</v>
      </c>
      <c r="P187" s="3841">
        <f t="shared" si="91"/>
        <v>0</v>
      </c>
      <c r="Q187" s="3842">
        <f>'HVAC Deemed Table'!I1570</f>
        <v>0.14299400000000001</v>
      </c>
      <c r="R187" s="3842">
        <f>'HVAC Deemed Table'!I1571</f>
        <v>0</v>
      </c>
      <c r="S187" s="3842"/>
      <c r="T187" s="3842"/>
      <c r="U187" s="3843">
        <f t="shared" si="92"/>
        <v>0</v>
      </c>
      <c r="V187" s="3843">
        <f t="shared" si="93"/>
        <v>0</v>
      </c>
      <c r="W187" s="3843">
        <f t="shared" si="94"/>
        <v>0.14299400000000001</v>
      </c>
      <c r="X187" s="2846">
        <f>'HVAC Deemed Table'!J1570</f>
        <v>18</v>
      </c>
      <c r="Y187" s="2846"/>
      <c r="Z187" s="2846">
        <f t="shared" si="105"/>
        <v>18</v>
      </c>
      <c r="AA187" s="2529">
        <f>'HVAC Deemed Table'!DG1570</f>
        <v>0.59700685612246651</v>
      </c>
      <c r="AB187" s="3878">
        <f>'HVAC Deemed Table'!K1570</f>
        <v>2961</v>
      </c>
      <c r="AC187" s="3845">
        <f t="shared" si="106"/>
        <v>1767.7373009786234</v>
      </c>
      <c r="AD187" s="3845">
        <f t="shared" si="85"/>
        <v>0</v>
      </c>
      <c r="AE187" s="3846">
        <f>'HVAC Deemed Table'!DI1570</f>
        <v>345.59482002278463</v>
      </c>
      <c r="AF187" s="3846">
        <f>'HVAC Deemed Table'!DI1571</f>
        <v>1422.1424809558387</v>
      </c>
      <c r="AG187" s="3846"/>
      <c r="AH187" s="3846"/>
      <c r="AI187" s="3847" t="str">
        <f t="shared" si="102"/>
        <v>per measure</v>
      </c>
      <c r="AJ187" s="3220">
        <f>'HVAC Deemed Table'!L1570</f>
        <v>2.1833333333333331</v>
      </c>
      <c r="AK187" s="3848"/>
      <c r="AL187" s="3848"/>
      <c r="AX187" s="3849" t="str">
        <f t="shared" si="107"/>
        <v>ASHP-SEER15-Replace_CAC_ElectricHeat_ROF_MF_CompE</v>
      </c>
      <c r="AY187" s="2724"/>
      <c r="AZ187" s="3850" t="str">
        <f t="shared" si="108"/>
        <v>352801</v>
      </c>
      <c r="BA187" s="3888">
        <f t="shared" ref="BA187:BD189" si="132">BA183</f>
        <v>1096.47</v>
      </c>
      <c r="BB187" s="3888">
        <f t="shared" si="132"/>
        <v>2966.39</v>
      </c>
      <c r="BC187" s="3888">
        <f t="shared" si="132"/>
        <v>183.23</v>
      </c>
      <c r="BD187" s="3888">
        <f t="shared" si="132"/>
        <v>2966.39</v>
      </c>
      <c r="BE187" s="3853"/>
      <c r="BF187" s="3854">
        <f>ROUND(BA187*'CP FACTORS'!$B$9,6)</f>
        <v>1.038816</v>
      </c>
      <c r="BG187" s="3854">
        <f>ROUND(BB187*'CP FACTORS'!$B$14,6)</f>
        <v>0</v>
      </c>
      <c r="BH187" s="3854">
        <f>ROUND(BC187*'CP FACTORS'!$B$9,6)</f>
        <v>0.173595</v>
      </c>
      <c r="BI187" s="3855">
        <f>ROUND(BD187*'CP FACTORS'!$B$14,6)</f>
        <v>0</v>
      </c>
      <c r="BJ187" s="3853"/>
      <c r="BK187" s="3856">
        <f t="shared" si="97"/>
        <v>4062.8599999999997</v>
      </c>
      <c r="BL187" s="3857">
        <f t="shared" si="98"/>
        <v>3149.62</v>
      </c>
      <c r="BM187" s="3858">
        <f t="shared" si="99"/>
        <v>1.038816</v>
      </c>
      <c r="BN187" s="3855">
        <f t="shared" si="100"/>
        <v>0.173595</v>
      </c>
    </row>
    <row r="188" spans="1:66" s="696" customFormat="1">
      <c r="A188" s="2958" t="str">
        <f t="shared" si="104"/>
        <v>352810</v>
      </c>
      <c r="B188" s="2233" t="str">
        <f>'HVAC Deemed Table'!C1572</f>
        <v>352810_2024_12_</v>
      </c>
      <c r="C188" s="3874" t="str">
        <f>'HVAC Deemed Table'!G1572</f>
        <v>Cooling Res</v>
      </c>
      <c r="D188" s="3874" t="str">
        <f>'HVAC Deemed Table'!G1573</f>
        <v>Heating Res</v>
      </c>
      <c r="E188" s="2724"/>
      <c r="F188" s="2724"/>
      <c r="G188" s="2724" t="str">
        <f>'HVAC Deemed Table'!E1572</f>
        <v>ASHP-SEER15-Replace_CAC_NonElectricHeat_ROF_MF</v>
      </c>
      <c r="H188" s="2554" t="str">
        <f>'HVAC Deemed Table'!D1572</f>
        <v>MF</v>
      </c>
      <c r="I188" s="3840">
        <f t="shared" si="88"/>
        <v>207.52</v>
      </c>
      <c r="J188" s="3840">
        <f t="shared" si="89"/>
        <v>0</v>
      </c>
      <c r="K188" s="3251">
        <f>'HVAC Deemed Table'!F1572</f>
        <v>207.52</v>
      </c>
      <c r="L188" s="3251">
        <f>'HVAC Deemed Table'!F1573</f>
        <v>0</v>
      </c>
      <c r="M188" s="3251"/>
      <c r="N188" s="3251"/>
      <c r="O188" s="3841">
        <f t="shared" si="90"/>
        <v>0.196608</v>
      </c>
      <c r="P188" s="3841">
        <f t="shared" si="91"/>
        <v>0</v>
      </c>
      <c r="Q188" s="3842">
        <f>'HVAC Deemed Table'!I1572</f>
        <v>0.196608</v>
      </c>
      <c r="R188" s="3842">
        <f>'HVAC Deemed Table'!I1573</f>
        <v>0</v>
      </c>
      <c r="S188" s="3842"/>
      <c r="T188" s="3842"/>
      <c r="U188" s="3843">
        <f t="shared" si="92"/>
        <v>0</v>
      </c>
      <c r="V188" s="3843">
        <f t="shared" si="93"/>
        <v>0</v>
      </c>
      <c r="W188" s="3843">
        <f t="shared" si="94"/>
        <v>0.196608</v>
      </c>
      <c r="X188" s="2846">
        <f>'HVAC Deemed Table'!J1572</f>
        <v>18</v>
      </c>
      <c r="Y188" s="2846"/>
      <c r="Z188" s="2846">
        <f t="shared" si="105"/>
        <v>18</v>
      </c>
      <c r="AA188" s="2529">
        <f>'HVAC Deemed Table'!DG1572</f>
        <v>5.4831574740263518</v>
      </c>
      <c r="AB188" s="3878">
        <f>'HVAC Deemed Table'!K1572</f>
        <v>86.660440504279663</v>
      </c>
      <c r="AC188" s="3845">
        <f t="shared" si="106"/>
        <v>475.17284205345703</v>
      </c>
      <c r="AD188" s="3845">
        <f t="shared" si="85"/>
        <v>0</v>
      </c>
      <c r="AE188" s="3846">
        <f>'HVAC Deemed Table'!DI1572</f>
        <v>475.17284205345703</v>
      </c>
      <c r="AF188" s="3846">
        <f>'HVAC Deemed Table'!DI1573</f>
        <v>0</v>
      </c>
      <c r="AG188" s="3846"/>
      <c r="AH188" s="3846"/>
      <c r="AI188" s="3847" t="str">
        <f t="shared" si="102"/>
        <v>per measure</v>
      </c>
      <c r="AJ188" s="3220">
        <f>'HVAC Deemed Table'!L1572</f>
        <v>2.1833333333333331</v>
      </c>
      <c r="AK188" s="3848"/>
      <c r="AL188" s="3848"/>
      <c r="AX188" s="3849" t="str">
        <f t="shared" si="107"/>
        <v>ASHP-SEER15-Replace_CAC_NonElectricHeat_ROF_MF</v>
      </c>
      <c r="AY188" s="2724"/>
      <c r="AZ188" s="3850" t="str">
        <f t="shared" si="108"/>
        <v>352810</v>
      </c>
      <c r="BA188" s="3888">
        <f t="shared" si="132"/>
        <v>1507.64</v>
      </c>
      <c r="BB188" s="3888">
        <f t="shared" si="132"/>
        <v>0</v>
      </c>
      <c r="BC188" s="3888">
        <f t="shared" si="132"/>
        <v>251.94</v>
      </c>
      <c r="BD188" s="3888">
        <f t="shared" si="132"/>
        <v>0</v>
      </c>
      <c r="BE188" s="3853"/>
      <c r="BF188" s="3854">
        <f>ROUND(BA188*'CP FACTORS'!$B$9,6)</f>
        <v>1.4283650000000001</v>
      </c>
      <c r="BG188" s="3854">
        <f>ROUND(BB188*'CP FACTORS'!$B$14,6)</f>
        <v>0</v>
      </c>
      <c r="BH188" s="3854">
        <f>ROUND(BC188*'CP FACTORS'!$B$9,6)</f>
        <v>0.23869299999999999</v>
      </c>
      <c r="BI188" s="3855">
        <f>ROUND(BD188*'CP FACTORS'!$B$14,6)</f>
        <v>0</v>
      </c>
      <c r="BJ188" s="3853"/>
      <c r="BK188" s="3856">
        <f t="shared" si="97"/>
        <v>1507.64</v>
      </c>
      <c r="BL188" s="3857">
        <f t="shared" si="98"/>
        <v>251.94</v>
      </c>
      <c r="BM188" s="3858">
        <f t="shared" si="99"/>
        <v>1.4283650000000001</v>
      </c>
      <c r="BN188" s="3855">
        <f t="shared" si="100"/>
        <v>0.23869299999999999</v>
      </c>
    </row>
    <row r="189" spans="1:66" s="696" customFormat="1">
      <c r="A189" s="2958" t="str">
        <f t="shared" si="104"/>
        <v>352811</v>
      </c>
      <c r="B189" s="2233" t="str">
        <f>'HVAC Deemed Table'!C1574</f>
        <v>352811_2024_12_</v>
      </c>
      <c r="C189" s="3874" t="str">
        <f>'HVAC Deemed Table'!G1574</f>
        <v>Cooling Res</v>
      </c>
      <c r="D189" s="3874" t="str">
        <f>'HVAC Deemed Table'!G1575</f>
        <v>Heating Res</v>
      </c>
      <c r="E189" s="2724"/>
      <c r="F189" s="2724"/>
      <c r="G189" s="2724" t="str">
        <f>'HVAC Deemed Table'!E1574</f>
        <v>ASHP-SEER15-Replace_CAC_NonElectricHeat_ROF_MF_CompE</v>
      </c>
      <c r="H189" s="2554" t="str">
        <f>'HVAC Deemed Table'!D1574</f>
        <v>MFc</v>
      </c>
      <c r="I189" s="3840">
        <f t="shared" si="88"/>
        <v>150.93</v>
      </c>
      <c r="J189" s="3840">
        <f t="shared" si="89"/>
        <v>0</v>
      </c>
      <c r="K189" s="3251">
        <f>'HVAC Deemed Table'!F1574</f>
        <v>150.93</v>
      </c>
      <c r="L189" s="3251">
        <f>'HVAC Deemed Table'!F1575</f>
        <v>0</v>
      </c>
      <c r="M189" s="3251"/>
      <c r="N189" s="3251"/>
      <c r="O189" s="3841">
        <f t="shared" si="90"/>
        <v>0.14299400000000001</v>
      </c>
      <c r="P189" s="3841">
        <f t="shared" si="91"/>
        <v>0</v>
      </c>
      <c r="Q189" s="3842">
        <f>'HVAC Deemed Table'!I1574</f>
        <v>0.14299400000000001</v>
      </c>
      <c r="R189" s="3842">
        <f>'HVAC Deemed Table'!I1575</f>
        <v>0</v>
      </c>
      <c r="S189" s="3842"/>
      <c r="T189" s="3842"/>
      <c r="U189" s="3843">
        <f t="shared" si="92"/>
        <v>0</v>
      </c>
      <c r="V189" s="3843">
        <f t="shared" si="93"/>
        <v>0</v>
      </c>
      <c r="W189" s="3843">
        <f t="shared" si="94"/>
        <v>0.14299400000000001</v>
      </c>
      <c r="X189" s="2846">
        <f>'HVAC Deemed Table'!J1574</f>
        <v>18</v>
      </c>
      <c r="Y189" s="2846"/>
      <c r="Z189" s="2846">
        <f t="shared" si="105"/>
        <v>18</v>
      </c>
      <c r="AA189" s="2529">
        <f>'HVAC Deemed Table'!DG1574</f>
        <v>1.9312704314933833</v>
      </c>
      <c r="AB189" s="3878">
        <f>'HVAC Deemed Table'!K1574</f>
        <v>178.94688096868359</v>
      </c>
      <c r="AC189" s="3845">
        <f t="shared" si="106"/>
        <v>345.59482002278463</v>
      </c>
      <c r="AD189" s="3845">
        <f t="shared" si="85"/>
        <v>0</v>
      </c>
      <c r="AE189" s="3846">
        <f>'HVAC Deemed Table'!DI1574</f>
        <v>345.59482002278463</v>
      </c>
      <c r="AF189" s="3846">
        <f>'HVAC Deemed Table'!DI1575</f>
        <v>0</v>
      </c>
      <c r="AG189" s="3846"/>
      <c r="AH189" s="3846"/>
      <c r="AI189" s="3847" t="str">
        <f t="shared" si="102"/>
        <v>per measure</v>
      </c>
      <c r="AJ189" s="3220">
        <f>'HVAC Deemed Table'!L1574</f>
        <v>2.1833333333333331</v>
      </c>
      <c r="AK189" s="3848"/>
      <c r="AL189" s="3848"/>
      <c r="AX189" s="3849" t="str">
        <f t="shared" si="107"/>
        <v>ASHP-SEER15-Replace_CAC_NonElectricHeat_ROF_MF_CompE</v>
      </c>
      <c r="AY189" s="2724"/>
      <c r="AZ189" s="3850" t="str">
        <f t="shared" si="108"/>
        <v>352811</v>
      </c>
      <c r="BA189" s="3888">
        <f t="shared" si="132"/>
        <v>1096.47</v>
      </c>
      <c r="BB189" s="3888">
        <f t="shared" si="132"/>
        <v>0</v>
      </c>
      <c r="BC189" s="3888">
        <f t="shared" si="132"/>
        <v>183.23</v>
      </c>
      <c r="BD189" s="3888">
        <f t="shared" si="132"/>
        <v>0</v>
      </c>
      <c r="BE189" s="3853"/>
      <c r="BF189" s="3854">
        <f>ROUND(BA189*'CP FACTORS'!$B$9,6)</f>
        <v>1.038816</v>
      </c>
      <c r="BG189" s="3854">
        <f>ROUND(BB189*'CP FACTORS'!$B$14,6)</f>
        <v>0</v>
      </c>
      <c r="BH189" s="3854">
        <f>ROUND(BC189*'CP FACTORS'!$B$9,6)</f>
        <v>0.173595</v>
      </c>
      <c r="BI189" s="3855">
        <f>ROUND(BD189*'CP FACTORS'!$B$14,6)</f>
        <v>0</v>
      </c>
      <c r="BJ189" s="3853"/>
      <c r="BK189" s="3856">
        <f t="shared" si="97"/>
        <v>1096.47</v>
      </c>
      <c r="BL189" s="3857">
        <f t="shared" si="98"/>
        <v>183.23</v>
      </c>
      <c r="BM189" s="3858">
        <f t="shared" si="99"/>
        <v>1.038816</v>
      </c>
      <c r="BN189" s="3855">
        <f t="shared" si="100"/>
        <v>0.173595</v>
      </c>
    </row>
    <row r="190" spans="1:66" s="696" customFormat="1">
      <c r="A190" s="2958" t="str">
        <f t="shared" si="104"/>
        <v>352850</v>
      </c>
      <c r="B190" s="2233" t="str">
        <f>'HVAC Deemed Table'!C1576</f>
        <v>352850_2024_12_</v>
      </c>
      <c r="C190" s="3874" t="str">
        <f>'HVAC Deemed Table'!G1576</f>
        <v>Cooling Res</v>
      </c>
      <c r="D190" s="3874" t="str">
        <f>'HVAC Deemed Table'!G1577</f>
        <v>Heating Res</v>
      </c>
      <c r="E190" s="3874" t="str">
        <f>'HVAC Deemed Table'!G1578</f>
        <v>Cooling Res ER2</v>
      </c>
      <c r="F190" s="3874" t="str">
        <f>'HVAC Deemed Table'!G1579</f>
        <v>Heating Res ER2</v>
      </c>
      <c r="G190" s="2724" t="str">
        <f>'HVAC Deemed Table'!E1576</f>
        <v>ASHP-SEER16_ER1_MF</v>
      </c>
      <c r="H190" s="2554" t="str">
        <f>'HVAC Deemed Table'!D1576</f>
        <v>MF</v>
      </c>
      <c r="I190" s="3840">
        <f t="shared" si="88"/>
        <v>4333.8500000000004</v>
      </c>
      <c r="J190" s="3840">
        <f t="shared" si="89"/>
        <v>1540.8400000000001</v>
      </c>
      <c r="K190" s="3251">
        <f>'HVAC Deemed Table'!F1576</f>
        <v>2088.29</v>
      </c>
      <c r="L190" s="3251">
        <f>'HVAC Deemed Table'!F1577</f>
        <v>2245.56</v>
      </c>
      <c r="M190" s="3251">
        <f>'HVAC Deemed Table'!F1578</f>
        <v>245.36</v>
      </c>
      <c r="N190" s="3251">
        <f>'HVAC Deemed Table'!F1579</f>
        <v>1295.48</v>
      </c>
      <c r="O190" s="3841">
        <f t="shared" si="90"/>
        <v>1.9784839999999999</v>
      </c>
      <c r="P190" s="3841">
        <f t="shared" si="91"/>
        <v>0.232459</v>
      </c>
      <c r="Q190" s="3842">
        <f>'HVAC Deemed Table'!I1576</f>
        <v>1.9784839999999999</v>
      </c>
      <c r="R190" s="3842">
        <f>'HVAC Deemed Table'!I1577</f>
        <v>0</v>
      </c>
      <c r="S190" s="3842">
        <f>'HVAC Deemed Table'!I1578</f>
        <v>0.232459</v>
      </c>
      <c r="T190" s="3842">
        <f>'HVAC Deemed Table'!I1579</f>
        <v>0</v>
      </c>
      <c r="U190" s="3843">
        <f t="shared" si="92"/>
        <v>0</v>
      </c>
      <c r="V190" s="3843">
        <f t="shared" si="93"/>
        <v>0</v>
      </c>
      <c r="W190" s="3843">
        <f t="shared" si="94"/>
        <v>1.9784839999999999</v>
      </c>
      <c r="X190" s="2846">
        <f>'HVAC Deemed Table'!J1576</f>
        <v>6</v>
      </c>
      <c r="Y190" s="2846">
        <f>'HVAC Deemed Table'!J1578</f>
        <v>12</v>
      </c>
      <c r="Z190" s="2846">
        <f t="shared" si="105"/>
        <v>18</v>
      </c>
      <c r="AA190" s="2529">
        <f>'HVAC Deemed Table'!DG1576</f>
        <v>8.226349899453016</v>
      </c>
      <c r="AB190" s="3878">
        <f>'HVAC Deemed Table'!K1576</f>
        <v>417.80926243800604</v>
      </c>
      <c r="AC190" s="3845">
        <f t="shared" si="106"/>
        <v>2681.8312331774391</v>
      </c>
      <c r="AD190" s="3845">
        <f t="shared" si="85"/>
        <v>755.21395086999075</v>
      </c>
      <c r="AE190" s="3846">
        <f>'HVAC Deemed Table'!DI1576</f>
        <v>2079.619623160926</v>
      </c>
      <c r="AF190" s="3846">
        <f>'HVAC Deemed Table'!DI1577</f>
        <v>602.21161001651308</v>
      </c>
      <c r="AG190" s="3846">
        <f>'HVAC Deemed Table'!DI1578</f>
        <v>317.47640805642556</v>
      </c>
      <c r="AH190" s="3846">
        <f>'HVAC Deemed Table'!DI1579</f>
        <v>437.7375428135652</v>
      </c>
      <c r="AI190" s="3847" t="str">
        <f t="shared" si="102"/>
        <v>per measure</v>
      </c>
      <c r="AJ190" s="3220">
        <f>'HVAC Deemed Table'!L1576</f>
        <v>2.8388888888888886</v>
      </c>
      <c r="AK190" s="3848"/>
      <c r="AL190" s="3848"/>
      <c r="AX190" s="3849" t="str">
        <f t="shared" si="107"/>
        <v>ASHP-SEER16_ER1_MF</v>
      </c>
      <c r="AY190" s="2724"/>
      <c r="AZ190" s="3850" t="str">
        <f t="shared" si="108"/>
        <v>352850</v>
      </c>
      <c r="BA190" s="3851">
        <f>ROUND((K190*$BC$3)+(K192*$BC$4),2)</f>
        <v>1322.71</v>
      </c>
      <c r="BB190" s="3851">
        <f>ROUND((L190*$BC$3)+(L192*$BC$4),2)</f>
        <v>1703.72</v>
      </c>
      <c r="BC190" s="3851">
        <f>ROUND((M190*$BC$3)+(K192*$BC$4),2)</f>
        <v>216.95</v>
      </c>
      <c r="BD190" s="3851">
        <f>ROUND((N190*$BC$3)+(L192*$BC$4),2)</f>
        <v>1133.67</v>
      </c>
      <c r="BE190" s="3853"/>
      <c r="BF190" s="3854">
        <f>ROUND(BA190*'CP FACTORS'!$B$9,6)</f>
        <v>1.2531589999999999</v>
      </c>
      <c r="BG190" s="3854">
        <f>ROUND(BB190*'CP FACTORS'!$B$14,6)</f>
        <v>0</v>
      </c>
      <c r="BH190" s="3854">
        <f>ROUND(BC190*'CP FACTORS'!$B$9,6)</f>
        <v>0.205542</v>
      </c>
      <c r="BI190" s="3855">
        <f>ROUND(BD190*'CP FACTORS'!$B$14,6)</f>
        <v>0</v>
      </c>
      <c r="BJ190" s="3853"/>
      <c r="BK190" s="3856">
        <f t="shared" si="97"/>
        <v>3026.4300000000003</v>
      </c>
      <c r="BL190" s="3857">
        <f t="shared" si="98"/>
        <v>1350.6200000000001</v>
      </c>
      <c r="BM190" s="3858">
        <f t="shared" si="99"/>
        <v>1.2531589999999999</v>
      </c>
      <c r="BN190" s="3855">
        <f t="shared" si="100"/>
        <v>0.205542</v>
      </c>
    </row>
    <row r="191" spans="1:66" s="696" customFormat="1">
      <c r="A191" s="2958" t="str">
        <f t="shared" si="104"/>
        <v>352851</v>
      </c>
      <c r="B191" s="2233" t="str">
        <f>'HVAC Deemed Table'!C1580</f>
        <v>352851_2024_12_</v>
      </c>
      <c r="C191" s="3874" t="str">
        <f>'HVAC Deemed Table'!G1580</f>
        <v>Cooling Res</v>
      </c>
      <c r="D191" s="3874" t="str">
        <f>'HVAC Deemed Table'!G1581</f>
        <v>Heating Res</v>
      </c>
      <c r="E191" s="3874" t="str">
        <f>'HVAC Deemed Table'!G1582</f>
        <v>Cooling Res ER2</v>
      </c>
      <c r="F191" s="3874" t="str">
        <f>'HVAC Deemed Table'!G1583</f>
        <v>Heating Res ER2</v>
      </c>
      <c r="G191" s="2724" t="str">
        <f>'HVAC Deemed Table'!E1580</f>
        <v>ASHP-SEER16_ER1_MF_CompE</v>
      </c>
      <c r="H191" s="2554" t="str">
        <f>'HVAC Deemed Table'!D1580</f>
        <v>MFc</v>
      </c>
      <c r="I191" s="3840">
        <f t="shared" si="88"/>
        <v>2284.2799999999997</v>
      </c>
      <c r="J191" s="3840">
        <f t="shared" si="89"/>
        <v>620.07999999999993</v>
      </c>
      <c r="K191" s="3251">
        <f>'HVAC Deemed Table'!F1580</f>
        <v>1518.75</v>
      </c>
      <c r="L191" s="3251">
        <f>'HVAC Deemed Table'!F1581</f>
        <v>765.53</v>
      </c>
      <c r="M191" s="3251">
        <f>'HVAC Deemed Table'!F1582</f>
        <v>178.44</v>
      </c>
      <c r="N191" s="3251">
        <f>'HVAC Deemed Table'!F1583</f>
        <v>441.64</v>
      </c>
      <c r="O191" s="3841">
        <f t="shared" si="90"/>
        <v>1.4388909999999999</v>
      </c>
      <c r="P191" s="3841">
        <f t="shared" si="91"/>
        <v>0.16905700000000001</v>
      </c>
      <c r="Q191" s="3842">
        <f>'HVAC Deemed Table'!I1580</f>
        <v>1.4388909999999999</v>
      </c>
      <c r="R191" s="3842">
        <f>'HVAC Deemed Table'!I1581</f>
        <v>0</v>
      </c>
      <c r="S191" s="3842">
        <f>'HVAC Deemed Table'!I1582</f>
        <v>0.16905700000000001</v>
      </c>
      <c r="T191" s="3842">
        <f>'HVAC Deemed Table'!I1583</f>
        <v>0</v>
      </c>
      <c r="U191" s="3843">
        <f t="shared" si="92"/>
        <v>0</v>
      </c>
      <c r="V191" s="3843">
        <f t="shared" si="93"/>
        <v>0</v>
      </c>
      <c r="W191" s="3843">
        <f t="shared" si="94"/>
        <v>1.4388909999999999</v>
      </c>
      <c r="X191" s="2846">
        <f>'HVAC Deemed Table'!J1580</f>
        <v>6</v>
      </c>
      <c r="Y191" s="2846">
        <f>'HVAC Deemed Table'!J1582</f>
        <v>12</v>
      </c>
      <c r="Z191" s="2846">
        <f t="shared" si="105"/>
        <v>18</v>
      </c>
      <c r="AA191" s="2529">
        <f>'HVAC Deemed Table'!DG1580</f>
        <v>5.021092254015243</v>
      </c>
      <c r="AB191" s="3878">
        <f>'HVAC Deemed Table'!K1580</f>
        <v>417.80926243800604</v>
      </c>
      <c r="AC191" s="3845">
        <f t="shared" si="106"/>
        <v>1717.7432227187551</v>
      </c>
      <c r="AD191" s="3845">
        <f t="shared" si="85"/>
        <v>380.11562856453895</v>
      </c>
      <c r="AE191" s="3846">
        <f>'HVAC Deemed Table'!DI1580</f>
        <v>1512.4442978109632</v>
      </c>
      <c r="AF191" s="3846">
        <f>'HVAC Deemed Table'!DI1581</f>
        <v>205.29892490779193</v>
      </c>
      <c r="AG191" s="3846">
        <f>'HVAC Deemed Table'!DI1582</f>
        <v>230.88722796539196</v>
      </c>
      <c r="AH191" s="3846">
        <f>'HVAC Deemed Table'!DI1583</f>
        <v>149.22840059914699</v>
      </c>
      <c r="AI191" s="3847" t="str">
        <f t="shared" si="102"/>
        <v>per measure</v>
      </c>
      <c r="AJ191" s="3220">
        <f>'HVAC Deemed Table'!L1580</f>
        <v>2.8388888888888886</v>
      </c>
      <c r="AK191" s="3848"/>
      <c r="AL191" s="3848"/>
      <c r="AX191" s="3849" t="str">
        <f t="shared" si="107"/>
        <v>ASHP-SEER16_ER1_MF_CompE</v>
      </c>
      <c r="AY191" s="2724"/>
      <c r="AZ191" s="3850" t="str">
        <f t="shared" si="108"/>
        <v>352851</v>
      </c>
      <c r="BA191" s="3851">
        <f>ROUND((K191*$BC$3)+(K193*$BC$4),2)</f>
        <v>961.97</v>
      </c>
      <c r="BB191" s="3851">
        <f>ROUND((L191*$BC$3)+(L193*$BC$4),2)</f>
        <v>580.80999999999995</v>
      </c>
      <c r="BC191" s="3851">
        <f>ROUND((M191*$BC$3)+(K193*$BC$4),2)</f>
        <v>157.78</v>
      </c>
      <c r="BD191" s="3851">
        <f>ROUND((N191*$BC$3)+(L193*$BC$4),2)</f>
        <v>386.48</v>
      </c>
      <c r="BE191" s="3853"/>
      <c r="BF191" s="3854">
        <f>ROUND(BA191*'CP FACTORS'!$B$9,6)</f>
        <v>0.91138799999999998</v>
      </c>
      <c r="BG191" s="3854">
        <f>ROUND(BB191*'CP FACTORS'!$B$14,6)</f>
        <v>0</v>
      </c>
      <c r="BH191" s="3854">
        <f>ROUND(BC191*'CP FACTORS'!$B$9,6)</f>
        <v>0.14948400000000001</v>
      </c>
      <c r="BI191" s="3855">
        <f>ROUND(BD191*'CP FACTORS'!$B$14,6)</f>
        <v>0</v>
      </c>
      <c r="BJ191" s="3853"/>
      <c r="BK191" s="3856">
        <f t="shared" si="97"/>
        <v>1542.78</v>
      </c>
      <c r="BL191" s="3857">
        <f t="shared" si="98"/>
        <v>544.26</v>
      </c>
      <c r="BM191" s="3858">
        <f t="shared" si="99"/>
        <v>0.91138799999999998</v>
      </c>
      <c r="BN191" s="3855">
        <f t="shared" si="100"/>
        <v>0.14948400000000001</v>
      </c>
    </row>
    <row r="192" spans="1:66" s="696" customFormat="1">
      <c r="A192" s="2958" t="str">
        <f t="shared" si="104"/>
        <v>352900</v>
      </c>
      <c r="B192" s="2233" t="str">
        <f>'HVAC Deemed Table'!C1584</f>
        <v>352900_2024_12_</v>
      </c>
      <c r="C192" s="3874" t="str">
        <f>'HVAC Deemed Table'!G1584</f>
        <v>Cooling Res</v>
      </c>
      <c r="D192" s="3874" t="str">
        <f>'HVAC Deemed Table'!G1585</f>
        <v>Heating Res</v>
      </c>
      <c r="E192" s="2724"/>
      <c r="F192" s="2724"/>
      <c r="G192" s="2724" t="str">
        <f>'HVAC Deemed Table'!E1584</f>
        <v>ASHP-SEER16_ROF_MF</v>
      </c>
      <c r="H192" s="2554" t="str">
        <f>'HVAC Deemed Table'!D1584</f>
        <v>MF</v>
      </c>
      <c r="I192" s="3840">
        <f t="shared" si="88"/>
        <v>1065.28</v>
      </c>
      <c r="J192" s="3840">
        <f t="shared" si="89"/>
        <v>0</v>
      </c>
      <c r="K192" s="3251">
        <f>'HVAC Deemed Table'!F1584</f>
        <v>174.33</v>
      </c>
      <c r="L192" s="3251">
        <f>'HVAC Deemed Table'!F1585</f>
        <v>890.95</v>
      </c>
      <c r="M192" s="3251"/>
      <c r="N192" s="3251"/>
      <c r="O192" s="3841">
        <f t="shared" si="90"/>
        <v>0.165163</v>
      </c>
      <c r="P192" s="3841">
        <f t="shared" si="91"/>
        <v>0</v>
      </c>
      <c r="Q192" s="3842">
        <f>'HVAC Deemed Table'!I1584</f>
        <v>0.165163</v>
      </c>
      <c r="R192" s="3842">
        <f>'HVAC Deemed Table'!I1585</f>
        <v>0</v>
      </c>
      <c r="S192" s="3842"/>
      <c r="T192" s="3842"/>
      <c r="U192" s="3843">
        <f t="shared" si="92"/>
        <v>0</v>
      </c>
      <c r="V192" s="3843">
        <f t="shared" si="93"/>
        <v>0</v>
      </c>
      <c r="W192" s="3843">
        <f t="shared" si="94"/>
        <v>0.165163</v>
      </c>
      <c r="X192" s="2846">
        <f>'HVAC Deemed Table'!J1584</f>
        <v>18</v>
      </c>
      <c r="Y192" s="2846"/>
      <c r="Z192" s="2846">
        <f t="shared" si="105"/>
        <v>18</v>
      </c>
      <c r="AA192" s="2529">
        <f>'HVAC Deemed Table'!DG1584</f>
        <v>2.2307785922197119</v>
      </c>
      <c r="AB192" s="3878">
        <f>'HVAC Deemed Table'!K1584</f>
        <v>421</v>
      </c>
      <c r="AC192" s="3845">
        <f t="shared" si="106"/>
        <v>939.15778732449871</v>
      </c>
      <c r="AD192" s="3845">
        <f t="shared" si="85"/>
        <v>0</v>
      </c>
      <c r="AE192" s="3846">
        <f>'HVAC Deemed Table'!DI1584</f>
        <v>399.17541227437914</v>
      </c>
      <c r="AF192" s="3846">
        <f>'HVAC Deemed Table'!DI1585</f>
        <v>539.98237505011957</v>
      </c>
      <c r="AG192" s="3846"/>
      <c r="AH192" s="3846"/>
      <c r="AI192" s="3847" t="str">
        <f t="shared" si="102"/>
        <v>per measure</v>
      </c>
      <c r="AJ192" s="3220">
        <f>'HVAC Deemed Table'!L1584</f>
        <v>2.2333333333333334</v>
      </c>
      <c r="AK192" s="3848"/>
      <c r="AL192" s="3848"/>
      <c r="AX192" s="3849" t="str">
        <f t="shared" si="107"/>
        <v>ASHP-SEER16_ROF_MF</v>
      </c>
      <c r="AY192" s="2724"/>
      <c r="AZ192" s="3850" t="str">
        <f t="shared" si="108"/>
        <v>352900</v>
      </c>
      <c r="BA192" s="3888">
        <f>BA190</f>
        <v>1322.71</v>
      </c>
      <c r="BB192" s="3888">
        <f t="shared" ref="BB192:BD193" si="133">BB190</f>
        <v>1703.72</v>
      </c>
      <c r="BC192" s="3888">
        <f t="shared" si="133"/>
        <v>216.95</v>
      </c>
      <c r="BD192" s="3888">
        <f t="shared" si="133"/>
        <v>1133.67</v>
      </c>
      <c r="BE192" s="3853"/>
      <c r="BF192" s="3854">
        <f>ROUND(BA192*'CP FACTORS'!$B$9,6)</f>
        <v>1.2531589999999999</v>
      </c>
      <c r="BG192" s="3854">
        <f>ROUND(BB192*'CP FACTORS'!$B$14,6)</f>
        <v>0</v>
      </c>
      <c r="BH192" s="3854">
        <f>ROUND(BC192*'CP FACTORS'!$B$9,6)</f>
        <v>0.205542</v>
      </c>
      <c r="BI192" s="3855">
        <f>ROUND(BD192*'CP FACTORS'!$B$14,6)</f>
        <v>0</v>
      </c>
      <c r="BJ192" s="3853"/>
      <c r="BK192" s="3856">
        <f t="shared" si="97"/>
        <v>3026.4300000000003</v>
      </c>
      <c r="BL192" s="3857">
        <f t="shared" si="98"/>
        <v>1350.6200000000001</v>
      </c>
      <c r="BM192" s="3858">
        <f t="shared" si="99"/>
        <v>1.2531589999999999</v>
      </c>
      <c r="BN192" s="3855">
        <f t="shared" si="100"/>
        <v>0.205542</v>
      </c>
    </row>
    <row r="193" spans="1:66" s="696" customFormat="1">
      <c r="A193" s="2958" t="str">
        <f t="shared" si="104"/>
        <v>352901</v>
      </c>
      <c r="B193" s="2233" t="str">
        <f>'HVAC Deemed Table'!C1586</f>
        <v>352901_2024_12_</v>
      </c>
      <c r="C193" s="3874" t="str">
        <f>'HVAC Deemed Table'!G1586</f>
        <v>Cooling Res</v>
      </c>
      <c r="D193" s="3874" t="str">
        <f>'HVAC Deemed Table'!G1587</f>
        <v>Heating Res</v>
      </c>
      <c r="E193" s="2724"/>
      <c r="F193" s="2724"/>
      <c r="G193" s="2724" t="str">
        <f>'HVAC Deemed Table'!E1586</f>
        <v>ASHP-SEER16_ROF_MF_CompE</v>
      </c>
      <c r="H193" s="2554" t="str">
        <f>'HVAC Deemed Table'!D1586</f>
        <v>MFc</v>
      </c>
      <c r="I193" s="3840">
        <f t="shared" si="88"/>
        <v>430.52000000000004</v>
      </c>
      <c r="J193" s="3840">
        <f t="shared" si="89"/>
        <v>0</v>
      </c>
      <c r="K193" s="3251">
        <f>'HVAC Deemed Table'!F1586</f>
        <v>126.79</v>
      </c>
      <c r="L193" s="3251">
        <f>'HVAC Deemed Table'!F1587</f>
        <v>303.73</v>
      </c>
      <c r="M193" s="3251"/>
      <c r="N193" s="3251"/>
      <c r="O193" s="3841">
        <f t="shared" si="90"/>
        <v>0.12012299999999999</v>
      </c>
      <c r="P193" s="3841">
        <f t="shared" si="91"/>
        <v>0</v>
      </c>
      <c r="Q193" s="3842">
        <f>'HVAC Deemed Table'!I1586</f>
        <v>0.12012299999999999</v>
      </c>
      <c r="R193" s="3842">
        <f>'HVAC Deemed Table'!I1587</f>
        <v>0</v>
      </c>
      <c r="S193" s="3842"/>
      <c r="T193" s="3842"/>
      <c r="U193" s="3843">
        <f t="shared" si="92"/>
        <v>0</v>
      </c>
      <c r="V193" s="3843">
        <f t="shared" si="93"/>
        <v>0</v>
      </c>
      <c r="W193" s="3843">
        <f t="shared" si="94"/>
        <v>0.12012299999999999</v>
      </c>
      <c r="X193" s="2846">
        <f>'HVAC Deemed Table'!J1586</f>
        <v>18</v>
      </c>
      <c r="Y193" s="2846"/>
      <c r="Z193" s="2846">
        <f t="shared" si="105"/>
        <v>18</v>
      </c>
      <c r="AA193" s="2529">
        <f>'HVAC Deemed Table'!DG1586</f>
        <v>1.1268477641213122</v>
      </c>
      <c r="AB193" s="3878">
        <f>'HVAC Deemed Table'!K1586</f>
        <v>421</v>
      </c>
      <c r="AC193" s="3845">
        <f t="shared" si="106"/>
        <v>474.40290869507243</v>
      </c>
      <c r="AD193" s="3845">
        <f t="shared" si="85"/>
        <v>0</v>
      </c>
      <c r="AE193" s="3846">
        <f>'HVAC Deemed Table'!DI1586</f>
        <v>290.31979878545593</v>
      </c>
      <c r="AF193" s="3846">
        <f>'HVAC Deemed Table'!DI1587</f>
        <v>184.0831099096165</v>
      </c>
      <c r="AG193" s="3846"/>
      <c r="AH193" s="3846"/>
      <c r="AI193" s="3847" t="str">
        <f t="shared" si="102"/>
        <v>per measure</v>
      </c>
      <c r="AJ193" s="3220">
        <f>'HVAC Deemed Table'!L1586</f>
        <v>2.2333333333333334</v>
      </c>
      <c r="AK193" s="3848"/>
      <c r="AL193" s="3848"/>
      <c r="AX193" s="3849" t="str">
        <f t="shared" si="107"/>
        <v>ASHP-SEER16_ROF_MF_CompE</v>
      </c>
      <c r="AY193" s="2724"/>
      <c r="AZ193" s="3850" t="str">
        <f t="shared" si="108"/>
        <v>352901</v>
      </c>
      <c r="BA193" s="3888">
        <f>BA191</f>
        <v>961.97</v>
      </c>
      <c r="BB193" s="3888">
        <f t="shared" si="133"/>
        <v>580.80999999999995</v>
      </c>
      <c r="BC193" s="3888">
        <f t="shared" si="133"/>
        <v>157.78</v>
      </c>
      <c r="BD193" s="3888">
        <f t="shared" si="133"/>
        <v>386.48</v>
      </c>
      <c r="BE193" s="3853"/>
      <c r="BF193" s="3854">
        <f>ROUND(BA193*'CP FACTORS'!$B$9,6)</f>
        <v>0.91138799999999998</v>
      </c>
      <c r="BG193" s="3854">
        <f>ROUND(BB193*'CP FACTORS'!$B$14,6)</f>
        <v>0</v>
      </c>
      <c r="BH193" s="3854">
        <f>ROUND(BC193*'CP FACTORS'!$B$9,6)</f>
        <v>0.14948400000000001</v>
      </c>
      <c r="BI193" s="3855">
        <f>ROUND(BD193*'CP FACTORS'!$B$14,6)</f>
        <v>0</v>
      </c>
      <c r="BJ193" s="3853"/>
      <c r="BK193" s="3856">
        <f t="shared" si="97"/>
        <v>1542.78</v>
      </c>
      <c r="BL193" s="3857">
        <f t="shared" si="98"/>
        <v>544.26</v>
      </c>
      <c r="BM193" s="3858">
        <f t="shared" si="99"/>
        <v>0.91138799999999998</v>
      </c>
      <c r="BN193" s="3855">
        <f t="shared" si="100"/>
        <v>0.14948400000000001</v>
      </c>
    </row>
    <row r="194" spans="1:66" s="696" customFormat="1">
      <c r="A194" s="2958" t="str">
        <f t="shared" si="104"/>
        <v>352950</v>
      </c>
      <c r="B194" s="2233" t="str">
        <f>'HVAC Deemed Table'!C1588</f>
        <v>352950_2024_12_</v>
      </c>
      <c r="C194" s="3874" t="str">
        <f>'HVAC Deemed Table'!G1588</f>
        <v>Cooling Res</v>
      </c>
      <c r="D194" s="3874" t="str">
        <f>'HVAC Deemed Table'!G1589</f>
        <v>Heating Res</v>
      </c>
      <c r="E194" s="2724"/>
      <c r="F194" s="2724"/>
      <c r="G194" s="2724" t="str">
        <f>'HVAC Deemed Table'!E1588</f>
        <v>ASHP-SEER16-Replace_CAC_ElectricHeat_ROF_MF</v>
      </c>
      <c r="H194" s="2554" t="str">
        <f>'HVAC Deemed Table'!D1588</f>
        <v>MF</v>
      </c>
      <c r="I194" s="3840">
        <f t="shared" si="88"/>
        <v>7587.19</v>
      </c>
      <c r="J194" s="3840">
        <f t="shared" si="89"/>
        <v>0</v>
      </c>
      <c r="K194" s="3251">
        <f>'HVAC Deemed Table'!F1588</f>
        <v>284.52999999999997</v>
      </c>
      <c r="L194" s="3251">
        <f>'HVAC Deemed Table'!F1589</f>
        <v>7302.66</v>
      </c>
      <c r="M194" s="3251"/>
      <c r="N194" s="3251"/>
      <c r="O194" s="3841">
        <f t="shared" si="90"/>
        <v>0.269569</v>
      </c>
      <c r="P194" s="3841">
        <f t="shared" si="91"/>
        <v>0</v>
      </c>
      <c r="Q194" s="3842">
        <f>'HVAC Deemed Table'!I1588</f>
        <v>0.269569</v>
      </c>
      <c r="R194" s="3842">
        <f>'HVAC Deemed Table'!I1589</f>
        <v>0</v>
      </c>
      <c r="S194" s="3842"/>
      <c r="T194" s="3842"/>
      <c r="U194" s="3843">
        <f t="shared" si="92"/>
        <v>0</v>
      </c>
      <c r="V194" s="3843">
        <f t="shared" si="93"/>
        <v>0</v>
      </c>
      <c r="W194" s="3843">
        <f t="shared" si="94"/>
        <v>0.269569</v>
      </c>
      <c r="X194" s="2846">
        <f>'HVAC Deemed Table'!J1588</f>
        <v>18</v>
      </c>
      <c r="Y194" s="2846"/>
      <c r="Z194" s="2846">
        <f t="shared" si="105"/>
        <v>18</v>
      </c>
      <c r="AA194" s="2529">
        <f>'HVAC Deemed Table'!DG1588</f>
        <v>1.5494252078698165</v>
      </c>
      <c r="AB194" s="3878">
        <f>'HVAC Deemed Table'!K1588</f>
        <v>3277</v>
      </c>
      <c r="AC194" s="3845">
        <f t="shared" si="106"/>
        <v>5077.4664061893891</v>
      </c>
      <c r="AD194" s="3845">
        <f t="shared" si="85"/>
        <v>0</v>
      </c>
      <c r="AE194" s="3846">
        <f>'HVAC Deemed Table'!DI1588</f>
        <v>651.50794501479425</v>
      </c>
      <c r="AF194" s="3846">
        <f>'HVAC Deemed Table'!DI1589</f>
        <v>4425.958461174595</v>
      </c>
      <c r="AG194" s="3846"/>
      <c r="AH194" s="3846"/>
      <c r="AI194" s="3847" t="str">
        <f t="shared" si="102"/>
        <v>per measure</v>
      </c>
      <c r="AJ194" s="3220">
        <f>'HVAC Deemed Table'!L1588</f>
        <v>2.2333333333333334</v>
      </c>
      <c r="AK194" s="3848"/>
      <c r="AL194" s="3848"/>
      <c r="AX194" s="3849" t="str">
        <f t="shared" si="107"/>
        <v>ASHP-SEER16-Replace_CAC_ElectricHeat_ROF_MF</v>
      </c>
      <c r="AY194" s="2724"/>
      <c r="AZ194" s="3850" t="str">
        <f t="shared" si="108"/>
        <v>352950</v>
      </c>
      <c r="BA194" s="3886">
        <f t="shared" ref="BA194:BB197" si="134">ROUND((K198*$BC$3)+(K194*$BC$4),2)</f>
        <v>1366.79</v>
      </c>
      <c r="BB194" s="3886">
        <f t="shared" si="134"/>
        <v>8588.48</v>
      </c>
      <c r="BC194" s="3886">
        <f>ROUND((M198*$BC$3)+(K194*$BC$4),2)</f>
        <v>354.08</v>
      </c>
      <c r="BD194" s="3886">
        <f>ROUND((N198*$BC$3)+(L194*$BC$4),2)</f>
        <v>8588.48</v>
      </c>
      <c r="BE194" s="3853"/>
      <c r="BF194" s="3854">
        <f>ROUND(BA194*'CP FACTORS'!$B$9,6)</f>
        <v>1.2949219999999999</v>
      </c>
      <c r="BG194" s="3854">
        <f>ROUND(BB194*'CP FACTORS'!$B$14,6)</f>
        <v>0</v>
      </c>
      <c r="BH194" s="3854">
        <f>ROUND(BC194*'CP FACTORS'!$B$9,6)</f>
        <v>0.33546199999999998</v>
      </c>
      <c r="BI194" s="3855">
        <f>ROUND(BD194*'CP FACTORS'!$B$14,6)</f>
        <v>0</v>
      </c>
      <c r="BJ194" s="3853"/>
      <c r="BK194" s="3856">
        <f t="shared" si="97"/>
        <v>9955.27</v>
      </c>
      <c r="BL194" s="3857">
        <f t="shared" si="98"/>
        <v>8942.56</v>
      </c>
      <c r="BM194" s="3858">
        <f t="shared" si="99"/>
        <v>1.2949219999999999</v>
      </c>
      <c r="BN194" s="3855">
        <f t="shared" si="100"/>
        <v>0.33546199999999998</v>
      </c>
    </row>
    <row r="195" spans="1:66" s="696" customFormat="1">
      <c r="A195" s="2958" t="str">
        <f t="shared" si="104"/>
        <v>352951</v>
      </c>
      <c r="B195" s="2233" t="str">
        <f>'HVAC Deemed Table'!C1590</f>
        <v>352951_2024_12_</v>
      </c>
      <c r="C195" s="3874" t="str">
        <f>'HVAC Deemed Table'!G1590</f>
        <v>Cooling Res</v>
      </c>
      <c r="D195" s="3874" t="str">
        <f>'HVAC Deemed Table'!G1591</f>
        <v>Heating Res</v>
      </c>
      <c r="E195" s="2724"/>
      <c r="F195" s="2724"/>
      <c r="G195" s="2724" t="str">
        <f>'HVAC Deemed Table'!E1590</f>
        <v>ASHP-SEER16-Replace_CAC_ElectricHeat_ROF_MF_CompE</v>
      </c>
      <c r="H195" s="2554" t="str">
        <f>'HVAC Deemed Table'!D1590</f>
        <v>MFc</v>
      </c>
      <c r="I195" s="3840">
        <f t="shared" si="88"/>
        <v>2696.47</v>
      </c>
      <c r="J195" s="3840">
        <f t="shared" si="89"/>
        <v>0</v>
      </c>
      <c r="K195" s="3251">
        <f>'HVAC Deemed Table'!F1590</f>
        <v>206.93</v>
      </c>
      <c r="L195" s="3251">
        <f>'HVAC Deemed Table'!F1591</f>
        <v>2489.54</v>
      </c>
      <c r="M195" s="3251"/>
      <c r="N195" s="3251"/>
      <c r="O195" s="3841">
        <f t="shared" si="90"/>
        <v>0.196049</v>
      </c>
      <c r="P195" s="3841">
        <f t="shared" si="91"/>
        <v>0</v>
      </c>
      <c r="Q195" s="3842">
        <f>'HVAC Deemed Table'!I1590</f>
        <v>0.196049</v>
      </c>
      <c r="R195" s="3842">
        <f>'HVAC Deemed Table'!I1591</f>
        <v>0</v>
      </c>
      <c r="S195" s="3842"/>
      <c r="T195" s="3842"/>
      <c r="U195" s="3843">
        <f t="shared" si="92"/>
        <v>0</v>
      </c>
      <c r="V195" s="3843">
        <f t="shared" si="93"/>
        <v>0</v>
      </c>
      <c r="W195" s="3843">
        <f t="shared" si="94"/>
        <v>0.196049</v>
      </c>
      <c r="X195" s="2846">
        <f>'HVAC Deemed Table'!J1590</f>
        <v>18</v>
      </c>
      <c r="Y195" s="2846"/>
      <c r="Z195" s="2846">
        <f t="shared" si="105"/>
        <v>18</v>
      </c>
      <c r="AA195" s="2529">
        <f>'HVAC Deemed Table'!DG1590</f>
        <v>0.60502576300981592</v>
      </c>
      <c r="AB195" s="3878">
        <f>'HVAC Deemed Table'!K1590</f>
        <v>3277</v>
      </c>
      <c r="AC195" s="3845">
        <f t="shared" si="106"/>
        <v>1982.6694253831668</v>
      </c>
      <c r="AD195" s="3845">
        <f t="shared" si="85"/>
        <v>0</v>
      </c>
      <c r="AE195" s="3846">
        <f>'HVAC Deemed Table'!DI1590</f>
        <v>473.82187840266891</v>
      </c>
      <c r="AF195" s="3846">
        <f>'HVAC Deemed Table'!DI1591</f>
        <v>1508.8475469804978</v>
      </c>
      <c r="AG195" s="3846"/>
      <c r="AH195" s="3846"/>
      <c r="AI195" s="3847" t="str">
        <f t="shared" si="102"/>
        <v>per measure</v>
      </c>
      <c r="AJ195" s="3220">
        <f>'HVAC Deemed Table'!L1590</f>
        <v>2.2333333333333334</v>
      </c>
      <c r="AK195" s="3848"/>
      <c r="AL195" s="3848"/>
      <c r="AX195" s="3849" t="str">
        <f t="shared" si="107"/>
        <v>ASHP-SEER16-Replace_CAC_ElectricHeat_ROF_MF_CompE</v>
      </c>
      <c r="AY195" s="2724"/>
      <c r="AZ195" s="3850" t="str">
        <f t="shared" si="108"/>
        <v>352951</v>
      </c>
      <c r="BA195" s="3886">
        <f t="shared" si="134"/>
        <v>994.02</v>
      </c>
      <c r="BB195" s="3886">
        <f t="shared" si="134"/>
        <v>2927.89</v>
      </c>
      <c r="BC195" s="3886">
        <f t="shared" ref="BC195:BD197" si="135">ROUND((M199*$BC$3)+(K195*$BC$4),2)</f>
        <v>257.52</v>
      </c>
      <c r="BD195" s="3886">
        <f t="shared" si="135"/>
        <v>2927.89</v>
      </c>
      <c r="BE195" s="3853"/>
      <c r="BF195" s="3854">
        <f>ROUND(BA195*'CP FACTORS'!$B$9,6)</f>
        <v>0.94175299999999995</v>
      </c>
      <c r="BG195" s="3854">
        <f>ROUND(BB195*'CP FACTORS'!$B$14,6)</f>
        <v>0</v>
      </c>
      <c r="BH195" s="3854">
        <f>ROUND(BC195*'CP FACTORS'!$B$9,6)</f>
        <v>0.243979</v>
      </c>
      <c r="BI195" s="3855">
        <f>ROUND(BD195*'CP FACTORS'!$B$14,6)</f>
        <v>0</v>
      </c>
      <c r="BJ195" s="3853"/>
      <c r="BK195" s="3856">
        <f t="shared" si="97"/>
        <v>3921.91</v>
      </c>
      <c r="BL195" s="3857">
        <f t="shared" si="98"/>
        <v>3185.41</v>
      </c>
      <c r="BM195" s="3858">
        <f t="shared" si="99"/>
        <v>0.94175299999999995</v>
      </c>
      <c r="BN195" s="3855">
        <f t="shared" si="100"/>
        <v>0.243979</v>
      </c>
    </row>
    <row r="196" spans="1:66" s="696" customFormat="1">
      <c r="A196" s="2958" t="str">
        <f t="shared" si="104"/>
        <v>352960</v>
      </c>
      <c r="B196" s="2233" t="str">
        <f>'HVAC Deemed Table'!C1592</f>
        <v>352960_2024_12_</v>
      </c>
      <c r="C196" s="3874" t="str">
        <f>'HVAC Deemed Table'!G1592</f>
        <v>Cooling Res</v>
      </c>
      <c r="D196" s="3874" t="str">
        <f>'HVAC Deemed Table'!G1593</f>
        <v>Heating Res</v>
      </c>
      <c r="E196" s="2724"/>
      <c r="F196" s="2724"/>
      <c r="G196" s="2724" t="str">
        <f>'HVAC Deemed Table'!E1592</f>
        <v>ASHP-SEER16-Replace_CAC_NonElectricHeat_ROF_MF</v>
      </c>
      <c r="H196" s="2554" t="str">
        <f>'HVAC Deemed Table'!D1592</f>
        <v>MF</v>
      </c>
      <c r="I196" s="3840">
        <f t="shared" si="88"/>
        <v>284.52999999999997</v>
      </c>
      <c r="J196" s="3840">
        <f t="shared" si="89"/>
        <v>0</v>
      </c>
      <c r="K196" s="3251">
        <f>'HVAC Deemed Table'!F1592</f>
        <v>284.52999999999997</v>
      </c>
      <c r="L196" s="3251">
        <f>'HVAC Deemed Table'!F1593</f>
        <v>0</v>
      </c>
      <c r="M196" s="3251"/>
      <c r="N196" s="3251"/>
      <c r="O196" s="3841">
        <f t="shared" si="90"/>
        <v>0.269569</v>
      </c>
      <c r="P196" s="3841">
        <f t="shared" si="91"/>
        <v>0</v>
      </c>
      <c r="Q196" s="3842">
        <f>'HVAC Deemed Table'!I1592</f>
        <v>0.269569</v>
      </c>
      <c r="R196" s="3842">
        <f>'HVAC Deemed Table'!I1593</f>
        <v>0</v>
      </c>
      <c r="S196" s="3842"/>
      <c r="T196" s="3842"/>
      <c r="U196" s="3843">
        <f t="shared" si="92"/>
        <v>0</v>
      </c>
      <c r="V196" s="3843">
        <f t="shared" si="93"/>
        <v>0</v>
      </c>
      <c r="W196" s="3843">
        <f t="shared" si="94"/>
        <v>0.269569</v>
      </c>
      <c r="X196" s="2846">
        <f>'HVAC Deemed Table'!J1592</f>
        <v>18</v>
      </c>
      <c r="Y196" s="2846"/>
      <c r="Z196" s="2846">
        <f t="shared" si="105"/>
        <v>18</v>
      </c>
      <c r="AA196" s="2529">
        <f>'HVAC Deemed Table'!DG1592</f>
        <v>5.3014683239748583</v>
      </c>
      <c r="AB196" s="3878">
        <f>'HVAC Deemed Table'!K1592</f>
        <v>122.89198108917795</v>
      </c>
      <c r="AC196" s="3845">
        <f t="shared" si="106"/>
        <v>651.50794501479425</v>
      </c>
      <c r="AD196" s="3845">
        <f t="shared" si="85"/>
        <v>0</v>
      </c>
      <c r="AE196" s="3846">
        <f>'HVAC Deemed Table'!DI1592</f>
        <v>651.50794501479425</v>
      </c>
      <c r="AF196" s="3846">
        <f>'HVAC Deemed Table'!DI1593</f>
        <v>0</v>
      </c>
      <c r="AG196" s="3846"/>
      <c r="AH196" s="3846"/>
      <c r="AI196" s="3847" t="str">
        <f t="shared" si="102"/>
        <v>per measure</v>
      </c>
      <c r="AJ196" s="3220">
        <f>'HVAC Deemed Table'!L1592</f>
        <v>2.2333333333333334</v>
      </c>
      <c r="AK196" s="3848"/>
      <c r="AL196" s="3848"/>
      <c r="AX196" s="3849" t="str">
        <f t="shared" si="107"/>
        <v>ASHP-SEER16-Replace_CAC_NonElectricHeat_ROF_MF</v>
      </c>
      <c r="AY196" s="2724"/>
      <c r="AZ196" s="3850" t="str">
        <f t="shared" si="108"/>
        <v>352960</v>
      </c>
      <c r="BA196" s="3886">
        <f t="shared" si="134"/>
        <v>1366.79</v>
      </c>
      <c r="BB196" s="3886">
        <f t="shared" si="134"/>
        <v>0</v>
      </c>
      <c r="BC196" s="3886">
        <f t="shared" si="135"/>
        <v>354.08</v>
      </c>
      <c r="BD196" s="3886">
        <f t="shared" si="135"/>
        <v>0</v>
      </c>
      <c r="BE196" s="3853"/>
      <c r="BF196" s="3854">
        <f>ROUND(BA196*'CP FACTORS'!$B$9,6)</f>
        <v>1.2949219999999999</v>
      </c>
      <c r="BG196" s="3854">
        <f>ROUND(BB196*'CP FACTORS'!$B$14,6)</f>
        <v>0</v>
      </c>
      <c r="BH196" s="3854">
        <f>ROUND(BC196*'CP FACTORS'!$B$9,6)</f>
        <v>0.33546199999999998</v>
      </c>
      <c r="BI196" s="3855">
        <f>ROUND(BD196*'CP FACTORS'!$B$14,6)</f>
        <v>0</v>
      </c>
      <c r="BJ196" s="3853"/>
      <c r="BK196" s="3856">
        <f t="shared" si="97"/>
        <v>1366.79</v>
      </c>
      <c r="BL196" s="3857">
        <f t="shared" si="98"/>
        <v>354.08</v>
      </c>
      <c r="BM196" s="3858">
        <f t="shared" si="99"/>
        <v>1.2949219999999999</v>
      </c>
      <c r="BN196" s="3855">
        <f t="shared" si="100"/>
        <v>0.33546199999999998</v>
      </c>
    </row>
    <row r="197" spans="1:66" s="696" customFormat="1">
      <c r="A197" s="2958" t="str">
        <f t="shared" si="104"/>
        <v>352961</v>
      </c>
      <c r="B197" s="2233" t="str">
        <f>'HVAC Deemed Table'!C1594</f>
        <v>352961_2024_12_</v>
      </c>
      <c r="C197" s="3874" t="str">
        <f>'HVAC Deemed Table'!G1594</f>
        <v>Cooling Res</v>
      </c>
      <c r="D197" s="3874" t="str">
        <f>'HVAC Deemed Table'!G1595</f>
        <v>Heating Res</v>
      </c>
      <c r="E197" s="2724"/>
      <c r="F197" s="2724"/>
      <c r="G197" s="2724" t="str">
        <f>'HVAC Deemed Table'!E1594</f>
        <v>ASHP-SEER16-Replace_CAC_NonElectricHeat_ROF_MF_CompE</v>
      </c>
      <c r="H197" s="2554" t="str">
        <f>'HVAC Deemed Table'!D1594</f>
        <v>MFc</v>
      </c>
      <c r="I197" s="3840">
        <f t="shared" si="88"/>
        <v>206.93</v>
      </c>
      <c r="J197" s="3840">
        <f t="shared" si="89"/>
        <v>0</v>
      </c>
      <c r="K197" s="3251">
        <f>'HVAC Deemed Table'!F1594</f>
        <v>206.93</v>
      </c>
      <c r="L197" s="3251">
        <f>'HVAC Deemed Table'!F1595</f>
        <v>0</v>
      </c>
      <c r="M197" s="3251"/>
      <c r="N197" s="3251"/>
      <c r="O197" s="3841">
        <f t="shared" si="90"/>
        <v>0.196049</v>
      </c>
      <c r="P197" s="3841">
        <f t="shared" si="91"/>
        <v>0</v>
      </c>
      <c r="Q197" s="3842">
        <f>'HVAC Deemed Table'!I1594</f>
        <v>0.196049</v>
      </c>
      <c r="R197" s="3842">
        <f>'HVAC Deemed Table'!I1595</f>
        <v>0</v>
      </c>
      <c r="S197" s="3842"/>
      <c r="T197" s="3842"/>
      <c r="U197" s="3843">
        <f t="shared" si="92"/>
        <v>0</v>
      </c>
      <c r="V197" s="3843">
        <f t="shared" si="93"/>
        <v>0</v>
      </c>
      <c r="W197" s="3843">
        <f t="shared" si="94"/>
        <v>0.196049</v>
      </c>
      <c r="X197" s="2846">
        <f>'HVAC Deemed Table'!J1594</f>
        <v>18</v>
      </c>
      <c r="Y197" s="2846"/>
      <c r="Z197" s="2846">
        <f t="shared" si="105"/>
        <v>18</v>
      </c>
      <c r="AA197" s="2529">
        <f>'HVAC Deemed Table'!DG1594</f>
        <v>1.8841297359824238</v>
      </c>
      <c r="AB197" s="3878">
        <f>'HVAC Deemed Table'!K1594</f>
        <v>251.48049486921795</v>
      </c>
      <c r="AC197" s="3845">
        <f t="shared" si="106"/>
        <v>473.82187840266891</v>
      </c>
      <c r="AD197" s="3845">
        <f t="shared" si="85"/>
        <v>0</v>
      </c>
      <c r="AE197" s="3846">
        <f>'HVAC Deemed Table'!DI1594</f>
        <v>473.82187840266891</v>
      </c>
      <c r="AF197" s="3846">
        <f>'HVAC Deemed Table'!DI1595</f>
        <v>0</v>
      </c>
      <c r="AG197" s="3846"/>
      <c r="AH197" s="3846"/>
      <c r="AI197" s="3847" t="str">
        <f t="shared" si="102"/>
        <v>per measure</v>
      </c>
      <c r="AJ197" s="3220">
        <f>'HVAC Deemed Table'!L1594</f>
        <v>2.2333333333333334</v>
      </c>
      <c r="AK197" s="3848"/>
      <c r="AL197" s="3848"/>
      <c r="AX197" s="3849" t="str">
        <f t="shared" si="107"/>
        <v>ASHP-SEER16-Replace_CAC_NonElectricHeat_ROF_MF_CompE</v>
      </c>
      <c r="AY197" s="2724"/>
      <c r="AZ197" s="3850" t="str">
        <f t="shared" si="108"/>
        <v>352961</v>
      </c>
      <c r="BA197" s="3886">
        <f t="shared" si="134"/>
        <v>994.02</v>
      </c>
      <c r="BB197" s="3886">
        <f t="shared" si="134"/>
        <v>0</v>
      </c>
      <c r="BC197" s="3886">
        <f t="shared" si="135"/>
        <v>257.52</v>
      </c>
      <c r="BD197" s="3886">
        <f t="shared" si="135"/>
        <v>0</v>
      </c>
      <c r="BE197" s="3853"/>
      <c r="BF197" s="3854">
        <f>ROUND(BA197*'CP FACTORS'!$B$9,6)</f>
        <v>0.94175299999999995</v>
      </c>
      <c r="BG197" s="3854">
        <f>ROUND(BB197*'CP FACTORS'!$B$14,6)</f>
        <v>0</v>
      </c>
      <c r="BH197" s="3854">
        <f>ROUND(BC197*'CP FACTORS'!$B$9,6)</f>
        <v>0.243979</v>
      </c>
      <c r="BI197" s="3855">
        <f>ROUND(BD197*'CP FACTORS'!$B$14,6)</f>
        <v>0</v>
      </c>
      <c r="BJ197" s="3853"/>
      <c r="BK197" s="3856">
        <f t="shared" si="97"/>
        <v>994.02</v>
      </c>
      <c r="BL197" s="3857">
        <f t="shared" si="98"/>
        <v>257.52</v>
      </c>
      <c r="BM197" s="3858">
        <f t="shared" si="99"/>
        <v>0.94175299999999995</v>
      </c>
      <c r="BN197" s="3855">
        <f t="shared" si="100"/>
        <v>0.243979</v>
      </c>
    </row>
    <row r="198" spans="1:66" s="41" customFormat="1">
      <c r="A198" s="51" t="str">
        <f t="shared" si="104"/>
        <v>353000</v>
      </c>
      <c r="B198" s="1442" t="str">
        <f>'HVAC Deemed Table'!C1596</f>
        <v>353000_2024_12_</v>
      </c>
      <c r="C198" s="887" t="str">
        <f>'HVAC Deemed Table'!G1596</f>
        <v>Cooling Res</v>
      </c>
      <c r="D198" s="887" t="str">
        <f>'HVAC Deemed Table'!G1597</f>
        <v>Heating Res</v>
      </c>
      <c r="E198" s="887" t="str">
        <f>'HVAC Deemed Table'!G1598</f>
        <v>Cooling Res ER2</v>
      </c>
      <c r="F198" s="887" t="str">
        <f>'HVAC Deemed Table'!G1599</f>
        <v>Heating Res ER2</v>
      </c>
      <c r="G198" s="1378" t="str">
        <f>'HVAC Deemed Table'!E1596</f>
        <v>ASHP-SEER16-Replace_CAC_ElectricHeat_ER1_MF</v>
      </c>
      <c r="H198" s="19" t="str">
        <f>'HVAC Deemed Table'!D1596</f>
        <v>MFIE</v>
      </c>
      <c r="I198" s="785">
        <f t="shared" si="88"/>
        <v>11533.98</v>
      </c>
      <c r="J198" s="785">
        <f t="shared" si="89"/>
        <v>9846.1400000000012</v>
      </c>
      <c r="K198" s="202">
        <f>'HVAC Deemed Table'!F1596</f>
        <v>2088.29</v>
      </c>
      <c r="L198" s="202">
        <f>'HVAC Deemed Table'!F1597</f>
        <v>9445.69</v>
      </c>
      <c r="M198" s="202">
        <f>'HVAC Deemed Table'!F1598</f>
        <v>400.45</v>
      </c>
      <c r="N198" s="202">
        <f>'HVAC Deemed Table'!F1599</f>
        <v>9445.69</v>
      </c>
      <c r="O198" s="786">
        <f t="shared" si="90"/>
        <v>1.9784839999999999</v>
      </c>
      <c r="P198" s="786">
        <f t="shared" si="91"/>
        <v>0.37939400000000001</v>
      </c>
      <c r="Q198" s="787">
        <f>'HVAC Deemed Table'!I1596</f>
        <v>1.9784839999999999</v>
      </c>
      <c r="R198" s="787">
        <f>'HVAC Deemed Table'!I1597</f>
        <v>0</v>
      </c>
      <c r="S198" s="787">
        <f>'HVAC Deemed Table'!I1598</f>
        <v>0.37939400000000001</v>
      </c>
      <c r="T198" s="787">
        <f>'HVAC Deemed Table'!I1599</f>
        <v>0</v>
      </c>
      <c r="U198" s="788">
        <f t="shared" si="92"/>
        <v>0</v>
      </c>
      <c r="V198" s="788">
        <f t="shared" si="93"/>
        <v>0</v>
      </c>
      <c r="W198" s="788">
        <f t="shared" si="94"/>
        <v>1.9784839999999999</v>
      </c>
      <c r="X198" s="23">
        <f>'HVAC Deemed Table'!J1596</f>
        <v>6</v>
      </c>
      <c r="Y198" s="23">
        <f>'HVAC Deemed Table'!J1598</f>
        <v>12</v>
      </c>
      <c r="Z198" s="23">
        <f t="shared" si="105"/>
        <v>18</v>
      </c>
      <c r="AA198" s="18">
        <f>'HVAC Deemed Table'!DG1596</f>
        <v>2.2602983121092279</v>
      </c>
      <c r="AB198" s="259">
        <f>'HVAC Deemed Table'!K1596</f>
        <v>3682.0649648885365</v>
      </c>
      <c r="AC198" s="903">
        <f t="shared" si="106"/>
        <v>4612.7535330172104</v>
      </c>
      <c r="AD198" s="903">
        <f t="shared" si="85"/>
        <v>3709.8116921968722</v>
      </c>
      <c r="AE198" s="208">
        <f>'HVAC Deemed Table'!DI1596</f>
        <v>2079.619623160926</v>
      </c>
      <c r="AF198" s="208">
        <f>'HVAC Deemed Table'!DI1597</f>
        <v>2533.1339098562839</v>
      </c>
      <c r="AG198" s="208">
        <f>'HVAC Deemed Table'!DI1598</f>
        <v>518.15058528772261</v>
      </c>
      <c r="AH198" s="208">
        <f>'HVAC Deemed Table'!DI1599</f>
        <v>3191.6611069091496</v>
      </c>
      <c r="AI198" s="906" t="str">
        <f t="shared" si="102"/>
        <v>per measure</v>
      </c>
      <c r="AJ198" s="47">
        <f>'HVAC Deemed Table'!L1596</f>
        <v>2.8388888888888886</v>
      </c>
      <c r="AK198" s="641"/>
      <c r="AL198" s="641"/>
      <c r="AM198"/>
      <c r="AN198"/>
      <c r="AO198"/>
      <c r="AP198"/>
      <c r="AQ198"/>
      <c r="AR198"/>
      <c r="AS198"/>
      <c r="AT198"/>
      <c r="AU198"/>
      <c r="AV198"/>
      <c r="AW198"/>
      <c r="AX198" s="1355" t="str">
        <f t="shared" si="107"/>
        <v>ASHP-SEER16-Replace_CAC_ElectricHeat_ER1_MF</v>
      </c>
      <c r="AY198" s="1378"/>
      <c r="AZ198" s="1446" t="str">
        <f t="shared" si="108"/>
        <v>353000</v>
      </c>
      <c r="BA198" s="1334">
        <f t="shared" ref="BA198:BD201" si="136">BA194</f>
        <v>1366.79</v>
      </c>
      <c r="BB198" s="1334">
        <f t="shared" si="136"/>
        <v>8588.48</v>
      </c>
      <c r="BC198" s="1334">
        <f t="shared" si="136"/>
        <v>354.08</v>
      </c>
      <c r="BD198" s="1334">
        <f t="shared" si="136"/>
        <v>8588.48</v>
      </c>
      <c r="BE198" s="1306"/>
      <c r="BF198" s="1321">
        <f>ROUND(BA198*'CP FACTORS'!$B$9,6)</f>
        <v>1.2949219999999999</v>
      </c>
      <c r="BG198" s="1322">
        <f>ROUND(BB198*'CP FACTORS'!$B$14,6)</f>
        <v>0</v>
      </c>
      <c r="BH198" s="1321">
        <f>ROUND(BC198*'CP FACTORS'!$B$9,6)</f>
        <v>0.33546199999999998</v>
      </c>
      <c r="BI198" s="1323">
        <f>ROUND(BD198*'CP FACTORS'!$B$14,6)</f>
        <v>0</v>
      </c>
      <c r="BJ198" s="1305"/>
      <c r="BK198" s="730">
        <f t="shared" si="97"/>
        <v>9955.27</v>
      </c>
      <c r="BL198" s="1342">
        <f t="shared" si="98"/>
        <v>8942.56</v>
      </c>
      <c r="BM198" s="1341">
        <f t="shared" si="99"/>
        <v>1.2949219999999999</v>
      </c>
      <c r="BN198" s="1340">
        <f t="shared" si="100"/>
        <v>0.33546199999999998</v>
      </c>
    </row>
    <row r="199" spans="1:66" s="696" customFormat="1">
      <c r="A199" s="2958" t="str">
        <f t="shared" si="104"/>
        <v>353001</v>
      </c>
      <c r="B199" s="2233" t="str">
        <f>'HVAC Deemed Table'!C1600</f>
        <v>353001_2024_12_</v>
      </c>
      <c r="C199" s="3874" t="str">
        <f>'HVAC Deemed Table'!G1600</f>
        <v>Cooling Res</v>
      </c>
      <c r="D199" s="3874" t="str">
        <f>'HVAC Deemed Table'!G1601</f>
        <v>Heating Res</v>
      </c>
      <c r="E199" s="3874" t="str">
        <f>'HVAC Deemed Table'!G1602</f>
        <v>Cooling Res ER2</v>
      </c>
      <c r="F199" s="3874" t="str">
        <f>'HVAC Deemed Table'!G1603</f>
        <v>Heating Res ER2</v>
      </c>
      <c r="G199" s="2724" t="str">
        <f>'HVAC Deemed Table'!E1600</f>
        <v>ASHP-SEER16-Replace_CAC_ElectricHeat_ER1_MF_CompE</v>
      </c>
      <c r="H199" s="2554" t="str">
        <f>'HVAC Deemed Table'!D1600</f>
        <v>MFc</v>
      </c>
      <c r="I199" s="3840">
        <f t="shared" si="88"/>
        <v>4738.87</v>
      </c>
      <c r="J199" s="3840">
        <f t="shared" si="89"/>
        <v>3511.3599999999997</v>
      </c>
      <c r="K199" s="3251">
        <f>'HVAC Deemed Table'!F1600</f>
        <v>1518.75</v>
      </c>
      <c r="L199" s="3251">
        <f>'HVAC Deemed Table'!F1601</f>
        <v>3220.12</v>
      </c>
      <c r="M199" s="3251">
        <f>'HVAC Deemed Table'!F1602</f>
        <v>291.24</v>
      </c>
      <c r="N199" s="3251">
        <f>'HVAC Deemed Table'!F1603</f>
        <v>3220.12</v>
      </c>
      <c r="O199" s="3841">
        <f t="shared" si="90"/>
        <v>1.4388909999999999</v>
      </c>
      <c r="P199" s="3841">
        <f t="shared" si="91"/>
        <v>0.275926</v>
      </c>
      <c r="Q199" s="3842">
        <f>'HVAC Deemed Table'!I1600</f>
        <v>1.4388909999999999</v>
      </c>
      <c r="R199" s="3842">
        <f>'HVAC Deemed Table'!I1601</f>
        <v>0</v>
      </c>
      <c r="S199" s="3842">
        <f>'HVAC Deemed Table'!I1602</f>
        <v>0.275926</v>
      </c>
      <c r="T199" s="3842">
        <f>'HVAC Deemed Table'!I1603</f>
        <v>0</v>
      </c>
      <c r="U199" s="3843">
        <f t="shared" si="92"/>
        <v>0</v>
      </c>
      <c r="V199" s="3843">
        <f t="shared" si="93"/>
        <v>0</v>
      </c>
      <c r="W199" s="3843">
        <f t="shared" si="94"/>
        <v>1.4388909999999999</v>
      </c>
      <c r="X199" s="2846">
        <f>'HVAC Deemed Table'!J1600</f>
        <v>6</v>
      </c>
      <c r="Y199" s="2846">
        <f>'HVAC Deemed Table'!J1602</f>
        <v>12</v>
      </c>
      <c r="Z199" s="2846">
        <f t="shared" si="105"/>
        <v>18</v>
      </c>
      <c r="AA199" s="2529">
        <f>'HVAC Deemed Table'!DG1600</f>
        <v>1.0431427825148061</v>
      </c>
      <c r="AB199" s="3878">
        <f>'HVAC Deemed Table'!K1600</f>
        <v>3682.0649648885365</v>
      </c>
      <c r="AC199" s="3845">
        <f t="shared" si="106"/>
        <v>2376.0122495229521</v>
      </c>
      <c r="AD199" s="3845">
        <f t="shared" si="85"/>
        <v>1464.9072433511583</v>
      </c>
      <c r="AE199" s="3846">
        <f>'HVAC Deemed Table'!DI1600</f>
        <v>1512.4442978109632</v>
      </c>
      <c r="AF199" s="3846">
        <f>'HVAC Deemed Table'!DI1601</f>
        <v>863.56795171198894</v>
      </c>
      <c r="AG199" s="3846">
        <f>'HVAC Deemed Table'!DI1602</f>
        <v>376.84149446671574</v>
      </c>
      <c r="AH199" s="3846">
        <f>'HVAC Deemed Table'!DI1603</f>
        <v>1088.0657488844424</v>
      </c>
      <c r="AI199" s="3847" t="str">
        <f t="shared" si="102"/>
        <v>per measure</v>
      </c>
      <c r="AJ199" s="3220">
        <f>'HVAC Deemed Table'!L1600</f>
        <v>2.8388888888888886</v>
      </c>
      <c r="AK199" s="3848"/>
      <c r="AL199" s="3848"/>
      <c r="AX199" s="3849" t="str">
        <f t="shared" si="107"/>
        <v>ASHP-SEER16-Replace_CAC_ElectricHeat_ER1_MF_CompE</v>
      </c>
      <c r="AY199" s="2724"/>
      <c r="AZ199" s="3850" t="str">
        <f t="shared" si="108"/>
        <v>353001</v>
      </c>
      <c r="BA199" s="3888">
        <f t="shared" si="136"/>
        <v>994.02</v>
      </c>
      <c r="BB199" s="3888">
        <f t="shared" si="136"/>
        <v>2927.89</v>
      </c>
      <c r="BC199" s="3888">
        <f t="shared" si="136"/>
        <v>257.52</v>
      </c>
      <c r="BD199" s="3888">
        <f t="shared" si="136"/>
        <v>2927.89</v>
      </c>
      <c r="BE199" s="3853"/>
      <c r="BF199" s="3854">
        <f>ROUND(BA199*'CP FACTORS'!$B$9,6)</f>
        <v>0.94175299999999995</v>
      </c>
      <c r="BG199" s="3854">
        <f>ROUND(BB199*'CP FACTORS'!$B$14,6)</f>
        <v>0</v>
      </c>
      <c r="BH199" s="3854">
        <f>ROUND(BC199*'CP FACTORS'!$B$9,6)</f>
        <v>0.243979</v>
      </c>
      <c r="BI199" s="3855">
        <f>ROUND(BD199*'CP FACTORS'!$B$14,6)</f>
        <v>0</v>
      </c>
      <c r="BJ199" s="3853"/>
      <c r="BK199" s="3856">
        <f t="shared" si="97"/>
        <v>3921.91</v>
      </c>
      <c r="BL199" s="3857">
        <f t="shared" si="98"/>
        <v>3185.41</v>
      </c>
      <c r="BM199" s="3858">
        <f t="shared" si="99"/>
        <v>0.94175299999999995</v>
      </c>
      <c r="BN199" s="3855">
        <f t="shared" si="100"/>
        <v>0.243979</v>
      </c>
    </row>
    <row r="200" spans="1:66" s="696" customFormat="1">
      <c r="A200" s="2958" t="str">
        <f t="shared" si="104"/>
        <v>353010</v>
      </c>
      <c r="B200" s="2233" t="str">
        <f>'HVAC Deemed Table'!C1604</f>
        <v>353010_2024_12_</v>
      </c>
      <c r="C200" s="3874" t="str">
        <f>'HVAC Deemed Table'!G1604</f>
        <v>Cooling Res</v>
      </c>
      <c r="D200" s="3874" t="str">
        <f>'HVAC Deemed Table'!G1605</f>
        <v>Heating Res</v>
      </c>
      <c r="E200" s="3874" t="str">
        <f>'HVAC Deemed Table'!G1606</f>
        <v>Cooling Res ER2</v>
      </c>
      <c r="F200" s="3874" t="str">
        <f>'HVAC Deemed Table'!G1607</f>
        <v>Heating Res ER2</v>
      </c>
      <c r="G200" s="2724" t="str">
        <f>'HVAC Deemed Table'!E1604</f>
        <v>ASHP-SEER16-Replace_CAC_NonElectricHeat_ER1_MF</v>
      </c>
      <c r="H200" s="2554" t="str">
        <f>'HVAC Deemed Table'!D1604</f>
        <v>MF</v>
      </c>
      <c r="I200" s="3840">
        <f t="shared" si="88"/>
        <v>2088.29</v>
      </c>
      <c r="J200" s="3840">
        <f t="shared" si="89"/>
        <v>400.45</v>
      </c>
      <c r="K200" s="3251">
        <f>'HVAC Deemed Table'!F1604</f>
        <v>2088.29</v>
      </c>
      <c r="L200" s="3251">
        <f>'HVAC Deemed Table'!F1605</f>
        <v>0</v>
      </c>
      <c r="M200" s="3251">
        <f>'HVAC Deemed Table'!F1606</f>
        <v>400.45</v>
      </c>
      <c r="N200" s="3251">
        <f>'HVAC Deemed Table'!F1607</f>
        <v>0</v>
      </c>
      <c r="O200" s="3841">
        <f t="shared" si="90"/>
        <v>1.9784839999999999</v>
      </c>
      <c r="P200" s="3841">
        <f t="shared" si="91"/>
        <v>0.37939400000000001</v>
      </c>
      <c r="Q200" s="3842">
        <f>'HVAC Deemed Table'!I1604</f>
        <v>1.9784839999999999</v>
      </c>
      <c r="R200" s="3842">
        <f>'HVAC Deemed Table'!I1605</f>
        <v>0</v>
      </c>
      <c r="S200" s="3842">
        <f>'HVAC Deemed Table'!I1606</f>
        <v>0.37939400000000001</v>
      </c>
      <c r="T200" s="3842">
        <f>'HVAC Deemed Table'!I1607</f>
        <v>0</v>
      </c>
      <c r="U200" s="3843">
        <f t="shared" si="92"/>
        <v>0</v>
      </c>
      <c r="V200" s="3843">
        <f t="shared" si="93"/>
        <v>0</v>
      </c>
      <c r="W200" s="3843">
        <f t="shared" si="94"/>
        <v>1.9784839999999999</v>
      </c>
      <c r="X200" s="2846">
        <f>'HVAC Deemed Table'!J1604</f>
        <v>6</v>
      </c>
      <c r="Y200" s="2846">
        <f>'HVAC Deemed Table'!J1606</f>
        <v>12</v>
      </c>
      <c r="Z200" s="2846">
        <f t="shared" si="105"/>
        <v>18</v>
      </c>
      <c r="AA200" s="2529">
        <f>'HVAC Deemed Table'!DG1604</f>
        <v>6.0609387562772472</v>
      </c>
      <c r="AB200" s="3878">
        <f>'HVAC Deemed Table'!K1604</f>
        <v>428.60855601917552</v>
      </c>
      <c r="AC200" s="3845">
        <f t="shared" si="106"/>
        <v>2079.619623160926</v>
      </c>
      <c r="AD200" s="3845">
        <f t="shared" si="85"/>
        <v>518.15058528772261</v>
      </c>
      <c r="AE200" s="3846">
        <f>'HVAC Deemed Table'!DI1604</f>
        <v>2079.619623160926</v>
      </c>
      <c r="AF200" s="3846">
        <f>'HVAC Deemed Table'!DI1605</f>
        <v>0</v>
      </c>
      <c r="AG200" s="3846">
        <f>'HVAC Deemed Table'!DI1606</f>
        <v>518.15058528772261</v>
      </c>
      <c r="AH200" s="3846">
        <f>'HVAC Deemed Table'!DI1607</f>
        <v>0</v>
      </c>
      <c r="AI200" s="3847" t="str">
        <f t="shared" si="102"/>
        <v>per measure</v>
      </c>
      <c r="AJ200" s="3220">
        <f>'HVAC Deemed Table'!L1604</f>
        <v>2.8388888888888886</v>
      </c>
      <c r="AK200" s="3848"/>
      <c r="AL200" s="3848"/>
      <c r="AX200" s="3849" t="str">
        <f t="shared" si="107"/>
        <v>ASHP-SEER16-Replace_CAC_NonElectricHeat_ER1_MF</v>
      </c>
      <c r="AY200" s="2724"/>
      <c r="AZ200" s="3850" t="str">
        <f t="shared" si="108"/>
        <v>353010</v>
      </c>
      <c r="BA200" s="3888">
        <f t="shared" si="136"/>
        <v>1366.79</v>
      </c>
      <c r="BB200" s="3888">
        <f t="shared" si="136"/>
        <v>0</v>
      </c>
      <c r="BC200" s="3888">
        <f t="shared" si="136"/>
        <v>354.08</v>
      </c>
      <c r="BD200" s="3888">
        <f t="shared" si="136"/>
        <v>0</v>
      </c>
      <c r="BE200" s="3853"/>
      <c r="BF200" s="3854">
        <f>ROUND(BA200*'CP FACTORS'!$B$9,6)</f>
        <v>1.2949219999999999</v>
      </c>
      <c r="BG200" s="3854">
        <f>ROUND(BB200*'CP FACTORS'!$B$14,6)</f>
        <v>0</v>
      </c>
      <c r="BH200" s="3854">
        <f>ROUND(BC200*'CP FACTORS'!$B$9,6)</f>
        <v>0.33546199999999998</v>
      </c>
      <c r="BI200" s="3855">
        <f>ROUND(BD200*'CP FACTORS'!$B$14,6)</f>
        <v>0</v>
      </c>
      <c r="BJ200" s="3853"/>
      <c r="BK200" s="3856">
        <f t="shared" si="97"/>
        <v>1366.79</v>
      </c>
      <c r="BL200" s="3857">
        <f t="shared" si="98"/>
        <v>354.08</v>
      </c>
      <c r="BM200" s="3858">
        <f t="shared" si="99"/>
        <v>1.2949219999999999</v>
      </c>
      <c r="BN200" s="3855">
        <f t="shared" si="100"/>
        <v>0.33546199999999998</v>
      </c>
    </row>
    <row r="201" spans="1:66" s="696" customFormat="1">
      <c r="A201" s="2958" t="str">
        <f t="shared" si="104"/>
        <v>353011</v>
      </c>
      <c r="B201" s="2233" t="str">
        <f>'HVAC Deemed Table'!C1608</f>
        <v>353011_2024_12_</v>
      </c>
      <c r="C201" s="3874" t="str">
        <f>'HVAC Deemed Table'!G1608</f>
        <v>Cooling Res</v>
      </c>
      <c r="D201" s="3874" t="str">
        <f>'HVAC Deemed Table'!G1609</f>
        <v>Heating Res</v>
      </c>
      <c r="E201" s="3874" t="str">
        <f>'HVAC Deemed Table'!G1610</f>
        <v>Cooling Res ER2</v>
      </c>
      <c r="F201" s="3874" t="str">
        <f>'HVAC Deemed Table'!G1611</f>
        <v>Heating Res ER2</v>
      </c>
      <c r="G201" s="2724" t="str">
        <f>'HVAC Deemed Table'!E1608</f>
        <v>ASHP-SEER16-Replace_CAC_NonElectricHeat_ER1_MF_CompE</v>
      </c>
      <c r="H201" s="2554" t="str">
        <f>'HVAC Deemed Table'!D1608</f>
        <v>MFc</v>
      </c>
      <c r="I201" s="3840">
        <f t="shared" si="88"/>
        <v>1518.75</v>
      </c>
      <c r="J201" s="3840">
        <f t="shared" si="89"/>
        <v>291.24</v>
      </c>
      <c r="K201" s="3251">
        <f>'HVAC Deemed Table'!F1608</f>
        <v>1518.75</v>
      </c>
      <c r="L201" s="3251">
        <f>'HVAC Deemed Table'!F1609</f>
        <v>0</v>
      </c>
      <c r="M201" s="3251">
        <f>'HVAC Deemed Table'!F1610</f>
        <v>291.24</v>
      </c>
      <c r="N201" s="3251">
        <f>'HVAC Deemed Table'!F1611</f>
        <v>0</v>
      </c>
      <c r="O201" s="3841">
        <f t="shared" si="90"/>
        <v>1.4388909999999999</v>
      </c>
      <c r="P201" s="3841">
        <f t="shared" si="91"/>
        <v>0.275926</v>
      </c>
      <c r="Q201" s="3842">
        <f>'HVAC Deemed Table'!I1608</f>
        <v>1.4388909999999999</v>
      </c>
      <c r="R201" s="3842">
        <f>'HVAC Deemed Table'!I1609</f>
        <v>0</v>
      </c>
      <c r="S201" s="3842">
        <f>'HVAC Deemed Table'!I1610</f>
        <v>0.275926</v>
      </c>
      <c r="T201" s="3842">
        <f>'HVAC Deemed Table'!I1611</f>
        <v>0</v>
      </c>
      <c r="U201" s="3843">
        <f t="shared" si="92"/>
        <v>0</v>
      </c>
      <c r="V201" s="3843">
        <f t="shared" si="93"/>
        <v>0</v>
      </c>
      <c r="W201" s="3843">
        <f t="shared" si="94"/>
        <v>1.4388909999999999</v>
      </c>
      <c r="X201" s="2846">
        <f>'HVAC Deemed Table'!J1608</f>
        <v>6</v>
      </c>
      <c r="Y201" s="2846">
        <f>'HVAC Deemed Table'!J1610</f>
        <v>12</v>
      </c>
      <c r="Z201" s="2846">
        <f t="shared" si="105"/>
        <v>18</v>
      </c>
      <c r="AA201" s="2529">
        <f>'HVAC Deemed Table'!DG1608</f>
        <v>2.3388161949074804</v>
      </c>
      <c r="AB201" s="3878">
        <f>'HVAC Deemed Table'!K1608</f>
        <v>807.79575427577197</v>
      </c>
      <c r="AC201" s="3845">
        <f t="shared" si="106"/>
        <v>1512.4442978109632</v>
      </c>
      <c r="AD201" s="3845">
        <f t="shared" si="85"/>
        <v>376.84149446671574</v>
      </c>
      <c r="AE201" s="3846">
        <f>'HVAC Deemed Table'!DI1608</f>
        <v>1512.4442978109632</v>
      </c>
      <c r="AF201" s="3846">
        <f>'HVAC Deemed Table'!DI1609</f>
        <v>0</v>
      </c>
      <c r="AG201" s="3846">
        <f>'HVAC Deemed Table'!DI1610</f>
        <v>376.84149446671574</v>
      </c>
      <c r="AH201" s="3846">
        <f>'HVAC Deemed Table'!DI1611</f>
        <v>0</v>
      </c>
      <c r="AI201" s="3847" t="str">
        <f t="shared" si="102"/>
        <v>per measure</v>
      </c>
      <c r="AJ201" s="3220">
        <f>'HVAC Deemed Table'!L1608</f>
        <v>2.8388888888888886</v>
      </c>
      <c r="AK201" s="3848"/>
      <c r="AL201" s="3848"/>
      <c r="AX201" s="3849" t="str">
        <f t="shared" si="107"/>
        <v>ASHP-SEER16-Replace_CAC_NonElectricHeat_ER1_MF_CompE</v>
      </c>
      <c r="AY201" s="2724"/>
      <c r="AZ201" s="3850" t="str">
        <f t="shared" si="108"/>
        <v>353011</v>
      </c>
      <c r="BA201" s="3888">
        <f t="shared" si="136"/>
        <v>994.02</v>
      </c>
      <c r="BB201" s="3888">
        <f t="shared" si="136"/>
        <v>0</v>
      </c>
      <c r="BC201" s="3888">
        <f t="shared" si="136"/>
        <v>257.52</v>
      </c>
      <c r="BD201" s="3888">
        <f t="shared" si="136"/>
        <v>0</v>
      </c>
      <c r="BE201" s="3853"/>
      <c r="BF201" s="3854">
        <f>ROUND(BA201*'CP FACTORS'!$B$9,6)</f>
        <v>0.94175299999999995</v>
      </c>
      <c r="BG201" s="3854">
        <f>ROUND(BB201*'CP FACTORS'!$B$14,6)</f>
        <v>0</v>
      </c>
      <c r="BH201" s="3854">
        <f>ROUND(BC201*'CP FACTORS'!$B$9,6)</f>
        <v>0.243979</v>
      </c>
      <c r="BI201" s="3855">
        <f>ROUND(BD201*'CP FACTORS'!$B$14,6)</f>
        <v>0</v>
      </c>
      <c r="BJ201" s="3853"/>
      <c r="BK201" s="3856">
        <f t="shared" si="97"/>
        <v>994.02</v>
      </c>
      <c r="BL201" s="3857">
        <f t="shared" si="98"/>
        <v>257.52</v>
      </c>
      <c r="BM201" s="3858">
        <f t="shared" si="99"/>
        <v>0.94175299999999995</v>
      </c>
      <c r="BN201" s="3855">
        <f t="shared" si="100"/>
        <v>0.243979</v>
      </c>
    </row>
    <row r="202" spans="1:66" s="696" customFormat="1">
      <c r="A202" s="2958" t="str">
        <f t="shared" si="104"/>
        <v>353050</v>
      </c>
      <c r="B202" s="2233" t="str">
        <f>'HVAC Deemed Table'!C1612</f>
        <v>353050_2024_12_</v>
      </c>
      <c r="C202" s="3874" t="str">
        <f>'HVAC Deemed Table'!G1612</f>
        <v>Cooling Res</v>
      </c>
      <c r="D202" s="3874" t="str">
        <f>'HVAC Deemed Table'!G1613</f>
        <v>Heating Res</v>
      </c>
      <c r="E202" s="2724"/>
      <c r="F202" s="2724"/>
      <c r="G202" s="2724" t="str">
        <f>'HVAC Deemed Table'!E1612</f>
        <v>ASHP-SEER15_ROF_MF</v>
      </c>
      <c r="H202" s="2554" t="str">
        <f>'HVAC Deemed Table'!D1612</f>
        <v>MF</v>
      </c>
      <c r="I202" s="3840">
        <f t="shared" si="88"/>
        <v>85.08</v>
      </c>
      <c r="J202" s="3840">
        <f t="shared" si="89"/>
        <v>0</v>
      </c>
      <c r="K202" s="3251">
        <f>'HVAC Deemed Table'!F1612</f>
        <v>85.08</v>
      </c>
      <c r="L202" s="3251">
        <f>'HVAC Deemed Table'!F1613</f>
        <v>0</v>
      </c>
      <c r="M202" s="3251"/>
      <c r="N202" s="3251"/>
      <c r="O202" s="3841">
        <f t="shared" si="90"/>
        <v>8.0605999999999997E-2</v>
      </c>
      <c r="P202" s="3841">
        <f t="shared" si="91"/>
        <v>0</v>
      </c>
      <c r="Q202" s="3842">
        <f>'HVAC Deemed Table'!I1612</f>
        <v>8.0605999999999997E-2</v>
      </c>
      <c r="R202" s="3842">
        <f>'HVAC Deemed Table'!I1613</f>
        <v>0</v>
      </c>
      <c r="S202" s="3842"/>
      <c r="T202" s="3842"/>
      <c r="U202" s="3843">
        <f t="shared" si="92"/>
        <v>0</v>
      </c>
      <c r="V202" s="3843">
        <f t="shared" si="93"/>
        <v>0</v>
      </c>
      <c r="W202" s="3843">
        <f t="shared" si="94"/>
        <v>8.0605999999999997E-2</v>
      </c>
      <c r="X202" s="2846">
        <f>'HVAC Deemed Table'!J1612</f>
        <v>18</v>
      </c>
      <c r="Y202" s="2846"/>
      <c r="Z202" s="2846">
        <f t="shared" si="105"/>
        <v>18</v>
      </c>
      <c r="AA202" s="2529">
        <f>'HVAC Deemed Table'!DG1612</f>
        <v>1.443063244306952</v>
      </c>
      <c r="AB202" s="3878">
        <f>'HVAC Deemed Table'!K1612</f>
        <v>135</v>
      </c>
      <c r="AC202" s="3845">
        <f t="shared" si="106"/>
        <v>194.81353798143851</v>
      </c>
      <c r="AD202" s="3845">
        <f t="shared" si="85"/>
        <v>0</v>
      </c>
      <c r="AE202" s="3846">
        <f>'HVAC Deemed Table'!DI1612</f>
        <v>194.81353798143851</v>
      </c>
      <c r="AF202" s="3846">
        <f>'HVAC Deemed Table'!DI1613</f>
        <v>0</v>
      </c>
      <c r="AG202" s="3846"/>
      <c r="AH202" s="3846"/>
      <c r="AI202" s="3847" t="str">
        <f t="shared" si="102"/>
        <v>per measure</v>
      </c>
      <c r="AJ202" s="3220">
        <f>'HVAC Deemed Table'!L1612</f>
        <v>2.1833333333333331</v>
      </c>
      <c r="AK202" s="3848"/>
      <c r="AL202" s="3848"/>
      <c r="AX202" s="3849" t="str">
        <f t="shared" si="107"/>
        <v>ASHP-SEER15_ROF_MF</v>
      </c>
      <c r="AY202" s="2724"/>
      <c r="AZ202" s="3850" t="str">
        <f t="shared" si="108"/>
        <v>353050</v>
      </c>
      <c r="BA202" s="3891">
        <f>ROUND((K180*$BC$3)+(K202*$BC$4),2)</f>
        <v>1458.67</v>
      </c>
      <c r="BB202" s="3891">
        <f>ROUND((L180*$BC$3)+(L202*$BC$4),2)</f>
        <v>1423.54</v>
      </c>
      <c r="BC202" s="3891">
        <f>ROUND((M180*$BC$3)+(K202*$BC$4),2)</f>
        <v>105.98</v>
      </c>
      <c r="BD202" s="3891">
        <f>ROUND((N180*$BC$3)+(L202*$BC$4),2)</f>
        <v>826.49</v>
      </c>
      <c r="BE202" s="3853"/>
      <c r="BF202" s="3854">
        <f>ROUND(BA202*'CP FACTORS'!$B$9,6)</f>
        <v>1.3819699999999999</v>
      </c>
      <c r="BG202" s="3854">
        <f>ROUND(BB202*'CP FACTORS'!$B$14,6)</f>
        <v>0</v>
      </c>
      <c r="BH202" s="3854">
        <f>ROUND(BC202*'CP FACTORS'!$B$9,6)</f>
        <v>0.100407</v>
      </c>
      <c r="BI202" s="3855">
        <f>ROUND(BD202*'CP FACTORS'!$B$14,6)</f>
        <v>0</v>
      </c>
      <c r="BJ202" s="3853"/>
      <c r="BK202" s="3856">
        <f t="shared" si="97"/>
        <v>2882.21</v>
      </c>
      <c r="BL202" s="3857">
        <f t="shared" si="98"/>
        <v>932.47</v>
      </c>
      <c r="BM202" s="3858">
        <f t="shared" si="99"/>
        <v>1.3819699999999999</v>
      </c>
      <c r="BN202" s="3855">
        <f t="shared" si="100"/>
        <v>0.100407</v>
      </c>
    </row>
    <row r="203" spans="1:66" s="696" customFormat="1">
      <c r="A203" s="2958" t="str">
        <f t="shared" si="104"/>
        <v>353051</v>
      </c>
      <c r="B203" s="2233" t="str">
        <f>'HVAC Deemed Table'!C1614</f>
        <v>353051_2024_12_</v>
      </c>
      <c r="C203" s="3874" t="str">
        <f>'HVAC Deemed Table'!G1614</f>
        <v>Cooling Res</v>
      </c>
      <c r="D203" s="3874" t="str">
        <f>'HVAC Deemed Table'!G1615</f>
        <v>Heating Res</v>
      </c>
      <c r="E203" s="2724"/>
      <c r="F203" s="2724"/>
      <c r="G203" s="2724" t="str">
        <f>'HVAC Deemed Table'!E1614</f>
        <v>ASHP-SEER15_ROF_MF_CompE</v>
      </c>
      <c r="H203" s="2554" t="str">
        <f>'HVAC Deemed Table'!D1614</f>
        <v>MFc</v>
      </c>
      <c r="I203" s="3840">
        <f t="shared" si="88"/>
        <v>61.87</v>
      </c>
      <c r="J203" s="3840">
        <f t="shared" si="89"/>
        <v>0</v>
      </c>
      <c r="K203" s="3251">
        <f>'HVAC Deemed Table'!F1614</f>
        <v>61.87</v>
      </c>
      <c r="L203" s="3251">
        <f>'HVAC Deemed Table'!F1615</f>
        <v>0</v>
      </c>
      <c r="M203" s="3251"/>
      <c r="N203" s="3251"/>
      <c r="O203" s="3841">
        <f t="shared" si="90"/>
        <v>5.8617000000000002E-2</v>
      </c>
      <c r="P203" s="3841">
        <f t="shared" si="91"/>
        <v>0</v>
      </c>
      <c r="Q203" s="3842">
        <f>'HVAC Deemed Table'!I1614</f>
        <v>5.8617000000000002E-2</v>
      </c>
      <c r="R203" s="3842">
        <f>'HVAC Deemed Table'!I1615</f>
        <v>0</v>
      </c>
      <c r="S203" s="3842"/>
      <c r="T203" s="3842"/>
      <c r="U203" s="3843">
        <f t="shared" si="92"/>
        <v>0</v>
      </c>
      <c r="V203" s="3843">
        <f t="shared" si="93"/>
        <v>0</v>
      </c>
      <c r="W203" s="3843">
        <f t="shared" si="94"/>
        <v>5.8617000000000002E-2</v>
      </c>
      <c r="X203" s="2846">
        <f>'HVAC Deemed Table'!J1614</f>
        <v>18</v>
      </c>
      <c r="Y203" s="2846"/>
      <c r="Z203" s="2846">
        <f t="shared" si="105"/>
        <v>18</v>
      </c>
      <c r="AA203" s="2529">
        <f>'HVAC Deemed Table'!DG1614</f>
        <v>1.0493926060798202</v>
      </c>
      <c r="AB203" s="3878">
        <f>'HVAC Deemed Table'!K1614</f>
        <v>135</v>
      </c>
      <c r="AC203" s="3845">
        <f t="shared" si="106"/>
        <v>141.66800182077574</v>
      </c>
      <c r="AD203" s="3845">
        <f t="shared" si="85"/>
        <v>0</v>
      </c>
      <c r="AE203" s="3846">
        <f>'HVAC Deemed Table'!DI1614</f>
        <v>141.66800182077574</v>
      </c>
      <c r="AF203" s="3846">
        <f>'HVAC Deemed Table'!DI1615</f>
        <v>0</v>
      </c>
      <c r="AG203" s="3846"/>
      <c r="AH203" s="3846"/>
      <c r="AI203" s="3847" t="str">
        <f t="shared" si="102"/>
        <v>per measure</v>
      </c>
      <c r="AJ203" s="3220">
        <f>'HVAC Deemed Table'!L1614</f>
        <v>2.1833333333333331</v>
      </c>
      <c r="AK203" s="3848"/>
      <c r="AL203" s="3848"/>
      <c r="AX203" s="3849" t="str">
        <f t="shared" si="107"/>
        <v>ASHP-SEER15_ROF_MF_CompE</v>
      </c>
      <c r="AY203" s="2724"/>
      <c r="AZ203" s="3850" t="str">
        <f t="shared" si="108"/>
        <v>353051</v>
      </c>
      <c r="BA203" s="3891">
        <f>ROUND((K181*$BC$3)+(K203*$BC$4),2)</f>
        <v>1060.8499999999999</v>
      </c>
      <c r="BB203" s="3891">
        <f>ROUND((L181*$BC$3)+(L203*$BC$4),2)</f>
        <v>485.3</v>
      </c>
      <c r="BC203" s="3891">
        <f>ROUND((M181*$BC$3)+(K203*$BC$4),2)</f>
        <v>77.08</v>
      </c>
      <c r="BD203" s="3891">
        <f>ROUND((N181*$BC$3)+(L203*$BC$4),2)</f>
        <v>281.75</v>
      </c>
      <c r="BE203" s="3853"/>
      <c r="BF203" s="3854">
        <f>ROUND(BA203*'CP FACTORS'!$B$9,6)</f>
        <v>1.0050680000000001</v>
      </c>
      <c r="BG203" s="3854">
        <f>ROUND(BB203*'CP FACTORS'!$B$14,6)</f>
        <v>0</v>
      </c>
      <c r="BH203" s="3854">
        <f>ROUND(BC203*'CP FACTORS'!$B$9,6)</f>
        <v>7.3026999999999995E-2</v>
      </c>
      <c r="BI203" s="3855">
        <f>ROUND(BD203*'CP FACTORS'!$B$14,6)</f>
        <v>0</v>
      </c>
      <c r="BJ203" s="3853"/>
      <c r="BK203" s="3856">
        <f t="shared" si="97"/>
        <v>1546.1499999999999</v>
      </c>
      <c r="BL203" s="3857">
        <f t="shared" si="98"/>
        <v>358.83</v>
      </c>
      <c r="BM203" s="3858">
        <f t="shared" si="99"/>
        <v>1.0050680000000001</v>
      </c>
      <c r="BN203" s="3855">
        <f t="shared" si="100"/>
        <v>7.3026999999999995E-2</v>
      </c>
    </row>
    <row r="204" spans="1:66">
      <c r="A204" s="51" t="str">
        <f t="shared" si="104"/>
        <v>353100</v>
      </c>
      <c r="B204" s="1442" t="str">
        <f>'HVAC Deemed Table'!C1616</f>
        <v>353100_2024_12_</v>
      </c>
      <c r="C204" s="887" t="str">
        <f>'HVAC Deemed Table'!G1616</f>
        <v>Cooling Res</v>
      </c>
      <c r="D204" s="887" t="str">
        <f>'HVAC Deemed Table'!G1617</f>
        <v>Heating Res</v>
      </c>
      <c r="E204" s="1378"/>
      <c r="F204" s="1378"/>
      <c r="G204" s="1378" t="str">
        <f>'HVAC Deemed Table'!E1616</f>
        <v>ASHP-SEER17-Replace_CAC_ElectricHeat_ROF_SF</v>
      </c>
      <c r="H204" s="19" t="str">
        <f>'HVAC Deemed Table'!D1616</f>
        <v>PAYS/SFIE</v>
      </c>
      <c r="I204" s="785">
        <f t="shared" si="88"/>
        <v>11305.1</v>
      </c>
      <c r="J204" s="785">
        <f t="shared" si="89"/>
        <v>0</v>
      </c>
      <c r="K204" s="202">
        <f>'HVAC Deemed Table'!F1616</f>
        <v>510.45</v>
      </c>
      <c r="L204" s="202">
        <f>'HVAC Deemed Table'!F1617</f>
        <v>10794.65</v>
      </c>
      <c r="M204" s="202"/>
      <c r="N204" s="202"/>
      <c r="O204" s="786">
        <f t="shared" si="90"/>
        <v>0.48360999999999998</v>
      </c>
      <c r="P204" s="786">
        <f t="shared" si="91"/>
        <v>0</v>
      </c>
      <c r="Q204" s="787">
        <f>'HVAC Deemed Table'!I1616</f>
        <v>0.48360999999999998</v>
      </c>
      <c r="R204" s="787">
        <f>'HVAC Deemed Table'!I1617</f>
        <v>0</v>
      </c>
      <c r="S204" s="787"/>
      <c r="T204" s="787"/>
      <c r="U204" s="788">
        <f t="shared" si="92"/>
        <v>0</v>
      </c>
      <c r="V204" s="788">
        <f t="shared" si="93"/>
        <v>0</v>
      </c>
      <c r="W204" s="788">
        <f t="shared" si="94"/>
        <v>0.48360999999999998</v>
      </c>
      <c r="X204" s="23">
        <f>'HVAC Deemed Table'!J1616</f>
        <v>18</v>
      </c>
      <c r="Y204" s="23"/>
      <c r="Z204" s="23">
        <f t="shared" si="105"/>
        <v>18</v>
      </c>
      <c r="AA204" s="18">
        <f>'HVAC Deemed Table'!DG1616</f>
        <v>1.8931507853865068</v>
      </c>
      <c r="AB204" s="259">
        <f>'HVAC Deemed Table'!K1616</f>
        <v>4073.1981423529414</v>
      </c>
      <c r="AC204" s="903">
        <f t="shared" si="106"/>
        <v>7711.1782622303317</v>
      </c>
      <c r="AD204" s="903">
        <f t="shared" si="85"/>
        <v>0</v>
      </c>
      <c r="AE204" s="208">
        <f>'HVAC Deemed Table'!DI1616</f>
        <v>1168.8125348216417</v>
      </c>
      <c r="AF204" s="208">
        <f>'HVAC Deemed Table'!DI1617</f>
        <v>6542.36572740869</v>
      </c>
      <c r="AG204" s="208"/>
      <c r="AH204" s="208"/>
      <c r="AI204" s="906" t="str">
        <f t="shared" si="102"/>
        <v>per measure</v>
      </c>
      <c r="AJ204" s="47">
        <f>'HVAC Deemed Table'!L1616</f>
        <v>3.2119969039215692</v>
      </c>
      <c r="AK204" s="641"/>
      <c r="AL204" s="641"/>
      <c r="AX204" s="1355" t="str">
        <f t="shared" si="107"/>
        <v>ASHP-SEER17-Replace_CAC_ElectricHeat_ROF_SF</v>
      </c>
      <c r="AY204" s="1378"/>
      <c r="AZ204" s="1446" t="str">
        <f t="shared" si="108"/>
        <v>353100</v>
      </c>
      <c r="BA204" s="1335">
        <f t="shared" ref="BA204:BB209" si="137">ROUND((K248*$BC$3)+(K204*$BC$4),2)</f>
        <v>1539.94</v>
      </c>
      <c r="BB204" s="1335">
        <f t="shared" si="137"/>
        <v>9694.92</v>
      </c>
      <c r="BC204" s="1335">
        <f t="shared" ref="BC204:BD209" si="138">ROUND((M248*$BC$3)+(K204*$BC$4),2)</f>
        <v>510.85</v>
      </c>
      <c r="BD204" s="1335">
        <f t="shared" si="138"/>
        <v>9694.92</v>
      </c>
      <c r="BE204" s="1305"/>
      <c r="BF204" s="1321">
        <f>ROUND(BA204*'CP FACTORS'!$B$9,6)</f>
        <v>1.4589669999999999</v>
      </c>
      <c r="BG204" s="1322">
        <f>ROUND(BB204*'CP FACTORS'!$B$14,6)</f>
        <v>0</v>
      </c>
      <c r="BH204" s="1321">
        <f>ROUND(BC204*'CP FACTORS'!$B$9,6)</f>
        <v>0.483989</v>
      </c>
      <c r="BI204" s="1323">
        <f>ROUND(BD204*'CP FACTORS'!$B$14,6)</f>
        <v>0</v>
      </c>
      <c r="BJ204" s="1305"/>
      <c r="BK204" s="730">
        <f t="shared" si="97"/>
        <v>11234.86</v>
      </c>
      <c r="BL204" s="1342">
        <f t="shared" si="98"/>
        <v>10205.77</v>
      </c>
      <c r="BM204" s="1341">
        <f t="shared" si="99"/>
        <v>1.4589669999999999</v>
      </c>
      <c r="BN204" s="1340">
        <f t="shared" si="100"/>
        <v>0.483989</v>
      </c>
    </row>
    <row r="205" spans="1:66" s="41" customFormat="1">
      <c r="A205" s="51" t="str">
        <f>LEFT(B205,6)</f>
        <v>353110</v>
      </c>
      <c r="B205" s="1442" t="str">
        <f>'HVAC Deemed Table'!C1618</f>
        <v>353110_2024_12_</v>
      </c>
      <c r="C205" s="887" t="str">
        <f>'HVAC Deemed Table'!G1618</f>
        <v>Cooling Res</v>
      </c>
      <c r="D205" s="887" t="str">
        <f>'HVAC Deemed Table'!G1619</f>
        <v>Heating Res</v>
      </c>
      <c r="E205" s="1378"/>
      <c r="F205" s="1378"/>
      <c r="G205" s="1378" t="str">
        <f>'HVAC Deemed Table'!E1618</f>
        <v>ASHP-SEER17-Replace_CAC_NonElectricHeat_ROF_SF</v>
      </c>
      <c r="H205" s="19" t="str">
        <f>'HVAC Deemed Table'!D1618</f>
        <v>PAYS</v>
      </c>
      <c r="I205" s="785">
        <f>K205+L205</f>
        <v>510.45</v>
      </c>
      <c r="J205" s="785">
        <f>M205+N205</f>
        <v>0</v>
      </c>
      <c r="K205" s="202">
        <f>'HVAC Deemed Table'!F1618</f>
        <v>510.45</v>
      </c>
      <c r="L205" s="202">
        <f>'HVAC Deemed Table'!F1619</f>
        <v>0</v>
      </c>
      <c r="M205" s="202"/>
      <c r="N205" s="202"/>
      <c r="O205" s="786">
        <f>Q205+R205</f>
        <v>0.48360999999999998</v>
      </c>
      <c r="P205" s="786">
        <f>S205+T205</f>
        <v>0</v>
      </c>
      <c r="Q205" s="787">
        <f>'HVAC Deemed Table'!I1618</f>
        <v>0.48360999999999998</v>
      </c>
      <c r="R205" s="787">
        <f>'HVAC Deemed Table'!I1619</f>
        <v>0</v>
      </c>
      <c r="S205" s="787"/>
      <c r="T205" s="787"/>
      <c r="U205" s="788">
        <f t="shared" si="92"/>
        <v>0</v>
      </c>
      <c r="V205" s="788">
        <f t="shared" si="93"/>
        <v>0</v>
      </c>
      <c r="W205" s="788">
        <f t="shared" si="94"/>
        <v>0.48360999999999998</v>
      </c>
      <c r="X205" s="23">
        <f>'HVAC Deemed Table'!J1618</f>
        <v>18</v>
      </c>
      <c r="Y205" s="23"/>
      <c r="Z205" s="23">
        <f>Y205+X205</f>
        <v>18</v>
      </c>
      <c r="AA205" s="18">
        <f>'HVAC Deemed Table'!DG1618</f>
        <v>6.3552190398416633</v>
      </c>
      <c r="AB205" s="807">
        <f>'HVAC Deemed Table'!K1618</f>
        <v>183.91380808343658</v>
      </c>
      <c r="AC205" s="903">
        <f>AE205+AF205</f>
        <v>1168.8125348216417</v>
      </c>
      <c r="AD205" s="903">
        <f>AG205+AH205</f>
        <v>0</v>
      </c>
      <c r="AE205" s="208">
        <f>'HVAC Deemed Table'!DI1618</f>
        <v>1168.8125348216417</v>
      </c>
      <c r="AF205" s="208">
        <f>'HVAC Deemed Table'!DI1619</f>
        <v>0</v>
      </c>
      <c r="AG205" s="208"/>
      <c r="AH205" s="208"/>
      <c r="AI205" s="906" t="str">
        <f t="shared" si="102"/>
        <v>per measure</v>
      </c>
      <c r="AJ205" s="48">
        <f>'HVAC Deemed Table'!L1618</f>
        <v>3.2119969039215692</v>
      </c>
      <c r="AK205" s="918"/>
      <c r="AL205" s="918"/>
      <c r="AM205"/>
      <c r="AN205"/>
      <c r="AO205"/>
      <c r="AP205"/>
      <c r="AQ205"/>
      <c r="AR205"/>
      <c r="AS205"/>
      <c r="AT205"/>
      <c r="AU205"/>
      <c r="AV205"/>
      <c r="AW205"/>
      <c r="AX205" s="1355" t="str">
        <f t="shared" si="107"/>
        <v>ASHP-SEER17-Replace_CAC_NonElectricHeat_ROF_SF</v>
      </c>
      <c r="AY205" s="1378"/>
      <c r="AZ205" s="1446" t="str">
        <f t="shared" si="108"/>
        <v>353110</v>
      </c>
      <c r="BA205" s="1335">
        <f t="shared" si="137"/>
        <v>1539.94</v>
      </c>
      <c r="BB205" s="1335">
        <f t="shared" si="137"/>
        <v>0</v>
      </c>
      <c r="BC205" s="1335">
        <f t="shared" si="138"/>
        <v>510.85</v>
      </c>
      <c r="BD205" s="1335">
        <f t="shared" si="138"/>
        <v>0</v>
      </c>
      <c r="BE205" s="1306"/>
      <c r="BF205" s="1321">
        <f>ROUND(BA205*'CP FACTORS'!$B$9,6)</f>
        <v>1.4589669999999999</v>
      </c>
      <c r="BG205" s="1322">
        <f>ROUND(BB205*'CP FACTORS'!$B$14,6)</f>
        <v>0</v>
      </c>
      <c r="BH205" s="1321">
        <f>ROUND(BC205*'CP FACTORS'!$B$9,6)</f>
        <v>0.483989</v>
      </c>
      <c r="BI205" s="1323">
        <f>ROUND(BD205*'CP FACTORS'!$B$14,6)</f>
        <v>0</v>
      </c>
      <c r="BJ205" s="1305"/>
      <c r="BK205" s="730">
        <f t="shared" si="97"/>
        <v>1539.94</v>
      </c>
      <c r="BL205" s="1342">
        <f t="shared" si="98"/>
        <v>510.85</v>
      </c>
      <c r="BM205" s="1341">
        <f t="shared" si="99"/>
        <v>1.4589669999999999</v>
      </c>
      <c r="BN205" s="1340">
        <f t="shared" si="100"/>
        <v>0.483989</v>
      </c>
    </row>
    <row r="206" spans="1:66" s="696" customFormat="1">
      <c r="A206" s="2958" t="str">
        <f t="shared" si="104"/>
        <v>353150</v>
      </c>
      <c r="B206" s="2233" t="str">
        <f>'HVAC Deemed Table'!C1620</f>
        <v>353150_2024_12_</v>
      </c>
      <c r="C206" s="3874" t="str">
        <f>'HVAC Deemed Table'!G1620</f>
        <v>Cooling Res</v>
      </c>
      <c r="D206" s="3874" t="str">
        <f>'HVAC Deemed Table'!G1621</f>
        <v>Heating Res</v>
      </c>
      <c r="E206" s="2724"/>
      <c r="F206" s="2724"/>
      <c r="G206" s="2724" t="str">
        <f>'HVAC Deemed Table'!E1620</f>
        <v>ASHP-SEER17-Replace_CAC_ElectricHeat_ROF_MF</v>
      </c>
      <c r="H206" s="2554" t="str">
        <f>'HVAC Deemed Table'!D1620</f>
        <v>MF</v>
      </c>
      <c r="I206" s="3840">
        <f t="shared" si="88"/>
        <v>6513.04</v>
      </c>
      <c r="J206" s="3840">
        <f t="shared" si="89"/>
        <v>0</v>
      </c>
      <c r="K206" s="3251">
        <f>'HVAC Deemed Table'!F1620</f>
        <v>299.93</v>
      </c>
      <c r="L206" s="3251">
        <f>'HVAC Deemed Table'!F1621</f>
        <v>6213.11</v>
      </c>
      <c r="M206" s="3251"/>
      <c r="N206" s="3251"/>
      <c r="O206" s="3841">
        <f t="shared" si="90"/>
        <v>0.28415899999999999</v>
      </c>
      <c r="P206" s="3841">
        <f t="shared" si="91"/>
        <v>0</v>
      </c>
      <c r="Q206" s="3842">
        <f>'HVAC Deemed Table'!I1620</f>
        <v>0.28415899999999999</v>
      </c>
      <c r="R206" s="3842">
        <f>'HVAC Deemed Table'!I1621</f>
        <v>0</v>
      </c>
      <c r="S206" s="3842"/>
      <c r="T206" s="3842"/>
      <c r="U206" s="3843">
        <f t="shared" si="92"/>
        <v>0</v>
      </c>
      <c r="V206" s="3843">
        <f t="shared" si="93"/>
        <v>0</v>
      </c>
      <c r="W206" s="3843">
        <f t="shared" si="94"/>
        <v>0.28415899999999999</v>
      </c>
      <c r="X206" s="2846">
        <f>'HVAC Deemed Table'!J1620</f>
        <v>18</v>
      </c>
      <c r="Y206" s="2846"/>
      <c r="Z206" s="2846">
        <f t="shared" si="105"/>
        <v>18</v>
      </c>
      <c r="AA206" s="2529">
        <f>'HVAC Deemed Table'!DG1620</f>
        <v>1.3750401512609267</v>
      </c>
      <c r="AB206" s="3878">
        <f>'HVAC Deemed Table'!K1620</f>
        <v>3238</v>
      </c>
      <c r="AC206" s="3845">
        <f t="shared" si="106"/>
        <v>4452.3800097828807</v>
      </c>
      <c r="AD206" s="3845">
        <f t="shared" si="85"/>
        <v>0</v>
      </c>
      <c r="AE206" s="3846">
        <f>'HVAC Deemed Table'!DI1620</f>
        <v>686.77038606926249</v>
      </c>
      <c r="AF206" s="3846">
        <f>'HVAC Deemed Table'!DI1621</f>
        <v>3765.609623713618</v>
      </c>
      <c r="AG206" s="3846"/>
      <c r="AH206" s="3846"/>
      <c r="AI206" s="3847" t="str">
        <f t="shared" si="102"/>
        <v>per measure</v>
      </c>
      <c r="AJ206" s="3220">
        <f>'HVAC Deemed Table'!L1620</f>
        <v>2.8</v>
      </c>
      <c r="AK206" s="3848"/>
      <c r="AL206" s="3848"/>
      <c r="AX206" s="3849" t="str">
        <f t="shared" si="107"/>
        <v>ASHP-SEER17-Replace_CAC_ElectricHeat_ROF_MF</v>
      </c>
      <c r="AY206" s="2724"/>
      <c r="AZ206" s="3850" t="str">
        <f t="shared" si="108"/>
        <v>353150</v>
      </c>
      <c r="BA206" s="3886">
        <f t="shared" si="137"/>
        <v>891.85</v>
      </c>
      <c r="BB206" s="3886">
        <f t="shared" si="137"/>
        <v>6541.11</v>
      </c>
      <c r="BC206" s="3886">
        <f t="shared" si="138"/>
        <v>319.20999999999998</v>
      </c>
      <c r="BD206" s="3886">
        <f t="shared" si="138"/>
        <v>6541.11</v>
      </c>
      <c r="BE206" s="3853"/>
      <c r="BF206" s="3854">
        <f>ROUND(BA206*'CP FACTORS'!$B$9,6)</f>
        <v>0.84495500000000001</v>
      </c>
      <c r="BG206" s="3854">
        <f>ROUND(BB206*'CP FACTORS'!$B$14,6)</f>
        <v>0</v>
      </c>
      <c r="BH206" s="3854">
        <f>ROUND(BC206*'CP FACTORS'!$B$9,6)</f>
        <v>0.302425</v>
      </c>
      <c r="BI206" s="3855">
        <f>ROUND(BD206*'CP FACTORS'!$B$14,6)</f>
        <v>0</v>
      </c>
      <c r="BJ206" s="3853"/>
      <c r="BK206" s="3856">
        <f t="shared" si="97"/>
        <v>7432.96</v>
      </c>
      <c r="BL206" s="3857">
        <f t="shared" si="98"/>
        <v>6860.32</v>
      </c>
      <c r="BM206" s="3858">
        <f t="shared" si="99"/>
        <v>0.84495500000000001</v>
      </c>
      <c r="BN206" s="3855">
        <f t="shared" si="100"/>
        <v>0.302425</v>
      </c>
    </row>
    <row r="207" spans="1:66" s="696" customFormat="1">
      <c r="A207" s="2958" t="str">
        <f t="shared" si="104"/>
        <v>353151</v>
      </c>
      <c r="B207" s="2233" t="str">
        <f>'HVAC Deemed Table'!C1622</f>
        <v>353151_2024_12_</v>
      </c>
      <c r="C207" s="3874" t="str">
        <f>'HVAC Deemed Table'!G1622</f>
        <v>Cooling Res</v>
      </c>
      <c r="D207" s="3874" t="str">
        <f>'HVAC Deemed Table'!G1623</f>
        <v>Heating Res</v>
      </c>
      <c r="E207" s="2724"/>
      <c r="F207" s="2724"/>
      <c r="G207" s="2724" t="str">
        <f>'HVAC Deemed Table'!E1622</f>
        <v>ASHP-SEER17-Replace_CAC_ElectricHeat_ROF_MF_CompE</v>
      </c>
      <c r="H207" s="2554" t="str">
        <f>'HVAC Deemed Table'!D1622</f>
        <v>MFc</v>
      </c>
      <c r="I207" s="3840">
        <f t="shared" si="88"/>
        <v>2336.23</v>
      </c>
      <c r="J207" s="3840">
        <f t="shared" si="89"/>
        <v>0</v>
      </c>
      <c r="K207" s="3251">
        <f>'HVAC Deemed Table'!F1622</f>
        <v>218.13</v>
      </c>
      <c r="L207" s="3251">
        <f>'HVAC Deemed Table'!F1623</f>
        <v>2118.1</v>
      </c>
      <c r="M207" s="3251"/>
      <c r="N207" s="3251"/>
      <c r="O207" s="3841">
        <f t="shared" si="90"/>
        <v>0.20666000000000001</v>
      </c>
      <c r="P207" s="3841">
        <f t="shared" si="91"/>
        <v>0</v>
      </c>
      <c r="Q207" s="3842">
        <f>'HVAC Deemed Table'!I1622</f>
        <v>0.20666000000000001</v>
      </c>
      <c r="R207" s="3842">
        <f>'HVAC Deemed Table'!I1623</f>
        <v>0</v>
      </c>
      <c r="S207" s="3842"/>
      <c r="T207" s="3842"/>
      <c r="U207" s="3843">
        <f t="shared" si="92"/>
        <v>0</v>
      </c>
      <c r="V207" s="3843">
        <f t="shared" si="93"/>
        <v>0</v>
      </c>
      <c r="W207" s="3843">
        <f t="shared" si="94"/>
        <v>0.20666000000000001</v>
      </c>
      <c r="X207" s="2846">
        <f>'HVAC Deemed Table'!J1622</f>
        <v>18</v>
      </c>
      <c r="Y207" s="2846"/>
      <c r="Z207" s="2846">
        <f t="shared" si="105"/>
        <v>18</v>
      </c>
      <c r="AA207" s="2529">
        <f>'HVAC Deemed Table'!DG1622</f>
        <v>0.55070858554983226</v>
      </c>
      <c r="AB207" s="3878">
        <f>'HVAC Deemed Table'!K1622</f>
        <v>3238</v>
      </c>
      <c r="AC207" s="3845">
        <f t="shared" si="106"/>
        <v>1783.1944000103567</v>
      </c>
      <c r="AD207" s="3845">
        <f t="shared" ref="AD207:AD274" si="139">AG207+AH207</f>
        <v>0</v>
      </c>
      <c r="AE207" s="3846">
        <f>'HVAC Deemed Table'!DI1622</f>
        <v>499.46729007864576</v>
      </c>
      <c r="AF207" s="3846">
        <f>'HVAC Deemed Table'!DI1623</f>
        <v>1283.7271099317111</v>
      </c>
      <c r="AG207" s="3846"/>
      <c r="AH207" s="3846"/>
      <c r="AI207" s="3847" t="str">
        <f t="shared" si="102"/>
        <v>per measure</v>
      </c>
      <c r="AJ207" s="3220">
        <f>'HVAC Deemed Table'!L1622</f>
        <v>2.8</v>
      </c>
      <c r="AK207" s="3848"/>
      <c r="AL207" s="3848"/>
      <c r="AX207" s="3849" t="str">
        <f t="shared" si="107"/>
        <v>ASHP-SEER17-Replace_CAC_ElectricHeat_ROF_MF_CompE</v>
      </c>
      <c r="AY207" s="2724"/>
      <c r="AZ207" s="3850" t="str">
        <f t="shared" si="108"/>
        <v>353151</v>
      </c>
      <c r="BA207" s="3886">
        <f t="shared" si="137"/>
        <v>648.62</v>
      </c>
      <c r="BB207" s="3886">
        <f t="shared" si="137"/>
        <v>2229.92</v>
      </c>
      <c r="BC207" s="3886">
        <f t="shared" si="138"/>
        <v>232.15</v>
      </c>
      <c r="BD207" s="3886">
        <f t="shared" si="138"/>
        <v>2229.92</v>
      </c>
      <c r="BE207" s="3853"/>
      <c r="BF207" s="3854">
        <f>ROUND(BA207*'CP FACTORS'!$B$9,6)</f>
        <v>0.614514</v>
      </c>
      <c r="BG207" s="3854">
        <f>ROUND(BB207*'CP FACTORS'!$B$14,6)</f>
        <v>0</v>
      </c>
      <c r="BH207" s="3854">
        <f>ROUND(BC207*'CP FACTORS'!$B$9,6)</f>
        <v>0.219943</v>
      </c>
      <c r="BI207" s="3855">
        <f>ROUND(BD207*'CP FACTORS'!$B$14,6)</f>
        <v>0</v>
      </c>
      <c r="BJ207" s="3853"/>
      <c r="BK207" s="3856">
        <f t="shared" si="97"/>
        <v>2878.54</v>
      </c>
      <c r="BL207" s="3857">
        <f t="shared" si="98"/>
        <v>2462.0700000000002</v>
      </c>
      <c r="BM207" s="3858">
        <f t="shared" si="99"/>
        <v>0.614514</v>
      </c>
      <c r="BN207" s="3855">
        <f t="shared" si="100"/>
        <v>0.219943</v>
      </c>
    </row>
    <row r="208" spans="1:66" s="696" customFormat="1">
      <c r="A208" s="2958" t="str">
        <f t="shared" si="104"/>
        <v>353160</v>
      </c>
      <c r="B208" s="2233" t="str">
        <f>'HVAC Deemed Table'!C1624</f>
        <v>353160_2024_12_</v>
      </c>
      <c r="C208" s="3874" t="str">
        <f>'HVAC Deemed Table'!G1624</f>
        <v>Cooling Res</v>
      </c>
      <c r="D208" s="3874" t="str">
        <f>'HVAC Deemed Table'!G1625</f>
        <v>Heating Res</v>
      </c>
      <c r="E208" s="2724"/>
      <c r="F208" s="2724"/>
      <c r="G208" s="2724" t="str">
        <f>'HVAC Deemed Table'!E1624</f>
        <v>ASHP-SEER17-Replace_CAC_NonElectricHeat_ROF_MF</v>
      </c>
      <c r="H208" s="2554" t="str">
        <f>'HVAC Deemed Table'!D1624</f>
        <v>MF</v>
      </c>
      <c r="I208" s="3840">
        <f t="shared" si="88"/>
        <v>299.93</v>
      </c>
      <c r="J208" s="3840">
        <f t="shared" si="89"/>
        <v>0</v>
      </c>
      <c r="K208" s="3251">
        <f>'HVAC Deemed Table'!F1624</f>
        <v>299.93</v>
      </c>
      <c r="L208" s="3251">
        <f>'HVAC Deemed Table'!F1625</f>
        <v>0</v>
      </c>
      <c r="M208" s="3251"/>
      <c r="N208" s="3251"/>
      <c r="O208" s="3841">
        <f t="shared" si="90"/>
        <v>0.28415899999999999</v>
      </c>
      <c r="P208" s="3841">
        <f t="shared" si="91"/>
        <v>0</v>
      </c>
      <c r="Q208" s="3842">
        <f>'HVAC Deemed Table'!I1624</f>
        <v>0.28415899999999999</v>
      </c>
      <c r="R208" s="3842">
        <f>'HVAC Deemed Table'!I1625</f>
        <v>0</v>
      </c>
      <c r="S208" s="3842"/>
      <c r="T208" s="3842"/>
      <c r="U208" s="3843">
        <f t="shared" si="92"/>
        <v>0</v>
      </c>
      <c r="V208" s="3843">
        <f t="shared" si="93"/>
        <v>0</v>
      </c>
      <c r="W208" s="3843">
        <f t="shared" si="94"/>
        <v>0.28415899999999999</v>
      </c>
      <c r="X208" s="2846">
        <f>'HVAC Deemed Table'!J1624</f>
        <v>18</v>
      </c>
      <c r="Y208" s="2846"/>
      <c r="Z208" s="2846">
        <f t="shared" si="105"/>
        <v>18</v>
      </c>
      <c r="AA208" s="2529">
        <f>'HVAC Deemed Table'!DG1624</f>
        <v>4.6057308320310248</v>
      </c>
      <c r="AB208" s="3878">
        <f>'HVAC Deemed Table'!K1624</f>
        <v>149.11214118138381</v>
      </c>
      <c r="AC208" s="3845">
        <f t="shared" si="106"/>
        <v>686.77038606926249</v>
      </c>
      <c r="AD208" s="3845">
        <f t="shared" si="139"/>
        <v>0</v>
      </c>
      <c r="AE208" s="3846">
        <f>'HVAC Deemed Table'!DI1624</f>
        <v>686.77038606926249</v>
      </c>
      <c r="AF208" s="3846">
        <f>'HVAC Deemed Table'!DI1625</f>
        <v>0</v>
      </c>
      <c r="AG208" s="3846"/>
      <c r="AH208" s="3846"/>
      <c r="AI208" s="3847" t="str">
        <f t="shared" si="102"/>
        <v>per measure</v>
      </c>
      <c r="AJ208" s="3220">
        <f>'HVAC Deemed Table'!L1624</f>
        <v>2.8</v>
      </c>
      <c r="AK208" s="3848"/>
      <c r="AL208" s="3848"/>
      <c r="AX208" s="3849" t="str">
        <f t="shared" si="107"/>
        <v>ASHP-SEER17-Replace_CAC_NonElectricHeat_ROF_MF</v>
      </c>
      <c r="AY208" s="2724"/>
      <c r="AZ208" s="3850" t="str">
        <f t="shared" si="108"/>
        <v>353160</v>
      </c>
      <c r="BA208" s="3886">
        <f t="shared" si="137"/>
        <v>891.85</v>
      </c>
      <c r="BB208" s="3886">
        <f t="shared" si="137"/>
        <v>0</v>
      </c>
      <c r="BC208" s="3886">
        <f t="shared" si="138"/>
        <v>319.20999999999998</v>
      </c>
      <c r="BD208" s="3886">
        <f t="shared" si="138"/>
        <v>0</v>
      </c>
      <c r="BE208" s="3853"/>
      <c r="BF208" s="3854">
        <f>ROUND(BA208*'CP FACTORS'!$B$9,6)</f>
        <v>0.84495500000000001</v>
      </c>
      <c r="BG208" s="3854">
        <f>ROUND(BB208*'CP FACTORS'!$B$14,6)</f>
        <v>0</v>
      </c>
      <c r="BH208" s="3854">
        <f>ROUND(BC208*'CP FACTORS'!$B$9,6)</f>
        <v>0.302425</v>
      </c>
      <c r="BI208" s="3855">
        <f>ROUND(BD208*'CP FACTORS'!$B$14,6)</f>
        <v>0</v>
      </c>
      <c r="BJ208" s="3853"/>
      <c r="BK208" s="3856">
        <f t="shared" si="97"/>
        <v>891.85</v>
      </c>
      <c r="BL208" s="3857">
        <f t="shared" si="98"/>
        <v>319.20999999999998</v>
      </c>
      <c r="BM208" s="3858">
        <f t="shared" si="99"/>
        <v>0.84495500000000001</v>
      </c>
      <c r="BN208" s="3855">
        <f t="shared" si="100"/>
        <v>0.302425</v>
      </c>
    </row>
    <row r="209" spans="1:66" s="696" customFormat="1">
      <c r="A209" s="2958" t="str">
        <f t="shared" si="104"/>
        <v>353161</v>
      </c>
      <c r="B209" s="2233" t="str">
        <f>'HVAC Deemed Table'!C1626</f>
        <v>353161_2024_12_</v>
      </c>
      <c r="C209" s="3874" t="str">
        <f>'HVAC Deemed Table'!G1626</f>
        <v>Cooling Res</v>
      </c>
      <c r="D209" s="3874" t="str">
        <f>'HVAC Deemed Table'!G1627</f>
        <v>Heating Res</v>
      </c>
      <c r="E209" s="2724"/>
      <c r="F209" s="2724"/>
      <c r="G209" s="2724" t="str">
        <f>'HVAC Deemed Table'!E1626</f>
        <v>ASHP-SEER17-Replace_CAC_NonElectricHeat_ROF_MF_CompE</v>
      </c>
      <c r="H209" s="2554" t="str">
        <f>'HVAC Deemed Table'!D1626</f>
        <v>MFc</v>
      </c>
      <c r="I209" s="3840">
        <f t="shared" si="88"/>
        <v>218.13</v>
      </c>
      <c r="J209" s="3840">
        <f t="shared" si="89"/>
        <v>0</v>
      </c>
      <c r="K209" s="3251">
        <f>'HVAC Deemed Table'!F1626</f>
        <v>218.13</v>
      </c>
      <c r="L209" s="3251">
        <f>'HVAC Deemed Table'!F1627</f>
        <v>0</v>
      </c>
      <c r="M209" s="3251"/>
      <c r="N209" s="3251"/>
      <c r="O209" s="3841">
        <f t="shared" si="90"/>
        <v>0.20666000000000001</v>
      </c>
      <c r="P209" s="3841">
        <f t="shared" si="91"/>
        <v>0</v>
      </c>
      <c r="Q209" s="3842">
        <f>'HVAC Deemed Table'!I1626</f>
        <v>0.20666000000000001</v>
      </c>
      <c r="R209" s="3842">
        <f>'HVAC Deemed Table'!I1627</f>
        <v>0</v>
      </c>
      <c r="S209" s="3842"/>
      <c r="T209" s="3842"/>
      <c r="U209" s="3843">
        <f t="shared" si="92"/>
        <v>0</v>
      </c>
      <c r="V209" s="3843">
        <f t="shared" si="93"/>
        <v>0</v>
      </c>
      <c r="W209" s="3843">
        <f t="shared" si="94"/>
        <v>0.20666000000000001</v>
      </c>
      <c r="X209" s="2846">
        <f>'HVAC Deemed Table'!J1626</f>
        <v>18</v>
      </c>
      <c r="Y209" s="2846"/>
      <c r="Z209" s="2846">
        <f t="shared" si="105"/>
        <v>18</v>
      </c>
      <c r="AA209" s="2529">
        <f>'HVAC Deemed Table'!DG1626</f>
        <v>1.6520774541098844</v>
      </c>
      <c r="AB209" s="3878">
        <f>'HVAC Deemed Table'!K1626</f>
        <v>302.32680001540945</v>
      </c>
      <c r="AC209" s="3845">
        <f t="shared" si="106"/>
        <v>499.46729007864576</v>
      </c>
      <c r="AD209" s="3845">
        <f t="shared" si="139"/>
        <v>0</v>
      </c>
      <c r="AE209" s="3846">
        <f>'HVAC Deemed Table'!DI1626</f>
        <v>499.46729007864576</v>
      </c>
      <c r="AF209" s="3846">
        <f>'HVAC Deemed Table'!DI1627</f>
        <v>0</v>
      </c>
      <c r="AG209" s="3846"/>
      <c r="AH209" s="3846"/>
      <c r="AI209" s="3847" t="str">
        <f t="shared" si="102"/>
        <v>per measure</v>
      </c>
      <c r="AJ209" s="3220">
        <f>'HVAC Deemed Table'!L1626</f>
        <v>2.8</v>
      </c>
      <c r="AK209" s="3848"/>
      <c r="AL209" s="3848"/>
      <c r="AX209" s="3849" t="str">
        <f t="shared" si="107"/>
        <v>ASHP-SEER17-Replace_CAC_NonElectricHeat_ROF_MF_CompE</v>
      </c>
      <c r="AY209" s="2724"/>
      <c r="AZ209" s="3850" t="str">
        <f t="shared" si="108"/>
        <v>353161</v>
      </c>
      <c r="BA209" s="3886">
        <f t="shared" si="137"/>
        <v>648.62</v>
      </c>
      <c r="BB209" s="3886">
        <f t="shared" si="137"/>
        <v>0</v>
      </c>
      <c r="BC209" s="3886">
        <f t="shared" si="138"/>
        <v>232.15</v>
      </c>
      <c r="BD209" s="3886">
        <f t="shared" si="138"/>
        <v>0</v>
      </c>
      <c r="BE209" s="3853"/>
      <c r="BF209" s="3854">
        <f>ROUND(BA209*'CP FACTORS'!$B$9,6)</f>
        <v>0.614514</v>
      </c>
      <c r="BG209" s="3854">
        <f>ROUND(BB209*'CP FACTORS'!$B$14,6)</f>
        <v>0</v>
      </c>
      <c r="BH209" s="3854">
        <f>ROUND(BC209*'CP FACTORS'!$B$9,6)</f>
        <v>0.219943</v>
      </c>
      <c r="BI209" s="3855">
        <f>ROUND(BD209*'CP FACTORS'!$B$14,6)</f>
        <v>0</v>
      </c>
      <c r="BJ209" s="3853"/>
      <c r="BK209" s="3856">
        <f t="shared" si="97"/>
        <v>648.62</v>
      </c>
      <c r="BL209" s="3857">
        <f t="shared" si="98"/>
        <v>232.15</v>
      </c>
      <c r="BM209" s="3858">
        <f t="shared" si="99"/>
        <v>0.614514</v>
      </c>
      <c r="BN209" s="3855">
        <f t="shared" si="100"/>
        <v>0.219943</v>
      </c>
    </row>
    <row r="210" spans="1:66">
      <c r="A210" s="51" t="str">
        <f t="shared" si="104"/>
        <v>353200</v>
      </c>
      <c r="B210" s="1442" t="str">
        <f>'HVAC Deemed Table'!C1628</f>
        <v>353200_2024_12_</v>
      </c>
      <c r="C210" s="887" t="str">
        <f>'HVAC Deemed Table'!G1628</f>
        <v>Cooling Res</v>
      </c>
      <c r="D210" s="887" t="str">
        <f>'HVAC Deemed Table'!G1629</f>
        <v>Heating Res</v>
      </c>
      <c r="E210" s="1378"/>
      <c r="F210" s="1378"/>
      <c r="G210" s="1378" t="str">
        <f>'HVAC Deemed Table'!E1628</f>
        <v>ASHP-SEER18-Replace_CAC_ElectricHeat_ROF_SF</v>
      </c>
      <c r="H210" s="19" t="str">
        <f>'HVAC Deemed Table'!D1628</f>
        <v>PAYS/SFIE</v>
      </c>
      <c r="I210" s="785">
        <f t="shared" si="88"/>
        <v>11058.71</v>
      </c>
      <c r="J210" s="785">
        <f t="shared" si="89"/>
        <v>0</v>
      </c>
      <c r="K210" s="202">
        <f>'HVAC Deemed Table'!F1628</f>
        <v>700.49</v>
      </c>
      <c r="L210" s="202">
        <f>'HVAC Deemed Table'!F1629</f>
        <v>10358.219999999999</v>
      </c>
      <c r="M210" s="202"/>
      <c r="N210" s="202"/>
      <c r="O210" s="786">
        <f t="shared" si="90"/>
        <v>0.66365700000000005</v>
      </c>
      <c r="P210" s="786">
        <f t="shared" si="91"/>
        <v>0</v>
      </c>
      <c r="Q210" s="787">
        <f>'HVAC Deemed Table'!I1628</f>
        <v>0.66365700000000005</v>
      </c>
      <c r="R210" s="787">
        <f>'HVAC Deemed Table'!I1629</f>
        <v>0</v>
      </c>
      <c r="S210" s="787"/>
      <c r="T210" s="787"/>
      <c r="U210" s="788">
        <f t="shared" ref="U210:U273" si="140">IFERROR(IF(V210+W210&gt;0,0,IF(Z210&gt;0,O210,0)),0)</f>
        <v>0</v>
      </c>
      <c r="V210" s="788">
        <f t="shared" ref="V210:V273" si="141">IF(W210&gt;0,0,IF(Z210&gt;9,O210,0))</f>
        <v>0</v>
      </c>
      <c r="W210" s="788">
        <f t="shared" ref="W210:W273" si="142">IF(Z210&gt;14,O210,0)</f>
        <v>0.66365700000000005</v>
      </c>
      <c r="X210" s="23">
        <f>'HVAC Deemed Table'!J1628</f>
        <v>18</v>
      </c>
      <c r="Y210" s="23"/>
      <c r="Z210" s="23">
        <f t="shared" si="105"/>
        <v>18</v>
      </c>
      <c r="AA210" s="18">
        <f>'HVAC Deemed Table'!DG1628</f>
        <v>1.8891171859742262</v>
      </c>
      <c r="AB210" s="259">
        <f>'HVAC Deemed Table'!K1628</f>
        <v>4172.2222220000003</v>
      </c>
      <c r="AC210" s="903">
        <f t="shared" si="106"/>
        <v>7881.8167032837737</v>
      </c>
      <c r="AD210" s="903">
        <f t="shared" si="139"/>
        <v>0</v>
      </c>
      <c r="AE210" s="208">
        <f>'HVAC Deemed Table'!DI1628</f>
        <v>1603.9602165093779</v>
      </c>
      <c r="AF210" s="208">
        <f>'HVAC Deemed Table'!DI1629</f>
        <v>6277.8564867743962</v>
      </c>
      <c r="AG210" s="208"/>
      <c r="AH210" s="208"/>
      <c r="AI210" s="906" t="str">
        <f t="shared" si="102"/>
        <v>per measure</v>
      </c>
      <c r="AJ210" s="47">
        <f>'HVAC Deemed Table'!L1628</f>
        <v>3.0020370366666667</v>
      </c>
      <c r="AK210" s="641"/>
      <c r="AL210" s="641"/>
      <c r="AX210" s="1355" t="str">
        <f t="shared" si="107"/>
        <v>ASHP-SEER18-Replace_CAC_ElectricHeat_ROF_SF</v>
      </c>
      <c r="AY210" s="1378"/>
      <c r="AZ210" s="1446" t="str">
        <f t="shared" si="108"/>
        <v>353200</v>
      </c>
      <c r="BA210" s="1326">
        <f t="shared" ref="BA210:BB215" si="143">ROUND((K256*$BC$3)+(K210*$BC$4),2)</f>
        <v>1835.95</v>
      </c>
      <c r="BB210" s="1326">
        <f t="shared" si="143"/>
        <v>10174.02</v>
      </c>
      <c r="BC210" s="1326">
        <f t="shared" ref="BC210:BD215" si="144">ROUND((M256*$BC$3)+(K210*$BC$4),2)</f>
        <v>680.07</v>
      </c>
      <c r="BD210" s="1326">
        <f t="shared" si="144"/>
        <v>10174.02</v>
      </c>
      <c r="BE210" s="1305"/>
      <c r="BF210" s="1321">
        <f>ROUND(BA210*'CP FACTORS'!$B$9,6)</f>
        <v>1.739412</v>
      </c>
      <c r="BG210" s="1322">
        <f>ROUND(BB210*'CP FACTORS'!$B$14,6)</f>
        <v>0</v>
      </c>
      <c r="BH210" s="1321">
        <f>ROUND(BC210*'CP FACTORS'!$B$9,6)</f>
        <v>0.64431099999999997</v>
      </c>
      <c r="BI210" s="1323">
        <f>ROUND(BD210*'CP FACTORS'!$B$14,6)</f>
        <v>0</v>
      </c>
      <c r="BJ210" s="1305"/>
      <c r="BK210" s="730">
        <f t="shared" si="97"/>
        <v>12009.970000000001</v>
      </c>
      <c r="BL210" s="1342">
        <f t="shared" si="98"/>
        <v>10854.09</v>
      </c>
      <c r="BM210" s="1341">
        <f t="shared" si="99"/>
        <v>1.739412</v>
      </c>
      <c r="BN210" s="1340">
        <f t="shared" si="100"/>
        <v>0.64431099999999997</v>
      </c>
    </row>
    <row r="211" spans="1:66" s="41" customFormat="1">
      <c r="A211" s="51" t="str">
        <f>LEFT(B211,6)</f>
        <v>353210</v>
      </c>
      <c r="B211" s="1442" t="str">
        <f>'HVAC Deemed Table'!C1630</f>
        <v>353210_2024_12_</v>
      </c>
      <c r="C211" s="887" t="str">
        <f>'HVAC Deemed Table'!G1630</f>
        <v>Cooling Res</v>
      </c>
      <c r="D211" s="887" t="str">
        <f>'HVAC Deemed Table'!G1631</f>
        <v>Heating Res</v>
      </c>
      <c r="E211" s="1378"/>
      <c r="F211" s="1378"/>
      <c r="G211" s="1378" t="str">
        <f>'HVAC Deemed Table'!E1630</f>
        <v>ASHP-SEER18-Replace_CAC_NonElectricHeat_ROF_SF</v>
      </c>
      <c r="H211" s="19" t="str">
        <f>'HVAC Deemed Table'!D1630</f>
        <v>PAYS</v>
      </c>
      <c r="I211" s="785">
        <f>K211+L211</f>
        <v>700.49</v>
      </c>
      <c r="J211" s="785">
        <f>M211+N211</f>
        <v>0</v>
      </c>
      <c r="K211" s="202">
        <f>'HVAC Deemed Table'!F1630</f>
        <v>700.49</v>
      </c>
      <c r="L211" s="202">
        <f>'HVAC Deemed Table'!F1631</f>
        <v>0</v>
      </c>
      <c r="M211" s="202"/>
      <c r="N211" s="202"/>
      <c r="O211" s="786">
        <f>Q211+R211</f>
        <v>0.66365700000000005</v>
      </c>
      <c r="P211" s="786">
        <f>S211+T211</f>
        <v>0</v>
      </c>
      <c r="Q211" s="787">
        <f>'HVAC Deemed Table'!I1630</f>
        <v>0.66365700000000005</v>
      </c>
      <c r="R211" s="787">
        <f>'HVAC Deemed Table'!I1631</f>
        <v>0</v>
      </c>
      <c r="S211" s="787"/>
      <c r="T211" s="787"/>
      <c r="U211" s="788">
        <f t="shared" si="140"/>
        <v>0</v>
      </c>
      <c r="V211" s="788">
        <f t="shared" si="141"/>
        <v>0</v>
      </c>
      <c r="W211" s="788">
        <f t="shared" si="142"/>
        <v>0.66365700000000005</v>
      </c>
      <c r="X211" s="23">
        <f>'HVAC Deemed Table'!J1630</f>
        <v>18</v>
      </c>
      <c r="Y211" s="23"/>
      <c r="Z211" s="23">
        <f>Y211+X211</f>
        <v>18</v>
      </c>
      <c r="AA211" s="18">
        <f>'HVAC Deemed Table'!DG1630</f>
        <v>6.0691614398257743</v>
      </c>
      <c r="AB211" s="807">
        <f>'HVAC Deemed Table'!K1630</f>
        <v>264.28036762775952</v>
      </c>
      <c r="AC211" s="903">
        <f>AE211+AF211</f>
        <v>1603.9602165093779</v>
      </c>
      <c r="AD211" s="903">
        <f>AG211+AH211</f>
        <v>0</v>
      </c>
      <c r="AE211" s="208">
        <f>'HVAC Deemed Table'!DI1630</f>
        <v>1603.9602165093779</v>
      </c>
      <c r="AF211" s="208">
        <f>'HVAC Deemed Table'!DI1631</f>
        <v>0</v>
      </c>
      <c r="AG211" s="208"/>
      <c r="AH211" s="208"/>
      <c r="AI211" s="906" t="str">
        <f t="shared" si="102"/>
        <v>per measure</v>
      </c>
      <c r="AJ211" s="48">
        <f>'HVAC Deemed Table'!L1630</f>
        <v>3.0020370366666667</v>
      </c>
      <c r="AK211" s="918"/>
      <c r="AL211" s="918"/>
      <c r="AM211"/>
      <c r="AN211"/>
      <c r="AO211"/>
      <c r="AP211"/>
      <c r="AQ211"/>
      <c r="AR211"/>
      <c r="AS211"/>
      <c r="AT211"/>
      <c r="AU211"/>
      <c r="AV211"/>
      <c r="AW211"/>
      <c r="AX211" s="1355" t="str">
        <f t="shared" si="107"/>
        <v>ASHP-SEER18-Replace_CAC_NonElectricHeat_ROF_SF</v>
      </c>
      <c r="AY211" s="1378"/>
      <c r="AZ211" s="1446" t="str">
        <f t="shared" si="108"/>
        <v>353210</v>
      </c>
      <c r="BA211" s="1326">
        <f t="shared" si="143"/>
        <v>1835.95</v>
      </c>
      <c r="BB211" s="1326">
        <f t="shared" si="143"/>
        <v>0</v>
      </c>
      <c r="BC211" s="1326">
        <f t="shared" si="144"/>
        <v>680.07</v>
      </c>
      <c r="BD211" s="1326">
        <f t="shared" si="144"/>
        <v>0</v>
      </c>
      <c r="BE211" s="1306"/>
      <c r="BF211" s="1321">
        <f>ROUND(BA211*'CP FACTORS'!$B$9,6)</f>
        <v>1.739412</v>
      </c>
      <c r="BG211" s="1322">
        <f>ROUND(BB211*'CP FACTORS'!$B$14,6)</f>
        <v>0</v>
      </c>
      <c r="BH211" s="1321">
        <f>ROUND(BC211*'CP FACTORS'!$B$9,6)</f>
        <v>0.64431099999999997</v>
      </c>
      <c r="BI211" s="1323">
        <f>ROUND(BD211*'CP FACTORS'!$B$14,6)</f>
        <v>0</v>
      </c>
      <c r="BJ211" s="1305"/>
      <c r="BK211" s="730">
        <f t="shared" si="97"/>
        <v>1835.95</v>
      </c>
      <c r="BL211" s="1342">
        <f t="shared" si="98"/>
        <v>680.07</v>
      </c>
      <c r="BM211" s="1341">
        <f t="shared" si="99"/>
        <v>1.739412</v>
      </c>
      <c r="BN211" s="1340">
        <f t="shared" si="100"/>
        <v>0.64431099999999997</v>
      </c>
    </row>
    <row r="212" spans="1:66" s="696" customFormat="1">
      <c r="A212" s="2958" t="str">
        <f t="shared" si="104"/>
        <v>353250</v>
      </c>
      <c r="B212" s="2233" t="str">
        <f>'HVAC Deemed Table'!C1632</f>
        <v>353250_2024_12_</v>
      </c>
      <c r="C212" s="3874" t="str">
        <f>'HVAC Deemed Table'!G1632</f>
        <v>Cooling Res</v>
      </c>
      <c r="D212" s="3874" t="str">
        <f>'HVAC Deemed Table'!G1633</f>
        <v>Heating Res</v>
      </c>
      <c r="E212" s="2724"/>
      <c r="F212" s="2724"/>
      <c r="G212" s="2724" t="str">
        <f>'HVAC Deemed Table'!E1632</f>
        <v>ASHP-SEER18-Replace_CAC_ElectricHeat_ROF_MF</v>
      </c>
      <c r="H212" s="2554" t="str">
        <f>'HVAC Deemed Table'!D1632</f>
        <v>MF</v>
      </c>
      <c r="I212" s="3840">
        <f t="shared" si="88"/>
        <v>10721.13</v>
      </c>
      <c r="J212" s="3840">
        <f t="shared" si="89"/>
        <v>0</v>
      </c>
      <c r="K212" s="3251">
        <f>'HVAC Deemed Table'!F1632</f>
        <v>596.63</v>
      </c>
      <c r="L212" s="3251">
        <f>'HVAC Deemed Table'!F1633</f>
        <v>10124.5</v>
      </c>
      <c r="M212" s="3251"/>
      <c r="N212" s="3251"/>
      <c r="O212" s="3841">
        <f t="shared" si="90"/>
        <v>0.56525800000000004</v>
      </c>
      <c r="P212" s="3841">
        <f t="shared" si="91"/>
        <v>0</v>
      </c>
      <c r="Q212" s="3842">
        <f>'HVAC Deemed Table'!I1632</f>
        <v>0.56525800000000004</v>
      </c>
      <c r="R212" s="3842">
        <f>'HVAC Deemed Table'!I1633</f>
        <v>0</v>
      </c>
      <c r="S212" s="3842"/>
      <c r="T212" s="3842"/>
      <c r="U212" s="3843">
        <f t="shared" si="140"/>
        <v>0</v>
      </c>
      <c r="V212" s="3843">
        <f t="shared" si="141"/>
        <v>0</v>
      </c>
      <c r="W212" s="3843">
        <f t="shared" si="142"/>
        <v>0.56525800000000004</v>
      </c>
      <c r="X212" s="2846">
        <f>'HVAC Deemed Table'!J1632</f>
        <v>18</v>
      </c>
      <c r="Y212" s="2846"/>
      <c r="Z212" s="2846">
        <f t="shared" si="105"/>
        <v>18</v>
      </c>
      <c r="AA212" s="2529">
        <f>'HVAC Deemed Table'!DG1632</f>
        <v>1.7986932377653366</v>
      </c>
      <c r="AB212" s="3878">
        <f>'HVAC Deemed Table'!K1632</f>
        <v>4171</v>
      </c>
      <c r="AC212" s="3845">
        <f t="shared" si="106"/>
        <v>7502.3494947192194</v>
      </c>
      <c r="AD212" s="3845">
        <f t="shared" si="139"/>
        <v>0</v>
      </c>
      <c r="AE212" s="3846">
        <f>'HVAC Deemed Table'!DI1632</f>
        <v>1366.1448185926852</v>
      </c>
      <c r="AF212" s="3846">
        <f>'HVAC Deemed Table'!DI1633</f>
        <v>6136.2046761265337</v>
      </c>
      <c r="AG212" s="3846"/>
      <c r="AH212" s="3846"/>
      <c r="AI212" s="3847" t="str">
        <f t="shared" si="102"/>
        <v>per measure</v>
      </c>
      <c r="AJ212" s="3220">
        <f>'HVAC Deemed Table'!L1632</f>
        <v>3</v>
      </c>
      <c r="AK212" s="3848"/>
      <c r="AL212" s="3848"/>
      <c r="AX212" s="3849" t="str">
        <f t="shared" si="107"/>
        <v>ASHP-SEER18-Replace_CAC_ElectricHeat_ROF_MF</v>
      </c>
      <c r="AY212" s="2724"/>
      <c r="AZ212" s="3850" t="str">
        <f t="shared" si="108"/>
        <v>353250</v>
      </c>
      <c r="BA212" s="3859">
        <f t="shared" si="143"/>
        <v>1449.76</v>
      </c>
      <c r="BB212" s="3859">
        <f t="shared" si="143"/>
        <v>7172.18</v>
      </c>
      <c r="BC212" s="3859">
        <f t="shared" si="144"/>
        <v>417.64</v>
      </c>
      <c r="BD212" s="3859">
        <f t="shared" si="144"/>
        <v>7172.18</v>
      </c>
      <c r="BE212" s="3853"/>
      <c r="BF212" s="3854">
        <f>ROUND(BA212*'CP FACTORS'!$B$9,6)</f>
        <v>1.373529</v>
      </c>
      <c r="BG212" s="3854">
        <f>ROUND(BB212*'CP FACTORS'!$B$14,6)</f>
        <v>0</v>
      </c>
      <c r="BH212" s="3854">
        <f>ROUND(BC212*'CP FACTORS'!$B$9,6)</f>
        <v>0.39567999999999998</v>
      </c>
      <c r="BI212" s="3855">
        <f>ROUND(BD212*'CP FACTORS'!$B$14,6)</f>
        <v>0</v>
      </c>
      <c r="BJ212" s="3853"/>
      <c r="BK212" s="3856">
        <f t="shared" ref="BK212:BK275" si="145">BA212+BB212</f>
        <v>8621.94</v>
      </c>
      <c r="BL212" s="3857">
        <f t="shared" ref="BL212:BL275" si="146">BC212+BD212</f>
        <v>7589.8200000000006</v>
      </c>
      <c r="BM212" s="3858">
        <f t="shared" ref="BM212:BM275" si="147">BF212+BG212</f>
        <v>1.373529</v>
      </c>
      <c r="BN212" s="3855">
        <f t="shared" ref="BN212:BN275" si="148">BH212+BI212</f>
        <v>0.39567999999999998</v>
      </c>
    </row>
    <row r="213" spans="1:66" s="696" customFormat="1">
      <c r="A213" s="2958" t="str">
        <f t="shared" si="104"/>
        <v>353251</v>
      </c>
      <c r="B213" s="2233" t="str">
        <f>'HVAC Deemed Table'!C1634</f>
        <v>353251_2024_12_</v>
      </c>
      <c r="C213" s="3874" t="str">
        <f>'HVAC Deemed Table'!G1634</f>
        <v>Cooling Res</v>
      </c>
      <c r="D213" s="3874" t="str">
        <f>'HVAC Deemed Table'!G1635</f>
        <v>Heating Res</v>
      </c>
      <c r="E213" s="2724"/>
      <c r="F213" s="2724"/>
      <c r="G213" s="2724" t="str">
        <f>'HVAC Deemed Table'!E1634</f>
        <v>ASHP-SEER18-Replace_CAC_ElectricHeat_ROF_MF_CompE</v>
      </c>
      <c r="H213" s="2554" t="str">
        <f>'HVAC Deemed Table'!D1634</f>
        <v>MFc</v>
      </c>
      <c r="I213" s="3840">
        <f t="shared" si="88"/>
        <v>3885.44</v>
      </c>
      <c r="J213" s="3840">
        <f t="shared" si="89"/>
        <v>0</v>
      </c>
      <c r="K213" s="3251">
        <f>'HVAC Deemed Table'!F1634</f>
        <v>433.91</v>
      </c>
      <c r="L213" s="3251">
        <f>'HVAC Deemed Table'!F1635</f>
        <v>3451.53</v>
      </c>
      <c r="M213" s="3251"/>
      <c r="N213" s="3251"/>
      <c r="O213" s="3841">
        <f t="shared" si="90"/>
        <v>0.41109400000000001</v>
      </c>
      <c r="P213" s="3841">
        <f t="shared" si="91"/>
        <v>0</v>
      </c>
      <c r="Q213" s="3842">
        <f>'HVAC Deemed Table'!I1634</f>
        <v>0.41109400000000001</v>
      </c>
      <c r="R213" s="3842">
        <f>'HVAC Deemed Table'!I1635</f>
        <v>0</v>
      </c>
      <c r="S213" s="3842"/>
      <c r="T213" s="3842"/>
      <c r="U213" s="3843">
        <f t="shared" si="140"/>
        <v>0</v>
      </c>
      <c r="V213" s="3843">
        <f t="shared" si="141"/>
        <v>0</v>
      </c>
      <c r="W213" s="3843">
        <f t="shared" si="142"/>
        <v>0.41109400000000001</v>
      </c>
      <c r="X213" s="2846">
        <f>'HVAC Deemed Table'!J1634</f>
        <v>18</v>
      </c>
      <c r="Y213" s="2846"/>
      <c r="Z213" s="2846">
        <f t="shared" si="105"/>
        <v>18</v>
      </c>
      <c r="AA213" s="2529">
        <f>'HVAC Deemed Table'!DG1634</f>
        <v>0.73973605888671523</v>
      </c>
      <c r="AB213" s="3878">
        <f>'HVAC Deemed Table'!K1634</f>
        <v>4171</v>
      </c>
      <c r="AC213" s="3845">
        <f t="shared" si="106"/>
        <v>3085.4391016164891</v>
      </c>
      <c r="AD213" s="3845">
        <f t="shared" si="139"/>
        <v>0</v>
      </c>
      <c r="AE213" s="3846">
        <f>'HVAC Deemed Table'!DI1634</f>
        <v>993.5536232431358</v>
      </c>
      <c r="AF213" s="3846">
        <f>'HVAC Deemed Table'!DI1635</f>
        <v>2091.8854783733532</v>
      </c>
      <c r="AG213" s="3846"/>
      <c r="AH213" s="3846"/>
      <c r="AI213" s="3847" t="str">
        <f t="shared" si="102"/>
        <v>per measure</v>
      </c>
      <c r="AJ213" s="3220">
        <f>'HVAC Deemed Table'!L1634</f>
        <v>3</v>
      </c>
      <c r="AK213" s="3848"/>
      <c r="AL213" s="3848"/>
      <c r="AX213" s="3849" t="str">
        <f t="shared" si="107"/>
        <v>ASHP-SEER18-Replace_CAC_ElectricHeat_ROF_MF_CompE</v>
      </c>
      <c r="AY213" s="2724"/>
      <c r="AZ213" s="3850" t="str">
        <f t="shared" si="108"/>
        <v>353251</v>
      </c>
      <c r="BA213" s="3859">
        <f t="shared" si="143"/>
        <v>613.77</v>
      </c>
      <c r="BB213" s="3859">
        <f t="shared" si="143"/>
        <v>2445.06</v>
      </c>
      <c r="BC213" s="3859">
        <f t="shared" si="144"/>
        <v>303.74</v>
      </c>
      <c r="BD213" s="3859">
        <f t="shared" si="144"/>
        <v>2445.06</v>
      </c>
      <c r="BE213" s="3853"/>
      <c r="BF213" s="3854">
        <f>ROUND(BA213*'CP FACTORS'!$B$9,6)</f>
        <v>0.58149700000000004</v>
      </c>
      <c r="BG213" s="3854">
        <f>ROUND(BB213*'CP FACTORS'!$B$14,6)</f>
        <v>0</v>
      </c>
      <c r="BH213" s="3854">
        <f>ROUND(BC213*'CP FACTORS'!$B$9,6)</f>
        <v>0.287769</v>
      </c>
      <c r="BI213" s="3855">
        <f>ROUND(BD213*'CP FACTORS'!$B$14,6)</f>
        <v>0</v>
      </c>
      <c r="BJ213" s="3853"/>
      <c r="BK213" s="3856">
        <f t="shared" si="145"/>
        <v>3058.83</v>
      </c>
      <c r="BL213" s="3857">
        <f t="shared" si="146"/>
        <v>2748.8</v>
      </c>
      <c r="BM213" s="3858">
        <f t="shared" si="147"/>
        <v>0.58149700000000004</v>
      </c>
      <c r="BN213" s="3855">
        <f t="shared" si="148"/>
        <v>0.287769</v>
      </c>
    </row>
    <row r="214" spans="1:66" s="696" customFormat="1">
      <c r="A214" s="2958" t="str">
        <f t="shared" si="104"/>
        <v>353260</v>
      </c>
      <c r="B214" s="2233" t="str">
        <f>'HVAC Deemed Table'!C1636</f>
        <v>353260_2024_12_</v>
      </c>
      <c r="C214" s="3874" t="str">
        <f>'HVAC Deemed Table'!G1636</f>
        <v>Cooling Res</v>
      </c>
      <c r="D214" s="3874" t="str">
        <f>'HVAC Deemed Table'!G1637</f>
        <v>Heating Res</v>
      </c>
      <c r="E214" s="2724"/>
      <c r="F214" s="2724"/>
      <c r="G214" s="2724" t="str">
        <f>'HVAC Deemed Table'!E1636</f>
        <v>ASHP-SEER18-Replace_CAC_NonElectricHeat_ROF_MF</v>
      </c>
      <c r="H214" s="2554" t="str">
        <f>'HVAC Deemed Table'!D1636</f>
        <v>MF</v>
      </c>
      <c r="I214" s="3840">
        <f t="shared" ref="I214:I280" si="149">K214+L214</f>
        <v>596.63</v>
      </c>
      <c r="J214" s="3840">
        <f t="shared" ref="J214:J280" si="150">M214+N214</f>
        <v>0</v>
      </c>
      <c r="K214" s="3251">
        <f>'HVAC Deemed Table'!F1636</f>
        <v>596.63</v>
      </c>
      <c r="L214" s="3251">
        <f>'HVAC Deemed Table'!F1637</f>
        <v>0</v>
      </c>
      <c r="M214" s="3251"/>
      <c r="N214" s="3251"/>
      <c r="O214" s="3841">
        <f t="shared" ref="O214:O280" si="151">Q214+R214</f>
        <v>0.56525800000000004</v>
      </c>
      <c r="P214" s="3841">
        <f t="shared" ref="P214:P280" si="152">S214+T214</f>
        <v>0</v>
      </c>
      <c r="Q214" s="3842">
        <f>'HVAC Deemed Table'!I1636</f>
        <v>0.56525800000000004</v>
      </c>
      <c r="R214" s="3842">
        <f>'HVAC Deemed Table'!I1637</f>
        <v>0</v>
      </c>
      <c r="S214" s="3842"/>
      <c r="T214" s="3842"/>
      <c r="U214" s="3843">
        <f t="shared" si="140"/>
        <v>0</v>
      </c>
      <c r="V214" s="3843">
        <f t="shared" si="141"/>
        <v>0</v>
      </c>
      <c r="W214" s="3843">
        <f t="shared" si="142"/>
        <v>0.56525800000000004</v>
      </c>
      <c r="X214" s="2846">
        <f>'HVAC Deemed Table'!J1636</f>
        <v>18</v>
      </c>
      <c r="Y214" s="2846"/>
      <c r="Z214" s="2846">
        <f t="shared" si="105"/>
        <v>18</v>
      </c>
      <c r="AA214" s="2529">
        <f>'HVAC Deemed Table'!DG1636</f>
        <v>5.8856173682584201</v>
      </c>
      <c r="AB214" s="3878">
        <f>'HVAC Deemed Table'!K1636</f>
        <v>232.11580588986425</v>
      </c>
      <c r="AC214" s="3845">
        <f t="shared" si="106"/>
        <v>1366.1448185926852</v>
      </c>
      <c r="AD214" s="3845">
        <f t="shared" si="139"/>
        <v>0</v>
      </c>
      <c r="AE214" s="3846">
        <f>'HVAC Deemed Table'!DI1636</f>
        <v>1366.1448185926852</v>
      </c>
      <c r="AF214" s="3846">
        <f>'HVAC Deemed Table'!DI1637</f>
        <v>0</v>
      </c>
      <c r="AG214" s="3846"/>
      <c r="AH214" s="3846"/>
      <c r="AI214" s="3847" t="str">
        <f t="shared" si="102"/>
        <v>per measure</v>
      </c>
      <c r="AJ214" s="3220">
        <f>'HVAC Deemed Table'!L1636</f>
        <v>3</v>
      </c>
      <c r="AK214" s="3848"/>
      <c r="AL214" s="3848"/>
      <c r="AX214" s="3849" t="str">
        <f t="shared" si="107"/>
        <v>ASHP-SEER18-Replace_CAC_NonElectricHeat_ROF_MF</v>
      </c>
      <c r="AY214" s="2724"/>
      <c r="AZ214" s="3850" t="str">
        <f t="shared" si="108"/>
        <v>353260</v>
      </c>
      <c r="BA214" s="3859">
        <f t="shared" si="143"/>
        <v>1449.76</v>
      </c>
      <c r="BB214" s="3859">
        <f t="shared" si="143"/>
        <v>0</v>
      </c>
      <c r="BC214" s="3859">
        <f t="shared" si="144"/>
        <v>417.64</v>
      </c>
      <c r="BD214" s="3859">
        <f t="shared" si="144"/>
        <v>0</v>
      </c>
      <c r="BE214" s="3853"/>
      <c r="BF214" s="3854">
        <f>ROUND(BA214*'CP FACTORS'!$B$9,6)</f>
        <v>1.373529</v>
      </c>
      <c r="BG214" s="3854">
        <f>ROUND(BB214*'CP FACTORS'!$B$14,6)</f>
        <v>0</v>
      </c>
      <c r="BH214" s="3854">
        <f>ROUND(BC214*'CP FACTORS'!$B$9,6)</f>
        <v>0.39567999999999998</v>
      </c>
      <c r="BI214" s="3855">
        <f>ROUND(BD214*'CP FACTORS'!$B$14,6)</f>
        <v>0</v>
      </c>
      <c r="BJ214" s="3853"/>
      <c r="BK214" s="3856">
        <f t="shared" si="145"/>
        <v>1449.76</v>
      </c>
      <c r="BL214" s="3857">
        <f t="shared" si="146"/>
        <v>417.64</v>
      </c>
      <c r="BM214" s="3858">
        <f t="shared" si="147"/>
        <v>1.373529</v>
      </c>
      <c r="BN214" s="3855">
        <f t="shared" si="148"/>
        <v>0.39567999999999998</v>
      </c>
    </row>
    <row r="215" spans="1:66" s="696" customFormat="1">
      <c r="A215" s="2958" t="str">
        <f t="shared" si="104"/>
        <v>353261</v>
      </c>
      <c r="B215" s="2233" t="str">
        <f>'HVAC Deemed Table'!C1638</f>
        <v>353261_2024_12_</v>
      </c>
      <c r="C215" s="3874" t="str">
        <f>'HVAC Deemed Table'!G1638</f>
        <v>Cooling Res</v>
      </c>
      <c r="D215" s="3874" t="str">
        <f>'HVAC Deemed Table'!G1639</f>
        <v>Heating Res</v>
      </c>
      <c r="E215" s="2724"/>
      <c r="F215" s="2724"/>
      <c r="G215" s="2724" t="str">
        <f>'HVAC Deemed Table'!E1638</f>
        <v>ASHP-SEER18-Replace_CAC_NonElectricHeat_ROF_MF_CompE</v>
      </c>
      <c r="H215" s="2554" t="str">
        <f>'HVAC Deemed Table'!D1638</f>
        <v>MFc</v>
      </c>
      <c r="I215" s="3840">
        <f t="shared" si="149"/>
        <v>433.91</v>
      </c>
      <c r="J215" s="3840">
        <f t="shared" si="150"/>
        <v>0</v>
      </c>
      <c r="K215" s="3251">
        <f>'HVAC Deemed Table'!F1638</f>
        <v>433.91</v>
      </c>
      <c r="L215" s="3251">
        <f>'HVAC Deemed Table'!F1639</f>
        <v>0</v>
      </c>
      <c r="M215" s="3251"/>
      <c r="N215" s="3251"/>
      <c r="O215" s="3841">
        <f t="shared" si="151"/>
        <v>0.41109400000000001</v>
      </c>
      <c r="P215" s="3841">
        <f t="shared" si="152"/>
        <v>0</v>
      </c>
      <c r="Q215" s="3842">
        <f>'HVAC Deemed Table'!I1638</f>
        <v>0.41109400000000001</v>
      </c>
      <c r="R215" s="3842">
        <f>'HVAC Deemed Table'!I1639</f>
        <v>0</v>
      </c>
      <c r="S215" s="3842"/>
      <c r="T215" s="3842"/>
      <c r="U215" s="3843">
        <f t="shared" si="140"/>
        <v>0</v>
      </c>
      <c r="V215" s="3843">
        <f t="shared" si="141"/>
        <v>0</v>
      </c>
      <c r="W215" s="3843">
        <f t="shared" si="142"/>
        <v>0.41109400000000001</v>
      </c>
      <c r="X215" s="2846">
        <f>'HVAC Deemed Table'!J1638</f>
        <v>18</v>
      </c>
      <c r="Y215" s="2846"/>
      <c r="Z215" s="2846">
        <f t="shared" si="105"/>
        <v>18</v>
      </c>
      <c r="AA215" s="2529">
        <f>'HVAC Deemed Table'!DG1638</f>
        <v>2.133003997463514</v>
      </c>
      <c r="AB215" s="3878">
        <f>'HVAC Deemed Table'!K1638</f>
        <v>465.80016935018944</v>
      </c>
      <c r="AC215" s="3845">
        <f t="shared" si="106"/>
        <v>993.5536232431358</v>
      </c>
      <c r="AD215" s="3845">
        <f t="shared" si="139"/>
        <v>0</v>
      </c>
      <c r="AE215" s="3846">
        <f>'HVAC Deemed Table'!DI1638</f>
        <v>993.5536232431358</v>
      </c>
      <c r="AF215" s="3846">
        <f>'HVAC Deemed Table'!DI1639</f>
        <v>0</v>
      </c>
      <c r="AG215" s="3846"/>
      <c r="AH215" s="3846"/>
      <c r="AI215" s="3847" t="str">
        <f t="shared" si="102"/>
        <v>per measure</v>
      </c>
      <c r="AJ215" s="3220">
        <f>'HVAC Deemed Table'!L1638</f>
        <v>3</v>
      </c>
      <c r="AK215" s="3848"/>
      <c r="AL215" s="3848"/>
      <c r="AX215" s="3849" t="str">
        <f t="shared" si="107"/>
        <v>ASHP-SEER18-Replace_CAC_NonElectricHeat_ROF_MF_CompE</v>
      </c>
      <c r="AY215" s="2724"/>
      <c r="AZ215" s="3850" t="str">
        <f t="shared" si="108"/>
        <v>353261</v>
      </c>
      <c r="BA215" s="3859">
        <f t="shared" si="143"/>
        <v>613.77</v>
      </c>
      <c r="BB215" s="3859">
        <f t="shared" si="143"/>
        <v>0</v>
      </c>
      <c r="BC215" s="3859">
        <f t="shared" si="144"/>
        <v>303.74</v>
      </c>
      <c r="BD215" s="3859">
        <f t="shared" si="144"/>
        <v>0</v>
      </c>
      <c r="BE215" s="3853"/>
      <c r="BF215" s="3854">
        <f>ROUND(BA215*'CP FACTORS'!$B$9,6)</f>
        <v>0.58149700000000004</v>
      </c>
      <c r="BG215" s="3854">
        <f>ROUND(BB215*'CP FACTORS'!$B$14,6)</f>
        <v>0</v>
      </c>
      <c r="BH215" s="3854">
        <f>ROUND(BC215*'CP FACTORS'!$B$9,6)</f>
        <v>0.287769</v>
      </c>
      <c r="BI215" s="3855">
        <f>ROUND(BD215*'CP FACTORS'!$B$14,6)</f>
        <v>0</v>
      </c>
      <c r="BJ215" s="3853"/>
      <c r="BK215" s="3856">
        <f t="shared" si="145"/>
        <v>613.77</v>
      </c>
      <c r="BL215" s="3857">
        <f t="shared" si="146"/>
        <v>303.74</v>
      </c>
      <c r="BM215" s="3858">
        <f t="shared" si="147"/>
        <v>0.58149700000000004</v>
      </c>
      <c r="BN215" s="3855">
        <f t="shared" si="148"/>
        <v>0.287769</v>
      </c>
    </row>
    <row r="216" spans="1:66">
      <c r="A216" s="51" t="str">
        <f t="shared" si="104"/>
        <v>353300</v>
      </c>
      <c r="B216" s="1442" t="str">
        <f>'HVAC Deemed Table'!C1640</f>
        <v>353300_2024_12_</v>
      </c>
      <c r="C216" s="887" t="str">
        <f>'HVAC Deemed Table'!G1640</f>
        <v>Cooling Res</v>
      </c>
      <c r="D216" s="887" t="str">
        <f>'HVAC Deemed Table'!G1641</f>
        <v>Heating Res</v>
      </c>
      <c r="E216" s="1378"/>
      <c r="F216" s="1378"/>
      <c r="G216" s="1378" t="str">
        <f>'HVAC Deemed Table'!E1640</f>
        <v>ASHP-SEER19-Replace_CAC_ElectricHeat_ROF_SF</v>
      </c>
      <c r="H216" s="19" t="str">
        <f>'HVAC Deemed Table'!D1640</f>
        <v>PAYS/SFIE</v>
      </c>
      <c r="I216" s="785">
        <f t="shared" si="149"/>
        <v>11279.69</v>
      </c>
      <c r="J216" s="785">
        <f t="shared" si="150"/>
        <v>0</v>
      </c>
      <c r="K216" s="202">
        <f>'HVAC Deemed Table'!F1640</f>
        <v>838.11</v>
      </c>
      <c r="L216" s="202">
        <f>'HVAC Deemed Table'!F1641</f>
        <v>10441.58</v>
      </c>
      <c r="M216" s="202"/>
      <c r="N216" s="202"/>
      <c r="O216" s="786">
        <f t="shared" si="151"/>
        <v>0.794041</v>
      </c>
      <c r="P216" s="786">
        <f t="shared" si="152"/>
        <v>0</v>
      </c>
      <c r="Q216" s="787">
        <f>'HVAC Deemed Table'!I1640</f>
        <v>0.794041</v>
      </c>
      <c r="R216" s="787">
        <f>'HVAC Deemed Table'!I1641</f>
        <v>0</v>
      </c>
      <c r="S216" s="787"/>
      <c r="T216" s="787"/>
      <c r="U216" s="788">
        <f t="shared" si="140"/>
        <v>0</v>
      </c>
      <c r="V216" s="788">
        <f t="shared" si="141"/>
        <v>0</v>
      </c>
      <c r="W216" s="788">
        <f t="shared" si="142"/>
        <v>0.794041</v>
      </c>
      <c r="X216" s="23">
        <f>'HVAC Deemed Table'!J1640</f>
        <v>18</v>
      </c>
      <c r="Y216" s="23"/>
      <c r="Z216" s="23">
        <f t="shared" si="105"/>
        <v>18</v>
      </c>
      <c r="AA216" s="18">
        <f>'HVAC Deemed Table'!DG1640</f>
        <v>1.8777423512379938</v>
      </c>
      <c r="AB216" s="259">
        <f>'HVAC Deemed Table'!K1640</f>
        <v>4392.2197803846157</v>
      </c>
      <c r="AC216" s="903">
        <f t="shared" si="106"/>
        <v>8247.4570975734332</v>
      </c>
      <c r="AD216" s="903">
        <f t="shared" si="139"/>
        <v>0</v>
      </c>
      <c r="AE216" s="208">
        <f>'HVAC Deemed Table'!DI1640</f>
        <v>1919.0782124779435</v>
      </c>
      <c r="AF216" s="208">
        <f>'HVAC Deemed Table'!DI1641</f>
        <v>6328.3788850954897</v>
      </c>
      <c r="AG216" s="208"/>
      <c r="AH216" s="208"/>
      <c r="AI216" s="906" t="str">
        <f t="shared" si="102"/>
        <v>per measure</v>
      </c>
      <c r="AJ216" s="47">
        <f>'HVAC Deemed Table'!L1640</f>
        <v>2.9920329673076922</v>
      </c>
      <c r="AK216" s="641"/>
      <c r="AL216" s="641"/>
      <c r="AX216" s="1355" t="str">
        <f t="shared" si="107"/>
        <v>ASHP-SEER19-Replace_CAC_ElectricHeat_ROF_SF</v>
      </c>
      <c r="AY216" s="1378"/>
      <c r="AZ216" s="1446" t="str">
        <f t="shared" si="108"/>
        <v>353300</v>
      </c>
      <c r="BA216" s="1336">
        <f t="shared" ref="BA216:BB221" si="153">ROUND((K264*$BC$3)+(K216*$BC$4),2)</f>
        <v>1873.15</v>
      </c>
      <c r="BB216" s="1336">
        <f t="shared" si="153"/>
        <v>12063.7</v>
      </c>
      <c r="BC216" s="1336">
        <f t="shared" ref="BC216:BD221" si="154">ROUND((M264*$BC$3)+(K216*$BC$4),2)</f>
        <v>840.97</v>
      </c>
      <c r="BD216" s="1336">
        <f t="shared" si="154"/>
        <v>12063.7</v>
      </c>
      <c r="BE216" s="1305"/>
      <c r="BF216" s="1321">
        <f>ROUND(BA216*'CP FACTORS'!$B$9,6)</f>
        <v>1.774656</v>
      </c>
      <c r="BG216" s="1322">
        <f>ROUND(BB216*'CP FACTORS'!$B$14,6)</f>
        <v>0</v>
      </c>
      <c r="BH216" s="1321">
        <f>ROUND(BC216*'CP FACTORS'!$B$9,6)</f>
        <v>0.79674999999999996</v>
      </c>
      <c r="BI216" s="1323">
        <f>ROUND(BD216*'CP FACTORS'!$B$14,6)</f>
        <v>0</v>
      </c>
      <c r="BJ216" s="1305"/>
      <c r="BK216" s="730">
        <f t="shared" si="145"/>
        <v>13936.85</v>
      </c>
      <c r="BL216" s="1342">
        <f t="shared" si="146"/>
        <v>12904.67</v>
      </c>
      <c r="BM216" s="1341">
        <f t="shared" si="147"/>
        <v>1.774656</v>
      </c>
      <c r="BN216" s="1340">
        <f t="shared" si="148"/>
        <v>0.79674999999999996</v>
      </c>
    </row>
    <row r="217" spans="1:66" s="41" customFormat="1">
      <c r="A217" s="51" t="str">
        <f>LEFT(B217,6)</f>
        <v>353310</v>
      </c>
      <c r="B217" s="1442" t="str">
        <f>'HVAC Deemed Table'!C1642</f>
        <v>353310_2024_12_</v>
      </c>
      <c r="C217" s="887" t="str">
        <f>'HVAC Deemed Table'!G1642</f>
        <v>Cooling Res</v>
      </c>
      <c r="D217" s="887" t="str">
        <f>'HVAC Deemed Table'!G1643</f>
        <v>Heating Res</v>
      </c>
      <c r="E217" s="1378"/>
      <c r="F217" s="1378"/>
      <c r="G217" s="1378" t="str">
        <f>'HVAC Deemed Table'!E1642</f>
        <v>ASHP-SEER19-Replace_CAC_NonElectricHeat_ROF_SF</v>
      </c>
      <c r="H217" s="19" t="str">
        <f>'HVAC Deemed Table'!D1642</f>
        <v>PAYS</v>
      </c>
      <c r="I217" s="785">
        <f>K217+L217</f>
        <v>838.11</v>
      </c>
      <c r="J217" s="785">
        <f>M217+N217</f>
        <v>0</v>
      </c>
      <c r="K217" s="202">
        <f>'HVAC Deemed Table'!F1642</f>
        <v>838.11</v>
      </c>
      <c r="L217" s="202">
        <f>'HVAC Deemed Table'!F1643</f>
        <v>0</v>
      </c>
      <c r="M217" s="202"/>
      <c r="N217" s="202"/>
      <c r="O217" s="786">
        <f>Q217+R217</f>
        <v>0.794041</v>
      </c>
      <c r="P217" s="786">
        <f>S217+T217</f>
        <v>0</v>
      </c>
      <c r="Q217" s="787">
        <f>'HVAC Deemed Table'!I1642</f>
        <v>0.794041</v>
      </c>
      <c r="R217" s="787">
        <f>'HVAC Deemed Table'!I1643</f>
        <v>0</v>
      </c>
      <c r="S217" s="787"/>
      <c r="T217" s="787"/>
      <c r="U217" s="788">
        <f t="shared" si="140"/>
        <v>0</v>
      </c>
      <c r="V217" s="788">
        <f t="shared" si="141"/>
        <v>0</v>
      </c>
      <c r="W217" s="788">
        <f t="shared" si="142"/>
        <v>0.794041</v>
      </c>
      <c r="X217" s="23">
        <f>'HVAC Deemed Table'!J1642</f>
        <v>18</v>
      </c>
      <c r="Y217" s="23"/>
      <c r="Z217" s="23">
        <f>Y217+X217</f>
        <v>18</v>
      </c>
      <c r="AA217" s="18">
        <f>'HVAC Deemed Table'!DG1642</f>
        <v>5.8803713500255563</v>
      </c>
      <c r="AB217" s="807">
        <f>'HVAC Deemed Table'!K1642</f>
        <v>326.35323489724897</v>
      </c>
      <c r="AC217" s="903">
        <f>AE217+AF217</f>
        <v>1919.0782124779435</v>
      </c>
      <c r="AD217" s="903">
        <f>AG217+AH217</f>
        <v>0</v>
      </c>
      <c r="AE217" s="208">
        <f>'HVAC Deemed Table'!DI1642</f>
        <v>1919.0782124779435</v>
      </c>
      <c r="AF217" s="208">
        <f>'HVAC Deemed Table'!DI1643</f>
        <v>0</v>
      </c>
      <c r="AG217" s="208"/>
      <c r="AH217" s="208"/>
      <c r="AI217" s="906" t="str">
        <f t="shared" si="102"/>
        <v>per measure</v>
      </c>
      <c r="AJ217" s="48">
        <f>'HVAC Deemed Table'!L1642</f>
        <v>2.9920329673076922</v>
      </c>
      <c r="AK217" s="918"/>
      <c r="AL217" s="918"/>
      <c r="AM217"/>
      <c r="AN217"/>
      <c r="AO217"/>
      <c r="AP217"/>
      <c r="AQ217"/>
      <c r="AR217"/>
      <c r="AS217"/>
      <c r="AT217"/>
      <c r="AU217"/>
      <c r="AV217"/>
      <c r="AW217"/>
      <c r="AX217" s="1355" t="str">
        <f t="shared" si="107"/>
        <v>ASHP-SEER19-Replace_CAC_NonElectricHeat_ROF_SF</v>
      </c>
      <c r="AY217" s="1378"/>
      <c r="AZ217" s="1446" t="str">
        <f t="shared" si="108"/>
        <v>353310</v>
      </c>
      <c r="BA217" s="1336">
        <f t="shared" si="153"/>
        <v>1873.15</v>
      </c>
      <c r="BB217" s="1336">
        <f t="shared" si="153"/>
        <v>0</v>
      </c>
      <c r="BC217" s="1336">
        <f t="shared" si="154"/>
        <v>840.97</v>
      </c>
      <c r="BD217" s="1336">
        <f t="shared" si="154"/>
        <v>0</v>
      </c>
      <c r="BE217" s="1306"/>
      <c r="BF217" s="1321">
        <f>ROUND(BA217*'CP FACTORS'!$B$9,6)</f>
        <v>1.774656</v>
      </c>
      <c r="BG217" s="1322">
        <f>ROUND(BB217*'CP FACTORS'!$B$14,6)</f>
        <v>0</v>
      </c>
      <c r="BH217" s="1321">
        <f>ROUND(BC217*'CP FACTORS'!$B$9,6)</f>
        <v>0.79674999999999996</v>
      </c>
      <c r="BI217" s="1323">
        <f>ROUND(BD217*'CP FACTORS'!$B$14,6)</f>
        <v>0</v>
      </c>
      <c r="BJ217" s="1305"/>
      <c r="BK217" s="730">
        <f t="shared" si="145"/>
        <v>1873.15</v>
      </c>
      <c r="BL217" s="1342">
        <f t="shared" si="146"/>
        <v>840.97</v>
      </c>
      <c r="BM217" s="1341">
        <f t="shared" si="147"/>
        <v>1.774656</v>
      </c>
      <c r="BN217" s="1340">
        <f t="shared" si="148"/>
        <v>0.79674999999999996</v>
      </c>
    </row>
    <row r="218" spans="1:66" s="696" customFormat="1">
      <c r="A218" s="2958" t="str">
        <f t="shared" si="104"/>
        <v>353350</v>
      </c>
      <c r="B218" s="2233" t="str">
        <f>'HVAC Deemed Table'!C1644</f>
        <v>353350_2024_12_</v>
      </c>
      <c r="C218" s="3874" t="str">
        <f>'HVAC Deemed Table'!G1644</f>
        <v>Cooling Res</v>
      </c>
      <c r="D218" s="3874" t="str">
        <f>'HVAC Deemed Table'!G1645</f>
        <v>Heating Res</v>
      </c>
      <c r="E218" s="2724"/>
      <c r="F218" s="2724"/>
      <c r="G218" s="2724" t="str">
        <f>'HVAC Deemed Table'!E1644</f>
        <v>ASHP-SEER19-Replace_CAC_ElectricHeat_ROF_MF</v>
      </c>
      <c r="H218" s="2554" t="str">
        <f>'HVAC Deemed Table'!D1644</f>
        <v>MF</v>
      </c>
      <c r="I218" s="3840">
        <f t="shared" si="149"/>
        <v>6656.17</v>
      </c>
      <c r="J218" s="3840">
        <f t="shared" si="150"/>
        <v>0</v>
      </c>
      <c r="K218" s="3251">
        <f>'HVAC Deemed Table'!F1644</f>
        <v>443.06</v>
      </c>
      <c r="L218" s="3251">
        <f>'HVAC Deemed Table'!F1645</f>
        <v>6213.11</v>
      </c>
      <c r="M218" s="3251"/>
      <c r="N218" s="3251"/>
      <c r="O218" s="3841">
        <f t="shared" si="151"/>
        <v>0.419763</v>
      </c>
      <c r="P218" s="3841">
        <f t="shared" si="152"/>
        <v>0</v>
      </c>
      <c r="Q218" s="3842">
        <f>'HVAC Deemed Table'!I1644</f>
        <v>0.419763</v>
      </c>
      <c r="R218" s="3842">
        <f>'HVAC Deemed Table'!I1645</f>
        <v>0</v>
      </c>
      <c r="S218" s="3842"/>
      <c r="T218" s="3842"/>
      <c r="U218" s="3843">
        <f t="shared" si="140"/>
        <v>0</v>
      </c>
      <c r="V218" s="3843">
        <f t="shared" si="141"/>
        <v>0</v>
      </c>
      <c r="W218" s="3843">
        <f t="shared" si="142"/>
        <v>0.419763</v>
      </c>
      <c r="X218" s="2846">
        <f>'HVAC Deemed Table'!J1644</f>
        <v>18</v>
      </c>
      <c r="Y218" s="2846"/>
      <c r="Z218" s="2846">
        <f t="shared" si="105"/>
        <v>18</v>
      </c>
      <c r="AA218" s="2529">
        <f>'HVAC Deemed Table'!DG1644</f>
        <v>1.2957751782023494</v>
      </c>
      <c r="AB218" s="3878">
        <f>'HVAC Deemed Table'!K1644</f>
        <v>3689</v>
      </c>
      <c r="AC218" s="3845">
        <f t="shared" si="106"/>
        <v>4780.1146323884668</v>
      </c>
      <c r="AD218" s="3845">
        <f t="shared" si="139"/>
        <v>0</v>
      </c>
      <c r="AE218" s="3846">
        <f>'HVAC Deemed Table'!DI1644</f>
        <v>1014.5050086748489</v>
      </c>
      <c r="AF218" s="3846">
        <f>'HVAC Deemed Table'!DI1645</f>
        <v>3765.609623713618</v>
      </c>
      <c r="AG218" s="3846"/>
      <c r="AH218" s="3846"/>
      <c r="AI218" s="3847" t="str">
        <f t="shared" si="102"/>
        <v>per measure</v>
      </c>
      <c r="AJ218" s="3220">
        <f>'HVAC Deemed Table'!L1644</f>
        <v>2.8</v>
      </c>
      <c r="AK218" s="3848"/>
      <c r="AL218" s="3848"/>
      <c r="AX218" s="3849" t="str">
        <f t="shared" si="107"/>
        <v>ASHP-SEER19-Replace_CAC_ElectricHeat_ROF_MF</v>
      </c>
      <c r="AY218" s="2724"/>
      <c r="AZ218" s="3850" t="str">
        <f t="shared" si="108"/>
        <v>353350</v>
      </c>
      <c r="BA218" s="3890">
        <f t="shared" si="153"/>
        <v>1027.17</v>
      </c>
      <c r="BB218" s="3890">
        <f t="shared" si="153"/>
        <v>6541.11</v>
      </c>
      <c r="BC218" s="3890">
        <f t="shared" si="154"/>
        <v>454.53</v>
      </c>
      <c r="BD218" s="3890">
        <f t="shared" si="154"/>
        <v>6541.11</v>
      </c>
      <c r="BE218" s="3853"/>
      <c r="BF218" s="3854">
        <f>ROUND(BA218*'CP FACTORS'!$B$9,6)</f>
        <v>0.973159</v>
      </c>
      <c r="BG218" s="3854">
        <f>ROUND(BB218*'CP FACTORS'!$B$14,6)</f>
        <v>0</v>
      </c>
      <c r="BH218" s="3854">
        <f>ROUND(BC218*'CP FACTORS'!$B$9,6)</f>
        <v>0.43063000000000001</v>
      </c>
      <c r="BI218" s="3855">
        <f>ROUND(BD218*'CP FACTORS'!$B$14,6)</f>
        <v>0</v>
      </c>
      <c r="BJ218" s="3853"/>
      <c r="BK218" s="3856">
        <f t="shared" si="145"/>
        <v>7568.28</v>
      </c>
      <c r="BL218" s="3857">
        <f t="shared" si="146"/>
        <v>6995.6399999999994</v>
      </c>
      <c r="BM218" s="3858">
        <f t="shared" si="147"/>
        <v>0.973159</v>
      </c>
      <c r="BN218" s="3855">
        <f t="shared" si="148"/>
        <v>0.43063000000000001</v>
      </c>
    </row>
    <row r="219" spans="1:66" s="696" customFormat="1">
      <c r="A219" s="2958" t="str">
        <f t="shared" si="104"/>
        <v>353351</v>
      </c>
      <c r="B219" s="2233" t="str">
        <f>'HVAC Deemed Table'!C1646</f>
        <v>353351_2024_12_</v>
      </c>
      <c r="C219" s="3874" t="str">
        <f>'HVAC Deemed Table'!G1646</f>
        <v>Cooling Res</v>
      </c>
      <c r="D219" s="3874" t="str">
        <f>'HVAC Deemed Table'!G1647</f>
        <v>Heating Res</v>
      </c>
      <c r="E219" s="2724"/>
      <c r="F219" s="2724"/>
      <c r="G219" s="2724" t="str">
        <f>'HVAC Deemed Table'!E1646</f>
        <v>ASHP-SEER19-Replace_CAC_ElectricHeat_ROF_MF_CompE</v>
      </c>
      <c r="H219" s="2554" t="str">
        <f>'HVAC Deemed Table'!D1646</f>
        <v>MFc</v>
      </c>
      <c r="I219" s="3840">
        <f t="shared" si="149"/>
        <v>2421.6999999999998</v>
      </c>
      <c r="J219" s="3840">
        <f t="shared" si="150"/>
        <v>0</v>
      </c>
      <c r="K219" s="3251">
        <f>'HVAC Deemed Table'!F1646</f>
        <v>303.60000000000002</v>
      </c>
      <c r="L219" s="3251">
        <f>'HVAC Deemed Table'!F1647</f>
        <v>2118.1</v>
      </c>
      <c r="M219" s="3251"/>
      <c r="N219" s="3251"/>
      <c r="O219" s="3841">
        <f t="shared" si="151"/>
        <v>0.287636</v>
      </c>
      <c r="P219" s="3841">
        <f t="shared" si="152"/>
        <v>0</v>
      </c>
      <c r="Q219" s="3842">
        <f>'HVAC Deemed Table'!I1646</f>
        <v>0.287636</v>
      </c>
      <c r="R219" s="3842">
        <f>'HVAC Deemed Table'!I1647</f>
        <v>0</v>
      </c>
      <c r="S219" s="3842"/>
      <c r="T219" s="3842"/>
      <c r="U219" s="3843">
        <f t="shared" si="140"/>
        <v>0</v>
      </c>
      <c r="V219" s="3843">
        <f t="shared" si="141"/>
        <v>0</v>
      </c>
      <c r="W219" s="3843">
        <f t="shared" si="142"/>
        <v>0.287636</v>
      </c>
      <c r="X219" s="2846">
        <f>'HVAC Deemed Table'!J1646</f>
        <v>18</v>
      </c>
      <c r="Y219" s="2846"/>
      <c r="Z219" s="2846">
        <f t="shared" si="105"/>
        <v>18</v>
      </c>
      <c r="AA219" s="2529">
        <f>'HVAC Deemed Table'!DG1646</f>
        <v>0.53643289451413811</v>
      </c>
      <c r="AB219" s="3878">
        <f>'HVAC Deemed Table'!K1646</f>
        <v>3689</v>
      </c>
      <c r="AC219" s="3845">
        <f t="shared" si="106"/>
        <v>1978.9009478626554</v>
      </c>
      <c r="AD219" s="3845">
        <f t="shared" si="139"/>
        <v>0</v>
      </c>
      <c r="AE219" s="3846">
        <f>'HVAC Deemed Table'!DI1646</f>
        <v>695.17383793094427</v>
      </c>
      <c r="AF219" s="3846">
        <f>'HVAC Deemed Table'!DI1647</f>
        <v>1283.7271099317111</v>
      </c>
      <c r="AG219" s="3846"/>
      <c r="AH219" s="3846"/>
      <c r="AI219" s="3847" t="str">
        <f t="shared" si="102"/>
        <v>per measure</v>
      </c>
      <c r="AJ219" s="3220">
        <f>'HVAC Deemed Table'!L1646</f>
        <v>2.8</v>
      </c>
      <c r="AK219" s="3848"/>
      <c r="AL219" s="3848"/>
      <c r="AX219" s="3849" t="str">
        <f t="shared" si="107"/>
        <v>ASHP-SEER19-Replace_CAC_ElectricHeat_ROF_MF_CompE</v>
      </c>
      <c r="AY219" s="2724"/>
      <c r="AZ219" s="3850" t="str">
        <f t="shared" si="108"/>
        <v>353351</v>
      </c>
      <c r="BA219" s="3890">
        <f t="shared" si="153"/>
        <v>739.58</v>
      </c>
      <c r="BB219" s="3890">
        <f t="shared" si="153"/>
        <v>2229.92</v>
      </c>
      <c r="BC219" s="3890">
        <f t="shared" si="154"/>
        <v>323.12</v>
      </c>
      <c r="BD219" s="3890">
        <f t="shared" si="154"/>
        <v>2229.92</v>
      </c>
      <c r="BE219" s="3853"/>
      <c r="BF219" s="3854">
        <f>ROUND(BA219*'CP FACTORS'!$B$9,6)</f>
        <v>0.70069099999999995</v>
      </c>
      <c r="BG219" s="3854">
        <f>ROUND(BB219*'CP FACTORS'!$B$14,6)</f>
        <v>0</v>
      </c>
      <c r="BH219" s="3854">
        <f>ROUND(BC219*'CP FACTORS'!$B$9,6)</f>
        <v>0.30613000000000001</v>
      </c>
      <c r="BI219" s="3855">
        <f>ROUND(BD219*'CP FACTORS'!$B$14,6)</f>
        <v>0</v>
      </c>
      <c r="BJ219" s="3853"/>
      <c r="BK219" s="3856">
        <f t="shared" si="145"/>
        <v>2969.5</v>
      </c>
      <c r="BL219" s="3857">
        <f t="shared" si="146"/>
        <v>2553.04</v>
      </c>
      <c r="BM219" s="3858">
        <f t="shared" si="147"/>
        <v>0.70069099999999995</v>
      </c>
      <c r="BN219" s="3855">
        <f t="shared" si="148"/>
        <v>0.30613000000000001</v>
      </c>
    </row>
    <row r="220" spans="1:66" s="696" customFormat="1">
      <c r="A220" s="2958" t="str">
        <f t="shared" si="104"/>
        <v>353360</v>
      </c>
      <c r="B220" s="2233" t="str">
        <f>'HVAC Deemed Table'!C1648</f>
        <v>353360_2024_12_</v>
      </c>
      <c r="C220" s="3874" t="str">
        <f>'HVAC Deemed Table'!G1648</f>
        <v>Cooling Res</v>
      </c>
      <c r="D220" s="3874" t="str">
        <f>'HVAC Deemed Table'!G1649</f>
        <v>Heating Res</v>
      </c>
      <c r="E220" s="2724"/>
      <c r="F220" s="2724"/>
      <c r="G220" s="2724" t="str">
        <f>'HVAC Deemed Table'!E1648</f>
        <v>ASHP-SEER19-Replace_CAC_NonElectricHeat_ROF_MF</v>
      </c>
      <c r="H220" s="2554" t="str">
        <f>'HVAC Deemed Table'!D1648</f>
        <v>MF</v>
      </c>
      <c r="I220" s="3840">
        <f t="shared" si="149"/>
        <v>443.06</v>
      </c>
      <c r="J220" s="3840">
        <f t="shared" si="150"/>
        <v>0</v>
      </c>
      <c r="K220" s="3251">
        <f>'HVAC Deemed Table'!F1648</f>
        <v>443.06</v>
      </c>
      <c r="L220" s="3251">
        <f>'HVAC Deemed Table'!F1649</f>
        <v>0</v>
      </c>
      <c r="M220" s="3251"/>
      <c r="N220" s="3251"/>
      <c r="O220" s="3841">
        <f t="shared" si="151"/>
        <v>0.419763</v>
      </c>
      <c r="P220" s="3841">
        <f t="shared" si="152"/>
        <v>0</v>
      </c>
      <c r="Q220" s="3842">
        <f>'HVAC Deemed Table'!I1648</f>
        <v>0.419763</v>
      </c>
      <c r="R220" s="3842">
        <f>'HVAC Deemed Table'!I1649</f>
        <v>0</v>
      </c>
      <c r="S220" s="3842"/>
      <c r="T220" s="3842"/>
      <c r="U220" s="3843">
        <f t="shared" si="140"/>
        <v>0</v>
      </c>
      <c r="V220" s="3843">
        <f t="shared" si="141"/>
        <v>0</v>
      </c>
      <c r="W220" s="3843">
        <f t="shared" si="142"/>
        <v>0.419763</v>
      </c>
      <c r="X220" s="2846">
        <f>'HVAC Deemed Table'!J1648</f>
        <v>18</v>
      </c>
      <c r="Y220" s="2846"/>
      <c r="Z220" s="2846">
        <f t="shared" si="105"/>
        <v>18</v>
      </c>
      <c r="AA220" s="2529">
        <f>'HVAC Deemed Table'!DG1648</f>
        <v>4.1314966269238393</v>
      </c>
      <c r="AB220" s="3878">
        <f>'HVAC Deemed Table'!K1648</f>
        <v>245.55387557709614</v>
      </c>
      <c r="AC220" s="3845">
        <f t="shared" si="106"/>
        <v>1014.5050086748489</v>
      </c>
      <c r="AD220" s="3845">
        <f t="shared" si="139"/>
        <v>0</v>
      </c>
      <c r="AE220" s="3846">
        <f>'HVAC Deemed Table'!DI1648</f>
        <v>1014.5050086748489</v>
      </c>
      <c r="AF220" s="3846">
        <f>'HVAC Deemed Table'!DI1649</f>
        <v>0</v>
      </c>
      <c r="AG220" s="3846"/>
      <c r="AH220" s="3846"/>
      <c r="AI220" s="3847" t="str">
        <f t="shared" si="102"/>
        <v>per measure</v>
      </c>
      <c r="AJ220" s="3220">
        <f>'HVAC Deemed Table'!L1648</f>
        <v>2.8</v>
      </c>
      <c r="AK220" s="3848"/>
      <c r="AL220" s="3848"/>
      <c r="AX220" s="3849" t="str">
        <f t="shared" si="107"/>
        <v>ASHP-SEER19-Replace_CAC_NonElectricHeat_ROF_MF</v>
      </c>
      <c r="AY220" s="2724"/>
      <c r="AZ220" s="3850" t="str">
        <f t="shared" si="108"/>
        <v>353360</v>
      </c>
      <c r="BA220" s="3890">
        <f t="shared" si="153"/>
        <v>1027.17</v>
      </c>
      <c r="BB220" s="3890">
        <f t="shared" si="153"/>
        <v>0</v>
      </c>
      <c r="BC220" s="3890">
        <f t="shared" si="154"/>
        <v>454.53</v>
      </c>
      <c r="BD220" s="3890">
        <f t="shared" si="154"/>
        <v>0</v>
      </c>
      <c r="BE220" s="3853"/>
      <c r="BF220" s="3854">
        <f>ROUND(BA220*'CP FACTORS'!$B$9,6)</f>
        <v>0.973159</v>
      </c>
      <c r="BG220" s="3854">
        <f>ROUND(BB220*'CP FACTORS'!$B$14,6)</f>
        <v>0</v>
      </c>
      <c r="BH220" s="3854">
        <f>ROUND(BC220*'CP FACTORS'!$B$9,6)</f>
        <v>0.43063000000000001</v>
      </c>
      <c r="BI220" s="3855">
        <f>ROUND(BD220*'CP FACTORS'!$B$14,6)</f>
        <v>0</v>
      </c>
      <c r="BJ220" s="3853"/>
      <c r="BK220" s="3856">
        <f t="shared" si="145"/>
        <v>1027.17</v>
      </c>
      <c r="BL220" s="3857">
        <f t="shared" si="146"/>
        <v>454.53</v>
      </c>
      <c r="BM220" s="3858">
        <f t="shared" si="147"/>
        <v>0.973159</v>
      </c>
      <c r="BN220" s="3855">
        <f t="shared" si="148"/>
        <v>0.43063000000000001</v>
      </c>
    </row>
    <row r="221" spans="1:66" s="696" customFormat="1">
      <c r="A221" s="2958" t="str">
        <f t="shared" si="104"/>
        <v>353361</v>
      </c>
      <c r="B221" s="2233" t="str">
        <f>'HVAC Deemed Table'!C1650</f>
        <v>353361_2024_12_</v>
      </c>
      <c r="C221" s="3874" t="str">
        <f>'HVAC Deemed Table'!G1650</f>
        <v>Cooling Res</v>
      </c>
      <c r="D221" s="3874" t="str">
        <f>'HVAC Deemed Table'!G1651</f>
        <v>Heating Res</v>
      </c>
      <c r="E221" s="2724"/>
      <c r="F221" s="2724"/>
      <c r="G221" s="2724" t="str">
        <f>'HVAC Deemed Table'!E1650</f>
        <v>ASHP-SEER19-Replace_CAC_NonElectricHeat_ROF_MF_CompE</v>
      </c>
      <c r="H221" s="2554" t="str">
        <f>'HVAC Deemed Table'!D1650</f>
        <v>MFc</v>
      </c>
      <c r="I221" s="3840">
        <f t="shared" si="149"/>
        <v>303.60000000000002</v>
      </c>
      <c r="J221" s="3840">
        <f t="shared" si="150"/>
        <v>0</v>
      </c>
      <c r="K221" s="3251">
        <f>'HVAC Deemed Table'!F1650</f>
        <v>303.60000000000002</v>
      </c>
      <c r="L221" s="3251">
        <f>'HVAC Deemed Table'!F1651</f>
        <v>0</v>
      </c>
      <c r="M221" s="3251"/>
      <c r="N221" s="3251"/>
      <c r="O221" s="3841">
        <f t="shared" si="151"/>
        <v>0.287636</v>
      </c>
      <c r="P221" s="3841">
        <f t="shared" si="152"/>
        <v>0</v>
      </c>
      <c r="Q221" s="3842">
        <f>'HVAC Deemed Table'!I1650</f>
        <v>0.287636</v>
      </c>
      <c r="R221" s="3842">
        <f>'HVAC Deemed Table'!I1651</f>
        <v>0</v>
      </c>
      <c r="S221" s="3842"/>
      <c r="T221" s="3842"/>
      <c r="U221" s="3843">
        <f t="shared" si="140"/>
        <v>0</v>
      </c>
      <c r="V221" s="3843">
        <f t="shared" si="141"/>
        <v>0</v>
      </c>
      <c r="W221" s="3843">
        <f t="shared" si="142"/>
        <v>0.287636</v>
      </c>
      <c r="X221" s="2846">
        <f>'HVAC Deemed Table'!J1650</f>
        <v>18</v>
      </c>
      <c r="Y221" s="2846"/>
      <c r="Z221" s="2846">
        <f t="shared" si="105"/>
        <v>18</v>
      </c>
      <c r="AA221" s="2529">
        <f>'HVAC Deemed Table'!DG1650</f>
        <v>1.5031535224342922</v>
      </c>
      <c r="AB221" s="3878">
        <f>'HVAC Deemed Table'!K1650</f>
        <v>462.47693768840077</v>
      </c>
      <c r="AC221" s="3845">
        <f t="shared" si="106"/>
        <v>695.17383793094427</v>
      </c>
      <c r="AD221" s="3845">
        <f t="shared" si="139"/>
        <v>0</v>
      </c>
      <c r="AE221" s="3846">
        <f>'HVAC Deemed Table'!DI1650</f>
        <v>695.17383793094427</v>
      </c>
      <c r="AF221" s="3846">
        <f>'HVAC Deemed Table'!DI1651</f>
        <v>0</v>
      </c>
      <c r="AG221" s="3846"/>
      <c r="AH221" s="3846"/>
      <c r="AI221" s="3847" t="str">
        <f t="shared" ref="AI221:AI238" si="155">AI220</f>
        <v>per measure</v>
      </c>
      <c r="AJ221" s="3220">
        <f>'HVAC Deemed Table'!L1650</f>
        <v>2.8</v>
      </c>
      <c r="AK221" s="3848"/>
      <c r="AL221" s="3848"/>
      <c r="AX221" s="3849" t="str">
        <f t="shared" si="107"/>
        <v>ASHP-SEER19-Replace_CAC_NonElectricHeat_ROF_MF_CompE</v>
      </c>
      <c r="AY221" s="2724"/>
      <c r="AZ221" s="3850" t="str">
        <f t="shared" si="108"/>
        <v>353361</v>
      </c>
      <c r="BA221" s="3890">
        <f t="shared" si="153"/>
        <v>739.58</v>
      </c>
      <c r="BB221" s="3890">
        <f t="shared" si="153"/>
        <v>0</v>
      </c>
      <c r="BC221" s="3890">
        <f t="shared" si="154"/>
        <v>323.12</v>
      </c>
      <c r="BD221" s="3890">
        <f t="shared" si="154"/>
        <v>0</v>
      </c>
      <c r="BE221" s="3853"/>
      <c r="BF221" s="3854">
        <f>ROUND(BA221*'CP FACTORS'!$B$9,6)</f>
        <v>0.70069099999999995</v>
      </c>
      <c r="BG221" s="3854">
        <f>ROUND(BB221*'CP FACTORS'!$B$14,6)</f>
        <v>0</v>
      </c>
      <c r="BH221" s="3854">
        <f>ROUND(BC221*'CP FACTORS'!$B$9,6)</f>
        <v>0.30613000000000001</v>
      </c>
      <c r="BI221" s="3855">
        <f>ROUND(BD221*'CP FACTORS'!$B$14,6)</f>
        <v>0</v>
      </c>
      <c r="BJ221" s="3853"/>
      <c r="BK221" s="3856">
        <f t="shared" si="145"/>
        <v>739.58</v>
      </c>
      <c r="BL221" s="3857">
        <f t="shared" si="146"/>
        <v>323.12</v>
      </c>
      <c r="BM221" s="3858">
        <f t="shared" si="147"/>
        <v>0.70069099999999995</v>
      </c>
      <c r="BN221" s="3855">
        <f t="shared" si="148"/>
        <v>0.30613000000000001</v>
      </c>
    </row>
    <row r="222" spans="1:66">
      <c r="A222" s="51" t="str">
        <f t="shared" si="104"/>
        <v>353400</v>
      </c>
      <c r="B222" s="1442" t="str">
        <f>'HVAC Deemed Table'!C1652</f>
        <v>353400_2024_12_</v>
      </c>
      <c r="C222" s="887" t="str">
        <f>'HVAC Deemed Table'!G1652</f>
        <v>Cooling Res</v>
      </c>
      <c r="D222" s="887" t="str">
        <f>'HVAC Deemed Table'!G1653</f>
        <v>Heating Res</v>
      </c>
      <c r="E222" s="887" t="str">
        <f>'HVAC Deemed Table'!G1654</f>
        <v>Cooling Res ER2</v>
      </c>
      <c r="F222" s="887" t="str">
        <f>'HVAC Deemed Table'!G1655</f>
        <v>Heating Res ER2</v>
      </c>
      <c r="G222" s="1378" t="str">
        <f>'HVAC Deemed Table'!E1652</f>
        <v>ASHP-SEER20-Replace_CAC_ElectricHeat_ER1_SF</v>
      </c>
      <c r="H222" s="19" t="str">
        <f>'HVAC Deemed Table'!D1652</f>
        <v>PAYS/SFIE</v>
      </c>
      <c r="I222" s="785">
        <f t="shared" si="149"/>
        <v>11382.29</v>
      </c>
      <c r="J222" s="785">
        <f t="shared" si="150"/>
        <v>9883.2099999999991</v>
      </c>
      <c r="K222" s="202">
        <f>'HVAC Deemed Table'!F1652</f>
        <v>2257.71</v>
      </c>
      <c r="L222" s="202">
        <f>'HVAC Deemed Table'!F1653</f>
        <v>9124.58</v>
      </c>
      <c r="M222" s="202">
        <f>'HVAC Deemed Table'!F1654</f>
        <v>758.63</v>
      </c>
      <c r="N222" s="202">
        <f>'HVAC Deemed Table'!F1655</f>
        <v>9124.58</v>
      </c>
      <c r="O222" s="786">
        <f t="shared" si="151"/>
        <v>2.138995</v>
      </c>
      <c r="P222" s="786">
        <f t="shared" si="152"/>
        <v>0.71874000000000005</v>
      </c>
      <c r="Q222" s="787">
        <f>'HVAC Deemed Table'!I1652</f>
        <v>2.138995</v>
      </c>
      <c r="R222" s="787">
        <f>'HVAC Deemed Table'!I1653</f>
        <v>0</v>
      </c>
      <c r="S222" s="787">
        <f>'HVAC Deemed Table'!I1654</f>
        <v>0.71874000000000005</v>
      </c>
      <c r="T222" s="787">
        <f>'HVAC Deemed Table'!I1655</f>
        <v>0</v>
      </c>
      <c r="U222" s="788">
        <f t="shared" si="140"/>
        <v>0</v>
      </c>
      <c r="V222" s="788">
        <f t="shared" si="141"/>
        <v>0</v>
      </c>
      <c r="W222" s="788">
        <f t="shared" si="142"/>
        <v>2.138995</v>
      </c>
      <c r="X222" s="23">
        <f>'HVAC Deemed Table'!J1652</f>
        <v>6</v>
      </c>
      <c r="Y222" s="23">
        <f>'HVAC Deemed Table'!J1654</f>
        <v>12</v>
      </c>
      <c r="Z222" s="23">
        <f t="shared" si="105"/>
        <v>18</v>
      </c>
      <c r="AA222" s="18">
        <f>'HVAC Deemed Table'!DG1652</f>
        <v>2.0913445621339002</v>
      </c>
      <c r="AB222" s="259">
        <f>'HVAC Deemed Table'!K1652</f>
        <v>4188.7510221369221</v>
      </c>
      <c r="AC222" s="903">
        <f t="shared" si="106"/>
        <v>4695.3552197818535</v>
      </c>
      <c r="AD222" s="903">
        <f t="shared" si="139"/>
        <v>4064.7664524970146</v>
      </c>
      <c r="AE222" s="208">
        <f>'HVAC Deemed Table'!DI1652</f>
        <v>2248.3362078095734</v>
      </c>
      <c r="AF222" s="208">
        <f>'HVAC Deemed Table'!DI1653</f>
        <v>2447.0190119722806</v>
      </c>
      <c r="AG222" s="208">
        <f>'HVAC Deemed Table'!DI1654</f>
        <v>981.60713826151823</v>
      </c>
      <c r="AH222" s="208">
        <f>'HVAC Deemed Table'!DI1655</f>
        <v>3083.1593142354964</v>
      </c>
      <c r="AI222" s="906" t="str">
        <f t="shared" si="155"/>
        <v>per measure</v>
      </c>
      <c r="AJ222" s="47">
        <f>'HVAC Deemed Table'!L1652</f>
        <v>2.5833656509695291</v>
      </c>
      <c r="AK222" s="641"/>
      <c r="AL222" s="641"/>
      <c r="AX222" s="1355" t="str">
        <f t="shared" si="107"/>
        <v>ASHP-SEER20-Replace_CAC_ElectricHeat_ER1_SF</v>
      </c>
      <c r="AY222" s="1378"/>
      <c r="AZ222" s="1446" t="str">
        <f t="shared" si="108"/>
        <v>353400</v>
      </c>
      <c r="BA222" s="1325">
        <f>ROUND((K222*$BC$3)+(K224*$BC$4),2)</f>
        <v>1684.09</v>
      </c>
      <c r="BB222" s="1325">
        <f>ROUND((L222*$BC$3)+(L224*$BC$4),2)</f>
        <v>9561.65</v>
      </c>
      <c r="BC222" s="1325">
        <f>ROUND((M222*$BC$3)+(K224*$BC$4),2)</f>
        <v>784.64</v>
      </c>
      <c r="BD222" s="1325">
        <f>ROUND((N222*$BC$3)+(L224*$BC$4),2)</f>
        <v>9561.65</v>
      </c>
      <c r="BE222" s="1305"/>
      <c r="BF222" s="1321">
        <f>ROUND(BA222*'CP FACTORS'!$B$9,6)</f>
        <v>1.595537</v>
      </c>
      <c r="BG222" s="1322">
        <f>ROUND(BB222*'CP FACTORS'!$B$14,6)</f>
        <v>0</v>
      </c>
      <c r="BH222" s="1321">
        <f>ROUND(BC222*'CP FACTORS'!$B$9,6)</f>
        <v>0.74338199999999999</v>
      </c>
      <c r="BI222" s="1323">
        <f>ROUND(BD222*'CP FACTORS'!$B$14,6)</f>
        <v>0</v>
      </c>
      <c r="BJ222" s="1305"/>
      <c r="BK222" s="730">
        <f t="shared" si="145"/>
        <v>11245.74</v>
      </c>
      <c r="BL222" s="1342">
        <f t="shared" si="146"/>
        <v>10346.289999999999</v>
      </c>
      <c r="BM222" s="1341">
        <f t="shared" si="147"/>
        <v>1.595537</v>
      </c>
      <c r="BN222" s="1340">
        <f t="shared" si="148"/>
        <v>0.74338199999999999</v>
      </c>
    </row>
    <row r="223" spans="1:66">
      <c r="A223" s="51" t="str">
        <f t="shared" si="104"/>
        <v>353410</v>
      </c>
      <c r="B223" s="1442" t="str">
        <f>'HVAC Deemed Table'!C1656</f>
        <v>353410_2024_12_</v>
      </c>
      <c r="C223" s="887" t="str">
        <f>'HVAC Deemed Table'!G1656</f>
        <v>Cooling Res</v>
      </c>
      <c r="D223" s="887" t="str">
        <f>'HVAC Deemed Table'!G1657</f>
        <v>Heating Res</v>
      </c>
      <c r="E223" s="887" t="str">
        <f>'HVAC Deemed Table'!G1658</f>
        <v>Cooling Res ER2</v>
      </c>
      <c r="F223" s="887" t="str">
        <f>'HVAC Deemed Table'!G1659</f>
        <v>Heating Res ER2</v>
      </c>
      <c r="G223" s="1378" t="str">
        <f>'HVAC Deemed Table'!E1656</f>
        <v>ASHP-SEER20-Replace_CAC_NonElectricHeat_ER1_SF</v>
      </c>
      <c r="H223" s="19" t="str">
        <f>'HVAC Deemed Table'!D1656</f>
        <v>PAYS</v>
      </c>
      <c r="I223" s="785">
        <f t="shared" si="149"/>
        <v>2257.71</v>
      </c>
      <c r="J223" s="785">
        <f t="shared" si="150"/>
        <v>758.63</v>
      </c>
      <c r="K223" s="202">
        <f>'HVAC Deemed Table'!F1656</f>
        <v>2257.71</v>
      </c>
      <c r="L223" s="202">
        <f>'HVAC Deemed Table'!F1657</f>
        <v>0</v>
      </c>
      <c r="M223" s="202">
        <f>'HVAC Deemed Table'!F1658</f>
        <v>758.63</v>
      </c>
      <c r="N223" s="202">
        <f>'HVAC Deemed Table'!F1659</f>
        <v>0</v>
      </c>
      <c r="O223" s="786">
        <f t="shared" si="151"/>
        <v>2.138995</v>
      </c>
      <c r="P223" s="786">
        <f t="shared" si="152"/>
        <v>0.71874000000000005</v>
      </c>
      <c r="Q223" s="787">
        <f>'HVAC Deemed Table'!I1656</f>
        <v>2.138995</v>
      </c>
      <c r="R223" s="787">
        <f>'HVAC Deemed Table'!I1657</f>
        <v>0</v>
      </c>
      <c r="S223" s="787">
        <f>'HVAC Deemed Table'!I1658</f>
        <v>0.71874000000000005</v>
      </c>
      <c r="T223" s="787">
        <f>'HVAC Deemed Table'!I1659</f>
        <v>0</v>
      </c>
      <c r="U223" s="788">
        <f t="shared" si="140"/>
        <v>0</v>
      </c>
      <c r="V223" s="788">
        <f t="shared" si="141"/>
        <v>0</v>
      </c>
      <c r="W223" s="788">
        <f t="shared" si="142"/>
        <v>2.138995</v>
      </c>
      <c r="X223" s="23">
        <f>'HVAC Deemed Table'!J1656</f>
        <v>6</v>
      </c>
      <c r="Y223" s="23">
        <f>'HVAC Deemed Table'!J1658</f>
        <v>12</v>
      </c>
      <c r="Z223" s="23">
        <f t="shared" si="105"/>
        <v>18</v>
      </c>
      <c r="AA223" s="18">
        <f>'HVAC Deemed Table'!DG1656</f>
        <v>5.4363281385133835</v>
      </c>
      <c r="AB223" s="259">
        <f>'HVAC Deemed Table'!K1656</f>
        <v>594.14061546225037</v>
      </c>
      <c r="AC223" s="903">
        <f t="shared" si="106"/>
        <v>2248.3362078095734</v>
      </c>
      <c r="AD223" s="903">
        <f t="shared" si="139"/>
        <v>981.60713826151823</v>
      </c>
      <c r="AE223" s="208">
        <f>'HVAC Deemed Table'!DI1656</f>
        <v>2248.3362078095734</v>
      </c>
      <c r="AF223" s="208">
        <f>'HVAC Deemed Table'!DI1657</f>
        <v>0</v>
      </c>
      <c r="AG223" s="208">
        <f>'HVAC Deemed Table'!DI1658</f>
        <v>981.60713826151823</v>
      </c>
      <c r="AH223" s="208">
        <f>'HVAC Deemed Table'!DI1659</f>
        <v>0</v>
      </c>
      <c r="AI223" s="906" t="str">
        <f t="shared" si="155"/>
        <v>per measure</v>
      </c>
      <c r="AJ223" s="47">
        <f>'HVAC Deemed Table'!L1656</f>
        <v>2.5833656509695291</v>
      </c>
      <c r="AK223" s="918"/>
      <c r="AL223" s="918"/>
      <c r="AX223" s="1355" t="str">
        <f t="shared" si="107"/>
        <v>ASHP-SEER20-Replace_CAC_NonElectricHeat_ER1_SF</v>
      </c>
      <c r="AY223" s="1378"/>
      <c r="AZ223" s="1446" t="str">
        <f t="shared" si="108"/>
        <v>353410</v>
      </c>
      <c r="BA223" s="1325">
        <f>ROUND((K223*$BC$3)+(K225*$BC$4),2)</f>
        <v>1684.09</v>
      </c>
      <c r="BB223" s="1325">
        <f>ROUND((L223*$BC$3)+(L225*$BC$4),2)</f>
        <v>0</v>
      </c>
      <c r="BC223" s="1325">
        <f>ROUND((M223*$BC$3)+(K225*$BC$4),2)</f>
        <v>784.64</v>
      </c>
      <c r="BD223" s="1325">
        <f>ROUND((N223*$BC$3)+(L225*$BC$4),2)</f>
        <v>0</v>
      </c>
      <c r="BE223" s="1305"/>
      <c r="BF223" s="1321">
        <f>ROUND(BA223*'CP FACTORS'!$B$9,6)</f>
        <v>1.595537</v>
      </c>
      <c r="BG223" s="1322">
        <f>ROUND(BB223*'CP FACTORS'!$B$14,6)</f>
        <v>0</v>
      </c>
      <c r="BH223" s="1321">
        <f>ROUND(BC223*'CP FACTORS'!$B$9,6)</f>
        <v>0.74338199999999999</v>
      </c>
      <c r="BI223" s="1323">
        <f>ROUND(BD223*'CP FACTORS'!$B$14,6)</f>
        <v>0</v>
      </c>
      <c r="BJ223" s="1305"/>
      <c r="BK223" s="730">
        <f t="shared" si="145"/>
        <v>1684.09</v>
      </c>
      <c r="BL223" s="1342">
        <f t="shared" si="146"/>
        <v>784.64</v>
      </c>
      <c r="BM223" s="1341">
        <f t="shared" si="147"/>
        <v>1.595537</v>
      </c>
      <c r="BN223" s="1340">
        <f t="shared" si="148"/>
        <v>0.74338199999999999</v>
      </c>
    </row>
    <row r="224" spans="1:66">
      <c r="A224" s="51" t="str">
        <f t="shared" si="104"/>
        <v>353450</v>
      </c>
      <c r="B224" s="1442" t="str">
        <f>'HVAC Deemed Table'!C1660</f>
        <v>353450_2024_12_</v>
      </c>
      <c r="C224" s="887" t="str">
        <f>'HVAC Deemed Table'!G1660</f>
        <v>Cooling Res</v>
      </c>
      <c r="D224" s="887" t="str">
        <f>'HVAC Deemed Table'!G1661</f>
        <v>Heating Res</v>
      </c>
      <c r="E224" s="1378"/>
      <c r="F224" s="1378"/>
      <c r="G224" s="1378" t="str">
        <f>'HVAC Deemed Table'!E1660</f>
        <v>ASHP-SEER20-Replace_CAC_ElectricHeat_ROF_SF</v>
      </c>
      <c r="H224" s="19" t="str">
        <f>'HVAC Deemed Table'!D1660</f>
        <v>PAYS/SFIE</v>
      </c>
      <c r="I224" s="785">
        <f t="shared" si="149"/>
        <v>11040.91</v>
      </c>
      <c r="J224" s="785">
        <f t="shared" si="150"/>
        <v>0</v>
      </c>
      <c r="K224" s="202">
        <f>'HVAC Deemed Table'!F1660</f>
        <v>823.65</v>
      </c>
      <c r="L224" s="202">
        <f>'HVAC Deemed Table'!F1661</f>
        <v>10217.26</v>
      </c>
      <c r="M224" s="202"/>
      <c r="N224" s="202"/>
      <c r="O224" s="786">
        <f t="shared" si="151"/>
        <v>0.78034099999999995</v>
      </c>
      <c r="P224" s="786">
        <f t="shared" si="152"/>
        <v>0</v>
      </c>
      <c r="Q224" s="787">
        <f>'HVAC Deemed Table'!I1660</f>
        <v>0.78034099999999995</v>
      </c>
      <c r="R224" s="787">
        <f>'HVAC Deemed Table'!I1661</f>
        <v>0</v>
      </c>
      <c r="S224" s="787"/>
      <c r="T224" s="787"/>
      <c r="U224" s="788">
        <f t="shared" si="140"/>
        <v>0</v>
      </c>
      <c r="V224" s="788">
        <f t="shared" si="141"/>
        <v>0</v>
      </c>
      <c r="W224" s="788">
        <f t="shared" si="142"/>
        <v>0.78034099999999995</v>
      </c>
      <c r="X224" s="23">
        <f>'HVAC Deemed Table'!J1660</f>
        <v>18</v>
      </c>
      <c r="Y224" s="23"/>
      <c r="Z224" s="23">
        <f t="shared" si="105"/>
        <v>18</v>
      </c>
      <c r="AA224" s="18">
        <f>'HVAC Deemed Table'!DG1660</f>
        <v>1.866002733058677</v>
      </c>
      <c r="AB224" s="259">
        <f>'HVAC Deemed Table'!K1660</f>
        <v>4329.25</v>
      </c>
      <c r="AC224" s="903">
        <f t="shared" si="106"/>
        <v>8078.3923320942777</v>
      </c>
      <c r="AD224" s="903">
        <f t="shared" si="139"/>
        <v>0</v>
      </c>
      <c r="AE224" s="208">
        <f>'HVAC Deemed Table'!DI1660</f>
        <v>1885.9681541891377</v>
      </c>
      <c r="AF224" s="208">
        <f>'HVAC Deemed Table'!DI1661</f>
        <v>6192.4241779051399</v>
      </c>
      <c r="AG224" s="208"/>
      <c r="AH224" s="208"/>
      <c r="AI224" s="906" t="str">
        <f t="shared" si="155"/>
        <v>per measure</v>
      </c>
      <c r="AJ224" s="47">
        <f>'HVAC Deemed Table'!L1660</f>
        <v>2.8870833333333334</v>
      </c>
      <c r="AK224" s="641"/>
      <c r="AL224" s="641"/>
      <c r="AX224" s="1355" t="str">
        <f t="shared" si="107"/>
        <v>ASHP-SEER20-Replace_CAC_ElectricHeat_ROF_SF</v>
      </c>
      <c r="AY224" s="1378"/>
      <c r="AZ224" s="1446" t="str">
        <f t="shared" si="108"/>
        <v>353450</v>
      </c>
      <c r="BA224" s="1329">
        <f>BA222</f>
        <v>1684.09</v>
      </c>
      <c r="BB224" s="1329">
        <f t="shared" ref="BB224:BD225" si="156">BB222</f>
        <v>9561.65</v>
      </c>
      <c r="BC224" s="1329">
        <f t="shared" si="156"/>
        <v>784.64</v>
      </c>
      <c r="BD224" s="1329">
        <f t="shared" si="156"/>
        <v>9561.65</v>
      </c>
      <c r="BE224" s="1305"/>
      <c r="BF224" s="1321">
        <f>ROUND(BA224*'CP FACTORS'!$B$9,6)</f>
        <v>1.595537</v>
      </c>
      <c r="BG224" s="1322">
        <f>ROUND(BB224*'CP FACTORS'!$B$14,6)</f>
        <v>0</v>
      </c>
      <c r="BH224" s="1321">
        <f>ROUND(BC224*'CP FACTORS'!$B$9,6)</f>
        <v>0.74338199999999999</v>
      </c>
      <c r="BI224" s="1323">
        <f>ROUND(BD224*'CP FACTORS'!$B$14,6)</f>
        <v>0</v>
      </c>
      <c r="BJ224" s="1305"/>
      <c r="BK224" s="730">
        <f t="shared" si="145"/>
        <v>11245.74</v>
      </c>
      <c r="BL224" s="1342">
        <f t="shared" si="146"/>
        <v>10346.289999999999</v>
      </c>
      <c r="BM224" s="1341">
        <f t="shared" si="147"/>
        <v>1.595537</v>
      </c>
      <c r="BN224" s="1340">
        <f t="shared" si="148"/>
        <v>0.74338199999999999</v>
      </c>
    </row>
    <row r="225" spans="1:66" s="41" customFormat="1">
      <c r="A225" s="51" t="str">
        <f>LEFT(B225,6)</f>
        <v>353460</v>
      </c>
      <c r="B225" s="1442" t="str">
        <f>'HVAC Deemed Table'!C1662</f>
        <v>353460_2024_12_</v>
      </c>
      <c r="C225" s="887" t="str">
        <f>'HVAC Deemed Table'!G1662</f>
        <v>Cooling Res</v>
      </c>
      <c r="D225" s="887" t="str">
        <f>'HVAC Deemed Table'!G1663</f>
        <v>Heating Res</v>
      </c>
      <c r="E225" s="1378"/>
      <c r="F225" s="1378"/>
      <c r="G225" s="1378" t="str">
        <f>'HVAC Deemed Table'!E1662</f>
        <v>ASHP-SEER20-Replace_CAC_NonElectricHeat_ROF_SF</v>
      </c>
      <c r="H225" s="19" t="str">
        <f>'HVAC Deemed Table'!D1662</f>
        <v>PAYS</v>
      </c>
      <c r="I225" s="785">
        <f>K225+L225</f>
        <v>823.65</v>
      </c>
      <c r="J225" s="785">
        <f>M225+N225</f>
        <v>0</v>
      </c>
      <c r="K225" s="202">
        <f>'HVAC Deemed Table'!F1662</f>
        <v>823.65</v>
      </c>
      <c r="L225" s="202">
        <f>'HVAC Deemed Table'!F1663</f>
        <v>0</v>
      </c>
      <c r="M225" s="202"/>
      <c r="N225" s="202"/>
      <c r="O225" s="786">
        <f>Q225+R225</f>
        <v>0.78034099999999995</v>
      </c>
      <c r="P225" s="786">
        <f>S225+T225</f>
        <v>0</v>
      </c>
      <c r="Q225" s="787">
        <f>'HVAC Deemed Table'!I1662</f>
        <v>0.78034099999999995</v>
      </c>
      <c r="R225" s="787">
        <f>'HVAC Deemed Table'!I1663</f>
        <v>0</v>
      </c>
      <c r="S225" s="787"/>
      <c r="T225" s="787"/>
      <c r="U225" s="788">
        <f t="shared" si="140"/>
        <v>0</v>
      </c>
      <c r="V225" s="788">
        <f t="shared" si="141"/>
        <v>0</v>
      </c>
      <c r="W225" s="788">
        <f t="shared" si="142"/>
        <v>0.78034099999999995</v>
      </c>
      <c r="X225" s="23">
        <f>'HVAC Deemed Table'!J1662</f>
        <v>18</v>
      </c>
      <c r="Y225" s="23"/>
      <c r="Z225" s="23">
        <f>Y225+X225</f>
        <v>18</v>
      </c>
      <c r="AA225" s="18">
        <f>'HVAC Deemed Table'!DG1662</f>
        <v>5.8396101730630026</v>
      </c>
      <c r="AB225" s="807">
        <f>'HVAC Deemed Table'!K1662</f>
        <v>322.96131048074847</v>
      </c>
      <c r="AC225" s="903">
        <f>AE225+AF225</f>
        <v>1885.9681541891377</v>
      </c>
      <c r="AD225" s="903">
        <f>AG225+AH225</f>
        <v>0</v>
      </c>
      <c r="AE225" s="208">
        <f>'HVAC Deemed Table'!DI1662</f>
        <v>1885.9681541891377</v>
      </c>
      <c r="AF225" s="208">
        <f>'HVAC Deemed Table'!DI1663</f>
        <v>0</v>
      </c>
      <c r="AG225" s="208"/>
      <c r="AH225" s="208"/>
      <c r="AI225" s="906" t="str">
        <f t="shared" si="155"/>
        <v>per measure</v>
      </c>
      <c r="AJ225" s="48">
        <f>'HVAC Deemed Table'!L1662</f>
        <v>2.8870833333333334</v>
      </c>
      <c r="AK225" s="918"/>
      <c r="AL225" s="918"/>
      <c r="AM225"/>
      <c r="AN225"/>
      <c r="AO225"/>
      <c r="AP225"/>
      <c r="AQ225"/>
      <c r="AR225"/>
      <c r="AS225"/>
      <c r="AT225"/>
      <c r="AU225"/>
      <c r="AV225"/>
      <c r="AW225"/>
      <c r="AX225" s="1355" t="str">
        <f t="shared" si="107"/>
        <v>ASHP-SEER20-Replace_CAC_NonElectricHeat_ROF_SF</v>
      </c>
      <c r="AY225" s="1378"/>
      <c r="AZ225" s="1446" t="str">
        <f t="shared" si="108"/>
        <v>353460</v>
      </c>
      <c r="BA225" s="1329">
        <f>BA223</f>
        <v>1684.09</v>
      </c>
      <c r="BB225" s="1329">
        <f t="shared" si="156"/>
        <v>0</v>
      </c>
      <c r="BC225" s="1329">
        <f t="shared" si="156"/>
        <v>784.64</v>
      </c>
      <c r="BD225" s="1329">
        <f t="shared" si="156"/>
        <v>0</v>
      </c>
      <c r="BE225" s="1306"/>
      <c r="BF225" s="1321">
        <f>ROUND(BA225*'CP FACTORS'!$B$9,6)</f>
        <v>1.595537</v>
      </c>
      <c r="BG225" s="1322">
        <f>ROUND(BB225*'CP FACTORS'!$B$14,6)</f>
        <v>0</v>
      </c>
      <c r="BH225" s="1321">
        <f>ROUND(BC225*'CP FACTORS'!$B$9,6)</f>
        <v>0.74338199999999999</v>
      </c>
      <c r="BI225" s="1323">
        <f>ROUND(BD225*'CP FACTORS'!$B$14,6)</f>
        <v>0</v>
      </c>
      <c r="BJ225" s="1305"/>
      <c r="BK225" s="730">
        <f t="shared" si="145"/>
        <v>1684.09</v>
      </c>
      <c r="BL225" s="1342">
        <f t="shared" si="146"/>
        <v>784.64</v>
      </c>
      <c r="BM225" s="1341">
        <f t="shared" si="147"/>
        <v>1.595537</v>
      </c>
      <c r="BN225" s="1340">
        <f t="shared" si="148"/>
        <v>0.74338199999999999</v>
      </c>
    </row>
    <row r="226" spans="1:66" s="696" customFormat="1">
      <c r="A226" s="2958" t="str">
        <f t="shared" si="104"/>
        <v>353500</v>
      </c>
      <c r="B226" s="2233" t="str">
        <f>'HVAC Deemed Table'!C1664</f>
        <v>353500_2024_12_</v>
      </c>
      <c r="C226" s="3874" t="str">
        <f>'HVAC Deemed Table'!G1664</f>
        <v>Cooling Res</v>
      </c>
      <c r="D226" s="3874" t="str">
        <f>'HVAC Deemed Table'!G1665</f>
        <v>Heating Res</v>
      </c>
      <c r="E226" s="2724"/>
      <c r="F226" s="2724"/>
      <c r="G226" s="2724" t="str">
        <f>'HVAC Deemed Table'!E1664</f>
        <v>ASHP-SEER20-Replace_CAC_ElectricHeat_ROF_MF</v>
      </c>
      <c r="H226" s="2554" t="str">
        <f>'HVAC Deemed Table'!D1664</f>
        <v>MF</v>
      </c>
      <c r="I226" s="3840">
        <f t="shared" si="149"/>
        <v>7634.8499999999995</v>
      </c>
      <c r="J226" s="3840">
        <f t="shared" si="150"/>
        <v>0</v>
      </c>
      <c r="K226" s="3251">
        <f>'HVAC Deemed Table'!F1664</f>
        <v>534.16</v>
      </c>
      <c r="L226" s="3251">
        <f>'HVAC Deemed Table'!F1665</f>
        <v>7100.69</v>
      </c>
      <c r="M226" s="3251"/>
      <c r="N226" s="3251"/>
      <c r="O226" s="3841">
        <f t="shared" si="151"/>
        <v>0.506073</v>
      </c>
      <c r="P226" s="3841">
        <f t="shared" si="152"/>
        <v>0</v>
      </c>
      <c r="Q226" s="3842">
        <f>'HVAC Deemed Table'!I1664</f>
        <v>0.506073</v>
      </c>
      <c r="R226" s="3842">
        <f>'HVAC Deemed Table'!I1665</f>
        <v>0</v>
      </c>
      <c r="S226" s="3842"/>
      <c r="T226" s="3842"/>
      <c r="U226" s="3843">
        <f t="shared" si="140"/>
        <v>0</v>
      </c>
      <c r="V226" s="3843">
        <f t="shared" si="141"/>
        <v>0</v>
      </c>
      <c r="W226" s="3843">
        <f t="shared" si="142"/>
        <v>0.506073</v>
      </c>
      <c r="X226" s="2846">
        <f>'HVAC Deemed Table'!J1664</f>
        <v>18</v>
      </c>
      <c r="Y226" s="2846"/>
      <c r="Z226" s="2846">
        <f t="shared" si="105"/>
        <v>18</v>
      </c>
      <c r="AA226" s="2529">
        <f>'HVAC Deemed Table'!DG1664</f>
        <v>1.4373608535757763</v>
      </c>
      <c r="AB226" s="3878">
        <f>'HVAC Deemed Table'!K1664</f>
        <v>3845</v>
      </c>
      <c r="AC226" s="3845">
        <f t="shared" si="106"/>
        <v>5526.6524819988599</v>
      </c>
      <c r="AD226" s="3845">
        <f t="shared" si="139"/>
        <v>0</v>
      </c>
      <c r="AE226" s="3846">
        <f>'HVAC Deemed Table'!DI1664</f>
        <v>1223.1029554321249</v>
      </c>
      <c r="AF226" s="3846">
        <f>'HVAC Deemed Table'!DI1665</f>
        <v>4303.549526566735</v>
      </c>
      <c r="AG226" s="3846"/>
      <c r="AH226" s="3846"/>
      <c r="AI226" s="3847" t="str">
        <f t="shared" si="155"/>
        <v>per measure</v>
      </c>
      <c r="AJ226" s="3220">
        <f>'HVAC Deemed Table'!L1664</f>
        <v>3.2</v>
      </c>
      <c r="AK226" s="3848"/>
      <c r="AL226" s="3848"/>
      <c r="AX226" s="3849" t="str">
        <f t="shared" si="107"/>
        <v>ASHP-SEER20-Replace_CAC_ElectricHeat_ROF_MF</v>
      </c>
      <c r="AY226" s="2724"/>
      <c r="AZ226" s="3850" t="str">
        <f t="shared" si="108"/>
        <v>353500</v>
      </c>
      <c r="BA226" s="3886">
        <f t="shared" ref="BA226:BB229" si="157">ROUND((K274*$BC$3)+(K226*$BC$4),2)</f>
        <v>1096.79</v>
      </c>
      <c r="BB226" s="3886">
        <f t="shared" si="157"/>
        <v>6896.14</v>
      </c>
      <c r="BC226" s="3886">
        <f t="shared" ref="BC226:BD229" si="158">ROUND((M274*$BC$3)+(K226*$BC$4),2)</f>
        <v>524.15</v>
      </c>
      <c r="BD226" s="3886">
        <f t="shared" si="158"/>
        <v>6896.14</v>
      </c>
      <c r="BE226" s="3853"/>
      <c r="BF226" s="3854">
        <f>ROUND(BA226*'CP FACTORS'!$B$9,6)</f>
        <v>1.0391189999999999</v>
      </c>
      <c r="BG226" s="3854">
        <f>ROUND(BB226*'CP FACTORS'!$B$14,6)</f>
        <v>0</v>
      </c>
      <c r="BH226" s="3854">
        <f>ROUND(BC226*'CP FACTORS'!$B$9,6)</f>
        <v>0.496589</v>
      </c>
      <c r="BI226" s="3855">
        <f>ROUND(BD226*'CP FACTORS'!$B$14,6)</f>
        <v>0</v>
      </c>
      <c r="BJ226" s="3853"/>
      <c r="BK226" s="3856">
        <f t="shared" si="145"/>
        <v>7992.93</v>
      </c>
      <c r="BL226" s="3857">
        <f t="shared" si="146"/>
        <v>7420.29</v>
      </c>
      <c r="BM226" s="3858">
        <f t="shared" si="147"/>
        <v>1.0391189999999999</v>
      </c>
      <c r="BN226" s="3855">
        <f t="shared" si="148"/>
        <v>0.496589</v>
      </c>
    </row>
    <row r="227" spans="1:66" s="696" customFormat="1">
      <c r="A227" s="2958" t="str">
        <f t="shared" si="104"/>
        <v>353501</v>
      </c>
      <c r="B227" s="2233" t="str">
        <f>'HVAC Deemed Table'!C1666</f>
        <v>353501_2024_12_</v>
      </c>
      <c r="C227" s="3874" t="str">
        <f>'HVAC Deemed Table'!G1666</f>
        <v>Cooling Res</v>
      </c>
      <c r="D227" s="3874" t="str">
        <f>'HVAC Deemed Table'!G1667</f>
        <v>Heating Res</v>
      </c>
      <c r="E227" s="2724"/>
      <c r="F227" s="2724"/>
      <c r="G227" s="2724" t="str">
        <f>'HVAC Deemed Table'!E1666</f>
        <v>ASHP-SEER20-Replace_CAC_ElectricHeat_ROF_MF_CompE</v>
      </c>
      <c r="H227" s="2554" t="str">
        <f>'HVAC Deemed Table'!D1666</f>
        <v>MFc</v>
      </c>
      <c r="I227" s="3840">
        <f t="shared" si="149"/>
        <v>2809.17</v>
      </c>
      <c r="J227" s="3840">
        <f t="shared" si="150"/>
        <v>0</v>
      </c>
      <c r="K227" s="3251">
        <f>'HVAC Deemed Table'!F1666</f>
        <v>388.48</v>
      </c>
      <c r="L227" s="3251">
        <f>'HVAC Deemed Table'!F1667</f>
        <v>2420.69</v>
      </c>
      <c r="M227" s="3251"/>
      <c r="N227" s="3251"/>
      <c r="O227" s="3841">
        <f t="shared" si="151"/>
        <v>0.36805300000000002</v>
      </c>
      <c r="P227" s="3841">
        <f t="shared" si="152"/>
        <v>0</v>
      </c>
      <c r="Q227" s="3842">
        <f>'HVAC Deemed Table'!I1666</f>
        <v>0.36805300000000002</v>
      </c>
      <c r="R227" s="3842">
        <f>'HVAC Deemed Table'!I1667</f>
        <v>0</v>
      </c>
      <c r="S227" s="3842"/>
      <c r="T227" s="3842"/>
      <c r="U227" s="3843">
        <f t="shared" si="140"/>
        <v>0</v>
      </c>
      <c r="V227" s="3843">
        <f t="shared" si="141"/>
        <v>0</v>
      </c>
      <c r="W227" s="3843">
        <f t="shared" si="142"/>
        <v>0.36805300000000002</v>
      </c>
      <c r="X227" s="2846">
        <f>'HVAC Deemed Table'!J1666</f>
        <v>18</v>
      </c>
      <c r="Y227" s="2846"/>
      <c r="Z227" s="2846">
        <f t="shared" si="105"/>
        <v>18</v>
      </c>
      <c r="AA227" s="2529">
        <f>'HVAC Deemed Table'!DG1666</f>
        <v>0.6129125400938491</v>
      </c>
      <c r="AB227" s="3878">
        <f>'HVAC Deemed Table'!K1666</f>
        <v>3845</v>
      </c>
      <c r="AC227" s="3845">
        <f t="shared" si="106"/>
        <v>2356.6487166608499</v>
      </c>
      <c r="AD227" s="3845">
        <f t="shared" si="139"/>
        <v>0</v>
      </c>
      <c r="AE227" s="3846">
        <f>'HVAC Deemed Table'!DI1666</f>
        <v>889.52942213245467</v>
      </c>
      <c r="AF227" s="3846">
        <f>'HVAC Deemed Table'!DI1667</f>
        <v>1467.1192945283954</v>
      </c>
      <c r="AG227" s="3846"/>
      <c r="AH227" s="3846"/>
      <c r="AI227" s="3847" t="str">
        <f t="shared" si="155"/>
        <v>per measure</v>
      </c>
      <c r="AJ227" s="3220">
        <f>'HVAC Deemed Table'!L1666</f>
        <v>3.2</v>
      </c>
      <c r="AK227" s="3848"/>
      <c r="AL227" s="3848"/>
      <c r="AX227" s="3849" t="str">
        <f t="shared" si="107"/>
        <v>ASHP-SEER20-Replace_CAC_ElectricHeat_ROF_MF_CompE</v>
      </c>
      <c r="AY227" s="2724"/>
      <c r="AZ227" s="3850" t="str">
        <f t="shared" si="108"/>
        <v>353501</v>
      </c>
      <c r="BA227" s="3886">
        <f t="shared" si="157"/>
        <v>797.67</v>
      </c>
      <c r="BB227" s="3886">
        <f t="shared" si="157"/>
        <v>2350.96</v>
      </c>
      <c r="BC227" s="3886">
        <f t="shared" si="158"/>
        <v>381.2</v>
      </c>
      <c r="BD227" s="3886">
        <f t="shared" si="158"/>
        <v>2350.96</v>
      </c>
      <c r="BE227" s="3853"/>
      <c r="BF227" s="3854">
        <f>ROUND(BA227*'CP FACTORS'!$B$9,6)</f>
        <v>0.75572700000000004</v>
      </c>
      <c r="BG227" s="3854">
        <f>ROUND(BB227*'CP FACTORS'!$B$14,6)</f>
        <v>0</v>
      </c>
      <c r="BH227" s="3854">
        <f>ROUND(BC227*'CP FACTORS'!$B$9,6)</f>
        <v>0.36115599999999998</v>
      </c>
      <c r="BI227" s="3855">
        <f>ROUND(BD227*'CP FACTORS'!$B$14,6)</f>
        <v>0</v>
      </c>
      <c r="BJ227" s="3853"/>
      <c r="BK227" s="3856">
        <f t="shared" si="145"/>
        <v>3148.63</v>
      </c>
      <c r="BL227" s="3857">
        <f t="shared" si="146"/>
        <v>2732.16</v>
      </c>
      <c r="BM227" s="3858">
        <f t="shared" si="147"/>
        <v>0.75572700000000004</v>
      </c>
      <c r="BN227" s="3855">
        <f t="shared" si="148"/>
        <v>0.36115599999999998</v>
      </c>
    </row>
    <row r="228" spans="1:66" s="696" customFormat="1">
      <c r="A228" s="2958" t="str">
        <f t="shared" si="104"/>
        <v>353510</v>
      </c>
      <c r="B228" s="2233" t="str">
        <f>'HVAC Deemed Table'!C1668</f>
        <v>353510_2024_12_</v>
      </c>
      <c r="C228" s="3874" t="str">
        <f>'HVAC Deemed Table'!G1668</f>
        <v>Cooling Res</v>
      </c>
      <c r="D228" s="3874" t="str">
        <f>'HVAC Deemed Table'!G1669</f>
        <v>Heating Res</v>
      </c>
      <c r="E228" s="2724"/>
      <c r="F228" s="2724"/>
      <c r="G228" s="2724" t="str">
        <f>'HVAC Deemed Table'!E1668</f>
        <v>ASHP-SEER20-Replace_CAC_NonElectricHeat_ROF_MF</v>
      </c>
      <c r="H228" s="2554" t="str">
        <f>'HVAC Deemed Table'!D1668</f>
        <v>MF</v>
      </c>
      <c r="I228" s="3840">
        <f t="shared" si="149"/>
        <v>534.16</v>
      </c>
      <c r="J228" s="3840">
        <f t="shared" si="150"/>
        <v>0</v>
      </c>
      <c r="K228" s="3251">
        <f>'HVAC Deemed Table'!F1668</f>
        <v>534.16</v>
      </c>
      <c r="L228" s="3251">
        <f>'HVAC Deemed Table'!F1669</f>
        <v>0</v>
      </c>
      <c r="M228" s="3251"/>
      <c r="N228" s="3251"/>
      <c r="O228" s="3841">
        <f t="shared" si="151"/>
        <v>0.506073</v>
      </c>
      <c r="P228" s="3841">
        <f t="shared" si="152"/>
        <v>0</v>
      </c>
      <c r="Q228" s="3842">
        <f>'HVAC Deemed Table'!I1668</f>
        <v>0.506073</v>
      </c>
      <c r="R228" s="3842">
        <f>'HVAC Deemed Table'!I1669</f>
        <v>0</v>
      </c>
      <c r="S228" s="3842"/>
      <c r="T228" s="3842"/>
      <c r="U228" s="3843">
        <f t="shared" si="140"/>
        <v>0</v>
      </c>
      <c r="V228" s="3843">
        <f t="shared" si="141"/>
        <v>0</v>
      </c>
      <c r="W228" s="3843">
        <f t="shared" si="142"/>
        <v>0.506073</v>
      </c>
      <c r="X228" s="2846">
        <f>'HVAC Deemed Table'!J1668</f>
        <v>18</v>
      </c>
      <c r="Y228" s="2846"/>
      <c r="Z228" s="2846">
        <f t="shared" si="105"/>
        <v>18</v>
      </c>
      <c r="AA228" s="2529">
        <f>'HVAC Deemed Table'!DG1668</f>
        <v>4.546694950174901</v>
      </c>
      <c r="AB228" s="3878">
        <f>'HVAC Deemed Table'!K1668</f>
        <v>269.00924052207966</v>
      </c>
      <c r="AC228" s="3845">
        <f t="shared" si="106"/>
        <v>1223.1029554321249</v>
      </c>
      <c r="AD228" s="3845">
        <f t="shared" si="139"/>
        <v>0</v>
      </c>
      <c r="AE228" s="3846">
        <f>'HVAC Deemed Table'!DI1668</f>
        <v>1223.1029554321249</v>
      </c>
      <c r="AF228" s="3846">
        <f>'HVAC Deemed Table'!DI1669</f>
        <v>0</v>
      </c>
      <c r="AG228" s="3846"/>
      <c r="AH228" s="3846"/>
      <c r="AI228" s="3847" t="str">
        <f t="shared" si="155"/>
        <v>per measure</v>
      </c>
      <c r="AJ228" s="3220">
        <f>'HVAC Deemed Table'!L1668</f>
        <v>3.2</v>
      </c>
      <c r="AK228" s="3848"/>
      <c r="AL228" s="3848"/>
      <c r="AX228" s="3849" t="str">
        <f t="shared" si="107"/>
        <v>ASHP-SEER20-Replace_CAC_NonElectricHeat_ROF_MF</v>
      </c>
      <c r="AY228" s="2724"/>
      <c r="AZ228" s="3850" t="str">
        <f t="shared" si="108"/>
        <v>353510</v>
      </c>
      <c r="BA228" s="3886">
        <f t="shared" si="157"/>
        <v>1096.79</v>
      </c>
      <c r="BB228" s="3886">
        <f t="shared" si="157"/>
        <v>0</v>
      </c>
      <c r="BC228" s="3886">
        <f t="shared" si="158"/>
        <v>524.15</v>
      </c>
      <c r="BD228" s="3886">
        <f t="shared" si="158"/>
        <v>0</v>
      </c>
      <c r="BE228" s="3853"/>
      <c r="BF228" s="3854">
        <f>ROUND(BA228*'CP FACTORS'!$B$9,6)</f>
        <v>1.0391189999999999</v>
      </c>
      <c r="BG228" s="3854">
        <f>ROUND(BB228*'CP FACTORS'!$B$14,6)</f>
        <v>0</v>
      </c>
      <c r="BH228" s="3854">
        <f>ROUND(BC228*'CP FACTORS'!$B$9,6)</f>
        <v>0.496589</v>
      </c>
      <c r="BI228" s="3855">
        <f>ROUND(BD228*'CP FACTORS'!$B$14,6)</f>
        <v>0</v>
      </c>
      <c r="BJ228" s="3853"/>
      <c r="BK228" s="3856">
        <f t="shared" si="145"/>
        <v>1096.79</v>
      </c>
      <c r="BL228" s="3857">
        <f t="shared" si="146"/>
        <v>524.15</v>
      </c>
      <c r="BM228" s="3858">
        <f t="shared" si="147"/>
        <v>1.0391189999999999</v>
      </c>
      <c r="BN228" s="3855">
        <f t="shared" si="148"/>
        <v>0.496589</v>
      </c>
    </row>
    <row r="229" spans="1:66" s="696" customFormat="1">
      <c r="A229" s="2958" t="str">
        <f t="shared" si="104"/>
        <v>353511</v>
      </c>
      <c r="B229" s="2233" t="str">
        <f>'HVAC Deemed Table'!C1670</f>
        <v>353511_2024_12_</v>
      </c>
      <c r="C229" s="3874" t="str">
        <f>'HVAC Deemed Table'!G1670</f>
        <v>Cooling Res</v>
      </c>
      <c r="D229" s="3874" t="str">
        <f>'HVAC Deemed Table'!G1671</f>
        <v>Heating Res</v>
      </c>
      <c r="E229" s="2724"/>
      <c r="F229" s="2724"/>
      <c r="G229" s="2724" t="str">
        <f>'HVAC Deemed Table'!E1670</f>
        <v>ASHP-SEER20-Replace_CAC_NonElectricHeat_ROF_MF_CompE</v>
      </c>
      <c r="H229" s="2554" t="str">
        <f>'HVAC Deemed Table'!D1670</f>
        <v>MFc</v>
      </c>
      <c r="I229" s="3840">
        <f t="shared" si="149"/>
        <v>388.48</v>
      </c>
      <c r="J229" s="3840">
        <f t="shared" si="150"/>
        <v>0</v>
      </c>
      <c r="K229" s="3251">
        <f>'HVAC Deemed Table'!F1670</f>
        <v>388.48</v>
      </c>
      <c r="L229" s="3251">
        <f>'HVAC Deemed Table'!F1671</f>
        <v>0</v>
      </c>
      <c r="M229" s="3251"/>
      <c r="N229" s="3251"/>
      <c r="O229" s="3841">
        <f t="shared" si="151"/>
        <v>0.36805300000000002</v>
      </c>
      <c r="P229" s="3841">
        <f t="shared" si="152"/>
        <v>0</v>
      </c>
      <c r="Q229" s="3842">
        <f>'HVAC Deemed Table'!I1670</f>
        <v>0.36805300000000002</v>
      </c>
      <c r="R229" s="3842">
        <f>'HVAC Deemed Table'!I1671</f>
        <v>0</v>
      </c>
      <c r="S229" s="3842"/>
      <c r="T229" s="3842"/>
      <c r="U229" s="3843">
        <f t="shared" si="140"/>
        <v>0</v>
      </c>
      <c r="V229" s="3843">
        <f t="shared" si="141"/>
        <v>0</v>
      </c>
      <c r="W229" s="3843">
        <f t="shared" si="142"/>
        <v>0.36805300000000002</v>
      </c>
      <c r="X229" s="2846">
        <f>'HVAC Deemed Table'!J1670</f>
        <v>18</v>
      </c>
      <c r="Y229" s="2846"/>
      <c r="Z229" s="2846">
        <f t="shared" si="105"/>
        <v>18</v>
      </c>
      <c r="AA229" s="2529">
        <f>'HVAC Deemed Table'!DG1670</f>
        <v>1.6729128998189655</v>
      </c>
      <c r="AB229" s="3878">
        <f>'HVAC Deemed Table'!K1670</f>
        <v>531.72488671030942</v>
      </c>
      <c r="AC229" s="3845">
        <f t="shared" si="106"/>
        <v>889.52942213245467</v>
      </c>
      <c r="AD229" s="3845">
        <f t="shared" si="139"/>
        <v>0</v>
      </c>
      <c r="AE229" s="3846">
        <f>'HVAC Deemed Table'!DI1670</f>
        <v>889.52942213245467</v>
      </c>
      <c r="AF229" s="3846">
        <f>'HVAC Deemed Table'!DI1671</f>
        <v>0</v>
      </c>
      <c r="AG229" s="3846"/>
      <c r="AH229" s="3846"/>
      <c r="AI229" s="3847" t="str">
        <f t="shared" si="155"/>
        <v>per measure</v>
      </c>
      <c r="AJ229" s="3220">
        <f>'HVAC Deemed Table'!L1670</f>
        <v>3.2</v>
      </c>
      <c r="AK229" s="3848"/>
      <c r="AL229" s="3848"/>
      <c r="AX229" s="3849" t="str">
        <f t="shared" si="107"/>
        <v>ASHP-SEER20-Replace_CAC_NonElectricHeat_ROF_MF_CompE</v>
      </c>
      <c r="AY229" s="2724"/>
      <c r="AZ229" s="3850" t="str">
        <f t="shared" si="108"/>
        <v>353511</v>
      </c>
      <c r="BA229" s="3886">
        <f t="shared" si="157"/>
        <v>797.67</v>
      </c>
      <c r="BB229" s="3886">
        <f t="shared" si="157"/>
        <v>0</v>
      </c>
      <c r="BC229" s="3886">
        <f t="shared" si="158"/>
        <v>381.2</v>
      </c>
      <c r="BD229" s="3886">
        <f t="shared" si="158"/>
        <v>0</v>
      </c>
      <c r="BE229" s="3853"/>
      <c r="BF229" s="3854">
        <f>ROUND(BA229*'CP FACTORS'!$B$9,6)</f>
        <v>0.75572700000000004</v>
      </c>
      <c r="BG229" s="3854">
        <f>ROUND(BB229*'CP FACTORS'!$B$14,6)</f>
        <v>0</v>
      </c>
      <c r="BH229" s="3854">
        <f>ROUND(BC229*'CP FACTORS'!$B$9,6)</f>
        <v>0.36115599999999998</v>
      </c>
      <c r="BI229" s="3855">
        <f>ROUND(BD229*'CP FACTORS'!$B$14,6)</f>
        <v>0</v>
      </c>
      <c r="BJ229" s="3853"/>
      <c r="BK229" s="3856">
        <f t="shared" si="145"/>
        <v>797.67</v>
      </c>
      <c r="BL229" s="3857">
        <f t="shared" si="146"/>
        <v>381.2</v>
      </c>
      <c r="BM229" s="3858">
        <f t="shared" si="147"/>
        <v>0.75572700000000004</v>
      </c>
      <c r="BN229" s="3855">
        <f t="shared" si="148"/>
        <v>0.36115599999999998</v>
      </c>
    </row>
    <row r="230" spans="1:66">
      <c r="A230" s="51" t="str">
        <f t="shared" si="104"/>
        <v>353550</v>
      </c>
      <c r="B230" s="1442" t="str">
        <f>'HVAC Deemed Table'!C1672</f>
        <v>353550_2024_12_</v>
      </c>
      <c r="C230" s="887" t="str">
        <f>'HVAC Deemed Table'!G1672</f>
        <v>Cooling Res</v>
      </c>
      <c r="D230" s="887" t="str">
        <f>'HVAC Deemed Table'!G1673</f>
        <v>Heating Res</v>
      </c>
      <c r="E230" s="887" t="str">
        <f>'HVAC Deemed Table'!G1674</f>
        <v>Cooling Res ER2</v>
      </c>
      <c r="F230" s="887" t="str">
        <f>'HVAC Deemed Table'!G1675</f>
        <v>Heating Res ER2</v>
      </c>
      <c r="G230" s="1378" t="str">
        <f>'HVAC Deemed Table'!E1672</f>
        <v>ASHP-SEER21-Replace_CAC_ElectricHeat_ER1_SF</v>
      </c>
      <c r="H230" s="19" t="str">
        <f>'HVAC Deemed Table'!D1672</f>
        <v>PAYS/SFIE</v>
      </c>
      <c r="I230" s="785">
        <f t="shared" si="149"/>
        <v>14521.039999999999</v>
      </c>
      <c r="J230" s="785">
        <f t="shared" si="150"/>
        <v>12985.619999999999</v>
      </c>
      <c r="K230" s="202">
        <f>'HVAC Deemed Table'!F1672</f>
        <v>2498.89</v>
      </c>
      <c r="L230" s="202">
        <f>'HVAC Deemed Table'!F1673</f>
        <v>12022.15</v>
      </c>
      <c r="M230" s="202">
        <f>'HVAC Deemed Table'!F1674</f>
        <v>963.47</v>
      </c>
      <c r="N230" s="202">
        <f>'HVAC Deemed Table'!F1675</f>
        <v>12022.15</v>
      </c>
      <c r="O230" s="786">
        <f t="shared" si="151"/>
        <v>2.3674940000000002</v>
      </c>
      <c r="P230" s="786">
        <f t="shared" si="152"/>
        <v>0.91280899999999998</v>
      </c>
      <c r="Q230" s="787">
        <f>'HVAC Deemed Table'!I1672</f>
        <v>2.3674940000000002</v>
      </c>
      <c r="R230" s="787">
        <f>'HVAC Deemed Table'!I1673</f>
        <v>0</v>
      </c>
      <c r="S230" s="787">
        <f>'HVAC Deemed Table'!I1674</f>
        <v>0.91280899999999998</v>
      </c>
      <c r="T230" s="787">
        <f>'HVAC Deemed Table'!I1675</f>
        <v>0</v>
      </c>
      <c r="U230" s="788">
        <f t="shared" si="140"/>
        <v>0</v>
      </c>
      <c r="V230" s="788">
        <f t="shared" si="141"/>
        <v>0</v>
      </c>
      <c r="W230" s="788">
        <f t="shared" si="142"/>
        <v>2.3674940000000002</v>
      </c>
      <c r="X230" s="23">
        <f>'HVAC Deemed Table'!J1672</f>
        <v>6</v>
      </c>
      <c r="Y230" s="23">
        <f>'HVAC Deemed Table'!J1674</f>
        <v>12</v>
      </c>
      <c r="Z230" s="23">
        <f t="shared" si="105"/>
        <v>18</v>
      </c>
      <c r="AA230" s="18">
        <f>'HVAC Deemed Table'!DG1672</f>
        <v>2.3726800996174342</v>
      </c>
      <c r="AB230" s="259">
        <f>'HVAC Deemed Table'!K1672</f>
        <v>4645.1653206811143</v>
      </c>
      <c r="AC230" s="903">
        <f t="shared" si="106"/>
        <v>5712.6007402351443</v>
      </c>
      <c r="AD230" s="903">
        <f t="shared" si="139"/>
        <v>5308.8905755779724</v>
      </c>
      <c r="AE230" s="208">
        <f>'HVAC Deemed Table'!DI1672</f>
        <v>2488.5148519221975</v>
      </c>
      <c r="AF230" s="208">
        <f>'HVAC Deemed Table'!DI1673</f>
        <v>3224.0858883129472</v>
      </c>
      <c r="AG230" s="208">
        <f>'HVAC Deemed Table'!DI1674</f>
        <v>1246.6538754080711</v>
      </c>
      <c r="AH230" s="208">
        <f>'HVAC Deemed Table'!DI1675</f>
        <v>4062.2367001699008</v>
      </c>
      <c r="AI230" s="906" t="str">
        <f t="shared" si="155"/>
        <v>per measure</v>
      </c>
      <c r="AJ230" s="47">
        <f>'HVAC Deemed Table'!L1672</f>
        <v>3.3440561485431846</v>
      </c>
      <c r="AK230" s="641"/>
      <c r="AL230" s="641"/>
      <c r="AX230" s="1355" t="str">
        <f t="shared" ref="AX230:AX293" si="159">G230</f>
        <v>ASHP-SEER21-Replace_CAC_ElectricHeat_ER1_SF</v>
      </c>
      <c r="AY230" s="1378"/>
      <c r="AZ230" s="1446" t="str">
        <f t="shared" ref="AZ230:AZ293" si="160">A230</f>
        <v>353550</v>
      </c>
      <c r="BA230" s="1326">
        <f>ROUND((K230*$BC$3)+(K236*$BC$4),2)</f>
        <v>1891.78</v>
      </c>
      <c r="BB230" s="1326">
        <f>ROUND((L230*$BC$3)+(L236*$BC$4),2)</f>
        <v>12171.69</v>
      </c>
      <c r="BC230" s="1326">
        <f>ROUND((M230*$BC$3)+(K236*$BC$4),2)</f>
        <v>970.53</v>
      </c>
      <c r="BD230" s="1326">
        <f>ROUND((N230*$BC$3)+(L236*$BC$4),2)</f>
        <v>12171.69</v>
      </c>
      <c r="BE230" s="1305"/>
      <c r="BF230" s="1321">
        <f>ROUND(BA230*'CP FACTORS'!$B$9,6)</f>
        <v>1.7923070000000001</v>
      </c>
      <c r="BG230" s="1322">
        <f>ROUND(BB230*'CP FACTORS'!$B$14,6)</f>
        <v>0</v>
      </c>
      <c r="BH230" s="1321">
        <f>ROUND(BC230*'CP FACTORS'!$B$9,6)</f>
        <v>0.91949800000000004</v>
      </c>
      <c r="BI230" s="1323">
        <f>ROUND(BD230*'CP FACTORS'!$B$14,6)</f>
        <v>0</v>
      </c>
      <c r="BJ230" s="1305"/>
      <c r="BK230" s="730">
        <f t="shared" si="145"/>
        <v>14063.470000000001</v>
      </c>
      <c r="BL230" s="1342">
        <f t="shared" si="146"/>
        <v>13142.220000000001</v>
      </c>
      <c r="BM230" s="1341">
        <f t="shared" si="147"/>
        <v>1.7923070000000001</v>
      </c>
      <c r="BN230" s="1340">
        <f t="shared" si="148"/>
        <v>0.91949800000000004</v>
      </c>
    </row>
    <row r="231" spans="1:66">
      <c r="A231" s="51" t="str">
        <f t="shared" si="104"/>
        <v>353560</v>
      </c>
      <c r="B231" s="1442" t="str">
        <f>'HVAC Deemed Table'!C1676</f>
        <v>353560_2024_12_</v>
      </c>
      <c r="C231" s="887" t="str">
        <f>'HVAC Deemed Table'!G1676</f>
        <v>Cooling Res</v>
      </c>
      <c r="D231" s="887" t="str">
        <f>'HVAC Deemed Table'!G1677</f>
        <v>Heating Res</v>
      </c>
      <c r="E231" s="887" t="str">
        <f>'HVAC Deemed Table'!G1678</f>
        <v>Cooling Res ER2</v>
      </c>
      <c r="F231" s="887" t="str">
        <f>'HVAC Deemed Table'!G1679</f>
        <v>Heating Res ER2</v>
      </c>
      <c r="G231" s="1378" t="str">
        <f>'HVAC Deemed Table'!E1676</f>
        <v>ASHP-SEER21-Replace_CAC_NonElectricHeat_ER1_SF</v>
      </c>
      <c r="H231" s="19" t="str">
        <f>'HVAC Deemed Table'!D1676</f>
        <v>PAYS</v>
      </c>
      <c r="I231" s="785">
        <f t="shared" si="149"/>
        <v>2498.89</v>
      </c>
      <c r="J231" s="785">
        <f t="shared" si="150"/>
        <v>963.47</v>
      </c>
      <c r="K231" s="202">
        <f>'HVAC Deemed Table'!F1676</f>
        <v>2498.89</v>
      </c>
      <c r="L231" s="202">
        <f>'HVAC Deemed Table'!F1677</f>
        <v>0</v>
      </c>
      <c r="M231" s="202">
        <f>'HVAC Deemed Table'!F1678</f>
        <v>963.47</v>
      </c>
      <c r="N231" s="202">
        <f>'HVAC Deemed Table'!F1679</f>
        <v>0</v>
      </c>
      <c r="O231" s="786">
        <f t="shared" si="151"/>
        <v>2.3674940000000002</v>
      </c>
      <c r="P231" s="786">
        <f t="shared" si="152"/>
        <v>0.91280899999999998</v>
      </c>
      <c r="Q231" s="787">
        <f>'HVAC Deemed Table'!I1676</f>
        <v>2.3674940000000002</v>
      </c>
      <c r="R231" s="787">
        <f>'HVAC Deemed Table'!I1677</f>
        <v>0</v>
      </c>
      <c r="S231" s="787">
        <f>'HVAC Deemed Table'!I1678</f>
        <v>0.91280899999999998</v>
      </c>
      <c r="T231" s="787">
        <f>'HVAC Deemed Table'!I1679</f>
        <v>0</v>
      </c>
      <c r="U231" s="788">
        <f t="shared" si="140"/>
        <v>0</v>
      </c>
      <c r="V231" s="788">
        <f t="shared" si="141"/>
        <v>0</v>
      </c>
      <c r="W231" s="788">
        <f t="shared" si="142"/>
        <v>2.3674940000000002</v>
      </c>
      <c r="X231" s="23">
        <f>'HVAC Deemed Table'!J1676</f>
        <v>6</v>
      </c>
      <c r="Y231" s="23">
        <f>'HVAC Deemed Table'!J1678</f>
        <v>12</v>
      </c>
      <c r="Z231" s="23">
        <f t="shared" si="105"/>
        <v>18</v>
      </c>
      <c r="AA231" s="18">
        <f>'HVAC Deemed Table'!DG1676</f>
        <v>6.3881438518055838</v>
      </c>
      <c r="AB231" s="259">
        <f>'HVAC Deemed Table'!K1676</f>
        <v>584.70329002915889</v>
      </c>
      <c r="AC231" s="903">
        <f t="shared" si="106"/>
        <v>2488.5148519221975</v>
      </c>
      <c r="AD231" s="903">
        <f t="shared" si="139"/>
        <v>1246.6538754080711</v>
      </c>
      <c r="AE231" s="208">
        <f>'HVAC Deemed Table'!DI1676</f>
        <v>2488.5148519221975</v>
      </c>
      <c r="AF231" s="208">
        <f>'HVAC Deemed Table'!DI1677</f>
        <v>0</v>
      </c>
      <c r="AG231" s="208">
        <f>'HVAC Deemed Table'!DI1678</f>
        <v>1246.6538754080711</v>
      </c>
      <c r="AH231" s="208">
        <f>'HVAC Deemed Table'!DI1679</f>
        <v>0</v>
      </c>
      <c r="AI231" s="906" t="str">
        <f t="shared" si="155"/>
        <v>per measure</v>
      </c>
      <c r="AJ231" s="47">
        <f>'HVAC Deemed Table'!L1676</f>
        <v>3.3440561485431846</v>
      </c>
      <c r="AK231" s="918"/>
      <c r="AL231" s="918"/>
      <c r="AX231" s="1355" t="str">
        <f t="shared" si="159"/>
        <v>ASHP-SEER21-Replace_CAC_NonElectricHeat_ER1_SF</v>
      </c>
      <c r="AY231" s="1378"/>
      <c r="AZ231" s="1446" t="str">
        <f t="shared" si="160"/>
        <v>353560</v>
      </c>
      <c r="BA231" s="1326">
        <f>ROUND((K231*$BC$3)+(K237*$BC$4),2)</f>
        <v>1891.78</v>
      </c>
      <c r="BB231" s="1326">
        <f>ROUND((L231*$BC$3)+(L237*$BC$4),2)</f>
        <v>0</v>
      </c>
      <c r="BC231" s="1326">
        <f>ROUND((M231*$BC$3)+(K237*$BC$4),2)</f>
        <v>970.53</v>
      </c>
      <c r="BD231" s="1326">
        <f>ROUND((N231*$BC$3)+(L237*$BC$4),2)</f>
        <v>0</v>
      </c>
      <c r="BE231" s="1305"/>
      <c r="BF231" s="1321">
        <f>ROUND(BA231*'CP FACTORS'!$B$9,6)</f>
        <v>1.7923070000000001</v>
      </c>
      <c r="BG231" s="1322">
        <f>ROUND(BB231*'CP FACTORS'!$B$14,6)</f>
        <v>0</v>
      </c>
      <c r="BH231" s="1321">
        <f>ROUND(BC231*'CP FACTORS'!$B$9,6)</f>
        <v>0.91949800000000004</v>
      </c>
      <c r="BI231" s="1323">
        <f>ROUND(BD231*'CP FACTORS'!$B$14,6)</f>
        <v>0</v>
      </c>
      <c r="BJ231" s="1305"/>
      <c r="BK231" s="730">
        <f t="shared" si="145"/>
        <v>1891.78</v>
      </c>
      <c r="BL231" s="1342">
        <f t="shared" si="146"/>
        <v>970.53</v>
      </c>
      <c r="BM231" s="1341">
        <f t="shared" si="147"/>
        <v>1.7923070000000001</v>
      </c>
      <c r="BN231" s="1340">
        <f t="shared" si="148"/>
        <v>0.91949800000000004</v>
      </c>
    </row>
    <row r="232" spans="1:66" s="41" customFormat="1">
      <c r="A232" s="51" t="str">
        <f t="shared" si="104"/>
        <v>353600</v>
      </c>
      <c r="B232" s="1442" t="str">
        <f>'HVAC Deemed Table'!C1680</f>
        <v>353600_2024_12_</v>
      </c>
      <c r="C232" s="887" t="str">
        <f>'HVAC Deemed Table'!G1680</f>
        <v>Cooling Res</v>
      </c>
      <c r="D232" s="887" t="str">
        <f>'HVAC Deemed Table'!G1681</f>
        <v>Heating Res</v>
      </c>
      <c r="E232" s="887" t="str">
        <f>'HVAC Deemed Table'!G1682</f>
        <v>Cooling Res ER2</v>
      </c>
      <c r="F232" s="887" t="str">
        <f>'HVAC Deemed Table'!G1683</f>
        <v>Heating Res ER2</v>
      </c>
      <c r="G232" s="1378" t="str">
        <f>'HVAC Deemed Table'!E1680</f>
        <v>ASHP-SEER21-Replace_CAC_ElectricHeat_ER1_MF</v>
      </c>
      <c r="H232" s="19" t="str">
        <f>'HVAC Deemed Table'!D1680</f>
        <v>MFIE</v>
      </c>
      <c r="I232" s="785">
        <f t="shared" si="149"/>
        <v>8281.69</v>
      </c>
      <c r="J232" s="785">
        <f t="shared" si="150"/>
        <v>7327.28</v>
      </c>
      <c r="K232" s="202">
        <f>'HVAC Deemed Table'!F1680</f>
        <v>1521.91</v>
      </c>
      <c r="L232" s="202">
        <f>'HVAC Deemed Table'!F1681</f>
        <v>6759.78</v>
      </c>
      <c r="M232" s="202">
        <f>'HVAC Deemed Table'!F1682</f>
        <v>567.5</v>
      </c>
      <c r="N232" s="202">
        <f>'HVAC Deemed Table'!F1683</f>
        <v>6759.78</v>
      </c>
      <c r="O232" s="786">
        <f t="shared" si="151"/>
        <v>1.4418850000000001</v>
      </c>
      <c r="P232" s="786">
        <f t="shared" si="152"/>
        <v>0.53766000000000003</v>
      </c>
      <c r="Q232" s="787">
        <f>'HVAC Deemed Table'!I1680</f>
        <v>1.4418850000000001</v>
      </c>
      <c r="R232" s="787">
        <f>'HVAC Deemed Table'!I1681</f>
        <v>0</v>
      </c>
      <c r="S232" s="787">
        <f>'HVAC Deemed Table'!I1682</f>
        <v>0.53766000000000003</v>
      </c>
      <c r="T232" s="787">
        <f>'HVAC Deemed Table'!I1683</f>
        <v>0</v>
      </c>
      <c r="U232" s="788">
        <f t="shared" si="140"/>
        <v>0</v>
      </c>
      <c r="V232" s="788">
        <f t="shared" si="141"/>
        <v>0</v>
      </c>
      <c r="W232" s="788">
        <f t="shared" si="142"/>
        <v>1.4418850000000001</v>
      </c>
      <c r="X232" s="23">
        <f>'HVAC Deemed Table'!J1680</f>
        <v>6</v>
      </c>
      <c r="Y232" s="23">
        <f>'HVAC Deemed Table'!J1682</f>
        <v>12</v>
      </c>
      <c r="Z232" s="23">
        <f t="shared" si="105"/>
        <v>18</v>
      </c>
      <c r="AA232" s="18">
        <f>'HVAC Deemed Table'!DG1680</f>
        <v>1.6494975209084624</v>
      </c>
      <c r="AB232" s="259">
        <f>'HVAC Deemed Table'!K1680</f>
        <v>3847.7316315552043</v>
      </c>
      <c r="AC232" s="903">
        <f t="shared" si="106"/>
        <v>3328.4209383737866</v>
      </c>
      <c r="AD232" s="903">
        <f t="shared" si="139"/>
        <v>3018.4028489975954</v>
      </c>
      <c r="AE232" s="208">
        <f>'HVAC Deemed Table'!DI1680</f>
        <v>1515.5911777985073</v>
      </c>
      <c r="AF232" s="208">
        <f>'HVAC Deemed Table'!DI1681</f>
        <v>1812.8297605752794</v>
      </c>
      <c r="AG232" s="208">
        <f>'HVAC Deemed Table'!DI1682</f>
        <v>734.30005531472739</v>
      </c>
      <c r="AH232" s="208">
        <f>'HVAC Deemed Table'!DI1683</f>
        <v>2284.1027936828682</v>
      </c>
      <c r="AI232" s="906" t="str">
        <f t="shared" si="155"/>
        <v>per measure</v>
      </c>
      <c r="AJ232" s="47">
        <f>'HVAC Deemed Table'!L1680</f>
        <v>3.1</v>
      </c>
      <c r="AK232" s="641"/>
      <c r="AL232" s="641"/>
      <c r="AM232"/>
      <c r="AN232"/>
      <c r="AO232"/>
      <c r="AP232"/>
      <c r="AQ232"/>
      <c r="AR232"/>
      <c r="AS232"/>
      <c r="AT232"/>
      <c r="AU232"/>
      <c r="AV232"/>
      <c r="AW232"/>
      <c r="AX232" s="1355" t="str">
        <f t="shared" si="159"/>
        <v>ASHP-SEER21-Replace_CAC_ElectricHeat_ER1_MF</v>
      </c>
      <c r="AY232" s="1378"/>
      <c r="AZ232" s="1446" t="str">
        <f t="shared" si="160"/>
        <v>353600</v>
      </c>
      <c r="BA232" s="1335">
        <f t="shared" ref="BA232:BB235" si="161">ROUND((K232*$BC$3)+(K282*$BC$4),2)</f>
        <v>1118.18</v>
      </c>
      <c r="BB232" s="1335">
        <f t="shared" si="161"/>
        <v>6541.11</v>
      </c>
      <c r="BC232" s="1335">
        <f t="shared" ref="BC232:BD235" si="162">ROUND((M232*$BC$3)+(K282*$BC$4),2)</f>
        <v>545.53</v>
      </c>
      <c r="BD232" s="1335">
        <f t="shared" si="162"/>
        <v>6541.11</v>
      </c>
      <c r="BE232" s="1306"/>
      <c r="BF232" s="1321">
        <f>ROUND(BA232*'CP FACTORS'!$B$9,6)</f>
        <v>1.0593840000000001</v>
      </c>
      <c r="BG232" s="1322">
        <f>ROUND(BB232*'CP FACTORS'!$B$14,6)</f>
        <v>0</v>
      </c>
      <c r="BH232" s="1321">
        <f>ROUND(BC232*'CP FACTORS'!$B$9,6)</f>
        <v>0.516845</v>
      </c>
      <c r="BI232" s="1323">
        <f>ROUND(BD232*'CP FACTORS'!$B$14,6)</f>
        <v>0</v>
      </c>
      <c r="BJ232" s="1305"/>
      <c r="BK232" s="730">
        <f t="shared" si="145"/>
        <v>7659.29</v>
      </c>
      <c r="BL232" s="1342">
        <f t="shared" si="146"/>
        <v>7086.6399999999994</v>
      </c>
      <c r="BM232" s="1341">
        <f t="shared" si="147"/>
        <v>1.0593840000000001</v>
      </c>
      <c r="BN232" s="1340">
        <f t="shared" si="148"/>
        <v>0.516845</v>
      </c>
    </row>
    <row r="233" spans="1:66" s="696" customFormat="1">
      <c r="A233" s="2958" t="str">
        <f t="shared" si="104"/>
        <v>353601</v>
      </c>
      <c r="B233" s="2233" t="str">
        <f>'HVAC Deemed Table'!C1684</f>
        <v>353601_2024_12_</v>
      </c>
      <c r="C233" s="3874" t="str">
        <f>'HVAC Deemed Table'!G1684</f>
        <v>Cooling Res</v>
      </c>
      <c r="D233" s="3874" t="str">
        <f>'HVAC Deemed Table'!G1685</f>
        <v>Heating Res</v>
      </c>
      <c r="E233" s="3874" t="str">
        <f>'HVAC Deemed Table'!G1686</f>
        <v>Cooling Res ER2</v>
      </c>
      <c r="F233" s="3874" t="str">
        <f>'HVAC Deemed Table'!G1687</f>
        <v>Heating Res ER2</v>
      </c>
      <c r="G233" s="2724" t="str">
        <f>'HVAC Deemed Table'!E1684</f>
        <v>ASHP-SEER21-Replace_CAC_ElectricHeat_ER1_MF_CompE</v>
      </c>
      <c r="H233" s="2554" t="str">
        <f>'HVAC Deemed Table'!D1684</f>
        <v>MFc</v>
      </c>
      <c r="I233" s="3840">
        <f t="shared" si="149"/>
        <v>3411.3099999999995</v>
      </c>
      <c r="J233" s="3840">
        <f t="shared" si="150"/>
        <v>2717.2</v>
      </c>
      <c r="K233" s="3251">
        <f>'HVAC Deemed Table'!F1684</f>
        <v>1106.8399999999999</v>
      </c>
      <c r="L233" s="3251">
        <f>'HVAC Deemed Table'!F1685</f>
        <v>2304.4699999999998</v>
      </c>
      <c r="M233" s="3251">
        <f>'HVAC Deemed Table'!F1686</f>
        <v>412.73</v>
      </c>
      <c r="N233" s="3251">
        <f>'HVAC Deemed Table'!F1687</f>
        <v>2304.4699999999998</v>
      </c>
      <c r="O233" s="3841">
        <f t="shared" si="151"/>
        <v>1.04864</v>
      </c>
      <c r="P233" s="3841">
        <f t="shared" si="152"/>
        <v>0.39102799999999999</v>
      </c>
      <c r="Q233" s="3842">
        <f>'HVAC Deemed Table'!I1684</f>
        <v>1.04864</v>
      </c>
      <c r="R233" s="3842">
        <f>'HVAC Deemed Table'!I1685</f>
        <v>0</v>
      </c>
      <c r="S233" s="3842">
        <f>'HVAC Deemed Table'!I1686</f>
        <v>0.39102799999999999</v>
      </c>
      <c r="T233" s="3842">
        <f>'HVAC Deemed Table'!I1687</f>
        <v>0</v>
      </c>
      <c r="U233" s="3843">
        <f t="shared" si="140"/>
        <v>0</v>
      </c>
      <c r="V233" s="3843">
        <f t="shared" si="141"/>
        <v>0</v>
      </c>
      <c r="W233" s="3843">
        <f t="shared" si="142"/>
        <v>1.04864</v>
      </c>
      <c r="X233" s="2846">
        <f>'HVAC Deemed Table'!J1684</f>
        <v>6</v>
      </c>
      <c r="Y233" s="2846">
        <f>'HVAC Deemed Table'!J1686</f>
        <v>12</v>
      </c>
      <c r="Z233" s="2846">
        <f t="shared" si="105"/>
        <v>18</v>
      </c>
      <c r="AA233" s="2529">
        <f>'HVAC Deemed Table'!DG1684</f>
        <v>0.78824772835207457</v>
      </c>
      <c r="AB233" s="3878">
        <f>'HVAC Deemed Table'!K1684</f>
        <v>3847.7316315552043</v>
      </c>
      <c r="AC233" s="3845">
        <f t="shared" si="106"/>
        <v>1720.2545317934007</v>
      </c>
      <c r="AD233" s="3845">
        <f t="shared" si="139"/>
        <v>1312.7111860884106</v>
      </c>
      <c r="AE233" s="3846">
        <f>'HVAC Deemed Table'!DI1684</f>
        <v>1102.2445080421967</v>
      </c>
      <c r="AF233" s="3846">
        <f>'HVAC Deemed Table'!DI1685</f>
        <v>618.01002375120402</v>
      </c>
      <c r="AG233" s="3846">
        <f>'HVAC Deemed Table'!DI1686</f>
        <v>534.03993274017171</v>
      </c>
      <c r="AH233" s="3846">
        <f>'HVAC Deemed Table'!DI1687</f>
        <v>778.67125334823891</v>
      </c>
      <c r="AI233" s="3847" t="str">
        <f t="shared" si="155"/>
        <v>per measure</v>
      </c>
      <c r="AJ233" s="3220">
        <f>'HVAC Deemed Table'!L1684</f>
        <v>3.1</v>
      </c>
      <c r="AK233" s="3848"/>
      <c r="AL233" s="3848"/>
      <c r="AX233" s="3849" t="str">
        <f t="shared" si="159"/>
        <v>ASHP-SEER21-Replace_CAC_ElectricHeat_ER1_MF_CompE</v>
      </c>
      <c r="AY233" s="2724"/>
      <c r="AZ233" s="3850" t="str">
        <f t="shared" si="160"/>
        <v>353601</v>
      </c>
      <c r="BA233" s="3886">
        <f t="shared" si="161"/>
        <v>813.22</v>
      </c>
      <c r="BB233" s="3886">
        <f t="shared" si="161"/>
        <v>2229.92</v>
      </c>
      <c r="BC233" s="3886">
        <f t="shared" si="162"/>
        <v>396.75</v>
      </c>
      <c r="BD233" s="3886">
        <f t="shared" si="162"/>
        <v>2229.92</v>
      </c>
      <c r="BE233" s="3853"/>
      <c r="BF233" s="3854">
        <f>ROUND(BA233*'CP FACTORS'!$B$9,6)</f>
        <v>0.770459</v>
      </c>
      <c r="BG233" s="3854">
        <f>ROUND(BB233*'CP FACTORS'!$B$14,6)</f>
        <v>0</v>
      </c>
      <c r="BH233" s="3854">
        <f>ROUND(BC233*'CP FACTORS'!$B$9,6)</f>
        <v>0.375888</v>
      </c>
      <c r="BI233" s="3855">
        <f>ROUND(BD233*'CP FACTORS'!$B$14,6)</f>
        <v>0</v>
      </c>
      <c r="BJ233" s="3853"/>
      <c r="BK233" s="3856">
        <f t="shared" si="145"/>
        <v>3043.1400000000003</v>
      </c>
      <c r="BL233" s="3857">
        <f t="shared" si="146"/>
        <v>2626.67</v>
      </c>
      <c r="BM233" s="3858">
        <f t="shared" si="147"/>
        <v>0.770459</v>
      </c>
      <c r="BN233" s="3855">
        <f t="shared" si="148"/>
        <v>0.375888</v>
      </c>
    </row>
    <row r="234" spans="1:66" s="696" customFormat="1">
      <c r="A234" s="2958" t="str">
        <f t="shared" ref="A234:A297" si="163">LEFT(B234,6)</f>
        <v>353610</v>
      </c>
      <c r="B234" s="2233" t="str">
        <f>'HVAC Deemed Table'!C1688</f>
        <v>353610_2024_12_</v>
      </c>
      <c r="C234" s="3874" t="str">
        <f>'HVAC Deemed Table'!G1688</f>
        <v>Cooling Res</v>
      </c>
      <c r="D234" s="3874" t="str">
        <f>'HVAC Deemed Table'!G1689</f>
        <v>Heating Res</v>
      </c>
      <c r="E234" s="3874" t="str">
        <f>'HVAC Deemed Table'!G1690</f>
        <v>Cooling Res ER2</v>
      </c>
      <c r="F234" s="3874" t="str">
        <f>'HVAC Deemed Table'!G1691</f>
        <v>Heating Res ER2</v>
      </c>
      <c r="G234" s="2724" t="str">
        <f>'HVAC Deemed Table'!E1688</f>
        <v>ASHP-SEER21-Replace_CAC_NonElectricHeat_ER1_MF</v>
      </c>
      <c r="H234" s="2554" t="str">
        <f>'HVAC Deemed Table'!D1688</f>
        <v>MF</v>
      </c>
      <c r="I234" s="3840">
        <f t="shared" si="149"/>
        <v>1521.91</v>
      </c>
      <c r="J234" s="3840">
        <f t="shared" si="150"/>
        <v>567.5</v>
      </c>
      <c r="K234" s="3251">
        <f>'HVAC Deemed Table'!F1688</f>
        <v>1521.91</v>
      </c>
      <c r="L234" s="3251">
        <f>'HVAC Deemed Table'!F1689</f>
        <v>0</v>
      </c>
      <c r="M234" s="3251">
        <f>'HVAC Deemed Table'!F1690</f>
        <v>567.5</v>
      </c>
      <c r="N234" s="3251">
        <f>'HVAC Deemed Table'!F1691</f>
        <v>0</v>
      </c>
      <c r="O234" s="3841">
        <f t="shared" si="151"/>
        <v>1.4418850000000001</v>
      </c>
      <c r="P234" s="3841">
        <f t="shared" si="152"/>
        <v>0.53766000000000003</v>
      </c>
      <c r="Q234" s="3842">
        <f>'HVAC Deemed Table'!I1688</f>
        <v>1.4418850000000001</v>
      </c>
      <c r="R234" s="3842">
        <f>'HVAC Deemed Table'!I1689</f>
        <v>0</v>
      </c>
      <c r="S234" s="3842">
        <f>'HVAC Deemed Table'!I1690</f>
        <v>0.53766000000000003</v>
      </c>
      <c r="T234" s="3842">
        <f>'HVAC Deemed Table'!I1691</f>
        <v>0</v>
      </c>
      <c r="U234" s="3843">
        <f t="shared" si="140"/>
        <v>0</v>
      </c>
      <c r="V234" s="3843">
        <f t="shared" si="141"/>
        <v>0</v>
      </c>
      <c r="W234" s="3843">
        <f t="shared" si="142"/>
        <v>1.4418850000000001</v>
      </c>
      <c r="X234" s="2846">
        <f>'HVAC Deemed Table'!J1688</f>
        <v>6</v>
      </c>
      <c r="Y234" s="2846">
        <f>'HVAC Deemed Table'!J1690</f>
        <v>12</v>
      </c>
      <c r="Z234" s="2846">
        <f t="shared" ref="Z234:Z297" si="164">Y234+X234</f>
        <v>18</v>
      </c>
      <c r="AA234" s="2529">
        <f>'HVAC Deemed Table'!DG1688</f>
        <v>4.3682484032031637</v>
      </c>
      <c r="AB234" s="3878">
        <f>'HVAC Deemed Table'!K1688</f>
        <v>515.05569863275787</v>
      </c>
      <c r="AC234" s="3845">
        <f t="shared" ref="AC234:AC297" si="165">AE234+AF234</f>
        <v>1515.5911777985073</v>
      </c>
      <c r="AD234" s="3845">
        <f t="shared" si="139"/>
        <v>734.30005531472739</v>
      </c>
      <c r="AE234" s="3846">
        <f>'HVAC Deemed Table'!DI1688</f>
        <v>1515.5911777985073</v>
      </c>
      <c r="AF234" s="3846">
        <f>'HVAC Deemed Table'!DI1689</f>
        <v>0</v>
      </c>
      <c r="AG234" s="3846">
        <f>'HVAC Deemed Table'!DI1690</f>
        <v>734.30005531472739</v>
      </c>
      <c r="AH234" s="3846">
        <f>'HVAC Deemed Table'!DI1691</f>
        <v>0</v>
      </c>
      <c r="AI234" s="3847" t="str">
        <f t="shared" si="155"/>
        <v>per measure</v>
      </c>
      <c r="AJ234" s="3220">
        <f>'HVAC Deemed Table'!L1688</f>
        <v>3.1</v>
      </c>
      <c r="AK234" s="3848"/>
      <c r="AL234" s="3848"/>
      <c r="AX234" s="3849" t="str">
        <f t="shared" si="159"/>
        <v>ASHP-SEER21-Replace_CAC_NonElectricHeat_ER1_MF</v>
      </c>
      <c r="AY234" s="2724"/>
      <c r="AZ234" s="3850" t="str">
        <f t="shared" si="160"/>
        <v>353610</v>
      </c>
      <c r="BA234" s="3886">
        <f t="shared" si="161"/>
        <v>1118.18</v>
      </c>
      <c r="BB234" s="3886">
        <f t="shared" si="161"/>
        <v>0</v>
      </c>
      <c r="BC234" s="3886">
        <f t="shared" si="162"/>
        <v>545.53</v>
      </c>
      <c r="BD234" s="3886">
        <f t="shared" si="162"/>
        <v>0</v>
      </c>
      <c r="BE234" s="3853"/>
      <c r="BF234" s="3854">
        <f>ROUND(BA234*'CP FACTORS'!$B$9,6)</f>
        <v>1.0593840000000001</v>
      </c>
      <c r="BG234" s="3854">
        <f>ROUND(BB234*'CP FACTORS'!$B$14,6)</f>
        <v>0</v>
      </c>
      <c r="BH234" s="3854">
        <f>ROUND(BC234*'CP FACTORS'!$B$9,6)</f>
        <v>0.516845</v>
      </c>
      <c r="BI234" s="3855">
        <f>ROUND(BD234*'CP FACTORS'!$B$14,6)</f>
        <v>0</v>
      </c>
      <c r="BJ234" s="3853"/>
      <c r="BK234" s="3856">
        <f t="shared" si="145"/>
        <v>1118.18</v>
      </c>
      <c r="BL234" s="3857">
        <f t="shared" si="146"/>
        <v>545.53</v>
      </c>
      <c r="BM234" s="3858">
        <f t="shared" si="147"/>
        <v>1.0593840000000001</v>
      </c>
      <c r="BN234" s="3855">
        <f t="shared" si="148"/>
        <v>0.516845</v>
      </c>
    </row>
    <row r="235" spans="1:66" s="696" customFormat="1">
      <c r="A235" s="2958" t="str">
        <f t="shared" si="163"/>
        <v>353611</v>
      </c>
      <c r="B235" s="2233" t="str">
        <f>'HVAC Deemed Table'!C1692</f>
        <v>353611_2024_12_</v>
      </c>
      <c r="C235" s="3874" t="str">
        <f>'HVAC Deemed Table'!G1692</f>
        <v>Cooling Res</v>
      </c>
      <c r="D235" s="3874" t="str">
        <f>'HVAC Deemed Table'!G1693</f>
        <v>Heating Res</v>
      </c>
      <c r="E235" s="3874" t="str">
        <f>'HVAC Deemed Table'!G1694</f>
        <v>Cooling Res ER2</v>
      </c>
      <c r="F235" s="3874" t="str">
        <f>'HVAC Deemed Table'!G1695</f>
        <v>Heating Res ER2</v>
      </c>
      <c r="G235" s="2724" t="str">
        <f>'HVAC Deemed Table'!E1692</f>
        <v>ASHP-SEER21-Replace_CAC_NonElectricHeat_ER1_MF_CompE</v>
      </c>
      <c r="H235" s="2554" t="str">
        <f>'HVAC Deemed Table'!D1692</f>
        <v>MFc</v>
      </c>
      <c r="I235" s="3840">
        <f t="shared" si="149"/>
        <v>1106.8399999999999</v>
      </c>
      <c r="J235" s="3840">
        <f t="shared" si="150"/>
        <v>412.73</v>
      </c>
      <c r="K235" s="3251">
        <f>'HVAC Deemed Table'!F1692</f>
        <v>1106.8399999999999</v>
      </c>
      <c r="L235" s="3251">
        <f>'HVAC Deemed Table'!F1693</f>
        <v>0</v>
      </c>
      <c r="M235" s="3251">
        <f>'HVAC Deemed Table'!F1694</f>
        <v>412.73</v>
      </c>
      <c r="N235" s="3251">
        <f>'HVAC Deemed Table'!F1695</f>
        <v>0</v>
      </c>
      <c r="O235" s="3841">
        <f t="shared" si="151"/>
        <v>1.04864</v>
      </c>
      <c r="P235" s="3841">
        <f t="shared" si="152"/>
        <v>0.39102799999999999</v>
      </c>
      <c r="Q235" s="3842">
        <f>'HVAC Deemed Table'!I1692</f>
        <v>1.04864</v>
      </c>
      <c r="R235" s="3842">
        <f>'HVAC Deemed Table'!I1693</f>
        <v>0</v>
      </c>
      <c r="S235" s="3842">
        <f>'HVAC Deemed Table'!I1694</f>
        <v>0.39102799999999999</v>
      </c>
      <c r="T235" s="3842">
        <f>'HVAC Deemed Table'!I1695</f>
        <v>0</v>
      </c>
      <c r="U235" s="3843">
        <f t="shared" si="140"/>
        <v>0</v>
      </c>
      <c r="V235" s="3843">
        <f t="shared" si="141"/>
        <v>0</v>
      </c>
      <c r="W235" s="3843">
        <f t="shared" si="142"/>
        <v>1.04864</v>
      </c>
      <c r="X235" s="2846">
        <f>'HVAC Deemed Table'!J1692</f>
        <v>6</v>
      </c>
      <c r="Y235" s="2846">
        <f>'HVAC Deemed Table'!J1694</f>
        <v>12</v>
      </c>
      <c r="Z235" s="2846">
        <f t="shared" si="164"/>
        <v>18</v>
      </c>
      <c r="AA235" s="2529">
        <f>'HVAC Deemed Table'!DG1692</f>
        <v>1.7150951360490703</v>
      </c>
      <c r="AB235" s="3878">
        <f>'HVAC Deemed Table'!K1692</f>
        <v>954.04879087450979</v>
      </c>
      <c r="AC235" s="3845">
        <f t="shared" si="165"/>
        <v>1102.2445080421967</v>
      </c>
      <c r="AD235" s="3845">
        <f t="shared" si="139"/>
        <v>534.03993274017171</v>
      </c>
      <c r="AE235" s="3846">
        <f>'HVAC Deemed Table'!DI1692</f>
        <v>1102.2445080421967</v>
      </c>
      <c r="AF235" s="3846">
        <f>'HVAC Deemed Table'!DI1693</f>
        <v>0</v>
      </c>
      <c r="AG235" s="3846">
        <f>'HVAC Deemed Table'!DI1694</f>
        <v>534.03993274017171</v>
      </c>
      <c r="AH235" s="3846">
        <f>'HVAC Deemed Table'!DI1695</f>
        <v>0</v>
      </c>
      <c r="AI235" s="3847" t="str">
        <f t="shared" si="155"/>
        <v>per measure</v>
      </c>
      <c r="AJ235" s="3220">
        <f>'HVAC Deemed Table'!L1692</f>
        <v>3.1</v>
      </c>
      <c r="AK235" s="3848"/>
      <c r="AL235" s="3848"/>
      <c r="AX235" s="3849" t="str">
        <f t="shared" si="159"/>
        <v>ASHP-SEER21-Replace_CAC_NonElectricHeat_ER1_MF_CompE</v>
      </c>
      <c r="AY235" s="2724"/>
      <c r="AZ235" s="3850" t="str">
        <f t="shared" si="160"/>
        <v>353611</v>
      </c>
      <c r="BA235" s="3886">
        <f t="shared" si="161"/>
        <v>813.22</v>
      </c>
      <c r="BB235" s="3886">
        <f t="shared" si="161"/>
        <v>0</v>
      </c>
      <c r="BC235" s="3886">
        <f t="shared" si="162"/>
        <v>396.75</v>
      </c>
      <c r="BD235" s="3886">
        <f t="shared" si="162"/>
        <v>0</v>
      </c>
      <c r="BE235" s="3853"/>
      <c r="BF235" s="3854">
        <f>ROUND(BA235*'CP FACTORS'!$B$9,6)</f>
        <v>0.770459</v>
      </c>
      <c r="BG235" s="3854">
        <f>ROUND(BB235*'CP FACTORS'!$B$14,6)</f>
        <v>0</v>
      </c>
      <c r="BH235" s="3854">
        <f>ROUND(BC235*'CP FACTORS'!$B$9,6)</f>
        <v>0.375888</v>
      </c>
      <c r="BI235" s="3855">
        <f>ROUND(BD235*'CP FACTORS'!$B$14,6)</f>
        <v>0</v>
      </c>
      <c r="BJ235" s="3853"/>
      <c r="BK235" s="3856">
        <f t="shared" si="145"/>
        <v>813.22</v>
      </c>
      <c r="BL235" s="3857">
        <f t="shared" si="146"/>
        <v>396.75</v>
      </c>
      <c r="BM235" s="3858">
        <f t="shared" si="147"/>
        <v>0.770459</v>
      </c>
      <c r="BN235" s="3855">
        <f t="shared" si="148"/>
        <v>0.375888</v>
      </c>
    </row>
    <row r="236" spans="1:66">
      <c r="A236" s="51" t="str">
        <f t="shared" si="163"/>
        <v>353650</v>
      </c>
      <c r="B236" s="1442" t="str">
        <f>'HVAC Deemed Table'!C1696</f>
        <v>353650_2024_12_</v>
      </c>
      <c r="C236" s="887" t="str">
        <f>'HVAC Deemed Table'!G1696</f>
        <v>Cooling Res</v>
      </c>
      <c r="D236" s="887" t="str">
        <f>'HVAC Deemed Table'!G1697</f>
        <v>Heating Res</v>
      </c>
      <c r="E236" s="1378"/>
      <c r="F236" s="1378"/>
      <c r="G236" s="1378" t="str">
        <f>'HVAC Deemed Table'!E1696</f>
        <v>ASHP-SEER21-Replace_CAC_ElectricHeat_ROF_SF</v>
      </c>
      <c r="H236" s="19" t="str">
        <f>'HVAC Deemed Table'!D1696</f>
        <v>PAYS/SFIE</v>
      </c>
      <c r="I236" s="785">
        <f t="shared" si="149"/>
        <v>13377.11</v>
      </c>
      <c r="J236" s="785">
        <f t="shared" si="150"/>
        <v>0</v>
      </c>
      <c r="K236" s="202">
        <f>'HVAC Deemed Table'!F1696</f>
        <v>981.12</v>
      </c>
      <c r="L236" s="202">
        <f>'HVAC Deemed Table'!F1697</f>
        <v>12395.99</v>
      </c>
      <c r="M236" s="202"/>
      <c r="N236" s="202"/>
      <c r="O236" s="786">
        <f t="shared" si="151"/>
        <v>0.929531</v>
      </c>
      <c r="P236" s="786">
        <f t="shared" si="152"/>
        <v>0</v>
      </c>
      <c r="Q236" s="787">
        <f>'HVAC Deemed Table'!I1696</f>
        <v>0.929531</v>
      </c>
      <c r="R236" s="787">
        <f>'HVAC Deemed Table'!I1697</f>
        <v>0</v>
      </c>
      <c r="S236" s="787"/>
      <c r="T236" s="787"/>
      <c r="U236" s="788">
        <f t="shared" si="140"/>
        <v>0</v>
      </c>
      <c r="V236" s="788">
        <f t="shared" si="141"/>
        <v>0</v>
      </c>
      <c r="W236" s="788">
        <f t="shared" si="142"/>
        <v>0.929531</v>
      </c>
      <c r="X236" s="23">
        <f>'HVAC Deemed Table'!J1696</f>
        <v>18</v>
      </c>
      <c r="Y236" s="23"/>
      <c r="Z236" s="23">
        <f t="shared" si="164"/>
        <v>18</v>
      </c>
      <c r="AA236" s="18">
        <f>'HVAC Deemed Table'!DG1696</f>
        <v>2.0858086929149433</v>
      </c>
      <c r="AB236" s="259">
        <f>'HVAC Deemed Table'!K1696</f>
        <v>4678.9696970312507</v>
      </c>
      <c r="AC236" s="903">
        <f t="shared" si="165"/>
        <v>9759.4356679533812</v>
      </c>
      <c r="AD236" s="903">
        <f t="shared" si="139"/>
        <v>0</v>
      </c>
      <c r="AE236" s="208">
        <f>'HVAC Deemed Table'!DI1696</f>
        <v>2246.5380628155731</v>
      </c>
      <c r="AF236" s="208">
        <f>'HVAC Deemed Table'!DI1697</f>
        <v>7512.8976051378086</v>
      </c>
      <c r="AG236" s="208"/>
      <c r="AH236" s="208"/>
      <c r="AI236" s="906" t="str">
        <f t="shared" si="155"/>
        <v>per measure</v>
      </c>
      <c r="AJ236" s="47">
        <f>'HVAC Deemed Table'!L1696</f>
        <v>3.4699494950520831</v>
      </c>
      <c r="AK236" s="641"/>
      <c r="AL236" s="641"/>
      <c r="AX236" s="1355" t="str">
        <f t="shared" si="159"/>
        <v>ASHP-SEER21-Replace_CAC_ElectricHeat_ROF_SF</v>
      </c>
      <c r="AY236" s="1378"/>
      <c r="AZ236" s="1446" t="str">
        <f t="shared" si="160"/>
        <v>353650</v>
      </c>
      <c r="BA236" s="1333">
        <f>BA230</f>
        <v>1891.78</v>
      </c>
      <c r="BB236" s="1333">
        <f t="shared" ref="BB236:BD237" si="166">BB230</f>
        <v>12171.69</v>
      </c>
      <c r="BC236" s="1333">
        <f t="shared" si="166"/>
        <v>970.53</v>
      </c>
      <c r="BD236" s="1333">
        <f t="shared" si="166"/>
        <v>12171.69</v>
      </c>
      <c r="BE236" s="1305"/>
      <c r="BF236" s="1321">
        <f>ROUND(BA236*'CP FACTORS'!$B$9,6)</f>
        <v>1.7923070000000001</v>
      </c>
      <c r="BG236" s="1322">
        <f>ROUND(BB236*'CP FACTORS'!$B$14,6)</f>
        <v>0</v>
      </c>
      <c r="BH236" s="1321">
        <f>ROUND(BC236*'CP FACTORS'!$B$9,6)</f>
        <v>0.91949800000000004</v>
      </c>
      <c r="BI236" s="1323">
        <f>ROUND(BD236*'CP FACTORS'!$B$14,6)</f>
        <v>0</v>
      </c>
      <c r="BJ236" s="1305"/>
      <c r="BK236" s="730">
        <f t="shared" si="145"/>
        <v>14063.470000000001</v>
      </c>
      <c r="BL236" s="1342">
        <f t="shared" si="146"/>
        <v>13142.220000000001</v>
      </c>
      <c r="BM236" s="1341">
        <f t="shared" si="147"/>
        <v>1.7923070000000001</v>
      </c>
      <c r="BN236" s="1340">
        <f t="shared" si="148"/>
        <v>0.91949800000000004</v>
      </c>
    </row>
    <row r="237" spans="1:66" s="41" customFormat="1">
      <c r="A237" s="51" t="str">
        <f>LEFT(B237,6)</f>
        <v>353660</v>
      </c>
      <c r="B237" s="1442" t="str">
        <f>'HVAC Deemed Table'!C1698</f>
        <v>353660_2024_12_</v>
      </c>
      <c r="C237" s="887" t="str">
        <f>'HVAC Deemed Table'!G1698</f>
        <v>Cooling Res</v>
      </c>
      <c r="D237" s="887" t="str">
        <f>'HVAC Deemed Table'!G1699</f>
        <v>Heating Res</v>
      </c>
      <c r="E237" s="1378"/>
      <c r="F237" s="1378"/>
      <c r="G237" s="1378" t="str">
        <f>'HVAC Deemed Table'!E1698</f>
        <v>ASHP-SEER21-Replace_CAC_NonElectricHeat_ROF_SF</v>
      </c>
      <c r="H237" s="19" t="str">
        <f>'HVAC Deemed Table'!D1698</f>
        <v>PAYS</v>
      </c>
      <c r="I237" s="785">
        <f>K237+L237</f>
        <v>981.12</v>
      </c>
      <c r="J237" s="785">
        <f>M237+N237</f>
        <v>0</v>
      </c>
      <c r="K237" s="202">
        <f>'HVAC Deemed Table'!F1698</f>
        <v>981.12</v>
      </c>
      <c r="L237" s="202">
        <f>'HVAC Deemed Table'!F1699</f>
        <v>0</v>
      </c>
      <c r="M237" s="202"/>
      <c r="N237" s="202"/>
      <c r="O237" s="786">
        <f>Q237+R237</f>
        <v>0.929531</v>
      </c>
      <c r="P237" s="786">
        <f>S237+T237</f>
        <v>0</v>
      </c>
      <c r="Q237" s="787">
        <f>'HVAC Deemed Table'!I1698</f>
        <v>0.929531</v>
      </c>
      <c r="R237" s="787">
        <f>'HVAC Deemed Table'!I1699</f>
        <v>0</v>
      </c>
      <c r="S237" s="787"/>
      <c r="T237" s="787"/>
      <c r="U237" s="788">
        <f t="shared" si="140"/>
        <v>0</v>
      </c>
      <c r="V237" s="788">
        <f t="shared" si="141"/>
        <v>0</v>
      </c>
      <c r="W237" s="788">
        <f t="shared" si="142"/>
        <v>0.929531</v>
      </c>
      <c r="X237" s="23">
        <f>'HVAC Deemed Table'!J1698</f>
        <v>18</v>
      </c>
      <c r="Y237" s="23"/>
      <c r="Z237" s="23">
        <f>Y237+X237</f>
        <v>18</v>
      </c>
      <c r="AA237" s="18">
        <f>'HVAC Deemed Table'!DG1698</f>
        <v>6.5464177860584343</v>
      </c>
      <c r="AB237" s="807">
        <f>'HVAC Deemed Table'!K1698</f>
        <v>343.17059134232289</v>
      </c>
      <c r="AC237" s="903">
        <f>AE237+AF237</f>
        <v>2246.5380628155731</v>
      </c>
      <c r="AD237" s="903">
        <f>AG237+AH237</f>
        <v>0</v>
      </c>
      <c r="AE237" s="208">
        <f>'HVAC Deemed Table'!DI1698</f>
        <v>2246.5380628155731</v>
      </c>
      <c r="AF237" s="208">
        <f>'HVAC Deemed Table'!DI1699</f>
        <v>0</v>
      </c>
      <c r="AG237" s="208"/>
      <c r="AH237" s="208"/>
      <c r="AI237" s="906" t="str">
        <f t="shared" si="155"/>
        <v>per measure</v>
      </c>
      <c r="AJ237" s="48">
        <f>'HVAC Deemed Table'!L1698</f>
        <v>3.4699494950520831</v>
      </c>
      <c r="AK237" s="918"/>
      <c r="AL237" s="918"/>
      <c r="AM237"/>
      <c r="AN237"/>
      <c r="AO237"/>
      <c r="AP237"/>
      <c r="AQ237"/>
      <c r="AR237"/>
      <c r="AS237"/>
      <c r="AT237"/>
      <c r="AU237"/>
      <c r="AV237"/>
      <c r="AW237"/>
      <c r="AX237" s="1355" t="str">
        <f t="shared" si="159"/>
        <v>ASHP-SEER21-Replace_CAC_NonElectricHeat_ROF_SF</v>
      </c>
      <c r="AY237" s="1378"/>
      <c r="AZ237" s="1446" t="str">
        <f t="shared" si="160"/>
        <v>353660</v>
      </c>
      <c r="BA237" s="1333">
        <f>BA231</f>
        <v>1891.78</v>
      </c>
      <c r="BB237" s="1333">
        <f t="shared" si="166"/>
        <v>0</v>
      </c>
      <c r="BC237" s="1333">
        <f t="shared" si="166"/>
        <v>970.53</v>
      </c>
      <c r="BD237" s="1333">
        <f t="shared" si="166"/>
        <v>0</v>
      </c>
      <c r="BE237" s="1306"/>
      <c r="BF237" s="1321">
        <f>ROUND(BA237*'CP FACTORS'!$B$9,6)</f>
        <v>1.7923070000000001</v>
      </c>
      <c r="BG237" s="1322">
        <f>ROUND(BB237*'CP FACTORS'!$B$14,6)</f>
        <v>0</v>
      </c>
      <c r="BH237" s="1321">
        <f>ROUND(BC237*'CP FACTORS'!$B$9,6)</f>
        <v>0.91949800000000004</v>
      </c>
      <c r="BI237" s="1323">
        <f>ROUND(BD237*'CP FACTORS'!$B$14,6)</f>
        <v>0</v>
      </c>
      <c r="BJ237" s="1305"/>
      <c r="BK237" s="730">
        <f t="shared" si="145"/>
        <v>1891.78</v>
      </c>
      <c r="BL237" s="1342">
        <f t="shared" si="146"/>
        <v>970.53</v>
      </c>
      <c r="BM237" s="1341">
        <f t="shared" si="147"/>
        <v>1.7923070000000001</v>
      </c>
      <c r="BN237" s="1340">
        <f t="shared" si="148"/>
        <v>0.91949800000000004</v>
      </c>
    </row>
    <row r="238" spans="1:66" s="696" customFormat="1">
      <c r="A238" s="2958" t="str">
        <f t="shared" si="163"/>
        <v>353700</v>
      </c>
      <c r="B238" s="2233" t="str">
        <f>'HVAC Deemed Table'!C1700</f>
        <v>353700_2024_12_</v>
      </c>
      <c r="C238" s="3874" t="str">
        <f>'HVAC Deemed Table'!G1700</f>
        <v>Cooling Res</v>
      </c>
      <c r="D238" s="3874" t="str">
        <f>'HVAC Deemed Table'!G1701</f>
        <v>Heating Res</v>
      </c>
      <c r="E238" s="2724"/>
      <c r="F238" s="2724"/>
      <c r="G238" s="2724" t="str">
        <f>'HVAC Deemed Table'!E1700</f>
        <v>ASHP-SEER21+-Replace_CAC_ElectricHeat_ROF_MF</v>
      </c>
      <c r="H238" s="2554" t="str">
        <f>'HVAC Deemed Table'!D1700</f>
        <v>MF</v>
      </c>
      <c r="I238" s="3840">
        <f t="shared" si="149"/>
        <v>7686.5</v>
      </c>
      <c r="J238" s="3840">
        <f t="shared" si="150"/>
        <v>0</v>
      </c>
      <c r="K238" s="3251">
        <f>'HVAC Deemed Table'!F1700</f>
        <v>585.80999999999995</v>
      </c>
      <c r="L238" s="3251">
        <f>'HVAC Deemed Table'!F1701</f>
        <v>7100.69</v>
      </c>
      <c r="M238" s="3251"/>
      <c r="N238" s="3251"/>
      <c r="O238" s="3841">
        <f t="shared" si="151"/>
        <v>0.55500700000000003</v>
      </c>
      <c r="P238" s="3841">
        <f t="shared" si="152"/>
        <v>0</v>
      </c>
      <c r="Q238" s="3842">
        <f>'HVAC Deemed Table'!I1700</f>
        <v>0.55500700000000003</v>
      </c>
      <c r="R238" s="3842">
        <f>'HVAC Deemed Table'!I1701</f>
        <v>0</v>
      </c>
      <c r="S238" s="3842"/>
      <c r="T238" s="3842"/>
      <c r="U238" s="3843">
        <f t="shared" si="140"/>
        <v>0</v>
      </c>
      <c r="V238" s="3843">
        <f t="shared" si="141"/>
        <v>0</v>
      </c>
      <c r="W238" s="3843">
        <f t="shared" si="142"/>
        <v>0.55500700000000003</v>
      </c>
      <c r="X238" s="2846">
        <f>'HVAC Deemed Table'!J1700</f>
        <v>18</v>
      </c>
      <c r="Y238" s="2846"/>
      <c r="Z238" s="2846">
        <f t="shared" si="164"/>
        <v>18</v>
      </c>
      <c r="AA238" s="2529">
        <f>'HVAC Deemed Table'!DG1700</f>
        <v>1.4681193876892866</v>
      </c>
      <c r="AB238" s="3878">
        <f>'HVAC Deemed Table'!K1700</f>
        <v>3845</v>
      </c>
      <c r="AC238" s="3845">
        <f t="shared" si="165"/>
        <v>5644.9190456653068</v>
      </c>
      <c r="AD238" s="3845">
        <f t="shared" si="139"/>
        <v>0</v>
      </c>
      <c r="AE238" s="3846">
        <f>'HVAC Deemed Table'!DI1700</f>
        <v>1341.3695190985718</v>
      </c>
      <c r="AF238" s="3846">
        <f>'HVAC Deemed Table'!DI1701</f>
        <v>4303.549526566735</v>
      </c>
      <c r="AG238" s="3846"/>
      <c r="AH238" s="3846"/>
      <c r="AI238" s="3847" t="str">
        <f t="shared" si="155"/>
        <v>per measure</v>
      </c>
      <c r="AJ238" s="3220">
        <f>'HVAC Deemed Table'!L1700</f>
        <v>3.2</v>
      </c>
      <c r="AK238" s="3848"/>
      <c r="AL238" s="3848"/>
      <c r="AX238" s="3849" t="str">
        <f t="shared" si="159"/>
        <v>ASHP-SEER21+-Replace_CAC_ElectricHeat_ROF_MF</v>
      </c>
      <c r="AY238" s="2724"/>
      <c r="AZ238" s="3850" t="str">
        <f t="shared" si="160"/>
        <v>353700</v>
      </c>
      <c r="BA238" s="3889">
        <f t="shared" ref="BA238:BB241" si="167">K238</f>
        <v>585.80999999999995</v>
      </c>
      <c r="BB238" s="3889">
        <f t="shared" si="167"/>
        <v>7100.69</v>
      </c>
      <c r="BC238" s="3889">
        <f t="shared" ref="BC238:BD241" si="168">K238</f>
        <v>585.80999999999995</v>
      </c>
      <c r="BD238" s="3889">
        <f t="shared" si="168"/>
        <v>7100.69</v>
      </c>
      <c r="BE238" s="3853"/>
      <c r="BF238" s="3854">
        <f>ROUND(BA238*'CP FACTORS'!$B$9,6)</f>
        <v>0.55500700000000003</v>
      </c>
      <c r="BG238" s="3854">
        <f>ROUND(BB238*'CP FACTORS'!$B$14,6)</f>
        <v>0</v>
      </c>
      <c r="BH238" s="3854">
        <f>ROUND(BC238*'CP FACTORS'!$B$9,6)</f>
        <v>0.55500700000000003</v>
      </c>
      <c r="BI238" s="3855">
        <f>ROUND(BD238*'CP FACTORS'!$B$14,6)</f>
        <v>0</v>
      </c>
      <c r="BJ238" s="3853"/>
      <c r="BK238" s="3856">
        <f t="shared" si="145"/>
        <v>7686.5</v>
      </c>
      <c r="BL238" s="3857">
        <f t="shared" si="146"/>
        <v>7686.5</v>
      </c>
      <c r="BM238" s="3858">
        <f t="shared" si="147"/>
        <v>0.55500700000000003</v>
      </c>
      <c r="BN238" s="3855">
        <f t="shared" si="148"/>
        <v>0.55500700000000003</v>
      </c>
    </row>
    <row r="239" spans="1:66" s="696" customFormat="1">
      <c r="A239" s="2958" t="str">
        <f t="shared" si="163"/>
        <v>353701</v>
      </c>
      <c r="B239" s="2233" t="str">
        <f>'HVAC Deemed Table'!C1702</f>
        <v>353701_2024_12_</v>
      </c>
      <c r="C239" s="3874" t="str">
        <f>'HVAC Deemed Table'!G1702</f>
        <v>Cooling Res</v>
      </c>
      <c r="D239" s="3874" t="str">
        <f>'HVAC Deemed Table'!G1703</f>
        <v>Heating Res</v>
      </c>
      <c r="E239" s="2724"/>
      <c r="F239" s="2724"/>
      <c r="G239" s="2724" t="str">
        <f>'HVAC Deemed Table'!E1702</f>
        <v>ASHP-SEER21+-Replace_CAC_ElectricHeat_ROF_MF_CompE</v>
      </c>
      <c r="H239" s="2554" t="str">
        <f>'HVAC Deemed Table'!D1702</f>
        <v>MFc</v>
      </c>
      <c r="I239" s="3840">
        <f t="shared" si="149"/>
        <v>2846.73</v>
      </c>
      <c r="J239" s="3840">
        <f t="shared" si="150"/>
        <v>0</v>
      </c>
      <c r="K239" s="3251">
        <f>'HVAC Deemed Table'!F1702</f>
        <v>426.04</v>
      </c>
      <c r="L239" s="3251">
        <f>'HVAC Deemed Table'!F1703</f>
        <v>2420.69</v>
      </c>
      <c r="M239" s="3251"/>
      <c r="N239" s="3251"/>
      <c r="O239" s="3841">
        <f t="shared" si="151"/>
        <v>0.403638</v>
      </c>
      <c r="P239" s="3841">
        <f t="shared" si="152"/>
        <v>0</v>
      </c>
      <c r="Q239" s="3842">
        <f>'HVAC Deemed Table'!I1702</f>
        <v>0.403638</v>
      </c>
      <c r="R239" s="3842">
        <f>'HVAC Deemed Table'!I1703</f>
        <v>0</v>
      </c>
      <c r="S239" s="3842"/>
      <c r="T239" s="3842"/>
      <c r="U239" s="3843">
        <f t="shared" si="140"/>
        <v>0</v>
      </c>
      <c r="V239" s="3843">
        <f t="shared" si="141"/>
        <v>0</v>
      </c>
      <c r="W239" s="3843">
        <f t="shared" si="142"/>
        <v>0.403638</v>
      </c>
      <c r="X239" s="2846">
        <f>'HVAC Deemed Table'!J1702</f>
        <v>18</v>
      </c>
      <c r="Y239" s="2846"/>
      <c r="Z239" s="2846">
        <f t="shared" si="164"/>
        <v>18</v>
      </c>
      <c r="AA239" s="2529">
        <f>'HVAC Deemed Table'!DG1702</f>
        <v>0.63528021756342212</v>
      </c>
      <c r="AB239" s="3878">
        <f>'HVAC Deemed Table'!K1702</f>
        <v>3845</v>
      </c>
      <c r="AC239" s="3845">
        <f t="shared" si="165"/>
        <v>2442.652436531358</v>
      </c>
      <c r="AD239" s="3845">
        <f t="shared" si="139"/>
        <v>0</v>
      </c>
      <c r="AE239" s="3846">
        <f>'HVAC Deemed Table'!DI1702</f>
        <v>975.53314200296279</v>
      </c>
      <c r="AF239" s="3846">
        <f>'HVAC Deemed Table'!DI1703</f>
        <v>1467.1192945283954</v>
      </c>
      <c r="AG239" s="3846"/>
      <c r="AH239" s="3846"/>
      <c r="AI239" s="3847" t="str">
        <f t="shared" ref="AI239:AI252" si="169">AI238</f>
        <v>per measure</v>
      </c>
      <c r="AJ239" s="3220">
        <f>'HVAC Deemed Table'!L1702</f>
        <v>3.2</v>
      </c>
      <c r="AK239" s="3848"/>
      <c r="AL239" s="3848"/>
      <c r="AX239" s="3849" t="str">
        <f t="shared" si="159"/>
        <v>ASHP-SEER21+-Replace_CAC_ElectricHeat_ROF_MF_CompE</v>
      </c>
      <c r="AY239" s="2724"/>
      <c r="AZ239" s="3850" t="str">
        <f t="shared" si="160"/>
        <v>353701</v>
      </c>
      <c r="BA239" s="3889">
        <f t="shared" si="167"/>
        <v>426.04</v>
      </c>
      <c r="BB239" s="3889">
        <f t="shared" si="167"/>
        <v>2420.69</v>
      </c>
      <c r="BC239" s="3889">
        <f t="shared" si="168"/>
        <v>426.04</v>
      </c>
      <c r="BD239" s="3889">
        <f t="shared" si="168"/>
        <v>2420.69</v>
      </c>
      <c r="BE239" s="3853"/>
      <c r="BF239" s="3854">
        <f>ROUND(BA239*'CP FACTORS'!$B$9,6)</f>
        <v>0.403638</v>
      </c>
      <c r="BG239" s="3854">
        <f>ROUND(BB239*'CP FACTORS'!$B$14,6)</f>
        <v>0</v>
      </c>
      <c r="BH239" s="3854">
        <f>ROUND(BC239*'CP FACTORS'!$B$9,6)</f>
        <v>0.403638</v>
      </c>
      <c r="BI239" s="3855">
        <f>ROUND(BD239*'CP FACTORS'!$B$14,6)</f>
        <v>0</v>
      </c>
      <c r="BJ239" s="3853"/>
      <c r="BK239" s="3856">
        <f t="shared" si="145"/>
        <v>2846.73</v>
      </c>
      <c r="BL239" s="3857">
        <f t="shared" si="146"/>
        <v>2846.73</v>
      </c>
      <c r="BM239" s="3858">
        <f t="shared" si="147"/>
        <v>0.403638</v>
      </c>
      <c r="BN239" s="3855">
        <f t="shared" si="148"/>
        <v>0.403638</v>
      </c>
    </row>
    <row r="240" spans="1:66" s="696" customFormat="1">
      <c r="A240" s="2958" t="str">
        <f t="shared" si="163"/>
        <v>353710</v>
      </c>
      <c r="B240" s="2233" t="str">
        <f>'HVAC Deemed Table'!C1704</f>
        <v>353710_2024_12_</v>
      </c>
      <c r="C240" s="3874" t="str">
        <f>'HVAC Deemed Table'!G1704</f>
        <v>Cooling Res</v>
      </c>
      <c r="D240" s="3874" t="str">
        <f>'HVAC Deemed Table'!G1705</f>
        <v>Heating Res</v>
      </c>
      <c r="E240" s="2724"/>
      <c r="F240" s="2724"/>
      <c r="G240" s="2724" t="str">
        <f>'HVAC Deemed Table'!E1704</f>
        <v>ASHP-SEER21+-Replace_CAC_NonElectricHeat_ROF_MF</v>
      </c>
      <c r="H240" s="2554" t="str">
        <f>'HVAC Deemed Table'!D1704</f>
        <v>MF</v>
      </c>
      <c r="I240" s="3840">
        <f t="shared" si="149"/>
        <v>585.80999999999995</v>
      </c>
      <c r="J240" s="3840">
        <f t="shared" si="150"/>
        <v>0</v>
      </c>
      <c r="K240" s="3251">
        <f>'HVAC Deemed Table'!F1704</f>
        <v>585.80999999999995</v>
      </c>
      <c r="L240" s="3251">
        <f>'HVAC Deemed Table'!F1705</f>
        <v>0</v>
      </c>
      <c r="M240" s="3251"/>
      <c r="N240" s="3251"/>
      <c r="O240" s="3841">
        <f t="shared" si="151"/>
        <v>0.55500700000000003</v>
      </c>
      <c r="P240" s="3841">
        <f t="shared" si="152"/>
        <v>0</v>
      </c>
      <c r="Q240" s="3842">
        <f>'HVAC Deemed Table'!I1704</f>
        <v>0.55500700000000003</v>
      </c>
      <c r="R240" s="3842">
        <f>'HVAC Deemed Table'!I1705</f>
        <v>0</v>
      </c>
      <c r="S240" s="3842"/>
      <c r="T240" s="3842"/>
      <c r="U240" s="3843">
        <f t="shared" si="140"/>
        <v>0</v>
      </c>
      <c r="V240" s="3843">
        <f t="shared" si="141"/>
        <v>0</v>
      </c>
      <c r="W240" s="3843">
        <f t="shared" si="142"/>
        <v>0.55500700000000003</v>
      </c>
      <c r="X240" s="2846">
        <f>'HVAC Deemed Table'!J1704</f>
        <v>18</v>
      </c>
      <c r="Y240" s="2846"/>
      <c r="Z240" s="2846">
        <f t="shared" si="164"/>
        <v>18</v>
      </c>
      <c r="AA240" s="2529">
        <f>'HVAC Deemed Table'!DG1704</f>
        <v>4.5774534842884114</v>
      </c>
      <c r="AB240" s="3878">
        <f>'HVAC Deemed Table'!K1704</f>
        <v>293.03837247121572</v>
      </c>
      <c r="AC240" s="3845">
        <f t="shared" si="165"/>
        <v>1341.3695190985718</v>
      </c>
      <c r="AD240" s="3845">
        <f t="shared" si="139"/>
        <v>0</v>
      </c>
      <c r="AE240" s="3846">
        <f>'HVAC Deemed Table'!DI1704</f>
        <v>1341.3695190985718</v>
      </c>
      <c r="AF240" s="3846">
        <f>'HVAC Deemed Table'!DI1705</f>
        <v>0</v>
      </c>
      <c r="AG240" s="3846"/>
      <c r="AH240" s="3846"/>
      <c r="AI240" s="3847" t="str">
        <f t="shared" si="169"/>
        <v>per measure</v>
      </c>
      <c r="AJ240" s="3220">
        <f>'HVAC Deemed Table'!L1704</f>
        <v>3.2</v>
      </c>
      <c r="AK240" s="3848"/>
      <c r="AL240" s="3848"/>
      <c r="AX240" s="3849" t="str">
        <f t="shared" si="159"/>
        <v>ASHP-SEER21+-Replace_CAC_NonElectricHeat_ROF_MF</v>
      </c>
      <c r="AY240" s="2724"/>
      <c r="AZ240" s="3850" t="str">
        <f t="shared" si="160"/>
        <v>353710</v>
      </c>
      <c r="BA240" s="3889">
        <f t="shared" si="167"/>
        <v>585.80999999999995</v>
      </c>
      <c r="BB240" s="3889">
        <f t="shared" si="167"/>
        <v>0</v>
      </c>
      <c r="BC240" s="3889">
        <f t="shared" si="168"/>
        <v>585.80999999999995</v>
      </c>
      <c r="BD240" s="3889">
        <f t="shared" si="168"/>
        <v>0</v>
      </c>
      <c r="BE240" s="3853"/>
      <c r="BF240" s="3854">
        <f>ROUND(BA240*'CP FACTORS'!$B$9,6)</f>
        <v>0.55500700000000003</v>
      </c>
      <c r="BG240" s="3854">
        <f>ROUND(BB240*'CP FACTORS'!$B$14,6)</f>
        <v>0</v>
      </c>
      <c r="BH240" s="3854">
        <f>ROUND(BC240*'CP FACTORS'!$B$9,6)</f>
        <v>0.55500700000000003</v>
      </c>
      <c r="BI240" s="3855">
        <f>ROUND(BD240*'CP FACTORS'!$B$14,6)</f>
        <v>0</v>
      </c>
      <c r="BJ240" s="3853"/>
      <c r="BK240" s="3856">
        <f t="shared" si="145"/>
        <v>585.80999999999995</v>
      </c>
      <c r="BL240" s="3857">
        <f t="shared" si="146"/>
        <v>585.80999999999995</v>
      </c>
      <c r="BM240" s="3858">
        <f t="shared" si="147"/>
        <v>0.55500700000000003</v>
      </c>
      <c r="BN240" s="3855">
        <f t="shared" si="148"/>
        <v>0.55500700000000003</v>
      </c>
    </row>
    <row r="241" spans="1:66" s="696" customFormat="1">
      <c r="A241" s="2958" t="str">
        <f t="shared" si="163"/>
        <v>353711</v>
      </c>
      <c r="B241" s="2233" t="str">
        <f>'HVAC Deemed Table'!C1706</f>
        <v>353711_2024_12_</v>
      </c>
      <c r="C241" s="3874" t="str">
        <f>'HVAC Deemed Table'!G1706</f>
        <v>Cooling Res</v>
      </c>
      <c r="D241" s="3874" t="str">
        <f>'HVAC Deemed Table'!G1707</f>
        <v>Heating Res</v>
      </c>
      <c r="E241" s="2724"/>
      <c r="F241" s="2724"/>
      <c r="G241" s="2724" t="str">
        <f>'HVAC Deemed Table'!E1706</f>
        <v>ASHP-SEER21+-Replace_CAC_NonElectricHeat_ROF_MF_CompE</v>
      </c>
      <c r="H241" s="2554" t="str">
        <f>'HVAC Deemed Table'!D1706</f>
        <v>MFc</v>
      </c>
      <c r="I241" s="3840">
        <f t="shared" si="149"/>
        <v>426.04</v>
      </c>
      <c r="J241" s="3840">
        <f t="shared" si="150"/>
        <v>0</v>
      </c>
      <c r="K241" s="3251">
        <f>'HVAC Deemed Table'!F1706</f>
        <v>426.04</v>
      </c>
      <c r="L241" s="3251">
        <f>'HVAC Deemed Table'!F1707</f>
        <v>0</v>
      </c>
      <c r="M241" s="3251"/>
      <c r="N241" s="3251"/>
      <c r="O241" s="3841">
        <f t="shared" si="151"/>
        <v>0.403638</v>
      </c>
      <c r="P241" s="3841">
        <f t="shared" si="152"/>
        <v>0</v>
      </c>
      <c r="Q241" s="3842">
        <f>'HVAC Deemed Table'!I1706</f>
        <v>0.403638</v>
      </c>
      <c r="R241" s="3842">
        <f>'HVAC Deemed Table'!I1707</f>
        <v>0</v>
      </c>
      <c r="S241" s="3842"/>
      <c r="T241" s="3842"/>
      <c r="U241" s="3843">
        <f t="shared" si="140"/>
        <v>0</v>
      </c>
      <c r="V241" s="3843">
        <f t="shared" si="141"/>
        <v>0</v>
      </c>
      <c r="W241" s="3843">
        <f t="shared" si="142"/>
        <v>0.403638</v>
      </c>
      <c r="X241" s="2846">
        <f>'HVAC Deemed Table'!J1706</f>
        <v>18</v>
      </c>
      <c r="Y241" s="2846"/>
      <c r="Z241" s="2846">
        <f t="shared" si="164"/>
        <v>18</v>
      </c>
      <c r="AA241" s="2529">
        <f>'HVAC Deemed Table'!DG1706</f>
        <v>1.6952805772885384</v>
      </c>
      <c r="AB241" s="3878">
        <f>'HVAC Deemed Table'!K1706</f>
        <v>575.44052298602253</v>
      </c>
      <c r="AC241" s="3845">
        <f t="shared" si="165"/>
        <v>975.53314200296279</v>
      </c>
      <c r="AD241" s="3845">
        <f t="shared" si="139"/>
        <v>0</v>
      </c>
      <c r="AE241" s="3846">
        <f>'HVAC Deemed Table'!DI1706</f>
        <v>975.53314200296279</v>
      </c>
      <c r="AF241" s="3846">
        <f>'HVAC Deemed Table'!DI1707</f>
        <v>0</v>
      </c>
      <c r="AG241" s="3846"/>
      <c r="AH241" s="3846"/>
      <c r="AI241" s="3847" t="str">
        <f t="shared" si="169"/>
        <v>per measure</v>
      </c>
      <c r="AJ241" s="3220">
        <f>'HVAC Deemed Table'!L1706</f>
        <v>3.2</v>
      </c>
      <c r="AK241" s="3848"/>
      <c r="AL241" s="3848"/>
      <c r="AX241" s="3849" t="str">
        <f t="shared" si="159"/>
        <v>ASHP-SEER21+-Replace_CAC_NonElectricHeat_ROF_MF_CompE</v>
      </c>
      <c r="AY241" s="2724"/>
      <c r="AZ241" s="3850" t="str">
        <f t="shared" si="160"/>
        <v>353711</v>
      </c>
      <c r="BA241" s="3889">
        <f t="shared" si="167"/>
        <v>426.04</v>
      </c>
      <c r="BB241" s="3889">
        <f t="shared" si="167"/>
        <v>0</v>
      </c>
      <c r="BC241" s="3889">
        <f t="shared" si="168"/>
        <v>426.04</v>
      </c>
      <c r="BD241" s="3889">
        <f t="shared" si="168"/>
        <v>0</v>
      </c>
      <c r="BE241" s="3853"/>
      <c r="BF241" s="3854">
        <f>ROUND(BA241*'CP FACTORS'!$B$9,6)</f>
        <v>0.403638</v>
      </c>
      <c r="BG241" s="3854">
        <f>ROUND(BB241*'CP FACTORS'!$B$14,6)</f>
        <v>0</v>
      </c>
      <c r="BH241" s="3854">
        <f>ROUND(BC241*'CP FACTORS'!$B$9,6)</f>
        <v>0.403638</v>
      </c>
      <c r="BI241" s="3855">
        <f>ROUND(BD241*'CP FACTORS'!$B$14,6)</f>
        <v>0</v>
      </c>
      <c r="BJ241" s="3853"/>
      <c r="BK241" s="3856">
        <f t="shared" si="145"/>
        <v>426.04</v>
      </c>
      <c r="BL241" s="3857">
        <f t="shared" si="146"/>
        <v>426.04</v>
      </c>
      <c r="BM241" s="3858">
        <f t="shared" si="147"/>
        <v>0.403638</v>
      </c>
      <c r="BN241" s="3855">
        <f t="shared" si="148"/>
        <v>0.403638</v>
      </c>
    </row>
    <row r="242" spans="1:66">
      <c r="A242" s="51" t="str">
        <f t="shared" si="163"/>
        <v>353750</v>
      </c>
      <c r="B242" s="1442" t="str">
        <f>'HVAC Deemed Table'!C1708</f>
        <v>353750_2024_12_</v>
      </c>
      <c r="C242" s="887" t="str">
        <f>'HVAC Deemed Table'!G1708</f>
        <v>Cooling Res</v>
      </c>
      <c r="D242" s="887" t="str">
        <f>'HVAC Deemed Table'!G1709</f>
        <v>Heating Res</v>
      </c>
      <c r="E242" s="887" t="str">
        <f>'HVAC Deemed Table'!G1710</f>
        <v>Cooling Res ER2</v>
      </c>
      <c r="F242" s="887" t="str">
        <f>'HVAC Deemed Table'!G1711</f>
        <v>Heating Res ER2</v>
      </c>
      <c r="G242" s="1378" t="str">
        <f>'HVAC Deemed Table'!E1708</f>
        <v>ASHP-SEER17_ER1_SF</v>
      </c>
      <c r="H242" s="19" t="str">
        <f>'HVAC Deemed Table'!D1708</f>
        <v>PAYS/SFIE</v>
      </c>
      <c r="I242" s="785">
        <f t="shared" si="149"/>
        <v>4440.67</v>
      </c>
      <c r="J242" s="785">
        <f t="shared" si="150"/>
        <v>1691.23</v>
      </c>
      <c r="K242" s="202">
        <f>'HVAC Deemed Table'!F1708</f>
        <v>2226.27</v>
      </c>
      <c r="L242" s="202">
        <f>'HVAC Deemed Table'!F1709</f>
        <v>2214.4</v>
      </c>
      <c r="M242" s="202">
        <f>'HVAC Deemed Table'!F1710</f>
        <v>367.16</v>
      </c>
      <c r="N242" s="202">
        <f>'HVAC Deemed Table'!F1711</f>
        <v>1324.07</v>
      </c>
      <c r="O242" s="786">
        <f t="shared" si="151"/>
        <v>2.1092080000000002</v>
      </c>
      <c r="P242" s="786">
        <f t="shared" si="152"/>
        <v>0.347854</v>
      </c>
      <c r="Q242" s="787">
        <f>'HVAC Deemed Table'!I1708</f>
        <v>2.1092080000000002</v>
      </c>
      <c r="R242" s="787">
        <f>'HVAC Deemed Table'!I1709</f>
        <v>0</v>
      </c>
      <c r="S242" s="787">
        <f>'HVAC Deemed Table'!I1710</f>
        <v>0.347854</v>
      </c>
      <c r="T242" s="787">
        <f>'HVAC Deemed Table'!I1711</f>
        <v>0</v>
      </c>
      <c r="U242" s="788">
        <f t="shared" si="140"/>
        <v>0</v>
      </c>
      <c r="V242" s="788">
        <f t="shared" si="141"/>
        <v>0</v>
      </c>
      <c r="W242" s="788">
        <f t="shared" si="142"/>
        <v>2.1092080000000002</v>
      </c>
      <c r="X242" s="23">
        <f>'HVAC Deemed Table'!J1708</f>
        <v>6</v>
      </c>
      <c r="Y242" s="23">
        <f>'HVAC Deemed Table'!J1710</f>
        <v>12</v>
      </c>
      <c r="Z242" s="23">
        <f t="shared" si="164"/>
        <v>18</v>
      </c>
      <c r="AA242" s="18">
        <f>'HVAC Deemed Table'!DG1708</f>
        <v>5.9568386924353147</v>
      </c>
      <c r="AB242" s="259">
        <f>'HVAC Deemed Table'!K1708</f>
        <v>626.73442183390762</v>
      </c>
      <c r="AC242" s="903">
        <f t="shared" si="165"/>
        <v>2810.8819019067337</v>
      </c>
      <c r="AD242" s="903">
        <f t="shared" si="139"/>
        <v>922.47395195456329</v>
      </c>
      <c r="AE242" s="208">
        <f>'HVAC Deemed Table'!DI1708</f>
        <v>2217.026743629704</v>
      </c>
      <c r="AF242" s="208">
        <f>'HVAC Deemed Table'!DI1709</f>
        <v>593.85515827702955</v>
      </c>
      <c r="AG242" s="208">
        <f>'HVAC Deemed Table'!DI1710</f>
        <v>475.07596177859966</v>
      </c>
      <c r="AH242" s="208">
        <f>'HVAC Deemed Table'!DI1711</f>
        <v>447.39799017596357</v>
      </c>
      <c r="AI242" s="906" t="str">
        <f t="shared" si="169"/>
        <v>per measure</v>
      </c>
      <c r="AJ242" s="47">
        <f>'HVAC Deemed Table'!L1708</f>
        <v>2.6603692243864097</v>
      </c>
      <c r="AK242" s="641"/>
      <c r="AL242" s="641"/>
      <c r="AX242" s="1355" t="str">
        <f t="shared" si="159"/>
        <v>ASHP-SEER17_ER1_SF</v>
      </c>
      <c r="AY242" s="1378"/>
      <c r="AZ242" s="1446" t="str">
        <f t="shared" si="160"/>
        <v>353750</v>
      </c>
      <c r="BA242" s="1331">
        <f>ROUND((K242*$BC$3)+(K243*$BC$4),2)</f>
        <v>1481.17</v>
      </c>
      <c r="BB242" s="1331">
        <f>ROUND((L242*$BC$3)+(L243*$BC$4),2)</f>
        <v>1957.95</v>
      </c>
      <c r="BC242" s="1331">
        <f>ROUND((M242*$BC$3)+(K243*$BC$4),2)</f>
        <v>365.7</v>
      </c>
      <c r="BD242" s="1331">
        <f>ROUND((N242*$BC$3)+(L243*$BC$4),2)</f>
        <v>1423.75</v>
      </c>
      <c r="BE242" s="1305"/>
      <c r="BF242" s="1321">
        <f>ROUND(BA242*'CP FACTORS'!$B$9,6)</f>
        <v>1.403287</v>
      </c>
      <c r="BG242" s="1322">
        <f>ROUND(BB242*'CP FACTORS'!$B$14,6)</f>
        <v>0</v>
      </c>
      <c r="BH242" s="1321">
        <f>ROUND(BC242*'CP FACTORS'!$B$9,6)</f>
        <v>0.34647099999999997</v>
      </c>
      <c r="BI242" s="1323">
        <f>ROUND(BD242*'CP FACTORS'!$B$14,6)</f>
        <v>0</v>
      </c>
      <c r="BJ242" s="1305"/>
      <c r="BK242" s="730">
        <f t="shared" si="145"/>
        <v>3439.12</v>
      </c>
      <c r="BL242" s="1342">
        <f t="shared" si="146"/>
        <v>1789.45</v>
      </c>
      <c r="BM242" s="1341">
        <f t="shared" si="147"/>
        <v>1.403287</v>
      </c>
      <c r="BN242" s="1340">
        <f t="shared" si="148"/>
        <v>0.34647099999999997</v>
      </c>
    </row>
    <row r="243" spans="1:66">
      <c r="A243" s="51" t="str">
        <f t="shared" si="163"/>
        <v>353800</v>
      </c>
      <c r="B243" s="1442" t="str">
        <f>'HVAC Deemed Table'!C1712</f>
        <v>353800_2024_12_</v>
      </c>
      <c r="C243" s="887" t="str">
        <f>'HVAC Deemed Table'!G1712</f>
        <v>Cooling Res</v>
      </c>
      <c r="D243" s="887" t="str">
        <f>'HVAC Deemed Table'!G1713</f>
        <v>Heating Res</v>
      </c>
      <c r="E243" s="1378"/>
      <c r="F243" s="1378"/>
      <c r="G243" s="1378" t="str">
        <f>'HVAC Deemed Table'!E1712</f>
        <v>ASHP-SEER17_ROF_SF</v>
      </c>
      <c r="H243" s="19" t="str">
        <f>'HVAC Deemed Table'!D1712</f>
        <v>PAYS/SFIE</v>
      </c>
      <c r="I243" s="785">
        <f t="shared" si="149"/>
        <v>1936.8</v>
      </c>
      <c r="J243" s="785">
        <f t="shared" si="150"/>
        <v>0</v>
      </c>
      <c r="K243" s="202">
        <f>'HVAC Deemed Table'!F1712</f>
        <v>363.52</v>
      </c>
      <c r="L243" s="202">
        <f>'HVAC Deemed Table'!F1713</f>
        <v>1573.28</v>
      </c>
      <c r="M243" s="202"/>
      <c r="N243" s="202"/>
      <c r="O243" s="786">
        <f t="shared" si="151"/>
        <v>0.34440500000000002</v>
      </c>
      <c r="P243" s="786">
        <f t="shared" si="152"/>
        <v>0</v>
      </c>
      <c r="Q243" s="787">
        <f>'HVAC Deemed Table'!I1712</f>
        <v>0.34440500000000002</v>
      </c>
      <c r="R243" s="787">
        <f>'HVAC Deemed Table'!I1713</f>
        <v>0</v>
      </c>
      <c r="S243" s="787"/>
      <c r="T243" s="787"/>
      <c r="U243" s="788">
        <f t="shared" si="140"/>
        <v>0</v>
      </c>
      <c r="V243" s="788">
        <f t="shared" si="141"/>
        <v>0</v>
      </c>
      <c r="W243" s="788">
        <f t="shared" si="142"/>
        <v>0.34440500000000002</v>
      </c>
      <c r="X243" s="23">
        <f>'HVAC Deemed Table'!J1712</f>
        <v>18</v>
      </c>
      <c r="Y243" s="23"/>
      <c r="Z243" s="23">
        <f t="shared" si="164"/>
        <v>18</v>
      </c>
      <c r="AA243" s="18">
        <f>'HVAC Deemed Table'!DG1712</f>
        <v>2.8347654098905193</v>
      </c>
      <c r="AB243" s="259">
        <f>'HVAC Deemed Table'!K1712</f>
        <v>630</v>
      </c>
      <c r="AC243" s="903">
        <f t="shared" si="165"/>
        <v>1785.9022082310271</v>
      </c>
      <c r="AD243" s="903">
        <f t="shared" si="139"/>
        <v>0</v>
      </c>
      <c r="AE243" s="208">
        <f>'HVAC Deemed Table'!DI1712</f>
        <v>832.37679039742034</v>
      </c>
      <c r="AF243" s="208">
        <f>'HVAC Deemed Table'!DI1713</f>
        <v>953.52541783360687</v>
      </c>
      <c r="AG243" s="208"/>
      <c r="AH243" s="208"/>
      <c r="AI243" s="906" t="str">
        <f t="shared" si="169"/>
        <v>per measure</v>
      </c>
      <c r="AJ243" s="47">
        <f>'HVAC Deemed Table'!L1712</f>
        <v>3.2119969039215692</v>
      </c>
      <c r="AK243" s="641"/>
      <c r="AL243" s="641"/>
      <c r="AX243" s="1355" t="str">
        <f t="shared" si="159"/>
        <v>ASHP-SEER17_ROF_SF</v>
      </c>
      <c r="AY243" s="1378"/>
      <c r="AZ243" s="1446" t="str">
        <f t="shared" si="160"/>
        <v>353800</v>
      </c>
      <c r="BA243" s="1329">
        <f>BA242</f>
        <v>1481.17</v>
      </c>
      <c r="BB243" s="1329">
        <f>BB242</f>
        <v>1957.95</v>
      </c>
      <c r="BC243" s="1329">
        <f>BC242</f>
        <v>365.7</v>
      </c>
      <c r="BD243" s="1329">
        <f>BD242</f>
        <v>1423.75</v>
      </c>
      <c r="BE243" s="1305"/>
      <c r="BF243" s="1321">
        <f>ROUND(BA243*'CP FACTORS'!$B$9,6)</f>
        <v>1.403287</v>
      </c>
      <c r="BG243" s="1322">
        <f>ROUND(BB243*'CP FACTORS'!$B$14,6)</f>
        <v>0</v>
      </c>
      <c r="BH243" s="1321">
        <f>ROUND(BC243*'CP FACTORS'!$B$9,6)</f>
        <v>0.34647099999999997</v>
      </c>
      <c r="BI243" s="1323">
        <f>ROUND(BD243*'CP FACTORS'!$B$14,6)</f>
        <v>0</v>
      </c>
      <c r="BJ243" s="1305"/>
      <c r="BK243" s="730">
        <f t="shared" si="145"/>
        <v>3439.12</v>
      </c>
      <c r="BL243" s="1342">
        <f t="shared" si="146"/>
        <v>1789.45</v>
      </c>
      <c r="BM243" s="1341">
        <f t="shared" si="147"/>
        <v>1.403287</v>
      </c>
      <c r="BN243" s="1340">
        <f t="shared" si="148"/>
        <v>0.34647099999999997</v>
      </c>
    </row>
    <row r="244" spans="1:66">
      <c r="A244" s="51" t="str">
        <f t="shared" si="163"/>
        <v>353850</v>
      </c>
      <c r="B244" s="1442" t="str">
        <f>'HVAC Deemed Table'!C1714</f>
        <v>353850_2024_12_</v>
      </c>
      <c r="C244" s="887" t="str">
        <f>'HVAC Deemed Table'!G1714</f>
        <v>Cooling Res</v>
      </c>
      <c r="D244" s="887" t="str">
        <f>'HVAC Deemed Table'!G1715</f>
        <v>Heating Res</v>
      </c>
      <c r="E244" s="887" t="str">
        <f>'HVAC Deemed Table'!G1716</f>
        <v>Cooling Res ER2</v>
      </c>
      <c r="F244" s="887" t="str">
        <f>'HVAC Deemed Table'!G1717</f>
        <v>Heating Res ER2</v>
      </c>
      <c r="G244" s="1378" t="str">
        <f>'HVAC Deemed Table'!E1714</f>
        <v>ASHP-SEER18_ER1_SF</v>
      </c>
      <c r="H244" s="19" t="str">
        <f>'HVAC Deemed Table'!D1714</f>
        <v>PAYS/SFIE</v>
      </c>
      <c r="I244" s="785">
        <f t="shared" si="149"/>
        <v>5309</v>
      </c>
      <c r="J244" s="785">
        <f t="shared" si="150"/>
        <v>2251.6800000000003</v>
      </c>
      <c r="K244" s="202">
        <f>'HVAC Deemed Table'!F1714</f>
        <v>2592.9299999999998</v>
      </c>
      <c r="L244" s="202">
        <f>'HVAC Deemed Table'!F1715</f>
        <v>2716.07</v>
      </c>
      <c r="M244" s="202">
        <f>'HVAC Deemed Table'!F1716</f>
        <v>503.51</v>
      </c>
      <c r="N244" s="202">
        <f>'HVAC Deemed Table'!F1717</f>
        <v>1748.17</v>
      </c>
      <c r="O244" s="786">
        <f t="shared" si="151"/>
        <v>2.4565890000000001</v>
      </c>
      <c r="P244" s="786">
        <f t="shared" si="152"/>
        <v>0.47703400000000001</v>
      </c>
      <c r="Q244" s="787">
        <f>'HVAC Deemed Table'!I1714</f>
        <v>2.4565890000000001</v>
      </c>
      <c r="R244" s="787">
        <f>'HVAC Deemed Table'!I1715</f>
        <v>0</v>
      </c>
      <c r="S244" s="787">
        <f>'HVAC Deemed Table'!I1716</f>
        <v>0.47703400000000001</v>
      </c>
      <c r="T244" s="787">
        <f>'HVAC Deemed Table'!I1717</f>
        <v>0</v>
      </c>
      <c r="U244" s="788">
        <f t="shared" si="140"/>
        <v>0</v>
      </c>
      <c r="V244" s="788">
        <f t="shared" si="141"/>
        <v>0</v>
      </c>
      <c r="W244" s="788">
        <f t="shared" si="142"/>
        <v>2.4565890000000001</v>
      </c>
      <c r="X244" s="23">
        <f>'HVAC Deemed Table'!J1714</f>
        <v>6</v>
      </c>
      <c r="Y244" s="23">
        <f>'HVAC Deemed Table'!J1716</f>
        <v>12</v>
      </c>
      <c r="Z244" s="23">
        <f t="shared" si="164"/>
        <v>18</v>
      </c>
      <c r="AA244" s="18">
        <f>'HVAC Deemed Table'!DG1714</f>
        <v>5.344669872886727</v>
      </c>
      <c r="AB244" s="259">
        <f>'HVAC Deemed Table'!K1714</f>
        <v>851.83158083659146</v>
      </c>
      <c r="AC244" s="903">
        <f t="shared" si="165"/>
        <v>3310.5568292044049</v>
      </c>
      <c r="AD244" s="903">
        <f t="shared" si="139"/>
        <v>1242.2017576664</v>
      </c>
      <c r="AE244" s="208">
        <f>'HVAC Deemed Table'!DI1714</f>
        <v>2582.1644069945551</v>
      </c>
      <c r="AF244" s="208">
        <f>'HVAC Deemed Table'!DI1715</f>
        <v>728.39242220985</v>
      </c>
      <c r="AG244" s="208">
        <f>'HVAC Deemed Table'!DI1716</f>
        <v>651.50206317448169</v>
      </c>
      <c r="AH244" s="208">
        <f>'HVAC Deemed Table'!DI1717</f>
        <v>590.69969449191831</v>
      </c>
      <c r="AI244" s="906" t="str">
        <f t="shared" si="169"/>
        <v>per measure</v>
      </c>
      <c r="AJ244" s="47">
        <f>'HVAC Deemed Table'!L1714</f>
        <v>2.8921256722608026</v>
      </c>
      <c r="AK244" s="641"/>
      <c r="AL244" s="641"/>
      <c r="AX244" s="1355" t="str">
        <f t="shared" si="159"/>
        <v>ASHP-SEER18_ER1_SF</v>
      </c>
      <c r="AY244" s="1378"/>
      <c r="AZ244" s="1446" t="str">
        <f t="shared" si="160"/>
        <v>353850</v>
      </c>
      <c r="BA244" s="1331">
        <f>ROUND((K244*$BC$3)+(K245*$BC$4),2)</f>
        <v>1767.26</v>
      </c>
      <c r="BB244" s="1331">
        <f>ROUND((L244*$BC$3)+(L245*$BC$4),2)</f>
        <v>2325.4899999999998</v>
      </c>
      <c r="BC244" s="1331">
        <f>ROUND((M244*$BC$3)+(K245*$BC$4),2)</f>
        <v>513.61</v>
      </c>
      <c r="BD244" s="1331">
        <f>ROUND((N244*$BC$3)+(L245*$BC$4),2)</f>
        <v>1744.75</v>
      </c>
      <c r="BE244" s="1305"/>
      <c r="BF244" s="1321">
        <f>ROUND(BA244*'CP FACTORS'!$B$9,6)</f>
        <v>1.674334</v>
      </c>
      <c r="BG244" s="1322">
        <f>ROUND(BB244*'CP FACTORS'!$B$14,6)</f>
        <v>0</v>
      </c>
      <c r="BH244" s="1321">
        <f>ROUND(BC244*'CP FACTORS'!$B$9,6)</f>
        <v>0.48660300000000001</v>
      </c>
      <c r="BI244" s="1323">
        <f>ROUND(BD244*'CP FACTORS'!$B$14,6)</f>
        <v>0</v>
      </c>
      <c r="BJ244" s="1305"/>
      <c r="BK244" s="730">
        <f t="shared" si="145"/>
        <v>4092.75</v>
      </c>
      <c r="BL244" s="1342">
        <f t="shared" si="146"/>
        <v>2258.36</v>
      </c>
      <c r="BM244" s="1341">
        <f t="shared" si="147"/>
        <v>1.674334</v>
      </c>
      <c r="BN244" s="1340">
        <f t="shared" si="148"/>
        <v>0.48660300000000001</v>
      </c>
    </row>
    <row r="245" spans="1:66">
      <c r="A245" s="51" t="str">
        <f t="shared" si="163"/>
        <v>353950</v>
      </c>
      <c r="B245" s="1442" t="str">
        <f>'HVAC Deemed Table'!C1718</f>
        <v>353950_2024_12_</v>
      </c>
      <c r="C245" s="887" t="str">
        <f>'HVAC Deemed Table'!G1718</f>
        <v>Cooling Res</v>
      </c>
      <c r="D245" s="887" t="str">
        <f>'HVAC Deemed Table'!G1719</f>
        <v>Heating Res</v>
      </c>
      <c r="E245" s="1378"/>
      <c r="F245" s="1378"/>
      <c r="G245" s="1378" t="str">
        <f>'HVAC Deemed Table'!E1718</f>
        <v>ASHP-SEER18_ROF_SF</v>
      </c>
      <c r="H245" s="19" t="str">
        <f>'HVAC Deemed Table'!D1718</f>
        <v>PAYS/SFIE</v>
      </c>
      <c r="I245" s="785">
        <f t="shared" si="149"/>
        <v>2268.37</v>
      </c>
      <c r="J245" s="785">
        <f t="shared" si="150"/>
        <v>0</v>
      </c>
      <c r="K245" s="202">
        <f>'HVAC Deemed Table'!F1718</f>
        <v>528.75</v>
      </c>
      <c r="L245" s="202">
        <f>'HVAC Deemed Table'!F1719</f>
        <v>1739.62</v>
      </c>
      <c r="M245" s="202"/>
      <c r="N245" s="202"/>
      <c r="O245" s="786">
        <f t="shared" si="151"/>
        <v>0.50094700000000003</v>
      </c>
      <c r="P245" s="786">
        <f t="shared" si="152"/>
        <v>0</v>
      </c>
      <c r="Q245" s="787">
        <f>'HVAC Deemed Table'!I1718</f>
        <v>0.50094700000000003</v>
      </c>
      <c r="R245" s="787">
        <f>'HVAC Deemed Table'!I1719</f>
        <v>0</v>
      </c>
      <c r="S245" s="787"/>
      <c r="T245" s="787"/>
      <c r="U245" s="788">
        <f t="shared" si="140"/>
        <v>0</v>
      </c>
      <c r="V245" s="788">
        <f t="shared" si="141"/>
        <v>0</v>
      </c>
      <c r="W245" s="788">
        <f t="shared" si="142"/>
        <v>0.50094700000000003</v>
      </c>
      <c r="X245" s="23">
        <f>'HVAC Deemed Table'!J1718</f>
        <v>18</v>
      </c>
      <c r="Y245" s="23"/>
      <c r="Z245" s="23">
        <f t="shared" si="164"/>
        <v>18</v>
      </c>
      <c r="AA245" s="18">
        <f>'HVAC Deemed Table'!DG1718</f>
        <v>2.6491873821324181</v>
      </c>
      <c r="AB245" s="259">
        <f>'HVAC Deemed Table'!K1718</f>
        <v>855</v>
      </c>
      <c r="AC245" s="903">
        <f t="shared" si="165"/>
        <v>2265.0552117232173</v>
      </c>
      <c r="AD245" s="903">
        <f t="shared" si="139"/>
        <v>0</v>
      </c>
      <c r="AE245" s="208">
        <f>'HVAC Deemed Table'!DI1718</f>
        <v>1210.7153056850684</v>
      </c>
      <c r="AF245" s="208">
        <f>'HVAC Deemed Table'!DI1719</f>
        <v>1054.3399060381489</v>
      </c>
      <c r="AG245" s="208"/>
      <c r="AH245" s="208"/>
      <c r="AI245" s="906" t="str">
        <f t="shared" si="169"/>
        <v>per measure</v>
      </c>
      <c r="AJ245" s="47">
        <f>'HVAC Deemed Table'!L1718</f>
        <v>3.0020370366666667</v>
      </c>
      <c r="AK245" s="641"/>
      <c r="AL245" s="641"/>
      <c r="AX245" s="1355" t="str">
        <f t="shared" si="159"/>
        <v>ASHP-SEER18_ROF_SF</v>
      </c>
      <c r="AY245" s="1378"/>
      <c r="AZ245" s="1446" t="str">
        <f t="shared" si="160"/>
        <v>353950</v>
      </c>
      <c r="BA245" s="1329">
        <f>BA244</f>
        <v>1767.26</v>
      </c>
      <c r="BB245" s="1329">
        <f>BB244</f>
        <v>2325.4899999999998</v>
      </c>
      <c r="BC245" s="1329">
        <f>BC244</f>
        <v>513.61</v>
      </c>
      <c r="BD245" s="1329">
        <f>BD244</f>
        <v>1744.75</v>
      </c>
      <c r="BE245" s="1305"/>
      <c r="BF245" s="1321">
        <f>ROUND(BA245*'CP FACTORS'!$B$9,6)</f>
        <v>1.674334</v>
      </c>
      <c r="BG245" s="1322">
        <f>ROUND(BB245*'CP FACTORS'!$B$14,6)</f>
        <v>0</v>
      </c>
      <c r="BH245" s="1321">
        <f>ROUND(BC245*'CP FACTORS'!$B$9,6)</f>
        <v>0.48660300000000001</v>
      </c>
      <c r="BI245" s="1323">
        <f>ROUND(BD245*'CP FACTORS'!$B$14,6)</f>
        <v>0</v>
      </c>
      <c r="BJ245" s="1305"/>
      <c r="BK245" s="730">
        <f t="shared" si="145"/>
        <v>4092.75</v>
      </c>
      <c r="BL245" s="1342">
        <f t="shared" si="146"/>
        <v>2258.36</v>
      </c>
      <c r="BM245" s="1341">
        <f t="shared" si="147"/>
        <v>1.674334</v>
      </c>
      <c r="BN245" s="1340">
        <f t="shared" si="148"/>
        <v>0.48660300000000001</v>
      </c>
    </row>
    <row r="246" spans="1:66">
      <c r="A246" s="51" t="str">
        <f t="shared" si="163"/>
        <v>354000</v>
      </c>
      <c r="B246" s="1442" t="str">
        <f>'HVAC Deemed Table'!C1720</f>
        <v>354000_2024_12_</v>
      </c>
      <c r="C246" s="887" t="str">
        <f>'HVAC Deemed Table'!G1720</f>
        <v>Cooling Res</v>
      </c>
      <c r="D246" s="887" t="str">
        <f>'HVAC Deemed Table'!G1721</f>
        <v>Heating Res</v>
      </c>
      <c r="E246" s="887" t="str">
        <f>'HVAC Deemed Table'!G1722</f>
        <v>Cooling Res ER2</v>
      </c>
      <c r="F246" s="887" t="str">
        <f>'HVAC Deemed Table'!G1723</f>
        <v>Heating Res ER2</v>
      </c>
      <c r="G246" s="1378" t="str">
        <f>'HVAC Deemed Table'!E1720</f>
        <v>ASHP-SEER19_ER1_SF</v>
      </c>
      <c r="H246" s="19" t="str">
        <f>'HVAC Deemed Table'!D1720</f>
        <v>PAYS/SFIE</v>
      </c>
      <c r="I246" s="785">
        <f t="shared" si="149"/>
        <v>6138.72</v>
      </c>
      <c r="J246" s="785">
        <f t="shared" si="150"/>
        <v>2979.99</v>
      </c>
      <c r="K246" s="202">
        <f>'HVAC Deemed Table'!F1720</f>
        <v>2563.17</v>
      </c>
      <c r="L246" s="202">
        <f>'HVAC Deemed Table'!F1721</f>
        <v>3575.55</v>
      </c>
      <c r="M246" s="202">
        <f>'HVAC Deemed Table'!F1722</f>
        <v>667.18</v>
      </c>
      <c r="N246" s="202">
        <f>'HVAC Deemed Table'!F1723</f>
        <v>2312.81</v>
      </c>
      <c r="O246" s="786">
        <f t="shared" si="151"/>
        <v>2.4283939999999999</v>
      </c>
      <c r="P246" s="786">
        <f t="shared" si="152"/>
        <v>0.63209800000000005</v>
      </c>
      <c r="Q246" s="787">
        <f>'HVAC Deemed Table'!I1720</f>
        <v>2.4283939999999999</v>
      </c>
      <c r="R246" s="787">
        <f>'HVAC Deemed Table'!I1721</f>
        <v>0</v>
      </c>
      <c r="S246" s="787">
        <f>'HVAC Deemed Table'!I1722</f>
        <v>0.63209800000000005</v>
      </c>
      <c r="T246" s="787">
        <f>'HVAC Deemed Table'!I1723</f>
        <v>0</v>
      </c>
      <c r="U246" s="788">
        <f t="shared" si="140"/>
        <v>0</v>
      </c>
      <c r="V246" s="788">
        <f t="shared" si="141"/>
        <v>0</v>
      </c>
      <c r="W246" s="788">
        <f t="shared" si="142"/>
        <v>2.4283939999999999</v>
      </c>
      <c r="X246" s="23">
        <f>'HVAC Deemed Table'!J1720</f>
        <v>6</v>
      </c>
      <c r="Y246" s="23">
        <f>'HVAC Deemed Table'!J1722</f>
        <v>12</v>
      </c>
      <c r="Z246" s="23">
        <f t="shared" si="164"/>
        <v>18</v>
      </c>
      <c r="AA246" s="18">
        <f>'HVAC Deemed Table'!DG1720</f>
        <v>4.7822089628938134</v>
      </c>
      <c r="AB246" s="259">
        <f>'HVAC Deemed Table'!K1720</f>
        <v>1078.2009195105929</v>
      </c>
      <c r="AC246" s="903">
        <f t="shared" si="165"/>
        <v>3511.4147139952829</v>
      </c>
      <c r="AD246" s="903">
        <f t="shared" si="139"/>
        <v>1644.767387088626</v>
      </c>
      <c r="AE246" s="208">
        <f>'HVAC Deemed Table'!DI1720</f>
        <v>2552.5279676181904</v>
      </c>
      <c r="AF246" s="208">
        <f>'HVAC Deemed Table'!DI1721</f>
        <v>958.88674637709232</v>
      </c>
      <c r="AG246" s="208">
        <f>'HVAC Deemed Table'!DI1722</f>
        <v>863.27808088965594</v>
      </c>
      <c r="AH246" s="208">
        <f>'HVAC Deemed Table'!DI1723</f>
        <v>781.4893061989701</v>
      </c>
      <c r="AI246" s="906" t="str">
        <f t="shared" si="169"/>
        <v>per measure</v>
      </c>
      <c r="AJ246" s="47">
        <f>'HVAC Deemed Table'!L1720</f>
        <v>3.7731209149509803</v>
      </c>
      <c r="AK246" s="641"/>
      <c r="AL246" s="641"/>
      <c r="AX246" s="1355" t="str">
        <f t="shared" si="159"/>
        <v>ASHP-SEER19_ER1_SF</v>
      </c>
      <c r="AY246" s="1378"/>
      <c r="AZ246" s="1446" t="str">
        <f t="shared" si="160"/>
        <v>354000</v>
      </c>
      <c r="BA246" s="1331">
        <f>ROUND((K246*$BC$3)+(K247*$BC$4),2)</f>
        <v>1804.03</v>
      </c>
      <c r="BB246" s="1331">
        <f>ROUND((L246*$BC$3)+(L247*$BC$4),2)</f>
        <v>2886.01</v>
      </c>
      <c r="BC246" s="1331">
        <f>ROUND((M246*$BC$3)+(K247*$BC$4),2)</f>
        <v>666.44</v>
      </c>
      <c r="BD246" s="1331">
        <f>ROUND((N246*$BC$3)+(L247*$BC$4),2)</f>
        <v>2128.37</v>
      </c>
      <c r="BE246" s="1305"/>
      <c r="BF246" s="1321">
        <f>ROUND(BA246*'CP FACTORS'!$B$9,6)</f>
        <v>1.709171</v>
      </c>
      <c r="BG246" s="1322">
        <f>ROUND(BB246*'CP FACTORS'!$B$14,6)</f>
        <v>0</v>
      </c>
      <c r="BH246" s="1321">
        <f>ROUND(BC246*'CP FACTORS'!$B$9,6)</f>
        <v>0.63139699999999999</v>
      </c>
      <c r="BI246" s="1323">
        <f>ROUND(BD246*'CP FACTORS'!$B$14,6)</f>
        <v>0</v>
      </c>
      <c r="BJ246" s="1305"/>
      <c r="BK246" s="730">
        <f t="shared" si="145"/>
        <v>4690.04</v>
      </c>
      <c r="BL246" s="1342">
        <f t="shared" si="146"/>
        <v>2794.81</v>
      </c>
      <c r="BM246" s="1341">
        <f t="shared" si="147"/>
        <v>1.709171</v>
      </c>
      <c r="BN246" s="1340">
        <f t="shared" si="148"/>
        <v>0.63139699999999999</v>
      </c>
    </row>
    <row r="247" spans="1:66" s="41" customFormat="1">
      <c r="A247" s="51" t="str">
        <f t="shared" si="163"/>
        <v>354050</v>
      </c>
      <c r="B247" s="1442" t="str">
        <f>'HVAC Deemed Table'!C1724</f>
        <v>354050_2024_12_</v>
      </c>
      <c r="C247" s="887" t="str">
        <f>'HVAC Deemed Table'!G1724</f>
        <v>Cooling Res</v>
      </c>
      <c r="D247" s="887" t="str">
        <f>'HVAC Deemed Table'!G1725</f>
        <v>Heating Res</v>
      </c>
      <c r="E247" s="1378"/>
      <c r="F247" s="1378"/>
      <c r="G247" s="1378" t="str">
        <f>'HVAC Deemed Table'!E1724</f>
        <v>ASHP-SEER19_ROF_SF</v>
      </c>
      <c r="H247" s="19" t="str">
        <f>'HVAC Deemed Table'!D1724</f>
        <v>PAYS/SFIE</v>
      </c>
      <c r="I247" s="785">
        <f t="shared" si="149"/>
        <v>2517.0300000000002</v>
      </c>
      <c r="J247" s="785">
        <f t="shared" si="150"/>
        <v>0</v>
      </c>
      <c r="K247" s="202">
        <f>'HVAC Deemed Table'!F1724</f>
        <v>665.33</v>
      </c>
      <c r="L247" s="202">
        <f>'HVAC Deemed Table'!F1725</f>
        <v>1851.7</v>
      </c>
      <c r="M247" s="202"/>
      <c r="N247" s="202"/>
      <c r="O247" s="786">
        <f t="shared" si="151"/>
        <v>0.63034599999999996</v>
      </c>
      <c r="P247" s="786">
        <f t="shared" si="152"/>
        <v>0</v>
      </c>
      <c r="Q247" s="787">
        <f>'HVAC Deemed Table'!I1724</f>
        <v>0.63034599999999996</v>
      </c>
      <c r="R247" s="787">
        <f>'HVAC Deemed Table'!I1725</f>
        <v>0</v>
      </c>
      <c r="S247" s="787"/>
      <c r="T247" s="787"/>
      <c r="U247" s="788">
        <f t="shared" si="140"/>
        <v>0</v>
      </c>
      <c r="V247" s="788">
        <f t="shared" si="141"/>
        <v>0</v>
      </c>
      <c r="W247" s="788">
        <f t="shared" si="142"/>
        <v>0.63034599999999996</v>
      </c>
      <c r="X247" s="23">
        <f>'HVAC Deemed Table'!J1724</f>
        <v>18</v>
      </c>
      <c r="Y247" s="23"/>
      <c r="Z247" s="23">
        <f t="shared" si="164"/>
        <v>18</v>
      </c>
      <c r="AA247" s="18">
        <f>'HVAC Deemed Table'!DG1724</f>
        <v>2.4474752226128209</v>
      </c>
      <c r="AB247" s="259">
        <f>'HVAC Deemed Table'!K1724</f>
        <v>1081</v>
      </c>
      <c r="AC247" s="903">
        <f t="shared" si="165"/>
        <v>2645.7207156444592</v>
      </c>
      <c r="AD247" s="903">
        <f t="shared" si="139"/>
        <v>0</v>
      </c>
      <c r="AE247" s="208">
        <f>'HVAC Deemed Table'!DI1724</f>
        <v>1523.4519419980077</v>
      </c>
      <c r="AF247" s="208">
        <f>'HVAC Deemed Table'!DI1725</f>
        <v>1122.2687736464518</v>
      </c>
      <c r="AG247" s="208"/>
      <c r="AH247" s="208"/>
      <c r="AI247" s="906" t="str">
        <f t="shared" si="169"/>
        <v>per measure</v>
      </c>
      <c r="AJ247" s="47">
        <f>'HVAC Deemed Table'!L1724</f>
        <v>2.9920329673076922</v>
      </c>
      <c r="AK247" s="641"/>
      <c r="AL247" s="641"/>
      <c r="AM247"/>
      <c r="AN247"/>
      <c r="AO247"/>
      <c r="AP247"/>
      <c r="AQ247"/>
      <c r="AR247"/>
      <c r="AS247"/>
      <c r="AT247"/>
      <c r="AU247"/>
      <c r="AV247"/>
      <c r="AW247"/>
      <c r="AX247" s="1355" t="str">
        <f t="shared" si="159"/>
        <v>ASHP-SEER19_ROF_SF</v>
      </c>
      <c r="AY247" s="1378"/>
      <c r="AZ247" s="1446" t="str">
        <f t="shared" si="160"/>
        <v>354050</v>
      </c>
      <c r="BA247" s="1329">
        <f>BA246</f>
        <v>1804.03</v>
      </c>
      <c r="BB247" s="1329">
        <f>BB246</f>
        <v>2886.01</v>
      </c>
      <c r="BC247" s="1329">
        <f>BC246</f>
        <v>666.44</v>
      </c>
      <c r="BD247" s="1329">
        <f>BD246</f>
        <v>2128.37</v>
      </c>
      <c r="BE247" s="1306"/>
      <c r="BF247" s="1321">
        <f>ROUND(BA247*'CP FACTORS'!$B$9,6)</f>
        <v>1.709171</v>
      </c>
      <c r="BG247" s="1322">
        <f>ROUND(BB247*'CP FACTORS'!$B$14,6)</f>
        <v>0</v>
      </c>
      <c r="BH247" s="1321">
        <f>ROUND(BC247*'CP FACTORS'!$B$9,6)</f>
        <v>0.63139699999999999</v>
      </c>
      <c r="BI247" s="1323">
        <f>ROUND(BD247*'CP FACTORS'!$B$14,6)</f>
        <v>0</v>
      </c>
      <c r="BJ247" s="1305"/>
      <c r="BK247" s="730">
        <f t="shared" si="145"/>
        <v>4690.04</v>
      </c>
      <c r="BL247" s="1342">
        <f t="shared" si="146"/>
        <v>2794.81</v>
      </c>
      <c r="BM247" s="1341">
        <f t="shared" si="147"/>
        <v>1.709171</v>
      </c>
      <c r="BN247" s="1340">
        <f t="shared" si="148"/>
        <v>0.63139699999999999</v>
      </c>
    </row>
    <row r="248" spans="1:66">
      <c r="A248" s="51" t="str">
        <f t="shared" si="163"/>
        <v>354100</v>
      </c>
      <c r="B248" s="1442" t="str">
        <f>'HVAC Deemed Table'!C1726</f>
        <v>354100_2024_12_</v>
      </c>
      <c r="C248" s="887" t="str">
        <f>'HVAC Deemed Table'!G1726</f>
        <v>Cooling Res</v>
      </c>
      <c r="D248" s="887" t="str">
        <f>'HVAC Deemed Table'!G1727</f>
        <v>Heating Res</v>
      </c>
      <c r="E248" s="887" t="str">
        <f>'HVAC Deemed Table'!G1728</f>
        <v>Cooling Res ER2</v>
      </c>
      <c r="F248" s="887" t="str">
        <f>'HVAC Deemed Table'!G1729</f>
        <v>Heating Res ER2</v>
      </c>
      <c r="G248" s="1378" t="str">
        <f>'HVAC Deemed Table'!E1726</f>
        <v>ASHP-SEER17-Replace_CAC_ElectricHeat_ER1_SF</v>
      </c>
      <c r="H248" s="19" t="str">
        <f>'HVAC Deemed Table'!D1726</f>
        <v>PAYS/SFIE</v>
      </c>
      <c r="I248" s="785">
        <f t="shared" si="149"/>
        <v>11188.03</v>
      </c>
      <c r="J248" s="785">
        <f t="shared" si="150"/>
        <v>9472.880000000001</v>
      </c>
      <c r="K248" s="202">
        <f>'HVAC Deemed Table'!F1726</f>
        <v>2226.27</v>
      </c>
      <c r="L248" s="202">
        <f>'HVAC Deemed Table'!F1727</f>
        <v>8961.76</v>
      </c>
      <c r="M248" s="202">
        <f>'HVAC Deemed Table'!F1728</f>
        <v>511.12</v>
      </c>
      <c r="N248" s="202">
        <f>'HVAC Deemed Table'!F1729</f>
        <v>8961.76</v>
      </c>
      <c r="O248" s="786">
        <f t="shared" si="151"/>
        <v>2.1092080000000002</v>
      </c>
      <c r="P248" s="786">
        <f t="shared" si="152"/>
        <v>0.48424400000000001</v>
      </c>
      <c r="Q248" s="787">
        <f>'HVAC Deemed Table'!I1726</f>
        <v>2.1092080000000002</v>
      </c>
      <c r="R248" s="787">
        <f>'HVAC Deemed Table'!I1727</f>
        <v>0</v>
      </c>
      <c r="S248" s="787">
        <f>'HVAC Deemed Table'!I1728</f>
        <v>0.48424400000000001</v>
      </c>
      <c r="T248" s="787">
        <f>'HVAC Deemed Table'!I1729</f>
        <v>0</v>
      </c>
      <c r="U248" s="788">
        <f t="shared" si="140"/>
        <v>0</v>
      </c>
      <c r="V248" s="788">
        <f t="shared" si="141"/>
        <v>0</v>
      </c>
      <c r="W248" s="788">
        <f t="shared" si="142"/>
        <v>2.1092080000000002</v>
      </c>
      <c r="X248" s="23">
        <f>'HVAC Deemed Table'!J1726</f>
        <v>6</v>
      </c>
      <c r="Y248" s="23">
        <f>'HVAC Deemed Table'!J1728</f>
        <v>12</v>
      </c>
      <c r="Z248" s="23">
        <f t="shared" si="164"/>
        <v>18</v>
      </c>
      <c r="AA248" s="18">
        <f>'HVAC Deemed Table'!DG1726</f>
        <v>2.1960823510691041</v>
      </c>
      <c r="AB248" s="259">
        <f>'HVAC Deemed Table'!K1726</f>
        <v>3783.9531661870506</v>
      </c>
      <c r="AC248" s="903">
        <f t="shared" si="165"/>
        <v>4620.3808816538876</v>
      </c>
      <c r="AD248" s="903">
        <f t="shared" si="139"/>
        <v>3689.4918838815511</v>
      </c>
      <c r="AE248" s="208">
        <f>'HVAC Deemed Table'!DI1726</f>
        <v>2217.026743629704</v>
      </c>
      <c r="AF248" s="208">
        <f>'HVAC Deemed Table'!DI1727</f>
        <v>2403.3541380241836</v>
      </c>
      <c r="AG248" s="208">
        <f>'HVAC Deemed Table'!DI1728</f>
        <v>661.34880048011178</v>
      </c>
      <c r="AH248" s="208">
        <f>'HVAC Deemed Table'!DI1729</f>
        <v>3028.1430834014391</v>
      </c>
      <c r="AI248" s="906" t="str">
        <f t="shared" si="169"/>
        <v>per measure</v>
      </c>
      <c r="AJ248" s="47">
        <f>'HVAC Deemed Table'!L1726</f>
        <v>2.6603692243864097</v>
      </c>
      <c r="AK248" s="641"/>
      <c r="AL248" s="641"/>
      <c r="AX248" s="1355" t="str">
        <f t="shared" si="159"/>
        <v>ASHP-SEER17-Replace_CAC_ElectricHeat_ER1_SF</v>
      </c>
      <c r="AY248" s="1378"/>
      <c r="AZ248" s="1446" t="str">
        <f t="shared" si="160"/>
        <v>354100</v>
      </c>
      <c r="BA248" s="1334">
        <f>BA204</f>
        <v>1539.94</v>
      </c>
      <c r="BB248" s="1334">
        <f t="shared" ref="BA248:BD253" si="170">BB204</f>
        <v>9694.92</v>
      </c>
      <c r="BC248" s="1334">
        <f t="shared" si="170"/>
        <v>510.85</v>
      </c>
      <c r="BD248" s="1334">
        <f t="shared" si="170"/>
        <v>9694.92</v>
      </c>
      <c r="BE248" s="1305"/>
      <c r="BF248" s="1321">
        <f>ROUND(BA248*'CP FACTORS'!$B$9,6)</f>
        <v>1.4589669999999999</v>
      </c>
      <c r="BG248" s="1322">
        <f>ROUND(BB248*'CP FACTORS'!$B$14,6)</f>
        <v>0</v>
      </c>
      <c r="BH248" s="1321">
        <f>ROUND(BC248*'CP FACTORS'!$B$9,6)</f>
        <v>0.483989</v>
      </c>
      <c r="BI248" s="1323">
        <f>ROUND(BD248*'CP FACTORS'!$B$14,6)</f>
        <v>0</v>
      </c>
      <c r="BJ248" s="1305"/>
      <c r="BK248" s="730">
        <f t="shared" si="145"/>
        <v>11234.86</v>
      </c>
      <c r="BL248" s="1342">
        <f t="shared" si="146"/>
        <v>10205.77</v>
      </c>
      <c r="BM248" s="1341">
        <f t="shared" si="147"/>
        <v>1.4589669999999999</v>
      </c>
      <c r="BN248" s="1340">
        <f t="shared" si="148"/>
        <v>0.483989</v>
      </c>
    </row>
    <row r="249" spans="1:66">
      <c r="A249" s="51" t="str">
        <f t="shared" si="163"/>
        <v>354110</v>
      </c>
      <c r="B249" s="1442" t="str">
        <f>'HVAC Deemed Table'!C1730</f>
        <v>354110_2024_12_</v>
      </c>
      <c r="C249" s="887" t="str">
        <f>'HVAC Deemed Table'!G1730</f>
        <v>Cooling Res</v>
      </c>
      <c r="D249" s="887" t="str">
        <f>'HVAC Deemed Table'!G1731</f>
        <v>Heating Res</v>
      </c>
      <c r="E249" s="887" t="str">
        <f>'HVAC Deemed Table'!G1732</f>
        <v>Cooling Res ER2</v>
      </c>
      <c r="F249" s="887" t="str">
        <f>'HVAC Deemed Table'!G1733</f>
        <v>Heating Res ER2</v>
      </c>
      <c r="G249" s="1378" t="str">
        <f>'HVAC Deemed Table'!E1730</f>
        <v>ASHP-SEER17-Replace_CAC_NonElectricHeat_ER1_SF</v>
      </c>
      <c r="H249" s="19" t="str">
        <f>'HVAC Deemed Table'!D1730</f>
        <v>PAYS</v>
      </c>
      <c r="I249" s="785">
        <f t="shared" si="149"/>
        <v>2226.27</v>
      </c>
      <c r="J249" s="785">
        <f t="shared" si="150"/>
        <v>511.12</v>
      </c>
      <c r="K249" s="202">
        <f>'HVAC Deemed Table'!F1730</f>
        <v>2226.27</v>
      </c>
      <c r="L249" s="202">
        <f>'HVAC Deemed Table'!F1731</f>
        <v>0</v>
      </c>
      <c r="M249" s="202">
        <f>'HVAC Deemed Table'!F1732</f>
        <v>511.12</v>
      </c>
      <c r="N249" s="202">
        <f>'HVAC Deemed Table'!F1733</f>
        <v>0</v>
      </c>
      <c r="O249" s="786">
        <f t="shared" si="151"/>
        <v>2.1092080000000002</v>
      </c>
      <c r="P249" s="786">
        <f t="shared" si="152"/>
        <v>0.48424400000000001</v>
      </c>
      <c r="Q249" s="787">
        <f>'HVAC Deemed Table'!I1730</f>
        <v>2.1092080000000002</v>
      </c>
      <c r="R249" s="787">
        <f>'HVAC Deemed Table'!I1731</f>
        <v>0</v>
      </c>
      <c r="S249" s="787">
        <f>'HVAC Deemed Table'!I1732</f>
        <v>0.48424400000000001</v>
      </c>
      <c r="T249" s="787">
        <f>'HVAC Deemed Table'!I1733</f>
        <v>0</v>
      </c>
      <c r="U249" s="788">
        <f t="shared" si="140"/>
        <v>0</v>
      </c>
      <c r="V249" s="788">
        <f t="shared" si="141"/>
        <v>0</v>
      </c>
      <c r="W249" s="788">
        <f t="shared" si="142"/>
        <v>2.1092080000000002</v>
      </c>
      <c r="X249" s="23">
        <f>'HVAC Deemed Table'!J1730</f>
        <v>6</v>
      </c>
      <c r="Y249" s="23">
        <f>'HVAC Deemed Table'!J1732</f>
        <v>12</v>
      </c>
      <c r="Z249" s="23">
        <f t="shared" si="164"/>
        <v>18</v>
      </c>
      <c r="AA249" s="18">
        <f>'HVAC Deemed Table'!DG1730</f>
        <v>5.7413559520723849</v>
      </c>
      <c r="AB249" s="259">
        <f>'HVAC Deemed Table'!K1730</f>
        <v>501.3407230169808</v>
      </c>
      <c r="AC249" s="903">
        <f t="shared" si="165"/>
        <v>2217.026743629704</v>
      </c>
      <c r="AD249" s="903">
        <f t="shared" si="139"/>
        <v>661.34880048011178</v>
      </c>
      <c r="AE249" s="208">
        <f>'HVAC Deemed Table'!DI1730</f>
        <v>2217.026743629704</v>
      </c>
      <c r="AF249" s="208">
        <f>'HVAC Deemed Table'!DI1731</f>
        <v>0</v>
      </c>
      <c r="AG249" s="208">
        <f>'HVAC Deemed Table'!DI1732</f>
        <v>661.34880048011178</v>
      </c>
      <c r="AH249" s="208">
        <f>'HVAC Deemed Table'!DI1733</f>
        <v>0</v>
      </c>
      <c r="AI249" s="906" t="str">
        <f t="shared" si="169"/>
        <v>per measure</v>
      </c>
      <c r="AJ249" s="47">
        <f>'HVAC Deemed Table'!L1730</f>
        <v>2.6603692243864097</v>
      </c>
      <c r="AK249" s="918"/>
      <c r="AL249" s="918"/>
      <c r="AX249" s="1355" t="str">
        <f t="shared" si="159"/>
        <v>ASHP-SEER17-Replace_CAC_NonElectricHeat_ER1_SF</v>
      </c>
      <c r="AY249" s="1378"/>
      <c r="AZ249" s="1446" t="str">
        <f t="shared" si="160"/>
        <v>354110</v>
      </c>
      <c r="BA249" s="1334">
        <f t="shared" si="170"/>
        <v>1539.94</v>
      </c>
      <c r="BB249" s="1334">
        <f t="shared" si="170"/>
        <v>0</v>
      </c>
      <c r="BC249" s="1334">
        <f t="shared" si="170"/>
        <v>510.85</v>
      </c>
      <c r="BD249" s="1334">
        <f t="shared" si="170"/>
        <v>0</v>
      </c>
      <c r="BE249" s="1305"/>
      <c r="BF249" s="1321">
        <f>ROUND(BA249*'CP FACTORS'!$B$9,6)</f>
        <v>1.4589669999999999</v>
      </c>
      <c r="BG249" s="1322">
        <f>ROUND(BB249*'CP FACTORS'!$B$14,6)</f>
        <v>0</v>
      </c>
      <c r="BH249" s="1321">
        <f>ROUND(BC249*'CP FACTORS'!$B$9,6)</f>
        <v>0.483989</v>
      </c>
      <c r="BI249" s="1323">
        <f>ROUND(BD249*'CP FACTORS'!$B$14,6)</f>
        <v>0</v>
      </c>
      <c r="BJ249" s="1305"/>
      <c r="BK249" s="730">
        <f t="shared" si="145"/>
        <v>1539.94</v>
      </c>
      <c r="BL249" s="1342">
        <f t="shared" si="146"/>
        <v>510.85</v>
      </c>
      <c r="BM249" s="1341">
        <f t="shared" si="147"/>
        <v>1.4589669999999999</v>
      </c>
      <c r="BN249" s="1340">
        <f t="shared" si="148"/>
        <v>0.483989</v>
      </c>
    </row>
    <row r="250" spans="1:66" s="41" customFormat="1">
      <c r="A250" s="51" t="str">
        <f t="shared" si="163"/>
        <v>354150</v>
      </c>
      <c r="B250" s="1442" t="str">
        <f>'HVAC Deemed Table'!C1734</f>
        <v>354150_2024_12_</v>
      </c>
      <c r="C250" s="887" t="str">
        <f>'HVAC Deemed Table'!G1734</f>
        <v>Cooling Res</v>
      </c>
      <c r="D250" s="887" t="str">
        <f>'HVAC Deemed Table'!G1735</f>
        <v>Heating Res</v>
      </c>
      <c r="E250" s="887" t="str">
        <f>'HVAC Deemed Table'!G1736</f>
        <v>Cooling Res ER2</v>
      </c>
      <c r="F250" s="887" t="str">
        <f>'HVAC Deemed Table'!G1737</f>
        <v>Heating Res ER2</v>
      </c>
      <c r="G250" s="1378" t="str">
        <f>'HVAC Deemed Table'!E1734</f>
        <v>ASHP-SEER17-Replace_CAC_ElectricHeat_ER1_MF</v>
      </c>
      <c r="H250" s="19" t="str">
        <f>'HVAC Deemed Table'!D1734</f>
        <v>MFIE</v>
      </c>
      <c r="I250" s="785">
        <f t="shared" si="149"/>
        <v>8046.25</v>
      </c>
      <c r="J250" s="785">
        <f t="shared" si="150"/>
        <v>7091.8499999999995</v>
      </c>
      <c r="K250" s="202">
        <f>'HVAC Deemed Table'!F1734</f>
        <v>1286.47</v>
      </c>
      <c r="L250" s="202">
        <f>'HVAC Deemed Table'!F1735</f>
        <v>6759.78</v>
      </c>
      <c r="M250" s="202">
        <f>'HVAC Deemed Table'!F1736</f>
        <v>332.07</v>
      </c>
      <c r="N250" s="202">
        <f>'HVAC Deemed Table'!F1737</f>
        <v>6759.78</v>
      </c>
      <c r="O250" s="786">
        <f t="shared" si="151"/>
        <v>1.218825</v>
      </c>
      <c r="P250" s="786">
        <f t="shared" si="152"/>
        <v>0.31460900000000003</v>
      </c>
      <c r="Q250" s="787">
        <f>'HVAC Deemed Table'!I1734</f>
        <v>1.218825</v>
      </c>
      <c r="R250" s="787">
        <f>'HVAC Deemed Table'!I1735</f>
        <v>0</v>
      </c>
      <c r="S250" s="787">
        <f>'HVAC Deemed Table'!I1736</f>
        <v>0.31460900000000003</v>
      </c>
      <c r="T250" s="787">
        <f>'HVAC Deemed Table'!I1737</f>
        <v>0</v>
      </c>
      <c r="U250" s="788">
        <f t="shared" si="140"/>
        <v>0</v>
      </c>
      <c r="V250" s="788">
        <f t="shared" si="141"/>
        <v>0</v>
      </c>
      <c r="W250" s="788">
        <f t="shared" si="142"/>
        <v>1.218825</v>
      </c>
      <c r="X250" s="23">
        <f>'HVAC Deemed Table'!J1734</f>
        <v>6</v>
      </c>
      <c r="Y250" s="23">
        <f>'HVAC Deemed Table'!J1736</f>
        <v>12</v>
      </c>
      <c r="Z250" s="23">
        <f t="shared" si="164"/>
        <v>18</v>
      </c>
      <c r="AA250" s="18">
        <f>'HVAC Deemed Table'!DG1734</f>
        <v>1.709800527923629</v>
      </c>
      <c r="AB250" s="259">
        <f>'HVAC Deemed Table'!K1734</f>
        <v>3396.7316315552043</v>
      </c>
      <c r="AC250" s="903">
        <f t="shared" si="165"/>
        <v>3093.9584623398027</v>
      </c>
      <c r="AD250" s="903">
        <f t="shared" si="139"/>
        <v>2713.7750745081748</v>
      </c>
      <c r="AE250" s="208">
        <f>'HVAC Deemed Table'!DI1734</f>
        <v>1281.1287017645234</v>
      </c>
      <c r="AF250" s="208">
        <f>'HVAC Deemed Table'!DI1735</f>
        <v>1812.8297605752794</v>
      </c>
      <c r="AG250" s="208">
        <f>'HVAC Deemed Table'!DI1736</f>
        <v>429.67228082530659</v>
      </c>
      <c r="AH250" s="208">
        <f>'HVAC Deemed Table'!DI1737</f>
        <v>2284.1027936828682</v>
      </c>
      <c r="AI250" s="906" t="str">
        <f t="shared" si="169"/>
        <v>per measure</v>
      </c>
      <c r="AJ250" s="47">
        <f>'HVAC Deemed Table'!L1734</f>
        <v>3.1</v>
      </c>
      <c r="AK250" s="641"/>
      <c r="AL250" s="641"/>
      <c r="AM250"/>
      <c r="AN250"/>
      <c r="AO250"/>
      <c r="AP250"/>
      <c r="AQ250"/>
      <c r="AR250"/>
      <c r="AS250"/>
      <c r="AT250"/>
      <c r="AU250"/>
      <c r="AV250"/>
      <c r="AW250"/>
      <c r="AX250" s="1355" t="str">
        <f t="shared" si="159"/>
        <v>ASHP-SEER17-Replace_CAC_ElectricHeat_ER1_MF</v>
      </c>
      <c r="AY250" s="1378"/>
      <c r="AZ250" s="1446" t="str">
        <f t="shared" si="160"/>
        <v>354150</v>
      </c>
      <c r="BA250" s="1334">
        <f t="shared" si="170"/>
        <v>891.85</v>
      </c>
      <c r="BB250" s="1334">
        <f t="shared" si="170"/>
        <v>6541.11</v>
      </c>
      <c r="BC250" s="1334">
        <f t="shared" si="170"/>
        <v>319.20999999999998</v>
      </c>
      <c r="BD250" s="1334">
        <f t="shared" si="170"/>
        <v>6541.11</v>
      </c>
      <c r="BE250" s="1306"/>
      <c r="BF250" s="1321">
        <f>ROUND(BA250*'CP FACTORS'!$B$9,6)</f>
        <v>0.84495500000000001</v>
      </c>
      <c r="BG250" s="1322">
        <f>ROUND(BB250*'CP FACTORS'!$B$14,6)</f>
        <v>0</v>
      </c>
      <c r="BH250" s="1321">
        <f>ROUND(BC250*'CP FACTORS'!$B$9,6)</f>
        <v>0.302425</v>
      </c>
      <c r="BI250" s="1323">
        <f>ROUND(BD250*'CP FACTORS'!$B$14,6)</f>
        <v>0</v>
      </c>
      <c r="BJ250" s="1305"/>
      <c r="BK250" s="730">
        <f t="shared" si="145"/>
        <v>7432.96</v>
      </c>
      <c r="BL250" s="1342">
        <f t="shared" si="146"/>
        <v>6860.32</v>
      </c>
      <c r="BM250" s="1341">
        <f t="shared" si="147"/>
        <v>0.84495500000000001</v>
      </c>
      <c r="BN250" s="1340">
        <f t="shared" si="148"/>
        <v>0.302425</v>
      </c>
    </row>
    <row r="251" spans="1:66" s="696" customFormat="1">
      <c r="A251" s="2958" t="str">
        <f t="shared" si="163"/>
        <v>354151</v>
      </c>
      <c r="B251" s="2233" t="str">
        <f>'HVAC Deemed Table'!C1738</f>
        <v>354151_2024_12_</v>
      </c>
      <c r="C251" s="3874" t="str">
        <f>'HVAC Deemed Table'!G1738</f>
        <v>Cooling Res</v>
      </c>
      <c r="D251" s="3874" t="str">
        <f>'HVAC Deemed Table'!G1739</f>
        <v>Heating Res</v>
      </c>
      <c r="E251" s="3874" t="str">
        <f>'HVAC Deemed Table'!G1740</f>
        <v>Cooling Res ER2</v>
      </c>
      <c r="F251" s="3874" t="str">
        <f>'HVAC Deemed Table'!G1741</f>
        <v>Heating Res ER2</v>
      </c>
      <c r="G251" s="2724" t="str">
        <f>'HVAC Deemed Table'!E1738</f>
        <v>ASHP-SEER17-Replace_CAC_ElectricHeat_ER1_MF_CompE</v>
      </c>
      <c r="H251" s="2554" t="str">
        <f>'HVAC Deemed Table'!D1738</f>
        <v>MFc</v>
      </c>
      <c r="I251" s="3840">
        <f t="shared" si="149"/>
        <v>3240.0899999999997</v>
      </c>
      <c r="J251" s="3840">
        <f t="shared" si="150"/>
        <v>2545.9699999999998</v>
      </c>
      <c r="K251" s="3251">
        <f>'HVAC Deemed Table'!F1738</f>
        <v>935.62</v>
      </c>
      <c r="L251" s="3251">
        <f>'HVAC Deemed Table'!F1739</f>
        <v>2304.4699999999998</v>
      </c>
      <c r="M251" s="3251">
        <f>'HVAC Deemed Table'!F1740</f>
        <v>241.5</v>
      </c>
      <c r="N251" s="3251">
        <f>'HVAC Deemed Table'!F1741</f>
        <v>2304.4699999999998</v>
      </c>
      <c r="O251" s="3841">
        <f t="shared" si="151"/>
        <v>0.88642299999999996</v>
      </c>
      <c r="P251" s="3841">
        <f t="shared" si="152"/>
        <v>0.228801</v>
      </c>
      <c r="Q251" s="3842">
        <f>'HVAC Deemed Table'!I1738</f>
        <v>0.88642299999999996</v>
      </c>
      <c r="R251" s="3842">
        <f>'HVAC Deemed Table'!I1739</f>
        <v>0</v>
      </c>
      <c r="S251" s="3842">
        <f>'HVAC Deemed Table'!I1740</f>
        <v>0.228801</v>
      </c>
      <c r="T251" s="3842">
        <f>'HVAC Deemed Table'!I1741</f>
        <v>0</v>
      </c>
      <c r="U251" s="3843">
        <f t="shared" si="140"/>
        <v>0</v>
      </c>
      <c r="V251" s="3843">
        <f t="shared" si="141"/>
        <v>0</v>
      </c>
      <c r="W251" s="3843">
        <f t="shared" si="142"/>
        <v>0.88642299999999996</v>
      </c>
      <c r="X251" s="2846">
        <f>'HVAC Deemed Table'!J1738</f>
        <v>6</v>
      </c>
      <c r="Y251" s="2846">
        <f>'HVAC Deemed Table'!J1740</f>
        <v>12</v>
      </c>
      <c r="Z251" s="2846">
        <f t="shared" si="164"/>
        <v>18</v>
      </c>
      <c r="AA251" s="2529">
        <f>'HVAC Deemed Table'!DG1738</f>
        <v>0.77748224886054595</v>
      </c>
      <c r="AB251" s="3878">
        <f>'HVAC Deemed Table'!K1738</f>
        <v>3396.7316315552043</v>
      </c>
      <c r="AC251" s="3845">
        <f t="shared" si="165"/>
        <v>1549.7454205695699</v>
      </c>
      <c r="AD251" s="3845">
        <f t="shared" si="139"/>
        <v>1091.153127107722</v>
      </c>
      <c r="AE251" s="3846">
        <f>'HVAC Deemed Table'!DI1738</f>
        <v>931.73539681836598</v>
      </c>
      <c r="AF251" s="3846">
        <f>'HVAC Deemed Table'!DI1739</f>
        <v>618.01002375120402</v>
      </c>
      <c r="AG251" s="3846">
        <f>'HVAC Deemed Table'!DI1740</f>
        <v>312.48187375948311</v>
      </c>
      <c r="AH251" s="3846">
        <f>'HVAC Deemed Table'!DI1741</f>
        <v>778.67125334823891</v>
      </c>
      <c r="AI251" s="3847" t="str">
        <f t="shared" si="169"/>
        <v>per measure</v>
      </c>
      <c r="AJ251" s="3220">
        <f>'HVAC Deemed Table'!L1738</f>
        <v>3.1</v>
      </c>
      <c r="AK251" s="3848"/>
      <c r="AL251" s="3848"/>
      <c r="AX251" s="3849" t="str">
        <f t="shared" si="159"/>
        <v>ASHP-SEER17-Replace_CAC_ElectricHeat_ER1_MF_CompE</v>
      </c>
      <c r="AY251" s="2724"/>
      <c r="AZ251" s="3850" t="str">
        <f t="shared" si="160"/>
        <v>354151</v>
      </c>
      <c r="BA251" s="3888">
        <f t="shared" si="170"/>
        <v>648.62</v>
      </c>
      <c r="BB251" s="3888">
        <f t="shared" si="170"/>
        <v>2229.92</v>
      </c>
      <c r="BC251" s="3888">
        <f t="shared" si="170"/>
        <v>232.15</v>
      </c>
      <c r="BD251" s="3888">
        <f t="shared" si="170"/>
        <v>2229.92</v>
      </c>
      <c r="BE251" s="3853"/>
      <c r="BF251" s="3854">
        <f>ROUND(BA251*'CP FACTORS'!$B$9,6)</f>
        <v>0.614514</v>
      </c>
      <c r="BG251" s="3854">
        <f>ROUND(BB251*'CP FACTORS'!$B$14,6)</f>
        <v>0</v>
      </c>
      <c r="BH251" s="3854">
        <f>ROUND(BC251*'CP FACTORS'!$B$9,6)</f>
        <v>0.219943</v>
      </c>
      <c r="BI251" s="3855">
        <f>ROUND(BD251*'CP FACTORS'!$B$14,6)</f>
        <v>0</v>
      </c>
      <c r="BJ251" s="3853"/>
      <c r="BK251" s="3856">
        <f t="shared" si="145"/>
        <v>2878.54</v>
      </c>
      <c r="BL251" s="3857">
        <f t="shared" si="146"/>
        <v>2462.0700000000002</v>
      </c>
      <c r="BM251" s="3858">
        <f t="shared" si="147"/>
        <v>0.614514</v>
      </c>
      <c r="BN251" s="3855">
        <f t="shared" si="148"/>
        <v>0.219943</v>
      </c>
    </row>
    <row r="252" spans="1:66" s="696" customFormat="1">
      <c r="A252" s="2958" t="str">
        <f t="shared" si="163"/>
        <v>354160</v>
      </c>
      <c r="B252" s="2233" t="str">
        <f>'HVAC Deemed Table'!C1742</f>
        <v>354160_2024_12_</v>
      </c>
      <c r="C252" s="3874" t="str">
        <f>'HVAC Deemed Table'!G1742</f>
        <v>Cooling Res</v>
      </c>
      <c r="D252" s="3874" t="str">
        <f>'HVAC Deemed Table'!G1743</f>
        <v>Heating Res</v>
      </c>
      <c r="E252" s="3874" t="str">
        <f>'HVAC Deemed Table'!G1744</f>
        <v>Cooling Res ER2</v>
      </c>
      <c r="F252" s="3874" t="str">
        <f>'HVAC Deemed Table'!G1745</f>
        <v>Heating Res ER2</v>
      </c>
      <c r="G252" s="2724" t="str">
        <f>'HVAC Deemed Table'!E1742</f>
        <v>ASHP-SEER17-Replace_CAC_NonElectricHeat_ER1_MF</v>
      </c>
      <c r="H252" s="2554" t="str">
        <f>'HVAC Deemed Table'!D1742</f>
        <v>MF</v>
      </c>
      <c r="I252" s="3840">
        <f t="shared" si="149"/>
        <v>1286.47</v>
      </c>
      <c r="J252" s="3840">
        <f t="shared" si="150"/>
        <v>332.07</v>
      </c>
      <c r="K252" s="3251">
        <f>'HVAC Deemed Table'!F1742</f>
        <v>1286.47</v>
      </c>
      <c r="L252" s="3251">
        <f>'HVAC Deemed Table'!F1743</f>
        <v>0</v>
      </c>
      <c r="M252" s="3251">
        <f>'HVAC Deemed Table'!F1744</f>
        <v>332.07</v>
      </c>
      <c r="N252" s="3251">
        <f>'HVAC Deemed Table'!F1745</f>
        <v>0</v>
      </c>
      <c r="O252" s="3841">
        <f t="shared" si="151"/>
        <v>1.218825</v>
      </c>
      <c r="P252" s="3841">
        <f t="shared" si="152"/>
        <v>0.31460900000000003</v>
      </c>
      <c r="Q252" s="3842">
        <f>'HVAC Deemed Table'!I1742</f>
        <v>1.218825</v>
      </c>
      <c r="R252" s="3842">
        <f>'HVAC Deemed Table'!I1743</f>
        <v>0</v>
      </c>
      <c r="S252" s="3842">
        <f>'HVAC Deemed Table'!I1744</f>
        <v>0.31460900000000003</v>
      </c>
      <c r="T252" s="3842">
        <f>'HVAC Deemed Table'!I1745</f>
        <v>0</v>
      </c>
      <c r="U252" s="3843">
        <f t="shared" si="140"/>
        <v>0</v>
      </c>
      <c r="V252" s="3843">
        <f t="shared" si="141"/>
        <v>0</v>
      </c>
      <c r="W252" s="3843">
        <f t="shared" si="142"/>
        <v>1.218825</v>
      </c>
      <c r="X252" s="2846">
        <f>'HVAC Deemed Table'!J1742</f>
        <v>6</v>
      </c>
      <c r="Y252" s="2846">
        <f>'HVAC Deemed Table'!J1744</f>
        <v>12</v>
      </c>
      <c r="Z252" s="2846">
        <f t="shared" si="164"/>
        <v>18</v>
      </c>
      <c r="AA252" s="2529">
        <f>'HVAC Deemed Table'!DG1742</f>
        <v>4.7107080400181385</v>
      </c>
      <c r="AB252" s="3878">
        <f>'HVAC Deemed Table'!K1742</f>
        <v>363.17279017428615</v>
      </c>
      <c r="AC252" s="3845">
        <f t="shared" si="165"/>
        <v>1281.1287017645234</v>
      </c>
      <c r="AD252" s="3845">
        <f t="shared" si="139"/>
        <v>429.67228082530659</v>
      </c>
      <c r="AE252" s="3846">
        <f>'HVAC Deemed Table'!DI1742</f>
        <v>1281.1287017645234</v>
      </c>
      <c r="AF252" s="3846">
        <f>'HVAC Deemed Table'!DI1743</f>
        <v>0</v>
      </c>
      <c r="AG252" s="3846">
        <f>'HVAC Deemed Table'!DI1744</f>
        <v>429.67228082530659</v>
      </c>
      <c r="AH252" s="3846">
        <f>'HVAC Deemed Table'!DI1745</f>
        <v>0</v>
      </c>
      <c r="AI252" s="3847" t="str">
        <f t="shared" si="169"/>
        <v>per measure</v>
      </c>
      <c r="AJ252" s="3220">
        <f>'HVAC Deemed Table'!L1742</f>
        <v>3.1</v>
      </c>
      <c r="AK252" s="3848"/>
      <c r="AL252" s="3848"/>
      <c r="AX252" s="3849" t="str">
        <f t="shared" si="159"/>
        <v>ASHP-SEER17-Replace_CAC_NonElectricHeat_ER1_MF</v>
      </c>
      <c r="AY252" s="2724"/>
      <c r="AZ252" s="3850" t="str">
        <f t="shared" si="160"/>
        <v>354160</v>
      </c>
      <c r="BA252" s="3888">
        <f t="shared" si="170"/>
        <v>891.85</v>
      </c>
      <c r="BB252" s="3888">
        <f t="shared" si="170"/>
        <v>0</v>
      </c>
      <c r="BC252" s="3888">
        <f t="shared" si="170"/>
        <v>319.20999999999998</v>
      </c>
      <c r="BD252" s="3888">
        <f t="shared" si="170"/>
        <v>0</v>
      </c>
      <c r="BE252" s="3853"/>
      <c r="BF252" s="3854">
        <f>ROUND(BA252*'CP FACTORS'!$B$9,6)</f>
        <v>0.84495500000000001</v>
      </c>
      <c r="BG252" s="3854">
        <f>ROUND(BB252*'CP FACTORS'!$B$14,6)</f>
        <v>0</v>
      </c>
      <c r="BH252" s="3854">
        <f>ROUND(BC252*'CP FACTORS'!$B$9,6)</f>
        <v>0.302425</v>
      </c>
      <c r="BI252" s="3855">
        <f>ROUND(BD252*'CP FACTORS'!$B$14,6)</f>
        <v>0</v>
      </c>
      <c r="BJ252" s="3853"/>
      <c r="BK252" s="3856">
        <f t="shared" si="145"/>
        <v>891.85</v>
      </c>
      <c r="BL252" s="3857">
        <f t="shared" si="146"/>
        <v>319.20999999999998</v>
      </c>
      <c r="BM252" s="3858">
        <f t="shared" si="147"/>
        <v>0.84495500000000001</v>
      </c>
      <c r="BN252" s="3855">
        <f t="shared" si="148"/>
        <v>0.302425</v>
      </c>
    </row>
    <row r="253" spans="1:66" s="696" customFormat="1">
      <c r="A253" s="2958" t="str">
        <f t="shared" si="163"/>
        <v>354161</v>
      </c>
      <c r="B253" s="2233" t="str">
        <f>'HVAC Deemed Table'!C1746</f>
        <v>354161_2024_12_</v>
      </c>
      <c r="C253" s="3874" t="str">
        <f>'HVAC Deemed Table'!G1746</f>
        <v>Cooling Res</v>
      </c>
      <c r="D253" s="3874" t="str">
        <f>'HVAC Deemed Table'!G1747</f>
        <v>Heating Res</v>
      </c>
      <c r="E253" s="3874" t="str">
        <f>'HVAC Deemed Table'!G1748</f>
        <v>Cooling Res ER2</v>
      </c>
      <c r="F253" s="3874" t="str">
        <f>'HVAC Deemed Table'!G1749</f>
        <v>Heating Res ER2</v>
      </c>
      <c r="G253" s="2724" t="str">
        <f>'HVAC Deemed Table'!E1746</f>
        <v>ASHP-SEER17-Replace_CAC_NonElectricHeat_ER1_MF_CompE</v>
      </c>
      <c r="H253" s="2554" t="str">
        <f>'HVAC Deemed Table'!D1746</f>
        <v>MFc</v>
      </c>
      <c r="I253" s="3840">
        <f t="shared" si="149"/>
        <v>935.62</v>
      </c>
      <c r="J253" s="3840">
        <f t="shared" si="150"/>
        <v>241.5</v>
      </c>
      <c r="K253" s="3251">
        <f>'HVAC Deemed Table'!F1746</f>
        <v>935.62</v>
      </c>
      <c r="L253" s="3251">
        <f>'HVAC Deemed Table'!F1747</f>
        <v>0</v>
      </c>
      <c r="M253" s="3251">
        <f>'HVAC Deemed Table'!F1748</f>
        <v>241.5</v>
      </c>
      <c r="N253" s="3251">
        <f>'HVAC Deemed Table'!F1749</f>
        <v>0</v>
      </c>
      <c r="O253" s="3841">
        <f t="shared" si="151"/>
        <v>0.88642299999999996</v>
      </c>
      <c r="P253" s="3841">
        <f t="shared" si="152"/>
        <v>0.228801</v>
      </c>
      <c r="Q253" s="3842">
        <f>'HVAC Deemed Table'!I1746</f>
        <v>0.88642299999999996</v>
      </c>
      <c r="R253" s="3842">
        <f>'HVAC Deemed Table'!I1747</f>
        <v>0</v>
      </c>
      <c r="S253" s="3842">
        <f>'HVAC Deemed Table'!I1748</f>
        <v>0.228801</v>
      </c>
      <c r="T253" s="3842">
        <f>'HVAC Deemed Table'!I1749</f>
        <v>0</v>
      </c>
      <c r="U253" s="3843">
        <f t="shared" si="140"/>
        <v>0</v>
      </c>
      <c r="V253" s="3843">
        <f t="shared" si="141"/>
        <v>0</v>
      </c>
      <c r="W253" s="3843">
        <f t="shared" si="142"/>
        <v>0.88642299999999996</v>
      </c>
      <c r="X253" s="2846">
        <f>'HVAC Deemed Table'!J1746</f>
        <v>6</v>
      </c>
      <c r="Y253" s="2846">
        <f>'HVAC Deemed Table'!J1748</f>
        <v>12</v>
      </c>
      <c r="Z253" s="2846">
        <f t="shared" si="164"/>
        <v>18</v>
      </c>
      <c r="AA253" s="2529">
        <f>'HVAC Deemed Table'!DG1746</f>
        <v>1.8005168247913921</v>
      </c>
      <c r="AB253" s="3878">
        <f>'HVAC Deemed Table'!K1746</f>
        <v>691.03340410162741</v>
      </c>
      <c r="AC253" s="3845">
        <f t="shared" si="165"/>
        <v>931.73539681836598</v>
      </c>
      <c r="AD253" s="3845">
        <f t="shared" si="139"/>
        <v>312.48187375948311</v>
      </c>
      <c r="AE253" s="3846">
        <f>'HVAC Deemed Table'!DI1746</f>
        <v>931.73539681836598</v>
      </c>
      <c r="AF253" s="3846">
        <f>'HVAC Deemed Table'!DI1747</f>
        <v>0</v>
      </c>
      <c r="AG253" s="3846">
        <f>'HVAC Deemed Table'!DI1748</f>
        <v>312.48187375948311</v>
      </c>
      <c r="AH253" s="3846">
        <f>'HVAC Deemed Table'!DI1749</f>
        <v>0</v>
      </c>
      <c r="AI253" s="3847" t="str">
        <f t="shared" ref="AI253:AI282" si="171">AI252</f>
        <v>per measure</v>
      </c>
      <c r="AJ253" s="3220">
        <f>'HVAC Deemed Table'!L1746</f>
        <v>3.1</v>
      </c>
      <c r="AK253" s="3848"/>
      <c r="AL253" s="3848"/>
      <c r="AX253" s="3849" t="str">
        <f t="shared" si="159"/>
        <v>ASHP-SEER17-Replace_CAC_NonElectricHeat_ER1_MF_CompE</v>
      </c>
      <c r="AY253" s="2724"/>
      <c r="AZ253" s="3850" t="str">
        <f t="shared" si="160"/>
        <v>354161</v>
      </c>
      <c r="BA253" s="3888">
        <f t="shared" si="170"/>
        <v>648.62</v>
      </c>
      <c r="BB253" s="3888">
        <f t="shared" si="170"/>
        <v>0</v>
      </c>
      <c r="BC253" s="3888">
        <f t="shared" si="170"/>
        <v>232.15</v>
      </c>
      <c r="BD253" s="3888">
        <f t="shared" si="170"/>
        <v>0</v>
      </c>
      <c r="BE253" s="3853"/>
      <c r="BF253" s="3854">
        <f>ROUND(BA253*'CP FACTORS'!$B$9,6)</f>
        <v>0.614514</v>
      </c>
      <c r="BG253" s="3854">
        <f>ROUND(BB253*'CP FACTORS'!$B$14,6)</f>
        <v>0</v>
      </c>
      <c r="BH253" s="3854">
        <f>ROUND(BC253*'CP FACTORS'!$B$9,6)</f>
        <v>0.219943</v>
      </c>
      <c r="BI253" s="3855">
        <f>ROUND(BD253*'CP FACTORS'!$B$14,6)</f>
        <v>0</v>
      </c>
      <c r="BJ253" s="3853"/>
      <c r="BK253" s="3856">
        <f t="shared" si="145"/>
        <v>648.62</v>
      </c>
      <c r="BL253" s="3857">
        <f t="shared" si="146"/>
        <v>232.15</v>
      </c>
      <c r="BM253" s="3858">
        <f t="shared" si="147"/>
        <v>0.614514</v>
      </c>
      <c r="BN253" s="3855">
        <f t="shared" si="148"/>
        <v>0.219943</v>
      </c>
    </row>
    <row r="254" spans="1:66">
      <c r="A254" s="51" t="str">
        <f t="shared" si="163"/>
        <v>354200</v>
      </c>
      <c r="B254" s="1442" t="str">
        <f>'HVAC Deemed Table'!C1750</f>
        <v>354200_2024_12_</v>
      </c>
      <c r="C254" s="887" t="str">
        <f>'HVAC Deemed Table'!G1750</f>
        <v>Cooling Res</v>
      </c>
      <c r="D254" s="887" t="str">
        <f>'HVAC Deemed Table'!G1751</f>
        <v>Heating Res</v>
      </c>
      <c r="E254" s="887" t="str">
        <f>'HVAC Deemed Table'!G1752</f>
        <v>Cooling Res ER2</v>
      </c>
      <c r="F254" s="887" t="str">
        <f>'HVAC Deemed Table'!G1753</f>
        <v>Heating Res ER2</v>
      </c>
      <c r="G254" s="1378" t="str">
        <f>'HVAC Deemed Table'!E1750</f>
        <v>ASHP-SEER17_ER1_MF</v>
      </c>
      <c r="H254" s="19" t="str">
        <f>'HVAC Deemed Table'!D1750</f>
        <v>MFIE</v>
      </c>
      <c r="I254" s="785">
        <f t="shared" si="149"/>
        <v>3168.23</v>
      </c>
      <c r="J254" s="785">
        <f t="shared" si="150"/>
        <v>1329.3300000000002</v>
      </c>
      <c r="K254" s="202">
        <f>'HVAC Deemed Table'!F1750</f>
        <v>1369.47</v>
      </c>
      <c r="L254" s="202">
        <f>'HVAC Deemed Table'!F1751</f>
        <v>1798.76</v>
      </c>
      <c r="M254" s="202">
        <f>'HVAC Deemed Table'!F1752</f>
        <v>248.43</v>
      </c>
      <c r="N254" s="202">
        <f>'HVAC Deemed Table'!F1753</f>
        <v>1080.9000000000001</v>
      </c>
      <c r="O254" s="786">
        <f t="shared" si="151"/>
        <v>1.297461</v>
      </c>
      <c r="P254" s="786">
        <f t="shared" si="152"/>
        <v>0.23536699999999999</v>
      </c>
      <c r="Q254" s="787">
        <f>'HVAC Deemed Table'!I1750</f>
        <v>1.297461</v>
      </c>
      <c r="R254" s="787">
        <f>'HVAC Deemed Table'!I1751</f>
        <v>0</v>
      </c>
      <c r="S254" s="787">
        <f>'HVAC Deemed Table'!I1752</f>
        <v>0.23536699999999999</v>
      </c>
      <c r="T254" s="787">
        <f>'HVAC Deemed Table'!I1753</f>
        <v>0</v>
      </c>
      <c r="U254" s="788">
        <f t="shared" si="140"/>
        <v>0</v>
      </c>
      <c r="V254" s="788">
        <f t="shared" si="141"/>
        <v>0</v>
      </c>
      <c r="W254" s="788">
        <f t="shared" si="142"/>
        <v>1.297461</v>
      </c>
      <c r="X254" s="23">
        <f>'HVAC Deemed Table'!J1750</f>
        <v>6</v>
      </c>
      <c r="Y254" s="23">
        <f>'HVAC Deemed Table'!J1752</f>
        <v>12</v>
      </c>
      <c r="Z254" s="23">
        <f t="shared" si="164"/>
        <v>18</v>
      </c>
      <c r="AA254" s="18">
        <f>'HVAC Deemed Table'!DG1750</f>
        <v>4.0427449773274207</v>
      </c>
      <c r="AB254" s="259">
        <f>'HVAC Deemed Table'!K1750</f>
        <v>626.51836415648631</v>
      </c>
      <c r="AC254" s="903">
        <f t="shared" si="165"/>
        <v>1846.1734112658287</v>
      </c>
      <c r="AD254" s="903">
        <f t="shared" si="139"/>
        <v>686.68055863119889</v>
      </c>
      <c r="AE254" s="208">
        <f>'HVAC Deemed Table'!DI1750</f>
        <v>1363.7840938424229</v>
      </c>
      <c r="AF254" s="208">
        <f>'HVAC Deemed Table'!DI1751</f>
        <v>482.38931742340571</v>
      </c>
      <c r="AG254" s="208">
        <f>'HVAC Deemed Table'!DI1752</f>
        <v>321.44874491953783</v>
      </c>
      <c r="AH254" s="208">
        <f>'HVAC Deemed Table'!DI1753</f>
        <v>365.23181371166106</v>
      </c>
      <c r="AI254" s="906" t="str">
        <f t="shared" si="171"/>
        <v>per measure</v>
      </c>
      <c r="AJ254" s="47">
        <f>'HVAC Deemed Table'!L1750</f>
        <v>3.3</v>
      </c>
      <c r="AK254" s="641"/>
      <c r="AL254" s="641"/>
      <c r="AX254" s="1355" t="str">
        <f t="shared" si="159"/>
        <v>ASHP-SEER17_ER1_MF</v>
      </c>
      <c r="AY254" s="1378"/>
      <c r="AZ254" s="1446" t="str">
        <f t="shared" si="160"/>
        <v>354200</v>
      </c>
      <c r="BA254" s="1325">
        <f>ROUND((K254*$BC$3)+(K288*$BC$4),2)</f>
        <v>921.05</v>
      </c>
      <c r="BB254" s="1325">
        <f>ROUND((L254*$BC$3)+(L288*$BC$4),2)</f>
        <v>1561.25</v>
      </c>
      <c r="BC254" s="1325">
        <f>ROUND((M254*$BC$3)+(K288*$BC$4),2)</f>
        <v>248.43</v>
      </c>
      <c r="BD254" s="1325">
        <f>ROUND((N254*$BC$3)+(L288*$BC$4),2)</f>
        <v>1130.53</v>
      </c>
      <c r="BE254" s="1305"/>
      <c r="BF254" s="1321">
        <f>ROUND(BA254*'CP FACTORS'!$B$9,6)</f>
        <v>0.87261900000000003</v>
      </c>
      <c r="BG254" s="1322">
        <f>ROUND(BB254*'CP FACTORS'!$B$14,6)</f>
        <v>0</v>
      </c>
      <c r="BH254" s="1321">
        <f>ROUND(BC254*'CP FACTORS'!$B$9,6)</f>
        <v>0.23536699999999999</v>
      </c>
      <c r="BI254" s="1323">
        <f>ROUND(BD254*'CP FACTORS'!$B$14,6)</f>
        <v>0</v>
      </c>
      <c r="BJ254" s="1305"/>
      <c r="BK254" s="730">
        <f t="shared" si="145"/>
        <v>2482.3000000000002</v>
      </c>
      <c r="BL254" s="1342">
        <f t="shared" si="146"/>
        <v>1378.96</v>
      </c>
      <c r="BM254" s="1341">
        <f t="shared" si="147"/>
        <v>0.87261900000000003</v>
      </c>
      <c r="BN254" s="1340">
        <f t="shared" si="148"/>
        <v>0.23536699999999999</v>
      </c>
    </row>
    <row r="255" spans="1:66" s="696" customFormat="1">
      <c r="A255" s="2958" t="str">
        <f t="shared" si="163"/>
        <v>354201</v>
      </c>
      <c r="B255" s="2233" t="str">
        <f>'HVAC Deemed Table'!C1754</f>
        <v>354201_2024_12_</v>
      </c>
      <c r="C255" s="3874" t="str">
        <f>'HVAC Deemed Table'!G1754</f>
        <v>Cooling Res</v>
      </c>
      <c r="D255" s="3874" t="str">
        <f>'HVAC Deemed Table'!G1755</f>
        <v>Heating Res</v>
      </c>
      <c r="E255" s="3874" t="str">
        <f>'HVAC Deemed Table'!G1756</f>
        <v>Cooling Res ER2</v>
      </c>
      <c r="F255" s="3874" t="str">
        <f>'HVAC Deemed Table'!G1757</f>
        <v>Heating Res ER2</v>
      </c>
      <c r="G255" s="2724" t="str">
        <f>'HVAC Deemed Table'!E1754</f>
        <v>ASHP-SEER17_ER1_MF_CompE</v>
      </c>
      <c r="H255" s="2554" t="str">
        <f>'HVAC Deemed Table'!D1754</f>
        <v>MFc</v>
      </c>
      <c r="I255" s="3840">
        <f t="shared" si="149"/>
        <v>1609.19</v>
      </c>
      <c r="J255" s="3840">
        <f t="shared" si="150"/>
        <v>549.17000000000007</v>
      </c>
      <c r="K255" s="3251">
        <f>'HVAC Deemed Table'!F1754</f>
        <v>995.98</v>
      </c>
      <c r="L255" s="3251">
        <f>'HVAC Deemed Table'!F1755</f>
        <v>613.21</v>
      </c>
      <c r="M255" s="3251">
        <f>'HVAC Deemed Table'!F1756</f>
        <v>180.68</v>
      </c>
      <c r="N255" s="3251">
        <f>'HVAC Deemed Table'!F1757</f>
        <v>368.49</v>
      </c>
      <c r="O255" s="3841">
        <f t="shared" si="151"/>
        <v>0.94360900000000003</v>
      </c>
      <c r="P255" s="3841">
        <f t="shared" si="152"/>
        <v>0.17118</v>
      </c>
      <c r="Q255" s="3842">
        <f>'HVAC Deemed Table'!I1754</f>
        <v>0.94360900000000003</v>
      </c>
      <c r="R255" s="3842">
        <f>'HVAC Deemed Table'!I1755</f>
        <v>0</v>
      </c>
      <c r="S255" s="3842">
        <f>'HVAC Deemed Table'!I1756</f>
        <v>0.17118</v>
      </c>
      <c r="T255" s="3842">
        <f>'HVAC Deemed Table'!I1757</f>
        <v>0</v>
      </c>
      <c r="U255" s="3843">
        <f t="shared" si="140"/>
        <v>0</v>
      </c>
      <c r="V255" s="3843">
        <f t="shared" si="141"/>
        <v>0</v>
      </c>
      <c r="W255" s="3843">
        <f t="shared" si="142"/>
        <v>0.94360900000000003</v>
      </c>
      <c r="X255" s="2846">
        <f>'HVAC Deemed Table'!J1754</f>
        <v>6</v>
      </c>
      <c r="Y255" s="2846">
        <f>'HVAC Deemed Table'!J1756</f>
        <v>12</v>
      </c>
      <c r="Z255" s="2846">
        <f t="shared" si="164"/>
        <v>18</v>
      </c>
      <c r="AA255" s="2529">
        <f>'HVAC Deemed Table'!DG1754</f>
        <v>2.4174736448417189</v>
      </c>
      <c r="AB255" s="3878">
        <f>'HVAC Deemed Table'!K1754</f>
        <v>626.51836415648631</v>
      </c>
      <c r="AC255" s="3845">
        <f t="shared" si="165"/>
        <v>1156.2947164442432</v>
      </c>
      <c r="AD255" s="3845">
        <f t="shared" si="139"/>
        <v>358.2969169134094</v>
      </c>
      <c r="AE255" s="3846">
        <f>'HVAC Deemed Table'!DI1754</f>
        <v>991.84478797284817</v>
      </c>
      <c r="AF255" s="3846">
        <f>'HVAC Deemed Table'!DI1755</f>
        <v>164.44992847139511</v>
      </c>
      <c r="AG255" s="3846">
        <f>'HVAC Deemed Table'!DI1756</f>
        <v>233.78561056258138</v>
      </c>
      <c r="AH255" s="3846">
        <f>'HVAC Deemed Table'!DI1757</f>
        <v>124.51130635082799</v>
      </c>
      <c r="AI255" s="3847" t="str">
        <f t="shared" si="171"/>
        <v>per measure</v>
      </c>
      <c r="AJ255" s="3220">
        <f>'HVAC Deemed Table'!L1754</f>
        <v>3.3</v>
      </c>
      <c r="AK255" s="3848"/>
      <c r="AL255" s="3848"/>
      <c r="AX255" s="3849" t="str">
        <f t="shared" si="159"/>
        <v>ASHP-SEER17_ER1_MF_CompE</v>
      </c>
      <c r="AY255" s="2724"/>
      <c r="AZ255" s="3850" t="str">
        <f t="shared" si="160"/>
        <v>354201</v>
      </c>
      <c r="BA255" s="3851">
        <f>ROUND((K255*$BC$3)+(K289*$BC$4),2)</f>
        <v>669.86</v>
      </c>
      <c r="BB255" s="3851">
        <f>ROUND((L255*$BC$3)+(L289*$BC$4),2)</f>
        <v>532.24</v>
      </c>
      <c r="BC255" s="3851">
        <f>ROUND((M255*$BC$3)+(K289*$BC$4),2)</f>
        <v>180.68</v>
      </c>
      <c r="BD255" s="3851">
        <f>ROUND((N255*$BC$3)+(L289*$BC$4),2)</f>
        <v>385.41</v>
      </c>
      <c r="BE255" s="3853"/>
      <c r="BF255" s="3854">
        <f>ROUND(BA255*'CP FACTORS'!$B$9,6)</f>
        <v>0.63463700000000001</v>
      </c>
      <c r="BG255" s="3854">
        <f>ROUND(BB255*'CP FACTORS'!$B$14,6)</f>
        <v>0</v>
      </c>
      <c r="BH255" s="3854">
        <f>ROUND(BC255*'CP FACTORS'!$B$9,6)</f>
        <v>0.17118</v>
      </c>
      <c r="BI255" s="3855">
        <f>ROUND(BD255*'CP FACTORS'!$B$14,6)</f>
        <v>0</v>
      </c>
      <c r="BJ255" s="3853"/>
      <c r="BK255" s="3856">
        <f t="shared" si="145"/>
        <v>1202.0999999999999</v>
      </c>
      <c r="BL255" s="3857">
        <f t="shared" si="146"/>
        <v>566.09</v>
      </c>
      <c r="BM255" s="3858">
        <f t="shared" si="147"/>
        <v>0.63463700000000001</v>
      </c>
      <c r="BN255" s="3855">
        <f t="shared" si="148"/>
        <v>0.17118</v>
      </c>
    </row>
    <row r="256" spans="1:66">
      <c r="A256" s="51" t="str">
        <f t="shared" si="163"/>
        <v>354250</v>
      </c>
      <c r="B256" s="1442" t="str">
        <f>'HVAC Deemed Table'!C1758</f>
        <v>354250_2024_12_</v>
      </c>
      <c r="C256" s="887" t="str">
        <f>'HVAC Deemed Table'!G1758</f>
        <v>Cooling Res</v>
      </c>
      <c r="D256" s="887" t="str">
        <f>'HVAC Deemed Table'!G1759</f>
        <v>Heating Res</v>
      </c>
      <c r="E256" s="887" t="str">
        <f>'HVAC Deemed Table'!G1760</f>
        <v>Cooling Res ER2</v>
      </c>
      <c r="F256" s="887" t="str">
        <f>'HVAC Deemed Table'!G1761</f>
        <v>Heating Res ER2</v>
      </c>
      <c r="G256" s="1378" t="str">
        <f>'HVAC Deemed Table'!E1758</f>
        <v>ASHP-SEER18-Replace_CAC_ElectricHeat_ER1_SF</v>
      </c>
      <c r="H256" s="19" t="str">
        <f>'HVAC Deemed Table'!D1758</f>
        <v>PAYS/SFIE</v>
      </c>
      <c r="I256" s="785">
        <f t="shared" si="149"/>
        <v>12644.15</v>
      </c>
      <c r="J256" s="785">
        <f t="shared" si="150"/>
        <v>10717.67</v>
      </c>
      <c r="K256" s="202">
        <f>'HVAC Deemed Table'!F1758</f>
        <v>2592.9299999999998</v>
      </c>
      <c r="L256" s="202">
        <f>'HVAC Deemed Table'!F1759</f>
        <v>10051.219999999999</v>
      </c>
      <c r="M256" s="202">
        <f>'HVAC Deemed Table'!F1760</f>
        <v>666.45</v>
      </c>
      <c r="N256" s="202">
        <f>'HVAC Deemed Table'!F1761</f>
        <v>10051.219999999999</v>
      </c>
      <c r="O256" s="786">
        <f t="shared" si="151"/>
        <v>2.4565890000000001</v>
      </c>
      <c r="P256" s="786">
        <f t="shared" si="152"/>
        <v>0.63140700000000005</v>
      </c>
      <c r="Q256" s="787">
        <f>'HVAC Deemed Table'!I1758</f>
        <v>2.4565890000000001</v>
      </c>
      <c r="R256" s="787">
        <f>'HVAC Deemed Table'!I1759</f>
        <v>0</v>
      </c>
      <c r="S256" s="787">
        <f>'HVAC Deemed Table'!I1760</f>
        <v>0.63140700000000005</v>
      </c>
      <c r="T256" s="787">
        <f>'HVAC Deemed Table'!I1761</f>
        <v>0</v>
      </c>
      <c r="U256" s="788">
        <f t="shared" si="140"/>
        <v>0</v>
      </c>
      <c r="V256" s="788">
        <f t="shared" si="141"/>
        <v>0</v>
      </c>
      <c r="W256" s="788">
        <f t="shared" si="142"/>
        <v>2.4565890000000001</v>
      </c>
      <c r="X256" s="23">
        <f>'HVAC Deemed Table'!J1758</f>
        <v>6</v>
      </c>
      <c r="Y256" s="23">
        <f>'HVAC Deemed Table'!J1760</f>
        <v>12</v>
      </c>
      <c r="Z256" s="23">
        <f t="shared" si="164"/>
        <v>18</v>
      </c>
      <c r="AA256" s="18">
        <f>'HVAC Deemed Table'!DG1758</f>
        <v>2.2990051264589821</v>
      </c>
      <c r="AB256" s="259">
        <f>'HVAC Deemed Table'!K1758</f>
        <v>4148.0070349116859</v>
      </c>
      <c r="AC256" s="903">
        <f t="shared" si="165"/>
        <v>5277.6886320565336</v>
      </c>
      <c r="AD256" s="903">
        <f t="shared" si="139"/>
        <v>4258.600805793355</v>
      </c>
      <c r="AE256" s="208">
        <f>'HVAC Deemed Table'!DI1758</f>
        <v>2582.1644069945551</v>
      </c>
      <c r="AF256" s="208">
        <f>'HVAC Deemed Table'!DI1759</f>
        <v>2695.5242250619781</v>
      </c>
      <c r="AG256" s="208">
        <f>'HVAC Deemed Table'!DI1760</f>
        <v>862.33351870396484</v>
      </c>
      <c r="AH256" s="208">
        <f>'HVAC Deemed Table'!DI1761</f>
        <v>3396.2672870893898</v>
      </c>
      <c r="AI256" s="906" t="str">
        <f t="shared" si="171"/>
        <v>per measure</v>
      </c>
      <c r="AJ256" s="47">
        <f>'HVAC Deemed Table'!L1758</f>
        <v>2.8921256722608026</v>
      </c>
      <c r="AK256" s="641"/>
      <c r="AL256" s="641"/>
      <c r="AX256" s="1355" t="str">
        <f t="shared" si="159"/>
        <v>ASHP-SEER18-Replace_CAC_ElectricHeat_ER1_SF</v>
      </c>
      <c r="AY256" s="1378"/>
      <c r="AZ256" s="1446" t="str">
        <f t="shared" si="160"/>
        <v>354250</v>
      </c>
      <c r="BA256" s="1334">
        <f t="shared" ref="BA256:BD261" si="172">BA210</f>
        <v>1835.95</v>
      </c>
      <c r="BB256" s="1334">
        <f t="shared" si="172"/>
        <v>10174.02</v>
      </c>
      <c r="BC256" s="1334">
        <f t="shared" si="172"/>
        <v>680.07</v>
      </c>
      <c r="BD256" s="1334">
        <f t="shared" si="172"/>
        <v>10174.02</v>
      </c>
      <c r="BE256" s="1305"/>
      <c r="BF256" s="1321">
        <f>ROUND(BA256*'CP FACTORS'!$B$9,6)</f>
        <v>1.739412</v>
      </c>
      <c r="BG256" s="1322">
        <f>ROUND(BB256*'CP FACTORS'!$B$14,6)</f>
        <v>0</v>
      </c>
      <c r="BH256" s="1321">
        <f>ROUND(BC256*'CP FACTORS'!$B$9,6)</f>
        <v>0.64431099999999997</v>
      </c>
      <c r="BI256" s="1323">
        <f>ROUND(BD256*'CP FACTORS'!$B$14,6)</f>
        <v>0</v>
      </c>
      <c r="BJ256" s="1305"/>
      <c r="BK256" s="730">
        <f t="shared" si="145"/>
        <v>12009.970000000001</v>
      </c>
      <c r="BL256" s="1342">
        <f t="shared" si="146"/>
        <v>10854.09</v>
      </c>
      <c r="BM256" s="1341">
        <f t="shared" si="147"/>
        <v>1.739412</v>
      </c>
      <c r="BN256" s="1340">
        <f t="shared" si="148"/>
        <v>0.64431099999999997</v>
      </c>
    </row>
    <row r="257" spans="1:66">
      <c r="A257" s="51" t="str">
        <f t="shared" si="163"/>
        <v>354260</v>
      </c>
      <c r="B257" s="1442" t="str">
        <f>'HVAC Deemed Table'!C1762</f>
        <v>354260_2024_12_</v>
      </c>
      <c r="C257" s="887" t="str">
        <f>'HVAC Deemed Table'!G1762</f>
        <v>Cooling Res</v>
      </c>
      <c r="D257" s="887" t="str">
        <f>'HVAC Deemed Table'!G1763</f>
        <v>Heating Res</v>
      </c>
      <c r="E257" s="887" t="str">
        <f>'HVAC Deemed Table'!G1764</f>
        <v>Cooling Res ER2</v>
      </c>
      <c r="F257" s="887" t="str">
        <f>'HVAC Deemed Table'!G1765</f>
        <v>Heating Res ER2</v>
      </c>
      <c r="G257" s="1378" t="str">
        <f>'HVAC Deemed Table'!E1762</f>
        <v>ASHP-SEER18-Replace_CAC_NonElectricHeat_ER1_SF</v>
      </c>
      <c r="H257" s="19" t="str">
        <f>'HVAC Deemed Table'!D1762</f>
        <v>PAYS</v>
      </c>
      <c r="I257" s="785">
        <f t="shared" si="149"/>
        <v>2592.9299999999998</v>
      </c>
      <c r="J257" s="785">
        <f t="shared" si="150"/>
        <v>666.45</v>
      </c>
      <c r="K257" s="202">
        <f>'HVAC Deemed Table'!F1762</f>
        <v>2592.9299999999998</v>
      </c>
      <c r="L257" s="202">
        <f>'HVAC Deemed Table'!F1763</f>
        <v>0</v>
      </c>
      <c r="M257" s="202">
        <f>'HVAC Deemed Table'!F1764</f>
        <v>666.45</v>
      </c>
      <c r="N257" s="202">
        <f>'HVAC Deemed Table'!F1765</f>
        <v>0</v>
      </c>
      <c r="O257" s="786">
        <f t="shared" si="151"/>
        <v>2.4565890000000001</v>
      </c>
      <c r="P257" s="786">
        <f t="shared" si="152"/>
        <v>0.63140700000000005</v>
      </c>
      <c r="Q257" s="787">
        <f>'HVAC Deemed Table'!I1762</f>
        <v>2.4565890000000001</v>
      </c>
      <c r="R257" s="787">
        <f>'HVAC Deemed Table'!I1763</f>
        <v>0</v>
      </c>
      <c r="S257" s="787">
        <f>'HVAC Deemed Table'!I1764</f>
        <v>0.63140700000000005</v>
      </c>
      <c r="T257" s="787">
        <f>'HVAC Deemed Table'!I1765</f>
        <v>0</v>
      </c>
      <c r="U257" s="788">
        <f t="shared" si="140"/>
        <v>0</v>
      </c>
      <c r="V257" s="788">
        <f t="shared" si="141"/>
        <v>0</v>
      </c>
      <c r="W257" s="788">
        <f t="shared" si="142"/>
        <v>2.4565890000000001</v>
      </c>
      <c r="X257" s="23">
        <f>'HVAC Deemed Table'!J1762</f>
        <v>6</v>
      </c>
      <c r="Y257" s="23">
        <f>'HVAC Deemed Table'!J1764</f>
        <v>12</v>
      </c>
      <c r="Z257" s="23">
        <f t="shared" si="164"/>
        <v>18</v>
      </c>
      <c r="AA257" s="18">
        <f>'HVAC Deemed Table'!DG1762</f>
        <v>5.9519341867931326</v>
      </c>
      <c r="AB257" s="259">
        <f>'HVAC Deemed Table'!K1762</f>
        <v>578.71908821532099</v>
      </c>
      <c r="AC257" s="903">
        <f t="shared" si="165"/>
        <v>2582.1644069945551</v>
      </c>
      <c r="AD257" s="903">
        <f t="shared" si="139"/>
        <v>862.33351870396484</v>
      </c>
      <c r="AE257" s="208">
        <f>'HVAC Deemed Table'!DI1762</f>
        <v>2582.1644069945551</v>
      </c>
      <c r="AF257" s="208">
        <f>'HVAC Deemed Table'!DI1763</f>
        <v>0</v>
      </c>
      <c r="AG257" s="208">
        <f>'HVAC Deemed Table'!DI1764</f>
        <v>862.33351870396484</v>
      </c>
      <c r="AH257" s="208">
        <f>'HVAC Deemed Table'!DI1765</f>
        <v>0</v>
      </c>
      <c r="AI257" s="906" t="str">
        <f t="shared" si="171"/>
        <v>per measure</v>
      </c>
      <c r="AJ257" s="47">
        <f>'HVAC Deemed Table'!L1762</f>
        <v>2.8921256722608026</v>
      </c>
      <c r="AK257" s="918"/>
      <c r="AL257" s="918"/>
      <c r="AX257" s="1355" t="str">
        <f t="shared" si="159"/>
        <v>ASHP-SEER18-Replace_CAC_NonElectricHeat_ER1_SF</v>
      </c>
      <c r="AY257" s="1378"/>
      <c r="AZ257" s="1446" t="str">
        <f t="shared" si="160"/>
        <v>354260</v>
      </c>
      <c r="BA257" s="1334">
        <f t="shared" si="172"/>
        <v>1835.95</v>
      </c>
      <c r="BB257" s="1334">
        <f t="shared" si="172"/>
        <v>0</v>
      </c>
      <c r="BC257" s="1334">
        <f t="shared" si="172"/>
        <v>680.07</v>
      </c>
      <c r="BD257" s="1334">
        <f t="shared" si="172"/>
        <v>0</v>
      </c>
      <c r="BE257" s="1305"/>
      <c r="BF257" s="1321">
        <f>ROUND(BA257*'CP FACTORS'!$B$9,6)</f>
        <v>1.739412</v>
      </c>
      <c r="BG257" s="1322">
        <f>ROUND(BB257*'CP FACTORS'!$B$14,6)</f>
        <v>0</v>
      </c>
      <c r="BH257" s="1321">
        <f>ROUND(BC257*'CP FACTORS'!$B$9,6)</f>
        <v>0.64431099999999997</v>
      </c>
      <c r="BI257" s="1323">
        <f>ROUND(BD257*'CP FACTORS'!$B$14,6)</f>
        <v>0</v>
      </c>
      <c r="BJ257" s="1305"/>
      <c r="BK257" s="730">
        <f t="shared" si="145"/>
        <v>1835.95</v>
      </c>
      <c r="BL257" s="1342">
        <f t="shared" si="146"/>
        <v>680.07</v>
      </c>
      <c r="BM257" s="1341">
        <f t="shared" si="147"/>
        <v>1.739412</v>
      </c>
      <c r="BN257" s="1340">
        <f t="shared" si="148"/>
        <v>0.64431099999999997</v>
      </c>
    </row>
    <row r="258" spans="1:66" s="41" customFormat="1">
      <c r="A258" s="51" t="str">
        <f t="shared" si="163"/>
        <v>354300</v>
      </c>
      <c r="B258" s="1442" t="str">
        <f>'HVAC Deemed Table'!C1766</f>
        <v>354300_2024_12_</v>
      </c>
      <c r="C258" s="887" t="str">
        <f>'HVAC Deemed Table'!G1766</f>
        <v>Cooling Res</v>
      </c>
      <c r="D258" s="887" t="str">
        <f>'HVAC Deemed Table'!G1767</f>
        <v>Heating Res</v>
      </c>
      <c r="E258" s="887" t="str">
        <f>'HVAC Deemed Table'!G1768</f>
        <v>Cooling Res ER2</v>
      </c>
      <c r="F258" s="887" t="str">
        <f>'HVAC Deemed Table'!G1769</f>
        <v>Heating Res ER2</v>
      </c>
      <c r="G258" s="1378" t="str">
        <f>'HVAC Deemed Table'!E1766</f>
        <v>ASHP-SEER18-Replace_CAC_ElectricHeat_ER1_MF</v>
      </c>
      <c r="H258" s="19" t="str">
        <f>'HVAC Deemed Table'!D1766</f>
        <v>MFIE</v>
      </c>
      <c r="I258" s="785">
        <f t="shared" si="149"/>
        <v>7222.49</v>
      </c>
      <c r="J258" s="785">
        <f t="shared" si="150"/>
        <v>5502.2800000000007</v>
      </c>
      <c r="K258" s="202">
        <f>'HVAC Deemed Table'!F1766</f>
        <v>2018.52</v>
      </c>
      <c r="L258" s="202">
        <f>'HVAC Deemed Table'!F1767</f>
        <v>5203.97</v>
      </c>
      <c r="M258" s="202">
        <f>'HVAC Deemed Table'!F1768</f>
        <v>298.31</v>
      </c>
      <c r="N258" s="202">
        <f>'HVAC Deemed Table'!F1769</f>
        <v>5203.97</v>
      </c>
      <c r="O258" s="786">
        <f t="shared" si="151"/>
        <v>1.912382</v>
      </c>
      <c r="P258" s="786">
        <f t="shared" si="152"/>
        <v>0.28262399999999999</v>
      </c>
      <c r="Q258" s="787">
        <f>'HVAC Deemed Table'!I1766</f>
        <v>1.912382</v>
      </c>
      <c r="R258" s="787">
        <f>'HVAC Deemed Table'!I1767</f>
        <v>0</v>
      </c>
      <c r="S258" s="787">
        <f>'HVAC Deemed Table'!I1768</f>
        <v>0.28262399999999999</v>
      </c>
      <c r="T258" s="787">
        <f>'HVAC Deemed Table'!I1769</f>
        <v>0</v>
      </c>
      <c r="U258" s="788">
        <f t="shared" si="140"/>
        <v>0</v>
      </c>
      <c r="V258" s="788">
        <f t="shared" si="141"/>
        <v>0</v>
      </c>
      <c r="W258" s="788">
        <f t="shared" si="142"/>
        <v>1.912382</v>
      </c>
      <c r="X258" s="23">
        <f>'HVAC Deemed Table'!J1766</f>
        <v>6</v>
      </c>
      <c r="Y258" s="23">
        <f>'HVAC Deemed Table'!J1768</f>
        <v>12</v>
      </c>
      <c r="Z258" s="23">
        <f t="shared" si="164"/>
        <v>18</v>
      </c>
      <c r="AA258" s="18">
        <f>'HVAC Deemed Table'!DG1766</f>
        <v>1.6753920018422845</v>
      </c>
      <c r="AB258" s="259">
        <f>'HVAC Deemed Table'!K1766</f>
        <v>3312.7316315552043</v>
      </c>
      <c r="AC258" s="903">
        <f t="shared" si="165"/>
        <v>3405.7337866070266</v>
      </c>
      <c r="AD258" s="903">
        <f t="shared" si="139"/>
        <v>2144.3902931505045</v>
      </c>
      <c r="AE258" s="208">
        <f>'HVAC Deemed Table'!DI1766</f>
        <v>2010.1393014106241</v>
      </c>
      <c r="AF258" s="208">
        <f>'HVAC Deemed Table'!DI1767</f>
        <v>1395.5944851964025</v>
      </c>
      <c r="AG258" s="208">
        <f>'HVAC Deemed Table'!DI1768</f>
        <v>385.98951453909484</v>
      </c>
      <c r="AH258" s="208">
        <f>'HVAC Deemed Table'!DI1769</f>
        <v>1758.4007786114098</v>
      </c>
      <c r="AI258" s="906" t="str">
        <f t="shared" si="171"/>
        <v>per measure</v>
      </c>
      <c r="AJ258" s="47">
        <f>'HVAC Deemed Table'!L1766</f>
        <v>1.5</v>
      </c>
      <c r="AK258" s="641"/>
      <c r="AL258" s="641"/>
      <c r="AM258"/>
      <c r="AN258"/>
      <c r="AO258"/>
      <c r="AP258"/>
      <c r="AQ258"/>
      <c r="AR258"/>
      <c r="AS258"/>
      <c r="AT258"/>
      <c r="AU258"/>
      <c r="AV258"/>
      <c r="AW258"/>
      <c r="AX258" s="1355" t="str">
        <f t="shared" si="159"/>
        <v>ASHP-SEER18-Replace_CAC_ElectricHeat_ER1_MF</v>
      </c>
      <c r="AY258" s="1378"/>
      <c r="AZ258" s="1446" t="str">
        <f t="shared" si="160"/>
        <v>354300</v>
      </c>
      <c r="BA258" s="1334">
        <f t="shared" si="172"/>
        <v>1449.76</v>
      </c>
      <c r="BB258" s="1334">
        <f t="shared" si="172"/>
        <v>7172.18</v>
      </c>
      <c r="BC258" s="1334">
        <f t="shared" si="172"/>
        <v>417.64</v>
      </c>
      <c r="BD258" s="1334">
        <f t="shared" si="172"/>
        <v>7172.18</v>
      </c>
      <c r="BE258" s="1306"/>
      <c r="BF258" s="1321">
        <f>ROUND(BA258*'CP FACTORS'!$B$9,6)</f>
        <v>1.373529</v>
      </c>
      <c r="BG258" s="1322">
        <f>ROUND(BB258*'CP FACTORS'!$B$14,6)</f>
        <v>0</v>
      </c>
      <c r="BH258" s="1321">
        <f>ROUND(BC258*'CP FACTORS'!$B$9,6)</f>
        <v>0.39567999999999998</v>
      </c>
      <c r="BI258" s="1323">
        <f>ROUND(BD258*'CP FACTORS'!$B$14,6)</f>
        <v>0</v>
      </c>
      <c r="BJ258" s="1305"/>
      <c r="BK258" s="730">
        <f t="shared" si="145"/>
        <v>8621.94</v>
      </c>
      <c r="BL258" s="1342">
        <f t="shared" si="146"/>
        <v>7589.8200000000006</v>
      </c>
      <c r="BM258" s="1341">
        <f t="shared" si="147"/>
        <v>1.373529</v>
      </c>
      <c r="BN258" s="1340">
        <f t="shared" si="148"/>
        <v>0.39567999999999998</v>
      </c>
    </row>
    <row r="259" spans="1:66" s="696" customFormat="1">
      <c r="A259" s="2958" t="str">
        <f t="shared" si="163"/>
        <v>354301</v>
      </c>
      <c r="B259" s="2233" t="str">
        <f>'HVAC Deemed Table'!C1770</f>
        <v>354301_2024_12_</v>
      </c>
      <c r="C259" s="3874" t="str">
        <f>'HVAC Deemed Table'!G1770</f>
        <v>Cooling Res</v>
      </c>
      <c r="D259" s="3874" t="str">
        <f>'HVAC Deemed Table'!G1771</f>
        <v>Heating Res</v>
      </c>
      <c r="E259" s="3874" t="str">
        <f>'HVAC Deemed Table'!G1772</f>
        <v>Cooling Res ER2</v>
      </c>
      <c r="F259" s="3874" t="str">
        <f>'HVAC Deemed Table'!G1773</f>
        <v>Heating Res ER2</v>
      </c>
      <c r="G259" s="2724" t="str">
        <f>'HVAC Deemed Table'!E1770</f>
        <v>ASHP-SEER18-Replace_CAC_ElectricHeat_ER1_MF_CompE</v>
      </c>
      <c r="H259" s="2554" t="str">
        <f>'HVAC Deemed Table'!D1770</f>
        <v>MFc</v>
      </c>
      <c r="I259" s="3840">
        <f t="shared" si="149"/>
        <v>2507.75</v>
      </c>
      <c r="J259" s="3840">
        <f t="shared" si="150"/>
        <v>1991.04</v>
      </c>
      <c r="K259" s="3251">
        <f>'HVAC Deemed Table'!F1770</f>
        <v>733.67</v>
      </c>
      <c r="L259" s="3251">
        <f>'HVAC Deemed Table'!F1771</f>
        <v>1774.08</v>
      </c>
      <c r="M259" s="3251">
        <f>'HVAC Deemed Table'!F1772</f>
        <v>216.96</v>
      </c>
      <c r="N259" s="3251">
        <f>'HVAC Deemed Table'!F1773</f>
        <v>1774.08</v>
      </c>
      <c r="O259" s="3841">
        <f t="shared" si="151"/>
        <v>0.69509200000000004</v>
      </c>
      <c r="P259" s="3841">
        <f t="shared" si="152"/>
        <v>0.20555200000000001</v>
      </c>
      <c r="Q259" s="3842">
        <f>'HVAC Deemed Table'!I1770</f>
        <v>0.69509200000000004</v>
      </c>
      <c r="R259" s="3842">
        <f>'HVAC Deemed Table'!I1771</f>
        <v>0</v>
      </c>
      <c r="S259" s="3842">
        <f>'HVAC Deemed Table'!I1772</f>
        <v>0.20555200000000001</v>
      </c>
      <c r="T259" s="3842">
        <f>'HVAC Deemed Table'!I1773</f>
        <v>0</v>
      </c>
      <c r="U259" s="3843">
        <f t="shared" si="140"/>
        <v>0</v>
      </c>
      <c r="V259" s="3843">
        <f t="shared" si="141"/>
        <v>0</v>
      </c>
      <c r="W259" s="3843">
        <f t="shared" si="142"/>
        <v>0.69509200000000004</v>
      </c>
      <c r="X259" s="2846">
        <f>'HVAC Deemed Table'!J1770</f>
        <v>6</v>
      </c>
      <c r="Y259" s="2846">
        <f>'HVAC Deemed Table'!J1772</f>
        <v>12</v>
      </c>
      <c r="Z259" s="2846">
        <f t="shared" si="164"/>
        <v>18</v>
      </c>
      <c r="AA259" s="2529">
        <f>'HVAC Deemed Table'!DG1770</f>
        <v>0.62986634831578037</v>
      </c>
      <c r="AB259" s="3878">
        <f>'HVAC Deemed Table'!K1770</f>
        <v>3312.7316315552043</v>
      </c>
      <c r="AC259" s="3845">
        <f t="shared" si="165"/>
        <v>1206.394537940623</v>
      </c>
      <c r="AD259" s="3845">
        <f t="shared" si="139"/>
        <v>880.18363777723096</v>
      </c>
      <c r="AE259" s="3846">
        <f>'HVAC Deemed Table'!DI1770</f>
        <v>730.62387356376576</v>
      </c>
      <c r="AF259" s="3846">
        <f>'HVAC Deemed Table'!DI1771</f>
        <v>475.77066437685716</v>
      </c>
      <c r="AG259" s="3846">
        <f>'HVAC Deemed Table'!DI1772</f>
        <v>280.7290572706313</v>
      </c>
      <c r="AH259" s="3846">
        <f>'HVAC Deemed Table'!DI1773</f>
        <v>599.45458050659965</v>
      </c>
      <c r="AI259" s="3847" t="str">
        <f t="shared" si="171"/>
        <v>per measure</v>
      </c>
      <c r="AJ259" s="3220">
        <f>'HVAC Deemed Table'!L1770</f>
        <v>1.5</v>
      </c>
      <c r="AK259" s="3848"/>
      <c r="AL259" s="3848"/>
      <c r="AX259" s="3849" t="str">
        <f t="shared" si="159"/>
        <v>ASHP-SEER18-Replace_CAC_ElectricHeat_ER1_MF_CompE</v>
      </c>
      <c r="AY259" s="2724"/>
      <c r="AZ259" s="3850" t="str">
        <f t="shared" si="160"/>
        <v>354301</v>
      </c>
      <c r="BA259" s="3888">
        <f t="shared" si="172"/>
        <v>613.77</v>
      </c>
      <c r="BB259" s="3888">
        <f t="shared" si="172"/>
        <v>2445.06</v>
      </c>
      <c r="BC259" s="3888">
        <f t="shared" si="172"/>
        <v>303.74</v>
      </c>
      <c r="BD259" s="3888">
        <f t="shared" si="172"/>
        <v>2445.06</v>
      </c>
      <c r="BE259" s="3853"/>
      <c r="BF259" s="3854">
        <f>ROUND(BA259*'CP FACTORS'!$B$9,6)</f>
        <v>0.58149700000000004</v>
      </c>
      <c r="BG259" s="3854">
        <f>ROUND(BB259*'CP FACTORS'!$B$14,6)</f>
        <v>0</v>
      </c>
      <c r="BH259" s="3854">
        <f>ROUND(BC259*'CP FACTORS'!$B$9,6)</f>
        <v>0.287769</v>
      </c>
      <c r="BI259" s="3855">
        <f>ROUND(BD259*'CP FACTORS'!$B$14,6)</f>
        <v>0</v>
      </c>
      <c r="BJ259" s="3853"/>
      <c r="BK259" s="3856">
        <f t="shared" si="145"/>
        <v>3058.83</v>
      </c>
      <c r="BL259" s="3857">
        <f t="shared" si="146"/>
        <v>2748.8</v>
      </c>
      <c r="BM259" s="3858">
        <f t="shared" si="147"/>
        <v>0.58149700000000004</v>
      </c>
      <c r="BN259" s="3855">
        <f t="shared" si="148"/>
        <v>0.287769</v>
      </c>
    </row>
    <row r="260" spans="1:66" s="696" customFormat="1">
      <c r="A260" s="2958" t="str">
        <f t="shared" si="163"/>
        <v>354310</v>
      </c>
      <c r="B260" s="2233" t="str">
        <f>'HVAC Deemed Table'!C1774</f>
        <v>354310_2024_12_</v>
      </c>
      <c r="C260" s="3874" t="str">
        <f>'HVAC Deemed Table'!G1774</f>
        <v>Cooling Res</v>
      </c>
      <c r="D260" s="3874" t="str">
        <f>'HVAC Deemed Table'!G1775</f>
        <v>Heating Res</v>
      </c>
      <c r="E260" s="3874" t="str">
        <f>'HVAC Deemed Table'!G1776</f>
        <v>Cooling Res ER2</v>
      </c>
      <c r="F260" s="3874" t="str">
        <f>'HVAC Deemed Table'!G1777</f>
        <v>Heating Res ER2</v>
      </c>
      <c r="G260" s="2724" t="str">
        <f>'HVAC Deemed Table'!E1774</f>
        <v>ASHP-SEER18-Replace_CAC_NonElectricHeat_ER1_MF</v>
      </c>
      <c r="H260" s="2554" t="str">
        <f>'HVAC Deemed Table'!D1774</f>
        <v>MF</v>
      </c>
      <c r="I260" s="3840">
        <f t="shared" si="149"/>
        <v>2018.52</v>
      </c>
      <c r="J260" s="3840">
        <f t="shared" si="150"/>
        <v>298.31</v>
      </c>
      <c r="K260" s="3251">
        <f>'HVAC Deemed Table'!F1774</f>
        <v>2018.52</v>
      </c>
      <c r="L260" s="3251">
        <f>'HVAC Deemed Table'!F1775</f>
        <v>0</v>
      </c>
      <c r="M260" s="3251">
        <f>'HVAC Deemed Table'!F1776</f>
        <v>298.31</v>
      </c>
      <c r="N260" s="3251">
        <f>'HVAC Deemed Table'!F1777</f>
        <v>0</v>
      </c>
      <c r="O260" s="3841">
        <f t="shared" si="151"/>
        <v>1.912382</v>
      </c>
      <c r="P260" s="3841">
        <f t="shared" si="152"/>
        <v>0.28262399999999999</v>
      </c>
      <c r="Q260" s="3842">
        <f>'HVAC Deemed Table'!I1774</f>
        <v>1.912382</v>
      </c>
      <c r="R260" s="3842">
        <f>'HVAC Deemed Table'!I1775</f>
        <v>0</v>
      </c>
      <c r="S260" s="3842">
        <f>'HVAC Deemed Table'!I1776</f>
        <v>0.28262399999999999</v>
      </c>
      <c r="T260" s="3842">
        <f>'HVAC Deemed Table'!I1777</f>
        <v>0</v>
      </c>
      <c r="U260" s="3843">
        <f t="shared" si="140"/>
        <v>0</v>
      </c>
      <c r="V260" s="3843">
        <f t="shared" si="141"/>
        <v>0</v>
      </c>
      <c r="W260" s="3843">
        <f t="shared" si="142"/>
        <v>1.912382</v>
      </c>
      <c r="X260" s="2846">
        <f>'HVAC Deemed Table'!J1774</f>
        <v>6</v>
      </c>
      <c r="Y260" s="2846">
        <f>'HVAC Deemed Table'!J1776</f>
        <v>12</v>
      </c>
      <c r="Z260" s="2846">
        <f t="shared" si="164"/>
        <v>18</v>
      </c>
      <c r="AA260" s="2529">
        <f>'HVAC Deemed Table'!DG1774</f>
        <v>3.9726442938245272</v>
      </c>
      <c r="AB260" s="3878">
        <f>'HVAC Deemed Table'!K1774</f>
        <v>603.15715144054036</v>
      </c>
      <c r="AC260" s="3845">
        <f t="shared" si="165"/>
        <v>2010.1393014106241</v>
      </c>
      <c r="AD260" s="3845">
        <f t="shared" si="139"/>
        <v>385.98951453909484</v>
      </c>
      <c r="AE260" s="3846">
        <f>'HVAC Deemed Table'!DI1774</f>
        <v>2010.1393014106241</v>
      </c>
      <c r="AF260" s="3846">
        <f>'HVAC Deemed Table'!DI1775</f>
        <v>0</v>
      </c>
      <c r="AG260" s="3846">
        <f>'HVAC Deemed Table'!DI1776</f>
        <v>385.98951453909484</v>
      </c>
      <c r="AH260" s="3846">
        <f>'HVAC Deemed Table'!DI1777</f>
        <v>0</v>
      </c>
      <c r="AI260" s="3847" t="str">
        <f t="shared" si="171"/>
        <v>per measure</v>
      </c>
      <c r="AJ260" s="3220">
        <f>'HVAC Deemed Table'!L1774</f>
        <v>1.5</v>
      </c>
      <c r="AK260" s="3848"/>
      <c r="AL260" s="3848"/>
      <c r="AX260" s="3849" t="str">
        <f t="shared" si="159"/>
        <v>ASHP-SEER18-Replace_CAC_NonElectricHeat_ER1_MF</v>
      </c>
      <c r="AY260" s="2724"/>
      <c r="AZ260" s="3850" t="str">
        <f t="shared" si="160"/>
        <v>354310</v>
      </c>
      <c r="BA260" s="3888">
        <f t="shared" si="172"/>
        <v>1449.76</v>
      </c>
      <c r="BB260" s="3888">
        <f t="shared" si="172"/>
        <v>0</v>
      </c>
      <c r="BC260" s="3888">
        <f t="shared" si="172"/>
        <v>417.64</v>
      </c>
      <c r="BD260" s="3888">
        <f t="shared" si="172"/>
        <v>0</v>
      </c>
      <c r="BE260" s="3853"/>
      <c r="BF260" s="3854">
        <f>ROUND(BA260*'CP FACTORS'!$B$9,6)</f>
        <v>1.373529</v>
      </c>
      <c r="BG260" s="3854">
        <f>ROUND(BB260*'CP FACTORS'!$B$14,6)</f>
        <v>0</v>
      </c>
      <c r="BH260" s="3854">
        <f>ROUND(BC260*'CP FACTORS'!$B$9,6)</f>
        <v>0.39567999999999998</v>
      </c>
      <c r="BI260" s="3855">
        <f>ROUND(BD260*'CP FACTORS'!$B$14,6)</f>
        <v>0</v>
      </c>
      <c r="BJ260" s="3853"/>
      <c r="BK260" s="3856">
        <f t="shared" si="145"/>
        <v>1449.76</v>
      </c>
      <c r="BL260" s="3857">
        <f t="shared" si="146"/>
        <v>417.64</v>
      </c>
      <c r="BM260" s="3858">
        <f t="shared" si="147"/>
        <v>1.373529</v>
      </c>
      <c r="BN260" s="3855">
        <f t="shared" si="148"/>
        <v>0.39567999999999998</v>
      </c>
    </row>
    <row r="261" spans="1:66" s="696" customFormat="1">
      <c r="A261" s="2958" t="str">
        <f t="shared" si="163"/>
        <v>354311</v>
      </c>
      <c r="B261" s="2233" t="str">
        <f>'HVAC Deemed Table'!C1778</f>
        <v>354311_2024_12_</v>
      </c>
      <c r="C261" s="3874" t="str">
        <f>'HVAC Deemed Table'!G1778</f>
        <v>Cooling Res</v>
      </c>
      <c r="D261" s="3874" t="str">
        <f>'HVAC Deemed Table'!G1779</f>
        <v>Heating Res</v>
      </c>
      <c r="E261" s="3874" t="str">
        <f>'HVAC Deemed Table'!G1780</f>
        <v>Cooling Res ER2</v>
      </c>
      <c r="F261" s="3874" t="str">
        <f>'HVAC Deemed Table'!G1781</f>
        <v>Heating Res ER2</v>
      </c>
      <c r="G261" s="2724" t="str">
        <f>'HVAC Deemed Table'!E1778</f>
        <v>ASHP-SEER18-Replace_CAC_NonElectricHeat_ER1_MF_CompE</v>
      </c>
      <c r="H261" s="2554" t="str">
        <f>'HVAC Deemed Table'!D1778</f>
        <v>MFc</v>
      </c>
      <c r="I261" s="3840">
        <f t="shared" si="149"/>
        <v>733.67</v>
      </c>
      <c r="J261" s="3840">
        <f t="shared" si="150"/>
        <v>216.96</v>
      </c>
      <c r="K261" s="3251">
        <f>'HVAC Deemed Table'!F1778</f>
        <v>733.67</v>
      </c>
      <c r="L261" s="3251">
        <f>'HVAC Deemed Table'!F1779</f>
        <v>0</v>
      </c>
      <c r="M261" s="3251">
        <f>'HVAC Deemed Table'!F1780</f>
        <v>216.96</v>
      </c>
      <c r="N261" s="3251">
        <f>'HVAC Deemed Table'!F1781</f>
        <v>0</v>
      </c>
      <c r="O261" s="3841">
        <f t="shared" si="151"/>
        <v>0.69509200000000004</v>
      </c>
      <c r="P261" s="3841">
        <f t="shared" si="152"/>
        <v>0.20555200000000001</v>
      </c>
      <c r="Q261" s="3842">
        <f>'HVAC Deemed Table'!I1778</f>
        <v>0.69509200000000004</v>
      </c>
      <c r="R261" s="3842">
        <f>'HVAC Deemed Table'!I1779</f>
        <v>0</v>
      </c>
      <c r="S261" s="3842">
        <f>'HVAC Deemed Table'!I1780</f>
        <v>0.20555200000000001</v>
      </c>
      <c r="T261" s="3842">
        <f>'HVAC Deemed Table'!I1781</f>
        <v>0</v>
      </c>
      <c r="U261" s="3843">
        <f t="shared" si="140"/>
        <v>0</v>
      </c>
      <c r="V261" s="3843">
        <f t="shared" si="141"/>
        <v>0</v>
      </c>
      <c r="W261" s="3843">
        <f t="shared" si="142"/>
        <v>0.69509200000000004</v>
      </c>
      <c r="X261" s="2846">
        <f>'HVAC Deemed Table'!J1778</f>
        <v>6</v>
      </c>
      <c r="Y261" s="2846">
        <f>'HVAC Deemed Table'!J1780</f>
        <v>12</v>
      </c>
      <c r="Z261" s="2846">
        <f t="shared" si="164"/>
        <v>18</v>
      </c>
      <c r="AA261" s="2529">
        <f>'HVAC Deemed Table'!DG1778</f>
        <v>1.4447765639668102</v>
      </c>
      <c r="AB261" s="3878">
        <f>'HVAC Deemed Table'!K1778</f>
        <v>700.0064619387266</v>
      </c>
      <c r="AC261" s="3845">
        <f t="shared" si="165"/>
        <v>730.62387356376576</v>
      </c>
      <c r="AD261" s="3845">
        <f t="shared" si="139"/>
        <v>280.7290572706313</v>
      </c>
      <c r="AE261" s="3846">
        <f>'HVAC Deemed Table'!DI1778</f>
        <v>730.62387356376576</v>
      </c>
      <c r="AF261" s="3846">
        <f>'HVAC Deemed Table'!DI1779</f>
        <v>0</v>
      </c>
      <c r="AG261" s="3846">
        <f>'HVAC Deemed Table'!DI1780</f>
        <v>280.7290572706313</v>
      </c>
      <c r="AH261" s="3846">
        <f>'HVAC Deemed Table'!DI1781</f>
        <v>0</v>
      </c>
      <c r="AI261" s="3847" t="str">
        <f t="shared" si="171"/>
        <v>per measure</v>
      </c>
      <c r="AJ261" s="3220">
        <f>'HVAC Deemed Table'!L1778</f>
        <v>1.5</v>
      </c>
      <c r="AK261" s="3848"/>
      <c r="AL261" s="3848"/>
      <c r="AX261" s="3849" t="str">
        <f t="shared" si="159"/>
        <v>ASHP-SEER18-Replace_CAC_NonElectricHeat_ER1_MF_CompE</v>
      </c>
      <c r="AY261" s="2724"/>
      <c r="AZ261" s="3850" t="str">
        <f t="shared" si="160"/>
        <v>354311</v>
      </c>
      <c r="BA261" s="3888">
        <f t="shared" si="172"/>
        <v>613.77</v>
      </c>
      <c r="BB261" s="3888">
        <f t="shared" si="172"/>
        <v>0</v>
      </c>
      <c r="BC261" s="3888">
        <f t="shared" si="172"/>
        <v>303.74</v>
      </c>
      <c r="BD261" s="3888">
        <f t="shared" si="172"/>
        <v>0</v>
      </c>
      <c r="BE261" s="3853"/>
      <c r="BF261" s="3854">
        <f>ROUND(BA261*'CP FACTORS'!$B$9,6)</f>
        <v>0.58149700000000004</v>
      </c>
      <c r="BG261" s="3854">
        <f>ROUND(BB261*'CP FACTORS'!$B$14,6)</f>
        <v>0</v>
      </c>
      <c r="BH261" s="3854">
        <f>ROUND(BC261*'CP FACTORS'!$B$9,6)</f>
        <v>0.287769</v>
      </c>
      <c r="BI261" s="3855">
        <f>ROUND(BD261*'CP FACTORS'!$B$14,6)</f>
        <v>0</v>
      </c>
      <c r="BJ261" s="3853"/>
      <c r="BK261" s="3856">
        <f t="shared" si="145"/>
        <v>613.77</v>
      </c>
      <c r="BL261" s="3857">
        <f t="shared" si="146"/>
        <v>303.74</v>
      </c>
      <c r="BM261" s="3858">
        <f t="shared" si="147"/>
        <v>0.58149700000000004</v>
      </c>
      <c r="BN261" s="3855">
        <f t="shared" si="148"/>
        <v>0.287769</v>
      </c>
    </row>
    <row r="262" spans="1:66">
      <c r="A262" s="51" t="str">
        <f t="shared" si="163"/>
        <v>354350</v>
      </c>
      <c r="B262" s="1442" t="str">
        <f>'HVAC Deemed Table'!C1782</f>
        <v>354350_2024_12_</v>
      </c>
      <c r="C262" s="887" t="str">
        <f>'HVAC Deemed Table'!G1782</f>
        <v>Cooling Res</v>
      </c>
      <c r="D262" s="887" t="str">
        <f>'HVAC Deemed Table'!G1783</f>
        <v>Heating Res</v>
      </c>
      <c r="E262" s="887" t="str">
        <f>'HVAC Deemed Table'!G1784</f>
        <v>Cooling Res ER2</v>
      </c>
      <c r="F262" s="887" t="str">
        <f>'HVAC Deemed Table'!G1785</f>
        <v>Heating Res ER2</v>
      </c>
      <c r="G262" s="1378" t="str">
        <f>'HVAC Deemed Table'!E1782</f>
        <v>ASHP-SEER18_ER1_MF</v>
      </c>
      <c r="H262" s="19" t="str">
        <f>'HVAC Deemed Table'!D1782</f>
        <v>MFIE</v>
      </c>
      <c r="I262" s="785">
        <f t="shared" si="149"/>
        <v>4797.4400000000005</v>
      </c>
      <c r="J262" s="785">
        <f t="shared" si="150"/>
        <v>1870.74</v>
      </c>
      <c r="K262" s="202">
        <f>'HVAC Deemed Table'!F1782</f>
        <v>2464.77</v>
      </c>
      <c r="L262" s="202">
        <f>'HVAC Deemed Table'!F1783</f>
        <v>2332.67</v>
      </c>
      <c r="M262" s="202">
        <f>'HVAC Deemed Table'!F1784</f>
        <v>374.74</v>
      </c>
      <c r="N262" s="202">
        <f>'HVAC Deemed Table'!F1785</f>
        <v>1496</v>
      </c>
      <c r="O262" s="786">
        <f t="shared" si="151"/>
        <v>2.3351679999999999</v>
      </c>
      <c r="P262" s="786">
        <f t="shared" si="152"/>
        <v>0.35503499999999999</v>
      </c>
      <c r="Q262" s="787">
        <f>'HVAC Deemed Table'!I1782</f>
        <v>2.3351679999999999</v>
      </c>
      <c r="R262" s="787">
        <f>'HVAC Deemed Table'!I1783</f>
        <v>0</v>
      </c>
      <c r="S262" s="787">
        <f>'HVAC Deemed Table'!I1784</f>
        <v>0.35503499999999999</v>
      </c>
      <c r="T262" s="787">
        <f>'HVAC Deemed Table'!I1785</f>
        <v>0</v>
      </c>
      <c r="U262" s="788">
        <f t="shared" si="140"/>
        <v>0</v>
      </c>
      <c r="V262" s="788">
        <f t="shared" si="141"/>
        <v>0</v>
      </c>
      <c r="W262" s="788">
        <f t="shared" si="142"/>
        <v>2.3351679999999999</v>
      </c>
      <c r="X262" s="23">
        <f>'HVAC Deemed Table'!J1782</f>
        <v>6</v>
      </c>
      <c r="Y262" s="23">
        <f>'HVAC Deemed Table'!J1784</f>
        <v>12</v>
      </c>
      <c r="Z262" s="23">
        <f t="shared" si="164"/>
        <v>18</v>
      </c>
      <c r="AA262" s="18">
        <f>'HVAC Deemed Table'!DG1782</f>
        <v>4.7794321092849037</v>
      </c>
      <c r="AB262" s="259">
        <f>'HVAC Deemed Table'!K1782</f>
        <v>851.66719041900797</v>
      </c>
      <c r="AC262" s="903">
        <f t="shared" si="165"/>
        <v>3080.1091810526987</v>
      </c>
      <c r="AD262" s="903">
        <f t="shared" si="139"/>
        <v>990.37633526036825</v>
      </c>
      <c r="AE262" s="208">
        <f>'HVAC Deemed Table'!DI1782</f>
        <v>2454.5365148414999</v>
      </c>
      <c r="AF262" s="208">
        <f>'HVAC Deemed Table'!DI1783</f>
        <v>625.57266621119879</v>
      </c>
      <c r="AG262" s="208">
        <f>'HVAC Deemed Table'!DI1784</f>
        <v>484.88388146016024</v>
      </c>
      <c r="AH262" s="208">
        <f>'HVAC Deemed Table'!DI1785</f>
        <v>505.49245380020807</v>
      </c>
      <c r="AI262" s="906" t="str">
        <f t="shared" si="171"/>
        <v>per measure</v>
      </c>
      <c r="AJ262" s="47">
        <f>'HVAC Deemed Table'!L1782</f>
        <v>2.5</v>
      </c>
      <c r="AK262" s="641"/>
      <c r="AL262" s="641"/>
      <c r="AX262" s="1355" t="str">
        <f t="shared" si="159"/>
        <v>ASHP-SEER18_ER1_MF</v>
      </c>
      <c r="AY262" s="1378"/>
      <c r="AZ262" s="1446" t="str">
        <f t="shared" si="160"/>
        <v>354350</v>
      </c>
      <c r="BA262" s="1337">
        <f>ROUND((K262*$BC$3)+(K290*$BC$4),2)</f>
        <v>1607.47</v>
      </c>
      <c r="BB262" s="1337">
        <f>ROUND((L262*$BC$3)+(L290*$BC$4),2)</f>
        <v>1881.59</v>
      </c>
      <c r="BC262" s="1337">
        <f>ROUND((M262*$BC$3)+(K290*$BC$4),2)</f>
        <v>353.46</v>
      </c>
      <c r="BD262" s="1337">
        <f>ROUND((N262*$BC$3)+(L290*$BC$4),2)</f>
        <v>1379.59</v>
      </c>
      <c r="BE262" s="1305"/>
      <c r="BF262" s="1321">
        <f>ROUND(BA262*'CP FACTORS'!$B$9,6)</f>
        <v>1.5229459999999999</v>
      </c>
      <c r="BG262" s="1322">
        <f>ROUND(BB262*'CP FACTORS'!$B$14,6)</f>
        <v>0</v>
      </c>
      <c r="BH262" s="1321">
        <f>ROUND(BC262*'CP FACTORS'!$B$9,6)</f>
        <v>0.334874</v>
      </c>
      <c r="BI262" s="1323">
        <f>ROUND(BD262*'CP FACTORS'!$B$14,6)</f>
        <v>0</v>
      </c>
      <c r="BJ262" s="1305"/>
      <c r="BK262" s="730">
        <f t="shared" si="145"/>
        <v>3489.06</v>
      </c>
      <c r="BL262" s="1342">
        <f t="shared" si="146"/>
        <v>1733.05</v>
      </c>
      <c r="BM262" s="1341">
        <f t="shared" si="147"/>
        <v>1.5229459999999999</v>
      </c>
      <c r="BN262" s="1340">
        <f t="shared" si="148"/>
        <v>0.334874</v>
      </c>
    </row>
    <row r="263" spans="1:66" s="696" customFormat="1">
      <c r="A263" s="2958" t="str">
        <f t="shared" si="163"/>
        <v>354351</v>
      </c>
      <c r="B263" s="2233" t="str">
        <f>'HVAC Deemed Table'!C1786</f>
        <v>354351_2024_12_</v>
      </c>
      <c r="C263" s="3874" t="str">
        <f>'HVAC Deemed Table'!G1786</f>
        <v>Cooling Res</v>
      </c>
      <c r="D263" s="3874" t="str">
        <f>'HVAC Deemed Table'!G1787</f>
        <v>Heating Res</v>
      </c>
      <c r="E263" s="3874" t="str">
        <f>'HVAC Deemed Table'!G1788</f>
        <v>Cooling Res ER2</v>
      </c>
      <c r="F263" s="3874" t="str">
        <f>'HVAC Deemed Table'!G1789</f>
        <v>Heating Res ER2</v>
      </c>
      <c r="G263" s="2724" t="str">
        <f>'HVAC Deemed Table'!E1786</f>
        <v>ASHP-SEER18_ER1_MF_CompE</v>
      </c>
      <c r="H263" s="2554" t="str">
        <f>'HVAC Deemed Table'!D1786</f>
        <v>MFc</v>
      </c>
      <c r="I263" s="3840">
        <f t="shared" si="149"/>
        <v>2587.79</v>
      </c>
      <c r="J263" s="3840">
        <f t="shared" si="150"/>
        <v>782.54</v>
      </c>
      <c r="K263" s="3251">
        <f>'HVAC Deemed Table'!F1786</f>
        <v>1792.56</v>
      </c>
      <c r="L263" s="3251">
        <f>'HVAC Deemed Table'!F1787</f>
        <v>795.23</v>
      </c>
      <c r="M263" s="3251">
        <f>'HVAC Deemed Table'!F1788</f>
        <v>272.54000000000002</v>
      </c>
      <c r="N263" s="3251">
        <f>'HVAC Deemed Table'!F1789</f>
        <v>510</v>
      </c>
      <c r="O263" s="3841">
        <f t="shared" si="151"/>
        <v>1.698304</v>
      </c>
      <c r="P263" s="3841">
        <f t="shared" si="152"/>
        <v>0.25820900000000002</v>
      </c>
      <c r="Q263" s="3842">
        <f>'HVAC Deemed Table'!I1786</f>
        <v>1.698304</v>
      </c>
      <c r="R263" s="3842">
        <f>'HVAC Deemed Table'!I1787</f>
        <v>0</v>
      </c>
      <c r="S263" s="3842">
        <f>'HVAC Deemed Table'!I1788</f>
        <v>0.25820900000000002</v>
      </c>
      <c r="T263" s="3842">
        <f>'HVAC Deemed Table'!I1789</f>
        <v>0</v>
      </c>
      <c r="U263" s="3843">
        <f t="shared" si="140"/>
        <v>0</v>
      </c>
      <c r="V263" s="3843">
        <f t="shared" si="141"/>
        <v>0</v>
      </c>
      <c r="W263" s="3843">
        <f t="shared" si="142"/>
        <v>1.698304</v>
      </c>
      <c r="X263" s="2846">
        <f>'HVAC Deemed Table'!J1786</f>
        <v>6</v>
      </c>
      <c r="Y263" s="2846">
        <f>'HVAC Deemed Table'!J1788</f>
        <v>12</v>
      </c>
      <c r="Z263" s="2846">
        <f t="shared" si="164"/>
        <v>18</v>
      </c>
      <c r="AA263" s="2529">
        <f>'HVAC Deemed Table'!DG1786</f>
        <v>2.9628398013446908</v>
      </c>
      <c r="AB263" s="3878">
        <f>'HVAC Deemed Table'!K1786</f>
        <v>851.66719041900797</v>
      </c>
      <c r="AC263" s="3845">
        <f t="shared" si="165"/>
        <v>1998.3813009230162</v>
      </c>
      <c r="AD263" s="3845">
        <f t="shared" si="139"/>
        <v>524.97214834982799</v>
      </c>
      <c r="AE263" s="3846">
        <f>'HVAC Deemed Table'!DI1786</f>
        <v>1785.1174653392725</v>
      </c>
      <c r="AF263" s="3846">
        <f>'HVAC Deemed Table'!DI1787</f>
        <v>213.26383558374377</v>
      </c>
      <c r="AG263" s="3846">
        <f>'HVAC Deemed Table'!DI1788</f>
        <v>352.64517546339346</v>
      </c>
      <c r="AH263" s="3846">
        <f>'HVAC Deemed Table'!DI1789</f>
        <v>172.32697288643456</v>
      </c>
      <c r="AI263" s="3847" t="str">
        <f t="shared" si="171"/>
        <v>per measure</v>
      </c>
      <c r="AJ263" s="3220">
        <f>'HVAC Deemed Table'!L1786</f>
        <v>2.5</v>
      </c>
      <c r="AK263" s="3848"/>
      <c r="AL263" s="3848"/>
      <c r="AX263" s="3849" t="str">
        <f t="shared" si="159"/>
        <v>ASHP-SEER18_ER1_MF_CompE</v>
      </c>
      <c r="AY263" s="2724"/>
      <c r="AZ263" s="3850" t="str">
        <f t="shared" si="160"/>
        <v>354351</v>
      </c>
      <c r="BA263" s="3887">
        <f>ROUND((K263*$BC$3)+(K291*$BC$4),2)</f>
        <v>1169.07</v>
      </c>
      <c r="BB263" s="3887">
        <f>ROUND((L263*$BC$3)+(L291*$BC$4),2)</f>
        <v>641.45000000000005</v>
      </c>
      <c r="BC263" s="3887">
        <f>ROUND((M263*$BC$3)+(K291*$BC$4),2)</f>
        <v>257.06</v>
      </c>
      <c r="BD263" s="3887">
        <f>ROUND((N263*$BC$3)+(L291*$BC$4),2)</f>
        <v>470.32</v>
      </c>
      <c r="BE263" s="3853"/>
      <c r="BF263" s="3854">
        <f>ROUND(BA263*'CP FACTORS'!$B$9,6)</f>
        <v>1.1075980000000001</v>
      </c>
      <c r="BG263" s="3854">
        <f>ROUND(BB263*'CP FACTORS'!$B$14,6)</f>
        <v>0</v>
      </c>
      <c r="BH263" s="3854">
        <f>ROUND(BC263*'CP FACTORS'!$B$9,6)</f>
        <v>0.24354300000000001</v>
      </c>
      <c r="BI263" s="3855">
        <f>ROUND(BD263*'CP FACTORS'!$B$14,6)</f>
        <v>0</v>
      </c>
      <c r="BJ263" s="3853"/>
      <c r="BK263" s="3856">
        <f t="shared" si="145"/>
        <v>1810.52</v>
      </c>
      <c r="BL263" s="3857">
        <f t="shared" si="146"/>
        <v>727.38</v>
      </c>
      <c r="BM263" s="3858">
        <f t="shared" si="147"/>
        <v>1.1075980000000001</v>
      </c>
      <c r="BN263" s="3855">
        <f t="shared" si="148"/>
        <v>0.24354300000000001</v>
      </c>
    </row>
    <row r="264" spans="1:66">
      <c r="A264" s="51" t="str">
        <f t="shared" si="163"/>
        <v>354400</v>
      </c>
      <c r="B264" s="1442" t="str">
        <f>'HVAC Deemed Table'!C1790</f>
        <v>354400_2024_12_</v>
      </c>
      <c r="C264" s="887" t="str">
        <f>'HVAC Deemed Table'!G1790</f>
        <v>Cooling Res</v>
      </c>
      <c r="D264" s="887" t="str">
        <f>'HVAC Deemed Table'!G1791</f>
        <v>Heating Res</v>
      </c>
      <c r="E264" s="887" t="str">
        <f>'HVAC Deemed Table'!G1792</f>
        <v>Cooling Res ER2</v>
      </c>
      <c r="F264" s="887" t="str">
        <f>'HVAC Deemed Table'!G1793</f>
        <v>Heating Res ER2</v>
      </c>
      <c r="G264" s="1378" t="str">
        <f>'HVAC Deemed Table'!E1790</f>
        <v>ASHP-SEER19-Replace_CAC_ElectricHeat_ER1_SF</v>
      </c>
      <c r="H264" s="19" t="str">
        <f>'HVAC Deemed Table'!D1790</f>
        <v>PAYS/SFIE</v>
      </c>
      <c r="I264" s="785">
        <f t="shared" si="149"/>
        <v>15708.29</v>
      </c>
      <c r="J264" s="785">
        <f t="shared" si="150"/>
        <v>13988</v>
      </c>
      <c r="K264" s="202">
        <f>'HVAC Deemed Table'!F1790</f>
        <v>2563.17</v>
      </c>
      <c r="L264" s="202">
        <f>'HVAC Deemed Table'!F1791</f>
        <v>13145.12</v>
      </c>
      <c r="M264" s="202">
        <f>'HVAC Deemed Table'!F1792</f>
        <v>842.88</v>
      </c>
      <c r="N264" s="202">
        <f>'HVAC Deemed Table'!F1793</f>
        <v>13145.12</v>
      </c>
      <c r="O264" s="786">
        <f t="shared" si="151"/>
        <v>2.4283939999999999</v>
      </c>
      <c r="P264" s="786">
        <f t="shared" si="152"/>
        <v>0.79856000000000005</v>
      </c>
      <c r="Q264" s="787">
        <f>'HVAC Deemed Table'!I1790</f>
        <v>2.4283939999999999</v>
      </c>
      <c r="R264" s="787">
        <f>'HVAC Deemed Table'!I1791</f>
        <v>0</v>
      </c>
      <c r="S264" s="787">
        <f>'HVAC Deemed Table'!I1792</f>
        <v>0.79856000000000005</v>
      </c>
      <c r="T264" s="787">
        <f>'HVAC Deemed Table'!I1793</f>
        <v>0</v>
      </c>
      <c r="U264" s="788">
        <f t="shared" si="140"/>
        <v>0</v>
      </c>
      <c r="V264" s="788">
        <f t="shared" si="141"/>
        <v>0</v>
      </c>
      <c r="W264" s="788">
        <f t="shared" si="142"/>
        <v>2.4283939999999999</v>
      </c>
      <c r="X264" s="23">
        <f>'HVAC Deemed Table'!J1790</f>
        <v>6</v>
      </c>
      <c r="Y264" s="23">
        <f>'HVAC Deemed Table'!J1792</f>
        <v>12</v>
      </c>
      <c r="Z264" s="23">
        <f t="shared" si="164"/>
        <v>18</v>
      </c>
      <c r="AA264" s="18">
        <f>'HVAC Deemed Table'!DG1790</f>
        <v>2.3681443479676405</v>
      </c>
      <c r="AB264" s="259">
        <f>'HVAC Deemed Table'!K1790</f>
        <v>4902.6041805257928</v>
      </c>
      <c r="AC264" s="903">
        <f t="shared" si="165"/>
        <v>6077.7706149134156</v>
      </c>
      <c r="AD264" s="903">
        <f t="shared" si="139"/>
        <v>5532.3037655212665</v>
      </c>
      <c r="AE264" s="208">
        <f>'HVAC Deemed Table'!DI1790</f>
        <v>2552.5279676181904</v>
      </c>
      <c r="AF264" s="208">
        <f>'HVAC Deemed Table'!DI1791</f>
        <v>3525.2426472952257</v>
      </c>
      <c r="AG264" s="208">
        <f>'HVAC Deemed Table'!DI1792</f>
        <v>1090.6199658567002</v>
      </c>
      <c r="AH264" s="208">
        <f>'HVAC Deemed Table'!DI1793</f>
        <v>4441.6837996645663</v>
      </c>
      <c r="AI264" s="906" t="str">
        <f t="shared" si="171"/>
        <v>per measure</v>
      </c>
      <c r="AJ264" s="47">
        <f>'HVAC Deemed Table'!L1790</f>
        <v>3.7731209149509803</v>
      </c>
      <c r="AK264" s="641"/>
      <c r="AL264" s="641"/>
      <c r="AX264" s="1355" t="str">
        <f t="shared" si="159"/>
        <v>ASHP-SEER19-Replace_CAC_ElectricHeat_ER1_SF</v>
      </c>
      <c r="AY264" s="1378"/>
      <c r="AZ264" s="1446" t="str">
        <f t="shared" si="160"/>
        <v>354400</v>
      </c>
      <c r="BA264" s="1338">
        <f>BA216</f>
        <v>1873.15</v>
      </c>
      <c r="BB264" s="1338">
        <f>BB216</f>
        <v>12063.7</v>
      </c>
      <c r="BC264" s="1338">
        <f>BC216</f>
        <v>840.97</v>
      </c>
      <c r="BD264" s="1338">
        <f>BD216</f>
        <v>12063.7</v>
      </c>
      <c r="BE264" s="1305"/>
      <c r="BF264" s="1321">
        <f>ROUND(BA264*'CP FACTORS'!$B$9,6)</f>
        <v>1.774656</v>
      </c>
      <c r="BG264" s="1322">
        <f>ROUND(BB264*'CP FACTORS'!$B$14,6)</f>
        <v>0</v>
      </c>
      <c r="BH264" s="1321">
        <f>ROUND(BC264*'CP FACTORS'!$B$9,6)</f>
        <v>0.79674999999999996</v>
      </c>
      <c r="BI264" s="1323">
        <f>ROUND(BD264*'CP FACTORS'!$B$14,6)</f>
        <v>0</v>
      </c>
      <c r="BJ264" s="1305"/>
      <c r="BK264" s="730">
        <f t="shared" si="145"/>
        <v>13936.85</v>
      </c>
      <c r="BL264" s="1342">
        <f t="shared" si="146"/>
        <v>12904.67</v>
      </c>
      <c r="BM264" s="1341">
        <f t="shared" si="147"/>
        <v>1.774656</v>
      </c>
      <c r="BN264" s="1340">
        <f t="shared" si="148"/>
        <v>0.79674999999999996</v>
      </c>
    </row>
    <row r="265" spans="1:66">
      <c r="A265" s="51" t="str">
        <f t="shared" si="163"/>
        <v>354410</v>
      </c>
      <c r="B265" s="1442" t="str">
        <f>'HVAC Deemed Table'!C1794</f>
        <v>354410_2024_12_</v>
      </c>
      <c r="C265" s="887" t="str">
        <f>'HVAC Deemed Table'!G1794</f>
        <v>Cooling Res</v>
      </c>
      <c r="D265" s="887" t="str">
        <f>'HVAC Deemed Table'!G1795</f>
        <v>Heating Res</v>
      </c>
      <c r="E265" s="887" t="str">
        <f>'HVAC Deemed Table'!G1796</f>
        <v>Cooling Res ER2</v>
      </c>
      <c r="F265" s="887" t="str">
        <f>'HVAC Deemed Table'!G1797</f>
        <v>Heating Res ER2</v>
      </c>
      <c r="G265" s="1378" t="str">
        <f>'HVAC Deemed Table'!E1794</f>
        <v>ASHP-SEER19-Replace_CAC_NonElectricHeat_ER1_SF</v>
      </c>
      <c r="H265" s="19" t="str">
        <f>'HVAC Deemed Table'!D1794</f>
        <v>PAYS</v>
      </c>
      <c r="I265" s="785">
        <f t="shared" si="149"/>
        <v>2563.17</v>
      </c>
      <c r="J265" s="785">
        <f t="shared" si="150"/>
        <v>842.88</v>
      </c>
      <c r="K265" s="202">
        <f>'HVAC Deemed Table'!F1794</f>
        <v>2563.17</v>
      </c>
      <c r="L265" s="202">
        <f>'HVAC Deemed Table'!F1795</f>
        <v>0</v>
      </c>
      <c r="M265" s="202">
        <f>'HVAC Deemed Table'!F1796</f>
        <v>842.88</v>
      </c>
      <c r="N265" s="202">
        <f>'HVAC Deemed Table'!F1797</f>
        <v>0</v>
      </c>
      <c r="O265" s="786">
        <f t="shared" si="151"/>
        <v>2.4283939999999999</v>
      </c>
      <c r="P265" s="786">
        <f t="shared" si="152"/>
        <v>0.79856000000000005</v>
      </c>
      <c r="Q265" s="787">
        <f>'HVAC Deemed Table'!I1794</f>
        <v>2.4283939999999999</v>
      </c>
      <c r="R265" s="787">
        <f>'HVAC Deemed Table'!I1795</f>
        <v>0</v>
      </c>
      <c r="S265" s="787">
        <f>'HVAC Deemed Table'!I1796</f>
        <v>0.79856000000000005</v>
      </c>
      <c r="T265" s="787">
        <f>'HVAC Deemed Table'!I1797</f>
        <v>0</v>
      </c>
      <c r="U265" s="788">
        <f t="shared" si="140"/>
        <v>0</v>
      </c>
      <c r="V265" s="788">
        <f t="shared" si="141"/>
        <v>0</v>
      </c>
      <c r="W265" s="788">
        <f t="shared" si="142"/>
        <v>2.4283939999999999</v>
      </c>
      <c r="X265" s="23">
        <f>'HVAC Deemed Table'!J1794</f>
        <v>6</v>
      </c>
      <c r="Y265" s="23">
        <f>'HVAC Deemed Table'!J1796</f>
        <v>12</v>
      </c>
      <c r="Z265" s="23">
        <f t="shared" si="164"/>
        <v>18</v>
      </c>
      <c r="AA265" s="18">
        <f>'HVAC Deemed Table'!DG1794</f>
        <v>6.6191392927894972</v>
      </c>
      <c r="AB265" s="259">
        <f>'HVAC Deemed Table'!K1794</f>
        <v>550.39602164642804</v>
      </c>
      <c r="AC265" s="903">
        <f t="shared" si="165"/>
        <v>2552.5279676181904</v>
      </c>
      <c r="AD265" s="903">
        <f t="shared" si="139"/>
        <v>1090.6199658567002</v>
      </c>
      <c r="AE265" s="208">
        <f>'HVAC Deemed Table'!DI1794</f>
        <v>2552.5279676181904</v>
      </c>
      <c r="AF265" s="208">
        <f>'HVAC Deemed Table'!DI1795</f>
        <v>0</v>
      </c>
      <c r="AG265" s="208">
        <f>'HVAC Deemed Table'!DI1796</f>
        <v>1090.6199658567002</v>
      </c>
      <c r="AH265" s="208">
        <f>'HVAC Deemed Table'!DI1797</f>
        <v>0</v>
      </c>
      <c r="AI265" s="906" t="str">
        <f t="shared" si="171"/>
        <v>per measure</v>
      </c>
      <c r="AJ265" s="47">
        <f>'HVAC Deemed Table'!L1794</f>
        <v>3.6</v>
      </c>
      <c r="AK265" s="918"/>
      <c r="AL265" s="918"/>
      <c r="AX265" s="1355" t="str">
        <f t="shared" si="159"/>
        <v>ASHP-SEER19-Replace_CAC_NonElectricHeat_ER1_SF</v>
      </c>
      <c r="AY265" s="1378"/>
      <c r="AZ265" s="1446" t="str">
        <f t="shared" si="160"/>
        <v>354410</v>
      </c>
      <c r="BA265" s="1338">
        <f t="shared" ref="BA265:BD269" si="173">BA217</f>
        <v>1873.15</v>
      </c>
      <c r="BB265" s="1338">
        <f t="shared" si="173"/>
        <v>0</v>
      </c>
      <c r="BC265" s="1338">
        <f t="shared" si="173"/>
        <v>840.97</v>
      </c>
      <c r="BD265" s="1338">
        <f t="shared" si="173"/>
        <v>0</v>
      </c>
      <c r="BE265" s="1305"/>
      <c r="BF265" s="1321">
        <f>ROUND(BA265*'CP FACTORS'!$B$9,6)</f>
        <v>1.774656</v>
      </c>
      <c r="BG265" s="1322">
        <f>ROUND(BB265*'CP FACTORS'!$B$14,6)</f>
        <v>0</v>
      </c>
      <c r="BH265" s="1321">
        <f>ROUND(BC265*'CP FACTORS'!$B$9,6)</f>
        <v>0.79674999999999996</v>
      </c>
      <c r="BI265" s="1323">
        <f>ROUND(BD265*'CP FACTORS'!$B$14,6)</f>
        <v>0</v>
      </c>
      <c r="BJ265" s="1305"/>
      <c r="BK265" s="730">
        <f t="shared" si="145"/>
        <v>1873.15</v>
      </c>
      <c r="BL265" s="1342">
        <f t="shared" si="146"/>
        <v>840.97</v>
      </c>
      <c r="BM265" s="1341">
        <f t="shared" si="147"/>
        <v>1.774656</v>
      </c>
      <c r="BN265" s="1340">
        <f t="shared" si="148"/>
        <v>0.79674999999999996</v>
      </c>
    </row>
    <row r="266" spans="1:66" s="41" customFormat="1">
      <c r="A266" s="51" t="str">
        <f t="shared" si="163"/>
        <v>354450</v>
      </c>
      <c r="B266" s="1442" t="str">
        <f>'HVAC Deemed Table'!C1798</f>
        <v>354450_2024_12_</v>
      </c>
      <c r="C266" s="887" t="str">
        <f>'HVAC Deemed Table'!G1798</f>
        <v>Cooling Res</v>
      </c>
      <c r="D266" s="887" t="str">
        <f>'HVAC Deemed Table'!G1799</f>
        <v>Heating Res</v>
      </c>
      <c r="E266" s="887" t="str">
        <f>'HVAC Deemed Table'!G1800</f>
        <v>Cooling Res ER2</v>
      </c>
      <c r="F266" s="887" t="str">
        <f>'HVAC Deemed Table'!G1801</f>
        <v>Heating Res ER2</v>
      </c>
      <c r="G266" s="1378" t="str">
        <f>'HVAC Deemed Table'!E1798</f>
        <v>ASHP-SEER19-Replace_CAC_ElectricHeat_ER1_MF</v>
      </c>
      <c r="H266" s="19" t="str">
        <f>'HVAC Deemed Table'!D1798</f>
        <v>MFIE</v>
      </c>
      <c r="I266" s="785">
        <f t="shared" si="149"/>
        <v>8176.36</v>
      </c>
      <c r="J266" s="785">
        <f t="shared" si="150"/>
        <v>7221.95</v>
      </c>
      <c r="K266" s="202">
        <f>'HVAC Deemed Table'!F1798</f>
        <v>1416.58</v>
      </c>
      <c r="L266" s="202">
        <f>'HVAC Deemed Table'!F1799</f>
        <v>6759.78</v>
      </c>
      <c r="M266" s="202">
        <f>'HVAC Deemed Table'!F1800</f>
        <v>462.17</v>
      </c>
      <c r="N266" s="202">
        <f>'HVAC Deemed Table'!F1801</f>
        <v>6759.78</v>
      </c>
      <c r="O266" s="786">
        <f t="shared" si="151"/>
        <v>1.3420939999999999</v>
      </c>
      <c r="P266" s="786">
        <f t="shared" si="152"/>
        <v>0.43786799999999998</v>
      </c>
      <c r="Q266" s="787">
        <f>'HVAC Deemed Table'!I1798</f>
        <v>1.3420939999999999</v>
      </c>
      <c r="R266" s="787">
        <f>'HVAC Deemed Table'!I1799</f>
        <v>0</v>
      </c>
      <c r="S266" s="787">
        <f>'HVAC Deemed Table'!I1800</f>
        <v>0.43786799999999998</v>
      </c>
      <c r="T266" s="787">
        <f>'HVAC Deemed Table'!I1801</f>
        <v>0</v>
      </c>
      <c r="U266" s="788">
        <f t="shared" si="140"/>
        <v>0</v>
      </c>
      <c r="V266" s="788">
        <f t="shared" si="141"/>
        <v>0</v>
      </c>
      <c r="W266" s="788">
        <f t="shared" si="142"/>
        <v>1.3420939999999999</v>
      </c>
      <c r="X266" s="23">
        <f>'HVAC Deemed Table'!J1798</f>
        <v>6</v>
      </c>
      <c r="Y266" s="23">
        <f>'HVAC Deemed Table'!J1800</f>
        <v>12</v>
      </c>
      <c r="Z266" s="23">
        <f t="shared" si="164"/>
        <v>18</v>
      </c>
      <c r="AA266" s="18">
        <f>'HVAC Deemed Table'!DG1798</f>
        <v>1.5868160812204033</v>
      </c>
      <c r="AB266" s="259">
        <f>'HVAC Deemed Table'!K1798</f>
        <v>3847.7316315552043</v>
      </c>
      <c r="AC266" s="903">
        <f t="shared" si="165"/>
        <v>3223.5282582826403</v>
      </c>
      <c r="AD266" s="903">
        <f t="shared" si="139"/>
        <v>2882.1141708895775</v>
      </c>
      <c r="AE266" s="208">
        <f>'HVAC Deemed Table'!DI1798</f>
        <v>1410.6984977073607</v>
      </c>
      <c r="AF266" s="208">
        <f>'HVAC Deemed Table'!DI1799</f>
        <v>1812.8297605752794</v>
      </c>
      <c r="AG266" s="208">
        <f>'HVAC Deemed Table'!DI1800</f>
        <v>598.01137720670931</v>
      </c>
      <c r="AH266" s="208">
        <f>'HVAC Deemed Table'!DI1801</f>
        <v>2284.1027936828682</v>
      </c>
      <c r="AI266" s="906" t="str">
        <f t="shared" si="171"/>
        <v>per measure</v>
      </c>
      <c r="AJ266" s="47">
        <f>'HVAC Deemed Table'!L1798</f>
        <v>3.1</v>
      </c>
      <c r="AK266" s="641"/>
      <c r="AL266" s="641"/>
      <c r="AM266"/>
      <c r="AN266"/>
      <c r="AO266"/>
      <c r="AP266"/>
      <c r="AQ266"/>
      <c r="AR266"/>
      <c r="AS266"/>
      <c r="AT266"/>
      <c r="AU266"/>
      <c r="AV266"/>
      <c r="AW266"/>
      <c r="AX266" s="1355" t="str">
        <f t="shared" si="159"/>
        <v>ASHP-SEER19-Replace_CAC_ElectricHeat_ER1_MF</v>
      </c>
      <c r="AY266" s="1378"/>
      <c r="AZ266" s="1446" t="str">
        <f t="shared" si="160"/>
        <v>354450</v>
      </c>
      <c r="BA266" s="1338">
        <f t="shared" si="173"/>
        <v>1027.17</v>
      </c>
      <c r="BB266" s="1338">
        <f t="shared" si="173"/>
        <v>6541.11</v>
      </c>
      <c r="BC266" s="1338">
        <f t="shared" si="173"/>
        <v>454.53</v>
      </c>
      <c r="BD266" s="1338">
        <f t="shared" si="173"/>
        <v>6541.11</v>
      </c>
      <c r="BE266" s="1306"/>
      <c r="BF266" s="1321">
        <f>ROUND(BA266*'CP FACTORS'!$B$9,6)</f>
        <v>0.973159</v>
      </c>
      <c r="BG266" s="1322">
        <f>ROUND(BB266*'CP FACTORS'!$B$14,6)</f>
        <v>0</v>
      </c>
      <c r="BH266" s="1321">
        <f>ROUND(BC266*'CP FACTORS'!$B$9,6)</f>
        <v>0.43063000000000001</v>
      </c>
      <c r="BI266" s="1323">
        <f>ROUND(BD266*'CP FACTORS'!$B$14,6)</f>
        <v>0</v>
      </c>
      <c r="BJ266" s="1305"/>
      <c r="BK266" s="730">
        <f t="shared" si="145"/>
        <v>7568.28</v>
      </c>
      <c r="BL266" s="1342">
        <f t="shared" si="146"/>
        <v>6995.6399999999994</v>
      </c>
      <c r="BM266" s="1341">
        <f t="shared" si="147"/>
        <v>0.973159</v>
      </c>
      <c r="BN266" s="1340">
        <f t="shared" si="148"/>
        <v>0.43063000000000001</v>
      </c>
    </row>
    <row r="267" spans="1:66" s="696" customFormat="1">
      <c r="A267" s="2958" t="str">
        <f t="shared" si="163"/>
        <v>354451</v>
      </c>
      <c r="B267" s="2233" t="str">
        <f>'HVAC Deemed Table'!C1802</f>
        <v>354451_2024_12_</v>
      </c>
      <c r="C267" s="3874" t="str">
        <f>'HVAC Deemed Table'!G1802</f>
        <v>Cooling Res</v>
      </c>
      <c r="D267" s="3874" t="str">
        <f>'HVAC Deemed Table'!G1803</f>
        <v>Heating Res</v>
      </c>
      <c r="E267" s="3874" t="str">
        <f>'HVAC Deemed Table'!G1804</f>
        <v>Cooling Res ER2</v>
      </c>
      <c r="F267" s="3874" t="str">
        <f>'HVAC Deemed Table'!G1805</f>
        <v>Heating Res ER2</v>
      </c>
      <c r="G267" s="2724" t="str">
        <f>'HVAC Deemed Table'!E1802</f>
        <v>ASHP-SEER19-Replace_CAC_ElectricHeat_ER1_MF_CompE</v>
      </c>
      <c r="H267" s="2554" t="str">
        <f>'HVAC Deemed Table'!D1802</f>
        <v>MFc</v>
      </c>
      <c r="I267" s="3840">
        <f t="shared" si="149"/>
        <v>3334.71</v>
      </c>
      <c r="J267" s="3840">
        <f t="shared" si="150"/>
        <v>2640.6</v>
      </c>
      <c r="K267" s="3251">
        <f>'HVAC Deemed Table'!F1802</f>
        <v>1030.24</v>
      </c>
      <c r="L267" s="3251">
        <f>'HVAC Deemed Table'!F1803</f>
        <v>2304.4699999999998</v>
      </c>
      <c r="M267" s="3251">
        <f>'HVAC Deemed Table'!F1804</f>
        <v>336.13</v>
      </c>
      <c r="N267" s="3251">
        <f>'HVAC Deemed Table'!F1805</f>
        <v>2304.4699999999998</v>
      </c>
      <c r="O267" s="3841">
        <f t="shared" si="151"/>
        <v>0.97606800000000005</v>
      </c>
      <c r="P267" s="3841">
        <f t="shared" si="152"/>
        <v>0.31845600000000002</v>
      </c>
      <c r="Q267" s="3842">
        <f>'HVAC Deemed Table'!I1802</f>
        <v>0.97606800000000005</v>
      </c>
      <c r="R267" s="3842">
        <f>'HVAC Deemed Table'!I1803</f>
        <v>0</v>
      </c>
      <c r="S267" s="3842">
        <f>'HVAC Deemed Table'!I1804</f>
        <v>0.31845600000000002</v>
      </c>
      <c r="T267" s="3842">
        <f>'HVAC Deemed Table'!I1805</f>
        <v>0</v>
      </c>
      <c r="U267" s="3843">
        <f t="shared" si="140"/>
        <v>0</v>
      </c>
      <c r="V267" s="3843">
        <f t="shared" si="141"/>
        <v>0</v>
      </c>
      <c r="W267" s="3843">
        <f t="shared" si="142"/>
        <v>0.97606800000000005</v>
      </c>
      <c r="X267" s="2846">
        <f>'HVAC Deemed Table'!J1802</f>
        <v>6</v>
      </c>
      <c r="Y267" s="2846">
        <f>'HVAC Deemed Table'!J1804</f>
        <v>12</v>
      </c>
      <c r="Z267" s="2846">
        <f t="shared" si="164"/>
        <v>18</v>
      </c>
      <c r="AA267" s="2529">
        <f>'HVAC Deemed Table'!DG1802</f>
        <v>0.74266339074545418</v>
      </c>
      <c r="AB267" s="3878">
        <f>'HVAC Deemed Table'!K1802</f>
        <v>3847.7316315552043</v>
      </c>
      <c r="AC267" s="3845">
        <f t="shared" si="165"/>
        <v>1643.9725675383754</v>
      </c>
      <c r="AD267" s="3845">
        <f t="shared" si="139"/>
        <v>1213.5968526309514</v>
      </c>
      <c r="AE267" s="3846">
        <f>'HVAC Deemed Table'!DI1802</f>
        <v>1025.9625437871714</v>
      </c>
      <c r="AF267" s="3846">
        <f>'HVAC Deemed Table'!DI1803</f>
        <v>618.01002375120402</v>
      </c>
      <c r="AG267" s="3846">
        <f>'HVAC Deemed Table'!DI1804</f>
        <v>434.92559928271243</v>
      </c>
      <c r="AH267" s="3846">
        <f>'HVAC Deemed Table'!DI1805</f>
        <v>778.67125334823891</v>
      </c>
      <c r="AI267" s="3847" t="str">
        <f t="shared" si="171"/>
        <v>per measure</v>
      </c>
      <c r="AJ267" s="3220">
        <f>'HVAC Deemed Table'!L1802</f>
        <v>3.1</v>
      </c>
      <c r="AK267" s="3848"/>
      <c r="AL267" s="3848"/>
      <c r="AX267" s="3849" t="str">
        <f t="shared" si="159"/>
        <v>ASHP-SEER19-Replace_CAC_ElectricHeat_ER1_MF_CompE</v>
      </c>
      <c r="AY267" s="2724"/>
      <c r="AZ267" s="3850" t="str">
        <f t="shared" si="160"/>
        <v>354451</v>
      </c>
      <c r="BA267" s="3884">
        <f t="shared" si="173"/>
        <v>739.58</v>
      </c>
      <c r="BB267" s="3884">
        <f t="shared" si="173"/>
        <v>2229.92</v>
      </c>
      <c r="BC267" s="3884">
        <f t="shared" si="173"/>
        <v>323.12</v>
      </c>
      <c r="BD267" s="3884">
        <f t="shared" si="173"/>
        <v>2229.92</v>
      </c>
      <c r="BE267" s="3853"/>
      <c r="BF267" s="3854">
        <f>ROUND(BA267*'CP FACTORS'!$B$9,6)</f>
        <v>0.70069099999999995</v>
      </c>
      <c r="BG267" s="3854">
        <f>ROUND(BB267*'CP FACTORS'!$B$14,6)</f>
        <v>0</v>
      </c>
      <c r="BH267" s="3854">
        <f>ROUND(BC267*'CP FACTORS'!$B$9,6)</f>
        <v>0.30613000000000001</v>
      </c>
      <c r="BI267" s="3855">
        <f>ROUND(BD267*'CP FACTORS'!$B$14,6)</f>
        <v>0</v>
      </c>
      <c r="BJ267" s="3853"/>
      <c r="BK267" s="3856">
        <f t="shared" si="145"/>
        <v>2969.5</v>
      </c>
      <c r="BL267" s="3857">
        <f t="shared" si="146"/>
        <v>2553.04</v>
      </c>
      <c r="BM267" s="3858">
        <f t="shared" si="147"/>
        <v>0.70069099999999995</v>
      </c>
      <c r="BN267" s="3855">
        <f t="shared" si="148"/>
        <v>0.30613000000000001</v>
      </c>
    </row>
    <row r="268" spans="1:66" s="696" customFormat="1">
      <c r="A268" s="2958" t="str">
        <f t="shared" si="163"/>
        <v>354460</v>
      </c>
      <c r="B268" s="2233" t="str">
        <f>'HVAC Deemed Table'!C1806</f>
        <v>354460_2024_12_</v>
      </c>
      <c r="C268" s="3874" t="str">
        <f>'HVAC Deemed Table'!G1806</f>
        <v>Cooling Res</v>
      </c>
      <c r="D268" s="3874" t="str">
        <f>'HVAC Deemed Table'!G1807</f>
        <v>Heating Res</v>
      </c>
      <c r="E268" s="3874" t="str">
        <f>'HVAC Deemed Table'!G1808</f>
        <v>Cooling Res ER2</v>
      </c>
      <c r="F268" s="3874" t="str">
        <f>'HVAC Deemed Table'!G1809</f>
        <v>Heating Res ER2</v>
      </c>
      <c r="G268" s="2724" t="str">
        <f>'HVAC Deemed Table'!E1806</f>
        <v>ASHP-SEER19-Replace_CAC_NonElectricHeat_ER1_MF</v>
      </c>
      <c r="H268" s="2554" t="str">
        <f>'HVAC Deemed Table'!D1806</f>
        <v>MF</v>
      </c>
      <c r="I268" s="3840">
        <f t="shared" si="149"/>
        <v>1416.58</v>
      </c>
      <c r="J268" s="3840">
        <f t="shared" si="150"/>
        <v>462.17</v>
      </c>
      <c r="K268" s="3251">
        <f>'HVAC Deemed Table'!F1806</f>
        <v>1416.58</v>
      </c>
      <c r="L268" s="3251">
        <f>'HVAC Deemed Table'!F1807</f>
        <v>0</v>
      </c>
      <c r="M268" s="3251">
        <f>'HVAC Deemed Table'!F1808</f>
        <v>462.17</v>
      </c>
      <c r="N268" s="3251">
        <f>'HVAC Deemed Table'!F1809</f>
        <v>0</v>
      </c>
      <c r="O268" s="3841">
        <f t="shared" si="151"/>
        <v>1.3420939999999999</v>
      </c>
      <c r="P268" s="3841">
        <f t="shared" si="152"/>
        <v>0.43786799999999998</v>
      </c>
      <c r="Q268" s="3842">
        <f>'HVAC Deemed Table'!I1806</f>
        <v>1.3420939999999999</v>
      </c>
      <c r="R268" s="3842">
        <f>'HVAC Deemed Table'!I1807</f>
        <v>0</v>
      </c>
      <c r="S268" s="3842">
        <f>'HVAC Deemed Table'!I1808</f>
        <v>0.43786799999999998</v>
      </c>
      <c r="T268" s="3842">
        <f>'HVAC Deemed Table'!I1809</f>
        <v>0</v>
      </c>
      <c r="U268" s="3843">
        <f t="shared" si="140"/>
        <v>0</v>
      </c>
      <c r="V268" s="3843">
        <f t="shared" si="141"/>
        <v>0</v>
      </c>
      <c r="W268" s="3843">
        <f t="shared" si="142"/>
        <v>1.3420939999999999</v>
      </c>
      <c r="X268" s="2846">
        <f>'HVAC Deemed Table'!J1806</f>
        <v>6</v>
      </c>
      <c r="Y268" s="2846">
        <f>'HVAC Deemed Table'!J1808</f>
        <v>12</v>
      </c>
      <c r="Z268" s="2846">
        <f t="shared" si="164"/>
        <v>18</v>
      </c>
      <c r="AA268" s="2529">
        <f>'HVAC Deemed Table'!DG1806</f>
        <v>4.2787459987588452</v>
      </c>
      <c r="AB268" s="3878">
        <f>'HVAC Deemed Table'!K1806</f>
        <v>469.46228532769771</v>
      </c>
      <c r="AC268" s="3845">
        <f t="shared" si="165"/>
        <v>1410.6984977073607</v>
      </c>
      <c r="AD268" s="3845">
        <f t="shared" si="139"/>
        <v>598.01137720670931</v>
      </c>
      <c r="AE268" s="3846">
        <f>'HVAC Deemed Table'!DI1806</f>
        <v>1410.6984977073607</v>
      </c>
      <c r="AF268" s="3846">
        <f>'HVAC Deemed Table'!DI1807</f>
        <v>0</v>
      </c>
      <c r="AG268" s="3846">
        <f>'HVAC Deemed Table'!DI1808</f>
        <v>598.01137720670931</v>
      </c>
      <c r="AH268" s="3846">
        <f>'HVAC Deemed Table'!DI1809</f>
        <v>0</v>
      </c>
      <c r="AI268" s="3847" t="str">
        <f t="shared" si="171"/>
        <v>per measure</v>
      </c>
      <c r="AJ268" s="3220">
        <f>'HVAC Deemed Table'!L1806</f>
        <v>3.1</v>
      </c>
      <c r="AK268" s="3848"/>
      <c r="AL268" s="3848"/>
      <c r="AX268" s="3849" t="str">
        <f t="shared" si="159"/>
        <v>ASHP-SEER19-Replace_CAC_NonElectricHeat_ER1_MF</v>
      </c>
      <c r="AY268" s="2724"/>
      <c r="AZ268" s="3850" t="str">
        <f t="shared" si="160"/>
        <v>354460</v>
      </c>
      <c r="BA268" s="3884">
        <f t="shared" si="173"/>
        <v>1027.17</v>
      </c>
      <c r="BB268" s="3884">
        <f t="shared" si="173"/>
        <v>0</v>
      </c>
      <c r="BC268" s="3884">
        <f t="shared" si="173"/>
        <v>454.53</v>
      </c>
      <c r="BD268" s="3884">
        <f t="shared" si="173"/>
        <v>0</v>
      </c>
      <c r="BE268" s="3853"/>
      <c r="BF268" s="3854">
        <f>ROUND(BA268*'CP FACTORS'!$B$9,6)</f>
        <v>0.973159</v>
      </c>
      <c r="BG268" s="3854">
        <f>ROUND(BB268*'CP FACTORS'!$B$14,6)</f>
        <v>0</v>
      </c>
      <c r="BH268" s="3854">
        <f>ROUND(BC268*'CP FACTORS'!$B$9,6)</f>
        <v>0.43063000000000001</v>
      </c>
      <c r="BI268" s="3855">
        <f>ROUND(BD268*'CP FACTORS'!$B$14,6)</f>
        <v>0</v>
      </c>
      <c r="BJ268" s="3853"/>
      <c r="BK268" s="3856">
        <f t="shared" si="145"/>
        <v>1027.17</v>
      </c>
      <c r="BL268" s="3857">
        <f t="shared" si="146"/>
        <v>454.53</v>
      </c>
      <c r="BM268" s="3858">
        <f t="shared" si="147"/>
        <v>0.973159</v>
      </c>
      <c r="BN268" s="3855">
        <f t="shared" si="148"/>
        <v>0.43063000000000001</v>
      </c>
    </row>
    <row r="269" spans="1:66" s="696" customFormat="1">
      <c r="A269" s="2958" t="str">
        <f t="shared" si="163"/>
        <v>354461</v>
      </c>
      <c r="B269" s="2233" t="str">
        <f>'HVAC Deemed Table'!C1810</f>
        <v>354461_2024_12_</v>
      </c>
      <c r="C269" s="3874" t="str">
        <f>'HVAC Deemed Table'!G1810</f>
        <v>Cooling Res</v>
      </c>
      <c r="D269" s="3874" t="str">
        <f>'HVAC Deemed Table'!G1811</f>
        <v>Heating Res</v>
      </c>
      <c r="E269" s="3874" t="str">
        <f>'HVAC Deemed Table'!G1812</f>
        <v>Cooling Res ER2</v>
      </c>
      <c r="F269" s="3874" t="str">
        <f>'HVAC Deemed Table'!G1813</f>
        <v>Heating Res ER2</v>
      </c>
      <c r="G269" s="2724" t="str">
        <f>'HVAC Deemed Table'!E1810</f>
        <v>ASHP-SEER19-Replace_CAC_NonElectricHeat_ER1_MF_CompE</v>
      </c>
      <c r="H269" s="2554" t="str">
        <f>'HVAC Deemed Table'!D1810</f>
        <v>MFc</v>
      </c>
      <c r="I269" s="3840">
        <f t="shared" si="149"/>
        <v>1030.24</v>
      </c>
      <c r="J269" s="3840">
        <f t="shared" si="150"/>
        <v>336.13</v>
      </c>
      <c r="K269" s="3251">
        <f>'HVAC Deemed Table'!F1810</f>
        <v>1030.24</v>
      </c>
      <c r="L269" s="3251">
        <f>'HVAC Deemed Table'!F1811</f>
        <v>0</v>
      </c>
      <c r="M269" s="3251">
        <f>'HVAC Deemed Table'!F1812</f>
        <v>336.13</v>
      </c>
      <c r="N269" s="3251">
        <f>'HVAC Deemed Table'!F1813</f>
        <v>0</v>
      </c>
      <c r="O269" s="3841">
        <f t="shared" si="151"/>
        <v>0.97606800000000005</v>
      </c>
      <c r="P269" s="3841">
        <f t="shared" si="152"/>
        <v>0.31845600000000002</v>
      </c>
      <c r="Q269" s="3842">
        <f>'HVAC Deemed Table'!I1810</f>
        <v>0.97606800000000005</v>
      </c>
      <c r="R269" s="3842">
        <f>'HVAC Deemed Table'!I1811</f>
        <v>0</v>
      </c>
      <c r="S269" s="3842">
        <f>'HVAC Deemed Table'!I1812</f>
        <v>0.31845600000000002</v>
      </c>
      <c r="T269" s="3842">
        <f>'HVAC Deemed Table'!I1813</f>
        <v>0</v>
      </c>
      <c r="U269" s="3843">
        <f t="shared" si="140"/>
        <v>0</v>
      </c>
      <c r="V269" s="3843">
        <f t="shared" si="141"/>
        <v>0</v>
      </c>
      <c r="W269" s="3843">
        <f t="shared" si="142"/>
        <v>0.97606800000000005</v>
      </c>
      <c r="X269" s="2846">
        <f>'HVAC Deemed Table'!J1810</f>
        <v>6</v>
      </c>
      <c r="Y269" s="2846">
        <f>'HVAC Deemed Table'!J1812</f>
        <v>12</v>
      </c>
      <c r="Z269" s="2846">
        <f t="shared" si="164"/>
        <v>18</v>
      </c>
      <c r="AA269" s="2529">
        <f>'HVAC Deemed Table'!DG1810</f>
        <v>1.6603678445101844</v>
      </c>
      <c r="AB269" s="3878">
        <f>'HVAC Deemed Table'!K1810</f>
        <v>879.85812776376201</v>
      </c>
      <c r="AC269" s="3845">
        <f t="shared" si="165"/>
        <v>1025.9625437871714</v>
      </c>
      <c r="AD269" s="3845">
        <f t="shared" si="139"/>
        <v>434.92559928271243</v>
      </c>
      <c r="AE269" s="3846">
        <f>'HVAC Deemed Table'!DI1810</f>
        <v>1025.9625437871714</v>
      </c>
      <c r="AF269" s="3846">
        <f>'HVAC Deemed Table'!DI1811</f>
        <v>0</v>
      </c>
      <c r="AG269" s="3846">
        <f>'HVAC Deemed Table'!DI1812</f>
        <v>434.92559928271243</v>
      </c>
      <c r="AH269" s="3846">
        <f>'HVAC Deemed Table'!DI1813</f>
        <v>0</v>
      </c>
      <c r="AI269" s="3847" t="str">
        <f t="shared" si="171"/>
        <v>per measure</v>
      </c>
      <c r="AJ269" s="3220">
        <f>'HVAC Deemed Table'!L1810</f>
        <v>3.1</v>
      </c>
      <c r="AK269" s="3848"/>
      <c r="AL269" s="3848"/>
      <c r="AX269" s="3849" t="str">
        <f t="shared" si="159"/>
        <v>ASHP-SEER19-Replace_CAC_NonElectricHeat_ER1_MF_CompE</v>
      </c>
      <c r="AY269" s="2724"/>
      <c r="AZ269" s="3850" t="str">
        <f t="shared" si="160"/>
        <v>354461</v>
      </c>
      <c r="BA269" s="3884">
        <f t="shared" si="173"/>
        <v>739.58</v>
      </c>
      <c r="BB269" s="3884">
        <f t="shared" si="173"/>
        <v>0</v>
      </c>
      <c r="BC269" s="3884">
        <f t="shared" si="173"/>
        <v>323.12</v>
      </c>
      <c r="BD269" s="3884">
        <f t="shared" si="173"/>
        <v>0</v>
      </c>
      <c r="BE269" s="3853"/>
      <c r="BF269" s="3854">
        <f>ROUND(BA269*'CP FACTORS'!$B$9,6)</f>
        <v>0.70069099999999995</v>
      </c>
      <c r="BG269" s="3854">
        <f>ROUND(BB269*'CP FACTORS'!$B$14,6)</f>
        <v>0</v>
      </c>
      <c r="BH269" s="3854">
        <f>ROUND(BC269*'CP FACTORS'!$B$9,6)</f>
        <v>0.30613000000000001</v>
      </c>
      <c r="BI269" s="3855">
        <f>ROUND(BD269*'CP FACTORS'!$B$14,6)</f>
        <v>0</v>
      </c>
      <c r="BJ269" s="3853"/>
      <c r="BK269" s="3856">
        <f t="shared" si="145"/>
        <v>739.58</v>
      </c>
      <c r="BL269" s="3857">
        <f t="shared" si="146"/>
        <v>323.12</v>
      </c>
      <c r="BM269" s="3858">
        <f t="shared" si="147"/>
        <v>0.70069099999999995</v>
      </c>
      <c r="BN269" s="3855">
        <f t="shared" si="148"/>
        <v>0.30613000000000001</v>
      </c>
    </row>
    <row r="270" spans="1:66">
      <c r="A270" s="51" t="str">
        <f t="shared" si="163"/>
        <v>354500</v>
      </c>
      <c r="B270" s="1442" t="str">
        <f>'HVAC Deemed Table'!C1814</f>
        <v>354500_2024_12_</v>
      </c>
      <c r="C270" s="887" t="str">
        <f>'HVAC Deemed Table'!G1814</f>
        <v>Cooling Res</v>
      </c>
      <c r="D270" s="887" t="str">
        <f>'HVAC Deemed Table'!G1815</f>
        <v>Heating Res</v>
      </c>
      <c r="E270" s="887" t="str">
        <f>'HVAC Deemed Table'!G1816</f>
        <v>Cooling Res ER2</v>
      </c>
      <c r="F270" s="887" t="str">
        <f>'HVAC Deemed Table'!G1817</f>
        <v>Heating Res ER2</v>
      </c>
      <c r="G270" s="1378" t="str">
        <f>'HVAC Deemed Table'!E1814</f>
        <v>ASHP-SEER19_ER1_MF</v>
      </c>
      <c r="H270" s="19" t="str">
        <f>'HVAC Deemed Table'!D1814</f>
        <v>MFIE</v>
      </c>
      <c r="I270" s="785">
        <f t="shared" si="149"/>
        <v>3306.73</v>
      </c>
      <c r="J270" s="785">
        <f t="shared" si="150"/>
        <v>1467.8300000000002</v>
      </c>
      <c r="K270" s="202">
        <f>'HVAC Deemed Table'!F1814</f>
        <v>1507.97</v>
      </c>
      <c r="L270" s="202">
        <f>'HVAC Deemed Table'!F1815</f>
        <v>1798.76</v>
      </c>
      <c r="M270" s="202">
        <f>'HVAC Deemed Table'!F1816</f>
        <v>386.93</v>
      </c>
      <c r="N270" s="202">
        <f>'HVAC Deemed Table'!F1817</f>
        <v>1080.9000000000001</v>
      </c>
      <c r="O270" s="786">
        <f t="shared" si="151"/>
        <v>1.4286779999999999</v>
      </c>
      <c r="P270" s="786">
        <f t="shared" si="152"/>
        <v>0.36658400000000002</v>
      </c>
      <c r="Q270" s="787">
        <f>'HVAC Deemed Table'!I1814</f>
        <v>1.4286779999999999</v>
      </c>
      <c r="R270" s="787">
        <f>'HVAC Deemed Table'!I1815</f>
        <v>0</v>
      </c>
      <c r="S270" s="787">
        <f>'HVAC Deemed Table'!I1816</f>
        <v>0.36658400000000002</v>
      </c>
      <c r="T270" s="787">
        <f>'HVAC Deemed Table'!I1817</f>
        <v>0</v>
      </c>
      <c r="U270" s="788">
        <f t="shared" si="140"/>
        <v>0</v>
      </c>
      <c r="V270" s="788">
        <f t="shared" si="141"/>
        <v>0</v>
      </c>
      <c r="W270" s="788">
        <f t="shared" si="142"/>
        <v>1.4286779999999999</v>
      </c>
      <c r="X270" s="23">
        <f>'HVAC Deemed Table'!J1814</f>
        <v>6</v>
      </c>
      <c r="Y270" s="23">
        <f>'HVAC Deemed Table'!J1816</f>
        <v>12</v>
      </c>
      <c r="Z270" s="23">
        <f t="shared" si="164"/>
        <v>18</v>
      </c>
      <c r="AA270" s="18">
        <f>'HVAC Deemed Table'!DG1814</f>
        <v>2.6449544224040511</v>
      </c>
      <c r="AB270" s="259">
        <f>'HVAC Deemed Table'!K1814</f>
        <v>1077.5183641564863</v>
      </c>
      <c r="AC270" s="903">
        <f t="shared" si="165"/>
        <v>1984.0983727452153</v>
      </c>
      <c r="AD270" s="903">
        <f t="shared" si="139"/>
        <v>865.88858975206188</v>
      </c>
      <c r="AE270" s="208">
        <f>'HVAC Deemed Table'!DI1814</f>
        <v>1501.7090553218095</v>
      </c>
      <c r="AF270" s="208">
        <f>'HVAC Deemed Table'!DI1815</f>
        <v>482.38931742340571</v>
      </c>
      <c r="AG270" s="208">
        <f>'HVAC Deemed Table'!DI1816</f>
        <v>500.65677604040081</v>
      </c>
      <c r="AH270" s="208">
        <f>'HVAC Deemed Table'!DI1817</f>
        <v>365.23181371166106</v>
      </c>
      <c r="AI270" s="906" t="str">
        <f t="shared" si="171"/>
        <v>per measure</v>
      </c>
      <c r="AJ270" s="47">
        <f>'HVAC Deemed Table'!L1814</f>
        <v>3.3</v>
      </c>
      <c r="AK270" s="641"/>
      <c r="AL270" s="641"/>
      <c r="AX270" s="1355" t="str">
        <f t="shared" si="159"/>
        <v>ASHP-SEER19_ER1_MF</v>
      </c>
      <c r="AY270" s="1378"/>
      <c r="AZ270" s="1446" t="str">
        <f t="shared" si="160"/>
        <v>354500</v>
      </c>
      <c r="BA270" s="1335">
        <f>ROUND((K270*$BC$3)+(K292*$BC$4),2)</f>
        <v>1059.55</v>
      </c>
      <c r="BB270" s="1335">
        <f>ROUND((L270*$BC$3)+(L292*$BC$4),2)</f>
        <v>1561.25</v>
      </c>
      <c r="BC270" s="1335">
        <f>ROUND((M270*$BC$3)+(K292*$BC$4),2)</f>
        <v>386.93</v>
      </c>
      <c r="BD270" s="1335">
        <f>ROUND((N270*$BC$3)+(L292*$BC$4),2)</f>
        <v>1130.53</v>
      </c>
      <c r="BE270" s="1305"/>
      <c r="BF270" s="1321">
        <f>ROUND(BA270*'CP FACTORS'!$B$9,6)</f>
        <v>1.0038370000000001</v>
      </c>
      <c r="BG270" s="1322">
        <f>ROUND(BB270*'CP FACTORS'!$B$14,6)</f>
        <v>0</v>
      </c>
      <c r="BH270" s="1321">
        <f>ROUND(BC270*'CP FACTORS'!$B$9,6)</f>
        <v>0.36658400000000002</v>
      </c>
      <c r="BI270" s="1323">
        <f>ROUND(BD270*'CP FACTORS'!$B$14,6)</f>
        <v>0</v>
      </c>
      <c r="BJ270" s="1305"/>
      <c r="BK270" s="730">
        <f t="shared" si="145"/>
        <v>2620.8000000000002</v>
      </c>
      <c r="BL270" s="1342">
        <f t="shared" si="146"/>
        <v>1517.46</v>
      </c>
      <c r="BM270" s="1341">
        <f t="shared" si="147"/>
        <v>1.0038370000000001</v>
      </c>
      <c r="BN270" s="1340">
        <f t="shared" si="148"/>
        <v>0.36658400000000002</v>
      </c>
    </row>
    <row r="271" spans="1:66" s="696" customFormat="1">
      <c r="A271" s="2958" t="str">
        <f t="shared" si="163"/>
        <v>354501</v>
      </c>
      <c r="B271" s="2233" t="str">
        <f>'HVAC Deemed Table'!C1818</f>
        <v>354501_2024_12_</v>
      </c>
      <c r="C271" s="3874" t="str">
        <f>'HVAC Deemed Table'!G1818</f>
        <v>Cooling Res</v>
      </c>
      <c r="D271" s="3874" t="str">
        <f>'HVAC Deemed Table'!G1819</f>
        <v>Heating Res</v>
      </c>
      <c r="E271" s="3874" t="str">
        <f>'HVAC Deemed Table'!G1820</f>
        <v>Cooling Res ER2</v>
      </c>
      <c r="F271" s="3874" t="str">
        <f>'HVAC Deemed Table'!G1821</f>
        <v>Heating Res ER2</v>
      </c>
      <c r="G271" s="2724" t="str">
        <f>'HVAC Deemed Table'!E1818</f>
        <v>ASHP-SEER19_ER1_MF_CompE</v>
      </c>
      <c r="H271" s="2554" t="str">
        <f>'HVAC Deemed Table'!D1818</f>
        <v>MFc</v>
      </c>
      <c r="I271" s="3840">
        <f t="shared" si="149"/>
        <v>1709.92</v>
      </c>
      <c r="J271" s="3840">
        <f t="shared" si="150"/>
        <v>649.90000000000009</v>
      </c>
      <c r="K271" s="3251">
        <f>'HVAC Deemed Table'!F1818</f>
        <v>1096.71</v>
      </c>
      <c r="L271" s="3251">
        <f>'HVAC Deemed Table'!F1819</f>
        <v>613.21</v>
      </c>
      <c r="M271" s="3251">
        <f>'HVAC Deemed Table'!F1820</f>
        <v>281.41000000000003</v>
      </c>
      <c r="N271" s="3251">
        <f>'HVAC Deemed Table'!F1821</f>
        <v>368.49</v>
      </c>
      <c r="O271" s="3841">
        <f t="shared" si="151"/>
        <v>1.0390429999999999</v>
      </c>
      <c r="P271" s="3841">
        <f t="shared" si="152"/>
        <v>0.26661299999999999</v>
      </c>
      <c r="Q271" s="3842">
        <f>'HVAC Deemed Table'!I1818</f>
        <v>1.0390429999999999</v>
      </c>
      <c r="R271" s="3842">
        <f>'HVAC Deemed Table'!I1819</f>
        <v>0</v>
      </c>
      <c r="S271" s="3842">
        <f>'HVAC Deemed Table'!I1820</f>
        <v>0.26661299999999999</v>
      </c>
      <c r="T271" s="3842">
        <f>'HVAC Deemed Table'!I1821</f>
        <v>0</v>
      </c>
      <c r="U271" s="3843">
        <f t="shared" si="140"/>
        <v>0</v>
      </c>
      <c r="V271" s="3843">
        <f t="shared" si="141"/>
        <v>0</v>
      </c>
      <c r="W271" s="3843">
        <f t="shared" si="142"/>
        <v>1.0390429999999999</v>
      </c>
      <c r="X271" s="2846">
        <f>'HVAC Deemed Table'!J1818</f>
        <v>6</v>
      </c>
      <c r="Y271" s="2846">
        <f>'HVAC Deemed Table'!J1820</f>
        <v>12</v>
      </c>
      <c r="Z271" s="2846">
        <f t="shared" si="164"/>
        <v>18</v>
      </c>
      <c r="AA271" s="2529">
        <f>'HVAC Deemed Table'!DG1818</f>
        <v>1.6196847428996684</v>
      </c>
      <c r="AB271" s="3878">
        <f>'HVAC Deemed Table'!K1818</f>
        <v>1077.5183641564863</v>
      </c>
      <c r="AC271" s="3845">
        <f t="shared" si="165"/>
        <v>1256.6064952876991</v>
      </c>
      <c r="AD271" s="3845">
        <f t="shared" si="139"/>
        <v>488.63355933077059</v>
      </c>
      <c r="AE271" s="3846">
        <f>'HVAC Deemed Table'!DI1818</f>
        <v>1092.1565668163039</v>
      </c>
      <c r="AF271" s="3846">
        <f>'HVAC Deemed Table'!DI1819</f>
        <v>164.44992847139511</v>
      </c>
      <c r="AG271" s="3846">
        <f>'HVAC Deemed Table'!DI1820</f>
        <v>364.12225297994263</v>
      </c>
      <c r="AH271" s="3846">
        <f>'HVAC Deemed Table'!DI1821</f>
        <v>124.51130635082799</v>
      </c>
      <c r="AI271" s="3847" t="str">
        <f t="shared" si="171"/>
        <v>per measure</v>
      </c>
      <c r="AJ271" s="3220">
        <f>'HVAC Deemed Table'!L1818</f>
        <v>3.3</v>
      </c>
      <c r="AK271" s="3848"/>
      <c r="AL271" s="3848"/>
      <c r="AX271" s="3849" t="str">
        <f t="shared" si="159"/>
        <v>ASHP-SEER19_ER1_MF_CompE</v>
      </c>
      <c r="AY271" s="2724"/>
      <c r="AZ271" s="3850" t="str">
        <f t="shared" si="160"/>
        <v>354501</v>
      </c>
      <c r="BA271" s="3886">
        <f>ROUND((K271*$BC$3)+(K293*$BC$4),2)</f>
        <v>770.59</v>
      </c>
      <c r="BB271" s="3886">
        <f>ROUND((L271*$BC$3)+(L293*$BC$4),2)</f>
        <v>532.24</v>
      </c>
      <c r="BC271" s="3886">
        <f>ROUND((M271*$BC$3)+(K293*$BC$4),2)</f>
        <v>281.41000000000003</v>
      </c>
      <c r="BD271" s="3886">
        <f>ROUND((N271*$BC$3)+(L293*$BC$4),2)</f>
        <v>385.41</v>
      </c>
      <c r="BE271" s="3853"/>
      <c r="BF271" s="3854">
        <f>ROUND(BA271*'CP FACTORS'!$B$9,6)</f>
        <v>0.73007100000000003</v>
      </c>
      <c r="BG271" s="3854">
        <f>ROUND(BB271*'CP FACTORS'!$B$14,6)</f>
        <v>0</v>
      </c>
      <c r="BH271" s="3854">
        <f>ROUND(BC271*'CP FACTORS'!$B$9,6)</f>
        <v>0.26661299999999999</v>
      </c>
      <c r="BI271" s="3855">
        <f>ROUND(BD271*'CP FACTORS'!$B$14,6)</f>
        <v>0</v>
      </c>
      <c r="BJ271" s="3853"/>
      <c r="BK271" s="3856">
        <f t="shared" si="145"/>
        <v>1302.83</v>
      </c>
      <c r="BL271" s="3857">
        <f t="shared" si="146"/>
        <v>666.82</v>
      </c>
      <c r="BM271" s="3858">
        <f t="shared" si="147"/>
        <v>0.73007100000000003</v>
      </c>
      <c r="BN271" s="3855">
        <f t="shared" si="148"/>
        <v>0.26661299999999999</v>
      </c>
    </row>
    <row r="272" spans="1:66">
      <c r="A272" s="51" t="str">
        <f t="shared" si="163"/>
        <v>354550</v>
      </c>
      <c r="B272" s="1442" t="str">
        <f>'HVAC Deemed Table'!C1822</f>
        <v>354550_2024_12_</v>
      </c>
      <c r="C272" s="887" t="str">
        <f>'HVAC Deemed Table'!G1822</f>
        <v>Cooling Res</v>
      </c>
      <c r="D272" s="887" t="str">
        <f>'HVAC Deemed Table'!G1823</f>
        <v>Heating Res</v>
      </c>
      <c r="E272" s="887" t="str">
        <f>'HVAC Deemed Table'!G1824</f>
        <v>Cooling Res ER2</v>
      </c>
      <c r="F272" s="887" t="str">
        <f>'HVAC Deemed Table'!G1825</f>
        <v>Heating Res ER2</v>
      </c>
      <c r="G272" s="1378" t="str">
        <f>'HVAC Deemed Table'!E1822</f>
        <v>ASHP-SEER20_ER1_SF</v>
      </c>
      <c r="H272" s="19" t="str">
        <f>'HVAC Deemed Table'!D1822</f>
        <v>PAYS/SFIE</v>
      </c>
      <c r="I272" s="785">
        <f t="shared" si="149"/>
        <v>4830.2299999999996</v>
      </c>
      <c r="J272" s="785">
        <f t="shared" si="150"/>
        <v>2322.62</v>
      </c>
      <c r="K272" s="202">
        <f>'HVAC Deemed Table'!F1822</f>
        <v>2257.71</v>
      </c>
      <c r="L272" s="202">
        <f>'HVAC Deemed Table'!F1823</f>
        <v>2572.52</v>
      </c>
      <c r="M272" s="202">
        <f>'HVAC Deemed Table'!F1824</f>
        <v>614.66</v>
      </c>
      <c r="N272" s="202">
        <f>'HVAC Deemed Table'!F1825</f>
        <v>1707.96</v>
      </c>
      <c r="O272" s="786">
        <f t="shared" si="151"/>
        <v>2.138995</v>
      </c>
      <c r="P272" s="786">
        <f t="shared" si="152"/>
        <v>0.58233999999999997</v>
      </c>
      <c r="Q272" s="787">
        <f>'HVAC Deemed Table'!I1822</f>
        <v>2.138995</v>
      </c>
      <c r="R272" s="787">
        <f>'HVAC Deemed Table'!I1823</f>
        <v>0</v>
      </c>
      <c r="S272" s="787">
        <f>'HVAC Deemed Table'!I1824</f>
        <v>0.58233999999999997</v>
      </c>
      <c r="T272" s="787">
        <f>'HVAC Deemed Table'!I1825</f>
        <v>0</v>
      </c>
      <c r="U272" s="788">
        <f t="shared" si="140"/>
        <v>0</v>
      </c>
      <c r="V272" s="788">
        <f t="shared" si="141"/>
        <v>0</v>
      </c>
      <c r="W272" s="788">
        <f t="shared" si="142"/>
        <v>2.138995</v>
      </c>
      <c r="X272" s="23">
        <f>'HVAC Deemed Table'!J1822</f>
        <v>6</v>
      </c>
      <c r="Y272" s="23">
        <f>'HVAC Deemed Table'!J1824</f>
        <v>12</v>
      </c>
      <c r="Z272" s="23">
        <f t="shared" si="164"/>
        <v>18</v>
      </c>
      <c r="AA272" s="18">
        <f>'HVAC Deemed Table'!DG1822</f>
        <v>3.9998675502126111</v>
      </c>
      <c r="AB272" s="259">
        <f>'HVAC Deemed Table'!K1822</f>
        <v>1077.7021397098724</v>
      </c>
      <c r="AC272" s="903">
        <f t="shared" si="165"/>
        <v>2938.2315617523227</v>
      </c>
      <c r="AD272" s="903">
        <f t="shared" si="139"/>
        <v>1372.4342556678944</v>
      </c>
      <c r="AE272" s="208">
        <f>'HVAC Deemed Table'!DI1822</f>
        <v>2248.3362078095734</v>
      </c>
      <c r="AF272" s="208">
        <f>'HVAC Deemed Table'!DI1823</f>
        <v>689.89535394274935</v>
      </c>
      <c r="AG272" s="208">
        <f>'HVAC Deemed Table'!DI1824</f>
        <v>795.32136035198289</v>
      </c>
      <c r="AH272" s="208">
        <f>'HVAC Deemed Table'!DI1825</f>
        <v>577.11289531591137</v>
      </c>
      <c r="AI272" s="906" t="str">
        <f t="shared" si="171"/>
        <v>per measure</v>
      </c>
      <c r="AJ272" s="47">
        <f>'HVAC Deemed Table'!L1822</f>
        <v>2.5833656509695291</v>
      </c>
      <c r="AK272" s="641"/>
      <c r="AL272" s="641"/>
      <c r="AX272" s="1355" t="str">
        <f t="shared" si="159"/>
        <v>ASHP-SEER20_ER1_SF</v>
      </c>
      <c r="AY272" s="1378"/>
      <c r="AZ272" s="1446" t="str">
        <f t="shared" si="160"/>
        <v>354550</v>
      </c>
      <c r="BA272" s="1331">
        <f>ROUND((K272*$BC$3)+(K273*$BC$4),2)</f>
        <v>1621.81</v>
      </c>
      <c r="BB272" s="1331">
        <f>ROUND((L272*$BC$3)+(L273*$BC$4),2)</f>
        <v>2314.98</v>
      </c>
      <c r="BC272" s="1331">
        <f>ROUND((M272*$BC$3)+(K273*$BC$4),2)</f>
        <v>635.98</v>
      </c>
      <c r="BD272" s="1331">
        <f>(N272*$BC$3)+(L273*$BC$4)</f>
        <v>1796.248</v>
      </c>
      <c r="BE272" s="1305"/>
      <c r="BF272" s="1321">
        <f>ROUND(BA272*'CP FACTORS'!$B$9,6)</f>
        <v>1.536532</v>
      </c>
      <c r="BG272" s="1322">
        <f>ROUND(BB272*'CP FACTORS'!$B$14,6)</f>
        <v>0</v>
      </c>
      <c r="BH272" s="1321">
        <f>ROUND(BC272*'CP FACTORS'!$B$9,6)</f>
        <v>0.60253900000000005</v>
      </c>
      <c r="BI272" s="1323">
        <f>ROUND(BD272*'CP FACTORS'!$B$14,6)</f>
        <v>0</v>
      </c>
      <c r="BJ272" s="1305"/>
      <c r="BK272" s="730">
        <f t="shared" si="145"/>
        <v>3936.79</v>
      </c>
      <c r="BL272" s="1342">
        <f t="shared" si="146"/>
        <v>2432.2280000000001</v>
      </c>
      <c r="BM272" s="1341">
        <f t="shared" si="147"/>
        <v>1.536532</v>
      </c>
      <c r="BN272" s="1340">
        <f t="shared" si="148"/>
        <v>0.60253900000000005</v>
      </c>
    </row>
    <row r="273" spans="1:66">
      <c r="A273" s="51" t="str">
        <f t="shared" si="163"/>
        <v>354600</v>
      </c>
      <c r="B273" s="1442" t="str">
        <f>'HVAC Deemed Table'!C1826</f>
        <v>354600_2024_12_</v>
      </c>
      <c r="C273" s="887" t="str">
        <f>'HVAC Deemed Table'!G1826</f>
        <v>Cooling Res</v>
      </c>
      <c r="D273" s="887" t="str">
        <f>'HVAC Deemed Table'!G1827</f>
        <v>Heating Res</v>
      </c>
      <c r="E273" s="1378"/>
      <c r="F273" s="1378"/>
      <c r="G273" s="1378" t="str">
        <f>'HVAC Deemed Table'!E1826</f>
        <v>ASHP-SEER20_ROF_SF</v>
      </c>
      <c r="H273" s="19" t="str">
        <f>'HVAC Deemed Table'!D1826</f>
        <v>PAYS/SFIE</v>
      </c>
      <c r="I273" s="785">
        <f t="shared" si="149"/>
        <v>2596.65</v>
      </c>
      <c r="J273" s="785">
        <f t="shared" si="150"/>
        <v>0</v>
      </c>
      <c r="K273" s="202">
        <f>'HVAC Deemed Table'!F1826</f>
        <v>667.97</v>
      </c>
      <c r="L273" s="202">
        <f>'HVAC Deemed Table'!F1827</f>
        <v>1928.68</v>
      </c>
      <c r="M273" s="202"/>
      <c r="N273" s="202"/>
      <c r="O273" s="786">
        <f t="shared" si="151"/>
        <v>0.63284700000000005</v>
      </c>
      <c r="P273" s="786">
        <f t="shared" si="152"/>
        <v>0</v>
      </c>
      <c r="Q273" s="787">
        <f>'HVAC Deemed Table'!I1826</f>
        <v>0.63284700000000005</v>
      </c>
      <c r="R273" s="787">
        <f>'HVAC Deemed Table'!I1827</f>
        <v>0</v>
      </c>
      <c r="S273" s="787"/>
      <c r="T273" s="787"/>
      <c r="U273" s="788">
        <f t="shared" si="140"/>
        <v>0</v>
      </c>
      <c r="V273" s="788">
        <f t="shared" si="141"/>
        <v>0</v>
      </c>
      <c r="W273" s="788">
        <f t="shared" si="142"/>
        <v>0.63284700000000005</v>
      </c>
      <c r="X273" s="23">
        <f>'HVAC Deemed Table'!J1826</f>
        <v>18</v>
      </c>
      <c r="Y273" s="23"/>
      <c r="Z273" s="23">
        <f t="shared" si="164"/>
        <v>18</v>
      </c>
      <c r="AA273" s="18">
        <f>'HVAC Deemed Table'!DG1826</f>
        <v>2.4962269624491458</v>
      </c>
      <c r="AB273" s="259">
        <f>'HVAC Deemed Table'!K1826</f>
        <v>1081</v>
      </c>
      <c r="AC273" s="903">
        <f t="shared" si="165"/>
        <v>2698.4213464075265</v>
      </c>
      <c r="AD273" s="903">
        <f t="shared" si="139"/>
        <v>0</v>
      </c>
      <c r="AE273" s="208">
        <f>'HVAC Deemed Table'!DI1826</f>
        <v>1529.4969318930594</v>
      </c>
      <c r="AF273" s="208">
        <f>'HVAC Deemed Table'!DI1827</f>
        <v>1168.9244145144671</v>
      </c>
      <c r="AG273" s="208"/>
      <c r="AH273" s="208"/>
      <c r="AI273" s="906" t="str">
        <f t="shared" si="171"/>
        <v>per measure</v>
      </c>
      <c r="AJ273" s="47">
        <f>'HVAC Deemed Table'!L1826</f>
        <v>2.8870833333333334</v>
      </c>
      <c r="AK273" s="641"/>
      <c r="AL273" s="641"/>
      <c r="AX273" s="1355" t="str">
        <f t="shared" si="159"/>
        <v>ASHP-SEER20_ROF_SF</v>
      </c>
      <c r="AY273" s="1378"/>
      <c r="AZ273" s="1446" t="str">
        <f t="shared" si="160"/>
        <v>354600</v>
      </c>
      <c r="BA273" s="1331">
        <f>BA272</f>
        <v>1621.81</v>
      </c>
      <c r="BB273" s="1331">
        <f>BB272</f>
        <v>2314.98</v>
      </c>
      <c r="BC273" s="1331">
        <f>BC272</f>
        <v>635.98</v>
      </c>
      <c r="BD273" s="1331">
        <f>BD272</f>
        <v>1796.248</v>
      </c>
      <c r="BE273" s="1305"/>
      <c r="BF273" s="1321">
        <f>ROUND(BA273*'CP FACTORS'!$B$9,6)</f>
        <v>1.536532</v>
      </c>
      <c r="BG273" s="1322">
        <f>ROUND(BB273*'CP FACTORS'!$B$14,6)</f>
        <v>0</v>
      </c>
      <c r="BH273" s="1321">
        <f>ROUND(BC273*'CP FACTORS'!$B$9,6)</f>
        <v>0.60253900000000005</v>
      </c>
      <c r="BI273" s="1323">
        <f>ROUND(BD273*'CP FACTORS'!$B$14,6)</f>
        <v>0</v>
      </c>
      <c r="BJ273" s="1305"/>
      <c r="BK273" s="730">
        <f t="shared" si="145"/>
        <v>3936.79</v>
      </c>
      <c r="BL273" s="1342">
        <f t="shared" si="146"/>
        <v>2432.2280000000001</v>
      </c>
      <c r="BM273" s="1341">
        <f t="shared" si="147"/>
        <v>1.536532</v>
      </c>
      <c r="BN273" s="1340">
        <f t="shared" si="148"/>
        <v>0.60253900000000005</v>
      </c>
    </row>
    <row r="274" spans="1:66" s="41" customFormat="1">
      <c r="A274" s="51" t="str">
        <f t="shared" si="163"/>
        <v>354650</v>
      </c>
      <c r="B274" s="1442" t="str">
        <f>'HVAC Deemed Table'!C1828</f>
        <v>354650_2024_12_</v>
      </c>
      <c r="C274" s="887" t="str">
        <f>'HVAC Deemed Table'!G1828</f>
        <v>Cooling Res</v>
      </c>
      <c r="D274" s="887" t="str">
        <f>'HVAC Deemed Table'!G1829</f>
        <v>Heating Res</v>
      </c>
      <c r="E274" s="887" t="str">
        <f>'HVAC Deemed Table'!G1830</f>
        <v>Cooling Res ER2</v>
      </c>
      <c r="F274" s="887" t="str">
        <f>'HVAC Deemed Table'!G1831</f>
        <v>Heating Res ER2</v>
      </c>
      <c r="G274" s="1378" t="str">
        <f>'HVAC Deemed Table'!E1828</f>
        <v>ASHP-SEER20-Replace_CAC_ElectricHeat_ER1_MF</v>
      </c>
      <c r="H274" s="19" t="str">
        <f>'HVAC Deemed Table'!D1828</f>
        <v>MFIE</v>
      </c>
      <c r="I274" s="785">
        <f t="shared" si="149"/>
        <v>8231.66</v>
      </c>
      <c r="J274" s="785">
        <f t="shared" si="150"/>
        <v>7277.25</v>
      </c>
      <c r="K274" s="202">
        <f>'HVAC Deemed Table'!F1828</f>
        <v>1471.88</v>
      </c>
      <c r="L274" s="202">
        <f>'HVAC Deemed Table'!F1829</f>
        <v>6759.78</v>
      </c>
      <c r="M274" s="202">
        <f>'HVAC Deemed Table'!F1830</f>
        <v>517.47</v>
      </c>
      <c r="N274" s="202">
        <f>'HVAC Deemed Table'!F1831</f>
        <v>6759.78</v>
      </c>
      <c r="O274" s="786">
        <f t="shared" si="151"/>
        <v>1.3944859999999999</v>
      </c>
      <c r="P274" s="786">
        <f t="shared" si="152"/>
        <v>0.49025999999999997</v>
      </c>
      <c r="Q274" s="787">
        <f>'HVAC Deemed Table'!I1828</f>
        <v>1.3944859999999999</v>
      </c>
      <c r="R274" s="787">
        <f>'HVAC Deemed Table'!I1829</f>
        <v>0</v>
      </c>
      <c r="S274" s="787">
        <f>'HVAC Deemed Table'!I1830</f>
        <v>0.49025999999999997</v>
      </c>
      <c r="T274" s="787">
        <f>'HVAC Deemed Table'!I1831</f>
        <v>0</v>
      </c>
      <c r="U274" s="788">
        <f t="shared" ref="U274:U337" si="174">IFERROR(IF(V274+W274&gt;0,0,IF(Z274&gt;0,O274,0)),0)</f>
        <v>0</v>
      </c>
      <c r="V274" s="788">
        <f t="shared" ref="V274:V337" si="175">IF(W274&gt;0,0,IF(Z274&gt;9,O274,0))</f>
        <v>0</v>
      </c>
      <c r="W274" s="788">
        <f t="shared" ref="W274:W337" si="176">IF(Z274&gt;14,O274,0)</f>
        <v>1.3944859999999999</v>
      </c>
      <c r="X274" s="23">
        <f>'HVAC Deemed Table'!J1828</f>
        <v>6</v>
      </c>
      <c r="Y274" s="23">
        <f>'HVAC Deemed Table'!J1830</f>
        <v>12</v>
      </c>
      <c r="Z274" s="23">
        <f t="shared" si="164"/>
        <v>18</v>
      </c>
      <c r="AA274" s="18">
        <f>'HVAC Deemed Table'!DG1828</f>
        <v>1.6197248784742688</v>
      </c>
      <c r="AB274" s="259">
        <f>'HVAC Deemed Table'!K1828</f>
        <v>3847.7316315552043</v>
      </c>
      <c r="AC274" s="903">
        <f t="shared" si="165"/>
        <v>3278.5986580646622</v>
      </c>
      <c r="AD274" s="903">
        <f t="shared" si="139"/>
        <v>2953.667991257691</v>
      </c>
      <c r="AE274" s="208">
        <f>'HVAC Deemed Table'!DI1828</f>
        <v>1465.7688974893831</v>
      </c>
      <c r="AF274" s="208">
        <f>'HVAC Deemed Table'!DI1829</f>
        <v>1812.8297605752794</v>
      </c>
      <c r="AG274" s="208">
        <f>'HVAC Deemed Table'!DI1830</f>
        <v>669.56519757482283</v>
      </c>
      <c r="AH274" s="208">
        <f>'HVAC Deemed Table'!DI1831</f>
        <v>2284.1027936828682</v>
      </c>
      <c r="AI274" s="906" t="str">
        <f t="shared" si="171"/>
        <v>per measure</v>
      </c>
      <c r="AJ274" s="47">
        <f>'HVAC Deemed Table'!L1828</f>
        <v>3.1</v>
      </c>
      <c r="AK274" s="641"/>
      <c r="AL274" s="641"/>
      <c r="AM274"/>
      <c r="AN274"/>
      <c r="AO274"/>
      <c r="AP274"/>
      <c r="AQ274"/>
      <c r="AR274"/>
      <c r="AS274"/>
      <c r="AT274"/>
      <c r="AU274"/>
      <c r="AV274"/>
      <c r="AW274"/>
      <c r="AX274" s="1355" t="str">
        <f t="shared" si="159"/>
        <v>ASHP-SEER20-Replace_CAC_ElectricHeat_ER1_MF</v>
      </c>
      <c r="AY274" s="1378"/>
      <c r="AZ274" s="1446" t="str">
        <f t="shared" si="160"/>
        <v>354650</v>
      </c>
      <c r="BA274" s="1329">
        <f>BA226</f>
        <v>1096.79</v>
      </c>
      <c r="BB274" s="1329">
        <f t="shared" ref="BB274:BD275" si="177">BB226</f>
        <v>6896.14</v>
      </c>
      <c r="BC274" s="1329">
        <f t="shared" si="177"/>
        <v>524.15</v>
      </c>
      <c r="BD274" s="1329">
        <f t="shared" si="177"/>
        <v>6896.14</v>
      </c>
      <c r="BE274" s="1306"/>
      <c r="BF274" s="1321">
        <f>ROUND(BA274*'CP FACTORS'!$B$9,6)</f>
        <v>1.0391189999999999</v>
      </c>
      <c r="BG274" s="1322">
        <f>ROUND(BB274*'CP FACTORS'!$B$14,6)</f>
        <v>0</v>
      </c>
      <c r="BH274" s="1321">
        <f>ROUND(BC274*'CP FACTORS'!$B$9,6)</f>
        <v>0.496589</v>
      </c>
      <c r="BI274" s="1323">
        <f>ROUND(BD274*'CP FACTORS'!$B$14,6)</f>
        <v>0</v>
      </c>
      <c r="BJ274" s="1305"/>
      <c r="BK274" s="730">
        <f t="shared" si="145"/>
        <v>7992.93</v>
      </c>
      <c r="BL274" s="1342">
        <f t="shared" si="146"/>
        <v>7420.29</v>
      </c>
      <c r="BM274" s="1341">
        <f t="shared" si="147"/>
        <v>1.0391189999999999</v>
      </c>
      <c r="BN274" s="1340">
        <f t="shared" si="148"/>
        <v>0.496589</v>
      </c>
    </row>
    <row r="275" spans="1:66" s="696" customFormat="1">
      <c r="A275" s="2958" t="str">
        <f t="shared" si="163"/>
        <v>354651</v>
      </c>
      <c r="B275" s="2233" t="str">
        <f>'HVAC Deemed Table'!C1832</f>
        <v>354651_2024_12_</v>
      </c>
      <c r="C275" s="3874" t="str">
        <f>'HVAC Deemed Table'!G1832</f>
        <v>Cooling Res</v>
      </c>
      <c r="D275" s="3874" t="str">
        <f>'HVAC Deemed Table'!G1833</f>
        <v>Heating Res</v>
      </c>
      <c r="E275" s="3874" t="str">
        <f>'HVAC Deemed Table'!G1834</f>
        <v>Cooling Res ER2</v>
      </c>
      <c r="F275" s="3874" t="str">
        <f>'HVAC Deemed Table'!G1835</f>
        <v>Heating Res ER2</v>
      </c>
      <c r="G275" s="2724" t="str">
        <f>'HVAC Deemed Table'!E1832</f>
        <v>ASHP-SEER20-Replace_CAC_ElectricHeat_ER1_MF_CompE</v>
      </c>
      <c r="H275" s="2554" t="str">
        <f>'HVAC Deemed Table'!D1832</f>
        <v>MFc</v>
      </c>
      <c r="I275" s="3840">
        <f t="shared" si="149"/>
        <v>3374.93</v>
      </c>
      <c r="J275" s="3840">
        <f t="shared" si="150"/>
        <v>2680.81</v>
      </c>
      <c r="K275" s="3251">
        <f>'HVAC Deemed Table'!F1832</f>
        <v>1070.46</v>
      </c>
      <c r="L275" s="3251">
        <f>'HVAC Deemed Table'!F1833</f>
        <v>2304.4699999999998</v>
      </c>
      <c r="M275" s="3251">
        <f>'HVAC Deemed Table'!F1834</f>
        <v>376.34</v>
      </c>
      <c r="N275" s="3251">
        <f>'HVAC Deemed Table'!F1835</f>
        <v>2304.4699999999998</v>
      </c>
      <c r="O275" s="3841">
        <f t="shared" si="151"/>
        <v>1.014173</v>
      </c>
      <c r="P275" s="3841">
        <f t="shared" si="152"/>
        <v>0.35655100000000001</v>
      </c>
      <c r="Q275" s="3842">
        <f>'HVAC Deemed Table'!I1832</f>
        <v>1.014173</v>
      </c>
      <c r="R275" s="3842">
        <f>'HVAC Deemed Table'!I1833</f>
        <v>0</v>
      </c>
      <c r="S275" s="3842">
        <f>'HVAC Deemed Table'!I1834</f>
        <v>0.35655100000000001</v>
      </c>
      <c r="T275" s="3842">
        <f>'HVAC Deemed Table'!I1835</f>
        <v>0</v>
      </c>
      <c r="U275" s="3843">
        <f t="shared" si="174"/>
        <v>0</v>
      </c>
      <c r="V275" s="3843">
        <f t="shared" si="175"/>
        <v>0</v>
      </c>
      <c r="W275" s="3843">
        <f t="shared" si="176"/>
        <v>1.014173</v>
      </c>
      <c r="X275" s="2846">
        <f>'HVAC Deemed Table'!J1832</f>
        <v>6</v>
      </c>
      <c r="Y275" s="2846">
        <f>'HVAC Deemed Table'!J1834</f>
        <v>12</v>
      </c>
      <c r="Z275" s="2846">
        <f t="shared" si="164"/>
        <v>18</v>
      </c>
      <c r="AA275" s="2529">
        <f>'HVAC Deemed Table'!DG1832</f>
        <v>0.76659478065330788</v>
      </c>
      <c r="AB275" s="3878">
        <f>'HVAC Deemed Table'!K1832</f>
        <v>3847.7316315552043</v>
      </c>
      <c r="AC275" s="3845">
        <f t="shared" si="165"/>
        <v>1684.0255780127504</v>
      </c>
      <c r="AD275" s="3845">
        <f t="shared" ref="AD275:AD328" si="178">AG275+AH275</f>
        <v>1265.6254080921058</v>
      </c>
      <c r="AE275" s="3846">
        <f>'HVAC Deemed Table'!DI1832</f>
        <v>1066.0155542615464</v>
      </c>
      <c r="AF275" s="3846">
        <f>'HVAC Deemed Table'!DI1833</f>
        <v>618.01002375120402</v>
      </c>
      <c r="AG275" s="3846">
        <f>'HVAC Deemed Table'!DI1834</f>
        <v>486.95415474386692</v>
      </c>
      <c r="AH275" s="3846">
        <f>'HVAC Deemed Table'!DI1835</f>
        <v>778.67125334823891</v>
      </c>
      <c r="AI275" s="3847" t="str">
        <f t="shared" si="171"/>
        <v>per measure</v>
      </c>
      <c r="AJ275" s="3220">
        <f>'HVAC Deemed Table'!L1832</f>
        <v>3.1</v>
      </c>
      <c r="AK275" s="3848"/>
      <c r="AL275" s="3848"/>
      <c r="AX275" s="3849" t="str">
        <f t="shared" si="159"/>
        <v>ASHP-SEER20-Replace_CAC_ElectricHeat_ER1_MF_CompE</v>
      </c>
      <c r="AY275" s="2724"/>
      <c r="AZ275" s="3850" t="str">
        <f t="shared" si="160"/>
        <v>354651</v>
      </c>
      <c r="BA275" s="3885">
        <f>BA227</f>
        <v>797.67</v>
      </c>
      <c r="BB275" s="3885">
        <f t="shared" si="177"/>
        <v>2350.96</v>
      </c>
      <c r="BC275" s="3885">
        <f t="shared" si="177"/>
        <v>381.2</v>
      </c>
      <c r="BD275" s="3885">
        <f t="shared" si="177"/>
        <v>2350.96</v>
      </c>
      <c r="BE275" s="3853"/>
      <c r="BF275" s="3854">
        <f>ROUND(BA275*'CP FACTORS'!$B$9,6)</f>
        <v>0.75572700000000004</v>
      </c>
      <c r="BG275" s="3854">
        <f>ROUND(BB275*'CP FACTORS'!$B$14,6)</f>
        <v>0</v>
      </c>
      <c r="BH275" s="3854">
        <f>ROUND(BC275*'CP FACTORS'!$B$9,6)</f>
        <v>0.36115599999999998</v>
      </c>
      <c r="BI275" s="3855">
        <f>ROUND(BD275*'CP FACTORS'!$B$14,6)</f>
        <v>0</v>
      </c>
      <c r="BJ275" s="3853"/>
      <c r="BK275" s="3856">
        <f t="shared" si="145"/>
        <v>3148.63</v>
      </c>
      <c r="BL275" s="3857">
        <f t="shared" si="146"/>
        <v>2732.16</v>
      </c>
      <c r="BM275" s="3858">
        <f t="shared" si="147"/>
        <v>0.75572700000000004</v>
      </c>
      <c r="BN275" s="3855">
        <f t="shared" si="148"/>
        <v>0.36115599999999998</v>
      </c>
    </row>
    <row r="276" spans="1:66" s="696" customFormat="1">
      <c r="A276" s="2958" t="str">
        <f t="shared" si="163"/>
        <v>354660</v>
      </c>
      <c r="B276" s="2233" t="str">
        <f>'HVAC Deemed Table'!C1836</f>
        <v>354660_2024_12_</v>
      </c>
      <c r="C276" s="3874" t="str">
        <f>'HVAC Deemed Table'!G1836</f>
        <v>Cooling Res</v>
      </c>
      <c r="D276" s="3874" t="str">
        <f>'HVAC Deemed Table'!G1837</f>
        <v>Heating Res</v>
      </c>
      <c r="E276" s="3874" t="str">
        <f>'HVAC Deemed Table'!G1838</f>
        <v>Cooling Res ER2</v>
      </c>
      <c r="F276" s="3874" t="str">
        <f>'HVAC Deemed Table'!G1839</f>
        <v>Heating Res ER2</v>
      </c>
      <c r="G276" s="2724" t="str">
        <f>'HVAC Deemed Table'!E1836</f>
        <v>ASHP-SEER20-Replace_CAC_NonElectricHeat_ER1_MF</v>
      </c>
      <c r="H276" s="2554" t="str">
        <f>'HVAC Deemed Table'!D1836</f>
        <v>MF</v>
      </c>
      <c r="I276" s="3840">
        <f t="shared" si="149"/>
        <v>1471.88</v>
      </c>
      <c r="J276" s="3840">
        <f t="shared" si="150"/>
        <v>517.47</v>
      </c>
      <c r="K276" s="3251">
        <f>'HVAC Deemed Table'!F1836</f>
        <v>1471.88</v>
      </c>
      <c r="L276" s="3251">
        <f>'HVAC Deemed Table'!F1837</f>
        <v>0</v>
      </c>
      <c r="M276" s="3251">
        <f>'HVAC Deemed Table'!F1838</f>
        <v>517.47</v>
      </c>
      <c r="N276" s="3251">
        <f>'HVAC Deemed Table'!F1839</f>
        <v>0</v>
      </c>
      <c r="O276" s="3841">
        <f t="shared" si="151"/>
        <v>1.3944859999999999</v>
      </c>
      <c r="P276" s="3841">
        <f t="shared" si="152"/>
        <v>0.49025999999999997</v>
      </c>
      <c r="Q276" s="3842">
        <f>'HVAC Deemed Table'!I1836</f>
        <v>1.3944859999999999</v>
      </c>
      <c r="R276" s="3842">
        <f>'HVAC Deemed Table'!I1837</f>
        <v>0</v>
      </c>
      <c r="S276" s="3842">
        <f>'HVAC Deemed Table'!I1838</f>
        <v>0.49025999999999997</v>
      </c>
      <c r="T276" s="3842">
        <f>'HVAC Deemed Table'!I1839</f>
        <v>0</v>
      </c>
      <c r="U276" s="3843">
        <f t="shared" si="174"/>
        <v>0</v>
      </c>
      <c r="V276" s="3843">
        <f t="shared" si="175"/>
        <v>0</v>
      </c>
      <c r="W276" s="3843">
        <f t="shared" si="176"/>
        <v>1.3944859999999999</v>
      </c>
      <c r="X276" s="2846">
        <f>'HVAC Deemed Table'!J1836</f>
        <v>6</v>
      </c>
      <c r="Y276" s="2846">
        <f>'HVAC Deemed Table'!J1838</f>
        <v>12</v>
      </c>
      <c r="Z276" s="2846">
        <f t="shared" si="164"/>
        <v>18</v>
      </c>
      <c r="AA276" s="2529">
        <f>'HVAC Deemed Table'!DG1836</f>
        <v>4.3264445146939927</v>
      </c>
      <c r="AB276" s="3878">
        <f>'HVAC Deemed Table'!K1836</f>
        <v>493.55402289615103</v>
      </c>
      <c r="AC276" s="3845">
        <f t="shared" si="165"/>
        <v>1465.7688974893831</v>
      </c>
      <c r="AD276" s="3845">
        <f t="shared" si="178"/>
        <v>669.56519757482283</v>
      </c>
      <c r="AE276" s="3846">
        <f>'HVAC Deemed Table'!DI1836</f>
        <v>1465.7688974893831</v>
      </c>
      <c r="AF276" s="3846">
        <f>'HVAC Deemed Table'!DI1837</f>
        <v>0</v>
      </c>
      <c r="AG276" s="3846">
        <f>'HVAC Deemed Table'!DI1838</f>
        <v>669.56519757482283</v>
      </c>
      <c r="AH276" s="3846">
        <f>'HVAC Deemed Table'!DI1839</f>
        <v>0</v>
      </c>
      <c r="AI276" s="3847" t="str">
        <f t="shared" si="171"/>
        <v>per measure</v>
      </c>
      <c r="AJ276" s="3220">
        <f>'HVAC Deemed Table'!L1836</f>
        <v>3.1</v>
      </c>
      <c r="AK276" s="3848"/>
      <c r="AL276" s="3848"/>
      <c r="AX276" s="3849" t="str">
        <f t="shared" si="159"/>
        <v>ASHP-SEER20-Replace_CAC_NonElectricHeat_ER1_MF</v>
      </c>
      <c r="AY276" s="2724"/>
      <c r="AZ276" s="3850" t="str">
        <f t="shared" si="160"/>
        <v>354660</v>
      </c>
      <c r="BA276" s="3885">
        <f t="shared" ref="BA276:BD277" si="179">BA228</f>
        <v>1096.79</v>
      </c>
      <c r="BB276" s="3885">
        <f t="shared" si="179"/>
        <v>0</v>
      </c>
      <c r="BC276" s="3885">
        <f t="shared" si="179"/>
        <v>524.15</v>
      </c>
      <c r="BD276" s="3885">
        <f t="shared" si="179"/>
        <v>0</v>
      </c>
      <c r="BE276" s="3853"/>
      <c r="BF276" s="3854">
        <f>ROUND(BA276*'CP FACTORS'!$B$9,6)</f>
        <v>1.0391189999999999</v>
      </c>
      <c r="BG276" s="3854">
        <f>ROUND(BB276*'CP FACTORS'!$B$14,6)</f>
        <v>0</v>
      </c>
      <c r="BH276" s="3854">
        <f>ROUND(BC276*'CP FACTORS'!$B$9,6)</f>
        <v>0.496589</v>
      </c>
      <c r="BI276" s="3855">
        <f>ROUND(BD276*'CP FACTORS'!$B$14,6)</f>
        <v>0</v>
      </c>
      <c r="BJ276" s="3853"/>
      <c r="BK276" s="3856">
        <f t="shared" ref="BK276:BK329" si="180">BA276+BB276</f>
        <v>1096.79</v>
      </c>
      <c r="BL276" s="3857">
        <f t="shared" ref="BL276:BL329" si="181">BC276+BD276</f>
        <v>524.15</v>
      </c>
      <c r="BM276" s="3858">
        <f t="shared" ref="BM276:BM329" si="182">BF276+BG276</f>
        <v>1.0391189999999999</v>
      </c>
      <c r="BN276" s="3855">
        <f t="shared" ref="BN276:BN329" si="183">BH276+BI276</f>
        <v>0.496589</v>
      </c>
    </row>
    <row r="277" spans="1:66" s="696" customFormat="1">
      <c r="A277" s="2958" t="str">
        <f t="shared" si="163"/>
        <v>354661</v>
      </c>
      <c r="B277" s="2233" t="str">
        <f>'HVAC Deemed Table'!C1840</f>
        <v>354661_2024_12_</v>
      </c>
      <c r="C277" s="3874" t="str">
        <f>'HVAC Deemed Table'!G1840</f>
        <v>Cooling Res</v>
      </c>
      <c r="D277" s="3874" t="str">
        <f>'HVAC Deemed Table'!G1841</f>
        <v>Heating Res</v>
      </c>
      <c r="E277" s="3874" t="str">
        <f>'HVAC Deemed Table'!G1842</f>
        <v>Cooling Res ER2</v>
      </c>
      <c r="F277" s="3874" t="str">
        <f>'HVAC Deemed Table'!G1843</f>
        <v>Heating Res ER2</v>
      </c>
      <c r="G277" s="2724" t="str">
        <f>'HVAC Deemed Table'!E1840</f>
        <v>ASHP-SEER20-Replace_CAC_NonElectricHeat_ER1_MF_CompE</v>
      </c>
      <c r="H277" s="2554" t="str">
        <f>'HVAC Deemed Table'!D1840</f>
        <v>MFc</v>
      </c>
      <c r="I277" s="3840">
        <f t="shared" si="149"/>
        <v>1070.46</v>
      </c>
      <c r="J277" s="3840">
        <f t="shared" si="150"/>
        <v>376.34</v>
      </c>
      <c r="K277" s="3251">
        <f>'HVAC Deemed Table'!F1840</f>
        <v>1070.46</v>
      </c>
      <c r="L277" s="3251">
        <f>'HVAC Deemed Table'!F1841</f>
        <v>0</v>
      </c>
      <c r="M277" s="3251">
        <f>'HVAC Deemed Table'!F1842</f>
        <v>376.34</v>
      </c>
      <c r="N277" s="3251">
        <f>'HVAC Deemed Table'!F1843</f>
        <v>0</v>
      </c>
      <c r="O277" s="3841">
        <f t="shared" si="151"/>
        <v>1.014173</v>
      </c>
      <c r="P277" s="3841">
        <f t="shared" si="152"/>
        <v>0.35655100000000001</v>
      </c>
      <c r="Q277" s="3842">
        <f>'HVAC Deemed Table'!I1840</f>
        <v>1.014173</v>
      </c>
      <c r="R277" s="3842">
        <f>'HVAC Deemed Table'!I1841</f>
        <v>0</v>
      </c>
      <c r="S277" s="3842">
        <f>'HVAC Deemed Table'!I1842</f>
        <v>0.35655100000000001</v>
      </c>
      <c r="T277" s="3842">
        <f>'HVAC Deemed Table'!I1843</f>
        <v>0</v>
      </c>
      <c r="U277" s="3843">
        <f t="shared" si="174"/>
        <v>0</v>
      </c>
      <c r="V277" s="3843">
        <f t="shared" si="175"/>
        <v>0</v>
      </c>
      <c r="W277" s="3843">
        <f t="shared" si="176"/>
        <v>1.014173</v>
      </c>
      <c r="X277" s="2846">
        <f>'HVAC Deemed Table'!J1840</f>
        <v>6</v>
      </c>
      <c r="Y277" s="2846">
        <f>'HVAC Deemed Table'!J1842</f>
        <v>12</v>
      </c>
      <c r="Z277" s="2846">
        <f t="shared" si="164"/>
        <v>18</v>
      </c>
      <c r="AA277" s="2529">
        <f>'HVAC Deemed Table'!DG1840</f>
        <v>1.6893394804848447</v>
      </c>
      <c r="AB277" s="3878">
        <f>'HVAC Deemed Table'!K1840</f>
        <v>919.27627747130316</v>
      </c>
      <c r="AC277" s="3845">
        <f t="shared" si="165"/>
        <v>1066.0155542615464</v>
      </c>
      <c r="AD277" s="3845">
        <f t="shared" si="178"/>
        <v>486.95415474386692</v>
      </c>
      <c r="AE277" s="3846">
        <f>'HVAC Deemed Table'!DI1840</f>
        <v>1066.0155542615464</v>
      </c>
      <c r="AF277" s="3846">
        <f>'HVAC Deemed Table'!DI1841</f>
        <v>0</v>
      </c>
      <c r="AG277" s="3846">
        <f>'HVAC Deemed Table'!DI1842</f>
        <v>486.95415474386692</v>
      </c>
      <c r="AH277" s="3846">
        <f>'HVAC Deemed Table'!DI1843</f>
        <v>0</v>
      </c>
      <c r="AI277" s="3847" t="str">
        <f t="shared" si="171"/>
        <v>per measure</v>
      </c>
      <c r="AJ277" s="3220">
        <f>'HVAC Deemed Table'!L1840</f>
        <v>3.1</v>
      </c>
      <c r="AK277" s="3848"/>
      <c r="AL277" s="3848"/>
      <c r="AX277" s="3849" t="str">
        <f t="shared" si="159"/>
        <v>ASHP-SEER20-Replace_CAC_NonElectricHeat_ER1_MF_CompE</v>
      </c>
      <c r="AY277" s="2724"/>
      <c r="AZ277" s="3850" t="str">
        <f t="shared" si="160"/>
        <v>354661</v>
      </c>
      <c r="BA277" s="3885">
        <f t="shared" si="179"/>
        <v>797.67</v>
      </c>
      <c r="BB277" s="3885">
        <f t="shared" si="179"/>
        <v>0</v>
      </c>
      <c r="BC277" s="3885">
        <f t="shared" si="179"/>
        <v>381.2</v>
      </c>
      <c r="BD277" s="3885">
        <f t="shared" si="179"/>
        <v>0</v>
      </c>
      <c r="BE277" s="3853"/>
      <c r="BF277" s="3854">
        <f>ROUND(BA277*'CP FACTORS'!$B$9,6)</f>
        <v>0.75572700000000004</v>
      </c>
      <c r="BG277" s="3854">
        <f>ROUND(BB277*'CP FACTORS'!$B$14,6)</f>
        <v>0</v>
      </c>
      <c r="BH277" s="3854">
        <f>ROUND(BC277*'CP FACTORS'!$B$9,6)</f>
        <v>0.36115599999999998</v>
      </c>
      <c r="BI277" s="3855">
        <f>ROUND(BD277*'CP FACTORS'!$B$14,6)</f>
        <v>0</v>
      </c>
      <c r="BJ277" s="3853"/>
      <c r="BK277" s="3856">
        <f t="shared" si="180"/>
        <v>797.67</v>
      </c>
      <c r="BL277" s="3857">
        <f t="shared" si="181"/>
        <v>381.2</v>
      </c>
      <c r="BM277" s="3858">
        <f t="shared" si="182"/>
        <v>0.75572700000000004</v>
      </c>
      <c r="BN277" s="3855">
        <f t="shared" si="183"/>
        <v>0.36115599999999998</v>
      </c>
    </row>
    <row r="278" spans="1:66">
      <c r="A278" s="51" t="str">
        <f t="shared" si="163"/>
        <v>354700</v>
      </c>
      <c r="B278" s="1442" t="str">
        <f>'HVAC Deemed Table'!C1844</f>
        <v>354700_2024_12_</v>
      </c>
      <c r="C278" s="887" t="str">
        <f>'HVAC Deemed Table'!G1844</f>
        <v>Cooling Res</v>
      </c>
      <c r="D278" s="887" t="str">
        <f>'HVAC Deemed Table'!G1845</f>
        <v>Heating Res</v>
      </c>
      <c r="E278" s="887" t="str">
        <f>'HVAC Deemed Table'!G1846</f>
        <v>Cooling Res ER2</v>
      </c>
      <c r="F278" s="887" t="str">
        <f>'HVAC Deemed Table'!G1847</f>
        <v>Heating Res ER2</v>
      </c>
      <c r="G278" s="1378" t="str">
        <f>'HVAC Deemed Table'!E1844</f>
        <v>ASHP-SEER20_ER1_MF</v>
      </c>
      <c r="H278" s="19" t="str">
        <f>'HVAC Deemed Table'!D1844</f>
        <v>MFIE</v>
      </c>
      <c r="I278" s="785">
        <f t="shared" si="149"/>
        <v>3365.6</v>
      </c>
      <c r="J278" s="785">
        <f t="shared" si="150"/>
        <v>1526.7</v>
      </c>
      <c r="K278" s="202">
        <f>'HVAC Deemed Table'!F1844</f>
        <v>1566.84</v>
      </c>
      <c r="L278" s="202">
        <f>'HVAC Deemed Table'!F1845</f>
        <v>1798.76</v>
      </c>
      <c r="M278" s="202">
        <f>'HVAC Deemed Table'!F1846</f>
        <v>445.8</v>
      </c>
      <c r="N278" s="202">
        <f>'HVAC Deemed Table'!F1847</f>
        <v>1080.9000000000001</v>
      </c>
      <c r="O278" s="786">
        <f t="shared" si="151"/>
        <v>1.484453</v>
      </c>
      <c r="P278" s="786">
        <f t="shared" si="152"/>
        <v>0.42235899999999998</v>
      </c>
      <c r="Q278" s="787">
        <f>'HVAC Deemed Table'!I1844</f>
        <v>1.484453</v>
      </c>
      <c r="R278" s="787">
        <f>'HVAC Deemed Table'!I1845</f>
        <v>0</v>
      </c>
      <c r="S278" s="787">
        <f>'HVAC Deemed Table'!I1846</f>
        <v>0.42235899999999998</v>
      </c>
      <c r="T278" s="787">
        <f>'HVAC Deemed Table'!I1847</f>
        <v>0</v>
      </c>
      <c r="U278" s="788">
        <f t="shared" si="174"/>
        <v>0</v>
      </c>
      <c r="V278" s="788">
        <f t="shared" si="175"/>
        <v>0</v>
      </c>
      <c r="W278" s="788">
        <f t="shared" si="176"/>
        <v>1.484453</v>
      </c>
      <c r="X278" s="23">
        <f>'HVAC Deemed Table'!J1844</f>
        <v>6</v>
      </c>
      <c r="Y278" s="23">
        <f>'HVAC Deemed Table'!J1846</f>
        <v>12</v>
      </c>
      <c r="Z278" s="23">
        <f t="shared" si="164"/>
        <v>18</v>
      </c>
      <c r="AA278" s="18">
        <f>'HVAC Deemed Table'!DG1844</f>
        <v>2.7700554875978467</v>
      </c>
      <c r="AB278" s="259">
        <f>'HVAC Deemed Table'!K1844</f>
        <v>1077.5183641564863</v>
      </c>
      <c r="AC278" s="903">
        <f t="shared" si="165"/>
        <v>2042.7239502346843</v>
      </c>
      <c r="AD278" s="903">
        <f t="shared" si="178"/>
        <v>942.06170738444598</v>
      </c>
      <c r="AE278" s="208">
        <f>'HVAC Deemed Table'!DI1844</f>
        <v>1560.3346328112787</v>
      </c>
      <c r="AF278" s="208">
        <f>'HVAC Deemed Table'!DI1845</f>
        <v>482.38931742340571</v>
      </c>
      <c r="AG278" s="208">
        <f>'HVAC Deemed Table'!DI1846</f>
        <v>576.82989367278492</v>
      </c>
      <c r="AH278" s="208">
        <f>'HVAC Deemed Table'!DI1847</f>
        <v>365.23181371166106</v>
      </c>
      <c r="AI278" s="906" t="str">
        <f t="shared" si="171"/>
        <v>per measure</v>
      </c>
      <c r="AJ278" s="47">
        <f>'HVAC Deemed Table'!L1844</f>
        <v>3.3</v>
      </c>
      <c r="AK278" s="641"/>
      <c r="AL278" s="641"/>
      <c r="AX278" s="1355" t="str">
        <f t="shared" si="159"/>
        <v>ASHP-SEER20_ER1_MF</v>
      </c>
      <c r="AY278" s="1378"/>
      <c r="AZ278" s="1446" t="str">
        <f t="shared" si="160"/>
        <v>354700</v>
      </c>
      <c r="BA278" s="1325">
        <f>ROUND((K278*$BC$3)+(K294*$BC$4),2)</f>
        <v>1118.42</v>
      </c>
      <c r="BB278" s="1325">
        <f>ROUND((L278*$BC$3)+(L294*$BC$4),2)</f>
        <v>1561.25</v>
      </c>
      <c r="BC278" s="1325">
        <f>ROUND((M278*$BC$3)+(K294*$BC$4),2)</f>
        <v>445.8</v>
      </c>
      <c r="BD278" s="1325">
        <f>ROUND((N278*$BC$3)+(L294*$BC$4),2)</f>
        <v>1130.53</v>
      </c>
      <c r="BE278" s="1305"/>
      <c r="BF278" s="1321">
        <f>ROUND(BA278*'CP FACTORS'!$B$9,6)</f>
        <v>1.0596110000000001</v>
      </c>
      <c r="BG278" s="1322">
        <f>ROUND(BB278*'CP FACTORS'!$B$14,6)</f>
        <v>0</v>
      </c>
      <c r="BH278" s="1321">
        <f>ROUND(BC278*'CP FACTORS'!$B$9,6)</f>
        <v>0.42235899999999998</v>
      </c>
      <c r="BI278" s="1323">
        <f>ROUND(BD278*'CP FACTORS'!$B$14,6)</f>
        <v>0</v>
      </c>
      <c r="BJ278" s="1305"/>
      <c r="BK278" s="730">
        <f t="shared" si="180"/>
        <v>2679.67</v>
      </c>
      <c r="BL278" s="1342">
        <f t="shared" si="181"/>
        <v>1576.33</v>
      </c>
      <c r="BM278" s="1341">
        <f t="shared" si="182"/>
        <v>1.0596110000000001</v>
      </c>
      <c r="BN278" s="1340">
        <f t="shared" si="183"/>
        <v>0.42235899999999998</v>
      </c>
    </row>
    <row r="279" spans="1:66" s="696" customFormat="1">
      <c r="A279" s="2958" t="str">
        <f t="shared" si="163"/>
        <v>354701</v>
      </c>
      <c r="B279" s="2233" t="str">
        <f>'HVAC Deemed Table'!C1848</f>
        <v>354701_2024_12_</v>
      </c>
      <c r="C279" s="3874" t="str">
        <f>'HVAC Deemed Table'!G1848</f>
        <v>Cooling Res</v>
      </c>
      <c r="D279" s="3874" t="str">
        <f>'HVAC Deemed Table'!G1849</f>
        <v>Heating Res</v>
      </c>
      <c r="E279" s="3874" t="str">
        <f>'HVAC Deemed Table'!G1850</f>
        <v>Cooling Res ER2</v>
      </c>
      <c r="F279" s="3874" t="str">
        <f>'HVAC Deemed Table'!G1851</f>
        <v>Heating Res ER2</v>
      </c>
      <c r="G279" s="2724" t="str">
        <f>'HVAC Deemed Table'!E1848</f>
        <v>ASHP-SEER20_ER1_MF_CompE</v>
      </c>
      <c r="H279" s="2554" t="str">
        <f>'HVAC Deemed Table'!D1848</f>
        <v>MFc</v>
      </c>
      <c r="I279" s="3840">
        <f t="shared" si="149"/>
        <v>1752.73</v>
      </c>
      <c r="J279" s="3840">
        <f t="shared" si="150"/>
        <v>692.71</v>
      </c>
      <c r="K279" s="3251">
        <f>'HVAC Deemed Table'!F1848</f>
        <v>1139.52</v>
      </c>
      <c r="L279" s="3251">
        <f>'HVAC Deemed Table'!F1849</f>
        <v>613.21</v>
      </c>
      <c r="M279" s="3251">
        <f>'HVAC Deemed Table'!F1850</f>
        <v>324.22000000000003</v>
      </c>
      <c r="N279" s="3251">
        <f>'HVAC Deemed Table'!F1851</f>
        <v>368.49</v>
      </c>
      <c r="O279" s="3841">
        <f t="shared" si="151"/>
        <v>1.079602</v>
      </c>
      <c r="P279" s="3841">
        <f t="shared" si="152"/>
        <v>0.307172</v>
      </c>
      <c r="Q279" s="3842">
        <f>'HVAC Deemed Table'!I1848</f>
        <v>1.079602</v>
      </c>
      <c r="R279" s="3842">
        <f>'HVAC Deemed Table'!I1849</f>
        <v>0</v>
      </c>
      <c r="S279" s="3842">
        <f>'HVAC Deemed Table'!I1850</f>
        <v>0.307172</v>
      </c>
      <c r="T279" s="3842">
        <f>'HVAC Deemed Table'!I1851</f>
        <v>0</v>
      </c>
      <c r="U279" s="3843">
        <f t="shared" si="174"/>
        <v>0</v>
      </c>
      <c r="V279" s="3843">
        <f t="shared" si="175"/>
        <v>0</v>
      </c>
      <c r="W279" s="3843">
        <f t="shared" si="176"/>
        <v>1.079602</v>
      </c>
      <c r="X279" s="2846">
        <f>'HVAC Deemed Table'!J1848</f>
        <v>6</v>
      </c>
      <c r="Y279" s="2846">
        <f>'HVAC Deemed Table'!J1850</f>
        <v>12</v>
      </c>
      <c r="Z279" s="2846">
        <f t="shared" si="164"/>
        <v>18</v>
      </c>
      <c r="AA279" s="2529">
        <f>'HVAC Deemed Table'!DG1848</f>
        <v>1.7106576764982144</v>
      </c>
      <c r="AB279" s="3878">
        <f>'HVAC Deemed Table'!K1848</f>
        <v>1077.5183641564863</v>
      </c>
      <c r="AC279" s="3845">
        <f t="shared" si="165"/>
        <v>1299.2387523341433</v>
      </c>
      <c r="AD279" s="3845">
        <f t="shared" si="178"/>
        <v>544.02630887794851</v>
      </c>
      <c r="AE279" s="3846">
        <f>'HVAC Deemed Table'!DI1848</f>
        <v>1134.7888238627481</v>
      </c>
      <c r="AF279" s="3846">
        <f>'HVAC Deemed Table'!DI1849</f>
        <v>164.44992847139511</v>
      </c>
      <c r="AG279" s="3846">
        <f>'HVAC Deemed Table'!DI1850</f>
        <v>419.51500252712054</v>
      </c>
      <c r="AH279" s="3846">
        <f>'HVAC Deemed Table'!DI1851</f>
        <v>124.51130635082799</v>
      </c>
      <c r="AI279" s="3847" t="str">
        <f t="shared" si="171"/>
        <v>per measure</v>
      </c>
      <c r="AJ279" s="3220">
        <f>'HVAC Deemed Table'!L1848</f>
        <v>3.3</v>
      </c>
      <c r="AK279" s="3848"/>
      <c r="AL279" s="3848"/>
      <c r="AX279" s="3849" t="str">
        <f t="shared" si="159"/>
        <v>ASHP-SEER20_ER1_MF_CompE</v>
      </c>
      <c r="AY279" s="2724"/>
      <c r="AZ279" s="3850" t="str">
        <f t="shared" si="160"/>
        <v>354701</v>
      </c>
      <c r="BA279" s="3851">
        <f>ROUND((K279*$BC$3)+(K295*$BC$4),2)</f>
        <v>813.4</v>
      </c>
      <c r="BB279" s="3851">
        <f>ROUND((L279*$BC$3)+(L295*$BC$4),2)</f>
        <v>532.24</v>
      </c>
      <c r="BC279" s="3851">
        <f>ROUND((M279*$BC$3)+(K295*$BC$4),2)</f>
        <v>324.22000000000003</v>
      </c>
      <c r="BD279" s="3851">
        <f>ROUND((N279*$BC$3)+(L295*$BC$4),2)</f>
        <v>385.41</v>
      </c>
      <c r="BE279" s="3853"/>
      <c r="BF279" s="3854">
        <f>ROUND(BA279*'CP FACTORS'!$B$9,6)</f>
        <v>0.77063000000000004</v>
      </c>
      <c r="BG279" s="3854">
        <f>ROUND(BB279*'CP FACTORS'!$B$14,6)</f>
        <v>0</v>
      </c>
      <c r="BH279" s="3854">
        <f>ROUND(BC279*'CP FACTORS'!$B$9,6)</f>
        <v>0.307172</v>
      </c>
      <c r="BI279" s="3855">
        <f>ROUND(BD279*'CP FACTORS'!$B$14,6)</f>
        <v>0</v>
      </c>
      <c r="BJ279" s="3853"/>
      <c r="BK279" s="3856">
        <f t="shared" si="180"/>
        <v>1345.6399999999999</v>
      </c>
      <c r="BL279" s="3857">
        <f t="shared" si="181"/>
        <v>709.63000000000011</v>
      </c>
      <c r="BM279" s="3858">
        <f t="shared" si="182"/>
        <v>0.77063000000000004</v>
      </c>
      <c r="BN279" s="3855">
        <f t="shared" si="183"/>
        <v>0.307172</v>
      </c>
    </row>
    <row r="280" spans="1:66">
      <c r="A280" s="51" t="str">
        <f t="shared" si="163"/>
        <v>354750</v>
      </c>
      <c r="B280" s="1442" t="str">
        <f>'HVAC Deemed Table'!C1852</f>
        <v>354750_2024_12_</v>
      </c>
      <c r="C280" s="887" t="str">
        <f>'HVAC Deemed Table'!G1852</f>
        <v>Cooling Res</v>
      </c>
      <c r="D280" s="887" t="str">
        <f>'HVAC Deemed Table'!G1853</f>
        <v>Heating Res</v>
      </c>
      <c r="E280" s="887" t="str">
        <f>'HVAC Deemed Table'!G1854</f>
        <v>Cooling Res ER2</v>
      </c>
      <c r="F280" s="887" t="str">
        <f>'HVAC Deemed Table'!G1855</f>
        <v>Heating Res ER2</v>
      </c>
      <c r="G280" s="1378" t="str">
        <f>'HVAC Deemed Table'!E1852</f>
        <v>ASHP-SEER21_ER1_SF</v>
      </c>
      <c r="H280" s="19" t="str">
        <f>'HVAC Deemed Table'!D1852</f>
        <v>PAYS/SFIE</v>
      </c>
      <c r="I280" s="785">
        <f t="shared" si="149"/>
        <v>6039.68</v>
      </c>
      <c r="J280" s="785">
        <f t="shared" si="150"/>
        <v>3225.6000000000004</v>
      </c>
      <c r="K280" s="202">
        <f>'HVAC Deemed Table'!F1852</f>
        <v>2498.89</v>
      </c>
      <c r="L280" s="202">
        <f>'HVAC Deemed Table'!F1853</f>
        <v>3540.79</v>
      </c>
      <c r="M280" s="202">
        <f>'HVAC Deemed Table'!F1854</f>
        <v>803.95</v>
      </c>
      <c r="N280" s="202">
        <f>'HVAC Deemed Table'!F1855</f>
        <v>2421.65</v>
      </c>
      <c r="O280" s="786">
        <f t="shared" si="151"/>
        <v>2.3674940000000002</v>
      </c>
      <c r="P280" s="786">
        <f t="shared" si="152"/>
        <v>0.76167700000000005</v>
      </c>
      <c r="Q280" s="787">
        <f>'HVAC Deemed Table'!I1852</f>
        <v>2.3674940000000002</v>
      </c>
      <c r="R280" s="787">
        <f>'HVAC Deemed Table'!I1853</f>
        <v>0</v>
      </c>
      <c r="S280" s="787">
        <f>'HVAC Deemed Table'!I1854</f>
        <v>0.76167700000000005</v>
      </c>
      <c r="T280" s="787">
        <f>'HVAC Deemed Table'!I1855</f>
        <v>0</v>
      </c>
      <c r="U280" s="788">
        <f t="shared" si="174"/>
        <v>0</v>
      </c>
      <c r="V280" s="788">
        <f t="shared" si="175"/>
        <v>0</v>
      </c>
      <c r="W280" s="788">
        <f t="shared" si="176"/>
        <v>2.3674940000000002</v>
      </c>
      <c r="X280" s="23">
        <f>'HVAC Deemed Table'!J1852</f>
        <v>6</v>
      </c>
      <c r="Y280" s="23">
        <f>'HVAC Deemed Table'!J1854</f>
        <v>12</v>
      </c>
      <c r="Z280" s="23">
        <f t="shared" si="164"/>
        <v>18</v>
      </c>
      <c r="AA280" s="18">
        <f>'HVAC Deemed Table'!DG1852</f>
        <v>4.9132558915014366</v>
      </c>
      <c r="AB280" s="259">
        <f>'HVAC Deemed Table'!K1852</f>
        <v>1078.0210431568885</v>
      </c>
      <c r="AC280" s="903">
        <f t="shared" si="165"/>
        <v>3438.0797028415091</v>
      </c>
      <c r="AD280" s="903">
        <f t="shared" si="178"/>
        <v>1858.5135386115981</v>
      </c>
      <c r="AE280" s="208">
        <f>'HVAC Deemed Table'!DI1852</f>
        <v>2488.5148519221975</v>
      </c>
      <c r="AF280" s="208">
        <f>'HVAC Deemed Table'!DI1853</f>
        <v>949.56485091931154</v>
      </c>
      <c r="AG280" s="208">
        <f>'HVAC Deemed Table'!DI1854</f>
        <v>1040.2476290225111</v>
      </c>
      <c r="AH280" s="208">
        <f>'HVAC Deemed Table'!DI1855</f>
        <v>818.26590958908685</v>
      </c>
      <c r="AI280" s="906" t="str">
        <f t="shared" si="171"/>
        <v>per measure</v>
      </c>
      <c r="AJ280" s="47">
        <f>'HVAC Deemed Table'!L1852</f>
        <v>3.3440561485431846</v>
      </c>
      <c r="AK280" s="641"/>
      <c r="AL280" s="641"/>
      <c r="AX280" s="1355" t="str">
        <f t="shared" si="159"/>
        <v>ASHP-SEER21_ER1_SF</v>
      </c>
      <c r="AY280" s="1378"/>
      <c r="AZ280" s="1446" t="str">
        <f t="shared" si="160"/>
        <v>354750</v>
      </c>
      <c r="BA280" s="1331">
        <f>ROUND((K280*$BC$3)+(K281*$BC$4),2)</f>
        <v>1827.33</v>
      </c>
      <c r="BB280" s="1331">
        <f>ROUND((L280*$BC$3)+(L281*$BC$4),2)</f>
        <v>3098.09</v>
      </c>
      <c r="BC280" s="1331">
        <f>ROUND((M280*$BC$3)+(K281*$BC$4),2)</f>
        <v>810.37</v>
      </c>
      <c r="BD280" s="1331">
        <f>(N280*$BC$3)+(L281*$BC$4)</f>
        <v>2426.61</v>
      </c>
      <c r="BE280" s="1305"/>
      <c r="BF280" s="1321">
        <f>ROUND(BA280*'CP FACTORS'!$B$9,6)</f>
        <v>1.7312460000000001</v>
      </c>
      <c r="BG280" s="1322">
        <f>ROUND(BB280*'CP FACTORS'!$B$14,6)</f>
        <v>0</v>
      </c>
      <c r="BH280" s="1321">
        <f>ROUND(BC280*'CP FACTORS'!$B$9,6)</f>
        <v>0.76775899999999997</v>
      </c>
      <c r="BI280" s="1323">
        <f>ROUND(BD280*'CP FACTORS'!$B$14,6)</f>
        <v>0</v>
      </c>
      <c r="BJ280" s="1305"/>
      <c r="BK280" s="730">
        <f t="shared" si="180"/>
        <v>4925.42</v>
      </c>
      <c r="BL280" s="1342">
        <f t="shared" si="181"/>
        <v>3236.98</v>
      </c>
      <c r="BM280" s="1341">
        <f t="shared" si="182"/>
        <v>1.7312460000000001</v>
      </c>
      <c r="BN280" s="1340">
        <f t="shared" si="183"/>
        <v>0.76775899999999997</v>
      </c>
    </row>
    <row r="281" spans="1:66">
      <c r="A281" s="51" t="str">
        <f t="shared" si="163"/>
        <v>354800</v>
      </c>
      <c r="B281" s="1442" t="str">
        <f>'HVAC Deemed Table'!C1856</f>
        <v>354800_2024_12_</v>
      </c>
      <c r="C281" s="887" t="str">
        <f>'HVAC Deemed Table'!G1856</f>
        <v>Cooling Res</v>
      </c>
      <c r="D281" s="887" t="str">
        <f>'HVAC Deemed Table'!G1857</f>
        <v>Heating Res</v>
      </c>
      <c r="E281" s="1378"/>
      <c r="F281" s="1378"/>
      <c r="G281" s="1378" t="str">
        <f>'HVAC Deemed Table'!E1856</f>
        <v>ASHP-SEER21_ROF_SF</v>
      </c>
      <c r="H281" s="19" t="str">
        <f>'HVAC Deemed Table'!D1856</f>
        <v>PAYS/SFIE</v>
      </c>
      <c r="I281" s="785">
        <f t="shared" ref="I281:I328" si="184">K281+L281</f>
        <v>3254.05</v>
      </c>
      <c r="J281" s="785">
        <f t="shared" ref="J281:J328" si="185">M281+N281</f>
        <v>0</v>
      </c>
      <c r="K281" s="202">
        <f>'HVAC Deemed Table'!F1856</f>
        <v>820</v>
      </c>
      <c r="L281" s="202">
        <f>'HVAC Deemed Table'!F1857</f>
        <v>2434.0500000000002</v>
      </c>
      <c r="M281" s="202"/>
      <c r="N281" s="202"/>
      <c r="O281" s="786">
        <f t="shared" ref="O281:O328" si="186">Q281+R281</f>
        <v>0.77688299999999999</v>
      </c>
      <c r="P281" s="786">
        <f t="shared" ref="P281:P328" si="187">S281+T281</f>
        <v>0</v>
      </c>
      <c r="Q281" s="787">
        <f>'HVAC Deemed Table'!I1856</f>
        <v>0.77688299999999999</v>
      </c>
      <c r="R281" s="787">
        <f>'HVAC Deemed Table'!I1857</f>
        <v>0</v>
      </c>
      <c r="S281" s="787"/>
      <c r="T281" s="787"/>
      <c r="U281" s="788">
        <f t="shared" si="174"/>
        <v>0</v>
      </c>
      <c r="V281" s="788">
        <f t="shared" si="175"/>
        <v>0</v>
      </c>
      <c r="W281" s="788">
        <f t="shared" si="176"/>
        <v>0.77688299999999999</v>
      </c>
      <c r="X281" s="23">
        <f>'HVAC Deemed Table'!J1856</f>
        <v>18</v>
      </c>
      <c r="Y281" s="23"/>
      <c r="Z281" s="23">
        <f t="shared" si="164"/>
        <v>18</v>
      </c>
      <c r="AA281" s="18">
        <f>'HVAC Deemed Table'!DG1856</f>
        <v>3.1015975504547115</v>
      </c>
      <c r="AB281" s="259">
        <f>'HVAC Deemed Table'!K1856</f>
        <v>1081</v>
      </c>
      <c r="AC281" s="903">
        <f t="shared" si="165"/>
        <v>3352.8269520415433</v>
      </c>
      <c r="AD281" s="903">
        <f t="shared" si="178"/>
        <v>0</v>
      </c>
      <c r="AE281" s="208">
        <f>'HVAC Deemed Table'!DI1856</f>
        <v>1877.6104977054488</v>
      </c>
      <c r="AF281" s="208">
        <f>'HVAC Deemed Table'!DI1857</f>
        <v>1475.2164543360946</v>
      </c>
      <c r="AG281" s="208"/>
      <c r="AH281" s="208"/>
      <c r="AI281" s="906" t="str">
        <f t="shared" si="171"/>
        <v>per measure</v>
      </c>
      <c r="AJ281" s="47">
        <f>'HVAC Deemed Table'!L1856</f>
        <v>0</v>
      </c>
      <c r="AK281" s="641"/>
      <c r="AL281" s="641"/>
      <c r="AX281" s="1355" t="str">
        <f t="shared" si="159"/>
        <v>ASHP-SEER21_ROF_SF</v>
      </c>
      <c r="AY281" s="1378"/>
      <c r="AZ281" s="1446" t="str">
        <f t="shared" si="160"/>
        <v>354800</v>
      </c>
      <c r="BA281" s="1331">
        <f>BA280</f>
        <v>1827.33</v>
      </c>
      <c r="BB281" s="1331">
        <f>BB280</f>
        <v>3098.09</v>
      </c>
      <c r="BC281" s="1331">
        <f>BC280</f>
        <v>810.37</v>
      </c>
      <c r="BD281" s="1331">
        <f>BD280</f>
        <v>2426.61</v>
      </c>
      <c r="BE281" s="1305"/>
      <c r="BF281" s="1321">
        <f>ROUND(BA281*'CP FACTORS'!$B$9,6)</f>
        <v>1.7312460000000001</v>
      </c>
      <c r="BG281" s="1322">
        <f>ROUND(BB281*'CP FACTORS'!$B$14,6)</f>
        <v>0</v>
      </c>
      <c r="BH281" s="1321">
        <f>ROUND(BC281*'CP FACTORS'!$B$9,6)</f>
        <v>0.76775899999999997</v>
      </c>
      <c r="BI281" s="1323">
        <f>ROUND(BD281*'CP FACTORS'!$B$14,6)</f>
        <v>0</v>
      </c>
      <c r="BJ281" s="1305"/>
      <c r="BK281" s="730">
        <f t="shared" si="180"/>
        <v>4925.42</v>
      </c>
      <c r="BL281" s="1342">
        <f t="shared" si="181"/>
        <v>3236.98</v>
      </c>
      <c r="BM281" s="1341">
        <f t="shared" si="182"/>
        <v>1.7312460000000001</v>
      </c>
      <c r="BN281" s="1340">
        <f t="shared" si="183"/>
        <v>0.76775899999999997</v>
      </c>
    </row>
    <row r="282" spans="1:66" s="41" customFormat="1">
      <c r="A282" s="51" t="str">
        <f t="shared" si="163"/>
        <v>354850</v>
      </c>
      <c r="B282" s="1442" t="str">
        <f>'HVAC Deemed Table'!C1858</f>
        <v>354850_2024_12_</v>
      </c>
      <c r="C282" s="887" t="str">
        <f>'HVAC Deemed Table'!G1858</f>
        <v>Cooling Res</v>
      </c>
      <c r="D282" s="887" t="str">
        <f>'HVAC Deemed Table'!G1859</f>
        <v>Heating Res</v>
      </c>
      <c r="E282" s="1378"/>
      <c r="F282" s="1378"/>
      <c r="G282" s="1378" t="str">
        <f>'HVAC Deemed Table'!E1858</f>
        <v>ASHP-SEER21-Replace_CAC_ElectricHeat_ROF_MF</v>
      </c>
      <c r="H282" s="19" t="str">
        <f>'HVAC Deemed Table'!D1858</f>
        <v>MFIE</v>
      </c>
      <c r="I282" s="785">
        <f t="shared" si="184"/>
        <v>6725.69</v>
      </c>
      <c r="J282" s="785">
        <f t="shared" si="185"/>
        <v>0</v>
      </c>
      <c r="K282" s="202">
        <f>'HVAC Deemed Table'!F1858</f>
        <v>512.58000000000004</v>
      </c>
      <c r="L282" s="202">
        <f>'HVAC Deemed Table'!F1859</f>
        <v>6213.11</v>
      </c>
      <c r="M282" s="202"/>
      <c r="N282" s="202"/>
      <c r="O282" s="786">
        <f t="shared" si="186"/>
        <v>0.485628</v>
      </c>
      <c r="P282" s="786">
        <f t="shared" si="187"/>
        <v>0</v>
      </c>
      <c r="Q282" s="787">
        <f>'HVAC Deemed Table'!I1858</f>
        <v>0.485628</v>
      </c>
      <c r="R282" s="787">
        <f>'HVAC Deemed Table'!I1859</f>
        <v>0</v>
      </c>
      <c r="S282" s="787"/>
      <c r="T282" s="787"/>
      <c r="U282" s="788">
        <f t="shared" si="174"/>
        <v>0</v>
      </c>
      <c r="V282" s="788">
        <f t="shared" si="175"/>
        <v>0</v>
      </c>
      <c r="W282" s="788">
        <f t="shared" si="176"/>
        <v>0.485628</v>
      </c>
      <c r="X282" s="23">
        <f>'HVAC Deemed Table'!J1858</f>
        <v>18</v>
      </c>
      <c r="Y282" s="23"/>
      <c r="Z282" s="23">
        <f t="shared" si="164"/>
        <v>18</v>
      </c>
      <c r="AA282" s="18">
        <f>'HVAC Deemed Table'!DG1858</f>
        <v>1.3389263665740025</v>
      </c>
      <c r="AB282" s="259">
        <f>'HVAC Deemed Table'!K1858</f>
        <v>3689</v>
      </c>
      <c r="AC282" s="903">
        <f t="shared" si="165"/>
        <v>4939.2993662914951</v>
      </c>
      <c r="AD282" s="903">
        <f t="shared" si="178"/>
        <v>0</v>
      </c>
      <c r="AE282" s="208">
        <f>'HVAC Deemed Table'!DI1858</f>
        <v>1173.6897425778768</v>
      </c>
      <c r="AF282" s="208">
        <f>'HVAC Deemed Table'!DI1859</f>
        <v>3765.609623713618</v>
      </c>
      <c r="AG282" s="208"/>
      <c r="AH282" s="208"/>
      <c r="AI282" s="906" t="str">
        <f t="shared" si="171"/>
        <v>per measure</v>
      </c>
      <c r="AJ282" s="47">
        <f>'HVAC Deemed Table'!L1858</f>
        <v>2.8</v>
      </c>
      <c r="AK282" s="641"/>
      <c r="AL282" s="641"/>
      <c r="AM282"/>
      <c r="AN282"/>
      <c r="AO282"/>
      <c r="AP282"/>
      <c r="AQ282"/>
      <c r="AR282"/>
      <c r="AS282"/>
      <c r="AT282"/>
      <c r="AU282"/>
      <c r="AV282"/>
      <c r="AW282"/>
      <c r="AX282" s="1355" t="str">
        <f t="shared" si="159"/>
        <v>ASHP-SEER21-Replace_CAC_ElectricHeat_ROF_MF</v>
      </c>
      <c r="AY282" s="1378"/>
      <c r="AZ282" s="1446" t="str">
        <f t="shared" si="160"/>
        <v>354850</v>
      </c>
      <c r="BA282" s="1338">
        <f>BA232</f>
        <v>1118.18</v>
      </c>
      <c r="BB282" s="1338">
        <f>BB232</f>
        <v>6541.11</v>
      </c>
      <c r="BC282" s="1338">
        <f>BC232</f>
        <v>545.53</v>
      </c>
      <c r="BD282" s="1338">
        <f>BD232</f>
        <v>6541.11</v>
      </c>
      <c r="BE282" s="1306"/>
      <c r="BF282" s="1321">
        <f>ROUND(BA282*'CP FACTORS'!$B$9,6)</f>
        <v>1.0593840000000001</v>
      </c>
      <c r="BG282" s="1322">
        <f>ROUND(BB282*'CP FACTORS'!$B$14,6)</f>
        <v>0</v>
      </c>
      <c r="BH282" s="1321">
        <f>ROUND(BC282*'CP FACTORS'!$B$9,6)</f>
        <v>0.516845</v>
      </c>
      <c r="BI282" s="1323">
        <f>ROUND(BD282*'CP FACTORS'!$B$14,6)</f>
        <v>0</v>
      </c>
      <c r="BJ282" s="1305"/>
      <c r="BK282" s="730">
        <f t="shared" si="180"/>
        <v>7659.29</v>
      </c>
      <c r="BL282" s="1342">
        <f t="shared" si="181"/>
        <v>7086.6399999999994</v>
      </c>
      <c r="BM282" s="1341">
        <f t="shared" si="182"/>
        <v>1.0593840000000001</v>
      </c>
      <c r="BN282" s="1340">
        <f t="shared" si="183"/>
        <v>0.516845</v>
      </c>
    </row>
    <row r="283" spans="1:66" s="696" customFormat="1">
      <c r="A283" s="2958" t="str">
        <f t="shared" si="163"/>
        <v>354851</v>
      </c>
      <c r="B283" s="2233" t="str">
        <f>'HVAC Deemed Table'!C1860</f>
        <v>354851_2024_12_</v>
      </c>
      <c r="C283" s="3874" t="str">
        <f>'HVAC Deemed Table'!G1860</f>
        <v>Cooling Res</v>
      </c>
      <c r="D283" s="3874" t="str">
        <f>'HVAC Deemed Table'!G1861</f>
        <v>Heating Res</v>
      </c>
      <c r="E283" s="2724"/>
      <c r="F283" s="2724"/>
      <c r="G283" s="2724" t="str">
        <f>'HVAC Deemed Table'!E1860</f>
        <v>ASHP-SEER21-Replace_CAC_ElectricHeat_ROF_MF_CompE</v>
      </c>
      <c r="H283" s="2554" t="str">
        <f>'HVAC Deemed Table'!D1860</f>
        <v>MFc</v>
      </c>
      <c r="I283" s="3840">
        <f t="shared" si="184"/>
        <v>2490.89</v>
      </c>
      <c r="J283" s="3840">
        <f t="shared" si="185"/>
        <v>0</v>
      </c>
      <c r="K283" s="3251">
        <f>'HVAC Deemed Table'!F1860</f>
        <v>372.79</v>
      </c>
      <c r="L283" s="3251">
        <f>'HVAC Deemed Table'!F1861</f>
        <v>2118.1</v>
      </c>
      <c r="M283" s="3251"/>
      <c r="N283" s="3251"/>
      <c r="O283" s="3841">
        <f t="shared" si="186"/>
        <v>0.353188</v>
      </c>
      <c r="P283" s="3841">
        <f t="shared" si="187"/>
        <v>0</v>
      </c>
      <c r="Q283" s="3842">
        <f>'HVAC Deemed Table'!I1860</f>
        <v>0.353188</v>
      </c>
      <c r="R283" s="3842">
        <f>'HVAC Deemed Table'!I1861</f>
        <v>0</v>
      </c>
      <c r="S283" s="3842"/>
      <c r="T283" s="3842"/>
      <c r="U283" s="3843">
        <f t="shared" si="174"/>
        <v>0</v>
      </c>
      <c r="V283" s="3843">
        <f t="shared" si="175"/>
        <v>0</v>
      </c>
      <c r="W283" s="3843">
        <f t="shared" si="176"/>
        <v>0.353188</v>
      </c>
      <c r="X283" s="2846">
        <f>'HVAC Deemed Table'!J1860</f>
        <v>18</v>
      </c>
      <c r="Y283" s="2846"/>
      <c r="Z283" s="2846">
        <f t="shared" si="164"/>
        <v>18</v>
      </c>
      <c r="AA283" s="2529">
        <f>'HVAC Deemed Table'!DG1860</f>
        <v>0.57937925129541923</v>
      </c>
      <c r="AB283" s="3878">
        <f>'HVAC Deemed Table'!K1860</f>
        <v>3689</v>
      </c>
      <c r="AC283" s="3845">
        <f t="shared" si="165"/>
        <v>2137.3300580288014</v>
      </c>
      <c r="AD283" s="3845">
        <f t="shared" si="178"/>
        <v>0</v>
      </c>
      <c r="AE283" s="3846">
        <f>'HVAC Deemed Table'!DI1860</f>
        <v>853.60294809709058</v>
      </c>
      <c r="AF283" s="3846">
        <f>'HVAC Deemed Table'!DI1861</f>
        <v>1283.7271099317111</v>
      </c>
      <c r="AG283" s="3846"/>
      <c r="AH283" s="3846"/>
      <c r="AI283" s="3847" t="str">
        <f t="shared" ref="AI283:AI330" si="188">AI282</f>
        <v>per measure</v>
      </c>
      <c r="AJ283" s="3220">
        <f>'HVAC Deemed Table'!L1860</f>
        <v>2.8</v>
      </c>
      <c r="AK283" s="3848"/>
      <c r="AL283" s="3848"/>
      <c r="AX283" s="3849" t="str">
        <f t="shared" si="159"/>
        <v>ASHP-SEER21-Replace_CAC_ElectricHeat_ROF_MF_CompE</v>
      </c>
      <c r="AY283" s="2724"/>
      <c r="AZ283" s="3850" t="str">
        <f t="shared" si="160"/>
        <v>354851</v>
      </c>
      <c r="BA283" s="3884">
        <f t="shared" ref="BA283:BD285" si="189">BA233</f>
        <v>813.22</v>
      </c>
      <c r="BB283" s="3884">
        <f t="shared" si="189"/>
        <v>2229.92</v>
      </c>
      <c r="BC283" s="3884">
        <f t="shared" si="189"/>
        <v>396.75</v>
      </c>
      <c r="BD283" s="3884">
        <f t="shared" si="189"/>
        <v>2229.92</v>
      </c>
      <c r="BE283" s="3853"/>
      <c r="BF283" s="3854">
        <f>ROUND(BA283*'CP FACTORS'!$B$9,6)</f>
        <v>0.770459</v>
      </c>
      <c r="BG283" s="3854">
        <f>ROUND(BB283*'CP FACTORS'!$B$14,6)</f>
        <v>0</v>
      </c>
      <c r="BH283" s="3854">
        <f>ROUND(BC283*'CP FACTORS'!$B$9,6)</f>
        <v>0.375888</v>
      </c>
      <c r="BI283" s="3855">
        <f>ROUND(BD283*'CP FACTORS'!$B$14,6)</f>
        <v>0</v>
      </c>
      <c r="BJ283" s="3853"/>
      <c r="BK283" s="3856">
        <f t="shared" si="180"/>
        <v>3043.1400000000003</v>
      </c>
      <c r="BL283" s="3857">
        <f t="shared" si="181"/>
        <v>2626.67</v>
      </c>
      <c r="BM283" s="3858">
        <f t="shared" si="182"/>
        <v>0.770459</v>
      </c>
      <c r="BN283" s="3855">
        <f t="shared" si="183"/>
        <v>0.375888</v>
      </c>
    </row>
    <row r="284" spans="1:66" s="696" customFormat="1">
      <c r="A284" s="2958" t="str">
        <f t="shared" si="163"/>
        <v>354860</v>
      </c>
      <c r="B284" s="2233" t="str">
        <f>'HVAC Deemed Table'!C1862</f>
        <v>354860_2024_12_</v>
      </c>
      <c r="C284" s="3874" t="str">
        <f>'HVAC Deemed Table'!G1862</f>
        <v>Cooling Res</v>
      </c>
      <c r="D284" s="3874" t="str">
        <f>'HVAC Deemed Table'!G1863</f>
        <v>Heating Res</v>
      </c>
      <c r="E284" s="2724"/>
      <c r="F284" s="2724"/>
      <c r="G284" s="2724" t="str">
        <f>'HVAC Deemed Table'!E1862</f>
        <v>ASHP-SEER21-Replace_CAC_NonElectricHeat_ROF_MF</v>
      </c>
      <c r="H284" s="2554" t="str">
        <f>'HVAC Deemed Table'!D1862</f>
        <v>MF</v>
      </c>
      <c r="I284" s="3840">
        <f t="shared" si="184"/>
        <v>512.58000000000004</v>
      </c>
      <c r="J284" s="3840">
        <f t="shared" si="185"/>
        <v>0</v>
      </c>
      <c r="K284" s="3251">
        <f>'HVAC Deemed Table'!F1862</f>
        <v>512.58000000000004</v>
      </c>
      <c r="L284" s="3251">
        <f>'HVAC Deemed Table'!F1863</f>
        <v>0</v>
      </c>
      <c r="M284" s="3251"/>
      <c r="N284" s="3251"/>
      <c r="O284" s="3841">
        <f t="shared" si="186"/>
        <v>0.485628</v>
      </c>
      <c r="P284" s="3841">
        <f t="shared" si="187"/>
        <v>0</v>
      </c>
      <c r="Q284" s="3842">
        <f>'HVAC Deemed Table'!I1862</f>
        <v>0.485628</v>
      </c>
      <c r="R284" s="3842">
        <f>'HVAC Deemed Table'!I1863</f>
        <v>0</v>
      </c>
      <c r="S284" s="3842"/>
      <c r="T284" s="3842"/>
      <c r="U284" s="3843">
        <f t="shared" si="174"/>
        <v>0</v>
      </c>
      <c r="V284" s="3843">
        <f t="shared" si="175"/>
        <v>0</v>
      </c>
      <c r="W284" s="3843">
        <f t="shared" si="176"/>
        <v>0.485628</v>
      </c>
      <c r="X284" s="2846">
        <f>'HVAC Deemed Table'!J1862</f>
        <v>18</v>
      </c>
      <c r="Y284" s="2846"/>
      <c r="Z284" s="2846">
        <f t="shared" si="164"/>
        <v>18</v>
      </c>
      <c r="AA284" s="2529">
        <f>'HVAC Deemed Table'!DG1862</f>
        <v>4.1746478152954918</v>
      </c>
      <c r="AB284" s="3878">
        <f>'HVAC Deemed Table'!K1862</f>
        <v>281.14700796498209</v>
      </c>
      <c r="AC284" s="3845">
        <f t="shared" si="165"/>
        <v>1173.6897425778768</v>
      </c>
      <c r="AD284" s="3845">
        <f t="shared" si="178"/>
        <v>0</v>
      </c>
      <c r="AE284" s="3846">
        <f>'HVAC Deemed Table'!DI1862</f>
        <v>1173.6897425778768</v>
      </c>
      <c r="AF284" s="3846">
        <f>'HVAC Deemed Table'!DI1863</f>
        <v>0</v>
      </c>
      <c r="AG284" s="3846"/>
      <c r="AH284" s="3846"/>
      <c r="AI284" s="3847" t="str">
        <f t="shared" si="188"/>
        <v>per measure</v>
      </c>
      <c r="AJ284" s="3220">
        <f>'HVAC Deemed Table'!L1862</f>
        <v>2.8</v>
      </c>
      <c r="AK284" s="3848"/>
      <c r="AL284" s="3848"/>
      <c r="AX284" s="3849" t="str">
        <f t="shared" si="159"/>
        <v>ASHP-SEER21-Replace_CAC_NonElectricHeat_ROF_MF</v>
      </c>
      <c r="AY284" s="2724"/>
      <c r="AZ284" s="3850" t="str">
        <f t="shared" si="160"/>
        <v>354860</v>
      </c>
      <c r="BA284" s="3884">
        <f t="shared" si="189"/>
        <v>1118.18</v>
      </c>
      <c r="BB284" s="3884">
        <f t="shared" si="189"/>
        <v>0</v>
      </c>
      <c r="BC284" s="3884">
        <f t="shared" si="189"/>
        <v>545.53</v>
      </c>
      <c r="BD284" s="3884">
        <f t="shared" si="189"/>
        <v>0</v>
      </c>
      <c r="BE284" s="3853"/>
      <c r="BF284" s="3854">
        <f>ROUND(BA284*'CP FACTORS'!$B$9,6)</f>
        <v>1.0593840000000001</v>
      </c>
      <c r="BG284" s="3854">
        <f>ROUND(BB284*'CP FACTORS'!$B$14,6)</f>
        <v>0</v>
      </c>
      <c r="BH284" s="3854">
        <f>ROUND(BC284*'CP FACTORS'!$B$9,6)</f>
        <v>0.516845</v>
      </c>
      <c r="BI284" s="3855">
        <f>ROUND(BD284*'CP FACTORS'!$B$14,6)</f>
        <v>0</v>
      </c>
      <c r="BJ284" s="3853"/>
      <c r="BK284" s="3856">
        <f t="shared" si="180"/>
        <v>1118.18</v>
      </c>
      <c r="BL284" s="3857">
        <f t="shared" si="181"/>
        <v>545.53</v>
      </c>
      <c r="BM284" s="3858">
        <f t="shared" si="182"/>
        <v>1.0593840000000001</v>
      </c>
      <c r="BN284" s="3855">
        <f t="shared" si="183"/>
        <v>0.516845</v>
      </c>
    </row>
    <row r="285" spans="1:66" s="696" customFormat="1">
      <c r="A285" s="2958" t="str">
        <f t="shared" si="163"/>
        <v>354861</v>
      </c>
      <c r="B285" s="2233" t="str">
        <f>'HVAC Deemed Table'!C1864</f>
        <v>354861_2024_12_</v>
      </c>
      <c r="C285" s="3874" t="str">
        <f>'HVAC Deemed Table'!G1864</f>
        <v>Cooling Res</v>
      </c>
      <c r="D285" s="3874" t="str">
        <f>'HVAC Deemed Table'!G1865</f>
        <v>Heating Res</v>
      </c>
      <c r="E285" s="2724"/>
      <c r="F285" s="2724"/>
      <c r="G285" s="2724" t="str">
        <f>'HVAC Deemed Table'!E1864</f>
        <v>ASHP-SEER21-Replace_CAC_NonElectricHeat_ROF_MF_CompE</v>
      </c>
      <c r="H285" s="2554" t="str">
        <f>'HVAC Deemed Table'!D1864</f>
        <v>MFc</v>
      </c>
      <c r="I285" s="3840">
        <f t="shared" si="184"/>
        <v>372.79</v>
      </c>
      <c r="J285" s="3840">
        <f t="shared" si="185"/>
        <v>0</v>
      </c>
      <c r="K285" s="3251">
        <f>'HVAC Deemed Table'!F1864</f>
        <v>372.79</v>
      </c>
      <c r="L285" s="3251">
        <f>'HVAC Deemed Table'!F1865</f>
        <v>0</v>
      </c>
      <c r="M285" s="3251"/>
      <c r="N285" s="3251"/>
      <c r="O285" s="3841">
        <f t="shared" si="186"/>
        <v>0.353188</v>
      </c>
      <c r="P285" s="3841">
        <f t="shared" si="187"/>
        <v>0</v>
      </c>
      <c r="Q285" s="3842">
        <f>'HVAC Deemed Table'!I1864</f>
        <v>0.353188</v>
      </c>
      <c r="R285" s="3842">
        <f>'HVAC Deemed Table'!I1865</f>
        <v>0</v>
      </c>
      <c r="S285" s="3842"/>
      <c r="T285" s="3842"/>
      <c r="U285" s="3843">
        <f t="shared" si="174"/>
        <v>0</v>
      </c>
      <c r="V285" s="3843">
        <f t="shared" si="175"/>
        <v>0</v>
      </c>
      <c r="W285" s="3843">
        <f t="shared" si="176"/>
        <v>0.353188</v>
      </c>
      <c r="X285" s="2846">
        <f>'HVAC Deemed Table'!J1864</f>
        <v>18</v>
      </c>
      <c r="Y285" s="2846"/>
      <c r="Z285" s="2846">
        <f t="shared" si="164"/>
        <v>18</v>
      </c>
      <c r="AA285" s="2529">
        <f>'HVAC Deemed Table'!DG1864</f>
        <v>1.5460998792155731</v>
      </c>
      <c r="AB285" s="3878">
        <f>'HVAC Deemed Table'!K1864</f>
        <v>552.10077923954907</v>
      </c>
      <c r="AC285" s="3845">
        <f t="shared" si="165"/>
        <v>853.60294809709058</v>
      </c>
      <c r="AD285" s="3845">
        <f t="shared" si="178"/>
        <v>0</v>
      </c>
      <c r="AE285" s="3846">
        <f>'HVAC Deemed Table'!DI1864</f>
        <v>853.60294809709058</v>
      </c>
      <c r="AF285" s="3846">
        <f>'HVAC Deemed Table'!DI1865</f>
        <v>0</v>
      </c>
      <c r="AG285" s="3846"/>
      <c r="AH285" s="3846"/>
      <c r="AI285" s="3847" t="str">
        <f t="shared" si="188"/>
        <v>per measure</v>
      </c>
      <c r="AJ285" s="3220">
        <f>'HVAC Deemed Table'!L1864</f>
        <v>2.8</v>
      </c>
      <c r="AK285" s="3848"/>
      <c r="AL285" s="3848"/>
      <c r="AX285" s="3849" t="str">
        <f t="shared" si="159"/>
        <v>ASHP-SEER21-Replace_CAC_NonElectricHeat_ROF_MF_CompE</v>
      </c>
      <c r="AY285" s="2724"/>
      <c r="AZ285" s="3850" t="str">
        <f t="shared" si="160"/>
        <v>354861</v>
      </c>
      <c r="BA285" s="3884">
        <f t="shared" si="189"/>
        <v>813.22</v>
      </c>
      <c r="BB285" s="3884">
        <f t="shared" si="189"/>
        <v>0</v>
      </c>
      <c r="BC285" s="3884">
        <f t="shared" si="189"/>
        <v>396.75</v>
      </c>
      <c r="BD285" s="3884">
        <f t="shared" si="189"/>
        <v>0</v>
      </c>
      <c r="BE285" s="3853"/>
      <c r="BF285" s="3854">
        <f>ROUND(BA285*'CP FACTORS'!$B$9,6)</f>
        <v>0.770459</v>
      </c>
      <c r="BG285" s="3854">
        <f>ROUND(BB285*'CP FACTORS'!$B$14,6)</f>
        <v>0</v>
      </c>
      <c r="BH285" s="3854">
        <f>ROUND(BC285*'CP FACTORS'!$B$9,6)</f>
        <v>0.375888</v>
      </c>
      <c r="BI285" s="3855">
        <f>ROUND(BD285*'CP FACTORS'!$B$14,6)</f>
        <v>0</v>
      </c>
      <c r="BJ285" s="3853"/>
      <c r="BK285" s="3856">
        <f t="shared" si="180"/>
        <v>813.22</v>
      </c>
      <c r="BL285" s="3857">
        <f t="shared" si="181"/>
        <v>396.75</v>
      </c>
      <c r="BM285" s="3858">
        <f t="shared" si="182"/>
        <v>0.770459</v>
      </c>
      <c r="BN285" s="3855">
        <f t="shared" si="183"/>
        <v>0.375888</v>
      </c>
    </row>
    <row r="286" spans="1:66">
      <c r="A286" s="51" t="str">
        <f t="shared" si="163"/>
        <v>354900</v>
      </c>
      <c r="B286" s="1442" t="str">
        <f>'HVAC Deemed Table'!C1866</f>
        <v>354900_2024_12_</v>
      </c>
      <c r="C286" s="887" t="str">
        <f>'HVAC Deemed Table'!G1866</f>
        <v>Cooling Res</v>
      </c>
      <c r="D286" s="887" t="str">
        <f>'HVAC Deemed Table'!G1867</f>
        <v>Heating Res</v>
      </c>
      <c r="E286" s="887" t="str">
        <f>'HVAC Deemed Table'!G1868</f>
        <v>Cooling Res ER2</v>
      </c>
      <c r="F286" s="887" t="str">
        <f>'HVAC Deemed Table'!G1869</f>
        <v>Heating Res ER2</v>
      </c>
      <c r="G286" s="1378" t="str">
        <f>'HVAC Deemed Table'!E1866</f>
        <v>ASHP-SEER21_ER1_MF</v>
      </c>
      <c r="H286" s="19" t="str">
        <f>'HVAC Deemed Table'!D1866</f>
        <v>MFIE</v>
      </c>
      <c r="I286" s="785">
        <f t="shared" si="184"/>
        <v>3418.8599999999997</v>
      </c>
      <c r="J286" s="785">
        <f t="shared" si="185"/>
        <v>1579.95</v>
      </c>
      <c r="K286" s="202">
        <f>'HVAC Deemed Table'!F1866</f>
        <v>1620.1</v>
      </c>
      <c r="L286" s="202">
        <f>'HVAC Deemed Table'!F1867</f>
        <v>1798.76</v>
      </c>
      <c r="M286" s="202">
        <f>'HVAC Deemed Table'!F1868</f>
        <v>499.05</v>
      </c>
      <c r="N286" s="202">
        <f>'HVAC Deemed Table'!F1869</f>
        <v>1080.9000000000001</v>
      </c>
      <c r="O286" s="786">
        <f t="shared" si="186"/>
        <v>1.5349120000000001</v>
      </c>
      <c r="P286" s="786">
        <f t="shared" si="187"/>
        <v>0.47280899999999998</v>
      </c>
      <c r="Q286" s="787">
        <f>'HVAC Deemed Table'!I1866</f>
        <v>1.5349120000000001</v>
      </c>
      <c r="R286" s="787">
        <f>'HVAC Deemed Table'!I1867</f>
        <v>0</v>
      </c>
      <c r="S286" s="787">
        <f>'HVAC Deemed Table'!I1868</f>
        <v>0.47280899999999998</v>
      </c>
      <c r="T286" s="787">
        <f>'HVAC Deemed Table'!I1869</f>
        <v>0</v>
      </c>
      <c r="U286" s="788">
        <f t="shared" si="174"/>
        <v>0</v>
      </c>
      <c r="V286" s="788">
        <f t="shared" si="175"/>
        <v>0</v>
      </c>
      <c r="W286" s="788">
        <f t="shared" si="176"/>
        <v>1.5349120000000001</v>
      </c>
      <c r="X286" s="23">
        <f>'HVAC Deemed Table'!J1866</f>
        <v>6</v>
      </c>
      <c r="Y286" s="23">
        <f>'HVAC Deemed Table'!J1868</f>
        <v>12</v>
      </c>
      <c r="Z286" s="23">
        <f t="shared" si="164"/>
        <v>18</v>
      </c>
      <c r="AA286" s="18">
        <f>'HVAC Deemed Table'!DG1866</f>
        <v>2.8832230738248383</v>
      </c>
      <c r="AB286" s="259">
        <f>'HVAC Deemed Table'!K1866</f>
        <v>1077.5183641564863</v>
      </c>
      <c r="AC286" s="903">
        <f t="shared" si="165"/>
        <v>2095.7628198981656</v>
      </c>
      <c r="AD286" s="903">
        <f t="shared" si="178"/>
        <v>1010.9629901078102</v>
      </c>
      <c r="AE286" s="208">
        <f>'HVAC Deemed Table'!DI1866</f>
        <v>1613.3735024747598</v>
      </c>
      <c r="AF286" s="208">
        <f>'HVAC Deemed Table'!DI1867</f>
        <v>482.38931742340571</v>
      </c>
      <c r="AG286" s="208">
        <f>'HVAC Deemed Table'!DI1868</f>
        <v>645.73117639614918</v>
      </c>
      <c r="AH286" s="208">
        <f>'HVAC Deemed Table'!DI1869</f>
        <v>365.23181371166106</v>
      </c>
      <c r="AI286" s="906" t="str">
        <f t="shared" si="188"/>
        <v>per measure</v>
      </c>
      <c r="AJ286" s="47">
        <f>'HVAC Deemed Table'!L1866</f>
        <v>3.3</v>
      </c>
      <c r="AK286" s="641"/>
      <c r="AL286" s="641"/>
      <c r="AX286" s="1355" t="str">
        <f t="shared" si="159"/>
        <v>ASHP-SEER21_ER1_MF</v>
      </c>
      <c r="AY286" s="1378"/>
      <c r="AZ286" s="1446" t="str">
        <f t="shared" si="160"/>
        <v>354900</v>
      </c>
      <c r="BA286" s="1331">
        <f>ROUND((K286*$BC$3)+(K296*$BC$4),2)</f>
        <v>1171.68</v>
      </c>
      <c r="BB286" s="1331">
        <f>ROUND((L286*$BC$3)+(L296*$BC$4),2)</f>
        <v>1561.25</v>
      </c>
      <c r="BC286" s="1331">
        <f>ROUND((M286*$BC$3)+(K296*$BC$4),2)</f>
        <v>499.05</v>
      </c>
      <c r="BD286" s="1331">
        <f>ROUND((N286*$BC$3)+(L296*$BC$4),2)</f>
        <v>1130.53</v>
      </c>
      <c r="BE286" s="1305"/>
      <c r="BF286" s="1321">
        <f>ROUND(BA286*'CP FACTORS'!$B$9,6)</f>
        <v>1.110071</v>
      </c>
      <c r="BG286" s="1322">
        <f>ROUND(BB286*'CP FACTORS'!$B$14,6)</f>
        <v>0</v>
      </c>
      <c r="BH286" s="1321">
        <f>ROUND(BC286*'CP FACTORS'!$B$9,6)</f>
        <v>0.47280899999999998</v>
      </c>
      <c r="BI286" s="1323">
        <f>ROUND(BD286*'CP FACTORS'!$B$14,6)</f>
        <v>0</v>
      </c>
      <c r="BJ286" s="1305"/>
      <c r="BK286" s="730">
        <f t="shared" si="180"/>
        <v>2732.9300000000003</v>
      </c>
      <c r="BL286" s="1342">
        <f t="shared" si="181"/>
        <v>1629.58</v>
      </c>
      <c r="BM286" s="1341">
        <f t="shared" si="182"/>
        <v>1.110071</v>
      </c>
      <c r="BN286" s="1340">
        <f t="shared" si="183"/>
        <v>0.47280899999999998</v>
      </c>
    </row>
    <row r="287" spans="1:66" s="696" customFormat="1">
      <c r="A287" s="2958" t="str">
        <f t="shared" si="163"/>
        <v>354901</v>
      </c>
      <c r="B287" s="2233" t="str">
        <f>'HVAC Deemed Table'!C1870</f>
        <v>354901_2024_12_</v>
      </c>
      <c r="C287" s="3874" t="str">
        <f>'HVAC Deemed Table'!G1870</f>
        <v>Cooling Res</v>
      </c>
      <c r="D287" s="3874" t="str">
        <f>'HVAC Deemed Table'!G1871</f>
        <v>Heating Res</v>
      </c>
      <c r="E287" s="3874" t="str">
        <f>'HVAC Deemed Table'!G1872</f>
        <v>Cooling Res ER2</v>
      </c>
      <c r="F287" s="3874" t="str">
        <f>'HVAC Deemed Table'!G1873</f>
        <v>Heating Res ER2</v>
      </c>
      <c r="G287" s="2724" t="str">
        <f>'HVAC Deemed Table'!E1870</f>
        <v>ASHP-SEER21_ER1_MF_CompE</v>
      </c>
      <c r="H287" s="2554" t="str">
        <f>'HVAC Deemed Table'!D1870</f>
        <v>MFc</v>
      </c>
      <c r="I287" s="3840">
        <f t="shared" si="184"/>
        <v>1791.46</v>
      </c>
      <c r="J287" s="3840">
        <f t="shared" si="185"/>
        <v>731.44</v>
      </c>
      <c r="K287" s="3251">
        <f>'HVAC Deemed Table'!F1870</f>
        <v>1178.25</v>
      </c>
      <c r="L287" s="3251">
        <f>'HVAC Deemed Table'!F1871</f>
        <v>613.21</v>
      </c>
      <c r="M287" s="3251">
        <f>'HVAC Deemed Table'!F1872</f>
        <v>362.95</v>
      </c>
      <c r="N287" s="3251">
        <f>'HVAC Deemed Table'!F1873</f>
        <v>368.49</v>
      </c>
      <c r="O287" s="3841">
        <f t="shared" si="186"/>
        <v>1.116295</v>
      </c>
      <c r="P287" s="3841">
        <f t="shared" si="187"/>
        <v>0.34386499999999998</v>
      </c>
      <c r="Q287" s="3842">
        <f>'HVAC Deemed Table'!I1870</f>
        <v>1.116295</v>
      </c>
      <c r="R287" s="3842">
        <f>'HVAC Deemed Table'!I1871</f>
        <v>0</v>
      </c>
      <c r="S287" s="3842">
        <f>'HVAC Deemed Table'!I1872</f>
        <v>0.34386499999999998</v>
      </c>
      <c r="T287" s="3842">
        <f>'HVAC Deemed Table'!I1873</f>
        <v>0</v>
      </c>
      <c r="U287" s="3843">
        <f t="shared" si="174"/>
        <v>0</v>
      </c>
      <c r="V287" s="3843">
        <f t="shared" si="175"/>
        <v>0</v>
      </c>
      <c r="W287" s="3843">
        <f t="shared" si="176"/>
        <v>1.116295</v>
      </c>
      <c r="X287" s="2846">
        <f>'HVAC Deemed Table'!J1870</f>
        <v>6</v>
      </c>
      <c r="Y287" s="2846">
        <f>'HVAC Deemed Table'!J1872</f>
        <v>12</v>
      </c>
      <c r="Z287" s="2846">
        <f t="shared" si="164"/>
        <v>18</v>
      </c>
      <c r="AA287" s="2529">
        <f>'HVAC Deemed Table'!DG1870</f>
        <v>1.7929604496416784</v>
      </c>
      <c r="AB287" s="3878">
        <f>'HVAC Deemed Table'!K1870</f>
        <v>1077.5183641564863</v>
      </c>
      <c r="AC287" s="3845">
        <f t="shared" si="165"/>
        <v>1337.8079491435053</v>
      </c>
      <c r="AD287" s="3845">
        <f t="shared" si="178"/>
        <v>594.13986155167424</v>
      </c>
      <c r="AE287" s="3846">
        <f>'HVAC Deemed Table'!DI1870</f>
        <v>1173.3580206721101</v>
      </c>
      <c r="AF287" s="3846">
        <f>'HVAC Deemed Table'!DI1871</f>
        <v>164.44992847139511</v>
      </c>
      <c r="AG287" s="3846">
        <f>'HVAC Deemed Table'!DI1872</f>
        <v>469.62855520084628</v>
      </c>
      <c r="AH287" s="3846">
        <f>'HVAC Deemed Table'!DI1873</f>
        <v>124.51130635082799</v>
      </c>
      <c r="AI287" s="3847" t="str">
        <f t="shared" si="188"/>
        <v>per measure</v>
      </c>
      <c r="AJ287" s="3220">
        <f>'HVAC Deemed Table'!L1870</f>
        <v>3.3</v>
      </c>
      <c r="AK287" s="3848"/>
      <c r="AL287" s="3848"/>
      <c r="AX287" s="3849" t="str">
        <f t="shared" si="159"/>
        <v>ASHP-SEER21_ER1_MF_CompE</v>
      </c>
      <c r="AY287" s="2724"/>
      <c r="AZ287" s="3850" t="str">
        <f t="shared" si="160"/>
        <v>354901</v>
      </c>
      <c r="BA287" s="3883">
        <f>ROUND((K287*$BC$3)+(K297*$BC$4),2)</f>
        <v>852.13</v>
      </c>
      <c r="BB287" s="3883">
        <f>ROUND((L287*$BC$3)+(L297*$BC$4),2)</f>
        <v>532.24</v>
      </c>
      <c r="BC287" s="3883">
        <f>ROUND((M287*$BC$3)+(K297*$BC$4),2)</f>
        <v>362.95</v>
      </c>
      <c r="BD287" s="3883">
        <f>ROUND((N287*$BC$3)+(L297*$BC$4),2)</f>
        <v>385.41</v>
      </c>
      <c r="BE287" s="3853"/>
      <c r="BF287" s="3854">
        <f>ROUND(BA287*'CP FACTORS'!$B$9,6)</f>
        <v>0.80732300000000001</v>
      </c>
      <c r="BG287" s="3854">
        <f>ROUND(BB287*'CP FACTORS'!$B$14,6)</f>
        <v>0</v>
      </c>
      <c r="BH287" s="3854">
        <f>ROUND(BC287*'CP FACTORS'!$B$9,6)</f>
        <v>0.34386499999999998</v>
      </c>
      <c r="BI287" s="3855">
        <f>ROUND(BD287*'CP FACTORS'!$B$14,6)</f>
        <v>0</v>
      </c>
      <c r="BJ287" s="3853"/>
      <c r="BK287" s="3856">
        <f t="shared" si="180"/>
        <v>1384.37</v>
      </c>
      <c r="BL287" s="3857">
        <f t="shared" si="181"/>
        <v>748.36</v>
      </c>
      <c r="BM287" s="3858">
        <f t="shared" si="182"/>
        <v>0.80732300000000001</v>
      </c>
      <c r="BN287" s="3855">
        <f t="shared" si="183"/>
        <v>0.34386499999999998</v>
      </c>
    </row>
    <row r="288" spans="1:66">
      <c r="A288" s="51" t="str">
        <f t="shared" si="163"/>
        <v>354950</v>
      </c>
      <c r="B288" s="1442" t="str">
        <f>'HVAC Deemed Table'!C1874</f>
        <v>354950_2024_12_</v>
      </c>
      <c r="C288" s="887" t="str">
        <f>'HVAC Deemed Table'!G1874</f>
        <v>Cooling Res</v>
      </c>
      <c r="D288" s="887" t="str">
        <f>'HVAC Deemed Table'!G1875</f>
        <v>Heating Res</v>
      </c>
      <c r="E288" s="1378"/>
      <c r="F288" s="1378"/>
      <c r="G288" s="1378" t="str">
        <f>'HVAC Deemed Table'!E1874</f>
        <v>ASHP-SEER17_ROF_MF</v>
      </c>
      <c r="H288" s="19" t="str">
        <f>'HVAC Deemed Table'!D1874</f>
        <v>MFIE</v>
      </c>
      <c r="I288" s="785">
        <f t="shared" si="184"/>
        <v>1453.41</v>
      </c>
      <c r="J288" s="785">
        <f t="shared" si="185"/>
        <v>0</v>
      </c>
      <c r="K288" s="202">
        <f>'HVAC Deemed Table'!F1874</f>
        <v>248.43</v>
      </c>
      <c r="L288" s="202">
        <f>'HVAC Deemed Table'!F1875</f>
        <v>1204.98</v>
      </c>
      <c r="M288" s="202"/>
      <c r="N288" s="202"/>
      <c r="O288" s="786">
        <f t="shared" si="186"/>
        <v>0.23536699999999999</v>
      </c>
      <c r="P288" s="786">
        <f t="shared" si="187"/>
        <v>0</v>
      </c>
      <c r="Q288" s="787">
        <f>'HVAC Deemed Table'!I1874</f>
        <v>0.23536699999999999</v>
      </c>
      <c r="R288" s="787">
        <f>'HVAC Deemed Table'!I1875</f>
        <v>0</v>
      </c>
      <c r="S288" s="787"/>
      <c r="T288" s="787"/>
      <c r="U288" s="788">
        <f t="shared" si="174"/>
        <v>0</v>
      </c>
      <c r="V288" s="788">
        <f t="shared" si="175"/>
        <v>0</v>
      </c>
      <c r="W288" s="788">
        <f t="shared" si="176"/>
        <v>0.23536699999999999</v>
      </c>
      <c r="X288" s="23">
        <f>'HVAC Deemed Table'!J1874</f>
        <v>18</v>
      </c>
      <c r="Y288" s="23"/>
      <c r="Z288" s="23">
        <f t="shared" si="164"/>
        <v>18</v>
      </c>
      <c r="AA288" s="18">
        <f>'HVAC Deemed Table'!DG1874</f>
        <v>2.0621513389005171</v>
      </c>
      <c r="AB288" s="259">
        <f>'HVAC Deemed Table'!K1874</f>
        <v>630</v>
      </c>
      <c r="AC288" s="903">
        <f t="shared" si="165"/>
        <v>1299.1553435073258</v>
      </c>
      <c r="AD288" s="903">
        <f t="shared" si="178"/>
        <v>0</v>
      </c>
      <c r="AE288" s="208">
        <f>'HVAC Deemed Table'!DI1874</f>
        <v>568.8472877377618</v>
      </c>
      <c r="AF288" s="208">
        <f>'HVAC Deemed Table'!DI1875</f>
        <v>730.30805576956402</v>
      </c>
      <c r="AG288" s="208"/>
      <c r="AH288" s="208"/>
      <c r="AI288" s="906" t="str">
        <f t="shared" si="188"/>
        <v>per measure</v>
      </c>
      <c r="AJ288" s="47">
        <f>'HVAC Deemed Table'!L1874</f>
        <v>3.3</v>
      </c>
      <c r="AK288" s="641"/>
      <c r="AL288" s="641"/>
      <c r="AX288" s="1355" t="str">
        <f t="shared" si="159"/>
        <v>ASHP-SEER17_ROF_MF</v>
      </c>
      <c r="AY288" s="1378"/>
      <c r="AZ288" s="1446" t="str">
        <f t="shared" si="160"/>
        <v>354950</v>
      </c>
      <c r="BA288" s="1339">
        <f>BA254</f>
        <v>921.05</v>
      </c>
      <c r="BB288" s="1339">
        <f t="shared" ref="BB288:BD289" si="190">BB254</f>
        <v>1561.25</v>
      </c>
      <c r="BC288" s="1339">
        <f t="shared" si="190"/>
        <v>248.43</v>
      </c>
      <c r="BD288" s="1339">
        <f t="shared" si="190"/>
        <v>1130.53</v>
      </c>
      <c r="BE288" s="1305"/>
      <c r="BF288" s="1321">
        <f>ROUND(BA288*'CP FACTORS'!$B$9,6)</f>
        <v>0.87261900000000003</v>
      </c>
      <c r="BG288" s="1322">
        <f>ROUND(BB288*'CP FACTORS'!$B$14,6)</f>
        <v>0</v>
      </c>
      <c r="BH288" s="1321">
        <f>ROUND(BC288*'CP FACTORS'!$B$9,6)</f>
        <v>0.23536699999999999</v>
      </c>
      <c r="BI288" s="1323">
        <f>ROUND(BD288*'CP FACTORS'!$B$14,6)</f>
        <v>0</v>
      </c>
      <c r="BJ288" s="1305"/>
      <c r="BK288" s="730">
        <f t="shared" si="180"/>
        <v>2482.3000000000002</v>
      </c>
      <c r="BL288" s="1342">
        <f t="shared" si="181"/>
        <v>1378.96</v>
      </c>
      <c r="BM288" s="1341">
        <f t="shared" si="182"/>
        <v>0.87261900000000003</v>
      </c>
      <c r="BN288" s="1340">
        <f t="shared" si="183"/>
        <v>0.23536699999999999</v>
      </c>
    </row>
    <row r="289" spans="1:66" s="696" customFormat="1">
      <c r="A289" s="2958" t="str">
        <f t="shared" si="163"/>
        <v>354951</v>
      </c>
      <c r="B289" s="2233" t="str">
        <f>'HVAC Deemed Table'!C1876</f>
        <v>354951_2024_12_</v>
      </c>
      <c r="C289" s="3874" t="str">
        <f>'HVAC Deemed Table'!G1876</f>
        <v>Cooling Res</v>
      </c>
      <c r="D289" s="3874" t="str">
        <f>'HVAC Deemed Table'!G1877</f>
        <v>Heating Res</v>
      </c>
      <c r="E289" s="2724"/>
      <c r="F289" s="2724"/>
      <c r="G289" s="2724" t="str">
        <f>'HVAC Deemed Table'!E1876</f>
        <v>ASHP-SEER17_ROF_MF_CompE</v>
      </c>
      <c r="H289" s="2554" t="str">
        <f>'HVAC Deemed Table'!D1876</f>
        <v>MFc</v>
      </c>
      <c r="I289" s="3840">
        <f t="shared" si="184"/>
        <v>591.47</v>
      </c>
      <c r="J289" s="3840">
        <f t="shared" si="185"/>
        <v>0</v>
      </c>
      <c r="K289" s="3251">
        <f>'HVAC Deemed Table'!F1876</f>
        <v>180.68</v>
      </c>
      <c r="L289" s="3251">
        <f>'HVAC Deemed Table'!F1877</f>
        <v>410.79</v>
      </c>
      <c r="M289" s="3251"/>
      <c r="N289" s="3251"/>
      <c r="O289" s="3841">
        <f t="shared" si="186"/>
        <v>0.17118</v>
      </c>
      <c r="P289" s="3841">
        <f t="shared" si="187"/>
        <v>0</v>
      </c>
      <c r="Q289" s="3842">
        <f>'HVAC Deemed Table'!I1876</f>
        <v>0.17118</v>
      </c>
      <c r="R289" s="3842">
        <f>'HVAC Deemed Table'!I1877</f>
        <v>0</v>
      </c>
      <c r="S289" s="3842"/>
      <c r="T289" s="3842"/>
      <c r="U289" s="3843">
        <f t="shared" si="174"/>
        <v>0</v>
      </c>
      <c r="V289" s="3843">
        <f t="shared" si="175"/>
        <v>0</v>
      </c>
      <c r="W289" s="3843">
        <f t="shared" si="176"/>
        <v>0.17118</v>
      </c>
      <c r="X289" s="2846">
        <f>'HVAC Deemed Table'!J1876</f>
        <v>18</v>
      </c>
      <c r="Y289" s="2846"/>
      <c r="Z289" s="2846">
        <f t="shared" si="164"/>
        <v>18</v>
      </c>
      <c r="AA289" s="2529">
        <f>'HVAC Deemed Table'!DG1876</f>
        <v>1.0518808359186844</v>
      </c>
      <c r="AB289" s="3878">
        <f>'HVAC Deemed Table'!K1876</f>
        <v>630</v>
      </c>
      <c r="AC289" s="3845">
        <f t="shared" si="165"/>
        <v>662.68492662877122</v>
      </c>
      <c r="AD289" s="3845">
        <f t="shared" si="178"/>
        <v>0</v>
      </c>
      <c r="AE289" s="3846">
        <f>'HVAC Deemed Table'!DI1876</f>
        <v>413.71544478709819</v>
      </c>
      <c r="AF289" s="3846">
        <f>'HVAC Deemed Table'!DI1877</f>
        <v>248.96948184167306</v>
      </c>
      <c r="AG289" s="3846"/>
      <c r="AH289" s="3846"/>
      <c r="AI289" s="3847" t="str">
        <f t="shared" si="188"/>
        <v>per measure</v>
      </c>
      <c r="AJ289" s="3220">
        <f>'HVAC Deemed Table'!L1876</f>
        <v>3.3</v>
      </c>
      <c r="AK289" s="3848"/>
      <c r="AL289" s="3848"/>
      <c r="AX289" s="3849" t="str">
        <f t="shared" si="159"/>
        <v>ASHP-SEER17_ROF_MF_CompE</v>
      </c>
      <c r="AY289" s="2724"/>
      <c r="AZ289" s="3850" t="str">
        <f t="shared" si="160"/>
        <v>354951</v>
      </c>
      <c r="BA289" s="3881">
        <f>BA255</f>
        <v>669.86</v>
      </c>
      <c r="BB289" s="3881">
        <f t="shared" si="190"/>
        <v>532.24</v>
      </c>
      <c r="BC289" s="3881">
        <f t="shared" si="190"/>
        <v>180.68</v>
      </c>
      <c r="BD289" s="3881">
        <f t="shared" si="190"/>
        <v>385.41</v>
      </c>
      <c r="BE289" s="3853"/>
      <c r="BF289" s="3854">
        <f>ROUND(BA289*'CP FACTORS'!$B$9,6)</f>
        <v>0.63463700000000001</v>
      </c>
      <c r="BG289" s="3854">
        <f>ROUND(BB289*'CP FACTORS'!$B$14,6)</f>
        <v>0</v>
      </c>
      <c r="BH289" s="3854">
        <f>ROUND(BC289*'CP FACTORS'!$B$9,6)</f>
        <v>0.17118</v>
      </c>
      <c r="BI289" s="3855">
        <f>ROUND(BD289*'CP FACTORS'!$B$14,6)</f>
        <v>0</v>
      </c>
      <c r="BJ289" s="3853"/>
      <c r="BK289" s="3856">
        <f t="shared" si="180"/>
        <v>1202.0999999999999</v>
      </c>
      <c r="BL289" s="3857">
        <f t="shared" si="181"/>
        <v>566.09</v>
      </c>
      <c r="BM289" s="3858">
        <f t="shared" si="182"/>
        <v>0.63463700000000001</v>
      </c>
      <c r="BN289" s="3855">
        <f t="shared" si="183"/>
        <v>0.17118</v>
      </c>
    </row>
    <row r="290" spans="1:66">
      <c r="A290" s="51" t="str">
        <f t="shared" si="163"/>
        <v>355000</v>
      </c>
      <c r="B290" s="1442" t="str">
        <f>'HVAC Deemed Table'!C1878</f>
        <v>355000_2024_12_</v>
      </c>
      <c r="C290" s="887" t="str">
        <f>'HVAC Deemed Table'!G1878</f>
        <v>Cooling Res</v>
      </c>
      <c r="D290" s="887" t="str">
        <f>'HVAC Deemed Table'!G1879</f>
        <v>Heating Res</v>
      </c>
      <c r="E290" s="1378"/>
      <c r="F290" s="1378"/>
      <c r="G290" s="1378" t="str">
        <f>'HVAC Deemed Table'!E1878</f>
        <v>ASHP-SEER18_ROF_MF</v>
      </c>
      <c r="H290" s="19" t="str">
        <f>'HVAC Deemed Table'!D1878</f>
        <v>MFIE</v>
      </c>
      <c r="I290" s="785">
        <f t="shared" si="184"/>
        <v>1526.51</v>
      </c>
      <c r="J290" s="785">
        <f t="shared" si="185"/>
        <v>0</v>
      </c>
      <c r="K290" s="202">
        <f>'HVAC Deemed Table'!F1878</f>
        <v>321.52999999999997</v>
      </c>
      <c r="L290" s="202">
        <f>'HVAC Deemed Table'!F1879</f>
        <v>1204.98</v>
      </c>
      <c r="M290" s="202"/>
      <c r="N290" s="202"/>
      <c r="O290" s="786">
        <f t="shared" si="186"/>
        <v>0.30462299999999998</v>
      </c>
      <c r="P290" s="786">
        <f t="shared" si="187"/>
        <v>0</v>
      </c>
      <c r="Q290" s="787">
        <f>'HVAC Deemed Table'!I1878</f>
        <v>0.30462299999999998</v>
      </c>
      <c r="R290" s="787">
        <f>'HVAC Deemed Table'!I1879</f>
        <v>0</v>
      </c>
      <c r="S290" s="787"/>
      <c r="T290" s="787"/>
      <c r="U290" s="788">
        <f t="shared" si="174"/>
        <v>0</v>
      </c>
      <c r="V290" s="788">
        <f t="shared" si="175"/>
        <v>0</v>
      </c>
      <c r="W290" s="788">
        <f t="shared" si="176"/>
        <v>0.30462299999999998</v>
      </c>
      <c r="X290" s="23">
        <f>'HVAC Deemed Table'!J1878</f>
        <v>18</v>
      </c>
      <c r="Y290" s="23"/>
      <c r="Z290" s="23">
        <f t="shared" si="164"/>
        <v>18</v>
      </c>
      <c r="AA290" s="18">
        <f>'HVAC Deemed Table'!DG1878</f>
        <v>1.7152484796152838</v>
      </c>
      <c r="AB290" s="259">
        <f>'HVAC Deemed Table'!K1878</f>
        <v>855</v>
      </c>
      <c r="AC290" s="903">
        <f t="shared" si="165"/>
        <v>1466.5374500710677</v>
      </c>
      <c r="AD290" s="903">
        <f t="shared" si="178"/>
        <v>0</v>
      </c>
      <c r="AE290" s="208">
        <f>'HVAC Deemed Table'!DI1878</f>
        <v>736.22939430150359</v>
      </c>
      <c r="AF290" s="208">
        <f>'HVAC Deemed Table'!DI1879</f>
        <v>730.30805576956402</v>
      </c>
      <c r="AG290" s="208"/>
      <c r="AH290" s="208"/>
      <c r="AI290" s="906" t="str">
        <f t="shared" si="188"/>
        <v>per measure</v>
      </c>
      <c r="AJ290" s="47">
        <f>'HVAC Deemed Table'!L1878</f>
        <v>3.3</v>
      </c>
      <c r="AK290" s="641"/>
      <c r="AL290" s="641"/>
      <c r="AX290" s="1355" t="str">
        <f t="shared" si="159"/>
        <v>ASHP-SEER18_ROF_MF</v>
      </c>
      <c r="AY290" s="1378"/>
      <c r="AZ290" s="1446" t="str">
        <f t="shared" si="160"/>
        <v>355000</v>
      </c>
      <c r="BA290" s="1333">
        <f>BA262</f>
        <v>1607.47</v>
      </c>
      <c r="BB290" s="1333">
        <f t="shared" ref="BB290:BD291" si="191">BB262</f>
        <v>1881.59</v>
      </c>
      <c r="BC290" s="1333">
        <f t="shared" si="191"/>
        <v>353.46</v>
      </c>
      <c r="BD290" s="1333">
        <f t="shared" si="191"/>
        <v>1379.59</v>
      </c>
      <c r="BE290" s="1305"/>
      <c r="BF290" s="1321">
        <f>ROUND(BA290*'CP FACTORS'!$B$9,6)</f>
        <v>1.5229459999999999</v>
      </c>
      <c r="BG290" s="1322">
        <f>ROUND(BB290*'CP FACTORS'!$B$14,6)</f>
        <v>0</v>
      </c>
      <c r="BH290" s="1321">
        <f>ROUND(BC290*'CP FACTORS'!$B$9,6)</f>
        <v>0.334874</v>
      </c>
      <c r="BI290" s="1323">
        <f>ROUND(BD290*'CP FACTORS'!$B$14,6)</f>
        <v>0</v>
      </c>
      <c r="BJ290" s="1305"/>
      <c r="BK290" s="730">
        <f t="shared" si="180"/>
        <v>3489.06</v>
      </c>
      <c r="BL290" s="1342">
        <f t="shared" si="181"/>
        <v>1733.05</v>
      </c>
      <c r="BM290" s="1341">
        <f t="shared" si="182"/>
        <v>1.5229459999999999</v>
      </c>
      <c r="BN290" s="1340">
        <f t="shared" si="183"/>
        <v>0.334874</v>
      </c>
    </row>
    <row r="291" spans="1:66" s="696" customFormat="1">
      <c r="A291" s="2958" t="str">
        <f t="shared" si="163"/>
        <v>355001</v>
      </c>
      <c r="B291" s="2233" t="str">
        <f>'HVAC Deemed Table'!C1880</f>
        <v>355001_2024_12_</v>
      </c>
      <c r="C291" s="3874" t="str">
        <f>'HVAC Deemed Table'!G1880</f>
        <v>Cooling Res</v>
      </c>
      <c r="D291" s="3874" t="str">
        <f>'HVAC Deemed Table'!G1881</f>
        <v>Heating Res</v>
      </c>
      <c r="E291" s="2724"/>
      <c r="F291" s="2724"/>
      <c r="G291" s="2724" t="str">
        <f>'HVAC Deemed Table'!E1880</f>
        <v>ASHP-SEER18_ROF_MF_CompE</v>
      </c>
      <c r="H291" s="2554" t="str">
        <f>'HVAC Deemed Table'!D1880</f>
        <v>MFc</v>
      </c>
      <c r="I291" s="3840">
        <f t="shared" si="184"/>
        <v>644.63</v>
      </c>
      <c r="J291" s="3840">
        <f t="shared" si="185"/>
        <v>0</v>
      </c>
      <c r="K291" s="3251">
        <f>'HVAC Deemed Table'!F1880</f>
        <v>233.84</v>
      </c>
      <c r="L291" s="3251">
        <f>'HVAC Deemed Table'!F1881</f>
        <v>410.79</v>
      </c>
      <c r="M291" s="3251"/>
      <c r="N291" s="3251"/>
      <c r="O291" s="3841">
        <f t="shared" si="186"/>
        <v>0.22154399999999999</v>
      </c>
      <c r="P291" s="3841">
        <f t="shared" si="187"/>
        <v>0</v>
      </c>
      <c r="Q291" s="3842">
        <f>'HVAC Deemed Table'!I1880</f>
        <v>0.22154399999999999</v>
      </c>
      <c r="R291" s="3842">
        <f>'HVAC Deemed Table'!I1881</f>
        <v>0</v>
      </c>
      <c r="S291" s="3842"/>
      <c r="T291" s="3842"/>
      <c r="U291" s="3843">
        <f t="shared" si="174"/>
        <v>0</v>
      </c>
      <c r="V291" s="3843">
        <f t="shared" si="175"/>
        <v>0</v>
      </c>
      <c r="W291" s="3843">
        <f t="shared" si="176"/>
        <v>0.22154399999999999</v>
      </c>
      <c r="X291" s="2846">
        <f>'HVAC Deemed Table'!J1880</f>
        <v>18</v>
      </c>
      <c r="Y291" s="2846"/>
      <c r="Z291" s="2846">
        <f t="shared" si="164"/>
        <v>18</v>
      </c>
      <c r="AA291" s="2529">
        <f>'HVAC Deemed Table'!DG1880</f>
        <v>0.91743747524406527</v>
      </c>
      <c r="AB291" s="3878">
        <f>'HVAC Deemed Table'!K1880</f>
        <v>855</v>
      </c>
      <c r="AC291" s="3845">
        <f t="shared" si="165"/>
        <v>784.40904133367576</v>
      </c>
      <c r="AD291" s="3845">
        <f t="shared" si="178"/>
        <v>0</v>
      </c>
      <c r="AE291" s="3846">
        <f>'HVAC Deemed Table'!DI1880</f>
        <v>535.43955949200267</v>
      </c>
      <c r="AF291" s="3846">
        <f>'HVAC Deemed Table'!DI1881</f>
        <v>248.96948184167306</v>
      </c>
      <c r="AG291" s="3846"/>
      <c r="AH291" s="3846"/>
      <c r="AI291" s="3847" t="str">
        <f t="shared" si="188"/>
        <v>per measure</v>
      </c>
      <c r="AJ291" s="3220">
        <f>'HVAC Deemed Table'!L1880</f>
        <v>3.3</v>
      </c>
      <c r="AK291" s="3848"/>
      <c r="AL291" s="3848"/>
      <c r="AX291" s="3849" t="str">
        <f t="shared" si="159"/>
        <v>ASHP-SEER18_ROF_MF_CompE</v>
      </c>
      <c r="AY291" s="2724"/>
      <c r="AZ291" s="3850" t="str">
        <f t="shared" si="160"/>
        <v>355001</v>
      </c>
      <c r="BA291" s="3879">
        <f>BA263</f>
        <v>1169.07</v>
      </c>
      <c r="BB291" s="3879">
        <f t="shared" si="191"/>
        <v>641.45000000000005</v>
      </c>
      <c r="BC291" s="3879">
        <f t="shared" si="191"/>
        <v>257.06</v>
      </c>
      <c r="BD291" s="3879">
        <f t="shared" si="191"/>
        <v>470.32</v>
      </c>
      <c r="BE291" s="3853"/>
      <c r="BF291" s="3854">
        <f>ROUND(BA291*'CP FACTORS'!$B$9,6)</f>
        <v>1.1075980000000001</v>
      </c>
      <c r="BG291" s="3854">
        <f>ROUND(BB291*'CP FACTORS'!$B$14,6)</f>
        <v>0</v>
      </c>
      <c r="BH291" s="3854">
        <f>ROUND(BC291*'CP FACTORS'!$B$9,6)</f>
        <v>0.24354300000000001</v>
      </c>
      <c r="BI291" s="3855">
        <f>ROUND(BD291*'CP FACTORS'!$B$14,6)</f>
        <v>0</v>
      </c>
      <c r="BJ291" s="3853"/>
      <c r="BK291" s="3856">
        <f t="shared" si="180"/>
        <v>1810.52</v>
      </c>
      <c r="BL291" s="3857">
        <f t="shared" si="181"/>
        <v>727.38</v>
      </c>
      <c r="BM291" s="3858">
        <f t="shared" si="182"/>
        <v>1.1075980000000001</v>
      </c>
      <c r="BN291" s="3855">
        <f t="shared" si="183"/>
        <v>0.24354300000000001</v>
      </c>
    </row>
    <row r="292" spans="1:66">
      <c r="A292" s="51" t="str">
        <f t="shared" si="163"/>
        <v>355050</v>
      </c>
      <c r="B292" s="1442" t="str">
        <f>'HVAC Deemed Table'!C1882</f>
        <v>355050_2024_12_</v>
      </c>
      <c r="C292" s="887" t="str">
        <f>'HVAC Deemed Table'!G1882</f>
        <v>Cooling Res</v>
      </c>
      <c r="D292" s="887" t="str">
        <f>'HVAC Deemed Table'!G1883</f>
        <v>Heating Res</v>
      </c>
      <c r="E292" s="1378"/>
      <c r="F292" s="1378"/>
      <c r="G292" s="1378" t="str">
        <f>'HVAC Deemed Table'!E1882</f>
        <v>ASHP-SEER19_ROF_MF</v>
      </c>
      <c r="H292" s="19" t="str">
        <f>'HVAC Deemed Table'!D1882</f>
        <v>MFIE</v>
      </c>
      <c r="I292" s="785">
        <f t="shared" si="184"/>
        <v>1591.91</v>
      </c>
      <c r="J292" s="785">
        <f t="shared" si="185"/>
        <v>0</v>
      </c>
      <c r="K292" s="202">
        <f>'HVAC Deemed Table'!F1882</f>
        <v>386.93</v>
      </c>
      <c r="L292" s="202">
        <f>'HVAC Deemed Table'!F1883</f>
        <v>1204.98</v>
      </c>
      <c r="M292" s="202"/>
      <c r="N292" s="202"/>
      <c r="O292" s="786">
        <f t="shared" si="186"/>
        <v>0.36658400000000002</v>
      </c>
      <c r="P292" s="786">
        <f t="shared" si="187"/>
        <v>0</v>
      </c>
      <c r="Q292" s="787">
        <f>'HVAC Deemed Table'!I1882</f>
        <v>0.36658400000000002</v>
      </c>
      <c r="R292" s="787">
        <f>'HVAC Deemed Table'!I1883</f>
        <v>0</v>
      </c>
      <c r="S292" s="787"/>
      <c r="T292" s="787"/>
      <c r="U292" s="788">
        <f t="shared" si="174"/>
        <v>0</v>
      </c>
      <c r="V292" s="788">
        <f t="shared" si="175"/>
        <v>0</v>
      </c>
      <c r="W292" s="788">
        <f t="shared" si="176"/>
        <v>0.36658400000000002</v>
      </c>
      <c r="X292" s="23">
        <f>'HVAC Deemed Table'!J1882</f>
        <v>18</v>
      </c>
      <c r="Y292" s="23"/>
      <c r="Z292" s="23">
        <f t="shared" si="164"/>
        <v>18</v>
      </c>
      <c r="AA292" s="18">
        <f>'HVAC Deemed Table'!DG1882</f>
        <v>1.4951788493132057</v>
      </c>
      <c r="AB292" s="259">
        <f>'HVAC Deemed Table'!K1882</f>
        <v>1081</v>
      </c>
      <c r="AC292" s="903">
        <f t="shared" si="165"/>
        <v>1616.2883361075753</v>
      </c>
      <c r="AD292" s="903">
        <f t="shared" si="178"/>
        <v>0</v>
      </c>
      <c r="AE292" s="208">
        <f>'HVAC Deemed Table'!DI1882</f>
        <v>885.98028033801131</v>
      </c>
      <c r="AF292" s="208">
        <f>'HVAC Deemed Table'!DI1883</f>
        <v>730.30805576956402</v>
      </c>
      <c r="AG292" s="208"/>
      <c r="AH292" s="208"/>
      <c r="AI292" s="906" t="str">
        <f t="shared" si="188"/>
        <v>per measure</v>
      </c>
      <c r="AJ292" s="47">
        <f>'HVAC Deemed Table'!L1882</f>
        <v>3.3</v>
      </c>
      <c r="AK292" s="641"/>
      <c r="AL292" s="641"/>
      <c r="AX292" s="1355" t="str">
        <f t="shared" si="159"/>
        <v>ASHP-SEER19_ROF_MF</v>
      </c>
      <c r="AY292" s="1378"/>
      <c r="AZ292" s="1446" t="str">
        <f t="shared" si="160"/>
        <v>355050</v>
      </c>
      <c r="BA292" s="1339">
        <f>BA270</f>
        <v>1059.55</v>
      </c>
      <c r="BB292" s="1339">
        <f t="shared" ref="BB292:BD293" si="192">BB270</f>
        <v>1561.25</v>
      </c>
      <c r="BC292" s="1339">
        <f t="shared" si="192"/>
        <v>386.93</v>
      </c>
      <c r="BD292" s="1339">
        <f t="shared" si="192"/>
        <v>1130.53</v>
      </c>
      <c r="BE292" s="1305"/>
      <c r="BF292" s="1321">
        <f>ROUND(BA292*'CP FACTORS'!$B$9,6)</f>
        <v>1.0038370000000001</v>
      </c>
      <c r="BG292" s="1322">
        <f>ROUND(BB292*'CP FACTORS'!$B$14,6)</f>
        <v>0</v>
      </c>
      <c r="BH292" s="1321">
        <f>ROUND(BC292*'CP FACTORS'!$B$9,6)</f>
        <v>0.36658400000000002</v>
      </c>
      <c r="BI292" s="1323">
        <f>ROUND(BD292*'CP FACTORS'!$B$14,6)</f>
        <v>0</v>
      </c>
      <c r="BJ292" s="1305"/>
      <c r="BK292" s="730">
        <f t="shared" si="180"/>
        <v>2620.8000000000002</v>
      </c>
      <c r="BL292" s="1342">
        <f t="shared" si="181"/>
        <v>1517.46</v>
      </c>
      <c r="BM292" s="1341">
        <f t="shared" si="182"/>
        <v>1.0038370000000001</v>
      </c>
      <c r="BN292" s="1340">
        <f t="shared" si="183"/>
        <v>0.36658400000000002</v>
      </c>
    </row>
    <row r="293" spans="1:66" s="696" customFormat="1">
      <c r="A293" s="2958" t="str">
        <f t="shared" si="163"/>
        <v>355051</v>
      </c>
      <c r="B293" s="2233" t="str">
        <f>'HVAC Deemed Table'!C1884</f>
        <v>355051_2024_12_</v>
      </c>
      <c r="C293" s="3874" t="str">
        <f>'HVAC Deemed Table'!G1884</f>
        <v>Cooling Res</v>
      </c>
      <c r="D293" s="3874" t="str">
        <f>'HVAC Deemed Table'!G1885</f>
        <v>Heating Res</v>
      </c>
      <c r="E293" s="2724"/>
      <c r="F293" s="2724"/>
      <c r="G293" s="2724" t="str">
        <f>'HVAC Deemed Table'!E1884</f>
        <v>ASHP-SEER19_ROF_MF_CompE</v>
      </c>
      <c r="H293" s="2554" t="str">
        <f>'HVAC Deemed Table'!D1884</f>
        <v>MFc</v>
      </c>
      <c r="I293" s="3840">
        <f t="shared" si="184"/>
        <v>692.2</v>
      </c>
      <c r="J293" s="3840">
        <f t="shared" si="185"/>
        <v>0</v>
      </c>
      <c r="K293" s="3251">
        <f>'HVAC Deemed Table'!F1884</f>
        <v>281.41000000000003</v>
      </c>
      <c r="L293" s="3251">
        <f>'HVAC Deemed Table'!F1885</f>
        <v>410.79</v>
      </c>
      <c r="M293" s="3251"/>
      <c r="N293" s="3251"/>
      <c r="O293" s="3841">
        <f t="shared" si="186"/>
        <v>0.26661299999999999</v>
      </c>
      <c r="P293" s="3841">
        <f t="shared" si="187"/>
        <v>0</v>
      </c>
      <c r="Q293" s="3842">
        <f>'HVAC Deemed Table'!I1884</f>
        <v>0.26661299999999999</v>
      </c>
      <c r="R293" s="3842">
        <f>'HVAC Deemed Table'!I1885</f>
        <v>0</v>
      </c>
      <c r="S293" s="3842"/>
      <c r="T293" s="3842"/>
      <c r="U293" s="3843">
        <f t="shared" si="174"/>
        <v>0</v>
      </c>
      <c r="V293" s="3843">
        <f t="shared" si="175"/>
        <v>0</v>
      </c>
      <c r="W293" s="3843">
        <f t="shared" si="176"/>
        <v>0.26661299999999999</v>
      </c>
      <c r="X293" s="2846">
        <f>'HVAC Deemed Table'!J1884</f>
        <v>18</v>
      </c>
      <c r="Y293" s="2846"/>
      <c r="Z293" s="2846">
        <f t="shared" si="164"/>
        <v>18</v>
      </c>
      <c r="AA293" s="2529">
        <f>'HVAC Deemed Table'!DG1884</f>
        <v>0.8263953264473527</v>
      </c>
      <c r="AB293" s="3878">
        <f>'HVAC Deemed Table'!K1884</f>
        <v>1081</v>
      </c>
      <c r="AC293" s="3845">
        <f t="shared" si="165"/>
        <v>893.33334788958825</v>
      </c>
      <c r="AD293" s="3845">
        <f t="shared" si="178"/>
        <v>0</v>
      </c>
      <c r="AE293" s="3846">
        <f>'HVAC Deemed Table'!DI1884</f>
        <v>644.36386604791517</v>
      </c>
      <c r="AF293" s="3846">
        <f>'HVAC Deemed Table'!DI1885</f>
        <v>248.96948184167306</v>
      </c>
      <c r="AG293" s="3846"/>
      <c r="AH293" s="3846"/>
      <c r="AI293" s="3847" t="str">
        <f t="shared" si="188"/>
        <v>per measure</v>
      </c>
      <c r="AJ293" s="3220">
        <f>'HVAC Deemed Table'!L1884</f>
        <v>3.3</v>
      </c>
      <c r="AK293" s="3848"/>
      <c r="AL293" s="3848"/>
      <c r="AX293" s="3849" t="str">
        <f t="shared" si="159"/>
        <v>ASHP-SEER19_ROF_MF_CompE</v>
      </c>
      <c r="AY293" s="2724"/>
      <c r="AZ293" s="3850" t="str">
        <f t="shared" si="160"/>
        <v>355051</v>
      </c>
      <c r="BA293" s="3881">
        <f>BA271</f>
        <v>770.59</v>
      </c>
      <c r="BB293" s="3881">
        <f t="shared" si="192"/>
        <v>532.24</v>
      </c>
      <c r="BC293" s="3881">
        <f t="shared" si="192"/>
        <v>281.41000000000003</v>
      </c>
      <c r="BD293" s="3881">
        <f t="shared" si="192"/>
        <v>385.41</v>
      </c>
      <c r="BE293" s="3853"/>
      <c r="BF293" s="3854">
        <f>ROUND(BA293*'CP FACTORS'!$B$9,6)</f>
        <v>0.73007100000000003</v>
      </c>
      <c r="BG293" s="3854">
        <f>ROUND(BB293*'CP FACTORS'!$B$14,6)</f>
        <v>0</v>
      </c>
      <c r="BH293" s="3854">
        <f>ROUND(BC293*'CP FACTORS'!$B$9,6)</f>
        <v>0.26661299999999999</v>
      </c>
      <c r="BI293" s="3855">
        <f>ROUND(BD293*'CP FACTORS'!$B$14,6)</f>
        <v>0</v>
      </c>
      <c r="BJ293" s="3853"/>
      <c r="BK293" s="3856">
        <f t="shared" si="180"/>
        <v>1302.83</v>
      </c>
      <c r="BL293" s="3857">
        <f t="shared" si="181"/>
        <v>666.82</v>
      </c>
      <c r="BM293" s="3858">
        <f t="shared" si="182"/>
        <v>0.73007100000000003</v>
      </c>
      <c r="BN293" s="3855">
        <f t="shared" si="183"/>
        <v>0.26661299999999999</v>
      </c>
    </row>
    <row r="294" spans="1:66">
      <c r="A294" s="51" t="str">
        <f t="shared" si="163"/>
        <v>355100</v>
      </c>
      <c r="B294" s="1442" t="str">
        <f>'HVAC Deemed Table'!C1886</f>
        <v>355100_2024_12_</v>
      </c>
      <c r="C294" s="887" t="str">
        <f>'HVAC Deemed Table'!G1886</f>
        <v>Cooling Res</v>
      </c>
      <c r="D294" s="887" t="str">
        <f>'HVAC Deemed Table'!G1887</f>
        <v>Heating Res</v>
      </c>
      <c r="E294" s="1378"/>
      <c r="F294" s="1378"/>
      <c r="G294" s="1378" t="str">
        <f>'HVAC Deemed Table'!E1886</f>
        <v>ASHP-SEER20_ROF_MF</v>
      </c>
      <c r="H294" s="19" t="str">
        <f>'HVAC Deemed Table'!D1886</f>
        <v>MFIE</v>
      </c>
      <c r="I294" s="785">
        <f t="shared" si="184"/>
        <v>1650.78</v>
      </c>
      <c r="J294" s="785">
        <f t="shared" si="185"/>
        <v>0</v>
      </c>
      <c r="K294" s="202">
        <f>'HVAC Deemed Table'!F1886</f>
        <v>445.8</v>
      </c>
      <c r="L294" s="202">
        <f>'HVAC Deemed Table'!F1887</f>
        <v>1204.98</v>
      </c>
      <c r="M294" s="202"/>
      <c r="N294" s="202"/>
      <c r="O294" s="786">
        <f t="shared" si="186"/>
        <v>0.42235899999999998</v>
      </c>
      <c r="P294" s="786">
        <f t="shared" si="187"/>
        <v>0</v>
      </c>
      <c r="Q294" s="787">
        <f>'HVAC Deemed Table'!I1886</f>
        <v>0.42235899999999998</v>
      </c>
      <c r="R294" s="787">
        <f>'HVAC Deemed Table'!I1887</f>
        <v>0</v>
      </c>
      <c r="S294" s="787"/>
      <c r="T294" s="787"/>
      <c r="U294" s="788">
        <f t="shared" si="174"/>
        <v>0</v>
      </c>
      <c r="V294" s="788">
        <f t="shared" si="175"/>
        <v>0</v>
      </c>
      <c r="W294" s="788">
        <f t="shared" si="176"/>
        <v>0.42235899999999998</v>
      </c>
      <c r="X294" s="23">
        <f>'HVAC Deemed Table'!J1886</f>
        <v>18</v>
      </c>
      <c r="Y294" s="23"/>
      <c r="Z294" s="23">
        <f t="shared" si="164"/>
        <v>18</v>
      </c>
      <c r="AA294" s="18">
        <f>'HVAC Deemed Table'!DG1886</f>
        <v>1.6198769946618212</v>
      </c>
      <c r="AB294" s="259">
        <f>'HVAC Deemed Table'!K1886</f>
        <v>1081</v>
      </c>
      <c r="AC294" s="903">
        <f t="shared" si="165"/>
        <v>1751.0870312294287</v>
      </c>
      <c r="AD294" s="903">
        <f t="shared" si="178"/>
        <v>0</v>
      </c>
      <c r="AE294" s="208">
        <f>'HVAC Deemed Table'!DI1886</f>
        <v>1020.7789754598648</v>
      </c>
      <c r="AF294" s="208">
        <f>'HVAC Deemed Table'!DI1887</f>
        <v>730.30805576956402</v>
      </c>
      <c r="AG294" s="208"/>
      <c r="AH294" s="208"/>
      <c r="AI294" s="906" t="str">
        <f t="shared" si="188"/>
        <v>per measure</v>
      </c>
      <c r="AJ294" s="47">
        <f>'HVAC Deemed Table'!L1886</f>
        <v>3.3</v>
      </c>
      <c r="AK294" s="641"/>
      <c r="AL294" s="641"/>
      <c r="AX294" s="1355" t="str">
        <f t="shared" ref="AX294:AX371" si="193">G294</f>
        <v>ASHP-SEER20_ROF_MF</v>
      </c>
      <c r="AY294" s="1378"/>
      <c r="AZ294" s="1446" t="str">
        <f t="shared" ref="AZ294:AZ371" si="194">A294</f>
        <v>355100</v>
      </c>
      <c r="BA294" s="1333">
        <f>BA278</f>
        <v>1118.42</v>
      </c>
      <c r="BB294" s="1333">
        <f t="shared" ref="BB294:BD295" si="195">BB278</f>
        <v>1561.25</v>
      </c>
      <c r="BC294" s="1333">
        <f t="shared" si="195"/>
        <v>445.8</v>
      </c>
      <c r="BD294" s="1333">
        <f t="shared" si="195"/>
        <v>1130.53</v>
      </c>
      <c r="BE294" s="1305"/>
      <c r="BF294" s="1321">
        <f>ROUND(BA294*'CP FACTORS'!$B$9,6)</f>
        <v>1.0596110000000001</v>
      </c>
      <c r="BG294" s="1322">
        <f>ROUND(BB294*'CP FACTORS'!$B$14,6)</f>
        <v>0</v>
      </c>
      <c r="BH294" s="1321">
        <f>ROUND(BC294*'CP FACTORS'!$B$9,6)</f>
        <v>0.42235899999999998</v>
      </c>
      <c r="BI294" s="1323">
        <f>ROUND(BD294*'CP FACTORS'!$B$14,6)</f>
        <v>0</v>
      </c>
      <c r="BJ294" s="1305"/>
      <c r="BK294" s="730">
        <f t="shared" si="180"/>
        <v>2679.67</v>
      </c>
      <c r="BL294" s="1342">
        <f t="shared" si="181"/>
        <v>1576.33</v>
      </c>
      <c r="BM294" s="1341">
        <f t="shared" si="182"/>
        <v>1.0596110000000001</v>
      </c>
      <c r="BN294" s="1340">
        <f t="shared" si="183"/>
        <v>0.42235899999999998</v>
      </c>
    </row>
    <row r="295" spans="1:66" s="696" customFormat="1">
      <c r="A295" s="2958" t="str">
        <f t="shared" si="163"/>
        <v>355101</v>
      </c>
      <c r="B295" s="2233" t="str">
        <f>'HVAC Deemed Table'!C1888</f>
        <v>355101_2024_12_</v>
      </c>
      <c r="C295" s="3874" t="str">
        <f>'HVAC Deemed Table'!G1888</f>
        <v>Cooling Res</v>
      </c>
      <c r="D295" s="3874" t="str">
        <f>'HVAC Deemed Table'!G1889</f>
        <v>Heating Res</v>
      </c>
      <c r="E295" s="2724"/>
      <c r="F295" s="2724"/>
      <c r="G295" s="2724" t="str">
        <f>'HVAC Deemed Table'!E1888</f>
        <v>ASHP-SEER20_ROF_MF_CompE</v>
      </c>
      <c r="H295" s="2554" t="str">
        <f>'HVAC Deemed Table'!D1888</f>
        <v>MFc</v>
      </c>
      <c r="I295" s="3840">
        <f t="shared" si="184"/>
        <v>735.01</v>
      </c>
      <c r="J295" s="3840">
        <f t="shared" si="185"/>
        <v>0</v>
      </c>
      <c r="K295" s="3251">
        <f>'HVAC Deemed Table'!F1888</f>
        <v>324.22000000000003</v>
      </c>
      <c r="L295" s="3251">
        <f>'HVAC Deemed Table'!F1889</f>
        <v>410.79</v>
      </c>
      <c r="M295" s="3251"/>
      <c r="N295" s="3251"/>
      <c r="O295" s="3841">
        <f t="shared" si="186"/>
        <v>0.307172</v>
      </c>
      <c r="P295" s="3841">
        <f t="shared" si="187"/>
        <v>0</v>
      </c>
      <c r="Q295" s="3842">
        <f>'HVAC Deemed Table'!I1888</f>
        <v>0.307172</v>
      </c>
      <c r="R295" s="3842">
        <f>'HVAC Deemed Table'!I1889</f>
        <v>0</v>
      </c>
      <c r="S295" s="3842"/>
      <c r="T295" s="3842"/>
      <c r="U295" s="3843">
        <f t="shared" si="174"/>
        <v>0</v>
      </c>
      <c r="V295" s="3843">
        <f t="shared" si="175"/>
        <v>0</v>
      </c>
      <c r="W295" s="3843">
        <f t="shared" si="176"/>
        <v>0.307172</v>
      </c>
      <c r="X295" s="2846">
        <f>'HVAC Deemed Table'!J1888</f>
        <v>18</v>
      </c>
      <c r="Y295" s="2846"/>
      <c r="Z295" s="2846">
        <f t="shared" si="164"/>
        <v>18</v>
      </c>
      <c r="AA295" s="2529">
        <f>'HVAC Deemed Table'!DG1888</f>
        <v>0.91707525854136029</v>
      </c>
      <c r="AB295" s="3878">
        <f>'HVAC Deemed Table'!K1888</f>
        <v>1081</v>
      </c>
      <c r="AC295" s="3845">
        <f t="shared" si="165"/>
        <v>991.35835448321052</v>
      </c>
      <c r="AD295" s="3845">
        <f t="shared" si="178"/>
        <v>0</v>
      </c>
      <c r="AE295" s="3846">
        <f>'HVAC Deemed Table'!DI1888</f>
        <v>742.38887264153743</v>
      </c>
      <c r="AF295" s="3846">
        <f>'HVAC Deemed Table'!DI1889</f>
        <v>248.96948184167306</v>
      </c>
      <c r="AG295" s="3846"/>
      <c r="AH295" s="3846"/>
      <c r="AI295" s="3847" t="str">
        <f t="shared" si="188"/>
        <v>per measure</v>
      </c>
      <c r="AJ295" s="3220">
        <f>'HVAC Deemed Table'!L1888</f>
        <v>3.3</v>
      </c>
      <c r="AK295" s="3848"/>
      <c r="AL295" s="3848"/>
      <c r="AX295" s="3849" t="str">
        <f t="shared" si="193"/>
        <v>ASHP-SEER20_ROF_MF_CompE</v>
      </c>
      <c r="AY295" s="2724"/>
      <c r="AZ295" s="3850" t="str">
        <f t="shared" si="194"/>
        <v>355101</v>
      </c>
      <c r="BA295" s="3879">
        <f>BA279</f>
        <v>813.4</v>
      </c>
      <c r="BB295" s="3879">
        <f t="shared" si="195"/>
        <v>532.24</v>
      </c>
      <c r="BC295" s="3879">
        <f t="shared" si="195"/>
        <v>324.22000000000003</v>
      </c>
      <c r="BD295" s="3879">
        <f t="shared" si="195"/>
        <v>385.41</v>
      </c>
      <c r="BE295" s="3853"/>
      <c r="BF295" s="3854">
        <f>ROUND(BA295*'CP FACTORS'!$B$9,6)</f>
        <v>0.77063000000000004</v>
      </c>
      <c r="BG295" s="3854">
        <f>ROUND(BB295*'CP FACTORS'!$B$14,6)</f>
        <v>0</v>
      </c>
      <c r="BH295" s="3854">
        <f>ROUND(BC295*'CP FACTORS'!$B$9,6)</f>
        <v>0.307172</v>
      </c>
      <c r="BI295" s="3855">
        <f>ROUND(BD295*'CP FACTORS'!$B$14,6)</f>
        <v>0</v>
      </c>
      <c r="BJ295" s="3853"/>
      <c r="BK295" s="3856">
        <f t="shared" si="180"/>
        <v>1345.6399999999999</v>
      </c>
      <c r="BL295" s="3857">
        <f t="shared" si="181"/>
        <v>709.63000000000011</v>
      </c>
      <c r="BM295" s="3858">
        <f t="shared" si="182"/>
        <v>0.77063000000000004</v>
      </c>
      <c r="BN295" s="3855">
        <f t="shared" si="183"/>
        <v>0.307172</v>
      </c>
    </row>
    <row r="296" spans="1:66">
      <c r="A296" s="51" t="str">
        <f t="shared" si="163"/>
        <v>355150</v>
      </c>
      <c r="B296" s="1442" t="str">
        <f>'HVAC Deemed Table'!C1890</f>
        <v>355150_2024_12_</v>
      </c>
      <c r="C296" s="887" t="str">
        <f>'HVAC Deemed Table'!G1890</f>
        <v>Cooling Res</v>
      </c>
      <c r="D296" s="887" t="str">
        <f>'HVAC Deemed Table'!G1891</f>
        <v>Heating Res</v>
      </c>
      <c r="E296" s="1378"/>
      <c r="F296" s="1378"/>
      <c r="G296" s="1378" t="str">
        <f>'HVAC Deemed Table'!E1890</f>
        <v>ASHP-SEER21_ROF_MF</v>
      </c>
      <c r="H296" s="19" t="str">
        <f>'HVAC Deemed Table'!D1890</f>
        <v>MFIE</v>
      </c>
      <c r="I296" s="785">
        <f t="shared" si="184"/>
        <v>1704.03</v>
      </c>
      <c r="J296" s="785">
        <f t="shared" si="185"/>
        <v>0</v>
      </c>
      <c r="K296" s="202">
        <f>'HVAC Deemed Table'!F1890</f>
        <v>499.05</v>
      </c>
      <c r="L296" s="202">
        <f>'HVAC Deemed Table'!F1891</f>
        <v>1204.98</v>
      </c>
      <c r="M296" s="202"/>
      <c r="N296" s="202"/>
      <c r="O296" s="786">
        <f t="shared" si="186"/>
        <v>0.47280899999999998</v>
      </c>
      <c r="P296" s="786">
        <f t="shared" si="187"/>
        <v>0</v>
      </c>
      <c r="Q296" s="787">
        <f>'HVAC Deemed Table'!I1890</f>
        <v>0.47280899999999998</v>
      </c>
      <c r="R296" s="787">
        <f>'HVAC Deemed Table'!I1891</f>
        <v>0</v>
      </c>
      <c r="S296" s="787"/>
      <c r="T296" s="787"/>
      <c r="U296" s="788">
        <f t="shared" si="174"/>
        <v>0</v>
      </c>
      <c r="V296" s="788">
        <f t="shared" si="175"/>
        <v>0</v>
      </c>
      <c r="W296" s="788">
        <f t="shared" si="176"/>
        <v>0.47280899999999998</v>
      </c>
      <c r="X296" s="23">
        <f>'HVAC Deemed Table'!J1890</f>
        <v>18</v>
      </c>
      <c r="Y296" s="23"/>
      <c r="Z296" s="23">
        <f t="shared" si="164"/>
        <v>18</v>
      </c>
      <c r="AA296" s="18">
        <f>'HVAC Deemed Table'!DG1890</f>
        <v>1.7326708835664208</v>
      </c>
      <c r="AB296" s="259">
        <f>'HVAC Deemed Table'!K1890</f>
        <v>1081</v>
      </c>
      <c r="AC296" s="903">
        <f t="shared" si="165"/>
        <v>1873.017225135301</v>
      </c>
      <c r="AD296" s="903">
        <f t="shared" si="178"/>
        <v>0</v>
      </c>
      <c r="AE296" s="208">
        <f>'HVAC Deemed Table'!DI1890</f>
        <v>1142.7091693657369</v>
      </c>
      <c r="AF296" s="208">
        <f>'HVAC Deemed Table'!DI1891</f>
        <v>730.30805576956402</v>
      </c>
      <c r="AG296" s="208"/>
      <c r="AH296" s="208"/>
      <c r="AI296" s="906" t="str">
        <f t="shared" si="188"/>
        <v>per measure</v>
      </c>
      <c r="AJ296" s="47">
        <f>'HVAC Deemed Table'!L1890</f>
        <v>3.3</v>
      </c>
      <c r="AK296" s="641"/>
      <c r="AL296" s="641"/>
      <c r="AX296" s="1355" t="str">
        <f t="shared" si="193"/>
        <v>ASHP-SEER21_ROF_MF</v>
      </c>
      <c r="AY296" s="1378"/>
      <c r="AZ296" s="1446" t="str">
        <f t="shared" si="194"/>
        <v>355150</v>
      </c>
      <c r="BA296" s="1339">
        <f>BA286</f>
        <v>1171.68</v>
      </c>
      <c r="BB296" s="1339">
        <f t="shared" ref="BB296:BD297" si="196">BB286</f>
        <v>1561.25</v>
      </c>
      <c r="BC296" s="1339">
        <f t="shared" si="196"/>
        <v>499.05</v>
      </c>
      <c r="BD296" s="1339">
        <f t="shared" si="196"/>
        <v>1130.53</v>
      </c>
      <c r="BE296" s="1305"/>
      <c r="BF296" s="1321">
        <f>ROUND(BA296*'CP FACTORS'!$B$9,6)</f>
        <v>1.110071</v>
      </c>
      <c r="BG296" s="1322">
        <f>ROUND(BB296*'CP FACTORS'!$B$14,6)</f>
        <v>0</v>
      </c>
      <c r="BH296" s="1321">
        <f>ROUND(BC296*'CP FACTORS'!$B$9,6)</f>
        <v>0.47280899999999998</v>
      </c>
      <c r="BI296" s="1323">
        <f>ROUND(BD296*'CP FACTORS'!$B$14,6)</f>
        <v>0</v>
      </c>
      <c r="BJ296" s="1305"/>
      <c r="BK296" s="730">
        <f t="shared" si="180"/>
        <v>2732.9300000000003</v>
      </c>
      <c r="BL296" s="1342">
        <f t="shared" si="181"/>
        <v>1629.58</v>
      </c>
      <c r="BM296" s="1341">
        <f t="shared" si="182"/>
        <v>1.110071</v>
      </c>
      <c r="BN296" s="1340">
        <f t="shared" si="183"/>
        <v>0.47280899999999998</v>
      </c>
    </row>
    <row r="297" spans="1:66" s="696" customFormat="1">
      <c r="A297" s="2958" t="str">
        <f t="shared" si="163"/>
        <v>355151</v>
      </c>
      <c r="B297" s="2233" t="str">
        <f>'HVAC Deemed Table'!C1892</f>
        <v>355151_2024_12_</v>
      </c>
      <c r="C297" s="3874" t="str">
        <f>'HVAC Deemed Table'!G1892</f>
        <v>Cooling Res</v>
      </c>
      <c r="D297" s="3874" t="str">
        <f>'HVAC Deemed Table'!G1893</f>
        <v>Heating Res</v>
      </c>
      <c r="E297" s="2724"/>
      <c r="F297" s="2724"/>
      <c r="G297" s="2233" t="str">
        <f>'HVAC Deemed Table'!E1892</f>
        <v>ASHP-SEER21_ROF_MF_CompE</v>
      </c>
      <c r="H297" s="2554" t="str">
        <f>'HVAC Deemed Table'!D1892</f>
        <v>MFc</v>
      </c>
      <c r="I297" s="3840">
        <f t="shared" si="184"/>
        <v>773.74</v>
      </c>
      <c r="J297" s="3840">
        <f t="shared" si="185"/>
        <v>0</v>
      </c>
      <c r="K297" s="3251">
        <f>'HVAC Deemed Table'!F1892</f>
        <v>362.95</v>
      </c>
      <c r="L297" s="3251">
        <f>'HVAC Deemed Table'!F1893</f>
        <v>410.79</v>
      </c>
      <c r="M297" s="3251"/>
      <c r="N297" s="3251"/>
      <c r="O297" s="3841">
        <f t="shared" si="186"/>
        <v>0.34386499999999998</v>
      </c>
      <c r="P297" s="3841">
        <f t="shared" si="187"/>
        <v>0</v>
      </c>
      <c r="Q297" s="3842">
        <f>'HVAC Deemed Table'!I1892</f>
        <v>0.34386499999999998</v>
      </c>
      <c r="R297" s="3842">
        <f>'HVAC Deemed Table'!I1893</f>
        <v>0</v>
      </c>
      <c r="S297" s="3842"/>
      <c r="T297" s="3842"/>
      <c r="U297" s="3843">
        <f t="shared" si="174"/>
        <v>0</v>
      </c>
      <c r="V297" s="3843">
        <f t="shared" si="175"/>
        <v>0</v>
      </c>
      <c r="W297" s="3843">
        <f t="shared" si="176"/>
        <v>0.34386499999999998</v>
      </c>
      <c r="X297" s="2846">
        <f>'HVAC Deemed Table'!J1892</f>
        <v>18</v>
      </c>
      <c r="Y297" s="2846"/>
      <c r="Z297" s="2846">
        <f t="shared" si="164"/>
        <v>18</v>
      </c>
      <c r="AA297" s="2529">
        <f>'HVAC Deemed Table'!DG1892</f>
        <v>0.99911295464042382</v>
      </c>
      <c r="AB297" s="3878">
        <f>'HVAC Deemed Table'!K1892</f>
        <v>1081</v>
      </c>
      <c r="AC297" s="3845">
        <f t="shared" si="165"/>
        <v>1080.0411039662981</v>
      </c>
      <c r="AD297" s="3845">
        <f t="shared" si="178"/>
        <v>0</v>
      </c>
      <c r="AE297" s="3846">
        <f>'HVAC Deemed Table'!DI1892</f>
        <v>831.07162212462515</v>
      </c>
      <c r="AF297" s="3846">
        <f>'HVAC Deemed Table'!DI1893</f>
        <v>248.96948184167306</v>
      </c>
      <c r="AG297" s="3846"/>
      <c r="AH297" s="3846"/>
      <c r="AI297" s="3847" t="str">
        <f t="shared" si="188"/>
        <v>per measure</v>
      </c>
      <c r="AJ297" s="3220">
        <f>'HVAC Deemed Table'!L1892</f>
        <v>3.3</v>
      </c>
      <c r="AK297" s="3848"/>
      <c r="AL297" s="3848"/>
      <c r="AX297" s="3849" t="str">
        <f t="shared" si="193"/>
        <v>ASHP-SEER21_ROF_MF_CompE</v>
      </c>
      <c r="AY297" s="2724"/>
      <c r="AZ297" s="3850" t="str">
        <f t="shared" si="194"/>
        <v>355151</v>
      </c>
      <c r="BA297" s="3881">
        <f>BA287</f>
        <v>852.13</v>
      </c>
      <c r="BB297" s="3881">
        <f t="shared" si="196"/>
        <v>532.24</v>
      </c>
      <c r="BC297" s="3881">
        <f t="shared" si="196"/>
        <v>362.95</v>
      </c>
      <c r="BD297" s="3881">
        <f t="shared" si="196"/>
        <v>385.41</v>
      </c>
      <c r="BE297" s="3853"/>
      <c r="BF297" s="3854">
        <f>ROUND(BA297*'CP FACTORS'!$B$9,6)</f>
        <v>0.80732300000000001</v>
      </c>
      <c r="BG297" s="3854">
        <f>ROUND(BB297*'CP FACTORS'!$B$14,6)</f>
        <v>0</v>
      </c>
      <c r="BH297" s="3854">
        <f>ROUND(BC297*'CP FACTORS'!$B$9,6)</f>
        <v>0.34386499999999998</v>
      </c>
      <c r="BI297" s="3855">
        <f>ROUND(BD297*'CP FACTORS'!$B$14,6)</f>
        <v>0</v>
      </c>
      <c r="BJ297" s="3853"/>
      <c r="BK297" s="3856">
        <f t="shared" si="180"/>
        <v>1384.37</v>
      </c>
      <c r="BL297" s="3857">
        <f t="shared" si="181"/>
        <v>748.36</v>
      </c>
      <c r="BM297" s="3858">
        <f t="shared" si="182"/>
        <v>0.80732300000000001</v>
      </c>
      <c r="BN297" s="3855">
        <f t="shared" si="183"/>
        <v>0.34386499999999998</v>
      </c>
    </row>
    <row r="298" spans="1:66" s="41" customFormat="1">
      <c r="A298" s="51" t="str">
        <f t="shared" ref="A298:A352" si="197">LEFT(B298,6)</f>
        <v>356200</v>
      </c>
      <c r="B298" s="1442" t="str">
        <f>'HVAC Deemed Table'!C4476</f>
        <v>356200_2024_12_</v>
      </c>
      <c r="C298" s="887" t="str">
        <f>'HVAC Deemed Table'!G4476</f>
        <v>Cooling Res</v>
      </c>
      <c r="D298" s="887" t="str">
        <f>'HVAC Deemed Table'!G4477</f>
        <v>Heating Res</v>
      </c>
      <c r="E298" s="1378" t="str">
        <f>'HVAC Deemed Table'!G4478</f>
        <v>Cooling Res ER2</v>
      </c>
      <c r="F298" s="1378" t="str">
        <f>'HVAC Deemed Table'!G4479</f>
        <v>Heating Res ER2</v>
      </c>
      <c r="G298" s="1442" t="str">
        <f>'HVAC Deemed Table'!E4476</f>
        <v>PTHP-SEER12-ER1_MF</v>
      </c>
      <c r="H298" s="19" t="str">
        <f>'HVAC Deemed Table'!D4476</f>
        <v>MFIE</v>
      </c>
      <c r="I298" s="1239">
        <f t="shared" si="184"/>
        <v>1689.45</v>
      </c>
      <c r="J298" s="1239">
        <f t="shared" si="185"/>
        <v>128.07999999999998</v>
      </c>
      <c r="K298" s="1240">
        <f>'HVAC Deemed Table'!F4476</f>
        <v>459.54</v>
      </c>
      <c r="L298" s="1240">
        <f>'HVAC Deemed Table'!F4477</f>
        <v>1229.9100000000001</v>
      </c>
      <c r="M298" s="1240">
        <f>'HVAC Deemed Table'!F4478</f>
        <v>16</v>
      </c>
      <c r="N298" s="1240">
        <f>'HVAC Deemed Table'!F4479</f>
        <v>112.08</v>
      </c>
      <c r="O298" s="1241">
        <f t="shared" si="186"/>
        <v>0.43537700000000001</v>
      </c>
      <c r="P298" s="1241">
        <f t="shared" si="187"/>
        <v>1.5159000000000001E-2</v>
      </c>
      <c r="Q298" s="787">
        <f>'HVAC Deemed Table'!I4476</f>
        <v>0.43537700000000001</v>
      </c>
      <c r="R298" s="787">
        <f>'HVAC Deemed Table'!I4477</f>
        <v>0</v>
      </c>
      <c r="S298" s="787">
        <f>'HVAC Deemed Table'!I4478</f>
        <v>1.5159000000000001E-2</v>
      </c>
      <c r="T298" s="787">
        <f>'HVAC Deemed Table'!I4479</f>
        <v>0</v>
      </c>
      <c r="U298" s="788">
        <f t="shared" si="174"/>
        <v>0</v>
      </c>
      <c r="V298" s="788">
        <f t="shared" si="175"/>
        <v>0</v>
      </c>
      <c r="W298" s="788">
        <f t="shared" si="176"/>
        <v>0.43537700000000001</v>
      </c>
      <c r="X298" s="23">
        <f>'HVAC Deemed Table'!J4476</f>
        <v>5</v>
      </c>
      <c r="Y298" s="23">
        <f>'HVAC Deemed Table'!J4478</f>
        <v>10</v>
      </c>
      <c r="Z298" s="23">
        <f t="shared" ref="Z298:Z352" si="198">Y298+X298</f>
        <v>15</v>
      </c>
      <c r="AA298" s="18">
        <f>'HVAC Deemed Table'!DG4476</f>
        <v>3.2268773695351931</v>
      </c>
      <c r="AB298" s="259">
        <f>'HVAC Deemed Table'!K4476</f>
        <v>224.93182686576984</v>
      </c>
      <c r="AC298" s="903">
        <f t="shared" ref="AC298:AC352" si="199">AE298+AF298</f>
        <v>672.05409374659007</v>
      </c>
      <c r="AD298" s="903">
        <f t="shared" si="178"/>
        <v>53.773328054770715</v>
      </c>
      <c r="AE298" s="208">
        <f>'HVAC Deemed Table'!DI4476</f>
        <v>390.45761855945153</v>
      </c>
      <c r="AF298" s="208">
        <f>'HVAC Deemed Table'!DI4477</f>
        <v>281.59647518713859</v>
      </c>
      <c r="AG298" s="208">
        <f>'HVAC Deemed Table'!DI4478</f>
        <v>18.922991283545176</v>
      </c>
      <c r="AH298" s="208">
        <f>'HVAC Deemed Table'!DI4479</f>
        <v>34.850336771225535</v>
      </c>
      <c r="AI298" s="906" t="str">
        <f t="shared" si="188"/>
        <v>per measure</v>
      </c>
      <c r="AJ298" s="48">
        <f>'HVAC Deemed Table'!L4476</f>
        <v>1.0111111111111111</v>
      </c>
      <c r="AK298" s="918"/>
      <c r="AL298" s="918"/>
      <c r="AM298"/>
      <c r="AN298"/>
      <c r="AO298"/>
      <c r="AP298"/>
      <c r="AQ298"/>
      <c r="AR298"/>
      <c r="AS298"/>
      <c r="AT298"/>
      <c r="AU298"/>
      <c r="AV298"/>
      <c r="AW298"/>
      <c r="AX298" s="1355" t="str">
        <f t="shared" si="193"/>
        <v>PTHP-SEER12-ER1_MF</v>
      </c>
      <c r="AY298" s="1378"/>
      <c r="AZ298" s="1446" t="str">
        <f t="shared" si="194"/>
        <v>356200</v>
      </c>
      <c r="BA298" s="1331">
        <f t="shared" ref="BA298:BB301" si="200">ROUND((K298*$BC$3)+(K302*$BC$4),2)</f>
        <v>282.12</v>
      </c>
      <c r="BB298" s="1331">
        <f t="shared" si="200"/>
        <v>782.78</v>
      </c>
      <c r="BC298" s="1331">
        <f t="shared" ref="BC298:BD301" si="201">ROUND((M298*$BC$3)+(K302*$BC$4),2)</f>
        <v>16</v>
      </c>
      <c r="BD298" s="1331">
        <f t="shared" si="201"/>
        <v>112.08</v>
      </c>
      <c r="BE298" s="1306"/>
      <c r="BF298" s="1321">
        <f>ROUND(BA298*'CP FACTORS'!$B$9,6)</f>
        <v>0.26728600000000002</v>
      </c>
      <c r="BG298" s="1322">
        <f>ROUND(BB298*'CP FACTORS'!$B$14,6)</f>
        <v>0</v>
      </c>
      <c r="BH298" s="1321">
        <f>ROUND(BC298*'CP FACTORS'!$B$9,6)</f>
        <v>1.5159000000000001E-2</v>
      </c>
      <c r="BI298" s="1323">
        <f>ROUND(BD298*'CP FACTORS'!$B$14,6)</f>
        <v>0</v>
      </c>
      <c r="BJ298" s="1305"/>
      <c r="BK298" s="730">
        <f t="shared" si="180"/>
        <v>1064.9000000000001</v>
      </c>
      <c r="BL298" s="1342">
        <f t="shared" si="181"/>
        <v>128.07999999999998</v>
      </c>
      <c r="BM298" s="1341">
        <f t="shared" si="182"/>
        <v>0.26728600000000002</v>
      </c>
      <c r="BN298" s="1340">
        <f t="shared" si="183"/>
        <v>1.5159000000000001E-2</v>
      </c>
    </row>
    <row r="299" spans="1:66" s="696" customFormat="1">
      <c r="A299" s="2958" t="str">
        <f t="shared" si="197"/>
        <v>356225</v>
      </c>
      <c r="B299" s="2233" t="str">
        <f>'HVAC Deemed Table'!C4480</f>
        <v>356225_2024_12_</v>
      </c>
      <c r="C299" s="3874" t="str">
        <f>'HVAC Deemed Table'!G4480</f>
        <v>Cooling Res</v>
      </c>
      <c r="D299" s="3874" t="str">
        <f>'HVAC Deemed Table'!G4481</f>
        <v>Heating Res</v>
      </c>
      <c r="E299" s="2724" t="str">
        <f>'HVAC Deemed Table'!G4482</f>
        <v>Cooling Res ER2</v>
      </c>
      <c r="F299" s="2724" t="str">
        <f>'HVAC Deemed Table'!G4483</f>
        <v>Heating Res ER2</v>
      </c>
      <c r="G299" s="2233" t="str">
        <f>'HVAC Deemed Table'!E4480</f>
        <v>PTHP-SEER12-ER1_MF_CompE</v>
      </c>
      <c r="H299" s="2554" t="str">
        <f>'HVAC Deemed Table'!D4480</f>
        <v>MFc</v>
      </c>
      <c r="I299" s="3875">
        <f t="shared" si="184"/>
        <v>754.24</v>
      </c>
      <c r="J299" s="3875">
        <f t="shared" si="185"/>
        <v>49.9</v>
      </c>
      <c r="K299" s="3876">
        <f>'HVAC Deemed Table'!F4480</f>
        <v>334.41</v>
      </c>
      <c r="L299" s="3876">
        <f>'HVAC Deemed Table'!F4481</f>
        <v>419.83</v>
      </c>
      <c r="M299" s="3876">
        <f>'HVAC Deemed Table'!F4482</f>
        <v>11.64</v>
      </c>
      <c r="N299" s="3876">
        <f>'HVAC Deemed Table'!F4483</f>
        <v>38.26</v>
      </c>
      <c r="O299" s="3877">
        <f t="shared" si="186"/>
        <v>0.316826</v>
      </c>
      <c r="P299" s="3877">
        <f t="shared" si="187"/>
        <v>1.1028E-2</v>
      </c>
      <c r="Q299" s="3842">
        <f>'HVAC Deemed Table'!I4480</f>
        <v>0.316826</v>
      </c>
      <c r="R299" s="3842">
        <f>'HVAC Deemed Table'!I4481</f>
        <v>0</v>
      </c>
      <c r="S299" s="3842">
        <f>'HVAC Deemed Table'!I4482</f>
        <v>1.1028E-2</v>
      </c>
      <c r="T299" s="3842">
        <f>'HVAC Deemed Table'!I4483</f>
        <v>0</v>
      </c>
      <c r="U299" s="3843">
        <f t="shared" si="174"/>
        <v>0</v>
      </c>
      <c r="V299" s="3843">
        <f t="shared" si="175"/>
        <v>0</v>
      </c>
      <c r="W299" s="3843">
        <f t="shared" si="176"/>
        <v>0.316826</v>
      </c>
      <c r="X299" s="2846">
        <f>'HVAC Deemed Table'!J4480</f>
        <v>5</v>
      </c>
      <c r="Y299" s="2846">
        <f>'HVAC Deemed Table'!J4482</f>
        <v>10</v>
      </c>
      <c r="Z299" s="2846">
        <f t="shared" si="198"/>
        <v>15</v>
      </c>
      <c r="AA299" s="2529">
        <f>'HVAC Deemed Table'!DG4480</f>
        <v>1.6905626546503318</v>
      </c>
      <c r="AB299" s="3878">
        <f>'HVAC Deemed Table'!K4480</f>
        <v>224.93182686576984</v>
      </c>
      <c r="AC299" s="3845">
        <f t="shared" si="199"/>
        <v>380.26134634154471</v>
      </c>
      <c r="AD299" s="3845">
        <f t="shared" si="178"/>
        <v>25.663102540534016</v>
      </c>
      <c r="AE299" s="3846">
        <f>'HVAC Deemed Table'!DI4480</f>
        <v>284.13833882244461</v>
      </c>
      <c r="AF299" s="3846">
        <f>'HVAC Deemed Table'!DI4481</f>
        <v>96.123007519100071</v>
      </c>
      <c r="AG299" s="3846">
        <f>'HVAC Deemed Table'!DI4482</f>
        <v>13.766476158779117</v>
      </c>
      <c r="AH299" s="3846">
        <f>'HVAC Deemed Table'!DI4483</f>
        <v>11.896626381754899</v>
      </c>
      <c r="AI299" s="3847" t="str">
        <f t="shared" si="188"/>
        <v>per measure</v>
      </c>
      <c r="AJ299" s="3220">
        <f>'HVAC Deemed Table'!L4480</f>
        <v>1.0111111111111111</v>
      </c>
      <c r="AK299" s="3848"/>
      <c r="AL299" s="3848"/>
      <c r="AX299" s="3849" t="str">
        <f t="shared" si="193"/>
        <v>PTHP-SEER12-ER1_MF_CompE</v>
      </c>
      <c r="AY299" s="2724"/>
      <c r="AZ299" s="3850" t="str">
        <f t="shared" si="194"/>
        <v>356225</v>
      </c>
      <c r="BA299" s="3883">
        <f t="shared" si="200"/>
        <v>205.3</v>
      </c>
      <c r="BB299" s="3883">
        <f t="shared" si="200"/>
        <v>267.2</v>
      </c>
      <c r="BC299" s="3883">
        <f t="shared" si="201"/>
        <v>11.64</v>
      </c>
      <c r="BD299" s="3883">
        <f t="shared" si="201"/>
        <v>38.26</v>
      </c>
      <c r="BE299" s="3853"/>
      <c r="BF299" s="3854">
        <f>ROUND(BA299*'CP FACTORS'!$B$9,6)</f>
        <v>0.19450500000000001</v>
      </c>
      <c r="BG299" s="3854">
        <f>ROUND(BB299*'CP FACTORS'!$B$14,6)</f>
        <v>0</v>
      </c>
      <c r="BH299" s="3854">
        <f>ROUND(BC299*'CP FACTORS'!$B$9,6)</f>
        <v>1.1028E-2</v>
      </c>
      <c r="BI299" s="3855">
        <f>ROUND(BD299*'CP FACTORS'!$B$14,6)</f>
        <v>0</v>
      </c>
      <c r="BJ299" s="3853"/>
      <c r="BK299" s="3856">
        <f t="shared" si="180"/>
        <v>472.5</v>
      </c>
      <c r="BL299" s="3857">
        <f t="shared" si="181"/>
        <v>49.9</v>
      </c>
      <c r="BM299" s="3858">
        <f t="shared" si="182"/>
        <v>0.19450500000000001</v>
      </c>
      <c r="BN299" s="3855">
        <f t="shared" si="183"/>
        <v>1.1028E-2</v>
      </c>
    </row>
    <row r="300" spans="1:66" s="41" customFormat="1">
      <c r="A300" s="51" t="str">
        <f t="shared" si="197"/>
        <v>356250</v>
      </c>
      <c r="B300" s="1442" t="str">
        <f>'HVAC Deemed Table'!C4484</f>
        <v>356250_2024_12_</v>
      </c>
      <c r="C300" s="887" t="str">
        <f>'HVAC Deemed Table'!G4484</f>
        <v>Cooling Res</v>
      </c>
      <c r="D300" s="887" t="str">
        <f>'HVAC Deemed Table'!G4485</f>
        <v>Heating Res</v>
      </c>
      <c r="E300" s="1378" t="str">
        <f>'HVAC Deemed Table'!G4486</f>
        <v>Cooling Res ER2</v>
      </c>
      <c r="F300" s="1378" t="str">
        <f>'HVAC Deemed Table'!G4487</f>
        <v>Heating Res ER2</v>
      </c>
      <c r="G300" s="1442" t="str">
        <f>'HVAC Deemed Table'!E4484</f>
        <v>PTHP-SEER12-Replace_PTAC_ElectricHeat_ER1_MF</v>
      </c>
      <c r="H300" s="19" t="str">
        <f>'HVAC Deemed Table'!D4484</f>
        <v>MFIE</v>
      </c>
      <c r="I300" s="1239">
        <f t="shared" si="184"/>
        <v>3133.38</v>
      </c>
      <c r="J300" s="1239">
        <f t="shared" si="185"/>
        <v>2626.79</v>
      </c>
      <c r="K300" s="1240">
        <f>'HVAC Deemed Table'!F4484</f>
        <v>522.59</v>
      </c>
      <c r="L300" s="1240">
        <f>'HVAC Deemed Table'!F4485</f>
        <v>2610.79</v>
      </c>
      <c r="M300" s="1240">
        <f>'HVAC Deemed Table'!F4486</f>
        <v>16</v>
      </c>
      <c r="N300" s="1240">
        <f>'HVAC Deemed Table'!F4487</f>
        <v>2610.79</v>
      </c>
      <c r="O300" s="1241">
        <f t="shared" si="186"/>
        <v>0.49511100000000002</v>
      </c>
      <c r="P300" s="1241">
        <f t="shared" si="187"/>
        <v>1.5159000000000001E-2</v>
      </c>
      <c r="Q300" s="787">
        <f>'HVAC Deemed Table'!I4484</f>
        <v>0.49511100000000002</v>
      </c>
      <c r="R300" s="787">
        <f>'HVAC Deemed Table'!I4485</f>
        <v>0</v>
      </c>
      <c r="S300" s="787">
        <f>'HVAC Deemed Table'!I4486</f>
        <v>1.5159000000000001E-2</v>
      </c>
      <c r="T300" s="787">
        <f>'HVAC Deemed Table'!I4487</f>
        <v>0</v>
      </c>
      <c r="U300" s="788">
        <f t="shared" si="174"/>
        <v>0</v>
      </c>
      <c r="V300" s="788">
        <f t="shared" si="175"/>
        <v>0</v>
      </c>
      <c r="W300" s="788">
        <f t="shared" si="176"/>
        <v>0.49511100000000002</v>
      </c>
      <c r="X300" s="23">
        <f>'HVAC Deemed Table'!J4484</f>
        <v>5</v>
      </c>
      <c r="Y300" s="23">
        <f>'HVAC Deemed Table'!J4486</f>
        <v>10</v>
      </c>
      <c r="Z300" s="23">
        <f t="shared" si="198"/>
        <v>15</v>
      </c>
      <c r="AA300" s="18">
        <f>'HVAC Deemed Table'!DG4484</f>
        <v>8.3248076685992256</v>
      </c>
      <c r="AB300" s="259">
        <f>'HVAC Deemed Table'!K4484</f>
        <v>224.93182686576984</v>
      </c>
      <c r="AC300" s="903">
        <f t="shared" si="199"/>
        <v>1041.7879338029836</v>
      </c>
      <c r="AD300" s="903">
        <f t="shared" si="178"/>
        <v>830.72626340121053</v>
      </c>
      <c r="AE300" s="208">
        <f>'HVAC Deemed Table'!DI4484</f>
        <v>444.02934865949379</v>
      </c>
      <c r="AF300" s="208">
        <f>'HVAC Deemed Table'!DI4485</f>
        <v>597.75858514348977</v>
      </c>
      <c r="AG300" s="208">
        <f>'HVAC Deemed Table'!DI4486</f>
        <v>18.922991283545176</v>
      </c>
      <c r="AH300" s="208">
        <f>'HVAC Deemed Table'!DI4487</f>
        <v>811.8032721176653</v>
      </c>
      <c r="AI300" s="906" t="str">
        <f t="shared" si="188"/>
        <v>per measure</v>
      </c>
      <c r="AJ300" s="48">
        <f>'HVAC Deemed Table'!L4484</f>
        <v>1.0111111111111111</v>
      </c>
      <c r="AK300" s="918"/>
      <c r="AL300" s="918"/>
      <c r="AM300"/>
      <c r="AN300"/>
      <c r="AO300"/>
      <c r="AP300"/>
      <c r="AQ300"/>
      <c r="AR300"/>
      <c r="AS300"/>
      <c r="AT300"/>
      <c r="AU300"/>
      <c r="AV300"/>
      <c r="AW300"/>
      <c r="AX300" s="1355" t="str">
        <f t="shared" si="193"/>
        <v>PTHP-SEER12-Replace_PTAC_ElectricHeat_ER1_MF</v>
      </c>
      <c r="AY300" s="1378"/>
      <c r="AZ300" s="1446" t="str">
        <f t="shared" si="194"/>
        <v>356250</v>
      </c>
      <c r="BA300" s="1330">
        <f t="shared" si="200"/>
        <v>319.95</v>
      </c>
      <c r="BB300" s="1330">
        <f t="shared" si="200"/>
        <v>2610.79</v>
      </c>
      <c r="BC300" s="1330">
        <f t="shared" si="201"/>
        <v>16</v>
      </c>
      <c r="BD300" s="1330">
        <f t="shared" si="201"/>
        <v>2610.79</v>
      </c>
      <c r="BE300" s="1306"/>
      <c r="BF300" s="1321">
        <f>ROUND(BA300*'CP FACTORS'!$B$9,6)</f>
        <v>0.30312600000000001</v>
      </c>
      <c r="BG300" s="1322">
        <f>ROUND(BB300*'CP FACTORS'!$B$14,6)</f>
        <v>0</v>
      </c>
      <c r="BH300" s="1321">
        <f>ROUND(BC300*'CP FACTORS'!$B$9,6)</f>
        <v>1.5159000000000001E-2</v>
      </c>
      <c r="BI300" s="1323">
        <f>ROUND(BD300*'CP FACTORS'!$B$14,6)</f>
        <v>0</v>
      </c>
      <c r="BJ300" s="1305"/>
      <c r="BK300" s="730">
        <f t="shared" si="180"/>
        <v>2930.74</v>
      </c>
      <c r="BL300" s="1342">
        <f t="shared" si="181"/>
        <v>2626.79</v>
      </c>
      <c r="BM300" s="1341">
        <f t="shared" si="182"/>
        <v>0.30312600000000001</v>
      </c>
      <c r="BN300" s="1340">
        <f t="shared" si="183"/>
        <v>1.5159000000000001E-2</v>
      </c>
    </row>
    <row r="301" spans="1:66" s="696" customFormat="1">
      <c r="A301" s="2958" t="str">
        <f t="shared" si="197"/>
        <v>356275</v>
      </c>
      <c r="B301" s="2233" t="str">
        <f>'HVAC Deemed Table'!C4488</f>
        <v>356275_2024_12_</v>
      </c>
      <c r="C301" s="3874" t="str">
        <f>'HVAC Deemed Table'!G4488</f>
        <v>Cooling Res</v>
      </c>
      <c r="D301" s="3874" t="str">
        <f>'HVAC Deemed Table'!G4489</f>
        <v>Heating Res</v>
      </c>
      <c r="E301" s="2724" t="str">
        <f>'HVAC Deemed Table'!G4490</f>
        <v>Cooling Res ER2</v>
      </c>
      <c r="F301" s="2724" t="str">
        <f>'HVAC Deemed Table'!G4491</f>
        <v>Heating Res ER2</v>
      </c>
      <c r="G301" s="2233" t="str">
        <f>'HVAC Deemed Table'!E4488</f>
        <v>PTHP-SEER12-Replace_PTAC_ElectricHeat_ER1_MF_CompE</v>
      </c>
      <c r="H301" s="2554" t="str">
        <f>'HVAC Deemed Table'!D4488</f>
        <v>MFc</v>
      </c>
      <c r="I301" s="3875">
        <f t="shared" si="184"/>
        <v>1271.47</v>
      </c>
      <c r="J301" s="3875">
        <f t="shared" si="185"/>
        <v>902.81999999999994</v>
      </c>
      <c r="K301" s="3876">
        <f>'HVAC Deemed Table'!F4488</f>
        <v>380.29</v>
      </c>
      <c r="L301" s="3876">
        <f>'HVAC Deemed Table'!F4489</f>
        <v>891.18</v>
      </c>
      <c r="M301" s="3876">
        <f>'HVAC Deemed Table'!F4490</f>
        <v>11.64</v>
      </c>
      <c r="N301" s="3876">
        <f>'HVAC Deemed Table'!F4491</f>
        <v>891.18</v>
      </c>
      <c r="O301" s="3877">
        <f t="shared" si="186"/>
        <v>0.360294</v>
      </c>
      <c r="P301" s="3877">
        <f t="shared" si="187"/>
        <v>1.1028E-2</v>
      </c>
      <c r="Q301" s="3842">
        <f>'HVAC Deemed Table'!I4488</f>
        <v>0.360294</v>
      </c>
      <c r="R301" s="3842">
        <f>'HVAC Deemed Table'!I4489</f>
        <v>0</v>
      </c>
      <c r="S301" s="3842">
        <f>'HVAC Deemed Table'!I4490</f>
        <v>1.1028E-2</v>
      </c>
      <c r="T301" s="3842">
        <f>'HVAC Deemed Table'!I4491</f>
        <v>0</v>
      </c>
      <c r="U301" s="3843">
        <f t="shared" si="174"/>
        <v>0</v>
      </c>
      <c r="V301" s="3843">
        <f t="shared" si="175"/>
        <v>0</v>
      </c>
      <c r="W301" s="3843">
        <f t="shared" si="176"/>
        <v>0.360294</v>
      </c>
      <c r="X301" s="2846">
        <f>'HVAC Deemed Table'!J4488</f>
        <v>5</v>
      </c>
      <c r="Y301" s="2846">
        <f>'HVAC Deemed Table'!J4490</f>
        <v>10</v>
      </c>
      <c r="Z301" s="2846">
        <f t="shared" si="198"/>
        <v>15</v>
      </c>
      <c r="AA301" s="2529">
        <f>'HVAC Deemed Table'!DG4488</f>
        <v>3.6368109574089043</v>
      </c>
      <c r="AB301" s="3878">
        <f>'HVAC Deemed Table'!K4488</f>
        <v>224.93182686576984</v>
      </c>
      <c r="AC301" s="3845">
        <f t="shared" si="199"/>
        <v>527.16310353213009</v>
      </c>
      <c r="AD301" s="3845">
        <f t="shared" si="178"/>
        <v>290.87142908330424</v>
      </c>
      <c r="AE301" s="3846">
        <f>'HVAC Deemed Table'!DI4488</f>
        <v>323.12122505543329</v>
      </c>
      <c r="AF301" s="3846">
        <f>'HVAC Deemed Table'!DI4489</f>
        <v>204.04187847669678</v>
      </c>
      <c r="AG301" s="3846">
        <f>'HVAC Deemed Table'!DI4490</f>
        <v>13.766476158779117</v>
      </c>
      <c r="AH301" s="3846">
        <f>'HVAC Deemed Table'!DI4491</f>
        <v>277.10495292452509</v>
      </c>
      <c r="AI301" s="3847" t="str">
        <f t="shared" si="188"/>
        <v>per measure</v>
      </c>
      <c r="AJ301" s="3220">
        <f>'HVAC Deemed Table'!L4488</f>
        <v>1.0111111111111111</v>
      </c>
      <c r="AK301" s="3848"/>
      <c r="AL301" s="3848"/>
      <c r="AX301" s="3849" t="str">
        <f t="shared" si="193"/>
        <v>PTHP-SEER12-Replace_PTAC_ElectricHeat_ER1_MF_CompE</v>
      </c>
      <c r="AY301" s="2724"/>
      <c r="AZ301" s="3850" t="str">
        <f t="shared" si="194"/>
        <v>356275</v>
      </c>
      <c r="BA301" s="3882">
        <f t="shared" si="200"/>
        <v>232.83</v>
      </c>
      <c r="BB301" s="3882">
        <f t="shared" si="200"/>
        <v>891.18</v>
      </c>
      <c r="BC301" s="3882">
        <f t="shared" si="201"/>
        <v>11.64</v>
      </c>
      <c r="BD301" s="3882">
        <f t="shared" si="201"/>
        <v>891.18</v>
      </c>
      <c r="BE301" s="3853"/>
      <c r="BF301" s="3854">
        <f>ROUND(BA301*'CP FACTORS'!$B$9,6)</f>
        <v>0.22058700000000001</v>
      </c>
      <c r="BG301" s="3854">
        <f>ROUND(BB301*'CP FACTORS'!$B$14,6)</f>
        <v>0</v>
      </c>
      <c r="BH301" s="3854">
        <f>ROUND(BC301*'CP FACTORS'!$B$9,6)</f>
        <v>1.1028E-2</v>
      </c>
      <c r="BI301" s="3855">
        <f>ROUND(BD301*'CP FACTORS'!$B$14,6)</f>
        <v>0</v>
      </c>
      <c r="BJ301" s="3853"/>
      <c r="BK301" s="3856">
        <f t="shared" si="180"/>
        <v>1124.01</v>
      </c>
      <c r="BL301" s="3857">
        <f t="shared" si="181"/>
        <v>902.81999999999994</v>
      </c>
      <c r="BM301" s="3858">
        <f t="shared" si="182"/>
        <v>0.22058700000000001</v>
      </c>
      <c r="BN301" s="3855">
        <f t="shared" si="183"/>
        <v>1.1028E-2</v>
      </c>
    </row>
    <row r="302" spans="1:66" s="41" customFormat="1">
      <c r="A302" s="51" t="str">
        <f>LEFT(B302,6)</f>
        <v>356300</v>
      </c>
      <c r="B302" s="1442" t="str">
        <f>'HVAC Deemed Table'!C4492</f>
        <v>356300_2024_12_</v>
      </c>
      <c r="C302" s="887" t="str">
        <f>'HVAC Deemed Table'!G4492</f>
        <v>Cooling Res</v>
      </c>
      <c r="D302" s="887" t="str">
        <f>'HVAC Deemed Table'!G4493</f>
        <v>Heating Res</v>
      </c>
      <c r="E302" s="1378"/>
      <c r="F302" s="1378"/>
      <c r="G302" s="1442" t="str">
        <f>'HVAC Deemed Table'!E4492</f>
        <v>PTHP-SEER12-ROF_MF</v>
      </c>
      <c r="H302" s="19" t="str">
        <f>'HVAC Deemed Table'!D4492</f>
        <v>MFIE</v>
      </c>
      <c r="I302" s="1239">
        <f>K302+L302</f>
        <v>128.07999999999998</v>
      </c>
      <c r="J302" s="1239">
        <f>M302+N302</f>
        <v>0</v>
      </c>
      <c r="K302" s="1240">
        <f>'HVAC Deemed Table'!F4492</f>
        <v>16</v>
      </c>
      <c r="L302" s="1240">
        <f>'HVAC Deemed Table'!F4493</f>
        <v>112.08</v>
      </c>
      <c r="M302" s="1288"/>
      <c r="N302" s="1288"/>
      <c r="O302" s="1241">
        <f>Q302+R302</f>
        <v>1.5159000000000001E-2</v>
      </c>
      <c r="P302" s="1241">
        <f>S302+T302</f>
        <v>1.1028E-2</v>
      </c>
      <c r="Q302" s="787">
        <f>'HVAC Deemed Table'!I4492</f>
        <v>1.5159000000000001E-2</v>
      </c>
      <c r="R302" s="787">
        <f>'HVAC Deemed Table'!I4493</f>
        <v>0</v>
      </c>
      <c r="S302" s="787">
        <f>'HVAC Deemed Table'!I4494</f>
        <v>1.1028E-2</v>
      </c>
      <c r="T302" s="787">
        <f>'HVAC Deemed Table'!I4495</f>
        <v>0</v>
      </c>
      <c r="U302" s="788">
        <f t="shared" si="174"/>
        <v>0</v>
      </c>
      <c r="V302" s="788">
        <f t="shared" si="175"/>
        <v>0</v>
      </c>
      <c r="W302" s="788">
        <f t="shared" si="176"/>
        <v>1.5159000000000001E-2</v>
      </c>
      <c r="X302" s="23">
        <f>'HVAC Deemed Table'!J4492</f>
        <v>15</v>
      </c>
      <c r="Y302" s="23"/>
      <c r="Z302" s="23">
        <f>Y302+X302</f>
        <v>15</v>
      </c>
      <c r="AA302" s="18">
        <f>'HVAC Deemed Table'!DG4492</f>
        <v>1.0953674236290907</v>
      </c>
      <c r="AB302" s="259">
        <f>'HVAC Deemed Table'!K4492</f>
        <v>84.93</v>
      </c>
      <c r="AC302" s="903">
        <f>AE302+AF302</f>
        <v>93.029555288818685</v>
      </c>
      <c r="AD302" s="903">
        <f>AG302+AH302</f>
        <v>44.313162025199389</v>
      </c>
      <c r="AE302" s="208">
        <f>'HVAC Deemed Table'!DI4492</f>
        <v>32.517720571422672</v>
      </c>
      <c r="AF302" s="208">
        <f>'HVAC Deemed Table'!DI4493</f>
        <v>60.511834717396013</v>
      </c>
      <c r="AG302" s="208">
        <f>'HVAC Deemed Table'!DI4494</f>
        <v>23.656641715709995</v>
      </c>
      <c r="AH302" s="208">
        <f>'HVAC Deemed Table'!DI4495</f>
        <v>20.656520309489395</v>
      </c>
      <c r="AI302" s="906" t="str">
        <f t="shared" si="188"/>
        <v>per measure</v>
      </c>
      <c r="AJ302" s="48">
        <f>'HVAC Deemed Table'!L4492</f>
        <v>1.0111111111111111</v>
      </c>
      <c r="AK302" s="918"/>
      <c r="AL302" s="918"/>
      <c r="AM302"/>
      <c r="AN302"/>
      <c r="AO302"/>
      <c r="AP302"/>
      <c r="AQ302"/>
      <c r="AR302"/>
      <c r="AS302"/>
      <c r="AT302"/>
      <c r="AU302"/>
      <c r="AV302"/>
      <c r="AW302"/>
      <c r="AX302" s="1355" t="str">
        <f t="shared" si="193"/>
        <v>PTHP-SEER12-ROF_MF</v>
      </c>
      <c r="AY302" s="1378"/>
      <c r="AZ302" s="1446" t="str">
        <f t="shared" si="194"/>
        <v>356300</v>
      </c>
      <c r="BA302" s="1339">
        <f>BA298</f>
        <v>282.12</v>
      </c>
      <c r="BB302" s="1339">
        <f t="shared" ref="BB302:BD305" si="202">BB298</f>
        <v>782.78</v>
      </c>
      <c r="BC302" s="1339">
        <f t="shared" si="202"/>
        <v>16</v>
      </c>
      <c r="BD302" s="1339">
        <f t="shared" si="202"/>
        <v>112.08</v>
      </c>
      <c r="BE302" s="1306"/>
      <c r="BF302" s="1321">
        <f>ROUND(BA302*'CP FACTORS'!$B$9,6)</f>
        <v>0.26728600000000002</v>
      </c>
      <c r="BG302" s="1322">
        <f>ROUND(BB302*'CP FACTORS'!$B$14,6)</f>
        <v>0</v>
      </c>
      <c r="BH302" s="1321">
        <f>ROUND(BC302*'CP FACTORS'!$B$9,6)</f>
        <v>1.5159000000000001E-2</v>
      </c>
      <c r="BI302" s="1323">
        <f>ROUND(BD302*'CP FACTORS'!$B$14,6)</f>
        <v>0</v>
      </c>
      <c r="BJ302" s="1305"/>
      <c r="BK302" s="730">
        <f t="shared" si="180"/>
        <v>1064.9000000000001</v>
      </c>
      <c r="BL302" s="1342">
        <f t="shared" si="181"/>
        <v>128.07999999999998</v>
      </c>
      <c r="BM302" s="1341">
        <f t="shared" si="182"/>
        <v>0.26728600000000002</v>
      </c>
      <c r="BN302" s="1340">
        <f t="shared" si="183"/>
        <v>1.5159000000000001E-2</v>
      </c>
    </row>
    <row r="303" spans="1:66" s="696" customFormat="1">
      <c r="A303" s="2958" t="str">
        <f>LEFT(B303,6)</f>
        <v>356325</v>
      </c>
      <c r="B303" s="2233" t="str">
        <f>'HVAC Deemed Table'!C4494</f>
        <v>356325_2024_12_</v>
      </c>
      <c r="C303" s="3874" t="str">
        <f>'HVAC Deemed Table'!G4494</f>
        <v>Cooling Res</v>
      </c>
      <c r="D303" s="3874" t="str">
        <f>'HVAC Deemed Table'!G4495</f>
        <v>Heating Res</v>
      </c>
      <c r="E303" s="2724"/>
      <c r="F303" s="2724"/>
      <c r="G303" s="2233" t="str">
        <f>'HVAC Deemed Table'!E4494</f>
        <v>PTHP-SEER12-ROF_MF_CompE</v>
      </c>
      <c r="H303" s="2554" t="str">
        <f>'HVAC Deemed Table'!D4494</f>
        <v>MFc</v>
      </c>
      <c r="I303" s="3875">
        <f>K303+L303</f>
        <v>49.9</v>
      </c>
      <c r="J303" s="3875">
        <f>M303+N303</f>
        <v>0</v>
      </c>
      <c r="K303" s="3876">
        <f>'HVAC Deemed Table'!F4494</f>
        <v>11.64</v>
      </c>
      <c r="L303" s="3876">
        <f>'HVAC Deemed Table'!F4495</f>
        <v>38.26</v>
      </c>
      <c r="M303" s="3880"/>
      <c r="N303" s="3880"/>
      <c r="O303" s="3877">
        <f>Q303+R303</f>
        <v>1.1028E-2</v>
      </c>
      <c r="P303" s="3877">
        <f>S303+T303</f>
        <v>1.5159000000000001E-2</v>
      </c>
      <c r="Q303" s="3842">
        <f>'HVAC Deemed Table'!I4494</f>
        <v>1.1028E-2</v>
      </c>
      <c r="R303" s="3842">
        <f>'HVAC Deemed Table'!I4495</f>
        <v>0</v>
      </c>
      <c r="S303" s="3842">
        <f>'HVAC Deemed Table'!I4496</f>
        <v>1.5159000000000001E-2</v>
      </c>
      <c r="T303" s="3842">
        <f>'HVAC Deemed Table'!I4497</f>
        <v>0</v>
      </c>
      <c r="U303" s="3843">
        <f t="shared" si="174"/>
        <v>0</v>
      </c>
      <c r="V303" s="3843">
        <f t="shared" si="175"/>
        <v>0</v>
      </c>
      <c r="W303" s="3843">
        <f t="shared" si="176"/>
        <v>1.1028E-2</v>
      </c>
      <c r="X303" s="2846">
        <f>'HVAC Deemed Table'!J4494</f>
        <v>15</v>
      </c>
      <c r="Y303" s="2846"/>
      <c r="Z303" s="2846">
        <f>Y303+X303</f>
        <v>15</v>
      </c>
      <c r="AA303" s="2529">
        <f>'HVAC Deemed Table'!DG4494</f>
        <v>0.52176100347579635</v>
      </c>
      <c r="AB303" s="3878">
        <f>'HVAC Deemed Table'!K4494</f>
        <v>84.93</v>
      </c>
      <c r="AC303" s="3845">
        <f>AE303+AF303</f>
        <v>44.313162025199389</v>
      </c>
      <c r="AD303" s="3845">
        <f>AG303+AH303</f>
        <v>1442.0795778325783</v>
      </c>
      <c r="AE303" s="3846">
        <f>'HVAC Deemed Table'!DI4494</f>
        <v>23.656641715709995</v>
      </c>
      <c r="AF303" s="3846">
        <f>'HVAC Deemed Table'!DI4495</f>
        <v>20.656520309489395</v>
      </c>
      <c r="AG303" s="3846">
        <f>'HVAC Deemed Table'!DI4496</f>
        <v>32.517720571422672</v>
      </c>
      <c r="AH303" s="3846">
        <f>'HVAC Deemed Table'!DI4497</f>
        <v>1409.5618572611556</v>
      </c>
      <c r="AI303" s="3847" t="str">
        <f t="shared" si="188"/>
        <v>per measure</v>
      </c>
      <c r="AJ303" s="3220">
        <f>'HVAC Deemed Table'!L4494</f>
        <v>1.0111111111111111</v>
      </c>
      <c r="AK303" s="3848"/>
      <c r="AL303" s="3848"/>
      <c r="AX303" s="3849" t="str">
        <f t="shared" si="193"/>
        <v>PTHP-SEER12-ROF_MF_CompE</v>
      </c>
      <c r="AY303" s="2724"/>
      <c r="AZ303" s="3850" t="str">
        <f t="shared" si="194"/>
        <v>356325</v>
      </c>
      <c r="BA303" s="3881">
        <f>BA299</f>
        <v>205.3</v>
      </c>
      <c r="BB303" s="3881">
        <f t="shared" si="202"/>
        <v>267.2</v>
      </c>
      <c r="BC303" s="3881">
        <f t="shared" si="202"/>
        <v>11.64</v>
      </c>
      <c r="BD303" s="3881">
        <f t="shared" si="202"/>
        <v>38.26</v>
      </c>
      <c r="BE303" s="3853"/>
      <c r="BF303" s="3854">
        <f>ROUND(BA303*'CP FACTORS'!$B$9,6)</f>
        <v>0.19450500000000001</v>
      </c>
      <c r="BG303" s="3854">
        <f>ROUND(BB303*'CP FACTORS'!$B$14,6)</f>
        <v>0</v>
      </c>
      <c r="BH303" s="3854">
        <f>ROUND(BC303*'CP FACTORS'!$B$9,6)</f>
        <v>1.1028E-2</v>
      </c>
      <c r="BI303" s="3855">
        <f>ROUND(BD303*'CP FACTORS'!$B$14,6)</f>
        <v>0</v>
      </c>
      <c r="BJ303" s="3853"/>
      <c r="BK303" s="3856">
        <f t="shared" si="180"/>
        <v>472.5</v>
      </c>
      <c r="BL303" s="3857">
        <f t="shared" si="181"/>
        <v>49.9</v>
      </c>
      <c r="BM303" s="3858">
        <f t="shared" si="182"/>
        <v>0.19450500000000001</v>
      </c>
      <c r="BN303" s="3855">
        <f t="shared" si="183"/>
        <v>1.1028E-2</v>
      </c>
    </row>
    <row r="304" spans="1:66" s="41" customFormat="1">
      <c r="A304" s="51" t="str">
        <f t="shared" si="197"/>
        <v>356350</v>
      </c>
      <c r="B304" s="1442" t="str">
        <f>'HVAC Deemed Table'!C4496</f>
        <v>356350_2024_12_</v>
      </c>
      <c r="C304" s="887" t="str">
        <f>'HVAC Deemed Table'!G4496</f>
        <v>Cooling Res</v>
      </c>
      <c r="D304" s="887" t="str">
        <f>'HVAC Deemed Table'!G4497</f>
        <v>Heating Res</v>
      </c>
      <c r="E304" s="1378"/>
      <c r="F304" s="1378"/>
      <c r="G304" s="1442" t="str">
        <f>'HVAC Deemed Table'!E4496</f>
        <v>PTHP-SEER12-Replace_PTAC_ElectricHeat_ROF_MF</v>
      </c>
      <c r="H304" s="19" t="str">
        <f>'HVAC Deemed Table'!D4496</f>
        <v>MFIE</v>
      </c>
      <c r="I304" s="1239">
        <f t="shared" si="184"/>
        <v>2626.79</v>
      </c>
      <c r="J304" s="1239">
        <f t="shared" si="185"/>
        <v>0</v>
      </c>
      <c r="K304" s="1240">
        <f>'HVAC Deemed Table'!F4496</f>
        <v>16</v>
      </c>
      <c r="L304" s="1240">
        <f>'HVAC Deemed Table'!F4497</f>
        <v>2610.79</v>
      </c>
      <c r="M304" s="1240"/>
      <c r="N304" s="1240"/>
      <c r="O304" s="1241">
        <f t="shared" si="186"/>
        <v>1.5159000000000001E-2</v>
      </c>
      <c r="P304" s="1241">
        <f t="shared" si="187"/>
        <v>0</v>
      </c>
      <c r="Q304" s="787">
        <f>'HVAC Deemed Table'!I4496</f>
        <v>1.5159000000000001E-2</v>
      </c>
      <c r="R304" s="787">
        <f>'HVAC Deemed Table'!I4497</f>
        <v>0</v>
      </c>
      <c r="S304" s="787"/>
      <c r="T304" s="787"/>
      <c r="U304" s="788">
        <f t="shared" si="174"/>
        <v>0</v>
      </c>
      <c r="V304" s="788">
        <f t="shared" si="175"/>
        <v>0</v>
      </c>
      <c r="W304" s="788">
        <f t="shared" si="176"/>
        <v>1.5159000000000001E-2</v>
      </c>
      <c r="X304" s="23">
        <f>'HVAC Deemed Table'!J4496</f>
        <v>15</v>
      </c>
      <c r="Y304" s="23"/>
      <c r="Z304" s="23">
        <f t="shared" si="198"/>
        <v>15</v>
      </c>
      <c r="AA304" s="18">
        <f>'HVAC Deemed Table'!DG4496</f>
        <v>16.979625312993974</v>
      </c>
      <c r="AB304" s="259">
        <f>'HVAC Deemed Table'!K4496</f>
        <v>84.93</v>
      </c>
      <c r="AC304" s="903">
        <f t="shared" si="199"/>
        <v>1442.0795778325783</v>
      </c>
      <c r="AD304" s="903">
        <f t="shared" si="178"/>
        <v>0</v>
      </c>
      <c r="AE304" s="208">
        <f>'HVAC Deemed Table'!DI4496</f>
        <v>32.517720571422672</v>
      </c>
      <c r="AF304" s="208">
        <f>'HVAC Deemed Table'!DI4497</f>
        <v>1409.5618572611556</v>
      </c>
      <c r="AG304" s="208"/>
      <c r="AH304" s="208"/>
      <c r="AI304" s="906" t="str">
        <f t="shared" si="188"/>
        <v>per measure</v>
      </c>
      <c r="AJ304" s="48">
        <f>'HVAC Deemed Table'!L4496</f>
        <v>1.0111111111111111</v>
      </c>
      <c r="AK304" s="918"/>
      <c r="AL304" s="918"/>
      <c r="AM304"/>
      <c r="AN304"/>
      <c r="AO304"/>
      <c r="AP304"/>
      <c r="AQ304"/>
      <c r="AR304"/>
      <c r="AS304"/>
      <c r="AT304"/>
      <c r="AU304"/>
      <c r="AV304"/>
      <c r="AW304"/>
      <c r="AX304" s="1355" t="str">
        <f t="shared" si="193"/>
        <v>PTHP-SEER12-Replace_PTAC_ElectricHeat_ROF_MF</v>
      </c>
      <c r="AY304" s="1378"/>
      <c r="AZ304" s="1446" t="str">
        <f t="shared" si="194"/>
        <v>356350</v>
      </c>
      <c r="BA304" s="1333">
        <f>BA300</f>
        <v>319.95</v>
      </c>
      <c r="BB304" s="1333">
        <f t="shared" si="202"/>
        <v>2610.79</v>
      </c>
      <c r="BC304" s="1333">
        <f t="shared" si="202"/>
        <v>16</v>
      </c>
      <c r="BD304" s="1333">
        <f t="shared" si="202"/>
        <v>2610.79</v>
      </c>
      <c r="BE304" s="1306"/>
      <c r="BF304" s="1321">
        <f>ROUND(BA304*'CP FACTORS'!$B$9,6)</f>
        <v>0.30312600000000001</v>
      </c>
      <c r="BG304" s="1322">
        <f>ROUND(BB304*'CP FACTORS'!$B$14,6)</f>
        <v>0</v>
      </c>
      <c r="BH304" s="1321">
        <f>ROUND(BC304*'CP FACTORS'!$B$9,6)</f>
        <v>1.5159000000000001E-2</v>
      </c>
      <c r="BI304" s="1323">
        <f>ROUND(BD304*'CP FACTORS'!$B$14,6)</f>
        <v>0</v>
      </c>
      <c r="BJ304" s="1305"/>
      <c r="BK304" s="730">
        <f t="shared" si="180"/>
        <v>2930.74</v>
      </c>
      <c r="BL304" s="1342">
        <f t="shared" si="181"/>
        <v>2626.79</v>
      </c>
      <c r="BM304" s="1341">
        <f t="shared" si="182"/>
        <v>0.30312600000000001</v>
      </c>
      <c r="BN304" s="1340">
        <f t="shared" si="183"/>
        <v>1.5159000000000001E-2</v>
      </c>
    </row>
    <row r="305" spans="1:66" s="696" customFormat="1">
      <c r="A305" s="2958" t="str">
        <f>LEFT(B305,6)</f>
        <v>356375</v>
      </c>
      <c r="B305" s="2233" t="str">
        <f>'HVAC Deemed Table'!C4498</f>
        <v>356375_2024_12_</v>
      </c>
      <c r="C305" s="3874" t="str">
        <f>'HVAC Deemed Table'!G4498</f>
        <v>Cooling Res</v>
      </c>
      <c r="D305" s="3874" t="str">
        <f>'HVAC Deemed Table'!G4499</f>
        <v>Heating Res</v>
      </c>
      <c r="E305" s="2724"/>
      <c r="F305" s="2724"/>
      <c r="G305" s="2233" t="str">
        <f>'HVAC Deemed Table'!E4498</f>
        <v>PTHP-SEER12-Replace_PTAC_ElectricHeat_ROF_MF_CompE</v>
      </c>
      <c r="H305" s="2554" t="str">
        <f>'HVAC Deemed Table'!D4498</f>
        <v>MFc</v>
      </c>
      <c r="I305" s="3875">
        <f>K305+L305</f>
        <v>902.81999999999994</v>
      </c>
      <c r="J305" s="3875">
        <f>M305+N305</f>
        <v>0</v>
      </c>
      <c r="K305" s="3876">
        <f>'HVAC Deemed Table'!F4498</f>
        <v>11.64</v>
      </c>
      <c r="L305" s="3876">
        <f>'HVAC Deemed Table'!F4499</f>
        <v>891.18</v>
      </c>
      <c r="M305" s="3876"/>
      <c r="N305" s="3876"/>
      <c r="O305" s="3877">
        <f>Q305+R305</f>
        <v>1.1028E-2</v>
      </c>
      <c r="P305" s="3877">
        <f>S305+T305</f>
        <v>0</v>
      </c>
      <c r="Q305" s="3842">
        <f>'HVAC Deemed Table'!I4498</f>
        <v>1.1028E-2</v>
      </c>
      <c r="R305" s="3842">
        <f>'HVAC Deemed Table'!I4499</f>
        <v>0</v>
      </c>
      <c r="S305" s="3842"/>
      <c r="T305" s="3842"/>
      <c r="U305" s="3843">
        <f t="shared" si="174"/>
        <v>0</v>
      </c>
      <c r="V305" s="3843">
        <f t="shared" si="175"/>
        <v>0</v>
      </c>
      <c r="W305" s="3843">
        <f t="shared" si="176"/>
        <v>1.1028E-2</v>
      </c>
      <c r="X305" s="2846">
        <f>'HVAC Deemed Table'!J4498</f>
        <v>15</v>
      </c>
      <c r="Y305" s="2846"/>
      <c r="Z305" s="2846">
        <f>Y305+X305</f>
        <v>15</v>
      </c>
      <c r="AA305" s="2529">
        <f>'HVAC Deemed Table'!DG4498</f>
        <v>5.9437592501699292</v>
      </c>
      <c r="AB305" s="3878">
        <f>'HVAC Deemed Table'!K4498</f>
        <v>84.93</v>
      </c>
      <c r="AC305" s="3845">
        <f>AE305+AF305</f>
        <v>504.80347311693214</v>
      </c>
      <c r="AD305" s="3845">
        <f>AG305+AH305</f>
        <v>0</v>
      </c>
      <c r="AE305" s="3846">
        <f>'HVAC Deemed Table'!DI4498</f>
        <v>23.656641715709995</v>
      </c>
      <c r="AF305" s="3846">
        <f>'HVAC Deemed Table'!DI4499</f>
        <v>481.14683140122213</v>
      </c>
      <c r="AG305" s="3846"/>
      <c r="AH305" s="3846"/>
      <c r="AI305" s="3847" t="str">
        <f t="shared" si="188"/>
        <v>per measure</v>
      </c>
      <c r="AJ305" s="3220">
        <f>'HVAC Deemed Table'!L4498</f>
        <v>1.0111111111111111</v>
      </c>
      <c r="AK305" s="3848"/>
      <c r="AL305" s="3848"/>
      <c r="AX305" s="3849" t="str">
        <f t="shared" si="193"/>
        <v>PTHP-SEER12-Replace_PTAC_ElectricHeat_ROF_MF_CompE</v>
      </c>
      <c r="AY305" s="2724"/>
      <c r="AZ305" s="3850" t="str">
        <f t="shared" si="194"/>
        <v>356375</v>
      </c>
      <c r="BA305" s="3879">
        <f>BA301</f>
        <v>232.83</v>
      </c>
      <c r="BB305" s="3879">
        <f t="shared" si="202"/>
        <v>891.18</v>
      </c>
      <c r="BC305" s="3879">
        <f t="shared" si="202"/>
        <v>11.64</v>
      </c>
      <c r="BD305" s="3879">
        <f t="shared" si="202"/>
        <v>891.18</v>
      </c>
      <c r="BE305" s="3853"/>
      <c r="BF305" s="3854">
        <f>ROUND(BA305*'CP FACTORS'!$B$9,6)</f>
        <v>0.22058700000000001</v>
      </c>
      <c r="BG305" s="3854">
        <f>ROUND(BB305*'CP FACTORS'!$B$14,6)</f>
        <v>0</v>
      </c>
      <c r="BH305" s="3854">
        <f>ROUND(BC305*'CP FACTORS'!$B$9,6)</f>
        <v>1.1028E-2</v>
      </c>
      <c r="BI305" s="3855">
        <f>ROUND(BD305*'CP FACTORS'!$B$14,6)</f>
        <v>0</v>
      </c>
      <c r="BJ305" s="3853"/>
      <c r="BK305" s="3856">
        <f t="shared" si="180"/>
        <v>1124.01</v>
      </c>
      <c r="BL305" s="3857">
        <f t="shared" si="181"/>
        <v>902.81999999999994</v>
      </c>
      <c r="BM305" s="3858">
        <f t="shared" si="182"/>
        <v>0.22058700000000001</v>
      </c>
      <c r="BN305" s="3855">
        <f t="shared" si="183"/>
        <v>1.1028E-2</v>
      </c>
    </row>
    <row r="306" spans="1:66" s="41" customFormat="1">
      <c r="A306" s="51" t="str">
        <f t="shared" si="197"/>
        <v>356400</v>
      </c>
      <c r="B306" s="1442" t="str">
        <f>'HVAC Deemed Table'!C4500</f>
        <v>356400_2024_12_</v>
      </c>
      <c r="C306" s="887" t="str">
        <f>'HVAC Deemed Table'!G4500</f>
        <v>Cooling Res</v>
      </c>
      <c r="D306" s="887" t="str">
        <f>'HVAC Deemed Table'!G4501</f>
        <v>Heating Res</v>
      </c>
      <c r="E306" s="1378" t="str">
        <f>'HVAC Deemed Table'!G4502</f>
        <v>Cooling Res ER2</v>
      </c>
      <c r="F306" s="1378" t="str">
        <f>'HVAC Deemed Table'!G4503</f>
        <v>Heating Res ER2</v>
      </c>
      <c r="G306" s="1442" t="str">
        <f>'HVAC Deemed Table'!E4500</f>
        <v>PTHP-SEER13-ER1_MF</v>
      </c>
      <c r="H306" s="19" t="str">
        <f>'HVAC Deemed Table'!D4500</f>
        <v>MFIE</v>
      </c>
      <c r="I306" s="1239">
        <f t="shared" si="184"/>
        <v>1755.94</v>
      </c>
      <c r="J306" s="1239">
        <f t="shared" si="185"/>
        <v>194.57000000000002</v>
      </c>
      <c r="K306" s="1240">
        <f>'HVAC Deemed Table'!F4500</f>
        <v>507.53</v>
      </c>
      <c r="L306" s="1240">
        <f>'HVAC Deemed Table'!F4501</f>
        <v>1248.4100000000001</v>
      </c>
      <c r="M306" s="1240">
        <f>'HVAC Deemed Table'!F4502</f>
        <v>63.99</v>
      </c>
      <c r="N306" s="1240">
        <f>'HVAC Deemed Table'!F4503</f>
        <v>130.58000000000001</v>
      </c>
      <c r="O306" s="1241">
        <f t="shared" si="186"/>
        <v>0.48084300000000002</v>
      </c>
      <c r="P306" s="1241">
        <f t="shared" si="187"/>
        <v>6.0624999999999998E-2</v>
      </c>
      <c r="Q306" s="787">
        <f>'HVAC Deemed Table'!I4500</f>
        <v>0.48084300000000002</v>
      </c>
      <c r="R306" s="787">
        <f>'HVAC Deemed Table'!I4501</f>
        <v>0</v>
      </c>
      <c r="S306" s="787">
        <f>'HVAC Deemed Table'!I4502</f>
        <v>6.0624999999999998E-2</v>
      </c>
      <c r="T306" s="787">
        <f>'HVAC Deemed Table'!I4503</f>
        <v>0</v>
      </c>
      <c r="U306" s="788">
        <f t="shared" si="174"/>
        <v>0</v>
      </c>
      <c r="V306" s="788">
        <f t="shared" si="175"/>
        <v>0</v>
      </c>
      <c r="W306" s="788">
        <f t="shared" si="176"/>
        <v>0.48084300000000002</v>
      </c>
      <c r="X306" s="23">
        <f>'HVAC Deemed Table'!J4500</f>
        <v>5</v>
      </c>
      <c r="Y306" s="23">
        <f>'HVAC Deemed Table'!J4502</f>
        <v>10</v>
      </c>
      <c r="Z306" s="23">
        <f t="shared" si="198"/>
        <v>15</v>
      </c>
      <c r="AA306" s="18">
        <f>'HVAC Deemed Table'!DG4500</f>
        <v>3.7048931473641917</v>
      </c>
      <c r="AB306" s="259">
        <f>'HVAC Deemed Table'!K4500</f>
        <v>224.93182686576984</v>
      </c>
      <c r="AC306" s="903">
        <f t="shared" si="199"/>
        <v>717.06548897297716</v>
      </c>
      <c r="AD306" s="903">
        <f t="shared" si="178"/>
        <v>116.28289500612235</v>
      </c>
      <c r="AE306" s="208">
        <f>'HVAC Deemed Table'!DI4500</f>
        <v>431.23330971727904</v>
      </c>
      <c r="AF306" s="208">
        <f>'HVAC Deemed Table'!DI4501</f>
        <v>285.83217925569812</v>
      </c>
      <c r="AG306" s="208">
        <f>'HVAC Deemed Table'!DI4502</f>
        <v>75.680138264628496</v>
      </c>
      <c r="AH306" s="208">
        <f>'HVAC Deemed Table'!DI4503</f>
        <v>40.602756741493856</v>
      </c>
      <c r="AI306" s="906" t="str">
        <f t="shared" si="188"/>
        <v>per measure</v>
      </c>
      <c r="AJ306" s="48">
        <f>'HVAC Deemed Table'!L4500</f>
        <v>1.0111111111111111</v>
      </c>
      <c r="AK306" s="918"/>
      <c r="AL306" s="918"/>
      <c r="AM306"/>
      <c r="AN306"/>
      <c r="AO306"/>
      <c r="AP306"/>
      <c r="AQ306"/>
      <c r="AR306"/>
      <c r="AS306"/>
      <c r="AT306"/>
      <c r="AU306"/>
      <c r="AV306"/>
      <c r="AW306"/>
      <c r="AX306" s="1355" t="str">
        <f t="shared" si="193"/>
        <v>PTHP-SEER13-ER1_MF</v>
      </c>
      <c r="AY306" s="1378"/>
      <c r="AZ306" s="1446" t="str">
        <f t="shared" si="194"/>
        <v>356400</v>
      </c>
      <c r="BA306" s="1331">
        <f t="shared" ref="BA306:BB309" si="203">ROUND((K306*$BC$3)+(K310*$BC$4),2)</f>
        <v>330.11</v>
      </c>
      <c r="BB306" s="1331">
        <f t="shared" si="203"/>
        <v>801.28</v>
      </c>
      <c r="BC306" s="1331">
        <f t="shared" ref="BC306:BD309" si="204">ROUND((M306*$BC$3)+(K310*$BC$4),2)</f>
        <v>63.99</v>
      </c>
      <c r="BD306" s="1331">
        <f t="shared" si="204"/>
        <v>130.58000000000001</v>
      </c>
      <c r="BE306" s="1306"/>
      <c r="BF306" s="1321">
        <f>ROUND(BA306*'CP FACTORS'!$B$9,6)</f>
        <v>0.31275199999999997</v>
      </c>
      <c r="BG306" s="1322">
        <f>ROUND(BB306*'CP FACTORS'!$B$14,6)</f>
        <v>0</v>
      </c>
      <c r="BH306" s="1321">
        <f>ROUND(BC306*'CP FACTORS'!$B$9,6)</f>
        <v>6.0624999999999998E-2</v>
      </c>
      <c r="BI306" s="1323">
        <f>ROUND(BD306*'CP FACTORS'!$B$14,6)</f>
        <v>0</v>
      </c>
      <c r="BJ306" s="1305"/>
      <c r="BK306" s="730">
        <f t="shared" si="180"/>
        <v>1131.3899999999999</v>
      </c>
      <c r="BL306" s="1342">
        <f t="shared" si="181"/>
        <v>194.57000000000002</v>
      </c>
      <c r="BM306" s="1341">
        <f t="shared" si="182"/>
        <v>0.31275199999999997</v>
      </c>
      <c r="BN306" s="1340">
        <f t="shared" si="183"/>
        <v>6.0624999999999998E-2</v>
      </c>
    </row>
    <row r="307" spans="1:66" s="696" customFormat="1">
      <c r="A307" s="2958" t="str">
        <f t="shared" si="197"/>
        <v>356425</v>
      </c>
      <c r="B307" s="2233" t="str">
        <f>'HVAC Deemed Table'!C4504</f>
        <v>356425_2024_12_</v>
      </c>
      <c r="C307" s="3874" t="str">
        <f>'HVAC Deemed Table'!G4504</f>
        <v>Cooling Res</v>
      </c>
      <c r="D307" s="3874" t="str">
        <f>'HVAC Deemed Table'!G4505</f>
        <v>Heating Res</v>
      </c>
      <c r="E307" s="2724" t="str">
        <f>'HVAC Deemed Table'!G4506</f>
        <v>Cooling Res ER2</v>
      </c>
      <c r="F307" s="2724" t="str">
        <f>'HVAC Deemed Table'!G4507</f>
        <v>Heating Res ER2</v>
      </c>
      <c r="G307" s="2233" t="str">
        <f>'HVAC Deemed Table'!E4504</f>
        <v>PTHP-SEER13-ER1_MF_CompE</v>
      </c>
      <c r="H307" s="2554" t="str">
        <f>'HVAC Deemed Table'!D4504</f>
        <v>MFc</v>
      </c>
      <c r="I307" s="3875">
        <f t="shared" si="184"/>
        <v>795.48</v>
      </c>
      <c r="J307" s="3875">
        <f t="shared" si="185"/>
        <v>91.13</v>
      </c>
      <c r="K307" s="3876">
        <f>'HVAC Deemed Table'!F4504</f>
        <v>369.34</v>
      </c>
      <c r="L307" s="3876">
        <f>'HVAC Deemed Table'!F4505</f>
        <v>426.14</v>
      </c>
      <c r="M307" s="3876">
        <f>'HVAC Deemed Table'!F4506</f>
        <v>46.56</v>
      </c>
      <c r="N307" s="3876">
        <f>'HVAC Deemed Table'!F4507</f>
        <v>44.57</v>
      </c>
      <c r="O307" s="3877">
        <f t="shared" si="186"/>
        <v>0.34991899999999998</v>
      </c>
      <c r="P307" s="3877">
        <f t="shared" si="187"/>
        <v>4.4111999999999998E-2</v>
      </c>
      <c r="Q307" s="3842">
        <f>'HVAC Deemed Table'!I4504</f>
        <v>0.34991899999999998</v>
      </c>
      <c r="R307" s="3842">
        <f>'HVAC Deemed Table'!I4505</f>
        <v>0</v>
      </c>
      <c r="S307" s="3842">
        <f>'HVAC Deemed Table'!I4506</f>
        <v>4.4111999999999998E-2</v>
      </c>
      <c r="T307" s="3842">
        <f>'HVAC Deemed Table'!I4507</f>
        <v>0</v>
      </c>
      <c r="U307" s="3843">
        <f t="shared" si="174"/>
        <v>0</v>
      </c>
      <c r="V307" s="3843">
        <f t="shared" si="175"/>
        <v>0</v>
      </c>
      <c r="W307" s="3843">
        <f t="shared" si="176"/>
        <v>0.34991899999999998</v>
      </c>
      <c r="X307" s="2846">
        <f>'HVAC Deemed Table'!J4504</f>
        <v>5</v>
      </c>
      <c r="Y307" s="2846">
        <f>'HVAC Deemed Table'!J4506</f>
        <v>10</v>
      </c>
      <c r="Z307" s="2846">
        <f t="shared" si="198"/>
        <v>15</v>
      </c>
      <c r="AA307" s="2529">
        <f>'HVAC Deemed Table'!DG4504</f>
        <v>2.1353564658805624</v>
      </c>
      <c r="AB307" s="3878">
        <f>'HVAC Deemed Table'!K4504</f>
        <v>224.93182686576984</v>
      </c>
      <c r="AC307" s="3845">
        <f t="shared" si="199"/>
        <v>411.38505824098598</v>
      </c>
      <c r="AD307" s="3845">
        <f t="shared" si="178"/>
        <v>68.924572639162875</v>
      </c>
      <c r="AE307" s="3846">
        <f>'HVAC Deemed Table'!DI4504</f>
        <v>313.81733219904208</v>
      </c>
      <c r="AF307" s="3846">
        <f>'HVAC Deemed Table'!DI4505</f>
        <v>97.567726041943899</v>
      </c>
      <c r="AG307" s="3846">
        <f>'HVAC Deemed Table'!DI4506</f>
        <v>55.065904635116468</v>
      </c>
      <c r="AH307" s="3846">
        <f>'HVAC Deemed Table'!DI4507</f>
        <v>13.858668004046415</v>
      </c>
      <c r="AI307" s="3847" t="str">
        <f t="shared" si="188"/>
        <v>per measure</v>
      </c>
      <c r="AJ307" s="3220">
        <f>'HVAC Deemed Table'!L4504</f>
        <v>1.0111111111111111</v>
      </c>
      <c r="AK307" s="3848"/>
      <c r="AL307" s="3848"/>
      <c r="AX307" s="3849" t="str">
        <f t="shared" si="193"/>
        <v>PTHP-SEER13-ER1_MF_CompE</v>
      </c>
      <c r="AY307" s="2724"/>
      <c r="AZ307" s="3850" t="str">
        <f t="shared" si="194"/>
        <v>356425</v>
      </c>
      <c r="BA307" s="3883">
        <f t="shared" si="203"/>
        <v>240.23</v>
      </c>
      <c r="BB307" s="3883">
        <f t="shared" si="203"/>
        <v>273.51</v>
      </c>
      <c r="BC307" s="3883">
        <f t="shared" si="204"/>
        <v>46.56</v>
      </c>
      <c r="BD307" s="3883">
        <f t="shared" si="204"/>
        <v>44.57</v>
      </c>
      <c r="BE307" s="3853"/>
      <c r="BF307" s="3854">
        <f>ROUND(BA307*'CP FACTORS'!$B$9,6)</f>
        <v>0.22759799999999999</v>
      </c>
      <c r="BG307" s="3854">
        <f>ROUND(BB307*'CP FACTORS'!$B$14,6)</f>
        <v>0</v>
      </c>
      <c r="BH307" s="3854">
        <f>ROUND(BC307*'CP FACTORS'!$B$9,6)</f>
        <v>4.4111999999999998E-2</v>
      </c>
      <c r="BI307" s="3855">
        <f>ROUND(BD307*'CP FACTORS'!$B$14,6)</f>
        <v>0</v>
      </c>
      <c r="BJ307" s="3853"/>
      <c r="BK307" s="3856">
        <f t="shared" si="180"/>
        <v>513.74</v>
      </c>
      <c r="BL307" s="3857">
        <f t="shared" si="181"/>
        <v>91.13</v>
      </c>
      <c r="BM307" s="3858">
        <f t="shared" si="182"/>
        <v>0.22759799999999999</v>
      </c>
      <c r="BN307" s="3855">
        <f t="shared" si="183"/>
        <v>4.4111999999999998E-2</v>
      </c>
    </row>
    <row r="308" spans="1:66" s="41" customFormat="1">
      <c r="A308" s="51" t="str">
        <f t="shared" si="197"/>
        <v>356450</v>
      </c>
      <c r="B308" s="1442" t="str">
        <f>'HVAC Deemed Table'!C4508</f>
        <v>356450_2024_12_</v>
      </c>
      <c r="C308" s="887" t="str">
        <f>'HVAC Deemed Table'!G4508</f>
        <v>Cooling Res</v>
      </c>
      <c r="D308" s="887" t="str">
        <f>'HVAC Deemed Table'!G4509</f>
        <v>Heating Res</v>
      </c>
      <c r="E308" s="1378" t="str">
        <f>'HVAC Deemed Table'!G4510</f>
        <v>Cooling Res ER2</v>
      </c>
      <c r="F308" s="1378" t="str">
        <f>'HVAC Deemed Table'!G4511</f>
        <v>Heating Res ER2</v>
      </c>
      <c r="G308" s="1442" t="str">
        <f>'HVAC Deemed Table'!E4508</f>
        <v>PTHP-SEER13-Replace_PTAC_ElectricHeat_ER1_MF</v>
      </c>
      <c r="H308" s="19" t="str">
        <f>'HVAC Deemed Table'!D4508</f>
        <v>MFIE</v>
      </c>
      <c r="I308" s="1239">
        <f t="shared" si="184"/>
        <v>3199.87</v>
      </c>
      <c r="J308" s="1239">
        <f t="shared" si="185"/>
        <v>2693.2799999999997</v>
      </c>
      <c r="K308" s="1240">
        <f>'HVAC Deemed Table'!F4508</f>
        <v>570.58000000000004</v>
      </c>
      <c r="L308" s="1240">
        <f>'HVAC Deemed Table'!F4509</f>
        <v>2629.29</v>
      </c>
      <c r="M308" s="1240">
        <f>'HVAC Deemed Table'!F4510</f>
        <v>63.99</v>
      </c>
      <c r="N308" s="1240">
        <f>'HVAC Deemed Table'!F4511</f>
        <v>2629.29</v>
      </c>
      <c r="O308" s="1241">
        <f t="shared" si="186"/>
        <v>0.540578</v>
      </c>
      <c r="P308" s="1241">
        <f t="shared" si="187"/>
        <v>6.0624999999999998E-2</v>
      </c>
      <c r="Q308" s="787">
        <f>'HVAC Deemed Table'!I4508</f>
        <v>0.540578</v>
      </c>
      <c r="R308" s="787">
        <f>'HVAC Deemed Table'!I4509</f>
        <v>0</v>
      </c>
      <c r="S308" s="787">
        <f>'HVAC Deemed Table'!I4510</f>
        <v>6.0624999999999998E-2</v>
      </c>
      <c r="T308" s="787">
        <f>'HVAC Deemed Table'!I4511</f>
        <v>0</v>
      </c>
      <c r="U308" s="788">
        <f t="shared" si="174"/>
        <v>0</v>
      </c>
      <c r="V308" s="788">
        <f t="shared" si="175"/>
        <v>0</v>
      </c>
      <c r="W308" s="788">
        <f t="shared" si="176"/>
        <v>0.540578</v>
      </c>
      <c r="X308" s="23">
        <f>'HVAC Deemed Table'!J4508</f>
        <v>5</v>
      </c>
      <c r="Y308" s="23">
        <f>'HVAC Deemed Table'!J4510</f>
        <v>10</v>
      </c>
      <c r="Z308" s="23">
        <f t="shared" si="198"/>
        <v>15</v>
      </c>
      <c r="AA308" s="18">
        <f>'HVAC Deemed Table'!DG4508</f>
        <v>8.8028234464282242</v>
      </c>
      <c r="AB308" s="259">
        <f>'HVAC Deemed Table'!K4508</f>
        <v>224.93182686576984</v>
      </c>
      <c r="AC308" s="903">
        <f t="shared" si="199"/>
        <v>1086.7993290293707</v>
      </c>
      <c r="AD308" s="903">
        <f t="shared" si="178"/>
        <v>893.23583035256206</v>
      </c>
      <c r="AE308" s="208">
        <f>'HVAC Deemed Table'!DI4508</f>
        <v>484.80503981732136</v>
      </c>
      <c r="AF308" s="208">
        <f>'HVAC Deemed Table'!DI4509</f>
        <v>601.99428921204924</v>
      </c>
      <c r="AG308" s="208">
        <f>'HVAC Deemed Table'!DI4510</f>
        <v>75.680138264628496</v>
      </c>
      <c r="AH308" s="208">
        <f>'HVAC Deemed Table'!DI4511</f>
        <v>817.55569208793361</v>
      </c>
      <c r="AI308" s="906" t="str">
        <f t="shared" si="188"/>
        <v>per measure</v>
      </c>
      <c r="AJ308" s="48">
        <f>'HVAC Deemed Table'!L4508</f>
        <v>1.0111111111111111</v>
      </c>
      <c r="AK308" s="918"/>
      <c r="AL308" s="918"/>
      <c r="AM308"/>
      <c r="AN308"/>
      <c r="AO308"/>
      <c r="AP308"/>
      <c r="AQ308"/>
      <c r="AR308"/>
      <c r="AS308"/>
      <c r="AT308"/>
      <c r="AU308"/>
      <c r="AV308"/>
      <c r="AW308"/>
      <c r="AX308" s="1355" t="str">
        <f t="shared" si="193"/>
        <v>PTHP-SEER13-Replace_PTAC_ElectricHeat_ER1_MF</v>
      </c>
      <c r="AY308" s="1378"/>
      <c r="AZ308" s="1446" t="str">
        <f t="shared" si="194"/>
        <v>356450</v>
      </c>
      <c r="BA308" s="1330">
        <f t="shared" si="203"/>
        <v>367.94</v>
      </c>
      <c r="BB308" s="1330">
        <f t="shared" si="203"/>
        <v>2629.29</v>
      </c>
      <c r="BC308" s="1330">
        <f t="shared" si="204"/>
        <v>63.99</v>
      </c>
      <c r="BD308" s="1330">
        <f t="shared" si="204"/>
        <v>2629.29</v>
      </c>
      <c r="BE308" s="1306"/>
      <c r="BF308" s="1321">
        <f>ROUND(BA308*'CP FACTORS'!$B$9,6)</f>
        <v>0.34859299999999999</v>
      </c>
      <c r="BG308" s="1322">
        <f>ROUND(BB308*'CP FACTORS'!$B$14,6)</f>
        <v>0</v>
      </c>
      <c r="BH308" s="1321">
        <f>ROUND(BC308*'CP FACTORS'!$B$9,6)</f>
        <v>6.0624999999999998E-2</v>
      </c>
      <c r="BI308" s="1323">
        <f>ROUND(BD308*'CP FACTORS'!$B$14,6)</f>
        <v>0</v>
      </c>
      <c r="BJ308" s="1305"/>
      <c r="BK308" s="730">
        <f t="shared" si="180"/>
        <v>2997.23</v>
      </c>
      <c r="BL308" s="1342">
        <f t="shared" si="181"/>
        <v>2693.2799999999997</v>
      </c>
      <c r="BM308" s="1341">
        <f t="shared" si="182"/>
        <v>0.34859299999999999</v>
      </c>
      <c r="BN308" s="1340">
        <f t="shared" si="183"/>
        <v>6.0624999999999998E-2</v>
      </c>
    </row>
    <row r="309" spans="1:66" s="696" customFormat="1">
      <c r="A309" s="2958" t="str">
        <f t="shared" si="197"/>
        <v>356475</v>
      </c>
      <c r="B309" s="2233" t="str">
        <f>'HVAC Deemed Table'!C4512</f>
        <v>356475_2024_12_</v>
      </c>
      <c r="C309" s="3874" t="str">
        <f>'HVAC Deemed Table'!G4512</f>
        <v>Cooling Res</v>
      </c>
      <c r="D309" s="3874" t="str">
        <f>'HVAC Deemed Table'!G4513</f>
        <v>Heating Res</v>
      </c>
      <c r="E309" s="2724" t="str">
        <f>'HVAC Deemed Table'!G4514</f>
        <v>Cooling Res ER2</v>
      </c>
      <c r="F309" s="2724" t="str">
        <f>'HVAC Deemed Table'!G4515</f>
        <v>Heating Res ER2</v>
      </c>
      <c r="G309" s="2233" t="str">
        <f>'HVAC Deemed Table'!E4512</f>
        <v>PTHP-SEER13-Replace_PTAC_ElectricHeat_ER1_MF_CompE</v>
      </c>
      <c r="H309" s="2554" t="str">
        <f>'HVAC Deemed Table'!D4512</f>
        <v>MFc</v>
      </c>
      <c r="I309" s="3875">
        <f t="shared" si="184"/>
        <v>1312.72</v>
      </c>
      <c r="J309" s="3875">
        <f t="shared" si="185"/>
        <v>944.06</v>
      </c>
      <c r="K309" s="3876">
        <f>'HVAC Deemed Table'!F4512</f>
        <v>415.22</v>
      </c>
      <c r="L309" s="3876">
        <f>'HVAC Deemed Table'!F4513</f>
        <v>897.5</v>
      </c>
      <c r="M309" s="3876">
        <f>'HVAC Deemed Table'!F4514</f>
        <v>46.56</v>
      </c>
      <c r="N309" s="3876">
        <f>'HVAC Deemed Table'!F4515</f>
        <v>897.5</v>
      </c>
      <c r="O309" s="3877">
        <f t="shared" si="186"/>
        <v>0.39338699999999999</v>
      </c>
      <c r="P309" s="3877">
        <f t="shared" si="187"/>
        <v>4.4111999999999998E-2</v>
      </c>
      <c r="Q309" s="3842">
        <f>'HVAC Deemed Table'!I4512</f>
        <v>0.39338699999999999</v>
      </c>
      <c r="R309" s="3842">
        <f>'HVAC Deemed Table'!I4513</f>
        <v>0</v>
      </c>
      <c r="S309" s="3842">
        <f>'HVAC Deemed Table'!I4514</f>
        <v>4.4111999999999998E-2</v>
      </c>
      <c r="T309" s="3842">
        <f>'HVAC Deemed Table'!I4515</f>
        <v>0</v>
      </c>
      <c r="U309" s="3843">
        <f t="shared" si="174"/>
        <v>0</v>
      </c>
      <c r="V309" s="3843">
        <f t="shared" si="175"/>
        <v>0</v>
      </c>
      <c r="W309" s="3843">
        <f t="shared" si="176"/>
        <v>0.39338699999999999</v>
      </c>
      <c r="X309" s="2846">
        <f>'HVAC Deemed Table'!J4512</f>
        <v>5</v>
      </c>
      <c r="Y309" s="2846">
        <f>'HVAC Deemed Table'!J4514</f>
        <v>10</v>
      </c>
      <c r="Z309" s="2846">
        <f t="shared" si="198"/>
        <v>15</v>
      </c>
      <c r="AA309" s="2529">
        <f>'HVAC Deemed Table'!DG4512</f>
        <v>2.4820369477304007</v>
      </c>
      <c r="AB309" s="3878">
        <f>'HVAC Deemed Table'!K4512</f>
        <v>224.93182686576984</v>
      </c>
      <c r="AC309" s="3845">
        <f t="shared" si="199"/>
        <v>558.28910500133827</v>
      </c>
      <c r="AD309" s="3845">
        <f t="shared" si="178"/>
        <v>334.13600859813323</v>
      </c>
      <c r="AE309" s="3846">
        <f>'HVAC Deemed Table'!DI4512</f>
        <v>352.80021843203087</v>
      </c>
      <c r="AF309" s="3846">
        <f>'HVAC Deemed Table'!DI4513</f>
        <v>205.4888865693074</v>
      </c>
      <c r="AG309" s="3846">
        <f>'HVAC Deemed Table'!DI4514</f>
        <v>55.065904635116468</v>
      </c>
      <c r="AH309" s="3846">
        <f>'HVAC Deemed Table'!DI4515</f>
        <v>279.07010396301678</v>
      </c>
      <c r="AI309" s="3847" t="str">
        <f t="shared" si="188"/>
        <v>per measure</v>
      </c>
      <c r="AJ309" s="3220">
        <f>'HVAC Deemed Table'!L4512</f>
        <v>1.0111111111111111</v>
      </c>
      <c r="AK309" s="3848"/>
      <c r="AL309" s="3848"/>
      <c r="AX309" s="3849" t="str">
        <f t="shared" si="193"/>
        <v>PTHP-SEER13-Replace_PTAC_ElectricHeat_ER1_MF_CompE</v>
      </c>
      <c r="AY309" s="2724"/>
      <c r="AZ309" s="3850" t="str">
        <f t="shared" si="194"/>
        <v>356475</v>
      </c>
      <c r="BA309" s="3882">
        <f t="shared" si="203"/>
        <v>267.76</v>
      </c>
      <c r="BB309" s="3882">
        <f t="shared" si="203"/>
        <v>897.5</v>
      </c>
      <c r="BC309" s="3882">
        <f t="shared" si="204"/>
        <v>46.56</v>
      </c>
      <c r="BD309" s="3882">
        <f t="shared" si="204"/>
        <v>897.5</v>
      </c>
      <c r="BE309" s="3853"/>
      <c r="BF309" s="3854">
        <f>ROUND(BA309*'CP FACTORS'!$B$9,6)</f>
        <v>0.25368099999999999</v>
      </c>
      <c r="BG309" s="3854">
        <f>ROUND(BB309*'CP FACTORS'!$B$14,6)</f>
        <v>0</v>
      </c>
      <c r="BH309" s="3854">
        <f>ROUND(BC309*'CP FACTORS'!$B$9,6)</f>
        <v>4.4111999999999998E-2</v>
      </c>
      <c r="BI309" s="3855">
        <f>ROUND(BD309*'CP FACTORS'!$B$14,6)</f>
        <v>0</v>
      </c>
      <c r="BJ309" s="3853"/>
      <c r="BK309" s="3856">
        <f t="shared" si="180"/>
        <v>1165.26</v>
      </c>
      <c r="BL309" s="3857">
        <f t="shared" si="181"/>
        <v>944.06</v>
      </c>
      <c r="BM309" s="3858">
        <f t="shared" si="182"/>
        <v>0.25368099999999999</v>
      </c>
      <c r="BN309" s="3855">
        <f t="shared" si="183"/>
        <v>4.4111999999999998E-2</v>
      </c>
    </row>
    <row r="310" spans="1:66" s="41" customFormat="1">
      <c r="A310" s="51" t="str">
        <f>LEFT(B310,6)</f>
        <v>356500</v>
      </c>
      <c r="B310" s="1442" t="str">
        <f>'HVAC Deemed Table'!C4516</f>
        <v>356500_2024_12_</v>
      </c>
      <c r="C310" s="887" t="str">
        <f>'HVAC Deemed Table'!G4516</f>
        <v>Cooling Res</v>
      </c>
      <c r="D310" s="887" t="str">
        <f>'HVAC Deemed Table'!G4517</f>
        <v>Heating Res</v>
      </c>
      <c r="E310" s="1378"/>
      <c r="F310" s="1378"/>
      <c r="G310" s="1442" t="str">
        <f>'HVAC Deemed Table'!E4516</f>
        <v>PTHP-SEER13-ROF_MF</v>
      </c>
      <c r="H310" s="19" t="str">
        <f>'HVAC Deemed Table'!D4516</f>
        <v>MFIE</v>
      </c>
      <c r="I310" s="1239">
        <f>K310+L310</f>
        <v>194.57000000000002</v>
      </c>
      <c r="J310" s="1239">
        <f>M310+N310</f>
        <v>0</v>
      </c>
      <c r="K310" s="1240">
        <f>'HVAC Deemed Table'!F4516</f>
        <v>63.99</v>
      </c>
      <c r="L310" s="1240">
        <f>'HVAC Deemed Table'!F4517</f>
        <v>130.58000000000001</v>
      </c>
      <c r="M310" s="1288"/>
      <c r="N310" s="1288"/>
      <c r="O310" s="1241">
        <f>Q310+R310</f>
        <v>6.0624999999999998E-2</v>
      </c>
      <c r="P310" s="1241">
        <f>S310+T310</f>
        <v>4.4111999999999998E-2</v>
      </c>
      <c r="Q310" s="787">
        <f>'HVAC Deemed Table'!I4516</f>
        <v>6.0624999999999998E-2</v>
      </c>
      <c r="R310" s="787">
        <f>'HVAC Deemed Table'!I4517</f>
        <v>0</v>
      </c>
      <c r="S310" s="787">
        <f>'HVAC Deemed Table'!I4518</f>
        <v>4.4111999999999998E-2</v>
      </c>
      <c r="T310" s="787">
        <f>'HVAC Deemed Table'!I4519</f>
        <v>0</v>
      </c>
      <c r="U310" s="788">
        <f t="shared" si="174"/>
        <v>0</v>
      </c>
      <c r="V310" s="788">
        <f t="shared" si="175"/>
        <v>0</v>
      </c>
      <c r="W310" s="788">
        <f t="shared" si="176"/>
        <v>6.0624999999999998E-2</v>
      </c>
      <c r="X310" s="23">
        <f>'HVAC Deemed Table'!J4516</f>
        <v>15</v>
      </c>
      <c r="Y310" s="23"/>
      <c r="Z310" s="23">
        <f>Y310+X310</f>
        <v>15</v>
      </c>
      <c r="AA310" s="18">
        <f>'HVAC Deemed Table'!DG4516</f>
        <v>2.3613625040216344</v>
      </c>
      <c r="AB310" s="259">
        <f>'HVAC Deemed Table'!K4516</f>
        <v>84.93</v>
      </c>
      <c r="AC310" s="903">
        <f>AE310+AF310</f>
        <v>200.55051746655744</v>
      </c>
      <c r="AD310" s="903">
        <f>AG310+AH310</f>
        <v>118.68984731746471</v>
      </c>
      <c r="AE310" s="208">
        <f>'HVAC Deemed Table'!DI4516</f>
        <v>130.05055871033355</v>
      </c>
      <c r="AF310" s="208">
        <f>'HVAC Deemed Table'!DI4517</f>
        <v>70.499958756223876</v>
      </c>
      <c r="AG310" s="208">
        <f>'HVAC Deemed Table'!DI4518</f>
        <v>94.626566862839979</v>
      </c>
      <c r="AH310" s="208">
        <f>'HVAC Deemed Table'!DI4519</f>
        <v>24.063280454624735</v>
      </c>
      <c r="AI310" s="906" t="str">
        <f t="shared" si="188"/>
        <v>per measure</v>
      </c>
      <c r="AJ310" s="48">
        <f>'HVAC Deemed Table'!L4516</f>
        <v>1.0111111111111111</v>
      </c>
      <c r="AK310" s="918"/>
      <c r="AL310" s="918"/>
      <c r="AM310"/>
      <c r="AN310"/>
      <c r="AO310"/>
      <c r="AP310"/>
      <c r="AQ310"/>
      <c r="AR310"/>
      <c r="AS310"/>
      <c r="AT310"/>
      <c r="AU310"/>
      <c r="AV310"/>
      <c r="AW310"/>
      <c r="AX310" s="1355" t="str">
        <f t="shared" si="193"/>
        <v>PTHP-SEER13-ROF_MF</v>
      </c>
      <c r="AY310" s="1378"/>
      <c r="AZ310" s="1446" t="str">
        <f t="shared" si="194"/>
        <v>356500</v>
      </c>
      <c r="BA310" s="1339">
        <f>BA306</f>
        <v>330.11</v>
      </c>
      <c r="BB310" s="1339">
        <f t="shared" ref="BB310:BD313" si="205">BB306</f>
        <v>801.28</v>
      </c>
      <c r="BC310" s="1339">
        <f t="shared" si="205"/>
        <v>63.99</v>
      </c>
      <c r="BD310" s="1339">
        <f t="shared" si="205"/>
        <v>130.58000000000001</v>
      </c>
      <c r="BE310" s="1306"/>
      <c r="BF310" s="1321">
        <f>ROUND(BA310*'CP FACTORS'!$B$9,6)</f>
        <v>0.31275199999999997</v>
      </c>
      <c r="BG310" s="1322">
        <f>ROUND(BB310*'CP FACTORS'!$B$14,6)</f>
        <v>0</v>
      </c>
      <c r="BH310" s="1321">
        <f>ROUND(BC310*'CP FACTORS'!$B$9,6)</f>
        <v>6.0624999999999998E-2</v>
      </c>
      <c r="BI310" s="1323">
        <f>ROUND(BD310*'CP FACTORS'!$B$14,6)</f>
        <v>0</v>
      </c>
      <c r="BJ310" s="1305"/>
      <c r="BK310" s="730">
        <f t="shared" si="180"/>
        <v>1131.3899999999999</v>
      </c>
      <c r="BL310" s="1342">
        <f t="shared" si="181"/>
        <v>194.57000000000002</v>
      </c>
      <c r="BM310" s="1341">
        <f t="shared" si="182"/>
        <v>0.31275199999999997</v>
      </c>
      <c r="BN310" s="1340">
        <f t="shared" si="183"/>
        <v>6.0624999999999998E-2</v>
      </c>
    </row>
    <row r="311" spans="1:66" s="696" customFormat="1">
      <c r="A311" s="2958" t="str">
        <f>LEFT(B311,6)</f>
        <v>356525</v>
      </c>
      <c r="B311" s="2233" t="str">
        <f>'HVAC Deemed Table'!C4518</f>
        <v>356525_2024_12_</v>
      </c>
      <c r="C311" s="3874" t="str">
        <f>'HVAC Deemed Table'!G4518</f>
        <v>Cooling Res</v>
      </c>
      <c r="D311" s="3874" t="str">
        <f>'HVAC Deemed Table'!G4519</f>
        <v>Heating Res</v>
      </c>
      <c r="E311" s="2724"/>
      <c r="F311" s="2724"/>
      <c r="G311" s="2233" t="str">
        <f>'HVAC Deemed Table'!E4518</f>
        <v>PTHP-SEER13-ROF_MF_CompE</v>
      </c>
      <c r="H311" s="2554" t="str">
        <f>'HVAC Deemed Table'!D4518</f>
        <v>MFc</v>
      </c>
      <c r="I311" s="3875">
        <f>K311+L311</f>
        <v>91.13</v>
      </c>
      <c r="J311" s="3875">
        <f>M311+N311</f>
        <v>0</v>
      </c>
      <c r="K311" s="3876">
        <f>'HVAC Deemed Table'!F4518</f>
        <v>46.56</v>
      </c>
      <c r="L311" s="3876">
        <f>'HVAC Deemed Table'!F4519</f>
        <v>44.57</v>
      </c>
      <c r="M311" s="3880"/>
      <c r="N311" s="3880"/>
      <c r="O311" s="3877">
        <f>Q311+R311</f>
        <v>4.4111999999999998E-2</v>
      </c>
      <c r="P311" s="3877">
        <f>S311+T311</f>
        <v>6.0624999999999998E-2</v>
      </c>
      <c r="Q311" s="3842">
        <f>'HVAC Deemed Table'!I4518</f>
        <v>4.4111999999999998E-2</v>
      </c>
      <c r="R311" s="3842">
        <f>'HVAC Deemed Table'!I4519</f>
        <v>0</v>
      </c>
      <c r="S311" s="3842">
        <f>'HVAC Deemed Table'!I4520</f>
        <v>6.0624999999999998E-2</v>
      </c>
      <c r="T311" s="3842">
        <f>'HVAC Deemed Table'!I4521</f>
        <v>0</v>
      </c>
      <c r="U311" s="3843">
        <f t="shared" si="174"/>
        <v>0</v>
      </c>
      <c r="V311" s="3843">
        <f t="shared" si="175"/>
        <v>0</v>
      </c>
      <c r="W311" s="3843">
        <f t="shared" si="176"/>
        <v>4.4111999999999998E-2</v>
      </c>
      <c r="X311" s="2846">
        <f>'HVAC Deemed Table'!J4518</f>
        <v>15</v>
      </c>
      <c r="Y311" s="2846"/>
      <c r="Z311" s="2846">
        <f>Y311+X311</f>
        <v>15</v>
      </c>
      <c r="AA311" s="2529">
        <f>'HVAC Deemed Table'!DG4518</f>
        <v>1.3975020289351785</v>
      </c>
      <c r="AB311" s="3878">
        <f>'HVAC Deemed Table'!K4518</f>
        <v>84.93</v>
      </c>
      <c r="AC311" s="3845">
        <f>AE311+AF311</f>
        <v>118.68984731746471</v>
      </c>
      <c r="AD311" s="3845">
        <f>AG311+AH311</f>
        <v>1549.600540010317</v>
      </c>
      <c r="AE311" s="3846">
        <f>'HVAC Deemed Table'!DI4518</f>
        <v>94.626566862839979</v>
      </c>
      <c r="AF311" s="3846">
        <f>'HVAC Deemed Table'!DI4519</f>
        <v>24.063280454624735</v>
      </c>
      <c r="AG311" s="3846">
        <f>'HVAC Deemed Table'!DI4520</f>
        <v>130.05055871033355</v>
      </c>
      <c r="AH311" s="3846">
        <f>'HVAC Deemed Table'!DI4521</f>
        <v>1419.5499812999835</v>
      </c>
      <c r="AI311" s="3847" t="str">
        <f t="shared" si="188"/>
        <v>per measure</v>
      </c>
      <c r="AJ311" s="3220">
        <f>'HVAC Deemed Table'!L4518</f>
        <v>1.0111111111111111</v>
      </c>
      <c r="AK311" s="3848"/>
      <c r="AL311" s="3848"/>
      <c r="AX311" s="3849" t="str">
        <f t="shared" si="193"/>
        <v>PTHP-SEER13-ROF_MF_CompE</v>
      </c>
      <c r="AY311" s="2724"/>
      <c r="AZ311" s="3850" t="str">
        <f t="shared" si="194"/>
        <v>356525</v>
      </c>
      <c r="BA311" s="3881">
        <f>BA307</f>
        <v>240.23</v>
      </c>
      <c r="BB311" s="3881">
        <f t="shared" si="205"/>
        <v>273.51</v>
      </c>
      <c r="BC311" s="3881">
        <f t="shared" si="205"/>
        <v>46.56</v>
      </c>
      <c r="BD311" s="3881">
        <f t="shared" si="205"/>
        <v>44.57</v>
      </c>
      <c r="BE311" s="3853"/>
      <c r="BF311" s="3854">
        <f>ROUND(BA311*'CP FACTORS'!$B$9,6)</f>
        <v>0.22759799999999999</v>
      </c>
      <c r="BG311" s="3854">
        <f>ROUND(BB311*'CP FACTORS'!$B$14,6)</f>
        <v>0</v>
      </c>
      <c r="BH311" s="3854">
        <f>ROUND(BC311*'CP FACTORS'!$B$9,6)</f>
        <v>4.4111999999999998E-2</v>
      </c>
      <c r="BI311" s="3855">
        <f>ROUND(BD311*'CP FACTORS'!$B$14,6)</f>
        <v>0</v>
      </c>
      <c r="BJ311" s="3853"/>
      <c r="BK311" s="3856">
        <f t="shared" si="180"/>
        <v>513.74</v>
      </c>
      <c r="BL311" s="3857">
        <f t="shared" si="181"/>
        <v>91.13</v>
      </c>
      <c r="BM311" s="3858">
        <f t="shared" si="182"/>
        <v>0.22759799999999999</v>
      </c>
      <c r="BN311" s="3855">
        <f t="shared" si="183"/>
        <v>4.4111999999999998E-2</v>
      </c>
    </row>
    <row r="312" spans="1:66" s="41" customFormat="1">
      <c r="A312" s="51" t="str">
        <f t="shared" si="197"/>
        <v>356550</v>
      </c>
      <c r="B312" s="1442" t="str">
        <f>'HVAC Deemed Table'!C4520</f>
        <v>356550_2024_12_</v>
      </c>
      <c r="C312" s="887" t="str">
        <f>'HVAC Deemed Table'!G4520</f>
        <v>Cooling Res</v>
      </c>
      <c r="D312" s="887" t="str">
        <f>'HVAC Deemed Table'!G4521</f>
        <v>Heating Res</v>
      </c>
      <c r="E312" s="1378"/>
      <c r="F312" s="1378"/>
      <c r="G312" s="1442" t="str">
        <f>'HVAC Deemed Table'!E4520</f>
        <v>PTHP-SEER13-Replace_PTAC_ElectricHeat_ROF_MF</v>
      </c>
      <c r="H312" s="19" t="str">
        <f>'HVAC Deemed Table'!D4520</f>
        <v>MFIE</v>
      </c>
      <c r="I312" s="1239">
        <f t="shared" si="184"/>
        <v>2693.2799999999997</v>
      </c>
      <c r="J312" s="1239">
        <f t="shared" si="185"/>
        <v>0</v>
      </c>
      <c r="K312" s="1240">
        <f>'HVAC Deemed Table'!F4520</f>
        <v>63.99</v>
      </c>
      <c r="L312" s="1240">
        <f>'HVAC Deemed Table'!F4521</f>
        <v>2629.29</v>
      </c>
      <c r="M312" s="1240"/>
      <c r="N312" s="1240"/>
      <c r="O312" s="1241">
        <f t="shared" si="186"/>
        <v>6.0624999999999998E-2</v>
      </c>
      <c r="P312" s="1241">
        <f t="shared" si="187"/>
        <v>0</v>
      </c>
      <c r="Q312" s="787">
        <f>'HVAC Deemed Table'!I4520</f>
        <v>6.0624999999999998E-2</v>
      </c>
      <c r="R312" s="787">
        <f>'HVAC Deemed Table'!I4521</f>
        <v>0</v>
      </c>
      <c r="S312" s="787"/>
      <c r="T312" s="787"/>
      <c r="U312" s="788">
        <f t="shared" si="174"/>
        <v>0</v>
      </c>
      <c r="V312" s="788">
        <f t="shared" si="175"/>
        <v>0</v>
      </c>
      <c r="W312" s="788">
        <f t="shared" si="176"/>
        <v>6.0624999999999998E-2</v>
      </c>
      <c r="X312" s="23">
        <f>'HVAC Deemed Table'!J4520</f>
        <v>15</v>
      </c>
      <c r="Y312" s="23"/>
      <c r="Z312" s="23">
        <f t="shared" si="198"/>
        <v>15</v>
      </c>
      <c r="AA312" s="18">
        <f>'HVAC Deemed Table'!DG4520</f>
        <v>18.245620393386517</v>
      </c>
      <c r="AB312" s="259">
        <f>'HVAC Deemed Table'!K4520</f>
        <v>84.93</v>
      </c>
      <c r="AC312" s="903">
        <f t="shared" si="199"/>
        <v>1549.600540010317</v>
      </c>
      <c r="AD312" s="903">
        <f t="shared" si="178"/>
        <v>0</v>
      </c>
      <c r="AE312" s="208">
        <f>'HVAC Deemed Table'!DI4520</f>
        <v>130.05055871033355</v>
      </c>
      <c r="AF312" s="208">
        <f>'HVAC Deemed Table'!DI4521</f>
        <v>1419.5499812999835</v>
      </c>
      <c r="AG312" s="208"/>
      <c r="AH312" s="208"/>
      <c r="AI312" s="906" t="str">
        <f t="shared" si="188"/>
        <v>per measure</v>
      </c>
      <c r="AJ312" s="48">
        <f>'HVAC Deemed Table'!L4520</f>
        <v>1.0111111111111111</v>
      </c>
      <c r="AK312" s="918"/>
      <c r="AL312" s="918"/>
      <c r="AM312"/>
      <c r="AN312"/>
      <c r="AO312"/>
      <c r="AP312"/>
      <c r="AQ312"/>
      <c r="AR312"/>
      <c r="AS312"/>
      <c r="AT312"/>
      <c r="AU312"/>
      <c r="AV312"/>
      <c r="AW312"/>
      <c r="AX312" s="1355" t="str">
        <f t="shared" si="193"/>
        <v>PTHP-SEER13-Replace_PTAC_ElectricHeat_ROF_MF</v>
      </c>
      <c r="AY312" s="1378"/>
      <c r="AZ312" s="1446" t="str">
        <f t="shared" si="194"/>
        <v>356550</v>
      </c>
      <c r="BA312" s="1333">
        <f>BA308</f>
        <v>367.94</v>
      </c>
      <c r="BB312" s="1333">
        <f t="shared" si="205"/>
        <v>2629.29</v>
      </c>
      <c r="BC312" s="1333">
        <f t="shared" si="205"/>
        <v>63.99</v>
      </c>
      <c r="BD312" s="1333">
        <f t="shared" si="205"/>
        <v>2629.29</v>
      </c>
      <c r="BE312" s="1306"/>
      <c r="BF312" s="1321">
        <f>ROUND(BA312*'CP FACTORS'!$B$9,6)</f>
        <v>0.34859299999999999</v>
      </c>
      <c r="BG312" s="1322">
        <f>ROUND(BB312*'CP FACTORS'!$B$14,6)</f>
        <v>0</v>
      </c>
      <c r="BH312" s="1321">
        <f>ROUND(BC312*'CP FACTORS'!$B$9,6)</f>
        <v>6.0624999999999998E-2</v>
      </c>
      <c r="BI312" s="1323">
        <f>ROUND(BD312*'CP FACTORS'!$B$14,6)</f>
        <v>0</v>
      </c>
      <c r="BJ312" s="1305"/>
      <c r="BK312" s="730">
        <f t="shared" si="180"/>
        <v>2997.23</v>
      </c>
      <c r="BL312" s="1342">
        <f t="shared" si="181"/>
        <v>2693.2799999999997</v>
      </c>
      <c r="BM312" s="1341">
        <f t="shared" si="182"/>
        <v>0.34859299999999999</v>
      </c>
      <c r="BN312" s="1340">
        <f t="shared" si="183"/>
        <v>6.0624999999999998E-2</v>
      </c>
    </row>
    <row r="313" spans="1:66" s="696" customFormat="1">
      <c r="A313" s="2958" t="str">
        <f>LEFT(B313,6)</f>
        <v>356575</v>
      </c>
      <c r="B313" s="2233" t="str">
        <f>'HVAC Deemed Table'!C4522</f>
        <v>356575_2024_12_</v>
      </c>
      <c r="C313" s="3874" t="str">
        <f>'HVAC Deemed Table'!G4522</f>
        <v>Cooling Res</v>
      </c>
      <c r="D313" s="3874" t="str">
        <f>'HVAC Deemed Table'!G4523</f>
        <v>Heating Res</v>
      </c>
      <c r="E313" s="2724"/>
      <c r="F313" s="2724"/>
      <c r="G313" s="2233" t="str">
        <f>'HVAC Deemed Table'!E4522</f>
        <v>PTHP-SEER13-Replace_PTAC_ElectricHeat_ROF_MF_CompE</v>
      </c>
      <c r="H313" s="2554" t="str">
        <f>'HVAC Deemed Table'!D4522</f>
        <v>MFc</v>
      </c>
      <c r="I313" s="3875">
        <f>K313+L313</f>
        <v>944.06</v>
      </c>
      <c r="J313" s="3875">
        <f>M313+N313</f>
        <v>0</v>
      </c>
      <c r="K313" s="3876">
        <f>'HVAC Deemed Table'!F4522</f>
        <v>46.56</v>
      </c>
      <c r="L313" s="3876">
        <f>'HVAC Deemed Table'!F4523</f>
        <v>897.5</v>
      </c>
      <c r="M313" s="3876"/>
      <c r="N313" s="3876"/>
      <c r="O313" s="3877">
        <f>Q313+R313</f>
        <v>4.4111999999999998E-2</v>
      </c>
      <c r="P313" s="3877">
        <f>S313+T313</f>
        <v>0</v>
      </c>
      <c r="Q313" s="3842">
        <f>'HVAC Deemed Table'!I4522</f>
        <v>4.4111999999999998E-2</v>
      </c>
      <c r="R313" s="3842">
        <f>'HVAC Deemed Table'!I4523</f>
        <v>0</v>
      </c>
      <c r="S313" s="3842"/>
      <c r="T313" s="3842"/>
      <c r="U313" s="3843">
        <f t="shared" si="174"/>
        <v>0</v>
      </c>
      <c r="V313" s="3843">
        <f t="shared" si="175"/>
        <v>0</v>
      </c>
      <c r="W313" s="3843">
        <f t="shared" si="176"/>
        <v>4.4111999999999998E-2</v>
      </c>
      <c r="X313" s="2846">
        <f>'HVAC Deemed Table'!J4522</f>
        <v>15</v>
      </c>
      <c r="Y313" s="2846"/>
      <c r="Z313" s="2846">
        <f>Y313+X313</f>
        <v>15</v>
      </c>
      <c r="AA313" s="2529">
        <f>'HVAC Deemed Table'!DG4522</f>
        <v>6.819563845462902</v>
      </c>
      <c r="AB313" s="3878">
        <f>'HVAC Deemed Table'!K4522</f>
        <v>84.93</v>
      </c>
      <c r="AC313" s="3845">
        <f>AE313+AF313</f>
        <v>579.18555739516432</v>
      </c>
      <c r="AD313" s="3845">
        <f>AG313+AH313</f>
        <v>0</v>
      </c>
      <c r="AE313" s="3846">
        <f>'HVAC Deemed Table'!DI4522</f>
        <v>94.626566862839979</v>
      </c>
      <c r="AF313" s="3846">
        <f>'HVAC Deemed Table'!DI4523</f>
        <v>484.5589905323244</v>
      </c>
      <c r="AG313" s="3846"/>
      <c r="AH313" s="3846"/>
      <c r="AI313" s="3847" t="str">
        <f t="shared" si="188"/>
        <v>per measure</v>
      </c>
      <c r="AJ313" s="3220">
        <f>'HVAC Deemed Table'!L4522</f>
        <v>1.0111111111111111</v>
      </c>
      <c r="AK313" s="3848"/>
      <c r="AL313" s="3848"/>
      <c r="AX313" s="3849" t="str">
        <f t="shared" si="193"/>
        <v>PTHP-SEER13-Replace_PTAC_ElectricHeat_ROF_MF_CompE</v>
      </c>
      <c r="AY313" s="2724"/>
      <c r="AZ313" s="3850" t="str">
        <f t="shared" si="194"/>
        <v>356575</v>
      </c>
      <c r="BA313" s="3879">
        <f>BA309</f>
        <v>267.76</v>
      </c>
      <c r="BB313" s="3879">
        <f t="shared" si="205"/>
        <v>897.5</v>
      </c>
      <c r="BC313" s="3879">
        <f t="shared" si="205"/>
        <v>46.56</v>
      </c>
      <c r="BD313" s="3879">
        <f t="shared" si="205"/>
        <v>897.5</v>
      </c>
      <c r="BE313" s="3853"/>
      <c r="BF313" s="3854">
        <f>ROUND(BA313*'CP FACTORS'!$B$9,6)</f>
        <v>0.25368099999999999</v>
      </c>
      <c r="BG313" s="3854">
        <f>ROUND(BB313*'CP FACTORS'!$B$14,6)</f>
        <v>0</v>
      </c>
      <c r="BH313" s="3854">
        <f>ROUND(BC313*'CP FACTORS'!$B$9,6)</f>
        <v>4.4111999999999998E-2</v>
      </c>
      <c r="BI313" s="3855">
        <f>ROUND(BD313*'CP FACTORS'!$B$14,6)</f>
        <v>0</v>
      </c>
      <c r="BJ313" s="3853"/>
      <c r="BK313" s="3856">
        <f t="shared" si="180"/>
        <v>1165.26</v>
      </c>
      <c r="BL313" s="3857">
        <f t="shared" si="181"/>
        <v>944.06</v>
      </c>
      <c r="BM313" s="3858">
        <f t="shared" si="182"/>
        <v>0.25368099999999999</v>
      </c>
      <c r="BN313" s="3855">
        <f t="shared" si="183"/>
        <v>4.4111999999999998E-2</v>
      </c>
    </row>
    <row r="314" spans="1:66" s="41" customFormat="1">
      <c r="A314" s="51" t="str">
        <f t="shared" si="197"/>
        <v>356600</v>
      </c>
      <c r="B314" s="1442" t="str">
        <f>'HVAC Deemed Table'!C4524</f>
        <v>356600_2024_12_</v>
      </c>
      <c r="C314" s="887" t="str">
        <f>'HVAC Deemed Table'!G4524</f>
        <v>Cooling Res</v>
      </c>
      <c r="D314" s="887" t="str">
        <f>'HVAC Deemed Table'!G4525</f>
        <v>Heating Res</v>
      </c>
      <c r="E314" s="1378" t="str">
        <f>'HVAC Deemed Table'!G4526</f>
        <v>Cooling Res ER2</v>
      </c>
      <c r="F314" s="1378" t="str">
        <f>'HVAC Deemed Table'!G4527</f>
        <v>Heating Res ER2</v>
      </c>
      <c r="G314" s="1442" t="str">
        <f>'HVAC Deemed Table'!E4524</f>
        <v>PTHP-SEER14-ER1_MF</v>
      </c>
      <c r="H314" s="19" t="str">
        <f>'HVAC Deemed Table'!D4524</f>
        <v>MFIE</v>
      </c>
      <c r="I314" s="1239">
        <f t="shared" si="184"/>
        <v>1837.33</v>
      </c>
      <c r="J314" s="1239">
        <f t="shared" si="185"/>
        <v>275.96000000000004</v>
      </c>
      <c r="K314" s="1240">
        <f>'HVAC Deemed Table'!F4524</f>
        <v>548.66</v>
      </c>
      <c r="L314" s="1240">
        <f>'HVAC Deemed Table'!F4525</f>
        <v>1288.67</v>
      </c>
      <c r="M314" s="1240">
        <f>'HVAC Deemed Table'!F4526</f>
        <v>105.12</v>
      </c>
      <c r="N314" s="1240">
        <f>'HVAC Deemed Table'!F4527</f>
        <v>170.84</v>
      </c>
      <c r="O314" s="1241">
        <f t="shared" si="186"/>
        <v>0.51980999999999999</v>
      </c>
      <c r="P314" s="1241">
        <f t="shared" si="187"/>
        <v>9.9593000000000001E-2</v>
      </c>
      <c r="Q314" s="787">
        <f>'HVAC Deemed Table'!I4524</f>
        <v>0.51980999999999999</v>
      </c>
      <c r="R314" s="787">
        <f>'HVAC Deemed Table'!I4525</f>
        <v>0</v>
      </c>
      <c r="S314" s="787">
        <f>'HVAC Deemed Table'!I4526</f>
        <v>9.9593000000000001E-2</v>
      </c>
      <c r="T314" s="787">
        <f>'HVAC Deemed Table'!I4527</f>
        <v>0</v>
      </c>
      <c r="U314" s="788">
        <f t="shared" si="174"/>
        <v>0</v>
      </c>
      <c r="V314" s="788">
        <f t="shared" si="175"/>
        <v>0</v>
      </c>
      <c r="W314" s="788">
        <f t="shared" si="176"/>
        <v>0.51980999999999999</v>
      </c>
      <c r="X314" s="23">
        <f>'HVAC Deemed Table'!J4524</f>
        <v>5</v>
      </c>
      <c r="Y314" s="23">
        <f>'HVAC Deemed Table'!J4526</f>
        <v>10</v>
      </c>
      <c r="Z314" s="23">
        <f t="shared" si="198"/>
        <v>15</v>
      </c>
      <c r="AA314" s="18">
        <f>'HVAC Deemed Table'!DG4524</f>
        <v>4.1731558401739761</v>
      </c>
      <c r="AB314" s="259">
        <f>'HVAC Deemed Table'!K4524</f>
        <v>224.93182686576984</v>
      </c>
      <c r="AC314" s="903">
        <f t="shared" si="199"/>
        <v>761.23024782971947</v>
      </c>
      <c r="AD314" s="903">
        <f t="shared" si="178"/>
        <v>177.44531909616956</v>
      </c>
      <c r="AE314" s="208">
        <f>'HVAC Deemed Table'!DI4524</f>
        <v>466.18026069292915</v>
      </c>
      <c r="AF314" s="208">
        <f>'HVAC Deemed Table'!DI4525</f>
        <v>295.04998713679038</v>
      </c>
      <c r="AG314" s="208">
        <f>'HVAC Deemed Table'!DI4526</f>
        <v>124.32405273289181</v>
      </c>
      <c r="AH314" s="208">
        <f>'HVAC Deemed Table'!DI4527</f>
        <v>53.121266363277755</v>
      </c>
      <c r="AI314" s="906" t="str">
        <f t="shared" si="188"/>
        <v>per measure</v>
      </c>
      <c r="AJ314" s="48">
        <f>'HVAC Deemed Table'!L4524</f>
        <v>1.0111111111111111</v>
      </c>
      <c r="AK314" s="918"/>
      <c r="AL314" s="918"/>
      <c r="AM314"/>
      <c r="AN314"/>
      <c r="AO314"/>
      <c r="AP314"/>
      <c r="AQ314"/>
      <c r="AR314"/>
      <c r="AS314"/>
      <c r="AT314"/>
      <c r="AU314"/>
      <c r="AV314"/>
      <c r="AW314"/>
      <c r="AX314" s="1355" t="str">
        <f t="shared" si="193"/>
        <v>PTHP-SEER14-ER1_MF</v>
      </c>
      <c r="AY314" s="1378"/>
      <c r="AZ314" s="1446" t="str">
        <f t="shared" si="194"/>
        <v>356600</v>
      </c>
      <c r="BA314" s="1331">
        <f t="shared" ref="BA314:BB317" si="206">ROUND((K314*$BC$3)+(K318*$BC$4),2)</f>
        <v>371.24</v>
      </c>
      <c r="BB314" s="1331">
        <f t="shared" si="206"/>
        <v>841.54</v>
      </c>
      <c r="BC314" s="1331">
        <f t="shared" ref="BC314:BD317" si="207">ROUND((M314*$BC$3)+(K318*$BC$4),2)</f>
        <v>105.12</v>
      </c>
      <c r="BD314" s="1331">
        <f t="shared" si="207"/>
        <v>170.84</v>
      </c>
      <c r="BE314" s="1306"/>
      <c r="BF314" s="1321">
        <f>ROUND(BA314*'CP FACTORS'!$B$9,6)</f>
        <v>0.351719</v>
      </c>
      <c r="BG314" s="1322">
        <f>ROUND(BB314*'CP FACTORS'!$B$14,6)</f>
        <v>0</v>
      </c>
      <c r="BH314" s="1321">
        <f>ROUND(BC314*'CP FACTORS'!$B$9,6)</f>
        <v>9.9593000000000001E-2</v>
      </c>
      <c r="BI314" s="1323">
        <f>ROUND(BD314*'CP FACTORS'!$B$14,6)</f>
        <v>0</v>
      </c>
      <c r="BJ314" s="1305"/>
      <c r="BK314" s="730">
        <f t="shared" si="180"/>
        <v>1212.78</v>
      </c>
      <c r="BL314" s="1342">
        <f t="shared" si="181"/>
        <v>275.96000000000004</v>
      </c>
      <c r="BM314" s="1341">
        <f t="shared" si="182"/>
        <v>0.351719</v>
      </c>
      <c r="BN314" s="1340">
        <f t="shared" si="183"/>
        <v>9.9593000000000001E-2</v>
      </c>
    </row>
    <row r="315" spans="1:66" s="696" customFormat="1">
      <c r="A315" s="2958" t="str">
        <f t="shared" si="197"/>
        <v>356625</v>
      </c>
      <c r="B315" s="2233" t="str">
        <f>'HVAC Deemed Table'!C4528</f>
        <v>356625_2024_12_</v>
      </c>
      <c r="C315" s="3874" t="str">
        <f>'HVAC Deemed Table'!G4528</f>
        <v>Cooling Res</v>
      </c>
      <c r="D315" s="3874" t="str">
        <f>'HVAC Deemed Table'!G4529</f>
        <v>Heating Res</v>
      </c>
      <c r="E315" s="2724" t="str">
        <f>'HVAC Deemed Table'!G4530</f>
        <v>Cooling Res ER2</v>
      </c>
      <c r="F315" s="2724" t="str">
        <f>'HVAC Deemed Table'!G4531</f>
        <v>Heating Res ER2</v>
      </c>
      <c r="G315" s="2233" t="str">
        <f>'HVAC Deemed Table'!E4528</f>
        <v>PTHP-SEER14-ER1_MF_CompE</v>
      </c>
      <c r="H315" s="2554" t="str">
        <f>'HVAC Deemed Table'!D4528</f>
        <v>MFc</v>
      </c>
      <c r="I315" s="3875">
        <f t="shared" si="184"/>
        <v>839.15</v>
      </c>
      <c r="J315" s="3875">
        <f t="shared" si="185"/>
        <v>134.82</v>
      </c>
      <c r="K315" s="3876">
        <f>'HVAC Deemed Table'!F4528</f>
        <v>399.27</v>
      </c>
      <c r="L315" s="3876">
        <f>'HVAC Deemed Table'!F4529</f>
        <v>439.88</v>
      </c>
      <c r="M315" s="3876">
        <f>'HVAC Deemed Table'!F4530</f>
        <v>76.5</v>
      </c>
      <c r="N315" s="3876">
        <f>'HVAC Deemed Table'!F4531</f>
        <v>58.32</v>
      </c>
      <c r="O315" s="3877">
        <f t="shared" si="186"/>
        <v>0.378276</v>
      </c>
      <c r="P315" s="3877">
        <f t="shared" si="187"/>
        <v>7.2477E-2</v>
      </c>
      <c r="Q315" s="3842">
        <f>'HVAC Deemed Table'!I4528</f>
        <v>0.378276</v>
      </c>
      <c r="R315" s="3842">
        <f>'HVAC Deemed Table'!I4529</f>
        <v>0</v>
      </c>
      <c r="S315" s="3842">
        <f>'HVAC Deemed Table'!I4530</f>
        <v>7.2477E-2</v>
      </c>
      <c r="T315" s="3842">
        <f>'HVAC Deemed Table'!I4531</f>
        <v>0</v>
      </c>
      <c r="U315" s="3843">
        <f t="shared" si="174"/>
        <v>0</v>
      </c>
      <c r="V315" s="3843">
        <f t="shared" si="175"/>
        <v>0</v>
      </c>
      <c r="W315" s="3843">
        <f t="shared" si="176"/>
        <v>0.378276</v>
      </c>
      <c r="X315" s="2846">
        <f>'HVAC Deemed Table'!J4528</f>
        <v>5</v>
      </c>
      <c r="Y315" s="2846">
        <f>'HVAC Deemed Table'!J4530</f>
        <v>10</v>
      </c>
      <c r="Z315" s="2846">
        <f t="shared" si="198"/>
        <v>15</v>
      </c>
      <c r="AA315" s="2529">
        <f>'HVAC Deemed Table'!DG4528</f>
        <v>2.438833323733022</v>
      </c>
      <c r="AB315" s="3878">
        <f>'HVAC Deemed Table'!K4528</f>
        <v>224.93182686576984</v>
      </c>
      <c r="AC315" s="3845">
        <f t="shared" si="199"/>
        <v>439.96156757468987</v>
      </c>
      <c r="AD315" s="3845">
        <f t="shared" si="178"/>
        <v>108.60966735369621</v>
      </c>
      <c r="AE315" s="3846">
        <f>'HVAC Deemed Table'!DI4528</f>
        <v>339.24797267317797</v>
      </c>
      <c r="AF315" s="3846">
        <f>'HVAC Deemed Table'!DI4529</f>
        <v>100.71359490151191</v>
      </c>
      <c r="AG315" s="3846">
        <f>'HVAC Deemed Table'!DI4530</f>
        <v>90.475552074450377</v>
      </c>
      <c r="AH315" s="3846">
        <f>'HVAC Deemed Table'!DI4531</f>
        <v>18.134115279245837</v>
      </c>
      <c r="AI315" s="3847" t="str">
        <f t="shared" si="188"/>
        <v>per measure</v>
      </c>
      <c r="AJ315" s="3220">
        <f>'HVAC Deemed Table'!L4528</f>
        <v>1.0111111111111111</v>
      </c>
      <c r="AK315" s="3848"/>
      <c r="AL315" s="3848"/>
      <c r="AX315" s="3849" t="str">
        <f t="shared" si="193"/>
        <v>PTHP-SEER14-ER1_MF_CompE</v>
      </c>
      <c r="AY315" s="2724"/>
      <c r="AZ315" s="3850" t="str">
        <f t="shared" si="194"/>
        <v>356625</v>
      </c>
      <c r="BA315" s="3883">
        <f t="shared" si="206"/>
        <v>270.16000000000003</v>
      </c>
      <c r="BB315" s="3883">
        <f t="shared" si="206"/>
        <v>287.26</v>
      </c>
      <c r="BC315" s="3883">
        <f t="shared" si="207"/>
        <v>76.5</v>
      </c>
      <c r="BD315" s="3883">
        <f t="shared" si="207"/>
        <v>58.32</v>
      </c>
      <c r="BE315" s="3853"/>
      <c r="BF315" s="3854">
        <f>ROUND(BA315*'CP FACTORS'!$B$9,6)</f>
        <v>0.25595400000000001</v>
      </c>
      <c r="BG315" s="3854">
        <f>ROUND(BB315*'CP FACTORS'!$B$14,6)</f>
        <v>0</v>
      </c>
      <c r="BH315" s="3854">
        <f>ROUND(BC315*'CP FACTORS'!$B$9,6)</f>
        <v>7.2477E-2</v>
      </c>
      <c r="BI315" s="3855">
        <f>ROUND(BD315*'CP FACTORS'!$B$14,6)</f>
        <v>0</v>
      </c>
      <c r="BJ315" s="3853"/>
      <c r="BK315" s="3856">
        <f t="shared" si="180"/>
        <v>557.42000000000007</v>
      </c>
      <c r="BL315" s="3857">
        <f t="shared" si="181"/>
        <v>134.82</v>
      </c>
      <c r="BM315" s="3858">
        <f t="shared" si="182"/>
        <v>0.25595400000000001</v>
      </c>
      <c r="BN315" s="3855">
        <f t="shared" si="183"/>
        <v>7.2477E-2</v>
      </c>
    </row>
    <row r="316" spans="1:66" s="41" customFormat="1">
      <c r="A316" s="51" t="str">
        <f t="shared" si="197"/>
        <v>356650</v>
      </c>
      <c r="B316" s="1442" t="str">
        <f>'HVAC Deemed Table'!C4532</f>
        <v>356650_2024_12_</v>
      </c>
      <c r="C316" s="887" t="str">
        <f>'HVAC Deemed Table'!G4532</f>
        <v>Cooling Res</v>
      </c>
      <c r="D316" s="887" t="str">
        <f>'HVAC Deemed Table'!G4533</f>
        <v>Heating Res</v>
      </c>
      <c r="E316" s="1378" t="str">
        <f>'HVAC Deemed Table'!G4534</f>
        <v>Cooling Res ER2</v>
      </c>
      <c r="F316" s="1378" t="str">
        <f>'HVAC Deemed Table'!G4535</f>
        <v>Heating Res ER2</v>
      </c>
      <c r="G316" s="1442" t="str">
        <f>'HVAC Deemed Table'!E4532</f>
        <v>PTHP-SEER14-Replace_PTAC_ElectricHeat_ER1_MF</v>
      </c>
      <c r="H316" s="19" t="str">
        <f>'HVAC Deemed Table'!D4532</f>
        <v>MFIE</v>
      </c>
      <c r="I316" s="1239">
        <f t="shared" si="184"/>
        <v>3281.26</v>
      </c>
      <c r="J316" s="1239">
        <f t="shared" si="185"/>
        <v>2774.67</v>
      </c>
      <c r="K316" s="1240">
        <f>'HVAC Deemed Table'!F4532</f>
        <v>611.71</v>
      </c>
      <c r="L316" s="1240">
        <f>'HVAC Deemed Table'!F4533</f>
        <v>2669.55</v>
      </c>
      <c r="M316" s="1240">
        <f>'HVAC Deemed Table'!F4534</f>
        <v>105.12</v>
      </c>
      <c r="N316" s="1240">
        <f>'HVAC Deemed Table'!F4535</f>
        <v>2669.55</v>
      </c>
      <c r="O316" s="1241">
        <f t="shared" si="186"/>
        <v>0.57954499999999998</v>
      </c>
      <c r="P316" s="1241">
        <f t="shared" si="187"/>
        <v>9.9593000000000001E-2</v>
      </c>
      <c r="Q316" s="787">
        <f>'HVAC Deemed Table'!I4532</f>
        <v>0.57954499999999998</v>
      </c>
      <c r="R316" s="787">
        <f>'HVAC Deemed Table'!I4533</f>
        <v>0</v>
      </c>
      <c r="S316" s="787">
        <f>'HVAC Deemed Table'!I4534</f>
        <v>9.9593000000000001E-2</v>
      </c>
      <c r="T316" s="787">
        <f>'HVAC Deemed Table'!I4535</f>
        <v>0</v>
      </c>
      <c r="U316" s="788">
        <f t="shared" si="174"/>
        <v>0</v>
      </c>
      <c r="V316" s="788">
        <f t="shared" si="175"/>
        <v>0</v>
      </c>
      <c r="W316" s="788">
        <f t="shared" si="176"/>
        <v>0.57954499999999998</v>
      </c>
      <c r="X316" s="23">
        <f>'HVAC Deemed Table'!J4532</f>
        <v>5</v>
      </c>
      <c r="Y316" s="23">
        <f>'HVAC Deemed Table'!J4534</f>
        <v>10</v>
      </c>
      <c r="Z316" s="23">
        <f t="shared" si="198"/>
        <v>15</v>
      </c>
      <c r="AA316" s="18">
        <f>'HVAC Deemed Table'!DG4532</f>
        <v>9.2710861392380099</v>
      </c>
      <c r="AB316" s="259">
        <f>'HVAC Deemed Table'!K4532</f>
        <v>224.93182686576984</v>
      </c>
      <c r="AC316" s="903">
        <f t="shared" si="199"/>
        <v>1130.964087886113</v>
      </c>
      <c r="AD316" s="903">
        <f t="shared" si="178"/>
        <v>954.3982544426093</v>
      </c>
      <c r="AE316" s="208">
        <f>'HVAC Deemed Table'!DI4532</f>
        <v>519.75199079297147</v>
      </c>
      <c r="AF316" s="208">
        <f>'HVAC Deemed Table'!DI4533</f>
        <v>611.21209709314155</v>
      </c>
      <c r="AG316" s="208">
        <f>'HVAC Deemed Table'!DI4534</f>
        <v>124.32405273289181</v>
      </c>
      <c r="AH316" s="208">
        <f>'HVAC Deemed Table'!DI4535</f>
        <v>830.0742017097175</v>
      </c>
      <c r="AI316" s="906" t="str">
        <f t="shared" si="188"/>
        <v>per measure</v>
      </c>
      <c r="AJ316" s="48">
        <f>'HVAC Deemed Table'!L4532</f>
        <v>1.0111111111111111</v>
      </c>
      <c r="AK316" s="918"/>
      <c r="AL316" s="918"/>
      <c r="AM316"/>
      <c r="AN316"/>
      <c r="AO316"/>
      <c r="AP316"/>
      <c r="AQ316"/>
      <c r="AR316"/>
      <c r="AS316"/>
      <c r="AT316"/>
      <c r="AU316"/>
      <c r="AV316"/>
      <c r="AW316"/>
      <c r="AX316" s="1355" t="str">
        <f t="shared" si="193"/>
        <v>PTHP-SEER14-Replace_PTAC_ElectricHeat_ER1_MF</v>
      </c>
      <c r="AY316" s="1378"/>
      <c r="AZ316" s="1446" t="str">
        <f t="shared" si="194"/>
        <v>356650</v>
      </c>
      <c r="BA316" s="1330">
        <f t="shared" si="206"/>
        <v>409.07</v>
      </c>
      <c r="BB316" s="1330">
        <f t="shared" si="206"/>
        <v>2669.55</v>
      </c>
      <c r="BC316" s="1330">
        <f t="shared" si="207"/>
        <v>105.12</v>
      </c>
      <c r="BD316" s="1330">
        <f t="shared" si="207"/>
        <v>2669.55</v>
      </c>
      <c r="BE316" s="1306"/>
      <c r="BF316" s="1321">
        <f>ROUND(BA316*'CP FACTORS'!$B$9,6)</f>
        <v>0.38756000000000002</v>
      </c>
      <c r="BG316" s="1322">
        <f>ROUND(BB316*'CP FACTORS'!$B$14,6)</f>
        <v>0</v>
      </c>
      <c r="BH316" s="1321">
        <f>ROUND(BC316*'CP FACTORS'!$B$9,6)</f>
        <v>9.9593000000000001E-2</v>
      </c>
      <c r="BI316" s="1323">
        <f>ROUND(BD316*'CP FACTORS'!$B$14,6)</f>
        <v>0</v>
      </c>
      <c r="BJ316" s="1305"/>
      <c r="BK316" s="730">
        <f t="shared" si="180"/>
        <v>3078.6200000000003</v>
      </c>
      <c r="BL316" s="1342">
        <f t="shared" si="181"/>
        <v>2774.67</v>
      </c>
      <c r="BM316" s="1341">
        <f t="shared" si="182"/>
        <v>0.38756000000000002</v>
      </c>
      <c r="BN316" s="1340">
        <f t="shared" si="183"/>
        <v>9.9593000000000001E-2</v>
      </c>
    </row>
    <row r="317" spans="1:66" s="696" customFormat="1">
      <c r="A317" s="2958" t="str">
        <f t="shared" si="197"/>
        <v>356675</v>
      </c>
      <c r="B317" s="2233" t="str">
        <f>'HVAC Deemed Table'!C4536</f>
        <v>356675_2024_12_</v>
      </c>
      <c r="C317" s="3874" t="str">
        <f>'HVAC Deemed Table'!G4536</f>
        <v>Cooling Res</v>
      </c>
      <c r="D317" s="3874" t="str">
        <f>'HVAC Deemed Table'!G4537</f>
        <v>Heating Res</v>
      </c>
      <c r="E317" s="2724" t="str">
        <f>'HVAC Deemed Table'!G4538</f>
        <v>Cooling Res ER2</v>
      </c>
      <c r="F317" s="2724" t="str">
        <f>'HVAC Deemed Table'!G4539</f>
        <v>Heating Res ER2</v>
      </c>
      <c r="G317" s="2233" t="str">
        <f>'HVAC Deemed Table'!E4536</f>
        <v>PTHP-SEER14-Replace_PTAC_ElectricHeat_ER1_MF_CompE</v>
      </c>
      <c r="H317" s="2554" t="str">
        <f>'HVAC Deemed Table'!D4536</f>
        <v>MFc</v>
      </c>
      <c r="I317" s="3875">
        <f t="shared" si="184"/>
        <v>1356.3899999999999</v>
      </c>
      <c r="J317" s="3875">
        <f t="shared" si="185"/>
        <v>987.74</v>
      </c>
      <c r="K317" s="3876">
        <f>'HVAC Deemed Table'!F4536</f>
        <v>445.15</v>
      </c>
      <c r="L317" s="3876">
        <f>'HVAC Deemed Table'!F4537</f>
        <v>911.24</v>
      </c>
      <c r="M317" s="3876">
        <f>'HVAC Deemed Table'!F4538</f>
        <v>76.5</v>
      </c>
      <c r="N317" s="3876">
        <f>'HVAC Deemed Table'!F4539</f>
        <v>911.24</v>
      </c>
      <c r="O317" s="3877">
        <f t="shared" si="186"/>
        <v>0.42174299999999998</v>
      </c>
      <c r="P317" s="3877">
        <f t="shared" si="187"/>
        <v>7.2477E-2</v>
      </c>
      <c r="Q317" s="3842">
        <f>'HVAC Deemed Table'!I4536</f>
        <v>0.42174299999999998</v>
      </c>
      <c r="R317" s="3842">
        <f>'HVAC Deemed Table'!I4537</f>
        <v>0</v>
      </c>
      <c r="S317" s="3842">
        <f>'HVAC Deemed Table'!I4538</f>
        <v>7.2477E-2</v>
      </c>
      <c r="T317" s="3842">
        <f>'HVAC Deemed Table'!I4539</f>
        <v>0</v>
      </c>
      <c r="U317" s="3843">
        <f t="shared" si="174"/>
        <v>0</v>
      </c>
      <c r="V317" s="3843">
        <f t="shared" si="175"/>
        <v>0</v>
      </c>
      <c r="W317" s="3843">
        <f t="shared" si="176"/>
        <v>0.42174299999999998</v>
      </c>
      <c r="X317" s="2846">
        <f>'HVAC Deemed Table'!J4536</f>
        <v>5</v>
      </c>
      <c r="Y317" s="2846">
        <f>'HVAC Deemed Table'!J4538</f>
        <v>10</v>
      </c>
      <c r="Z317" s="2846">
        <f t="shared" si="198"/>
        <v>15</v>
      </c>
      <c r="AA317" s="2529">
        <f>'HVAC Deemed Table'!DG4536</f>
        <v>4.2709990027547562</v>
      </c>
      <c r="AB317" s="3878">
        <f>'HVAC Deemed Table'!K4536</f>
        <v>224.93182686576984</v>
      </c>
      <c r="AC317" s="3845">
        <f t="shared" si="199"/>
        <v>586.86561433504198</v>
      </c>
      <c r="AD317" s="3845">
        <f t="shared" si="178"/>
        <v>373.81799389646642</v>
      </c>
      <c r="AE317" s="3846">
        <f>'HVAC Deemed Table'!DI4536</f>
        <v>378.23085890616665</v>
      </c>
      <c r="AF317" s="3846">
        <f>'HVAC Deemed Table'!DI4537</f>
        <v>208.63475542887539</v>
      </c>
      <c r="AG317" s="3846">
        <f>'HVAC Deemed Table'!DI4538</f>
        <v>90.475552074450377</v>
      </c>
      <c r="AH317" s="3846">
        <f>'HVAC Deemed Table'!DI4539</f>
        <v>283.34244182201604</v>
      </c>
      <c r="AI317" s="3847" t="str">
        <f t="shared" si="188"/>
        <v>per measure</v>
      </c>
      <c r="AJ317" s="3220">
        <f>'HVAC Deemed Table'!L4536</f>
        <v>1.0111111111111111</v>
      </c>
      <c r="AK317" s="3848"/>
      <c r="AL317" s="3848"/>
      <c r="AX317" s="3849" t="str">
        <f t="shared" si="193"/>
        <v>PTHP-SEER14-Replace_PTAC_ElectricHeat_ER1_MF_CompE</v>
      </c>
      <c r="AY317" s="2724"/>
      <c r="AZ317" s="3850" t="str">
        <f t="shared" si="194"/>
        <v>356675</v>
      </c>
      <c r="BA317" s="3882">
        <f t="shared" si="206"/>
        <v>297.69</v>
      </c>
      <c r="BB317" s="3882">
        <f t="shared" si="206"/>
        <v>911.24</v>
      </c>
      <c r="BC317" s="3882">
        <f t="shared" si="207"/>
        <v>76.5</v>
      </c>
      <c r="BD317" s="3882">
        <f t="shared" si="207"/>
        <v>911.24</v>
      </c>
      <c r="BE317" s="3853"/>
      <c r="BF317" s="3854">
        <f>ROUND(BA317*'CP FACTORS'!$B$9,6)</f>
        <v>0.28203699999999998</v>
      </c>
      <c r="BG317" s="3854">
        <f>ROUND(BB317*'CP FACTORS'!$B$14,6)</f>
        <v>0</v>
      </c>
      <c r="BH317" s="3854">
        <f>ROUND(BC317*'CP FACTORS'!$B$9,6)</f>
        <v>7.2477E-2</v>
      </c>
      <c r="BI317" s="3855">
        <f>ROUND(BD317*'CP FACTORS'!$B$14,6)</f>
        <v>0</v>
      </c>
      <c r="BJ317" s="3853"/>
      <c r="BK317" s="3856">
        <f t="shared" si="180"/>
        <v>1208.93</v>
      </c>
      <c r="BL317" s="3857">
        <f t="shared" si="181"/>
        <v>987.74</v>
      </c>
      <c r="BM317" s="3858">
        <f t="shared" si="182"/>
        <v>0.28203699999999998</v>
      </c>
      <c r="BN317" s="3855">
        <f t="shared" si="183"/>
        <v>7.2477E-2</v>
      </c>
    </row>
    <row r="318" spans="1:66" s="41" customFormat="1">
      <c r="A318" s="51" t="str">
        <f>LEFT(B318,6)</f>
        <v>356700</v>
      </c>
      <c r="B318" s="1442" t="str">
        <f>'HVAC Deemed Table'!C4540</f>
        <v>356700_2024_12_</v>
      </c>
      <c r="C318" s="887" t="str">
        <f>'HVAC Deemed Table'!G4540</f>
        <v>Cooling Res</v>
      </c>
      <c r="D318" s="887" t="str">
        <f>'HVAC Deemed Table'!G4541</f>
        <v>Heating Res</v>
      </c>
      <c r="E318" s="1378"/>
      <c r="F318" s="1378"/>
      <c r="G318" s="1442" t="str">
        <f>'HVAC Deemed Table'!E4540</f>
        <v>PTHP-SEER14-ROF_MF</v>
      </c>
      <c r="H318" s="19" t="str">
        <f>'HVAC Deemed Table'!D4540</f>
        <v>MFIE</v>
      </c>
      <c r="I318" s="1239">
        <f>K318+L318</f>
        <v>275.96000000000004</v>
      </c>
      <c r="J318" s="1239">
        <f>M318+N318</f>
        <v>0</v>
      </c>
      <c r="K318" s="1240">
        <f>'HVAC Deemed Table'!F4540</f>
        <v>105.12</v>
      </c>
      <c r="L318" s="1240">
        <f>'HVAC Deemed Table'!F4541</f>
        <v>170.84</v>
      </c>
      <c r="M318" s="1288"/>
      <c r="N318" s="1288"/>
      <c r="O318" s="1241">
        <f>Q318+R318</f>
        <v>9.9593000000000001E-2</v>
      </c>
      <c r="P318" s="1241">
        <f>S318+T318</f>
        <v>7.2477E-2</v>
      </c>
      <c r="Q318" s="787">
        <f>'HVAC Deemed Table'!I4540</f>
        <v>9.9593000000000001E-2</v>
      </c>
      <c r="R318" s="787">
        <f>'HVAC Deemed Table'!I4541</f>
        <v>0</v>
      </c>
      <c r="S318" s="787">
        <f>'HVAC Deemed Table'!I4542</f>
        <v>7.2477E-2</v>
      </c>
      <c r="T318" s="787">
        <f>'HVAC Deemed Table'!I4543</f>
        <v>0</v>
      </c>
      <c r="U318" s="788">
        <f t="shared" si="174"/>
        <v>0</v>
      </c>
      <c r="V318" s="788">
        <f t="shared" si="175"/>
        <v>0</v>
      </c>
      <c r="W318" s="788">
        <f t="shared" si="176"/>
        <v>9.9593000000000001E-2</v>
      </c>
      <c r="X318" s="23">
        <f>'HVAC Deemed Table'!J4540</f>
        <v>15</v>
      </c>
      <c r="Y318" s="23"/>
      <c r="Z318" s="23">
        <f>Y318+X318</f>
        <v>15</v>
      </c>
      <c r="AA318" s="18">
        <f>'HVAC Deemed Table'!DG4540</f>
        <v>3.6015271448645594</v>
      </c>
      <c r="AB318" s="259">
        <f>'HVAC Deemed Table'!K4540</f>
        <v>84.93</v>
      </c>
      <c r="AC318" s="903">
        <f>AE318+AF318</f>
        <v>305.87770041334704</v>
      </c>
      <c r="AD318" s="903">
        <f>AG318+AH318</f>
        <v>186.96223764127362</v>
      </c>
      <c r="AE318" s="208">
        <f>'HVAC Deemed Table'!DI4540</f>
        <v>213.64142415424695</v>
      </c>
      <c r="AF318" s="208">
        <f>'HVAC Deemed Table'!DI4541</f>
        <v>92.236276259100066</v>
      </c>
      <c r="AG318" s="208">
        <f>'HVAC Deemed Table'!DI4542</f>
        <v>155.47535148211466</v>
      </c>
      <c r="AH318" s="208">
        <f>'HVAC Deemed Table'!DI4543</f>
        <v>31.486886159158953</v>
      </c>
      <c r="AI318" s="906" t="str">
        <f t="shared" si="188"/>
        <v>per measure</v>
      </c>
      <c r="AJ318" s="48">
        <f>'HVAC Deemed Table'!L4540</f>
        <v>1.0111111111111111</v>
      </c>
      <c r="AK318" s="918"/>
      <c r="AL318" s="918"/>
      <c r="AM318"/>
      <c r="AN318"/>
      <c r="AO318"/>
      <c r="AP318"/>
      <c r="AQ318"/>
      <c r="AR318"/>
      <c r="AS318"/>
      <c r="AT318"/>
      <c r="AU318"/>
      <c r="AV318"/>
      <c r="AW318"/>
      <c r="AX318" s="1355" t="str">
        <f t="shared" si="193"/>
        <v>PTHP-SEER14-ROF_MF</v>
      </c>
      <c r="AY318" s="1378"/>
      <c r="AZ318" s="1446" t="str">
        <f t="shared" si="194"/>
        <v>356700</v>
      </c>
      <c r="BA318" s="1339">
        <f>BA314</f>
        <v>371.24</v>
      </c>
      <c r="BB318" s="1339">
        <f t="shared" ref="BB318:BD321" si="208">BB314</f>
        <v>841.54</v>
      </c>
      <c r="BC318" s="1339">
        <f t="shared" si="208"/>
        <v>105.12</v>
      </c>
      <c r="BD318" s="1339">
        <f t="shared" si="208"/>
        <v>170.84</v>
      </c>
      <c r="BE318" s="1306"/>
      <c r="BF318" s="1321">
        <f>ROUND(BA318*'CP FACTORS'!$B$9,6)</f>
        <v>0.351719</v>
      </c>
      <c r="BG318" s="1322">
        <f>ROUND(BB318*'CP FACTORS'!$B$14,6)</f>
        <v>0</v>
      </c>
      <c r="BH318" s="1321">
        <f>ROUND(BC318*'CP FACTORS'!$B$9,6)</f>
        <v>9.9593000000000001E-2</v>
      </c>
      <c r="BI318" s="1323">
        <f>ROUND(BD318*'CP FACTORS'!$B$14,6)</f>
        <v>0</v>
      </c>
      <c r="BJ318" s="1305"/>
      <c r="BK318" s="730">
        <f t="shared" si="180"/>
        <v>1212.78</v>
      </c>
      <c r="BL318" s="1342">
        <f t="shared" si="181"/>
        <v>275.96000000000004</v>
      </c>
      <c r="BM318" s="1341">
        <f t="shared" si="182"/>
        <v>0.351719</v>
      </c>
      <c r="BN318" s="1340">
        <f t="shared" si="183"/>
        <v>9.9593000000000001E-2</v>
      </c>
    </row>
    <row r="319" spans="1:66" s="696" customFormat="1">
      <c r="A319" s="2958" t="str">
        <f>LEFT(B319,6)</f>
        <v>356725</v>
      </c>
      <c r="B319" s="2233" t="str">
        <f>'HVAC Deemed Table'!C4542</f>
        <v>356725_2024_12_</v>
      </c>
      <c r="C319" s="3874" t="str">
        <f>'HVAC Deemed Table'!G4542</f>
        <v>Cooling Res</v>
      </c>
      <c r="D319" s="3874" t="str">
        <f>'HVAC Deemed Table'!G4543</f>
        <v>Heating Res</v>
      </c>
      <c r="E319" s="2724"/>
      <c r="F319" s="2724"/>
      <c r="G319" s="2233" t="str">
        <f>'HVAC Deemed Table'!E4542</f>
        <v>PTHP-SEER14-ROF_MF_CompE</v>
      </c>
      <c r="H319" s="2554" t="str">
        <f>'HVAC Deemed Table'!D4542</f>
        <v>MFc</v>
      </c>
      <c r="I319" s="3875">
        <f>K319+L319</f>
        <v>134.82</v>
      </c>
      <c r="J319" s="3875">
        <f>M319+N319</f>
        <v>0</v>
      </c>
      <c r="K319" s="3876">
        <f>'HVAC Deemed Table'!F4542</f>
        <v>76.5</v>
      </c>
      <c r="L319" s="3876">
        <f>'HVAC Deemed Table'!F4543</f>
        <v>58.32</v>
      </c>
      <c r="M319" s="3880"/>
      <c r="N319" s="3880"/>
      <c r="O319" s="3877">
        <f>Q319+R319</f>
        <v>7.2477E-2</v>
      </c>
      <c r="P319" s="3877">
        <f>S319+T319</f>
        <v>9.9593000000000001E-2</v>
      </c>
      <c r="Q319" s="3842">
        <f>'HVAC Deemed Table'!I4542</f>
        <v>7.2477E-2</v>
      </c>
      <c r="R319" s="3842">
        <f>'HVAC Deemed Table'!I4543</f>
        <v>0</v>
      </c>
      <c r="S319" s="3842">
        <f>'HVAC Deemed Table'!I4544</f>
        <v>9.9593000000000001E-2</v>
      </c>
      <c r="T319" s="3842">
        <f>'HVAC Deemed Table'!I4545</f>
        <v>0</v>
      </c>
      <c r="U319" s="3843">
        <f t="shared" si="174"/>
        <v>0</v>
      </c>
      <c r="V319" s="3843">
        <f t="shared" si="175"/>
        <v>0</v>
      </c>
      <c r="W319" s="3843">
        <f t="shared" si="176"/>
        <v>7.2477E-2</v>
      </c>
      <c r="X319" s="2846">
        <f>'HVAC Deemed Table'!J4542</f>
        <v>15</v>
      </c>
      <c r="Y319" s="2846"/>
      <c r="Z319" s="2846">
        <f>Y319+X319</f>
        <v>15</v>
      </c>
      <c r="AA319" s="2529">
        <f>'HVAC Deemed Table'!DG4542</f>
        <v>2.2013686287680865</v>
      </c>
      <c r="AB319" s="3878">
        <f>'HVAC Deemed Table'!K4542</f>
        <v>84.93</v>
      </c>
      <c r="AC319" s="3845">
        <f>AE319+AF319</f>
        <v>186.96223764127362</v>
      </c>
      <c r="AD319" s="3845">
        <f>AG319+AH319</f>
        <v>1654.9277229571069</v>
      </c>
      <c r="AE319" s="3846">
        <f>'HVAC Deemed Table'!DI4542</f>
        <v>155.47535148211466</v>
      </c>
      <c r="AF319" s="3846">
        <f>'HVAC Deemed Table'!DI4543</f>
        <v>31.486886159158953</v>
      </c>
      <c r="AG319" s="3846">
        <f>'HVAC Deemed Table'!DI4544</f>
        <v>213.64142415424695</v>
      </c>
      <c r="AH319" s="3846">
        <f>'HVAC Deemed Table'!DI4545</f>
        <v>1441.2862988028598</v>
      </c>
      <c r="AI319" s="3847" t="str">
        <f t="shared" si="188"/>
        <v>per measure</v>
      </c>
      <c r="AJ319" s="3220">
        <f>'HVAC Deemed Table'!L4542</f>
        <v>1.0111111111111111</v>
      </c>
      <c r="AK319" s="3848"/>
      <c r="AL319" s="3848"/>
      <c r="AX319" s="3849" t="str">
        <f t="shared" si="193"/>
        <v>PTHP-SEER14-ROF_MF_CompE</v>
      </c>
      <c r="AY319" s="2724"/>
      <c r="AZ319" s="3850" t="str">
        <f t="shared" si="194"/>
        <v>356725</v>
      </c>
      <c r="BA319" s="3881">
        <f>BA315</f>
        <v>270.16000000000003</v>
      </c>
      <c r="BB319" s="3881">
        <f t="shared" si="208"/>
        <v>287.26</v>
      </c>
      <c r="BC319" s="3881">
        <f t="shared" si="208"/>
        <v>76.5</v>
      </c>
      <c r="BD319" s="3881">
        <f t="shared" si="208"/>
        <v>58.32</v>
      </c>
      <c r="BE319" s="3853"/>
      <c r="BF319" s="3854">
        <f>ROUND(BA319*'CP FACTORS'!$B$9,6)</f>
        <v>0.25595400000000001</v>
      </c>
      <c r="BG319" s="3854">
        <f>ROUND(BB319*'CP FACTORS'!$B$14,6)</f>
        <v>0</v>
      </c>
      <c r="BH319" s="3854">
        <f>ROUND(BC319*'CP FACTORS'!$B$9,6)</f>
        <v>7.2477E-2</v>
      </c>
      <c r="BI319" s="3855">
        <f>ROUND(BD319*'CP FACTORS'!$B$14,6)</f>
        <v>0</v>
      </c>
      <c r="BJ319" s="3853"/>
      <c r="BK319" s="3856">
        <f t="shared" si="180"/>
        <v>557.42000000000007</v>
      </c>
      <c r="BL319" s="3857">
        <f t="shared" si="181"/>
        <v>134.82</v>
      </c>
      <c r="BM319" s="3858">
        <f t="shared" si="182"/>
        <v>0.25595400000000001</v>
      </c>
      <c r="BN319" s="3855">
        <f t="shared" si="183"/>
        <v>7.2477E-2</v>
      </c>
    </row>
    <row r="320" spans="1:66" s="41" customFormat="1">
      <c r="A320" s="51" t="str">
        <f t="shared" si="197"/>
        <v>356750</v>
      </c>
      <c r="B320" s="1442" t="str">
        <f>'HVAC Deemed Table'!C4544</f>
        <v>356750_2024_12_</v>
      </c>
      <c r="C320" s="887" t="str">
        <f>'HVAC Deemed Table'!G4544</f>
        <v>Cooling Res</v>
      </c>
      <c r="D320" s="887" t="str">
        <f>'HVAC Deemed Table'!G4545</f>
        <v>Heating Res</v>
      </c>
      <c r="E320" s="1378"/>
      <c r="F320" s="1378"/>
      <c r="G320" s="1442" t="str">
        <f>'HVAC Deemed Table'!E4544</f>
        <v>PTHP-SEER14-Replace_PTAC_ElectricHeat_ROF_MF</v>
      </c>
      <c r="H320" s="19" t="str">
        <f>'HVAC Deemed Table'!D4544</f>
        <v>MFIE</v>
      </c>
      <c r="I320" s="1239">
        <f t="shared" si="184"/>
        <v>2774.67</v>
      </c>
      <c r="J320" s="1239">
        <f t="shared" si="185"/>
        <v>0</v>
      </c>
      <c r="K320" s="1240">
        <f>'HVAC Deemed Table'!F4544</f>
        <v>105.12</v>
      </c>
      <c r="L320" s="1240">
        <f>'HVAC Deemed Table'!F4545</f>
        <v>2669.55</v>
      </c>
      <c r="M320" s="1240"/>
      <c r="N320" s="1240"/>
      <c r="O320" s="1241">
        <f t="shared" si="186"/>
        <v>9.9593000000000001E-2</v>
      </c>
      <c r="P320" s="1241">
        <f t="shared" si="187"/>
        <v>0</v>
      </c>
      <c r="Q320" s="787">
        <f>'HVAC Deemed Table'!I4544</f>
        <v>9.9593000000000001E-2</v>
      </c>
      <c r="R320" s="787">
        <f>'HVAC Deemed Table'!I4545</f>
        <v>0</v>
      </c>
      <c r="S320" s="787"/>
      <c r="T320" s="787"/>
      <c r="U320" s="788">
        <f t="shared" si="174"/>
        <v>0</v>
      </c>
      <c r="V320" s="788">
        <f t="shared" si="175"/>
        <v>0</v>
      </c>
      <c r="W320" s="788">
        <f t="shared" si="176"/>
        <v>9.9593000000000001E-2</v>
      </c>
      <c r="X320" s="23">
        <f>'HVAC Deemed Table'!J4544</f>
        <v>15</v>
      </c>
      <c r="Y320" s="23"/>
      <c r="Z320" s="23">
        <f t="shared" si="198"/>
        <v>15</v>
      </c>
      <c r="AA320" s="18">
        <f>'HVAC Deemed Table'!DG4544</f>
        <v>19.485785034229444</v>
      </c>
      <c r="AB320" s="259">
        <f>'HVAC Deemed Table'!K4544</f>
        <v>84.93</v>
      </c>
      <c r="AC320" s="903">
        <f t="shared" si="199"/>
        <v>1654.9277229571069</v>
      </c>
      <c r="AD320" s="903">
        <f t="shared" si="178"/>
        <v>0</v>
      </c>
      <c r="AE320" s="208">
        <f>'HVAC Deemed Table'!DI4544</f>
        <v>213.64142415424695</v>
      </c>
      <c r="AF320" s="208">
        <f>'HVAC Deemed Table'!DI4545</f>
        <v>1441.2862988028598</v>
      </c>
      <c r="AG320" s="208"/>
      <c r="AH320" s="208"/>
      <c r="AI320" s="906" t="str">
        <f t="shared" si="188"/>
        <v>per measure</v>
      </c>
      <c r="AJ320" s="48">
        <f>'HVAC Deemed Table'!L4544</f>
        <v>1.0111111111111111</v>
      </c>
      <c r="AK320" s="918"/>
      <c r="AL320" s="918"/>
      <c r="AM320"/>
      <c r="AN320"/>
      <c r="AO320"/>
      <c r="AP320"/>
      <c r="AQ320"/>
      <c r="AR320"/>
      <c r="AS320"/>
      <c r="AT320"/>
      <c r="AU320"/>
      <c r="AV320"/>
      <c r="AW320"/>
      <c r="AX320" s="1355" t="str">
        <f t="shared" si="193"/>
        <v>PTHP-SEER14-Replace_PTAC_ElectricHeat_ROF_MF</v>
      </c>
      <c r="AY320" s="1378"/>
      <c r="AZ320" s="1446" t="str">
        <f t="shared" si="194"/>
        <v>356750</v>
      </c>
      <c r="BA320" s="1333">
        <f>BA316</f>
        <v>409.07</v>
      </c>
      <c r="BB320" s="1333">
        <f t="shared" si="208"/>
        <v>2669.55</v>
      </c>
      <c r="BC320" s="1333">
        <f t="shared" si="208"/>
        <v>105.12</v>
      </c>
      <c r="BD320" s="1333">
        <f t="shared" si="208"/>
        <v>2669.55</v>
      </c>
      <c r="BE320" s="1306"/>
      <c r="BF320" s="1321">
        <f>ROUND(BA320*'CP FACTORS'!$B$9,6)</f>
        <v>0.38756000000000002</v>
      </c>
      <c r="BG320" s="1322">
        <f>ROUND(BB320*'CP FACTORS'!$B$14,6)</f>
        <v>0</v>
      </c>
      <c r="BH320" s="1321">
        <f>ROUND(BC320*'CP FACTORS'!$B$9,6)</f>
        <v>9.9593000000000001E-2</v>
      </c>
      <c r="BI320" s="1323">
        <f>ROUND(BD320*'CP FACTORS'!$B$14,6)</f>
        <v>0</v>
      </c>
      <c r="BJ320" s="1305"/>
      <c r="BK320" s="730">
        <f t="shared" si="180"/>
        <v>3078.6200000000003</v>
      </c>
      <c r="BL320" s="1342">
        <f t="shared" si="181"/>
        <v>2774.67</v>
      </c>
      <c r="BM320" s="1341">
        <f t="shared" si="182"/>
        <v>0.38756000000000002</v>
      </c>
      <c r="BN320" s="1340">
        <f t="shared" si="183"/>
        <v>9.9593000000000001E-2</v>
      </c>
    </row>
    <row r="321" spans="1:66" s="696" customFormat="1">
      <c r="A321" s="2958" t="str">
        <f>LEFT(B321,6)</f>
        <v>356775</v>
      </c>
      <c r="B321" s="2233" t="str">
        <f>'HVAC Deemed Table'!C4546</f>
        <v>356775_2024_12_</v>
      </c>
      <c r="C321" s="3874" t="str">
        <f>'HVAC Deemed Table'!G4546</f>
        <v>Cooling Res</v>
      </c>
      <c r="D321" s="3874" t="str">
        <f>'HVAC Deemed Table'!G4547</f>
        <v>Heating Res</v>
      </c>
      <c r="E321" s="2724"/>
      <c r="F321" s="2724"/>
      <c r="G321" s="2233" t="str">
        <f>'HVAC Deemed Table'!E4546</f>
        <v>PTHP-SEER14-Replace_PTAC_ElectricHeat_ROF_MF_CompE</v>
      </c>
      <c r="H321" s="2554" t="str">
        <f>'HVAC Deemed Table'!D4546</f>
        <v>MFc</v>
      </c>
      <c r="I321" s="3875">
        <f>K321+L321</f>
        <v>987.74</v>
      </c>
      <c r="J321" s="3875">
        <f>M321+N321</f>
        <v>0</v>
      </c>
      <c r="K321" s="3876">
        <f>'HVAC Deemed Table'!F4546</f>
        <v>76.5</v>
      </c>
      <c r="L321" s="3876">
        <f>'HVAC Deemed Table'!F4547</f>
        <v>911.24</v>
      </c>
      <c r="M321" s="3876"/>
      <c r="N321" s="3876"/>
      <c r="O321" s="3877">
        <f>Q321+R321</f>
        <v>7.2477E-2</v>
      </c>
      <c r="P321" s="3877">
        <f>S321+T321</f>
        <v>0</v>
      </c>
      <c r="Q321" s="3842">
        <f>'HVAC Deemed Table'!I4546</f>
        <v>7.2477E-2</v>
      </c>
      <c r="R321" s="3842">
        <f>'HVAC Deemed Table'!I4547</f>
        <v>0</v>
      </c>
      <c r="S321" s="3842"/>
      <c r="T321" s="3842"/>
      <c r="U321" s="3843">
        <f t="shared" si="174"/>
        <v>0</v>
      </c>
      <c r="V321" s="3843">
        <f t="shared" si="175"/>
        <v>0</v>
      </c>
      <c r="W321" s="3843">
        <f t="shared" si="176"/>
        <v>7.2477E-2</v>
      </c>
      <c r="X321" s="2846">
        <f>'HVAC Deemed Table'!J4546</f>
        <v>15</v>
      </c>
      <c r="Y321" s="2846"/>
      <c r="Z321" s="2846">
        <f>Y321+X321</f>
        <v>15</v>
      </c>
      <c r="AA321" s="2529">
        <f>'HVAC Deemed Table'!DG4546</f>
        <v>7.623366875462219</v>
      </c>
      <c r="AB321" s="3878">
        <f>'HVAC Deemed Table'!K4546</f>
        <v>84.93</v>
      </c>
      <c r="AC321" s="3845">
        <f>AE321+AF321</f>
        <v>647.45254873300632</v>
      </c>
      <c r="AD321" s="3845">
        <f>AG321+AH321</f>
        <v>0</v>
      </c>
      <c r="AE321" s="3846">
        <f>'HVAC Deemed Table'!DI4546</f>
        <v>155.47535148211466</v>
      </c>
      <c r="AF321" s="3846">
        <f>'HVAC Deemed Table'!DI4547</f>
        <v>491.97719725089172</v>
      </c>
      <c r="AG321" s="3846"/>
      <c r="AH321" s="3846"/>
      <c r="AI321" s="3847" t="str">
        <f t="shared" si="188"/>
        <v>per measure</v>
      </c>
      <c r="AJ321" s="3220">
        <f>'HVAC Deemed Table'!L4546</f>
        <v>1.0111111111111111</v>
      </c>
      <c r="AK321" s="3848"/>
      <c r="AL321" s="3848"/>
      <c r="AX321" s="3849" t="str">
        <f t="shared" si="193"/>
        <v>PTHP-SEER14-Replace_PTAC_ElectricHeat_ROF_MF_CompE</v>
      </c>
      <c r="AY321" s="2724"/>
      <c r="AZ321" s="3850" t="str">
        <f t="shared" si="194"/>
        <v>356775</v>
      </c>
      <c r="BA321" s="3879">
        <f>BA317</f>
        <v>297.69</v>
      </c>
      <c r="BB321" s="3879">
        <f t="shared" si="208"/>
        <v>911.24</v>
      </c>
      <c r="BC321" s="3879">
        <f t="shared" si="208"/>
        <v>76.5</v>
      </c>
      <c r="BD321" s="3879">
        <f t="shared" si="208"/>
        <v>911.24</v>
      </c>
      <c r="BE321" s="3853"/>
      <c r="BF321" s="3854">
        <f>ROUND(BA321*'CP FACTORS'!$B$9,6)</f>
        <v>0.28203699999999998</v>
      </c>
      <c r="BG321" s="3854">
        <f>ROUND(BB321*'CP FACTORS'!$B$14,6)</f>
        <v>0</v>
      </c>
      <c r="BH321" s="3854">
        <f>ROUND(BC321*'CP FACTORS'!$B$9,6)</f>
        <v>7.2477E-2</v>
      </c>
      <c r="BI321" s="3855">
        <f>ROUND(BD321*'CP FACTORS'!$B$14,6)</f>
        <v>0</v>
      </c>
      <c r="BJ321" s="3853"/>
      <c r="BK321" s="3856">
        <f t="shared" si="180"/>
        <v>1208.93</v>
      </c>
      <c r="BL321" s="3857">
        <f t="shared" si="181"/>
        <v>987.74</v>
      </c>
      <c r="BM321" s="3858">
        <f t="shared" si="182"/>
        <v>0.28203699999999998</v>
      </c>
      <c r="BN321" s="3855">
        <f t="shared" si="183"/>
        <v>7.2477E-2</v>
      </c>
    </row>
    <row r="322" spans="1:66" s="41" customFormat="1">
      <c r="A322" s="51" t="str">
        <f t="shared" si="197"/>
        <v>356800</v>
      </c>
      <c r="B322" s="1442" t="str">
        <f>'HVAC Deemed Table'!C4548</f>
        <v>356800_2024_12_</v>
      </c>
      <c r="C322" s="887" t="str">
        <f>'HVAC Deemed Table'!G4548</f>
        <v>Cooling Res</v>
      </c>
      <c r="D322" s="887" t="str">
        <f>'HVAC Deemed Table'!G4549</f>
        <v>Heating Res</v>
      </c>
      <c r="E322" s="1378" t="str">
        <f>'HVAC Deemed Table'!G4550</f>
        <v>Cooling Res ER2</v>
      </c>
      <c r="F322" s="1378" t="str">
        <f>'HVAC Deemed Table'!G4551</f>
        <v>Heating Res ER2</v>
      </c>
      <c r="G322" s="1442" t="str">
        <f>'HVAC Deemed Table'!E4548</f>
        <v>PTHP-SEER15-ER1_MF</v>
      </c>
      <c r="H322" s="19" t="str">
        <f>'HVAC Deemed Table'!D4548</f>
        <v>MFIE</v>
      </c>
      <c r="I322" s="1239">
        <f t="shared" si="184"/>
        <v>1912.6599999999999</v>
      </c>
      <c r="J322" s="1239">
        <f t="shared" si="185"/>
        <v>351.29</v>
      </c>
      <c r="K322" s="1240">
        <f>'HVAC Deemed Table'!F4548</f>
        <v>584.30999999999995</v>
      </c>
      <c r="L322" s="1240">
        <f>'HVAC Deemed Table'!F4549</f>
        <v>1328.35</v>
      </c>
      <c r="M322" s="1240">
        <f>'HVAC Deemed Table'!F4550</f>
        <v>140.77000000000001</v>
      </c>
      <c r="N322" s="1240">
        <f>'HVAC Deemed Table'!F4551</f>
        <v>210.52</v>
      </c>
      <c r="O322" s="1241">
        <f t="shared" si="186"/>
        <v>0.55358600000000002</v>
      </c>
      <c r="P322" s="1241">
        <f t="shared" si="187"/>
        <v>0.13336799999999999</v>
      </c>
      <c r="Q322" s="787">
        <f>'HVAC Deemed Table'!I4548</f>
        <v>0.55358600000000002</v>
      </c>
      <c r="R322" s="787">
        <f>'HVAC Deemed Table'!I4549</f>
        <v>0</v>
      </c>
      <c r="S322" s="787">
        <f>'HVAC Deemed Table'!I4550</f>
        <v>0.13336799999999999</v>
      </c>
      <c r="T322" s="787">
        <f>'HVAC Deemed Table'!I4551</f>
        <v>0</v>
      </c>
      <c r="U322" s="788">
        <f t="shared" si="174"/>
        <v>0</v>
      </c>
      <c r="V322" s="788">
        <f t="shared" si="175"/>
        <v>0</v>
      </c>
      <c r="W322" s="788">
        <f t="shared" si="176"/>
        <v>0.55358600000000002</v>
      </c>
      <c r="X322" s="23">
        <f>'HVAC Deemed Table'!J4548</f>
        <v>5</v>
      </c>
      <c r="Y322" s="23">
        <f>'HVAC Deemed Table'!J4550</f>
        <v>10</v>
      </c>
      <c r="Z322" s="23">
        <f t="shared" si="198"/>
        <v>15</v>
      </c>
      <c r="AA322" s="18">
        <f>'HVAC Deemed Table'!DG4548</f>
        <v>4.5905121733042673</v>
      </c>
      <c r="AB322" s="259">
        <f>'HVAC Deemed Table'!K4548</f>
        <v>224.93182686576984</v>
      </c>
      <c r="AC322" s="903">
        <f t="shared" si="199"/>
        <v>800.60601685889003</v>
      </c>
      <c r="AD322" s="903">
        <f t="shared" si="178"/>
        <v>231.94627253199417</v>
      </c>
      <c r="AE322" s="208">
        <f>'HVAC Deemed Table'!DI4548</f>
        <v>496.47101688748114</v>
      </c>
      <c r="AF322" s="208">
        <f>'HVAC Deemed Table'!DI4549</f>
        <v>304.13499997140889</v>
      </c>
      <c r="AG322" s="208">
        <f>'HVAC Deemed Table'!DI4550</f>
        <v>166.48684268654091</v>
      </c>
      <c r="AH322" s="208">
        <f>'HVAC Deemed Table'!DI4551</f>
        <v>65.459429845453258</v>
      </c>
      <c r="AI322" s="906" t="str">
        <f t="shared" si="188"/>
        <v>per measure</v>
      </c>
      <c r="AJ322" s="48">
        <f>'HVAC Deemed Table'!L4548</f>
        <v>1.0111111111111111</v>
      </c>
      <c r="AK322" s="918"/>
      <c r="AL322" s="918"/>
      <c r="AM322"/>
      <c r="AN322"/>
      <c r="AO322"/>
      <c r="AP322"/>
      <c r="AQ322"/>
      <c r="AR322"/>
      <c r="AS322"/>
      <c r="AT322"/>
      <c r="AU322"/>
      <c r="AV322"/>
      <c r="AW322"/>
      <c r="AX322" s="1355" t="str">
        <f t="shared" si="193"/>
        <v>PTHP-SEER15-ER1_MF</v>
      </c>
      <c r="AY322" s="1378"/>
      <c r="AZ322" s="1446" t="str">
        <f t="shared" si="194"/>
        <v>356800</v>
      </c>
      <c r="BA322" s="1331">
        <f t="shared" ref="BA322:BB325" si="209">ROUND((K322*$BC$3)+(K326*$BC$4),2)</f>
        <v>406.89</v>
      </c>
      <c r="BB322" s="1331">
        <f t="shared" si="209"/>
        <v>881.22</v>
      </c>
      <c r="BC322" s="1331">
        <f t="shared" ref="BC322:BD325" si="210">ROUND((M322*$BC$3)+(K326*$BC$4),2)</f>
        <v>140.77000000000001</v>
      </c>
      <c r="BD322" s="1331">
        <f t="shared" si="210"/>
        <v>210.52</v>
      </c>
      <c r="BE322" s="1306"/>
      <c r="BF322" s="1321">
        <f>ROUND(BA322*'CP FACTORS'!$B$9,6)</f>
        <v>0.38549499999999998</v>
      </c>
      <c r="BG322" s="1322">
        <f>ROUND(BB322*'CP FACTORS'!$B$14,6)</f>
        <v>0</v>
      </c>
      <c r="BH322" s="1321">
        <f>ROUND(BC322*'CP FACTORS'!$B$9,6)</f>
        <v>0.13336799999999999</v>
      </c>
      <c r="BI322" s="1323">
        <f>ROUND(BD322*'CP FACTORS'!$B$14,6)</f>
        <v>0</v>
      </c>
      <c r="BJ322" s="1305"/>
      <c r="BK322" s="730">
        <f t="shared" si="180"/>
        <v>1288.1100000000001</v>
      </c>
      <c r="BL322" s="1342">
        <f t="shared" si="181"/>
        <v>351.29</v>
      </c>
      <c r="BM322" s="1341">
        <f t="shared" si="182"/>
        <v>0.38549499999999998</v>
      </c>
      <c r="BN322" s="1340">
        <f t="shared" si="183"/>
        <v>0.13336799999999999</v>
      </c>
    </row>
    <row r="323" spans="1:66" s="696" customFormat="1">
      <c r="A323" s="2958" t="str">
        <f t="shared" si="197"/>
        <v>356825</v>
      </c>
      <c r="B323" s="2233" t="str">
        <f>'HVAC Deemed Table'!C4552</f>
        <v>356825_2024_12_</v>
      </c>
      <c r="C323" s="3874" t="str">
        <f>'HVAC Deemed Table'!G4552</f>
        <v>Cooling Res</v>
      </c>
      <c r="D323" s="3874" t="str">
        <f>'HVAC Deemed Table'!G4553</f>
        <v>Heating Res</v>
      </c>
      <c r="E323" s="2724" t="str">
        <f>'HVAC Deemed Table'!G4554</f>
        <v>Cooling Res ER2</v>
      </c>
      <c r="F323" s="2724" t="str">
        <f>'HVAC Deemed Table'!G4555</f>
        <v>Heating Res ER2</v>
      </c>
      <c r="G323" s="2233" t="str">
        <f>'HVAC Deemed Table'!E4552</f>
        <v>PTHP-SEER15-ER1_MF_CompE</v>
      </c>
      <c r="H323" s="2554" t="str">
        <f>'HVAC Deemed Table'!D4552</f>
        <v>MFc</v>
      </c>
      <c r="I323" s="3875">
        <f t="shared" si="184"/>
        <v>878.64</v>
      </c>
      <c r="J323" s="3875">
        <f t="shared" si="185"/>
        <v>174.3</v>
      </c>
      <c r="K323" s="3876">
        <f>'HVAC Deemed Table'!F4552</f>
        <v>425.21</v>
      </c>
      <c r="L323" s="3876">
        <f>'HVAC Deemed Table'!F4553</f>
        <v>453.43</v>
      </c>
      <c r="M323" s="3876">
        <f>'HVAC Deemed Table'!F4554</f>
        <v>102.44</v>
      </c>
      <c r="N323" s="3876">
        <f>'HVAC Deemed Table'!F4555</f>
        <v>71.86</v>
      </c>
      <c r="O323" s="3877">
        <f t="shared" si="186"/>
        <v>0.40285199999999999</v>
      </c>
      <c r="P323" s="3877">
        <f t="shared" si="187"/>
        <v>9.7054000000000001E-2</v>
      </c>
      <c r="Q323" s="3842">
        <f>'HVAC Deemed Table'!I4552</f>
        <v>0.40285199999999999</v>
      </c>
      <c r="R323" s="3842">
        <f>'HVAC Deemed Table'!I4553</f>
        <v>0</v>
      </c>
      <c r="S323" s="3842">
        <f>'HVAC Deemed Table'!I4554</f>
        <v>9.7054000000000001E-2</v>
      </c>
      <c r="T323" s="3842">
        <f>'HVAC Deemed Table'!I4555</f>
        <v>0</v>
      </c>
      <c r="U323" s="3843">
        <f t="shared" si="174"/>
        <v>0</v>
      </c>
      <c r="V323" s="3843">
        <f t="shared" si="175"/>
        <v>0</v>
      </c>
      <c r="W323" s="3843">
        <f t="shared" si="176"/>
        <v>0.40285199999999999</v>
      </c>
      <c r="X323" s="2846">
        <f>'HVAC Deemed Table'!J4552</f>
        <v>5</v>
      </c>
      <c r="Y323" s="2846">
        <f>'HVAC Deemed Table'!J4554</f>
        <v>10</v>
      </c>
      <c r="Z323" s="2846">
        <f t="shared" si="198"/>
        <v>15</v>
      </c>
      <c r="AA323" s="2529">
        <f>'HVAC Deemed Table'!DG4552</f>
        <v>2.7057225046991245</v>
      </c>
      <c r="AB323" s="3878">
        <f>'HVAC Deemed Table'!K4552</f>
        <v>224.93182686576984</v>
      </c>
      <c r="AC323" s="3845">
        <f t="shared" si="199"/>
        <v>465.10438946666028</v>
      </c>
      <c r="AD323" s="3845">
        <f t="shared" si="178"/>
        <v>143.49871650714022</v>
      </c>
      <c r="AE323" s="3846">
        <f>'HVAC Deemed Table'!DI4552</f>
        <v>361.28842753114935</v>
      </c>
      <c r="AF323" s="3846">
        <f>'HVAC Deemed Table'!DI4553</f>
        <v>103.81596193551093</v>
      </c>
      <c r="AG323" s="3846">
        <f>'HVAC Deemed Table'!DI4554</f>
        <v>121.15445169289799</v>
      </c>
      <c r="AH323" s="3846">
        <f>'HVAC Deemed Table'!DI4555</f>
        <v>22.344264814242212</v>
      </c>
      <c r="AI323" s="3847" t="str">
        <f t="shared" si="188"/>
        <v>per measure</v>
      </c>
      <c r="AJ323" s="3220">
        <f>'HVAC Deemed Table'!L4552</f>
        <v>1.0111111111111111</v>
      </c>
      <c r="AK323" s="3848"/>
      <c r="AL323" s="3848"/>
      <c r="AX323" s="3849" t="str">
        <f t="shared" si="193"/>
        <v>PTHP-SEER15-ER1_MF_CompE</v>
      </c>
      <c r="AY323" s="2724"/>
      <c r="AZ323" s="3850" t="str">
        <f t="shared" si="194"/>
        <v>356825</v>
      </c>
      <c r="BA323" s="3883">
        <f t="shared" si="209"/>
        <v>296.10000000000002</v>
      </c>
      <c r="BB323" s="3883">
        <f t="shared" si="209"/>
        <v>300.8</v>
      </c>
      <c r="BC323" s="3883">
        <f t="shared" si="210"/>
        <v>102.44</v>
      </c>
      <c r="BD323" s="3883">
        <f t="shared" si="210"/>
        <v>71.86</v>
      </c>
      <c r="BE323" s="3853"/>
      <c r="BF323" s="3854">
        <f>ROUND(BA323*'CP FACTORS'!$B$9,6)</f>
        <v>0.28053</v>
      </c>
      <c r="BG323" s="3854">
        <f>ROUND(BB323*'CP FACTORS'!$B$14,6)</f>
        <v>0</v>
      </c>
      <c r="BH323" s="3854">
        <f>ROUND(BC323*'CP FACTORS'!$B$9,6)</f>
        <v>9.7054000000000001E-2</v>
      </c>
      <c r="BI323" s="3855">
        <f>ROUND(BD323*'CP FACTORS'!$B$14,6)</f>
        <v>0</v>
      </c>
      <c r="BJ323" s="3853"/>
      <c r="BK323" s="3856">
        <f t="shared" si="180"/>
        <v>596.90000000000009</v>
      </c>
      <c r="BL323" s="3857">
        <f t="shared" si="181"/>
        <v>174.3</v>
      </c>
      <c r="BM323" s="3858">
        <f t="shared" si="182"/>
        <v>0.28053</v>
      </c>
      <c r="BN323" s="3855">
        <f t="shared" si="183"/>
        <v>9.7054000000000001E-2</v>
      </c>
    </row>
    <row r="324" spans="1:66" s="41" customFormat="1">
      <c r="A324" s="51" t="str">
        <f t="shared" si="197"/>
        <v>356850</v>
      </c>
      <c r="B324" s="1442" t="str">
        <f>'HVAC Deemed Table'!C4556</f>
        <v>356850_2024_12_</v>
      </c>
      <c r="C324" s="887" t="str">
        <f>'HVAC Deemed Table'!G4556</f>
        <v>Cooling Res</v>
      </c>
      <c r="D324" s="887" t="str">
        <f>'HVAC Deemed Table'!G4557</f>
        <v>Heating Res</v>
      </c>
      <c r="E324" s="1378" t="str">
        <f>'HVAC Deemed Table'!G4558</f>
        <v>Cooling Res ER2</v>
      </c>
      <c r="F324" s="1378" t="str">
        <f>'HVAC Deemed Table'!G4559</f>
        <v>Heating Res ER2</v>
      </c>
      <c r="G324" s="1442" t="str">
        <f>'HVAC Deemed Table'!E4556</f>
        <v>PTHP-SEER15-Replace_PTAC_ElectricHeat_ER1_MF</v>
      </c>
      <c r="H324" s="19" t="str">
        <f>'HVAC Deemed Table'!D4556</f>
        <v>MFIE</v>
      </c>
      <c r="I324" s="1239">
        <f t="shared" si="184"/>
        <v>3356.59</v>
      </c>
      <c r="J324" s="1239">
        <f t="shared" si="185"/>
        <v>2850</v>
      </c>
      <c r="K324" s="1240">
        <f>'HVAC Deemed Table'!F4556</f>
        <v>647.36</v>
      </c>
      <c r="L324" s="1240">
        <f>'HVAC Deemed Table'!F4557</f>
        <v>2709.23</v>
      </c>
      <c r="M324" s="1240">
        <f>'HVAC Deemed Table'!F4558</f>
        <v>140.77000000000001</v>
      </c>
      <c r="N324" s="1240">
        <f>'HVAC Deemed Table'!F4559</f>
        <v>2709.23</v>
      </c>
      <c r="O324" s="1241">
        <f t="shared" si="186"/>
        <v>0.61332100000000001</v>
      </c>
      <c r="P324" s="1241">
        <f t="shared" si="187"/>
        <v>0.13336799999999999</v>
      </c>
      <c r="Q324" s="787">
        <f>'HVAC Deemed Table'!I4556</f>
        <v>0.61332100000000001</v>
      </c>
      <c r="R324" s="787">
        <f>'HVAC Deemed Table'!I4557</f>
        <v>0</v>
      </c>
      <c r="S324" s="787">
        <f>'HVAC Deemed Table'!I4558</f>
        <v>0.13336799999999999</v>
      </c>
      <c r="T324" s="787">
        <f>'HVAC Deemed Table'!I4559</f>
        <v>0</v>
      </c>
      <c r="U324" s="788">
        <f t="shared" si="174"/>
        <v>0</v>
      </c>
      <c r="V324" s="788">
        <f t="shared" si="175"/>
        <v>0</v>
      </c>
      <c r="W324" s="788">
        <f t="shared" si="176"/>
        <v>0.61332100000000001</v>
      </c>
      <c r="X324" s="23">
        <f>'HVAC Deemed Table'!J4556</f>
        <v>5</v>
      </c>
      <c r="Y324" s="23">
        <f>'HVAC Deemed Table'!J4558</f>
        <v>10</v>
      </c>
      <c r="Z324" s="23">
        <f t="shared" si="198"/>
        <v>15</v>
      </c>
      <c r="AA324" s="18">
        <f>'HVAC Deemed Table'!DG4556</f>
        <v>9.6884424723683011</v>
      </c>
      <c r="AB324" s="259">
        <f>'HVAC Deemed Table'!K4556</f>
        <v>224.93182686576984</v>
      </c>
      <c r="AC324" s="903">
        <f t="shared" si="199"/>
        <v>1170.3398569152837</v>
      </c>
      <c r="AD324" s="903">
        <f t="shared" si="178"/>
        <v>1008.8992078784338</v>
      </c>
      <c r="AE324" s="208">
        <f>'HVAC Deemed Table'!DI4556</f>
        <v>550.04274698752351</v>
      </c>
      <c r="AF324" s="208">
        <f>'HVAC Deemed Table'!DI4557</f>
        <v>620.29710992776006</v>
      </c>
      <c r="AG324" s="208">
        <f>'HVAC Deemed Table'!DI4558</f>
        <v>166.48684268654091</v>
      </c>
      <c r="AH324" s="208">
        <f>'HVAC Deemed Table'!DI4559</f>
        <v>842.41236519189295</v>
      </c>
      <c r="AI324" s="906" t="str">
        <f t="shared" si="188"/>
        <v>per measure</v>
      </c>
      <c r="AJ324" s="48">
        <f>'HVAC Deemed Table'!L4556</f>
        <v>1.0111111111111111</v>
      </c>
      <c r="AK324" s="918"/>
      <c r="AL324" s="918"/>
      <c r="AM324"/>
      <c r="AN324"/>
      <c r="AO324"/>
      <c r="AP324"/>
      <c r="AQ324"/>
      <c r="AR324"/>
      <c r="AS324"/>
      <c r="AT324"/>
      <c r="AU324"/>
      <c r="AV324"/>
      <c r="AW324"/>
      <c r="AX324" s="1355" t="str">
        <f t="shared" si="193"/>
        <v>PTHP-SEER15-Replace_PTAC_ElectricHeat_ER1_MF</v>
      </c>
      <c r="AY324" s="1378"/>
      <c r="AZ324" s="1446" t="str">
        <f t="shared" si="194"/>
        <v>356850</v>
      </c>
      <c r="BA324" s="1330">
        <f t="shared" si="209"/>
        <v>444.72</v>
      </c>
      <c r="BB324" s="1330">
        <f t="shared" si="209"/>
        <v>2709.23</v>
      </c>
      <c r="BC324" s="1330">
        <f t="shared" si="210"/>
        <v>140.77000000000001</v>
      </c>
      <c r="BD324" s="1330">
        <f t="shared" si="210"/>
        <v>2709.23</v>
      </c>
      <c r="BE324" s="1306"/>
      <c r="BF324" s="1321">
        <f>ROUND(BA324*'CP FACTORS'!$B$9,6)</f>
        <v>0.42133599999999999</v>
      </c>
      <c r="BG324" s="1322">
        <f>ROUND(BB324*'CP FACTORS'!$B$14,6)</f>
        <v>0</v>
      </c>
      <c r="BH324" s="1321">
        <f>ROUND(BC324*'CP FACTORS'!$B$9,6)</f>
        <v>0.13336799999999999</v>
      </c>
      <c r="BI324" s="1323">
        <f>ROUND(BD324*'CP FACTORS'!$B$14,6)</f>
        <v>0</v>
      </c>
      <c r="BJ324" s="1305"/>
      <c r="BK324" s="730">
        <f t="shared" si="180"/>
        <v>3153.95</v>
      </c>
      <c r="BL324" s="1342">
        <f t="shared" si="181"/>
        <v>2850</v>
      </c>
      <c r="BM324" s="1341">
        <f t="shared" si="182"/>
        <v>0.42133599999999999</v>
      </c>
      <c r="BN324" s="1340">
        <f t="shared" si="183"/>
        <v>0.13336799999999999</v>
      </c>
    </row>
    <row r="325" spans="1:66" s="696" customFormat="1">
      <c r="A325" s="2958" t="str">
        <f t="shared" si="197"/>
        <v>356875</v>
      </c>
      <c r="B325" s="2233" t="str">
        <f>'HVAC Deemed Table'!C4560</f>
        <v>356875_2024_12_</v>
      </c>
      <c r="C325" s="3874" t="str">
        <f>'HVAC Deemed Table'!G4560</f>
        <v>Cooling Res</v>
      </c>
      <c r="D325" s="3874" t="str">
        <f>'HVAC Deemed Table'!G4561</f>
        <v>Heating Res</v>
      </c>
      <c r="E325" s="2724" t="str">
        <f>'HVAC Deemed Table'!G4562</f>
        <v>Cooling Res ER2</v>
      </c>
      <c r="F325" s="2724" t="str">
        <f>'HVAC Deemed Table'!G4563</f>
        <v>Heating Res ER2</v>
      </c>
      <c r="G325" s="2233" t="str">
        <f>'HVAC Deemed Table'!E4560</f>
        <v>PTHP-SEER15-Replace_PTAC_ElectricHeat_ER1_MF_CompE</v>
      </c>
      <c r="H325" s="2554" t="str">
        <f>'HVAC Deemed Table'!D4560</f>
        <v>MFc</v>
      </c>
      <c r="I325" s="3875">
        <f t="shared" si="184"/>
        <v>1395.8799999999999</v>
      </c>
      <c r="J325" s="3875">
        <f t="shared" si="185"/>
        <v>1027.23</v>
      </c>
      <c r="K325" s="3876">
        <f>'HVAC Deemed Table'!F4560</f>
        <v>471.09</v>
      </c>
      <c r="L325" s="3876">
        <f>'HVAC Deemed Table'!F4561</f>
        <v>924.79</v>
      </c>
      <c r="M325" s="3876">
        <f>'HVAC Deemed Table'!F4562</f>
        <v>102.44</v>
      </c>
      <c r="N325" s="3876">
        <f>'HVAC Deemed Table'!F4563</f>
        <v>924.79</v>
      </c>
      <c r="O325" s="3877">
        <f t="shared" si="186"/>
        <v>0.44631900000000002</v>
      </c>
      <c r="P325" s="3877">
        <f t="shared" si="187"/>
        <v>9.7054000000000001E-2</v>
      </c>
      <c r="Q325" s="3842">
        <f>'HVAC Deemed Table'!I4560</f>
        <v>0.44631900000000002</v>
      </c>
      <c r="R325" s="3842">
        <f>'HVAC Deemed Table'!I4561</f>
        <v>0</v>
      </c>
      <c r="S325" s="3842">
        <f>'HVAC Deemed Table'!I4562</f>
        <v>9.7054000000000001E-2</v>
      </c>
      <c r="T325" s="3842">
        <f>'HVAC Deemed Table'!I4563</f>
        <v>0</v>
      </c>
      <c r="U325" s="3843">
        <f t="shared" si="174"/>
        <v>0</v>
      </c>
      <c r="V325" s="3843">
        <f t="shared" si="175"/>
        <v>0</v>
      </c>
      <c r="W325" s="3843">
        <f t="shared" si="176"/>
        <v>0.44631900000000002</v>
      </c>
      <c r="X325" s="2846">
        <f>'HVAC Deemed Table'!J4560</f>
        <v>5</v>
      </c>
      <c r="Y325" s="2846">
        <f>'HVAC Deemed Table'!J4562</f>
        <v>10</v>
      </c>
      <c r="Z325" s="2846">
        <f t="shared" si="198"/>
        <v>15</v>
      </c>
      <c r="AA325" s="2529">
        <f>'HVAC Deemed Table'!DG4560</f>
        <v>4.5379020075369159</v>
      </c>
      <c r="AB325" s="3878">
        <f>'HVAC Deemed Table'!K4560</f>
        <v>224.93182686576984</v>
      </c>
      <c r="AC325" s="3845">
        <f t="shared" si="199"/>
        <v>612.00843622701245</v>
      </c>
      <c r="AD325" s="3845">
        <f t="shared" si="178"/>
        <v>408.71015246611057</v>
      </c>
      <c r="AE325" s="3846">
        <f>'HVAC Deemed Table'!DI4560</f>
        <v>400.27131376413803</v>
      </c>
      <c r="AF325" s="3846">
        <f>'HVAC Deemed Table'!DI4561</f>
        <v>211.7371224628744</v>
      </c>
      <c r="AG325" s="3846">
        <f>'HVAC Deemed Table'!DI4562</f>
        <v>121.15445169289799</v>
      </c>
      <c r="AH325" s="3846">
        <f>'HVAC Deemed Table'!DI4563</f>
        <v>287.55570077321255</v>
      </c>
      <c r="AI325" s="3847" t="str">
        <f t="shared" si="188"/>
        <v>per measure</v>
      </c>
      <c r="AJ325" s="3220">
        <f>'HVAC Deemed Table'!L4560</f>
        <v>1.0111111111111111</v>
      </c>
      <c r="AK325" s="3848"/>
      <c r="AL325" s="3848"/>
      <c r="AX325" s="3849" t="str">
        <f t="shared" si="193"/>
        <v>PTHP-SEER15-Replace_PTAC_ElectricHeat_ER1_MF_CompE</v>
      </c>
      <c r="AY325" s="2724"/>
      <c r="AZ325" s="3850" t="str">
        <f t="shared" si="194"/>
        <v>356875</v>
      </c>
      <c r="BA325" s="3882">
        <f t="shared" si="209"/>
        <v>323.63</v>
      </c>
      <c r="BB325" s="3882">
        <f t="shared" si="209"/>
        <v>924.79</v>
      </c>
      <c r="BC325" s="3882">
        <f t="shared" si="210"/>
        <v>102.44</v>
      </c>
      <c r="BD325" s="3882">
        <f t="shared" si="210"/>
        <v>924.79</v>
      </c>
      <c r="BE325" s="3853"/>
      <c r="BF325" s="3854">
        <f>ROUND(BA325*'CP FACTORS'!$B$9,6)</f>
        <v>0.30661300000000002</v>
      </c>
      <c r="BG325" s="3854">
        <f>ROUND(BB325*'CP FACTORS'!$B$14,6)</f>
        <v>0</v>
      </c>
      <c r="BH325" s="3854">
        <f>ROUND(BC325*'CP FACTORS'!$B$9,6)</f>
        <v>9.7054000000000001E-2</v>
      </c>
      <c r="BI325" s="3855">
        <f>ROUND(BD325*'CP FACTORS'!$B$14,6)</f>
        <v>0</v>
      </c>
      <c r="BJ325" s="3853"/>
      <c r="BK325" s="3856">
        <f t="shared" si="180"/>
        <v>1248.42</v>
      </c>
      <c r="BL325" s="3857">
        <f t="shared" si="181"/>
        <v>1027.23</v>
      </c>
      <c r="BM325" s="3858">
        <f t="shared" si="182"/>
        <v>0.30661300000000002</v>
      </c>
      <c r="BN325" s="3855">
        <f t="shared" si="183"/>
        <v>9.7054000000000001E-2</v>
      </c>
    </row>
    <row r="326" spans="1:66" s="41" customFormat="1">
      <c r="A326" s="51" t="str">
        <f>LEFT(B326,6)</f>
        <v>356900</v>
      </c>
      <c r="B326" s="1442" t="str">
        <f>'HVAC Deemed Table'!C4564</f>
        <v>356900_2024_12_</v>
      </c>
      <c r="C326" s="887" t="str">
        <f>'HVAC Deemed Table'!G4564</f>
        <v>Cooling Res</v>
      </c>
      <c r="D326" s="887" t="str">
        <f>'HVAC Deemed Table'!G4565</f>
        <v>Heating Res</v>
      </c>
      <c r="E326" s="1378"/>
      <c r="F326" s="1378"/>
      <c r="G326" s="1442" t="str">
        <f>'HVAC Deemed Table'!E4564</f>
        <v>PTHP-SEER15-ROF_MF</v>
      </c>
      <c r="H326" s="19" t="str">
        <f>'HVAC Deemed Table'!D4564</f>
        <v>MFIE</v>
      </c>
      <c r="I326" s="1239">
        <f>K326+L326</f>
        <v>351.29</v>
      </c>
      <c r="J326" s="1239">
        <f>M326+N326</f>
        <v>0</v>
      </c>
      <c r="K326" s="1240">
        <f>'HVAC Deemed Table'!F4564</f>
        <v>140.77000000000001</v>
      </c>
      <c r="L326" s="1240">
        <f>'HVAC Deemed Table'!F4565</f>
        <v>210.52</v>
      </c>
      <c r="M326" s="1288"/>
      <c r="N326" s="1288"/>
      <c r="O326" s="1241">
        <f>Q326+R326</f>
        <v>0.13336799999999999</v>
      </c>
      <c r="P326" s="1241">
        <f>S326+T326</f>
        <v>9.7054000000000001E-2</v>
      </c>
      <c r="Q326" s="787">
        <f>'HVAC Deemed Table'!I4564</f>
        <v>0.13336799999999999</v>
      </c>
      <c r="R326" s="787">
        <f>'HVAC Deemed Table'!I4565</f>
        <v>0</v>
      </c>
      <c r="S326" s="787">
        <f>'HVAC Deemed Table'!I4566</f>
        <v>9.7054000000000001E-2</v>
      </c>
      <c r="T326" s="787">
        <f>'HVAC Deemed Table'!I4567</f>
        <v>0</v>
      </c>
      <c r="U326" s="788">
        <f t="shared" si="174"/>
        <v>0</v>
      </c>
      <c r="V326" s="788">
        <f t="shared" si="175"/>
        <v>0</v>
      </c>
      <c r="W326" s="788">
        <f t="shared" si="176"/>
        <v>0.13336799999999999</v>
      </c>
      <c r="X326" s="23">
        <f>'HVAC Deemed Table'!J4564</f>
        <v>15</v>
      </c>
      <c r="Y326" s="23"/>
      <c r="Z326" s="23">
        <f>Y326+X326</f>
        <v>15</v>
      </c>
      <c r="AA326" s="18">
        <f>'HVAC Deemed Table'!DG4564</f>
        <v>4.706869455767599</v>
      </c>
      <c r="AB326" s="259">
        <f>'HVAC Deemed Table'!K4564</f>
        <v>84.93</v>
      </c>
      <c r="AC326" s="903">
        <f>AE326+AF326</f>
        <v>399.75442287834221</v>
      </c>
      <c r="AD326" s="903">
        <f>AG326+AH326</f>
        <v>246.99181911692122</v>
      </c>
      <c r="AE326" s="208">
        <f>'HVAC Deemed Table'!DI4564</f>
        <v>286.09497030244813</v>
      </c>
      <c r="AF326" s="208">
        <f>'HVAC Deemed Table'!DI4565</f>
        <v>113.65945257589408</v>
      </c>
      <c r="AG326" s="208">
        <f>'HVAC Deemed Table'!DI4566</f>
        <v>208.19470595853366</v>
      </c>
      <c r="AH326" s="208">
        <f>'HVAC Deemed Table'!DI4567</f>
        <v>38.79711315838756</v>
      </c>
      <c r="AI326" s="906" t="str">
        <f t="shared" si="188"/>
        <v>per measure</v>
      </c>
      <c r="AJ326" s="48">
        <f>'HVAC Deemed Table'!L4564</f>
        <v>1.0111111111111111</v>
      </c>
      <c r="AK326" s="918"/>
      <c r="AL326" s="918"/>
      <c r="AM326"/>
      <c r="AN326"/>
      <c r="AO326"/>
      <c r="AP326"/>
      <c r="AQ326"/>
      <c r="AR326"/>
      <c r="AS326"/>
      <c r="AT326"/>
      <c r="AU326"/>
      <c r="AV326"/>
      <c r="AW326"/>
      <c r="AX326" s="1355" t="str">
        <f t="shared" si="193"/>
        <v>PTHP-SEER15-ROF_MF</v>
      </c>
      <c r="AY326" s="1378"/>
      <c r="AZ326" s="1446" t="str">
        <f t="shared" si="194"/>
        <v>356900</v>
      </c>
      <c r="BA326" s="1339">
        <f>BA322</f>
        <v>406.89</v>
      </c>
      <c r="BB326" s="1339">
        <f t="shared" ref="BB326:BD329" si="211">BB322</f>
        <v>881.22</v>
      </c>
      <c r="BC326" s="1339">
        <f t="shared" si="211"/>
        <v>140.77000000000001</v>
      </c>
      <c r="BD326" s="1339">
        <f t="shared" si="211"/>
        <v>210.52</v>
      </c>
      <c r="BE326" s="1306"/>
      <c r="BF326" s="1321">
        <f>ROUND(BA326*'CP FACTORS'!$B$9,6)</f>
        <v>0.38549499999999998</v>
      </c>
      <c r="BG326" s="1322">
        <f>ROUND(BB326*'CP FACTORS'!$B$14,6)</f>
        <v>0</v>
      </c>
      <c r="BH326" s="1321">
        <f>ROUND(BC326*'CP FACTORS'!$B$9,6)</f>
        <v>0.13336799999999999</v>
      </c>
      <c r="BI326" s="1323">
        <f>ROUND(BD326*'CP FACTORS'!$B$14,6)</f>
        <v>0</v>
      </c>
      <c r="BJ326" s="1305"/>
      <c r="BK326" s="730">
        <f t="shared" si="180"/>
        <v>1288.1100000000001</v>
      </c>
      <c r="BL326" s="1342">
        <f t="shared" si="181"/>
        <v>351.29</v>
      </c>
      <c r="BM326" s="1341">
        <f t="shared" si="182"/>
        <v>0.38549499999999998</v>
      </c>
      <c r="BN326" s="1340">
        <f t="shared" si="183"/>
        <v>0.13336799999999999</v>
      </c>
    </row>
    <row r="327" spans="1:66" s="696" customFormat="1">
      <c r="A327" s="2958" t="str">
        <f>LEFT(B327,6)</f>
        <v>356925</v>
      </c>
      <c r="B327" s="2233" t="str">
        <f>'HVAC Deemed Table'!C4566</f>
        <v>356925_2024_12_</v>
      </c>
      <c r="C327" s="3874" t="str">
        <f>'HVAC Deemed Table'!G4566</f>
        <v>Cooling Res</v>
      </c>
      <c r="D327" s="3874" t="str">
        <f>'HVAC Deemed Table'!G4567</f>
        <v>Heating Res</v>
      </c>
      <c r="E327" s="2724"/>
      <c r="F327" s="2724"/>
      <c r="G327" s="2233" t="str">
        <f>'HVAC Deemed Table'!E4566</f>
        <v>PTHP-SEER15-ROF_MF_CompE</v>
      </c>
      <c r="H327" s="2554" t="str">
        <f>'HVAC Deemed Table'!D4566</f>
        <v>MFc</v>
      </c>
      <c r="I327" s="3875">
        <f>K327+L327</f>
        <v>174.3</v>
      </c>
      <c r="J327" s="3875">
        <f>M327+N327</f>
        <v>0</v>
      </c>
      <c r="K327" s="3876">
        <f>'HVAC Deemed Table'!F4566</f>
        <v>102.44</v>
      </c>
      <c r="L327" s="3876">
        <f>'HVAC Deemed Table'!F4567</f>
        <v>71.86</v>
      </c>
      <c r="M327" s="3880"/>
      <c r="N327" s="3880"/>
      <c r="O327" s="3877">
        <f>Q327+R327</f>
        <v>9.7054000000000001E-2</v>
      </c>
      <c r="P327" s="3877">
        <f>S327+T327</f>
        <v>0.13336799999999999</v>
      </c>
      <c r="Q327" s="3842">
        <f>'HVAC Deemed Table'!I4566</f>
        <v>9.7054000000000001E-2</v>
      </c>
      <c r="R327" s="3842">
        <f>'HVAC Deemed Table'!I4567</f>
        <v>0</v>
      </c>
      <c r="S327" s="3842">
        <f>'HVAC Deemed Table'!I4568</f>
        <v>0.13336799999999999</v>
      </c>
      <c r="T327" s="3842">
        <f>'HVAC Deemed Table'!I4569</f>
        <v>0</v>
      </c>
      <c r="U327" s="3843">
        <f t="shared" si="174"/>
        <v>0</v>
      </c>
      <c r="V327" s="3843">
        <f t="shared" si="175"/>
        <v>0</v>
      </c>
      <c r="W327" s="3843">
        <f t="shared" si="176"/>
        <v>9.7054000000000001E-2</v>
      </c>
      <c r="X327" s="2846">
        <f>'HVAC Deemed Table'!J4566</f>
        <v>15</v>
      </c>
      <c r="Y327" s="2846"/>
      <c r="Z327" s="2846">
        <f>Y327+X327</f>
        <v>15</v>
      </c>
      <c r="AA327" s="2529">
        <f>'HVAC Deemed Table'!DG4566</f>
        <v>2.9081810799119414</v>
      </c>
      <c r="AB327" s="3878">
        <f>'HVAC Deemed Table'!K4566</f>
        <v>84.93</v>
      </c>
      <c r="AC327" s="3845">
        <f>AE327+AF327</f>
        <v>246.99181911692122</v>
      </c>
      <c r="AD327" s="3845">
        <f>AG327+AH327</f>
        <v>1748.8044454221022</v>
      </c>
      <c r="AE327" s="3846">
        <f>'HVAC Deemed Table'!DI4566</f>
        <v>208.19470595853366</v>
      </c>
      <c r="AF327" s="3846">
        <f>'HVAC Deemed Table'!DI4567</f>
        <v>38.79711315838756</v>
      </c>
      <c r="AG327" s="3846">
        <f>'HVAC Deemed Table'!DI4568</f>
        <v>286.09497030244813</v>
      </c>
      <c r="AH327" s="3846">
        <f>'HVAC Deemed Table'!DI4569</f>
        <v>1462.7094751196539</v>
      </c>
      <c r="AI327" s="3847" t="str">
        <f t="shared" si="188"/>
        <v>per measure</v>
      </c>
      <c r="AJ327" s="3220">
        <f>'HVAC Deemed Table'!L4566</f>
        <v>1.0111111111111111</v>
      </c>
      <c r="AK327" s="3848"/>
      <c r="AL327" s="3848"/>
      <c r="AX327" s="3849" t="str">
        <f t="shared" si="193"/>
        <v>PTHP-SEER15-ROF_MF_CompE</v>
      </c>
      <c r="AY327" s="2724"/>
      <c r="AZ327" s="3850" t="str">
        <f t="shared" si="194"/>
        <v>356925</v>
      </c>
      <c r="BA327" s="3881">
        <f>BA323</f>
        <v>296.10000000000002</v>
      </c>
      <c r="BB327" s="3881">
        <f t="shared" si="211"/>
        <v>300.8</v>
      </c>
      <c r="BC327" s="3881">
        <f t="shared" si="211"/>
        <v>102.44</v>
      </c>
      <c r="BD327" s="3881">
        <f t="shared" si="211"/>
        <v>71.86</v>
      </c>
      <c r="BE327" s="3853"/>
      <c r="BF327" s="3854">
        <f>ROUND(BA327*'CP FACTORS'!$B$9,6)</f>
        <v>0.28053</v>
      </c>
      <c r="BG327" s="3854">
        <f>ROUND(BB327*'CP FACTORS'!$B$14,6)</f>
        <v>0</v>
      </c>
      <c r="BH327" s="3854">
        <f>ROUND(BC327*'CP FACTORS'!$B$9,6)</f>
        <v>9.7054000000000001E-2</v>
      </c>
      <c r="BI327" s="3855">
        <f>ROUND(BD327*'CP FACTORS'!$B$14,6)</f>
        <v>0</v>
      </c>
      <c r="BJ327" s="3853"/>
      <c r="BK327" s="3856">
        <f t="shared" si="180"/>
        <v>596.90000000000009</v>
      </c>
      <c r="BL327" s="3857">
        <f t="shared" si="181"/>
        <v>174.3</v>
      </c>
      <c r="BM327" s="3858">
        <f t="shared" si="182"/>
        <v>0.28053</v>
      </c>
      <c r="BN327" s="3855">
        <f t="shared" si="183"/>
        <v>9.7054000000000001E-2</v>
      </c>
    </row>
    <row r="328" spans="1:66" s="41" customFormat="1">
      <c r="A328" s="51" t="str">
        <f t="shared" si="197"/>
        <v>356950</v>
      </c>
      <c r="B328" s="1442" t="str">
        <f>'HVAC Deemed Table'!C4568</f>
        <v>356950_2024_12_</v>
      </c>
      <c r="C328" s="887" t="str">
        <f>'HVAC Deemed Table'!G4568</f>
        <v>Cooling Res</v>
      </c>
      <c r="D328" s="887" t="str">
        <f>'HVAC Deemed Table'!G4569</f>
        <v>Heating Res</v>
      </c>
      <c r="E328" s="1378"/>
      <c r="F328" s="1378"/>
      <c r="G328" s="1442" t="str">
        <f>'HVAC Deemed Table'!E4568</f>
        <v>PTHP-SEER15-Replace_PTAC_ElectricHeat_ROF_MF</v>
      </c>
      <c r="H328" s="19" t="str">
        <f>'HVAC Deemed Table'!D4568</f>
        <v>MFIE</v>
      </c>
      <c r="I328" s="1239">
        <f t="shared" si="184"/>
        <v>2850</v>
      </c>
      <c r="J328" s="1239">
        <f t="shared" si="185"/>
        <v>0</v>
      </c>
      <c r="K328" s="1240">
        <f>'HVAC Deemed Table'!F4568</f>
        <v>140.77000000000001</v>
      </c>
      <c r="L328" s="1240">
        <f>'HVAC Deemed Table'!F4569</f>
        <v>2709.23</v>
      </c>
      <c r="M328" s="1240"/>
      <c r="N328" s="1240"/>
      <c r="O328" s="1241">
        <f t="shared" si="186"/>
        <v>0.13336799999999999</v>
      </c>
      <c r="P328" s="1241">
        <f t="shared" si="187"/>
        <v>0</v>
      </c>
      <c r="Q328" s="787">
        <f>'HVAC Deemed Table'!I4568</f>
        <v>0.13336799999999999</v>
      </c>
      <c r="R328" s="787">
        <f>'HVAC Deemed Table'!I4569</f>
        <v>0</v>
      </c>
      <c r="S328" s="787"/>
      <c r="T328" s="787"/>
      <c r="U328" s="788">
        <f t="shared" si="174"/>
        <v>0</v>
      </c>
      <c r="V328" s="788">
        <f t="shared" si="175"/>
        <v>0</v>
      </c>
      <c r="W328" s="788">
        <f t="shared" si="176"/>
        <v>0.13336799999999999</v>
      </c>
      <c r="X328" s="23">
        <f>'HVAC Deemed Table'!J4568</f>
        <v>15</v>
      </c>
      <c r="Y328" s="23"/>
      <c r="Z328" s="23">
        <f t="shared" si="198"/>
        <v>15</v>
      </c>
      <c r="AA328" s="18">
        <f>'HVAC Deemed Table'!DG4568</f>
        <v>20.591127345132485</v>
      </c>
      <c r="AB328" s="259">
        <f>'HVAC Deemed Table'!K4568</f>
        <v>84.93</v>
      </c>
      <c r="AC328" s="903">
        <f t="shared" si="199"/>
        <v>1748.8044454221022</v>
      </c>
      <c r="AD328" s="903">
        <f t="shared" si="178"/>
        <v>0</v>
      </c>
      <c r="AE328" s="208">
        <f>'HVAC Deemed Table'!DI4568</f>
        <v>286.09497030244813</v>
      </c>
      <c r="AF328" s="208">
        <f>'HVAC Deemed Table'!DI4569</f>
        <v>1462.7094751196539</v>
      </c>
      <c r="AG328" s="208"/>
      <c r="AH328" s="208"/>
      <c r="AI328" s="906" t="str">
        <f t="shared" si="188"/>
        <v>per measure</v>
      </c>
      <c r="AJ328" s="48">
        <f>'HVAC Deemed Table'!L4568</f>
        <v>1.0111111111111111</v>
      </c>
      <c r="AK328" s="918"/>
      <c r="AL328" s="918"/>
      <c r="AM328"/>
      <c r="AN328"/>
      <c r="AO328"/>
      <c r="AP328"/>
      <c r="AQ328"/>
      <c r="AR328"/>
      <c r="AS328"/>
      <c r="AT328"/>
      <c r="AU328"/>
      <c r="AV328"/>
      <c r="AW328"/>
      <c r="AX328" s="1355" t="str">
        <f t="shared" si="193"/>
        <v>PTHP-SEER15-Replace_PTAC_ElectricHeat_ROF_MF</v>
      </c>
      <c r="AY328" s="1378"/>
      <c r="AZ328" s="1446" t="str">
        <f t="shared" si="194"/>
        <v>356950</v>
      </c>
      <c r="BA328" s="1333">
        <f>BA324</f>
        <v>444.72</v>
      </c>
      <c r="BB328" s="1333">
        <f t="shared" si="211"/>
        <v>2709.23</v>
      </c>
      <c r="BC328" s="1333">
        <f t="shared" si="211"/>
        <v>140.77000000000001</v>
      </c>
      <c r="BD328" s="1333">
        <f t="shared" si="211"/>
        <v>2709.23</v>
      </c>
      <c r="BE328" s="1306"/>
      <c r="BF328" s="1321">
        <f>ROUND(BA328*'CP FACTORS'!$B$9,6)</f>
        <v>0.42133599999999999</v>
      </c>
      <c r="BG328" s="1322">
        <f>ROUND(BB328*'CP FACTORS'!$B$14,6)</f>
        <v>0</v>
      </c>
      <c r="BH328" s="1321">
        <f>ROUND(BC328*'CP FACTORS'!$B$9,6)</f>
        <v>0.13336799999999999</v>
      </c>
      <c r="BI328" s="1323">
        <f>ROUND(BD328*'CP FACTORS'!$B$14,6)</f>
        <v>0</v>
      </c>
      <c r="BJ328" s="1305"/>
      <c r="BK328" s="730">
        <f t="shared" si="180"/>
        <v>3153.95</v>
      </c>
      <c r="BL328" s="1342">
        <f t="shared" si="181"/>
        <v>2850</v>
      </c>
      <c r="BM328" s="1341">
        <f t="shared" si="182"/>
        <v>0.42133599999999999</v>
      </c>
      <c r="BN328" s="1340">
        <f t="shared" si="183"/>
        <v>0.13336799999999999</v>
      </c>
    </row>
    <row r="329" spans="1:66" s="696" customFormat="1">
      <c r="A329" s="2958" t="str">
        <f t="shared" ref="A329:A343" si="212">LEFT(B329,6)</f>
        <v>356975</v>
      </c>
      <c r="B329" s="2233" t="str">
        <f>'HVAC Deemed Table'!C4570</f>
        <v>356975_2024_12_</v>
      </c>
      <c r="C329" s="3874" t="str">
        <f>'HVAC Deemed Table'!G4570</f>
        <v>Cooling Res</v>
      </c>
      <c r="D329" s="3874" t="str">
        <f>'HVAC Deemed Table'!G4571</f>
        <v>Heating Res</v>
      </c>
      <c r="E329" s="2724"/>
      <c r="F329" s="2724"/>
      <c r="G329" s="2233" t="str">
        <f>'HVAC Deemed Table'!E4570</f>
        <v>PTHP-SEER15-Replace_PTAC_ElectricHeat_ROF_MF_CompE</v>
      </c>
      <c r="H329" s="2554" t="str">
        <f>'HVAC Deemed Table'!D4570</f>
        <v>MFc</v>
      </c>
      <c r="I329" s="3875">
        <f t="shared" ref="I329:I343" si="213">K329+L329</f>
        <v>1027.23</v>
      </c>
      <c r="J329" s="3875">
        <f t="shared" ref="J329:J343" si="214">M329+N329</f>
        <v>0</v>
      </c>
      <c r="K329" s="3876">
        <f>'HVAC Deemed Table'!F4570</f>
        <v>102.44</v>
      </c>
      <c r="L329" s="3876">
        <f>'HVAC Deemed Table'!F4571</f>
        <v>924.79</v>
      </c>
      <c r="M329" s="3876"/>
      <c r="N329" s="3876"/>
      <c r="O329" s="3877">
        <f t="shared" ref="O329:O343" si="215">Q329+R329</f>
        <v>9.7054000000000001E-2</v>
      </c>
      <c r="P329" s="3877">
        <f t="shared" ref="P329:P343" si="216">S329+T329</f>
        <v>0</v>
      </c>
      <c r="Q329" s="3842">
        <f>'HVAC Deemed Table'!I4570</f>
        <v>9.7054000000000001E-2</v>
      </c>
      <c r="R329" s="3842">
        <f>'HVAC Deemed Table'!I4571</f>
        <v>0</v>
      </c>
      <c r="S329" s="3842"/>
      <c r="T329" s="3842"/>
      <c r="U329" s="3843">
        <f t="shared" si="174"/>
        <v>0</v>
      </c>
      <c r="V329" s="3843">
        <f t="shared" si="175"/>
        <v>0</v>
      </c>
      <c r="W329" s="3843">
        <f t="shared" si="176"/>
        <v>9.7054000000000001E-2</v>
      </c>
      <c r="X329" s="2846">
        <f>'HVAC Deemed Table'!J4570</f>
        <v>15</v>
      </c>
      <c r="Y329" s="2846"/>
      <c r="Z329" s="2846">
        <f t="shared" ref="Z329:Z343" si="217">Y329+X329</f>
        <v>15</v>
      </c>
      <c r="AA329" s="2529">
        <f>'HVAC Deemed Table'!DG4570</f>
        <v>8.3302428964396658</v>
      </c>
      <c r="AB329" s="3878">
        <f>'HVAC Deemed Table'!K4570</f>
        <v>84.93</v>
      </c>
      <c r="AC329" s="3845">
        <f t="shared" ref="AC329:AC343" si="218">AE329+AF329</f>
        <v>707.48752919462083</v>
      </c>
      <c r="AD329" s="3845">
        <f>AG329+AH329</f>
        <v>0</v>
      </c>
      <c r="AE329" s="3846">
        <f>'HVAC Deemed Table'!DI4570</f>
        <v>208.19470595853366</v>
      </c>
      <c r="AF329" s="3846">
        <f>'HVAC Deemed Table'!DI4571</f>
        <v>499.2928232360872</v>
      </c>
      <c r="AG329" s="3846"/>
      <c r="AH329" s="3846"/>
      <c r="AI329" s="3847" t="str">
        <f t="shared" si="188"/>
        <v>per measure</v>
      </c>
      <c r="AJ329" s="3220">
        <f>'HVAC Deemed Table'!L4570</f>
        <v>1.0111111111111111</v>
      </c>
      <c r="AK329" s="3848"/>
      <c r="AL329" s="3848"/>
      <c r="AX329" s="3849" t="str">
        <f t="shared" si="193"/>
        <v>PTHP-SEER15-Replace_PTAC_ElectricHeat_ROF_MF_CompE</v>
      </c>
      <c r="AY329" s="2724"/>
      <c r="AZ329" s="3850" t="str">
        <f t="shared" si="194"/>
        <v>356975</v>
      </c>
      <c r="BA329" s="3879">
        <f>BA325</f>
        <v>323.63</v>
      </c>
      <c r="BB329" s="3879">
        <f t="shared" si="211"/>
        <v>924.79</v>
      </c>
      <c r="BC329" s="3879">
        <f t="shared" si="211"/>
        <v>102.44</v>
      </c>
      <c r="BD329" s="3879">
        <f t="shared" si="211"/>
        <v>924.79</v>
      </c>
      <c r="BE329" s="3853"/>
      <c r="BF329" s="3854">
        <f>ROUND(BA329*'CP FACTORS'!$B$9,6)</f>
        <v>0.30661300000000002</v>
      </c>
      <c r="BG329" s="3854">
        <f>ROUND(BB329*'CP FACTORS'!$B$14,6)</f>
        <v>0</v>
      </c>
      <c r="BH329" s="3854">
        <f>ROUND(BC329*'CP FACTORS'!$B$9,6)</f>
        <v>9.7054000000000001E-2</v>
      </c>
      <c r="BI329" s="3855">
        <f>ROUND(BD329*'CP FACTORS'!$B$14,6)</f>
        <v>0</v>
      </c>
      <c r="BJ329" s="3853"/>
      <c r="BK329" s="3856">
        <f t="shared" si="180"/>
        <v>1248.42</v>
      </c>
      <c r="BL329" s="3857">
        <f t="shared" si="181"/>
        <v>1027.23</v>
      </c>
      <c r="BM329" s="3858">
        <f t="shared" si="182"/>
        <v>0.30661300000000002</v>
      </c>
      <c r="BN329" s="3855">
        <f t="shared" si="183"/>
        <v>9.7054000000000001E-2</v>
      </c>
    </row>
    <row r="330" spans="1:66" s="696" customFormat="1">
      <c r="A330" s="2958" t="str">
        <f t="shared" si="212"/>
        <v>357100</v>
      </c>
      <c r="B330" s="2233" t="str">
        <f>'HVAC Deemed Table'!C4617</f>
        <v>357100_2024_12_</v>
      </c>
      <c r="C330" s="3874" t="str">
        <f>'HVAC Deemed Table'!G4617</f>
        <v>Cooling RES</v>
      </c>
      <c r="D330" s="3874" t="str">
        <f>'HVAC Deemed Table'!G4618</f>
        <v>Heating RES</v>
      </c>
      <c r="E330" s="2724"/>
      <c r="F330" s="2724"/>
      <c r="G330" s="2233" t="str">
        <f>'HVAC Deemed Table'!E4617</f>
        <v>Learning Thermostat - New ASHP heating/cooling SF</v>
      </c>
      <c r="H330" s="2554" t="str">
        <f>'HVAC Deemed Table'!D4617</f>
        <v>SF</v>
      </c>
      <c r="I330" s="3875">
        <f t="shared" si="213"/>
        <v>0</v>
      </c>
      <c r="J330" s="3875">
        <f t="shared" si="214"/>
        <v>0</v>
      </c>
      <c r="K330" s="3876">
        <f>'HVAC Deemed Table'!F4617</f>
        <v>0</v>
      </c>
      <c r="L330" s="3876">
        <f>'HVAC Deemed Table'!F4618</f>
        <v>0</v>
      </c>
      <c r="M330" s="3876"/>
      <c r="N330" s="3876"/>
      <c r="O330" s="3877">
        <f t="shared" si="215"/>
        <v>0</v>
      </c>
      <c r="P330" s="3877">
        <f t="shared" si="216"/>
        <v>0</v>
      </c>
      <c r="Q330" s="3842">
        <f>'HVAC Deemed Table'!I4617</f>
        <v>0</v>
      </c>
      <c r="R330" s="3842">
        <v>0</v>
      </c>
      <c r="S330" s="3842"/>
      <c r="T330" s="3842"/>
      <c r="U330" s="3843">
        <f t="shared" si="174"/>
        <v>0</v>
      </c>
      <c r="V330" s="3843">
        <f t="shared" si="175"/>
        <v>0</v>
      </c>
      <c r="W330" s="3843">
        <f t="shared" si="176"/>
        <v>0</v>
      </c>
      <c r="X330" s="2846">
        <f>'HVAC Deemed Table'!J4617</f>
        <v>11</v>
      </c>
      <c r="Y330" s="2846"/>
      <c r="Z330" s="2846">
        <f t="shared" si="217"/>
        <v>11</v>
      </c>
      <c r="AA330" s="2529">
        <f>'HVAC Deemed Table'!DG4617</f>
        <v>0</v>
      </c>
      <c r="AB330" s="3878">
        <f>'HVAC Deemed Table'!K4617</f>
        <v>79</v>
      </c>
      <c r="AC330" s="3845">
        <f t="shared" si="218"/>
        <v>0</v>
      </c>
      <c r="AD330" s="3845"/>
      <c r="AE330" s="3894">
        <f>'HVAC Deemed Table'!DI4617</f>
        <v>0</v>
      </c>
      <c r="AF330" s="3894">
        <f>'HVAC Deemed Table'!DI4618</f>
        <v>0</v>
      </c>
      <c r="AG330" s="3846"/>
      <c r="AH330" s="3846"/>
      <c r="AI330" s="2233" t="str">
        <f t="shared" si="188"/>
        <v>per measure</v>
      </c>
      <c r="AJ330" s="3220"/>
      <c r="AK330" s="3848"/>
      <c r="AL330" s="3848"/>
      <c r="AX330" s="3849" t="str">
        <f t="shared" ref="AX330" si="219">G330</f>
        <v>Learning Thermostat - New ASHP heating/cooling SF</v>
      </c>
      <c r="AY330" s="2724"/>
      <c r="AZ330" s="3850" t="str">
        <f t="shared" ref="AZ330" si="220">A330</f>
        <v>357100</v>
      </c>
      <c r="BA330" s="3866" t="s">
        <v>1303</v>
      </c>
      <c r="BB330" s="3866" t="s">
        <v>1303</v>
      </c>
      <c r="BC330" s="3866" t="s">
        <v>1303</v>
      </c>
      <c r="BD330" s="3866" t="s">
        <v>1303</v>
      </c>
      <c r="BE330" s="3853"/>
      <c r="BF330" s="3866" t="s">
        <v>1303</v>
      </c>
      <c r="BG330" s="3866" t="s">
        <v>1303</v>
      </c>
      <c r="BH330" s="3866" t="s">
        <v>1303</v>
      </c>
      <c r="BI330" s="3867" t="s">
        <v>1303</v>
      </c>
      <c r="BJ330" s="3853"/>
      <c r="BK330" s="3866" t="s">
        <v>1303</v>
      </c>
      <c r="BL330" s="3867" t="s">
        <v>1303</v>
      </c>
      <c r="BM330" s="3866" t="s">
        <v>1303</v>
      </c>
      <c r="BN330" s="3867" t="s">
        <v>1303</v>
      </c>
    </row>
    <row r="331" spans="1:66" s="696" customFormat="1">
      <c r="A331" s="2958" t="str">
        <f t="shared" si="212"/>
        <v>357101</v>
      </c>
      <c r="B331" s="2233" t="str">
        <f>'HVAC Deemed Table'!C4619</f>
        <v>357101_2024_12_</v>
      </c>
      <c r="C331" s="3874" t="str">
        <f>'HVAC Deemed Table'!G4619</f>
        <v>Cooling RES</v>
      </c>
      <c r="D331" s="3874" t="str">
        <f>'HVAC Deemed Table'!G4620</f>
        <v>Heating RES</v>
      </c>
      <c r="E331" s="2724"/>
      <c r="F331" s="2724"/>
      <c r="G331" s="2233" t="str">
        <f>'HVAC Deemed Table'!E4619</f>
        <v>Learning Thermostat - New ASHP heating/cooling MF</v>
      </c>
      <c r="H331" s="2554" t="str">
        <f>'HVAC Deemed Table'!D4619</f>
        <v>MF</v>
      </c>
      <c r="I331" s="3875">
        <f t="shared" si="213"/>
        <v>0</v>
      </c>
      <c r="J331" s="3875">
        <f t="shared" si="214"/>
        <v>0</v>
      </c>
      <c r="K331" s="3876">
        <f>'HVAC Deemed Table'!F4619</f>
        <v>0</v>
      </c>
      <c r="L331" s="3876">
        <f>'HVAC Deemed Table'!F4620</f>
        <v>0</v>
      </c>
      <c r="M331" s="3876"/>
      <c r="N331" s="3876"/>
      <c r="O331" s="3877">
        <f t="shared" si="215"/>
        <v>0</v>
      </c>
      <c r="P331" s="3877">
        <f t="shared" si="216"/>
        <v>0</v>
      </c>
      <c r="Q331" s="3842">
        <f>'HVAC Deemed Table'!I4619</f>
        <v>0</v>
      </c>
      <c r="R331" s="3842">
        <v>0</v>
      </c>
      <c r="S331" s="3842"/>
      <c r="T331" s="3842"/>
      <c r="U331" s="3843">
        <f t="shared" si="174"/>
        <v>0</v>
      </c>
      <c r="V331" s="3843">
        <f t="shared" si="175"/>
        <v>0</v>
      </c>
      <c r="W331" s="3843">
        <f t="shared" si="176"/>
        <v>0</v>
      </c>
      <c r="X331" s="2846">
        <f>'HVAC Deemed Table'!J4619</f>
        <v>11</v>
      </c>
      <c r="Y331" s="2846"/>
      <c r="Z331" s="2846">
        <f t="shared" si="217"/>
        <v>11</v>
      </c>
      <c r="AA331" s="2529">
        <f>'HVAC Deemed Table'!DG4619</f>
        <v>0</v>
      </c>
      <c r="AB331" s="3878">
        <f>'HVAC Deemed Table'!K4619</f>
        <v>79</v>
      </c>
      <c r="AC331" s="3845">
        <f t="shared" si="218"/>
        <v>0</v>
      </c>
      <c r="AD331" s="3845"/>
      <c r="AE331" s="3894">
        <f>'HVAC Deemed Table'!DI4619</f>
        <v>0</v>
      </c>
      <c r="AF331" s="3894">
        <f>'HVAC Deemed Table'!DI4620</f>
        <v>0</v>
      </c>
      <c r="AG331" s="3846"/>
      <c r="AH331" s="3846"/>
      <c r="AI331" s="2233" t="str">
        <f t="shared" ref="AI331:AI343" si="221">AI330</f>
        <v>per measure</v>
      </c>
      <c r="AJ331" s="3220"/>
      <c r="AK331" s="3848"/>
      <c r="AL331" s="3848"/>
      <c r="AX331" s="3849" t="str">
        <f t="shared" ref="AX331" si="222">G331</f>
        <v>Learning Thermostat - New ASHP heating/cooling MF</v>
      </c>
      <c r="AY331" s="2724"/>
      <c r="AZ331" s="3850" t="str">
        <f t="shared" ref="AZ331" si="223">A331</f>
        <v>357101</v>
      </c>
      <c r="BA331" s="3866" t="s">
        <v>1303</v>
      </c>
      <c r="BB331" s="3866" t="s">
        <v>1303</v>
      </c>
      <c r="BC331" s="3866" t="s">
        <v>1303</v>
      </c>
      <c r="BD331" s="3866" t="s">
        <v>1303</v>
      </c>
      <c r="BE331" s="3853"/>
      <c r="BF331" s="3866" t="s">
        <v>1303</v>
      </c>
      <c r="BG331" s="3866" t="s">
        <v>1303</v>
      </c>
      <c r="BH331" s="3866" t="s">
        <v>1303</v>
      </c>
      <c r="BI331" s="3867" t="s">
        <v>1303</v>
      </c>
      <c r="BJ331" s="3853"/>
      <c r="BK331" s="3866" t="s">
        <v>1303</v>
      </c>
      <c r="BL331" s="3867" t="s">
        <v>1303</v>
      </c>
      <c r="BM331" s="3866" t="s">
        <v>1303</v>
      </c>
      <c r="BN331" s="3867" t="s">
        <v>1303</v>
      </c>
    </row>
    <row r="332" spans="1:66" s="696" customFormat="1">
      <c r="A332" s="2958" t="str">
        <f t="shared" si="212"/>
        <v>357102</v>
      </c>
      <c r="B332" s="2233" t="str">
        <f>'HVAC Deemed Table'!C4621</f>
        <v>357102_2024_12_</v>
      </c>
      <c r="C332" s="3874" t="str">
        <f>'HVAC Deemed Table'!G4621</f>
        <v>Cooling RES</v>
      </c>
      <c r="D332" s="3874" t="str">
        <f>'HVAC Deemed Table'!G4622</f>
        <v>Heating RES</v>
      </c>
      <c r="E332" s="2724"/>
      <c r="F332" s="2724"/>
      <c r="G332" s="2233" t="str">
        <f>'HVAC Deemed Table'!E4621</f>
        <v>Learning Thermostat - Existing ASHP heating/cooling SF</v>
      </c>
      <c r="H332" s="2554" t="str">
        <f>'HVAC Deemed Table'!D4621</f>
        <v>SF</v>
      </c>
      <c r="I332" s="3875">
        <f t="shared" si="213"/>
        <v>0</v>
      </c>
      <c r="J332" s="3875">
        <f t="shared" si="214"/>
        <v>0</v>
      </c>
      <c r="K332" s="3876">
        <f>'HVAC Deemed Table'!F4621</f>
        <v>0</v>
      </c>
      <c r="L332" s="3876">
        <f>'HVAC Deemed Table'!F4622</f>
        <v>0</v>
      </c>
      <c r="M332" s="3876"/>
      <c r="N332" s="3876"/>
      <c r="O332" s="3877">
        <f t="shared" si="215"/>
        <v>0</v>
      </c>
      <c r="P332" s="3877">
        <f t="shared" si="216"/>
        <v>0</v>
      </c>
      <c r="Q332" s="3842">
        <f>'HVAC Deemed Table'!I4621</f>
        <v>0</v>
      </c>
      <c r="R332" s="3842">
        <v>0</v>
      </c>
      <c r="S332" s="3842"/>
      <c r="T332" s="3842"/>
      <c r="U332" s="3843">
        <f t="shared" si="174"/>
        <v>0</v>
      </c>
      <c r="V332" s="3843">
        <f t="shared" si="175"/>
        <v>0</v>
      </c>
      <c r="W332" s="3843">
        <f t="shared" si="176"/>
        <v>0</v>
      </c>
      <c r="X332" s="2846">
        <f>'HVAC Deemed Table'!J4621</f>
        <v>11</v>
      </c>
      <c r="Y332" s="2846"/>
      <c r="Z332" s="2846">
        <f t="shared" si="217"/>
        <v>11</v>
      </c>
      <c r="AA332" s="2529">
        <f>'HVAC Deemed Table'!DG4621</f>
        <v>0</v>
      </c>
      <c r="AB332" s="3878">
        <f>'HVAC Deemed Table'!K4621</f>
        <v>79</v>
      </c>
      <c r="AC332" s="3845">
        <f t="shared" si="218"/>
        <v>0</v>
      </c>
      <c r="AD332" s="3845"/>
      <c r="AE332" s="3894">
        <f>'HVAC Deemed Table'!DI4621</f>
        <v>0</v>
      </c>
      <c r="AF332" s="3894">
        <f>'HVAC Deemed Table'!DI4622</f>
        <v>0</v>
      </c>
      <c r="AG332" s="3846"/>
      <c r="AH332" s="3846"/>
      <c r="AI332" s="2233" t="str">
        <f t="shared" si="221"/>
        <v>per measure</v>
      </c>
      <c r="AJ332" s="3220"/>
      <c r="AK332" s="3848"/>
      <c r="AL332" s="3848"/>
      <c r="AX332" s="3849" t="str">
        <f t="shared" ref="AX332" si="224">G332</f>
        <v>Learning Thermostat - Existing ASHP heating/cooling SF</v>
      </c>
      <c r="AY332" s="2724"/>
      <c r="AZ332" s="3850" t="str">
        <f t="shared" ref="AZ332" si="225">A332</f>
        <v>357102</v>
      </c>
      <c r="BA332" s="3866" t="s">
        <v>1303</v>
      </c>
      <c r="BB332" s="3866" t="s">
        <v>1303</v>
      </c>
      <c r="BC332" s="3866" t="s">
        <v>1303</v>
      </c>
      <c r="BD332" s="3866" t="s">
        <v>1303</v>
      </c>
      <c r="BE332" s="3853"/>
      <c r="BF332" s="3866" t="s">
        <v>1303</v>
      </c>
      <c r="BG332" s="3866" t="s">
        <v>1303</v>
      </c>
      <c r="BH332" s="3866" t="s">
        <v>1303</v>
      </c>
      <c r="BI332" s="3867" t="s">
        <v>1303</v>
      </c>
      <c r="BJ332" s="3853"/>
      <c r="BK332" s="3866" t="s">
        <v>1303</v>
      </c>
      <c r="BL332" s="3867" t="s">
        <v>1303</v>
      </c>
      <c r="BM332" s="3866" t="s">
        <v>1303</v>
      </c>
      <c r="BN332" s="3867" t="s">
        <v>1303</v>
      </c>
    </row>
    <row r="333" spans="1:66" s="696" customFormat="1">
      <c r="A333" s="2958" t="str">
        <f t="shared" si="212"/>
        <v>357103</v>
      </c>
      <c r="B333" s="2233" t="str">
        <f>'HVAC Deemed Table'!C4623</f>
        <v>357103_2024_12_</v>
      </c>
      <c r="C333" s="3874" t="str">
        <f>'HVAC Deemed Table'!G4623</f>
        <v>Cooling RES</v>
      </c>
      <c r="D333" s="3874" t="str">
        <f>'HVAC Deemed Table'!G4624</f>
        <v>Heating RES</v>
      </c>
      <c r="E333" s="2724"/>
      <c r="F333" s="2724"/>
      <c r="G333" s="2233" t="str">
        <f>'HVAC Deemed Table'!E4623</f>
        <v>Learning Thermostat - Existing ASHP heating/cooling MF</v>
      </c>
      <c r="H333" s="2554" t="str">
        <f>'HVAC Deemed Table'!D4623</f>
        <v>MF</v>
      </c>
      <c r="I333" s="3875">
        <f t="shared" si="213"/>
        <v>0</v>
      </c>
      <c r="J333" s="3875">
        <f t="shared" si="214"/>
        <v>0</v>
      </c>
      <c r="K333" s="3876">
        <f>'HVAC Deemed Table'!F4623</f>
        <v>0</v>
      </c>
      <c r="L333" s="3876">
        <f>'HVAC Deemed Table'!F4624</f>
        <v>0</v>
      </c>
      <c r="M333" s="3876"/>
      <c r="N333" s="3876"/>
      <c r="O333" s="3877">
        <f t="shared" si="215"/>
        <v>0</v>
      </c>
      <c r="P333" s="3877">
        <f t="shared" si="216"/>
        <v>0</v>
      </c>
      <c r="Q333" s="3842">
        <f>'HVAC Deemed Table'!I4623</f>
        <v>0</v>
      </c>
      <c r="R333" s="3842">
        <v>0</v>
      </c>
      <c r="S333" s="3842"/>
      <c r="T333" s="3842"/>
      <c r="U333" s="3843">
        <f t="shared" si="174"/>
        <v>0</v>
      </c>
      <c r="V333" s="3843">
        <f t="shared" si="175"/>
        <v>0</v>
      </c>
      <c r="W333" s="3843">
        <f t="shared" si="176"/>
        <v>0</v>
      </c>
      <c r="X333" s="2846">
        <f>'HVAC Deemed Table'!J4623</f>
        <v>11</v>
      </c>
      <c r="Y333" s="2846"/>
      <c r="Z333" s="2846">
        <f t="shared" si="217"/>
        <v>11</v>
      </c>
      <c r="AA333" s="2529">
        <f>'HVAC Deemed Table'!DG4623</f>
        <v>0</v>
      </c>
      <c r="AB333" s="3878">
        <f>'HVAC Deemed Table'!K4623</f>
        <v>79</v>
      </c>
      <c r="AC333" s="3845">
        <f t="shared" si="218"/>
        <v>0</v>
      </c>
      <c r="AD333" s="3845"/>
      <c r="AE333" s="3894">
        <f>'HVAC Deemed Table'!DI4623</f>
        <v>0</v>
      </c>
      <c r="AF333" s="3894">
        <f>'HVAC Deemed Table'!DI4624</f>
        <v>0</v>
      </c>
      <c r="AG333" s="3846"/>
      <c r="AH333" s="3846"/>
      <c r="AI333" s="2233" t="str">
        <f t="shared" si="221"/>
        <v>per measure</v>
      </c>
      <c r="AJ333" s="3220"/>
      <c r="AK333" s="3848"/>
      <c r="AL333" s="3848"/>
      <c r="AX333" s="3849" t="str">
        <f t="shared" ref="AX333" si="226">G333</f>
        <v>Learning Thermostat - Existing ASHP heating/cooling MF</v>
      </c>
      <c r="AY333" s="2724"/>
      <c r="AZ333" s="3850" t="str">
        <f t="shared" ref="AZ333" si="227">A333</f>
        <v>357103</v>
      </c>
      <c r="BA333" s="3866" t="s">
        <v>1303</v>
      </c>
      <c r="BB333" s="3866" t="s">
        <v>1303</v>
      </c>
      <c r="BC333" s="3866" t="s">
        <v>1303</v>
      </c>
      <c r="BD333" s="3866" t="s">
        <v>1303</v>
      </c>
      <c r="BE333" s="3853"/>
      <c r="BF333" s="3866" t="s">
        <v>1303</v>
      </c>
      <c r="BG333" s="3866" t="s">
        <v>1303</v>
      </c>
      <c r="BH333" s="3866" t="s">
        <v>1303</v>
      </c>
      <c r="BI333" s="3867" t="s">
        <v>1303</v>
      </c>
      <c r="BJ333" s="3853"/>
      <c r="BK333" s="3866" t="s">
        <v>1303</v>
      </c>
      <c r="BL333" s="3867" t="s">
        <v>1303</v>
      </c>
      <c r="BM333" s="3866" t="s">
        <v>1303</v>
      </c>
      <c r="BN333" s="3867" t="s">
        <v>1303</v>
      </c>
    </row>
    <row r="334" spans="1:66" s="696" customFormat="1">
      <c r="A334" s="2958" t="str">
        <f t="shared" si="212"/>
        <v>357104</v>
      </c>
      <c r="B334" s="2233" t="str">
        <f>'HVAC Deemed Table'!C4625</f>
        <v>357104_2024_12_</v>
      </c>
      <c r="C334" s="3874" t="str">
        <f>'HVAC Deemed Table'!G4625</f>
        <v>Cooling RES</v>
      </c>
      <c r="D334" s="3874" t="str">
        <f>'HVAC Deemed Table'!G4626</f>
        <v>Heating RES</v>
      </c>
      <c r="E334" s="2724"/>
      <c r="F334" s="2724"/>
      <c r="G334" s="2233" t="str">
        <f>'HVAC Deemed Table'!E4625</f>
        <v>Learning Thermostat - electric furnace heating / New Central AC MF</v>
      </c>
      <c r="H334" s="2554" t="str">
        <f>'HVAC Deemed Table'!D4625</f>
        <v>MF</v>
      </c>
      <c r="I334" s="3875">
        <f t="shared" si="213"/>
        <v>0</v>
      </c>
      <c r="J334" s="3875">
        <f t="shared" si="214"/>
        <v>0</v>
      </c>
      <c r="K334" s="3876">
        <f>'HVAC Deemed Table'!F4625</f>
        <v>0</v>
      </c>
      <c r="L334" s="3876">
        <f>'HVAC Deemed Table'!F4626</f>
        <v>0</v>
      </c>
      <c r="M334" s="3876"/>
      <c r="N334" s="3876"/>
      <c r="O334" s="3877">
        <f t="shared" si="215"/>
        <v>0</v>
      </c>
      <c r="P334" s="3877">
        <f t="shared" si="216"/>
        <v>0</v>
      </c>
      <c r="Q334" s="3842">
        <f>'HVAC Deemed Table'!I4625</f>
        <v>0</v>
      </c>
      <c r="R334" s="3842">
        <v>0</v>
      </c>
      <c r="S334" s="3842"/>
      <c r="T334" s="3842"/>
      <c r="U334" s="3843">
        <f t="shared" si="174"/>
        <v>0</v>
      </c>
      <c r="V334" s="3843">
        <f t="shared" si="175"/>
        <v>0</v>
      </c>
      <c r="W334" s="3843">
        <f t="shared" si="176"/>
        <v>0</v>
      </c>
      <c r="X334" s="2846">
        <f>'HVAC Deemed Table'!J4625</f>
        <v>11</v>
      </c>
      <c r="Y334" s="2846"/>
      <c r="Z334" s="2846">
        <f t="shared" si="217"/>
        <v>11</v>
      </c>
      <c r="AA334" s="2529">
        <f>'HVAC Deemed Table'!DG4625</f>
        <v>0</v>
      </c>
      <c r="AB334" s="3878">
        <f>'HVAC Deemed Table'!K4625</f>
        <v>79</v>
      </c>
      <c r="AC334" s="3845">
        <f t="shared" si="218"/>
        <v>0</v>
      </c>
      <c r="AD334" s="3845"/>
      <c r="AE334" s="3894">
        <f>'HVAC Deemed Table'!DI4625</f>
        <v>0</v>
      </c>
      <c r="AF334" s="3894">
        <f>'HVAC Deemed Table'!DI4626</f>
        <v>0</v>
      </c>
      <c r="AG334" s="3846"/>
      <c r="AH334" s="3846"/>
      <c r="AI334" s="2233" t="str">
        <f t="shared" si="221"/>
        <v>per measure</v>
      </c>
      <c r="AJ334" s="3220"/>
      <c r="AK334" s="3848"/>
      <c r="AL334" s="3848"/>
      <c r="AX334" s="3849" t="str">
        <f t="shared" ref="AX334" si="228">G334</f>
        <v>Learning Thermostat - electric furnace heating / New Central AC MF</v>
      </c>
      <c r="AY334" s="2724"/>
      <c r="AZ334" s="3850" t="str">
        <f t="shared" ref="AZ334" si="229">A334</f>
        <v>357104</v>
      </c>
      <c r="BA334" s="3866" t="s">
        <v>1303</v>
      </c>
      <c r="BB334" s="3866" t="s">
        <v>1303</v>
      </c>
      <c r="BC334" s="3866" t="s">
        <v>1303</v>
      </c>
      <c r="BD334" s="3866" t="s">
        <v>1303</v>
      </c>
      <c r="BE334" s="3853"/>
      <c r="BF334" s="3866" t="s">
        <v>1303</v>
      </c>
      <c r="BG334" s="3866" t="s">
        <v>1303</v>
      </c>
      <c r="BH334" s="3866" t="s">
        <v>1303</v>
      </c>
      <c r="BI334" s="3867" t="s">
        <v>1303</v>
      </c>
      <c r="BJ334" s="3853"/>
      <c r="BK334" s="3866" t="s">
        <v>1303</v>
      </c>
      <c r="BL334" s="3867" t="s">
        <v>1303</v>
      </c>
      <c r="BM334" s="3866" t="s">
        <v>1303</v>
      </c>
      <c r="BN334" s="3867" t="s">
        <v>1303</v>
      </c>
    </row>
    <row r="335" spans="1:66" s="696" customFormat="1">
      <c r="A335" s="2958" t="str">
        <f t="shared" si="212"/>
        <v>357105</v>
      </c>
      <c r="B335" s="2233" t="str">
        <f>'HVAC Deemed Table'!C4627</f>
        <v>357105_2024_12_</v>
      </c>
      <c r="C335" s="3874" t="str">
        <f>'HVAC Deemed Table'!G4627</f>
        <v>Cooling RES</v>
      </c>
      <c r="D335" s="3874" t="str">
        <f>'HVAC Deemed Table'!G4628</f>
        <v>Heating RES</v>
      </c>
      <c r="E335" s="2724"/>
      <c r="F335" s="2724"/>
      <c r="G335" s="2233" t="str">
        <f>'HVAC Deemed Table'!E4627</f>
        <v>Learning Thermostat - electric furnace heating / New Central AC SF</v>
      </c>
      <c r="H335" s="2554" t="str">
        <f>'HVAC Deemed Table'!D4627</f>
        <v>SF</v>
      </c>
      <c r="I335" s="3875">
        <f t="shared" si="213"/>
        <v>0</v>
      </c>
      <c r="J335" s="3875">
        <f t="shared" si="214"/>
        <v>0</v>
      </c>
      <c r="K335" s="3876">
        <f>'HVAC Deemed Table'!F4627</f>
        <v>0</v>
      </c>
      <c r="L335" s="3876">
        <f>'HVAC Deemed Table'!F4628</f>
        <v>0</v>
      </c>
      <c r="M335" s="3876"/>
      <c r="N335" s="3876"/>
      <c r="O335" s="3877">
        <f t="shared" si="215"/>
        <v>0</v>
      </c>
      <c r="P335" s="3877">
        <f t="shared" si="216"/>
        <v>0</v>
      </c>
      <c r="Q335" s="3842">
        <f>'HVAC Deemed Table'!I4627</f>
        <v>0</v>
      </c>
      <c r="R335" s="3842">
        <v>0</v>
      </c>
      <c r="S335" s="3842"/>
      <c r="T335" s="3842"/>
      <c r="U335" s="3843">
        <f t="shared" si="174"/>
        <v>0</v>
      </c>
      <c r="V335" s="3843">
        <f t="shared" si="175"/>
        <v>0</v>
      </c>
      <c r="W335" s="3843">
        <f t="shared" si="176"/>
        <v>0</v>
      </c>
      <c r="X335" s="2846">
        <f>'HVAC Deemed Table'!J4627</f>
        <v>11</v>
      </c>
      <c r="Y335" s="2846"/>
      <c r="Z335" s="2846">
        <f t="shared" si="217"/>
        <v>11</v>
      </c>
      <c r="AA335" s="2529">
        <f>'HVAC Deemed Table'!DG4627</f>
        <v>0</v>
      </c>
      <c r="AB335" s="3878">
        <f>'HVAC Deemed Table'!K4627</f>
        <v>79</v>
      </c>
      <c r="AC335" s="3845">
        <f t="shared" si="218"/>
        <v>0</v>
      </c>
      <c r="AD335" s="3845"/>
      <c r="AE335" s="3894">
        <f>'HVAC Deemed Table'!DI4627</f>
        <v>0</v>
      </c>
      <c r="AF335" s="3894">
        <f>'HVAC Deemed Table'!DI4628</f>
        <v>0</v>
      </c>
      <c r="AG335" s="3846"/>
      <c r="AH335" s="3846"/>
      <c r="AI335" s="2233" t="str">
        <f t="shared" si="221"/>
        <v>per measure</v>
      </c>
      <c r="AJ335" s="3220"/>
      <c r="AK335" s="3848"/>
      <c r="AL335" s="3848"/>
      <c r="AX335" s="3849" t="str">
        <f t="shared" ref="AX335" si="230">G335</f>
        <v>Learning Thermostat - electric furnace heating / New Central AC SF</v>
      </c>
      <c r="AY335" s="2724"/>
      <c r="AZ335" s="3850" t="str">
        <f t="shared" ref="AZ335" si="231">A335</f>
        <v>357105</v>
      </c>
      <c r="BA335" s="3866" t="s">
        <v>1303</v>
      </c>
      <c r="BB335" s="3866" t="s">
        <v>1303</v>
      </c>
      <c r="BC335" s="3866" t="s">
        <v>1303</v>
      </c>
      <c r="BD335" s="3866" t="s">
        <v>1303</v>
      </c>
      <c r="BE335" s="3853"/>
      <c r="BF335" s="3866" t="s">
        <v>1303</v>
      </c>
      <c r="BG335" s="3866" t="s">
        <v>1303</v>
      </c>
      <c r="BH335" s="3866" t="s">
        <v>1303</v>
      </c>
      <c r="BI335" s="3867" t="s">
        <v>1303</v>
      </c>
      <c r="BJ335" s="3853"/>
      <c r="BK335" s="3866" t="s">
        <v>1303</v>
      </c>
      <c r="BL335" s="3867" t="s">
        <v>1303</v>
      </c>
      <c r="BM335" s="3866" t="s">
        <v>1303</v>
      </c>
      <c r="BN335" s="3867" t="s">
        <v>1303</v>
      </c>
    </row>
    <row r="336" spans="1:66" s="696" customFormat="1">
      <c r="A336" s="2958" t="str">
        <f t="shared" si="212"/>
        <v>357106</v>
      </c>
      <c r="B336" s="2233" t="str">
        <f>'HVAC Deemed Table'!C4629</f>
        <v>357106_2024_12_</v>
      </c>
      <c r="C336" s="3874" t="str">
        <f>'HVAC Deemed Table'!G4629</f>
        <v>Cooling RES</v>
      </c>
      <c r="D336" s="3874" t="str">
        <f>'HVAC Deemed Table'!G4630</f>
        <v>Heating RES</v>
      </c>
      <c r="E336" s="2724"/>
      <c r="F336" s="2724"/>
      <c r="G336" s="2233" t="str">
        <f>'HVAC Deemed Table'!E4629</f>
        <v>Learning Thermostat - Gas Heated / New Central AC SF**</v>
      </c>
      <c r="H336" s="2554" t="str">
        <f>'HVAC Deemed Table'!D4629</f>
        <v>SF</v>
      </c>
      <c r="I336" s="3875">
        <f t="shared" si="213"/>
        <v>0</v>
      </c>
      <c r="J336" s="3875">
        <f t="shared" si="214"/>
        <v>0</v>
      </c>
      <c r="K336" s="3876">
        <f>'HVAC Deemed Table'!F4629</f>
        <v>0</v>
      </c>
      <c r="L336" s="3876">
        <f>'HVAC Deemed Table'!F4630</f>
        <v>0</v>
      </c>
      <c r="M336" s="3876"/>
      <c r="N336" s="3876"/>
      <c r="O336" s="3877">
        <f t="shared" si="215"/>
        <v>0</v>
      </c>
      <c r="P336" s="3877">
        <f t="shared" si="216"/>
        <v>0</v>
      </c>
      <c r="Q336" s="3842">
        <f>'HVAC Deemed Table'!I4629</f>
        <v>0</v>
      </c>
      <c r="R336" s="3842">
        <v>0</v>
      </c>
      <c r="S336" s="3842"/>
      <c r="T336" s="3842"/>
      <c r="U336" s="3843">
        <f t="shared" si="174"/>
        <v>0</v>
      </c>
      <c r="V336" s="3843">
        <f t="shared" si="175"/>
        <v>0</v>
      </c>
      <c r="W336" s="3843">
        <f t="shared" si="176"/>
        <v>0</v>
      </c>
      <c r="X336" s="2846">
        <f>'HVAC Deemed Table'!J4629</f>
        <v>11</v>
      </c>
      <c r="Y336" s="2846"/>
      <c r="Z336" s="2846">
        <f t="shared" si="217"/>
        <v>11</v>
      </c>
      <c r="AA336" s="2529">
        <f>'HVAC Deemed Table'!DG4629</f>
        <v>0</v>
      </c>
      <c r="AB336" s="3878">
        <f>'HVAC Deemed Table'!K4629</f>
        <v>79</v>
      </c>
      <c r="AC336" s="3845">
        <f t="shared" si="218"/>
        <v>0</v>
      </c>
      <c r="AD336" s="3845"/>
      <c r="AE336" s="3894">
        <f>'HVAC Deemed Table'!DI4629</f>
        <v>0</v>
      </c>
      <c r="AF336" s="3894">
        <f>'HVAC Deemed Table'!DI4630</f>
        <v>0</v>
      </c>
      <c r="AG336" s="3846"/>
      <c r="AH336" s="3846"/>
      <c r="AI336" s="2233" t="str">
        <f t="shared" si="221"/>
        <v>per measure</v>
      </c>
      <c r="AJ336" s="3220"/>
      <c r="AK336" s="3848"/>
      <c r="AL336" s="3848"/>
      <c r="AX336" s="3849" t="str">
        <f t="shared" ref="AX336" si="232">G336</f>
        <v>Learning Thermostat - Gas Heated / New Central AC SF**</v>
      </c>
      <c r="AY336" s="2724"/>
      <c r="AZ336" s="3850" t="str">
        <f t="shared" ref="AZ336" si="233">A336</f>
        <v>357106</v>
      </c>
      <c r="BA336" s="3866" t="s">
        <v>1303</v>
      </c>
      <c r="BB336" s="3866" t="s">
        <v>1303</v>
      </c>
      <c r="BC336" s="3866" t="s">
        <v>1303</v>
      </c>
      <c r="BD336" s="3866" t="s">
        <v>1303</v>
      </c>
      <c r="BE336" s="3853"/>
      <c r="BF336" s="3866" t="s">
        <v>1303</v>
      </c>
      <c r="BG336" s="3866" t="s">
        <v>1303</v>
      </c>
      <c r="BH336" s="3866" t="s">
        <v>1303</v>
      </c>
      <c r="BI336" s="3867" t="s">
        <v>1303</v>
      </c>
      <c r="BJ336" s="3853"/>
      <c r="BK336" s="3866" t="s">
        <v>1303</v>
      </c>
      <c r="BL336" s="3867" t="s">
        <v>1303</v>
      </c>
      <c r="BM336" s="3866" t="s">
        <v>1303</v>
      </c>
      <c r="BN336" s="3867" t="s">
        <v>1303</v>
      </c>
    </row>
    <row r="337" spans="1:66" s="696" customFormat="1">
      <c r="A337" s="2958" t="str">
        <f t="shared" si="212"/>
        <v>357107</v>
      </c>
      <c r="B337" s="2233" t="str">
        <f>'HVAC Deemed Table'!C4631</f>
        <v>357107_2024_12_</v>
      </c>
      <c r="C337" s="3874" t="str">
        <f>'HVAC Deemed Table'!G4631</f>
        <v>Cooling RES</v>
      </c>
      <c r="D337" s="3874" t="str">
        <f>'HVAC Deemed Table'!G4632</f>
        <v>Heating RES</v>
      </c>
      <c r="E337" s="2724"/>
      <c r="F337" s="2724"/>
      <c r="G337" s="2233" t="str">
        <f>'HVAC Deemed Table'!E4631</f>
        <v>Learning Thermostat - Gas Heated / New Central AC MF**</v>
      </c>
      <c r="H337" s="2554" t="str">
        <f>'HVAC Deemed Table'!D4631</f>
        <v>MF</v>
      </c>
      <c r="I337" s="3875">
        <f t="shared" si="213"/>
        <v>0</v>
      </c>
      <c r="J337" s="3875">
        <f t="shared" si="214"/>
        <v>0</v>
      </c>
      <c r="K337" s="3876">
        <f>'HVAC Deemed Table'!F4631</f>
        <v>0</v>
      </c>
      <c r="L337" s="3876">
        <f>'HVAC Deemed Table'!F4632</f>
        <v>0</v>
      </c>
      <c r="M337" s="3876"/>
      <c r="N337" s="3876"/>
      <c r="O337" s="3877">
        <f t="shared" si="215"/>
        <v>0</v>
      </c>
      <c r="P337" s="3877">
        <f t="shared" si="216"/>
        <v>0</v>
      </c>
      <c r="Q337" s="3842">
        <f>'HVAC Deemed Table'!I4631</f>
        <v>0</v>
      </c>
      <c r="R337" s="3842">
        <v>0</v>
      </c>
      <c r="S337" s="3842"/>
      <c r="T337" s="3842"/>
      <c r="U337" s="3843">
        <f t="shared" si="174"/>
        <v>0</v>
      </c>
      <c r="V337" s="3843">
        <f t="shared" si="175"/>
        <v>0</v>
      </c>
      <c r="W337" s="3843">
        <f t="shared" si="176"/>
        <v>0</v>
      </c>
      <c r="X337" s="2846">
        <f>'HVAC Deemed Table'!J4631</f>
        <v>11</v>
      </c>
      <c r="Y337" s="2846"/>
      <c r="Z337" s="2846">
        <f t="shared" si="217"/>
        <v>11</v>
      </c>
      <c r="AA337" s="2529">
        <f>'HVAC Deemed Table'!DG4631</f>
        <v>0</v>
      </c>
      <c r="AB337" s="3878">
        <f>'HVAC Deemed Table'!K4631</f>
        <v>79</v>
      </c>
      <c r="AC337" s="3845">
        <f t="shared" si="218"/>
        <v>0</v>
      </c>
      <c r="AD337" s="3845"/>
      <c r="AE337" s="3894">
        <f>'HVAC Deemed Table'!DI4631</f>
        <v>0</v>
      </c>
      <c r="AF337" s="3894">
        <f>'HVAC Deemed Table'!DI4632</f>
        <v>0</v>
      </c>
      <c r="AG337" s="3846"/>
      <c r="AH337" s="3846"/>
      <c r="AI337" s="2233" t="str">
        <f t="shared" si="221"/>
        <v>per measure</v>
      </c>
      <c r="AJ337" s="3220"/>
      <c r="AK337" s="3848"/>
      <c r="AL337" s="3848"/>
      <c r="AX337" s="3849" t="str">
        <f t="shared" ref="AX337" si="234">G337</f>
        <v>Learning Thermostat - Gas Heated / New Central AC MF**</v>
      </c>
      <c r="AY337" s="2724"/>
      <c r="AZ337" s="3850" t="str">
        <f t="shared" ref="AZ337" si="235">A337</f>
        <v>357107</v>
      </c>
      <c r="BA337" s="3866" t="s">
        <v>1303</v>
      </c>
      <c r="BB337" s="3866" t="s">
        <v>1303</v>
      </c>
      <c r="BC337" s="3866" t="s">
        <v>1303</v>
      </c>
      <c r="BD337" s="3866" t="s">
        <v>1303</v>
      </c>
      <c r="BE337" s="3853"/>
      <c r="BF337" s="3866" t="s">
        <v>1303</v>
      </c>
      <c r="BG337" s="3866" t="s">
        <v>1303</v>
      </c>
      <c r="BH337" s="3866" t="s">
        <v>1303</v>
      </c>
      <c r="BI337" s="3867" t="s">
        <v>1303</v>
      </c>
      <c r="BJ337" s="3853"/>
      <c r="BK337" s="3866" t="s">
        <v>1303</v>
      </c>
      <c r="BL337" s="3867" t="s">
        <v>1303</v>
      </c>
      <c r="BM337" s="3866" t="s">
        <v>1303</v>
      </c>
      <c r="BN337" s="3867" t="s">
        <v>1303</v>
      </c>
    </row>
    <row r="338" spans="1:66" s="696" customFormat="1">
      <c r="A338" s="2958" t="str">
        <f t="shared" si="212"/>
        <v>357108</v>
      </c>
      <c r="B338" s="2233" t="str">
        <f>'HVAC Deemed Table'!C4633</f>
        <v>357108_2024_12_</v>
      </c>
      <c r="C338" s="3874" t="str">
        <f>'HVAC Deemed Table'!G4633</f>
        <v>Cooling RES</v>
      </c>
      <c r="D338" s="3874" t="str">
        <f>'HVAC Deemed Table'!G4634</f>
        <v>Heating RES</v>
      </c>
      <c r="E338" s="2724"/>
      <c r="F338" s="2724"/>
      <c r="G338" s="2233" t="str">
        <f>'HVAC Deemed Table'!E4633</f>
        <v>Learning Thermostat - electric furnace heating / Existing Central AC MF</v>
      </c>
      <c r="H338" s="2554" t="str">
        <f>'HVAC Deemed Table'!D4633</f>
        <v>MF</v>
      </c>
      <c r="I338" s="3875">
        <f t="shared" si="213"/>
        <v>0</v>
      </c>
      <c r="J338" s="3875">
        <f t="shared" si="214"/>
        <v>0</v>
      </c>
      <c r="K338" s="3876">
        <f>'HVAC Deemed Table'!F4633</f>
        <v>0</v>
      </c>
      <c r="L338" s="3876">
        <f>'HVAC Deemed Table'!F4634</f>
        <v>0</v>
      </c>
      <c r="M338" s="3876"/>
      <c r="N338" s="3876"/>
      <c r="O338" s="3877">
        <f t="shared" si="215"/>
        <v>0</v>
      </c>
      <c r="P338" s="3877">
        <f t="shared" si="216"/>
        <v>0</v>
      </c>
      <c r="Q338" s="3842">
        <f>'HVAC Deemed Table'!I4633</f>
        <v>0</v>
      </c>
      <c r="R338" s="3842">
        <v>0</v>
      </c>
      <c r="S338" s="3842"/>
      <c r="T338" s="3842"/>
      <c r="U338" s="3843">
        <f t="shared" ref="U338:U401" si="236">IFERROR(IF(V338+W338&gt;0,0,IF(Z338&gt;0,O338,0)),0)</f>
        <v>0</v>
      </c>
      <c r="V338" s="3843">
        <f t="shared" ref="V338:V401" si="237">IF(W338&gt;0,0,IF(Z338&gt;9,O338,0))</f>
        <v>0</v>
      </c>
      <c r="W338" s="3843">
        <f t="shared" ref="W338:W401" si="238">IF(Z338&gt;14,O338,0)</f>
        <v>0</v>
      </c>
      <c r="X338" s="2846">
        <f>'HVAC Deemed Table'!J4633</f>
        <v>11</v>
      </c>
      <c r="Y338" s="2846"/>
      <c r="Z338" s="2846">
        <f t="shared" si="217"/>
        <v>11</v>
      </c>
      <c r="AA338" s="2529">
        <f>'HVAC Deemed Table'!DG4633</f>
        <v>0</v>
      </c>
      <c r="AB338" s="3878">
        <f>'HVAC Deemed Table'!K4633</f>
        <v>79</v>
      </c>
      <c r="AC338" s="3845">
        <f t="shared" si="218"/>
        <v>0</v>
      </c>
      <c r="AD338" s="3845"/>
      <c r="AE338" s="3894">
        <f>'HVAC Deemed Table'!DI4633</f>
        <v>0</v>
      </c>
      <c r="AF338" s="3894">
        <f>'HVAC Deemed Table'!DI4634</f>
        <v>0</v>
      </c>
      <c r="AG338" s="3846"/>
      <c r="AH338" s="3846"/>
      <c r="AI338" s="2233" t="str">
        <f t="shared" si="221"/>
        <v>per measure</v>
      </c>
      <c r="AJ338" s="3220"/>
      <c r="AK338" s="3848"/>
      <c r="AL338" s="3848"/>
      <c r="AX338" s="3849" t="str">
        <f t="shared" ref="AX338" si="239">G338</f>
        <v>Learning Thermostat - electric furnace heating / Existing Central AC MF</v>
      </c>
      <c r="AY338" s="2724"/>
      <c r="AZ338" s="3850" t="str">
        <f t="shared" ref="AZ338" si="240">A338</f>
        <v>357108</v>
      </c>
      <c r="BA338" s="3866" t="s">
        <v>1303</v>
      </c>
      <c r="BB338" s="3866" t="s">
        <v>1303</v>
      </c>
      <c r="BC338" s="3866" t="s">
        <v>1303</v>
      </c>
      <c r="BD338" s="3866" t="s">
        <v>1303</v>
      </c>
      <c r="BE338" s="3853"/>
      <c r="BF338" s="3866" t="s">
        <v>1303</v>
      </c>
      <c r="BG338" s="3866" t="s">
        <v>1303</v>
      </c>
      <c r="BH338" s="3866" t="s">
        <v>1303</v>
      </c>
      <c r="BI338" s="3867" t="s">
        <v>1303</v>
      </c>
      <c r="BJ338" s="3853"/>
      <c r="BK338" s="3866" t="s">
        <v>1303</v>
      </c>
      <c r="BL338" s="3867" t="s">
        <v>1303</v>
      </c>
      <c r="BM338" s="3866" t="s">
        <v>1303</v>
      </c>
      <c r="BN338" s="3867" t="s">
        <v>1303</v>
      </c>
    </row>
    <row r="339" spans="1:66" s="696" customFormat="1">
      <c r="A339" s="2958" t="str">
        <f t="shared" si="212"/>
        <v>357109</v>
      </c>
      <c r="B339" s="2233" t="str">
        <f>'HVAC Deemed Table'!C4635</f>
        <v>357109_2024_12_</v>
      </c>
      <c r="C339" s="3874" t="str">
        <f>'HVAC Deemed Table'!G4635</f>
        <v>Cooling RES</v>
      </c>
      <c r="D339" s="3874" t="str">
        <f>'HVAC Deemed Table'!G4636</f>
        <v>Heating RES</v>
      </c>
      <c r="E339" s="2724"/>
      <c r="F339" s="2724"/>
      <c r="G339" s="2233" t="str">
        <f>'HVAC Deemed Table'!E4635</f>
        <v>Learning Thermostat - electric furnace heating / Existing Central AC SF</v>
      </c>
      <c r="H339" s="2554" t="str">
        <f>'HVAC Deemed Table'!D4635</f>
        <v>SF</v>
      </c>
      <c r="I339" s="3875">
        <f t="shared" si="213"/>
        <v>0</v>
      </c>
      <c r="J339" s="3875">
        <f t="shared" si="214"/>
        <v>0</v>
      </c>
      <c r="K339" s="3876">
        <f>'HVAC Deemed Table'!F4635</f>
        <v>0</v>
      </c>
      <c r="L339" s="3876">
        <f>'HVAC Deemed Table'!F4636</f>
        <v>0</v>
      </c>
      <c r="M339" s="3876"/>
      <c r="N339" s="3876"/>
      <c r="O339" s="3877">
        <f t="shared" si="215"/>
        <v>0</v>
      </c>
      <c r="P339" s="3877">
        <f t="shared" si="216"/>
        <v>0</v>
      </c>
      <c r="Q339" s="3842">
        <f>'HVAC Deemed Table'!I4635</f>
        <v>0</v>
      </c>
      <c r="R339" s="3842">
        <v>0</v>
      </c>
      <c r="S339" s="3842"/>
      <c r="T339" s="3842"/>
      <c r="U339" s="3843">
        <f t="shared" si="236"/>
        <v>0</v>
      </c>
      <c r="V339" s="3843">
        <f t="shared" si="237"/>
        <v>0</v>
      </c>
      <c r="W339" s="3843">
        <f t="shared" si="238"/>
        <v>0</v>
      </c>
      <c r="X339" s="2846">
        <f>'HVAC Deemed Table'!J4635</f>
        <v>11</v>
      </c>
      <c r="Y339" s="2846"/>
      <c r="Z339" s="2846">
        <f t="shared" si="217"/>
        <v>11</v>
      </c>
      <c r="AA339" s="2529">
        <f>'HVAC Deemed Table'!DG4635</f>
        <v>0</v>
      </c>
      <c r="AB339" s="3878">
        <f>'HVAC Deemed Table'!K4635</f>
        <v>79</v>
      </c>
      <c r="AC339" s="3845">
        <f t="shared" si="218"/>
        <v>0</v>
      </c>
      <c r="AD339" s="3845"/>
      <c r="AE339" s="3894">
        <f>'HVAC Deemed Table'!DI4635</f>
        <v>0</v>
      </c>
      <c r="AF339" s="3894">
        <f>'HVAC Deemed Table'!DI4636</f>
        <v>0</v>
      </c>
      <c r="AG339" s="3846"/>
      <c r="AH339" s="3846"/>
      <c r="AI339" s="2233" t="str">
        <f t="shared" si="221"/>
        <v>per measure</v>
      </c>
      <c r="AJ339" s="3220"/>
      <c r="AK339" s="3848"/>
      <c r="AL339" s="3848"/>
      <c r="AX339" s="3849" t="str">
        <f t="shared" ref="AX339" si="241">G339</f>
        <v>Learning Thermostat - electric furnace heating / Existing Central AC SF</v>
      </c>
      <c r="AY339" s="2724"/>
      <c r="AZ339" s="3850" t="str">
        <f t="shared" ref="AZ339" si="242">A339</f>
        <v>357109</v>
      </c>
      <c r="BA339" s="3866" t="s">
        <v>1303</v>
      </c>
      <c r="BB339" s="3866" t="s">
        <v>1303</v>
      </c>
      <c r="BC339" s="3866" t="s">
        <v>1303</v>
      </c>
      <c r="BD339" s="3866" t="s">
        <v>1303</v>
      </c>
      <c r="BE339" s="3853"/>
      <c r="BF339" s="3866" t="s">
        <v>1303</v>
      </c>
      <c r="BG339" s="3866" t="s">
        <v>1303</v>
      </c>
      <c r="BH339" s="3866" t="s">
        <v>1303</v>
      </c>
      <c r="BI339" s="3867" t="s">
        <v>1303</v>
      </c>
      <c r="BJ339" s="3853"/>
      <c r="BK339" s="3866" t="s">
        <v>1303</v>
      </c>
      <c r="BL339" s="3867" t="s">
        <v>1303</v>
      </c>
      <c r="BM339" s="3866" t="s">
        <v>1303</v>
      </c>
      <c r="BN339" s="3867" t="s">
        <v>1303</v>
      </c>
    </row>
    <row r="340" spans="1:66" s="696" customFormat="1">
      <c r="A340" s="2958" t="str">
        <f t="shared" si="212"/>
        <v>357110</v>
      </c>
      <c r="B340" s="2233" t="str">
        <f>'HVAC Deemed Table'!C4637</f>
        <v>357110_2024_12_</v>
      </c>
      <c r="C340" s="3874" t="str">
        <f>'HVAC Deemed Table'!G4637</f>
        <v>Cooling RES</v>
      </c>
      <c r="D340" s="3874" t="str">
        <f>'HVAC Deemed Table'!G4638</f>
        <v>Heating RES</v>
      </c>
      <c r="E340" s="2724"/>
      <c r="F340" s="2724"/>
      <c r="G340" s="2233" t="str">
        <f>'HVAC Deemed Table'!E4637</f>
        <v>Learning Thermostat - Gas Heated / Existing Central AC SF**</v>
      </c>
      <c r="H340" s="2554" t="str">
        <f>'HVAC Deemed Table'!D4637</f>
        <v>SF</v>
      </c>
      <c r="I340" s="3875">
        <f t="shared" si="213"/>
        <v>0</v>
      </c>
      <c r="J340" s="3875">
        <f t="shared" si="214"/>
        <v>0</v>
      </c>
      <c r="K340" s="3876">
        <f>'HVAC Deemed Table'!F4637</f>
        <v>0</v>
      </c>
      <c r="L340" s="3876">
        <f>'HVAC Deemed Table'!F4638</f>
        <v>0</v>
      </c>
      <c r="M340" s="3876"/>
      <c r="N340" s="3876"/>
      <c r="O340" s="3877">
        <f t="shared" si="215"/>
        <v>0</v>
      </c>
      <c r="P340" s="3877">
        <f t="shared" si="216"/>
        <v>0</v>
      </c>
      <c r="Q340" s="3842">
        <f>'HVAC Deemed Table'!I4637</f>
        <v>0</v>
      </c>
      <c r="R340" s="3842">
        <v>0</v>
      </c>
      <c r="S340" s="3842"/>
      <c r="T340" s="3842"/>
      <c r="U340" s="3843">
        <f t="shared" si="236"/>
        <v>0</v>
      </c>
      <c r="V340" s="3843">
        <f t="shared" si="237"/>
        <v>0</v>
      </c>
      <c r="W340" s="3843">
        <f t="shared" si="238"/>
        <v>0</v>
      </c>
      <c r="X340" s="2846">
        <f>'HVAC Deemed Table'!J4637</f>
        <v>11</v>
      </c>
      <c r="Y340" s="2846"/>
      <c r="Z340" s="2846">
        <f t="shared" si="217"/>
        <v>11</v>
      </c>
      <c r="AA340" s="2529">
        <f>'HVAC Deemed Table'!DG4637</f>
        <v>0</v>
      </c>
      <c r="AB340" s="3878">
        <f>'HVAC Deemed Table'!K4637</f>
        <v>79</v>
      </c>
      <c r="AC340" s="3845">
        <f t="shared" si="218"/>
        <v>0</v>
      </c>
      <c r="AD340" s="3845"/>
      <c r="AE340" s="3894">
        <f>'HVAC Deemed Table'!DI4637</f>
        <v>0</v>
      </c>
      <c r="AF340" s="3894">
        <f>'HVAC Deemed Table'!DI4638</f>
        <v>0</v>
      </c>
      <c r="AG340" s="3846"/>
      <c r="AH340" s="3846"/>
      <c r="AI340" s="2233" t="str">
        <f t="shared" si="221"/>
        <v>per measure</v>
      </c>
      <c r="AJ340" s="3220"/>
      <c r="AK340" s="3848"/>
      <c r="AL340" s="3848"/>
      <c r="AX340" s="3849" t="str">
        <f t="shared" ref="AX340" si="243">G340</f>
        <v>Learning Thermostat - Gas Heated / Existing Central AC SF**</v>
      </c>
      <c r="AY340" s="2724"/>
      <c r="AZ340" s="3850" t="str">
        <f t="shared" ref="AZ340" si="244">A340</f>
        <v>357110</v>
      </c>
      <c r="BA340" s="3866" t="s">
        <v>1303</v>
      </c>
      <c r="BB340" s="3866" t="s">
        <v>1303</v>
      </c>
      <c r="BC340" s="3866" t="s">
        <v>1303</v>
      </c>
      <c r="BD340" s="3866" t="s">
        <v>1303</v>
      </c>
      <c r="BE340" s="3853"/>
      <c r="BF340" s="3866" t="s">
        <v>1303</v>
      </c>
      <c r="BG340" s="3866" t="s">
        <v>1303</v>
      </c>
      <c r="BH340" s="3866" t="s">
        <v>1303</v>
      </c>
      <c r="BI340" s="3867" t="s">
        <v>1303</v>
      </c>
      <c r="BJ340" s="3853"/>
      <c r="BK340" s="3866" t="s">
        <v>1303</v>
      </c>
      <c r="BL340" s="3867" t="s">
        <v>1303</v>
      </c>
      <c r="BM340" s="3866" t="s">
        <v>1303</v>
      </c>
      <c r="BN340" s="3867" t="s">
        <v>1303</v>
      </c>
    </row>
    <row r="341" spans="1:66" s="696" customFormat="1">
      <c r="A341" s="2958" t="str">
        <f t="shared" si="212"/>
        <v>357111</v>
      </c>
      <c r="B341" s="2233" t="str">
        <f>'HVAC Deemed Table'!C4639</f>
        <v>357111_2024_12_</v>
      </c>
      <c r="C341" s="3874" t="str">
        <f>'HVAC Deemed Table'!G4639</f>
        <v>Cooling RES</v>
      </c>
      <c r="D341" s="3874" t="str">
        <f>'HVAC Deemed Table'!G4640</f>
        <v>Heating RES</v>
      </c>
      <c r="E341" s="2724"/>
      <c r="F341" s="2724"/>
      <c r="G341" s="2233" t="str">
        <f>'HVAC Deemed Table'!E4639</f>
        <v>Learning Thermostat - Gas Heated / Existing Central AC MF**</v>
      </c>
      <c r="H341" s="2554" t="str">
        <f>'HVAC Deemed Table'!D4639</f>
        <v>MF</v>
      </c>
      <c r="I341" s="3875">
        <f t="shared" si="213"/>
        <v>0</v>
      </c>
      <c r="J341" s="3875">
        <f t="shared" si="214"/>
        <v>0</v>
      </c>
      <c r="K341" s="3876">
        <f>'HVAC Deemed Table'!F4639</f>
        <v>0</v>
      </c>
      <c r="L341" s="3876">
        <f>'HVAC Deemed Table'!F4640</f>
        <v>0</v>
      </c>
      <c r="M341" s="3876"/>
      <c r="N341" s="3876"/>
      <c r="O341" s="3877">
        <f t="shared" si="215"/>
        <v>0</v>
      </c>
      <c r="P341" s="3877">
        <f t="shared" si="216"/>
        <v>0</v>
      </c>
      <c r="Q341" s="3842">
        <f>'HVAC Deemed Table'!I4639</f>
        <v>0</v>
      </c>
      <c r="R341" s="3842">
        <v>0</v>
      </c>
      <c r="S341" s="3842"/>
      <c r="T341" s="3842"/>
      <c r="U341" s="3843">
        <f t="shared" si="236"/>
        <v>0</v>
      </c>
      <c r="V341" s="3843">
        <f t="shared" si="237"/>
        <v>0</v>
      </c>
      <c r="W341" s="3843">
        <f t="shared" si="238"/>
        <v>0</v>
      </c>
      <c r="X341" s="2846">
        <f>'HVAC Deemed Table'!J4639</f>
        <v>11</v>
      </c>
      <c r="Y341" s="2846"/>
      <c r="Z341" s="2846">
        <f t="shared" si="217"/>
        <v>11</v>
      </c>
      <c r="AA341" s="2529">
        <f>'HVAC Deemed Table'!DG4639</f>
        <v>0</v>
      </c>
      <c r="AB341" s="3878">
        <f>'HVAC Deemed Table'!K4639</f>
        <v>79</v>
      </c>
      <c r="AC341" s="3845">
        <f t="shared" si="218"/>
        <v>0</v>
      </c>
      <c r="AD341" s="3845"/>
      <c r="AE341" s="3894">
        <f>'HVAC Deemed Table'!DI4639</f>
        <v>0</v>
      </c>
      <c r="AF341" s="3894">
        <f>'HVAC Deemed Table'!DI4640</f>
        <v>0</v>
      </c>
      <c r="AG341" s="3846"/>
      <c r="AH341" s="3846"/>
      <c r="AI341" s="2233" t="str">
        <f t="shared" si="221"/>
        <v>per measure</v>
      </c>
      <c r="AJ341" s="3220"/>
      <c r="AK341" s="3848"/>
      <c r="AL341" s="3848"/>
      <c r="AX341" s="3849" t="str">
        <f t="shared" ref="AX341" si="245">G341</f>
        <v>Learning Thermostat - Gas Heated / Existing Central AC MF**</v>
      </c>
      <c r="AY341" s="2724"/>
      <c r="AZ341" s="3850" t="str">
        <f t="shared" ref="AZ341" si="246">A341</f>
        <v>357111</v>
      </c>
      <c r="BA341" s="3866" t="s">
        <v>1303</v>
      </c>
      <c r="BB341" s="3866" t="s">
        <v>1303</v>
      </c>
      <c r="BC341" s="3866" t="s">
        <v>1303</v>
      </c>
      <c r="BD341" s="3866" t="s">
        <v>1303</v>
      </c>
      <c r="BE341" s="3853"/>
      <c r="BF341" s="3866" t="s">
        <v>1303</v>
      </c>
      <c r="BG341" s="3866" t="s">
        <v>1303</v>
      </c>
      <c r="BH341" s="3866" t="s">
        <v>1303</v>
      </c>
      <c r="BI341" s="3867" t="s">
        <v>1303</v>
      </c>
      <c r="BJ341" s="3853"/>
      <c r="BK341" s="3866" t="s">
        <v>1303</v>
      </c>
      <c r="BL341" s="3867" t="s">
        <v>1303</v>
      </c>
      <c r="BM341" s="3866" t="s">
        <v>1303</v>
      </c>
      <c r="BN341" s="3867" t="s">
        <v>1303</v>
      </c>
    </row>
    <row r="342" spans="1:66" s="696" customFormat="1">
      <c r="A342" s="2958" t="str">
        <f t="shared" si="212"/>
        <v>357112</v>
      </c>
      <c r="B342" s="2233" t="str">
        <f>'HVAC Deemed Table'!C4641</f>
        <v>357112_2024_12_</v>
      </c>
      <c r="C342" s="3874" t="str">
        <f>'HVAC Deemed Table'!G4641</f>
        <v>Cooling RES</v>
      </c>
      <c r="D342" s="3874" t="str">
        <f>'HVAC Deemed Table'!G4642</f>
        <v>Heating RES</v>
      </c>
      <c r="E342" s="2724"/>
      <c r="F342" s="2724"/>
      <c r="G342" s="2233" t="str">
        <f>'HVAC Deemed Table'!E4641</f>
        <v>Learning Thermostat - Unknown SF**</v>
      </c>
      <c r="H342" s="2554" t="str">
        <f>'HVAC Deemed Table'!D4641</f>
        <v>SF</v>
      </c>
      <c r="I342" s="3875">
        <f t="shared" si="213"/>
        <v>0</v>
      </c>
      <c r="J342" s="3875">
        <f t="shared" si="214"/>
        <v>0</v>
      </c>
      <c r="K342" s="3876">
        <f>'HVAC Deemed Table'!F4641</f>
        <v>0</v>
      </c>
      <c r="L342" s="3876">
        <f>'HVAC Deemed Table'!F4642</f>
        <v>0</v>
      </c>
      <c r="M342" s="3876"/>
      <c r="N342" s="3876"/>
      <c r="O342" s="3877">
        <f t="shared" si="215"/>
        <v>0</v>
      </c>
      <c r="P342" s="3877">
        <f t="shared" si="216"/>
        <v>0</v>
      </c>
      <c r="Q342" s="3842">
        <f>'HVAC Deemed Table'!I4641</f>
        <v>0</v>
      </c>
      <c r="R342" s="3842">
        <v>0</v>
      </c>
      <c r="S342" s="3842"/>
      <c r="T342" s="3842"/>
      <c r="U342" s="3843">
        <f t="shared" si="236"/>
        <v>0</v>
      </c>
      <c r="V342" s="3843">
        <f t="shared" si="237"/>
        <v>0</v>
      </c>
      <c r="W342" s="3843">
        <f t="shared" si="238"/>
        <v>0</v>
      </c>
      <c r="X342" s="2846">
        <f>'HVAC Deemed Table'!J4641</f>
        <v>11</v>
      </c>
      <c r="Y342" s="2846"/>
      <c r="Z342" s="2846">
        <f t="shared" si="217"/>
        <v>11</v>
      </c>
      <c r="AA342" s="2529">
        <f>'HVAC Deemed Table'!DG4641</f>
        <v>0</v>
      </c>
      <c r="AB342" s="3878">
        <f>'HVAC Deemed Table'!K4641</f>
        <v>79</v>
      </c>
      <c r="AC342" s="3845">
        <f t="shared" si="218"/>
        <v>0</v>
      </c>
      <c r="AD342" s="3845"/>
      <c r="AE342" s="3894">
        <f>'HVAC Deemed Table'!DI4641</f>
        <v>0</v>
      </c>
      <c r="AF342" s="3894">
        <f>'HVAC Deemed Table'!DI4642</f>
        <v>0</v>
      </c>
      <c r="AG342" s="3846"/>
      <c r="AH342" s="3846"/>
      <c r="AI342" s="2233" t="str">
        <f t="shared" si="221"/>
        <v>per measure</v>
      </c>
      <c r="AJ342" s="3220"/>
      <c r="AK342" s="3848"/>
      <c r="AL342" s="3848"/>
      <c r="AX342" s="3849" t="str">
        <f t="shared" ref="AX342" si="247">G342</f>
        <v>Learning Thermostat - Unknown SF**</v>
      </c>
      <c r="AY342" s="2724"/>
      <c r="AZ342" s="3850" t="str">
        <f t="shared" ref="AZ342" si="248">A342</f>
        <v>357112</v>
      </c>
      <c r="BA342" s="3866" t="s">
        <v>1303</v>
      </c>
      <c r="BB342" s="3866" t="s">
        <v>1303</v>
      </c>
      <c r="BC342" s="3866" t="s">
        <v>1303</v>
      </c>
      <c r="BD342" s="3866" t="s">
        <v>1303</v>
      </c>
      <c r="BE342" s="3853"/>
      <c r="BF342" s="3866" t="s">
        <v>1303</v>
      </c>
      <c r="BG342" s="3866" t="s">
        <v>1303</v>
      </c>
      <c r="BH342" s="3866" t="s">
        <v>1303</v>
      </c>
      <c r="BI342" s="3867" t="s">
        <v>1303</v>
      </c>
      <c r="BJ342" s="3853"/>
      <c r="BK342" s="3866" t="s">
        <v>1303</v>
      </c>
      <c r="BL342" s="3867" t="s">
        <v>1303</v>
      </c>
      <c r="BM342" s="3866" t="s">
        <v>1303</v>
      </c>
      <c r="BN342" s="3867" t="s">
        <v>1303</v>
      </c>
    </row>
    <row r="343" spans="1:66" s="696" customFormat="1">
      <c r="A343" s="2958" t="str">
        <f t="shared" si="212"/>
        <v>357113</v>
      </c>
      <c r="B343" s="2233" t="str">
        <f>'HVAC Deemed Table'!C4643</f>
        <v>357113_2024_12_</v>
      </c>
      <c r="C343" s="3874" t="str">
        <f>'HVAC Deemed Table'!G4643</f>
        <v>Cooling RES</v>
      </c>
      <c r="D343" s="3874" t="str">
        <f>'HVAC Deemed Table'!G4644</f>
        <v>Heating RES</v>
      </c>
      <c r="E343" s="2724"/>
      <c r="F343" s="2724"/>
      <c r="G343" s="2233" t="str">
        <f>'HVAC Deemed Table'!E4643</f>
        <v>Learning Thermostat - Unknown MF**</v>
      </c>
      <c r="H343" s="2554" t="str">
        <f>'HVAC Deemed Table'!D4643</f>
        <v>MF</v>
      </c>
      <c r="I343" s="3875">
        <f t="shared" si="213"/>
        <v>0</v>
      </c>
      <c r="J343" s="3875">
        <f t="shared" si="214"/>
        <v>0</v>
      </c>
      <c r="K343" s="3876">
        <f>'HVAC Deemed Table'!F4643</f>
        <v>0</v>
      </c>
      <c r="L343" s="3876">
        <f>'HVAC Deemed Table'!F4644</f>
        <v>0</v>
      </c>
      <c r="M343" s="3876"/>
      <c r="N343" s="3876"/>
      <c r="O343" s="3877">
        <f t="shared" si="215"/>
        <v>0</v>
      </c>
      <c r="P343" s="3877">
        <f t="shared" si="216"/>
        <v>0</v>
      </c>
      <c r="Q343" s="3842">
        <f>'HVAC Deemed Table'!I4643</f>
        <v>0</v>
      </c>
      <c r="R343" s="3842">
        <v>0</v>
      </c>
      <c r="S343" s="3842"/>
      <c r="T343" s="3842"/>
      <c r="U343" s="3843">
        <f t="shared" si="236"/>
        <v>0</v>
      </c>
      <c r="V343" s="3843">
        <f t="shared" si="237"/>
        <v>0</v>
      </c>
      <c r="W343" s="3843">
        <f t="shared" si="238"/>
        <v>0</v>
      </c>
      <c r="X343" s="2846">
        <f>'HVAC Deemed Table'!J4643</f>
        <v>11</v>
      </c>
      <c r="Y343" s="2846"/>
      <c r="Z343" s="2846">
        <f t="shared" si="217"/>
        <v>11</v>
      </c>
      <c r="AA343" s="2529">
        <f>'HVAC Deemed Table'!DG4643</f>
        <v>0</v>
      </c>
      <c r="AB343" s="3878">
        <f>'HVAC Deemed Table'!K4643</f>
        <v>79</v>
      </c>
      <c r="AC343" s="3845">
        <f t="shared" si="218"/>
        <v>0</v>
      </c>
      <c r="AD343" s="3845"/>
      <c r="AE343" s="3894">
        <f>'HVAC Deemed Table'!DI4643</f>
        <v>0</v>
      </c>
      <c r="AF343" s="3894">
        <f>'HVAC Deemed Table'!DI4644</f>
        <v>0</v>
      </c>
      <c r="AG343" s="3846"/>
      <c r="AH343" s="3846"/>
      <c r="AI343" s="2233" t="str">
        <f t="shared" si="221"/>
        <v>per measure</v>
      </c>
      <c r="AJ343" s="3220"/>
      <c r="AK343" s="3848"/>
      <c r="AL343" s="3848"/>
      <c r="AX343" s="3849" t="str">
        <f t="shared" ref="AX343" si="249">G343</f>
        <v>Learning Thermostat - Unknown MF**</v>
      </c>
      <c r="AY343" s="2724"/>
      <c r="AZ343" s="3850" t="str">
        <f t="shared" ref="AZ343" si="250">A343</f>
        <v>357113</v>
      </c>
      <c r="BA343" s="3866" t="s">
        <v>1303</v>
      </c>
      <c r="BB343" s="3866" t="s">
        <v>1303</v>
      </c>
      <c r="BC343" s="3866" t="s">
        <v>1303</v>
      </c>
      <c r="BD343" s="3866" t="s">
        <v>1303</v>
      </c>
      <c r="BE343" s="3853"/>
      <c r="BF343" s="3866" t="s">
        <v>1303</v>
      </c>
      <c r="BG343" s="3866" t="s">
        <v>1303</v>
      </c>
      <c r="BH343" s="3866" t="s">
        <v>1303</v>
      </c>
      <c r="BI343" s="3867" t="s">
        <v>1303</v>
      </c>
      <c r="BJ343" s="3853"/>
      <c r="BK343" s="3866" t="s">
        <v>1303</v>
      </c>
      <c r="BL343" s="3867" t="s">
        <v>1303</v>
      </c>
      <c r="BM343" s="3866" t="s">
        <v>1303</v>
      </c>
      <c r="BN343" s="3867" t="s">
        <v>1303</v>
      </c>
    </row>
    <row r="344" spans="1:66" s="696" customFormat="1">
      <c r="A344" s="2958" t="str">
        <f t="shared" si="197"/>
        <v>400050</v>
      </c>
      <c r="B344" s="2233" t="str">
        <f>'Income Eligible Deemed Table'!C7</f>
        <v>400050_2024_12_</v>
      </c>
      <c r="C344" s="3874" t="str">
        <f>'Income Eligible Deemed Table'!G7</f>
        <v>Cooling RES</v>
      </c>
      <c r="D344" s="2724"/>
      <c r="E344" s="2724"/>
      <c r="F344" s="2724"/>
      <c r="G344" s="2724" t="str">
        <f>'Income Eligible Deemed Table'!E7</f>
        <v>AC General Tune-Up (no charge or coil clean) SF</v>
      </c>
      <c r="H344" s="2554" t="str">
        <f>'Income Eligible Deemed Table'!D7</f>
        <v>SFIE</v>
      </c>
      <c r="I344" s="3840">
        <f t="shared" ref="I344:I358" si="251">K344+L344</f>
        <v>141.78</v>
      </c>
      <c r="J344" s="3840">
        <f t="shared" ref="J344:J399" si="252">M344+N344</f>
        <v>0</v>
      </c>
      <c r="K344" s="3251">
        <f>'Income Eligible Deemed Table'!F7</f>
        <v>141.78</v>
      </c>
      <c r="L344" s="3251"/>
      <c r="M344" s="3251"/>
      <c r="N344" s="3251"/>
      <c r="O344" s="3841">
        <f t="shared" ref="O344:O358" si="253">Q344+R344</f>
        <v>0.134325</v>
      </c>
      <c r="P344" s="3841">
        <f t="shared" ref="P344:P397" si="254">S344+T344</f>
        <v>0</v>
      </c>
      <c r="Q344" s="3842">
        <f>'Income Eligible Deemed Table'!I7</f>
        <v>0.134325</v>
      </c>
      <c r="R344" s="3842"/>
      <c r="S344" s="3842"/>
      <c r="T344" s="3842"/>
      <c r="U344" s="3843">
        <f t="shared" si="236"/>
        <v>0.134325</v>
      </c>
      <c r="V344" s="3843">
        <f t="shared" si="237"/>
        <v>0</v>
      </c>
      <c r="W344" s="3843">
        <f t="shared" si="238"/>
        <v>0</v>
      </c>
      <c r="X344" s="2846">
        <f>'Income Eligible Deemed Table'!J7</f>
        <v>2</v>
      </c>
      <c r="Y344" s="2846"/>
      <c r="Z344" s="2846">
        <f t="shared" si="198"/>
        <v>2</v>
      </c>
      <c r="AA344" s="2529">
        <f>'Income Eligible Deemed Table'!DG7</f>
        <v>0.75733546127340157</v>
      </c>
      <c r="AB344" s="3878">
        <f>'Income Eligible Deemed Table'!K7</f>
        <v>70</v>
      </c>
      <c r="AC344" s="3864">
        <f t="shared" si="199"/>
        <v>53.013482289138111</v>
      </c>
      <c r="AD344" s="3864">
        <f t="shared" ref="AD344:AD393" si="255">AG344+AH344</f>
        <v>0</v>
      </c>
      <c r="AE344" s="3865">
        <f>'Income Eligible Deemed Table'!DI7</f>
        <v>53.013482289138111</v>
      </c>
      <c r="AF344" s="3846"/>
      <c r="AG344" s="3846"/>
      <c r="AH344" s="3846"/>
      <c r="AI344" s="2233" t="str">
        <f>'Income Eligible Deemed Table'!L7</f>
        <v>per measure</v>
      </c>
      <c r="AJ344" s="2724"/>
      <c r="AX344" s="3849" t="str">
        <f t="shared" si="193"/>
        <v>AC General Tune-Up (no charge or coil clean) SF</v>
      </c>
      <c r="AY344" s="2724"/>
      <c r="AZ344" s="3850" t="str">
        <f t="shared" si="194"/>
        <v>400050</v>
      </c>
      <c r="BA344" s="3866" t="s">
        <v>1303</v>
      </c>
      <c r="BB344" s="3866" t="s">
        <v>1303</v>
      </c>
      <c r="BC344" s="3866" t="s">
        <v>1303</v>
      </c>
      <c r="BD344" s="3866" t="s">
        <v>1303</v>
      </c>
      <c r="BE344" s="3853"/>
      <c r="BF344" s="3866" t="s">
        <v>1303</v>
      </c>
      <c r="BG344" s="3866" t="s">
        <v>1303</v>
      </c>
      <c r="BH344" s="3866" t="s">
        <v>1303</v>
      </c>
      <c r="BI344" s="3867" t="s">
        <v>1303</v>
      </c>
      <c r="BJ344" s="3853"/>
      <c r="BK344" s="3866" t="s">
        <v>1303</v>
      </c>
      <c r="BL344" s="3867" t="s">
        <v>1303</v>
      </c>
      <c r="BM344" s="3866" t="s">
        <v>1303</v>
      </c>
      <c r="BN344" s="3867" t="s">
        <v>1303</v>
      </c>
    </row>
    <row r="345" spans="1:66" s="696" customFormat="1">
      <c r="A345" s="2958" t="str">
        <f t="shared" si="197"/>
        <v>400100</v>
      </c>
      <c r="B345" s="2233" t="str">
        <f>'Income Eligible Deemed Table'!C8</f>
        <v>400100_2024_12_</v>
      </c>
      <c r="C345" s="3874" t="str">
        <f>'Income Eligible Deemed Table'!G8</f>
        <v>Cooling RES</v>
      </c>
      <c r="D345" s="2724"/>
      <c r="E345" s="2724"/>
      <c r="F345" s="2724"/>
      <c r="G345" s="2724" t="str">
        <f>'Income Eligible Deemed Table'!E8</f>
        <v>AC General Tune-Up (no charge or coil clean) MF</v>
      </c>
      <c r="H345" s="2554" t="str">
        <f>'Income Eligible Deemed Table'!D8</f>
        <v>MFIE</v>
      </c>
      <c r="I345" s="3840">
        <f t="shared" si="251"/>
        <v>92.16</v>
      </c>
      <c r="J345" s="3840">
        <f t="shared" si="252"/>
        <v>0</v>
      </c>
      <c r="K345" s="3251">
        <f>'Income Eligible Deemed Table'!F8</f>
        <v>92.16</v>
      </c>
      <c r="L345" s="3251"/>
      <c r="M345" s="3251"/>
      <c r="N345" s="3251"/>
      <c r="O345" s="3841">
        <f t="shared" si="253"/>
        <v>8.7314000000000003E-2</v>
      </c>
      <c r="P345" s="3841">
        <f t="shared" si="254"/>
        <v>0</v>
      </c>
      <c r="Q345" s="3842">
        <f>'Income Eligible Deemed Table'!I8</f>
        <v>8.7314000000000003E-2</v>
      </c>
      <c r="R345" s="3842"/>
      <c r="S345" s="3842"/>
      <c r="T345" s="3842"/>
      <c r="U345" s="3843">
        <f t="shared" si="236"/>
        <v>8.7314000000000003E-2</v>
      </c>
      <c r="V345" s="3843">
        <f t="shared" si="237"/>
        <v>0</v>
      </c>
      <c r="W345" s="3843">
        <f t="shared" si="238"/>
        <v>0</v>
      </c>
      <c r="X345" s="2846">
        <f>'Income Eligible Deemed Table'!J8</f>
        <v>2</v>
      </c>
      <c r="Y345" s="2846"/>
      <c r="Z345" s="2846">
        <f t="shared" si="198"/>
        <v>2</v>
      </c>
      <c r="AA345" s="2529">
        <f>'Income Eligible Deemed Table'!DG8</f>
        <v>0.49228407469993435</v>
      </c>
      <c r="AB345" s="3878">
        <f>'Income Eligible Deemed Table'!K8</f>
        <v>70</v>
      </c>
      <c r="AC345" s="3864">
        <f t="shared" si="199"/>
        <v>34.459885228995404</v>
      </c>
      <c r="AD345" s="3864">
        <f t="shared" si="255"/>
        <v>0</v>
      </c>
      <c r="AE345" s="3865">
        <f>'Income Eligible Deemed Table'!DI8</f>
        <v>34.459885228995404</v>
      </c>
      <c r="AF345" s="3846"/>
      <c r="AG345" s="3846"/>
      <c r="AH345" s="3846"/>
      <c r="AI345" s="2233" t="str">
        <f>'Income Eligible Deemed Table'!L8</f>
        <v>per measure</v>
      </c>
      <c r="AJ345" s="2724"/>
      <c r="AX345" s="3849" t="str">
        <f t="shared" si="193"/>
        <v>AC General Tune-Up (no charge or coil clean) MF</v>
      </c>
      <c r="AY345" s="2724"/>
      <c r="AZ345" s="3850" t="str">
        <f t="shared" si="194"/>
        <v>400100</v>
      </c>
      <c r="BA345" s="3866" t="s">
        <v>1303</v>
      </c>
      <c r="BB345" s="3866" t="s">
        <v>1303</v>
      </c>
      <c r="BC345" s="3866" t="s">
        <v>1303</v>
      </c>
      <c r="BD345" s="3866" t="s">
        <v>1303</v>
      </c>
      <c r="BE345" s="3853"/>
      <c r="BF345" s="3866" t="s">
        <v>1303</v>
      </c>
      <c r="BG345" s="3866" t="s">
        <v>1303</v>
      </c>
      <c r="BH345" s="3866" t="s">
        <v>1303</v>
      </c>
      <c r="BI345" s="3867" t="s">
        <v>1303</v>
      </c>
      <c r="BJ345" s="3853"/>
      <c r="BK345" s="3866" t="s">
        <v>1303</v>
      </c>
      <c r="BL345" s="3867" t="s">
        <v>1303</v>
      </c>
      <c r="BM345" s="3866" t="s">
        <v>1303</v>
      </c>
      <c r="BN345" s="3867" t="s">
        <v>1303</v>
      </c>
    </row>
    <row r="346" spans="1:66" s="696" customFormat="1">
      <c r="A346" s="2958" t="str">
        <f t="shared" si="197"/>
        <v>400101</v>
      </c>
      <c r="B346" s="2233" t="str">
        <f>'Income Eligible Deemed Table'!C9</f>
        <v>400101_2024_12_</v>
      </c>
      <c r="C346" s="3874" t="str">
        <f>'Income Eligible Deemed Table'!G9</f>
        <v>Cooling RES</v>
      </c>
      <c r="D346" s="2724"/>
      <c r="E346" s="2724"/>
      <c r="F346" s="2724"/>
      <c r="G346" s="2724" t="str">
        <f>'Income Eligible Deemed Table'!E9</f>
        <v>AC General Tune-Up (no charge or coil clean) MF_CompE</v>
      </c>
      <c r="H346" s="2554" t="str">
        <f>'Income Eligible Deemed Table'!D9</f>
        <v>MFIEc</v>
      </c>
      <c r="I346" s="3840">
        <f t="shared" si="251"/>
        <v>67.02</v>
      </c>
      <c r="J346" s="3840">
        <f t="shared" si="252"/>
        <v>0</v>
      </c>
      <c r="K346" s="3251">
        <f>'Income Eligible Deemed Table'!F9</f>
        <v>67.02</v>
      </c>
      <c r="L346" s="3251"/>
      <c r="M346" s="3251"/>
      <c r="N346" s="3251"/>
      <c r="O346" s="3841">
        <f t="shared" si="253"/>
        <v>6.3495999999999997E-2</v>
      </c>
      <c r="P346" s="3841">
        <f t="shared" si="254"/>
        <v>0</v>
      </c>
      <c r="Q346" s="3842">
        <f>'Income Eligible Deemed Table'!I9</f>
        <v>6.3495999999999997E-2</v>
      </c>
      <c r="R346" s="3842"/>
      <c r="S346" s="3842"/>
      <c r="T346" s="3842"/>
      <c r="U346" s="3843">
        <f t="shared" si="236"/>
        <v>6.3495999999999997E-2</v>
      </c>
      <c r="V346" s="3843">
        <f t="shared" si="237"/>
        <v>0</v>
      </c>
      <c r="W346" s="3843">
        <f t="shared" si="238"/>
        <v>0</v>
      </c>
      <c r="X346" s="2846">
        <f>'Income Eligible Deemed Table'!J9</f>
        <v>2</v>
      </c>
      <c r="Y346" s="2846"/>
      <c r="Z346" s="2846">
        <f t="shared" si="198"/>
        <v>2</v>
      </c>
      <c r="AA346" s="2529">
        <f>'Income Eligible Deemed Table'!DG9</f>
        <v>0.35799564546863716</v>
      </c>
      <c r="AB346" s="3878">
        <f>'Income Eligible Deemed Table'!K9</f>
        <v>70</v>
      </c>
      <c r="AC346" s="3864">
        <f t="shared" si="199"/>
        <v>25.0596951828046</v>
      </c>
      <c r="AD346" s="3864">
        <f t="shared" si="255"/>
        <v>0</v>
      </c>
      <c r="AE346" s="3865">
        <f>'Income Eligible Deemed Table'!DI9</f>
        <v>25.0596951828046</v>
      </c>
      <c r="AF346" s="3846"/>
      <c r="AG346" s="3846"/>
      <c r="AH346" s="3846"/>
      <c r="AI346" s="2233" t="str">
        <f>'Income Eligible Deemed Table'!L9</f>
        <v>per measure</v>
      </c>
      <c r="AJ346" s="2724"/>
      <c r="AX346" s="3849" t="str">
        <f t="shared" si="193"/>
        <v>AC General Tune-Up (no charge or coil clean) MF_CompE</v>
      </c>
      <c r="AY346" s="2724"/>
      <c r="AZ346" s="3850" t="str">
        <f t="shared" si="194"/>
        <v>400101</v>
      </c>
      <c r="BA346" s="3866" t="s">
        <v>1303</v>
      </c>
      <c r="BB346" s="3866" t="s">
        <v>1303</v>
      </c>
      <c r="BC346" s="3866" t="s">
        <v>1303</v>
      </c>
      <c r="BD346" s="3866" t="s">
        <v>1303</v>
      </c>
      <c r="BE346" s="3853"/>
      <c r="BF346" s="3866" t="s">
        <v>1303</v>
      </c>
      <c r="BG346" s="3866" t="s">
        <v>1303</v>
      </c>
      <c r="BH346" s="3866" t="s">
        <v>1303</v>
      </c>
      <c r="BI346" s="3867" t="s">
        <v>1303</v>
      </c>
      <c r="BJ346" s="3853"/>
      <c r="BK346" s="3866" t="s">
        <v>1303</v>
      </c>
      <c r="BL346" s="3867" t="s">
        <v>1303</v>
      </c>
      <c r="BM346" s="3866" t="s">
        <v>1303</v>
      </c>
      <c r="BN346" s="3867" t="s">
        <v>1303</v>
      </c>
    </row>
    <row r="347" spans="1:66">
      <c r="A347" s="51" t="str">
        <f t="shared" si="197"/>
        <v>400150</v>
      </c>
      <c r="B347" s="1442" t="str">
        <f>'Income Eligible Deemed Table'!C10</f>
        <v>400150_2024_12_</v>
      </c>
      <c r="C347" s="887" t="str">
        <f>'Income Eligible Deemed Table'!G10</f>
        <v>Cooling RES</v>
      </c>
      <c r="D347" s="1378"/>
      <c r="E347" s="1378"/>
      <c r="F347" s="1378"/>
      <c r="G347" s="1378" t="str">
        <f>'Income Eligible Deemed Table'!E10</f>
        <v>AC Tune-up / Refrigerant charge SF</v>
      </c>
      <c r="H347" s="19" t="str">
        <f>'Income Eligible Deemed Table'!D10</f>
        <v>SFIE</v>
      </c>
      <c r="I347" s="785">
        <f t="shared" si="251"/>
        <v>591.36</v>
      </c>
      <c r="J347" s="785">
        <f t="shared" si="252"/>
        <v>0</v>
      </c>
      <c r="K347" s="202">
        <f>'Income Eligible Deemed Table'!F10</f>
        <v>591.36</v>
      </c>
      <c r="L347" s="202"/>
      <c r="M347" s="202"/>
      <c r="N347" s="202"/>
      <c r="O347" s="786">
        <f t="shared" si="253"/>
        <v>0.56026500000000001</v>
      </c>
      <c r="P347" s="786">
        <f t="shared" si="254"/>
        <v>0</v>
      </c>
      <c r="Q347" s="787">
        <f>'Income Eligible Deemed Table'!I10</f>
        <v>0.56026500000000001</v>
      </c>
      <c r="R347" s="787"/>
      <c r="S347" s="787"/>
      <c r="T347" s="787"/>
      <c r="U347" s="788">
        <f t="shared" si="236"/>
        <v>0.56026500000000001</v>
      </c>
      <c r="V347" s="788">
        <f t="shared" si="237"/>
        <v>0</v>
      </c>
      <c r="W347" s="788">
        <f t="shared" si="238"/>
        <v>0</v>
      </c>
      <c r="X347" s="23">
        <f>'Income Eligible Deemed Table'!J10</f>
        <v>2</v>
      </c>
      <c r="Y347" s="23"/>
      <c r="Z347" s="23">
        <f t="shared" si="198"/>
        <v>2</v>
      </c>
      <c r="AA347" s="18">
        <f>'Income Eligible Deemed Table'!DG10</f>
        <v>2.7298468751364671</v>
      </c>
      <c r="AB347" s="259">
        <f>'Income Eligible Deemed Table'!K10</f>
        <v>81</v>
      </c>
      <c r="AC347" s="902">
        <f t="shared" si="199"/>
        <v>221.11759688605383</v>
      </c>
      <c r="AD347" s="902">
        <f t="shared" si="255"/>
        <v>0</v>
      </c>
      <c r="AE347" s="610">
        <f>'Income Eligible Deemed Table'!DI10</f>
        <v>221.11759688605383</v>
      </c>
      <c r="AF347" s="208"/>
      <c r="AG347" s="208"/>
      <c r="AH347" s="208"/>
      <c r="AI347" s="1442" t="str">
        <f>'Income Eligible Deemed Table'!L10</f>
        <v>per measure</v>
      </c>
      <c r="AJ347" s="71"/>
      <c r="AX347" s="1355" t="str">
        <f t="shared" si="193"/>
        <v>AC Tune-up / Refrigerant charge SF</v>
      </c>
      <c r="AY347" s="1378"/>
      <c r="AZ347" s="1446" t="str">
        <f t="shared" si="194"/>
        <v>400150</v>
      </c>
      <c r="BA347" s="1300" t="s">
        <v>1303</v>
      </c>
      <c r="BB347" s="1300" t="s">
        <v>1303</v>
      </c>
      <c r="BC347" s="1300" t="s">
        <v>1303</v>
      </c>
      <c r="BD347" s="1300" t="s">
        <v>1303</v>
      </c>
      <c r="BE347" s="1305"/>
      <c r="BF347" s="1300" t="s">
        <v>1303</v>
      </c>
      <c r="BG347" s="1300" t="s">
        <v>1303</v>
      </c>
      <c r="BH347" s="1300" t="s">
        <v>1303</v>
      </c>
      <c r="BI347" s="1301" t="s">
        <v>1303</v>
      </c>
      <c r="BJ347" s="1305"/>
      <c r="BK347" s="1300" t="s">
        <v>1303</v>
      </c>
      <c r="BL347" s="1301" t="s">
        <v>1303</v>
      </c>
      <c r="BM347" s="1300" t="s">
        <v>1303</v>
      </c>
      <c r="BN347" s="1301" t="s">
        <v>1303</v>
      </c>
    </row>
    <row r="348" spans="1:66" s="696" customFormat="1">
      <c r="A348" s="2958" t="str">
        <f t="shared" si="197"/>
        <v>400200</v>
      </c>
      <c r="B348" s="2233" t="str">
        <f>'Income Eligible Deemed Table'!C11</f>
        <v>400200_2024_12_</v>
      </c>
      <c r="C348" s="3874" t="str">
        <f>'Income Eligible Deemed Table'!G11</f>
        <v>Cooling RES</v>
      </c>
      <c r="D348" s="2724"/>
      <c r="E348" s="2724"/>
      <c r="F348" s="2724"/>
      <c r="G348" s="2724" t="str">
        <f>'Income Eligible Deemed Table'!E11</f>
        <v>AC Tune-up / Refrigerant charge MF</v>
      </c>
      <c r="H348" s="2554" t="str">
        <f>'Income Eligible Deemed Table'!D11</f>
        <v>MFIE</v>
      </c>
      <c r="I348" s="3840">
        <f t="shared" si="251"/>
        <v>384.39</v>
      </c>
      <c r="J348" s="3840">
        <f t="shared" si="252"/>
        <v>0</v>
      </c>
      <c r="K348" s="3251">
        <f>'Income Eligible Deemed Table'!F11</f>
        <v>384.39</v>
      </c>
      <c r="L348" s="3251"/>
      <c r="M348" s="3251"/>
      <c r="N348" s="3251"/>
      <c r="O348" s="3841">
        <f t="shared" si="253"/>
        <v>0.364178</v>
      </c>
      <c r="P348" s="3841">
        <f t="shared" si="254"/>
        <v>0</v>
      </c>
      <c r="Q348" s="3842">
        <f>'Income Eligible Deemed Table'!I11</f>
        <v>0.364178</v>
      </c>
      <c r="R348" s="3842"/>
      <c r="S348" s="3842"/>
      <c r="T348" s="3842"/>
      <c r="U348" s="3843">
        <f t="shared" si="236"/>
        <v>0.364178</v>
      </c>
      <c r="V348" s="3843">
        <f t="shared" si="237"/>
        <v>0</v>
      </c>
      <c r="W348" s="3843">
        <f t="shared" si="238"/>
        <v>0</v>
      </c>
      <c r="X348" s="2846">
        <f>'Income Eligible Deemed Table'!J11</f>
        <v>2</v>
      </c>
      <c r="Y348" s="2846"/>
      <c r="Z348" s="2846">
        <f t="shared" si="198"/>
        <v>2</v>
      </c>
      <c r="AA348" s="2529">
        <f>'Income Eligible Deemed Table'!DG11</f>
        <v>1.7744281661487191</v>
      </c>
      <c r="AB348" s="3878">
        <f>'Income Eligible Deemed Table'!K11</f>
        <v>81</v>
      </c>
      <c r="AC348" s="3864">
        <f t="shared" si="199"/>
        <v>143.72868145804625</v>
      </c>
      <c r="AD348" s="3864">
        <f t="shared" si="255"/>
        <v>0</v>
      </c>
      <c r="AE348" s="3865">
        <f>'Income Eligible Deemed Table'!DI11</f>
        <v>143.72868145804625</v>
      </c>
      <c r="AF348" s="3846"/>
      <c r="AG348" s="3846"/>
      <c r="AH348" s="3846"/>
      <c r="AI348" s="2233" t="str">
        <f>'Income Eligible Deemed Table'!L11</f>
        <v>per measure</v>
      </c>
      <c r="AJ348" s="2724"/>
      <c r="AX348" s="3849" t="str">
        <f t="shared" si="193"/>
        <v>AC Tune-up / Refrigerant charge MF</v>
      </c>
      <c r="AY348" s="2724"/>
      <c r="AZ348" s="3850" t="str">
        <f t="shared" si="194"/>
        <v>400200</v>
      </c>
      <c r="BA348" s="3866" t="s">
        <v>1303</v>
      </c>
      <c r="BB348" s="3866" t="s">
        <v>1303</v>
      </c>
      <c r="BC348" s="3866" t="s">
        <v>1303</v>
      </c>
      <c r="BD348" s="3866" t="s">
        <v>1303</v>
      </c>
      <c r="BE348" s="3853"/>
      <c r="BF348" s="3866" t="s">
        <v>1303</v>
      </c>
      <c r="BG348" s="3866" t="s">
        <v>1303</v>
      </c>
      <c r="BH348" s="3866" t="s">
        <v>1303</v>
      </c>
      <c r="BI348" s="3867" t="s">
        <v>1303</v>
      </c>
      <c r="BJ348" s="3853"/>
      <c r="BK348" s="3866" t="s">
        <v>1303</v>
      </c>
      <c r="BL348" s="3867" t="s">
        <v>1303</v>
      </c>
      <c r="BM348" s="3866" t="s">
        <v>1303</v>
      </c>
      <c r="BN348" s="3867" t="s">
        <v>1303</v>
      </c>
    </row>
    <row r="349" spans="1:66" s="696" customFormat="1">
      <c r="A349" s="2958" t="str">
        <f t="shared" si="197"/>
        <v>400201</v>
      </c>
      <c r="B349" s="2233" t="str">
        <f>'Income Eligible Deemed Table'!C12</f>
        <v>400201_2024_12_</v>
      </c>
      <c r="C349" s="3874" t="str">
        <f>'Income Eligible Deemed Table'!G12</f>
        <v>Cooling RES</v>
      </c>
      <c r="D349" s="2724"/>
      <c r="E349" s="2724"/>
      <c r="F349" s="2724"/>
      <c r="G349" s="2724" t="str">
        <f>'Income Eligible Deemed Table'!E12</f>
        <v>AC Tune-up / Refrigerant charge MF_CompE</v>
      </c>
      <c r="H349" s="2554" t="str">
        <f>'Income Eligible Deemed Table'!D12</f>
        <v>MFIEc</v>
      </c>
      <c r="I349" s="3840">
        <f t="shared" si="251"/>
        <v>279.55</v>
      </c>
      <c r="J349" s="3840">
        <f t="shared" si="252"/>
        <v>0</v>
      </c>
      <c r="K349" s="3251">
        <f>'Income Eligible Deemed Table'!F12</f>
        <v>279.55</v>
      </c>
      <c r="L349" s="3251"/>
      <c r="M349" s="3251"/>
      <c r="N349" s="3251"/>
      <c r="O349" s="3841">
        <f t="shared" si="253"/>
        <v>0.264851</v>
      </c>
      <c r="P349" s="3841">
        <f t="shared" si="254"/>
        <v>0</v>
      </c>
      <c r="Q349" s="3842">
        <f>'Income Eligible Deemed Table'!I12</f>
        <v>0.264851</v>
      </c>
      <c r="R349" s="3842"/>
      <c r="S349" s="3842"/>
      <c r="T349" s="3842"/>
      <c r="U349" s="3843">
        <f t="shared" si="236"/>
        <v>0.264851</v>
      </c>
      <c r="V349" s="3843">
        <f t="shared" si="237"/>
        <v>0</v>
      </c>
      <c r="W349" s="3843">
        <f t="shared" si="238"/>
        <v>0</v>
      </c>
      <c r="X349" s="2846">
        <f>'Income Eligible Deemed Table'!J12</f>
        <v>2</v>
      </c>
      <c r="Y349" s="2846"/>
      <c r="Z349" s="2846">
        <f t="shared" si="198"/>
        <v>2</v>
      </c>
      <c r="AA349" s="2529">
        <f>'Income Eligible Deemed Table'!DG12</f>
        <v>1.2904638358096581</v>
      </c>
      <c r="AB349" s="3878">
        <f>'Income Eligible Deemed Table'!K12</f>
        <v>81</v>
      </c>
      <c r="AC349" s="3864">
        <f t="shared" si="199"/>
        <v>104.5275707005823</v>
      </c>
      <c r="AD349" s="3864">
        <f t="shared" si="255"/>
        <v>0</v>
      </c>
      <c r="AE349" s="3865">
        <f>'Income Eligible Deemed Table'!DI12</f>
        <v>104.5275707005823</v>
      </c>
      <c r="AF349" s="3846"/>
      <c r="AG349" s="3846"/>
      <c r="AH349" s="3846"/>
      <c r="AI349" s="2233" t="str">
        <f>'Income Eligible Deemed Table'!L12</f>
        <v>per measure</v>
      </c>
      <c r="AJ349" s="2724"/>
      <c r="AX349" s="3849" t="str">
        <f t="shared" si="193"/>
        <v>AC Tune-up / Refrigerant charge MF_CompE</v>
      </c>
      <c r="AY349" s="2724"/>
      <c r="AZ349" s="3850" t="str">
        <f t="shared" si="194"/>
        <v>400201</v>
      </c>
      <c r="BA349" s="3866" t="s">
        <v>1303</v>
      </c>
      <c r="BB349" s="3866" t="s">
        <v>1303</v>
      </c>
      <c r="BC349" s="3866" t="s">
        <v>1303</v>
      </c>
      <c r="BD349" s="3866" t="s">
        <v>1303</v>
      </c>
      <c r="BE349" s="3853"/>
      <c r="BF349" s="3866" t="s">
        <v>1303</v>
      </c>
      <c r="BG349" s="3866" t="s">
        <v>1303</v>
      </c>
      <c r="BH349" s="3866" t="s">
        <v>1303</v>
      </c>
      <c r="BI349" s="3867" t="s">
        <v>1303</v>
      </c>
      <c r="BJ349" s="3853"/>
      <c r="BK349" s="3866" t="s">
        <v>1303</v>
      </c>
      <c r="BL349" s="3867" t="s">
        <v>1303</v>
      </c>
      <c r="BM349" s="3866" t="s">
        <v>1303</v>
      </c>
      <c r="BN349" s="3867" t="s">
        <v>1303</v>
      </c>
    </row>
    <row r="350" spans="1:66" s="696" customFormat="1">
      <c r="A350" s="2958" t="str">
        <f t="shared" si="197"/>
        <v>400250</v>
      </c>
      <c r="B350" s="2233" t="str">
        <f>'Income Eligible Deemed Table'!C13</f>
        <v>400250_2024_12_</v>
      </c>
      <c r="C350" s="3874" t="str">
        <f>'Income Eligible Deemed Table'!G13</f>
        <v>Cooling RES</v>
      </c>
      <c r="D350" s="2724"/>
      <c r="E350" s="2724"/>
      <c r="F350" s="2724"/>
      <c r="G350" s="2724" t="str">
        <f>'Income Eligible Deemed Table'!E13</f>
        <v>AC Tune-up / Indoor Coil (Evaporator) Cleaning SF</v>
      </c>
      <c r="H350" s="2554" t="str">
        <f>'Income Eligible Deemed Table'!D13</f>
        <v>SFIE</v>
      </c>
      <c r="I350" s="3840">
        <f t="shared" si="251"/>
        <v>97.88</v>
      </c>
      <c r="J350" s="3840">
        <f t="shared" si="252"/>
        <v>0</v>
      </c>
      <c r="K350" s="3251">
        <f>'Income Eligible Deemed Table'!F13</f>
        <v>97.88</v>
      </c>
      <c r="L350" s="3251"/>
      <c r="M350" s="3251"/>
      <c r="N350" s="3251"/>
      <c r="O350" s="3841">
        <f t="shared" si="253"/>
        <v>9.2732999999999996E-2</v>
      </c>
      <c r="P350" s="3841">
        <f t="shared" si="254"/>
        <v>0</v>
      </c>
      <c r="Q350" s="3842">
        <f>'Income Eligible Deemed Table'!I13</f>
        <v>9.2732999999999996E-2</v>
      </c>
      <c r="R350" s="3842"/>
      <c r="S350" s="3842"/>
      <c r="T350" s="3842"/>
      <c r="U350" s="3843">
        <f t="shared" si="236"/>
        <v>9.2732999999999996E-2</v>
      </c>
      <c r="V350" s="3843">
        <f t="shared" si="237"/>
        <v>0</v>
      </c>
      <c r="W350" s="3843">
        <f t="shared" si="238"/>
        <v>0</v>
      </c>
      <c r="X350" s="2846">
        <f>'Income Eligible Deemed Table'!J13</f>
        <v>2</v>
      </c>
      <c r="Y350" s="2846"/>
      <c r="Z350" s="2846">
        <f t="shared" si="198"/>
        <v>2</v>
      </c>
      <c r="AA350" s="2529">
        <f>'Income Eligible Deemed Table'!DG13</f>
        <v>0.58093129378411423</v>
      </c>
      <c r="AB350" s="3878">
        <f>'Income Eligible Deemed Table'!K13</f>
        <v>63</v>
      </c>
      <c r="AC350" s="3864">
        <f t="shared" si="199"/>
        <v>36.5986715083992</v>
      </c>
      <c r="AD350" s="3864">
        <f t="shared" si="255"/>
        <v>0</v>
      </c>
      <c r="AE350" s="3865">
        <f>'Income Eligible Deemed Table'!DI13</f>
        <v>36.5986715083992</v>
      </c>
      <c r="AF350" s="3846"/>
      <c r="AG350" s="3846"/>
      <c r="AH350" s="3846"/>
      <c r="AI350" s="2233" t="str">
        <f>'Income Eligible Deemed Table'!L13</f>
        <v>per measure</v>
      </c>
      <c r="AJ350" s="2724"/>
      <c r="AX350" s="3849" t="str">
        <f t="shared" si="193"/>
        <v>AC Tune-up / Indoor Coil (Evaporator) Cleaning SF</v>
      </c>
      <c r="AY350" s="2724"/>
      <c r="AZ350" s="3850" t="str">
        <f t="shared" si="194"/>
        <v>400250</v>
      </c>
      <c r="BA350" s="3866" t="s">
        <v>1303</v>
      </c>
      <c r="BB350" s="3866" t="s">
        <v>1303</v>
      </c>
      <c r="BC350" s="3866" t="s">
        <v>1303</v>
      </c>
      <c r="BD350" s="3866" t="s">
        <v>1303</v>
      </c>
      <c r="BE350" s="3853"/>
      <c r="BF350" s="3866" t="s">
        <v>1303</v>
      </c>
      <c r="BG350" s="3866" t="s">
        <v>1303</v>
      </c>
      <c r="BH350" s="3866" t="s">
        <v>1303</v>
      </c>
      <c r="BI350" s="3867" t="s">
        <v>1303</v>
      </c>
      <c r="BJ350" s="3853"/>
      <c r="BK350" s="3866" t="s">
        <v>1303</v>
      </c>
      <c r="BL350" s="3867" t="s">
        <v>1303</v>
      </c>
      <c r="BM350" s="3866" t="s">
        <v>1303</v>
      </c>
      <c r="BN350" s="3867" t="s">
        <v>1303</v>
      </c>
    </row>
    <row r="351" spans="1:66" s="696" customFormat="1">
      <c r="A351" s="2958" t="str">
        <f t="shared" si="197"/>
        <v>400300</v>
      </c>
      <c r="B351" s="2233" t="str">
        <f>'Income Eligible Deemed Table'!C14</f>
        <v>400300_2024_12_</v>
      </c>
      <c r="C351" s="3874" t="str">
        <f>'Income Eligible Deemed Table'!G14</f>
        <v>Cooling RES</v>
      </c>
      <c r="D351" s="2724"/>
      <c r="E351" s="2724"/>
      <c r="F351" s="2724"/>
      <c r="G351" s="2724" t="str">
        <f>'Income Eligible Deemed Table'!E14</f>
        <v>AC Tune-up /Indoor Coil (Evaporator) Cleaning MF</v>
      </c>
      <c r="H351" s="2554" t="str">
        <f>'Income Eligible Deemed Table'!D14</f>
        <v>MFIE</v>
      </c>
      <c r="I351" s="3840">
        <f t="shared" si="251"/>
        <v>63.62</v>
      </c>
      <c r="J351" s="3840">
        <f t="shared" si="252"/>
        <v>0</v>
      </c>
      <c r="K351" s="3251">
        <f>'Income Eligible Deemed Table'!F14</f>
        <v>63.62</v>
      </c>
      <c r="L351" s="3251"/>
      <c r="M351" s="3251"/>
      <c r="N351" s="3251"/>
      <c r="O351" s="3841">
        <f t="shared" si="253"/>
        <v>6.0275000000000002E-2</v>
      </c>
      <c r="P351" s="3841">
        <f t="shared" si="254"/>
        <v>0</v>
      </c>
      <c r="Q351" s="3842">
        <f>'Income Eligible Deemed Table'!I14</f>
        <v>6.0275000000000002E-2</v>
      </c>
      <c r="R351" s="3842"/>
      <c r="S351" s="3842"/>
      <c r="T351" s="3842"/>
      <c r="U351" s="3843">
        <f t="shared" si="236"/>
        <v>6.0275000000000002E-2</v>
      </c>
      <c r="V351" s="3843">
        <f t="shared" si="237"/>
        <v>0</v>
      </c>
      <c r="W351" s="3843">
        <f t="shared" si="238"/>
        <v>0</v>
      </c>
      <c r="X351" s="2846">
        <f>'Income Eligible Deemed Table'!J14</f>
        <v>2</v>
      </c>
      <c r="Y351" s="2846"/>
      <c r="Z351" s="2846">
        <f t="shared" si="198"/>
        <v>2</v>
      </c>
      <c r="AA351" s="2529">
        <f>'Income Eligible Deemed Table'!DG14</f>
        <v>0.37759347068395333</v>
      </c>
      <c r="AB351" s="3878">
        <f>'Income Eligible Deemed Table'!K14</f>
        <v>63</v>
      </c>
      <c r="AC351" s="3864">
        <f t="shared" si="199"/>
        <v>23.788388653089058</v>
      </c>
      <c r="AD351" s="3864">
        <f t="shared" si="255"/>
        <v>0</v>
      </c>
      <c r="AE351" s="3865">
        <f>'Income Eligible Deemed Table'!DI14</f>
        <v>23.788388653089058</v>
      </c>
      <c r="AF351" s="3846"/>
      <c r="AG351" s="3846"/>
      <c r="AH351" s="3846"/>
      <c r="AI351" s="2233" t="str">
        <f>'Income Eligible Deemed Table'!L14</f>
        <v>per measure</v>
      </c>
      <c r="AJ351" s="2724"/>
      <c r="AX351" s="3849" t="str">
        <f t="shared" si="193"/>
        <v>AC Tune-up /Indoor Coil (Evaporator) Cleaning MF</v>
      </c>
      <c r="AY351" s="2724"/>
      <c r="AZ351" s="3850" t="str">
        <f t="shared" si="194"/>
        <v>400300</v>
      </c>
      <c r="BA351" s="3866" t="s">
        <v>1303</v>
      </c>
      <c r="BB351" s="3866" t="s">
        <v>1303</v>
      </c>
      <c r="BC351" s="3866" t="s">
        <v>1303</v>
      </c>
      <c r="BD351" s="3866" t="s">
        <v>1303</v>
      </c>
      <c r="BE351" s="3853"/>
      <c r="BF351" s="3866" t="s">
        <v>1303</v>
      </c>
      <c r="BG351" s="3866" t="s">
        <v>1303</v>
      </c>
      <c r="BH351" s="3866" t="s">
        <v>1303</v>
      </c>
      <c r="BI351" s="3867" t="s">
        <v>1303</v>
      </c>
      <c r="BJ351" s="3853"/>
      <c r="BK351" s="3866" t="s">
        <v>1303</v>
      </c>
      <c r="BL351" s="3867" t="s">
        <v>1303</v>
      </c>
      <c r="BM351" s="3866" t="s">
        <v>1303</v>
      </c>
      <c r="BN351" s="3867" t="s">
        <v>1303</v>
      </c>
    </row>
    <row r="352" spans="1:66" s="696" customFormat="1">
      <c r="A352" s="2958" t="str">
        <f t="shared" si="197"/>
        <v>400301</v>
      </c>
      <c r="B352" s="2233" t="str">
        <f>'Income Eligible Deemed Table'!C15</f>
        <v>400301_2024_12_</v>
      </c>
      <c r="C352" s="3874" t="str">
        <f>'Income Eligible Deemed Table'!G15</f>
        <v>Cooling RES</v>
      </c>
      <c r="D352" s="2724"/>
      <c r="E352" s="2724"/>
      <c r="F352" s="2724"/>
      <c r="G352" s="2724" t="str">
        <f>'Income Eligible Deemed Table'!E15</f>
        <v>AC Tune-up /Indoor Coil (Evaporator) Cleaning MF_CompE</v>
      </c>
      <c r="H352" s="2554" t="str">
        <f>'Income Eligible Deemed Table'!D15</f>
        <v>MFIEc</v>
      </c>
      <c r="I352" s="3840">
        <f t="shared" si="251"/>
        <v>46.27</v>
      </c>
      <c r="J352" s="3840">
        <f t="shared" si="252"/>
        <v>0</v>
      </c>
      <c r="K352" s="3251">
        <f>'Income Eligible Deemed Table'!F15</f>
        <v>46.27</v>
      </c>
      <c r="L352" s="3251"/>
      <c r="M352" s="3251"/>
      <c r="N352" s="3251"/>
      <c r="O352" s="3841">
        <f t="shared" si="253"/>
        <v>4.3837000000000001E-2</v>
      </c>
      <c r="P352" s="3841">
        <f t="shared" si="254"/>
        <v>0</v>
      </c>
      <c r="Q352" s="3842">
        <f>'Income Eligible Deemed Table'!I15</f>
        <v>4.3837000000000001E-2</v>
      </c>
      <c r="R352" s="3842"/>
      <c r="S352" s="3842"/>
      <c r="T352" s="3842"/>
      <c r="U352" s="3843">
        <f t="shared" si="236"/>
        <v>4.3837000000000001E-2</v>
      </c>
      <c r="V352" s="3843">
        <f t="shared" si="237"/>
        <v>0</v>
      </c>
      <c r="W352" s="3843">
        <f t="shared" si="238"/>
        <v>0</v>
      </c>
      <c r="X352" s="2846">
        <f>'Income Eligible Deemed Table'!J15</f>
        <v>2</v>
      </c>
      <c r="Y352" s="2846"/>
      <c r="Z352" s="2846">
        <f t="shared" si="198"/>
        <v>2</v>
      </c>
      <c r="AA352" s="2529">
        <f>'Income Eligible Deemed Table'!DG15</f>
        <v>0.27461882880456651</v>
      </c>
      <c r="AB352" s="3878">
        <f>'Income Eligible Deemed Table'!K15</f>
        <v>63</v>
      </c>
      <c r="AC352" s="3864">
        <f t="shared" si="199"/>
        <v>17.30098621468769</v>
      </c>
      <c r="AD352" s="3864">
        <f t="shared" si="255"/>
        <v>0</v>
      </c>
      <c r="AE352" s="3865">
        <f>'Income Eligible Deemed Table'!DI15</f>
        <v>17.30098621468769</v>
      </c>
      <c r="AF352" s="3846"/>
      <c r="AG352" s="3846"/>
      <c r="AH352" s="3846"/>
      <c r="AI352" s="2233" t="str">
        <f>'Income Eligible Deemed Table'!L15</f>
        <v>per measure</v>
      </c>
      <c r="AJ352" s="2724"/>
      <c r="AX352" s="3849" t="str">
        <f t="shared" si="193"/>
        <v>AC Tune-up /Indoor Coil (Evaporator) Cleaning MF_CompE</v>
      </c>
      <c r="AY352" s="2724"/>
      <c r="AZ352" s="3850" t="str">
        <f t="shared" si="194"/>
        <v>400301</v>
      </c>
      <c r="BA352" s="3866" t="s">
        <v>1303</v>
      </c>
      <c r="BB352" s="3866" t="s">
        <v>1303</v>
      </c>
      <c r="BC352" s="3866" t="s">
        <v>1303</v>
      </c>
      <c r="BD352" s="3866" t="s">
        <v>1303</v>
      </c>
      <c r="BE352" s="3853"/>
      <c r="BF352" s="3866" t="s">
        <v>1303</v>
      </c>
      <c r="BG352" s="3866" t="s">
        <v>1303</v>
      </c>
      <c r="BH352" s="3866" t="s">
        <v>1303</v>
      </c>
      <c r="BI352" s="3867" t="s">
        <v>1303</v>
      </c>
      <c r="BJ352" s="3853"/>
      <c r="BK352" s="3866" t="s">
        <v>1303</v>
      </c>
      <c r="BL352" s="3867" t="s">
        <v>1303</v>
      </c>
      <c r="BM352" s="3866" t="s">
        <v>1303</v>
      </c>
      <c r="BN352" s="3867" t="s">
        <v>1303</v>
      </c>
    </row>
    <row r="353" spans="1:66" s="696" customFormat="1">
      <c r="A353" s="2958" t="str">
        <f t="shared" ref="A353:A415" si="256">LEFT(B353,6)</f>
        <v>400350</v>
      </c>
      <c r="B353" s="2233" t="str">
        <f>'Income Eligible Deemed Table'!C16</f>
        <v>400350_2024_12_</v>
      </c>
      <c r="C353" s="3874" t="str">
        <f>'Income Eligible Deemed Table'!G16</f>
        <v>Cooling RES</v>
      </c>
      <c r="D353" s="2724"/>
      <c r="E353" s="2724"/>
      <c r="F353" s="2724"/>
      <c r="G353" s="2724" t="str">
        <f>'Income Eligible Deemed Table'!E16</f>
        <v>AC Tune-up /Outdoor Coil (Condenser) Cleaning SF</v>
      </c>
      <c r="H353" s="2554" t="str">
        <f>'Income Eligible Deemed Table'!D16</f>
        <v>SFIE</v>
      </c>
      <c r="I353" s="3840">
        <f t="shared" si="251"/>
        <v>195.75</v>
      </c>
      <c r="J353" s="3840">
        <f t="shared" si="252"/>
        <v>0</v>
      </c>
      <c r="K353" s="3251">
        <f>'Income Eligible Deemed Table'!F16</f>
        <v>195.75</v>
      </c>
      <c r="L353" s="3251"/>
      <c r="M353" s="3251"/>
      <c r="N353" s="3251"/>
      <c r="O353" s="3841">
        <f t="shared" si="253"/>
        <v>0.18545700000000001</v>
      </c>
      <c r="P353" s="3841">
        <f t="shared" si="254"/>
        <v>0</v>
      </c>
      <c r="Q353" s="3842">
        <f>'Income Eligible Deemed Table'!I16</f>
        <v>0.18545700000000001</v>
      </c>
      <c r="R353" s="3842"/>
      <c r="S353" s="3842"/>
      <c r="T353" s="3842"/>
      <c r="U353" s="3843">
        <f t="shared" si="236"/>
        <v>0.18545700000000001</v>
      </c>
      <c r="V353" s="3843">
        <f t="shared" si="237"/>
        <v>0</v>
      </c>
      <c r="W353" s="3843">
        <f t="shared" si="238"/>
        <v>0</v>
      </c>
      <c r="X353" s="2846">
        <f>'Income Eligible Deemed Table'!J16</f>
        <v>2</v>
      </c>
      <c r="Y353" s="2846"/>
      <c r="Z353" s="2846">
        <f t="shared" ref="Z353:Z415" si="257">Y353+X353</f>
        <v>2</v>
      </c>
      <c r="AA353" s="2529">
        <f>'Income Eligible Deemed Table'!DG16</f>
        <v>2.3610839961273</v>
      </c>
      <c r="AB353" s="3878">
        <f>'Income Eligible Deemed Table'!K16</f>
        <v>31</v>
      </c>
      <c r="AC353" s="3864">
        <f t="shared" ref="AC353:AC415" si="258">AE353+AF353</f>
        <v>73.193603879946295</v>
      </c>
      <c r="AD353" s="3864">
        <f t="shared" si="255"/>
        <v>0</v>
      </c>
      <c r="AE353" s="3865">
        <f>'Income Eligible Deemed Table'!DI16</f>
        <v>73.193603879946295</v>
      </c>
      <c r="AF353" s="3846"/>
      <c r="AG353" s="3846"/>
      <c r="AH353" s="3846"/>
      <c r="AI353" s="2233" t="str">
        <f>'Income Eligible Deemed Table'!L16</f>
        <v>per measure</v>
      </c>
      <c r="AJ353" s="2724"/>
      <c r="AX353" s="3849" t="str">
        <f t="shared" si="193"/>
        <v>AC Tune-up /Outdoor Coil (Condenser) Cleaning SF</v>
      </c>
      <c r="AY353" s="2724"/>
      <c r="AZ353" s="3850" t="str">
        <f t="shared" si="194"/>
        <v>400350</v>
      </c>
      <c r="BA353" s="3866" t="s">
        <v>1303</v>
      </c>
      <c r="BB353" s="3866" t="s">
        <v>1303</v>
      </c>
      <c r="BC353" s="3866" t="s">
        <v>1303</v>
      </c>
      <c r="BD353" s="3866" t="s">
        <v>1303</v>
      </c>
      <c r="BE353" s="3853"/>
      <c r="BF353" s="3866" t="s">
        <v>1303</v>
      </c>
      <c r="BG353" s="3866" t="s">
        <v>1303</v>
      </c>
      <c r="BH353" s="3866" t="s">
        <v>1303</v>
      </c>
      <c r="BI353" s="3867" t="s">
        <v>1303</v>
      </c>
      <c r="BJ353" s="3853"/>
      <c r="BK353" s="3866" t="s">
        <v>1303</v>
      </c>
      <c r="BL353" s="3867" t="s">
        <v>1303</v>
      </c>
      <c r="BM353" s="3866" t="s">
        <v>1303</v>
      </c>
      <c r="BN353" s="3867" t="s">
        <v>1303</v>
      </c>
    </row>
    <row r="354" spans="1:66" s="696" customFormat="1">
      <c r="A354" s="2958" t="str">
        <f t="shared" si="256"/>
        <v>400400</v>
      </c>
      <c r="B354" s="2233" t="str">
        <f>'Income Eligible Deemed Table'!C17</f>
        <v>400400_2024_12_</v>
      </c>
      <c r="C354" s="3874" t="str">
        <f>'Income Eligible Deemed Table'!G17</f>
        <v>Cooling RES</v>
      </c>
      <c r="D354" s="2724"/>
      <c r="E354" s="2724"/>
      <c r="F354" s="2724"/>
      <c r="G354" s="2724" t="str">
        <f>'Income Eligible Deemed Table'!E17</f>
        <v>AC Tune-up /Outdoor Coil (Condenser) Cleaning MF</v>
      </c>
      <c r="H354" s="2554" t="str">
        <f>'Income Eligible Deemed Table'!D17</f>
        <v>MFIE</v>
      </c>
      <c r="I354" s="3840">
        <f t="shared" si="251"/>
        <v>127.24</v>
      </c>
      <c r="J354" s="3840">
        <f t="shared" si="252"/>
        <v>0</v>
      </c>
      <c r="K354" s="3251">
        <f>'Income Eligible Deemed Table'!F17</f>
        <v>127.24</v>
      </c>
      <c r="L354" s="3251"/>
      <c r="M354" s="3251"/>
      <c r="N354" s="3251"/>
      <c r="O354" s="3841">
        <f t="shared" si="253"/>
        <v>0.120549</v>
      </c>
      <c r="P354" s="3841">
        <f t="shared" si="254"/>
        <v>0</v>
      </c>
      <c r="Q354" s="3842">
        <f>'Income Eligible Deemed Table'!I17</f>
        <v>0.120549</v>
      </c>
      <c r="R354" s="3842"/>
      <c r="S354" s="3842"/>
      <c r="T354" s="3842"/>
      <c r="U354" s="3843">
        <f t="shared" si="236"/>
        <v>0.120549</v>
      </c>
      <c r="V354" s="3843">
        <f t="shared" si="237"/>
        <v>0</v>
      </c>
      <c r="W354" s="3843">
        <f t="shared" si="238"/>
        <v>0</v>
      </c>
      <c r="X354" s="2846">
        <f>'Income Eligible Deemed Table'!J17</f>
        <v>2</v>
      </c>
      <c r="Y354" s="2846"/>
      <c r="Z354" s="2846">
        <f t="shared" si="257"/>
        <v>2</v>
      </c>
      <c r="AA354" s="2529">
        <f>'Income Eligible Deemed Table'!DG17</f>
        <v>1.5347347518121972</v>
      </c>
      <c r="AB354" s="3878">
        <f>'Income Eligible Deemed Table'!K17</f>
        <v>31</v>
      </c>
      <c r="AC354" s="3864">
        <f t="shared" si="258"/>
        <v>47.576777306178116</v>
      </c>
      <c r="AD354" s="3864">
        <f t="shared" si="255"/>
        <v>0</v>
      </c>
      <c r="AE354" s="3865">
        <f>'Income Eligible Deemed Table'!DI17</f>
        <v>47.576777306178116</v>
      </c>
      <c r="AF354" s="3846"/>
      <c r="AG354" s="3846"/>
      <c r="AH354" s="3846"/>
      <c r="AI354" s="2233" t="str">
        <f>'Income Eligible Deemed Table'!L17</f>
        <v>per measure</v>
      </c>
      <c r="AJ354" s="2724"/>
      <c r="AX354" s="3849" t="str">
        <f t="shared" si="193"/>
        <v>AC Tune-up /Outdoor Coil (Condenser) Cleaning MF</v>
      </c>
      <c r="AY354" s="2724"/>
      <c r="AZ354" s="3850" t="str">
        <f t="shared" si="194"/>
        <v>400400</v>
      </c>
      <c r="BA354" s="3866" t="s">
        <v>1303</v>
      </c>
      <c r="BB354" s="3866" t="s">
        <v>1303</v>
      </c>
      <c r="BC354" s="3866" t="s">
        <v>1303</v>
      </c>
      <c r="BD354" s="3866" t="s">
        <v>1303</v>
      </c>
      <c r="BE354" s="3853"/>
      <c r="BF354" s="3866" t="s">
        <v>1303</v>
      </c>
      <c r="BG354" s="3866" t="s">
        <v>1303</v>
      </c>
      <c r="BH354" s="3866" t="s">
        <v>1303</v>
      </c>
      <c r="BI354" s="3867" t="s">
        <v>1303</v>
      </c>
      <c r="BJ354" s="3853"/>
      <c r="BK354" s="3866" t="s">
        <v>1303</v>
      </c>
      <c r="BL354" s="3867" t="s">
        <v>1303</v>
      </c>
      <c r="BM354" s="3866" t="s">
        <v>1303</v>
      </c>
      <c r="BN354" s="3867" t="s">
        <v>1303</v>
      </c>
    </row>
    <row r="355" spans="1:66" s="696" customFormat="1">
      <c r="A355" s="2958" t="str">
        <f t="shared" si="256"/>
        <v>400401</v>
      </c>
      <c r="B355" s="2233" t="str">
        <f>'Income Eligible Deemed Table'!C18</f>
        <v>400401_2024_12_</v>
      </c>
      <c r="C355" s="3874" t="str">
        <f>'Income Eligible Deemed Table'!G18</f>
        <v>Cooling RES</v>
      </c>
      <c r="D355" s="2724"/>
      <c r="E355" s="2724"/>
      <c r="F355" s="2724"/>
      <c r="G355" s="2724" t="str">
        <f>'Income Eligible Deemed Table'!E18</f>
        <v>AC Tune-up /Outdoor Coil (Condenser) Cleaning MF_CompE</v>
      </c>
      <c r="H355" s="2554" t="str">
        <f>'Income Eligible Deemed Table'!D18</f>
        <v>MFIEc</v>
      </c>
      <c r="I355" s="3840">
        <f t="shared" si="251"/>
        <v>92.54</v>
      </c>
      <c r="J355" s="3840">
        <f t="shared" si="252"/>
        <v>0</v>
      </c>
      <c r="K355" s="3251">
        <f>'Income Eligible Deemed Table'!F18</f>
        <v>92.54</v>
      </c>
      <c r="L355" s="3251"/>
      <c r="M355" s="3251"/>
      <c r="N355" s="3251"/>
      <c r="O355" s="3841">
        <f t="shared" si="253"/>
        <v>8.7674000000000002E-2</v>
      </c>
      <c r="P355" s="3841">
        <f t="shared" si="254"/>
        <v>0</v>
      </c>
      <c r="Q355" s="3842">
        <f>'Income Eligible Deemed Table'!I18</f>
        <v>8.7674000000000002E-2</v>
      </c>
      <c r="R355" s="3842"/>
      <c r="S355" s="3842"/>
      <c r="T355" s="3842"/>
      <c r="U355" s="3843">
        <f t="shared" si="236"/>
        <v>8.7674000000000002E-2</v>
      </c>
      <c r="V355" s="3843">
        <f t="shared" si="237"/>
        <v>0</v>
      </c>
      <c r="W355" s="3843">
        <f t="shared" si="238"/>
        <v>0</v>
      </c>
      <c r="X355" s="2846">
        <f>'Income Eligible Deemed Table'!J18</f>
        <v>2</v>
      </c>
      <c r="Y355" s="2846"/>
      <c r="Z355" s="2846">
        <f t="shared" si="257"/>
        <v>2</v>
      </c>
      <c r="AA355" s="2529">
        <f>'Income Eligible Deemed Table'!DG18</f>
        <v>1.116192659012109</v>
      </c>
      <c r="AB355" s="3878">
        <f>'Income Eligible Deemed Table'!K18</f>
        <v>31</v>
      </c>
      <c r="AC355" s="3864">
        <f t="shared" si="258"/>
        <v>34.60197242937538</v>
      </c>
      <c r="AD355" s="3864">
        <f t="shared" si="255"/>
        <v>0</v>
      </c>
      <c r="AE355" s="3865">
        <f>'Income Eligible Deemed Table'!DI18</f>
        <v>34.60197242937538</v>
      </c>
      <c r="AF355" s="3846"/>
      <c r="AG355" s="3846"/>
      <c r="AH355" s="3846"/>
      <c r="AI355" s="2233" t="str">
        <f>'Income Eligible Deemed Table'!L18</f>
        <v>per measure</v>
      </c>
      <c r="AJ355" s="2724"/>
      <c r="AX355" s="3849" t="str">
        <f t="shared" si="193"/>
        <v>AC Tune-up /Outdoor Coil (Condenser) Cleaning MF_CompE</v>
      </c>
      <c r="AY355" s="2724"/>
      <c r="AZ355" s="3850" t="str">
        <f t="shared" si="194"/>
        <v>400401</v>
      </c>
      <c r="BA355" s="3866" t="s">
        <v>1303</v>
      </c>
      <c r="BB355" s="3866" t="s">
        <v>1303</v>
      </c>
      <c r="BC355" s="3866" t="s">
        <v>1303</v>
      </c>
      <c r="BD355" s="3866" t="s">
        <v>1303</v>
      </c>
      <c r="BE355" s="3853"/>
      <c r="BF355" s="3866" t="s">
        <v>1303</v>
      </c>
      <c r="BG355" s="3866" t="s">
        <v>1303</v>
      </c>
      <c r="BH355" s="3866" t="s">
        <v>1303</v>
      </c>
      <c r="BI355" s="3867" t="s">
        <v>1303</v>
      </c>
      <c r="BJ355" s="3853"/>
      <c r="BK355" s="3866" t="s">
        <v>1303</v>
      </c>
      <c r="BL355" s="3867" t="s">
        <v>1303</v>
      </c>
      <c r="BM355" s="3866" t="s">
        <v>1303</v>
      </c>
      <c r="BN355" s="3867" t="s">
        <v>1303</v>
      </c>
    </row>
    <row r="356" spans="1:66" s="41" customFormat="1">
      <c r="A356" s="51" t="str">
        <f t="shared" si="256"/>
        <v>400410</v>
      </c>
      <c r="B356" s="1442" t="str">
        <f>'Income Eligible Deemed Table'!C19</f>
        <v>400410_2024_12_</v>
      </c>
      <c r="C356" s="887" t="str">
        <f>'Income Eligible Deemed Table'!G19</f>
        <v>Cooling RES</v>
      </c>
      <c r="D356" s="1378"/>
      <c r="E356" s="1378"/>
      <c r="F356" s="1378"/>
      <c r="G356" s="1378" t="str">
        <f>'Income Eligible Deemed Table'!E19</f>
        <v>AC Tune-up / Packaged Service SF</v>
      </c>
      <c r="H356" s="19" t="str">
        <f>'Income Eligible Deemed Table'!D19</f>
        <v>SFIE</v>
      </c>
      <c r="I356" s="785">
        <f t="shared" si="251"/>
        <v>368.11</v>
      </c>
      <c r="J356" s="785">
        <f t="shared" si="252"/>
        <v>0</v>
      </c>
      <c r="K356" s="202">
        <f>'Income Eligible Deemed Table'!F19</f>
        <v>368.11</v>
      </c>
      <c r="L356" s="202"/>
      <c r="M356" s="202"/>
      <c r="N356" s="202"/>
      <c r="O356" s="786">
        <f t="shared" si="253"/>
        <v>0.34875400000000001</v>
      </c>
      <c r="P356" s="786">
        <f t="shared" si="254"/>
        <v>0</v>
      </c>
      <c r="Q356" s="787">
        <f>'Income Eligible Deemed Table'!I19</f>
        <v>0.34875400000000001</v>
      </c>
      <c r="R356" s="787"/>
      <c r="S356" s="787"/>
      <c r="T356" s="787"/>
      <c r="U356" s="788">
        <f t="shared" si="236"/>
        <v>0.34875400000000001</v>
      </c>
      <c r="V356" s="788">
        <f t="shared" si="237"/>
        <v>0</v>
      </c>
      <c r="W356" s="788">
        <f t="shared" si="238"/>
        <v>0</v>
      </c>
      <c r="X356" s="23">
        <f>'Income Eligible Deemed Table'!J19</f>
        <v>2</v>
      </c>
      <c r="Y356" s="23"/>
      <c r="Z356" s="23">
        <f t="shared" si="257"/>
        <v>2</v>
      </c>
      <c r="AA356" s="18">
        <f>'Income Eligible Deemed Table'!DG19</f>
        <v>0.744007387366595</v>
      </c>
      <c r="AB356" s="259">
        <f>'Income Eligible Deemed Table'!K19</f>
        <v>185</v>
      </c>
      <c r="AC356" s="902">
        <f t="shared" si="258"/>
        <v>137.64136666282008</v>
      </c>
      <c r="AD356" s="902">
        <f t="shared" si="255"/>
        <v>0</v>
      </c>
      <c r="AE356" s="610">
        <f>'Income Eligible Deemed Table'!DI19</f>
        <v>137.64136666282008</v>
      </c>
      <c r="AF356" s="208"/>
      <c r="AG356" s="208"/>
      <c r="AH356" s="208"/>
      <c r="AI356" s="1442" t="str">
        <f>'Income Eligible Deemed Table'!L19</f>
        <v>per measure</v>
      </c>
      <c r="AJ356" s="676"/>
      <c r="AM356"/>
      <c r="AN356"/>
      <c r="AO356"/>
      <c r="AP356"/>
      <c r="AQ356"/>
      <c r="AR356"/>
      <c r="AS356"/>
      <c r="AT356"/>
      <c r="AU356"/>
      <c r="AV356"/>
      <c r="AW356"/>
      <c r="AX356" s="1355" t="str">
        <f t="shared" si="193"/>
        <v>AC Tune-up / Packaged Service SF</v>
      </c>
      <c r="AY356" s="1378"/>
      <c r="AZ356" s="1446" t="str">
        <f t="shared" si="194"/>
        <v>400410</v>
      </c>
      <c r="BA356" s="1300" t="s">
        <v>1303</v>
      </c>
      <c r="BB356" s="1300" t="s">
        <v>1303</v>
      </c>
      <c r="BC356" s="1300" t="s">
        <v>1303</v>
      </c>
      <c r="BD356" s="1300" t="s">
        <v>1303</v>
      </c>
      <c r="BE356" s="1306"/>
      <c r="BF356" s="1300" t="s">
        <v>1303</v>
      </c>
      <c r="BG356" s="1300" t="s">
        <v>1303</v>
      </c>
      <c r="BH356" s="1300" t="s">
        <v>1303</v>
      </c>
      <c r="BI356" s="1301" t="s">
        <v>1303</v>
      </c>
      <c r="BJ356" s="1305"/>
      <c r="BK356" s="1300" t="s">
        <v>1303</v>
      </c>
      <c r="BL356" s="1301" t="s">
        <v>1303</v>
      </c>
      <c r="BM356" s="1300" t="s">
        <v>1303</v>
      </c>
      <c r="BN356" s="1301" t="s">
        <v>1303</v>
      </c>
    </row>
    <row r="357" spans="1:66">
      <c r="A357" s="51" t="str">
        <f t="shared" si="256"/>
        <v>400411</v>
      </c>
      <c r="B357" s="1442" t="str">
        <f>'Income Eligible Deemed Table'!C20</f>
        <v>400411_2024_12_</v>
      </c>
      <c r="C357" s="887" t="str">
        <f>'Income Eligible Deemed Table'!G20</f>
        <v>Cooling RES</v>
      </c>
      <c r="D357" s="1378"/>
      <c r="E357" s="1378"/>
      <c r="F357" s="1378"/>
      <c r="G357" s="1378" t="str">
        <f>'Income Eligible Deemed Table'!E20</f>
        <v>AC Tune-up / Packaged Service MF</v>
      </c>
      <c r="H357" s="19" t="str">
        <f>'Income Eligible Deemed Table'!D20</f>
        <v>MFIE</v>
      </c>
      <c r="I357" s="785">
        <f t="shared" si="251"/>
        <v>239.27</v>
      </c>
      <c r="J357" s="785">
        <f t="shared" si="252"/>
        <v>0</v>
      </c>
      <c r="K357" s="202">
        <f>'Income Eligible Deemed Table'!F20</f>
        <v>239.27</v>
      </c>
      <c r="L357" s="202"/>
      <c r="M357" s="202"/>
      <c r="N357" s="202"/>
      <c r="O357" s="786">
        <f t="shared" si="253"/>
        <v>0.226689</v>
      </c>
      <c r="P357" s="786">
        <f t="shared" si="254"/>
        <v>0</v>
      </c>
      <c r="Q357" s="787">
        <f>'Income Eligible Deemed Table'!I20</f>
        <v>0.226689</v>
      </c>
      <c r="R357" s="787"/>
      <c r="S357" s="787"/>
      <c r="T357" s="787"/>
      <c r="U357" s="788">
        <f t="shared" si="236"/>
        <v>0.226689</v>
      </c>
      <c r="V357" s="788">
        <f t="shared" si="237"/>
        <v>0</v>
      </c>
      <c r="W357" s="788">
        <f t="shared" si="238"/>
        <v>0</v>
      </c>
      <c r="X357" s="23">
        <f>'Income Eligible Deemed Table'!J20</f>
        <v>2</v>
      </c>
      <c r="Y357" s="23"/>
      <c r="Z357" s="23">
        <f t="shared" si="257"/>
        <v>2</v>
      </c>
      <c r="AA357" s="18">
        <f>'Income Eligible Deemed Table'!DG20</f>
        <v>0.48360177005570398</v>
      </c>
      <c r="AB357" s="259">
        <f>'Income Eligible Deemed Table'!K20</f>
        <v>185</v>
      </c>
      <c r="AC357" s="902">
        <f t="shared" si="258"/>
        <v>89.466327460305237</v>
      </c>
      <c r="AD357" s="902">
        <f t="shared" si="255"/>
        <v>0</v>
      </c>
      <c r="AE357" s="610">
        <f>'Income Eligible Deemed Table'!DI20</f>
        <v>89.466327460305237</v>
      </c>
      <c r="AF357" s="208"/>
      <c r="AG357" s="208"/>
      <c r="AH357" s="208"/>
      <c r="AI357" s="1442" t="str">
        <f>'Income Eligible Deemed Table'!L20</f>
        <v>per measure</v>
      </c>
      <c r="AJ357" s="676"/>
      <c r="AK357" s="41"/>
      <c r="AL357" s="41"/>
      <c r="AX357" s="1355" t="str">
        <f t="shared" si="193"/>
        <v>AC Tune-up / Packaged Service MF</v>
      </c>
      <c r="AY357" s="1378"/>
      <c r="AZ357" s="1446" t="str">
        <f t="shared" si="194"/>
        <v>400411</v>
      </c>
      <c r="BA357" s="1300" t="s">
        <v>1303</v>
      </c>
      <c r="BB357" s="1300" t="s">
        <v>1303</v>
      </c>
      <c r="BC357" s="1300" t="s">
        <v>1303</v>
      </c>
      <c r="BD357" s="1300" t="s">
        <v>1303</v>
      </c>
      <c r="BE357" s="1305"/>
      <c r="BF357" s="1300" t="s">
        <v>1303</v>
      </c>
      <c r="BG357" s="1300" t="s">
        <v>1303</v>
      </c>
      <c r="BH357" s="1300" t="s">
        <v>1303</v>
      </c>
      <c r="BI357" s="1301" t="s">
        <v>1303</v>
      </c>
      <c r="BJ357" s="1305"/>
      <c r="BK357" s="1300" t="s">
        <v>1303</v>
      </c>
      <c r="BL357" s="1301" t="s">
        <v>1303</v>
      </c>
      <c r="BM357" s="1300" t="s">
        <v>1303</v>
      </c>
      <c r="BN357" s="1301" t="s">
        <v>1303</v>
      </c>
    </row>
    <row r="358" spans="1:66" s="696" customFormat="1">
      <c r="A358" s="2958" t="str">
        <f t="shared" si="256"/>
        <v>400412</v>
      </c>
      <c r="B358" s="2233" t="str">
        <f>'Income Eligible Deemed Table'!C21</f>
        <v>400412_2024_12_</v>
      </c>
      <c r="C358" s="3874" t="str">
        <f>'Income Eligible Deemed Table'!G21</f>
        <v>Cooling RES</v>
      </c>
      <c r="D358" s="2724"/>
      <c r="E358" s="2724"/>
      <c r="F358" s="2724"/>
      <c r="G358" s="2724" t="str">
        <f>'Income Eligible Deemed Table'!E21</f>
        <v>AC Tune-up / Packaged Service MF_CompE</v>
      </c>
      <c r="H358" s="2554" t="str">
        <f>'Income Eligible Deemed Table'!D21</f>
        <v>MFIEc</v>
      </c>
      <c r="I358" s="3840">
        <f t="shared" si="251"/>
        <v>174.01</v>
      </c>
      <c r="J358" s="3840">
        <f t="shared" si="252"/>
        <v>0</v>
      </c>
      <c r="K358" s="3251">
        <f>'Income Eligible Deemed Table'!F21</f>
        <v>174.01</v>
      </c>
      <c r="L358" s="3251"/>
      <c r="M358" s="3251"/>
      <c r="N358" s="3251"/>
      <c r="O358" s="3841">
        <f t="shared" si="253"/>
        <v>0.16486000000000001</v>
      </c>
      <c r="P358" s="3841">
        <f t="shared" si="254"/>
        <v>0</v>
      </c>
      <c r="Q358" s="3842">
        <f>'Income Eligible Deemed Table'!I21</f>
        <v>0.16486000000000001</v>
      </c>
      <c r="R358" s="3842"/>
      <c r="S358" s="3842"/>
      <c r="T358" s="3842"/>
      <c r="U358" s="3843">
        <f t="shared" si="236"/>
        <v>0.16486000000000001</v>
      </c>
      <c r="V358" s="3843">
        <f t="shared" si="237"/>
        <v>0</v>
      </c>
      <c r="W358" s="3843">
        <f t="shared" si="238"/>
        <v>0</v>
      </c>
      <c r="X358" s="2846">
        <f>'Income Eligible Deemed Table'!J21</f>
        <v>2</v>
      </c>
      <c r="Y358" s="2846"/>
      <c r="Z358" s="2846">
        <f t="shared" si="257"/>
        <v>2</v>
      </c>
      <c r="AA358" s="2529">
        <f>'Income Eligible Deemed Table'!DG21</f>
        <v>0.35170119115389742</v>
      </c>
      <c r="AB358" s="3878">
        <f>'Income Eligible Deemed Table'!K21</f>
        <v>185</v>
      </c>
      <c r="AC358" s="3864">
        <f t="shared" si="258"/>
        <v>65.064720363471025</v>
      </c>
      <c r="AD358" s="3864">
        <f t="shared" si="255"/>
        <v>0</v>
      </c>
      <c r="AE358" s="3865">
        <f>'Income Eligible Deemed Table'!DI21</f>
        <v>65.064720363471025</v>
      </c>
      <c r="AF358" s="3846"/>
      <c r="AG358" s="3846"/>
      <c r="AH358" s="3846"/>
      <c r="AI358" s="2233" t="str">
        <f>'Income Eligible Deemed Table'!L21</f>
        <v>per measure</v>
      </c>
      <c r="AJ358" s="2724"/>
      <c r="AX358" s="3849" t="str">
        <f t="shared" si="193"/>
        <v>AC Tune-up / Packaged Service MF_CompE</v>
      </c>
      <c r="AY358" s="2724"/>
      <c r="AZ358" s="3850" t="str">
        <f t="shared" si="194"/>
        <v>400412</v>
      </c>
      <c r="BA358" s="3866" t="s">
        <v>1303</v>
      </c>
      <c r="BB358" s="3866" t="s">
        <v>1303</v>
      </c>
      <c r="BC358" s="3866" t="s">
        <v>1303</v>
      </c>
      <c r="BD358" s="3866" t="s">
        <v>1303</v>
      </c>
      <c r="BE358" s="3853"/>
      <c r="BF358" s="3866" t="s">
        <v>1303</v>
      </c>
      <c r="BG358" s="3866" t="s">
        <v>1303</v>
      </c>
      <c r="BH358" s="3866" t="s">
        <v>1303</v>
      </c>
      <c r="BI358" s="3867" t="s">
        <v>1303</v>
      </c>
      <c r="BJ358" s="3853"/>
      <c r="BK358" s="3866" t="s">
        <v>1303</v>
      </c>
      <c r="BL358" s="3867" t="s">
        <v>1303</v>
      </c>
      <c r="BM358" s="3866" t="s">
        <v>1303</v>
      </c>
      <c r="BN358" s="3867" t="s">
        <v>1303</v>
      </c>
    </row>
    <row r="359" spans="1:66">
      <c r="A359" s="51" t="str">
        <f t="shared" si="256"/>
        <v>400450</v>
      </c>
      <c r="B359" s="1442" t="str">
        <f>'Income Eligible Deemed Table'!C59</f>
        <v>400450_2024_12_</v>
      </c>
      <c r="C359" s="1378" t="str">
        <f>'Income Eligible Deemed Table'!G59</f>
        <v>Building Shell RES</v>
      </c>
      <c r="D359" s="1378"/>
      <c r="E359" s="1378"/>
      <c r="F359" s="1378"/>
      <c r="G359" s="1378" t="str">
        <f>'Income Eligible Deemed Table'!E59</f>
        <v>Air Sealing (Infiltration reduction) - 30% MF IE DI electric furnace base</v>
      </c>
      <c r="H359" s="19" t="str">
        <f>'Income Eligible Deemed Table'!D59</f>
        <v>MFIE</v>
      </c>
      <c r="I359" s="785">
        <f>'Income Eligible Deemed Table'!F59</f>
        <v>0.33</v>
      </c>
      <c r="J359" s="785">
        <f t="shared" si="252"/>
        <v>0</v>
      </c>
      <c r="K359" s="888"/>
      <c r="L359" s="888"/>
      <c r="M359" s="202"/>
      <c r="N359" s="202"/>
      <c r="O359" s="786">
        <f>'Income Eligible Deemed Table'!K59</f>
        <v>1.54E-4</v>
      </c>
      <c r="P359" s="786">
        <f t="shared" si="254"/>
        <v>0</v>
      </c>
      <c r="Q359" s="889"/>
      <c r="R359" s="889"/>
      <c r="S359" s="787"/>
      <c r="T359" s="787"/>
      <c r="U359" s="788">
        <f t="shared" si="236"/>
        <v>0</v>
      </c>
      <c r="V359" s="788">
        <f t="shared" si="237"/>
        <v>0</v>
      </c>
      <c r="W359" s="788">
        <f t="shared" si="238"/>
        <v>1.54E-4</v>
      </c>
      <c r="X359" s="23">
        <f>'Income Eligible Deemed Table'!L59</f>
        <v>20</v>
      </c>
      <c r="Y359" s="23"/>
      <c r="Z359" s="23">
        <f t="shared" si="257"/>
        <v>20</v>
      </c>
      <c r="AA359" s="18">
        <f>'Income Eligible Deemed Table'!DG59</f>
        <v>4.1870160967152685</v>
      </c>
      <c r="AB359" s="259">
        <f>'Income Eligible Deemed Table'!M59</f>
        <v>0.12</v>
      </c>
      <c r="AC359" s="902">
        <f t="shared" si="258"/>
        <v>0.50244193160583217</v>
      </c>
      <c r="AD359" s="902">
        <f t="shared" si="255"/>
        <v>0</v>
      </c>
      <c r="AE359" s="610">
        <f>'Income Eligible Deemed Table'!DI59</f>
        <v>0.50244193160583217</v>
      </c>
      <c r="AF359" s="208"/>
      <c r="AG359" s="208"/>
      <c r="AH359" s="208"/>
      <c r="AI359" s="907" t="str">
        <f>'Income Eligible Deemed Table'!N58</f>
        <v>Units (sq. ft)</v>
      </c>
      <c r="AJ359" s="71"/>
      <c r="AX359" s="1355" t="str">
        <f t="shared" si="193"/>
        <v>Air Sealing (Infiltration reduction) - 30% MF IE DI electric furnace base</v>
      </c>
      <c r="AY359" s="1378"/>
      <c r="AZ359" s="1446" t="str">
        <f t="shared" si="194"/>
        <v>400450</v>
      </c>
      <c r="BA359" s="1300" t="s">
        <v>1303</v>
      </c>
      <c r="BB359" s="1300" t="s">
        <v>1303</v>
      </c>
      <c r="BC359" s="1300" t="s">
        <v>1303</v>
      </c>
      <c r="BD359" s="1300" t="s">
        <v>1303</v>
      </c>
      <c r="BE359" s="1305"/>
      <c r="BF359" s="1300" t="s">
        <v>1303</v>
      </c>
      <c r="BG359" s="1300" t="s">
        <v>1303</v>
      </c>
      <c r="BH359" s="1300" t="s">
        <v>1303</v>
      </c>
      <c r="BI359" s="1301" t="s">
        <v>1303</v>
      </c>
      <c r="BJ359" s="1305"/>
      <c r="BK359" s="1300" t="s">
        <v>1303</v>
      </c>
      <c r="BL359" s="1301" t="s">
        <v>1303</v>
      </c>
      <c r="BM359" s="1300" t="s">
        <v>1303</v>
      </c>
      <c r="BN359" s="1301" t="s">
        <v>1303</v>
      </c>
    </row>
    <row r="360" spans="1:66">
      <c r="A360" s="51" t="str">
        <f t="shared" si="256"/>
        <v>400500</v>
      </c>
      <c r="B360" s="1442" t="str">
        <f>'Income Eligible Deemed Table'!C60</f>
        <v>400500_2024_12_</v>
      </c>
      <c r="C360" s="1378" t="str">
        <f>'Income Eligible Deemed Table'!G60</f>
        <v>Building Shell RES</v>
      </c>
      <c r="D360" s="1378"/>
      <c r="E360" s="1378"/>
      <c r="F360" s="1378"/>
      <c r="G360" s="1378" t="str">
        <f>'Income Eligible Deemed Table'!E60</f>
        <v>Air Sealing (Infiltration reduction) - 30% MF IE DI heat pump base</v>
      </c>
      <c r="H360" s="19"/>
      <c r="I360" s="785">
        <f>'Income Eligible Deemed Table'!F60</f>
        <v>0.25</v>
      </c>
      <c r="J360" s="785">
        <f t="shared" si="252"/>
        <v>0</v>
      </c>
      <c r="K360" s="888"/>
      <c r="L360" s="888"/>
      <c r="M360" s="202"/>
      <c r="N360" s="202"/>
      <c r="O360" s="786">
        <f>'Income Eligible Deemed Table'!K60</f>
        <v>1.17E-4</v>
      </c>
      <c r="P360" s="786">
        <f t="shared" si="254"/>
        <v>0</v>
      </c>
      <c r="Q360" s="889"/>
      <c r="R360" s="889"/>
      <c r="S360" s="787"/>
      <c r="T360" s="787"/>
      <c r="U360" s="788">
        <f t="shared" si="236"/>
        <v>0</v>
      </c>
      <c r="V360" s="788">
        <f t="shared" si="237"/>
        <v>0</v>
      </c>
      <c r="W360" s="788">
        <f t="shared" si="238"/>
        <v>1.17E-4</v>
      </c>
      <c r="X360" s="23">
        <f>'Income Eligible Deemed Table'!L60</f>
        <v>20</v>
      </c>
      <c r="Y360" s="23"/>
      <c r="Z360" s="23">
        <f t="shared" si="257"/>
        <v>20</v>
      </c>
      <c r="AA360" s="18">
        <f>'Income Eligible Deemed Table'!DG60</f>
        <v>3.1719818914509608</v>
      </c>
      <c r="AB360" s="259">
        <f>'Income Eligible Deemed Table'!M60</f>
        <v>0.12</v>
      </c>
      <c r="AC360" s="902">
        <f t="shared" si="258"/>
        <v>0.3806378269741153</v>
      </c>
      <c r="AD360" s="902">
        <f t="shared" si="255"/>
        <v>0</v>
      </c>
      <c r="AE360" s="610">
        <f>'Income Eligible Deemed Table'!DI60</f>
        <v>0.3806378269741153</v>
      </c>
      <c r="AF360" s="208"/>
      <c r="AG360" s="208"/>
      <c r="AH360" s="208"/>
      <c r="AI360" s="907" t="str">
        <f t="shared" ref="AI360:AI367" si="259">AI359</f>
        <v>Units (sq. ft)</v>
      </c>
      <c r="AJ360" s="71"/>
      <c r="AX360" s="1355" t="str">
        <f t="shared" si="193"/>
        <v>Air Sealing (Infiltration reduction) - 30% MF IE DI heat pump base</v>
      </c>
      <c r="AY360" s="1378"/>
      <c r="AZ360" s="1446" t="str">
        <f t="shared" si="194"/>
        <v>400500</v>
      </c>
      <c r="BA360" s="1300" t="s">
        <v>1303</v>
      </c>
      <c r="BB360" s="1300" t="s">
        <v>1303</v>
      </c>
      <c r="BC360" s="1300" t="s">
        <v>1303</v>
      </c>
      <c r="BD360" s="1300" t="s">
        <v>1303</v>
      </c>
      <c r="BE360" s="1305"/>
      <c r="BF360" s="1300" t="s">
        <v>1303</v>
      </c>
      <c r="BG360" s="1300" t="s">
        <v>1303</v>
      </c>
      <c r="BH360" s="1300" t="s">
        <v>1303</v>
      </c>
      <c r="BI360" s="1301" t="s">
        <v>1303</v>
      </c>
      <c r="BJ360" s="1305"/>
      <c r="BK360" s="1300" t="s">
        <v>1303</v>
      </c>
      <c r="BL360" s="1301" t="s">
        <v>1303</v>
      </c>
      <c r="BM360" s="1300" t="s">
        <v>1303</v>
      </c>
      <c r="BN360" s="1301" t="s">
        <v>1303</v>
      </c>
    </row>
    <row r="361" spans="1:66" s="41" customFormat="1">
      <c r="A361" s="51" t="str">
        <f t="shared" si="256"/>
        <v>400501</v>
      </c>
      <c r="B361" s="1442" t="str">
        <f>'Income Eligible Deemed Table'!C61</f>
        <v>400501_2022_12_</v>
      </c>
      <c r="C361" s="1378" t="str">
        <f>'Income Eligible Deemed Table'!G61</f>
        <v>Building Shell RES</v>
      </c>
      <c r="D361" s="1378"/>
      <c r="E361" s="1378"/>
      <c r="F361" s="1378"/>
      <c r="G361" s="1378" t="str">
        <f>'Income Eligible Deemed Table'!E61</f>
        <v>Air Sealing (Infiltration reduction) - 30% MF IE DI gas furnace base</v>
      </c>
      <c r="H361" s="19"/>
      <c r="I361" s="785">
        <f>'Income Eligible Deemed Table'!F61</f>
        <v>0.05</v>
      </c>
      <c r="J361" s="785">
        <f>M361+N361</f>
        <v>0</v>
      </c>
      <c r="K361" s="888"/>
      <c r="L361" s="888"/>
      <c r="M361" s="202"/>
      <c r="N361" s="202"/>
      <c r="O361" s="786">
        <f>'Income Eligible Deemed Table'!K61</f>
        <v>2.3E-5</v>
      </c>
      <c r="P361" s="786">
        <f>S361+T361</f>
        <v>0</v>
      </c>
      <c r="Q361" s="889"/>
      <c r="R361" s="889"/>
      <c r="S361" s="787"/>
      <c r="T361" s="787"/>
      <c r="U361" s="788">
        <f t="shared" si="236"/>
        <v>0</v>
      </c>
      <c r="V361" s="788">
        <f t="shared" si="237"/>
        <v>0</v>
      </c>
      <c r="W361" s="788">
        <f t="shared" si="238"/>
        <v>2.3E-5</v>
      </c>
      <c r="X361" s="23">
        <f>'Income Eligible Deemed Table'!L61</f>
        <v>20</v>
      </c>
      <c r="Y361" s="23"/>
      <c r="Z361" s="23">
        <f>Y361+X361</f>
        <v>20</v>
      </c>
      <c r="AA361" s="18">
        <f>'Income Eligible Deemed Table'!DG61</f>
        <v>0.63439637829019224</v>
      </c>
      <c r="AB361" s="259">
        <f>'Income Eligible Deemed Table'!M61</f>
        <v>0.12</v>
      </c>
      <c r="AC361" s="902">
        <f>AE361+AF361</f>
        <v>7.6127565394823071E-2</v>
      </c>
      <c r="AD361" s="902">
        <f>AG361+AH361</f>
        <v>0</v>
      </c>
      <c r="AE361" s="610">
        <f>'Income Eligible Deemed Table'!DI61</f>
        <v>7.6127565394823071E-2</v>
      </c>
      <c r="AF361" s="208"/>
      <c r="AG361" s="208"/>
      <c r="AH361" s="208"/>
      <c r="AI361" s="907" t="str">
        <f>AI360</f>
        <v>Units (sq. ft)</v>
      </c>
      <c r="AJ361" s="676"/>
      <c r="AM361"/>
      <c r="AN361"/>
      <c r="AO361"/>
      <c r="AP361"/>
      <c r="AQ361"/>
      <c r="AR361"/>
      <c r="AS361"/>
      <c r="AT361"/>
      <c r="AU361"/>
      <c r="AV361"/>
      <c r="AW361"/>
      <c r="AX361" s="1355" t="str">
        <f t="shared" si="193"/>
        <v>Air Sealing (Infiltration reduction) - 30% MF IE DI gas furnace base</v>
      </c>
      <c r="AY361" s="1378"/>
      <c r="AZ361" s="1446" t="str">
        <f t="shared" si="194"/>
        <v>400501</v>
      </c>
      <c r="BA361" s="1300" t="s">
        <v>1303</v>
      </c>
      <c r="BB361" s="1300" t="s">
        <v>1303</v>
      </c>
      <c r="BC361" s="1300" t="s">
        <v>1303</v>
      </c>
      <c r="BD361" s="1300" t="s">
        <v>1303</v>
      </c>
      <c r="BE361" s="1306"/>
      <c r="BF361" s="1300" t="s">
        <v>1303</v>
      </c>
      <c r="BG361" s="1300" t="s">
        <v>1303</v>
      </c>
      <c r="BH361" s="1300" t="s">
        <v>1303</v>
      </c>
      <c r="BI361" s="1301" t="s">
        <v>1303</v>
      </c>
      <c r="BJ361" s="1305"/>
      <c r="BK361" s="1300" t="s">
        <v>1303</v>
      </c>
      <c r="BL361" s="1301" t="s">
        <v>1303</v>
      </c>
      <c r="BM361" s="1300" t="s">
        <v>1303</v>
      </c>
      <c r="BN361" s="1301" t="s">
        <v>1303</v>
      </c>
    </row>
    <row r="362" spans="1:66">
      <c r="A362" s="51" t="str">
        <f t="shared" si="256"/>
        <v>400550</v>
      </c>
      <c r="B362" s="1442" t="str">
        <f>'Income Eligible Deemed Table'!C62</f>
        <v>400550_2024_12_</v>
      </c>
      <c r="C362" s="1378" t="str">
        <f>'Income Eligible Deemed Table'!G62</f>
        <v>Building Shell RES</v>
      </c>
      <c r="D362" s="1378"/>
      <c r="E362" s="1378"/>
      <c r="F362" s="1378"/>
      <c r="G362" s="1378" t="str">
        <f>'Income Eligible Deemed Table'!E62</f>
        <v>Air Sealing (Infiltration reduction) - 30% SF IE DI electric furnace base</v>
      </c>
      <c r="H362" s="19"/>
      <c r="I362" s="785">
        <f>'Income Eligible Deemed Table'!F62</f>
        <v>0.36</v>
      </c>
      <c r="J362" s="785">
        <f t="shared" si="252"/>
        <v>0</v>
      </c>
      <c r="K362" s="888"/>
      <c r="L362" s="888"/>
      <c r="M362" s="202"/>
      <c r="N362" s="202"/>
      <c r="O362" s="786">
        <f>'Income Eligible Deemed Table'!K62</f>
        <v>1.6799999999999999E-4</v>
      </c>
      <c r="P362" s="786">
        <f t="shared" si="254"/>
        <v>0</v>
      </c>
      <c r="Q362" s="889"/>
      <c r="R362" s="889"/>
      <c r="S362" s="787"/>
      <c r="T362" s="787"/>
      <c r="U362" s="788">
        <f t="shared" si="236"/>
        <v>0</v>
      </c>
      <c r="V362" s="788">
        <f t="shared" si="237"/>
        <v>0</v>
      </c>
      <c r="W362" s="788">
        <f t="shared" si="238"/>
        <v>1.6799999999999999E-4</v>
      </c>
      <c r="X362" s="23">
        <f>'Income Eligible Deemed Table'!L62</f>
        <v>20</v>
      </c>
      <c r="Y362" s="23"/>
      <c r="Z362" s="23">
        <f t="shared" si="257"/>
        <v>20</v>
      </c>
      <c r="AA362" s="18">
        <f>'Income Eligible Deemed Table'!DG62</f>
        <v>4.5676539236893836</v>
      </c>
      <c r="AB362" s="259">
        <f>'Income Eligible Deemed Table'!M62</f>
        <v>0.12</v>
      </c>
      <c r="AC362" s="902">
        <f t="shared" si="258"/>
        <v>0.54811847084272602</v>
      </c>
      <c r="AD362" s="902">
        <f t="shared" si="255"/>
        <v>0</v>
      </c>
      <c r="AE362" s="610">
        <f>'Income Eligible Deemed Table'!DI62</f>
        <v>0.54811847084272602</v>
      </c>
      <c r="AF362" s="208"/>
      <c r="AG362" s="208"/>
      <c r="AH362" s="208"/>
      <c r="AI362" s="907" t="str">
        <f>AI360</f>
        <v>Units (sq. ft)</v>
      </c>
      <c r="AJ362" s="71"/>
      <c r="AX362" s="1355" t="str">
        <f t="shared" si="193"/>
        <v>Air Sealing (Infiltration reduction) - 30% SF IE DI electric furnace base</v>
      </c>
      <c r="AY362" s="1378"/>
      <c r="AZ362" s="1446" t="str">
        <f t="shared" si="194"/>
        <v>400550</v>
      </c>
      <c r="BA362" s="1300" t="s">
        <v>1303</v>
      </c>
      <c r="BB362" s="1300" t="s">
        <v>1303</v>
      </c>
      <c r="BC362" s="1300" t="s">
        <v>1303</v>
      </c>
      <c r="BD362" s="1300" t="s">
        <v>1303</v>
      </c>
      <c r="BE362" s="1305"/>
      <c r="BF362" s="1300" t="s">
        <v>1303</v>
      </c>
      <c r="BG362" s="1300" t="s">
        <v>1303</v>
      </c>
      <c r="BH362" s="1300" t="s">
        <v>1303</v>
      </c>
      <c r="BI362" s="1301" t="s">
        <v>1303</v>
      </c>
      <c r="BJ362" s="1305"/>
      <c r="BK362" s="1300" t="s">
        <v>1303</v>
      </c>
      <c r="BL362" s="1301" t="s">
        <v>1303</v>
      </c>
      <c r="BM362" s="1300" t="s">
        <v>1303</v>
      </c>
      <c r="BN362" s="1301" t="s">
        <v>1303</v>
      </c>
    </row>
    <row r="363" spans="1:66">
      <c r="A363" s="51" t="str">
        <f t="shared" si="256"/>
        <v>400551</v>
      </c>
      <c r="B363" s="1442" t="str">
        <f>'Income Eligible Deemed Table'!C63</f>
        <v>400551_2024_12_</v>
      </c>
      <c r="C363" s="1378" t="str">
        <f>'Income Eligible Deemed Table'!G63</f>
        <v>Building Shell RES</v>
      </c>
      <c r="D363" s="1378"/>
      <c r="E363" s="1378"/>
      <c r="F363" s="1378"/>
      <c r="G363" s="1378" t="str">
        <f>'Income Eligible Deemed Table'!E63</f>
        <v>Air Sealing (Infiltration reduction) - 30% SF IE DI Gas furnace base</v>
      </c>
      <c r="H363" s="19"/>
      <c r="I363" s="785">
        <f>'Income Eligible Deemed Table'!F63</f>
        <v>0.06</v>
      </c>
      <c r="J363" s="785">
        <f t="shared" si="252"/>
        <v>0</v>
      </c>
      <c r="K363" s="888"/>
      <c r="L363" s="888"/>
      <c r="M363" s="202"/>
      <c r="N363" s="202"/>
      <c r="O363" s="786">
        <f>'Income Eligible Deemed Table'!K63</f>
        <v>2.8E-5</v>
      </c>
      <c r="P363" s="786">
        <f t="shared" si="254"/>
        <v>0</v>
      </c>
      <c r="Q363" s="889"/>
      <c r="R363" s="889"/>
      <c r="S363" s="787"/>
      <c r="T363" s="787"/>
      <c r="U363" s="788">
        <f t="shared" si="236"/>
        <v>0</v>
      </c>
      <c r="V363" s="788">
        <f t="shared" si="237"/>
        <v>0</v>
      </c>
      <c r="W363" s="788">
        <f t="shared" si="238"/>
        <v>2.8E-5</v>
      </c>
      <c r="X363" s="23">
        <f>'Income Eligible Deemed Table'!L63</f>
        <v>20</v>
      </c>
      <c r="Y363" s="23"/>
      <c r="Z363" s="23">
        <f t="shared" si="257"/>
        <v>20</v>
      </c>
      <c r="AA363" s="18">
        <f>'Income Eligible Deemed Table'!DG63</f>
        <v>0.7612756539482306</v>
      </c>
      <c r="AB363" s="259">
        <f>'Income Eligible Deemed Table'!M63</f>
        <v>0.12</v>
      </c>
      <c r="AC363" s="902">
        <f t="shared" si="258"/>
        <v>9.1353078473787666E-2</v>
      </c>
      <c r="AD363" s="902">
        <f t="shared" si="255"/>
        <v>0</v>
      </c>
      <c r="AE363" s="610">
        <f>'Income Eligible Deemed Table'!DI63</f>
        <v>9.1353078473787666E-2</v>
      </c>
      <c r="AF363" s="208"/>
      <c r="AG363" s="208"/>
      <c r="AH363" s="208"/>
      <c r="AI363" s="907" t="str">
        <f t="shared" si="259"/>
        <v>Units (sq. ft)</v>
      </c>
      <c r="AJ363" s="71"/>
      <c r="AX363" s="1355" t="str">
        <f t="shared" si="193"/>
        <v>Air Sealing (Infiltration reduction) - 30% SF IE DI Gas furnace base</v>
      </c>
      <c r="AY363" s="1378"/>
      <c r="AZ363" s="1446" t="str">
        <f t="shared" si="194"/>
        <v>400551</v>
      </c>
      <c r="BA363" s="1300" t="s">
        <v>1303</v>
      </c>
      <c r="BB363" s="1300" t="s">
        <v>1303</v>
      </c>
      <c r="BC363" s="1300" t="s">
        <v>1303</v>
      </c>
      <c r="BD363" s="1300" t="s">
        <v>1303</v>
      </c>
      <c r="BE363" s="1305"/>
      <c r="BF363" s="1300" t="s">
        <v>1303</v>
      </c>
      <c r="BG363" s="1300" t="s">
        <v>1303</v>
      </c>
      <c r="BH363" s="1300" t="s">
        <v>1303</v>
      </c>
      <c r="BI363" s="1301" t="s">
        <v>1303</v>
      </c>
      <c r="BJ363" s="1305"/>
      <c r="BK363" s="1300" t="s">
        <v>1303</v>
      </c>
      <c r="BL363" s="1301" t="s">
        <v>1303</v>
      </c>
      <c r="BM363" s="1300" t="s">
        <v>1303</v>
      </c>
      <c r="BN363" s="1301" t="s">
        <v>1303</v>
      </c>
    </row>
    <row r="364" spans="1:66">
      <c r="A364" s="51" t="str">
        <f t="shared" si="256"/>
        <v>400600</v>
      </c>
      <c r="B364" s="1442" t="str">
        <f>'Income Eligible Deemed Table'!C64</f>
        <v>400600_2024_12_</v>
      </c>
      <c r="C364" s="1378" t="str">
        <f>'Income Eligible Deemed Table'!G64</f>
        <v>Building Shell RES</v>
      </c>
      <c r="D364" s="1378"/>
      <c r="E364" s="1378"/>
      <c r="F364" s="1378"/>
      <c r="G364" s="1378" t="str">
        <f>'Income Eligible Deemed Table'!E64</f>
        <v>Air Sealing (Infiltration reduction) - 30% SF IE DI heat pump base</v>
      </c>
      <c r="H364" s="19"/>
      <c r="I364" s="785">
        <f>'Income Eligible Deemed Table'!F64</f>
        <v>0.31</v>
      </c>
      <c r="J364" s="785">
        <f t="shared" si="252"/>
        <v>0</v>
      </c>
      <c r="K364" s="888"/>
      <c r="L364" s="888"/>
      <c r="M364" s="202"/>
      <c r="N364" s="202"/>
      <c r="O364" s="786">
        <f>'Income Eligible Deemed Table'!K64</f>
        <v>1.44E-4</v>
      </c>
      <c r="P364" s="786">
        <f t="shared" si="254"/>
        <v>0</v>
      </c>
      <c r="Q364" s="889"/>
      <c r="R364" s="889"/>
      <c r="S364" s="787"/>
      <c r="T364" s="787"/>
      <c r="U364" s="788">
        <f t="shared" si="236"/>
        <v>0</v>
      </c>
      <c r="V364" s="788">
        <f t="shared" si="237"/>
        <v>0</v>
      </c>
      <c r="W364" s="788">
        <f t="shared" si="238"/>
        <v>1.44E-4</v>
      </c>
      <c r="X364" s="23">
        <f>'Income Eligible Deemed Table'!L64</f>
        <v>20</v>
      </c>
      <c r="Y364" s="23"/>
      <c r="Z364" s="23">
        <f t="shared" si="257"/>
        <v>20</v>
      </c>
      <c r="AA364" s="18">
        <f>'Income Eligible Deemed Table'!DG64</f>
        <v>3.9332575453991914</v>
      </c>
      <c r="AB364" s="259">
        <f>'Income Eligible Deemed Table'!M64</f>
        <v>0.12</v>
      </c>
      <c r="AC364" s="902">
        <f t="shared" si="258"/>
        <v>0.47199090544790295</v>
      </c>
      <c r="AD364" s="902">
        <f t="shared" si="255"/>
        <v>0</v>
      </c>
      <c r="AE364" s="610">
        <f>'Income Eligible Deemed Table'!DI64</f>
        <v>0.47199090544790295</v>
      </c>
      <c r="AF364" s="208"/>
      <c r="AG364" s="208"/>
      <c r="AH364" s="208"/>
      <c r="AI364" s="907" t="str">
        <f t="shared" si="259"/>
        <v>Units (sq. ft)</v>
      </c>
      <c r="AJ364" s="71"/>
      <c r="AX364" s="1355" t="str">
        <f t="shared" si="193"/>
        <v>Air Sealing (Infiltration reduction) - 30% SF IE DI heat pump base</v>
      </c>
      <c r="AY364" s="1378"/>
      <c r="AZ364" s="1446" t="str">
        <f t="shared" si="194"/>
        <v>400600</v>
      </c>
      <c r="BA364" s="1300" t="s">
        <v>1303</v>
      </c>
      <c r="BB364" s="1300" t="s">
        <v>1303</v>
      </c>
      <c r="BC364" s="1300" t="s">
        <v>1303</v>
      </c>
      <c r="BD364" s="1300" t="s">
        <v>1303</v>
      </c>
      <c r="BE364" s="1305"/>
      <c r="BF364" s="1300" t="s">
        <v>1303</v>
      </c>
      <c r="BG364" s="1300" t="s">
        <v>1303</v>
      </c>
      <c r="BH364" s="1300" t="s">
        <v>1303</v>
      </c>
      <c r="BI364" s="1301" t="s">
        <v>1303</v>
      </c>
      <c r="BJ364" s="1305"/>
      <c r="BK364" s="1300" t="s">
        <v>1303</v>
      </c>
      <c r="BL364" s="1301" t="s">
        <v>1303</v>
      </c>
      <c r="BM364" s="1300" t="s">
        <v>1303</v>
      </c>
      <c r="BN364" s="1301" t="s">
        <v>1303</v>
      </c>
    </row>
    <row r="365" spans="1:66">
      <c r="A365" s="51" t="str">
        <f t="shared" si="256"/>
        <v>400650</v>
      </c>
      <c r="B365" s="1442" t="str">
        <f>'Income Eligible Deemed Table'!C65</f>
        <v>400650_2024_12_</v>
      </c>
      <c r="C365" s="1378" t="str">
        <f>'Income Eligible Deemed Table'!G65</f>
        <v>Building Shell RES</v>
      </c>
      <c r="D365" s="1378"/>
      <c r="E365" s="1378"/>
      <c r="F365" s="1378"/>
      <c r="G365" s="1378" t="str">
        <f>'Income Eligible Deemed Table'!E65</f>
        <v>MH Adjusted Air Sealing (Infiltration reduction) - 30% SF IE DI electric furnace base</v>
      </c>
      <c r="H365" s="19"/>
      <c r="I365" s="785">
        <f>'Income Eligible Deemed Table'!F65</f>
        <v>0.48</v>
      </c>
      <c r="J365" s="785">
        <f t="shared" si="252"/>
        <v>0</v>
      </c>
      <c r="K365" s="888"/>
      <c r="L365" s="888"/>
      <c r="M365" s="202"/>
      <c r="N365" s="202"/>
      <c r="O365" s="786">
        <f>'Income Eligible Deemed Table'!K65</f>
        <v>2.24E-4</v>
      </c>
      <c r="P365" s="786">
        <f t="shared" si="254"/>
        <v>0</v>
      </c>
      <c r="Q365" s="889"/>
      <c r="R365" s="889"/>
      <c r="S365" s="787"/>
      <c r="T365" s="787"/>
      <c r="U365" s="788">
        <f t="shared" si="236"/>
        <v>0</v>
      </c>
      <c r="V365" s="788">
        <f t="shared" si="237"/>
        <v>0</v>
      </c>
      <c r="W365" s="788">
        <f t="shared" si="238"/>
        <v>2.24E-4</v>
      </c>
      <c r="X365" s="23">
        <f>'Income Eligible Deemed Table'!L65</f>
        <v>20</v>
      </c>
      <c r="Y365" s="23"/>
      <c r="Z365" s="23">
        <f t="shared" si="257"/>
        <v>20</v>
      </c>
      <c r="AA365" s="18">
        <f>'Income Eligible Deemed Table'!DG65</f>
        <v>6.0902052315858448</v>
      </c>
      <c r="AB365" s="259">
        <f>'Income Eligible Deemed Table'!M65</f>
        <v>0.12</v>
      </c>
      <c r="AC365" s="902">
        <f t="shared" si="258"/>
        <v>0.73082462779030133</v>
      </c>
      <c r="AD365" s="902">
        <f t="shared" si="255"/>
        <v>0</v>
      </c>
      <c r="AE365" s="610">
        <f>'Income Eligible Deemed Table'!DI65</f>
        <v>0.73082462779030133</v>
      </c>
      <c r="AF365" s="208"/>
      <c r="AG365" s="208"/>
      <c r="AH365" s="208"/>
      <c r="AI365" s="907" t="str">
        <f t="shared" si="259"/>
        <v>Units (sq. ft)</v>
      </c>
      <c r="AJ365" s="71"/>
      <c r="AX365" s="1355" t="str">
        <f t="shared" si="193"/>
        <v>MH Adjusted Air Sealing (Infiltration reduction) - 30% SF IE DI electric furnace base</v>
      </c>
      <c r="AY365" s="1378"/>
      <c r="AZ365" s="1446" t="str">
        <f t="shared" si="194"/>
        <v>400650</v>
      </c>
      <c r="BA365" s="1300" t="s">
        <v>1303</v>
      </c>
      <c r="BB365" s="1300" t="s">
        <v>1303</v>
      </c>
      <c r="BC365" s="1300" t="s">
        <v>1303</v>
      </c>
      <c r="BD365" s="1300" t="s">
        <v>1303</v>
      </c>
      <c r="BE365" s="1305"/>
      <c r="BF365" s="1300" t="s">
        <v>1303</v>
      </c>
      <c r="BG365" s="1300" t="s">
        <v>1303</v>
      </c>
      <c r="BH365" s="1300" t="s">
        <v>1303</v>
      </c>
      <c r="BI365" s="1301" t="s">
        <v>1303</v>
      </c>
      <c r="BJ365" s="1305"/>
      <c r="BK365" s="1300" t="s">
        <v>1303</v>
      </c>
      <c r="BL365" s="1301" t="s">
        <v>1303</v>
      </c>
      <c r="BM365" s="1300" t="s">
        <v>1303</v>
      </c>
      <c r="BN365" s="1301" t="s">
        <v>1303</v>
      </c>
    </row>
    <row r="366" spans="1:66">
      <c r="A366" s="51" t="str">
        <f t="shared" si="256"/>
        <v>400651</v>
      </c>
      <c r="B366" s="1442" t="str">
        <f>'Income Eligible Deemed Table'!C66</f>
        <v>400651_2024_12_</v>
      </c>
      <c r="C366" s="1378" t="str">
        <f>'Income Eligible Deemed Table'!G66</f>
        <v>Building Shell RES</v>
      </c>
      <c r="D366" s="1378"/>
      <c r="E366" s="1378"/>
      <c r="F366" s="1378"/>
      <c r="G366" s="1378" t="str">
        <f>'Income Eligible Deemed Table'!E66</f>
        <v>MH Adjusted Air Sealing (Infiltration reduction) - 30% SF IE DI heat pump base</v>
      </c>
      <c r="H366" s="19"/>
      <c r="I366" s="785">
        <f>'Income Eligible Deemed Table'!F66</f>
        <v>0.45</v>
      </c>
      <c r="J366" s="785">
        <f t="shared" si="252"/>
        <v>0</v>
      </c>
      <c r="K366" s="888"/>
      <c r="L366" s="888"/>
      <c r="M366" s="202"/>
      <c r="N366" s="202"/>
      <c r="O366" s="786">
        <f>'Income Eligible Deemed Table'!K66</f>
        <v>2.1000000000000001E-4</v>
      </c>
      <c r="P366" s="786">
        <f t="shared" si="254"/>
        <v>0</v>
      </c>
      <c r="Q366" s="889"/>
      <c r="R366" s="889"/>
      <c r="S366" s="787"/>
      <c r="T366" s="787"/>
      <c r="U366" s="788">
        <f t="shared" si="236"/>
        <v>0</v>
      </c>
      <c r="V366" s="788">
        <f t="shared" si="237"/>
        <v>0</v>
      </c>
      <c r="W366" s="788">
        <f t="shared" si="238"/>
        <v>2.1000000000000001E-4</v>
      </c>
      <c r="X366" s="23">
        <f>'Income Eligible Deemed Table'!L66</f>
        <v>20</v>
      </c>
      <c r="Y366" s="23"/>
      <c r="Z366" s="23">
        <f t="shared" si="257"/>
        <v>20</v>
      </c>
      <c r="AA366" s="18">
        <f>'Income Eligible Deemed Table'!DG66</f>
        <v>5.7095674046117297</v>
      </c>
      <c r="AB366" s="259">
        <f>'Income Eligible Deemed Table'!M66</f>
        <v>0.12</v>
      </c>
      <c r="AC366" s="902">
        <f t="shared" si="258"/>
        <v>0.68514808855340759</v>
      </c>
      <c r="AD366" s="902">
        <f t="shared" si="255"/>
        <v>0</v>
      </c>
      <c r="AE366" s="610">
        <f>'Income Eligible Deemed Table'!DI66</f>
        <v>0.68514808855340759</v>
      </c>
      <c r="AF366" s="208"/>
      <c r="AG366" s="208"/>
      <c r="AH366" s="208"/>
      <c r="AI366" s="907" t="str">
        <f t="shared" si="259"/>
        <v>Units (sq. ft)</v>
      </c>
      <c r="AJ366" s="71"/>
      <c r="AX366" s="1355" t="str">
        <f t="shared" si="193"/>
        <v>MH Adjusted Air Sealing (Infiltration reduction) - 30% SF IE DI heat pump base</v>
      </c>
      <c r="AY366" s="1378"/>
      <c r="AZ366" s="1446" t="str">
        <f t="shared" si="194"/>
        <v>400651</v>
      </c>
      <c r="BA366" s="1300" t="s">
        <v>1303</v>
      </c>
      <c r="BB366" s="1300" t="s">
        <v>1303</v>
      </c>
      <c r="BC366" s="1300" t="s">
        <v>1303</v>
      </c>
      <c r="BD366" s="1300" t="s">
        <v>1303</v>
      </c>
      <c r="BE366" s="1305"/>
      <c r="BF366" s="1300" t="s">
        <v>1303</v>
      </c>
      <c r="BG366" s="1300" t="s">
        <v>1303</v>
      </c>
      <c r="BH366" s="1300" t="s">
        <v>1303</v>
      </c>
      <c r="BI366" s="1301" t="s">
        <v>1303</v>
      </c>
      <c r="BJ366" s="1305"/>
      <c r="BK366" s="1300" t="s">
        <v>1303</v>
      </c>
      <c r="BL366" s="1301" t="s">
        <v>1303</v>
      </c>
      <c r="BM366" s="1300" t="s">
        <v>1303</v>
      </c>
      <c r="BN366" s="1301" t="s">
        <v>1303</v>
      </c>
    </row>
    <row r="367" spans="1:66">
      <c r="A367" s="51" t="str">
        <f t="shared" si="256"/>
        <v>400652</v>
      </c>
      <c r="B367" s="1442" t="str">
        <f>'Income Eligible Deemed Table'!C67</f>
        <v>400652_2024_12_</v>
      </c>
      <c r="C367" s="1378" t="str">
        <f>'Income Eligible Deemed Table'!G67</f>
        <v>Building Shell RES</v>
      </c>
      <c r="D367" s="1378"/>
      <c r="E367" s="1378"/>
      <c r="F367" s="1378"/>
      <c r="G367" s="1378" t="str">
        <f>'Income Eligible Deemed Table'!E67</f>
        <v>MH Adjusted Air Sealing (Infiltration reduction) - 30% SF IE DI gas furnace base</v>
      </c>
      <c r="H367" s="19"/>
      <c r="I367" s="785">
        <f>'Income Eligible Deemed Table'!F67</f>
        <v>0.08</v>
      </c>
      <c r="J367" s="785">
        <f t="shared" si="252"/>
        <v>0</v>
      </c>
      <c r="K367" s="888"/>
      <c r="L367" s="888"/>
      <c r="M367" s="202"/>
      <c r="N367" s="202"/>
      <c r="O367" s="786">
        <f>'Income Eligible Deemed Table'!K67</f>
        <v>3.6999999999999998E-5</v>
      </c>
      <c r="P367" s="786">
        <f t="shared" si="254"/>
        <v>0</v>
      </c>
      <c r="Q367" s="889"/>
      <c r="R367" s="889"/>
      <c r="S367" s="787"/>
      <c r="T367" s="787"/>
      <c r="U367" s="788">
        <f t="shared" si="236"/>
        <v>0</v>
      </c>
      <c r="V367" s="788">
        <f t="shared" si="237"/>
        <v>0</v>
      </c>
      <c r="W367" s="788">
        <f t="shared" si="238"/>
        <v>3.6999999999999998E-5</v>
      </c>
      <c r="X367" s="23">
        <f>'Income Eligible Deemed Table'!L67</f>
        <v>20</v>
      </c>
      <c r="Y367" s="23"/>
      <c r="Z367" s="23">
        <f t="shared" si="257"/>
        <v>20</v>
      </c>
      <c r="AA367" s="18">
        <f>'Income Eligible Deemed Table'!DG67</f>
        <v>1.0150342052643075</v>
      </c>
      <c r="AB367" s="259">
        <f>'Income Eligible Deemed Table'!M67</f>
        <v>0.12</v>
      </c>
      <c r="AC367" s="902">
        <f t="shared" si="258"/>
        <v>0.1218041046317169</v>
      </c>
      <c r="AD367" s="902">
        <f t="shared" si="255"/>
        <v>0</v>
      </c>
      <c r="AE367" s="610">
        <f>'Income Eligible Deemed Table'!DI67</f>
        <v>0.1218041046317169</v>
      </c>
      <c r="AF367" s="208"/>
      <c r="AG367" s="208"/>
      <c r="AH367" s="208"/>
      <c r="AI367" s="907" t="str">
        <f t="shared" si="259"/>
        <v>Units (sq. ft)</v>
      </c>
      <c r="AJ367" s="71"/>
      <c r="AX367" s="1355" t="str">
        <f t="shared" si="193"/>
        <v>MH Adjusted Air Sealing (Infiltration reduction) - 30% SF IE DI gas furnace base</v>
      </c>
      <c r="AY367" s="1378"/>
      <c r="AZ367" s="1446" t="str">
        <f t="shared" si="194"/>
        <v>400652</v>
      </c>
      <c r="BA367" s="1300" t="s">
        <v>1303</v>
      </c>
      <c r="BB367" s="1300" t="s">
        <v>1303</v>
      </c>
      <c r="BC367" s="1300" t="s">
        <v>1303</v>
      </c>
      <c r="BD367" s="1300" t="s">
        <v>1303</v>
      </c>
      <c r="BE367" s="1305"/>
      <c r="BF367" s="1300" t="s">
        <v>1303</v>
      </c>
      <c r="BG367" s="1300" t="s">
        <v>1303</v>
      </c>
      <c r="BH367" s="1300" t="s">
        <v>1303</v>
      </c>
      <c r="BI367" s="1301" t="s">
        <v>1303</v>
      </c>
      <c r="BJ367" s="1305"/>
      <c r="BK367" s="1300" t="s">
        <v>1303</v>
      </c>
      <c r="BL367" s="1301" t="s">
        <v>1303</v>
      </c>
      <c r="BM367" s="1300" t="s">
        <v>1303</v>
      </c>
      <c r="BN367" s="1301" t="s">
        <v>1303</v>
      </c>
    </row>
    <row r="368" spans="1:66">
      <c r="A368" s="51" t="str">
        <f t="shared" si="256"/>
        <v>400700</v>
      </c>
      <c r="B368" s="1442" t="str">
        <f>'Income Eligible Deemed Table'!C127</f>
        <v>400700_2024_12_</v>
      </c>
      <c r="C368" s="1378" t="str">
        <f>'Income Eligible Deemed Table'!G127</f>
        <v>Building Shell RES</v>
      </c>
      <c r="D368" s="1378"/>
      <c r="E368" s="1378"/>
      <c r="F368" s="1378"/>
      <c r="G368" s="1378" t="str">
        <f>'Income Eligible Deemed Table'!E127</f>
        <v>Ceiling Insulation R11-R49 MF IE DI electric furnace base</v>
      </c>
      <c r="H368" s="19" t="str">
        <f>'Income Eligible Deemed Table'!D127</f>
        <v>MFIE</v>
      </c>
      <c r="I368" s="785">
        <f>'Income Eligible Deemed Table'!F127</f>
        <v>0.91</v>
      </c>
      <c r="J368" s="785">
        <f t="shared" si="252"/>
        <v>0</v>
      </c>
      <c r="K368" s="888"/>
      <c r="L368" s="888"/>
      <c r="M368" s="202"/>
      <c r="N368" s="202"/>
      <c r="O368" s="786">
        <f>'Income Eligible Deemed Table'!K127</f>
        <v>4.2400000000000001E-4</v>
      </c>
      <c r="P368" s="786">
        <f t="shared" si="254"/>
        <v>0</v>
      </c>
      <c r="Q368" s="889"/>
      <c r="R368" s="889"/>
      <c r="S368" s="787"/>
      <c r="T368" s="787"/>
      <c r="U368" s="788">
        <f t="shared" si="236"/>
        <v>0</v>
      </c>
      <c r="V368" s="788">
        <f t="shared" si="237"/>
        <v>0</v>
      </c>
      <c r="W368" s="788">
        <f t="shared" si="238"/>
        <v>4.2400000000000001E-4</v>
      </c>
      <c r="X368" s="23">
        <f>'Income Eligible Deemed Table'!L127</f>
        <v>30</v>
      </c>
      <c r="Y368" s="23"/>
      <c r="Z368" s="23">
        <f t="shared" si="257"/>
        <v>30</v>
      </c>
      <c r="AA368" s="18">
        <f>'Income Eligible Deemed Table'!DG127</f>
        <v>0.80448693981771968</v>
      </c>
      <c r="AB368" s="259">
        <f>'Income Eligible Deemed Table'!M127</f>
        <v>2.1249043458397576</v>
      </c>
      <c r="AC368" s="902">
        <f t="shared" si="258"/>
        <v>1.70945779459</v>
      </c>
      <c r="AD368" s="902">
        <f t="shared" si="255"/>
        <v>0</v>
      </c>
      <c r="AE368" s="610">
        <f>'Income Eligible Deemed Table'!DI127</f>
        <v>1.70945779459</v>
      </c>
      <c r="AF368" s="208"/>
      <c r="AG368" s="208"/>
      <c r="AH368" s="208"/>
      <c r="AI368" s="908" t="str">
        <f>'Income Eligible Deemed Table'!N126</f>
        <v>Units - area of ceiling/attic (ft2)</v>
      </c>
      <c r="AJ368" s="71"/>
      <c r="AX368" s="1355" t="str">
        <f t="shared" si="193"/>
        <v>Ceiling Insulation R11-R49 MF IE DI electric furnace base</v>
      </c>
      <c r="AY368" s="1378"/>
      <c r="AZ368" s="1446" t="str">
        <f t="shared" si="194"/>
        <v>400700</v>
      </c>
      <c r="BA368" s="1300" t="s">
        <v>1303</v>
      </c>
      <c r="BB368" s="1300" t="s">
        <v>1303</v>
      </c>
      <c r="BC368" s="1300" t="s">
        <v>1303</v>
      </c>
      <c r="BD368" s="1300" t="s">
        <v>1303</v>
      </c>
      <c r="BE368" s="1305"/>
      <c r="BF368" s="1300" t="s">
        <v>1303</v>
      </c>
      <c r="BG368" s="1300" t="s">
        <v>1303</v>
      </c>
      <c r="BH368" s="1300" t="s">
        <v>1303</v>
      </c>
      <c r="BI368" s="1301" t="s">
        <v>1303</v>
      </c>
      <c r="BJ368" s="1305"/>
      <c r="BK368" s="1300" t="s">
        <v>1303</v>
      </c>
      <c r="BL368" s="1301" t="s">
        <v>1303</v>
      </c>
      <c r="BM368" s="1300" t="s">
        <v>1303</v>
      </c>
      <c r="BN368" s="1301" t="s">
        <v>1303</v>
      </c>
    </row>
    <row r="369" spans="1:66">
      <c r="A369" s="51" t="str">
        <f t="shared" si="256"/>
        <v>400750</v>
      </c>
      <c r="B369" s="1442" t="str">
        <f>'Income Eligible Deemed Table'!C128</f>
        <v>400750_2024_12_</v>
      </c>
      <c r="C369" s="1378" t="str">
        <f>'Income Eligible Deemed Table'!G128</f>
        <v>Building Shell RES</v>
      </c>
      <c r="D369" s="1378"/>
      <c r="E369" s="1378"/>
      <c r="F369" s="1378"/>
      <c r="G369" s="1378" t="str">
        <f>'Income Eligible Deemed Table'!E128</f>
        <v>Ceiling Insulation R11-R49 MF IE DI heat pump base</v>
      </c>
      <c r="H369" s="19" t="str">
        <f>'Income Eligible Deemed Table'!D128</f>
        <v>MFIE</v>
      </c>
      <c r="I369" s="785">
        <f>'Income Eligible Deemed Table'!F128</f>
        <v>0.61</v>
      </c>
      <c r="J369" s="785">
        <f t="shared" si="252"/>
        <v>0</v>
      </c>
      <c r="K369" s="888"/>
      <c r="L369" s="888"/>
      <c r="M369" s="202"/>
      <c r="N369" s="202"/>
      <c r="O369" s="786">
        <f>'Income Eligible Deemed Table'!K128</f>
        <v>2.8400000000000002E-4</v>
      </c>
      <c r="P369" s="786">
        <f t="shared" si="254"/>
        <v>0</v>
      </c>
      <c r="Q369" s="889"/>
      <c r="R369" s="889"/>
      <c r="S369" s="787"/>
      <c r="T369" s="787"/>
      <c r="U369" s="788">
        <f t="shared" si="236"/>
        <v>0</v>
      </c>
      <c r="V369" s="788">
        <f t="shared" si="237"/>
        <v>0</v>
      </c>
      <c r="W369" s="788">
        <f t="shared" si="238"/>
        <v>2.8400000000000002E-4</v>
      </c>
      <c r="X369" s="23">
        <f>'Income Eligible Deemed Table'!L128</f>
        <v>30</v>
      </c>
      <c r="Y369" s="23"/>
      <c r="Z369" s="23">
        <f t="shared" si="257"/>
        <v>30</v>
      </c>
      <c r="AA369" s="18">
        <f>'Income Eligible Deemed Table'!DG128</f>
        <v>0.53927146515253732</v>
      </c>
      <c r="AB369" s="259">
        <f>'Income Eligible Deemed Table'!M128</f>
        <v>2.1249043458397576</v>
      </c>
      <c r="AC369" s="902">
        <f t="shared" si="258"/>
        <v>1.14590027989</v>
      </c>
      <c r="AD369" s="902">
        <f t="shared" si="255"/>
        <v>0</v>
      </c>
      <c r="AE369" s="610">
        <f>'Income Eligible Deemed Table'!DI128</f>
        <v>1.14590027989</v>
      </c>
      <c r="AF369" s="208"/>
      <c r="AG369" s="208"/>
      <c r="AH369" s="208"/>
      <c r="AI369" s="908" t="str">
        <f t="shared" ref="AI369:AI397" si="260">AI368</f>
        <v>Units - area of ceiling/attic (ft2)</v>
      </c>
      <c r="AJ369" s="71"/>
      <c r="AX369" s="1355" t="str">
        <f t="shared" si="193"/>
        <v>Ceiling Insulation R11-R49 MF IE DI heat pump base</v>
      </c>
      <c r="AY369" s="1378"/>
      <c r="AZ369" s="1446" t="str">
        <f t="shared" si="194"/>
        <v>400750</v>
      </c>
      <c r="BA369" s="1300" t="s">
        <v>1303</v>
      </c>
      <c r="BB369" s="1300" t="s">
        <v>1303</v>
      </c>
      <c r="BC369" s="1300" t="s">
        <v>1303</v>
      </c>
      <c r="BD369" s="1300" t="s">
        <v>1303</v>
      </c>
      <c r="BE369" s="1305"/>
      <c r="BF369" s="1300" t="s">
        <v>1303</v>
      </c>
      <c r="BG369" s="1300" t="s">
        <v>1303</v>
      </c>
      <c r="BH369" s="1300" t="s">
        <v>1303</v>
      </c>
      <c r="BI369" s="1301" t="s">
        <v>1303</v>
      </c>
      <c r="BJ369" s="1305"/>
      <c r="BK369" s="1300" t="s">
        <v>1303</v>
      </c>
      <c r="BL369" s="1301" t="s">
        <v>1303</v>
      </c>
      <c r="BM369" s="1300" t="s">
        <v>1303</v>
      </c>
      <c r="BN369" s="1301" t="s">
        <v>1303</v>
      </c>
    </row>
    <row r="370" spans="1:66">
      <c r="A370" s="51" t="str">
        <f t="shared" si="256"/>
        <v>400800</v>
      </c>
      <c r="B370" s="1442" t="str">
        <f>'Income Eligible Deemed Table'!C129</f>
        <v>400800_2024_12_</v>
      </c>
      <c r="C370" s="1378" t="str">
        <f>'Income Eligible Deemed Table'!G129</f>
        <v>Building Shell RES</v>
      </c>
      <c r="D370" s="1378"/>
      <c r="E370" s="1378"/>
      <c r="F370" s="1378"/>
      <c r="G370" s="1378" t="str">
        <f>'Income Eligible Deemed Table'!E129</f>
        <v>Ceiling Insulation R11-R49 MF IE DI gas heat electric cool base</v>
      </c>
      <c r="H370" s="19" t="str">
        <f>'Income Eligible Deemed Table'!D129</f>
        <v>MFIE</v>
      </c>
      <c r="I370" s="785">
        <f>'Income Eligible Deemed Table'!F129</f>
        <v>0.14000000000000001</v>
      </c>
      <c r="J370" s="785">
        <f t="shared" si="252"/>
        <v>0</v>
      </c>
      <c r="K370" s="888"/>
      <c r="L370" s="888"/>
      <c r="M370" s="202"/>
      <c r="N370" s="202"/>
      <c r="O370" s="786">
        <f>'Income Eligible Deemed Table'!K129</f>
        <v>6.4999999999999994E-5</v>
      </c>
      <c r="P370" s="786">
        <f t="shared" si="254"/>
        <v>0</v>
      </c>
      <c r="Q370" s="889"/>
      <c r="R370" s="889"/>
      <c r="S370" s="787"/>
      <c r="T370" s="787"/>
      <c r="U370" s="788">
        <f t="shared" si="236"/>
        <v>0</v>
      </c>
      <c r="V370" s="788">
        <f t="shared" si="237"/>
        <v>0</v>
      </c>
      <c r="W370" s="788">
        <f t="shared" si="238"/>
        <v>6.4999999999999994E-5</v>
      </c>
      <c r="X370" s="23">
        <f>'Income Eligible Deemed Table'!L129</f>
        <v>30</v>
      </c>
      <c r="Y370" s="23"/>
      <c r="Z370" s="23">
        <f t="shared" si="257"/>
        <v>30</v>
      </c>
      <c r="AA370" s="18">
        <f>'Income Eligible Deemed Table'!DG129</f>
        <v>0.12376722151041843</v>
      </c>
      <c r="AB370" s="259">
        <f>'Income Eligible Deemed Table'!M129</f>
        <v>2.1249043458397576</v>
      </c>
      <c r="AC370" s="902">
        <f t="shared" si="258"/>
        <v>0.26299350686000006</v>
      </c>
      <c r="AD370" s="902">
        <f t="shared" si="255"/>
        <v>0</v>
      </c>
      <c r="AE370" s="610">
        <f>'Income Eligible Deemed Table'!DI129</f>
        <v>0.26299350686000006</v>
      </c>
      <c r="AF370" s="208"/>
      <c r="AG370" s="208"/>
      <c r="AH370" s="208"/>
      <c r="AI370" s="908" t="str">
        <f t="shared" si="260"/>
        <v>Units - area of ceiling/attic (ft2)</v>
      </c>
      <c r="AJ370" s="71"/>
      <c r="AX370" s="1355" t="str">
        <f t="shared" si="193"/>
        <v>Ceiling Insulation R11-R49 MF IE DI gas heat electric cool base</v>
      </c>
      <c r="AY370" s="1378"/>
      <c r="AZ370" s="1446" t="str">
        <f t="shared" si="194"/>
        <v>400800</v>
      </c>
      <c r="BA370" s="1300" t="s">
        <v>1303</v>
      </c>
      <c r="BB370" s="1300" t="s">
        <v>1303</v>
      </c>
      <c r="BC370" s="1300" t="s">
        <v>1303</v>
      </c>
      <c r="BD370" s="1300" t="s">
        <v>1303</v>
      </c>
      <c r="BE370" s="1305"/>
      <c r="BF370" s="1300" t="s">
        <v>1303</v>
      </c>
      <c r="BG370" s="1300" t="s">
        <v>1303</v>
      </c>
      <c r="BH370" s="1300" t="s">
        <v>1303</v>
      </c>
      <c r="BI370" s="1301" t="s">
        <v>1303</v>
      </c>
      <c r="BJ370" s="1305"/>
      <c r="BK370" s="1300" t="s">
        <v>1303</v>
      </c>
      <c r="BL370" s="1301" t="s">
        <v>1303</v>
      </c>
      <c r="BM370" s="1300" t="s">
        <v>1303</v>
      </c>
      <c r="BN370" s="1301" t="s">
        <v>1303</v>
      </c>
    </row>
    <row r="371" spans="1:66">
      <c r="A371" s="51" t="str">
        <f t="shared" si="256"/>
        <v>400850</v>
      </c>
      <c r="B371" s="1442" t="str">
        <f>'Income Eligible Deemed Table'!C130</f>
        <v>400850_2024_12_</v>
      </c>
      <c r="C371" s="1378" t="str">
        <f>'Income Eligible Deemed Table'!G130</f>
        <v>Building Shell RES</v>
      </c>
      <c r="D371" s="1378"/>
      <c r="E371" s="1378"/>
      <c r="F371" s="1378"/>
      <c r="G371" s="1378" t="str">
        <f>'Income Eligible Deemed Table'!E130</f>
        <v>Ceiling Insulation R11-R49 SF IE DI electric furnace base</v>
      </c>
      <c r="H371" s="19" t="str">
        <f>'Income Eligible Deemed Table'!D130</f>
        <v>PAYS</v>
      </c>
      <c r="I371" s="785">
        <f>'Income Eligible Deemed Table'!F130</f>
        <v>0.91</v>
      </c>
      <c r="J371" s="785">
        <f t="shared" si="252"/>
        <v>0</v>
      </c>
      <c r="K371" s="888"/>
      <c r="L371" s="888"/>
      <c r="M371" s="202"/>
      <c r="N371" s="202"/>
      <c r="O371" s="786">
        <f>'Income Eligible Deemed Table'!K130</f>
        <v>4.2400000000000001E-4</v>
      </c>
      <c r="P371" s="786">
        <f t="shared" si="254"/>
        <v>0</v>
      </c>
      <c r="Q371" s="889"/>
      <c r="R371" s="889"/>
      <c r="S371" s="787"/>
      <c r="T371" s="787"/>
      <c r="U371" s="788">
        <f t="shared" si="236"/>
        <v>0</v>
      </c>
      <c r="V371" s="788">
        <f t="shared" si="237"/>
        <v>0</v>
      </c>
      <c r="W371" s="788">
        <f t="shared" si="238"/>
        <v>4.2400000000000001E-4</v>
      </c>
      <c r="X371" s="23">
        <f>'Income Eligible Deemed Table'!L130</f>
        <v>30</v>
      </c>
      <c r="Y371" s="23"/>
      <c r="Z371" s="23">
        <f t="shared" si="257"/>
        <v>30</v>
      </c>
      <c r="AA371" s="18">
        <f>'Income Eligible Deemed Table'!DG130</f>
        <v>0.80448585878687395</v>
      </c>
      <c r="AB371" s="259">
        <f>'Income Eligible Deemed Table'!M130</f>
        <v>2.1249072011878249</v>
      </c>
      <c r="AC371" s="902">
        <f t="shared" si="258"/>
        <v>1.70945779459</v>
      </c>
      <c r="AD371" s="902">
        <f t="shared" si="255"/>
        <v>0</v>
      </c>
      <c r="AE371" s="610">
        <f>'Income Eligible Deemed Table'!DI130</f>
        <v>1.70945779459</v>
      </c>
      <c r="AF371" s="208"/>
      <c r="AG371" s="208"/>
      <c r="AH371" s="208"/>
      <c r="AI371" s="908" t="str">
        <f t="shared" si="260"/>
        <v>Units - area of ceiling/attic (ft2)</v>
      </c>
      <c r="AJ371" s="71"/>
      <c r="AX371" s="1355" t="str">
        <f t="shared" si="193"/>
        <v>Ceiling Insulation R11-R49 SF IE DI electric furnace base</v>
      </c>
      <c r="AY371" s="1378"/>
      <c r="AZ371" s="1446" t="str">
        <f t="shared" si="194"/>
        <v>400850</v>
      </c>
      <c r="BA371" s="1300" t="s">
        <v>1303</v>
      </c>
      <c r="BB371" s="1300" t="s">
        <v>1303</v>
      </c>
      <c r="BC371" s="1300" t="s">
        <v>1303</v>
      </c>
      <c r="BD371" s="1300" t="s">
        <v>1303</v>
      </c>
      <c r="BE371" s="1305"/>
      <c r="BF371" s="1300" t="s">
        <v>1303</v>
      </c>
      <c r="BG371" s="1300" t="s">
        <v>1303</v>
      </c>
      <c r="BH371" s="1300" t="s">
        <v>1303</v>
      </c>
      <c r="BI371" s="1301" t="s">
        <v>1303</v>
      </c>
      <c r="BJ371" s="1305"/>
      <c r="BK371" s="1300" t="s">
        <v>1303</v>
      </c>
      <c r="BL371" s="1301" t="s">
        <v>1303</v>
      </c>
      <c r="BM371" s="1300" t="s">
        <v>1303</v>
      </c>
      <c r="BN371" s="1301" t="s">
        <v>1303</v>
      </c>
    </row>
    <row r="372" spans="1:66">
      <c r="A372" s="51" t="str">
        <f t="shared" si="256"/>
        <v>400900</v>
      </c>
      <c r="B372" s="1442" t="str">
        <f>'Income Eligible Deemed Table'!C131</f>
        <v>400900_2024_12_</v>
      </c>
      <c r="C372" s="1378" t="str">
        <f>'Income Eligible Deemed Table'!G131</f>
        <v>Building Shell RES</v>
      </c>
      <c r="D372" s="1378"/>
      <c r="E372" s="1378"/>
      <c r="F372" s="1378"/>
      <c r="G372" s="1378" t="str">
        <f>'Income Eligible Deemed Table'!E131</f>
        <v>Ceiling Insulation R11-R49 SF IE DI heat pump base</v>
      </c>
      <c r="H372" s="19" t="str">
        <f>'Income Eligible Deemed Table'!D131</f>
        <v>PAYS</v>
      </c>
      <c r="I372" s="785">
        <f>'Income Eligible Deemed Table'!F131</f>
        <v>0.61</v>
      </c>
      <c r="J372" s="785">
        <f t="shared" si="252"/>
        <v>0</v>
      </c>
      <c r="K372" s="888"/>
      <c r="L372" s="888"/>
      <c r="M372" s="202"/>
      <c r="N372" s="202"/>
      <c r="O372" s="786">
        <f>'Income Eligible Deemed Table'!K131</f>
        <v>2.8400000000000002E-4</v>
      </c>
      <c r="P372" s="786">
        <f t="shared" si="254"/>
        <v>0</v>
      </c>
      <c r="Q372" s="889"/>
      <c r="R372" s="889"/>
      <c r="S372" s="787"/>
      <c r="T372" s="787"/>
      <c r="U372" s="788">
        <f t="shared" si="236"/>
        <v>0</v>
      </c>
      <c r="V372" s="788">
        <f t="shared" si="237"/>
        <v>0</v>
      </c>
      <c r="W372" s="788">
        <f t="shared" si="238"/>
        <v>2.8400000000000002E-4</v>
      </c>
      <c r="X372" s="23">
        <f>'Income Eligible Deemed Table'!L131</f>
        <v>30</v>
      </c>
      <c r="Y372" s="23"/>
      <c r="Z372" s="23">
        <f t="shared" si="257"/>
        <v>30</v>
      </c>
      <c r="AA372" s="18">
        <f>'Income Eligible Deemed Table'!DG131</f>
        <v>0.53927074050548685</v>
      </c>
      <c r="AB372" s="259">
        <f>'Income Eligible Deemed Table'!M131</f>
        <v>2.1249072011878249</v>
      </c>
      <c r="AC372" s="902">
        <f t="shared" si="258"/>
        <v>1.14590027989</v>
      </c>
      <c r="AD372" s="902">
        <f t="shared" si="255"/>
        <v>0</v>
      </c>
      <c r="AE372" s="610">
        <f>'Income Eligible Deemed Table'!DI131</f>
        <v>1.14590027989</v>
      </c>
      <c r="AF372" s="208"/>
      <c r="AG372" s="208"/>
      <c r="AH372" s="208"/>
      <c r="AI372" s="908" t="str">
        <f t="shared" si="260"/>
        <v>Units - area of ceiling/attic (ft2)</v>
      </c>
      <c r="AJ372" s="71"/>
      <c r="AX372" s="1355" t="str">
        <f t="shared" ref="AX372:AX431" si="261">G372</f>
        <v>Ceiling Insulation R11-R49 SF IE DI heat pump base</v>
      </c>
      <c r="AY372" s="1378"/>
      <c r="AZ372" s="1446" t="str">
        <f t="shared" ref="AZ372:AZ431" si="262">A372</f>
        <v>400900</v>
      </c>
      <c r="BA372" s="1300" t="s">
        <v>1303</v>
      </c>
      <c r="BB372" s="1300" t="s">
        <v>1303</v>
      </c>
      <c r="BC372" s="1300" t="s">
        <v>1303</v>
      </c>
      <c r="BD372" s="1300" t="s">
        <v>1303</v>
      </c>
      <c r="BE372" s="1305"/>
      <c r="BF372" s="1300" t="s">
        <v>1303</v>
      </c>
      <c r="BG372" s="1300" t="s">
        <v>1303</v>
      </c>
      <c r="BH372" s="1300" t="s">
        <v>1303</v>
      </c>
      <c r="BI372" s="1301" t="s">
        <v>1303</v>
      </c>
      <c r="BJ372" s="1305"/>
      <c r="BK372" s="1300" t="s">
        <v>1303</v>
      </c>
      <c r="BL372" s="1301" t="s">
        <v>1303</v>
      </c>
      <c r="BM372" s="1300" t="s">
        <v>1303</v>
      </c>
      <c r="BN372" s="1301" t="s">
        <v>1303</v>
      </c>
    </row>
    <row r="373" spans="1:66">
      <c r="A373" s="51" t="str">
        <f t="shared" si="256"/>
        <v>400950</v>
      </c>
      <c r="B373" s="1442" t="str">
        <f>'Income Eligible Deemed Table'!C132</f>
        <v>400950_2024_12_</v>
      </c>
      <c r="C373" s="1378" t="str">
        <f>'Income Eligible Deemed Table'!G132</f>
        <v>Building Shell RES</v>
      </c>
      <c r="D373" s="1378"/>
      <c r="E373" s="1378"/>
      <c r="F373" s="1378"/>
      <c r="G373" s="1378" t="str">
        <f>'Income Eligible Deemed Table'!E132</f>
        <v>Ceiling Insulation R11-R49 SF IE DI gas heat electric cool base</v>
      </c>
      <c r="H373" s="19" t="str">
        <f>'Income Eligible Deemed Table'!D132</f>
        <v>PAYS</v>
      </c>
      <c r="I373" s="785">
        <f>'Income Eligible Deemed Table'!F132</f>
        <v>0.14000000000000001</v>
      </c>
      <c r="J373" s="785">
        <f t="shared" si="252"/>
        <v>0</v>
      </c>
      <c r="K373" s="888"/>
      <c r="L373" s="888"/>
      <c r="M373" s="202"/>
      <c r="N373" s="202"/>
      <c r="O373" s="786">
        <f>'Income Eligible Deemed Table'!K132</f>
        <v>6.4999999999999994E-5</v>
      </c>
      <c r="P373" s="786">
        <f t="shared" si="254"/>
        <v>0</v>
      </c>
      <c r="Q373" s="889"/>
      <c r="R373" s="889"/>
      <c r="S373" s="787"/>
      <c r="T373" s="787"/>
      <c r="U373" s="788">
        <f t="shared" si="236"/>
        <v>0</v>
      </c>
      <c r="V373" s="788">
        <f t="shared" si="237"/>
        <v>0</v>
      </c>
      <c r="W373" s="788">
        <f t="shared" si="238"/>
        <v>6.4999999999999994E-5</v>
      </c>
      <c r="X373" s="23">
        <f>'Income Eligible Deemed Table'!L132</f>
        <v>30</v>
      </c>
      <c r="Y373" s="23"/>
      <c r="Z373" s="23">
        <f t="shared" si="257"/>
        <v>30</v>
      </c>
      <c r="AA373" s="18">
        <f>'Income Eligible Deemed Table'!DG132</f>
        <v>0.12376705519798063</v>
      </c>
      <c r="AB373" s="259">
        <f>'Income Eligible Deemed Table'!M132</f>
        <v>2.1249072011878249</v>
      </c>
      <c r="AC373" s="902">
        <f t="shared" si="258"/>
        <v>0.26299350686000006</v>
      </c>
      <c r="AD373" s="902">
        <f t="shared" si="255"/>
        <v>0</v>
      </c>
      <c r="AE373" s="610">
        <f>'Income Eligible Deemed Table'!DI132</f>
        <v>0.26299350686000006</v>
      </c>
      <c r="AF373" s="208"/>
      <c r="AG373" s="208"/>
      <c r="AH373" s="208"/>
      <c r="AI373" s="908" t="str">
        <f t="shared" si="260"/>
        <v>Units - area of ceiling/attic (ft2)</v>
      </c>
      <c r="AJ373" s="71"/>
      <c r="AX373" s="1355" t="str">
        <f t="shared" si="261"/>
        <v>Ceiling Insulation R11-R49 SF IE DI gas heat electric cool base</v>
      </c>
      <c r="AY373" s="1378"/>
      <c r="AZ373" s="1446" t="str">
        <f t="shared" si="262"/>
        <v>400950</v>
      </c>
      <c r="BA373" s="1300" t="s">
        <v>1303</v>
      </c>
      <c r="BB373" s="1300" t="s">
        <v>1303</v>
      </c>
      <c r="BC373" s="1300" t="s">
        <v>1303</v>
      </c>
      <c r="BD373" s="1300" t="s">
        <v>1303</v>
      </c>
      <c r="BE373" s="1305"/>
      <c r="BF373" s="1300" t="s">
        <v>1303</v>
      </c>
      <c r="BG373" s="1300" t="s">
        <v>1303</v>
      </c>
      <c r="BH373" s="1300" t="s">
        <v>1303</v>
      </c>
      <c r="BI373" s="1301" t="s">
        <v>1303</v>
      </c>
      <c r="BJ373" s="1305"/>
      <c r="BK373" s="1300" t="s">
        <v>1303</v>
      </c>
      <c r="BL373" s="1301" t="s">
        <v>1303</v>
      </c>
      <c r="BM373" s="1300" t="s">
        <v>1303</v>
      </c>
      <c r="BN373" s="1301" t="s">
        <v>1303</v>
      </c>
    </row>
    <row r="374" spans="1:66">
      <c r="A374" s="51" t="str">
        <f t="shared" si="256"/>
        <v>401000</v>
      </c>
      <c r="B374" s="1442" t="str">
        <f>'Income Eligible Deemed Table'!C133</f>
        <v>401000_2024_12_</v>
      </c>
      <c r="C374" s="1378" t="str">
        <f>'Income Eligible Deemed Table'!G133</f>
        <v>Building Shell RES</v>
      </c>
      <c r="D374" s="1378"/>
      <c r="E374" s="1378"/>
      <c r="F374" s="1378"/>
      <c r="G374" s="1378" t="str">
        <f>'Income Eligible Deemed Table'!E133</f>
        <v>Ceiling Insulation R5-R30 MF IE DI electric furnace base</v>
      </c>
      <c r="H374" s="19" t="str">
        <f>'Income Eligible Deemed Table'!D133</f>
        <v>MFIE</v>
      </c>
      <c r="I374" s="785">
        <f>'Income Eligible Deemed Table'!F133</f>
        <v>1.49</v>
      </c>
      <c r="J374" s="785">
        <f t="shared" si="252"/>
        <v>0</v>
      </c>
      <c r="K374" s="888"/>
      <c r="L374" s="888"/>
      <c r="M374" s="202"/>
      <c r="N374" s="202"/>
      <c r="O374" s="786">
        <f>'Income Eligible Deemed Table'!K133</f>
        <v>6.9399999999999996E-4</v>
      </c>
      <c r="P374" s="786">
        <f t="shared" si="254"/>
        <v>0</v>
      </c>
      <c r="Q374" s="889"/>
      <c r="R374" s="889"/>
      <c r="S374" s="787"/>
      <c r="T374" s="787"/>
      <c r="U374" s="788">
        <f t="shared" si="236"/>
        <v>0</v>
      </c>
      <c r="V374" s="788">
        <f t="shared" si="237"/>
        <v>0</v>
      </c>
      <c r="W374" s="788">
        <f t="shared" si="238"/>
        <v>6.9399999999999996E-4</v>
      </c>
      <c r="X374" s="23">
        <f>'Income Eligible Deemed Table'!L133</f>
        <v>30</v>
      </c>
      <c r="Y374" s="23"/>
      <c r="Z374" s="23">
        <f t="shared" si="257"/>
        <v>30</v>
      </c>
      <c r="AA374" s="18">
        <f>'Income Eligible Deemed Table'!DG133</f>
        <v>2.4064805420157493</v>
      </c>
      <c r="AB374" s="259">
        <f>'Income Eligible Deemed Table'!M133</f>
        <v>1.1631103074141049</v>
      </c>
      <c r="AC374" s="902">
        <f t="shared" si="258"/>
        <v>2.7990023230099998</v>
      </c>
      <c r="AD374" s="902">
        <f t="shared" si="255"/>
        <v>0</v>
      </c>
      <c r="AE374" s="610">
        <f>'Income Eligible Deemed Table'!DI133</f>
        <v>2.7990023230099998</v>
      </c>
      <c r="AF374" s="208"/>
      <c r="AG374" s="208"/>
      <c r="AH374" s="208"/>
      <c r="AI374" s="908" t="str">
        <f t="shared" si="260"/>
        <v>Units - area of ceiling/attic (ft2)</v>
      </c>
      <c r="AJ374" s="71"/>
      <c r="AX374" s="1355" t="str">
        <f t="shared" si="261"/>
        <v>Ceiling Insulation R5-R30 MF IE DI electric furnace base</v>
      </c>
      <c r="AY374" s="1378"/>
      <c r="AZ374" s="1446" t="str">
        <f t="shared" si="262"/>
        <v>401000</v>
      </c>
      <c r="BA374" s="1300" t="s">
        <v>1303</v>
      </c>
      <c r="BB374" s="1300" t="s">
        <v>1303</v>
      </c>
      <c r="BC374" s="1300" t="s">
        <v>1303</v>
      </c>
      <c r="BD374" s="1300" t="s">
        <v>1303</v>
      </c>
      <c r="BE374" s="1305"/>
      <c r="BF374" s="1300" t="s">
        <v>1303</v>
      </c>
      <c r="BG374" s="1300" t="s">
        <v>1303</v>
      </c>
      <c r="BH374" s="1300" t="s">
        <v>1303</v>
      </c>
      <c r="BI374" s="1301" t="s">
        <v>1303</v>
      </c>
      <c r="BJ374" s="1305"/>
      <c r="BK374" s="1300" t="s">
        <v>1303</v>
      </c>
      <c r="BL374" s="1301" t="s">
        <v>1303</v>
      </c>
      <c r="BM374" s="1300" t="s">
        <v>1303</v>
      </c>
      <c r="BN374" s="1301" t="s">
        <v>1303</v>
      </c>
    </row>
    <row r="375" spans="1:66">
      <c r="A375" s="51" t="str">
        <f t="shared" si="256"/>
        <v>401050</v>
      </c>
      <c r="B375" s="1442" t="str">
        <f>'Income Eligible Deemed Table'!C134</f>
        <v>401050_2024_12_</v>
      </c>
      <c r="C375" s="1378" t="str">
        <f>'Income Eligible Deemed Table'!G134</f>
        <v>Building Shell RES</v>
      </c>
      <c r="D375" s="1378"/>
      <c r="E375" s="1378"/>
      <c r="F375" s="1378"/>
      <c r="G375" s="1378" t="str">
        <f>'Income Eligible Deemed Table'!E134</f>
        <v>Ceiling Insulation R5-R30 MF IE DI heat pump base</v>
      </c>
      <c r="H375" s="19" t="str">
        <f>'Income Eligible Deemed Table'!D134</f>
        <v>MFIE</v>
      </c>
      <c r="I375" s="785">
        <f>'Income Eligible Deemed Table'!F134</f>
        <v>1</v>
      </c>
      <c r="J375" s="785">
        <f t="shared" si="252"/>
        <v>0</v>
      </c>
      <c r="K375" s="888"/>
      <c r="L375" s="888"/>
      <c r="M375" s="202"/>
      <c r="N375" s="202"/>
      <c r="O375" s="786">
        <f>'Income Eligible Deemed Table'!K134</f>
        <v>4.66E-4</v>
      </c>
      <c r="P375" s="786">
        <f t="shared" si="254"/>
        <v>0</v>
      </c>
      <c r="Q375" s="889"/>
      <c r="R375" s="889"/>
      <c r="S375" s="787"/>
      <c r="T375" s="787"/>
      <c r="U375" s="788">
        <f t="shared" si="236"/>
        <v>0</v>
      </c>
      <c r="V375" s="788">
        <f t="shared" si="237"/>
        <v>0</v>
      </c>
      <c r="W375" s="788">
        <f t="shared" si="238"/>
        <v>4.66E-4</v>
      </c>
      <c r="X375" s="23">
        <f>'Income Eligible Deemed Table'!L134</f>
        <v>30</v>
      </c>
      <c r="Y375" s="23"/>
      <c r="Z375" s="23">
        <f t="shared" si="257"/>
        <v>30</v>
      </c>
      <c r="AA375" s="18">
        <f>'Income Eligible Deemed Table'!DG134</f>
        <v>1.6150876120911069</v>
      </c>
      <c r="AB375" s="259">
        <f>'Income Eligible Deemed Table'!M134</f>
        <v>1.1631103074141049</v>
      </c>
      <c r="AC375" s="902">
        <f t="shared" si="258"/>
        <v>1.8785250490000001</v>
      </c>
      <c r="AD375" s="902">
        <f t="shared" si="255"/>
        <v>0</v>
      </c>
      <c r="AE375" s="610">
        <f>'Income Eligible Deemed Table'!DI134</f>
        <v>1.8785250490000001</v>
      </c>
      <c r="AF375" s="208"/>
      <c r="AG375" s="208"/>
      <c r="AH375" s="208"/>
      <c r="AI375" s="908" t="str">
        <f t="shared" si="260"/>
        <v>Units - area of ceiling/attic (ft2)</v>
      </c>
      <c r="AJ375" s="71"/>
      <c r="AX375" s="1355" t="str">
        <f t="shared" si="261"/>
        <v>Ceiling Insulation R5-R30 MF IE DI heat pump base</v>
      </c>
      <c r="AY375" s="1378"/>
      <c r="AZ375" s="1446" t="str">
        <f t="shared" si="262"/>
        <v>401050</v>
      </c>
      <c r="BA375" s="1300" t="s">
        <v>1303</v>
      </c>
      <c r="BB375" s="1300" t="s">
        <v>1303</v>
      </c>
      <c r="BC375" s="1300" t="s">
        <v>1303</v>
      </c>
      <c r="BD375" s="1300" t="s">
        <v>1303</v>
      </c>
      <c r="BE375" s="1305"/>
      <c r="BF375" s="1300" t="s">
        <v>1303</v>
      </c>
      <c r="BG375" s="1300" t="s">
        <v>1303</v>
      </c>
      <c r="BH375" s="1300" t="s">
        <v>1303</v>
      </c>
      <c r="BI375" s="1301" t="s">
        <v>1303</v>
      </c>
      <c r="BJ375" s="1305"/>
      <c r="BK375" s="1300" t="s">
        <v>1303</v>
      </c>
      <c r="BL375" s="1301" t="s">
        <v>1303</v>
      </c>
      <c r="BM375" s="1300" t="s">
        <v>1303</v>
      </c>
      <c r="BN375" s="1301" t="s">
        <v>1303</v>
      </c>
    </row>
    <row r="376" spans="1:66">
      <c r="A376" s="51" t="str">
        <f t="shared" si="256"/>
        <v>401100</v>
      </c>
      <c r="B376" s="1442" t="str">
        <f>'Income Eligible Deemed Table'!C135</f>
        <v>401100_2024_12_</v>
      </c>
      <c r="C376" s="1378" t="str">
        <f>'Income Eligible Deemed Table'!G135</f>
        <v>Building Shell RES</v>
      </c>
      <c r="D376" s="1378"/>
      <c r="E376" s="1378"/>
      <c r="F376" s="1378"/>
      <c r="G376" s="1378" t="str">
        <f>'Income Eligible Deemed Table'!E135</f>
        <v>Ceiling Insulation R5-R30 MF IE DI gas heat electric cool base</v>
      </c>
      <c r="H376" s="19" t="str">
        <f>'Income Eligible Deemed Table'!D135</f>
        <v>MFIE</v>
      </c>
      <c r="I376" s="785">
        <f>'Income Eligible Deemed Table'!F135</f>
        <v>0.22</v>
      </c>
      <c r="J376" s="785">
        <f t="shared" si="252"/>
        <v>0</v>
      </c>
      <c r="K376" s="888"/>
      <c r="L376" s="888"/>
      <c r="M376" s="202"/>
      <c r="N376" s="202"/>
      <c r="O376" s="786">
        <f>'Income Eligible Deemed Table'!K135</f>
        <v>1.03E-4</v>
      </c>
      <c r="P376" s="786">
        <f t="shared" si="254"/>
        <v>0</v>
      </c>
      <c r="Q376" s="889"/>
      <c r="R376" s="889"/>
      <c r="S376" s="787"/>
      <c r="T376" s="787"/>
      <c r="U376" s="788">
        <f t="shared" si="236"/>
        <v>0</v>
      </c>
      <c r="V376" s="788">
        <f t="shared" si="237"/>
        <v>0</v>
      </c>
      <c r="W376" s="788">
        <f t="shared" si="238"/>
        <v>1.03E-4</v>
      </c>
      <c r="X376" s="23">
        <f>'Income Eligible Deemed Table'!L135</f>
        <v>30</v>
      </c>
      <c r="Y376" s="23"/>
      <c r="Z376" s="23">
        <f t="shared" si="257"/>
        <v>30</v>
      </c>
      <c r="AA376" s="18">
        <f>'Income Eligible Deemed Table'!DG135</f>
        <v>0.35531927466004354</v>
      </c>
      <c r="AB376" s="259">
        <f>'Income Eligible Deemed Table'!M135</f>
        <v>1.1631103074141049</v>
      </c>
      <c r="AC376" s="902">
        <f t="shared" si="258"/>
        <v>0.41327551078000002</v>
      </c>
      <c r="AD376" s="902">
        <f t="shared" si="255"/>
        <v>0</v>
      </c>
      <c r="AE376" s="610">
        <f>'Income Eligible Deemed Table'!DI135</f>
        <v>0.41327551078000002</v>
      </c>
      <c r="AF376" s="208"/>
      <c r="AG376" s="208"/>
      <c r="AH376" s="208"/>
      <c r="AI376" s="908" t="str">
        <f t="shared" si="260"/>
        <v>Units - area of ceiling/attic (ft2)</v>
      </c>
      <c r="AJ376" s="71"/>
      <c r="AX376" s="1355" t="str">
        <f t="shared" si="261"/>
        <v>Ceiling Insulation R5-R30 MF IE DI gas heat electric cool base</v>
      </c>
      <c r="AY376" s="1378"/>
      <c r="AZ376" s="1446" t="str">
        <f t="shared" si="262"/>
        <v>401100</v>
      </c>
      <c r="BA376" s="1300" t="s">
        <v>1303</v>
      </c>
      <c r="BB376" s="1300" t="s">
        <v>1303</v>
      </c>
      <c r="BC376" s="1300" t="s">
        <v>1303</v>
      </c>
      <c r="BD376" s="1300" t="s">
        <v>1303</v>
      </c>
      <c r="BE376" s="1305"/>
      <c r="BF376" s="1300" t="s">
        <v>1303</v>
      </c>
      <c r="BG376" s="1300" t="s">
        <v>1303</v>
      </c>
      <c r="BH376" s="1300" t="s">
        <v>1303</v>
      </c>
      <c r="BI376" s="1301" t="s">
        <v>1303</v>
      </c>
      <c r="BJ376" s="1305"/>
      <c r="BK376" s="1300" t="s">
        <v>1303</v>
      </c>
      <c r="BL376" s="1301" t="s">
        <v>1303</v>
      </c>
      <c r="BM376" s="1300" t="s">
        <v>1303</v>
      </c>
      <c r="BN376" s="1301" t="s">
        <v>1303</v>
      </c>
    </row>
    <row r="377" spans="1:66">
      <c r="A377" s="51" t="str">
        <f t="shared" si="256"/>
        <v>401150</v>
      </c>
      <c r="B377" s="1442" t="str">
        <f>'Income Eligible Deemed Table'!C136</f>
        <v>401150_2024_12_</v>
      </c>
      <c r="C377" s="1378" t="str">
        <f>'Income Eligible Deemed Table'!G136</f>
        <v>Building Shell RES</v>
      </c>
      <c r="D377" s="1378"/>
      <c r="E377" s="1378"/>
      <c r="F377" s="1378"/>
      <c r="G377" s="1378" t="str">
        <f>'Income Eligible Deemed Table'!E136</f>
        <v>Ceiling Insulation R5-R30 SF IE DI electric furnace base</v>
      </c>
      <c r="H377" s="19" t="str">
        <f>'Income Eligible Deemed Table'!D136</f>
        <v>PAYS</v>
      </c>
      <c r="I377" s="785">
        <f>'Income Eligible Deemed Table'!F136</f>
        <v>1.49</v>
      </c>
      <c r="J377" s="785">
        <f t="shared" si="252"/>
        <v>0</v>
      </c>
      <c r="K377" s="888"/>
      <c r="L377" s="888"/>
      <c r="M377" s="202"/>
      <c r="N377" s="202"/>
      <c r="O377" s="786">
        <f>'Income Eligible Deemed Table'!K136</f>
        <v>6.9399999999999996E-4</v>
      </c>
      <c r="P377" s="786">
        <f t="shared" si="254"/>
        <v>0</v>
      </c>
      <c r="Q377" s="889"/>
      <c r="R377" s="889"/>
      <c r="S377" s="787"/>
      <c r="T377" s="787"/>
      <c r="U377" s="788">
        <f t="shared" si="236"/>
        <v>0</v>
      </c>
      <c r="V377" s="788">
        <f t="shared" si="237"/>
        <v>0</v>
      </c>
      <c r="W377" s="788">
        <f t="shared" si="238"/>
        <v>6.9399999999999996E-4</v>
      </c>
      <c r="X377" s="23">
        <f>'Income Eligible Deemed Table'!L136</f>
        <v>30</v>
      </c>
      <c r="Y377" s="23"/>
      <c r="Z377" s="23">
        <f t="shared" si="257"/>
        <v>30</v>
      </c>
      <c r="AA377" s="18">
        <f>'Income Eligible Deemed Table'!DG136</f>
        <v>2.4064992492549382</v>
      </c>
      <c r="AB377" s="259">
        <f>'Income Eligible Deemed Table'!M136</f>
        <v>1.1631012658227848</v>
      </c>
      <c r="AC377" s="902">
        <f t="shared" si="258"/>
        <v>2.7990023230099998</v>
      </c>
      <c r="AD377" s="902">
        <f t="shared" si="255"/>
        <v>0</v>
      </c>
      <c r="AE377" s="610">
        <f>'Income Eligible Deemed Table'!DI136</f>
        <v>2.7990023230099998</v>
      </c>
      <c r="AF377" s="208"/>
      <c r="AG377" s="208"/>
      <c r="AH377" s="208"/>
      <c r="AI377" s="908" t="str">
        <f t="shared" si="260"/>
        <v>Units - area of ceiling/attic (ft2)</v>
      </c>
      <c r="AJ377" s="71"/>
      <c r="AX377" s="1355" t="str">
        <f t="shared" si="261"/>
        <v>Ceiling Insulation R5-R30 SF IE DI electric furnace base</v>
      </c>
      <c r="AY377" s="1378"/>
      <c r="AZ377" s="1446" t="str">
        <f t="shared" si="262"/>
        <v>401150</v>
      </c>
      <c r="BA377" s="1300" t="s">
        <v>1303</v>
      </c>
      <c r="BB377" s="1300" t="s">
        <v>1303</v>
      </c>
      <c r="BC377" s="1300" t="s">
        <v>1303</v>
      </c>
      <c r="BD377" s="1300" t="s">
        <v>1303</v>
      </c>
      <c r="BE377" s="1305"/>
      <c r="BF377" s="1300" t="s">
        <v>1303</v>
      </c>
      <c r="BG377" s="1300" t="s">
        <v>1303</v>
      </c>
      <c r="BH377" s="1300" t="s">
        <v>1303</v>
      </c>
      <c r="BI377" s="1301" t="s">
        <v>1303</v>
      </c>
      <c r="BJ377" s="1305"/>
      <c r="BK377" s="1300" t="s">
        <v>1303</v>
      </c>
      <c r="BL377" s="1301" t="s">
        <v>1303</v>
      </c>
      <c r="BM377" s="1300" t="s">
        <v>1303</v>
      </c>
      <c r="BN377" s="1301" t="s">
        <v>1303</v>
      </c>
    </row>
    <row r="378" spans="1:66">
      <c r="A378" s="51" t="str">
        <f t="shared" si="256"/>
        <v>401200</v>
      </c>
      <c r="B378" s="1442" t="str">
        <f>'Income Eligible Deemed Table'!C137</f>
        <v>401200_2024_12_</v>
      </c>
      <c r="C378" s="1378" t="str">
        <f>'Income Eligible Deemed Table'!G137</f>
        <v>Building Shell RES</v>
      </c>
      <c r="D378" s="1378"/>
      <c r="E378" s="1378"/>
      <c r="F378" s="1378"/>
      <c r="G378" s="1378" t="str">
        <f>'Income Eligible Deemed Table'!E137</f>
        <v>Ceiling Insulation R5-R30 SF IE DI heat pump base</v>
      </c>
      <c r="H378" s="19" t="str">
        <f>'Income Eligible Deemed Table'!D137</f>
        <v>PAYS</v>
      </c>
      <c r="I378" s="785">
        <f>'Income Eligible Deemed Table'!F137</f>
        <v>1</v>
      </c>
      <c r="J378" s="785">
        <f t="shared" si="252"/>
        <v>0</v>
      </c>
      <c r="K378" s="888"/>
      <c r="L378" s="888"/>
      <c r="M378" s="202"/>
      <c r="N378" s="202"/>
      <c r="O378" s="786">
        <f>'Income Eligible Deemed Table'!K137</f>
        <v>4.66E-4</v>
      </c>
      <c r="P378" s="786">
        <f t="shared" si="254"/>
        <v>0</v>
      </c>
      <c r="Q378" s="889"/>
      <c r="R378" s="889"/>
      <c r="S378" s="787"/>
      <c r="T378" s="787"/>
      <c r="U378" s="788">
        <f t="shared" si="236"/>
        <v>0</v>
      </c>
      <c r="V378" s="788">
        <f t="shared" si="237"/>
        <v>0</v>
      </c>
      <c r="W378" s="788">
        <f t="shared" si="238"/>
        <v>4.66E-4</v>
      </c>
      <c r="X378" s="23">
        <f>'Income Eligible Deemed Table'!L137</f>
        <v>30</v>
      </c>
      <c r="Y378" s="23"/>
      <c r="Z378" s="23">
        <f t="shared" si="257"/>
        <v>30</v>
      </c>
      <c r="AA378" s="18">
        <f>'Income Eligible Deemed Table'!DG137</f>
        <v>1.6151001672851935</v>
      </c>
      <c r="AB378" s="259">
        <f>'Income Eligible Deemed Table'!M137</f>
        <v>1.1631012658227848</v>
      </c>
      <c r="AC378" s="902">
        <f t="shared" si="258"/>
        <v>1.8785250490000001</v>
      </c>
      <c r="AD378" s="902">
        <f t="shared" si="255"/>
        <v>0</v>
      </c>
      <c r="AE378" s="610">
        <f>'Income Eligible Deemed Table'!DI137</f>
        <v>1.8785250490000001</v>
      </c>
      <c r="AF378" s="208"/>
      <c r="AG378" s="208"/>
      <c r="AH378" s="208"/>
      <c r="AI378" s="908" t="str">
        <f t="shared" si="260"/>
        <v>Units - area of ceiling/attic (ft2)</v>
      </c>
      <c r="AJ378" s="71"/>
      <c r="AX378" s="1355" t="str">
        <f t="shared" si="261"/>
        <v>Ceiling Insulation R5-R30 SF IE DI heat pump base</v>
      </c>
      <c r="AY378" s="1378"/>
      <c r="AZ378" s="1446" t="str">
        <f t="shared" si="262"/>
        <v>401200</v>
      </c>
      <c r="BA378" s="1300" t="s">
        <v>1303</v>
      </c>
      <c r="BB378" s="1300" t="s">
        <v>1303</v>
      </c>
      <c r="BC378" s="1300" t="s">
        <v>1303</v>
      </c>
      <c r="BD378" s="1300" t="s">
        <v>1303</v>
      </c>
      <c r="BE378" s="1305"/>
      <c r="BF378" s="1300" t="s">
        <v>1303</v>
      </c>
      <c r="BG378" s="1300" t="s">
        <v>1303</v>
      </c>
      <c r="BH378" s="1300" t="s">
        <v>1303</v>
      </c>
      <c r="BI378" s="1301" t="s">
        <v>1303</v>
      </c>
      <c r="BJ378" s="1305"/>
      <c r="BK378" s="1300" t="s">
        <v>1303</v>
      </c>
      <c r="BL378" s="1301" t="s">
        <v>1303</v>
      </c>
      <c r="BM378" s="1300" t="s">
        <v>1303</v>
      </c>
      <c r="BN378" s="1301" t="s">
        <v>1303</v>
      </c>
    </row>
    <row r="379" spans="1:66">
      <c r="A379" s="51" t="str">
        <f t="shared" si="256"/>
        <v>401250</v>
      </c>
      <c r="B379" s="1442" t="str">
        <f>'Income Eligible Deemed Table'!C138</f>
        <v>401250_2024_12_</v>
      </c>
      <c r="C379" s="1378" t="str">
        <f>'Income Eligible Deemed Table'!G138</f>
        <v>Building Shell RES</v>
      </c>
      <c r="D379" s="1378"/>
      <c r="E379" s="1378"/>
      <c r="F379" s="1378"/>
      <c r="G379" s="1378" t="str">
        <f>'Income Eligible Deemed Table'!E138</f>
        <v>Ceiling Insulation R5-R30 SF IE DI gas heat electric cool base</v>
      </c>
      <c r="H379" s="19" t="str">
        <f>'Income Eligible Deemed Table'!D138</f>
        <v>PAYS</v>
      </c>
      <c r="I379" s="785">
        <f>'Income Eligible Deemed Table'!F138</f>
        <v>0.22</v>
      </c>
      <c r="J379" s="785">
        <f t="shared" si="252"/>
        <v>0</v>
      </c>
      <c r="K379" s="888"/>
      <c r="L379" s="888"/>
      <c r="M379" s="202"/>
      <c r="N379" s="202"/>
      <c r="O379" s="786">
        <f>'Income Eligible Deemed Table'!K138</f>
        <v>1.03E-4</v>
      </c>
      <c r="P379" s="786">
        <f t="shared" si="254"/>
        <v>0</v>
      </c>
      <c r="Q379" s="889"/>
      <c r="R379" s="889"/>
      <c r="S379" s="787"/>
      <c r="T379" s="787"/>
      <c r="U379" s="788">
        <f t="shared" si="236"/>
        <v>0</v>
      </c>
      <c r="V379" s="788">
        <f t="shared" si="237"/>
        <v>0</v>
      </c>
      <c r="W379" s="788">
        <f t="shared" si="238"/>
        <v>1.03E-4</v>
      </c>
      <c r="X379" s="23">
        <f>'Income Eligible Deemed Table'!L138</f>
        <v>30</v>
      </c>
      <c r="Y379" s="23"/>
      <c r="Z379" s="23">
        <f t="shared" si="257"/>
        <v>30</v>
      </c>
      <c r="AA379" s="18">
        <f>'Income Eligible Deemed Table'!DG138</f>
        <v>0.35532203680274255</v>
      </c>
      <c r="AB379" s="259">
        <f>'Income Eligible Deemed Table'!M138</f>
        <v>1.1631012658227848</v>
      </c>
      <c r="AC379" s="902">
        <f t="shared" si="258"/>
        <v>0.41327551078000002</v>
      </c>
      <c r="AD379" s="902">
        <f t="shared" si="255"/>
        <v>0</v>
      </c>
      <c r="AE379" s="610">
        <f>'Income Eligible Deemed Table'!DI138</f>
        <v>0.41327551078000002</v>
      </c>
      <c r="AF379" s="208"/>
      <c r="AG379" s="208"/>
      <c r="AH379" s="208"/>
      <c r="AI379" s="908" t="str">
        <f t="shared" si="260"/>
        <v>Units - area of ceiling/attic (ft2)</v>
      </c>
      <c r="AJ379" s="71"/>
      <c r="AX379" s="1355" t="str">
        <f t="shared" si="261"/>
        <v>Ceiling Insulation R5-R30 SF IE DI gas heat electric cool base</v>
      </c>
      <c r="AY379" s="1378"/>
      <c r="AZ379" s="1446" t="str">
        <f t="shared" si="262"/>
        <v>401250</v>
      </c>
      <c r="BA379" s="1300" t="s">
        <v>1303</v>
      </c>
      <c r="BB379" s="1300" t="s">
        <v>1303</v>
      </c>
      <c r="BC379" s="1300" t="s">
        <v>1303</v>
      </c>
      <c r="BD379" s="1300" t="s">
        <v>1303</v>
      </c>
      <c r="BE379" s="1305"/>
      <c r="BF379" s="1300" t="s">
        <v>1303</v>
      </c>
      <c r="BG379" s="1300" t="s">
        <v>1303</v>
      </c>
      <c r="BH379" s="1300" t="s">
        <v>1303</v>
      </c>
      <c r="BI379" s="1301" t="s">
        <v>1303</v>
      </c>
      <c r="BJ379" s="1305"/>
      <c r="BK379" s="1300" t="s">
        <v>1303</v>
      </c>
      <c r="BL379" s="1301" t="s">
        <v>1303</v>
      </c>
      <c r="BM379" s="1300" t="s">
        <v>1303</v>
      </c>
      <c r="BN379" s="1301" t="s">
        <v>1303</v>
      </c>
    </row>
    <row r="380" spans="1:66">
      <c r="A380" s="51" t="str">
        <f t="shared" si="256"/>
        <v>401300</v>
      </c>
      <c r="B380" s="1442" t="str">
        <f>'Income Eligible Deemed Table'!C139</f>
        <v>401300_2024_12_</v>
      </c>
      <c r="C380" s="1378" t="str">
        <f>'Income Eligible Deemed Table'!G139</f>
        <v>Building Shell RES</v>
      </c>
      <c r="D380" s="1378"/>
      <c r="E380" s="1378"/>
      <c r="F380" s="1378"/>
      <c r="G380" s="1378" t="str">
        <f>'Income Eligible Deemed Table'!E139</f>
        <v>Ceiling Insulation R5-R38 MF IE DI electric furnace base</v>
      </c>
      <c r="H380" s="19" t="str">
        <f>'Income Eligible Deemed Table'!D139</f>
        <v>MFIE</v>
      </c>
      <c r="I380" s="785">
        <f>'Income Eligible Deemed Table'!F139</f>
        <v>1.6</v>
      </c>
      <c r="J380" s="785">
        <f t="shared" si="252"/>
        <v>0</v>
      </c>
      <c r="K380" s="888"/>
      <c r="L380" s="888"/>
      <c r="M380" s="202"/>
      <c r="N380" s="202"/>
      <c r="O380" s="786">
        <f>'Income Eligible Deemed Table'!K139</f>
        <v>7.4600000000000003E-4</v>
      </c>
      <c r="P380" s="786">
        <f t="shared" si="254"/>
        <v>0</v>
      </c>
      <c r="Q380" s="889"/>
      <c r="R380" s="889"/>
      <c r="S380" s="787"/>
      <c r="T380" s="787"/>
      <c r="U380" s="788">
        <f t="shared" si="236"/>
        <v>0</v>
      </c>
      <c r="V380" s="788">
        <f t="shared" si="237"/>
        <v>0</v>
      </c>
      <c r="W380" s="788">
        <f t="shared" si="238"/>
        <v>7.4600000000000003E-4</v>
      </c>
      <c r="X380" s="23">
        <f>'Income Eligible Deemed Table'!L139</f>
        <v>30</v>
      </c>
      <c r="Y380" s="23"/>
      <c r="Z380" s="23">
        <f t="shared" si="257"/>
        <v>30</v>
      </c>
      <c r="AA380" s="18">
        <f>'Income Eligible Deemed Table'!DG139</f>
        <v>1.7879641310399339</v>
      </c>
      <c r="AB380" s="259">
        <f>'Income Eligible Deemed Table'!M139</f>
        <v>1.6810404785088331</v>
      </c>
      <c r="AC380" s="902">
        <f t="shared" si="258"/>
        <v>3.0056400784000004</v>
      </c>
      <c r="AD380" s="902">
        <f t="shared" si="255"/>
        <v>0</v>
      </c>
      <c r="AE380" s="610">
        <f>'Income Eligible Deemed Table'!DI139</f>
        <v>3.0056400784000004</v>
      </c>
      <c r="AF380" s="208"/>
      <c r="AG380" s="208"/>
      <c r="AH380" s="208"/>
      <c r="AI380" s="908" t="str">
        <f t="shared" si="260"/>
        <v>Units - area of ceiling/attic (ft2)</v>
      </c>
      <c r="AJ380" s="71"/>
      <c r="AX380" s="1355" t="str">
        <f t="shared" si="261"/>
        <v>Ceiling Insulation R5-R38 MF IE DI electric furnace base</v>
      </c>
      <c r="AY380" s="1378"/>
      <c r="AZ380" s="1446" t="str">
        <f t="shared" si="262"/>
        <v>401300</v>
      </c>
      <c r="BA380" s="1300" t="s">
        <v>1303</v>
      </c>
      <c r="BB380" s="1300" t="s">
        <v>1303</v>
      </c>
      <c r="BC380" s="1300" t="s">
        <v>1303</v>
      </c>
      <c r="BD380" s="1300" t="s">
        <v>1303</v>
      </c>
      <c r="BE380" s="1305"/>
      <c r="BF380" s="1300" t="s">
        <v>1303</v>
      </c>
      <c r="BG380" s="1300" t="s">
        <v>1303</v>
      </c>
      <c r="BH380" s="1300" t="s">
        <v>1303</v>
      </c>
      <c r="BI380" s="1301" t="s">
        <v>1303</v>
      </c>
      <c r="BJ380" s="1305"/>
      <c r="BK380" s="1300" t="s">
        <v>1303</v>
      </c>
      <c r="BL380" s="1301" t="s">
        <v>1303</v>
      </c>
      <c r="BM380" s="1300" t="s">
        <v>1303</v>
      </c>
      <c r="BN380" s="1301" t="s">
        <v>1303</v>
      </c>
    </row>
    <row r="381" spans="1:66">
      <c r="A381" s="51" t="str">
        <f t="shared" si="256"/>
        <v>401350</v>
      </c>
      <c r="B381" s="1442" t="str">
        <f>'Income Eligible Deemed Table'!C140</f>
        <v>401350_2024_12_</v>
      </c>
      <c r="C381" s="1378" t="str">
        <f>'Income Eligible Deemed Table'!G140</f>
        <v>Building Shell RES</v>
      </c>
      <c r="D381" s="1378"/>
      <c r="E381" s="1378"/>
      <c r="F381" s="1378"/>
      <c r="G381" s="1378" t="str">
        <f>'Income Eligible Deemed Table'!E140</f>
        <v>Ceiling Insulation R5-R38 MF IE DI heat pump base</v>
      </c>
      <c r="H381" s="19" t="str">
        <f>'Income Eligible Deemed Table'!D140</f>
        <v>MFIE</v>
      </c>
      <c r="I381" s="785">
        <f>'Income Eligible Deemed Table'!F140</f>
        <v>1.07</v>
      </c>
      <c r="J381" s="785">
        <f t="shared" si="252"/>
        <v>0</v>
      </c>
      <c r="K381" s="888"/>
      <c r="L381" s="888"/>
      <c r="M381" s="202"/>
      <c r="N381" s="202"/>
      <c r="O381" s="786">
        <f>'Income Eligible Deemed Table'!K140</f>
        <v>4.9899999999999999E-4</v>
      </c>
      <c r="P381" s="786">
        <f t="shared" si="254"/>
        <v>0</v>
      </c>
      <c r="Q381" s="889"/>
      <c r="R381" s="889"/>
      <c r="S381" s="787"/>
      <c r="T381" s="787"/>
      <c r="U381" s="788">
        <f t="shared" si="236"/>
        <v>0</v>
      </c>
      <c r="V381" s="788">
        <f t="shared" si="237"/>
        <v>0</v>
      </c>
      <c r="W381" s="788">
        <f t="shared" si="238"/>
        <v>4.9899999999999999E-4</v>
      </c>
      <c r="X381" s="23">
        <f>'Income Eligible Deemed Table'!L140</f>
        <v>30</v>
      </c>
      <c r="Y381" s="23"/>
      <c r="Z381" s="23">
        <f t="shared" si="257"/>
        <v>30</v>
      </c>
      <c r="AA381" s="18">
        <f>'Income Eligible Deemed Table'!DG140</f>
        <v>1.1957010126329557</v>
      </c>
      <c r="AB381" s="259">
        <f>'Income Eligible Deemed Table'!M140</f>
        <v>1.6810404785088331</v>
      </c>
      <c r="AC381" s="902">
        <f t="shared" si="258"/>
        <v>2.0100218024300003</v>
      </c>
      <c r="AD381" s="902">
        <f t="shared" si="255"/>
        <v>0</v>
      </c>
      <c r="AE381" s="610">
        <f>'Income Eligible Deemed Table'!DI140</f>
        <v>2.0100218024300003</v>
      </c>
      <c r="AF381" s="208"/>
      <c r="AG381" s="208"/>
      <c r="AH381" s="208"/>
      <c r="AI381" s="908" t="str">
        <f t="shared" si="260"/>
        <v>Units - area of ceiling/attic (ft2)</v>
      </c>
      <c r="AJ381" s="71"/>
      <c r="AX381" s="1355" t="str">
        <f t="shared" si="261"/>
        <v>Ceiling Insulation R5-R38 MF IE DI heat pump base</v>
      </c>
      <c r="AY381" s="1378"/>
      <c r="AZ381" s="1446" t="str">
        <f t="shared" si="262"/>
        <v>401350</v>
      </c>
      <c r="BA381" s="1300" t="s">
        <v>1303</v>
      </c>
      <c r="BB381" s="1300" t="s">
        <v>1303</v>
      </c>
      <c r="BC381" s="1300" t="s">
        <v>1303</v>
      </c>
      <c r="BD381" s="1300" t="s">
        <v>1303</v>
      </c>
      <c r="BE381" s="1305"/>
      <c r="BF381" s="1300" t="s">
        <v>1303</v>
      </c>
      <c r="BG381" s="1300" t="s">
        <v>1303</v>
      </c>
      <c r="BH381" s="1300" t="s">
        <v>1303</v>
      </c>
      <c r="BI381" s="1301" t="s">
        <v>1303</v>
      </c>
      <c r="BJ381" s="1305"/>
      <c r="BK381" s="1300" t="s">
        <v>1303</v>
      </c>
      <c r="BL381" s="1301" t="s">
        <v>1303</v>
      </c>
      <c r="BM381" s="1300" t="s">
        <v>1303</v>
      </c>
      <c r="BN381" s="1301" t="s">
        <v>1303</v>
      </c>
    </row>
    <row r="382" spans="1:66">
      <c r="A382" s="51" t="str">
        <f t="shared" si="256"/>
        <v>401400</v>
      </c>
      <c r="B382" s="1442" t="str">
        <f>'Income Eligible Deemed Table'!C141</f>
        <v>401400_2024_12_</v>
      </c>
      <c r="C382" s="1378" t="str">
        <f>'Income Eligible Deemed Table'!G141</f>
        <v>Building Shell RES</v>
      </c>
      <c r="D382" s="1378"/>
      <c r="E382" s="1378"/>
      <c r="F382" s="1378"/>
      <c r="G382" s="1378" t="str">
        <f>'Income Eligible Deemed Table'!E141</f>
        <v>Ceiling Insulation R5-R38 MF IE DI gas heat electric cool base</v>
      </c>
      <c r="H382" s="19" t="str">
        <f>'Income Eligible Deemed Table'!D141</f>
        <v>MFIE</v>
      </c>
      <c r="I382" s="785">
        <f>'Income Eligible Deemed Table'!F141</f>
        <v>0.24</v>
      </c>
      <c r="J382" s="785">
        <f t="shared" si="252"/>
        <v>0</v>
      </c>
      <c r="K382" s="888"/>
      <c r="L382" s="888"/>
      <c r="M382" s="202"/>
      <c r="N382" s="202"/>
      <c r="O382" s="786">
        <f>'Income Eligible Deemed Table'!K141</f>
        <v>1.12E-4</v>
      </c>
      <c r="P382" s="786">
        <f t="shared" si="254"/>
        <v>0</v>
      </c>
      <c r="Q382" s="889"/>
      <c r="R382" s="889"/>
      <c r="S382" s="787"/>
      <c r="T382" s="787"/>
      <c r="U382" s="788">
        <f t="shared" si="236"/>
        <v>0</v>
      </c>
      <c r="V382" s="788">
        <f t="shared" si="237"/>
        <v>0</v>
      </c>
      <c r="W382" s="788">
        <f t="shared" si="238"/>
        <v>1.12E-4</v>
      </c>
      <c r="X382" s="23">
        <f>'Income Eligible Deemed Table'!L141</f>
        <v>30</v>
      </c>
      <c r="Y382" s="23"/>
      <c r="Z382" s="23">
        <f t="shared" si="257"/>
        <v>30</v>
      </c>
      <c r="AA382" s="18">
        <f>'Income Eligible Deemed Table'!DG141</f>
        <v>0.26819461965599006</v>
      </c>
      <c r="AB382" s="259">
        <f>'Income Eligible Deemed Table'!M141</f>
        <v>1.6810404785088331</v>
      </c>
      <c r="AC382" s="902">
        <f t="shared" si="258"/>
        <v>0.45084601176</v>
      </c>
      <c r="AD382" s="902">
        <f t="shared" si="255"/>
        <v>0</v>
      </c>
      <c r="AE382" s="610">
        <f>'Income Eligible Deemed Table'!DI141</f>
        <v>0.45084601176</v>
      </c>
      <c r="AF382" s="208"/>
      <c r="AG382" s="208"/>
      <c r="AH382" s="208"/>
      <c r="AI382" s="908" t="str">
        <f t="shared" si="260"/>
        <v>Units - area of ceiling/attic (ft2)</v>
      </c>
      <c r="AJ382" s="71"/>
      <c r="AX382" s="1355" t="str">
        <f t="shared" si="261"/>
        <v>Ceiling Insulation R5-R38 MF IE DI gas heat electric cool base</v>
      </c>
      <c r="AY382" s="1378"/>
      <c r="AZ382" s="1446" t="str">
        <f t="shared" si="262"/>
        <v>401400</v>
      </c>
      <c r="BA382" s="1300" t="s">
        <v>1303</v>
      </c>
      <c r="BB382" s="1300" t="s">
        <v>1303</v>
      </c>
      <c r="BC382" s="1300" t="s">
        <v>1303</v>
      </c>
      <c r="BD382" s="1300" t="s">
        <v>1303</v>
      </c>
      <c r="BE382" s="1305"/>
      <c r="BF382" s="1300" t="s">
        <v>1303</v>
      </c>
      <c r="BG382" s="1300" t="s">
        <v>1303</v>
      </c>
      <c r="BH382" s="1300" t="s">
        <v>1303</v>
      </c>
      <c r="BI382" s="1301" t="s">
        <v>1303</v>
      </c>
      <c r="BJ382" s="1305"/>
      <c r="BK382" s="1300" t="s">
        <v>1303</v>
      </c>
      <c r="BL382" s="1301" t="s">
        <v>1303</v>
      </c>
      <c r="BM382" s="1300" t="s">
        <v>1303</v>
      </c>
      <c r="BN382" s="1301" t="s">
        <v>1303</v>
      </c>
    </row>
    <row r="383" spans="1:66">
      <c r="A383" s="51" t="str">
        <f t="shared" si="256"/>
        <v>401450</v>
      </c>
      <c r="B383" s="1442" t="str">
        <f>'Income Eligible Deemed Table'!C142</f>
        <v>401450_2024_12_</v>
      </c>
      <c r="C383" s="1378" t="str">
        <f>'Income Eligible Deemed Table'!G142</f>
        <v>Building Shell RES</v>
      </c>
      <c r="D383" s="1378"/>
      <c r="E383" s="1378"/>
      <c r="F383" s="1378"/>
      <c r="G383" s="1378" t="str">
        <f>'Income Eligible Deemed Table'!E142</f>
        <v>Ceiling Insulation R5-R38 SF IE DI electric furnace base</v>
      </c>
      <c r="H383" s="19" t="str">
        <f>'Income Eligible Deemed Table'!D142</f>
        <v>PAYS</v>
      </c>
      <c r="I383" s="785">
        <f>'Income Eligible Deemed Table'!F142</f>
        <v>1.6</v>
      </c>
      <c r="J383" s="785">
        <f t="shared" si="252"/>
        <v>0</v>
      </c>
      <c r="K383" s="888"/>
      <c r="L383" s="888"/>
      <c r="M383" s="202"/>
      <c r="N383" s="202"/>
      <c r="O383" s="786">
        <f>'Income Eligible Deemed Table'!K142</f>
        <v>7.4600000000000003E-4</v>
      </c>
      <c r="P383" s="786">
        <f t="shared" si="254"/>
        <v>0</v>
      </c>
      <c r="Q383" s="889"/>
      <c r="R383" s="889"/>
      <c r="S383" s="787"/>
      <c r="T383" s="787"/>
      <c r="U383" s="788">
        <f t="shared" si="236"/>
        <v>0</v>
      </c>
      <c r="V383" s="788">
        <f t="shared" si="237"/>
        <v>0</v>
      </c>
      <c r="W383" s="788">
        <f t="shared" si="238"/>
        <v>7.4600000000000003E-4</v>
      </c>
      <c r="X383" s="23">
        <f>'Income Eligible Deemed Table'!L142</f>
        <v>30</v>
      </c>
      <c r="Y383" s="23"/>
      <c r="Z383" s="23">
        <f t="shared" si="257"/>
        <v>30</v>
      </c>
      <c r="AA383" s="18">
        <f>'Income Eligible Deemed Table'!DG142</f>
        <v>1.787964870785433</v>
      </c>
      <c r="AB383" s="259">
        <f>'Income Eligible Deemed Table'!M142</f>
        <v>1.6810397830018082</v>
      </c>
      <c r="AC383" s="902">
        <f t="shared" si="258"/>
        <v>3.0056400784000004</v>
      </c>
      <c r="AD383" s="902">
        <f t="shared" si="255"/>
        <v>0</v>
      </c>
      <c r="AE383" s="610">
        <f>'Income Eligible Deemed Table'!DI142</f>
        <v>3.0056400784000004</v>
      </c>
      <c r="AF383" s="208"/>
      <c r="AG383" s="208"/>
      <c r="AH383" s="208"/>
      <c r="AI383" s="908" t="str">
        <f t="shared" si="260"/>
        <v>Units - area of ceiling/attic (ft2)</v>
      </c>
      <c r="AJ383" s="71"/>
      <c r="AX383" s="1355" t="str">
        <f t="shared" si="261"/>
        <v>Ceiling Insulation R5-R38 SF IE DI electric furnace base</v>
      </c>
      <c r="AY383" s="1378"/>
      <c r="AZ383" s="1446" t="str">
        <f t="shared" si="262"/>
        <v>401450</v>
      </c>
      <c r="BA383" s="1300" t="s">
        <v>1303</v>
      </c>
      <c r="BB383" s="1300" t="s">
        <v>1303</v>
      </c>
      <c r="BC383" s="1300" t="s">
        <v>1303</v>
      </c>
      <c r="BD383" s="1300" t="s">
        <v>1303</v>
      </c>
      <c r="BE383" s="1305"/>
      <c r="BF383" s="1300" t="s">
        <v>1303</v>
      </c>
      <c r="BG383" s="1300" t="s">
        <v>1303</v>
      </c>
      <c r="BH383" s="1300" t="s">
        <v>1303</v>
      </c>
      <c r="BI383" s="1301" t="s">
        <v>1303</v>
      </c>
      <c r="BJ383" s="1305"/>
      <c r="BK383" s="1300" t="s">
        <v>1303</v>
      </c>
      <c r="BL383" s="1301" t="s">
        <v>1303</v>
      </c>
      <c r="BM383" s="1300" t="s">
        <v>1303</v>
      </c>
      <c r="BN383" s="1301" t="s">
        <v>1303</v>
      </c>
    </row>
    <row r="384" spans="1:66">
      <c r="A384" s="51" t="str">
        <f t="shared" si="256"/>
        <v>401500</v>
      </c>
      <c r="B384" s="1442" t="str">
        <f>'Income Eligible Deemed Table'!C143</f>
        <v>401500_2024_12_</v>
      </c>
      <c r="C384" s="1378" t="str">
        <f>'Income Eligible Deemed Table'!G143</f>
        <v>Building Shell RES</v>
      </c>
      <c r="D384" s="1378"/>
      <c r="E384" s="1378"/>
      <c r="F384" s="1378"/>
      <c r="G384" s="1378" t="str">
        <f>'Income Eligible Deemed Table'!E143</f>
        <v>Ceiling Insulation R5-R38 SF IE DI heat pump base</v>
      </c>
      <c r="H384" s="19" t="str">
        <f>'Income Eligible Deemed Table'!D143</f>
        <v>PAYS</v>
      </c>
      <c r="I384" s="785">
        <f>'Income Eligible Deemed Table'!F143</f>
        <v>1.07</v>
      </c>
      <c r="J384" s="785">
        <f t="shared" si="252"/>
        <v>0</v>
      </c>
      <c r="K384" s="888"/>
      <c r="L384" s="888"/>
      <c r="M384" s="202"/>
      <c r="N384" s="202"/>
      <c r="O384" s="786">
        <f>'Income Eligible Deemed Table'!K143</f>
        <v>4.9899999999999999E-4</v>
      </c>
      <c r="P384" s="786">
        <f t="shared" si="254"/>
        <v>0</v>
      </c>
      <c r="Q384" s="889"/>
      <c r="R384" s="889"/>
      <c r="S384" s="787"/>
      <c r="T384" s="787"/>
      <c r="U384" s="788">
        <f t="shared" si="236"/>
        <v>0</v>
      </c>
      <c r="V384" s="788">
        <f t="shared" si="237"/>
        <v>0</v>
      </c>
      <c r="W384" s="788">
        <f t="shared" si="238"/>
        <v>4.9899999999999999E-4</v>
      </c>
      <c r="X384" s="23">
        <f>'Income Eligible Deemed Table'!L143</f>
        <v>30</v>
      </c>
      <c r="Y384" s="23"/>
      <c r="Z384" s="23">
        <f t="shared" si="257"/>
        <v>30</v>
      </c>
      <c r="AA384" s="18">
        <f>'Income Eligible Deemed Table'!DG143</f>
        <v>1.1957015073377584</v>
      </c>
      <c r="AB384" s="259">
        <f>'Income Eligible Deemed Table'!M143</f>
        <v>1.6810397830018082</v>
      </c>
      <c r="AC384" s="902">
        <f t="shared" si="258"/>
        <v>2.0100218024300003</v>
      </c>
      <c r="AD384" s="902">
        <f t="shared" si="255"/>
        <v>0</v>
      </c>
      <c r="AE384" s="610">
        <f>'Income Eligible Deemed Table'!DI143</f>
        <v>2.0100218024300003</v>
      </c>
      <c r="AF384" s="208"/>
      <c r="AG384" s="208"/>
      <c r="AH384" s="208"/>
      <c r="AI384" s="908" t="str">
        <f t="shared" si="260"/>
        <v>Units - area of ceiling/attic (ft2)</v>
      </c>
      <c r="AJ384" s="71"/>
      <c r="AX384" s="1355" t="str">
        <f t="shared" si="261"/>
        <v>Ceiling Insulation R5-R38 SF IE DI heat pump base</v>
      </c>
      <c r="AY384" s="1378"/>
      <c r="AZ384" s="1446" t="str">
        <f t="shared" si="262"/>
        <v>401500</v>
      </c>
      <c r="BA384" s="1300" t="s">
        <v>1303</v>
      </c>
      <c r="BB384" s="1300" t="s">
        <v>1303</v>
      </c>
      <c r="BC384" s="1300" t="s">
        <v>1303</v>
      </c>
      <c r="BD384" s="1300" t="s">
        <v>1303</v>
      </c>
      <c r="BE384" s="1305"/>
      <c r="BF384" s="1300" t="s">
        <v>1303</v>
      </c>
      <c r="BG384" s="1300" t="s">
        <v>1303</v>
      </c>
      <c r="BH384" s="1300" t="s">
        <v>1303</v>
      </c>
      <c r="BI384" s="1301" t="s">
        <v>1303</v>
      </c>
      <c r="BJ384" s="1305"/>
      <c r="BK384" s="1300" t="s">
        <v>1303</v>
      </c>
      <c r="BL384" s="1301" t="s">
        <v>1303</v>
      </c>
      <c r="BM384" s="1300" t="s">
        <v>1303</v>
      </c>
      <c r="BN384" s="1301" t="s">
        <v>1303</v>
      </c>
    </row>
    <row r="385" spans="1:66">
      <c r="A385" s="51" t="str">
        <f t="shared" si="256"/>
        <v>401550</v>
      </c>
      <c r="B385" s="1442" t="str">
        <f>'Income Eligible Deemed Table'!C144</f>
        <v>401550_2024_12_</v>
      </c>
      <c r="C385" s="1378" t="str">
        <f>'Income Eligible Deemed Table'!G144</f>
        <v>Building Shell RES</v>
      </c>
      <c r="D385" s="1378"/>
      <c r="E385" s="1378"/>
      <c r="F385" s="1378"/>
      <c r="G385" s="1378" t="str">
        <f>'Income Eligible Deemed Table'!E144</f>
        <v>Ceiling Insulation R5-R38 SF IE DI gas heat electric cool base</v>
      </c>
      <c r="H385" s="19" t="str">
        <f>'Income Eligible Deemed Table'!D144</f>
        <v>PAYS</v>
      </c>
      <c r="I385" s="785">
        <f>'Income Eligible Deemed Table'!F144</f>
        <v>0.24</v>
      </c>
      <c r="J385" s="785">
        <f t="shared" si="252"/>
        <v>0</v>
      </c>
      <c r="K385" s="888"/>
      <c r="L385" s="888"/>
      <c r="M385" s="202"/>
      <c r="N385" s="202"/>
      <c r="O385" s="786">
        <f>'Income Eligible Deemed Table'!K144</f>
        <v>1.12E-4</v>
      </c>
      <c r="P385" s="786">
        <f t="shared" si="254"/>
        <v>0</v>
      </c>
      <c r="Q385" s="889"/>
      <c r="R385" s="889"/>
      <c r="S385" s="787"/>
      <c r="T385" s="787"/>
      <c r="U385" s="788">
        <f t="shared" si="236"/>
        <v>0</v>
      </c>
      <c r="V385" s="788">
        <f t="shared" si="237"/>
        <v>0</v>
      </c>
      <c r="W385" s="788">
        <f t="shared" si="238"/>
        <v>1.12E-4</v>
      </c>
      <c r="X385" s="23">
        <f>'Income Eligible Deemed Table'!L144</f>
        <v>30</v>
      </c>
      <c r="Y385" s="23"/>
      <c r="Z385" s="23">
        <f t="shared" si="257"/>
        <v>30</v>
      </c>
      <c r="AA385" s="18">
        <f>'Income Eligible Deemed Table'!DG144</f>
        <v>0.2681947306178149</v>
      </c>
      <c r="AB385" s="259">
        <f>'Income Eligible Deemed Table'!M144</f>
        <v>1.6810397830018082</v>
      </c>
      <c r="AC385" s="902">
        <f t="shared" si="258"/>
        <v>0.45084601176</v>
      </c>
      <c r="AD385" s="902">
        <f t="shared" si="255"/>
        <v>0</v>
      </c>
      <c r="AE385" s="610">
        <f>'Income Eligible Deemed Table'!DI144</f>
        <v>0.45084601176</v>
      </c>
      <c r="AF385" s="208"/>
      <c r="AG385" s="208"/>
      <c r="AH385" s="208"/>
      <c r="AI385" s="908" t="str">
        <f t="shared" si="260"/>
        <v>Units - area of ceiling/attic (ft2)</v>
      </c>
      <c r="AJ385" s="71"/>
      <c r="AX385" s="1355" t="str">
        <f t="shared" si="261"/>
        <v>Ceiling Insulation R5-R38 SF IE DI gas heat electric cool base</v>
      </c>
      <c r="AY385" s="1378"/>
      <c r="AZ385" s="1446" t="str">
        <f t="shared" si="262"/>
        <v>401550</v>
      </c>
      <c r="BA385" s="1300" t="s">
        <v>1303</v>
      </c>
      <c r="BB385" s="1300" t="s">
        <v>1303</v>
      </c>
      <c r="BC385" s="1300" t="s">
        <v>1303</v>
      </c>
      <c r="BD385" s="1300" t="s">
        <v>1303</v>
      </c>
      <c r="BE385" s="1305"/>
      <c r="BF385" s="1300" t="s">
        <v>1303</v>
      </c>
      <c r="BG385" s="1300" t="s">
        <v>1303</v>
      </c>
      <c r="BH385" s="1300" t="s">
        <v>1303</v>
      </c>
      <c r="BI385" s="1301" t="s">
        <v>1303</v>
      </c>
      <c r="BJ385" s="1305"/>
      <c r="BK385" s="1300" t="s">
        <v>1303</v>
      </c>
      <c r="BL385" s="1301" t="s">
        <v>1303</v>
      </c>
      <c r="BM385" s="1300" t="s">
        <v>1303</v>
      </c>
      <c r="BN385" s="1301" t="s">
        <v>1303</v>
      </c>
    </row>
    <row r="386" spans="1:66">
      <c r="A386" s="51" t="str">
        <f t="shared" si="256"/>
        <v>401600</v>
      </c>
      <c r="B386" s="1442" t="str">
        <f>'Income Eligible Deemed Table'!C145</f>
        <v>401600_2024_12_</v>
      </c>
      <c r="C386" s="1378" t="str">
        <f>'Income Eligible Deemed Table'!G145</f>
        <v>Building Shell RES</v>
      </c>
      <c r="D386" s="1378"/>
      <c r="E386" s="1378"/>
      <c r="F386" s="1378"/>
      <c r="G386" s="1378" t="str">
        <f>'Income Eligible Deemed Table'!E145</f>
        <v>Ceiling Insulation R5-R49 MF IE DI electric furnace base</v>
      </c>
      <c r="H386" s="19" t="str">
        <f>'Income Eligible Deemed Table'!D145</f>
        <v>MFIE</v>
      </c>
      <c r="I386" s="785">
        <f>'Income Eligible Deemed Table'!F145</f>
        <v>1.69</v>
      </c>
      <c r="J386" s="785">
        <f t="shared" si="252"/>
        <v>0</v>
      </c>
      <c r="K386" s="888"/>
      <c r="L386" s="888"/>
      <c r="M386" s="202"/>
      <c r="N386" s="202"/>
      <c r="O386" s="786">
        <f>'Income Eligible Deemed Table'!K145</f>
        <v>7.8799999999999996E-4</v>
      </c>
      <c r="P386" s="786">
        <f t="shared" si="254"/>
        <v>0</v>
      </c>
      <c r="Q386" s="889"/>
      <c r="R386" s="889"/>
      <c r="S386" s="787"/>
      <c r="T386" s="787"/>
      <c r="U386" s="788">
        <f t="shared" si="236"/>
        <v>0</v>
      </c>
      <c r="V386" s="788">
        <f t="shared" si="237"/>
        <v>0</v>
      </c>
      <c r="W386" s="788">
        <f t="shared" si="238"/>
        <v>7.8799999999999996E-4</v>
      </c>
      <c r="X386" s="23">
        <f>'Income Eligible Deemed Table'!L145</f>
        <v>30</v>
      </c>
      <c r="Y386" s="23"/>
      <c r="Z386" s="23">
        <f t="shared" si="257"/>
        <v>30</v>
      </c>
      <c r="AA386" s="18">
        <f>'Income Eligible Deemed Table'!DG145</f>
        <v>1.2358920341137116</v>
      </c>
      <c r="AB386" s="259">
        <f>'Income Eligible Deemed Table'!M145</f>
        <v>2.568757824454027</v>
      </c>
      <c r="AC386" s="902">
        <f t="shared" si="258"/>
        <v>3.1747073328100002</v>
      </c>
      <c r="AD386" s="902">
        <f t="shared" si="255"/>
        <v>0</v>
      </c>
      <c r="AE386" s="610">
        <f>'Income Eligible Deemed Table'!DI145</f>
        <v>3.1747073328100002</v>
      </c>
      <c r="AF386" s="208"/>
      <c r="AG386" s="208"/>
      <c r="AH386" s="208"/>
      <c r="AI386" s="908" t="str">
        <f t="shared" si="260"/>
        <v>Units - area of ceiling/attic (ft2)</v>
      </c>
      <c r="AJ386" s="71"/>
      <c r="AX386" s="1355" t="str">
        <f t="shared" si="261"/>
        <v>Ceiling Insulation R5-R49 MF IE DI electric furnace base</v>
      </c>
      <c r="AY386" s="1378"/>
      <c r="AZ386" s="1446" t="str">
        <f t="shared" si="262"/>
        <v>401600</v>
      </c>
      <c r="BA386" s="1300" t="s">
        <v>1303</v>
      </c>
      <c r="BB386" s="1300" t="s">
        <v>1303</v>
      </c>
      <c r="BC386" s="1300" t="s">
        <v>1303</v>
      </c>
      <c r="BD386" s="1300" t="s">
        <v>1303</v>
      </c>
      <c r="BE386" s="1305"/>
      <c r="BF386" s="1300" t="s">
        <v>1303</v>
      </c>
      <c r="BG386" s="1300" t="s">
        <v>1303</v>
      </c>
      <c r="BH386" s="1300" t="s">
        <v>1303</v>
      </c>
      <c r="BI386" s="1301" t="s">
        <v>1303</v>
      </c>
      <c r="BJ386" s="1305"/>
      <c r="BK386" s="1300" t="s">
        <v>1303</v>
      </c>
      <c r="BL386" s="1301" t="s">
        <v>1303</v>
      </c>
      <c r="BM386" s="1300" t="s">
        <v>1303</v>
      </c>
      <c r="BN386" s="1301" t="s">
        <v>1303</v>
      </c>
    </row>
    <row r="387" spans="1:66">
      <c r="A387" s="51" t="str">
        <f t="shared" si="256"/>
        <v>401650</v>
      </c>
      <c r="B387" s="1442" t="str">
        <f>'Income Eligible Deemed Table'!C146</f>
        <v>401650_2024_12_</v>
      </c>
      <c r="C387" s="1378" t="str">
        <f>'Income Eligible Deemed Table'!G146</f>
        <v>Building Shell RES</v>
      </c>
      <c r="D387" s="1378"/>
      <c r="E387" s="1378"/>
      <c r="F387" s="1378"/>
      <c r="G387" s="1378" t="str">
        <f>'Income Eligible Deemed Table'!E146</f>
        <v>Ceiling Insulation R5-R49 MF IE DI heat pump base</v>
      </c>
      <c r="H387" s="19" t="str">
        <f>'Income Eligible Deemed Table'!D146</f>
        <v>MFIE</v>
      </c>
      <c r="I387" s="785">
        <f>'Income Eligible Deemed Table'!F146</f>
        <v>1.1399999999999999</v>
      </c>
      <c r="J387" s="785">
        <f t="shared" si="252"/>
        <v>0</v>
      </c>
      <c r="K387" s="888"/>
      <c r="L387" s="888"/>
      <c r="M387" s="202"/>
      <c r="N387" s="202"/>
      <c r="O387" s="786">
        <f>'Income Eligible Deemed Table'!K146</f>
        <v>5.31E-4</v>
      </c>
      <c r="P387" s="786">
        <f t="shared" si="254"/>
        <v>0</v>
      </c>
      <c r="Q387" s="889"/>
      <c r="R387" s="889"/>
      <c r="S387" s="787"/>
      <c r="T387" s="787"/>
      <c r="U387" s="788">
        <f t="shared" si="236"/>
        <v>0</v>
      </c>
      <c r="V387" s="788">
        <f t="shared" si="237"/>
        <v>0</v>
      </c>
      <c r="W387" s="788">
        <f t="shared" si="238"/>
        <v>5.31E-4</v>
      </c>
      <c r="X387" s="23">
        <f>'Income Eligible Deemed Table'!L146</f>
        <v>30</v>
      </c>
      <c r="Y387" s="23"/>
      <c r="Z387" s="23">
        <f t="shared" si="257"/>
        <v>30</v>
      </c>
      <c r="AA387" s="18">
        <f>'Income Eligible Deemed Table'!DG146</f>
        <v>0.83367865023055099</v>
      </c>
      <c r="AB387" s="259">
        <f>'Income Eligible Deemed Table'!M146</f>
        <v>2.568757824454027</v>
      </c>
      <c r="AC387" s="902">
        <f t="shared" si="258"/>
        <v>2.1415185558599998</v>
      </c>
      <c r="AD387" s="902">
        <f t="shared" si="255"/>
        <v>0</v>
      </c>
      <c r="AE387" s="610">
        <f>'Income Eligible Deemed Table'!DI146</f>
        <v>2.1415185558599998</v>
      </c>
      <c r="AF387" s="208"/>
      <c r="AG387" s="208"/>
      <c r="AH387" s="208"/>
      <c r="AI387" s="908" t="str">
        <f t="shared" si="260"/>
        <v>Units - area of ceiling/attic (ft2)</v>
      </c>
      <c r="AJ387" s="71"/>
      <c r="AX387" s="1355" t="str">
        <f t="shared" si="261"/>
        <v>Ceiling Insulation R5-R49 MF IE DI heat pump base</v>
      </c>
      <c r="AY387" s="1378"/>
      <c r="AZ387" s="1446" t="str">
        <f t="shared" si="262"/>
        <v>401650</v>
      </c>
      <c r="BA387" s="1300" t="s">
        <v>1303</v>
      </c>
      <c r="BB387" s="1300" t="s">
        <v>1303</v>
      </c>
      <c r="BC387" s="1300" t="s">
        <v>1303</v>
      </c>
      <c r="BD387" s="1300" t="s">
        <v>1303</v>
      </c>
      <c r="BE387" s="1305"/>
      <c r="BF387" s="1300" t="s">
        <v>1303</v>
      </c>
      <c r="BG387" s="1300" t="s">
        <v>1303</v>
      </c>
      <c r="BH387" s="1300" t="s">
        <v>1303</v>
      </c>
      <c r="BI387" s="1301" t="s">
        <v>1303</v>
      </c>
      <c r="BJ387" s="1305"/>
      <c r="BK387" s="1300" t="s">
        <v>1303</v>
      </c>
      <c r="BL387" s="1301" t="s">
        <v>1303</v>
      </c>
      <c r="BM387" s="1300" t="s">
        <v>1303</v>
      </c>
      <c r="BN387" s="1301" t="s">
        <v>1303</v>
      </c>
    </row>
    <row r="388" spans="1:66">
      <c r="A388" s="51" t="str">
        <f t="shared" si="256"/>
        <v>401700</v>
      </c>
      <c r="B388" s="1442" t="str">
        <f>'Income Eligible Deemed Table'!C147</f>
        <v>401700_2024_12_</v>
      </c>
      <c r="C388" s="1378" t="str">
        <f>'Income Eligible Deemed Table'!G147</f>
        <v>Building Shell RES</v>
      </c>
      <c r="D388" s="1378"/>
      <c r="E388" s="1378"/>
      <c r="F388" s="1378"/>
      <c r="G388" s="1378" t="str">
        <f>'Income Eligible Deemed Table'!E147</f>
        <v>Ceiling Insulation R5-R49 MF IE DI gas heat electric cool base</v>
      </c>
      <c r="H388" s="19" t="str">
        <f>'Income Eligible Deemed Table'!D147</f>
        <v>MFIE</v>
      </c>
      <c r="I388" s="785">
        <f>'Income Eligible Deemed Table'!F147</f>
        <v>0.25</v>
      </c>
      <c r="J388" s="785">
        <f t="shared" si="252"/>
        <v>0</v>
      </c>
      <c r="K388" s="888"/>
      <c r="L388" s="888"/>
      <c r="M388" s="202"/>
      <c r="N388" s="202"/>
      <c r="O388" s="786">
        <f>'Income Eligible Deemed Table'!K147</f>
        <v>1.17E-4</v>
      </c>
      <c r="P388" s="786">
        <f t="shared" si="254"/>
        <v>0</v>
      </c>
      <c r="Q388" s="889"/>
      <c r="R388" s="889"/>
      <c r="S388" s="787"/>
      <c r="T388" s="787"/>
      <c r="U388" s="788">
        <f t="shared" si="236"/>
        <v>0</v>
      </c>
      <c r="V388" s="788">
        <f t="shared" si="237"/>
        <v>0</v>
      </c>
      <c r="W388" s="788">
        <f t="shared" si="238"/>
        <v>1.17E-4</v>
      </c>
      <c r="X388" s="23">
        <f>'Income Eligible Deemed Table'!L147</f>
        <v>30</v>
      </c>
      <c r="Y388" s="23"/>
      <c r="Z388" s="23">
        <f t="shared" si="257"/>
        <v>30</v>
      </c>
      <c r="AA388" s="18">
        <f>'Income Eligible Deemed Table'!DG147</f>
        <v>0.18282426540143665</v>
      </c>
      <c r="AB388" s="259">
        <f>'Income Eligible Deemed Table'!M147</f>
        <v>2.568757824454027</v>
      </c>
      <c r="AC388" s="902">
        <f t="shared" si="258"/>
        <v>0.46963126225000001</v>
      </c>
      <c r="AD388" s="902">
        <f t="shared" si="255"/>
        <v>0</v>
      </c>
      <c r="AE388" s="610">
        <f>'Income Eligible Deemed Table'!DI147</f>
        <v>0.46963126225000001</v>
      </c>
      <c r="AF388" s="208"/>
      <c r="AG388" s="208"/>
      <c r="AH388" s="208"/>
      <c r="AI388" s="908" t="str">
        <f t="shared" si="260"/>
        <v>Units - area of ceiling/attic (ft2)</v>
      </c>
      <c r="AJ388" s="71"/>
      <c r="AX388" s="1355" t="str">
        <f t="shared" si="261"/>
        <v>Ceiling Insulation R5-R49 MF IE DI gas heat electric cool base</v>
      </c>
      <c r="AY388" s="1378"/>
      <c r="AZ388" s="1446" t="str">
        <f t="shared" si="262"/>
        <v>401700</v>
      </c>
      <c r="BA388" s="1300" t="s">
        <v>1303</v>
      </c>
      <c r="BB388" s="1300" t="s">
        <v>1303</v>
      </c>
      <c r="BC388" s="1300" t="s">
        <v>1303</v>
      </c>
      <c r="BD388" s="1300" t="s">
        <v>1303</v>
      </c>
      <c r="BE388" s="1305"/>
      <c r="BF388" s="1300" t="s">
        <v>1303</v>
      </c>
      <c r="BG388" s="1300" t="s">
        <v>1303</v>
      </c>
      <c r="BH388" s="1300" t="s">
        <v>1303</v>
      </c>
      <c r="BI388" s="1301" t="s">
        <v>1303</v>
      </c>
      <c r="BJ388" s="1305"/>
      <c r="BK388" s="1300" t="s">
        <v>1303</v>
      </c>
      <c r="BL388" s="1301" t="s">
        <v>1303</v>
      </c>
      <c r="BM388" s="1300" t="s">
        <v>1303</v>
      </c>
      <c r="BN388" s="1301" t="s">
        <v>1303</v>
      </c>
    </row>
    <row r="389" spans="1:66">
      <c r="A389" s="51" t="str">
        <f t="shared" si="256"/>
        <v>401750</v>
      </c>
      <c r="B389" s="1442" t="str">
        <f>'Income Eligible Deemed Table'!C148</f>
        <v>401750_2024_12_</v>
      </c>
      <c r="C389" s="1378" t="str">
        <f>'Income Eligible Deemed Table'!G148</f>
        <v>Building Shell RES</v>
      </c>
      <c r="D389" s="1378"/>
      <c r="E389" s="1378"/>
      <c r="F389" s="1378"/>
      <c r="G389" s="1378" t="str">
        <f>'Income Eligible Deemed Table'!E148</f>
        <v>Ceiling Insulation R5-R49 SF IE DI electric furnace base</v>
      </c>
      <c r="H389" s="19" t="str">
        <f>'Income Eligible Deemed Table'!D148</f>
        <v>PAYS</v>
      </c>
      <c r="I389" s="785">
        <f>'Income Eligible Deemed Table'!F148</f>
        <v>1.69</v>
      </c>
      <c r="J389" s="785">
        <f t="shared" si="252"/>
        <v>0</v>
      </c>
      <c r="K389" s="888"/>
      <c r="L389" s="888"/>
      <c r="M389" s="202"/>
      <c r="N389" s="202"/>
      <c r="O389" s="786">
        <f>'Income Eligible Deemed Table'!K148</f>
        <v>7.8799999999999996E-4</v>
      </c>
      <c r="P389" s="786">
        <f t="shared" si="254"/>
        <v>0</v>
      </c>
      <c r="Q389" s="889"/>
      <c r="R389" s="889"/>
      <c r="S389" s="787"/>
      <c r="T389" s="787"/>
      <c r="U389" s="788">
        <f t="shared" si="236"/>
        <v>0</v>
      </c>
      <c r="V389" s="788">
        <f t="shared" si="237"/>
        <v>0</v>
      </c>
      <c r="W389" s="788">
        <f t="shared" si="238"/>
        <v>7.8799999999999996E-4</v>
      </c>
      <c r="X389" s="23">
        <f>'Income Eligible Deemed Table'!L148</f>
        <v>30</v>
      </c>
      <c r="Y389" s="23"/>
      <c r="Z389" s="23">
        <f t="shared" si="257"/>
        <v>30</v>
      </c>
      <c r="AA389" s="18">
        <f>'Income Eligible Deemed Table'!DG148</f>
        <v>1.2358947111226384</v>
      </c>
      <c r="AB389" s="259">
        <f>'Income Eligible Deemed Table'!M148</f>
        <v>2.5687522603978299</v>
      </c>
      <c r="AC389" s="902">
        <f t="shared" si="258"/>
        <v>3.1747073328100002</v>
      </c>
      <c r="AD389" s="902">
        <f t="shared" si="255"/>
        <v>0</v>
      </c>
      <c r="AE389" s="610">
        <f>'Income Eligible Deemed Table'!DI148</f>
        <v>3.1747073328100002</v>
      </c>
      <c r="AF389" s="208"/>
      <c r="AG389" s="208"/>
      <c r="AH389" s="208"/>
      <c r="AI389" s="908" t="str">
        <f t="shared" si="260"/>
        <v>Units - area of ceiling/attic (ft2)</v>
      </c>
      <c r="AJ389" s="71"/>
      <c r="AX389" s="1355" t="str">
        <f t="shared" si="261"/>
        <v>Ceiling Insulation R5-R49 SF IE DI electric furnace base</v>
      </c>
      <c r="AY389" s="1378"/>
      <c r="AZ389" s="1446" t="str">
        <f t="shared" si="262"/>
        <v>401750</v>
      </c>
      <c r="BA389" s="1300" t="s">
        <v>1303</v>
      </c>
      <c r="BB389" s="1300" t="s">
        <v>1303</v>
      </c>
      <c r="BC389" s="1300" t="s">
        <v>1303</v>
      </c>
      <c r="BD389" s="1300" t="s">
        <v>1303</v>
      </c>
      <c r="BE389" s="1305"/>
      <c r="BF389" s="1300" t="s">
        <v>1303</v>
      </c>
      <c r="BG389" s="1300" t="s">
        <v>1303</v>
      </c>
      <c r="BH389" s="1300" t="s">
        <v>1303</v>
      </c>
      <c r="BI389" s="1301" t="s">
        <v>1303</v>
      </c>
      <c r="BJ389" s="1305"/>
      <c r="BK389" s="1300" t="s">
        <v>1303</v>
      </c>
      <c r="BL389" s="1301" t="s">
        <v>1303</v>
      </c>
      <c r="BM389" s="1300" t="s">
        <v>1303</v>
      </c>
      <c r="BN389" s="1301" t="s">
        <v>1303</v>
      </c>
    </row>
    <row r="390" spans="1:66">
      <c r="A390" s="51" t="str">
        <f t="shared" si="256"/>
        <v>401800</v>
      </c>
      <c r="B390" s="1442" t="str">
        <f>'Income Eligible Deemed Table'!C149</f>
        <v>401800_2024_12_</v>
      </c>
      <c r="C390" s="1378" t="str">
        <f>'Income Eligible Deemed Table'!G149</f>
        <v>Building Shell RES</v>
      </c>
      <c r="D390" s="1378"/>
      <c r="E390" s="1378"/>
      <c r="F390" s="1378"/>
      <c r="G390" s="1378" t="str">
        <f>'Income Eligible Deemed Table'!E149</f>
        <v>Ceiling Insulation R5-R49 SF IE DI heat pump base</v>
      </c>
      <c r="H390" s="19" t="str">
        <f>'Income Eligible Deemed Table'!D149</f>
        <v>PAYS</v>
      </c>
      <c r="I390" s="785">
        <f>'Income Eligible Deemed Table'!F149</f>
        <v>1.1399999999999999</v>
      </c>
      <c r="J390" s="785">
        <f t="shared" si="252"/>
        <v>0</v>
      </c>
      <c r="K390" s="888"/>
      <c r="L390" s="888"/>
      <c r="M390" s="202"/>
      <c r="N390" s="202"/>
      <c r="O390" s="786">
        <f>'Income Eligible Deemed Table'!K149</f>
        <v>5.31E-4</v>
      </c>
      <c r="P390" s="786">
        <f t="shared" si="254"/>
        <v>0</v>
      </c>
      <c r="Q390" s="889"/>
      <c r="R390" s="889"/>
      <c r="S390" s="787"/>
      <c r="T390" s="787"/>
      <c r="U390" s="788">
        <f t="shared" si="236"/>
        <v>0</v>
      </c>
      <c r="V390" s="788">
        <f t="shared" si="237"/>
        <v>0</v>
      </c>
      <c r="W390" s="788">
        <f t="shared" si="238"/>
        <v>5.31E-4</v>
      </c>
      <c r="X390" s="23">
        <f>'Income Eligible Deemed Table'!L149</f>
        <v>30</v>
      </c>
      <c r="Y390" s="23"/>
      <c r="Z390" s="23">
        <f t="shared" si="257"/>
        <v>30</v>
      </c>
      <c r="AA390" s="18">
        <f>'Income Eligible Deemed Table'!DG149</f>
        <v>0.83368045602355478</v>
      </c>
      <c r="AB390" s="259">
        <f>'Income Eligible Deemed Table'!M149</f>
        <v>2.5687522603978299</v>
      </c>
      <c r="AC390" s="902">
        <f t="shared" si="258"/>
        <v>2.1415185558599998</v>
      </c>
      <c r="AD390" s="902">
        <f t="shared" si="255"/>
        <v>0</v>
      </c>
      <c r="AE390" s="610">
        <f>'Income Eligible Deemed Table'!DI149</f>
        <v>2.1415185558599998</v>
      </c>
      <c r="AF390" s="208"/>
      <c r="AG390" s="208"/>
      <c r="AH390" s="208"/>
      <c r="AI390" s="908" t="str">
        <f t="shared" si="260"/>
        <v>Units - area of ceiling/attic (ft2)</v>
      </c>
      <c r="AJ390" s="71"/>
      <c r="AX390" s="1355" t="str">
        <f t="shared" si="261"/>
        <v>Ceiling Insulation R5-R49 SF IE DI heat pump base</v>
      </c>
      <c r="AY390" s="1378"/>
      <c r="AZ390" s="1446" t="str">
        <f t="shared" si="262"/>
        <v>401800</v>
      </c>
      <c r="BA390" s="1300" t="s">
        <v>1303</v>
      </c>
      <c r="BB390" s="1300" t="s">
        <v>1303</v>
      </c>
      <c r="BC390" s="1300" t="s">
        <v>1303</v>
      </c>
      <c r="BD390" s="1300" t="s">
        <v>1303</v>
      </c>
      <c r="BE390" s="1305"/>
      <c r="BF390" s="1300" t="s">
        <v>1303</v>
      </c>
      <c r="BG390" s="1300" t="s">
        <v>1303</v>
      </c>
      <c r="BH390" s="1300" t="s">
        <v>1303</v>
      </c>
      <c r="BI390" s="1301" t="s">
        <v>1303</v>
      </c>
      <c r="BJ390" s="1305"/>
      <c r="BK390" s="1300" t="s">
        <v>1303</v>
      </c>
      <c r="BL390" s="1301" t="s">
        <v>1303</v>
      </c>
      <c r="BM390" s="1300" t="s">
        <v>1303</v>
      </c>
      <c r="BN390" s="1301" t="s">
        <v>1303</v>
      </c>
    </row>
    <row r="391" spans="1:66">
      <c r="A391" s="51" t="str">
        <f t="shared" si="256"/>
        <v>401850</v>
      </c>
      <c r="B391" s="1442" t="str">
        <f>'Income Eligible Deemed Table'!C150</f>
        <v>401850_2024_12_</v>
      </c>
      <c r="C391" s="1378" t="str">
        <f>'Income Eligible Deemed Table'!G150</f>
        <v>Building Shell RES</v>
      </c>
      <c r="D391" s="1378"/>
      <c r="E391" s="1378"/>
      <c r="F391" s="1378"/>
      <c r="G391" s="1378" t="str">
        <f>'Income Eligible Deemed Table'!E150</f>
        <v>Ceiling Insulation R5-R49 SF IE DI gas heat electric cool base</v>
      </c>
      <c r="H391" s="19" t="str">
        <f>'Income Eligible Deemed Table'!D150</f>
        <v>PAYS</v>
      </c>
      <c r="I391" s="785">
        <f>'Income Eligible Deemed Table'!F150</f>
        <v>0.25</v>
      </c>
      <c r="J391" s="785">
        <f t="shared" si="252"/>
        <v>0</v>
      </c>
      <c r="K391" s="888"/>
      <c r="L391" s="888"/>
      <c r="M391" s="202"/>
      <c r="N391" s="202"/>
      <c r="O391" s="786">
        <f>'Income Eligible Deemed Table'!K150</f>
        <v>1.17E-4</v>
      </c>
      <c r="P391" s="786">
        <f t="shared" si="254"/>
        <v>0</v>
      </c>
      <c r="Q391" s="889"/>
      <c r="R391" s="889"/>
      <c r="S391" s="787"/>
      <c r="T391" s="787"/>
      <c r="U391" s="788">
        <f t="shared" si="236"/>
        <v>0</v>
      </c>
      <c r="V391" s="788">
        <f t="shared" si="237"/>
        <v>0</v>
      </c>
      <c r="W391" s="788">
        <f t="shared" si="238"/>
        <v>1.17E-4</v>
      </c>
      <c r="X391" s="23">
        <f>'Income Eligible Deemed Table'!L150</f>
        <v>30</v>
      </c>
      <c r="Y391" s="23"/>
      <c r="Z391" s="23">
        <f t="shared" si="257"/>
        <v>30</v>
      </c>
      <c r="AA391" s="18">
        <f>'Income Eligible Deemed Table'!DG150</f>
        <v>0.18282466140867432</v>
      </c>
      <c r="AB391" s="259">
        <f>'Income Eligible Deemed Table'!M150</f>
        <v>2.5687522603978299</v>
      </c>
      <c r="AC391" s="902">
        <f t="shared" si="258"/>
        <v>0.46963126225000001</v>
      </c>
      <c r="AD391" s="902">
        <f t="shared" si="255"/>
        <v>0</v>
      </c>
      <c r="AE391" s="610">
        <f>'Income Eligible Deemed Table'!DI150</f>
        <v>0.46963126225000001</v>
      </c>
      <c r="AF391" s="208"/>
      <c r="AG391" s="208"/>
      <c r="AH391" s="208"/>
      <c r="AI391" s="908" t="str">
        <f t="shared" si="260"/>
        <v>Units - area of ceiling/attic (ft2)</v>
      </c>
      <c r="AJ391" s="71"/>
      <c r="AX391" s="1355" t="str">
        <f t="shared" si="261"/>
        <v>Ceiling Insulation R5-R49 SF IE DI gas heat electric cool base</v>
      </c>
      <c r="AY391" s="1378"/>
      <c r="AZ391" s="1446" t="str">
        <f t="shared" si="262"/>
        <v>401850</v>
      </c>
      <c r="BA391" s="1300" t="s">
        <v>1303</v>
      </c>
      <c r="BB391" s="1300" t="s">
        <v>1303</v>
      </c>
      <c r="BC391" s="1300" t="s">
        <v>1303</v>
      </c>
      <c r="BD391" s="1300" t="s">
        <v>1303</v>
      </c>
      <c r="BE391" s="1305"/>
      <c r="BF391" s="1300" t="s">
        <v>1303</v>
      </c>
      <c r="BG391" s="1300" t="s">
        <v>1303</v>
      </c>
      <c r="BH391" s="1300" t="s">
        <v>1303</v>
      </c>
      <c r="BI391" s="1301" t="s">
        <v>1303</v>
      </c>
      <c r="BJ391" s="1305"/>
      <c r="BK391" s="1300" t="s">
        <v>1303</v>
      </c>
      <c r="BL391" s="1301" t="s">
        <v>1303</v>
      </c>
      <c r="BM391" s="1300" t="s">
        <v>1303</v>
      </c>
      <c r="BN391" s="1301" t="s">
        <v>1303</v>
      </c>
    </row>
    <row r="392" spans="1:66">
      <c r="A392" s="51" t="str">
        <f t="shared" si="256"/>
        <v>401900</v>
      </c>
      <c r="B392" s="1442" t="str">
        <f>'Income Eligible Deemed Table'!C151</f>
        <v>401900_2024_12_</v>
      </c>
      <c r="C392" s="1378" t="str">
        <f>'Income Eligible Deemed Table'!G151</f>
        <v>Building Shell RES</v>
      </c>
      <c r="D392" s="1378"/>
      <c r="E392" s="1378"/>
      <c r="F392" s="1378"/>
      <c r="G392" s="1378" t="str">
        <f>'Income Eligible Deemed Table'!E151</f>
        <v>Ceiling Insulation R5-R60 MF IE DI electric furnace base</v>
      </c>
      <c r="H392" s="19" t="str">
        <f>'Income Eligible Deemed Table'!D151</f>
        <v>MFIE</v>
      </c>
      <c r="I392" s="785">
        <f>'Income Eligible Deemed Table'!F151</f>
        <v>1.76</v>
      </c>
      <c r="J392" s="785">
        <f t="shared" si="252"/>
        <v>0</v>
      </c>
      <c r="K392" s="888"/>
      <c r="L392" s="888"/>
      <c r="M392" s="202"/>
      <c r="N392" s="202"/>
      <c r="O392" s="786">
        <f>'Income Eligible Deemed Table'!K151</f>
        <v>8.1999999999999998E-4</v>
      </c>
      <c r="P392" s="786">
        <f t="shared" si="254"/>
        <v>0</v>
      </c>
      <c r="Q392" s="889"/>
      <c r="R392" s="889"/>
      <c r="S392" s="787"/>
      <c r="T392" s="787"/>
      <c r="U392" s="788">
        <f t="shared" si="236"/>
        <v>0</v>
      </c>
      <c r="V392" s="788">
        <f t="shared" si="237"/>
        <v>0</v>
      </c>
      <c r="W392" s="788">
        <f t="shared" si="238"/>
        <v>8.1999999999999998E-4</v>
      </c>
      <c r="X392" s="23">
        <f>'Income Eligible Deemed Table'!L151</f>
        <v>30</v>
      </c>
      <c r="Y392" s="23"/>
      <c r="Z392" s="23">
        <f t="shared" si="257"/>
        <v>30</v>
      </c>
      <c r="AA392" s="18">
        <f>'Income Eligible Deemed Table'!DG151</f>
        <v>0.96551210636338514</v>
      </c>
      <c r="AB392" s="259">
        <f>'Income Eligible Deemed Table'!M151</f>
        <v>3.424301015440256</v>
      </c>
      <c r="AC392" s="902">
        <f t="shared" si="258"/>
        <v>3.3062040862400002</v>
      </c>
      <c r="AD392" s="902">
        <f t="shared" si="255"/>
        <v>0</v>
      </c>
      <c r="AE392" s="610">
        <f>'Income Eligible Deemed Table'!DI151</f>
        <v>3.3062040862400002</v>
      </c>
      <c r="AF392" s="208"/>
      <c r="AG392" s="208"/>
      <c r="AH392" s="208"/>
      <c r="AI392" s="908" t="str">
        <f t="shared" si="260"/>
        <v>Units - area of ceiling/attic (ft2)</v>
      </c>
      <c r="AJ392" s="71"/>
      <c r="AX392" s="1355" t="str">
        <f t="shared" si="261"/>
        <v>Ceiling Insulation R5-R60 MF IE DI electric furnace base</v>
      </c>
      <c r="AY392" s="1378"/>
      <c r="AZ392" s="1446" t="str">
        <f t="shared" si="262"/>
        <v>401900</v>
      </c>
      <c r="BA392" s="1300" t="s">
        <v>1303</v>
      </c>
      <c r="BB392" s="1300" t="s">
        <v>1303</v>
      </c>
      <c r="BC392" s="1300" t="s">
        <v>1303</v>
      </c>
      <c r="BD392" s="1300" t="s">
        <v>1303</v>
      </c>
      <c r="BE392" s="1305"/>
      <c r="BF392" s="1300" t="s">
        <v>1303</v>
      </c>
      <c r="BG392" s="1300" t="s">
        <v>1303</v>
      </c>
      <c r="BH392" s="1300" t="s">
        <v>1303</v>
      </c>
      <c r="BI392" s="1301" t="s">
        <v>1303</v>
      </c>
      <c r="BJ392" s="1305"/>
      <c r="BK392" s="1300" t="s">
        <v>1303</v>
      </c>
      <c r="BL392" s="1301" t="s">
        <v>1303</v>
      </c>
      <c r="BM392" s="1300" t="s">
        <v>1303</v>
      </c>
      <c r="BN392" s="1301" t="s">
        <v>1303</v>
      </c>
    </row>
    <row r="393" spans="1:66">
      <c r="A393" s="51" t="str">
        <f t="shared" si="256"/>
        <v>401950</v>
      </c>
      <c r="B393" s="1442" t="str">
        <f>'Income Eligible Deemed Table'!C152</f>
        <v>401950_2024_12_</v>
      </c>
      <c r="C393" s="1378" t="str">
        <f>'Income Eligible Deemed Table'!G152</f>
        <v>Building Shell RES</v>
      </c>
      <c r="D393" s="1378"/>
      <c r="E393" s="1378"/>
      <c r="F393" s="1378"/>
      <c r="G393" s="1378" t="str">
        <f>'Income Eligible Deemed Table'!E152</f>
        <v>Ceiling Insulation R5-R60 MF IE DI heat pump base</v>
      </c>
      <c r="H393" s="19" t="str">
        <f>'Income Eligible Deemed Table'!D152</f>
        <v>MFIE</v>
      </c>
      <c r="I393" s="785">
        <f>'Income Eligible Deemed Table'!F152</f>
        <v>1.18</v>
      </c>
      <c r="J393" s="785">
        <f t="shared" si="252"/>
        <v>0</v>
      </c>
      <c r="K393" s="888"/>
      <c r="L393" s="888"/>
      <c r="M393" s="202"/>
      <c r="N393" s="202"/>
      <c r="O393" s="786">
        <f>'Income Eligible Deemed Table'!K152</f>
        <v>5.5000000000000003E-4</v>
      </c>
      <c r="P393" s="786">
        <f t="shared" si="254"/>
        <v>0</v>
      </c>
      <c r="Q393" s="889"/>
      <c r="R393" s="889"/>
      <c r="S393" s="787"/>
      <c r="T393" s="787"/>
      <c r="U393" s="788">
        <f t="shared" si="236"/>
        <v>0</v>
      </c>
      <c r="V393" s="788">
        <f t="shared" si="237"/>
        <v>0</v>
      </c>
      <c r="W393" s="788">
        <f t="shared" si="238"/>
        <v>5.5000000000000003E-4</v>
      </c>
      <c r="X393" s="23">
        <f>'Income Eligible Deemed Table'!L152</f>
        <v>30</v>
      </c>
      <c r="Y393" s="23"/>
      <c r="Z393" s="23">
        <f t="shared" si="257"/>
        <v>30</v>
      </c>
      <c r="AA393" s="18">
        <f>'Income Eligible Deemed Table'!DG152</f>
        <v>0.64733198040272411</v>
      </c>
      <c r="AB393" s="259">
        <f>'Income Eligible Deemed Table'!M152</f>
        <v>3.424301015440256</v>
      </c>
      <c r="AC393" s="902">
        <f t="shared" si="258"/>
        <v>2.2166595578199999</v>
      </c>
      <c r="AD393" s="902">
        <f t="shared" si="255"/>
        <v>0</v>
      </c>
      <c r="AE393" s="610">
        <f>'Income Eligible Deemed Table'!DI152</f>
        <v>2.2166595578199999</v>
      </c>
      <c r="AF393" s="208"/>
      <c r="AG393" s="208"/>
      <c r="AH393" s="208"/>
      <c r="AI393" s="908" t="str">
        <f t="shared" si="260"/>
        <v>Units - area of ceiling/attic (ft2)</v>
      </c>
      <c r="AJ393" s="71"/>
      <c r="AX393" s="1355" t="str">
        <f t="shared" si="261"/>
        <v>Ceiling Insulation R5-R60 MF IE DI heat pump base</v>
      </c>
      <c r="AY393" s="1378"/>
      <c r="AZ393" s="1446" t="str">
        <f t="shared" si="262"/>
        <v>401950</v>
      </c>
      <c r="BA393" s="1300" t="s">
        <v>1303</v>
      </c>
      <c r="BB393" s="1300" t="s">
        <v>1303</v>
      </c>
      <c r="BC393" s="1300" t="s">
        <v>1303</v>
      </c>
      <c r="BD393" s="1300" t="s">
        <v>1303</v>
      </c>
      <c r="BE393" s="1305"/>
      <c r="BF393" s="1300" t="s">
        <v>1303</v>
      </c>
      <c r="BG393" s="1300" t="s">
        <v>1303</v>
      </c>
      <c r="BH393" s="1300" t="s">
        <v>1303</v>
      </c>
      <c r="BI393" s="1301" t="s">
        <v>1303</v>
      </c>
      <c r="BJ393" s="1305"/>
      <c r="BK393" s="1300" t="s">
        <v>1303</v>
      </c>
      <c r="BL393" s="1301" t="s">
        <v>1303</v>
      </c>
      <c r="BM393" s="1300" t="s">
        <v>1303</v>
      </c>
      <c r="BN393" s="1301" t="s">
        <v>1303</v>
      </c>
    </row>
    <row r="394" spans="1:66">
      <c r="A394" s="51" t="str">
        <f t="shared" si="256"/>
        <v>402000</v>
      </c>
      <c r="B394" s="1442" t="str">
        <f>'Income Eligible Deemed Table'!C153</f>
        <v>402000_2024_12_</v>
      </c>
      <c r="C394" s="1378" t="str">
        <f>'Income Eligible Deemed Table'!G153</f>
        <v>Building Shell RES</v>
      </c>
      <c r="D394" s="1378"/>
      <c r="E394" s="1378"/>
      <c r="F394" s="1378"/>
      <c r="G394" s="1378" t="str">
        <f>'Income Eligible Deemed Table'!E153</f>
        <v>Ceiling Insulation R5-R60 MF IE DI gas heat electric cool base</v>
      </c>
      <c r="H394" s="19" t="str">
        <f>'Income Eligible Deemed Table'!D153</f>
        <v>MFIE</v>
      </c>
      <c r="I394" s="785">
        <f>'Income Eligible Deemed Table'!F153</f>
        <v>0.26</v>
      </c>
      <c r="J394" s="785">
        <f t="shared" si="252"/>
        <v>0</v>
      </c>
      <c r="K394" s="888"/>
      <c r="L394" s="888"/>
      <c r="M394" s="202"/>
      <c r="N394" s="202"/>
      <c r="O394" s="786">
        <f>'Income Eligible Deemed Table'!K153</f>
        <v>1.21E-4</v>
      </c>
      <c r="P394" s="786">
        <f t="shared" si="254"/>
        <v>0</v>
      </c>
      <c r="Q394" s="889"/>
      <c r="R394" s="889"/>
      <c r="S394" s="787"/>
      <c r="T394" s="787"/>
      <c r="U394" s="788">
        <f t="shared" si="236"/>
        <v>0</v>
      </c>
      <c r="V394" s="788">
        <f t="shared" si="237"/>
        <v>0</v>
      </c>
      <c r="W394" s="788">
        <f t="shared" si="238"/>
        <v>1.21E-4</v>
      </c>
      <c r="X394" s="23">
        <f>'Income Eligible Deemed Table'!L153</f>
        <v>30</v>
      </c>
      <c r="Y394" s="23"/>
      <c r="Z394" s="23">
        <f t="shared" si="257"/>
        <v>30</v>
      </c>
      <c r="AA394" s="18">
        <f>'Income Eligible Deemed Table'!DG153</f>
        <v>0.14263247025822734</v>
      </c>
      <c r="AB394" s="259">
        <f>'Income Eligible Deemed Table'!M153</f>
        <v>3.424301015440256</v>
      </c>
      <c r="AC394" s="902">
        <f t="shared" si="258"/>
        <v>0.48841651274000003</v>
      </c>
      <c r="AD394" s="902">
        <f t="shared" ref="AD394:AD453" si="263">AG394+AH394</f>
        <v>0</v>
      </c>
      <c r="AE394" s="610">
        <f>'Income Eligible Deemed Table'!DI153</f>
        <v>0.48841651274000003</v>
      </c>
      <c r="AF394" s="208"/>
      <c r="AG394" s="208"/>
      <c r="AH394" s="208"/>
      <c r="AI394" s="908" t="str">
        <f t="shared" si="260"/>
        <v>Units - area of ceiling/attic (ft2)</v>
      </c>
      <c r="AJ394" s="71"/>
      <c r="AX394" s="1355" t="str">
        <f t="shared" si="261"/>
        <v>Ceiling Insulation R5-R60 MF IE DI gas heat electric cool base</v>
      </c>
      <c r="AY394" s="1378"/>
      <c r="AZ394" s="1446" t="str">
        <f t="shared" si="262"/>
        <v>402000</v>
      </c>
      <c r="BA394" s="1300" t="s">
        <v>1303</v>
      </c>
      <c r="BB394" s="1300" t="s">
        <v>1303</v>
      </c>
      <c r="BC394" s="1300" t="s">
        <v>1303</v>
      </c>
      <c r="BD394" s="1300" t="s">
        <v>1303</v>
      </c>
      <c r="BE394" s="1305"/>
      <c r="BF394" s="1300" t="s">
        <v>1303</v>
      </c>
      <c r="BG394" s="1300" t="s">
        <v>1303</v>
      </c>
      <c r="BH394" s="1300" t="s">
        <v>1303</v>
      </c>
      <c r="BI394" s="1301" t="s">
        <v>1303</v>
      </c>
      <c r="BJ394" s="1305"/>
      <c r="BK394" s="1300" t="s">
        <v>1303</v>
      </c>
      <c r="BL394" s="1301" t="s">
        <v>1303</v>
      </c>
      <c r="BM394" s="1300" t="s">
        <v>1303</v>
      </c>
      <c r="BN394" s="1301" t="s">
        <v>1303</v>
      </c>
    </row>
    <row r="395" spans="1:66">
      <c r="A395" s="51" t="str">
        <f t="shared" si="256"/>
        <v>402050</v>
      </c>
      <c r="B395" s="1442" t="str">
        <f>'Income Eligible Deemed Table'!C154</f>
        <v>402050_2024_12_</v>
      </c>
      <c r="C395" s="1378" t="str">
        <f>'Income Eligible Deemed Table'!G154</f>
        <v>Building Shell RES</v>
      </c>
      <c r="D395" s="1378"/>
      <c r="E395" s="1378"/>
      <c r="F395" s="1378"/>
      <c r="G395" s="1378" t="str">
        <f>'Income Eligible Deemed Table'!E154</f>
        <v>Ceiling Insulation R5-R60 SF IE DI electric furnace base</v>
      </c>
      <c r="H395" s="19" t="str">
        <f>'Income Eligible Deemed Table'!D154</f>
        <v>PAYS</v>
      </c>
      <c r="I395" s="785">
        <f>'Income Eligible Deemed Table'!F154</f>
        <v>1.76</v>
      </c>
      <c r="J395" s="785">
        <f t="shared" si="252"/>
        <v>0</v>
      </c>
      <c r="K395" s="888"/>
      <c r="L395" s="888"/>
      <c r="M395" s="202"/>
      <c r="N395" s="202"/>
      <c r="O395" s="786">
        <f>'Income Eligible Deemed Table'!K154</f>
        <v>8.1999999999999998E-4</v>
      </c>
      <c r="P395" s="786">
        <f t="shared" si="254"/>
        <v>0</v>
      </c>
      <c r="Q395" s="889"/>
      <c r="R395" s="889"/>
      <c r="S395" s="787"/>
      <c r="T395" s="787"/>
      <c r="U395" s="788">
        <f t="shared" si="236"/>
        <v>0</v>
      </c>
      <c r="V395" s="788">
        <f t="shared" si="237"/>
        <v>0</v>
      </c>
      <c r="W395" s="788">
        <f t="shared" si="238"/>
        <v>8.1999999999999998E-4</v>
      </c>
      <c r="X395" s="23">
        <f>'Income Eligible Deemed Table'!L154</f>
        <v>30</v>
      </c>
      <c r="Y395" s="23"/>
      <c r="Z395" s="23">
        <f t="shared" si="257"/>
        <v>30</v>
      </c>
      <c r="AA395" s="18">
        <f>'Income Eligible Deemed Table'!DG154</f>
        <v>0.96551132194647349</v>
      </c>
      <c r="AB395" s="259">
        <f>'Income Eligible Deemed Table'!M154</f>
        <v>3.4243037974683546</v>
      </c>
      <c r="AC395" s="902">
        <f t="shared" si="258"/>
        <v>3.3062040862400002</v>
      </c>
      <c r="AD395" s="902">
        <f t="shared" si="263"/>
        <v>0</v>
      </c>
      <c r="AE395" s="610">
        <f>'Income Eligible Deemed Table'!DI154</f>
        <v>3.3062040862400002</v>
      </c>
      <c r="AF395" s="208"/>
      <c r="AG395" s="208"/>
      <c r="AH395" s="208"/>
      <c r="AI395" s="908" t="str">
        <f t="shared" si="260"/>
        <v>Units - area of ceiling/attic (ft2)</v>
      </c>
      <c r="AJ395" s="71"/>
      <c r="AX395" s="1355" t="str">
        <f t="shared" si="261"/>
        <v>Ceiling Insulation R5-R60 SF IE DI electric furnace base</v>
      </c>
      <c r="AY395" s="1378"/>
      <c r="AZ395" s="1446" t="str">
        <f t="shared" si="262"/>
        <v>402050</v>
      </c>
      <c r="BA395" s="1300" t="s">
        <v>1303</v>
      </c>
      <c r="BB395" s="1300" t="s">
        <v>1303</v>
      </c>
      <c r="BC395" s="1300" t="s">
        <v>1303</v>
      </c>
      <c r="BD395" s="1300" t="s">
        <v>1303</v>
      </c>
      <c r="BE395" s="1305"/>
      <c r="BF395" s="1300" t="s">
        <v>1303</v>
      </c>
      <c r="BG395" s="1300" t="s">
        <v>1303</v>
      </c>
      <c r="BH395" s="1300" t="s">
        <v>1303</v>
      </c>
      <c r="BI395" s="1301" t="s">
        <v>1303</v>
      </c>
      <c r="BJ395" s="1305"/>
      <c r="BK395" s="1300" t="s">
        <v>1303</v>
      </c>
      <c r="BL395" s="1301" t="s">
        <v>1303</v>
      </c>
      <c r="BM395" s="1300" t="s">
        <v>1303</v>
      </c>
      <c r="BN395" s="1301" t="s">
        <v>1303</v>
      </c>
    </row>
    <row r="396" spans="1:66">
      <c r="A396" s="51" t="str">
        <f t="shared" si="256"/>
        <v>402100</v>
      </c>
      <c r="B396" s="1442" t="str">
        <f>'Income Eligible Deemed Table'!C155</f>
        <v>402100_2024_12_</v>
      </c>
      <c r="C396" s="1378" t="str">
        <f>'Income Eligible Deemed Table'!G155</f>
        <v>Building Shell RES</v>
      </c>
      <c r="D396" s="1378"/>
      <c r="E396" s="1378"/>
      <c r="F396" s="1378"/>
      <c r="G396" s="1378" t="str">
        <f>'Income Eligible Deemed Table'!E155</f>
        <v>Ceiling Insulation R5-R60 SF IE DI heat pump base</v>
      </c>
      <c r="H396" s="19" t="str">
        <f>'Income Eligible Deemed Table'!D155</f>
        <v>PAYS</v>
      </c>
      <c r="I396" s="785">
        <f>'Income Eligible Deemed Table'!F155</f>
        <v>1.18</v>
      </c>
      <c r="J396" s="785">
        <f t="shared" si="252"/>
        <v>0</v>
      </c>
      <c r="K396" s="888"/>
      <c r="L396" s="888"/>
      <c r="M396" s="202"/>
      <c r="N396" s="202"/>
      <c r="O396" s="786">
        <f>'Income Eligible Deemed Table'!K155</f>
        <v>5.5000000000000003E-4</v>
      </c>
      <c r="P396" s="786">
        <f t="shared" si="254"/>
        <v>0</v>
      </c>
      <c r="Q396" s="889"/>
      <c r="R396" s="889"/>
      <c r="S396" s="787"/>
      <c r="T396" s="787"/>
      <c r="U396" s="788">
        <f t="shared" si="236"/>
        <v>0</v>
      </c>
      <c r="V396" s="788">
        <f t="shared" si="237"/>
        <v>0</v>
      </c>
      <c r="W396" s="788">
        <f t="shared" si="238"/>
        <v>5.5000000000000003E-4</v>
      </c>
      <c r="X396" s="23">
        <f>'Income Eligible Deemed Table'!L155</f>
        <v>30</v>
      </c>
      <c r="Y396" s="23"/>
      <c r="Z396" s="23">
        <f t="shared" si="257"/>
        <v>30</v>
      </c>
      <c r="AA396" s="18">
        <f>'Income Eligible Deemed Table'!DG155</f>
        <v>0.64733145448684015</v>
      </c>
      <c r="AB396" s="259">
        <f>'Income Eligible Deemed Table'!M155</f>
        <v>3.4243037974683546</v>
      </c>
      <c r="AC396" s="902">
        <f t="shared" si="258"/>
        <v>2.2166595578199999</v>
      </c>
      <c r="AD396" s="902">
        <f t="shared" si="263"/>
        <v>0</v>
      </c>
      <c r="AE396" s="610">
        <f>'Income Eligible Deemed Table'!DI155</f>
        <v>2.2166595578199999</v>
      </c>
      <c r="AF396" s="208"/>
      <c r="AG396" s="208"/>
      <c r="AH396" s="208"/>
      <c r="AI396" s="908" t="str">
        <f t="shared" si="260"/>
        <v>Units - area of ceiling/attic (ft2)</v>
      </c>
      <c r="AJ396" s="71"/>
      <c r="AX396" s="1355" t="str">
        <f t="shared" si="261"/>
        <v>Ceiling Insulation R5-R60 SF IE DI heat pump base</v>
      </c>
      <c r="AY396" s="1378"/>
      <c r="AZ396" s="1446" t="str">
        <f t="shared" si="262"/>
        <v>402100</v>
      </c>
      <c r="BA396" s="1300" t="s">
        <v>1303</v>
      </c>
      <c r="BB396" s="1300" t="s">
        <v>1303</v>
      </c>
      <c r="BC396" s="1300" t="s">
        <v>1303</v>
      </c>
      <c r="BD396" s="1300" t="s">
        <v>1303</v>
      </c>
      <c r="BE396" s="1305"/>
      <c r="BF396" s="1300" t="s">
        <v>1303</v>
      </c>
      <c r="BG396" s="1300" t="s">
        <v>1303</v>
      </c>
      <c r="BH396" s="1300" t="s">
        <v>1303</v>
      </c>
      <c r="BI396" s="1301" t="s">
        <v>1303</v>
      </c>
      <c r="BJ396" s="1305"/>
      <c r="BK396" s="1300" t="s">
        <v>1303</v>
      </c>
      <c r="BL396" s="1301" t="s">
        <v>1303</v>
      </c>
      <c r="BM396" s="1300" t="s">
        <v>1303</v>
      </c>
      <c r="BN396" s="1301" t="s">
        <v>1303</v>
      </c>
    </row>
    <row r="397" spans="1:66">
      <c r="A397" s="51" t="str">
        <f t="shared" si="256"/>
        <v>402150</v>
      </c>
      <c r="B397" s="1442" t="str">
        <f>'Income Eligible Deemed Table'!C156</f>
        <v>402150_2024_12_</v>
      </c>
      <c r="C397" s="1378" t="str">
        <f>'Income Eligible Deemed Table'!G156</f>
        <v>Building Shell RES</v>
      </c>
      <c r="D397" s="1378"/>
      <c r="E397" s="1378"/>
      <c r="F397" s="1378"/>
      <c r="G397" s="1378" t="str">
        <f>'Income Eligible Deemed Table'!E156</f>
        <v>Ceiling Insulation R5-R60 SF IE DI gas heat electric cool base</v>
      </c>
      <c r="H397" s="19" t="str">
        <f>'Income Eligible Deemed Table'!D156</f>
        <v>PAYS</v>
      </c>
      <c r="I397" s="785">
        <f>'Income Eligible Deemed Table'!F156</f>
        <v>0.26</v>
      </c>
      <c r="J397" s="785">
        <f t="shared" si="252"/>
        <v>0</v>
      </c>
      <c r="K397" s="888"/>
      <c r="L397" s="888"/>
      <c r="M397" s="202"/>
      <c r="N397" s="202"/>
      <c r="O397" s="786">
        <f>'Income Eligible Deemed Table'!K156</f>
        <v>1.21E-4</v>
      </c>
      <c r="P397" s="786">
        <f t="shared" si="254"/>
        <v>0</v>
      </c>
      <c r="Q397" s="889"/>
      <c r="R397" s="889"/>
      <c r="S397" s="787"/>
      <c r="T397" s="787"/>
      <c r="U397" s="788">
        <f t="shared" si="236"/>
        <v>0</v>
      </c>
      <c r="V397" s="788">
        <f t="shared" si="237"/>
        <v>0</v>
      </c>
      <c r="W397" s="788">
        <f t="shared" si="238"/>
        <v>1.21E-4</v>
      </c>
      <c r="X397" s="23">
        <f>'Income Eligible Deemed Table'!L156</f>
        <v>30</v>
      </c>
      <c r="Y397" s="23"/>
      <c r="Z397" s="23">
        <f t="shared" si="257"/>
        <v>30</v>
      </c>
      <c r="AA397" s="18">
        <f>'Income Eligible Deemed Table'!DG156</f>
        <v>0.14263235437845631</v>
      </c>
      <c r="AB397" s="259">
        <f>'Income Eligible Deemed Table'!M156</f>
        <v>3.4243037974683546</v>
      </c>
      <c r="AC397" s="902">
        <f t="shared" si="258"/>
        <v>0.48841651274000003</v>
      </c>
      <c r="AD397" s="902">
        <f t="shared" si="263"/>
        <v>0</v>
      </c>
      <c r="AE397" s="610">
        <f>'Income Eligible Deemed Table'!DI156</f>
        <v>0.48841651274000003</v>
      </c>
      <c r="AF397" s="208"/>
      <c r="AG397" s="208"/>
      <c r="AH397" s="208"/>
      <c r="AI397" s="908" t="str">
        <f t="shared" si="260"/>
        <v>Units - area of ceiling/attic (ft2)</v>
      </c>
      <c r="AJ397" s="71"/>
      <c r="AX397" s="1355" t="str">
        <f t="shared" si="261"/>
        <v>Ceiling Insulation R5-R60 SF IE DI gas heat electric cool base</v>
      </c>
      <c r="AY397" s="1378"/>
      <c r="AZ397" s="1446" t="str">
        <f t="shared" si="262"/>
        <v>402150</v>
      </c>
      <c r="BA397" s="1300" t="s">
        <v>1303</v>
      </c>
      <c r="BB397" s="1300" t="s">
        <v>1303</v>
      </c>
      <c r="BC397" s="1300" t="s">
        <v>1303</v>
      </c>
      <c r="BD397" s="1300" t="s">
        <v>1303</v>
      </c>
      <c r="BE397" s="1305"/>
      <c r="BF397" s="1300" t="s">
        <v>1303</v>
      </c>
      <c r="BG397" s="1300" t="s">
        <v>1303</v>
      </c>
      <c r="BH397" s="1300" t="s">
        <v>1303</v>
      </c>
      <c r="BI397" s="1301" t="s">
        <v>1303</v>
      </c>
      <c r="BJ397" s="1305"/>
      <c r="BK397" s="1300" t="s">
        <v>1303</v>
      </c>
      <c r="BL397" s="1301" t="s">
        <v>1303</v>
      </c>
      <c r="BM397" s="1300" t="s">
        <v>1303</v>
      </c>
      <c r="BN397" s="1301" t="s">
        <v>1303</v>
      </c>
    </row>
    <row r="398" spans="1:66">
      <c r="A398" s="51" t="str">
        <f t="shared" si="256"/>
        <v>402200</v>
      </c>
      <c r="B398" s="1442" t="str">
        <f>'Income Eligible Deemed Table'!C446</f>
        <v>402200_2024_12_</v>
      </c>
      <c r="C398" s="1378" t="str">
        <f>'Income Eligible Deemed Table'!G446</f>
        <v>Building Shell RES</v>
      </c>
      <c r="D398" s="1378"/>
      <c r="E398" s="1378"/>
      <c r="F398" s="1378"/>
      <c r="G398" s="1378" t="str">
        <f>'Income Eligible Deemed Table'!E446</f>
        <v>Floor Insulation R25 (R-3.96 base) MH electric furnace/baseboard and electric cooling</v>
      </c>
      <c r="H398" s="19" t="str">
        <f>'Income Eligible Deemed Table'!D446</f>
        <v>SFIE</v>
      </c>
      <c r="I398" s="785">
        <f>'Income Eligible Deemed Table'!F446</f>
        <v>2.0499999999999998</v>
      </c>
      <c r="J398" s="785">
        <f t="shared" si="252"/>
        <v>0</v>
      </c>
      <c r="K398" s="888"/>
      <c r="L398" s="888"/>
      <c r="M398" s="202"/>
      <c r="N398" s="202"/>
      <c r="O398" s="786">
        <f>'Income Eligible Deemed Table'!K446</f>
        <v>9.5500000000000001E-4</v>
      </c>
      <c r="P398" s="786"/>
      <c r="Q398" s="889"/>
      <c r="R398" s="889"/>
      <c r="S398" s="787"/>
      <c r="T398" s="787"/>
      <c r="U398" s="788">
        <f t="shared" si="236"/>
        <v>0</v>
      </c>
      <c r="V398" s="788">
        <f t="shared" si="237"/>
        <v>0</v>
      </c>
      <c r="W398" s="788">
        <f t="shared" si="238"/>
        <v>9.5500000000000001E-4</v>
      </c>
      <c r="X398" s="23">
        <f>'Income Eligible Deemed Table'!L446</f>
        <v>30</v>
      </c>
      <c r="Y398" s="23"/>
      <c r="Z398" s="23">
        <f t="shared" si="257"/>
        <v>30</v>
      </c>
      <c r="AA398" s="18">
        <f>'Income Eligible Deemed Table'!DG446</f>
        <v>5.6659779555419325</v>
      </c>
      <c r="AB398" s="259">
        <f>'Income Eligible Deemed Table'!M446</f>
        <v>0.67966666666666664</v>
      </c>
      <c r="AC398" s="902">
        <f t="shared" si="258"/>
        <v>3.8509763504499999</v>
      </c>
      <c r="AD398" s="902">
        <f t="shared" si="263"/>
        <v>0</v>
      </c>
      <c r="AE398" s="610">
        <f>'Income Eligible Deemed Table'!DI446</f>
        <v>3.8509763504499999</v>
      </c>
      <c r="AF398" s="208"/>
      <c r="AG398" s="208"/>
      <c r="AH398" s="208"/>
      <c r="AI398" s="663" t="str">
        <f>'Income Eligible Deemed Table'!N445</f>
        <v>Units - area of floor (ft2)</v>
      </c>
      <c r="AJ398" s="71"/>
      <c r="AX398" s="1355" t="str">
        <f t="shared" si="261"/>
        <v>Floor Insulation R25 (R-3.96 base) MH electric furnace/baseboard and electric cooling</v>
      </c>
      <c r="AY398" s="1378"/>
      <c r="AZ398" s="1446" t="str">
        <f t="shared" si="262"/>
        <v>402200</v>
      </c>
      <c r="BA398" s="1300" t="s">
        <v>1303</v>
      </c>
      <c r="BB398" s="1300" t="s">
        <v>1303</v>
      </c>
      <c r="BC398" s="1300" t="s">
        <v>1303</v>
      </c>
      <c r="BD398" s="1300" t="s">
        <v>1303</v>
      </c>
      <c r="BE398" s="1305"/>
      <c r="BF398" s="1300" t="s">
        <v>1303</v>
      </c>
      <c r="BG398" s="1300" t="s">
        <v>1303</v>
      </c>
      <c r="BH398" s="1300" t="s">
        <v>1303</v>
      </c>
      <c r="BI398" s="1301" t="s">
        <v>1303</v>
      </c>
      <c r="BJ398" s="1305"/>
      <c r="BK398" s="1300" t="s">
        <v>1303</v>
      </c>
      <c r="BL398" s="1301" t="s">
        <v>1303</v>
      </c>
      <c r="BM398" s="1300" t="s">
        <v>1303</v>
      </c>
      <c r="BN398" s="1301" t="s">
        <v>1303</v>
      </c>
    </row>
    <row r="399" spans="1:66">
      <c r="A399" s="51" t="str">
        <f t="shared" si="256"/>
        <v>402201</v>
      </c>
      <c r="B399" s="1442" t="str">
        <f>'Income Eligible Deemed Table'!C447</f>
        <v>402201_2024_12_</v>
      </c>
      <c r="C399" s="1378" t="str">
        <f>'Income Eligible Deemed Table'!G447</f>
        <v>Building Shell RES</v>
      </c>
      <c r="D399" s="1378"/>
      <c r="E399" s="1378"/>
      <c r="F399" s="1378"/>
      <c r="G399" s="1378" t="str">
        <f>'Income Eligible Deemed Table'!E447</f>
        <v>Floor Insulation R25 (R-3.96 base) MH heat pump and electric cooling</v>
      </c>
      <c r="H399" s="19" t="str">
        <f>'Income Eligible Deemed Table'!D447</f>
        <v>SFIE</v>
      </c>
      <c r="I399" s="785">
        <f>'Income Eligible Deemed Table'!F447</f>
        <v>1.36</v>
      </c>
      <c r="J399" s="785">
        <f t="shared" si="252"/>
        <v>0</v>
      </c>
      <c r="K399" s="888"/>
      <c r="L399" s="888"/>
      <c r="M399" s="202"/>
      <c r="N399" s="202"/>
      <c r="O399" s="786">
        <f>'Income Eligible Deemed Table'!K447</f>
        <v>6.3400000000000001E-4</v>
      </c>
      <c r="P399" s="786"/>
      <c r="Q399" s="889"/>
      <c r="R399" s="889"/>
      <c r="S399" s="787"/>
      <c r="T399" s="787"/>
      <c r="U399" s="788">
        <f t="shared" si="236"/>
        <v>0</v>
      </c>
      <c r="V399" s="788">
        <f t="shared" si="237"/>
        <v>0</v>
      </c>
      <c r="W399" s="788">
        <f t="shared" si="238"/>
        <v>6.3400000000000001E-4</v>
      </c>
      <c r="X399" s="23">
        <f>'Income Eligible Deemed Table'!L447</f>
        <v>30</v>
      </c>
      <c r="Y399" s="23"/>
      <c r="Z399" s="23">
        <f t="shared" si="257"/>
        <v>30</v>
      </c>
      <c r="AA399" s="18">
        <f>'Income Eligible Deemed Table'!DG447</f>
        <v>3.7588926924570876</v>
      </c>
      <c r="AB399" s="259">
        <f>'Income Eligible Deemed Table'!M447</f>
        <v>0.67966666666666664</v>
      </c>
      <c r="AC399" s="902">
        <f t="shared" si="258"/>
        <v>2.5547940666400004</v>
      </c>
      <c r="AD399" s="902">
        <f t="shared" si="263"/>
        <v>0</v>
      </c>
      <c r="AE399" s="610">
        <f>'Income Eligible Deemed Table'!DI447</f>
        <v>2.5547940666400004</v>
      </c>
      <c r="AF399" s="208"/>
      <c r="AG399" s="208"/>
      <c r="AH399" s="208"/>
      <c r="AI399" s="663" t="str">
        <f>AI398</f>
        <v>Units - area of floor (ft2)</v>
      </c>
      <c r="AJ399" s="71"/>
      <c r="AX399" s="1355" t="str">
        <f t="shared" si="261"/>
        <v>Floor Insulation R25 (R-3.96 base) MH heat pump and electric cooling</v>
      </c>
      <c r="AY399" s="1378"/>
      <c r="AZ399" s="1446" t="str">
        <f t="shared" si="262"/>
        <v>402201</v>
      </c>
      <c r="BA399" s="1300" t="s">
        <v>1303</v>
      </c>
      <c r="BB399" s="1300" t="s">
        <v>1303</v>
      </c>
      <c r="BC399" s="1300" t="s">
        <v>1303</v>
      </c>
      <c r="BD399" s="1300" t="s">
        <v>1303</v>
      </c>
      <c r="BE399" s="1305"/>
      <c r="BF399" s="1300" t="s">
        <v>1303</v>
      </c>
      <c r="BG399" s="1300" t="s">
        <v>1303</v>
      </c>
      <c r="BH399" s="1300" t="s">
        <v>1303</v>
      </c>
      <c r="BI399" s="1301" t="s">
        <v>1303</v>
      </c>
      <c r="BJ399" s="1305"/>
      <c r="BK399" s="1300" t="s">
        <v>1303</v>
      </c>
      <c r="BL399" s="1301" t="s">
        <v>1303</v>
      </c>
      <c r="BM399" s="1300" t="s">
        <v>1303</v>
      </c>
      <c r="BN399" s="1301" t="s">
        <v>1303</v>
      </c>
    </row>
    <row r="400" spans="1:66">
      <c r="A400" s="51" t="str">
        <f t="shared" si="256"/>
        <v>402202</v>
      </c>
      <c r="B400" s="1442" t="str">
        <f>'Income Eligible Deemed Table'!C448</f>
        <v>402202_2024_12_</v>
      </c>
      <c r="C400" s="1378" t="str">
        <f>'Income Eligible Deemed Table'!G448</f>
        <v>Building Shell RES</v>
      </c>
      <c r="D400" s="1378"/>
      <c r="E400" s="1378"/>
      <c r="F400" s="1378"/>
      <c r="G400" s="1378" t="str">
        <f>'Income Eligible Deemed Table'!E448</f>
        <v>Floor Insulation R25 (R-3.96 base) MH gas furnace/baseboard and electric cooling</v>
      </c>
      <c r="H400" s="19" t="str">
        <f>'Income Eligible Deemed Table'!D448</f>
        <v>SFIE</v>
      </c>
      <c r="I400" s="785">
        <f>'Income Eligible Deemed Table'!F448</f>
        <v>0.24</v>
      </c>
      <c r="J400" s="785">
        <f t="shared" ref="J400:J414" si="264">M400+N400</f>
        <v>0</v>
      </c>
      <c r="K400" s="888"/>
      <c r="L400" s="888"/>
      <c r="M400" s="202"/>
      <c r="N400" s="202"/>
      <c r="O400" s="786">
        <f>'Income Eligible Deemed Table'!K448</f>
        <v>1.12E-4</v>
      </c>
      <c r="P400" s="786"/>
      <c r="Q400" s="889"/>
      <c r="R400" s="889"/>
      <c r="S400" s="787"/>
      <c r="T400" s="787"/>
      <c r="U400" s="788">
        <f t="shared" si="236"/>
        <v>0</v>
      </c>
      <c r="V400" s="788">
        <f t="shared" si="237"/>
        <v>0</v>
      </c>
      <c r="W400" s="788">
        <f t="shared" si="238"/>
        <v>1.12E-4</v>
      </c>
      <c r="X400" s="23">
        <f>'Income Eligible Deemed Table'!L448</f>
        <v>30</v>
      </c>
      <c r="Y400" s="23"/>
      <c r="Z400" s="23">
        <f t="shared" si="257"/>
        <v>30</v>
      </c>
      <c r="AA400" s="18">
        <f>'Income Eligible Deemed Table'!DG448</f>
        <v>0.66333400455125069</v>
      </c>
      <c r="AB400" s="259">
        <f>'Income Eligible Deemed Table'!M448</f>
        <v>0.67966666666666664</v>
      </c>
      <c r="AC400" s="902">
        <f t="shared" si="258"/>
        <v>0.45084601176</v>
      </c>
      <c r="AD400" s="902">
        <f t="shared" si="263"/>
        <v>0</v>
      </c>
      <c r="AE400" s="610">
        <f>'Income Eligible Deemed Table'!DI448</f>
        <v>0.45084601176</v>
      </c>
      <c r="AF400" s="208"/>
      <c r="AG400" s="208"/>
      <c r="AH400" s="208"/>
      <c r="AI400" s="663" t="str">
        <f>AI399</f>
        <v>Units - area of floor (ft2)</v>
      </c>
      <c r="AJ400" s="71"/>
      <c r="AX400" s="1355" t="str">
        <f t="shared" si="261"/>
        <v>Floor Insulation R25 (R-3.96 base) MH gas furnace/baseboard and electric cooling</v>
      </c>
      <c r="AY400" s="1378"/>
      <c r="AZ400" s="1446" t="str">
        <f t="shared" si="262"/>
        <v>402202</v>
      </c>
      <c r="BA400" s="1300" t="s">
        <v>1303</v>
      </c>
      <c r="BB400" s="1300" t="s">
        <v>1303</v>
      </c>
      <c r="BC400" s="1300" t="s">
        <v>1303</v>
      </c>
      <c r="BD400" s="1300" t="s">
        <v>1303</v>
      </c>
      <c r="BE400" s="1305"/>
      <c r="BF400" s="1300" t="s">
        <v>1303</v>
      </c>
      <c r="BG400" s="1300" t="s">
        <v>1303</v>
      </c>
      <c r="BH400" s="1300" t="s">
        <v>1303</v>
      </c>
      <c r="BI400" s="1301" t="s">
        <v>1303</v>
      </c>
      <c r="BJ400" s="1305"/>
      <c r="BK400" s="1300" t="s">
        <v>1303</v>
      </c>
      <c r="BL400" s="1301" t="s">
        <v>1303</v>
      </c>
      <c r="BM400" s="1300" t="s">
        <v>1303</v>
      </c>
      <c r="BN400" s="1301" t="s">
        <v>1303</v>
      </c>
    </row>
    <row r="401" spans="1:66">
      <c r="A401" s="51" t="str">
        <f t="shared" si="256"/>
        <v>402203</v>
      </c>
      <c r="B401" s="1442" t="str">
        <f>'Income Eligible Deemed Table'!C449</f>
        <v>402203_2024_12_</v>
      </c>
      <c r="C401" s="1378" t="str">
        <f>'Income Eligible Deemed Table'!G449</f>
        <v>Building Shell RES</v>
      </c>
      <c r="D401" s="1378"/>
      <c r="E401" s="1378"/>
      <c r="F401" s="1378"/>
      <c r="G401" s="1378" t="str">
        <f>'Income Eligible Deemed Table'!E449</f>
        <v>Floor Insulation R25 (R-13 base) MH electric furnace/baseboard and electric cooling</v>
      </c>
      <c r="H401" s="19" t="str">
        <f>'Income Eligible Deemed Table'!D449</f>
        <v>SFIE</v>
      </c>
      <c r="I401" s="785">
        <f>'Income Eligible Deemed Table'!F449</f>
        <v>0.2</v>
      </c>
      <c r="J401" s="785">
        <f t="shared" si="264"/>
        <v>0</v>
      </c>
      <c r="K401" s="888"/>
      <c r="L401" s="888"/>
      <c r="M401" s="202"/>
      <c r="N401" s="202"/>
      <c r="O401" s="786">
        <f>'Income Eligible Deemed Table'!K449</f>
        <v>9.2999999999999997E-5</v>
      </c>
      <c r="P401" s="786"/>
      <c r="Q401" s="889"/>
      <c r="R401" s="889"/>
      <c r="S401" s="787"/>
      <c r="T401" s="787"/>
      <c r="U401" s="788">
        <f t="shared" si="236"/>
        <v>0</v>
      </c>
      <c r="V401" s="788">
        <f t="shared" si="237"/>
        <v>0</v>
      </c>
      <c r="W401" s="788">
        <f t="shared" si="238"/>
        <v>9.2999999999999997E-5</v>
      </c>
      <c r="X401" s="23">
        <f>'Income Eligible Deemed Table'!L449</f>
        <v>30</v>
      </c>
      <c r="Y401" s="23"/>
      <c r="Z401" s="23">
        <f t="shared" si="257"/>
        <v>30</v>
      </c>
      <c r="AA401" s="18">
        <f>'Income Eligible Deemed Table'!DG449</f>
        <v>0.5527783371260423</v>
      </c>
      <c r="AB401" s="259">
        <f>'Income Eligible Deemed Table'!M449</f>
        <v>0.67966666666666664</v>
      </c>
      <c r="AC401" s="902">
        <f t="shared" si="258"/>
        <v>0.37570500980000004</v>
      </c>
      <c r="AD401" s="902">
        <f t="shared" si="263"/>
        <v>0</v>
      </c>
      <c r="AE401" s="610">
        <f>'Income Eligible Deemed Table'!DI449</f>
        <v>0.37570500980000004</v>
      </c>
      <c r="AF401" s="208"/>
      <c r="AG401" s="208"/>
      <c r="AH401" s="208"/>
      <c r="AI401" s="663" t="str">
        <f>AI400</f>
        <v>Units - area of floor (ft2)</v>
      </c>
      <c r="AJ401" s="71"/>
      <c r="AX401" s="1355" t="str">
        <f t="shared" si="261"/>
        <v>Floor Insulation R25 (R-13 base) MH electric furnace/baseboard and electric cooling</v>
      </c>
      <c r="AY401" s="1378"/>
      <c r="AZ401" s="1446" t="str">
        <f t="shared" si="262"/>
        <v>402203</v>
      </c>
      <c r="BA401" s="1300" t="s">
        <v>1303</v>
      </c>
      <c r="BB401" s="1300" t="s">
        <v>1303</v>
      </c>
      <c r="BC401" s="1300" t="s">
        <v>1303</v>
      </c>
      <c r="BD401" s="1300" t="s">
        <v>1303</v>
      </c>
      <c r="BE401" s="1305"/>
      <c r="BF401" s="1300" t="s">
        <v>1303</v>
      </c>
      <c r="BG401" s="1300" t="s">
        <v>1303</v>
      </c>
      <c r="BH401" s="1300" t="s">
        <v>1303</v>
      </c>
      <c r="BI401" s="1301" t="s">
        <v>1303</v>
      </c>
      <c r="BJ401" s="1305"/>
      <c r="BK401" s="1300" t="s">
        <v>1303</v>
      </c>
      <c r="BL401" s="1301" t="s">
        <v>1303</v>
      </c>
      <c r="BM401" s="1300" t="s">
        <v>1303</v>
      </c>
      <c r="BN401" s="1301" t="s">
        <v>1303</v>
      </c>
    </row>
    <row r="402" spans="1:66">
      <c r="A402" s="51" t="str">
        <f t="shared" si="256"/>
        <v>402204</v>
      </c>
      <c r="B402" s="1442" t="str">
        <f>'Income Eligible Deemed Table'!C450</f>
        <v>402204_2024_12_</v>
      </c>
      <c r="C402" s="1378" t="str">
        <f>'Income Eligible Deemed Table'!G450</f>
        <v>Building Shell RES</v>
      </c>
      <c r="D402" s="1378"/>
      <c r="E402" s="1378"/>
      <c r="F402" s="1378"/>
      <c r="G402" s="1378" t="str">
        <f>'Income Eligible Deemed Table'!E450</f>
        <v>Floor Insulation R25 (R-13 base) MH heat pump and electric cooling</v>
      </c>
      <c r="H402" s="19" t="str">
        <f>'Income Eligible Deemed Table'!D450</f>
        <v>SFIE</v>
      </c>
      <c r="I402" s="785">
        <f>'Income Eligible Deemed Table'!F450</f>
        <v>0.11</v>
      </c>
      <c r="J402" s="785">
        <f t="shared" si="264"/>
        <v>0</v>
      </c>
      <c r="K402" s="888"/>
      <c r="L402" s="888"/>
      <c r="M402" s="202"/>
      <c r="N402" s="202"/>
      <c r="O402" s="786">
        <f>'Income Eligible Deemed Table'!K450</f>
        <v>5.1E-5</v>
      </c>
      <c r="P402" s="786"/>
      <c r="Q402" s="889"/>
      <c r="R402" s="889"/>
      <c r="S402" s="787"/>
      <c r="T402" s="787"/>
      <c r="U402" s="788">
        <f t="shared" ref="U402:U460" si="265">IFERROR(IF(V402+W402&gt;0,0,IF(Z402&gt;0,O402,0)),0)</f>
        <v>0</v>
      </c>
      <c r="V402" s="788">
        <f t="shared" ref="V402:V460" si="266">IF(W402&gt;0,0,IF(Z402&gt;9,O402,0))</f>
        <v>0</v>
      </c>
      <c r="W402" s="788">
        <f t="shared" ref="W402:W460" si="267">IF(Z402&gt;14,O402,0)</f>
        <v>5.1E-5</v>
      </c>
      <c r="X402" s="23">
        <f>'Income Eligible Deemed Table'!L450</f>
        <v>30</v>
      </c>
      <c r="Y402" s="23"/>
      <c r="Z402" s="23">
        <f t="shared" si="257"/>
        <v>30</v>
      </c>
      <c r="AA402" s="18">
        <f>'Income Eligible Deemed Table'!DG450</f>
        <v>0.30402808541932325</v>
      </c>
      <c r="AB402" s="259">
        <f>'Income Eligible Deemed Table'!M450</f>
        <v>0.67966666666666664</v>
      </c>
      <c r="AC402" s="902">
        <f t="shared" si="258"/>
        <v>0.20663775539000001</v>
      </c>
      <c r="AD402" s="902">
        <f t="shared" si="263"/>
        <v>0</v>
      </c>
      <c r="AE402" s="610">
        <f>'Income Eligible Deemed Table'!DI450</f>
        <v>0.20663775539000001</v>
      </c>
      <c r="AF402" s="208"/>
      <c r="AG402" s="208"/>
      <c r="AH402" s="208"/>
      <c r="AI402" s="663" t="str">
        <f>AI401</f>
        <v>Units - area of floor (ft2)</v>
      </c>
      <c r="AJ402" s="71"/>
      <c r="AX402" s="1355" t="str">
        <f t="shared" si="261"/>
        <v>Floor Insulation R25 (R-13 base) MH heat pump and electric cooling</v>
      </c>
      <c r="AY402" s="1378"/>
      <c r="AZ402" s="1446" t="str">
        <f t="shared" si="262"/>
        <v>402204</v>
      </c>
      <c r="BA402" s="1300" t="s">
        <v>1303</v>
      </c>
      <c r="BB402" s="1300" t="s">
        <v>1303</v>
      </c>
      <c r="BC402" s="1300" t="s">
        <v>1303</v>
      </c>
      <c r="BD402" s="1300" t="s">
        <v>1303</v>
      </c>
      <c r="BE402" s="1305"/>
      <c r="BF402" s="1300" t="s">
        <v>1303</v>
      </c>
      <c r="BG402" s="1300" t="s">
        <v>1303</v>
      </c>
      <c r="BH402" s="1300" t="s">
        <v>1303</v>
      </c>
      <c r="BI402" s="1301" t="s">
        <v>1303</v>
      </c>
      <c r="BJ402" s="1305"/>
      <c r="BK402" s="1300" t="s">
        <v>1303</v>
      </c>
      <c r="BL402" s="1301" t="s">
        <v>1303</v>
      </c>
      <c r="BM402" s="1300" t="s">
        <v>1303</v>
      </c>
      <c r="BN402" s="1301" t="s">
        <v>1303</v>
      </c>
    </row>
    <row r="403" spans="1:66">
      <c r="A403" s="51" t="str">
        <f t="shared" si="256"/>
        <v>402205</v>
      </c>
      <c r="B403" s="1442" t="str">
        <f>'Income Eligible Deemed Table'!C451</f>
        <v>402205_2024_12_</v>
      </c>
      <c r="C403" s="1378" t="str">
        <f>'Income Eligible Deemed Table'!G451</f>
        <v>Building Shell RES</v>
      </c>
      <c r="D403" s="1378"/>
      <c r="E403" s="1378"/>
      <c r="F403" s="1378"/>
      <c r="G403" s="1378" t="str">
        <f>'Income Eligible Deemed Table'!E451</f>
        <v>Floor Insulation R25 (R-13 base) MH gas furnace/baseboard and electric cooling</v>
      </c>
      <c r="H403" s="19" t="str">
        <f>'Income Eligible Deemed Table'!D451</f>
        <v>SFIE</v>
      </c>
      <c r="I403" s="785">
        <f>'Income Eligible Deemed Table'!F451</f>
        <v>0.02</v>
      </c>
      <c r="J403" s="785">
        <f t="shared" si="264"/>
        <v>0</v>
      </c>
      <c r="K403" s="888"/>
      <c r="L403" s="888"/>
      <c r="M403" s="202"/>
      <c r="N403" s="202"/>
      <c r="O403" s="786">
        <f>'Income Eligible Deemed Table'!K451</f>
        <v>9.0000000000000002E-6</v>
      </c>
      <c r="P403" s="786"/>
      <c r="Q403" s="889"/>
      <c r="R403" s="889"/>
      <c r="S403" s="787"/>
      <c r="T403" s="787"/>
      <c r="U403" s="788">
        <f t="shared" si="265"/>
        <v>0</v>
      </c>
      <c r="V403" s="788">
        <f t="shared" si="266"/>
        <v>0</v>
      </c>
      <c r="W403" s="788">
        <f t="shared" si="267"/>
        <v>9.0000000000000002E-6</v>
      </c>
      <c r="X403" s="23">
        <f>'Income Eligible Deemed Table'!L451</f>
        <v>30</v>
      </c>
      <c r="Y403" s="23"/>
      <c r="Z403" s="23">
        <f t="shared" si="257"/>
        <v>30</v>
      </c>
      <c r="AA403" s="18">
        <f>'Income Eligible Deemed Table'!DG451</f>
        <v>5.5277833712604224E-2</v>
      </c>
      <c r="AB403" s="259">
        <f>'Income Eligible Deemed Table'!M451</f>
        <v>0.67966666666666664</v>
      </c>
      <c r="AC403" s="902">
        <f t="shared" si="258"/>
        <v>3.7570500980000004E-2</v>
      </c>
      <c r="AD403" s="902">
        <f t="shared" si="263"/>
        <v>0</v>
      </c>
      <c r="AE403" s="610">
        <f>'Income Eligible Deemed Table'!DI451</f>
        <v>3.7570500980000004E-2</v>
      </c>
      <c r="AF403" s="208"/>
      <c r="AG403" s="208"/>
      <c r="AH403" s="208"/>
      <c r="AI403" s="663" t="str">
        <f>AI402</f>
        <v>Units - area of floor (ft2)</v>
      </c>
      <c r="AJ403" s="71"/>
      <c r="AX403" s="1355" t="str">
        <f t="shared" si="261"/>
        <v>Floor Insulation R25 (R-13 base) MH gas furnace/baseboard and electric cooling</v>
      </c>
      <c r="AY403" s="1378"/>
      <c r="AZ403" s="1446" t="str">
        <f t="shared" si="262"/>
        <v>402205</v>
      </c>
      <c r="BA403" s="1300" t="s">
        <v>1303</v>
      </c>
      <c r="BB403" s="1300" t="s">
        <v>1303</v>
      </c>
      <c r="BC403" s="1300" t="s">
        <v>1303</v>
      </c>
      <c r="BD403" s="1300" t="s">
        <v>1303</v>
      </c>
      <c r="BE403" s="1305"/>
      <c r="BF403" s="1300" t="s">
        <v>1303</v>
      </c>
      <c r="BG403" s="1300" t="s">
        <v>1303</v>
      </c>
      <c r="BH403" s="1300" t="s">
        <v>1303</v>
      </c>
      <c r="BI403" s="1301" t="s">
        <v>1303</v>
      </c>
      <c r="BJ403" s="1305"/>
      <c r="BK403" s="1300" t="s">
        <v>1303</v>
      </c>
      <c r="BL403" s="1301" t="s">
        <v>1303</v>
      </c>
      <c r="BM403" s="1300" t="s">
        <v>1303</v>
      </c>
      <c r="BN403" s="1301" t="s">
        <v>1303</v>
      </c>
    </row>
    <row r="404" spans="1:66">
      <c r="A404" s="51" t="str">
        <f t="shared" si="256"/>
        <v>402250</v>
      </c>
      <c r="B404" s="1442" t="str">
        <f>'Income Eligible Deemed Table'!C484</f>
        <v>402250_2024_12_</v>
      </c>
      <c r="C404" s="1378" t="str">
        <f>'Income Eligible Deemed Table'!G484</f>
        <v>HVAC RES</v>
      </c>
      <c r="D404" s="1378"/>
      <c r="E404" s="1378"/>
      <c r="F404" s="1378"/>
      <c r="G404" s="1378" t="str">
        <f>'Income Eligible Deemed Table'!E484</f>
        <v>Dirty Filter Alarm_MFIE</v>
      </c>
      <c r="H404" s="19" t="str">
        <f>'Income Eligible Deemed Table'!D484</f>
        <v>MFIE</v>
      </c>
      <c r="I404" s="785">
        <f>'Income Eligible Deemed Table'!F484</f>
        <v>68.45</v>
      </c>
      <c r="J404" s="785">
        <f t="shared" si="264"/>
        <v>0</v>
      </c>
      <c r="K404" s="888"/>
      <c r="L404" s="888"/>
      <c r="M404" s="202"/>
      <c r="N404" s="202"/>
      <c r="O404" s="786">
        <f>'Income Eligible Deemed Table'!K484</f>
        <v>3.1903000000000001E-2</v>
      </c>
      <c r="P404" s="786"/>
      <c r="Q404" s="889"/>
      <c r="R404" s="889"/>
      <c r="S404" s="787"/>
      <c r="T404" s="787"/>
      <c r="U404" s="788">
        <f t="shared" si="265"/>
        <v>3.1903000000000001E-2</v>
      </c>
      <c r="V404" s="788">
        <f t="shared" si="266"/>
        <v>0</v>
      </c>
      <c r="W404" s="788">
        <f t="shared" si="267"/>
        <v>0</v>
      </c>
      <c r="X404" s="23">
        <f>'Income Eligible Deemed Table'!L484</f>
        <v>5</v>
      </c>
      <c r="Y404" s="23"/>
      <c r="Z404" s="23">
        <f t="shared" si="257"/>
        <v>5</v>
      </c>
      <c r="AA404" s="18">
        <f>'Income Eligible Deemed Table'!DG484</f>
        <v>7.2802575529565017</v>
      </c>
      <c r="AB404" s="259">
        <f>'Income Eligible Deemed Table'!M484</f>
        <v>5</v>
      </c>
      <c r="AC404" s="902">
        <f t="shared" si="258"/>
        <v>36.401287764782509</v>
      </c>
      <c r="AD404" s="902">
        <f t="shared" si="263"/>
        <v>0</v>
      </c>
      <c r="AE404" s="610">
        <f>'Income Eligible Deemed Table'!DI484</f>
        <v>36.401287764782509</v>
      </c>
      <c r="AF404" s="208"/>
      <c r="AG404" s="208"/>
      <c r="AH404" s="208"/>
      <c r="AI404" s="1442" t="str">
        <f>'Income Eligible Deemed Table'!N484</f>
        <v>per measure</v>
      </c>
      <c r="AJ404" s="71"/>
      <c r="AX404" s="1355" t="str">
        <f t="shared" si="261"/>
        <v>Dirty Filter Alarm_MFIE</v>
      </c>
      <c r="AY404" s="1378"/>
      <c r="AZ404" s="1446" t="str">
        <f t="shared" si="262"/>
        <v>402250</v>
      </c>
      <c r="BA404" s="1300" t="s">
        <v>1303</v>
      </c>
      <c r="BB404" s="1300" t="s">
        <v>1303</v>
      </c>
      <c r="BC404" s="1300" t="s">
        <v>1303</v>
      </c>
      <c r="BD404" s="1300" t="s">
        <v>1303</v>
      </c>
      <c r="BE404" s="1305"/>
      <c r="BF404" s="1300" t="s">
        <v>1303</v>
      </c>
      <c r="BG404" s="1300" t="s">
        <v>1303</v>
      </c>
      <c r="BH404" s="1300" t="s">
        <v>1303</v>
      </c>
      <c r="BI404" s="1301" t="s">
        <v>1303</v>
      </c>
      <c r="BJ404" s="1305"/>
      <c r="BK404" s="1300" t="s">
        <v>1303</v>
      </c>
      <c r="BL404" s="1301" t="s">
        <v>1303</v>
      </c>
      <c r="BM404" s="1300" t="s">
        <v>1303</v>
      </c>
      <c r="BN404" s="1301" t="s">
        <v>1303</v>
      </c>
    </row>
    <row r="405" spans="1:66" s="696" customFormat="1">
      <c r="A405" s="2958" t="str">
        <f t="shared" si="256"/>
        <v>402251</v>
      </c>
      <c r="B405" s="2233" t="str">
        <f>'Income Eligible Deemed Table'!C485</f>
        <v>402251_2024_12_</v>
      </c>
      <c r="C405" s="2724" t="str">
        <f>'Income Eligible Deemed Table'!G485</f>
        <v>HVAC RES</v>
      </c>
      <c r="D405" s="2724"/>
      <c r="E405" s="2724"/>
      <c r="F405" s="2724"/>
      <c r="G405" s="2724" t="str">
        <f>'Income Eligible Deemed Table'!E485</f>
        <v>Dirty Filter Alarm_MFIE_CompE</v>
      </c>
      <c r="H405" s="2554" t="str">
        <f>'Income Eligible Deemed Table'!D485</f>
        <v>MFIEc</v>
      </c>
      <c r="I405" s="3840">
        <f>'Income Eligible Deemed Table'!F485</f>
        <v>33.06</v>
      </c>
      <c r="J405" s="3840">
        <f t="shared" si="264"/>
        <v>0</v>
      </c>
      <c r="K405" s="3897"/>
      <c r="L405" s="3897"/>
      <c r="M405" s="3251"/>
      <c r="N405" s="3251"/>
      <c r="O405" s="3841">
        <f>'Income Eligible Deemed Table'!K485</f>
        <v>1.5409000000000001E-2</v>
      </c>
      <c r="P405" s="3841"/>
      <c r="Q405" s="3898"/>
      <c r="R405" s="3898"/>
      <c r="S405" s="3842"/>
      <c r="T405" s="3842"/>
      <c r="U405" s="3843">
        <f t="shared" si="265"/>
        <v>1.5409000000000001E-2</v>
      </c>
      <c r="V405" s="3843">
        <f t="shared" si="266"/>
        <v>0</v>
      </c>
      <c r="W405" s="3843">
        <f t="shared" si="267"/>
        <v>0</v>
      </c>
      <c r="X405" s="2846">
        <f>'Income Eligible Deemed Table'!L485</f>
        <v>5</v>
      </c>
      <c r="Y405" s="2846"/>
      <c r="Z405" s="2846">
        <f t="shared" si="257"/>
        <v>5</v>
      </c>
      <c r="AA405" s="2529">
        <f>'Income Eligible Deemed Table'!DG485</f>
        <v>3.5162208137434909</v>
      </c>
      <c r="AB405" s="3878">
        <f>'Income Eligible Deemed Table'!M485</f>
        <v>5</v>
      </c>
      <c r="AC405" s="3864">
        <f t="shared" si="258"/>
        <v>17.581104068717455</v>
      </c>
      <c r="AD405" s="3864">
        <f t="shared" si="263"/>
        <v>0</v>
      </c>
      <c r="AE405" s="3865">
        <f>'Income Eligible Deemed Table'!DI485</f>
        <v>17.581104068717455</v>
      </c>
      <c r="AF405" s="3846"/>
      <c r="AG405" s="3846"/>
      <c r="AH405" s="3846"/>
      <c r="AI405" s="2233" t="str">
        <f>'Income Eligible Deemed Table'!N485</f>
        <v>per measure</v>
      </c>
      <c r="AJ405" s="2724"/>
      <c r="AX405" s="3849" t="str">
        <f t="shared" si="261"/>
        <v>Dirty Filter Alarm_MFIE_CompE</v>
      </c>
      <c r="AY405" s="2724"/>
      <c r="AZ405" s="3850" t="str">
        <f t="shared" si="262"/>
        <v>402251</v>
      </c>
      <c r="BA405" s="3866" t="s">
        <v>1303</v>
      </c>
      <c r="BB405" s="3866" t="s">
        <v>1303</v>
      </c>
      <c r="BC405" s="3866" t="s">
        <v>1303</v>
      </c>
      <c r="BD405" s="3866" t="s">
        <v>1303</v>
      </c>
      <c r="BE405" s="3853"/>
      <c r="BF405" s="3866" t="s">
        <v>1303</v>
      </c>
      <c r="BG405" s="3866" t="s">
        <v>1303</v>
      </c>
      <c r="BH405" s="3866" t="s">
        <v>1303</v>
      </c>
      <c r="BI405" s="3867" t="s">
        <v>1303</v>
      </c>
      <c r="BJ405" s="3853"/>
      <c r="BK405" s="3866" t="s">
        <v>1303</v>
      </c>
      <c r="BL405" s="3867" t="s">
        <v>1303</v>
      </c>
      <c r="BM405" s="3866" t="s">
        <v>1303</v>
      </c>
      <c r="BN405" s="3867" t="s">
        <v>1303</v>
      </c>
    </row>
    <row r="406" spans="1:66">
      <c r="A406" s="51" t="str">
        <f t="shared" si="256"/>
        <v>402300</v>
      </c>
      <c r="B406" s="1442" t="str">
        <f>'Income Eligible Deemed Table'!C514</f>
        <v>402300_2024_12_</v>
      </c>
      <c r="C406" s="1378" t="str">
        <f>'Income Eligible Deemed Table'!G514</f>
        <v>HVAC RES</v>
      </c>
      <c r="D406" s="1378"/>
      <c r="E406" s="1378"/>
      <c r="F406" s="1378"/>
      <c r="G406" s="1378" t="str">
        <f>'Income Eligible Deemed Table'!E514</f>
        <v>Duct Insulation - Electric Heating</v>
      </c>
      <c r="H406" s="19" t="str">
        <f>'Income Eligible Deemed Table'!D514</f>
        <v>PAYS</v>
      </c>
      <c r="I406" s="785">
        <f>'Income Eligible Deemed Table'!F514</f>
        <v>22.8</v>
      </c>
      <c r="J406" s="785">
        <f t="shared" si="264"/>
        <v>0</v>
      </c>
      <c r="K406" s="888"/>
      <c r="L406" s="888"/>
      <c r="M406" s="202"/>
      <c r="N406" s="202"/>
      <c r="O406" s="786">
        <f>'Income Eligible Deemed Table'!L514</f>
        <v>1.0626999999999999E-2</v>
      </c>
      <c r="P406" s="786"/>
      <c r="Q406" s="889"/>
      <c r="R406" s="889"/>
      <c r="S406" s="787"/>
      <c r="T406" s="787"/>
      <c r="U406" s="788">
        <f t="shared" si="265"/>
        <v>0</v>
      </c>
      <c r="V406" s="788">
        <f t="shared" si="266"/>
        <v>0</v>
      </c>
      <c r="W406" s="788">
        <f t="shared" si="267"/>
        <v>1.0626999999999999E-2</v>
      </c>
      <c r="X406" s="23">
        <f>'Income Eligible Deemed Table'!M514</f>
        <v>20</v>
      </c>
      <c r="Y406" s="23"/>
      <c r="Z406" s="23">
        <f t="shared" si="257"/>
        <v>20</v>
      </c>
      <c r="AA406" s="18">
        <f>'Income Eligible Deemed Table'!DG514</f>
        <v>8.2251191963232539</v>
      </c>
      <c r="AB406" s="259">
        <f>'Income Eligible Deemed Table'!N514</f>
        <v>4.2205065958870298</v>
      </c>
      <c r="AC406" s="902">
        <f t="shared" si="258"/>
        <v>34.714169820039317</v>
      </c>
      <c r="AD406" s="902">
        <f t="shared" si="263"/>
        <v>0</v>
      </c>
      <c r="AE406" s="610">
        <f>'Income Eligible Deemed Table'!DI514</f>
        <v>34.714169820039317</v>
      </c>
      <c r="AF406" s="208"/>
      <c r="AG406" s="208"/>
      <c r="AH406" s="208"/>
      <c r="AI406" s="1442" t="str">
        <f>'Income Eligible Deemed Table'!O513</f>
        <v>Units - DuctLength (ft.)</v>
      </c>
      <c r="AJ406" s="71"/>
      <c r="AX406" s="1355" t="str">
        <f t="shared" si="261"/>
        <v>Duct Insulation - Electric Heating</v>
      </c>
      <c r="AY406" s="1378"/>
      <c r="AZ406" s="1446" t="str">
        <f t="shared" si="262"/>
        <v>402300</v>
      </c>
      <c r="BA406" s="1300" t="s">
        <v>1303</v>
      </c>
      <c r="BB406" s="1300" t="s">
        <v>1303</v>
      </c>
      <c r="BC406" s="1300" t="s">
        <v>1303</v>
      </c>
      <c r="BD406" s="1300" t="s">
        <v>1303</v>
      </c>
      <c r="BE406" s="1305"/>
      <c r="BF406" s="1300" t="s">
        <v>1303</v>
      </c>
      <c r="BG406" s="1300" t="s">
        <v>1303</v>
      </c>
      <c r="BH406" s="1300" t="s">
        <v>1303</v>
      </c>
      <c r="BI406" s="1301" t="s">
        <v>1303</v>
      </c>
      <c r="BJ406" s="1305"/>
      <c r="BK406" s="1300" t="s">
        <v>1303</v>
      </c>
      <c r="BL406" s="1301" t="s">
        <v>1303</v>
      </c>
      <c r="BM406" s="1300" t="s">
        <v>1303</v>
      </c>
      <c r="BN406" s="1301" t="s">
        <v>1303</v>
      </c>
    </row>
    <row r="407" spans="1:66">
      <c r="A407" s="51" t="str">
        <f t="shared" si="256"/>
        <v>402350</v>
      </c>
      <c r="B407" s="1442" t="str">
        <f>'Income Eligible Deemed Table'!C515</f>
        <v>402350_2024_12_</v>
      </c>
      <c r="C407" s="1378" t="str">
        <f>'Income Eligible Deemed Table'!G515</f>
        <v>HVAC RES</v>
      </c>
      <c r="D407" s="1378"/>
      <c r="E407" s="1378"/>
      <c r="F407" s="1378"/>
      <c r="G407" s="1378" t="str">
        <f>'Income Eligible Deemed Table'!E515</f>
        <v>Mobile Home Adjusted Duct Insulation - Electric Heating </v>
      </c>
      <c r="H407" s="19" t="str">
        <f>'Income Eligible Deemed Table'!D515</f>
        <v>PAYS</v>
      </c>
      <c r="I407" s="785">
        <f>'Income Eligible Deemed Table'!F515</f>
        <v>22.8</v>
      </c>
      <c r="J407" s="785">
        <f t="shared" si="264"/>
        <v>0</v>
      </c>
      <c r="K407" s="888"/>
      <c r="L407" s="888"/>
      <c r="M407" s="202"/>
      <c r="N407" s="202"/>
      <c r="O407" s="786">
        <f>'Income Eligible Deemed Table'!L515</f>
        <v>1.0626999999999999E-2</v>
      </c>
      <c r="P407" s="786"/>
      <c r="Q407" s="889"/>
      <c r="R407" s="889"/>
      <c r="S407" s="787"/>
      <c r="T407" s="787"/>
      <c r="U407" s="788">
        <f t="shared" si="265"/>
        <v>0</v>
      </c>
      <c r="V407" s="788">
        <f t="shared" si="266"/>
        <v>0</v>
      </c>
      <c r="W407" s="788">
        <f t="shared" si="267"/>
        <v>1.0626999999999999E-2</v>
      </c>
      <c r="X407" s="23">
        <f>'Income Eligible Deemed Table'!M515</f>
        <v>20</v>
      </c>
      <c r="Y407" s="23"/>
      <c r="Z407" s="23">
        <f t="shared" si="257"/>
        <v>20</v>
      </c>
      <c r="AA407" s="18">
        <f>'Income Eligible Deemed Table'!DG515</f>
        <v>8.2251191963232539</v>
      </c>
      <c r="AB407" s="259">
        <f>'Income Eligible Deemed Table'!N515</f>
        <v>4.2205065958870298</v>
      </c>
      <c r="AC407" s="902">
        <f t="shared" si="258"/>
        <v>34.714169820039317</v>
      </c>
      <c r="AD407" s="902">
        <f t="shared" si="263"/>
        <v>0</v>
      </c>
      <c r="AE407" s="610">
        <f>'Income Eligible Deemed Table'!DI515</f>
        <v>34.714169820039317</v>
      </c>
      <c r="AF407" s="208"/>
      <c r="AG407" s="208"/>
      <c r="AH407" s="208"/>
      <c r="AI407" s="907" t="str">
        <f>AI406</f>
        <v>Units - DuctLength (ft.)</v>
      </c>
      <c r="AJ407" s="71"/>
      <c r="AX407" s="1355" t="str">
        <f t="shared" si="261"/>
        <v>Mobile Home Adjusted Duct Insulation - Electric Heating </v>
      </c>
      <c r="AY407" s="1378"/>
      <c r="AZ407" s="1446" t="str">
        <f t="shared" si="262"/>
        <v>402350</v>
      </c>
      <c r="BA407" s="1300" t="s">
        <v>1303</v>
      </c>
      <c r="BB407" s="1300" t="s">
        <v>1303</v>
      </c>
      <c r="BC407" s="1300" t="s">
        <v>1303</v>
      </c>
      <c r="BD407" s="1300" t="s">
        <v>1303</v>
      </c>
      <c r="BE407" s="1305"/>
      <c r="BF407" s="1300" t="s">
        <v>1303</v>
      </c>
      <c r="BG407" s="1300" t="s">
        <v>1303</v>
      </c>
      <c r="BH407" s="1300" t="s">
        <v>1303</v>
      </c>
      <c r="BI407" s="1301" t="s">
        <v>1303</v>
      </c>
      <c r="BJ407" s="1305"/>
      <c r="BK407" s="1300" t="s">
        <v>1303</v>
      </c>
      <c r="BL407" s="1301" t="s">
        <v>1303</v>
      </c>
      <c r="BM407" s="1300" t="s">
        <v>1303</v>
      </c>
      <c r="BN407" s="1301" t="s">
        <v>1303</v>
      </c>
    </row>
    <row r="408" spans="1:66">
      <c r="A408" s="51" t="str">
        <f t="shared" si="256"/>
        <v>402400</v>
      </c>
      <c r="B408" s="1442" t="str">
        <f>'Income Eligible Deemed Table'!C516</f>
        <v>402400_2024_12_</v>
      </c>
      <c r="C408" s="1378" t="str">
        <f>'Income Eligible Deemed Table'!G516</f>
        <v>HVAC RES</v>
      </c>
      <c r="D408" s="1378"/>
      <c r="E408" s="1378"/>
      <c r="F408" s="1378"/>
      <c r="G408" s="1378" t="str">
        <f>'Income Eligible Deemed Table'!E516</f>
        <v>Duct Insulation - Gas Heating</v>
      </c>
      <c r="H408" s="19" t="str">
        <f>'Income Eligible Deemed Table'!D516</f>
        <v>PAYS</v>
      </c>
      <c r="I408" s="785">
        <f>'Income Eligible Deemed Table'!F516</f>
        <v>2.4900000000000002</v>
      </c>
      <c r="J408" s="785">
        <f t="shared" si="264"/>
        <v>0</v>
      </c>
      <c r="K408" s="888"/>
      <c r="L408" s="888"/>
      <c r="M408" s="202"/>
      <c r="N408" s="202"/>
      <c r="O408" s="786">
        <f>'Income Eligible Deemed Table'!L516</f>
        <v>1.1609999999999999E-3</v>
      </c>
      <c r="P408" s="786"/>
      <c r="Q408" s="889"/>
      <c r="R408" s="889"/>
      <c r="S408" s="787"/>
      <c r="T408" s="787"/>
      <c r="U408" s="788">
        <f t="shared" si="265"/>
        <v>0</v>
      </c>
      <c r="V408" s="788">
        <f t="shared" si="266"/>
        <v>0</v>
      </c>
      <c r="W408" s="788">
        <f t="shared" si="267"/>
        <v>1.1609999999999999E-3</v>
      </c>
      <c r="X408" s="23">
        <f>'Income Eligible Deemed Table'!M516</f>
        <v>20</v>
      </c>
      <c r="Y408" s="23"/>
      <c r="Z408" s="23">
        <f t="shared" si="257"/>
        <v>20</v>
      </c>
      <c r="AA408" s="18">
        <f>'Income Eligible Deemed Table'!DG516</f>
        <v>0.89826959644056592</v>
      </c>
      <c r="AB408" s="259">
        <f>'Income Eligible Deemed Table'!N516</f>
        <v>4.2205065958870298</v>
      </c>
      <c r="AC408" s="902">
        <f t="shared" si="258"/>
        <v>3.7911527566621888</v>
      </c>
      <c r="AD408" s="902">
        <f t="shared" si="263"/>
        <v>0</v>
      </c>
      <c r="AE408" s="610">
        <f>'Income Eligible Deemed Table'!DI516</f>
        <v>3.7911527566621888</v>
      </c>
      <c r="AF408" s="208"/>
      <c r="AG408" s="208"/>
      <c r="AH408" s="208"/>
      <c r="AI408" s="907" t="str">
        <f>AI407</f>
        <v>Units - DuctLength (ft.)</v>
      </c>
      <c r="AJ408" s="71"/>
      <c r="AX408" s="1355" t="str">
        <f t="shared" si="261"/>
        <v>Duct Insulation - Gas Heating</v>
      </c>
      <c r="AY408" s="1378"/>
      <c r="AZ408" s="1446" t="str">
        <f t="shared" si="262"/>
        <v>402400</v>
      </c>
      <c r="BA408" s="1300" t="s">
        <v>1303</v>
      </c>
      <c r="BB408" s="1300" t="s">
        <v>1303</v>
      </c>
      <c r="BC408" s="1300" t="s">
        <v>1303</v>
      </c>
      <c r="BD408" s="1300" t="s">
        <v>1303</v>
      </c>
      <c r="BE408" s="1305"/>
      <c r="BF408" s="1300" t="s">
        <v>1303</v>
      </c>
      <c r="BG408" s="1300" t="s">
        <v>1303</v>
      </c>
      <c r="BH408" s="1300" t="s">
        <v>1303</v>
      </c>
      <c r="BI408" s="1301" t="s">
        <v>1303</v>
      </c>
      <c r="BJ408" s="1305"/>
      <c r="BK408" s="1300" t="s">
        <v>1303</v>
      </c>
      <c r="BL408" s="1301" t="s">
        <v>1303</v>
      </c>
      <c r="BM408" s="1300" t="s">
        <v>1303</v>
      </c>
      <c r="BN408" s="1301" t="s">
        <v>1303</v>
      </c>
    </row>
    <row r="409" spans="1:66" s="41" customFormat="1">
      <c r="A409" s="51" t="str">
        <f t="shared" si="256"/>
        <v>402450</v>
      </c>
      <c r="B409" s="1442" t="str">
        <f>'Income Eligible Deemed Table'!C549</f>
        <v>402450_2024_12_</v>
      </c>
      <c r="C409" s="1378" t="str">
        <f>'Income Eligible Deemed Table'!G549</f>
        <v>HVAC RES</v>
      </c>
      <c r="D409" s="1378"/>
      <c r="E409" s="1378"/>
      <c r="F409" s="1378"/>
      <c r="G409" s="1378" t="str">
        <f>'Income Eligible Deemed Table'!E549</f>
        <v>Duct Repair (Sealing) - Electric Heating SF</v>
      </c>
      <c r="H409" s="19" t="str">
        <f>'Income Eligible Deemed Table'!D549</f>
        <v>SFIE</v>
      </c>
      <c r="I409" s="785">
        <f>'Income Eligible Deemed Table'!F549</f>
        <v>4.92</v>
      </c>
      <c r="J409" s="785">
        <f t="shared" si="264"/>
        <v>0</v>
      </c>
      <c r="K409" s="888"/>
      <c r="L409" s="888"/>
      <c r="M409" s="202"/>
      <c r="N409" s="202"/>
      <c r="O409" s="786">
        <f>'Income Eligible Deemed Table'!K549</f>
        <v>2.2929999999999999E-3</v>
      </c>
      <c r="P409" s="786"/>
      <c r="Q409" s="889"/>
      <c r="R409" s="889"/>
      <c r="S409" s="787"/>
      <c r="T409" s="787"/>
      <c r="U409" s="788">
        <f t="shared" si="265"/>
        <v>0</v>
      </c>
      <c r="V409" s="788">
        <f t="shared" si="266"/>
        <v>0</v>
      </c>
      <c r="W409" s="788">
        <f t="shared" si="267"/>
        <v>2.2929999999999999E-3</v>
      </c>
      <c r="X409" s="23">
        <f>'Income Eligible Deemed Table'!L549</f>
        <v>20</v>
      </c>
      <c r="Y409" s="23"/>
      <c r="Z409" s="23">
        <f t="shared" si="257"/>
        <v>20</v>
      </c>
      <c r="AA409" s="18">
        <f>'Income Eligible Deemed Table'!DG549</f>
        <v>0.93198113324130205</v>
      </c>
      <c r="AB409" s="259">
        <f>'Income Eligible Deemed Table'!M549</f>
        <v>8.0376653213977498</v>
      </c>
      <c r="AC409" s="902">
        <f t="shared" si="258"/>
        <v>7.4909524348505894</v>
      </c>
      <c r="AD409" s="902">
        <f t="shared" si="263"/>
        <v>0</v>
      </c>
      <c r="AE409" s="610">
        <f>'Income Eligible Deemed Table'!DI549</f>
        <v>7.4909524348505894</v>
      </c>
      <c r="AF409" s="208"/>
      <c r="AG409" s="208"/>
      <c r="AH409" s="208"/>
      <c r="AI409" s="1442" t="str">
        <f>'Income Eligible Deemed Table'!N548</f>
        <v>Units - DuctLength (ft.)</v>
      </c>
      <c r="AJ409" s="71"/>
      <c r="AK409"/>
      <c r="AL409"/>
      <c r="AM409"/>
      <c r="AN409"/>
      <c r="AO409"/>
      <c r="AP409"/>
      <c r="AQ409"/>
      <c r="AR409"/>
      <c r="AS409"/>
      <c r="AT409"/>
      <c r="AU409"/>
      <c r="AV409"/>
      <c r="AW409"/>
      <c r="AX409" s="1355" t="str">
        <f t="shared" si="261"/>
        <v>Duct Repair (Sealing) - Electric Heating SF</v>
      </c>
      <c r="AY409" s="1378"/>
      <c r="AZ409" s="1446" t="str">
        <f t="shared" si="262"/>
        <v>402450</v>
      </c>
      <c r="BA409" s="1300" t="s">
        <v>1303</v>
      </c>
      <c r="BB409" s="1300" t="s">
        <v>1303</v>
      </c>
      <c r="BC409" s="1300" t="s">
        <v>1303</v>
      </c>
      <c r="BD409" s="1300" t="s">
        <v>1303</v>
      </c>
      <c r="BE409" s="1306"/>
      <c r="BF409" s="1300" t="s">
        <v>1303</v>
      </c>
      <c r="BG409" s="1300" t="s">
        <v>1303</v>
      </c>
      <c r="BH409" s="1300" t="s">
        <v>1303</v>
      </c>
      <c r="BI409" s="1301" t="s">
        <v>1303</v>
      </c>
      <c r="BJ409" s="1305"/>
      <c r="BK409" s="1300" t="s">
        <v>1303</v>
      </c>
      <c r="BL409" s="1301" t="s">
        <v>1303</v>
      </c>
      <c r="BM409" s="1300" t="s">
        <v>1303</v>
      </c>
      <c r="BN409" s="1301" t="s">
        <v>1303</v>
      </c>
    </row>
    <row r="410" spans="1:66" s="41" customFormat="1">
      <c r="A410" s="51" t="str">
        <f t="shared" si="256"/>
        <v>402451</v>
      </c>
      <c r="B410" s="1442" t="str">
        <f>'Income Eligible Deemed Table'!C550</f>
        <v>402451_2024_12_</v>
      </c>
      <c r="C410" s="1378" t="str">
        <f>'Income Eligible Deemed Table'!G550</f>
        <v>HVAC RES</v>
      </c>
      <c r="D410" s="1378"/>
      <c r="E410" s="1378"/>
      <c r="F410" s="1378"/>
      <c r="G410" s="1378" t="str">
        <f>'Income Eligible Deemed Table'!E550</f>
        <v>Duct Repair (Sealing) - Gas Heating SF</v>
      </c>
      <c r="H410" s="19" t="str">
        <f>'Income Eligible Deemed Table'!D550</f>
        <v>SFIE</v>
      </c>
      <c r="I410" s="785">
        <f>'Income Eligible Deemed Table'!F550</f>
        <v>1</v>
      </c>
      <c r="J410" s="785">
        <f t="shared" si="264"/>
        <v>0</v>
      </c>
      <c r="K410" s="888"/>
      <c r="L410" s="888"/>
      <c r="M410" s="202"/>
      <c r="N410" s="202"/>
      <c r="O410" s="786">
        <f>'Income Eligible Deemed Table'!K550</f>
        <v>4.66E-4</v>
      </c>
      <c r="P410" s="786"/>
      <c r="Q410" s="889"/>
      <c r="R410" s="889"/>
      <c r="S410" s="787"/>
      <c r="T410" s="787"/>
      <c r="U410" s="788">
        <f t="shared" si="265"/>
        <v>0</v>
      </c>
      <c r="V410" s="788">
        <f t="shared" si="266"/>
        <v>0</v>
      </c>
      <c r="W410" s="788">
        <f t="shared" si="267"/>
        <v>4.66E-4</v>
      </c>
      <c r="X410" s="23">
        <f>'Income Eligible Deemed Table'!L550</f>
        <v>20</v>
      </c>
      <c r="Y410" s="23"/>
      <c r="Z410" s="23">
        <f t="shared" si="257"/>
        <v>20</v>
      </c>
      <c r="AA410" s="18">
        <f>'Income Eligible Deemed Table'!DG550</f>
        <v>0.18942705960189066</v>
      </c>
      <c r="AB410" s="259">
        <f>'Income Eligible Deemed Table'!M550</f>
        <v>8.0376653213977498</v>
      </c>
      <c r="AC410" s="902">
        <f t="shared" si="258"/>
        <v>1.5225513078964612</v>
      </c>
      <c r="AD410" s="902">
        <f t="shared" si="263"/>
        <v>0</v>
      </c>
      <c r="AE410" s="610">
        <f>'Income Eligible Deemed Table'!DI550</f>
        <v>1.5225513078964612</v>
      </c>
      <c r="AF410" s="208"/>
      <c r="AG410" s="208"/>
      <c r="AH410" s="208"/>
      <c r="AI410" s="663" t="str">
        <f>AI409</f>
        <v>Units - DuctLength (ft.)</v>
      </c>
      <c r="AJ410" s="71"/>
      <c r="AK410"/>
      <c r="AL410"/>
      <c r="AM410"/>
      <c r="AN410"/>
      <c r="AO410"/>
      <c r="AP410"/>
      <c r="AQ410"/>
      <c r="AR410"/>
      <c r="AS410"/>
      <c r="AT410"/>
      <c r="AU410"/>
      <c r="AV410"/>
      <c r="AW410"/>
      <c r="AX410" s="1355" t="str">
        <f t="shared" si="261"/>
        <v>Duct Repair (Sealing) - Gas Heating SF</v>
      </c>
      <c r="AY410" s="1378"/>
      <c r="AZ410" s="1446" t="str">
        <f t="shared" si="262"/>
        <v>402451</v>
      </c>
      <c r="BA410" s="1300" t="s">
        <v>1303</v>
      </c>
      <c r="BB410" s="1300" t="s">
        <v>1303</v>
      </c>
      <c r="BC410" s="1300" t="s">
        <v>1303</v>
      </c>
      <c r="BD410" s="1300" t="s">
        <v>1303</v>
      </c>
      <c r="BE410" s="1306"/>
      <c r="BF410" s="1300" t="s">
        <v>1303</v>
      </c>
      <c r="BG410" s="1300" t="s">
        <v>1303</v>
      </c>
      <c r="BH410" s="1300" t="s">
        <v>1303</v>
      </c>
      <c r="BI410" s="1301" t="s">
        <v>1303</v>
      </c>
      <c r="BJ410" s="1305"/>
      <c r="BK410" s="1300" t="s">
        <v>1303</v>
      </c>
      <c r="BL410" s="1301" t="s">
        <v>1303</v>
      </c>
      <c r="BM410" s="1300" t="s">
        <v>1303</v>
      </c>
      <c r="BN410" s="1301" t="s">
        <v>1303</v>
      </c>
    </row>
    <row r="411" spans="1:66">
      <c r="A411" s="51" t="str">
        <f t="shared" si="256"/>
        <v>402452</v>
      </c>
      <c r="B411" s="1442" t="str">
        <f>'Income Eligible Deemed Table'!C551</f>
        <v>402452_2024_12_</v>
      </c>
      <c r="C411" s="1378" t="str">
        <f>'Income Eligible Deemed Table'!G551</f>
        <v>HVAC RES</v>
      </c>
      <c r="D411" s="1378"/>
      <c r="E411" s="1378"/>
      <c r="F411" s="1378"/>
      <c r="G411" s="1378" t="str">
        <f>'Income Eligible Deemed Table'!E551</f>
        <v>Duct Repair (Sealing) - Electric Heating MF Adjusted</v>
      </c>
      <c r="H411" s="19" t="str">
        <f>'Income Eligible Deemed Table'!D551</f>
        <v>MFIE</v>
      </c>
      <c r="I411" s="785">
        <f>'Income Eligible Deemed Table'!F551</f>
        <v>4.1100000000000003</v>
      </c>
      <c r="J411" s="785">
        <f t="shared" si="264"/>
        <v>0</v>
      </c>
      <c r="K411" s="888"/>
      <c r="L411" s="888"/>
      <c r="M411" s="202"/>
      <c r="N411" s="202"/>
      <c r="O411" s="786">
        <f>'Income Eligible Deemed Table'!K551</f>
        <v>1.916E-3</v>
      </c>
      <c r="P411" s="786"/>
      <c r="Q411" s="889"/>
      <c r="R411" s="889"/>
      <c r="S411" s="787"/>
      <c r="T411" s="787"/>
      <c r="U411" s="788">
        <f t="shared" si="265"/>
        <v>0</v>
      </c>
      <c r="V411" s="788">
        <f t="shared" si="266"/>
        <v>0</v>
      </c>
      <c r="W411" s="788">
        <f t="shared" si="267"/>
        <v>1.916E-3</v>
      </c>
      <c r="X411" s="23">
        <f>'Income Eligible Deemed Table'!L551</f>
        <v>20</v>
      </c>
      <c r="Y411" s="23"/>
      <c r="Z411" s="23">
        <f t="shared" si="257"/>
        <v>20</v>
      </c>
      <c r="AA411" s="18">
        <f>'Income Eligible Deemed Table'!DG551</f>
        <v>0.77854521496377072</v>
      </c>
      <c r="AB411" s="259">
        <f>'Income Eligible Deemed Table'!M551</f>
        <v>8.0376653213977498</v>
      </c>
      <c r="AC411" s="902">
        <f t="shared" si="258"/>
        <v>6.257685875454456</v>
      </c>
      <c r="AD411" s="902">
        <f t="shared" si="263"/>
        <v>0</v>
      </c>
      <c r="AE411" s="610">
        <f>'Income Eligible Deemed Table'!DI551</f>
        <v>6.257685875454456</v>
      </c>
      <c r="AF411" s="208"/>
      <c r="AG411" s="208"/>
      <c r="AH411" s="208"/>
      <c r="AI411" s="663" t="str">
        <f>AI410</f>
        <v>Units - DuctLength (ft.)</v>
      </c>
      <c r="AJ411" s="676"/>
      <c r="AK411" s="41"/>
      <c r="AL411" s="41"/>
      <c r="AX411" s="1355" t="str">
        <f t="shared" si="261"/>
        <v>Duct Repair (Sealing) - Electric Heating MF Adjusted</v>
      </c>
      <c r="AY411" s="1378"/>
      <c r="AZ411" s="1446" t="str">
        <f t="shared" si="262"/>
        <v>402452</v>
      </c>
      <c r="BA411" s="1300" t="s">
        <v>1303</v>
      </c>
      <c r="BB411" s="1300" t="s">
        <v>1303</v>
      </c>
      <c r="BC411" s="1300" t="s">
        <v>1303</v>
      </c>
      <c r="BD411" s="1300" t="s">
        <v>1303</v>
      </c>
      <c r="BE411" s="1305"/>
      <c r="BF411" s="1300" t="s">
        <v>1303</v>
      </c>
      <c r="BG411" s="1300" t="s">
        <v>1303</v>
      </c>
      <c r="BH411" s="1300" t="s">
        <v>1303</v>
      </c>
      <c r="BI411" s="1301" t="s">
        <v>1303</v>
      </c>
      <c r="BJ411" s="1305"/>
      <c r="BK411" s="1300" t="s">
        <v>1303</v>
      </c>
      <c r="BL411" s="1301" t="s">
        <v>1303</v>
      </c>
      <c r="BM411" s="1300" t="s">
        <v>1303</v>
      </c>
      <c r="BN411" s="1301" t="s">
        <v>1303</v>
      </c>
    </row>
    <row r="412" spans="1:66">
      <c r="A412" s="51" t="str">
        <f t="shared" si="256"/>
        <v>402453</v>
      </c>
      <c r="B412" s="1442" t="str">
        <f>'Income Eligible Deemed Table'!C552</f>
        <v>402453_2024_12_</v>
      </c>
      <c r="C412" s="1378" t="str">
        <f>'Income Eligible Deemed Table'!G552</f>
        <v>HVAC RES</v>
      </c>
      <c r="D412" s="1378"/>
      <c r="E412" s="1378"/>
      <c r="F412" s="1378"/>
      <c r="G412" s="1378" t="str">
        <f>'Income Eligible Deemed Table'!E552</f>
        <v>Duct Repair (Sealing) - Gas Heating  MF Adjusted</v>
      </c>
      <c r="H412" s="19" t="str">
        <f>'Income Eligible Deemed Table'!D552</f>
        <v>MFIE</v>
      </c>
      <c r="I412" s="785">
        <f>'Income Eligible Deemed Table'!F552</f>
        <v>0.87</v>
      </c>
      <c r="J412" s="785">
        <f t="shared" si="264"/>
        <v>0</v>
      </c>
      <c r="K412" s="888"/>
      <c r="L412" s="888"/>
      <c r="M412" s="202"/>
      <c r="N412" s="202"/>
      <c r="O412" s="786">
        <f>'Income Eligible Deemed Table'!K552</f>
        <v>4.0499999999999998E-4</v>
      </c>
      <c r="P412" s="786"/>
      <c r="Q412" s="889"/>
      <c r="R412" s="889"/>
      <c r="S412" s="787"/>
      <c r="T412" s="787"/>
      <c r="U412" s="788">
        <f t="shared" si="265"/>
        <v>0</v>
      </c>
      <c r="V412" s="788">
        <f t="shared" si="266"/>
        <v>0</v>
      </c>
      <c r="W412" s="788">
        <f t="shared" si="267"/>
        <v>4.0499999999999998E-4</v>
      </c>
      <c r="X412" s="23">
        <f>'Income Eligible Deemed Table'!L552</f>
        <v>20</v>
      </c>
      <c r="Y412" s="23"/>
      <c r="Z412" s="23">
        <f t="shared" si="257"/>
        <v>20</v>
      </c>
      <c r="AA412" s="18">
        <f>'Income Eligible Deemed Table'!DG552</f>
        <v>0.16480154185364487</v>
      </c>
      <c r="AB412" s="259">
        <f>'Income Eligible Deemed Table'!M552</f>
        <v>8.0376653213977498</v>
      </c>
      <c r="AC412" s="902">
        <f t="shared" si="258"/>
        <v>1.3246196378699213</v>
      </c>
      <c r="AD412" s="902">
        <f t="shared" si="263"/>
        <v>0</v>
      </c>
      <c r="AE412" s="610">
        <f>'Income Eligible Deemed Table'!DI552</f>
        <v>1.3246196378699213</v>
      </c>
      <c r="AF412" s="208"/>
      <c r="AG412" s="208"/>
      <c r="AH412" s="208"/>
      <c r="AI412" s="663" t="str">
        <f>AI411</f>
        <v>Units - DuctLength (ft.)</v>
      </c>
      <c r="AJ412" s="676"/>
      <c r="AK412" s="41"/>
      <c r="AL412" s="41"/>
      <c r="AX412" s="1355" t="str">
        <f t="shared" si="261"/>
        <v>Duct Repair (Sealing) - Gas Heating  MF Adjusted</v>
      </c>
      <c r="AY412" s="1378"/>
      <c r="AZ412" s="1446" t="str">
        <f t="shared" si="262"/>
        <v>402453</v>
      </c>
      <c r="BA412" s="1300" t="s">
        <v>1303</v>
      </c>
      <c r="BB412" s="1300" t="s">
        <v>1303</v>
      </c>
      <c r="BC412" s="1300" t="s">
        <v>1303</v>
      </c>
      <c r="BD412" s="1300" t="s">
        <v>1303</v>
      </c>
      <c r="BE412" s="1305"/>
      <c r="BF412" s="1300" t="s">
        <v>1303</v>
      </c>
      <c r="BG412" s="1300" t="s">
        <v>1303</v>
      </c>
      <c r="BH412" s="1300" t="s">
        <v>1303</v>
      </c>
      <c r="BI412" s="1301" t="s">
        <v>1303</v>
      </c>
      <c r="BJ412" s="1305"/>
      <c r="BK412" s="1300" t="s">
        <v>1303</v>
      </c>
      <c r="BL412" s="1301" t="s">
        <v>1303</v>
      </c>
      <c r="BM412" s="1300" t="s">
        <v>1303</v>
      </c>
      <c r="BN412" s="1301" t="s">
        <v>1303</v>
      </c>
    </row>
    <row r="413" spans="1:66">
      <c r="A413" s="51" t="str">
        <f t="shared" si="256"/>
        <v>402500</v>
      </c>
      <c r="B413" s="1442" t="str">
        <f>'Income Eligible Deemed Table'!C553</f>
        <v>402500_2024_12_</v>
      </c>
      <c r="C413" s="1378" t="str">
        <f>'Income Eligible Deemed Table'!G553</f>
        <v>HVAC RES</v>
      </c>
      <c r="D413" s="1378"/>
      <c r="E413" s="1378"/>
      <c r="F413" s="1378"/>
      <c r="G413" s="1378" t="str">
        <f>'Income Eligible Deemed Table'!E553</f>
        <v>Duct Repair (Sealing) - Electric Heating MH Adjusted</v>
      </c>
      <c r="H413" s="19" t="str">
        <f>'Income Eligible Deemed Table'!D553</f>
        <v>SFIE</v>
      </c>
      <c r="I413" s="785">
        <f>'Income Eligible Deemed Table'!F553</f>
        <v>6.01</v>
      </c>
      <c r="J413" s="785">
        <f t="shared" si="264"/>
        <v>0</v>
      </c>
      <c r="K413" s="888"/>
      <c r="L413" s="888"/>
      <c r="M413" s="202"/>
      <c r="N413" s="202"/>
      <c r="O413" s="786">
        <f>'Income Eligible Deemed Table'!K553</f>
        <v>2.8010000000000001E-3</v>
      </c>
      <c r="P413" s="786"/>
      <c r="Q413" s="889"/>
      <c r="R413" s="889"/>
      <c r="S413" s="787"/>
      <c r="T413" s="787"/>
      <c r="U413" s="788">
        <f t="shared" si="265"/>
        <v>0</v>
      </c>
      <c r="V413" s="788">
        <f t="shared" si="266"/>
        <v>0</v>
      </c>
      <c r="W413" s="788">
        <f t="shared" si="267"/>
        <v>2.8010000000000001E-3</v>
      </c>
      <c r="X413" s="23">
        <f>'Income Eligible Deemed Table'!L553</f>
        <v>20</v>
      </c>
      <c r="Y413" s="23"/>
      <c r="Z413" s="23">
        <f t="shared" si="257"/>
        <v>20</v>
      </c>
      <c r="AA413" s="18">
        <f>'Income Eligible Deemed Table'!DG553</f>
        <v>1.1384566282073629</v>
      </c>
      <c r="AB413" s="259">
        <f>'Income Eligible Deemed Table'!M553</f>
        <v>8.0376653213977498</v>
      </c>
      <c r="AC413" s="902">
        <f t="shared" si="258"/>
        <v>9.1505333604577324</v>
      </c>
      <c r="AD413" s="902">
        <f t="shared" si="263"/>
        <v>0</v>
      </c>
      <c r="AE413" s="610">
        <f>'Income Eligible Deemed Table'!DI553</f>
        <v>9.1505333604577324</v>
      </c>
      <c r="AF413" s="208"/>
      <c r="AG413" s="208"/>
      <c r="AH413" s="208"/>
      <c r="AI413" s="663" t="str">
        <f>AI410</f>
        <v>Units - DuctLength (ft.)</v>
      </c>
      <c r="AJ413" s="71"/>
      <c r="AX413" s="1355" t="str">
        <f t="shared" si="261"/>
        <v>Duct Repair (Sealing) - Electric Heating MH Adjusted</v>
      </c>
      <c r="AY413" s="1378"/>
      <c r="AZ413" s="1446" t="str">
        <f t="shared" si="262"/>
        <v>402500</v>
      </c>
      <c r="BA413" s="1300" t="s">
        <v>1303</v>
      </c>
      <c r="BB413" s="1300" t="s">
        <v>1303</v>
      </c>
      <c r="BC413" s="1300" t="s">
        <v>1303</v>
      </c>
      <c r="BD413" s="1300" t="s">
        <v>1303</v>
      </c>
      <c r="BE413" s="1305"/>
      <c r="BF413" s="1300" t="s">
        <v>1303</v>
      </c>
      <c r="BG413" s="1300" t="s">
        <v>1303</v>
      </c>
      <c r="BH413" s="1300" t="s">
        <v>1303</v>
      </c>
      <c r="BI413" s="1301" t="s">
        <v>1303</v>
      </c>
      <c r="BJ413" s="1305"/>
      <c r="BK413" s="1300" t="s">
        <v>1303</v>
      </c>
      <c r="BL413" s="1301" t="s">
        <v>1303</v>
      </c>
      <c r="BM413" s="1300" t="s">
        <v>1303</v>
      </c>
      <c r="BN413" s="1301" t="s">
        <v>1303</v>
      </c>
    </row>
    <row r="414" spans="1:66">
      <c r="A414" s="51" t="str">
        <f t="shared" si="256"/>
        <v>402501</v>
      </c>
      <c r="B414" s="1442" t="str">
        <f>'Income Eligible Deemed Table'!C554</f>
        <v>402501_2024_12_</v>
      </c>
      <c r="C414" s="1378" t="str">
        <f>'Income Eligible Deemed Table'!G554</f>
        <v>HVAC RES</v>
      </c>
      <c r="D414" s="1378"/>
      <c r="E414" s="1378"/>
      <c r="F414" s="1378"/>
      <c r="G414" s="1378" t="str">
        <f>'Income Eligible Deemed Table'!E554</f>
        <v>Duct Repair (Sealing) - Gas Heating  MH Adjusted</v>
      </c>
      <c r="H414" s="19" t="str">
        <f>'Income Eligible Deemed Table'!D554</f>
        <v>SFIE</v>
      </c>
      <c r="I414" s="785">
        <f>'Income Eligible Deemed Table'!F554</f>
        <v>1.19</v>
      </c>
      <c r="J414" s="785">
        <f t="shared" si="264"/>
        <v>0</v>
      </c>
      <c r="K414" s="888"/>
      <c r="L414" s="888"/>
      <c r="M414" s="202"/>
      <c r="N414" s="202"/>
      <c r="O414" s="786">
        <f>'Income Eligible Deemed Table'!K554</f>
        <v>5.5500000000000005E-4</v>
      </c>
      <c r="P414" s="786"/>
      <c r="Q414" s="889"/>
      <c r="R414" s="889"/>
      <c r="S414" s="787"/>
      <c r="T414" s="787"/>
      <c r="U414" s="788">
        <f t="shared" si="265"/>
        <v>0</v>
      </c>
      <c r="V414" s="788">
        <f t="shared" si="266"/>
        <v>0</v>
      </c>
      <c r="W414" s="788">
        <f t="shared" si="267"/>
        <v>5.5500000000000005E-4</v>
      </c>
      <c r="X414" s="23">
        <f>'Income Eligible Deemed Table'!L554</f>
        <v>20</v>
      </c>
      <c r="Y414" s="23"/>
      <c r="Z414" s="23">
        <f t="shared" si="257"/>
        <v>20</v>
      </c>
      <c r="AA414" s="18">
        <f>'Income Eligible Deemed Table'!DG554</f>
        <v>0.22541820092624987</v>
      </c>
      <c r="AB414" s="259">
        <f>'Income Eligible Deemed Table'!M554</f>
        <v>8.0376653213977498</v>
      </c>
      <c r="AC414" s="902">
        <f t="shared" si="258"/>
        <v>1.8118360563967888</v>
      </c>
      <c r="AD414" s="902">
        <f t="shared" si="263"/>
        <v>0</v>
      </c>
      <c r="AE414" s="610">
        <f>'Income Eligible Deemed Table'!DI554</f>
        <v>1.8118360563967888</v>
      </c>
      <c r="AF414" s="208"/>
      <c r="AG414" s="208"/>
      <c r="AH414" s="208"/>
      <c r="AI414" s="663" t="str">
        <f>AI413</f>
        <v>Units - DuctLength (ft.)</v>
      </c>
      <c r="AJ414" s="71"/>
      <c r="AX414" s="1355" t="str">
        <f t="shared" si="261"/>
        <v>Duct Repair (Sealing) - Gas Heating  MH Adjusted</v>
      </c>
      <c r="AY414" s="1378"/>
      <c r="AZ414" s="1446" t="str">
        <f t="shared" si="262"/>
        <v>402501</v>
      </c>
      <c r="BA414" s="1300" t="s">
        <v>1303</v>
      </c>
      <c r="BB414" s="1300" t="s">
        <v>1303</v>
      </c>
      <c r="BC414" s="1300" t="s">
        <v>1303</v>
      </c>
      <c r="BD414" s="1300" t="s">
        <v>1303</v>
      </c>
      <c r="BE414" s="1305"/>
      <c r="BF414" s="1300" t="s">
        <v>1303</v>
      </c>
      <c r="BG414" s="1300" t="s">
        <v>1303</v>
      </c>
      <c r="BH414" s="1300" t="s">
        <v>1303</v>
      </c>
      <c r="BI414" s="1301" t="s">
        <v>1303</v>
      </c>
      <c r="BJ414" s="1305"/>
      <c r="BK414" s="1300" t="s">
        <v>1303</v>
      </c>
      <c r="BL414" s="1301" t="s">
        <v>1303</v>
      </c>
      <c r="BM414" s="1300" t="s">
        <v>1303</v>
      </c>
      <c r="BN414" s="1301" t="s">
        <v>1303</v>
      </c>
    </row>
    <row r="415" spans="1:66">
      <c r="A415" s="51" t="str">
        <f t="shared" si="256"/>
        <v>402600</v>
      </c>
      <c r="B415" s="1442" t="str">
        <f>'Income Eligible Deemed Table'!C584</f>
        <v>402600_2024_12_</v>
      </c>
      <c r="C415" s="1378" t="str">
        <f>'Income Eligible Deemed Table'!G584</f>
        <v>HVAC RES</v>
      </c>
      <c r="D415" s="1378" t="str">
        <f>'Income Eligible Deemed Table'!G585</f>
        <v>HVAC RES ER2</v>
      </c>
      <c r="E415" s="1378"/>
      <c r="F415" s="1378"/>
      <c r="G415" s="1378" t="str">
        <f>'Income Eligible Deemed Table'!E584</f>
        <v>ECM Auto Fan Early Replacement ER1 (Full Cost) - SF</v>
      </c>
      <c r="H415" s="19" t="str">
        <f>'Income Eligible Deemed Table'!D584</f>
        <v>SFIE</v>
      </c>
      <c r="I415" s="785">
        <f>'Income Eligible Deemed Table'!F584</f>
        <v>579.09</v>
      </c>
      <c r="J415" s="785">
        <f>'Income Eligible Deemed Table'!F585</f>
        <v>0</v>
      </c>
      <c r="K415" s="888"/>
      <c r="L415" s="888"/>
      <c r="M415" s="202"/>
      <c r="N415" s="202"/>
      <c r="O415" s="786">
        <f>'Income Eligible Deemed Table'!M584</f>
        <v>0.269903</v>
      </c>
      <c r="P415" s="786">
        <f>'Income Eligible Deemed Table'!M585</f>
        <v>0</v>
      </c>
      <c r="Q415" s="889"/>
      <c r="R415" s="889"/>
      <c r="S415" s="787"/>
      <c r="T415" s="787"/>
      <c r="U415" s="788">
        <f t="shared" si="265"/>
        <v>0.269903</v>
      </c>
      <c r="V415" s="788">
        <f t="shared" si="266"/>
        <v>0</v>
      </c>
      <c r="W415" s="788">
        <f t="shared" si="267"/>
        <v>0</v>
      </c>
      <c r="X415" s="23">
        <f>'Income Eligible Deemed Table'!N584</f>
        <v>6</v>
      </c>
      <c r="Y415" s="23">
        <f>'Income Eligible Deemed Table'!N585</f>
        <v>0</v>
      </c>
      <c r="Z415" s="23">
        <f t="shared" si="257"/>
        <v>6</v>
      </c>
      <c r="AA415" s="18">
        <f>'Income Eligible Deemed Table'!DG584</f>
        <v>1.3748154098071015</v>
      </c>
      <c r="AB415" s="259">
        <f>'Income Eligible Deemed Table'!O584</f>
        <v>262.5</v>
      </c>
      <c r="AC415" s="902">
        <f t="shared" si="258"/>
        <v>360.88904507436416</v>
      </c>
      <c r="AD415" s="902">
        <f t="shared" si="263"/>
        <v>0</v>
      </c>
      <c r="AE415" s="610">
        <f>'Income Eligible Deemed Table'!DI584</f>
        <v>360.88904507436416</v>
      </c>
      <c r="AF415" s="208"/>
      <c r="AG415" s="905">
        <f>'Income Eligible Deemed Table'!DI585</f>
        <v>0</v>
      </c>
      <c r="AH415" s="208"/>
      <c r="AI415" s="909" t="str">
        <f>'Income Eligible Deemed Table'!P584</f>
        <v>per measure</v>
      </c>
      <c r="AJ415" s="71"/>
      <c r="AX415" s="1355" t="str">
        <f t="shared" si="261"/>
        <v>ECM Auto Fan Early Replacement ER1 (Full Cost) - SF</v>
      </c>
      <c r="AY415" s="1378"/>
      <c r="AZ415" s="1446" t="str">
        <f t="shared" si="262"/>
        <v>402600</v>
      </c>
      <c r="BA415" s="1300" t="s">
        <v>1303</v>
      </c>
      <c r="BB415" s="1300" t="s">
        <v>1303</v>
      </c>
      <c r="BC415" s="1300" t="s">
        <v>1303</v>
      </c>
      <c r="BD415" s="1300" t="s">
        <v>1303</v>
      </c>
      <c r="BE415" s="1305"/>
      <c r="BF415" s="1300" t="s">
        <v>1303</v>
      </c>
      <c r="BG415" s="1300" t="s">
        <v>1303</v>
      </c>
      <c r="BH415" s="1300" t="s">
        <v>1303</v>
      </c>
      <c r="BI415" s="1301" t="s">
        <v>1303</v>
      </c>
      <c r="BJ415" s="1305"/>
      <c r="BK415" s="1300" t="s">
        <v>1303</v>
      </c>
      <c r="BL415" s="1301" t="s">
        <v>1303</v>
      </c>
      <c r="BM415" s="1300" t="s">
        <v>1303</v>
      </c>
      <c r="BN415" s="1301" t="s">
        <v>1303</v>
      </c>
    </row>
    <row r="416" spans="1:66" s="696" customFormat="1">
      <c r="A416" s="2958" t="str">
        <f t="shared" ref="A416:A470" si="268">LEFT(B416,6)</f>
        <v>402700</v>
      </c>
      <c r="B416" s="2233" t="str">
        <f>'Income Eligible Deemed Table'!C586</f>
        <v>402700_2024_12_</v>
      </c>
      <c r="C416" s="2724" t="str">
        <f>'Income Eligible Deemed Table'!G586</f>
        <v>HVAC RES</v>
      </c>
      <c r="D416" s="2724" t="str">
        <f>'Income Eligible Deemed Table'!G587</f>
        <v>HVAC RES ER2</v>
      </c>
      <c r="E416" s="2724"/>
      <c r="F416" s="2724"/>
      <c r="G416" s="2724" t="str">
        <f>'Income Eligible Deemed Table'!E586</f>
        <v>ECM Continous Fan Early Replacement ER1 (Full Cost) - SF</v>
      </c>
      <c r="H416" s="2554" t="str">
        <f>'Income Eligible Deemed Table'!D586</f>
        <v>SFIE</v>
      </c>
      <c r="I416" s="3840">
        <f>'Income Eligible Deemed Table'!F586</f>
        <v>579.09</v>
      </c>
      <c r="J416" s="3840">
        <f>'Income Eligible Deemed Table'!F587</f>
        <v>0</v>
      </c>
      <c r="K416" s="3897"/>
      <c r="L416" s="3897"/>
      <c r="M416" s="3251"/>
      <c r="N416" s="3251"/>
      <c r="O416" s="3841">
        <f>'Income Eligible Deemed Table'!M586</f>
        <v>0.269903</v>
      </c>
      <c r="P416" s="3841">
        <f>'Income Eligible Deemed Table'!M587</f>
        <v>0</v>
      </c>
      <c r="Q416" s="3898"/>
      <c r="R416" s="3898"/>
      <c r="S416" s="3842"/>
      <c r="T416" s="3842"/>
      <c r="U416" s="3843">
        <f t="shared" si="265"/>
        <v>0.269903</v>
      </c>
      <c r="V416" s="3843">
        <f t="shared" si="266"/>
        <v>0</v>
      </c>
      <c r="W416" s="3843">
        <f t="shared" si="267"/>
        <v>0</v>
      </c>
      <c r="X416" s="2846">
        <f>'Income Eligible Deemed Table'!N586</f>
        <v>6</v>
      </c>
      <c r="Y416" s="2846">
        <f>'Income Eligible Deemed Table'!N587</f>
        <v>0</v>
      </c>
      <c r="Z416" s="2846">
        <f t="shared" ref="Z416:Z470" si="269">Y416+X416</f>
        <v>6</v>
      </c>
      <c r="AA416" s="2529">
        <f>'Income Eligible Deemed Table'!DG586</f>
        <v>1.3748154098071015</v>
      </c>
      <c r="AB416" s="3878">
        <f>'Income Eligible Deemed Table'!O586</f>
        <v>262.5</v>
      </c>
      <c r="AC416" s="3864">
        <f t="shared" ref="AC416:AC470" si="270">AE416+AF416</f>
        <v>360.88904507436416</v>
      </c>
      <c r="AD416" s="3864">
        <f t="shared" si="263"/>
        <v>0</v>
      </c>
      <c r="AE416" s="3865">
        <f>'Income Eligible Deemed Table'!DI586</f>
        <v>360.88904507436416</v>
      </c>
      <c r="AF416" s="3846"/>
      <c r="AG416" s="3870">
        <f>'Income Eligible Deemed Table'!DI587</f>
        <v>0</v>
      </c>
      <c r="AH416" s="3846"/>
      <c r="AI416" s="3899" t="str">
        <f>'Income Eligible Deemed Table'!P586</f>
        <v>per measure</v>
      </c>
      <c r="AJ416" s="2724"/>
      <c r="AX416" s="3849" t="str">
        <f t="shared" si="261"/>
        <v>ECM Continous Fan Early Replacement ER1 (Full Cost) - SF</v>
      </c>
      <c r="AY416" s="2724"/>
      <c r="AZ416" s="3850" t="str">
        <f t="shared" si="262"/>
        <v>402700</v>
      </c>
      <c r="BA416" s="3866" t="s">
        <v>1303</v>
      </c>
      <c r="BB416" s="3866" t="s">
        <v>1303</v>
      </c>
      <c r="BC416" s="3866" t="s">
        <v>1303</v>
      </c>
      <c r="BD416" s="3866" t="s">
        <v>1303</v>
      </c>
      <c r="BE416" s="3853"/>
      <c r="BF416" s="3866" t="s">
        <v>1303</v>
      </c>
      <c r="BG416" s="3866" t="s">
        <v>1303</v>
      </c>
      <c r="BH416" s="3866" t="s">
        <v>1303</v>
      </c>
      <c r="BI416" s="3867" t="s">
        <v>1303</v>
      </c>
      <c r="BJ416" s="3853"/>
      <c r="BK416" s="3866" t="s">
        <v>1303</v>
      </c>
      <c r="BL416" s="3867" t="s">
        <v>1303</v>
      </c>
      <c r="BM416" s="3866" t="s">
        <v>1303</v>
      </c>
      <c r="BN416" s="3867" t="s">
        <v>1303</v>
      </c>
    </row>
    <row r="417" spans="1:66">
      <c r="A417" s="51" t="str">
        <f t="shared" si="268"/>
        <v>402800</v>
      </c>
      <c r="B417" s="1442" t="str">
        <f>'Income Eligible Deemed Table'!C588</f>
        <v>402800_2024_12_</v>
      </c>
      <c r="C417" s="1378" t="str">
        <f>'Income Eligible Deemed Table'!G588</f>
        <v>HVAC RES</v>
      </c>
      <c r="D417" s="1378" t="str">
        <f>'Income Eligible Deemed Table'!G589</f>
        <v>HVAC RES ER2</v>
      </c>
      <c r="E417" s="1378"/>
      <c r="F417" s="1378"/>
      <c r="G417" s="1378" t="str">
        <f>'Income Eligible Deemed Table'!E588</f>
        <v>ECM Auto Fan Early Replacement ER1 (Full Cost) - MF</v>
      </c>
      <c r="H417" s="19" t="str">
        <f>'Income Eligible Deemed Table'!D588</f>
        <v>MFIE</v>
      </c>
      <c r="I417" s="785">
        <f>'Income Eligible Deemed Table'!F588</f>
        <v>579.09</v>
      </c>
      <c r="J417" s="785">
        <f>'Income Eligible Deemed Table'!F589</f>
        <v>0</v>
      </c>
      <c r="K417" s="888"/>
      <c r="L417" s="888"/>
      <c r="M417" s="202"/>
      <c r="N417" s="202"/>
      <c r="O417" s="786">
        <f>'Income Eligible Deemed Table'!M588</f>
        <v>0.269903</v>
      </c>
      <c r="P417" s="786">
        <f>'Income Eligible Deemed Table'!M589</f>
        <v>0</v>
      </c>
      <c r="Q417" s="889"/>
      <c r="R417" s="889"/>
      <c r="S417" s="787"/>
      <c r="T417" s="787"/>
      <c r="U417" s="788">
        <f t="shared" si="265"/>
        <v>0.269903</v>
      </c>
      <c r="V417" s="788">
        <f t="shared" si="266"/>
        <v>0</v>
      </c>
      <c r="W417" s="788">
        <f t="shared" si="267"/>
        <v>0</v>
      </c>
      <c r="X417" s="23">
        <f>'Income Eligible Deemed Table'!N588</f>
        <v>6</v>
      </c>
      <c r="Y417" s="23">
        <f>'Income Eligible Deemed Table'!N589</f>
        <v>0</v>
      </c>
      <c r="Z417" s="23">
        <f t="shared" si="269"/>
        <v>6</v>
      </c>
      <c r="AA417" s="18">
        <f>'Income Eligible Deemed Table'!DG588</f>
        <v>1.3748154098071015</v>
      </c>
      <c r="AB417" s="259">
        <f>'Income Eligible Deemed Table'!O588</f>
        <v>262.5</v>
      </c>
      <c r="AC417" s="902">
        <f t="shared" si="270"/>
        <v>360.88904507436416</v>
      </c>
      <c r="AD417" s="902">
        <f t="shared" si="263"/>
        <v>0</v>
      </c>
      <c r="AE417" s="610">
        <f>'Income Eligible Deemed Table'!DI588</f>
        <v>360.88904507436416</v>
      </c>
      <c r="AF417" s="208"/>
      <c r="AG417" s="905">
        <f>'Income Eligible Deemed Table'!DI589</f>
        <v>0</v>
      </c>
      <c r="AH417" s="208"/>
      <c r="AI417" s="909" t="str">
        <f>'Income Eligible Deemed Table'!P588</f>
        <v>per measure</v>
      </c>
      <c r="AJ417" s="71"/>
      <c r="AX417" s="1355" t="str">
        <f t="shared" si="261"/>
        <v>ECM Auto Fan Early Replacement ER1 (Full Cost) - MF</v>
      </c>
      <c r="AY417" s="1378"/>
      <c r="AZ417" s="1446" t="str">
        <f t="shared" si="262"/>
        <v>402800</v>
      </c>
      <c r="BA417" s="1300" t="s">
        <v>1303</v>
      </c>
      <c r="BB417" s="1300" t="s">
        <v>1303</v>
      </c>
      <c r="BC417" s="1300" t="s">
        <v>1303</v>
      </c>
      <c r="BD417" s="1300" t="s">
        <v>1303</v>
      </c>
      <c r="BE417" s="1305"/>
      <c r="BF417" s="1300" t="s">
        <v>1303</v>
      </c>
      <c r="BG417" s="1300" t="s">
        <v>1303</v>
      </c>
      <c r="BH417" s="1300" t="s">
        <v>1303</v>
      </c>
      <c r="BI417" s="1301" t="s">
        <v>1303</v>
      </c>
      <c r="BJ417" s="1305"/>
      <c r="BK417" s="1300" t="s">
        <v>1303</v>
      </c>
      <c r="BL417" s="1301" t="s">
        <v>1303</v>
      </c>
      <c r="BM417" s="1300" t="s">
        <v>1303</v>
      </c>
      <c r="BN417" s="1301" t="s">
        <v>1303</v>
      </c>
    </row>
    <row r="418" spans="1:66" s="696" customFormat="1">
      <c r="A418" s="2958" t="str">
        <f t="shared" si="268"/>
        <v>402900</v>
      </c>
      <c r="B418" s="2233" t="str">
        <f>'Income Eligible Deemed Table'!C590</f>
        <v>402900_2024_12_</v>
      </c>
      <c r="C418" s="2724" t="str">
        <f>'Income Eligible Deemed Table'!G590</f>
        <v>HVAC RES</v>
      </c>
      <c r="D418" s="2724" t="str">
        <f>'Income Eligible Deemed Table'!G591</f>
        <v>HVAC RES ER2</v>
      </c>
      <c r="E418" s="2724"/>
      <c r="F418" s="2724"/>
      <c r="G418" s="2724" t="str">
        <f>'Income Eligible Deemed Table'!E590</f>
        <v>ECM Continous Fan Early Replacement ER1 (Full Cost) - MF</v>
      </c>
      <c r="H418" s="2554" t="str">
        <f>'Income Eligible Deemed Table'!D590</f>
        <v>MFIE</v>
      </c>
      <c r="I418" s="3840">
        <f>'Income Eligible Deemed Table'!F590</f>
        <v>579.09</v>
      </c>
      <c r="J418" s="3840">
        <f>'Income Eligible Deemed Table'!F591</f>
        <v>0</v>
      </c>
      <c r="K418" s="3897"/>
      <c r="L418" s="3897"/>
      <c r="M418" s="3251"/>
      <c r="N418" s="3251"/>
      <c r="O418" s="3841">
        <f>'Income Eligible Deemed Table'!M590</f>
        <v>0.269903</v>
      </c>
      <c r="P418" s="3841">
        <f>'Income Eligible Deemed Table'!M591</f>
        <v>0</v>
      </c>
      <c r="Q418" s="3898"/>
      <c r="R418" s="3898"/>
      <c r="S418" s="3842"/>
      <c r="T418" s="3842"/>
      <c r="U418" s="3843">
        <f t="shared" si="265"/>
        <v>0.269903</v>
      </c>
      <c r="V418" s="3843">
        <f t="shared" si="266"/>
        <v>0</v>
      </c>
      <c r="W418" s="3843">
        <f t="shared" si="267"/>
        <v>0</v>
      </c>
      <c r="X418" s="2846">
        <f>'Income Eligible Deemed Table'!N590</f>
        <v>6</v>
      </c>
      <c r="Y418" s="2846">
        <f>'Income Eligible Deemed Table'!N591</f>
        <v>0</v>
      </c>
      <c r="Z418" s="2846">
        <f t="shared" si="269"/>
        <v>6</v>
      </c>
      <c r="AA418" s="2529">
        <f>'Income Eligible Deemed Table'!DG590</f>
        <v>1.3748154098071015</v>
      </c>
      <c r="AB418" s="3878">
        <f>'Income Eligible Deemed Table'!O590</f>
        <v>262.5</v>
      </c>
      <c r="AC418" s="3864">
        <f t="shared" si="270"/>
        <v>360.88904507436416</v>
      </c>
      <c r="AD418" s="3864">
        <f t="shared" si="263"/>
        <v>0</v>
      </c>
      <c r="AE418" s="3865">
        <f>'Income Eligible Deemed Table'!DI590</f>
        <v>360.88904507436416</v>
      </c>
      <c r="AF418" s="3846"/>
      <c r="AG418" s="3870">
        <f>'Income Eligible Deemed Table'!DI591</f>
        <v>0</v>
      </c>
      <c r="AH418" s="3846"/>
      <c r="AI418" s="3899" t="str">
        <f>'Income Eligible Deemed Table'!P590</f>
        <v>per measure</v>
      </c>
      <c r="AJ418" s="2724"/>
      <c r="AX418" s="3849" t="str">
        <f t="shared" si="261"/>
        <v>ECM Continous Fan Early Replacement ER1 (Full Cost) - MF</v>
      </c>
      <c r="AY418" s="2724"/>
      <c r="AZ418" s="3850" t="str">
        <f t="shared" si="262"/>
        <v>402900</v>
      </c>
      <c r="BA418" s="3866" t="s">
        <v>1303</v>
      </c>
      <c r="BB418" s="3866" t="s">
        <v>1303</v>
      </c>
      <c r="BC418" s="3866" t="s">
        <v>1303</v>
      </c>
      <c r="BD418" s="3866" t="s">
        <v>1303</v>
      </c>
      <c r="BE418" s="3853"/>
      <c r="BF418" s="3866" t="s">
        <v>1303</v>
      </c>
      <c r="BG418" s="3866" t="s">
        <v>1303</v>
      </c>
      <c r="BH418" s="3866" t="s">
        <v>1303</v>
      </c>
      <c r="BI418" s="3867" t="s">
        <v>1303</v>
      </c>
      <c r="BJ418" s="3853"/>
      <c r="BK418" s="3866" t="s">
        <v>1303</v>
      </c>
      <c r="BL418" s="3867" t="s">
        <v>1303</v>
      </c>
      <c r="BM418" s="3866" t="s">
        <v>1303</v>
      </c>
      <c r="BN418" s="3867" t="s">
        <v>1303</v>
      </c>
    </row>
    <row r="419" spans="1:66" s="696" customFormat="1">
      <c r="A419" s="2958" t="str">
        <f t="shared" si="268"/>
        <v>402950</v>
      </c>
      <c r="B419" s="2233" t="str">
        <f>'Income Eligible Deemed Table'!C639</f>
        <v>402950_2019_12_</v>
      </c>
      <c r="C419" s="2724" t="str">
        <f>'Income Eligible Deemed Table'!G639</f>
        <v>Cooling RES</v>
      </c>
      <c r="D419" s="2724" t="str">
        <f>'Income Eligible Deemed Table'!G640</f>
        <v>Heating RES</v>
      </c>
      <c r="E419" s="2724"/>
      <c r="F419" s="2724"/>
      <c r="G419" s="2724" t="str">
        <f>'Income Eligible Deemed Table'!E639</f>
        <v>General HP tune-up (no charge or coil clean)</v>
      </c>
      <c r="H419" s="2554" t="str">
        <f>'Income Eligible Deemed Table'!D639</f>
        <v>SFIE</v>
      </c>
      <c r="I419" s="3840">
        <f t="shared" ref="I419:I432" si="271">K419+L419</f>
        <v>255.78</v>
      </c>
      <c r="J419" s="3840">
        <f t="shared" ref="J419:J432" si="272">M419+N419</f>
        <v>0</v>
      </c>
      <c r="K419" s="3251">
        <f>'Income Eligible Deemed Table'!F639</f>
        <v>141.72</v>
      </c>
      <c r="L419" s="3251">
        <f>'Income Eligible Deemed Table'!F640</f>
        <v>114.06</v>
      </c>
      <c r="M419" s="3251"/>
      <c r="N419" s="3251"/>
      <c r="O419" s="3841">
        <f t="shared" ref="O419:O432" si="273">Q419+R419</f>
        <v>0.134268</v>
      </c>
      <c r="P419" s="3841">
        <f t="shared" ref="P419:P432" si="274">S419+T419</f>
        <v>0</v>
      </c>
      <c r="Q419" s="3842">
        <f>'Income Eligible Deemed Table'!I639</f>
        <v>0.134268</v>
      </c>
      <c r="R419" s="3842">
        <f>'Income Eligible Deemed Table'!I640</f>
        <v>0</v>
      </c>
      <c r="S419" s="3842"/>
      <c r="T419" s="3842"/>
      <c r="U419" s="3843">
        <f t="shared" si="265"/>
        <v>0.134268</v>
      </c>
      <c r="V419" s="3843">
        <f t="shared" si="266"/>
        <v>0</v>
      </c>
      <c r="W419" s="3843">
        <f t="shared" si="267"/>
        <v>0</v>
      </c>
      <c r="X419" s="2846">
        <f>'Income Eligible Deemed Table'!J639</f>
        <v>2</v>
      </c>
      <c r="Y419" s="2846"/>
      <c r="Z419" s="2846">
        <f t="shared" si="269"/>
        <v>2</v>
      </c>
      <c r="AA419" s="2529">
        <f>'Income Eligible Deemed Table'!DG639</f>
        <v>0.92937262898050876</v>
      </c>
      <c r="AB419" s="3878">
        <f>'Income Eligible Deemed Table'!K639</f>
        <v>70</v>
      </c>
      <c r="AC419" s="3864">
        <f t="shared" si="270"/>
        <v>65.05608402863561</v>
      </c>
      <c r="AD419" s="3864">
        <f t="shared" si="263"/>
        <v>0</v>
      </c>
      <c r="AE419" s="3865">
        <f>'Income Eligible Deemed Table'!DI639</f>
        <v>52.991047468025485</v>
      </c>
      <c r="AF419" s="3846">
        <f>'Income Eligible Deemed Table'!DI640</f>
        <v>12.065036560610121</v>
      </c>
      <c r="AG419" s="3846"/>
      <c r="AH419" s="3846"/>
      <c r="AI419" s="2233" t="str">
        <f>'Income Eligible Deemed Table'!L639</f>
        <v>per measure</v>
      </c>
      <c r="AJ419" s="2724"/>
      <c r="AX419" s="3849" t="str">
        <f t="shared" si="261"/>
        <v>General HP tune-up (no charge or coil clean)</v>
      </c>
      <c r="AY419" s="2724"/>
      <c r="AZ419" s="3850" t="str">
        <f t="shared" si="262"/>
        <v>402950</v>
      </c>
      <c r="BA419" s="3866" t="s">
        <v>1303</v>
      </c>
      <c r="BB419" s="3866" t="s">
        <v>1303</v>
      </c>
      <c r="BC419" s="3866" t="s">
        <v>1303</v>
      </c>
      <c r="BD419" s="3866" t="s">
        <v>1303</v>
      </c>
      <c r="BE419" s="3853"/>
      <c r="BF419" s="3866" t="s">
        <v>1303</v>
      </c>
      <c r="BG419" s="3866" t="s">
        <v>1303</v>
      </c>
      <c r="BH419" s="3866" t="s">
        <v>1303</v>
      </c>
      <c r="BI419" s="3867" t="s">
        <v>1303</v>
      </c>
      <c r="BJ419" s="3853"/>
      <c r="BK419" s="3866" t="s">
        <v>1303</v>
      </c>
      <c r="BL419" s="3867" t="s">
        <v>1303</v>
      </c>
      <c r="BM419" s="3866" t="s">
        <v>1303</v>
      </c>
      <c r="BN419" s="3867" t="s">
        <v>1303</v>
      </c>
    </row>
    <row r="420" spans="1:66" s="696" customFormat="1">
      <c r="A420" s="2958" t="str">
        <f t="shared" si="268"/>
        <v>403000</v>
      </c>
      <c r="B420" s="2233" t="str">
        <f>'Income Eligible Deemed Table'!C641</f>
        <v>403000_2019_12_</v>
      </c>
      <c r="C420" s="2724" t="str">
        <f>'Income Eligible Deemed Table'!G641</f>
        <v>Cooling RES</v>
      </c>
      <c r="D420" s="2724" t="str">
        <f>'Income Eligible Deemed Table'!G642</f>
        <v>Heating RES</v>
      </c>
      <c r="E420" s="2724"/>
      <c r="F420" s="2724"/>
      <c r="G420" s="2724" t="str">
        <f>'Income Eligible Deemed Table'!E641</f>
        <v>General HP tune-up (no charge or coil clean)</v>
      </c>
      <c r="H420" s="2554" t="str">
        <f>'Income Eligible Deemed Table'!D641</f>
        <v>MFIE</v>
      </c>
      <c r="I420" s="3840">
        <f t="shared" si="271"/>
        <v>157.53</v>
      </c>
      <c r="J420" s="3840">
        <f t="shared" si="272"/>
        <v>0</v>
      </c>
      <c r="K420" s="3251">
        <f>'Income Eligible Deemed Table'!F641</f>
        <v>87.28</v>
      </c>
      <c r="L420" s="3251">
        <f>'Income Eligible Deemed Table'!F642</f>
        <v>70.25</v>
      </c>
      <c r="M420" s="3251"/>
      <c r="N420" s="3251"/>
      <c r="O420" s="3841">
        <f t="shared" si="273"/>
        <v>8.2691000000000001E-2</v>
      </c>
      <c r="P420" s="3841">
        <f t="shared" si="274"/>
        <v>0</v>
      </c>
      <c r="Q420" s="3842">
        <f>'Income Eligible Deemed Table'!I641</f>
        <v>8.2691000000000001E-2</v>
      </c>
      <c r="R420" s="3842">
        <f>'Income Eligible Deemed Table'!I642</f>
        <v>0</v>
      </c>
      <c r="S420" s="3842"/>
      <c r="T420" s="3842"/>
      <c r="U420" s="3843">
        <f t="shared" si="265"/>
        <v>8.2691000000000001E-2</v>
      </c>
      <c r="V420" s="3843">
        <f t="shared" si="266"/>
        <v>0</v>
      </c>
      <c r="W420" s="3843">
        <f t="shared" si="267"/>
        <v>0</v>
      </c>
      <c r="X420" s="2846">
        <f>'Income Eligible Deemed Table'!J641</f>
        <v>2</v>
      </c>
      <c r="Y420" s="2846"/>
      <c r="Z420" s="2846">
        <f t="shared" si="269"/>
        <v>2</v>
      </c>
      <c r="AA420" s="2529">
        <f>'Income Eligible Deemed Table'!DG641</f>
        <v>0.57237270914039817</v>
      </c>
      <c r="AB420" s="3878">
        <f>'Income Eligible Deemed Table'!K641</f>
        <v>70</v>
      </c>
      <c r="AC420" s="3864">
        <f t="shared" si="270"/>
        <v>40.066089639827872</v>
      </c>
      <c r="AD420" s="3864">
        <f t="shared" si="263"/>
        <v>0</v>
      </c>
      <c r="AE420" s="3865">
        <f>'Income Eligible Deemed Table'!DI641</f>
        <v>32.635186445168387</v>
      </c>
      <c r="AF420" s="3846">
        <f>'Income Eligible Deemed Table'!DI642</f>
        <v>7.4309031946594866</v>
      </c>
      <c r="AG420" s="3846"/>
      <c r="AH420" s="3846"/>
      <c r="AI420" s="2233" t="str">
        <f>'Income Eligible Deemed Table'!L641</f>
        <v>per measure</v>
      </c>
      <c r="AJ420" s="2724"/>
      <c r="AX420" s="3849" t="str">
        <f t="shared" si="261"/>
        <v>General HP tune-up (no charge or coil clean)</v>
      </c>
      <c r="AY420" s="2724"/>
      <c r="AZ420" s="3850" t="str">
        <f t="shared" si="262"/>
        <v>403000</v>
      </c>
      <c r="BA420" s="3866" t="s">
        <v>1303</v>
      </c>
      <c r="BB420" s="3866" t="s">
        <v>1303</v>
      </c>
      <c r="BC420" s="3866" t="s">
        <v>1303</v>
      </c>
      <c r="BD420" s="3866" t="s">
        <v>1303</v>
      </c>
      <c r="BE420" s="3853"/>
      <c r="BF420" s="3866" t="s">
        <v>1303</v>
      </c>
      <c r="BG420" s="3866" t="s">
        <v>1303</v>
      </c>
      <c r="BH420" s="3866" t="s">
        <v>1303</v>
      </c>
      <c r="BI420" s="3867" t="s">
        <v>1303</v>
      </c>
      <c r="BJ420" s="3853"/>
      <c r="BK420" s="3866" t="s">
        <v>1303</v>
      </c>
      <c r="BL420" s="3867" t="s">
        <v>1303</v>
      </c>
      <c r="BM420" s="3866" t="s">
        <v>1303</v>
      </c>
      <c r="BN420" s="3867" t="s">
        <v>1303</v>
      </c>
    </row>
    <row r="421" spans="1:66" s="696" customFormat="1">
      <c r="A421" s="2958" t="str">
        <f t="shared" si="268"/>
        <v>403050</v>
      </c>
      <c r="B421" s="2233" t="str">
        <f>'Income Eligible Deemed Table'!C643</f>
        <v>403050_2019_12_</v>
      </c>
      <c r="C421" s="2724" t="str">
        <f>'Income Eligible Deemed Table'!G643</f>
        <v>Cooling RES</v>
      </c>
      <c r="D421" s="2724" t="str">
        <f>'Income Eligible Deemed Table'!G644</f>
        <v>Heating RES</v>
      </c>
      <c r="E421" s="2724"/>
      <c r="F421" s="2724"/>
      <c r="G421" s="2724" t="str">
        <f>'Income Eligible Deemed Table'!E643</f>
        <v>HP tune-up / Refrigerant charge SF</v>
      </c>
      <c r="H421" s="2554" t="str">
        <f>'Income Eligible Deemed Table'!D643</f>
        <v>SFIE</v>
      </c>
      <c r="I421" s="3840">
        <f t="shared" si="271"/>
        <v>1140.18</v>
      </c>
      <c r="J421" s="3840">
        <f t="shared" si="272"/>
        <v>0</v>
      </c>
      <c r="K421" s="3251">
        <f>'Income Eligible Deemed Table'!F643</f>
        <v>591.08000000000004</v>
      </c>
      <c r="L421" s="3251">
        <f>'Income Eligible Deemed Table'!F644</f>
        <v>549.1</v>
      </c>
      <c r="M421" s="3251"/>
      <c r="N421" s="3251"/>
      <c r="O421" s="3841">
        <f t="shared" si="273"/>
        <v>0.56000000000000005</v>
      </c>
      <c r="P421" s="3841">
        <f t="shared" si="274"/>
        <v>0</v>
      </c>
      <c r="Q421" s="3842">
        <f>'Income Eligible Deemed Table'!I643</f>
        <v>0.56000000000000005</v>
      </c>
      <c r="R421" s="3842">
        <f>'Income Eligible Deemed Table'!I644</f>
        <v>0</v>
      </c>
      <c r="S421" s="3842"/>
      <c r="T421" s="3842"/>
      <c r="U421" s="3843">
        <f t="shared" si="265"/>
        <v>0.56000000000000005</v>
      </c>
      <c r="V421" s="3843">
        <f t="shared" si="266"/>
        <v>0</v>
      </c>
      <c r="W421" s="3843">
        <f t="shared" si="267"/>
        <v>0</v>
      </c>
      <c r="X421" s="2846">
        <f>'Income Eligible Deemed Table'!J643</f>
        <v>2</v>
      </c>
      <c r="Y421" s="2846"/>
      <c r="Z421" s="2846">
        <f t="shared" si="269"/>
        <v>2</v>
      </c>
      <c r="AA421" s="2529">
        <f>'Income Eligible Deemed Table'!DG643</f>
        <v>3.445624575940375</v>
      </c>
      <c r="AB421" s="3878">
        <f>'Income Eligible Deemed Table'!K643</f>
        <v>81</v>
      </c>
      <c r="AC421" s="3864">
        <f t="shared" si="270"/>
        <v>279.09559065117037</v>
      </c>
      <c r="AD421" s="3864">
        <f t="shared" si="263"/>
        <v>0</v>
      </c>
      <c r="AE421" s="3865">
        <f>'Income Eligible Deemed Table'!DI643</f>
        <v>221.01290105419491</v>
      </c>
      <c r="AF421" s="3846">
        <f>'Income Eligible Deemed Table'!DI644</f>
        <v>58.082689596975435</v>
      </c>
      <c r="AG421" s="3846"/>
      <c r="AH421" s="3846"/>
      <c r="AI421" s="2233" t="str">
        <f>'Income Eligible Deemed Table'!L643</f>
        <v>per measure</v>
      </c>
      <c r="AJ421" s="2724"/>
      <c r="AX421" s="3849" t="str">
        <f t="shared" si="261"/>
        <v>HP tune-up / Refrigerant charge SF</v>
      </c>
      <c r="AY421" s="2724"/>
      <c r="AZ421" s="3850" t="str">
        <f t="shared" si="262"/>
        <v>403050</v>
      </c>
      <c r="BA421" s="3866" t="s">
        <v>1303</v>
      </c>
      <c r="BB421" s="3866" t="s">
        <v>1303</v>
      </c>
      <c r="BC421" s="3866" t="s">
        <v>1303</v>
      </c>
      <c r="BD421" s="3866" t="s">
        <v>1303</v>
      </c>
      <c r="BE421" s="3853"/>
      <c r="BF421" s="3866" t="s">
        <v>1303</v>
      </c>
      <c r="BG421" s="3866" t="s">
        <v>1303</v>
      </c>
      <c r="BH421" s="3866" t="s">
        <v>1303</v>
      </c>
      <c r="BI421" s="3867" t="s">
        <v>1303</v>
      </c>
      <c r="BJ421" s="3853"/>
      <c r="BK421" s="3866" t="s">
        <v>1303</v>
      </c>
      <c r="BL421" s="3867" t="s">
        <v>1303</v>
      </c>
      <c r="BM421" s="3866" t="s">
        <v>1303</v>
      </c>
      <c r="BN421" s="3867" t="s">
        <v>1303</v>
      </c>
    </row>
    <row r="422" spans="1:66" s="696" customFormat="1">
      <c r="A422" s="2958" t="str">
        <f t="shared" si="268"/>
        <v>403100</v>
      </c>
      <c r="B422" s="2233" t="str">
        <f>'Income Eligible Deemed Table'!C645</f>
        <v>403100_2019_12_</v>
      </c>
      <c r="C422" s="2724" t="str">
        <f>'Income Eligible Deemed Table'!G645</f>
        <v>Cooling RES</v>
      </c>
      <c r="D422" s="2724" t="str">
        <f>'Income Eligible Deemed Table'!G646</f>
        <v>Heating RES</v>
      </c>
      <c r="E422" s="2724"/>
      <c r="F422" s="2724"/>
      <c r="G422" s="2724" t="str">
        <f>'Income Eligible Deemed Table'!E645</f>
        <v>HP tune-up / Refrigerant charge MF</v>
      </c>
      <c r="H422" s="2554" t="str">
        <f>'Income Eligible Deemed Table'!D645</f>
        <v>MFIE</v>
      </c>
      <c r="I422" s="3840">
        <f t="shared" si="271"/>
        <v>702.21</v>
      </c>
      <c r="J422" s="3840">
        <f t="shared" si="272"/>
        <v>0</v>
      </c>
      <c r="K422" s="3251">
        <f>'Income Eligible Deemed Table'!F645</f>
        <v>364.03</v>
      </c>
      <c r="L422" s="3251">
        <f>'Income Eligible Deemed Table'!F646</f>
        <v>338.18</v>
      </c>
      <c r="M422" s="3251"/>
      <c r="N422" s="3251"/>
      <c r="O422" s="3841">
        <f t="shared" si="273"/>
        <v>0.344889</v>
      </c>
      <c r="P422" s="3841">
        <f t="shared" si="274"/>
        <v>0</v>
      </c>
      <c r="Q422" s="3842">
        <f>'Income Eligible Deemed Table'!I645</f>
        <v>0.344889</v>
      </c>
      <c r="R422" s="3842">
        <f>'Income Eligible Deemed Table'!I646</f>
        <v>0</v>
      </c>
      <c r="S422" s="3842"/>
      <c r="T422" s="3842"/>
      <c r="U422" s="3843">
        <f t="shared" si="265"/>
        <v>0.344889</v>
      </c>
      <c r="V422" s="3843">
        <f t="shared" si="266"/>
        <v>0</v>
      </c>
      <c r="W422" s="3843">
        <f t="shared" si="267"/>
        <v>0</v>
      </c>
      <c r="X422" s="2846">
        <f>'Income Eligible Deemed Table'!J645</f>
        <v>2</v>
      </c>
      <c r="Y422" s="2846"/>
      <c r="Z422" s="2846">
        <f t="shared" si="269"/>
        <v>2</v>
      </c>
      <c r="AA422" s="2529">
        <f>'Income Eligible Deemed Table'!DG645</f>
        <v>2.1220715627570024</v>
      </c>
      <c r="AB422" s="3878">
        <f>'Income Eligible Deemed Table'!K645</f>
        <v>81</v>
      </c>
      <c r="AC422" s="3864">
        <f t="shared" si="270"/>
        <v>171.8877965833172</v>
      </c>
      <c r="AD422" s="3864">
        <f t="shared" si="263"/>
        <v>0</v>
      </c>
      <c r="AE422" s="3865">
        <f>'Income Eligible Deemed Table'!DI645</f>
        <v>136.1157988271614</v>
      </c>
      <c r="AF422" s="3846">
        <f>'Income Eligible Deemed Table'!DI646</f>
        <v>35.771997756155805</v>
      </c>
      <c r="AG422" s="3846"/>
      <c r="AH422" s="3846"/>
      <c r="AI422" s="2233" t="str">
        <f>'Income Eligible Deemed Table'!L645</f>
        <v>per measure</v>
      </c>
      <c r="AJ422" s="2724"/>
      <c r="AX422" s="3849" t="str">
        <f t="shared" si="261"/>
        <v>HP tune-up / Refrigerant charge MF</v>
      </c>
      <c r="AY422" s="2724"/>
      <c r="AZ422" s="3850" t="str">
        <f t="shared" si="262"/>
        <v>403100</v>
      </c>
      <c r="BA422" s="3866" t="s">
        <v>1303</v>
      </c>
      <c r="BB422" s="3866" t="s">
        <v>1303</v>
      </c>
      <c r="BC422" s="3866" t="s">
        <v>1303</v>
      </c>
      <c r="BD422" s="3866" t="s">
        <v>1303</v>
      </c>
      <c r="BE422" s="3853"/>
      <c r="BF422" s="3866" t="s">
        <v>1303</v>
      </c>
      <c r="BG422" s="3866" t="s">
        <v>1303</v>
      </c>
      <c r="BH422" s="3866" t="s">
        <v>1303</v>
      </c>
      <c r="BI422" s="3867" t="s">
        <v>1303</v>
      </c>
      <c r="BJ422" s="3853"/>
      <c r="BK422" s="3866" t="s">
        <v>1303</v>
      </c>
      <c r="BL422" s="3867" t="s">
        <v>1303</v>
      </c>
      <c r="BM422" s="3866" t="s">
        <v>1303</v>
      </c>
      <c r="BN422" s="3867" t="s">
        <v>1303</v>
      </c>
    </row>
    <row r="423" spans="1:66" s="696" customFormat="1">
      <c r="A423" s="2958" t="str">
        <f t="shared" si="268"/>
        <v>403101</v>
      </c>
      <c r="B423" s="2233" t="str">
        <f>'Income Eligible Deemed Table'!C647</f>
        <v>403101_2019_12_</v>
      </c>
      <c r="C423" s="2724" t="str">
        <f>'Income Eligible Deemed Table'!G647</f>
        <v>Cooling RES</v>
      </c>
      <c r="D423" s="2724" t="str">
        <f>'Income Eligible Deemed Table'!G648</f>
        <v>Heating RES</v>
      </c>
      <c r="E423" s="2724"/>
      <c r="F423" s="2724"/>
      <c r="G423" s="2724" t="str">
        <f>'Income Eligible Deemed Table'!E647</f>
        <v>HP tune-up / Refrigerant charge MF_CompE</v>
      </c>
      <c r="H423" s="2554" t="str">
        <f>'Income Eligible Deemed Table'!D647</f>
        <v>MFIEc</v>
      </c>
      <c r="I423" s="3840">
        <f t="shared" si="271"/>
        <v>380.04</v>
      </c>
      <c r="J423" s="3840">
        <f t="shared" si="272"/>
        <v>0</v>
      </c>
      <c r="K423" s="3251">
        <f>'Income Eligible Deemed Table'!F647</f>
        <v>264.75</v>
      </c>
      <c r="L423" s="3251">
        <f>'Income Eligible Deemed Table'!F648</f>
        <v>115.29</v>
      </c>
      <c r="M423" s="3251"/>
      <c r="N423" s="3251"/>
      <c r="O423" s="3841">
        <f t="shared" si="273"/>
        <v>0.25082900000000002</v>
      </c>
      <c r="P423" s="3841">
        <f t="shared" si="274"/>
        <v>0</v>
      </c>
      <c r="Q423" s="3842">
        <f>'Income Eligible Deemed Table'!I647</f>
        <v>0.25082900000000002</v>
      </c>
      <c r="R423" s="3842">
        <f>'Income Eligible Deemed Table'!I648</f>
        <v>0</v>
      </c>
      <c r="S423" s="3842"/>
      <c r="T423" s="3842"/>
      <c r="U423" s="3843">
        <f t="shared" si="265"/>
        <v>0.25082900000000002</v>
      </c>
      <c r="V423" s="3843">
        <f t="shared" si="266"/>
        <v>0</v>
      </c>
      <c r="W423" s="3843">
        <f t="shared" si="267"/>
        <v>0</v>
      </c>
      <c r="X423" s="2846">
        <f>'Income Eligible Deemed Table'!J647</f>
        <v>2</v>
      </c>
      <c r="Y423" s="2846"/>
      <c r="Z423" s="2846">
        <f t="shared" si="269"/>
        <v>2</v>
      </c>
      <c r="AA423" s="2529">
        <f>'Income Eligible Deemed Table'!DG647</f>
        <v>1.3727011313237363</v>
      </c>
      <c r="AB423" s="3878">
        <f>'Income Eligible Deemed Table'!K647</f>
        <v>81</v>
      </c>
      <c r="AC423" s="3864">
        <f t="shared" si="270"/>
        <v>111.18879163722264</v>
      </c>
      <c r="AD423" s="3864">
        <f t="shared" si="263"/>
        <v>0</v>
      </c>
      <c r="AE423" s="3865">
        <f>'Income Eligible Deemed Table'!DI647</f>
        <v>98.993648159467583</v>
      </c>
      <c r="AF423" s="3846">
        <f>'Income Eligible Deemed Table'!DI648</f>
        <v>12.19514347775505</v>
      </c>
      <c r="AG423" s="3846"/>
      <c r="AH423" s="3846"/>
      <c r="AI423" s="2233" t="str">
        <f>'Income Eligible Deemed Table'!L647</f>
        <v>per measure</v>
      </c>
      <c r="AJ423" s="2724"/>
      <c r="AX423" s="3849" t="str">
        <f t="shared" si="261"/>
        <v>HP tune-up / Refrigerant charge MF_CompE</v>
      </c>
      <c r="AY423" s="2724"/>
      <c r="AZ423" s="3850" t="str">
        <f t="shared" si="262"/>
        <v>403101</v>
      </c>
      <c r="BA423" s="3866" t="s">
        <v>1303</v>
      </c>
      <c r="BB423" s="3866" t="s">
        <v>1303</v>
      </c>
      <c r="BC423" s="3866" t="s">
        <v>1303</v>
      </c>
      <c r="BD423" s="3866" t="s">
        <v>1303</v>
      </c>
      <c r="BE423" s="3853"/>
      <c r="BF423" s="3866" t="s">
        <v>1303</v>
      </c>
      <c r="BG423" s="3866" t="s">
        <v>1303</v>
      </c>
      <c r="BH423" s="3866" t="s">
        <v>1303</v>
      </c>
      <c r="BI423" s="3867" t="s">
        <v>1303</v>
      </c>
      <c r="BJ423" s="3853"/>
      <c r="BK423" s="3866" t="s">
        <v>1303</v>
      </c>
      <c r="BL423" s="3867" t="s">
        <v>1303</v>
      </c>
      <c r="BM423" s="3866" t="s">
        <v>1303</v>
      </c>
      <c r="BN423" s="3867" t="s">
        <v>1303</v>
      </c>
    </row>
    <row r="424" spans="1:66" s="696" customFormat="1">
      <c r="A424" s="2958" t="str">
        <f t="shared" si="268"/>
        <v>403150</v>
      </c>
      <c r="B424" s="2233" t="str">
        <f>'Income Eligible Deemed Table'!C649</f>
        <v>403150_2019_12_</v>
      </c>
      <c r="C424" s="2724" t="str">
        <f>'Income Eligible Deemed Table'!G649</f>
        <v>Cooling RES</v>
      </c>
      <c r="D424" s="2724" t="str">
        <f>'Income Eligible Deemed Table'!G650</f>
        <v>Heating RES</v>
      </c>
      <c r="E424" s="2724"/>
      <c r="F424" s="2724"/>
      <c r="G424" s="2724" t="str">
        <f>'Income Eligible Deemed Table'!E649</f>
        <v>HP tune-up / Indoor Coil (Evaporator) Cleaning SF</v>
      </c>
      <c r="H424" s="2554" t="str">
        <f>'Income Eligible Deemed Table'!D649</f>
        <v>SFIE</v>
      </c>
      <c r="I424" s="3840">
        <f t="shared" si="271"/>
        <v>175.56</v>
      </c>
      <c r="J424" s="3840">
        <f t="shared" si="272"/>
        <v>0</v>
      </c>
      <c r="K424" s="3251">
        <f>'Income Eligible Deemed Table'!F649</f>
        <v>97.83</v>
      </c>
      <c r="L424" s="3251">
        <f>'Income Eligible Deemed Table'!F650</f>
        <v>77.73</v>
      </c>
      <c r="M424" s="3251"/>
      <c r="N424" s="3251"/>
      <c r="O424" s="3841">
        <f t="shared" si="273"/>
        <v>9.2686000000000004E-2</v>
      </c>
      <c r="P424" s="3841">
        <f t="shared" si="274"/>
        <v>0</v>
      </c>
      <c r="Q424" s="3842">
        <f>'Income Eligible Deemed Table'!I649</f>
        <v>9.2686000000000004E-2</v>
      </c>
      <c r="R424" s="3842">
        <f>'Income Eligible Deemed Table'!I650</f>
        <v>0</v>
      </c>
      <c r="S424" s="3842"/>
      <c r="T424" s="3842"/>
      <c r="U424" s="3843">
        <f t="shared" si="265"/>
        <v>9.2686000000000004E-2</v>
      </c>
      <c r="V424" s="3843">
        <f t="shared" si="266"/>
        <v>0</v>
      </c>
      <c r="W424" s="3843">
        <f t="shared" si="267"/>
        <v>0</v>
      </c>
      <c r="X424" s="2846">
        <f>'Income Eligible Deemed Table'!J649</f>
        <v>2</v>
      </c>
      <c r="Y424" s="2846"/>
      <c r="Z424" s="2846">
        <f t="shared" si="269"/>
        <v>2</v>
      </c>
      <c r="AA424" s="2529">
        <f>'Income Eligible Deemed Table'!DG649</f>
        <v>0.71114441777475534</v>
      </c>
      <c r="AB424" s="3878">
        <f>'Income Eligible Deemed Table'!K649</f>
        <v>63</v>
      </c>
      <c r="AC424" s="3864">
        <f t="shared" si="270"/>
        <v>44.802098319809588</v>
      </c>
      <c r="AD424" s="3864">
        <f t="shared" si="263"/>
        <v>0</v>
      </c>
      <c r="AE424" s="3865">
        <f>'Income Eligible Deemed Table'!DI649</f>
        <v>36.579975824138671</v>
      </c>
      <c r="AF424" s="3846">
        <f>'Income Eligible Deemed Table'!DI650</f>
        <v>8.2221224956709165</v>
      </c>
      <c r="AG424" s="3846"/>
      <c r="AH424" s="3846"/>
      <c r="AI424" s="2233" t="str">
        <f>'Income Eligible Deemed Table'!L649</f>
        <v>per measure</v>
      </c>
      <c r="AJ424" s="2724"/>
      <c r="AX424" s="3849" t="str">
        <f t="shared" si="261"/>
        <v>HP tune-up / Indoor Coil (Evaporator) Cleaning SF</v>
      </c>
      <c r="AY424" s="2724"/>
      <c r="AZ424" s="3850" t="str">
        <f t="shared" si="262"/>
        <v>403150</v>
      </c>
      <c r="BA424" s="3866" t="s">
        <v>1303</v>
      </c>
      <c r="BB424" s="3866" t="s">
        <v>1303</v>
      </c>
      <c r="BC424" s="3866" t="s">
        <v>1303</v>
      </c>
      <c r="BD424" s="3866" t="s">
        <v>1303</v>
      </c>
      <c r="BE424" s="3853"/>
      <c r="BF424" s="3866" t="s">
        <v>1303</v>
      </c>
      <c r="BG424" s="3866" t="s">
        <v>1303</v>
      </c>
      <c r="BH424" s="3866" t="s">
        <v>1303</v>
      </c>
      <c r="BI424" s="3867" t="s">
        <v>1303</v>
      </c>
      <c r="BJ424" s="3853"/>
      <c r="BK424" s="3866" t="s">
        <v>1303</v>
      </c>
      <c r="BL424" s="3867" t="s">
        <v>1303</v>
      </c>
      <c r="BM424" s="3866" t="s">
        <v>1303</v>
      </c>
      <c r="BN424" s="3867" t="s">
        <v>1303</v>
      </c>
    </row>
    <row r="425" spans="1:66" s="696" customFormat="1">
      <c r="A425" s="2958" t="str">
        <f t="shared" si="268"/>
        <v>403200</v>
      </c>
      <c r="B425" s="2233" t="str">
        <f>'Income Eligible Deemed Table'!C651</f>
        <v>403200_2019_12_</v>
      </c>
      <c r="C425" s="2724" t="str">
        <f>'Income Eligible Deemed Table'!G651</f>
        <v>Cooling RES</v>
      </c>
      <c r="D425" s="2724" t="str">
        <f>'Income Eligible Deemed Table'!G652</f>
        <v>Heating RES</v>
      </c>
      <c r="E425" s="2724"/>
      <c r="F425" s="2724"/>
      <c r="G425" s="2724" t="str">
        <f>'Income Eligible Deemed Table'!E651</f>
        <v>HP tune-up / Indoor Coil (Evaporator) Cleaning MF</v>
      </c>
      <c r="H425" s="2554" t="str">
        <f>'Income Eligible Deemed Table'!D651</f>
        <v>MFIE</v>
      </c>
      <c r="I425" s="3840">
        <f t="shared" si="271"/>
        <v>108.12</v>
      </c>
      <c r="J425" s="3840">
        <f t="shared" si="272"/>
        <v>0</v>
      </c>
      <c r="K425" s="3251">
        <f>'Income Eligible Deemed Table'!F651</f>
        <v>60.25</v>
      </c>
      <c r="L425" s="3251">
        <f>'Income Eligible Deemed Table'!F652</f>
        <v>47.87</v>
      </c>
      <c r="M425" s="3251"/>
      <c r="N425" s="3251"/>
      <c r="O425" s="3841">
        <f t="shared" si="273"/>
        <v>5.7082000000000001E-2</v>
      </c>
      <c r="P425" s="3841">
        <f t="shared" si="274"/>
        <v>0</v>
      </c>
      <c r="Q425" s="3842">
        <f>'Income Eligible Deemed Table'!I651</f>
        <v>5.7082000000000001E-2</v>
      </c>
      <c r="R425" s="3842">
        <f>'Income Eligible Deemed Table'!I652</f>
        <v>0</v>
      </c>
      <c r="S425" s="3842"/>
      <c r="T425" s="3842"/>
      <c r="U425" s="3843">
        <f t="shared" si="265"/>
        <v>5.7082000000000001E-2</v>
      </c>
      <c r="V425" s="3843">
        <f t="shared" si="266"/>
        <v>0</v>
      </c>
      <c r="W425" s="3843">
        <f t="shared" si="267"/>
        <v>0</v>
      </c>
      <c r="X425" s="2846">
        <f>'Income Eligible Deemed Table'!J651</f>
        <v>2</v>
      </c>
      <c r="Y425" s="2846"/>
      <c r="Z425" s="2846">
        <f t="shared" si="269"/>
        <v>2</v>
      </c>
      <c r="AA425" s="2529">
        <f>'Income Eligible Deemed Table'!DG651</f>
        <v>0.43796653181651019</v>
      </c>
      <c r="AB425" s="3878">
        <f>'Income Eligible Deemed Table'!K651</f>
        <v>63</v>
      </c>
      <c r="AC425" s="3864">
        <f t="shared" si="270"/>
        <v>27.591891504440142</v>
      </c>
      <c r="AD425" s="3864">
        <f t="shared" si="263"/>
        <v>0</v>
      </c>
      <c r="AE425" s="3865">
        <f>'Income Eligible Deemed Table'!DI651</f>
        <v>22.528299533929829</v>
      </c>
      <c r="AF425" s="3846">
        <f>'Income Eligible Deemed Table'!DI652</f>
        <v>5.0635919705103145</v>
      </c>
      <c r="AG425" s="3846"/>
      <c r="AH425" s="3846"/>
      <c r="AI425" s="2233" t="str">
        <f>'Income Eligible Deemed Table'!L651</f>
        <v>per measure</v>
      </c>
      <c r="AJ425" s="2724"/>
      <c r="AX425" s="3849" t="str">
        <f t="shared" si="261"/>
        <v>HP tune-up / Indoor Coil (Evaporator) Cleaning MF</v>
      </c>
      <c r="AY425" s="2724"/>
      <c r="AZ425" s="3850" t="str">
        <f t="shared" si="262"/>
        <v>403200</v>
      </c>
      <c r="BA425" s="3866" t="s">
        <v>1303</v>
      </c>
      <c r="BB425" s="3866" t="s">
        <v>1303</v>
      </c>
      <c r="BC425" s="3866" t="s">
        <v>1303</v>
      </c>
      <c r="BD425" s="3866" t="s">
        <v>1303</v>
      </c>
      <c r="BE425" s="3853"/>
      <c r="BF425" s="3866" t="s">
        <v>1303</v>
      </c>
      <c r="BG425" s="3866" t="s">
        <v>1303</v>
      </c>
      <c r="BH425" s="3866" t="s">
        <v>1303</v>
      </c>
      <c r="BI425" s="3867" t="s">
        <v>1303</v>
      </c>
      <c r="BJ425" s="3853"/>
      <c r="BK425" s="3866" t="s">
        <v>1303</v>
      </c>
      <c r="BL425" s="3867" t="s">
        <v>1303</v>
      </c>
      <c r="BM425" s="3866" t="s">
        <v>1303</v>
      </c>
      <c r="BN425" s="3867" t="s">
        <v>1303</v>
      </c>
    </row>
    <row r="426" spans="1:66" s="696" customFormat="1">
      <c r="A426" s="2958" t="str">
        <f t="shared" si="268"/>
        <v>403201</v>
      </c>
      <c r="B426" s="2233" t="str">
        <f>'Income Eligible Deemed Table'!C653</f>
        <v>403201_2019_12_</v>
      </c>
      <c r="C426" s="2724" t="str">
        <f>'Income Eligible Deemed Table'!G653</f>
        <v>Cooling RES</v>
      </c>
      <c r="D426" s="2724" t="str">
        <f>'Income Eligible Deemed Table'!G654</f>
        <v>Heating RES</v>
      </c>
      <c r="E426" s="2724"/>
      <c r="F426" s="2724"/>
      <c r="G426" s="2724" t="str">
        <f>'Income Eligible Deemed Table'!E653</f>
        <v>HP tune-up / Indoor Coil (Evaporator) Cleaning MF_CompE</v>
      </c>
      <c r="H426" s="2554" t="str">
        <f>'Income Eligible Deemed Table'!D653</f>
        <v>MFIEc</v>
      </c>
      <c r="I426" s="3840">
        <f t="shared" si="271"/>
        <v>60.14</v>
      </c>
      <c r="J426" s="3840">
        <f t="shared" si="272"/>
        <v>0</v>
      </c>
      <c r="K426" s="3251">
        <f>'Income Eligible Deemed Table'!F653</f>
        <v>43.82</v>
      </c>
      <c r="L426" s="3251">
        <f>'Income Eligible Deemed Table'!F654</f>
        <v>16.32</v>
      </c>
      <c r="M426" s="3251"/>
      <c r="N426" s="3251"/>
      <c r="O426" s="3841">
        <f t="shared" si="273"/>
        <v>4.1515999999999997E-2</v>
      </c>
      <c r="P426" s="3841">
        <f t="shared" si="274"/>
        <v>0</v>
      </c>
      <c r="Q426" s="3842">
        <f>'Income Eligible Deemed Table'!I653</f>
        <v>4.1515999999999997E-2</v>
      </c>
      <c r="R426" s="3842">
        <f>'Income Eligible Deemed Table'!I654</f>
        <v>0</v>
      </c>
      <c r="S426" s="3842"/>
      <c r="T426" s="3842"/>
      <c r="U426" s="3843">
        <f t="shared" si="265"/>
        <v>4.1515999999999997E-2</v>
      </c>
      <c r="V426" s="3843">
        <f t="shared" si="266"/>
        <v>0</v>
      </c>
      <c r="W426" s="3843">
        <f t="shared" si="267"/>
        <v>0</v>
      </c>
      <c r="X426" s="2846">
        <f>'Income Eligible Deemed Table'!J653</f>
        <v>2</v>
      </c>
      <c r="Y426" s="2846"/>
      <c r="Z426" s="2846">
        <f t="shared" si="269"/>
        <v>2</v>
      </c>
      <c r="AA426" s="2529">
        <f>'Income Eligible Deemed Table'!DG653</f>
        <v>0.28747927528054423</v>
      </c>
      <c r="AB426" s="3878">
        <f>'Income Eligible Deemed Table'!K653</f>
        <v>63</v>
      </c>
      <c r="AC426" s="3864">
        <f t="shared" si="270"/>
        <v>18.111194342674288</v>
      </c>
      <c r="AD426" s="3864">
        <f t="shared" si="263"/>
        <v>0</v>
      </c>
      <c r="AE426" s="3865">
        <f>'Income Eligible Deemed Table'!DI653</f>
        <v>16.384897685922077</v>
      </c>
      <c r="AF426" s="3846">
        <f>'Income Eligible Deemed Table'!DI654</f>
        <v>1.7262966567522111</v>
      </c>
      <c r="AG426" s="3846"/>
      <c r="AH426" s="3846"/>
      <c r="AI426" s="2233" t="str">
        <f>'Income Eligible Deemed Table'!L653</f>
        <v>per measure</v>
      </c>
      <c r="AJ426" s="2724"/>
      <c r="AX426" s="3849" t="str">
        <f t="shared" si="261"/>
        <v>HP tune-up / Indoor Coil (Evaporator) Cleaning MF_CompE</v>
      </c>
      <c r="AY426" s="2724"/>
      <c r="AZ426" s="3850" t="str">
        <f t="shared" si="262"/>
        <v>403201</v>
      </c>
      <c r="BA426" s="3866" t="s">
        <v>1303</v>
      </c>
      <c r="BB426" s="3866" t="s">
        <v>1303</v>
      </c>
      <c r="BC426" s="3866" t="s">
        <v>1303</v>
      </c>
      <c r="BD426" s="3866" t="s">
        <v>1303</v>
      </c>
      <c r="BE426" s="3853"/>
      <c r="BF426" s="3866" t="s">
        <v>1303</v>
      </c>
      <c r="BG426" s="3866" t="s">
        <v>1303</v>
      </c>
      <c r="BH426" s="3866" t="s">
        <v>1303</v>
      </c>
      <c r="BI426" s="3867" t="s">
        <v>1303</v>
      </c>
      <c r="BJ426" s="3853"/>
      <c r="BK426" s="3866" t="s">
        <v>1303</v>
      </c>
      <c r="BL426" s="3867" t="s">
        <v>1303</v>
      </c>
      <c r="BM426" s="3866" t="s">
        <v>1303</v>
      </c>
      <c r="BN426" s="3867" t="s">
        <v>1303</v>
      </c>
    </row>
    <row r="427" spans="1:66" s="696" customFormat="1">
      <c r="A427" s="2958" t="str">
        <f t="shared" si="268"/>
        <v>403250</v>
      </c>
      <c r="B427" s="2233" t="str">
        <f>'Income Eligible Deemed Table'!C655</f>
        <v>403250_2019_12_</v>
      </c>
      <c r="C427" s="2724" t="str">
        <f>'Income Eligible Deemed Table'!G655</f>
        <v>Cooling RES</v>
      </c>
      <c r="D427" s="2724" t="str">
        <f>'Income Eligible Deemed Table'!G656</f>
        <v>Heating RES</v>
      </c>
      <c r="E427" s="2724"/>
      <c r="F427" s="2724"/>
      <c r="G427" s="2724" t="str">
        <f>'Income Eligible Deemed Table'!E655</f>
        <v>HP tune-up / Outdoor Coil (Condenser) Cleaning SF</v>
      </c>
      <c r="H427" s="2554" t="str">
        <f>'Income Eligible Deemed Table'!D655</f>
        <v>SFIE</v>
      </c>
      <c r="I427" s="3840">
        <f t="shared" si="271"/>
        <v>355.7</v>
      </c>
      <c r="J427" s="3840">
        <f t="shared" si="272"/>
        <v>0</v>
      </c>
      <c r="K427" s="3251">
        <f>'Income Eligible Deemed Table'!F655</f>
        <v>195.66</v>
      </c>
      <c r="L427" s="3251">
        <f>'Income Eligible Deemed Table'!F656</f>
        <v>160.04</v>
      </c>
      <c r="M427" s="3251"/>
      <c r="N427" s="3251"/>
      <c r="O427" s="3841">
        <f t="shared" si="273"/>
        <v>0.18537200000000001</v>
      </c>
      <c r="P427" s="3841">
        <f t="shared" si="274"/>
        <v>0</v>
      </c>
      <c r="Q427" s="3842">
        <f>'Income Eligible Deemed Table'!I655</f>
        <v>0.18537200000000001</v>
      </c>
      <c r="R427" s="3842">
        <f>'Income Eligible Deemed Table'!I656</f>
        <v>0</v>
      </c>
      <c r="S427" s="3842"/>
      <c r="T427" s="3842"/>
      <c r="U427" s="3843">
        <f t="shared" si="265"/>
        <v>0.18537200000000001</v>
      </c>
      <c r="V427" s="3843">
        <f t="shared" si="266"/>
        <v>0</v>
      </c>
      <c r="W427" s="3843">
        <f t="shared" si="267"/>
        <v>0</v>
      </c>
      <c r="X427" s="2846">
        <f>'Income Eligible Deemed Table'!J655</f>
        <v>2</v>
      </c>
      <c r="Y427" s="2846"/>
      <c r="Z427" s="2846">
        <f t="shared" si="269"/>
        <v>2</v>
      </c>
      <c r="AA427" s="2529">
        <f>'Income Eligible Deemed Table'!DG655</f>
        <v>2.9060857998231144</v>
      </c>
      <c r="AB427" s="3878">
        <f>'Income Eligible Deemed Table'!K655</f>
        <v>31</v>
      </c>
      <c r="AC427" s="3864">
        <f t="shared" si="270"/>
        <v>90.088659794516545</v>
      </c>
      <c r="AD427" s="3864">
        <f t="shared" si="263"/>
        <v>0</v>
      </c>
      <c r="AE427" s="3865">
        <f>'Income Eligible Deemed Table'!DI655</f>
        <v>73.159951648277342</v>
      </c>
      <c r="AF427" s="3846">
        <f>'Income Eligible Deemed Table'!DI656</f>
        <v>16.928708146239206</v>
      </c>
      <c r="AG427" s="3846"/>
      <c r="AH427" s="3846"/>
      <c r="AI427" s="2233" t="str">
        <f>'Income Eligible Deemed Table'!L655</f>
        <v>per measure</v>
      </c>
      <c r="AJ427" s="2724"/>
      <c r="AX427" s="3849" t="str">
        <f t="shared" si="261"/>
        <v>HP tune-up / Outdoor Coil (Condenser) Cleaning SF</v>
      </c>
      <c r="AY427" s="2724"/>
      <c r="AZ427" s="3850" t="str">
        <f t="shared" si="262"/>
        <v>403250</v>
      </c>
      <c r="BA427" s="3866" t="s">
        <v>1303</v>
      </c>
      <c r="BB427" s="3866" t="s">
        <v>1303</v>
      </c>
      <c r="BC427" s="3866" t="s">
        <v>1303</v>
      </c>
      <c r="BD427" s="3866" t="s">
        <v>1303</v>
      </c>
      <c r="BE427" s="3853"/>
      <c r="BF427" s="3866" t="s">
        <v>1303</v>
      </c>
      <c r="BG427" s="3866" t="s">
        <v>1303</v>
      </c>
      <c r="BH427" s="3866" t="s">
        <v>1303</v>
      </c>
      <c r="BI427" s="3867" t="s">
        <v>1303</v>
      </c>
      <c r="BJ427" s="3853"/>
      <c r="BK427" s="3866" t="s">
        <v>1303</v>
      </c>
      <c r="BL427" s="3867" t="s">
        <v>1303</v>
      </c>
      <c r="BM427" s="3866" t="s">
        <v>1303</v>
      </c>
      <c r="BN427" s="3867" t="s">
        <v>1303</v>
      </c>
    </row>
    <row r="428" spans="1:66" s="696" customFormat="1">
      <c r="A428" s="2958" t="str">
        <f t="shared" si="268"/>
        <v>403300</v>
      </c>
      <c r="B428" s="2233" t="str">
        <f>'Income Eligible Deemed Table'!C657</f>
        <v>403300_2019_12_</v>
      </c>
      <c r="C428" s="2724" t="str">
        <f>'Income Eligible Deemed Table'!G657</f>
        <v>Cooling RES</v>
      </c>
      <c r="D428" s="2724" t="str">
        <f>'Income Eligible Deemed Table'!G658</f>
        <v>Heating RES</v>
      </c>
      <c r="E428" s="2724"/>
      <c r="F428" s="2724"/>
      <c r="G428" s="2724" t="str">
        <f>'Income Eligible Deemed Table'!E657</f>
        <v>HP tune-up / Outdoor Coil (Condenser) Cleaning MF</v>
      </c>
      <c r="H428" s="2554" t="str">
        <f>'Income Eligible Deemed Table'!D657</f>
        <v>MFIE</v>
      </c>
      <c r="I428" s="3840">
        <f t="shared" si="271"/>
        <v>219.07</v>
      </c>
      <c r="J428" s="3840">
        <f t="shared" si="272"/>
        <v>0</v>
      </c>
      <c r="K428" s="3251">
        <f>'Income Eligible Deemed Table'!F657</f>
        <v>120.5</v>
      </c>
      <c r="L428" s="3251">
        <f>'Income Eligible Deemed Table'!F658</f>
        <v>98.57</v>
      </c>
      <c r="M428" s="3251"/>
      <c r="N428" s="3251"/>
      <c r="O428" s="3841">
        <f t="shared" si="273"/>
        <v>0.114164</v>
      </c>
      <c r="P428" s="3841">
        <f t="shared" si="274"/>
        <v>0</v>
      </c>
      <c r="Q428" s="3842">
        <f>'Income Eligible Deemed Table'!I657</f>
        <v>0.114164</v>
      </c>
      <c r="R428" s="3842">
        <f>'Income Eligible Deemed Table'!I658</f>
        <v>0</v>
      </c>
      <c r="S428" s="3842"/>
      <c r="T428" s="3842"/>
      <c r="U428" s="3843">
        <f t="shared" si="265"/>
        <v>0.114164</v>
      </c>
      <c r="V428" s="3843">
        <f t="shared" si="266"/>
        <v>0</v>
      </c>
      <c r="W428" s="3843">
        <f t="shared" si="267"/>
        <v>0</v>
      </c>
      <c r="X428" s="2846">
        <f>'Income Eligible Deemed Table'!J657</f>
        <v>2</v>
      </c>
      <c r="Y428" s="2846"/>
      <c r="Z428" s="2846">
        <f t="shared" si="269"/>
        <v>2</v>
      </c>
      <c r="AA428" s="2529">
        <f>'Income Eligible Deemed Table'!DG657</f>
        <v>1.7897785385901626</v>
      </c>
      <c r="AB428" s="3878">
        <f>'Income Eligible Deemed Table'!K657</f>
        <v>31</v>
      </c>
      <c r="AC428" s="3864">
        <f t="shared" si="270"/>
        <v>55.483134696295039</v>
      </c>
      <c r="AD428" s="3864">
        <f t="shared" si="263"/>
        <v>0</v>
      </c>
      <c r="AE428" s="3865">
        <f>'Income Eligible Deemed Table'!DI657</f>
        <v>45.056599067859658</v>
      </c>
      <c r="AF428" s="3846">
        <f>'Income Eligible Deemed Table'!DI658</f>
        <v>10.426535628435381</v>
      </c>
      <c r="AG428" s="3846"/>
      <c r="AH428" s="3846"/>
      <c r="AI428" s="2233" t="str">
        <f>'Income Eligible Deemed Table'!L657</f>
        <v>per measure</v>
      </c>
      <c r="AJ428" s="2724"/>
      <c r="AX428" s="3849" t="str">
        <f t="shared" si="261"/>
        <v>HP tune-up / Outdoor Coil (Condenser) Cleaning MF</v>
      </c>
      <c r="AY428" s="2724"/>
      <c r="AZ428" s="3850" t="str">
        <f t="shared" si="262"/>
        <v>403300</v>
      </c>
      <c r="BA428" s="3866" t="s">
        <v>1303</v>
      </c>
      <c r="BB428" s="3866" t="s">
        <v>1303</v>
      </c>
      <c r="BC428" s="3866" t="s">
        <v>1303</v>
      </c>
      <c r="BD428" s="3866" t="s">
        <v>1303</v>
      </c>
      <c r="BE428" s="3853"/>
      <c r="BF428" s="3866" t="s">
        <v>1303</v>
      </c>
      <c r="BG428" s="3866" t="s">
        <v>1303</v>
      </c>
      <c r="BH428" s="3866" t="s">
        <v>1303</v>
      </c>
      <c r="BI428" s="3867" t="s">
        <v>1303</v>
      </c>
      <c r="BJ428" s="3853"/>
      <c r="BK428" s="3866" t="s">
        <v>1303</v>
      </c>
      <c r="BL428" s="3867" t="s">
        <v>1303</v>
      </c>
      <c r="BM428" s="3866" t="s">
        <v>1303</v>
      </c>
      <c r="BN428" s="3867" t="s">
        <v>1303</v>
      </c>
    </row>
    <row r="429" spans="1:66" s="696" customFormat="1">
      <c r="A429" s="2958" t="str">
        <f t="shared" si="268"/>
        <v>403301</v>
      </c>
      <c r="B429" s="2233" t="str">
        <f>'Income Eligible Deemed Table'!C659</f>
        <v>403301_2019_12_</v>
      </c>
      <c r="C429" s="2724" t="str">
        <f>'Income Eligible Deemed Table'!G659</f>
        <v>Cooling RES</v>
      </c>
      <c r="D429" s="2724" t="str">
        <f>'Income Eligible Deemed Table'!G660</f>
        <v>Heating RES</v>
      </c>
      <c r="E429" s="2724"/>
      <c r="F429" s="2724"/>
      <c r="G429" s="2724" t="str">
        <f>'Income Eligible Deemed Table'!E659</f>
        <v>HP tune-up / Outdoor Coil (Condenser) Cleaning MF_CompE</v>
      </c>
      <c r="H429" s="2554" t="str">
        <f>'Income Eligible Deemed Table'!D659</f>
        <v>MFIEc</v>
      </c>
      <c r="I429" s="3840">
        <f t="shared" si="271"/>
        <v>121.24000000000001</v>
      </c>
      <c r="J429" s="3840">
        <f t="shared" si="272"/>
        <v>0</v>
      </c>
      <c r="K429" s="3251">
        <f>'Income Eligible Deemed Table'!F659</f>
        <v>87.64</v>
      </c>
      <c r="L429" s="3251">
        <f>'Income Eligible Deemed Table'!F660</f>
        <v>33.6</v>
      </c>
      <c r="M429" s="3251"/>
      <c r="N429" s="3251"/>
      <c r="O429" s="3841">
        <f t="shared" si="273"/>
        <v>8.3031999999999995E-2</v>
      </c>
      <c r="P429" s="3841">
        <f t="shared" si="274"/>
        <v>0</v>
      </c>
      <c r="Q429" s="3842">
        <f>'Income Eligible Deemed Table'!I659</f>
        <v>8.3031999999999995E-2</v>
      </c>
      <c r="R429" s="3842">
        <f>'Income Eligible Deemed Table'!I660</f>
        <v>0</v>
      </c>
      <c r="S429" s="3842"/>
      <c r="T429" s="3842"/>
      <c r="U429" s="3843">
        <f t="shared" si="265"/>
        <v>8.3031999999999995E-2</v>
      </c>
      <c r="V429" s="3843">
        <f t="shared" si="266"/>
        <v>0</v>
      </c>
      <c r="W429" s="3843">
        <f t="shared" si="267"/>
        <v>0</v>
      </c>
      <c r="X429" s="2846">
        <f>'Income Eligible Deemed Table'!J659</f>
        <v>2</v>
      </c>
      <c r="Y429" s="2846"/>
      <c r="Z429" s="2846">
        <f t="shared" si="269"/>
        <v>2</v>
      </c>
      <c r="AA429" s="2529">
        <f>'Income Eligible Deemed Table'!DG659</f>
        <v>1.1717398563713055</v>
      </c>
      <c r="AB429" s="3878">
        <f>'Income Eligible Deemed Table'!K659</f>
        <v>31</v>
      </c>
      <c r="AC429" s="3864">
        <f t="shared" si="270"/>
        <v>36.323935547510473</v>
      </c>
      <c r="AD429" s="3864">
        <f t="shared" si="263"/>
        <v>0</v>
      </c>
      <c r="AE429" s="3865">
        <f>'Income Eligible Deemed Table'!DI659</f>
        <v>32.769795371844154</v>
      </c>
      <c r="AF429" s="3846">
        <f>'Income Eligible Deemed Table'!DI660</f>
        <v>3.5541401756663169</v>
      </c>
      <c r="AG429" s="3846"/>
      <c r="AH429" s="3846"/>
      <c r="AI429" s="2233" t="str">
        <f>'Income Eligible Deemed Table'!L659</f>
        <v>per measure</v>
      </c>
      <c r="AJ429" s="2724"/>
      <c r="AX429" s="3849" t="str">
        <f t="shared" si="261"/>
        <v>HP tune-up / Outdoor Coil (Condenser) Cleaning MF_CompE</v>
      </c>
      <c r="AY429" s="2724"/>
      <c r="AZ429" s="3850" t="str">
        <f t="shared" si="262"/>
        <v>403301</v>
      </c>
      <c r="BA429" s="3866" t="s">
        <v>1303</v>
      </c>
      <c r="BB429" s="3866" t="s">
        <v>1303</v>
      </c>
      <c r="BC429" s="3866" t="s">
        <v>1303</v>
      </c>
      <c r="BD429" s="3866" t="s">
        <v>1303</v>
      </c>
      <c r="BE429" s="3853"/>
      <c r="BF429" s="3866" t="s">
        <v>1303</v>
      </c>
      <c r="BG429" s="3866" t="s">
        <v>1303</v>
      </c>
      <c r="BH429" s="3866" t="s">
        <v>1303</v>
      </c>
      <c r="BI429" s="3867" t="s">
        <v>1303</v>
      </c>
      <c r="BJ429" s="3853"/>
      <c r="BK429" s="3866" t="s">
        <v>1303</v>
      </c>
      <c r="BL429" s="3867" t="s">
        <v>1303</v>
      </c>
      <c r="BM429" s="3866" t="s">
        <v>1303</v>
      </c>
      <c r="BN429" s="3867" t="s">
        <v>1303</v>
      </c>
    </row>
    <row r="430" spans="1:66" s="696" customFormat="1">
      <c r="A430" s="2958" t="str">
        <f t="shared" si="268"/>
        <v>403310</v>
      </c>
      <c r="B430" s="2233" t="str">
        <f>'Income Eligible Deemed Table'!C661</f>
        <v>403310_2021_12</v>
      </c>
      <c r="C430" s="2724" t="str">
        <f>'Income Eligible Deemed Table'!G661</f>
        <v>Cooling RES</v>
      </c>
      <c r="D430" s="2724" t="str">
        <f>'Income Eligible Deemed Table'!G662</f>
        <v>Heating RES</v>
      </c>
      <c r="E430" s="2724"/>
      <c r="F430" s="2724"/>
      <c r="G430" s="2724" t="str">
        <f>'Income Eligible Deemed Table'!E661</f>
        <v>HP tune-up / Packaged Service SF</v>
      </c>
      <c r="H430" s="2554" t="str">
        <f>'Income Eligible Deemed Table'!D661</f>
        <v>SFIE</v>
      </c>
      <c r="I430" s="3840">
        <f t="shared" si="271"/>
        <v>1548.03</v>
      </c>
      <c r="J430" s="3840">
        <f t="shared" si="272"/>
        <v>0</v>
      </c>
      <c r="K430" s="3251">
        <f>'Income Eligible Deemed Table'!F661</f>
        <v>367.93</v>
      </c>
      <c r="L430" s="3251">
        <f>'Income Eligible Deemed Table'!F662</f>
        <v>1180.0999999999999</v>
      </c>
      <c r="M430" s="3251"/>
      <c r="N430" s="3251"/>
      <c r="O430" s="3841">
        <f t="shared" si="273"/>
        <v>0.348584</v>
      </c>
      <c r="P430" s="3841">
        <f t="shared" si="274"/>
        <v>0</v>
      </c>
      <c r="Q430" s="3842">
        <f>'Income Eligible Deemed Table'!I661</f>
        <v>0.348584</v>
      </c>
      <c r="R430" s="3842">
        <f>'Income Eligible Deemed Table'!I662</f>
        <v>0</v>
      </c>
      <c r="S430" s="3842"/>
      <c r="T430" s="3842"/>
      <c r="U430" s="3843">
        <f t="shared" si="265"/>
        <v>0.348584</v>
      </c>
      <c r="V430" s="3843">
        <f t="shared" si="266"/>
        <v>0</v>
      </c>
      <c r="W430" s="3843">
        <f t="shared" si="267"/>
        <v>0</v>
      </c>
      <c r="X430" s="2846">
        <f>'Income Eligible Deemed Table'!J661</f>
        <v>2</v>
      </c>
      <c r="Y430" s="2846"/>
      <c r="Z430" s="2846">
        <f t="shared" si="269"/>
        <v>2</v>
      </c>
      <c r="AA430" s="2529">
        <f>'Income Eligible Deemed Table'!DG661</f>
        <v>1.4183927463330797</v>
      </c>
      <c r="AB430" s="3878">
        <f>'Income Eligible Deemed Table'!K661</f>
        <v>185</v>
      </c>
      <c r="AC430" s="3864">
        <f t="shared" si="270"/>
        <v>262.40265807161973</v>
      </c>
      <c r="AD430" s="3864">
        <f t="shared" si="263"/>
        <v>0</v>
      </c>
      <c r="AE430" s="3865">
        <f>'Income Eligible Deemed Table'!DI661</f>
        <v>137.5740621994822</v>
      </c>
      <c r="AF430" s="3846">
        <f>'Income Eligible Deemed Table'!DI662</f>
        <v>124.8285958721375</v>
      </c>
      <c r="AG430" s="3846"/>
      <c r="AH430" s="3846"/>
      <c r="AI430" s="2233" t="str">
        <f>'Income Eligible Deemed Table'!L661</f>
        <v>per measure</v>
      </c>
      <c r="AJ430" s="2724"/>
      <c r="AX430" s="3849" t="str">
        <f t="shared" si="261"/>
        <v>HP tune-up / Packaged Service SF</v>
      </c>
      <c r="AY430" s="2724"/>
      <c r="AZ430" s="3850" t="str">
        <f t="shared" si="262"/>
        <v>403310</v>
      </c>
      <c r="BA430" s="3866" t="s">
        <v>1303</v>
      </c>
      <c r="BB430" s="3866" t="s">
        <v>1303</v>
      </c>
      <c r="BC430" s="3866" t="s">
        <v>1303</v>
      </c>
      <c r="BD430" s="3866" t="s">
        <v>1303</v>
      </c>
      <c r="BE430" s="3853"/>
      <c r="BF430" s="3866" t="s">
        <v>1303</v>
      </c>
      <c r="BG430" s="3866" t="s">
        <v>1303</v>
      </c>
      <c r="BH430" s="3866" t="s">
        <v>1303</v>
      </c>
      <c r="BI430" s="3867" t="s">
        <v>1303</v>
      </c>
      <c r="BJ430" s="3853"/>
      <c r="BK430" s="3866" t="s">
        <v>1303</v>
      </c>
      <c r="BL430" s="3867" t="s">
        <v>1303</v>
      </c>
      <c r="BM430" s="3866" t="s">
        <v>1303</v>
      </c>
      <c r="BN430" s="3867" t="s">
        <v>1303</v>
      </c>
    </row>
    <row r="431" spans="1:66">
      <c r="A431" s="51" t="str">
        <f t="shared" si="268"/>
        <v>403311</v>
      </c>
      <c r="B431" s="1442" t="str">
        <f>'Income Eligible Deemed Table'!C663</f>
        <v>403311_2021_12</v>
      </c>
      <c r="C431" s="1378" t="str">
        <f>'Income Eligible Deemed Table'!G663</f>
        <v>Cooling RES</v>
      </c>
      <c r="D431" s="1378" t="str">
        <f>'Income Eligible Deemed Table'!G664</f>
        <v>Heating RES</v>
      </c>
      <c r="E431" s="1378"/>
      <c r="F431" s="1378"/>
      <c r="G431" s="1378" t="str">
        <f>'Income Eligible Deemed Table'!E663</f>
        <v>HP tune-up / Packaged Service MF</v>
      </c>
      <c r="H431" s="19" t="str">
        <f>'Income Eligible Deemed Table'!D663</f>
        <v>MFIE</v>
      </c>
      <c r="I431" s="785">
        <f t="shared" si="271"/>
        <v>953.4</v>
      </c>
      <c r="J431" s="785">
        <f t="shared" si="272"/>
        <v>0</v>
      </c>
      <c r="K431" s="202">
        <f>'Income Eligible Deemed Table'!F663</f>
        <v>226.6</v>
      </c>
      <c r="L431" s="202">
        <f>'Income Eligible Deemed Table'!F664</f>
        <v>726.8</v>
      </c>
      <c r="M431" s="202"/>
      <c r="N431" s="202"/>
      <c r="O431" s="786">
        <f t="shared" si="273"/>
        <v>0.21468499999999999</v>
      </c>
      <c r="P431" s="786">
        <f t="shared" si="274"/>
        <v>0</v>
      </c>
      <c r="Q431" s="787">
        <f>'Income Eligible Deemed Table'!I663</f>
        <v>0.21468499999999999</v>
      </c>
      <c r="R431" s="787">
        <f>'Income Eligible Deemed Table'!I664</f>
        <v>0</v>
      </c>
      <c r="S431" s="787"/>
      <c r="T431" s="787"/>
      <c r="U431" s="788">
        <f t="shared" si="265"/>
        <v>0.21468499999999999</v>
      </c>
      <c r="V431" s="788">
        <f t="shared" si="266"/>
        <v>0</v>
      </c>
      <c r="W431" s="788">
        <f t="shared" si="267"/>
        <v>0</v>
      </c>
      <c r="X431" s="23">
        <f>'Income Eligible Deemed Table'!J663</f>
        <v>2</v>
      </c>
      <c r="Y431" s="23"/>
      <c r="Z431" s="23">
        <f t="shared" si="269"/>
        <v>2</v>
      </c>
      <c r="AA431" s="18">
        <f>'Income Eligible Deemed Table'!DG663</f>
        <v>0.87355825926354935</v>
      </c>
      <c r="AB431" s="259">
        <f>'Income Eligible Deemed Table'!K663</f>
        <v>185</v>
      </c>
      <c r="AC431" s="902">
        <f t="shared" si="270"/>
        <v>161.60827796375662</v>
      </c>
      <c r="AD431" s="902">
        <f t="shared" si="263"/>
        <v>0</v>
      </c>
      <c r="AE431" s="610">
        <f>'Income Eligible Deemed Table'!DI663</f>
        <v>84.72884106868878</v>
      </c>
      <c r="AF431" s="208">
        <f>'Income Eligible Deemed Table'!DI664</f>
        <v>76.879436895067826</v>
      </c>
      <c r="AG431" s="208"/>
      <c r="AH431" s="208"/>
      <c r="AI431" s="1442" t="str">
        <f>'Income Eligible Deemed Table'!L663</f>
        <v>per measure</v>
      </c>
      <c r="AJ431" s="676"/>
      <c r="AK431" s="41"/>
      <c r="AL431" s="41"/>
      <c r="AX431" s="1355" t="str">
        <f t="shared" si="261"/>
        <v>HP tune-up / Packaged Service MF</v>
      </c>
      <c r="AY431" s="1378"/>
      <c r="AZ431" s="1446" t="str">
        <f t="shared" si="262"/>
        <v>403311</v>
      </c>
      <c r="BA431" s="1300" t="s">
        <v>1303</v>
      </c>
      <c r="BB431" s="1300" t="s">
        <v>1303</v>
      </c>
      <c r="BC431" s="1300" t="s">
        <v>1303</v>
      </c>
      <c r="BD431" s="1300" t="s">
        <v>1303</v>
      </c>
      <c r="BE431" s="1305"/>
      <c r="BF431" s="1300" t="s">
        <v>1303</v>
      </c>
      <c r="BG431" s="1300" t="s">
        <v>1303</v>
      </c>
      <c r="BH431" s="1300" t="s">
        <v>1303</v>
      </c>
      <c r="BI431" s="1301" t="s">
        <v>1303</v>
      </c>
      <c r="BJ431" s="1305"/>
      <c r="BK431" s="1300" t="s">
        <v>1303</v>
      </c>
      <c r="BL431" s="1301" t="s">
        <v>1303</v>
      </c>
      <c r="BM431" s="1300" t="s">
        <v>1303</v>
      </c>
      <c r="BN431" s="1301" t="s">
        <v>1303</v>
      </c>
    </row>
    <row r="432" spans="1:66" s="696" customFormat="1">
      <c r="A432" s="2958" t="str">
        <f t="shared" si="268"/>
        <v>403312</v>
      </c>
      <c r="B432" s="2233" t="str">
        <f>'Income Eligible Deemed Table'!C665</f>
        <v>403312_2021_12</v>
      </c>
      <c r="C432" s="2724" t="str">
        <f>'Income Eligible Deemed Table'!G665</f>
        <v>Cooling RES</v>
      </c>
      <c r="D432" s="2724" t="str">
        <f>'Income Eligible Deemed Table'!G666</f>
        <v>Heating RES</v>
      </c>
      <c r="E432" s="2724"/>
      <c r="F432" s="2724"/>
      <c r="G432" s="2724" t="str">
        <f>'Income Eligible Deemed Table'!E665</f>
        <v>HP tune-up / Packaged Service MF_CompE</v>
      </c>
      <c r="H432" s="2554" t="str">
        <f>'Income Eligible Deemed Table'!D665</f>
        <v>MFIEc</v>
      </c>
      <c r="I432" s="3840">
        <f t="shared" si="271"/>
        <v>412.57000000000005</v>
      </c>
      <c r="J432" s="3840">
        <f t="shared" si="272"/>
        <v>0</v>
      </c>
      <c r="K432" s="3251">
        <f>'Income Eligible Deemed Table'!F665</f>
        <v>164.8</v>
      </c>
      <c r="L432" s="3251">
        <f>'Income Eligible Deemed Table'!F666</f>
        <v>247.77</v>
      </c>
      <c r="M432" s="3251"/>
      <c r="N432" s="3251"/>
      <c r="O432" s="3841">
        <f t="shared" si="273"/>
        <v>0.156135</v>
      </c>
      <c r="P432" s="3841">
        <f t="shared" si="274"/>
        <v>0</v>
      </c>
      <c r="Q432" s="3842">
        <f>'Income Eligible Deemed Table'!I665</f>
        <v>0.156135</v>
      </c>
      <c r="R432" s="3842">
        <f>'Income Eligible Deemed Table'!I666</f>
        <v>0</v>
      </c>
      <c r="S432" s="3842"/>
      <c r="T432" s="3842"/>
      <c r="U432" s="3843">
        <f t="shared" si="265"/>
        <v>0.156135</v>
      </c>
      <c r="V432" s="3843">
        <f t="shared" si="266"/>
        <v>0</v>
      </c>
      <c r="W432" s="3843">
        <f t="shared" si="267"/>
        <v>0</v>
      </c>
      <c r="X432" s="2846">
        <f>'Income Eligible Deemed Table'!J665</f>
        <v>2</v>
      </c>
      <c r="Y432" s="2846"/>
      <c r="Z432" s="2846">
        <f t="shared" si="269"/>
        <v>2</v>
      </c>
      <c r="AA432" s="2529">
        <f>'Income Eligible Deemed Table'!DG665</f>
        <v>0.47475451772313132</v>
      </c>
      <c r="AB432" s="3878">
        <f>'Income Eligible Deemed Table'!K665</f>
        <v>185</v>
      </c>
      <c r="AC432" s="3864">
        <f t="shared" si="270"/>
        <v>87.82958577877929</v>
      </c>
      <c r="AD432" s="3864">
        <f t="shared" si="263"/>
        <v>0</v>
      </c>
      <c r="AE432" s="3865">
        <f>'Income Eligible Deemed Table'!DI665</f>
        <v>61.62097532268276</v>
      </c>
      <c r="AF432" s="3846">
        <f>'Income Eligible Deemed Table'!DI666</f>
        <v>26.20861045609653</v>
      </c>
      <c r="AG432" s="3846"/>
      <c r="AH432" s="3846"/>
      <c r="AI432" s="2233" t="str">
        <f>'Income Eligible Deemed Table'!L665</f>
        <v>per measure</v>
      </c>
      <c r="AJ432" s="2724"/>
      <c r="AX432" s="3849" t="str">
        <f t="shared" ref="AX432:AX476" si="275">G432</f>
        <v>HP tune-up / Packaged Service MF_CompE</v>
      </c>
      <c r="AY432" s="2724"/>
      <c r="AZ432" s="3850" t="str">
        <f t="shared" ref="AZ432:AZ476" si="276">A432</f>
        <v>403312</v>
      </c>
      <c r="BA432" s="3866" t="s">
        <v>1303</v>
      </c>
      <c r="BB432" s="3866" t="s">
        <v>1303</v>
      </c>
      <c r="BC432" s="3866" t="s">
        <v>1303</v>
      </c>
      <c r="BD432" s="3866" t="s">
        <v>1303</v>
      </c>
      <c r="BE432" s="3853"/>
      <c r="BF432" s="3866" t="s">
        <v>1303</v>
      </c>
      <c r="BG432" s="3866" t="s">
        <v>1303</v>
      </c>
      <c r="BH432" s="3866" t="s">
        <v>1303</v>
      </c>
      <c r="BI432" s="3867" t="s">
        <v>1303</v>
      </c>
      <c r="BJ432" s="3853"/>
      <c r="BK432" s="3866" t="s">
        <v>1303</v>
      </c>
      <c r="BL432" s="3867" t="s">
        <v>1303</v>
      </c>
      <c r="BM432" s="3866" t="s">
        <v>1303</v>
      </c>
      <c r="BN432" s="3867" t="s">
        <v>1303</v>
      </c>
    </row>
    <row r="433" spans="1:66" s="696" customFormat="1">
      <c r="A433" s="2958" t="str">
        <f t="shared" si="268"/>
        <v>403350</v>
      </c>
      <c r="B433" s="2233" t="str">
        <f>'Income Eligible Deemed Table'!C713</f>
        <v>403350_2024_12_</v>
      </c>
      <c r="C433" s="2724" t="str">
        <f>'Income Eligible Deemed Table'!G713</f>
        <v>Water heating RES</v>
      </c>
      <c r="D433" s="2724"/>
      <c r="E433" s="2724"/>
      <c r="F433" s="2724"/>
      <c r="G433" s="2724" t="str">
        <f>'Income Eligible Deemed Table'!E713</f>
        <v>Low Flow Bathroom Faucet Aerator MFIE</v>
      </c>
      <c r="H433" s="2554" t="str">
        <f>'Income Eligible Deemed Table'!D713</f>
        <v>MFIE</v>
      </c>
      <c r="I433" s="3840">
        <f>'Income Eligible Deemed Table'!F713</f>
        <v>20.52</v>
      </c>
      <c r="J433" s="3840"/>
      <c r="K433" s="3251"/>
      <c r="L433" s="3251"/>
      <c r="M433" s="3251"/>
      <c r="N433" s="3251"/>
      <c r="O433" s="3841">
        <f>'Income Eligible Deemed Table'!J713</f>
        <v>1.8209999999999999E-3</v>
      </c>
      <c r="P433" s="3841"/>
      <c r="Q433" s="3842"/>
      <c r="R433" s="3842"/>
      <c r="S433" s="3842"/>
      <c r="T433" s="3842"/>
      <c r="U433" s="3843">
        <f t="shared" si="265"/>
        <v>0</v>
      </c>
      <c r="V433" s="3843">
        <f t="shared" si="266"/>
        <v>1.8209999999999999E-3</v>
      </c>
      <c r="W433" s="3843">
        <f t="shared" si="267"/>
        <v>0</v>
      </c>
      <c r="X433" s="2846">
        <f>'Income Eligible Deemed Table'!K713</f>
        <v>10</v>
      </c>
      <c r="Y433" s="2846"/>
      <c r="Z433" s="2846">
        <f t="shared" si="269"/>
        <v>10</v>
      </c>
      <c r="AA433" s="2529">
        <f>'Income Eligible Deemed Table'!DG713</f>
        <v>3.360457028072307</v>
      </c>
      <c r="AB433" s="3878">
        <f>'Income Eligible Deemed Table'!L713</f>
        <v>3</v>
      </c>
      <c r="AC433" s="3864">
        <f t="shared" si="270"/>
        <v>10.08137108421692</v>
      </c>
      <c r="AD433" s="3864">
        <f t="shared" si="263"/>
        <v>0</v>
      </c>
      <c r="AE433" s="3865">
        <f>'Income Eligible Deemed Table'!DI713</f>
        <v>10.08137108421692</v>
      </c>
      <c r="AF433" s="3846"/>
      <c r="AG433" s="3846"/>
      <c r="AH433" s="3846"/>
      <c r="AI433" s="3900" t="str">
        <f>'Income Eligible Deemed Table'!M713</f>
        <v>per measure</v>
      </c>
      <c r="AJ433" s="2724"/>
      <c r="AX433" s="3849" t="str">
        <f t="shared" si="275"/>
        <v>Low Flow Bathroom Faucet Aerator MFIE</v>
      </c>
      <c r="AY433" s="2724"/>
      <c r="AZ433" s="3850" t="str">
        <f t="shared" si="276"/>
        <v>403350</v>
      </c>
      <c r="BA433" s="3866" t="s">
        <v>1303</v>
      </c>
      <c r="BB433" s="3866" t="s">
        <v>1303</v>
      </c>
      <c r="BC433" s="3866" t="s">
        <v>1303</v>
      </c>
      <c r="BD433" s="3866" t="s">
        <v>1303</v>
      </c>
      <c r="BE433" s="3853"/>
      <c r="BF433" s="3866" t="s">
        <v>1303</v>
      </c>
      <c r="BG433" s="3866" t="s">
        <v>1303</v>
      </c>
      <c r="BH433" s="3866" t="s">
        <v>1303</v>
      </c>
      <c r="BI433" s="3867" t="s">
        <v>1303</v>
      </c>
      <c r="BJ433" s="3853"/>
      <c r="BK433" s="3866" t="s">
        <v>1303</v>
      </c>
      <c r="BL433" s="3867" t="s">
        <v>1303</v>
      </c>
      <c r="BM433" s="3866" t="s">
        <v>1303</v>
      </c>
      <c r="BN433" s="3867" t="s">
        <v>1303</v>
      </c>
    </row>
    <row r="434" spans="1:66" s="696" customFormat="1">
      <c r="A434" s="2958" t="str">
        <f t="shared" si="268"/>
        <v>403351</v>
      </c>
      <c r="B434" s="2233" t="str">
        <f>'Income Eligible Deemed Table'!C714</f>
        <v>403351_2024_12_</v>
      </c>
      <c r="C434" s="2724" t="str">
        <f>'Income Eligible Deemed Table'!G714</f>
        <v>Water heating RES</v>
      </c>
      <c r="D434" s="2724"/>
      <c r="E434" s="2724"/>
      <c r="F434" s="2724"/>
      <c r="G434" s="2724" t="str">
        <f>'Income Eligible Deemed Table'!E714</f>
        <v>Low Flow Bathroom Faucet Aerator SFIE</v>
      </c>
      <c r="H434" s="2554" t="str">
        <f>'Income Eligible Deemed Table'!D714</f>
        <v>SFIE</v>
      </c>
      <c r="I434" s="3840">
        <f>'Income Eligible Deemed Table'!F714</f>
        <v>20.52</v>
      </c>
      <c r="J434" s="3840"/>
      <c r="K434" s="3251"/>
      <c r="L434" s="3251"/>
      <c r="M434" s="3251"/>
      <c r="N434" s="3251"/>
      <c r="O434" s="3841">
        <f>'Income Eligible Deemed Table'!J714</f>
        <v>1.8209999999999999E-3</v>
      </c>
      <c r="P434" s="3841"/>
      <c r="Q434" s="3842"/>
      <c r="R434" s="3842"/>
      <c r="S434" s="3842"/>
      <c r="T434" s="3842"/>
      <c r="U434" s="3843">
        <f t="shared" si="265"/>
        <v>0</v>
      </c>
      <c r="V434" s="3843">
        <f t="shared" si="266"/>
        <v>1.8209999999999999E-3</v>
      </c>
      <c r="W434" s="3843">
        <f t="shared" si="267"/>
        <v>0</v>
      </c>
      <c r="X434" s="2846">
        <f>'Income Eligible Deemed Table'!K714</f>
        <v>10</v>
      </c>
      <c r="Y434" s="2846"/>
      <c r="Z434" s="2846">
        <f t="shared" si="269"/>
        <v>10</v>
      </c>
      <c r="AA434" s="2529">
        <f>'Income Eligible Deemed Table'!DG714</f>
        <v>3.360457028072307</v>
      </c>
      <c r="AB434" s="3878">
        <f>'Income Eligible Deemed Table'!L714</f>
        <v>3</v>
      </c>
      <c r="AC434" s="3864">
        <f t="shared" si="270"/>
        <v>10.08137108421692</v>
      </c>
      <c r="AD434" s="3864">
        <f t="shared" si="263"/>
        <v>0</v>
      </c>
      <c r="AE434" s="3865">
        <f>'Income Eligible Deemed Table'!DI714</f>
        <v>10.08137108421692</v>
      </c>
      <c r="AF434" s="3846"/>
      <c r="AG434" s="3846"/>
      <c r="AH434" s="3846"/>
      <c r="AI434" s="3900" t="str">
        <f>'Income Eligible Deemed Table'!M714</f>
        <v>per measure</v>
      </c>
      <c r="AJ434" s="2724"/>
      <c r="AX434" s="3849" t="str">
        <f t="shared" si="275"/>
        <v>Low Flow Bathroom Faucet Aerator SFIE</v>
      </c>
      <c r="AY434" s="2724"/>
      <c r="AZ434" s="3850" t="str">
        <f t="shared" si="276"/>
        <v>403351</v>
      </c>
      <c r="BA434" s="3866" t="s">
        <v>1303</v>
      </c>
      <c r="BB434" s="3866" t="s">
        <v>1303</v>
      </c>
      <c r="BC434" s="3866" t="s">
        <v>1303</v>
      </c>
      <c r="BD434" s="3866" t="s">
        <v>1303</v>
      </c>
      <c r="BE434" s="3853"/>
      <c r="BF434" s="3866" t="s">
        <v>1303</v>
      </c>
      <c r="BG434" s="3866" t="s">
        <v>1303</v>
      </c>
      <c r="BH434" s="3866" t="s">
        <v>1303</v>
      </c>
      <c r="BI434" s="3867" t="s">
        <v>1303</v>
      </c>
      <c r="BJ434" s="3853"/>
      <c r="BK434" s="3866" t="s">
        <v>1303</v>
      </c>
      <c r="BL434" s="3867" t="s">
        <v>1303</v>
      </c>
      <c r="BM434" s="3866" t="s">
        <v>1303</v>
      </c>
      <c r="BN434" s="3867" t="s">
        <v>1303</v>
      </c>
    </row>
    <row r="435" spans="1:66" s="41" customFormat="1">
      <c r="A435" s="51" t="str">
        <f t="shared" si="268"/>
        <v>403400</v>
      </c>
      <c r="B435" s="1442" t="str">
        <f>'Income Eligible Deemed Table'!C715</f>
        <v>403400_2024_12_</v>
      </c>
      <c r="C435" s="1378" t="str">
        <f>'Income Eligible Deemed Table'!G715</f>
        <v>Water heating RES</v>
      </c>
      <c r="D435" s="1378"/>
      <c r="E435" s="1378"/>
      <c r="F435" s="1378"/>
      <c r="G435" s="1378" t="str">
        <f>'Income Eligible Deemed Table'!E715</f>
        <v>Low Flow Bathroom Faucet Aerator MFIE DI</v>
      </c>
      <c r="H435" s="19" t="str">
        <f>'Income Eligible Deemed Table'!D715</f>
        <v>MFIE</v>
      </c>
      <c r="I435" s="785">
        <f>'Income Eligible Deemed Table'!F715</f>
        <v>40.619999999999997</v>
      </c>
      <c r="J435" s="785"/>
      <c r="K435" s="202"/>
      <c r="L435" s="202"/>
      <c r="M435" s="202"/>
      <c r="N435" s="202"/>
      <c r="O435" s="786">
        <f>'Income Eligible Deemed Table'!J715</f>
        <v>3.604E-3</v>
      </c>
      <c r="P435" s="786"/>
      <c r="Q435" s="787"/>
      <c r="R435" s="787"/>
      <c r="S435" s="787"/>
      <c r="T435" s="787"/>
      <c r="U435" s="788">
        <f t="shared" si="265"/>
        <v>0</v>
      </c>
      <c r="V435" s="788">
        <f t="shared" si="266"/>
        <v>3.604E-3</v>
      </c>
      <c r="W435" s="788">
        <f t="shared" si="267"/>
        <v>0</v>
      </c>
      <c r="X435" s="23">
        <f>'Income Eligible Deemed Table'!K715</f>
        <v>10</v>
      </c>
      <c r="Y435" s="23"/>
      <c r="Z435" s="23">
        <f t="shared" si="269"/>
        <v>10</v>
      </c>
      <c r="AA435" s="18">
        <f>'Income Eligible Deemed Table'!DG715</f>
        <v>1.7613767269049343</v>
      </c>
      <c r="AB435" s="259">
        <f>'Income Eligible Deemed Table'!L715</f>
        <v>11.33</v>
      </c>
      <c r="AC435" s="902">
        <f t="shared" si="270"/>
        <v>19.956398315832907</v>
      </c>
      <c r="AD435" s="902">
        <f t="shared" si="263"/>
        <v>0</v>
      </c>
      <c r="AE435" s="610">
        <f>'Income Eligible Deemed Table'!DI715</f>
        <v>19.956398315832907</v>
      </c>
      <c r="AF435" s="208"/>
      <c r="AG435" s="208"/>
      <c r="AH435" s="208"/>
      <c r="AI435" s="910" t="str">
        <f>'Income Eligible Deemed Table'!M715</f>
        <v>per measure</v>
      </c>
      <c r="AJ435" s="71"/>
      <c r="AK435"/>
      <c r="AL435"/>
      <c r="AM435"/>
      <c r="AN435"/>
      <c r="AO435"/>
      <c r="AP435"/>
      <c r="AQ435"/>
      <c r="AR435"/>
      <c r="AS435"/>
      <c r="AT435"/>
      <c r="AU435"/>
      <c r="AV435"/>
      <c r="AW435"/>
      <c r="AX435" s="1355" t="str">
        <f t="shared" si="275"/>
        <v>Low Flow Bathroom Faucet Aerator MFIE DI</v>
      </c>
      <c r="AY435" s="1378"/>
      <c r="AZ435" s="1446" t="str">
        <f t="shared" si="276"/>
        <v>403400</v>
      </c>
      <c r="BA435" s="1300" t="s">
        <v>1303</v>
      </c>
      <c r="BB435" s="1300" t="s">
        <v>1303</v>
      </c>
      <c r="BC435" s="1300" t="s">
        <v>1303</v>
      </c>
      <c r="BD435" s="1300" t="s">
        <v>1303</v>
      </c>
      <c r="BE435" s="1306"/>
      <c r="BF435" s="1300" t="s">
        <v>1303</v>
      </c>
      <c r="BG435" s="1300" t="s">
        <v>1303</v>
      </c>
      <c r="BH435" s="1300" t="s">
        <v>1303</v>
      </c>
      <c r="BI435" s="1301" t="s">
        <v>1303</v>
      </c>
      <c r="BJ435" s="1305"/>
      <c r="BK435" s="1300" t="s">
        <v>1303</v>
      </c>
      <c r="BL435" s="1301" t="s">
        <v>1303</v>
      </c>
      <c r="BM435" s="1300" t="s">
        <v>1303</v>
      </c>
      <c r="BN435" s="1301" t="s">
        <v>1303</v>
      </c>
    </row>
    <row r="436" spans="1:66" s="41" customFormat="1">
      <c r="A436" s="51" t="str">
        <f t="shared" si="268"/>
        <v>403450</v>
      </c>
      <c r="B436" s="1442" t="str">
        <f>'Income Eligible Deemed Table'!C716</f>
        <v>403450_2024_12_</v>
      </c>
      <c r="C436" s="1378" t="str">
        <f>'Income Eligible Deemed Table'!G716</f>
        <v>Water heating RES</v>
      </c>
      <c r="D436" s="1378"/>
      <c r="E436" s="1378"/>
      <c r="F436" s="1378"/>
      <c r="G436" s="1378" t="str">
        <f>'Income Eligible Deemed Table'!E716</f>
        <v>Low Flow Bathroom Faucet Aerator SFIE DI</v>
      </c>
      <c r="H436" s="19" t="str">
        <f>'Income Eligible Deemed Table'!D716</f>
        <v>PAYS/SFIE</v>
      </c>
      <c r="I436" s="785">
        <f>'Income Eligible Deemed Table'!F716</f>
        <v>40.619999999999997</v>
      </c>
      <c r="J436" s="785"/>
      <c r="K436" s="202"/>
      <c r="L436" s="202"/>
      <c r="M436" s="202"/>
      <c r="N436" s="202"/>
      <c r="O436" s="786">
        <f>'Income Eligible Deemed Table'!J716</f>
        <v>3.604E-3</v>
      </c>
      <c r="P436" s="786"/>
      <c r="Q436" s="787"/>
      <c r="R436" s="787"/>
      <c r="S436" s="787"/>
      <c r="T436" s="787"/>
      <c r="U436" s="788">
        <f t="shared" si="265"/>
        <v>0</v>
      </c>
      <c r="V436" s="788">
        <f t="shared" si="266"/>
        <v>3.604E-3</v>
      </c>
      <c r="W436" s="788">
        <f t="shared" si="267"/>
        <v>0</v>
      </c>
      <c r="X436" s="23">
        <f>'Income Eligible Deemed Table'!K716</f>
        <v>10</v>
      </c>
      <c r="Y436" s="23"/>
      <c r="Z436" s="23">
        <f t="shared" si="269"/>
        <v>10</v>
      </c>
      <c r="AA436" s="18">
        <f>'Income Eligible Deemed Table'!DG716</f>
        <v>1.7613767269049343</v>
      </c>
      <c r="AB436" s="259">
        <f>'Income Eligible Deemed Table'!L716</f>
        <v>11.33</v>
      </c>
      <c r="AC436" s="902">
        <f t="shared" si="270"/>
        <v>19.956398315832907</v>
      </c>
      <c r="AD436" s="902">
        <f t="shared" si="263"/>
        <v>0</v>
      </c>
      <c r="AE436" s="610">
        <f>'Income Eligible Deemed Table'!DI716</f>
        <v>19.956398315832907</v>
      </c>
      <c r="AF436" s="208"/>
      <c r="AG436" s="208"/>
      <c r="AH436" s="208"/>
      <c r="AI436" s="910" t="str">
        <f>'Income Eligible Deemed Table'!M716</f>
        <v>per measure</v>
      </c>
      <c r="AJ436" s="71"/>
      <c r="AK436"/>
      <c r="AL436"/>
      <c r="AM436"/>
      <c r="AN436"/>
      <c r="AO436"/>
      <c r="AP436"/>
      <c r="AQ436"/>
      <c r="AR436"/>
      <c r="AS436"/>
      <c r="AT436"/>
      <c r="AU436"/>
      <c r="AV436"/>
      <c r="AW436"/>
      <c r="AX436" s="1355" t="str">
        <f t="shared" si="275"/>
        <v>Low Flow Bathroom Faucet Aerator SFIE DI</v>
      </c>
      <c r="AY436" s="1378"/>
      <c r="AZ436" s="1446" t="str">
        <f t="shared" si="276"/>
        <v>403450</v>
      </c>
      <c r="BA436" s="1300" t="s">
        <v>1303</v>
      </c>
      <c r="BB436" s="1300" t="s">
        <v>1303</v>
      </c>
      <c r="BC436" s="1300" t="s">
        <v>1303</v>
      </c>
      <c r="BD436" s="1300" t="s">
        <v>1303</v>
      </c>
      <c r="BE436" s="1306"/>
      <c r="BF436" s="1300" t="s">
        <v>1303</v>
      </c>
      <c r="BG436" s="1300" t="s">
        <v>1303</v>
      </c>
      <c r="BH436" s="1300" t="s">
        <v>1303</v>
      </c>
      <c r="BI436" s="1301" t="s">
        <v>1303</v>
      </c>
      <c r="BJ436" s="1305"/>
      <c r="BK436" s="1300" t="s">
        <v>1303</v>
      </c>
      <c r="BL436" s="1301" t="s">
        <v>1303</v>
      </c>
      <c r="BM436" s="1300" t="s">
        <v>1303</v>
      </c>
      <c r="BN436" s="1301" t="s">
        <v>1303</v>
      </c>
    </row>
    <row r="437" spans="1:66" s="696" customFormat="1">
      <c r="A437" s="2958" t="str">
        <f t="shared" si="268"/>
        <v>403470</v>
      </c>
      <c r="B437" s="2233" t="str">
        <f>'Income Eligible Deemed Table'!C753</f>
        <v>403470_2024_12_</v>
      </c>
      <c r="C437" s="2724" t="str">
        <f>'Income Eligible Deemed Table'!G753</f>
        <v>Water Heating RES</v>
      </c>
      <c r="D437" s="2724"/>
      <c r="E437" s="2724"/>
      <c r="F437" s="2724"/>
      <c r="G437" s="2724" t="str">
        <f>'Income Eligible Deemed Table'!E753</f>
        <v>Low Flow Kitchen Faucet Aerator MFIE</v>
      </c>
      <c r="H437" s="2554" t="str">
        <f>'Income Eligible Deemed Table'!D753</f>
        <v>MFIE</v>
      </c>
      <c r="I437" s="3840">
        <f>'Income Eligible Deemed Table'!F753</f>
        <v>51.03</v>
      </c>
      <c r="J437" s="3840"/>
      <c r="K437" s="3251"/>
      <c r="L437" s="3251"/>
      <c r="M437" s="3251"/>
      <c r="N437" s="3251"/>
      <c r="O437" s="3841">
        <f>'Income Eligible Deemed Table'!J753</f>
        <v>4.5279999999999999E-3</v>
      </c>
      <c r="P437" s="3841"/>
      <c r="Q437" s="3842"/>
      <c r="R437" s="3842"/>
      <c r="S437" s="3842"/>
      <c r="T437" s="3842"/>
      <c r="U437" s="3843">
        <f t="shared" si="265"/>
        <v>0</v>
      </c>
      <c r="V437" s="3843">
        <f t="shared" si="266"/>
        <v>4.5279999999999999E-3</v>
      </c>
      <c r="W437" s="3843">
        <f t="shared" si="267"/>
        <v>0</v>
      </c>
      <c r="X437" s="2846">
        <f>'Income Eligible Deemed Table'!K753</f>
        <v>10</v>
      </c>
      <c r="Y437" s="2846"/>
      <c r="Z437" s="2846">
        <f t="shared" si="269"/>
        <v>10</v>
      </c>
      <c r="AA437" s="2529">
        <f>'Income Eligible Deemed Table'!DG753</f>
        <v>8.3569260303377106</v>
      </c>
      <c r="AB437" s="3878">
        <f>'Income Eligible Deemed Table'!L753</f>
        <v>3</v>
      </c>
      <c r="AC437" s="3864">
        <f t="shared" si="270"/>
        <v>25.070778091013132</v>
      </c>
      <c r="AD437" s="3864">
        <f t="shared" si="263"/>
        <v>0</v>
      </c>
      <c r="AE437" s="3865">
        <f>'Income Eligible Deemed Table'!DI753</f>
        <v>25.070778091013132</v>
      </c>
      <c r="AF437" s="3846"/>
      <c r="AG437" s="3846"/>
      <c r="AH437" s="3846"/>
      <c r="AI437" s="3900" t="str">
        <f>'Income Eligible Deemed Table'!M753</f>
        <v>per measure</v>
      </c>
      <c r="AJ437" s="2724"/>
      <c r="AX437" s="3849" t="str">
        <f t="shared" si="275"/>
        <v>Low Flow Kitchen Faucet Aerator MFIE</v>
      </c>
      <c r="AY437" s="2724"/>
      <c r="AZ437" s="3850" t="str">
        <f t="shared" si="276"/>
        <v>403470</v>
      </c>
      <c r="BA437" s="3866" t="s">
        <v>1303</v>
      </c>
      <c r="BB437" s="3866" t="s">
        <v>1303</v>
      </c>
      <c r="BC437" s="3866" t="s">
        <v>1303</v>
      </c>
      <c r="BD437" s="3866" t="s">
        <v>1303</v>
      </c>
      <c r="BE437" s="3853"/>
      <c r="BF437" s="3866" t="s">
        <v>1303</v>
      </c>
      <c r="BG437" s="3866" t="s">
        <v>1303</v>
      </c>
      <c r="BH437" s="3866" t="s">
        <v>1303</v>
      </c>
      <c r="BI437" s="3867" t="s">
        <v>1303</v>
      </c>
      <c r="BJ437" s="3853"/>
      <c r="BK437" s="3866" t="s">
        <v>1303</v>
      </c>
      <c r="BL437" s="3867" t="s">
        <v>1303</v>
      </c>
      <c r="BM437" s="3866" t="s">
        <v>1303</v>
      </c>
      <c r="BN437" s="3867" t="s">
        <v>1303</v>
      </c>
    </row>
    <row r="438" spans="1:66" s="696" customFormat="1">
      <c r="A438" s="2958" t="str">
        <f t="shared" si="268"/>
        <v>403471</v>
      </c>
      <c r="B438" s="2233" t="str">
        <f>'Income Eligible Deemed Table'!C754</f>
        <v>403471_2024_12_</v>
      </c>
      <c r="C438" s="2724" t="str">
        <f>'Income Eligible Deemed Table'!G754</f>
        <v>Water Heating RES</v>
      </c>
      <c r="D438" s="2724"/>
      <c r="E438" s="2724"/>
      <c r="F438" s="2724"/>
      <c r="G438" s="2724" t="str">
        <f>'Income Eligible Deemed Table'!E754</f>
        <v>Low Flow Kitchen Faucet Aerator SFIE</v>
      </c>
      <c r="H438" s="2554" t="str">
        <f>'Income Eligible Deemed Table'!D754</f>
        <v>SFIE</v>
      </c>
      <c r="I438" s="3840">
        <f>'Income Eligible Deemed Table'!F754</f>
        <v>51.03</v>
      </c>
      <c r="J438" s="3840"/>
      <c r="K438" s="3251"/>
      <c r="L438" s="3251"/>
      <c r="M438" s="3251"/>
      <c r="N438" s="3251"/>
      <c r="O438" s="3841">
        <f>'Income Eligible Deemed Table'!J754</f>
        <v>4.5279999999999999E-3</v>
      </c>
      <c r="P438" s="3841"/>
      <c r="Q438" s="3842"/>
      <c r="R438" s="3842"/>
      <c r="S438" s="3842"/>
      <c r="T438" s="3842"/>
      <c r="U438" s="3843">
        <f t="shared" si="265"/>
        <v>0</v>
      </c>
      <c r="V438" s="3843">
        <f t="shared" si="266"/>
        <v>4.5279999999999999E-3</v>
      </c>
      <c r="W438" s="3843">
        <f t="shared" si="267"/>
        <v>0</v>
      </c>
      <c r="X438" s="2846">
        <f>'Income Eligible Deemed Table'!K754</f>
        <v>10</v>
      </c>
      <c r="Y438" s="2846"/>
      <c r="Z438" s="2846">
        <f t="shared" si="269"/>
        <v>10</v>
      </c>
      <c r="AA438" s="2529">
        <f>'Income Eligible Deemed Table'!DG754</f>
        <v>8.3569260303377106</v>
      </c>
      <c r="AB438" s="3878">
        <f>'Income Eligible Deemed Table'!L754</f>
        <v>3</v>
      </c>
      <c r="AC438" s="3864">
        <f t="shared" si="270"/>
        <v>25.070778091013132</v>
      </c>
      <c r="AD438" s="3864">
        <f t="shared" si="263"/>
        <v>0</v>
      </c>
      <c r="AE438" s="3865">
        <f>'Income Eligible Deemed Table'!DI754</f>
        <v>25.070778091013132</v>
      </c>
      <c r="AF438" s="3846"/>
      <c r="AG438" s="3846"/>
      <c r="AH438" s="3846"/>
      <c r="AI438" s="3900" t="str">
        <f>'Income Eligible Deemed Table'!M754</f>
        <v>per measure</v>
      </c>
      <c r="AJ438" s="2724"/>
      <c r="AX438" s="3849" t="str">
        <f t="shared" si="275"/>
        <v>Low Flow Kitchen Faucet Aerator SFIE</v>
      </c>
      <c r="AY438" s="2724"/>
      <c r="AZ438" s="3850" t="str">
        <f t="shared" si="276"/>
        <v>403471</v>
      </c>
      <c r="BA438" s="3866" t="s">
        <v>1303</v>
      </c>
      <c r="BB438" s="3866" t="s">
        <v>1303</v>
      </c>
      <c r="BC438" s="3866" t="s">
        <v>1303</v>
      </c>
      <c r="BD438" s="3866" t="s">
        <v>1303</v>
      </c>
      <c r="BE438" s="3853"/>
      <c r="BF438" s="3866" t="s">
        <v>1303</v>
      </c>
      <c r="BG438" s="3866" t="s">
        <v>1303</v>
      </c>
      <c r="BH438" s="3866" t="s">
        <v>1303</v>
      </c>
      <c r="BI438" s="3867" t="s">
        <v>1303</v>
      </c>
      <c r="BJ438" s="3853"/>
      <c r="BK438" s="3866" t="s">
        <v>1303</v>
      </c>
      <c r="BL438" s="3867" t="s">
        <v>1303</v>
      </c>
      <c r="BM438" s="3866" t="s">
        <v>1303</v>
      </c>
      <c r="BN438" s="3867" t="s">
        <v>1303</v>
      </c>
    </row>
    <row r="439" spans="1:66">
      <c r="A439" s="51" t="str">
        <f t="shared" si="268"/>
        <v>403480</v>
      </c>
      <c r="B439" s="1442" t="str">
        <f>'Income Eligible Deemed Table'!C755</f>
        <v>403480_2024_12_</v>
      </c>
      <c r="C439" s="1378" t="str">
        <f>'Income Eligible Deemed Table'!G755</f>
        <v>Water Heating RES</v>
      </c>
      <c r="D439" s="1378"/>
      <c r="E439" s="1378"/>
      <c r="F439" s="1378"/>
      <c r="G439" s="1378" t="str">
        <f>'Income Eligible Deemed Table'!E755</f>
        <v>Low Flow Kitchen Faucet Aerator MFIE DI</v>
      </c>
      <c r="H439" s="19" t="str">
        <f>'Income Eligible Deemed Table'!D755</f>
        <v>MFIE</v>
      </c>
      <c r="I439" s="785">
        <f>'Income Eligible Deemed Table'!F755</f>
        <v>121.19</v>
      </c>
      <c r="J439" s="785"/>
      <c r="K439" s="202"/>
      <c r="L439" s="202"/>
      <c r="M439" s="202"/>
      <c r="N439" s="202"/>
      <c r="O439" s="786">
        <f>'Income Eligible Deemed Table'!J755</f>
        <v>1.0753E-2</v>
      </c>
      <c r="P439" s="786"/>
      <c r="Q439" s="787"/>
      <c r="R439" s="787"/>
      <c r="S439" s="787"/>
      <c r="T439" s="787"/>
      <c r="U439" s="788">
        <f t="shared" si="265"/>
        <v>0</v>
      </c>
      <c r="V439" s="788">
        <f t="shared" si="266"/>
        <v>1.0753E-2</v>
      </c>
      <c r="W439" s="788">
        <f t="shared" si="267"/>
        <v>0</v>
      </c>
      <c r="X439" s="23">
        <f>'Income Eligible Deemed Table'!K755</f>
        <v>10</v>
      </c>
      <c r="Y439" s="23"/>
      <c r="Z439" s="23">
        <f t="shared" si="269"/>
        <v>10</v>
      </c>
      <c r="AA439" s="18">
        <f>'Income Eligible Deemed Table'!DG755</f>
        <v>5.2550774380504439</v>
      </c>
      <c r="AB439" s="259">
        <f>'Income Eligible Deemed Table'!L755</f>
        <v>11.33</v>
      </c>
      <c r="AC439" s="902">
        <f t="shared" si="270"/>
        <v>59.540027373111528</v>
      </c>
      <c r="AD439" s="902">
        <f t="shared" si="263"/>
        <v>0</v>
      </c>
      <c r="AE439" s="610">
        <f>'Income Eligible Deemed Table'!DI755</f>
        <v>59.540027373111528</v>
      </c>
      <c r="AF439" s="208"/>
      <c r="AG439" s="208"/>
      <c r="AH439" s="208"/>
      <c r="AI439" s="910" t="str">
        <f>'Income Eligible Deemed Table'!M755</f>
        <v>per measure</v>
      </c>
      <c r="AJ439" s="676"/>
      <c r="AK439" s="41"/>
      <c r="AL439" s="41"/>
      <c r="AX439" s="1355" t="str">
        <f t="shared" si="275"/>
        <v>Low Flow Kitchen Faucet Aerator MFIE DI</v>
      </c>
      <c r="AY439" s="1378"/>
      <c r="AZ439" s="1446" t="str">
        <f t="shared" si="276"/>
        <v>403480</v>
      </c>
      <c r="BA439" s="1300" t="s">
        <v>1303</v>
      </c>
      <c r="BB439" s="1300" t="s">
        <v>1303</v>
      </c>
      <c r="BC439" s="1300" t="s">
        <v>1303</v>
      </c>
      <c r="BD439" s="1300" t="s">
        <v>1303</v>
      </c>
      <c r="BE439" s="1305"/>
      <c r="BF439" s="1300" t="s">
        <v>1303</v>
      </c>
      <c r="BG439" s="1300" t="s">
        <v>1303</v>
      </c>
      <c r="BH439" s="1300" t="s">
        <v>1303</v>
      </c>
      <c r="BI439" s="1301" t="s">
        <v>1303</v>
      </c>
      <c r="BJ439" s="1305"/>
      <c r="BK439" s="1300" t="s">
        <v>1303</v>
      </c>
      <c r="BL439" s="1301" t="s">
        <v>1303</v>
      </c>
      <c r="BM439" s="1300" t="s">
        <v>1303</v>
      </c>
      <c r="BN439" s="1301" t="s">
        <v>1303</v>
      </c>
    </row>
    <row r="440" spans="1:66">
      <c r="A440" s="51" t="str">
        <f t="shared" si="268"/>
        <v>403481</v>
      </c>
      <c r="B440" s="1442" t="str">
        <f>'Income Eligible Deemed Table'!C756</f>
        <v>403481_2024_12_</v>
      </c>
      <c r="C440" s="1378" t="str">
        <f>'Income Eligible Deemed Table'!G756</f>
        <v>Water Heating RES</v>
      </c>
      <c r="D440" s="1378"/>
      <c r="E440" s="1378"/>
      <c r="F440" s="1378"/>
      <c r="G440" s="1378" t="str">
        <f>'Income Eligible Deemed Table'!E756</f>
        <v>Low Flow Kitchen Faucet Aerator SFIE DI</v>
      </c>
      <c r="H440" s="19" t="str">
        <f>'Income Eligible Deemed Table'!D756</f>
        <v>PAYS/SFIE</v>
      </c>
      <c r="I440" s="785">
        <f>'Income Eligible Deemed Table'!F756</f>
        <v>121.19</v>
      </c>
      <c r="J440" s="785"/>
      <c r="K440" s="202"/>
      <c r="L440" s="202"/>
      <c r="M440" s="202"/>
      <c r="N440" s="202"/>
      <c r="O440" s="786">
        <f>'Income Eligible Deemed Table'!J756</f>
        <v>1.0753E-2</v>
      </c>
      <c r="P440" s="786"/>
      <c r="Q440" s="787"/>
      <c r="R440" s="787"/>
      <c r="S440" s="787"/>
      <c r="T440" s="787"/>
      <c r="U440" s="788">
        <f t="shared" si="265"/>
        <v>0</v>
      </c>
      <c r="V440" s="788">
        <f t="shared" si="266"/>
        <v>1.0753E-2</v>
      </c>
      <c r="W440" s="788">
        <f t="shared" si="267"/>
        <v>0</v>
      </c>
      <c r="X440" s="23">
        <f>'Income Eligible Deemed Table'!K756</f>
        <v>10</v>
      </c>
      <c r="Y440" s="23"/>
      <c r="Z440" s="23">
        <f t="shared" si="269"/>
        <v>10</v>
      </c>
      <c r="AA440" s="18">
        <f>'Income Eligible Deemed Table'!DG756</f>
        <v>5.2550774380504439</v>
      </c>
      <c r="AB440" s="259">
        <f>'Income Eligible Deemed Table'!L756</f>
        <v>11.33</v>
      </c>
      <c r="AC440" s="902">
        <f t="shared" si="270"/>
        <v>59.540027373111528</v>
      </c>
      <c r="AD440" s="902">
        <f t="shared" si="263"/>
        <v>0</v>
      </c>
      <c r="AE440" s="610">
        <f>'Income Eligible Deemed Table'!DI756</f>
        <v>59.540027373111528</v>
      </c>
      <c r="AF440" s="208"/>
      <c r="AG440" s="208"/>
      <c r="AH440" s="208"/>
      <c r="AI440" s="910" t="str">
        <f>'Income Eligible Deemed Table'!M756</f>
        <v>per measure</v>
      </c>
      <c r="AJ440" s="676"/>
      <c r="AK440" s="41"/>
      <c r="AL440" s="41"/>
      <c r="AX440" s="1355" t="str">
        <f t="shared" si="275"/>
        <v>Low Flow Kitchen Faucet Aerator SFIE DI</v>
      </c>
      <c r="AY440" s="1378"/>
      <c r="AZ440" s="1446" t="str">
        <f t="shared" si="276"/>
        <v>403481</v>
      </c>
      <c r="BA440" s="1300" t="s">
        <v>1303</v>
      </c>
      <c r="BB440" s="1300" t="s">
        <v>1303</v>
      </c>
      <c r="BC440" s="1300" t="s">
        <v>1303</v>
      </c>
      <c r="BD440" s="1300" t="s">
        <v>1303</v>
      </c>
      <c r="BE440" s="1305"/>
      <c r="BF440" s="1300" t="s">
        <v>1303</v>
      </c>
      <c r="BG440" s="1300" t="s">
        <v>1303</v>
      </c>
      <c r="BH440" s="1300" t="s">
        <v>1303</v>
      </c>
      <c r="BI440" s="1301" t="s">
        <v>1303</v>
      </c>
      <c r="BJ440" s="1305"/>
      <c r="BK440" s="1300" t="s">
        <v>1303</v>
      </c>
      <c r="BL440" s="1301" t="s">
        <v>1303</v>
      </c>
      <c r="BM440" s="1300" t="s">
        <v>1303</v>
      </c>
      <c r="BN440" s="1301" t="s">
        <v>1303</v>
      </c>
    </row>
    <row r="441" spans="1:66" s="696" customFormat="1">
      <c r="A441" s="2958" t="str">
        <f t="shared" si="268"/>
        <v>403500</v>
      </c>
      <c r="B441" s="2233" t="str">
        <f>'Income Eligible Deemed Table'!C792</f>
        <v>403500_2024_12_</v>
      </c>
      <c r="C441" s="2724" t="str">
        <f>'Income Eligible Deemed Table'!G792</f>
        <v>Water heating RES</v>
      </c>
      <c r="D441" s="2724"/>
      <c r="E441" s="2724"/>
      <c r="F441" s="2724"/>
      <c r="G441" s="2724" t="str">
        <f>'Income Eligible Deemed Table'!E792</f>
        <v>Low Flow Showerhead MFIE</v>
      </c>
      <c r="H441" s="2554" t="str">
        <f>'Income Eligible Deemed Table'!D792</f>
        <v>MFIE</v>
      </c>
      <c r="I441" s="3840">
        <f>'Income Eligible Deemed Table'!F792</f>
        <v>235.01</v>
      </c>
      <c r="J441" s="3840"/>
      <c r="K441" s="3251"/>
      <c r="L441" s="3251"/>
      <c r="M441" s="3251"/>
      <c r="N441" s="3251"/>
      <c r="O441" s="3841">
        <f>'Income Eligible Deemed Table'!J792</f>
        <v>2.0853E-2</v>
      </c>
      <c r="P441" s="3841"/>
      <c r="Q441" s="3842"/>
      <c r="R441" s="3842"/>
      <c r="S441" s="3842"/>
      <c r="T441" s="3842"/>
      <c r="U441" s="3843">
        <f t="shared" si="265"/>
        <v>0</v>
      </c>
      <c r="V441" s="3843">
        <f t="shared" si="266"/>
        <v>2.0853E-2</v>
      </c>
      <c r="W441" s="3843">
        <f t="shared" si="267"/>
        <v>0</v>
      </c>
      <c r="X441" s="2846">
        <f>'Income Eligible Deemed Table'!K792</f>
        <v>10</v>
      </c>
      <c r="Y441" s="2846"/>
      <c r="Z441" s="2846">
        <f t="shared" si="269"/>
        <v>10</v>
      </c>
      <c r="AA441" s="2529">
        <f>'Income Eligible Deemed Table'!DG792</f>
        <v>16.494173061137694</v>
      </c>
      <c r="AB441" s="3878">
        <f>'Income Eligible Deemed Table'!L792</f>
        <v>7</v>
      </c>
      <c r="AC441" s="3864">
        <f t="shared" si="270"/>
        <v>115.45921142796385</v>
      </c>
      <c r="AD441" s="3864">
        <f t="shared" si="263"/>
        <v>0</v>
      </c>
      <c r="AE441" s="3865">
        <f>'Income Eligible Deemed Table'!DI792</f>
        <v>115.45921142796385</v>
      </c>
      <c r="AF441" s="3846"/>
      <c r="AG441" s="3846"/>
      <c r="AH441" s="3846"/>
      <c r="AI441" s="3900" t="str">
        <f>'Income Eligible Deemed Table'!M792</f>
        <v>per measure</v>
      </c>
      <c r="AJ441" s="2724"/>
      <c r="AX441" s="3849" t="str">
        <f t="shared" si="275"/>
        <v>Low Flow Showerhead MFIE</v>
      </c>
      <c r="AY441" s="2724"/>
      <c r="AZ441" s="3850" t="str">
        <f t="shared" si="276"/>
        <v>403500</v>
      </c>
      <c r="BA441" s="3866" t="s">
        <v>1303</v>
      </c>
      <c r="BB441" s="3866" t="s">
        <v>1303</v>
      </c>
      <c r="BC441" s="3866" t="s">
        <v>1303</v>
      </c>
      <c r="BD441" s="3866" t="s">
        <v>1303</v>
      </c>
      <c r="BE441" s="3853"/>
      <c r="BF441" s="3866" t="s">
        <v>1303</v>
      </c>
      <c r="BG441" s="3866" t="s">
        <v>1303</v>
      </c>
      <c r="BH441" s="3866" t="s">
        <v>1303</v>
      </c>
      <c r="BI441" s="3867" t="s">
        <v>1303</v>
      </c>
      <c r="BJ441" s="3853"/>
      <c r="BK441" s="3866" t="s">
        <v>1303</v>
      </c>
      <c r="BL441" s="3867" t="s">
        <v>1303</v>
      </c>
      <c r="BM441" s="3866" t="s">
        <v>1303</v>
      </c>
      <c r="BN441" s="3867" t="s">
        <v>1303</v>
      </c>
    </row>
    <row r="442" spans="1:66">
      <c r="A442" s="51" t="str">
        <f t="shared" si="268"/>
        <v>403550</v>
      </c>
      <c r="B442" s="1442" t="str">
        <f>'Income Eligible Deemed Table'!C793</f>
        <v>403550_2024_12_</v>
      </c>
      <c r="C442" s="1378" t="str">
        <f>'Income Eligible Deemed Table'!G793</f>
        <v>Water heating RES</v>
      </c>
      <c r="D442" s="1378"/>
      <c r="E442" s="1378"/>
      <c r="F442" s="1378"/>
      <c r="G442" s="1378" t="str">
        <f>'Income Eligible Deemed Table'!E793</f>
        <v>Low Flow Showerhead MFIE DI</v>
      </c>
      <c r="H442" s="19" t="str">
        <f>'Income Eligible Deemed Table'!D793</f>
        <v>MFIE</v>
      </c>
      <c r="I442" s="785">
        <f>'Income Eligible Deemed Table'!F793</f>
        <v>248.01</v>
      </c>
      <c r="J442" s="785"/>
      <c r="K442" s="202"/>
      <c r="L442" s="202"/>
      <c r="M442" s="202"/>
      <c r="N442" s="202"/>
      <c r="O442" s="786">
        <f>'Income Eligible Deemed Table'!J793</f>
        <v>2.2006000000000001E-2</v>
      </c>
      <c r="P442" s="786"/>
      <c r="Q442" s="787"/>
      <c r="R442" s="787"/>
      <c r="S442" s="787"/>
      <c r="T442" s="787"/>
      <c r="U442" s="788">
        <f t="shared" si="265"/>
        <v>0</v>
      </c>
      <c r="V442" s="788">
        <f t="shared" si="266"/>
        <v>2.2006000000000001E-2</v>
      </c>
      <c r="W442" s="788">
        <f t="shared" si="267"/>
        <v>0</v>
      </c>
      <c r="X442" s="23">
        <f>'Income Eligible Deemed Table'!K793</f>
        <v>10</v>
      </c>
      <c r="Y442" s="23"/>
      <c r="Z442" s="23">
        <f t="shared" si="269"/>
        <v>10</v>
      </c>
      <c r="AA442" s="18">
        <f>'Income Eligible Deemed Table'!DG793</f>
        <v>7.9482090646346917</v>
      </c>
      <c r="AB442" s="259">
        <f>'Income Eligible Deemed Table'!L793</f>
        <v>15.33</v>
      </c>
      <c r="AC442" s="902">
        <f t="shared" si="270"/>
        <v>121.84604496084982</v>
      </c>
      <c r="AD442" s="902">
        <f t="shared" si="263"/>
        <v>0</v>
      </c>
      <c r="AE442" s="610">
        <f>'Income Eligible Deemed Table'!DI793</f>
        <v>121.84604496084982</v>
      </c>
      <c r="AF442" s="208"/>
      <c r="AG442" s="208"/>
      <c r="AH442" s="208"/>
      <c r="AI442" s="910" t="str">
        <f>'Income Eligible Deemed Table'!M793</f>
        <v>per measure</v>
      </c>
      <c r="AJ442" s="71"/>
      <c r="AX442" s="1355" t="str">
        <f t="shared" si="275"/>
        <v>Low Flow Showerhead MFIE DI</v>
      </c>
      <c r="AY442" s="1378"/>
      <c r="AZ442" s="1446" t="str">
        <f t="shared" si="276"/>
        <v>403550</v>
      </c>
      <c r="BA442" s="1300" t="s">
        <v>1303</v>
      </c>
      <c r="BB442" s="1300" t="s">
        <v>1303</v>
      </c>
      <c r="BC442" s="1300" t="s">
        <v>1303</v>
      </c>
      <c r="BD442" s="1300" t="s">
        <v>1303</v>
      </c>
      <c r="BE442" s="1305"/>
      <c r="BF442" s="1300" t="s">
        <v>1303</v>
      </c>
      <c r="BG442" s="1300" t="s">
        <v>1303</v>
      </c>
      <c r="BH442" s="1300" t="s">
        <v>1303</v>
      </c>
      <c r="BI442" s="1301" t="s">
        <v>1303</v>
      </c>
      <c r="BJ442" s="1305"/>
      <c r="BK442" s="1300" t="s">
        <v>1303</v>
      </c>
      <c r="BL442" s="1301" t="s">
        <v>1303</v>
      </c>
      <c r="BM442" s="1300" t="s">
        <v>1303</v>
      </c>
      <c r="BN442" s="1301" t="s">
        <v>1303</v>
      </c>
    </row>
    <row r="443" spans="1:66">
      <c r="A443" s="51" t="str">
        <f t="shared" si="268"/>
        <v>403551</v>
      </c>
      <c r="B443" s="1442" t="str">
        <f>'Income Eligible Deemed Table'!C794</f>
        <v>403551_2024_12_</v>
      </c>
      <c r="C443" s="1378" t="str">
        <f>'Income Eligible Deemed Table'!G794</f>
        <v>Water heating RES</v>
      </c>
      <c r="D443" s="1378"/>
      <c r="E443" s="1378"/>
      <c r="F443" s="1378"/>
      <c r="G443" s="1378" t="str">
        <f>'Income Eligible Deemed Table'!E794</f>
        <v>Low Flow Handheld Showerhead MFIE DI</v>
      </c>
      <c r="H443" s="19" t="str">
        <f>'Income Eligible Deemed Table'!D794</f>
        <v>MFIE</v>
      </c>
      <c r="I443" s="785">
        <f>'Income Eligible Deemed Table'!F794</f>
        <v>248.01</v>
      </c>
      <c r="J443" s="785"/>
      <c r="K443" s="202"/>
      <c r="L443" s="202"/>
      <c r="M443" s="202"/>
      <c r="N443" s="202"/>
      <c r="O443" s="786">
        <f>'Income Eligible Deemed Table'!J794</f>
        <v>2.2006000000000001E-2</v>
      </c>
      <c r="P443" s="786"/>
      <c r="Q443" s="787"/>
      <c r="R443" s="787"/>
      <c r="S443" s="787"/>
      <c r="T443" s="787"/>
      <c r="U443" s="788">
        <f t="shared" si="265"/>
        <v>0</v>
      </c>
      <c r="V443" s="788">
        <f t="shared" si="266"/>
        <v>2.2006000000000001E-2</v>
      </c>
      <c r="W443" s="788">
        <f t="shared" si="267"/>
        <v>0</v>
      </c>
      <c r="X443" s="23">
        <f>'Income Eligible Deemed Table'!K794</f>
        <v>10</v>
      </c>
      <c r="Y443" s="23"/>
      <c r="Z443" s="23">
        <f t="shared" si="269"/>
        <v>10</v>
      </c>
      <c r="AA443" s="18">
        <f>'Income Eligible Deemed Table'!DG794</f>
        <v>5.2182460368672299</v>
      </c>
      <c r="AB443" s="259">
        <f>'Income Eligible Deemed Table'!L794</f>
        <v>23.35</v>
      </c>
      <c r="AC443" s="902">
        <f t="shared" si="270"/>
        <v>121.84604496084982</v>
      </c>
      <c r="AD443" s="902">
        <f t="shared" si="263"/>
        <v>0</v>
      </c>
      <c r="AE443" s="610">
        <f>'Income Eligible Deemed Table'!DI794</f>
        <v>121.84604496084982</v>
      </c>
      <c r="AF443" s="208"/>
      <c r="AG443" s="208"/>
      <c r="AH443" s="208"/>
      <c r="AI443" s="910" t="str">
        <f>'Income Eligible Deemed Table'!M794</f>
        <v>per measure</v>
      </c>
      <c r="AJ443" s="71"/>
      <c r="AX443" s="1355" t="str">
        <f t="shared" si="275"/>
        <v>Low Flow Handheld Showerhead MFIE DI</v>
      </c>
      <c r="AY443" s="1378"/>
      <c r="AZ443" s="1446" t="str">
        <f t="shared" si="276"/>
        <v>403551</v>
      </c>
      <c r="BA443" s="1300" t="s">
        <v>1303</v>
      </c>
      <c r="BB443" s="1300" t="s">
        <v>1303</v>
      </c>
      <c r="BC443" s="1300" t="s">
        <v>1303</v>
      </c>
      <c r="BD443" s="1300" t="s">
        <v>1303</v>
      </c>
      <c r="BE443" s="1305"/>
      <c r="BF443" s="1300" t="s">
        <v>1303</v>
      </c>
      <c r="BG443" s="1300" t="s">
        <v>1303</v>
      </c>
      <c r="BH443" s="1300" t="s">
        <v>1303</v>
      </c>
      <c r="BI443" s="1301" t="s">
        <v>1303</v>
      </c>
      <c r="BJ443" s="1305"/>
      <c r="BK443" s="1300" t="s">
        <v>1303</v>
      </c>
      <c r="BL443" s="1301" t="s">
        <v>1303</v>
      </c>
      <c r="BM443" s="1300" t="s">
        <v>1303</v>
      </c>
      <c r="BN443" s="1301" t="s">
        <v>1303</v>
      </c>
    </row>
    <row r="444" spans="1:66">
      <c r="A444" s="51" t="str">
        <f t="shared" si="268"/>
        <v>403600</v>
      </c>
      <c r="B444" s="1442" t="str">
        <f>'Income Eligible Deemed Table'!C795</f>
        <v>403600_2024_12_</v>
      </c>
      <c r="C444" s="1378" t="str">
        <f>'Income Eligible Deemed Table'!G795</f>
        <v>Water heating RES</v>
      </c>
      <c r="D444" s="1378"/>
      <c r="E444" s="1378"/>
      <c r="F444" s="1378"/>
      <c r="G444" s="1378" t="str">
        <f>'Income Eligible Deemed Table'!E795</f>
        <v>Low Flow Showerhead SFIE DI</v>
      </c>
      <c r="H444" s="19" t="str">
        <f>'Income Eligible Deemed Table'!D795</f>
        <v>PAYS/SFIE</v>
      </c>
      <c r="I444" s="785">
        <f>'Income Eligible Deemed Table'!F795</f>
        <v>207.7</v>
      </c>
      <c r="J444" s="785"/>
      <c r="K444" s="202"/>
      <c r="L444" s="202"/>
      <c r="M444" s="202"/>
      <c r="N444" s="202"/>
      <c r="O444" s="786">
        <f>'Income Eligible Deemed Table'!J795</f>
        <v>1.8429999999999998E-2</v>
      </c>
      <c r="P444" s="786"/>
      <c r="Q444" s="787"/>
      <c r="R444" s="787"/>
      <c r="S444" s="787"/>
      <c r="T444" s="787"/>
      <c r="U444" s="788">
        <f t="shared" si="265"/>
        <v>0</v>
      </c>
      <c r="V444" s="788">
        <f t="shared" si="266"/>
        <v>1.8429999999999998E-2</v>
      </c>
      <c r="W444" s="788">
        <f t="shared" si="267"/>
        <v>0</v>
      </c>
      <c r="X444" s="23">
        <f>'Income Eligible Deemed Table'!K795</f>
        <v>10</v>
      </c>
      <c r="Y444" s="23"/>
      <c r="Z444" s="23">
        <f t="shared" si="269"/>
        <v>10</v>
      </c>
      <c r="AA444" s="18">
        <f>'Income Eligible Deemed Table'!DG795</f>
        <v>6.6563566901521121</v>
      </c>
      <c r="AB444" s="259">
        <f>'Income Eligible Deemed Table'!L795</f>
        <v>15.33</v>
      </c>
      <c r="AC444" s="902">
        <f t="shared" si="270"/>
        <v>102.04194806003188</v>
      </c>
      <c r="AD444" s="902">
        <f t="shared" si="263"/>
        <v>0</v>
      </c>
      <c r="AE444" s="610">
        <f>'Income Eligible Deemed Table'!DI795</f>
        <v>102.04194806003188</v>
      </c>
      <c r="AF444" s="208"/>
      <c r="AG444" s="208"/>
      <c r="AH444" s="208"/>
      <c r="AI444" s="910" t="str">
        <f>'Income Eligible Deemed Table'!M795</f>
        <v>per measure</v>
      </c>
      <c r="AJ444" s="71"/>
      <c r="AX444" s="1355" t="str">
        <f t="shared" si="275"/>
        <v>Low Flow Showerhead SFIE DI</v>
      </c>
      <c r="AY444" s="1378"/>
      <c r="AZ444" s="1446" t="str">
        <f t="shared" si="276"/>
        <v>403600</v>
      </c>
      <c r="BA444" s="1300" t="s">
        <v>1303</v>
      </c>
      <c r="BB444" s="1300" t="s">
        <v>1303</v>
      </c>
      <c r="BC444" s="1300" t="s">
        <v>1303</v>
      </c>
      <c r="BD444" s="1300" t="s">
        <v>1303</v>
      </c>
      <c r="BE444" s="1305"/>
      <c r="BF444" s="1300" t="s">
        <v>1303</v>
      </c>
      <c r="BG444" s="1300" t="s">
        <v>1303</v>
      </c>
      <c r="BH444" s="1300" t="s">
        <v>1303</v>
      </c>
      <c r="BI444" s="1301" t="s">
        <v>1303</v>
      </c>
      <c r="BJ444" s="1305"/>
      <c r="BK444" s="1300" t="s">
        <v>1303</v>
      </c>
      <c r="BL444" s="1301" t="s">
        <v>1303</v>
      </c>
      <c r="BM444" s="1300" t="s">
        <v>1303</v>
      </c>
      <c r="BN444" s="1301" t="s">
        <v>1303</v>
      </c>
    </row>
    <row r="445" spans="1:66">
      <c r="A445" s="51" t="str">
        <f t="shared" si="268"/>
        <v>403601</v>
      </c>
      <c r="B445" s="1442" t="str">
        <f>'Income Eligible Deemed Table'!C796</f>
        <v>403601_2024_12_</v>
      </c>
      <c r="C445" s="1378" t="str">
        <f>'Income Eligible Deemed Table'!G796</f>
        <v>Water heating RES</v>
      </c>
      <c r="D445" s="1378"/>
      <c r="E445" s="1378"/>
      <c r="F445" s="1378"/>
      <c r="G445" s="1378" t="str">
        <f>'Income Eligible Deemed Table'!E796</f>
        <v>Low Flow Handheld Showerhead SFIE DI</v>
      </c>
      <c r="H445" s="19" t="str">
        <f>'Income Eligible Deemed Table'!D796</f>
        <v>SFIE</v>
      </c>
      <c r="I445" s="785">
        <f>'Income Eligible Deemed Table'!F796</f>
        <v>207.7</v>
      </c>
      <c r="J445" s="785"/>
      <c r="K445" s="202"/>
      <c r="L445" s="202"/>
      <c r="M445" s="202"/>
      <c r="N445" s="202"/>
      <c r="O445" s="786">
        <f>'Income Eligible Deemed Table'!J796</f>
        <v>1.8429999999999998E-2</v>
      </c>
      <c r="P445" s="786"/>
      <c r="Q445" s="787"/>
      <c r="R445" s="787"/>
      <c r="S445" s="787"/>
      <c r="T445" s="787"/>
      <c r="U445" s="788">
        <f t="shared" si="265"/>
        <v>0</v>
      </c>
      <c r="V445" s="788">
        <f t="shared" si="266"/>
        <v>1.8429999999999998E-2</v>
      </c>
      <c r="W445" s="788">
        <f t="shared" si="267"/>
        <v>0</v>
      </c>
      <c r="X445" s="23">
        <f>'Income Eligible Deemed Table'!K796</f>
        <v>10</v>
      </c>
      <c r="Y445" s="23"/>
      <c r="Z445" s="23">
        <f t="shared" si="269"/>
        <v>10</v>
      </c>
      <c r="AA445" s="18">
        <f>'Income Eligible Deemed Table'!DG796</f>
        <v>4.3701048419713864</v>
      </c>
      <c r="AB445" s="259">
        <f>'Income Eligible Deemed Table'!L796</f>
        <v>23.35</v>
      </c>
      <c r="AC445" s="902">
        <f t="shared" si="270"/>
        <v>102.04194806003188</v>
      </c>
      <c r="AD445" s="902">
        <f t="shared" si="263"/>
        <v>0</v>
      </c>
      <c r="AE445" s="610">
        <f>'Income Eligible Deemed Table'!DI796</f>
        <v>102.04194806003188</v>
      </c>
      <c r="AF445" s="208"/>
      <c r="AG445" s="208"/>
      <c r="AH445" s="208"/>
      <c r="AI445" s="910" t="str">
        <f>'Income Eligible Deemed Table'!M796</f>
        <v>per measure</v>
      </c>
      <c r="AJ445" s="71"/>
      <c r="AX445" s="1355" t="str">
        <f t="shared" si="275"/>
        <v>Low Flow Handheld Showerhead SFIE DI</v>
      </c>
      <c r="AY445" s="1378"/>
      <c r="AZ445" s="1446" t="str">
        <f t="shared" si="276"/>
        <v>403601</v>
      </c>
      <c r="BA445" s="1300" t="s">
        <v>1303</v>
      </c>
      <c r="BB445" s="1300" t="s">
        <v>1303</v>
      </c>
      <c r="BC445" s="1300" t="s">
        <v>1303</v>
      </c>
      <c r="BD445" s="1300" t="s">
        <v>1303</v>
      </c>
      <c r="BE445" s="1305"/>
      <c r="BF445" s="1300" t="s">
        <v>1303</v>
      </c>
      <c r="BG445" s="1300" t="s">
        <v>1303</v>
      </c>
      <c r="BH445" s="1300" t="s">
        <v>1303</v>
      </c>
      <c r="BI445" s="1301" t="s">
        <v>1303</v>
      </c>
      <c r="BJ445" s="1305"/>
      <c r="BK445" s="1300" t="s">
        <v>1303</v>
      </c>
      <c r="BL445" s="1301" t="s">
        <v>1303</v>
      </c>
      <c r="BM445" s="1300" t="s">
        <v>1303</v>
      </c>
      <c r="BN445" s="1301" t="s">
        <v>1303</v>
      </c>
    </row>
    <row r="446" spans="1:66" s="696" customFormat="1">
      <c r="A446" s="2958" t="str">
        <f t="shared" si="268"/>
        <v>403650</v>
      </c>
      <c r="B446" s="2233" t="str">
        <f>'Income Eligible Deemed Table'!C837</f>
        <v>403650_2019_12_</v>
      </c>
      <c r="C446" s="2724" t="str">
        <f>'Income Eligible Deemed Table'!G837</f>
        <v>Water heating RES</v>
      </c>
      <c r="D446" s="2724"/>
      <c r="E446" s="2724"/>
      <c r="F446" s="2724"/>
      <c r="G446" s="2724" t="str">
        <f>'Income Eligible Deemed Table'!E837</f>
        <v>Pipe Insulation MFIE</v>
      </c>
      <c r="H446" s="2554" t="str">
        <f>'Income Eligible Deemed Table'!D837</f>
        <v>MFIE</v>
      </c>
      <c r="I446" s="3840">
        <f>'Income Eligible Deemed Table'!F837</f>
        <v>4.6399999999999997</v>
      </c>
      <c r="J446" s="3840"/>
      <c r="K446" s="3251"/>
      <c r="L446" s="3251"/>
      <c r="M446" s="3251"/>
      <c r="N446" s="3251"/>
      <c r="O446" s="3841">
        <f>'Income Eligible Deemed Table'!I837</f>
        <v>4.1199999999999999E-4</v>
      </c>
      <c r="P446" s="3841"/>
      <c r="Q446" s="3842"/>
      <c r="R446" s="3842"/>
      <c r="S446" s="3842"/>
      <c r="T446" s="3842"/>
      <c r="U446" s="3843">
        <f t="shared" si="265"/>
        <v>0</v>
      </c>
      <c r="V446" s="3843">
        <f t="shared" si="266"/>
        <v>4.1199999999999999E-4</v>
      </c>
      <c r="W446" s="3843">
        <f t="shared" si="267"/>
        <v>0</v>
      </c>
      <c r="X446" s="2846">
        <f>'Income Eligible Deemed Table'!J837</f>
        <v>12</v>
      </c>
      <c r="Y446" s="2846"/>
      <c r="Z446" s="2846">
        <f t="shared" si="269"/>
        <v>12</v>
      </c>
      <c r="AA446" s="2529">
        <f>'Income Eligible Deemed Table'!DG837</f>
        <v>0.36692158346784881</v>
      </c>
      <c r="AB446" s="3878">
        <f>'Income Eligible Deemed Table'!K837</f>
        <v>7.1</v>
      </c>
      <c r="AC446" s="3864">
        <f t="shared" si="270"/>
        <v>2.6051432426217263</v>
      </c>
      <c r="AD446" s="3864">
        <f t="shared" si="263"/>
        <v>0</v>
      </c>
      <c r="AE446" s="3865">
        <f>'Income Eligible Deemed Table'!DI837</f>
        <v>2.6051432426217263</v>
      </c>
      <c r="AF446" s="3846"/>
      <c r="AG446" s="3846"/>
      <c r="AH446" s="3846"/>
      <c r="AI446" s="2233" t="str">
        <f>'Income Eligible Deemed Table'!L837</f>
        <v>per foot</v>
      </c>
      <c r="AJ446" s="2724"/>
      <c r="AX446" s="3849" t="str">
        <f t="shared" si="275"/>
        <v>Pipe Insulation MFIE</v>
      </c>
      <c r="AY446" s="2724"/>
      <c r="AZ446" s="3850" t="str">
        <f t="shared" si="276"/>
        <v>403650</v>
      </c>
      <c r="BA446" s="3866" t="s">
        <v>1303</v>
      </c>
      <c r="BB446" s="3866" t="s">
        <v>1303</v>
      </c>
      <c r="BC446" s="3866" t="s">
        <v>1303</v>
      </c>
      <c r="BD446" s="3866" t="s">
        <v>1303</v>
      </c>
      <c r="BE446" s="3853"/>
      <c r="BF446" s="3866" t="s">
        <v>1303</v>
      </c>
      <c r="BG446" s="3866" t="s">
        <v>1303</v>
      </c>
      <c r="BH446" s="3866" t="s">
        <v>1303</v>
      </c>
      <c r="BI446" s="3867" t="s">
        <v>1303</v>
      </c>
      <c r="BJ446" s="3853"/>
      <c r="BK446" s="3866" t="s">
        <v>1303</v>
      </c>
      <c r="BL446" s="3867" t="s">
        <v>1303</v>
      </c>
      <c r="BM446" s="3866" t="s">
        <v>1303</v>
      </c>
      <c r="BN446" s="3867" t="s">
        <v>1303</v>
      </c>
    </row>
    <row r="447" spans="1:66">
      <c r="A447" s="51" t="str">
        <f t="shared" si="268"/>
        <v>403700</v>
      </c>
      <c r="B447" s="1442" t="str">
        <f>'Income Eligible Deemed Table'!C838</f>
        <v>403700_2019_12_</v>
      </c>
      <c r="C447" s="1378" t="str">
        <f>'Income Eligible Deemed Table'!G838</f>
        <v>Water heating RES</v>
      </c>
      <c r="D447" s="1378"/>
      <c r="E447" s="1378"/>
      <c r="F447" s="1378"/>
      <c r="G447" s="1378" t="str">
        <f>'Income Eligible Deemed Table'!E838</f>
        <v>Pipe Insulation MFIE DI</v>
      </c>
      <c r="H447" s="19" t="str">
        <f>'Income Eligible Deemed Table'!D838</f>
        <v>MFIE</v>
      </c>
      <c r="I447" s="785">
        <f>'Income Eligible Deemed Table'!F838</f>
        <v>4.6399999999999997</v>
      </c>
      <c r="J447" s="785"/>
      <c r="K447" s="202"/>
      <c r="L447" s="202"/>
      <c r="M447" s="202"/>
      <c r="N447" s="202"/>
      <c r="O447" s="786">
        <f>'Income Eligible Deemed Table'!I838</f>
        <v>4.1199999999999999E-4</v>
      </c>
      <c r="P447" s="786"/>
      <c r="Q447" s="787"/>
      <c r="R447" s="787"/>
      <c r="S447" s="787"/>
      <c r="T447" s="787"/>
      <c r="U447" s="788">
        <f t="shared" si="265"/>
        <v>0</v>
      </c>
      <c r="V447" s="788">
        <f t="shared" si="266"/>
        <v>4.1199999999999999E-4</v>
      </c>
      <c r="W447" s="788">
        <f t="shared" si="267"/>
        <v>0</v>
      </c>
      <c r="X447" s="23">
        <f>'Income Eligible Deemed Table'!J838</f>
        <v>12</v>
      </c>
      <c r="Y447" s="23"/>
      <c r="Z447" s="23">
        <f t="shared" si="269"/>
        <v>12</v>
      </c>
      <c r="AA447" s="18">
        <f>'Income Eligible Deemed Table'!DG838</f>
        <v>0.46027265770701875</v>
      </c>
      <c r="AB447" s="259">
        <f>'Income Eligible Deemed Table'!K838</f>
        <v>5.66</v>
      </c>
      <c r="AC447" s="902">
        <f t="shared" si="270"/>
        <v>2.6051432426217263</v>
      </c>
      <c r="AD447" s="902">
        <f t="shared" si="263"/>
        <v>0</v>
      </c>
      <c r="AE447" s="610">
        <f>'Income Eligible Deemed Table'!DI838</f>
        <v>2.6051432426217263</v>
      </c>
      <c r="AF447" s="208"/>
      <c r="AG447" s="208"/>
      <c r="AH447" s="208"/>
      <c r="AI447" s="1442" t="str">
        <f>'Income Eligible Deemed Table'!L838</f>
        <v>per foot</v>
      </c>
      <c r="AJ447" s="71"/>
      <c r="AX447" s="1355" t="str">
        <f t="shared" si="275"/>
        <v>Pipe Insulation MFIE DI</v>
      </c>
      <c r="AY447" s="1378"/>
      <c r="AZ447" s="1446" t="str">
        <f t="shared" si="276"/>
        <v>403700</v>
      </c>
      <c r="BA447" s="1300" t="s">
        <v>1303</v>
      </c>
      <c r="BB447" s="1300" t="s">
        <v>1303</v>
      </c>
      <c r="BC447" s="1300" t="s">
        <v>1303</v>
      </c>
      <c r="BD447" s="1300" t="s">
        <v>1303</v>
      </c>
      <c r="BE447" s="1305"/>
      <c r="BF447" s="1300" t="s">
        <v>1303</v>
      </c>
      <c r="BG447" s="1300" t="s">
        <v>1303</v>
      </c>
      <c r="BH447" s="1300" t="s">
        <v>1303</v>
      </c>
      <c r="BI447" s="1301" t="s">
        <v>1303</v>
      </c>
      <c r="BJ447" s="1305"/>
      <c r="BK447" s="1300" t="s">
        <v>1303</v>
      </c>
      <c r="BL447" s="1301" t="s">
        <v>1303</v>
      </c>
      <c r="BM447" s="1300" t="s">
        <v>1303</v>
      </c>
      <c r="BN447" s="1301" t="s">
        <v>1303</v>
      </c>
    </row>
    <row r="448" spans="1:66">
      <c r="A448" s="51" t="str">
        <f t="shared" si="268"/>
        <v>403750</v>
      </c>
      <c r="B448" s="1442" t="str">
        <f>'Income Eligible Deemed Table'!C839</f>
        <v>403750_2019_12_</v>
      </c>
      <c r="C448" s="1378" t="str">
        <f>'Income Eligible Deemed Table'!G839</f>
        <v>Water heating RES</v>
      </c>
      <c r="D448" s="1378"/>
      <c r="E448" s="1378"/>
      <c r="F448" s="1378"/>
      <c r="G448" s="1378" t="str">
        <f>'Income Eligible Deemed Table'!E839</f>
        <v>Pipe Insulation SFIE DI</v>
      </c>
      <c r="H448" s="19" t="str">
        <f>'Income Eligible Deemed Table'!D839</f>
        <v>PAYS/SFIE</v>
      </c>
      <c r="I448" s="785">
        <f>'Income Eligible Deemed Table'!F839</f>
        <v>4.6399999999999997</v>
      </c>
      <c r="J448" s="785"/>
      <c r="K448" s="202"/>
      <c r="L448" s="202"/>
      <c r="M448" s="202"/>
      <c r="N448" s="202"/>
      <c r="O448" s="786">
        <f>'Income Eligible Deemed Table'!I839</f>
        <v>4.1199999999999999E-4</v>
      </c>
      <c r="P448" s="786"/>
      <c r="Q448" s="787"/>
      <c r="R448" s="787"/>
      <c r="S448" s="787"/>
      <c r="T448" s="787"/>
      <c r="U448" s="788">
        <f t="shared" si="265"/>
        <v>0</v>
      </c>
      <c r="V448" s="788">
        <f t="shared" si="266"/>
        <v>4.1199999999999999E-4</v>
      </c>
      <c r="W448" s="788">
        <f t="shared" si="267"/>
        <v>0</v>
      </c>
      <c r="X448" s="23">
        <f>'Income Eligible Deemed Table'!J839</f>
        <v>12</v>
      </c>
      <c r="Y448" s="23"/>
      <c r="Z448" s="23">
        <f t="shared" si="269"/>
        <v>12</v>
      </c>
      <c r="AA448" s="18">
        <f>'Income Eligible Deemed Table'!DG839</f>
        <v>0.46027265770701875</v>
      </c>
      <c r="AB448" s="259">
        <f>'Income Eligible Deemed Table'!K839</f>
        <v>5.66</v>
      </c>
      <c r="AC448" s="902">
        <f t="shared" si="270"/>
        <v>2.6051432426217263</v>
      </c>
      <c r="AD448" s="902">
        <f t="shared" si="263"/>
        <v>0</v>
      </c>
      <c r="AE448" s="610">
        <f>'Income Eligible Deemed Table'!DI839</f>
        <v>2.6051432426217263</v>
      </c>
      <c r="AF448" s="208"/>
      <c r="AG448" s="208"/>
      <c r="AH448" s="208"/>
      <c r="AI448" s="1442" t="str">
        <f>'Income Eligible Deemed Table'!L839</f>
        <v>per foot</v>
      </c>
      <c r="AJ448" s="71"/>
      <c r="AX448" s="1355" t="str">
        <f t="shared" si="275"/>
        <v>Pipe Insulation SFIE DI</v>
      </c>
      <c r="AY448" s="1378"/>
      <c r="AZ448" s="1446" t="str">
        <f t="shared" si="276"/>
        <v>403750</v>
      </c>
      <c r="BA448" s="1300" t="s">
        <v>1303</v>
      </c>
      <c r="BB448" s="1300" t="s">
        <v>1303</v>
      </c>
      <c r="BC448" s="1300" t="s">
        <v>1303</v>
      </c>
      <c r="BD448" s="1300" t="s">
        <v>1303</v>
      </c>
      <c r="BE448" s="1305"/>
      <c r="BF448" s="1300" t="s">
        <v>1303</v>
      </c>
      <c r="BG448" s="1300" t="s">
        <v>1303</v>
      </c>
      <c r="BH448" s="1300" t="s">
        <v>1303</v>
      </c>
      <c r="BI448" s="1301" t="s">
        <v>1303</v>
      </c>
      <c r="BJ448" s="1305"/>
      <c r="BK448" s="1300" t="s">
        <v>1303</v>
      </c>
      <c r="BL448" s="1301" t="s">
        <v>1303</v>
      </c>
      <c r="BM448" s="1300" t="s">
        <v>1303</v>
      </c>
      <c r="BN448" s="1301" t="s">
        <v>1303</v>
      </c>
    </row>
    <row r="449" spans="1:66">
      <c r="A449" s="51" t="str">
        <f t="shared" si="268"/>
        <v>403800</v>
      </c>
      <c r="B449" s="1442" t="str">
        <f>'Income Eligible Deemed Table'!C867</f>
        <v>403800_2019_12_</v>
      </c>
      <c r="C449" s="1378" t="str">
        <f>'Income Eligible Deemed Table'!G867</f>
        <v>Cooling RES</v>
      </c>
      <c r="D449" s="1378" t="str">
        <f>'Income Eligible Deemed Table'!G868</f>
        <v>Heating RES</v>
      </c>
      <c r="E449" s="1378"/>
      <c r="F449" s="1378"/>
      <c r="G449" s="1378" t="str">
        <f>'Income Eligible Deemed Table'!E867</f>
        <v>Setback thermostat - full setback - ASHP heating/cooling MF</v>
      </c>
      <c r="H449" s="19" t="str">
        <f>'Income Eligible Deemed Table'!D867</f>
        <v>MFIE</v>
      </c>
      <c r="I449" s="785">
        <f t="shared" ref="I449:I460" si="277">K449+L449</f>
        <v>0</v>
      </c>
      <c r="J449" s="785">
        <f t="shared" ref="J449:J460" si="278">M449+N449</f>
        <v>0</v>
      </c>
      <c r="K449" s="202">
        <f>'Income Eligible Deemed Table'!F867</f>
        <v>0</v>
      </c>
      <c r="L449" s="202">
        <f>'Income Eligible Deemed Table'!F868</f>
        <v>0</v>
      </c>
      <c r="M449" s="202"/>
      <c r="N449" s="202"/>
      <c r="O449" s="786">
        <f t="shared" ref="O449:O460" si="279">Q449+R449</f>
        <v>0</v>
      </c>
      <c r="P449" s="786">
        <f t="shared" ref="P449:P460" si="280">S449+T449</f>
        <v>0</v>
      </c>
      <c r="Q449" s="787">
        <f>'Income Eligible Deemed Table'!I867</f>
        <v>0</v>
      </c>
      <c r="R449" s="787">
        <f>'Income Eligible Deemed Table'!I868</f>
        <v>0</v>
      </c>
      <c r="S449" s="787"/>
      <c r="T449" s="787"/>
      <c r="U449" s="788">
        <f t="shared" si="265"/>
        <v>0</v>
      </c>
      <c r="V449" s="788">
        <f t="shared" si="266"/>
        <v>0</v>
      </c>
      <c r="W449" s="788">
        <f t="shared" si="267"/>
        <v>0</v>
      </c>
      <c r="X449" s="23">
        <f>'Income Eligible Deemed Table'!J867</f>
        <v>10</v>
      </c>
      <c r="Y449" s="23"/>
      <c r="Z449" s="23">
        <f t="shared" si="269"/>
        <v>10</v>
      </c>
      <c r="AA449" s="18">
        <f>'Income Eligible Deemed Table'!DG867</f>
        <v>0</v>
      </c>
      <c r="AB449" s="259">
        <f>'Income Eligible Deemed Table'!K867</f>
        <v>70</v>
      </c>
      <c r="AC449" s="902">
        <f t="shared" si="270"/>
        <v>0</v>
      </c>
      <c r="AD449" s="902">
        <f t="shared" si="263"/>
        <v>0</v>
      </c>
      <c r="AE449" s="610">
        <f>'Income Eligible Deemed Table'!DI867</f>
        <v>0</v>
      </c>
      <c r="AF449" s="208">
        <f>'Income Eligible Deemed Table'!DI868</f>
        <v>0</v>
      </c>
      <c r="AG449" s="208"/>
      <c r="AH449" s="208"/>
      <c r="AI449" s="1442" t="str">
        <f>'Income Eligible Deemed Table'!L867</f>
        <v>per measure</v>
      </c>
      <c r="AJ449" s="71"/>
      <c r="AX449" s="1355" t="str">
        <f t="shared" si="275"/>
        <v>Setback thermostat - full setback - ASHP heating/cooling MF</v>
      </c>
      <c r="AY449" s="1378"/>
      <c r="AZ449" s="1446" t="str">
        <f t="shared" si="276"/>
        <v>403800</v>
      </c>
      <c r="BA449" s="1300" t="s">
        <v>1303</v>
      </c>
      <c r="BB449" s="1300" t="s">
        <v>1303</v>
      </c>
      <c r="BC449" s="1300" t="s">
        <v>1303</v>
      </c>
      <c r="BD449" s="1300" t="s">
        <v>1303</v>
      </c>
      <c r="BE449" s="1305"/>
      <c r="BF449" s="1300" t="s">
        <v>1303</v>
      </c>
      <c r="BG449" s="1300" t="s">
        <v>1303</v>
      </c>
      <c r="BH449" s="1300" t="s">
        <v>1303</v>
      </c>
      <c r="BI449" s="1301" t="s">
        <v>1303</v>
      </c>
      <c r="BJ449" s="1305"/>
      <c r="BK449" s="1300" t="s">
        <v>1303</v>
      </c>
      <c r="BL449" s="1301" t="s">
        <v>1303</v>
      </c>
      <c r="BM449" s="1300" t="s">
        <v>1303</v>
      </c>
      <c r="BN449" s="1301" t="s">
        <v>1303</v>
      </c>
    </row>
    <row r="450" spans="1:66" s="696" customFormat="1">
      <c r="A450" s="2958" t="str">
        <f t="shared" si="268"/>
        <v>403801</v>
      </c>
      <c r="B450" s="2233" t="str">
        <f>'Income Eligible Deemed Table'!C869</f>
        <v>403801_2019_12_</v>
      </c>
      <c r="C450" s="2724" t="str">
        <f>'Income Eligible Deemed Table'!G869</f>
        <v>Cooling RES</v>
      </c>
      <c r="D450" s="2724" t="str">
        <f>'Income Eligible Deemed Table'!G870</f>
        <v>Heating RES</v>
      </c>
      <c r="E450" s="2724"/>
      <c r="F450" s="2724"/>
      <c r="G450" s="2724" t="str">
        <f>'Income Eligible Deemed Table'!E869</f>
        <v>Setback thermostat - full setback - ASHP heating/cooling MF_CompE</v>
      </c>
      <c r="H450" s="2554" t="str">
        <f>'Income Eligible Deemed Table'!D869</f>
        <v>MFIEc</v>
      </c>
      <c r="I450" s="3840">
        <f t="shared" si="277"/>
        <v>0</v>
      </c>
      <c r="J450" s="3840">
        <f t="shared" si="278"/>
        <v>0</v>
      </c>
      <c r="K450" s="3251">
        <f>'Income Eligible Deemed Table'!F869</f>
        <v>0</v>
      </c>
      <c r="L450" s="3251">
        <f>'Income Eligible Deemed Table'!F870</f>
        <v>0</v>
      </c>
      <c r="M450" s="3251"/>
      <c r="N450" s="3251"/>
      <c r="O450" s="3841">
        <f t="shared" si="279"/>
        <v>0</v>
      </c>
      <c r="P450" s="3841">
        <f t="shared" si="280"/>
        <v>0</v>
      </c>
      <c r="Q450" s="3842">
        <f>'Income Eligible Deemed Table'!I869</f>
        <v>0</v>
      </c>
      <c r="R450" s="3842">
        <f>'Income Eligible Deemed Table'!I870</f>
        <v>0</v>
      </c>
      <c r="S450" s="3842"/>
      <c r="T450" s="3842"/>
      <c r="U450" s="3843">
        <f t="shared" si="265"/>
        <v>0</v>
      </c>
      <c r="V450" s="3843">
        <f t="shared" si="266"/>
        <v>0</v>
      </c>
      <c r="W450" s="3843">
        <f t="shared" si="267"/>
        <v>0</v>
      </c>
      <c r="X450" s="2846">
        <f>'Income Eligible Deemed Table'!J869</f>
        <v>10</v>
      </c>
      <c r="Y450" s="2846"/>
      <c r="Z450" s="2846">
        <f t="shared" si="269"/>
        <v>10</v>
      </c>
      <c r="AA450" s="2529">
        <f>'Income Eligible Deemed Table'!DG869</f>
        <v>0</v>
      </c>
      <c r="AB450" s="3878">
        <f>'Income Eligible Deemed Table'!K869</f>
        <v>70</v>
      </c>
      <c r="AC450" s="3864">
        <f t="shared" si="270"/>
        <v>0</v>
      </c>
      <c r="AD450" s="3864">
        <f t="shared" si="263"/>
        <v>0</v>
      </c>
      <c r="AE450" s="3865">
        <f>'Income Eligible Deemed Table'!DI869</f>
        <v>0</v>
      </c>
      <c r="AF450" s="3846">
        <f>'Income Eligible Deemed Table'!DI870</f>
        <v>0</v>
      </c>
      <c r="AG450" s="3846"/>
      <c r="AH450" s="3846"/>
      <c r="AI450" s="2233" t="str">
        <f>'Income Eligible Deemed Table'!L869</f>
        <v>per measure</v>
      </c>
      <c r="AJ450" s="2724"/>
      <c r="AX450" s="3849" t="str">
        <f t="shared" si="275"/>
        <v>Setback thermostat - full setback - ASHP heating/cooling MF_CompE</v>
      </c>
      <c r="AY450" s="2724"/>
      <c r="AZ450" s="3850" t="str">
        <f t="shared" si="276"/>
        <v>403801</v>
      </c>
      <c r="BA450" s="3866" t="s">
        <v>1303</v>
      </c>
      <c r="BB450" s="3866" t="s">
        <v>1303</v>
      </c>
      <c r="BC450" s="3866" t="s">
        <v>1303</v>
      </c>
      <c r="BD450" s="3866" t="s">
        <v>1303</v>
      </c>
      <c r="BE450" s="3853"/>
      <c r="BF450" s="3866" t="s">
        <v>1303</v>
      </c>
      <c r="BG450" s="3866" t="s">
        <v>1303</v>
      </c>
      <c r="BH450" s="3866" t="s">
        <v>1303</v>
      </c>
      <c r="BI450" s="3867" t="s">
        <v>1303</v>
      </c>
      <c r="BJ450" s="3853"/>
      <c r="BK450" s="3866" t="s">
        <v>1303</v>
      </c>
      <c r="BL450" s="3867" t="s">
        <v>1303</v>
      </c>
      <c r="BM450" s="3866" t="s">
        <v>1303</v>
      </c>
      <c r="BN450" s="3867" t="s">
        <v>1303</v>
      </c>
    </row>
    <row r="451" spans="1:66">
      <c r="A451" s="51" t="str">
        <f t="shared" si="268"/>
        <v>403850</v>
      </c>
      <c r="B451" s="1442" t="str">
        <f>'Income Eligible Deemed Table'!C871</f>
        <v>403850_2024_12_</v>
      </c>
      <c r="C451" s="1378" t="str">
        <f>'Income Eligible Deemed Table'!G871</f>
        <v>Cooling RES</v>
      </c>
      <c r="D451" s="1378" t="str">
        <f>'Income Eligible Deemed Table'!G872</f>
        <v>Heating RES</v>
      </c>
      <c r="E451" s="1378"/>
      <c r="F451" s="1378"/>
      <c r="G451" s="1378" t="str">
        <f>'Income Eligible Deemed Table'!E871</f>
        <v>Setback thermostat - full setback - ASHP heating/cooling SF</v>
      </c>
      <c r="H451" s="19" t="str">
        <f>'Income Eligible Deemed Table'!D871</f>
        <v>SFIE</v>
      </c>
      <c r="I451" s="785">
        <f t="shared" si="277"/>
        <v>0</v>
      </c>
      <c r="J451" s="785">
        <f t="shared" si="278"/>
        <v>0</v>
      </c>
      <c r="K451" s="202">
        <f>'Income Eligible Deemed Table'!F871</f>
        <v>0</v>
      </c>
      <c r="L451" s="202">
        <f>'Income Eligible Deemed Table'!F872</f>
        <v>0</v>
      </c>
      <c r="M451" s="202"/>
      <c r="N451" s="202"/>
      <c r="O451" s="786">
        <f t="shared" si="279"/>
        <v>0</v>
      </c>
      <c r="P451" s="786">
        <f t="shared" si="280"/>
        <v>0</v>
      </c>
      <c r="Q451" s="787">
        <f>'Income Eligible Deemed Table'!I871</f>
        <v>0</v>
      </c>
      <c r="R451" s="787">
        <f>'Income Eligible Deemed Table'!I872</f>
        <v>0</v>
      </c>
      <c r="S451" s="787"/>
      <c r="T451" s="787"/>
      <c r="U451" s="788">
        <f t="shared" si="265"/>
        <v>0</v>
      </c>
      <c r="V451" s="788">
        <f t="shared" si="266"/>
        <v>0</v>
      </c>
      <c r="W451" s="788">
        <f t="shared" si="267"/>
        <v>0</v>
      </c>
      <c r="X451" s="23">
        <f>'Income Eligible Deemed Table'!J871</f>
        <v>10</v>
      </c>
      <c r="Y451" s="23"/>
      <c r="Z451" s="23">
        <f t="shared" si="269"/>
        <v>10</v>
      </c>
      <c r="AA451" s="18">
        <f>'Income Eligible Deemed Table'!DG871</f>
        <v>0</v>
      </c>
      <c r="AB451" s="259">
        <f>'Income Eligible Deemed Table'!K871</f>
        <v>70</v>
      </c>
      <c r="AC451" s="902">
        <f t="shared" si="270"/>
        <v>0</v>
      </c>
      <c r="AD451" s="902">
        <f t="shared" si="263"/>
        <v>0</v>
      </c>
      <c r="AE451" s="610">
        <f>'Income Eligible Deemed Table'!DI871</f>
        <v>0</v>
      </c>
      <c r="AF451" s="208">
        <f>'Income Eligible Deemed Table'!DI872</f>
        <v>0</v>
      </c>
      <c r="AG451" s="208"/>
      <c r="AH451" s="208"/>
      <c r="AI451" s="1442" t="str">
        <f>'Income Eligible Deemed Table'!L871</f>
        <v>per measure</v>
      </c>
      <c r="AJ451" s="71"/>
      <c r="AX451" s="1355" t="str">
        <f t="shared" si="275"/>
        <v>Setback thermostat - full setback - ASHP heating/cooling SF</v>
      </c>
      <c r="AY451" s="1378"/>
      <c r="AZ451" s="1446" t="str">
        <f t="shared" si="276"/>
        <v>403850</v>
      </c>
      <c r="BA451" s="1300" t="s">
        <v>1303</v>
      </c>
      <c r="BB451" s="1300" t="s">
        <v>1303</v>
      </c>
      <c r="BC451" s="1300" t="s">
        <v>1303</v>
      </c>
      <c r="BD451" s="1300" t="s">
        <v>1303</v>
      </c>
      <c r="BE451" s="1305"/>
      <c r="BF451" s="1300" t="s">
        <v>1303</v>
      </c>
      <c r="BG451" s="1300" t="s">
        <v>1303</v>
      </c>
      <c r="BH451" s="1300" t="s">
        <v>1303</v>
      </c>
      <c r="BI451" s="1301" t="s">
        <v>1303</v>
      </c>
      <c r="BJ451" s="1305"/>
      <c r="BK451" s="1300" t="s">
        <v>1303</v>
      </c>
      <c r="BL451" s="1301" t="s">
        <v>1303</v>
      </c>
      <c r="BM451" s="1300" t="s">
        <v>1303</v>
      </c>
      <c r="BN451" s="1301" t="s">
        <v>1303</v>
      </c>
    </row>
    <row r="452" spans="1:66">
      <c r="A452" s="51" t="str">
        <f t="shared" si="268"/>
        <v>403900</v>
      </c>
      <c r="B452" s="1442" t="str">
        <f>'Income Eligible Deemed Table'!C873</f>
        <v>403900_2019_12_</v>
      </c>
      <c r="C452" s="1378" t="str">
        <f>'Income Eligible Deemed Table'!G873</f>
        <v>Cooling RES</v>
      </c>
      <c r="D452" s="1378" t="str">
        <f>'Income Eligible Deemed Table'!G874</f>
        <v>Heating RES</v>
      </c>
      <c r="E452" s="1378"/>
      <c r="F452" s="1378"/>
      <c r="G452" s="1378" t="str">
        <f>'Income Eligible Deemed Table'!E873</f>
        <v>Setback thermostat - full setback - elec furnace heating / central AC MF</v>
      </c>
      <c r="H452" s="19" t="str">
        <f>'Income Eligible Deemed Table'!D873</f>
        <v>MFIE</v>
      </c>
      <c r="I452" s="785">
        <f t="shared" si="277"/>
        <v>0</v>
      </c>
      <c r="J452" s="785">
        <f t="shared" si="278"/>
        <v>0</v>
      </c>
      <c r="K452" s="202">
        <f>'Income Eligible Deemed Table'!F873</f>
        <v>0</v>
      </c>
      <c r="L452" s="202">
        <f>'Income Eligible Deemed Table'!F874</f>
        <v>0</v>
      </c>
      <c r="M452" s="202"/>
      <c r="N452" s="202"/>
      <c r="O452" s="786">
        <f t="shared" si="279"/>
        <v>0</v>
      </c>
      <c r="P452" s="786">
        <f t="shared" si="280"/>
        <v>0</v>
      </c>
      <c r="Q452" s="787">
        <f>'Income Eligible Deemed Table'!I873</f>
        <v>0</v>
      </c>
      <c r="R452" s="787">
        <f>'Income Eligible Deemed Table'!I874</f>
        <v>0</v>
      </c>
      <c r="S452" s="787"/>
      <c r="T452" s="787"/>
      <c r="U452" s="788">
        <f t="shared" si="265"/>
        <v>0</v>
      </c>
      <c r="V452" s="788">
        <f t="shared" si="266"/>
        <v>0</v>
      </c>
      <c r="W452" s="788">
        <f t="shared" si="267"/>
        <v>0</v>
      </c>
      <c r="X452" s="23">
        <f>'Income Eligible Deemed Table'!J873</f>
        <v>10</v>
      </c>
      <c r="Y452" s="23"/>
      <c r="Z452" s="23">
        <f t="shared" si="269"/>
        <v>10</v>
      </c>
      <c r="AA452" s="18">
        <f>'Income Eligible Deemed Table'!DG873</f>
        <v>0</v>
      </c>
      <c r="AB452" s="259">
        <f>'Income Eligible Deemed Table'!K873</f>
        <v>70</v>
      </c>
      <c r="AC452" s="902">
        <f t="shared" si="270"/>
        <v>0</v>
      </c>
      <c r="AD452" s="902">
        <f t="shared" si="263"/>
        <v>0</v>
      </c>
      <c r="AE452" s="610">
        <f>'Income Eligible Deemed Table'!DI873</f>
        <v>0</v>
      </c>
      <c r="AF452" s="208">
        <f>'Income Eligible Deemed Table'!DI874</f>
        <v>0</v>
      </c>
      <c r="AG452" s="208"/>
      <c r="AH452" s="208"/>
      <c r="AI452" s="1442" t="str">
        <f>'Income Eligible Deemed Table'!L873</f>
        <v>per measure</v>
      </c>
      <c r="AJ452" s="71"/>
      <c r="AX452" s="1355" t="str">
        <f t="shared" si="275"/>
        <v>Setback thermostat - full setback - elec furnace heating / central AC MF</v>
      </c>
      <c r="AY452" s="1378"/>
      <c r="AZ452" s="1446" t="str">
        <f t="shared" si="276"/>
        <v>403900</v>
      </c>
      <c r="BA452" s="1300" t="s">
        <v>1303</v>
      </c>
      <c r="BB452" s="1300" t="s">
        <v>1303</v>
      </c>
      <c r="BC452" s="1300" t="s">
        <v>1303</v>
      </c>
      <c r="BD452" s="1300" t="s">
        <v>1303</v>
      </c>
      <c r="BE452" s="1305"/>
      <c r="BF452" s="1300" t="s">
        <v>1303</v>
      </c>
      <c r="BG452" s="1300" t="s">
        <v>1303</v>
      </c>
      <c r="BH452" s="1300" t="s">
        <v>1303</v>
      </c>
      <c r="BI452" s="1301" t="s">
        <v>1303</v>
      </c>
      <c r="BJ452" s="1305"/>
      <c r="BK452" s="1300" t="s">
        <v>1303</v>
      </c>
      <c r="BL452" s="1301" t="s">
        <v>1303</v>
      </c>
      <c r="BM452" s="1300" t="s">
        <v>1303</v>
      </c>
      <c r="BN452" s="1301" t="s">
        <v>1303</v>
      </c>
    </row>
    <row r="453" spans="1:66" s="696" customFormat="1">
      <c r="A453" s="2958" t="str">
        <f t="shared" si="268"/>
        <v>403901</v>
      </c>
      <c r="B453" s="2233" t="str">
        <f>'Income Eligible Deemed Table'!C875</f>
        <v>403901_2019_12_</v>
      </c>
      <c r="C453" s="2724" t="str">
        <f>'Income Eligible Deemed Table'!G875</f>
        <v>Cooling RES</v>
      </c>
      <c r="D453" s="2724" t="str">
        <f>'Income Eligible Deemed Table'!G876</f>
        <v>Heating RES</v>
      </c>
      <c r="E453" s="2724"/>
      <c r="F453" s="2724"/>
      <c r="G453" s="2724" t="str">
        <f>'Income Eligible Deemed Table'!E875</f>
        <v>Setback thermostat - full setback - elec furnace heating / central AC MF_CompE</v>
      </c>
      <c r="H453" s="2554" t="str">
        <f>'Income Eligible Deemed Table'!D875</f>
        <v>MFIEc</v>
      </c>
      <c r="I453" s="3840">
        <f t="shared" si="277"/>
        <v>0</v>
      </c>
      <c r="J453" s="3840">
        <f t="shared" si="278"/>
        <v>0</v>
      </c>
      <c r="K453" s="3251">
        <f>'Income Eligible Deemed Table'!F875</f>
        <v>0</v>
      </c>
      <c r="L453" s="3251">
        <f>'Income Eligible Deemed Table'!F876</f>
        <v>0</v>
      </c>
      <c r="M453" s="3251"/>
      <c r="N453" s="3251"/>
      <c r="O453" s="3841">
        <f t="shared" si="279"/>
        <v>0</v>
      </c>
      <c r="P453" s="3841">
        <f t="shared" si="280"/>
        <v>0</v>
      </c>
      <c r="Q453" s="3842">
        <f>'Income Eligible Deemed Table'!I875</f>
        <v>0</v>
      </c>
      <c r="R453" s="3842">
        <f>'Income Eligible Deemed Table'!I876</f>
        <v>0</v>
      </c>
      <c r="S453" s="3842"/>
      <c r="T453" s="3842"/>
      <c r="U453" s="3843">
        <f t="shared" si="265"/>
        <v>0</v>
      </c>
      <c r="V453" s="3843">
        <f t="shared" si="266"/>
        <v>0</v>
      </c>
      <c r="W453" s="3843">
        <f t="shared" si="267"/>
        <v>0</v>
      </c>
      <c r="X453" s="2846">
        <f>'Income Eligible Deemed Table'!J875</f>
        <v>10</v>
      </c>
      <c r="Y453" s="2846"/>
      <c r="Z453" s="2846">
        <f t="shared" si="269"/>
        <v>10</v>
      </c>
      <c r="AA453" s="2529">
        <f>'Income Eligible Deemed Table'!DG875</f>
        <v>0</v>
      </c>
      <c r="AB453" s="3878">
        <f>'Income Eligible Deemed Table'!K875</f>
        <v>70</v>
      </c>
      <c r="AC453" s="3864">
        <f t="shared" si="270"/>
        <v>0</v>
      </c>
      <c r="AD453" s="3864">
        <f t="shared" si="263"/>
        <v>0</v>
      </c>
      <c r="AE453" s="3865">
        <f>'Income Eligible Deemed Table'!DI875</f>
        <v>0</v>
      </c>
      <c r="AF453" s="3846">
        <f>'Income Eligible Deemed Table'!DI876</f>
        <v>0</v>
      </c>
      <c r="AG453" s="3846"/>
      <c r="AH453" s="3846"/>
      <c r="AI453" s="2233" t="str">
        <f>'Income Eligible Deemed Table'!L875</f>
        <v>per measure</v>
      </c>
      <c r="AJ453" s="2724"/>
      <c r="AX453" s="3849" t="str">
        <f t="shared" si="275"/>
        <v>Setback thermostat - full setback - elec furnace heating / central AC MF_CompE</v>
      </c>
      <c r="AY453" s="2724"/>
      <c r="AZ453" s="3850" t="str">
        <f t="shared" si="276"/>
        <v>403901</v>
      </c>
      <c r="BA453" s="3866" t="s">
        <v>1303</v>
      </c>
      <c r="BB453" s="3866" t="s">
        <v>1303</v>
      </c>
      <c r="BC453" s="3866" t="s">
        <v>1303</v>
      </c>
      <c r="BD453" s="3866" t="s">
        <v>1303</v>
      </c>
      <c r="BE453" s="3853"/>
      <c r="BF453" s="3866" t="s">
        <v>1303</v>
      </c>
      <c r="BG453" s="3866" t="s">
        <v>1303</v>
      </c>
      <c r="BH453" s="3866" t="s">
        <v>1303</v>
      </c>
      <c r="BI453" s="3867" t="s">
        <v>1303</v>
      </c>
      <c r="BJ453" s="3853"/>
      <c r="BK453" s="3866" t="s">
        <v>1303</v>
      </c>
      <c r="BL453" s="3867" t="s">
        <v>1303</v>
      </c>
      <c r="BM453" s="3866" t="s">
        <v>1303</v>
      </c>
      <c r="BN453" s="3867" t="s">
        <v>1303</v>
      </c>
    </row>
    <row r="454" spans="1:66">
      <c r="A454" s="51" t="str">
        <f t="shared" si="268"/>
        <v>403950</v>
      </c>
      <c r="B454" s="1442" t="str">
        <f>'Income Eligible Deemed Table'!C877</f>
        <v>403950_2024_12_</v>
      </c>
      <c r="C454" s="1378" t="str">
        <f>'Income Eligible Deemed Table'!G877</f>
        <v>Cooling RES</v>
      </c>
      <c r="D454" s="1378" t="str">
        <f>'Income Eligible Deemed Table'!G878</f>
        <v>Heating RES</v>
      </c>
      <c r="E454" s="1378"/>
      <c r="F454" s="1378"/>
      <c r="G454" s="1378" t="str">
        <f>'Income Eligible Deemed Table'!E877</f>
        <v>Setback thermostat - full setback - elec furnace heating / central AC SF</v>
      </c>
      <c r="H454" s="19" t="str">
        <f>'Income Eligible Deemed Table'!D877</f>
        <v>SFIE</v>
      </c>
      <c r="I454" s="785">
        <f t="shared" si="277"/>
        <v>0</v>
      </c>
      <c r="J454" s="785">
        <f t="shared" si="278"/>
        <v>0</v>
      </c>
      <c r="K454" s="202">
        <f>'Income Eligible Deemed Table'!F877</f>
        <v>0</v>
      </c>
      <c r="L454" s="202">
        <f>'Income Eligible Deemed Table'!F878</f>
        <v>0</v>
      </c>
      <c r="M454" s="202"/>
      <c r="N454" s="202"/>
      <c r="O454" s="786">
        <f t="shared" si="279"/>
        <v>0</v>
      </c>
      <c r="P454" s="786">
        <f t="shared" si="280"/>
        <v>0</v>
      </c>
      <c r="Q454" s="787">
        <f>'Income Eligible Deemed Table'!I877</f>
        <v>0</v>
      </c>
      <c r="R454" s="787">
        <f>'Income Eligible Deemed Table'!I878</f>
        <v>0</v>
      </c>
      <c r="S454" s="787"/>
      <c r="T454" s="787"/>
      <c r="U454" s="788">
        <f t="shared" si="265"/>
        <v>0</v>
      </c>
      <c r="V454" s="788">
        <f t="shared" si="266"/>
        <v>0</v>
      </c>
      <c r="W454" s="788">
        <f t="shared" si="267"/>
        <v>0</v>
      </c>
      <c r="X454" s="23">
        <f>'Income Eligible Deemed Table'!J877</f>
        <v>10</v>
      </c>
      <c r="Y454" s="23"/>
      <c r="Z454" s="23">
        <f t="shared" si="269"/>
        <v>10</v>
      </c>
      <c r="AA454" s="18">
        <f>'Income Eligible Deemed Table'!DG877</f>
        <v>0</v>
      </c>
      <c r="AB454" s="259">
        <f>'Income Eligible Deemed Table'!K877</f>
        <v>70</v>
      </c>
      <c r="AC454" s="902">
        <f t="shared" si="270"/>
        <v>0</v>
      </c>
      <c r="AD454" s="902">
        <f t="shared" ref="AD454:AD501" si="281">AG454+AH454</f>
        <v>0</v>
      </c>
      <c r="AE454" s="610">
        <f>'Income Eligible Deemed Table'!DI877</f>
        <v>0</v>
      </c>
      <c r="AF454" s="208">
        <f>'Income Eligible Deemed Table'!DI878</f>
        <v>0</v>
      </c>
      <c r="AG454" s="208"/>
      <c r="AH454" s="208"/>
      <c r="AI454" s="1442" t="str">
        <f>'Income Eligible Deemed Table'!L877</f>
        <v>per measure</v>
      </c>
      <c r="AJ454" s="71"/>
      <c r="AX454" s="1355" t="str">
        <f t="shared" si="275"/>
        <v>Setback thermostat - full setback - elec furnace heating / central AC SF</v>
      </c>
      <c r="AY454" s="1378"/>
      <c r="AZ454" s="1446" t="str">
        <f t="shared" si="276"/>
        <v>403950</v>
      </c>
      <c r="BA454" s="1300" t="s">
        <v>1303</v>
      </c>
      <c r="BB454" s="1300" t="s">
        <v>1303</v>
      </c>
      <c r="BC454" s="1300" t="s">
        <v>1303</v>
      </c>
      <c r="BD454" s="1300" t="s">
        <v>1303</v>
      </c>
      <c r="BE454" s="1305"/>
      <c r="BF454" s="1300" t="s">
        <v>1303</v>
      </c>
      <c r="BG454" s="1300" t="s">
        <v>1303</v>
      </c>
      <c r="BH454" s="1300" t="s">
        <v>1303</v>
      </c>
      <c r="BI454" s="1301" t="s">
        <v>1303</v>
      </c>
      <c r="BJ454" s="1305"/>
      <c r="BK454" s="1300" t="s">
        <v>1303</v>
      </c>
      <c r="BL454" s="1301" t="s">
        <v>1303</v>
      </c>
      <c r="BM454" s="1300" t="s">
        <v>1303</v>
      </c>
      <c r="BN454" s="1301" t="s">
        <v>1303</v>
      </c>
    </row>
    <row r="455" spans="1:66">
      <c r="A455" s="51" t="str">
        <f t="shared" si="268"/>
        <v>404000</v>
      </c>
      <c r="B455" s="1442" t="str">
        <f>'Income Eligible Deemed Table'!C879</f>
        <v>404000_2024_12_</v>
      </c>
      <c r="C455" s="1378" t="str">
        <f>'Income Eligible Deemed Table'!G879</f>
        <v>Cooling RES</v>
      </c>
      <c r="D455" s="1378" t="str">
        <f>'Income Eligible Deemed Table'!G880</f>
        <v>Heating RES</v>
      </c>
      <c r="E455" s="1378"/>
      <c r="F455" s="1378"/>
      <c r="G455" s="1378" t="str">
        <f>'Income Eligible Deemed Table'!E879</f>
        <v>Setback thermostat - full setback - gas heating / central AC MF</v>
      </c>
      <c r="H455" s="19" t="str">
        <f>'Income Eligible Deemed Table'!D879</f>
        <v>MFIE</v>
      </c>
      <c r="I455" s="785">
        <f t="shared" si="277"/>
        <v>0</v>
      </c>
      <c r="J455" s="785">
        <f t="shared" si="278"/>
        <v>0</v>
      </c>
      <c r="K455" s="202">
        <f>'Income Eligible Deemed Table'!F879</f>
        <v>0</v>
      </c>
      <c r="L455" s="202">
        <f>'Income Eligible Deemed Table'!F880</f>
        <v>0</v>
      </c>
      <c r="M455" s="202"/>
      <c r="N455" s="202"/>
      <c r="O455" s="786">
        <f t="shared" si="279"/>
        <v>0</v>
      </c>
      <c r="P455" s="786">
        <f t="shared" si="280"/>
        <v>0</v>
      </c>
      <c r="Q455" s="787">
        <f>'Income Eligible Deemed Table'!I879</f>
        <v>0</v>
      </c>
      <c r="R455" s="787">
        <f>'Income Eligible Deemed Table'!I880</f>
        <v>0</v>
      </c>
      <c r="S455" s="787"/>
      <c r="T455" s="787"/>
      <c r="U455" s="788">
        <f t="shared" si="265"/>
        <v>0</v>
      </c>
      <c r="V455" s="788">
        <f t="shared" si="266"/>
        <v>0</v>
      </c>
      <c r="W455" s="788">
        <f t="shared" si="267"/>
        <v>0</v>
      </c>
      <c r="X455" s="23">
        <f>'Income Eligible Deemed Table'!J879</f>
        <v>10</v>
      </c>
      <c r="Y455" s="23"/>
      <c r="Z455" s="23">
        <f t="shared" si="269"/>
        <v>10</v>
      </c>
      <c r="AA455" s="18">
        <f>'Income Eligible Deemed Table'!DG879</f>
        <v>0</v>
      </c>
      <c r="AB455" s="259">
        <f>'Income Eligible Deemed Table'!K879</f>
        <v>70</v>
      </c>
      <c r="AC455" s="902">
        <f t="shared" si="270"/>
        <v>0</v>
      </c>
      <c r="AD455" s="902">
        <f t="shared" si="281"/>
        <v>0</v>
      </c>
      <c r="AE455" s="610">
        <f>'Income Eligible Deemed Table'!DI879</f>
        <v>0</v>
      </c>
      <c r="AF455" s="208">
        <f>'Income Eligible Deemed Table'!DI880</f>
        <v>0</v>
      </c>
      <c r="AG455" s="208"/>
      <c r="AH455" s="208"/>
      <c r="AI455" s="1442" t="str">
        <f>'Income Eligible Deemed Table'!L879</f>
        <v>per measure</v>
      </c>
      <c r="AJ455" s="71"/>
      <c r="AX455" s="1355" t="str">
        <f t="shared" si="275"/>
        <v>Setback thermostat - full setback - gas heating / central AC MF</v>
      </c>
      <c r="AY455" s="1378"/>
      <c r="AZ455" s="1446" t="str">
        <f t="shared" si="276"/>
        <v>404000</v>
      </c>
      <c r="BA455" s="1300" t="s">
        <v>1303</v>
      </c>
      <c r="BB455" s="1300" t="s">
        <v>1303</v>
      </c>
      <c r="BC455" s="1300" t="s">
        <v>1303</v>
      </c>
      <c r="BD455" s="1300" t="s">
        <v>1303</v>
      </c>
      <c r="BE455" s="1305"/>
      <c r="BF455" s="1300" t="s">
        <v>1303</v>
      </c>
      <c r="BG455" s="1300" t="s">
        <v>1303</v>
      </c>
      <c r="BH455" s="1300" t="s">
        <v>1303</v>
      </c>
      <c r="BI455" s="1301" t="s">
        <v>1303</v>
      </c>
      <c r="BJ455" s="1305"/>
      <c r="BK455" s="1300" t="s">
        <v>1303</v>
      </c>
      <c r="BL455" s="1301" t="s">
        <v>1303</v>
      </c>
      <c r="BM455" s="1300" t="s">
        <v>1303</v>
      </c>
      <c r="BN455" s="1301" t="s">
        <v>1303</v>
      </c>
    </row>
    <row r="456" spans="1:66" s="696" customFormat="1">
      <c r="A456" s="2958" t="str">
        <f t="shared" si="268"/>
        <v>404001</v>
      </c>
      <c r="B456" s="2233" t="str">
        <f>'Income Eligible Deemed Table'!C881</f>
        <v>404001_2024_12_</v>
      </c>
      <c r="C456" s="2724" t="str">
        <f>'Income Eligible Deemed Table'!G881</f>
        <v>Cooling RES</v>
      </c>
      <c r="D456" s="2724" t="str">
        <f>'Income Eligible Deemed Table'!G882</f>
        <v>Heating RES</v>
      </c>
      <c r="E456" s="2724"/>
      <c r="F456" s="2724"/>
      <c r="G456" s="2724" t="str">
        <f>'Income Eligible Deemed Table'!E881</f>
        <v>Setback thermostat - full setback - gas heating / central AC MF_CompE</v>
      </c>
      <c r="H456" s="2554" t="str">
        <f>'Income Eligible Deemed Table'!D881</f>
        <v>MFIEc</v>
      </c>
      <c r="I456" s="3840">
        <f t="shared" si="277"/>
        <v>0</v>
      </c>
      <c r="J456" s="3840">
        <f t="shared" si="278"/>
        <v>0</v>
      </c>
      <c r="K456" s="3251">
        <f>'Income Eligible Deemed Table'!F881</f>
        <v>0</v>
      </c>
      <c r="L456" s="3251">
        <f>'Income Eligible Deemed Table'!F882</f>
        <v>0</v>
      </c>
      <c r="M456" s="3251"/>
      <c r="N456" s="3251"/>
      <c r="O456" s="3841">
        <f t="shared" si="279"/>
        <v>0</v>
      </c>
      <c r="P456" s="3841">
        <f t="shared" si="280"/>
        <v>0</v>
      </c>
      <c r="Q456" s="3842">
        <f>'Income Eligible Deemed Table'!I881</f>
        <v>0</v>
      </c>
      <c r="R456" s="3842">
        <f>'Income Eligible Deemed Table'!I882</f>
        <v>0</v>
      </c>
      <c r="S456" s="3842"/>
      <c r="T456" s="3842"/>
      <c r="U456" s="3843">
        <f t="shared" si="265"/>
        <v>0</v>
      </c>
      <c r="V456" s="3843">
        <f t="shared" si="266"/>
        <v>0</v>
      </c>
      <c r="W456" s="3843">
        <f t="shared" si="267"/>
        <v>0</v>
      </c>
      <c r="X456" s="2846">
        <f>'Income Eligible Deemed Table'!J881</f>
        <v>10</v>
      </c>
      <c r="Y456" s="2846"/>
      <c r="Z456" s="2846">
        <f t="shared" si="269"/>
        <v>10</v>
      </c>
      <c r="AA456" s="2529">
        <f>'Income Eligible Deemed Table'!DG881</f>
        <v>0</v>
      </c>
      <c r="AB456" s="3878">
        <f>'Income Eligible Deemed Table'!K881</f>
        <v>70</v>
      </c>
      <c r="AC456" s="3864">
        <f t="shared" si="270"/>
        <v>0</v>
      </c>
      <c r="AD456" s="3864">
        <f t="shared" si="281"/>
        <v>0</v>
      </c>
      <c r="AE456" s="3865">
        <f>'Income Eligible Deemed Table'!DI881</f>
        <v>0</v>
      </c>
      <c r="AF456" s="3846">
        <f>'Income Eligible Deemed Table'!DI882</f>
        <v>0</v>
      </c>
      <c r="AG456" s="3846"/>
      <c r="AH456" s="3846"/>
      <c r="AI456" s="2233" t="str">
        <f>'Income Eligible Deemed Table'!L881</f>
        <v>per measure</v>
      </c>
      <c r="AJ456" s="2724"/>
      <c r="AX456" s="3849" t="str">
        <f t="shared" si="275"/>
        <v>Setback thermostat - full setback - gas heating / central AC MF_CompE</v>
      </c>
      <c r="AY456" s="2724"/>
      <c r="AZ456" s="3850" t="str">
        <f t="shared" si="276"/>
        <v>404001</v>
      </c>
      <c r="BA456" s="3866" t="s">
        <v>1303</v>
      </c>
      <c r="BB456" s="3866" t="s">
        <v>1303</v>
      </c>
      <c r="BC456" s="3866" t="s">
        <v>1303</v>
      </c>
      <c r="BD456" s="3866" t="s">
        <v>1303</v>
      </c>
      <c r="BE456" s="3853"/>
      <c r="BF456" s="3866" t="s">
        <v>1303</v>
      </c>
      <c r="BG456" s="3866" t="s">
        <v>1303</v>
      </c>
      <c r="BH456" s="3866" t="s">
        <v>1303</v>
      </c>
      <c r="BI456" s="3867" t="s">
        <v>1303</v>
      </c>
      <c r="BJ456" s="3853"/>
      <c r="BK456" s="3866" t="s">
        <v>1303</v>
      </c>
      <c r="BL456" s="3867" t="s">
        <v>1303</v>
      </c>
      <c r="BM456" s="3866" t="s">
        <v>1303</v>
      </c>
      <c r="BN456" s="3867" t="s">
        <v>1303</v>
      </c>
    </row>
    <row r="457" spans="1:66">
      <c r="A457" s="51" t="str">
        <f t="shared" si="268"/>
        <v>404050</v>
      </c>
      <c r="B457" s="1442" t="str">
        <f>'Income Eligible Deemed Table'!C883</f>
        <v>404050_2019_12_</v>
      </c>
      <c r="C457" s="1378" t="str">
        <f>'Income Eligible Deemed Table'!G883</f>
        <v>Cooling RES</v>
      </c>
      <c r="D457" s="1378" t="str">
        <f>'Income Eligible Deemed Table'!G884</f>
        <v>Heating RES</v>
      </c>
      <c r="E457" s="1378"/>
      <c r="F457" s="1378"/>
      <c r="G457" s="1378" t="str">
        <f>'Income Eligible Deemed Table'!E883</f>
        <v>Setback thermostat for SF - full setback - gas heating / central AC </v>
      </c>
      <c r="H457" s="19" t="str">
        <f>'Income Eligible Deemed Table'!D883</f>
        <v>SFIE</v>
      </c>
      <c r="I457" s="785">
        <f t="shared" si="277"/>
        <v>0</v>
      </c>
      <c r="J457" s="785">
        <f t="shared" si="278"/>
        <v>0</v>
      </c>
      <c r="K457" s="202">
        <f>'Income Eligible Deemed Table'!F883</f>
        <v>0</v>
      </c>
      <c r="L457" s="202">
        <f>'Income Eligible Deemed Table'!F884</f>
        <v>0</v>
      </c>
      <c r="M457" s="202"/>
      <c r="N457" s="202"/>
      <c r="O457" s="786">
        <f t="shared" si="279"/>
        <v>0</v>
      </c>
      <c r="P457" s="786">
        <f t="shared" si="280"/>
        <v>0</v>
      </c>
      <c r="Q457" s="787">
        <f>'Income Eligible Deemed Table'!I883</f>
        <v>0</v>
      </c>
      <c r="R457" s="787">
        <f>'Income Eligible Deemed Table'!I884</f>
        <v>0</v>
      </c>
      <c r="S457" s="787"/>
      <c r="T457" s="787"/>
      <c r="U457" s="788">
        <f t="shared" si="265"/>
        <v>0</v>
      </c>
      <c r="V457" s="788">
        <f t="shared" si="266"/>
        <v>0</v>
      </c>
      <c r="W457" s="788">
        <f t="shared" si="267"/>
        <v>0</v>
      </c>
      <c r="X457" s="23">
        <f>'Income Eligible Deemed Table'!J883</f>
        <v>10</v>
      </c>
      <c r="Y457" s="23"/>
      <c r="Z457" s="23">
        <f t="shared" si="269"/>
        <v>10</v>
      </c>
      <c r="AA457" s="18">
        <f>'Income Eligible Deemed Table'!DG883</f>
        <v>0</v>
      </c>
      <c r="AB457" s="259">
        <f>'Income Eligible Deemed Table'!K883</f>
        <v>70</v>
      </c>
      <c r="AC457" s="902">
        <f t="shared" si="270"/>
        <v>0</v>
      </c>
      <c r="AD457" s="902">
        <f t="shared" si="281"/>
        <v>0</v>
      </c>
      <c r="AE457" s="610">
        <f>'Income Eligible Deemed Table'!DI883</f>
        <v>0</v>
      </c>
      <c r="AF457" s="208">
        <f>'Income Eligible Deemed Table'!DI884</f>
        <v>0</v>
      </c>
      <c r="AG457" s="208"/>
      <c r="AH457" s="208"/>
      <c r="AI457" s="1442" t="str">
        <f>'Income Eligible Deemed Table'!L883</f>
        <v>per measure</v>
      </c>
      <c r="AJ457" s="71"/>
      <c r="AX457" s="1355" t="str">
        <f t="shared" si="275"/>
        <v>Setback thermostat for SF - full setback - gas heating / central AC </v>
      </c>
      <c r="AY457" s="1378"/>
      <c r="AZ457" s="1446" t="str">
        <f t="shared" si="276"/>
        <v>404050</v>
      </c>
      <c r="BA457" s="1300" t="s">
        <v>1303</v>
      </c>
      <c r="BB457" s="1300" t="s">
        <v>1303</v>
      </c>
      <c r="BC457" s="1300" t="s">
        <v>1303</v>
      </c>
      <c r="BD457" s="1300" t="s">
        <v>1303</v>
      </c>
      <c r="BE457" s="1305"/>
      <c r="BF457" s="1300" t="s">
        <v>1303</v>
      </c>
      <c r="BG457" s="1300" t="s">
        <v>1303</v>
      </c>
      <c r="BH457" s="1300" t="s">
        <v>1303</v>
      </c>
      <c r="BI457" s="1301" t="s">
        <v>1303</v>
      </c>
      <c r="BJ457" s="1305"/>
      <c r="BK457" s="1300" t="s">
        <v>1303</v>
      </c>
      <c r="BL457" s="1301" t="s">
        <v>1303</v>
      </c>
      <c r="BM457" s="1300" t="s">
        <v>1303</v>
      </c>
      <c r="BN457" s="1301" t="s">
        <v>1303</v>
      </c>
    </row>
    <row r="458" spans="1:66" s="696" customFormat="1">
      <c r="A458" s="2958" t="str">
        <f t="shared" si="268"/>
        <v>404100</v>
      </c>
      <c r="B458" s="2233" t="str">
        <f>'Income Eligible Deemed Table'!C885</f>
        <v>404100_2019_12_</v>
      </c>
      <c r="C458" s="2724" t="str">
        <f>'Income Eligible Deemed Table'!G885</f>
        <v>Cooling RES</v>
      </c>
      <c r="D458" s="2724" t="str">
        <f>'Income Eligible Deemed Table'!G886</f>
        <v>Heating RES</v>
      </c>
      <c r="E458" s="2724"/>
      <c r="F458" s="2724"/>
      <c r="G458" s="2724" t="str">
        <f>'Income Eligible Deemed Table'!E885</f>
        <v>Setback thermostat - full setback - Unknown MF</v>
      </c>
      <c r="H458" s="2554" t="str">
        <f>'Income Eligible Deemed Table'!D885</f>
        <v>MFIE</v>
      </c>
      <c r="I458" s="3840">
        <f t="shared" si="277"/>
        <v>0</v>
      </c>
      <c r="J458" s="3840">
        <f t="shared" si="278"/>
        <v>0</v>
      </c>
      <c r="K458" s="3251">
        <f>'Income Eligible Deemed Table'!F885</f>
        <v>0</v>
      </c>
      <c r="L458" s="3251">
        <f>'Income Eligible Deemed Table'!F886</f>
        <v>0</v>
      </c>
      <c r="M458" s="3251"/>
      <c r="N458" s="3251"/>
      <c r="O458" s="3841">
        <f t="shared" si="279"/>
        <v>0</v>
      </c>
      <c r="P458" s="3841">
        <f t="shared" si="280"/>
        <v>0</v>
      </c>
      <c r="Q458" s="3842">
        <f>'Income Eligible Deemed Table'!I885</f>
        <v>0</v>
      </c>
      <c r="R458" s="3842">
        <f>'Income Eligible Deemed Table'!I886</f>
        <v>0</v>
      </c>
      <c r="S458" s="3842"/>
      <c r="T458" s="3842"/>
      <c r="U458" s="3843">
        <f t="shared" si="265"/>
        <v>0</v>
      </c>
      <c r="V458" s="3843">
        <f t="shared" si="266"/>
        <v>0</v>
      </c>
      <c r="W458" s="3843">
        <f t="shared" si="267"/>
        <v>0</v>
      </c>
      <c r="X458" s="2846">
        <f>'Income Eligible Deemed Table'!J885</f>
        <v>10</v>
      </c>
      <c r="Y458" s="2846"/>
      <c r="Z458" s="2846">
        <f t="shared" si="269"/>
        <v>10</v>
      </c>
      <c r="AA458" s="2529">
        <f>'Income Eligible Deemed Table'!DG885</f>
        <v>0</v>
      </c>
      <c r="AB458" s="3878">
        <f>'Income Eligible Deemed Table'!K885</f>
        <v>70</v>
      </c>
      <c r="AC458" s="3864">
        <f t="shared" si="270"/>
        <v>0</v>
      </c>
      <c r="AD458" s="3864">
        <f t="shared" si="281"/>
        <v>0</v>
      </c>
      <c r="AE458" s="3865">
        <f>'Income Eligible Deemed Table'!DI885</f>
        <v>0</v>
      </c>
      <c r="AF458" s="3846">
        <f>'Income Eligible Deemed Table'!DI886</f>
        <v>0</v>
      </c>
      <c r="AG458" s="3846"/>
      <c r="AH458" s="3846"/>
      <c r="AI458" s="2233" t="str">
        <f>'Income Eligible Deemed Table'!L885</f>
        <v>per measure</v>
      </c>
      <c r="AJ458" s="2724"/>
      <c r="AX458" s="3849" t="str">
        <f t="shared" si="275"/>
        <v>Setback thermostat - full setback - Unknown MF</v>
      </c>
      <c r="AY458" s="2724"/>
      <c r="AZ458" s="3850" t="str">
        <f t="shared" si="276"/>
        <v>404100</v>
      </c>
      <c r="BA458" s="3866" t="s">
        <v>1303</v>
      </c>
      <c r="BB458" s="3866" t="s">
        <v>1303</v>
      </c>
      <c r="BC458" s="3866" t="s">
        <v>1303</v>
      </c>
      <c r="BD458" s="3866" t="s">
        <v>1303</v>
      </c>
      <c r="BE458" s="3853"/>
      <c r="BF458" s="3866" t="s">
        <v>1303</v>
      </c>
      <c r="BG458" s="3866" t="s">
        <v>1303</v>
      </c>
      <c r="BH458" s="3866" t="s">
        <v>1303</v>
      </c>
      <c r="BI458" s="3867" t="s">
        <v>1303</v>
      </c>
      <c r="BJ458" s="3853"/>
      <c r="BK458" s="3866" t="s">
        <v>1303</v>
      </c>
      <c r="BL458" s="3867" t="s">
        <v>1303</v>
      </c>
      <c r="BM458" s="3866" t="s">
        <v>1303</v>
      </c>
      <c r="BN458" s="3867" t="s">
        <v>1303</v>
      </c>
    </row>
    <row r="459" spans="1:66" s="696" customFormat="1">
      <c r="A459" s="2958" t="str">
        <f t="shared" si="268"/>
        <v>404101</v>
      </c>
      <c r="B459" s="2233" t="str">
        <f>'Income Eligible Deemed Table'!C887</f>
        <v>404101_2019_12_</v>
      </c>
      <c r="C459" s="2724" t="str">
        <f>'Income Eligible Deemed Table'!G887</f>
        <v>Cooling RES</v>
      </c>
      <c r="D459" s="2724" t="str">
        <f>'Income Eligible Deemed Table'!G888</f>
        <v>Heating RES</v>
      </c>
      <c r="E459" s="2724"/>
      <c r="F459" s="2724"/>
      <c r="G459" s="2724" t="str">
        <f>'Income Eligible Deemed Table'!E887</f>
        <v>Setback thermostat - full setback - Unknown MF_CompE</v>
      </c>
      <c r="H459" s="2554" t="str">
        <f>'Income Eligible Deemed Table'!D887</f>
        <v>MFIEc</v>
      </c>
      <c r="I459" s="3840">
        <f t="shared" si="277"/>
        <v>0</v>
      </c>
      <c r="J459" s="3840">
        <f t="shared" si="278"/>
        <v>0</v>
      </c>
      <c r="K459" s="3251">
        <f>'Income Eligible Deemed Table'!F887</f>
        <v>0</v>
      </c>
      <c r="L459" s="3251">
        <f>'Income Eligible Deemed Table'!F888</f>
        <v>0</v>
      </c>
      <c r="M459" s="3251"/>
      <c r="N459" s="3251"/>
      <c r="O459" s="3841">
        <f t="shared" si="279"/>
        <v>0</v>
      </c>
      <c r="P459" s="3841">
        <f t="shared" si="280"/>
        <v>0</v>
      </c>
      <c r="Q459" s="3842">
        <f>'Income Eligible Deemed Table'!I887</f>
        <v>0</v>
      </c>
      <c r="R459" s="3842">
        <f>'Income Eligible Deemed Table'!I888</f>
        <v>0</v>
      </c>
      <c r="S459" s="3842"/>
      <c r="T459" s="3842"/>
      <c r="U459" s="3843">
        <f t="shared" si="265"/>
        <v>0</v>
      </c>
      <c r="V459" s="3843">
        <f t="shared" si="266"/>
        <v>0</v>
      </c>
      <c r="W459" s="3843">
        <f t="shared" si="267"/>
        <v>0</v>
      </c>
      <c r="X459" s="2846">
        <f>'Income Eligible Deemed Table'!J887</f>
        <v>10</v>
      </c>
      <c r="Y459" s="2846"/>
      <c r="Z459" s="2846">
        <f t="shared" si="269"/>
        <v>10</v>
      </c>
      <c r="AA459" s="2529">
        <f>'Income Eligible Deemed Table'!DG887</f>
        <v>0</v>
      </c>
      <c r="AB459" s="3878">
        <f>'Income Eligible Deemed Table'!K887</f>
        <v>70</v>
      </c>
      <c r="AC459" s="3864">
        <f t="shared" si="270"/>
        <v>0</v>
      </c>
      <c r="AD459" s="3864">
        <f t="shared" si="281"/>
        <v>0</v>
      </c>
      <c r="AE459" s="3865">
        <f>'Income Eligible Deemed Table'!DI887</f>
        <v>0</v>
      </c>
      <c r="AF459" s="3846">
        <f>'Income Eligible Deemed Table'!DI888</f>
        <v>0</v>
      </c>
      <c r="AG459" s="3846"/>
      <c r="AH459" s="3846"/>
      <c r="AI459" s="2233" t="str">
        <f>'Income Eligible Deemed Table'!L887</f>
        <v>per measure</v>
      </c>
      <c r="AJ459" s="2724"/>
      <c r="AX459" s="3849" t="str">
        <f t="shared" si="275"/>
        <v>Setback thermostat - full setback - Unknown MF_CompE</v>
      </c>
      <c r="AY459" s="2724"/>
      <c r="AZ459" s="3850" t="str">
        <f t="shared" si="276"/>
        <v>404101</v>
      </c>
      <c r="BA459" s="3866" t="s">
        <v>1303</v>
      </c>
      <c r="BB459" s="3866" t="s">
        <v>1303</v>
      </c>
      <c r="BC459" s="3866" t="s">
        <v>1303</v>
      </c>
      <c r="BD459" s="3866" t="s">
        <v>1303</v>
      </c>
      <c r="BE459" s="3853"/>
      <c r="BF459" s="3866" t="s">
        <v>1303</v>
      </c>
      <c r="BG459" s="3866" t="s">
        <v>1303</v>
      </c>
      <c r="BH459" s="3866" t="s">
        <v>1303</v>
      </c>
      <c r="BI459" s="3867" t="s">
        <v>1303</v>
      </c>
      <c r="BJ459" s="3853"/>
      <c r="BK459" s="3866" t="s">
        <v>1303</v>
      </c>
      <c r="BL459" s="3867" t="s">
        <v>1303</v>
      </c>
      <c r="BM459" s="3866" t="s">
        <v>1303</v>
      </c>
      <c r="BN459" s="3867" t="s">
        <v>1303</v>
      </c>
    </row>
    <row r="460" spans="1:66" s="696" customFormat="1">
      <c r="A460" s="2958" t="str">
        <f t="shared" si="268"/>
        <v>404150</v>
      </c>
      <c r="B460" s="2233" t="str">
        <f>'Income Eligible Deemed Table'!C889</f>
        <v>404150_2024_12_</v>
      </c>
      <c r="C460" s="2724" t="str">
        <f>'Income Eligible Deemed Table'!G889</f>
        <v>Cooling RES</v>
      </c>
      <c r="D460" s="2724" t="str">
        <f>'Income Eligible Deemed Table'!G890</f>
        <v>Heating RES</v>
      </c>
      <c r="E460" s="2724"/>
      <c r="F460" s="2724"/>
      <c r="G460" s="2724" t="str">
        <f>'Income Eligible Deemed Table'!E889</f>
        <v>Setback thermostat for SF - full setback - Unknown</v>
      </c>
      <c r="H460" s="2554" t="str">
        <f>'Income Eligible Deemed Table'!D889</f>
        <v>SFIE</v>
      </c>
      <c r="I460" s="3840">
        <f t="shared" si="277"/>
        <v>0</v>
      </c>
      <c r="J460" s="3840">
        <f t="shared" si="278"/>
        <v>0</v>
      </c>
      <c r="K460" s="3251">
        <f>'Income Eligible Deemed Table'!F889</f>
        <v>0</v>
      </c>
      <c r="L460" s="3251">
        <f>'Income Eligible Deemed Table'!F890</f>
        <v>0</v>
      </c>
      <c r="M460" s="3251"/>
      <c r="N460" s="3251"/>
      <c r="O460" s="3841">
        <f t="shared" si="279"/>
        <v>0</v>
      </c>
      <c r="P460" s="3841">
        <f t="shared" si="280"/>
        <v>0</v>
      </c>
      <c r="Q460" s="3842">
        <f>'Income Eligible Deemed Table'!I889</f>
        <v>0</v>
      </c>
      <c r="R460" s="3842">
        <f>'Income Eligible Deemed Table'!I890</f>
        <v>0</v>
      </c>
      <c r="S460" s="3842"/>
      <c r="T460" s="3842"/>
      <c r="U460" s="3843">
        <f t="shared" si="265"/>
        <v>0</v>
      </c>
      <c r="V460" s="3843">
        <f t="shared" si="266"/>
        <v>0</v>
      </c>
      <c r="W460" s="3843">
        <f t="shared" si="267"/>
        <v>0</v>
      </c>
      <c r="X460" s="2846">
        <f>'Income Eligible Deemed Table'!J889</f>
        <v>10</v>
      </c>
      <c r="Y460" s="2846"/>
      <c r="Z460" s="2846">
        <f t="shared" si="269"/>
        <v>10</v>
      </c>
      <c r="AA460" s="2529">
        <f>'Income Eligible Deemed Table'!DG889</f>
        <v>0</v>
      </c>
      <c r="AB460" s="3878">
        <f>'Income Eligible Deemed Table'!K889</f>
        <v>70</v>
      </c>
      <c r="AC460" s="3864">
        <f t="shared" si="270"/>
        <v>0</v>
      </c>
      <c r="AD460" s="3864">
        <f t="shared" si="281"/>
        <v>0</v>
      </c>
      <c r="AE460" s="3865">
        <f>'Income Eligible Deemed Table'!DI889</f>
        <v>0</v>
      </c>
      <c r="AF460" s="3846">
        <f>'Income Eligible Deemed Table'!DI890</f>
        <v>0</v>
      </c>
      <c r="AG460" s="3846"/>
      <c r="AH460" s="3846"/>
      <c r="AI460" s="2233" t="str">
        <f>'Income Eligible Deemed Table'!L889</f>
        <v>per measure</v>
      </c>
      <c r="AJ460" s="2724"/>
      <c r="AX460" s="3849" t="str">
        <f t="shared" si="275"/>
        <v>Setback thermostat for SF - full setback - Unknown</v>
      </c>
      <c r="AY460" s="2724"/>
      <c r="AZ460" s="3850" t="str">
        <f t="shared" si="276"/>
        <v>404150</v>
      </c>
      <c r="BA460" s="3866" t="s">
        <v>1303</v>
      </c>
      <c r="BB460" s="3866" t="s">
        <v>1303</v>
      </c>
      <c r="BC460" s="3866" t="s">
        <v>1303</v>
      </c>
      <c r="BD460" s="3866" t="s">
        <v>1303</v>
      </c>
      <c r="BE460" s="3853"/>
      <c r="BF460" s="3866" t="s">
        <v>1303</v>
      </c>
      <c r="BG460" s="3866" t="s">
        <v>1303</v>
      </c>
      <c r="BH460" s="3866" t="s">
        <v>1303</v>
      </c>
      <c r="BI460" s="3867" t="s">
        <v>1303</v>
      </c>
      <c r="BJ460" s="3853"/>
      <c r="BK460" s="3866" t="s">
        <v>1303</v>
      </c>
      <c r="BL460" s="3867" t="s">
        <v>1303</v>
      </c>
      <c r="BM460" s="3866" t="s">
        <v>1303</v>
      </c>
      <c r="BN460" s="3867" t="s">
        <v>1303</v>
      </c>
    </row>
    <row r="461" spans="1:66">
      <c r="A461" s="51" t="str">
        <f t="shared" si="268"/>
        <v>404450</v>
      </c>
      <c r="B461" s="1442" t="str">
        <f>'Income Eligible Deemed Table'!C956</f>
        <v>404450_2024_12_</v>
      </c>
      <c r="C461" s="1378" t="str">
        <f>'Income Eligible Deemed Table'!G956</f>
        <v>Lighting RES</v>
      </c>
      <c r="D461" s="1378"/>
      <c r="E461" s="1378"/>
      <c r="F461" s="1378"/>
      <c r="G461" s="1378" t="str">
        <f>'Income Eligible Deemed Table'!E956</f>
        <v>LED - 10.5W Downlight E26 IE DI</v>
      </c>
      <c r="H461" s="19" t="str">
        <f>'Income Eligible Deemed Table'!D956</f>
        <v>PAYS/SFIE / MFIE</v>
      </c>
      <c r="I461" s="785">
        <f>'Income Eligible Deemed Table'!F956</f>
        <v>44.56</v>
      </c>
      <c r="J461" s="785"/>
      <c r="K461" s="202"/>
      <c r="L461" s="202"/>
      <c r="M461" s="202"/>
      <c r="N461" s="202"/>
      <c r="O461" s="786">
        <f>'Income Eligible Deemed Table'!M956</f>
        <v>6.6509999999999998E-3</v>
      </c>
      <c r="P461" s="786"/>
      <c r="Q461" s="787"/>
      <c r="R461" s="787"/>
      <c r="S461" s="787"/>
      <c r="T461" s="787"/>
      <c r="U461" s="788">
        <f t="shared" ref="U461:U505" si="282">IFERROR(IF(V461+W461&gt;0,0,IF(Z461&gt;0,O461,0)),0)</f>
        <v>6.6509999999999998E-3</v>
      </c>
      <c r="V461" s="788">
        <f t="shared" ref="V461:V505" si="283">IF(W461&gt;0,0,IF(Z461&gt;9,O461,0))</f>
        <v>0</v>
      </c>
      <c r="W461" s="788">
        <f t="shared" ref="W461:W505" si="284">IF(Z461&gt;14,O461,0)</f>
        <v>0</v>
      </c>
      <c r="X461" s="23">
        <f>'Income Eligible Deemed Table'!N956</f>
        <v>8</v>
      </c>
      <c r="Y461" s="23"/>
      <c r="Z461" s="23">
        <f t="shared" si="269"/>
        <v>8</v>
      </c>
      <c r="AA461" s="18">
        <f>'Income Eligible Deemed Table'!DG956</f>
        <v>10.714425002390662</v>
      </c>
      <c r="AB461" s="259">
        <f>'Income Eligible Deemed Table'!P956</f>
        <v>1.66</v>
      </c>
      <c r="AC461" s="902">
        <f t="shared" si="270"/>
        <v>17.785945503968499</v>
      </c>
      <c r="AD461" s="902">
        <f t="shared" si="281"/>
        <v>0</v>
      </c>
      <c r="AE461" s="610">
        <f>'Income Eligible Deemed Table'!DI956</f>
        <v>17.785945503968499</v>
      </c>
      <c r="AF461" s="208"/>
      <c r="AG461" s="208"/>
      <c r="AH461" s="208"/>
      <c r="AI461" s="911" t="str">
        <f>'Income Eligible Deemed Table'!R956</f>
        <v>per measure</v>
      </c>
      <c r="AJ461" s="71"/>
      <c r="AX461" s="1355" t="str">
        <f t="shared" si="275"/>
        <v>LED - 10.5W Downlight E26 IE DI</v>
      </c>
      <c r="AY461" s="1378"/>
      <c r="AZ461" s="1446" t="str">
        <f t="shared" si="276"/>
        <v>404450</v>
      </c>
      <c r="BA461" s="1300" t="s">
        <v>1303</v>
      </c>
      <c r="BB461" s="1300" t="s">
        <v>1303</v>
      </c>
      <c r="BC461" s="1300" t="s">
        <v>1303</v>
      </c>
      <c r="BD461" s="1300" t="s">
        <v>1303</v>
      </c>
      <c r="BE461" s="1305"/>
      <c r="BF461" s="1300" t="s">
        <v>1303</v>
      </c>
      <c r="BG461" s="1300" t="s">
        <v>1303</v>
      </c>
      <c r="BH461" s="1300" t="s">
        <v>1303</v>
      </c>
      <c r="BI461" s="1301" t="s">
        <v>1303</v>
      </c>
      <c r="BJ461" s="1305"/>
      <c r="BK461" s="1300" t="s">
        <v>1303</v>
      </c>
      <c r="BL461" s="1301" t="s">
        <v>1303</v>
      </c>
      <c r="BM461" s="1300" t="s">
        <v>1303</v>
      </c>
      <c r="BN461" s="1301" t="s">
        <v>1303</v>
      </c>
    </row>
    <row r="462" spans="1:66">
      <c r="A462" s="51" t="str">
        <f t="shared" si="268"/>
        <v>404500</v>
      </c>
      <c r="B462" s="1442" t="str">
        <f>'Income Eligible Deemed Table'!C957</f>
        <v>404500_2024_12_</v>
      </c>
      <c r="C462" s="1378" t="str">
        <f>'Income Eligible Deemed Table'!G957</f>
        <v>Lighting RES</v>
      </c>
      <c r="D462" s="1378"/>
      <c r="E462" s="1378"/>
      <c r="F462" s="1378"/>
      <c r="G462" s="1378" t="str">
        <f>'Income Eligible Deemed Table'!E957</f>
        <v>LED - 10W (750-899 lumens) IEDI</v>
      </c>
      <c r="H462" s="19" t="str">
        <f>'Income Eligible Deemed Table'!D957</f>
        <v>PAYS/SFIE / MFIE</v>
      </c>
      <c r="I462" s="785">
        <f>'Income Eligible Deemed Table'!F957</f>
        <v>22.22</v>
      </c>
      <c r="J462" s="785"/>
      <c r="K462" s="202"/>
      <c r="L462" s="202"/>
      <c r="M462" s="202"/>
      <c r="N462" s="202"/>
      <c r="O462" s="786">
        <f>'Income Eligible Deemed Table'!M957</f>
        <v>3.3159999999999999E-3</v>
      </c>
      <c r="P462" s="786"/>
      <c r="Q462" s="787"/>
      <c r="R462" s="787"/>
      <c r="S462" s="787"/>
      <c r="T462" s="787"/>
      <c r="U462" s="788">
        <f t="shared" si="282"/>
        <v>3.3159999999999999E-3</v>
      </c>
      <c r="V462" s="788">
        <f t="shared" si="283"/>
        <v>0</v>
      </c>
      <c r="W462" s="788">
        <f t="shared" si="284"/>
        <v>0</v>
      </c>
      <c r="X462" s="23">
        <f>'Income Eligible Deemed Table'!N957</f>
        <v>8</v>
      </c>
      <c r="Y462" s="23"/>
      <c r="Z462" s="23">
        <f t="shared" si="269"/>
        <v>8</v>
      </c>
      <c r="AA462" s="18">
        <f>'Income Eligible Deemed Table'!DG957</f>
        <v>6.1165682705717206</v>
      </c>
      <c r="AB462" s="259">
        <f>'Income Eligible Deemed Table'!P957</f>
        <v>1.45</v>
      </c>
      <c r="AC462" s="902">
        <f t="shared" si="270"/>
        <v>8.8690239923289944</v>
      </c>
      <c r="AD462" s="902">
        <f t="shared" si="281"/>
        <v>0</v>
      </c>
      <c r="AE462" s="610">
        <f>'Income Eligible Deemed Table'!DI957</f>
        <v>8.8690239923289944</v>
      </c>
      <c r="AF462" s="208"/>
      <c r="AG462" s="208"/>
      <c r="AH462" s="208"/>
      <c r="AI462" s="911" t="str">
        <f>'Income Eligible Deemed Table'!R957</f>
        <v>per measure</v>
      </c>
      <c r="AJ462" s="71"/>
      <c r="AX462" s="1355" t="str">
        <f t="shared" si="275"/>
        <v>LED - 10W (750-899 lumens) IEDI</v>
      </c>
      <c r="AY462" s="1378"/>
      <c r="AZ462" s="1446" t="str">
        <f t="shared" si="276"/>
        <v>404500</v>
      </c>
      <c r="BA462" s="1300" t="s">
        <v>1303</v>
      </c>
      <c r="BB462" s="1300" t="s">
        <v>1303</v>
      </c>
      <c r="BC462" s="1300" t="s">
        <v>1303</v>
      </c>
      <c r="BD462" s="1300" t="s">
        <v>1303</v>
      </c>
      <c r="BE462" s="1305"/>
      <c r="BF462" s="1300" t="s">
        <v>1303</v>
      </c>
      <c r="BG462" s="1300" t="s">
        <v>1303</v>
      </c>
      <c r="BH462" s="1300" t="s">
        <v>1303</v>
      </c>
      <c r="BI462" s="1301" t="s">
        <v>1303</v>
      </c>
      <c r="BJ462" s="1305"/>
      <c r="BK462" s="1300" t="s">
        <v>1303</v>
      </c>
      <c r="BL462" s="1301" t="s">
        <v>1303</v>
      </c>
      <c r="BM462" s="1300" t="s">
        <v>1303</v>
      </c>
      <c r="BN462" s="1301" t="s">
        <v>1303</v>
      </c>
    </row>
    <row r="463" spans="1:66" s="41" customFormat="1">
      <c r="A463" s="51" t="str">
        <f t="shared" si="268"/>
        <v>404600</v>
      </c>
      <c r="B463" s="1442" t="str">
        <f>'Income Eligible Deemed Table'!C958</f>
        <v>404600_2024_12_</v>
      </c>
      <c r="C463" s="1378" t="str">
        <f>'Income Eligible Deemed Table'!G958</f>
        <v>Lighting RES</v>
      </c>
      <c r="D463" s="1378"/>
      <c r="E463" s="1378"/>
      <c r="F463" s="1378"/>
      <c r="G463" s="1378" t="str">
        <f>'Income Eligible Deemed Table'!E958</f>
        <v>LED - 12W Dimmable Light Bulb IE DI</v>
      </c>
      <c r="H463" s="19" t="str">
        <f>'Income Eligible Deemed Table'!D958</f>
        <v>PAYS/SFIE / MFIE</v>
      </c>
      <c r="I463" s="785">
        <f>'Income Eligible Deemed Table'!F958</f>
        <v>58.33</v>
      </c>
      <c r="J463" s="785"/>
      <c r="K463" s="202"/>
      <c r="L463" s="202"/>
      <c r="M463" s="202"/>
      <c r="N463" s="202"/>
      <c r="O463" s="786">
        <f>'Income Eligible Deemed Table'!M958</f>
        <v>8.7049999999999992E-3</v>
      </c>
      <c r="P463" s="786"/>
      <c r="Q463" s="787"/>
      <c r="R463" s="787"/>
      <c r="S463" s="787"/>
      <c r="T463" s="787"/>
      <c r="U463" s="788">
        <f t="shared" si="282"/>
        <v>8.7049999999999992E-3</v>
      </c>
      <c r="V463" s="788">
        <f t="shared" si="283"/>
        <v>0</v>
      </c>
      <c r="W463" s="788">
        <f t="shared" si="284"/>
        <v>0</v>
      </c>
      <c r="X463" s="23">
        <f>'Income Eligible Deemed Table'!N958</f>
        <v>8</v>
      </c>
      <c r="Y463" s="23"/>
      <c r="Z463" s="23">
        <f t="shared" si="269"/>
        <v>8</v>
      </c>
      <c r="AA463" s="18">
        <f>'Income Eligible Deemed Table'!DG958</f>
        <v>14.025413159547739</v>
      </c>
      <c r="AB463" s="259">
        <f>'Income Eligible Deemed Table'!P958</f>
        <v>1.66</v>
      </c>
      <c r="AC463" s="902">
        <f t="shared" si="270"/>
        <v>23.282185844849245</v>
      </c>
      <c r="AD463" s="902">
        <f t="shared" si="281"/>
        <v>0</v>
      </c>
      <c r="AE463" s="610">
        <f>'Income Eligible Deemed Table'!DI958</f>
        <v>23.282185844849245</v>
      </c>
      <c r="AF463" s="208"/>
      <c r="AG463" s="208"/>
      <c r="AH463" s="208"/>
      <c r="AI463" s="911" t="str">
        <f>'Income Eligible Deemed Table'!R958</f>
        <v>per measure</v>
      </c>
      <c r="AJ463" s="71"/>
      <c r="AK463"/>
      <c r="AL463"/>
      <c r="AM463"/>
      <c r="AN463"/>
      <c r="AO463"/>
      <c r="AP463"/>
      <c r="AQ463"/>
      <c r="AR463"/>
      <c r="AS463"/>
      <c r="AT463"/>
      <c r="AU463"/>
      <c r="AV463"/>
      <c r="AW463"/>
      <c r="AX463" s="1355" t="str">
        <f t="shared" si="275"/>
        <v>LED - 12W Dimmable Light Bulb IE DI</v>
      </c>
      <c r="AY463" s="1378"/>
      <c r="AZ463" s="1446" t="str">
        <f t="shared" si="276"/>
        <v>404600</v>
      </c>
      <c r="BA463" s="1300" t="s">
        <v>1303</v>
      </c>
      <c r="BB463" s="1300" t="s">
        <v>1303</v>
      </c>
      <c r="BC463" s="1300" t="s">
        <v>1303</v>
      </c>
      <c r="BD463" s="1300" t="s">
        <v>1303</v>
      </c>
      <c r="BE463" s="1306"/>
      <c r="BF463" s="1300" t="s">
        <v>1303</v>
      </c>
      <c r="BG463" s="1300" t="s">
        <v>1303</v>
      </c>
      <c r="BH463" s="1300" t="s">
        <v>1303</v>
      </c>
      <c r="BI463" s="1301" t="s">
        <v>1303</v>
      </c>
      <c r="BJ463" s="1305"/>
      <c r="BK463" s="1300" t="s">
        <v>1303</v>
      </c>
      <c r="BL463" s="1301" t="s">
        <v>1303</v>
      </c>
      <c r="BM463" s="1300" t="s">
        <v>1303</v>
      </c>
      <c r="BN463" s="1301" t="s">
        <v>1303</v>
      </c>
    </row>
    <row r="464" spans="1:66">
      <c r="A464" s="51" t="str">
        <f t="shared" si="268"/>
        <v>404650</v>
      </c>
      <c r="B464" s="1442" t="str">
        <f>'Income Eligible Deemed Table'!C959</f>
        <v>404650_2024_12_</v>
      </c>
      <c r="C464" s="1378" t="str">
        <f>'Income Eligible Deemed Table'!G959</f>
        <v>Lighting RES</v>
      </c>
      <c r="D464" s="1378"/>
      <c r="E464" s="1378"/>
      <c r="F464" s="1378"/>
      <c r="G464" s="1378" t="str">
        <f>'Income Eligible Deemed Table'!E959</f>
        <v>LED - 15W (900-1399 lumens) IEDI</v>
      </c>
      <c r="H464" s="19" t="str">
        <f>'Income Eligible Deemed Table'!D959</f>
        <v>PAYS/SFIE / MFIE</v>
      </c>
      <c r="I464" s="785">
        <f>'Income Eligible Deemed Table'!F959</f>
        <v>27.79</v>
      </c>
      <c r="J464" s="785"/>
      <c r="K464" s="202"/>
      <c r="L464" s="202"/>
      <c r="M464" s="202"/>
      <c r="N464" s="202"/>
      <c r="O464" s="786">
        <f>'Income Eligible Deemed Table'!M959</f>
        <v>4.1469999999999996E-3</v>
      </c>
      <c r="P464" s="786"/>
      <c r="Q464" s="787"/>
      <c r="R464" s="787"/>
      <c r="S464" s="787"/>
      <c r="T464" s="787"/>
      <c r="U464" s="788">
        <f t="shared" si="282"/>
        <v>4.1469999999999996E-3</v>
      </c>
      <c r="V464" s="788">
        <f t="shared" si="283"/>
        <v>0</v>
      </c>
      <c r="W464" s="788">
        <f t="shared" si="284"/>
        <v>0</v>
      </c>
      <c r="X464" s="23">
        <f>'Income Eligible Deemed Table'!N959</f>
        <v>8</v>
      </c>
      <c r="Y464" s="23"/>
      <c r="Z464" s="23">
        <f t="shared" si="269"/>
        <v>8</v>
      </c>
      <c r="AA464" s="18">
        <f>'Income Eligible Deemed Table'!DG959</f>
        <v>7.6498394347069363</v>
      </c>
      <c r="AB464" s="259">
        <f>'Income Eligible Deemed Table'!P959</f>
        <v>1.45</v>
      </c>
      <c r="AC464" s="902">
        <f t="shared" si="270"/>
        <v>11.092267180325058</v>
      </c>
      <c r="AD464" s="902">
        <f t="shared" si="281"/>
        <v>0</v>
      </c>
      <c r="AE464" s="610">
        <f>'Income Eligible Deemed Table'!DI959</f>
        <v>11.092267180325058</v>
      </c>
      <c r="AF464" s="208"/>
      <c r="AG464" s="208"/>
      <c r="AH464" s="208"/>
      <c r="AI464" s="911" t="str">
        <f>'Income Eligible Deemed Table'!R959</f>
        <v>per measure</v>
      </c>
      <c r="AJ464" s="71"/>
      <c r="AX464" s="1355" t="str">
        <f t="shared" si="275"/>
        <v>LED - 15W (900-1399 lumens) IEDI</v>
      </c>
      <c r="AY464" s="1378"/>
      <c r="AZ464" s="1446" t="str">
        <f t="shared" si="276"/>
        <v>404650</v>
      </c>
      <c r="BA464" s="1300" t="s">
        <v>1303</v>
      </c>
      <c r="BB464" s="1300" t="s">
        <v>1303</v>
      </c>
      <c r="BC464" s="1300" t="s">
        <v>1303</v>
      </c>
      <c r="BD464" s="1300" t="s">
        <v>1303</v>
      </c>
      <c r="BE464" s="1305"/>
      <c r="BF464" s="1300" t="s">
        <v>1303</v>
      </c>
      <c r="BG464" s="1300" t="s">
        <v>1303</v>
      </c>
      <c r="BH464" s="1300" t="s">
        <v>1303</v>
      </c>
      <c r="BI464" s="1301" t="s">
        <v>1303</v>
      </c>
      <c r="BJ464" s="1305"/>
      <c r="BK464" s="1300" t="s">
        <v>1303</v>
      </c>
      <c r="BL464" s="1301" t="s">
        <v>1303</v>
      </c>
      <c r="BM464" s="1300" t="s">
        <v>1303</v>
      </c>
      <c r="BN464" s="1301" t="s">
        <v>1303</v>
      </c>
    </row>
    <row r="465" spans="1:66">
      <c r="A465" s="51" t="str">
        <f t="shared" si="268"/>
        <v>404651</v>
      </c>
      <c r="B465" s="1442" t="str">
        <f>'Income Eligible Deemed Table'!C960</f>
        <v>404651_2024_12_</v>
      </c>
      <c r="C465" s="1378" t="str">
        <f>'Income Eligible Deemed Table'!G960</f>
        <v>Lighting RES</v>
      </c>
      <c r="D465" s="1378"/>
      <c r="E465" s="1378"/>
      <c r="F465" s="1378"/>
      <c r="G465" s="1378" t="str">
        <f>'Income Eligible Deemed Table'!E960</f>
        <v>LED - 11W Flood Light BR30 Bulb IE DI</v>
      </c>
      <c r="H465" s="19" t="str">
        <f>'Income Eligible Deemed Table'!D960</f>
        <v>PAYS/SFIE / MFIE</v>
      </c>
      <c r="I465" s="785">
        <f>'Income Eligible Deemed Table'!F960</f>
        <v>41.94</v>
      </c>
      <c r="J465" s="785"/>
      <c r="K465" s="202"/>
      <c r="L465" s="202"/>
      <c r="M465" s="202"/>
      <c r="N465" s="202"/>
      <c r="O465" s="786">
        <f>'Income Eligible Deemed Table'!M960</f>
        <v>6.2599999999999999E-3</v>
      </c>
      <c r="P465" s="786"/>
      <c r="Q465" s="787"/>
      <c r="R465" s="787"/>
      <c r="S465" s="787"/>
      <c r="T465" s="787"/>
      <c r="U465" s="788">
        <f t="shared" si="282"/>
        <v>6.2599999999999999E-3</v>
      </c>
      <c r="V465" s="788">
        <f t="shared" si="283"/>
        <v>0</v>
      </c>
      <c r="W465" s="788">
        <f t="shared" si="284"/>
        <v>0</v>
      </c>
      <c r="X465" s="23">
        <f>'Income Eligible Deemed Table'!N960</f>
        <v>8</v>
      </c>
      <c r="Y465" s="23"/>
      <c r="Z465" s="23">
        <f t="shared" si="269"/>
        <v>8</v>
      </c>
      <c r="AA465" s="18">
        <f>'Income Eligible Deemed Table'!DG960</f>
        <v>10.084447589772537</v>
      </c>
      <c r="AB465" s="259">
        <f>'Income Eligible Deemed Table'!P960</f>
        <v>1.66</v>
      </c>
      <c r="AC465" s="902">
        <f t="shared" si="270"/>
        <v>16.740182999022412</v>
      </c>
      <c r="AD465" s="902">
        <f t="shared" si="281"/>
        <v>0</v>
      </c>
      <c r="AE465" s="610">
        <f>'Income Eligible Deemed Table'!DI960</f>
        <v>16.740182999022412</v>
      </c>
      <c r="AF465" s="208"/>
      <c r="AG465" s="208"/>
      <c r="AH465" s="208"/>
      <c r="AI465" s="911" t="str">
        <f>'Income Eligible Deemed Table'!R960</f>
        <v>per measure</v>
      </c>
      <c r="AJ465" s="676"/>
      <c r="AK465" s="41"/>
      <c r="AL465" s="41"/>
      <c r="AX465" s="1355" t="str">
        <f t="shared" si="275"/>
        <v>LED - 11W Flood Light BR30 Bulb IE DI</v>
      </c>
      <c r="AY465" s="1378"/>
      <c r="AZ465" s="1446" t="str">
        <f t="shared" si="276"/>
        <v>404651</v>
      </c>
      <c r="BA465" s="1300" t="s">
        <v>1303</v>
      </c>
      <c r="BB465" s="1300" t="s">
        <v>1303</v>
      </c>
      <c r="BC465" s="1300" t="s">
        <v>1303</v>
      </c>
      <c r="BD465" s="1300" t="s">
        <v>1303</v>
      </c>
      <c r="BE465" s="1305"/>
      <c r="BF465" s="1300" t="s">
        <v>1303</v>
      </c>
      <c r="BG465" s="1300" t="s">
        <v>1303</v>
      </c>
      <c r="BH465" s="1300" t="s">
        <v>1303</v>
      </c>
      <c r="BI465" s="1301" t="s">
        <v>1303</v>
      </c>
      <c r="BJ465" s="1305"/>
      <c r="BK465" s="1300" t="s">
        <v>1303</v>
      </c>
      <c r="BL465" s="1301" t="s">
        <v>1303</v>
      </c>
      <c r="BM465" s="1300" t="s">
        <v>1303</v>
      </c>
      <c r="BN465" s="1301" t="s">
        <v>1303</v>
      </c>
    </row>
    <row r="466" spans="1:66">
      <c r="A466" s="51" t="str">
        <f t="shared" si="268"/>
        <v>404700</v>
      </c>
      <c r="B466" s="1442" t="str">
        <f>'Income Eligible Deemed Table'!C961</f>
        <v>404700_2024_12_</v>
      </c>
      <c r="C466" s="1378" t="str">
        <f>'Income Eligible Deemed Table'!G961</f>
        <v>Lighting RES</v>
      </c>
      <c r="D466" s="1378"/>
      <c r="E466" s="1378"/>
      <c r="F466" s="1378"/>
      <c r="G466" s="1378" t="str">
        <f>'Income Eligible Deemed Table'!E961</f>
        <v>LED - 15W Flood Light PAR30 Bulb IE DI</v>
      </c>
      <c r="H466" s="19" t="str">
        <f>'Income Eligible Deemed Table'!D961</f>
        <v>PAYS/SFIE / MFIE</v>
      </c>
      <c r="I466" s="785">
        <f>'Income Eligible Deemed Table'!F961</f>
        <v>69.47</v>
      </c>
      <c r="J466" s="785"/>
      <c r="K466" s="202"/>
      <c r="L466" s="202"/>
      <c r="M466" s="202"/>
      <c r="N466" s="202"/>
      <c r="O466" s="786">
        <f>'Income Eligible Deemed Table'!M961</f>
        <v>1.0368E-2</v>
      </c>
      <c r="P466" s="786"/>
      <c r="Q466" s="787"/>
      <c r="R466" s="787"/>
      <c r="S466" s="787"/>
      <c r="T466" s="787"/>
      <c r="U466" s="788">
        <f t="shared" si="282"/>
        <v>1.0368E-2</v>
      </c>
      <c r="V466" s="788">
        <f t="shared" si="283"/>
        <v>0</v>
      </c>
      <c r="W466" s="788">
        <f t="shared" si="284"/>
        <v>0</v>
      </c>
      <c r="X466" s="23">
        <f>'Income Eligible Deemed Table'!N961</f>
        <v>8</v>
      </c>
      <c r="Y466" s="23"/>
      <c r="Z466" s="23">
        <f t="shared" si="269"/>
        <v>8</v>
      </c>
      <c r="AA466" s="18">
        <f>'Income Eligible Deemed Table'!DG961</f>
        <v>16.704019410145406</v>
      </c>
      <c r="AB466" s="259">
        <f>'Income Eligible Deemed Table'!P961</f>
        <v>1.66</v>
      </c>
      <c r="AC466" s="902">
        <f t="shared" si="270"/>
        <v>27.728672220841371</v>
      </c>
      <c r="AD466" s="902">
        <f t="shared" si="281"/>
        <v>0</v>
      </c>
      <c r="AE466" s="610">
        <f>'Income Eligible Deemed Table'!DI961</f>
        <v>27.728672220841371</v>
      </c>
      <c r="AF466" s="208"/>
      <c r="AG466" s="208"/>
      <c r="AH466" s="208"/>
      <c r="AI466" s="911" t="str">
        <f>'Income Eligible Deemed Table'!R961</f>
        <v>per measure</v>
      </c>
      <c r="AJ466" s="71"/>
      <c r="AX466" s="1355" t="str">
        <f t="shared" si="275"/>
        <v>LED - 15W Flood Light PAR30 Bulb IE DI</v>
      </c>
      <c r="AY466" s="1378"/>
      <c r="AZ466" s="1446" t="str">
        <f t="shared" si="276"/>
        <v>404700</v>
      </c>
      <c r="BA466" s="1300" t="s">
        <v>1303</v>
      </c>
      <c r="BB466" s="1300" t="s">
        <v>1303</v>
      </c>
      <c r="BC466" s="1300" t="s">
        <v>1303</v>
      </c>
      <c r="BD466" s="1300" t="s">
        <v>1303</v>
      </c>
      <c r="BE466" s="1305"/>
      <c r="BF466" s="1300" t="s">
        <v>1303</v>
      </c>
      <c r="BG466" s="1300" t="s">
        <v>1303</v>
      </c>
      <c r="BH466" s="1300" t="s">
        <v>1303</v>
      </c>
      <c r="BI466" s="1301" t="s">
        <v>1303</v>
      </c>
      <c r="BJ466" s="1305"/>
      <c r="BK466" s="1300" t="s">
        <v>1303</v>
      </c>
      <c r="BL466" s="1301" t="s">
        <v>1303</v>
      </c>
      <c r="BM466" s="1300" t="s">
        <v>1303</v>
      </c>
      <c r="BN466" s="1301" t="s">
        <v>1303</v>
      </c>
    </row>
    <row r="467" spans="1:66">
      <c r="A467" s="51" t="str">
        <f t="shared" si="268"/>
        <v>404750</v>
      </c>
      <c r="B467" s="1442" t="str">
        <f>'Income Eligible Deemed Table'!C962</f>
        <v>404750_2024_12_</v>
      </c>
      <c r="C467" s="1378" t="str">
        <f>'Income Eligible Deemed Table'!G962</f>
        <v>Lighting RES</v>
      </c>
      <c r="D467" s="1378"/>
      <c r="E467" s="1378"/>
      <c r="F467" s="1378"/>
      <c r="G467" s="1378" t="str">
        <f>'Income Eligible Deemed Table'!E962</f>
        <v>LED - 18W Flood Light PAR38 Bulb IE DI</v>
      </c>
      <c r="H467" s="19" t="str">
        <f>'Income Eligible Deemed Table'!D962</f>
        <v>PAYS/SFIE / MFIE</v>
      </c>
      <c r="I467" s="785">
        <f>'Income Eligible Deemed Table'!F962</f>
        <v>87.16</v>
      </c>
      <c r="J467" s="785"/>
      <c r="K467" s="202"/>
      <c r="L467" s="202"/>
      <c r="M467" s="202"/>
      <c r="N467" s="202"/>
      <c r="O467" s="786">
        <f>'Income Eligible Deemed Table'!M962</f>
        <v>1.3009E-2</v>
      </c>
      <c r="P467" s="786"/>
      <c r="Q467" s="787"/>
      <c r="R467" s="787"/>
      <c r="S467" s="787"/>
      <c r="T467" s="787"/>
      <c r="U467" s="788">
        <f t="shared" si="282"/>
        <v>1.3009E-2</v>
      </c>
      <c r="V467" s="788">
        <f t="shared" si="283"/>
        <v>0</v>
      </c>
      <c r="W467" s="788">
        <f t="shared" si="284"/>
        <v>0</v>
      </c>
      <c r="X467" s="23">
        <f>'Income Eligible Deemed Table'!N962</f>
        <v>8</v>
      </c>
      <c r="Y467" s="23"/>
      <c r="Z467" s="23">
        <f t="shared" si="269"/>
        <v>8</v>
      </c>
      <c r="AA467" s="18">
        <f>'Income Eligible Deemed Table'!DG962</f>
        <v>20.957569192288378</v>
      </c>
      <c r="AB467" s="259">
        <f>'Income Eligible Deemed Table'!P962</f>
        <v>1.66</v>
      </c>
      <c r="AC467" s="902">
        <f t="shared" si="270"/>
        <v>34.789564859198705</v>
      </c>
      <c r="AD467" s="902">
        <f t="shared" si="281"/>
        <v>0</v>
      </c>
      <c r="AE467" s="610">
        <f>'Income Eligible Deemed Table'!DI962</f>
        <v>34.789564859198705</v>
      </c>
      <c r="AF467" s="208"/>
      <c r="AG467" s="208"/>
      <c r="AH467" s="208"/>
      <c r="AI467" s="911" t="str">
        <f>'Income Eligible Deemed Table'!R962</f>
        <v>per measure</v>
      </c>
      <c r="AJ467" s="71"/>
      <c r="AX467" s="1355" t="str">
        <f t="shared" si="275"/>
        <v>LED - 18W Flood Light PAR38 Bulb IE DI</v>
      </c>
      <c r="AY467" s="1378"/>
      <c r="AZ467" s="1446" t="str">
        <f t="shared" si="276"/>
        <v>404750</v>
      </c>
      <c r="BA467" s="1300" t="s">
        <v>1303</v>
      </c>
      <c r="BB467" s="1300" t="s">
        <v>1303</v>
      </c>
      <c r="BC467" s="1300" t="s">
        <v>1303</v>
      </c>
      <c r="BD467" s="1300" t="s">
        <v>1303</v>
      </c>
      <c r="BE467" s="1305"/>
      <c r="BF467" s="1300" t="s">
        <v>1303</v>
      </c>
      <c r="BG467" s="1300" t="s">
        <v>1303</v>
      </c>
      <c r="BH467" s="1300" t="s">
        <v>1303</v>
      </c>
      <c r="BI467" s="1301" t="s">
        <v>1303</v>
      </c>
      <c r="BJ467" s="1305"/>
      <c r="BK467" s="1300" t="s">
        <v>1303</v>
      </c>
      <c r="BL467" s="1301" t="s">
        <v>1303</v>
      </c>
      <c r="BM467" s="1300" t="s">
        <v>1303</v>
      </c>
      <c r="BN467" s="1301" t="s">
        <v>1303</v>
      </c>
    </row>
    <row r="468" spans="1:66">
      <c r="A468" s="51" t="str">
        <f t="shared" si="268"/>
        <v>404800</v>
      </c>
      <c r="B468" s="1442" t="str">
        <f>'Income Eligible Deemed Table'!C963</f>
        <v>404800_2024_12_</v>
      </c>
      <c r="C468" s="1378" t="str">
        <f>'Income Eligible Deemed Table'!G963</f>
        <v>Lighting RES</v>
      </c>
      <c r="D468" s="1378"/>
      <c r="E468" s="1378"/>
      <c r="F468" s="1378"/>
      <c r="G468" s="1378" t="str">
        <f>'Income Eligible Deemed Table'!E963</f>
        <v>LED - 20W (1400-1999 lumens) IEDI</v>
      </c>
      <c r="H468" s="19" t="str">
        <f>'Income Eligible Deemed Table'!D963</f>
        <v>PAYS/SFIE / MFIE</v>
      </c>
      <c r="I468" s="785">
        <f>'Income Eligible Deemed Table'!F963</f>
        <v>37.35</v>
      </c>
      <c r="J468" s="785"/>
      <c r="K468" s="202"/>
      <c r="L468" s="202"/>
      <c r="M468" s="202"/>
      <c r="N468" s="202"/>
      <c r="O468" s="786">
        <f>'Income Eligible Deemed Table'!M963</f>
        <v>5.5750000000000001E-3</v>
      </c>
      <c r="P468" s="786"/>
      <c r="Q468" s="787"/>
      <c r="R468" s="787"/>
      <c r="S468" s="787"/>
      <c r="T468" s="787"/>
      <c r="U468" s="788">
        <f t="shared" si="282"/>
        <v>5.5750000000000001E-3</v>
      </c>
      <c r="V468" s="788">
        <f t="shared" si="283"/>
        <v>0</v>
      </c>
      <c r="W468" s="788">
        <f t="shared" si="284"/>
        <v>0</v>
      </c>
      <c r="X468" s="23">
        <f>'Income Eligible Deemed Table'!N963</f>
        <v>8</v>
      </c>
      <c r="Y468" s="23"/>
      <c r="Z468" s="23">
        <f t="shared" si="269"/>
        <v>8</v>
      </c>
      <c r="AA468" s="18">
        <f>'Income Eligible Deemed Table'!DG963</f>
        <v>10.281450265789999</v>
      </c>
      <c r="AB468" s="259">
        <f>'Income Eligible Deemed Table'!P963</f>
        <v>1.45</v>
      </c>
      <c r="AC468" s="902">
        <f t="shared" si="270"/>
        <v>14.908102885395499</v>
      </c>
      <c r="AD468" s="902">
        <f t="shared" si="281"/>
        <v>0</v>
      </c>
      <c r="AE468" s="610">
        <f>'Income Eligible Deemed Table'!DI963</f>
        <v>14.908102885395499</v>
      </c>
      <c r="AF468" s="208"/>
      <c r="AG468" s="208"/>
      <c r="AH468" s="208"/>
      <c r="AI468" s="911" t="str">
        <f>'Income Eligible Deemed Table'!R963</f>
        <v>per measure</v>
      </c>
      <c r="AJ468" s="71"/>
      <c r="AX468" s="1355" t="str">
        <f t="shared" si="275"/>
        <v>LED - 20W (1400-1999 lumens) IEDI</v>
      </c>
      <c r="AY468" s="1378"/>
      <c r="AZ468" s="1446" t="str">
        <f t="shared" si="276"/>
        <v>404800</v>
      </c>
      <c r="BA468" s="1300" t="s">
        <v>1303</v>
      </c>
      <c r="BB468" s="1300" t="s">
        <v>1303</v>
      </c>
      <c r="BC468" s="1300" t="s">
        <v>1303</v>
      </c>
      <c r="BD468" s="1300" t="s">
        <v>1303</v>
      </c>
      <c r="BE468" s="1305"/>
      <c r="BF468" s="1300" t="s">
        <v>1303</v>
      </c>
      <c r="BG468" s="1300" t="s">
        <v>1303</v>
      </c>
      <c r="BH468" s="1300" t="s">
        <v>1303</v>
      </c>
      <c r="BI468" s="1301" t="s">
        <v>1303</v>
      </c>
      <c r="BJ468" s="1305"/>
      <c r="BK468" s="1300" t="s">
        <v>1303</v>
      </c>
      <c r="BL468" s="1301" t="s">
        <v>1303</v>
      </c>
      <c r="BM468" s="1300" t="s">
        <v>1303</v>
      </c>
      <c r="BN468" s="1301" t="s">
        <v>1303</v>
      </c>
    </row>
    <row r="469" spans="1:66">
      <c r="A469" s="51" t="str">
        <f t="shared" si="268"/>
        <v>404850</v>
      </c>
      <c r="B469" s="1442" t="str">
        <f>'Income Eligible Deemed Table'!C964</f>
        <v>404850_2024_12_</v>
      </c>
      <c r="C469" s="1378" t="str">
        <f>'Income Eligible Deemed Table'!G964</f>
        <v>Lighting RES</v>
      </c>
      <c r="D469" s="1378"/>
      <c r="E469" s="1378"/>
      <c r="F469" s="1378"/>
      <c r="G469" s="1378" t="str">
        <f>'Income Eligible Deemed Table'!E964</f>
        <v>LED - 4W Candelabra Specialty IE DI</v>
      </c>
      <c r="H469" s="19" t="str">
        <f>'Income Eligible Deemed Table'!D964</f>
        <v>PAYS/SFIE / MFIE</v>
      </c>
      <c r="I469" s="785">
        <f>'Income Eligible Deemed Table'!F964</f>
        <v>23.26</v>
      </c>
      <c r="J469" s="785"/>
      <c r="K469" s="202"/>
      <c r="L469" s="202"/>
      <c r="M469" s="202"/>
      <c r="N469" s="202"/>
      <c r="O469" s="786">
        <f>'Income Eligible Deemed Table'!M964</f>
        <v>3.4719999999999998E-3</v>
      </c>
      <c r="P469" s="786"/>
      <c r="Q469" s="787"/>
      <c r="R469" s="787"/>
      <c r="S469" s="787"/>
      <c r="T469" s="787"/>
      <c r="U469" s="788">
        <f t="shared" si="282"/>
        <v>3.4719999999999998E-3</v>
      </c>
      <c r="V469" s="788">
        <f t="shared" si="283"/>
        <v>0</v>
      </c>
      <c r="W469" s="788">
        <f t="shared" si="284"/>
        <v>0</v>
      </c>
      <c r="X469" s="23">
        <f>'Income Eligible Deemed Table'!N964</f>
        <v>8</v>
      </c>
      <c r="Y469" s="23"/>
      <c r="Z469" s="23">
        <f t="shared" si="269"/>
        <v>8</v>
      </c>
      <c r="AA469" s="18">
        <f>'Income Eligible Deemed Table'!DG964</f>
        <v>5.592852907441805</v>
      </c>
      <c r="AB469" s="259">
        <f>'Income Eligible Deemed Table'!P964</f>
        <v>1.66</v>
      </c>
      <c r="AC469" s="902">
        <f t="shared" si="270"/>
        <v>9.2841358263533955</v>
      </c>
      <c r="AD469" s="902">
        <f t="shared" si="281"/>
        <v>0</v>
      </c>
      <c r="AE469" s="610">
        <f>'Income Eligible Deemed Table'!DI964</f>
        <v>9.2841358263533955</v>
      </c>
      <c r="AF469" s="208"/>
      <c r="AG469" s="208"/>
      <c r="AH469" s="208"/>
      <c r="AI469" s="911" t="str">
        <f>'Income Eligible Deemed Table'!R964</f>
        <v>per measure</v>
      </c>
      <c r="AJ469" s="71"/>
      <c r="AX469" s="1355" t="str">
        <f t="shared" si="275"/>
        <v>LED - 4W Candelabra Specialty IE DI</v>
      </c>
      <c r="AY469" s="1378"/>
      <c r="AZ469" s="1446" t="str">
        <f t="shared" si="276"/>
        <v>404850</v>
      </c>
      <c r="BA469" s="1300" t="s">
        <v>1303</v>
      </c>
      <c r="BB469" s="1300" t="s">
        <v>1303</v>
      </c>
      <c r="BC469" s="1300" t="s">
        <v>1303</v>
      </c>
      <c r="BD469" s="1300" t="s">
        <v>1303</v>
      </c>
      <c r="BE469" s="1305"/>
      <c r="BF469" s="1300" t="s">
        <v>1303</v>
      </c>
      <c r="BG469" s="1300" t="s">
        <v>1303</v>
      </c>
      <c r="BH469" s="1300" t="s">
        <v>1303</v>
      </c>
      <c r="BI469" s="1301" t="s">
        <v>1303</v>
      </c>
      <c r="BJ469" s="1305"/>
      <c r="BK469" s="1300" t="s">
        <v>1303</v>
      </c>
      <c r="BL469" s="1301" t="s">
        <v>1303</v>
      </c>
      <c r="BM469" s="1300" t="s">
        <v>1303</v>
      </c>
      <c r="BN469" s="1301" t="s">
        <v>1303</v>
      </c>
    </row>
    <row r="470" spans="1:66">
      <c r="A470" s="51" t="str">
        <f t="shared" si="268"/>
        <v>404950</v>
      </c>
      <c r="B470" s="1442" t="str">
        <f>'Income Eligible Deemed Table'!C965</f>
        <v>404950_2024_12_</v>
      </c>
      <c r="C470" s="1378" t="str">
        <f>'Income Eligible Deemed Table'!G965</f>
        <v>Lighting RES</v>
      </c>
      <c r="D470" s="1378"/>
      <c r="E470" s="1378"/>
      <c r="F470" s="1378"/>
      <c r="G470" s="1378" t="str">
        <f>'Income Eligible Deemed Table'!E965</f>
        <v>LED - 8W Globe Light G25 Bulb Specialty IE DI</v>
      </c>
      <c r="H470" s="19" t="str">
        <f>'Income Eligible Deemed Table'!D965</f>
        <v>PAYS/SFIE / MFIE</v>
      </c>
      <c r="I470" s="785">
        <f>'Income Eligible Deemed Table'!F965</f>
        <v>60.95</v>
      </c>
      <c r="J470" s="785"/>
      <c r="K470" s="202"/>
      <c r="L470" s="202"/>
      <c r="M470" s="202"/>
      <c r="N470" s="202"/>
      <c r="O470" s="786">
        <f>'Income Eligible Deemed Table'!M965</f>
        <v>9.0969999999999992E-3</v>
      </c>
      <c r="P470" s="786"/>
      <c r="Q470" s="787"/>
      <c r="R470" s="787"/>
      <c r="S470" s="787"/>
      <c r="T470" s="787"/>
      <c r="U470" s="788">
        <f t="shared" si="282"/>
        <v>9.0969999999999992E-3</v>
      </c>
      <c r="V470" s="788">
        <f t="shared" si="283"/>
        <v>0</v>
      </c>
      <c r="W470" s="788">
        <f t="shared" si="284"/>
        <v>0</v>
      </c>
      <c r="X470" s="23">
        <f>'Income Eligible Deemed Table'!N965</f>
        <v>8</v>
      </c>
      <c r="Y470" s="23"/>
      <c r="Z470" s="23">
        <f t="shared" si="269"/>
        <v>8</v>
      </c>
      <c r="AA470" s="18">
        <f>'Income Eligible Deemed Table'!DG965</f>
        <v>14.655390572165864</v>
      </c>
      <c r="AB470" s="259">
        <f>'Income Eligible Deemed Table'!P965</f>
        <v>1.66</v>
      </c>
      <c r="AC470" s="902">
        <f t="shared" si="270"/>
        <v>24.327948349795331</v>
      </c>
      <c r="AD470" s="902">
        <f t="shared" si="281"/>
        <v>0</v>
      </c>
      <c r="AE470" s="610">
        <f>'Income Eligible Deemed Table'!DI965</f>
        <v>24.327948349795331</v>
      </c>
      <c r="AF470" s="208"/>
      <c r="AG470" s="208"/>
      <c r="AH470" s="208"/>
      <c r="AI470" s="911" t="str">
        <f>'Income Eligible Deemed Table'!R965</f>
        <v>per measure</v>
      </c>
      <c r="AJ470" s="71"/>
      <c r="AX470" s="1355" t="str">
        <f t="shared" si="275"/>
        <v>LED - 8W Globe Light G25 Bulb Specialty IE DI</v>
      </c>
      <c r="AY470" s="1378"/>
      <c r="AZ470" s="1446" t="str">
        <f t="shared" si="276"/>
        <v>404950</v>
      </c>
      <c r="BA470" s="1300" t="s">
        <v>1303</v>
      </c>
      <c r="BB470" s="1300" t="s">
        <v>1303</v>
      </c>
      <c r="BC470" s="1300" t="s">
        <v>1303</v>
      </c>
      <c r="BD470" s="1300" t="s">
        <v>1303</v>
      </c>
      <c r="BE470" s="1305"/>
      <c r="BF470" s="1300" t="s">
        <v>1303</v>
      </c>
      <c r="BG470" s="1300" t="s">
        <v>1303</v>
      </c>
      <c r="BH470" s="1300" t="s">
        <v>1303</v>
      </c>
      <c r="BI470" s="1301" t="s">
        <v>1303</v>
      </c>
      <c r="BJ470" s="1305"/>
      <c r="BK470" s="1300" t="s">
        <v>1303</v>
      </c>
      <c r="BL470" s="1301" t="s">
        <v>1303</v>
      </c>
      <c r="BM470" s="1300" t="s">
        <v>1303</v>
      </c>
      <c r="BN470" s="1301" t="s">
        <v>1303</v>
      </c>
    </row>
    <row r="471" spans="1:66">
      <c r="A471" s="51" t="str">
        <f t="shared" ref="A471:A523" si="285">LEFT(B471,6)</f>
        <v>405410</v>
      </c>
      <c r="B471" s="1442" t="str">
        <f>'Income Eligible Deemed Table'!C966</f>
        <v>405410_2024_12_</v>
      </c>
      <c r="C471" s="1378" t="str">
        <f>'Income Eligible Deemed Table'!G966</f>
        <v>Lighting RES</v>
      </c>
      <c r="D471" s="1378"/>
      <c r="E471" s="1378"/>
      <c r="F471" s="1378"/>
      <c r="G471" s="1378" t="str">
        <f>'Income Eligible Deemed Table'!E966</f>
        <v>LED - 6W (400-749 lumens) IEDI</v>
      </c>
      <c r="H471" s="19" t="str">
        <f>'Income Eligible Deemed Table'!D966</f>
        <v>PAYS/SFIE / MFIE</v>
      </c>
      <c r="I471" s="785">
        <f>'Income Eligible Deemed Table'!F966</f>
        <v>15.07</v>
      </c>
      <c r="J471" s="785"/>
      <c r="K471" s="202"/>
      <c r="L471" s="202"/>
      <c r="M471" s="202"/>
      <c r="N471" s="202"/>
      <c r="O471" s="786">
        <f>'Income Eligible Deemed Table'!M966</f>
        <v>2.2499999999999998E-3</v>
      </c>
      <c r="P471" s="786"/>
      <c r="Q471" s="787"/>
      <c r="R471" s="787"/>
      <c r="S471" s="787"/>
      <c r="T471" s="787"/>
      <c r="U471" s="788">
        <f t="shared" si="282"/>
        <v>2.2499999999999998E-3</v>
      </c>
      <c r="V471" s="788">
        <f t="shared" si="283"/>
        <v>0</v>
      </c>
      <c r="W471" s="788">
        <f t="shared" si="284"/>
        <v>0</v>
      </c>
      <c r="X471" s="23">
        <f>'Income Eligible Deemed Table'!N966</f>
        <v>8</v>
      </c>
      <c r="Y471" s="23"/>
      <c r="Z471" s="23">
        <f t="shared" ref="Z471:Z523" si="286">Y471+X471</f>
        <v>8</v>
      </c>
      <c r="AA471" s="18">
        <f>'Income Eligible Deemed Table'!DG966</f>
        <v>4.1483656092491374</v>
      </c>
      <c r="AB471" s="259">
        <f>'Income Eligible Deemed Table'!P966</f>
        <v>1.45</v>
      </c>
      <c r="AC471" s="902">
        <f t="shared" ref="AC471:AC523" si="287">AE471+AF471</f>
        <v>6.0151301334112492</v>
      </c>
      <c r="AD471" s="902">
        <f t="shared" si="281"/>
        <v>0</v>
      </c>
      <c r="AE471" s="610">
        <f>'Income Eligible Deemed Table'!DI966</f>
        <v>6.0151301334112492</v>
      </c>
      <c r="AF471" s="208"/>
      <c r="AG471" s="208"/>
      <c r="AH471" s="208"/>
      <c r="AI471" s="911" t="str">
        <f>'Income Eligible Deemed Table'!R966</f>
        <v>per measure</v>
      </c>
      <c r="AJ471" s="676"/>
      <c r="AK471" s="41"/>
      <c r="AL471" s="41"/>
      <c r="AX471" s="1355" t="str">
        <f t="shared" si="275"/>
        <v>LED - 6W (400-749 lumens) IEDI</v>
      </c>
      <c r="AY471" s="1378"/>
      <c r="AZ471" s="1446" t="str">
        <f t="shared" si="276"/>
        <v>405410</v>
      </c>
      <c r="BA471" s="1300" t="s">
        <v>1303</v>
      </c>
      <c r="BB471" s="1300" t="s">
        <v>1303</v>
      </c>
      <c r="BC471" s="1300" t="s">
        <v>1303</v>
      </c>
      <c r="BD471" s="1300" t="s">
        <v>1303</v>
      </c>
      <c r="BE471" s="1305"/>
      <c r="BF471" s="1300" t="s">
        <v>1303</v>
      </c>
      <c r="BG471" s="1300" t="s">
        <v>1303</v>
      </c>
      <c r="BH471" s="1300" t="s">
        <v>1303</v>
      </c>
      <c r="BI471" s="1301" t="s">
        <v>1303</v>
      </c>
      <c r="BJ471" s="1305"/>
      <c r="BK471" s="1300" t="s">
        <v>1303</v>
      </c>
      <c r="BL471" s="1301" t="s">
        <v>1303</v>
      </c>
      <c r="BM471" s="1300" t="s">
        <v>1303</v>
      </c>
      <c r="BN471" s="1301" t="s">
        <v>1303</v>
      </c>
    </row>
    <row r="472" spans="1:66" s="41" customFormat="1">
      <c r="A472" s="51" t="str">
        <f t="shared" si="285"/>
        <v>405430</v>
      </c>
      <c r="B472" s="1442" t="str">
        <f>'Income Eligible Deemed Table'!C967</f>
        <v>405430_2024_12_</v>
      </c>
      <c r="C472" s="1378" t="str">
        <f>'Income Eligible Deemed Table'!G967</f>
        <v>Lighting RES</v>
      </c>
      <c r="D472" s="1378"/>
      <c r="E472" s="1378"/>
      <c r="F472" s="1378"/>
      <c r="G472" s="1378" t="str">
        <f>'Income Eligible Deemed Table'!E967</f>
        <v>LED Nightlights</v>
      </c>
      <c r="H472" s="19" t="str">
        <f>'Income Eligible Deemed Table'!D967</f>
        <v>SFIE</v>
      </c>
      <c r="I472" s="785">
        <f>'Income Eligible Deemed Table'!F967</f>
        <v>28.53</v>
      </c>
      <c r="J472" s="785"/>
      <c r="K472" s="202"/>
      <c r="L472" s="202"/>
      <c r="M472" s="202"/>
      <c r="N472" s="202"/>
      <c r="O472" s="786">
        <f>'Income Eligible Deemed Table'!M967</f>
        <v>4.2579999999999996E-3</v>
      </c>
      <c r="P472" s="786"/>
      <c r="Q472" s="787"/>
      <c r="R472" s="787"/>
      <c r="S472" s="787"/>
      <c r="T472" s="787"/>
      <c r="U472" s="788">
        <f t="shared" si="282"/>
        <v>4.2579999999999996E-3</v>
      </c>
      <c r="V472" s="788">
        <f t="shared" si="283"/>
        <v>0</v>
      </c>
      <c r="W472" s="788">
        <f t="shared" si="284"/>
        <v>0</v>
      </c>
      <c r="X472" s="23">
        <f>'Income Eligible Deemed Table'!N967</f>
        <v>8</v>
      </c>
      <c r="Y472" s="23"/>
      <c r="Z472" s="23">
        <f t="shared" si="286"/>
        <v>8</v>
      </c>
      <c r="AA472" s="18">
        <f>'Income Eligible Deemed Table'!DG967</f>
        <v>3.3992940943502052</v>
      </c>
      <c r="AB472" s="259">
        <f>'Income Eligible Deemed Table'!P967</f>
        <v>3.35</v>
      </c>
      <c r="AC472" s="902">
        <f t="shared" si="287"/>
        <v>11.387635216073187</v>
      </c>
      <c r="AD472" s="902">
        <f t="shared" si="281"/>
        <v>0</v>
      </c>
      <c r="AE472" s="610">
        <f>'Income Eligible Deemed Table'!DI967</f>
        <v>11.387635216073187</v>
      </c>
      <c r="AF472" s="208"/>
      <c r="AG472" s="208"/>
      <c r="AH472" s="208"/>
      <c r="AI472" s="911" t="str">
        <f>'Income Eligible Deemed Table'!R967</f>
        <v>per measure</v>
      </c>
      <c r="AJ472" s="676"/>
      <c r="AM472"/>
      <c r="AN472"/>
      <c r="AO472"/>
      <c r="AP472"/>
      <c r="AQ472"/>
      <c r="AR472"/>
      <c r="AS472"/>
      <c r="AT472"/>
      <c r="AU472"/>
      <c r="AV472"/>
      <c r="AW472"/>
      <c r="AX472" s="1355" t="str">
        <f t="shared" si="275"/>
        <v>LED Nightlights</v>
      </c>
      <c r="AY472" s="1378"/>
      <c r="AZ472" s="1446" t="str">
        <f t="shared" si="276"/>
        <v>405430</v>
      </c>
      <c r="BA472" s="1300" t="s">
        <v>1303</v>
      </c>
      <c r="BB472" s="1300" t="s">
        <v>1303</v>
      </c>
      <c r="BC472" s="1300" t="s">
        <v>1303</v>
      </c>
      <c r="BD472" s="1300" t="s">
        <v>1303</v>
      </c>
      <c r="BE472" s="1306"/>
      <c r="BF472" s="1300" t="s">
        <v>1303</v>
      </c>
      <c r="BG472" s="1300" t="s">
        <v>1303</v>
      </c>
      <c r="BH472" s="1300" t="s">
        <v>1303</v>
      </c>
      <c r="BI472" s="1301" t="s">
        <v>1303</v>
      </c>
      <c r="BJ472" s="1305"/>
      <c r="BK472" s="1300" t="s">
        <v>1303</v>
      </c>
      <c r="BL472" s="1301" t="s">
        <v>1303</v>
      </c>
      <c r="BM472" s="1300" t="s">
        <v>1303</v>
      </c>
      <c r="BN472" s="1301" t="s">
        <v>1303</v>
      </c>
    </row>
    <row r="473" spans="1:66" s="696" customFormat="1">
      <c r="A473" s="2958" t="str">
        <f t="shared" si="285"/>
        <v>405450</v>
      </c>
      <c r="B473" s="2233" t="str">
        <f>'Income Eligible Deemed Table'!C1033</f>
        <v>405450_2021_12_</v>
      </c>
      <c r="C473" s="2724" t="str">
        <f>'Income Eligible Deemed Table'!G1033</f>
        <v>Miscellaneous RES</v>
      </c>
      <c r="D473" s="2724"/>
      <c r="E473" s="2724"/>
      <c r="F473" s="2724"/>
      <c r="G473" s="2724" t="str">
        <f>'Income Eligible Deemed Table'!E1033</f>
        <v>Advanced Tier 1 Power Strips / TOS/NC - Home Office</v>
      </c>
      <c r="H473" s="2554" t="str">
        <f>'Income Eligible Deemed Table'!D1033</f>
        <v>SFIE / MFIE</v>
      </c>
      <c r="I473" s="3840">
        <f>'Income Eligible Deemed Table'!F1033</f>
        <v>29.45</v>
      </c>
      <c r="J473" s="3840"/>
      <c r="K473" s="3251"/>
      <c r="L473" s="3251"/>
      <c r="M473" s="3251"/>
      <c r="N473" s="3251"/>
      <c r="O473" s="3841">
        <f>'Income Eligible Deemed Table'!I1033</f>
        <v>3.382E-3</v>
      </c>
      <c r="P473" s="3841"/>
      <c r="Q473" s="3842"/>
      <c r="R473" s="3842"/>
      <c r="S473" s="3842"/>
      <c r="T473" s="3842"/>
      <c r="U473" s="3843">
        <f t="shared" si="282"/>
        <v>0</v>
      </c>
      <c r="V473" s="3843">
        <f t="shared" si="283"/>
        <v>3.382E-3</v>
      </c>
      <c r="W473" s="3843">
        <f t="shared" si="284"/>
        <v>0</v>
      </c>
      <c r="X473" s="2846">
        <f>'Income Eligible Deemed Table'!J1033</f>
        <v>10</v>
      </c>
      <c r="Y473" s="2846"/>
      <c r="Z473" s="2846">
        <f t="shared" si="286"/>
        <v>10</v>
      </c>
      <c r="AA473" s="2529">
        <f>'Income Eligible Deemed Table'!DG1033</f>
        <v>0.73781113692177425</v>
      </c>
      <c r="AB473" s="3878">
        <f>'Income Eligible Deemed Table'!K1033</f>
        <v>20</v>
      </c>
      <c r="AC473" s="3864">
        <f t="shared" si="287"/>
        <v>14.756222738435484</v>
      </c>
      <c r="AD473" s="3864">
        <f t="shared" si="281"/>
        <v>0</v>
      </c>
      <c r="AE473" s="3865">
        <f>'Income Eligible Deemed Table'!DI1033</f>
        <v>14.756222738435484</v>
      </c>
      <c r="AF473" s="3846"/>
      <c r="AG473" s="3846"/>
      <c r="AH473" s="3846"/>
      <c r="AI473" s="2233" t="str">
        <f>'Income Eligible Deemed Table'!L1033</f>
        <v>per measure</v>
      </c>
      <c r="AJ473" s="2724"/>
      <c r="AX473" s="3849" t="str">
        <f t="shared" si="275"/>
        <v>Advanced Tier 1 Power Strips / TOS/NC - Home Office</v>
      </c>
      <c r="AY473" s="2724"/>
      <c r="AZ473" s="3850" t="str">
        <f t="shared" si="276"/>
        <v>405450</v>
      </c>
      <c r="BA473" s="3866" t="s">
        <v>1303</v>
      </c>
      <c r="BB473" s="3866" t="s">
        <v>1303</v>
      </c>
      <c r="BC473" s="3866" t="s">
        <v>1303</v>
      </c>
      <c r="BD473" s="3866" t="s">
        <v>1303</v>
      </c>
      <c r="BE473" s="3853"/>
      <c r="BF473" s="3866" t="s">
        <v>1303</v>
      </c>
      <c r="BG473" s="3866" t="s">
        <v>1303</v>
      </c>
      <c r="BH473" s="3866" t="s">
        <v>1303</v>
      </c>
      <c r="BI473" s="3867" t="s">
        <v>1303</v>
      </c>
      <c r="BJ473" s="3853"/>
      <c r="BK473" s="3866" t="s">
        <v>1303</v>
      </c>
      <c r="BL473" s="3867" t="s">
        <v>1303</v>
      </c>
      <c r="BM473" s="3866" t="s">
        <v>1303</v>
      </c>
      <c r="BN473" s="3867" t="s">
        <v>1303</v>
      </c>
    </row>
    <row r="474" spans="1:66" s="696" customFormat="1">
      <c r="A474" s="2958" t="str">
        <f t="shared" si="285"/>
        <v>405451</v>
      </c>
      <c r="B474" s="2233" t="str">
        <f>'Income Eligible Deemed Table'!C1034</f>
        <v>405451_2021_12_</v>
      </c>
      <c r="C474" s="2724" t="str">
        <f>'Income Eligible Deemed Table'!G1034</f>
        <v>Miscellaneous RES</v>
      </c>
      <c r="D474" s="2724"/>
      <c r="E474" s="2724"/>
      <c r="F474" s="2724"/>
      <c r="G474" s="2724" t="str">
        <f>'Income Eligible Deemed Table'!E1034</f>
        <v>Advanced Tier 1 Power Strips / DI - Home Office</v>
      </c>
      <c r="H474" s="2554" t="str">
        <f>'Income Eligible Deemed Table'!D1034</f>
        <v>SFIE / MFIE</v>
      </c>
      <c r="I474" s="3840">
        <f>'Income Eligible Deemed Table'!F1034</f>
        <v>29.45</v>
      </c>
      <c r="J474" s="3840"/>
      <c r="K474" s="3251"/>
      <c r="L474" s="3251"/>
      <c r="M474" s="3251"/>
      <c r="N474" s="3251"/>
      <c r="O474" s="3841">
        <f>'Income Eligible Deemed Table'!I1034</f>
        <v>3.382E-3</v>
      </c>
      <c r="P474" s="3841"/>
      <c r="Q474" s="3842"/>
      <c r="R474" s="3842"/>
      <c r="S474" s="3842"/>
      <c r="T474" s="3842"/>
      <c r="U474" s="3843">
        <f t="shared" si="282"/>
        <v>0</v>
      </c>
      <c r="V474" s="3843">
        <f t="shared" si="283"/>
        <v>3.382E-3</v>
      </c>
      <c r="W474" s="3843">
        <f t="shared" si="284"/>
        <v>0</v>
      </c>
      <c r="X474" s="2846">
        <f>'Income Eligible Deemed Table'!J1034</f>
        <v>10</v>
      </c>
      <c r="Y474" s="2846"/>
      <c r="Z474" s="2846">
        <f t="shared" si="286"/>
        <v>10</v>
      </c>
      <c r="AA474" s="2529">
        <f>'Income Eligible Deemed Table'!DG1034</f>
        <v>0.49187409128118281</v>
      </c>
      <c r="AB474" s="3878">
        <f>'Income Eligible Deemed Table'!K1034</f>
        <v>30</v>
      </c>
      <c r="AC474" s="3864">
        <f t="shared" si="287"/>
        <v>14.756222738435484</v>
      </c>
      <c r="AD474" s="3864">
        <f t="shared" si="281"/>
        <v>0</v>
      </c>
      <c r="AE474" s="3865">
        <f>'Income Eligible Deemed Table'!DI1034</f>
        <v>14.756222738435484</v>
      </c>
      <c r="AF474" s="3846"/>
      <c r="AG474" s="3846"/>
      <c r="AH474" s="3846"/>
      <c r="AI474" s="2233" t="str">
        <f>'Income Eligible Deemed Table'!L1034</f>
        <v>per measure</v>
      </c>
      <c r="AJ474" s="2724"/>
      <c r="AX474" s="3849" t="str">
        <f t="shared" si="275"/>
        <v>Advanced Tier 1 Power Strips / DI - Home Office</v>
      </c>
      <c r="AY474" s="2724"/>
      <c r="AZ474" s="3850" t="str">
        <f t="shared" si="276"/>
        <v>405451</v>
      </c>
      <c r="BA474" s="3866" t="s">
        <v>1303</v>
      </c>
      <c r="BB474" s="3866" t="s">
        <v>1303</v>
      </c>
      <c r="BC474" s="3866" t="s">
        <v>1303</v>
      </c>
      <c r="BD474" s="3866" t="s">
        <v>1303</v>
      </c>
      <c r="BE474" s="3853"/>
      <c r="BF474" s="3866" t="s">
        <v>1303</v>
      </c>
      <c r="BG474" s="3866" t="s">
        <v>1303</v>
      </c>
      <c r="BH474" s="3866" t="s">
        <v>1303</v>
      </c>
      <c r="BI474" s="3867" t="s">
        <v>1303</v>
      </c>
      <c r="BJ474" s="3853"/>
      <c r="BK474" s="3866" t="s">
        <v>1303</v>
      </c>
      <c r="BL474" s="3867" t="s">
        <v>1303</v>
      </c>
      <c r="BM474" s="3866" t="s">
        <v>1303</v>
      </c>
      <c r="BN474" s="3867" t="s">
        <v>1303</v>
      </c>
    </row>
    <row r="475" spans="1:66" s="696" customFormat="1">
      <c r="A475" s="2958" t="str">
        <f t="shared" si="285"/>
        <v>405500</v>
      </c>
      <c r="B475" s="2233" t="str">
        <f>'Income Eligible Deemed Table'!C1035</f>
        <v>405500_2024_12_</v>
      </c>
      <c r="C475" s="2724" t="str">
        <f>'Income Eligible Deemed Table'!G1035</f>
        <v>Miscellaneous RES</v>
      </c>
      <c r="D475" s="2724"/>
      <c r="E475" s="2724"/>
      <c r="F475" s="2724"/>
      <c r="G475" s="2724" t="str">
        <f>'Income Eligible Deemed Table'!E1035</f>
        <v>Advanced Tier 1 Power Strips / Kits - Home Office</v>
      </c>
      <c r="H475" s="2554" t="str">
        <f>'Income Eligible Deemed Table'!D1035</f>
        <v>SFIE / MFIE</v>
      </c>
      <c r="I475" s="3840">
        <f>'Income Eligible Deemed Table'!F1035</f>
        <v>29.08</v>
      </c>
      <c r="J475" s="3840"/>
      <c r="K475" s="3251"/>
      <c r="L475" s="3251"/>
      <c r="M475" s="3251"/>
      <c r="N475" s="3251"/>
      <c r="O475" s="3841">
        <f>'Income Eligible Deemed Table'!I1035</f>
        <v>3.339E-3</v>
      </c>
      <c r="P475" s="3841"/>
      <c r="Q475" s="3842"/>
      <c r="R475" s="3842"/>
      <c r="S475" s="3842"/>
      <c r="T475" s="3842"/>
      <c r="U475" s="3843">
        <f t="shared" si="282"/>
        <v>0</v>
      </c>
      <c r="V475" s="3843">
        <f t="shared" si="283"/>
        <v>3.339E-3</v>
      </c>
      <c r="W475" s="3843">
        <f t="shared" si="284"/>
        <v>0</v>
      </c>
      <c r="X475" s="2846">
        <f>'Income Eligible Deemed Table'!J1035</f>
        <v>10</v>
      </c>
      <c r="Y475" s="2846"/>
      <c r="Z475" s="2846">
        <f t="shared" si="286"/>
        <v>10</v>
      </c>
      <c r="AA475" s="2529">
        <f>'Income Eligible Deemed Table'!DG1035</f>
        <v>0.72854152331698452</v>
      </c>
      <c r="AB475" s="3878">
        <f>'Income Eligible Deemed Table'!K1035</f>
        <v>20</v>
      </c>
      <c r="AC475" s="3864">
        <f t="shared" si="287"/>
        <v>14.570830466339691</v>
      </c>
      <c r="AD475" s="3864">
        <f t="shared" si="281"/>
        <v>0</v>
      </c>
      <c r="AE475" s="3865">
        <f>'Income Eligible Deemed Table'!DI1035</f>
        <v>14.570830466339691</v>
      </c>
      <c r="AF475" s="3846"/>
      <c r="AG475" s="3846"/>
      <c r="AH475" s="3846"/>
      <c r="AI475" s="2233" t="str">
        <f>'Income Eligible Deemed Table'!L1035</f>
        <v>per measure</v>
      </c>
      <c r="AJ475" s="2724"/>
      <c r="AX475" s="3849" t="str">
        <f t="shared" si="275"/>
        <v>Advanced Tier 1 Power Strips / Kits - Home Office</v>
      </c>
      <c r="AY475" s="2724"/>
      <c r="AZ475" s="3850" t="str">
        <f t="shared" si="276"/>
        <v>405500</v>
      </c>
      <c r="BA475" s="3866" t="s">
        <v>1303</v>
      </c>
      <c r="BB475" s="3866" t="s">
        <v>1303</v>
      </c>
      <c r="BC475" s="3866" t="s">
        <v>1303</v>
      </c>
      <c r="BD475" s="3866" t="s">
        <v>1303</v>
      </c>
      <c r="BE475" s="3853"/>
      <c r="BF475" s="3866" t="s">
        <v>1303</v>
      </c>
      <c r="BG475" s="3866" t="s">
        <v>1303</v>
      </c>
      <c r="BH475" s="3866" t="s">
        <v>1303</v>
      </c>
      <c r="BI475" s="3867" t="s">
        <v>1303</v>
      </c>
      <c r="BJ475" s="3853"/>
      <c r="BK475" s="3866" t="s">
        <v>1303</v>
      </c>
      <c r="BL475" s="3867" t="s">
        <v>1303</v>
      </c>
      <c r="BM475" s="3866" t="s">
        <v>1303</v>
      </c>
      <c r="BN475" s="3867" t="s">
        <v>1303</v>
      </c>
    </row>
    <row r="476" spans="1:66" s="696" customFormat="1">
      <c r="A476" s="2958" t="str">
        <f t="shared" si="285"/>
        <v>405550</v>
      </c>
      <c r="B476" s="2233" t="str">
        <f>'Income Eligible Deemed Table'!C1036</f>
        <v>405550_2021_12_</v>
      </c>
      <c r="C476" s="2724" t="str">
        <f>'Income Eligible Deemed Table'!G1036</f>
        <v>Miscellaneous RES</v>
      </c>
      <c r="D476" s="2724"/>
      <c r="E476" s="2724"/>
      <c r="F476" s="2724"/>
      <c r="G476" s="2724" t="str">
        <f>'Income Eligible Deemed Table'!E1036</f>
        <v>Advanced Tier 1 Power Strips / TOS/NC - Home Entertainment</v>
      </c>
      <c r="H476" s="2554" t="str">
        <f>'Income Eligible Deemed Table'!D1036</f>
        <v>SFIE / MFIE</v>
      </c>
      <c r="I476" s="3840">
        <f>'Income Eligible Deemed Table'!F1036</f>
        <v>71.349999999999994</v>
      </c>
      <c r="J476" s="3840"/>
      <c r="K476" s="3251"/>
      <c r="L476" s="3251"/>
      <c r="M476" s="3251"/>
      <c r="N476" s="3251"/>
      <c r="O476" s="3841">
        <f>'Income Eligible Deemed Table'!I1036</f>
        <v>8.1930000000000006E-3</v>
      </c>
      <c r="P476" s="3841"/>
      <c r="Q476" s="3842"/>
      <c r="R476" s="3842"/>
      <c r="S476" s="3842"/>
      <c r="T476" s="3842"/>
      <c r="U476" s="3843">
        <f t="shared" si="282"/>
        <v>0</v>
      </c>
      <c r="V476" s="3843">
        <f t="shared" si="283"/>
        <v>8.1930000000000006E-3</v>
      </c>
      <c r="W476" s="3843">
        <f t="shared" si="284"/>
        <v>0</v>
      </c>
      <c r="X476" s="2846">
        <f>'Income Eligible Deemed Table'!J1036</f>
        <v>10</v>
      </c>
      <c r="Y476" s="2846"/>
      <c r="Z476" s="2846">
        <f t="shared" si="286"/>
        <v>10</v>
      </c>
      <c r="AA476" s="2529">
        <f>'Income Eligible Deemed Table'!DG1036</f>
        <v>1.7875322451398503</v>
      </c>
      <c r="AB476" s="3878">
        <f>'Income Eligible Deemed Table'!K1036</f>
        <v>20</v>
      </c>
      <c r="AC476" s="3864">
        <f t="shared" si="287"/>
        <v>35.750644902797006</v>
      </c>
      <c r="AD476" s="3864">
        <f t="shared" si="281"/>
        <v>0</v>
      </c>
      <c r="AE476" s="3865">
        <f>'Income Eligible Deemed Table'!DI1036</f>
        <v>35.750644902797006</v>
      </c>
      <c r="AF476" s="3846"/>
      <c r="AG476" s="3846"/>
      <c r="AH476" s="3846"/>
      <c r="AI476" s="2233" t="str">
        <f>'Income Eligible Deemed Table'!L1036</f>
        <v>per measure</v>
      </c>
      <c r="AJ476" s="2724"/>
      <c r="AX476" s="3849" t="str">
        <f t="shared" si="275"/>
        <v>Advanced Tier 1 Power Strips / TOS/NC - Home Entertainment</v>
      </c>
      <c r="AY476" s="2724"/>
      <c r="AZ476" s="3850" t="str">
        <f t="shared" si="276"/>
        <v>405550</v>
      </c>
      <c r="BA476" s="3866" t="s">
        <v>1303</v>
      </c>
      <c r="BB476" s="3866" t="s">
        <v>1303</v>
      </c>
      <c r="BC476" s="3866" t="s">
        <v>1303</v>
      </c>
      <c r="BD476" s="3866" t="s">
        <v>1303</v>
      </c>
      <c r="BE476" s="3853"/>
      <c r="BF476" s="3866" t="s">
        <v>1303</v>
      </c>
      <c r="BG476" s="3866" t="s">
        <v>1303</v>
      </c>
      <c r="BH476" s="3866" t="s">
        <v>1303</v>
      </c>
      <c r="BI476" s="3867" t="s">
        <v>1303</v>
      </c>
      <c r="BJ476" s="3853"/>
      <c r="BK476" s="3866" t="s">
        <v>1303</v>
      </c>
      <c r="BL476" s="3867" t="s">
        <v>1303</v>
      </c>
      <c r="BM476" s="3866" t="s">
        <v>1303</v>
      </c>
      <c r="BN476" s="3867" t="s">
        <v>1303</v>
      </c>
    </row>
    <row r="477" spans="1:66" s="696" customFormat="1">
      <c r="A477" s="2958" t="str">
        <f t="shared" si="285"/>
        <v>405551</v>
      </c>
      <c r="B477" s="2233" t="str">
        <f>'Income Eligible Deemed Table'!C1037</f>
        <v>405551_2021_12_</v>
      </c>
      <c r="C477" s="2724" t="str">
        <f>'Income Eligible Deemed Table'!G1037</f>
        <v>Miscellaneous RES</v>
      </c>
      <c r="D477" s="2724"/>
      <c r="E477" s="2724"/>
      <c r="F477" s="2724"/>
      <c r="G477" s="2724" t="str">
        <f>'Income Eligible Deemed Table'!E1037</f>
        <v>Advanced Tier 1 Power Strips / DI - Home Entertainment</v>
      </c>
      <c r="H477" s="2554" t="str">
        <f>'Income Eligible Deemed Table'!D1037</f>
        <v>SFIE / MFIE</v>
      </c>
      <c r="I477" s="3840">
        <f>'Income Eligible Deemed Table'!F1037</f>
        <v>71.349999999999994</v>
      </c>
      <c r="J477" s="3840"/>
      <c r="K477" s="3251"/>
      <c r="L477" s="3251"/>
      <c r="M477" s="3251"/>
      <c r="N477" s="3251"/>
      <c r="O477" s="3841">
        <f>'Income Eligible Deemed Table'!I1037</f>
        <v>8.1930000000000006E-3</v>
      </c>
      <c r="P477" s="3841"/>
      <c r="Q477" s="3842"/>
      <c r="R477" s="3842"/>
      <c r="S477" s="3842"/>
      <c r="T477" s="3842"/>
      <c r="U477" s="3843">
        <f t="shared" si="282"/>
        <v>0</v>
      </c>
      <c r="V477" s="3843">
        <f t="shared" si="283"/>
        <v>8.1930000000000006E-3</v>
      </c>
      <c r="W477" s="3843">
        <f t="shared" si="284"/>
        <v>0</v>
      </c>
      <c r="X477" s="2846">
        <f>'Income Eligible Deemed Table'!J1037</f>
        <v>10</v>
      </c>
      <c r="Y477" s="2846"/>
      <c r="Z477" s="2846">
        <f t="shared" si="286"/>
        <v>10</v>
      </c>
      <c r="AA477" s="2529">
        <f>'Income Eligible Deemed Table'!DG1037</f>
        <v>1.1916881634265668</v>
      </c>
      <c r="AB477" s="3878">
        <f>'Income Eligible Deemed Table'!K1037</f>
        <v>30</v>
      </c>
      <c r="AC477" s="3864">
        <f t="shared" si="287"/>
        <v>35.750644902797006</v>
      </c>
      <c r="AD477" s="3864">
        <f t="shared" si="281"/>
        <v>0</v>
      </c>
      <c r="AE477" s="3865">
        <f>'Income Eligible Deemed Table'!DI1037</f>
        <v>35.750644902797006</v>
      </c>
      <c r="AF477" s="3846"/>
      <c r="AG477" s="3846"/>
      <c r="AH477" s="3846"/>
      <c r="AI477" s="2233" t="str">
        <f>'Income Eligible Deemed Table'!L1037</f>
        <v>per measure</v>
      </c>
      <c r="AJ477" s="2724"/>
      <c r="AX477" s="3849" t="str">
        <f t="shared" ref="AX477:AX556" si="288">G477</f>
        <v>Advanced Tier 1 Power Strips / DI - Home Entertainment</v>
      </c>
      <c r="AY477" s="2724"/>
      <c r="AZ477" s="3850" t="str">
        <f t="shared" ref="AZ477:AZ556" si="289">A477</f>
        <v>405551</v>
      </c>
      <c r="BA477" s="3866" t="s">
        <v>1303</v>
      </c>
      <c r="BB477" s="3866" t="s">
        <v>1303</v>
      </c>
      <c r="BC477" s="3866" t="s">
        <v>1303</v>
      </c>
      <c r="BD477" s="3866" t="s">
        <v>1303</v>
      </c>
      <c r="BE477" s="3853"/>
      <c r="BF477" s="3866" t="s">
        <v>1303</v>
      </c>
      <c r="BG477" s="3866" t="s">
        <v>1303</v>
      </c>
      <c r="BH477" s="3866" t="s">
        <v>1303</v>
      </c>
      <c r="BI477" s="3867" t="s">
        <v>1303</v>
      </c>
      <c r="BJ477" s="3853"/>
      <c r="BK477" s="3866" t="s">
        <v>1303</v>
      </c>
      <c r="BL477" s="3867" t="s">
        <v>1303</v>
      </c>
      <c r="BM477" s="3866" t="s">
        <v>1303</v>
      </c>
      <c r="BN477" s="3867" t="s">
        <v>1303</v>
      </c>
    </row>
    <row r="478" spans="1:66" s="696" customFormat="1">
      <c r="A478" s="2958" t="str">
        <f t="shared" si="285"/>
        <v>405600</v>
      </c>
      <c r="B478" s="2233" t="str">
        <f>'Income Eligible Deemed Table'!C1038</f>
        <v>405600_2024_12_</v>
      </c>
      <c r="C478" s="2724" t="str">
        <f>'Income Eligible Deemed Table'!G1038</f>
        <v>Miscellaneous RES</v>
      </c>
      <c r="D478" s="2724"/>
      <c r="E478" s="2724"/>
      <c r="F478" s="2724"/>
      <c r="G478" s="2724" t="str">
        <f>'Income Eligible Deemed Table'!E1038</f>
        <v>Advanced Tier 1 Power Strips / Kits - Home Entertainment</v>
      </c>
      <c r="H478" s="2554" t="str">
        <f>'Income Eligible Deemed Table'!D1038</f>
        <v>SFIE / MFIE</v>
      </c>
      <c r="I478" s="3840">
        <f>'Income Eligible Deemed Table'!F1038</f>
        <v>70.44</v>
      </c>
      <c r="J478" s="3840"/>
      <c r="K478" s="3251"/>
      <c r="L478" s="3251"/>
      <c r="M478" s="3251"/>
      <c r="N478" s="3251"/>
      <c r="O478" s="3841">
        <f>'Income Eligible Deemed Table'!I1038</f>
        <v>8.0879999999999997E-3</v>
      </c>
      <c r="P478" s="3841"/>
      <c r="Q478" s="3842"/>
      <c r="R478" s="3842"/>
      <c r="S478" s="3842"/>
      <c r="T478" s="3842"/>
      <c r="U478" s="3843">
        <f t="shared" si="282"/>
        <v>0</v>
      </c>
      <c r="V478" s="3843">
        <f t="shared" si="283"/>
        <v>8.0879999999999997E-3</v>
      </c>
      <c r="W478" s="3843">
        <f t="shared" si="284"/>
        <v>0</v>
      </c>
      <c r="X478" s="2846">
        <f>'Income Eligible Deemed Table'!J1038</f>
        <v>10</v>
      </c>
      <c r="Y478" s="2846"/>
      <c r="Z478" s="2846">
        <f t="shared" si="286"/>
        <v>10</v>
      </c>
      <c r="AA478" s="2529">
        <f>'Income Eligible Deemed Table'!DG1038</f>
        <v>1.7647340062740162</v>
      </c>
      <c r="AB478" s="3878">
        <f>'Income Eligible Deemed Table'!K1038</f>
        <v>20</v>
      </c>
      <c r="AC478" s="3864">
        <f t="shared" si="287"/>
        <v>35.294680125480326</v>
      </c>
      <c r="AD478" s="3864">
        <f t="shared" si="281"/>
        <v>0</v>
      </c>
      <c r="AE478" s="3865">
        <f>'Income Eligible Deemed Table'!DI1038</f>
        <v>35.294680125480326</v>
      </c>
      <c r="AF478" s="3846"/>
      <c r="AG478" s="3846"/>
      <c r="AH478" s="3846"/>
      <c r="AI478" s="2233" t="str">
        <f>'Income Eligible Deemed Table'!L1038</f>
        <v>per measure</v>
      </c>
      <c r="AJ478" s="2724"/>
      <c r="AX478" s="3849" t="str">
        <f t="shared" si="288"/>
        <v>Advanced Tier 1 Power Strips / Kits - Home Entertainment</v>
      </c>
      <c r="AY478" s="2724"/>
      <c r="AZ478" s="3850" t="str">
        <f t="shared" si="289"/>
        <v>405600</v>
      </c>
      <c r="BA478" s="3866" t="s">
        <v>1303</v>
      </c>
      <c r="BB478" s="3866" t="s">
        <v>1303</v>
      </c>
      <c r="BC478" s="3866" t="s">
        <v>1303</v>
      </c>
      <c r="BD478" s="3866" t="s">
        <v>1303</v>
      </c>
      <c r="BE478" s="3853"/>
      <c r="BF478" s="3866" t="s">
        <v>1303</v>
      </c>
      <c r="BG478" s="3866" t="s">
        <v>1303</v>
      </c>
      <c r="BH478" s="3866" t="s">
        <v>1303</v>
      </c>
      <c r="BI478" s="3867" t="s">
        <v>1303</v>
      </c>
      <c r="BJ478" s="3853"/>
      <c r="BK478" s="3866" t="s">
        <v>1303</v>
      </c>
      <c r="BL478" s="3867" t="s">
        <v>1303</v>
      </c>
      <c r="BM478" s="3866" t="s">
        <v>1303</v>
      </c>
      <c r="BN478" s="3867" t="s">
        <v>1303</v>
      </c>
    </row>
    <row r="479" spans="1:66" s="696" customFormat="1">
      <c r="A479" s="2958" t="str">
        <f t="shared" si="285"/>
        <v>405650</v>
      </c>
      <c r="B479" s="2233" t="str">
        <f>'Income Eligible Deemed Table'!C1039</f>
        <v>405650_2021_12_</v>
      </c>
      <c r="C479" s="2724" t="str">
        <f>'Income Eligible Deemed Table'!G1039</f>
        <v>Miscellaneous RES</v>
      </c>
      <c r="D479" s="2724"/>
      <c r="E479" s="2724"/>
      <c r="F479" s="2724"/>
      <c r="G479" s="2724" t="str">
        <f>'Income Eligible Deemed Table'!E1039</f>
        <v>Advanced Tier 1 Power Strips / TOS/NC - Unknown Location</v>
      </c>
      <c r="H479" s="2554" t="str">
        <f>'Income Eligible Deemed Table'!D1039</f>
        <v>SFIE / MFIE</v>
      </c>
      <c r="I479" s="3840">
        <f>'Income Eligible Deemed Table'!F1039</f>
        <v>56.26</v>
      </c>
      <c r="J479" s="3840"/>
      <c r="K479" s="3251"/>
      <c r="L479" s="3251"/>
      <c r="M479" s="3251"/>
      <c r="N479" s="3251"/>
      <c r="O479" s="3841">
        <f>'Income Eligible Deemed Table'!I1039</f>
        <v>6.4599999999999996E-3</v>
      </c>
      <c r="P479" s="3841"/>
      <c r="Q479" s="3842"/>
      <c r="R479" s="3842"/>
      <c r="S479" s="3842"/>
      <c r="T479" s="3842"/>
      <c r="U479" s="3843">
        <f t="shared" si="282"/>
        <v>0</v>
      </c>
      <c r="V479" s="3843">
        <f t="shared" si="283"/>
        <v>6.4599999999999996E-3</v>
      </c>
      <c r="W479" s="3843">
        <f t="shared" si="284"/>
        <v>0</v>
      </c>
      <c r="X479" s="2846">
        <f>'Income Eligible Deemed Table'!J1039</f>
        <v>10</v>
      </c>
      <c r="Y479" s="2846"/>
      <c r="Z479" s="2846">
        <f t="shared" si="286"/>
        <v>10</v>
      </c>
      <c r="AA479" s="2529">
        <f>'Income Eligible Deemed Table'!DG1039</f>
        <v>1.409482328122887</v>
      </c>
      <c r="AB479" s="3878">
        <f>'Income Eligible Deemed Table'!K1039</f>
        <v>20</v>
      </c>
      <c r="AC479" s="3864">
        <f t="shared" si="287"/>
        <v>28.189646562457739</v>
      </c>
      <c r="AD479" s="3864">
        <f t="shared" si="281"/>
        <v>0</v>
      </c>
      <c r="AE479" s="3865">
        <f>'Income Eligible Deemed Table'!DI1039</f>
        <v>28.189646562457739</v>
      </c>
      <c r="AF479" s="3846"/>
      <c r="AG479" s="3846"/>
      <c r="AH479" s="3846"/>
      <c r="AI479" s="2233" t="str">
        <f>'Income Eligible Deemed Table'!L1039</f>
        <v>per measure</v>
      </c>
      <c r="AJ479" s="2724"/>
      <c r="AX479" s="3849" t="str">
        <f t="shared" si="288"/>
        <v>Advanced Tier 1 Power Strips / TOS/NC - Unknown Location</v>
      </c>
      <c r="AY479" s="2724"/>
      <c r="AZ479" s="3850" t="str">
        <f t="shared" si="289"/>
        <v>405650</v>
      </c>
      <c r="BA479" s="3866" t="s">
        <v>1303</v>
      </c>
      <c r="BB479" s="3866" t="s">
        <v>1303</v>
      </c>
      <c r="BC479" s="3866" t="s">
        <v>1303</v>
      </c>
      <c r="BD479" s="3866" t="s">
        <v>1303</v>
      </c>
      <c r="BE479" s="3853"/>
      <c r="BF479" s="3866" t="s">
        <v>1303</v>
      </c>
      <c r="BG479" s="3866" t="s">
        <v>1303</v>
      </c>
      <c r="BH479" s="3866" t="s">
        <v>1303</v>
      </c>
      <c r="BI479" s="3867" t="s">
        <v>1303</v>
      </c>
      <c r="BJ479" s="3853"/>
      <c r="BK479" s="3866" t="s">
        <v>1303</v>
      </c>
      <c r="BL479" s="3867" t="s">
        <v>1303</v>
      </c>
      <c r="BM479" s="3866" t="s">
        <v>1303</v>
      </c>
      <c r="BN479" s="3867" t="s">
        <v>1303</v>
      </c>
    </row>
    <row r="480" spans="1:66" s="696" customFormat="1">
      <c r="A480" s="2958" t="str">
        <f t="shared" si="285"/>
        <v>405651</v>
      </c>
      <c r="B480" s="2233" t="str">
        <f>'Income Eligible Deemed Table'!C1040</f>
        <v>405651_2021_12_</v>
      </c>
      <c r="C480" s="2724" t="str">
        <f>'Income Eligible Deemed Table'!G1040</f>
        <v>Miscellaneous RES</v>
      </c>
      <c r="D480" s="2724"/>
      <c r="E480" s="2724"/>
      <c r="F480" s="2724"/>
      <c r="G480" s="2724" t="str">
        <f>'Income Eligible Deemed Table'!E1040</f>
        <v>Advanced Tier 1 Power Strips / DI - Unknown Location</v>
      </c>
      <c r="H480" s="2554" t="str">
        <f>'Income Eligible Deemed Table'!D1040</f>
        <v>SFIE / MFIE</v>
      </c>
      <c r="I480" s="3840">
        <f>'Income Eligible Deemed Table'!F1040</f>
        <v>56.26</v>
      </c>
      <c r="J480" s="3840"/>
      <c r="K480" s="3251"/>
      <c r="L480" s="3251"/>
      <c r="M480" s="3251"/>
      <c r="N480" s="3251"/>
      <c r="O480" s="3841">
        <f>'Income Eligible Deemed Table'!I1040</f>
        <v>6.4599999999999996E-3</v>
      </c>
      <c r="P480" s="3841"/>
      <c r="Q480" s="3842"/>
      <c r="R480" s="3842"/>
      <c r="S480" s="3842"/>
      <c r="T480" s="3842"/>
      <c r="U480" s="3843">
        <f t="shared" si="282"/>
        <v>0</v>
      </c>
      <c r="V480" s="3843">
        <f t="shared" si="283"/>
        <v>6.4599999999999996E-3</v>
      </c>
      <c r="W480" s="3843">
        <f t="shared" si="284"/>
        <v>0</v>
      </c>
      <c r="X480" s="2846">
        <f>'Income Eligible Deemed Table'!J1040</f>
        <v>10</v>
      </c>
      <c r="Y480" s="2846"/>
      <c r="Z480" s="2846">
        <f t="shared" si="286"/>
        <v>10</v>
      </c>
      <c r="AA480" s="2529">
        <f>'Income Eligible Deemed Table'!DG1040</f>
        <v>0.93965488541525799</v>
      </c>
      <c r="AB480" s="3878">
        <f>'Income Eligible Deemed Table'!K1040</f>
        <v>30</v>
      </c>
      <c r="AC480" s="3864">
        <f t="shared" si="287"/>
        <v>28.189646562457739</v>
      </c>
      <c r="AD480" s="3864">
        <f t="shared" si="281"/>
        <v>0</v>
      </c>
      <c r="AE480" s="3865">
        <f>'Income Eligible Deemed Table'!DI1040</f>
        <v>28.189646562457739</v>
      </c>
      <c r="AF480" s="3846"/>
      <c r="AG480" s="3846"/>
      <c r="AH480" s="3846"/>
      <c r="AI480" s="2233" t="str">
        <f>'Income Eligible Deemed Table'!L1040</f>
        <v>per measure</v>
      </c>
      <c r="AJ480" s="2724"/>
      <c r="AX480" s="3849" t="str">
        <f t="shared" si="288"/>
        <v>Advanced Tier 1 Power Strips / DI - Unknown Location</v>
      </c>
      <c r="AY480" s="2724"/>
      <c r="AZ480" s="3850" t="str">
        <f t="shared" si="289"/>
        <v>405651</v>
      </c>
      <c r="BA480" s="3866" t="s">
        <v>1303</v>
      </c>
      <c r="BB480" s="3866" t="s">
        <v>1303</v>
      </c>
      <c r="BC480" s="3866" t="s">
        <v>1303</v>
      </c>
      <c r="BD480" s="3866" t="s">
        <v>1303</v>
      </c>
      <c r="BE480" s="3853"/>
      <c r="BF480" s="3866" t="s">
        <v>1303</v>
      </c>
      <c r="BG480" s="3866" t="s">
        <v>1303</v>
      </c>
      <c r="BH480" s="3866" t="s">
        <v>1303</v>
      </c>
      <c r="BI480" s="3867" t="s">
        <v>1303</v>
      </c>
      <c r="BJ480" s="3853"/>
      <c r="BK480" s="3866" t="s">
        <v>1303</v>
      </c>
      <c r="BL480" s="3867" t="s">
        <v>1303</v>
      </c>
      <c r="BM480" s="3866" t="s">
        <v>1303</v>
      </c>
      <c r="BN480" s="3867" t="s">
        <v>1303</v>
      </c>
    </row>
    <row r="481" spans="1:66" s="696" customFormat="1">
      <c r="A481" s="2958" t="str">
        <f t="shared" si="285"/>
        <v>405700</v>
      </c>
      <c r="B481" s="2233" t="str">
        <f>'Income Eligible Deemed Table'!C1041</f>
        <v>405700_2024_12_</v>
      </c>
      <c r="C481" s="2724" t="str">
        <f>'Income Eligible Deemed Table'!G1041</f>
        <v>Miscellaneous RES</v>
      </c>
      <c r="D481" s="2724"/>
      <c r="E481" s="2724"/>
      <c r="F481" s="2724"/>
      <c r="G481" s="2724" t="str">
        <f>'Income Eligible Deemed Table'!E1041</f>
        <v>Advanced Tier 1 Power  / Kits - Unknown Location</v>
      </c>
      <c r="H481" s="2554" t="str">
        <f>'Income Eligible Deemed Table'!D1041</f>
        <v>SFIE / MFIE</v>
      </c>
      <c r="I481" s="3840">
        <f>'Income Eligible Deemed Table'!F1041</f>
        <v>50.59</v>
      </c>
      <c r="J481" s="3840"/>
      <c r="K481" s="3251"/>
      <c r="L481" s="3251"/>
      <c r="M481" s="3251"/>
      <c r="N481" s="3251"/>
      <c r="O481" s="3841">
        <f>'Income Eligible Deemed Table'!I1041</f>
        <v>5.8089999999999999E-3</v>
      </c>
      <c r="P481" s="3841"/>
      <c r="Q481" s="3842"/>
      <c r="R481" s="3842"/>
      <c r="S481" s="3842"/>
      <c r="T481" s="3842"/>
      <c r="U481" s="3843">
        <f t="shared" si="282"/>
        <v>0</v>
      </c>
      <c r="V481" s="3843">
        <f t="shared" si="283"/>
        <v>5.8089999999999999E-3</v>
      </c>
      <c r="W481" s="3843">
        <f t="shared" si="284"/>
        <v>0</v>
      </c>
      <c r="X481" s="2846">
        <f>'Income Eligible Deemed Table'!J1041</f>
        <v>10</v>
      </c>
      <c r="Y481" s="2846"/>
      <c r="Z481" s="2846">
        <f t="shared" si="286"/>
        <v>10</v>
      </c>
      <c r="AA481" s="2529">
        <f>'Income Eligible Deemed Table'!DG1041</f>
        <v>1.2674317628819207</v>
      </c>
      <c r="AB481" s="3878">
        <f>'Income Eligible Deemed Table'!K1041</f>
        <v>20</v>
      </c>
      <c r="AC481" s="3864">
        <f t="shared" si="287"/>
        <v>25.348635257638414</v>
      </c>
      <c r="AD481" s="3864">
        <f t="shared" si="281"/>
        <v>0</v>
      </c>
      <c r="AE481" s="3865">
        <f>'Income Eligible Deemed Table'!DI1041</f>
        <v>25.348635257638414</v>
      </c>
      <c r="AF481" s="3846"/>
      <c r="AG481" s="3846"/>
      <c r="AH481" s="3846"/>
      <c r="AI481" s="2233" t="str">
        <f>'Income Eligible Deemed Table'!L1041</f>
        <v>per measure</v>
      </c>
      <c r="AJ481" s="2724"/>
      <c r="AX481" s="3849" t="str">
        <f t="shared" si="288"/>
        <v>Advanced Tier 1 Power  / Kits - Unknown Location</v>
      </c>
      <c r="AY481" s="2724"/>
      <c r="AZ481" s="3850" t="str">
        <f t="shared" si="289"/>
        <v>405700</v>
      </c>
      <c r="BA481" s="3866" t="s">
        <v>1303</v>
      </c>
      <c r="BB481" s="3866" t="s">
        <v>1303</v>
      </c>
      <c r="BC481" s="3866" t="s">
        <v>1303</v>
      </c>
      <c r="BD481" s="3866" t="s">
        <v>1303</v>
      </c>
      <c r="BE481" s="3853"/>
      <c r="BF481" s="3866" t="s">
        <v>1303</v>
      </c>
      <c r="BG481" s="3866" t="s">
        <v>1303</v>
      </c>
      <c r="BH481" s="3866" t="s">
        <v>1303</v>
      </c>
      <c r="BI481" s="3867" t="s">
        <v>1303</v>
      </c>
      <c r="BJ481" s="3853"/>
      <c r="BK481" s="3866" t="s">
        <v>1303</v>
      </c>
      <c r="BL481" s="3867" t="s">
        <v>1303</v>
      </c>
      <c r="BM481" s="3866" t="s">
        <v>1303</v>
      </c>
      <c r="BN481" s="3867" t="s">
        <v>1303</v>
      </c>
    </row>
    <row r="482" spans="1:66">
      <c r="A482" s="51" t="str">
        <f t="shared" si="285"/>
        <v>405750</v>
      </c>
      <c r="B482" s="1442" t="str">
        <f>'Income Eligible Deemed Table'!C1042</f>
        <v>405750_2024_12_</v>
      </c>
      <c r="C482" s="1378" t="str">
        <f>'Income Eligible Deemed Table'!G1042</f>
        <v>Miscellaneous RES</v>
      </c>
      <c r="D482" s="1378"/>
      <c r="E482" s="1378"/>
      <c r="F482" s="1378"/>
      <c r="G482" s="1378" t="str">
        <f>'Income Eligible Deemed Table'!E1042</f>
        <v>Advanced Tier 2 Power Strips: Infrared, TOS/NC</v>
      </c>
      <c r="H482" s="19" t="str">
        <f>'Income Eligible Deemed Table'!D1042</f>
        <v>SFIE / MFIE</v>
      </c>
      <c r="I482" s="785">
        <f>'Income Eligible Deemed Table'!F1042</f>
        <v>177.07999999999998</v>
      </c>
      <c r="J482" s="785"/>
      <c r="K482" s="202"/>
      <c r="L482" s="202"/>
      <c r="M482" s="202"/>
      <c r="N482" s="202"/>
      <c r="O482" s="786">
        <f>'Income Eligible Deemed Table'!I1042</f>
        <v>2.0333E-2</v>
      </c>
      <c r="P482" s="786"/>
      <c r="Q482" s="787"/>
      <c r="R482" s="787"/>
      <c r="S482" s="787"/>
      <c r="T482" s="787"/>
      <c r="U482" s="788">
        <f t="shared" si="282"/>
        <v>0</v>
      </c>
      <c r="V482" s="788">
        <f t="shared" si="283"/>
        <v>2.0333E-2</v>
      </c>
      <c r="W482" s="788">
        <f t="shared" si="284"/>
        <v>0</v>
      </c>
      <c r="X482" s="23">
        <f>'Income Eligible Deemed Table'!J1042</f>
        <v>10</v>
      </c>
      <c r="Y482" s="23"/>
      <c r="Z482" s="23">
        <f t="shared" si="286"/>
        <v>10</v>
      </c>
      <c r="AA482" s="18">
        <f>'Income Eligible Deemed Table'!DG1042</f>
        <v>1.4787956550776207</v>
      </c>
      <c r="AB482" s="259">
        <f>'Income Eligible Deemed Table'!K1042</f>
        <v>60</v>
      </c>
      <c r="AC482" s="902">
        <f t="shared" si="287"/>
        <v>88.727739304657234</v>
      </c>
      <c r="AD482" s="902">
        <f t="shared" si="281"/>
        <v>0</v>
      </c>
      <c r="AE482" s="610">
        <f>'Income Eligible Deemed Table'!DI1042</f>
        <v>88.727739304657234</v>
      </c>
      <c r="AF482" s="208"/>
      <c r="AG482" s="208"/>
      <c r="AH482" s="208"/>
      <c r="AI482" s="1442" t="str">
        <f>'Income Eligible Deemed Table'!L1042</f>
        <v>per measure</v>
      </c>
      <c r="AJ482" s="71"/>
      <c r="AX482" s="1355" t="str">
        <f t="shared" si="288"/>
        <v>Advanced Tier 2 Power Strips: Infrared, TOS/NC</v>
      </c>
      <c r="AY482" s="1378"/>
      <c r="AZ482" s="1446" t="str">
        <f t="shared" si="289"/>
        <v>405750</v>
      </c>
      <c r="BA482" s="1300" t="s">
        <v>1303</v>
      </c>
      <c r="BB482" s="1300" t="s">
        <v>1303</v>
      </c>
      <c r="BC482" s="1300" t="s">
        <v>1303</v>
      </c>
      <c r="BD482" s="1300" t="s">
        <v>1303</v>
      </c>
      <c r="BE482" s="1305"/>
      <c r="BF482" s="1300" t="s">
        <v>1303</v>
      </c>
      <c r="BG482" s="1300" t="s">
        <v>1303</v>
      </c>
      <c r="BH482" s="1300" t="s">
        <v>1303</v>
      </c>
      <c r="BI482" s="1301" t="s">
        <v>1303</v>
      </c>
      <c r="BJ482" s="1305"/>
      <c r="BK482" s="1300" t="s">
        <v>1303</v>
      </c>
      <c r="BL482" s="1301" t="s">
        <v>1303</v>
      </c>
      <c r="BM482" s="1300" t="s">
        <v>1303</v>
      </c>
      <c r="BN482" s="1301" t="s">
        <v>1303</v>
      </c>
    </row>
    <row r="483" spans="1:66">
      <c r="A483" s="51" t="str">
        <f t="shared" si="285"/>
        <v>405751</v>
      </c>
      <c r="B483" s="1442" t="str">
        <f>'Income Eligible Deemed Table'!C1043</f>
        <v>405751_2024_12_</v>
      </c>
      <c r="C483" s="1378" t="str">
        <f>'Income Eligible Deemed Table'!G1043</f>
        <v>Miscellaneous RES</v>
      </c>
      <c r="D483" s="1378"/>
      <c r="E483" s="1378"/>
      <c r="F483" s="1378"/>
      <c r="G483" s="1378" t="str">
        <f>'Income Eligible Deemed Table'!E1043</f>
        <v>Advanced Tier 2 Power Strips: Infrared, DI</v>
      </c>
      <c r="H483" s="19" t="str">
        <f>'Income Eligible Deemed Table'!D1043</f>
        <v>SFIE / MFIE</v>
      </c>
      <c r="I483" s="785">
        <f>'Income Eligible Deemed Table'!F1043</f>
        <v>177.07999999999998</v>
      </c>
      <c r="J483" s="785"/>
      <c r="K483" s="202"/>
      <c r="L483" s="202"/>
      <c r="M483" s="202"/>
      <c r="N483" s="202"/>
      <c r="O483" s="786">
        <f>'Income Eligible Deemed Table'!I1043</f>
        <v>2.0333E-2</v>
      </c>
      <c r="P483" s="786"/>
      <c r="Q483" s="787"/>
      <c r="R483" s="787"/>
      <c r="S483" s="787"/>
      <c r="T483" s="787"/>
      <c r="U483" s="788">
        <f t="shared" si="282"/>
        <v>0</v>
      </c>
      <c r="V483" s="788">
        <f t="shared" si="283"/>
        <v>2.0333E-2</v>
      </c>
      <c r="W483" s="788">
        <f t="shared" si="284"/>
        <v>0</v>
      </c>
      <c r="X483" s="23">
        <f>'Income Eligible Deemed Table'!J1043</f>
        <v>10</v>
      </c>
      <c r="Y483" s="23"/>
      <c r="Z483" s="23">
        <f t="shared" si="286"/>
        <v>10</v>
      </c>
      <c r="AA483" s="18">
        <f>'Income Eligible Deemed Table'!DG1043</f>
        <v>1.4787956550776207</v>
      </c>
      <c r="AB483" s="259">
        <f>'Income Eligible Deemed Table'!K1043</f>
        <v>60</v>
      </c>
      <c r="AC483" s="902">
        <f t="shared" si="287"/>
        <v>88.727739304657234</v>
      </c>
      <c r="AD483" s="902">
        <f t="shared" si="281"/>
        <v>0</v>
      </c>
      <c r="AE483" s="610">
        <f>'Income Eligible Deemed Table'!DI1043</f>
        <v>88.727739304657234</v>
      </c>
      <c r="AF483" s="208"/>
      <c r="AG483" s="208"/>
      <c r="AH483" s="208"/>
      <c r="AI483" s="1442" t="str">
        <f>'Income Eligible Deemed Table'!L1043</f>
        <v>per measure</v>
      </c>
      <c r="AJ483" s="676"/>
      <c r="AK483" s="41"/>
      <c r="AL483" s="41"/>
      <c r="AX483" s="1355" t="str">
        <f t="shared" si="288"/>
        <v>Advanced Tier 2 Power Strips: Infrared, DI</v>
      </c>
      <c r="AY483" s="1378"/>
      <c r="AZ483" s="1446" t="str">
        <f t="shared" si="289"/>
        <v>405751</v>
      </c>
      <c r="BA483" s="1300" t="s">
        <v>1303</v>
      </c>
      <c r="BB483" s="1300" t="s">
        <v>1303</v>
      </c>
      <c r="BC483" s="1300" t="s">
        <v>1303</v>
      </c>
      <c r="BD483" s="1300" t="s">
        <v>1303</v>
      </c>
      <c r="BE483" s="1305"/>
      <c r="BF483" s="1300" t="s">
        <v>1303</v>
      </c>
      <c r="BG483" s="1300" t="s">
        <v>1303</v>
      </c>
      <c r="BH483" s="1300" t="s">
        <v>1303</v>
      </c>
      <c r="BI483" s="1301" t="s">
        <v>1303</v>
      </c>
      <c r="BJ483" s="1305"/>
      <c r="BK483" s="1300" t="s">
        <v>1303</v>
      </c>
      <c r="BL483" s="1301" t="s">
        <v>1303</v>
      </c>
      <c r="BM483" s="1300" t="s">
        <v>1303</v>
      </c>
      <c r="BN483" s="1301" t="s">
        <v>1303</v>
      </c>
    </row>
    <row r="484" spans="1:66" s="696" customFormat="1">
      <c r="A484" s="2958" t="str">
        <f t="shared" ref="A484:A485" si="290">LEFT(B484,6)</f>
        <v>405752</v>
      </c>
      <c r="B484" s="2233" t="str">
        <f>'Income Eligible Deemed Table'!C1044</f>
        <v>405752_2024_12_</v>
      </c>
      <c r="C484" s="2724" t="str">
        <f>'Income Eligible Deemed Table'!G1044</f>
        <v>Miscellaneous RES</v>
      </c>
      <c r="D484" s="2724"/>
      <c r="E484" s="2724"/>
      <c r="F484" s="2724"/>
      <c r="G484" s="2724" t="str">
        <f>'Income Eligible Deemed Table'!E1044</f>
        <v>Advanced Tier 2 Power Strips: Infrared &amp; Occupancy Sensor, TOS/NC</v>
      </c>
      <c r="H484" s="2554" t="str">
        <f>'Income Eligible Deemed Table'!D1044</f>
        <v>SFIE / MFIE</v>
      </c>
      <c r="I484" s="3840">
        <f>'Income Eligible Deemed Table'!F1044</f>
        <v>110.68</v>
      </c>
      <c r="J484" s="3840"/>
      <c r="K484" s="3251"/>
      <c r="L484" s="3251"/>
      <c r="M484" s="3251"/>
      <c r="N484" s="3251"/>
      <c r="O484" s="3841">
        <f>'Income Eligible Deemed Table'!I1044</f>
        <v>1.2709E-2</v>
      </c>
      <c r="P484" s="3841"/>
      <c r="Q484" s="3842"/>
      <c r="R484" s="3842"/>
      <c r="S484" s="3842"/>
      <c r="T484" s="3842"/>
      <c r="U484" s="3843">
        <f t="shared" si="282"/>
        <v>0</v>
      </c>
      <c r="V484" s="3843">
        <f t="shared" si="283"/>
        <v>1.2709E-2</v>
      </c>
      <c r="W484" s="3843">
        <f t="shared" si="284"/>
        <v>0</v>
      </c>
      <c r="X484" s="2846">
        <f>'Income Eligible Deemed Table'!J1044</f>
        <v>10</v>
      </c>
      <c r="Y484" s="2846"/>
      <c r="Z484" s="2846">
        <f t="shared" ref="Z484:Z485" si="291">Y484+X484</f>
        <v>10</v>
      </c>
      <c r="AA484" s="2529">
        <f>'Income Eligible Deemed Table'!DG1044</f>
        <v>0.85318988255977002</v>
      </c>
      <c r="AB484" s="3878">
        <f>'Income Eligible Deemed Table'!K1044</f>
        <v>65</v>
      </c>
      <c r="AC484" s="3864">
        <f t="shared" ref="AC484:AC485" si="292">AE484+AF484</f>
        <v>55.457342366385049</v>
      </c>
      <c r="AD484" s="3864">
        <f t="shared" ref="AD484:AD485" si="293">AG484+AH484</f>
        <v>0</v>
      </c>
      <c r="AE484" s="3865">
        <f>'Income Eligible Deemed Table'!DI1044</f>
        <v>55.457342366385049</v>
      </c>
      <c r="AF484" s="3846"/>
      <c r="AG484" s="3846"/>
      <c r="AH484" s="3846"/>
      <c r="AI484" s="2233" t="str">
        <f>'Income Eligible Deemed Table'!L1044</f>
        <v>per measure</v>
      </c>
      <c r="AJ484" s="2724"/>
      <c r="AX484" s="3849" t="str">
        <f t="shared" ref="AX484:AX485" si="294">G484</f>
        <v>Advanced Tier 2 Power Strips: Infrared &amp; Occupancy Sensor, TOS/NC</v>
      </c>
      <c r="AY484" s="2724"/>
      <c r="AZ484" s="3850" t="str">
        <f t="shared" ref="AZ484:AZ485" si="295">A484</f>
        <v>405752</v>
      </c>
      <c r="BA484" s="3866" t="s">
        <v>1303</v>
      </c>
      <c r="BB484" s="3866" t="s">
        <v>1303</v>
      </c>
      <c r="BC484" s="3866" t="s">
        <v>1303</v>
      </c>
      <c r="BD484" s="3866" t="s">
        <v>1303</v>
      </c>
      <c r="BE484" s="3853"/>
      <c r="BF484" s="3866" t="s">
        <v>1303</v>
      </c>
      <c r="BG484" s="3866" t="s">
        <v>1303</v>
      </c>
      <c r="BH484" s="3866" t="s">
        <v>1303</v>
      </c>
      <c r="BI484" s="3867" t="s">
        <v>1303</v>
      </c>
      <c r="BJ484" s="3853"/>
      <c r="BK484" s="3866" t="s">
        <v>1303</v>
      </c>
      <c r="BL484" s="3867" t="s">
        <v>1303</v>
      </c>
      <c r="BM484" s="3866" t="s">
        <v>1303</v>
      </c>
      <c r="BN484" s="3867" t="s">
        <v>1303</v>
      </c>
    </row>
    <row r="485" spans="1:66" s="696" customFormat="1">
      <c r="A485" s="2958" t="str">
        <f t="shared" si="290"/>
        <v>405753</v>
      </c>
      <c r="B485" s="2233" t="str">
        <f>'Income Eligible Deemed Table'!C1045</f>
        <v>405753_2024_12_</v>
      </c>
      <c r="C485" s="2724" t="str">
        <f>'Income Eligible Deemed Table'!G1045</f>
        <v>Miscellaneous RES</v>
      </c>
      <c r="D485" s="2724"/>
      <c r="E485" s="2724"/>
      <c r="F485" s="2724"/>
      <c r="G485" s="2724" t="str">
        <f>'Income Eligible Deemed Table'!E1045</f>
        <v>Advanced Tier 2 Power Strips: Infrared &amp; Occupancy Sensor, DI</v>
      </c>
      <c r="H485" s="2554" t="str">
        <f>'Income Eligible Deemed Table'!D1045</f>
        <v>SFIE / MFIE</v>
      </c>
      <c r="I485" s="3840">
        <f>'Income Eligible Deemed Table'!F1045</f>
        <v>110.68</v>
      </c>
      <c r="J485" s="3840"/>
      <c r="K485" s="3251"/>
      <c r="L485" s="3251"/>
      <c r="M485" s="3251"/>
      <c r="N485" s="3251"/>
      <c r="O485" s="3841">
        <f>'Income Eligible Deemed Table'!I1045</f>
        <v>1.2709E-2</v>
      </c>
      <c r="P485" s="3841"/>
      <c r="Q485" s="3842"/>
      <c r="R485" s="3842"/>
      <c r="S485" s="3842"/>
      <c r="T485" s="3842"/>
      <c r="U485" s="3843">
        <f t="shared" si="282"/>
        <v>0</v>
      </c>
      <c r="V485" s="3843">
        <f t="shared" si="283"/>
        <v>1.2709E-2</v>
      </c>
      <c r="W485" s="3843">
        <f t="shared" si="284"/>
        <v>0</v>
      </c>
      <c r="X485" s="2846">
        <f>'Income Eligible Deemed Table'!J1045</f>
        <v>10</v>
      </c>
      <c r="Y485" s="2846"/>
      <c r="Z485" s="2846">
        <f t="shared" si="291"/>
        <v>10</v>
      </c>
      <c r="AA485" s="2529">
        <f>'Income Eligible Deemed Table'!DG1045</f>
        <v>0.92428903943975083</v>
      </c>
      <c r="AB485" s="3878">
        <f>'Income Eligible Deemed Table'!K1045</f>
        <v>60</v>
      </c>
      <c r="AC485" s="3864">
        <f t="shared" si="292"/>
        <v>55.457342366385049</v>
      </c>
      <c r="AD485" s="3864">
        <f t="shared" si="293"/>
        <v>0</v>
      </c>
      <c r="AE485" s="3865">
        <f>'Income Eligible Deemed Table'!DI1045</f>
        <v>55.457342366385049</v>
      </c>
      <c r="AF485" s="3846"/>
      <c r="AG485" s="3846"/>
      <c r="AH485" s="3846"/>
      <c r="AI485" s="2233" t="str">
        <f>'Income Eligible Deemed Table'!L1045</f>
        <v>per measure</v>
      </c>
      <c r="AJ485" s="2724"/>
      <c r="AX485" s="3849" t="str">
        <f t="shared" si="294"/>
        <v>Advanced Tier 2 Power Strips: Infrared &amp; Occupancy Sensor, DI</v>
      </c>
      <c r="AY485" s="2724"/>
      <c r="AZ485" s="3850" t="str">
        <f t="shared" si="295"/>
        <v>405753</v>
      </c>
      <c r="BA485" s="3866" t="s">
        <v>1303</v>
      </c>
      <c r="BB485" s="3866" t="s">
        <v>1303</v>
      </c>
      <c r="BC485" s="3866" t="s">
        <v>1303</v>
      </c>
      <c r="BD485" s="3866" t="s">
        <v>1303</v>
      </c>
      <c r="BE485" s="3853"/>
      <c r="BF485" s="3866" t="s">
        <v>1303</v>
      </c>
      <c r="BG485" s="3866" t="s">
        <v>1303</v>
      </c>
      <c r="BH485" s="3866" t="s">
        <v>1303</v>
      </c>
      <c r="BI485" s="3867" t="s">
        <v>1303</v>
      </c>
      <c r="BJ485" s="3853"/>
      <c r="BK485" s="3866" t="s">
        <v>1303</v>
      </c>
      <c r="BL485" s="3867" t="s">
        <v>1303</v>
      </c>
      <c r="BM485" s="3866" t="s">
        <v>1303</v>
      </c>
      <c r="BN485" s="3867" t="s">
        <v>1303</v>
      </c>
    </row>
    <row r="486" spans="1:66">
      <c r="A486" s="51" t="str">
        <f t="shared" si="285"/>
        <v>405800</v>
      </c>
      <c r="B486" s="1442" t="str">
        <f>'Income Eligible Deemed Table'!C1090</f>
        <v>405800_2024_12_</v>
      </c>
      <c r="C486" s="1378" t="str">
        <f>'Income Eligible Deemed Table'!G1090</f>
        <v>Refrigeration RES</v>
      </c>
      <c r="D486" s="1378" t="str">
        <f>'Income Eligible Deemed Table'!G1091</f>
        <v>Refrigeration RES ER2</v>
      </c>
      <c r="E486" s="1378"/>
      <c r="F486" s="1378"/>
      <c r="G486" s="1378" t="str">
        <f>'Income Eligible Deemed Table'!E1090</f>
        <v>Refrigerator - early replacement ER1</v>
      </c>
      <c r="H486" s="19" t="str">
        <f>'Income Eligible Deemed Table'!D1090</f>
        <v>SFIE / MFIE</v>
      </c>
      <c r="I486" s="785">
        <f>'Income Eligible Deemed Table'!F1090</f>
        <v>643.5</v>
      </c>
      <c r="J486" s="785">
        <f>'Income Eligible Deemed Table'!F1091</f>
        <v>41.53</v>
      </c>
      <c r="K486" s="202"/>
      <c r="L486" s="202"/>
      <c r="M486" s="202"/>
      <c r="N486" s="202"/>
      <c r="O486" s="786">
        <f>'Income Eligible Deemed Table'!I1090</f>
        <v>8.2706000000000002E-2</v>
      </c>
      <c r="P486" s="786">
        <f>'Income Eligible Deemed Table'!I1091</f>
        <v>5.3379999999999999E-3</v>
      </c>
      <c r="Q486" s="787"/>
      <c r="R486" s="787"/>
      <c r="S486" s="787"/>
      <c r="T486" s="787"/>
      <c r="U486" s="788">
        <f t="shared" si="282"/>
        <v>0</v>
      </c>
      <c r="V486" s="788">
        <f t="shared" si="283"/>
        <v>0</v>
      </c>
      <c r="W486" s="788">
        <f t="shared" si="284"/>
        <v>8.2706000000000002E-2</v>
      </c>
      <c r="X486" s="23">
        <f>'Income Eligible Deemed Table'!J1090</f>
        <v>5</v>
      </c>
      <c r="Y486" s="23">
        <f>'Income Eligible Deemed Table'!J1091</f>
        <v>10</v>
      </c>
      <c r="Z486" s="23">
        <f t="shared" si="286"/>
        <v>15</v>
      </c>
      <c r="AA486" s="18">
        <f>'Income Eligible Deemed Table'!DG1090</f>
        <v>7.0802679163207047</v>
      </c>
      <c r="AB486" s="259">
        <f>'Income Eligible Deemed Table'!K1090</f>
        <v>28</v>
      </c>
      <c r="AC486" s="902">
        <f t="shared" si="287"/>
        <v>182.88494132325033</v>
      </c>
      <c r="AD486" s="902">
        <f t="shared" si="281"/>
        <v>15.362560333729393</v>
      </c>
      <c r="AE486" s="610">
        <f>'Income Eligible Deemed Table'!DI1090</f>
        <v>182.88494132325033</v>
      </c>
      <c r="AF486" s="208"/>
      <c r="AG486" s="905">
        <f>'Income Eligible Deemed Table'!DI1091</f>
        <v>15.362560333729393</v>
      </c>
      <c r="AH486" s="208"/>
      <c r="AI486" s="1442" t="str">
        <f>'Income Eligible Deemed Table'!L1090</f>
        <v>per measure</v>
      </c>
      <c r="AJ486" s="71"/>
      <c r="AX486" s="1355" t="str">
        <f t="shared" si="288"/>
        <v>Refrigerator - early replacement ER1</v>
      </c>
      <c r="AY486" s="1378"/>
      <c r="AZ486" s="1446" t="str">
        <f t="shared" si="289"/>
        <v>405800</v>
      </c>
      <c r="BA486" s="1300" t="s">
        <v>1303</v>
      </c>
      <c r="BB486" s="1300" t="s">
        <v>1303</v>
      </c>
      <c r="BC486" s="1300" t="s">
        <v>1303</v>
      </c>
      <c r="BD486" s="1300" t="s">
        <v>1303</v>
      </c>
      <c r="BE486" s="1305"/>
      <c r="BF486" s="1300" t="s">
        <v>1303</v>
      </c>
      <c r="BG486" s="1300" t="s">
        <v>1303</v>
      </c>
      <c r="BH486" s="1300" t="s">
        <v>1303</v>
      </c>
      <c r="BI486" s="1301" t="s">
        <v>1303</v>
      </c>
      <c r="BJ486" s="1305"/>
      <c r="BK486" s="1300" t="s">
        <v>1303</v>
      </c>
      <c r="BL486" s="1301" t="s">
        <v>1303</v>
      </c>
      <c r="BM486" s="1300" t="s">
        <v>1303</v>
      </c>
      <c r="BN486" s="1301" t="s">
        <v>1303</v>
      </c>
    </row>
    <row r="487" spans="1:66">
      <c r="A487" s="51" t="str">
        <f t="shared" si="285"/>
        <v>405825</v>
      </c>
      <c r="B487" s="1442" t="str">
        <f>'Income Eligible Deemed Table'!C1092</f>
        <v>405825_2024_12_</v>
      </c>
      <c r="C487" s="1378" t="str">
        <f>'Income Eligible Deemed Table'!G1092</f>
        <v>Refrigeration RES</v>
      </c>
      <c r="D487" s="1378" t="str">
        <f>'Income Eligible Deemed Table'!G1093</f>
        <v>Refrigeration RES ER2</v>
      </c>
      <c r="E487" s="1378"/>
      <c r="F487" s="1378"/>
      <c r="G487" s="1378" t="str">
        <f>'Income Eligible Deemed Table'!E1092</f>
        <v>Refrigerator - Pre 1993 - ER1</v>
      </c>
      <c r="H487" s="19" t="str">
        <f>'Income Eligible Deemed Table'!D1092</f>
        <v>SFIE / MFIE</v>
      </c>
      <c r="I487" s="785">
        <f>'Income Eligible Deemed Table'!F1092</f>
        <v>1298.5452350427352</v>
      </c>
      <c r="J487" s="785">
        <f>'Income Eligible Deemed Table'!F1093</f>
        <v>41.53</v>
      </c>
      <c r="K487" s="202"/>
      <c r="L487" s="202"/>
      <c r="M487" s="202"/>
      <c r="N487" s="202"/>
      <c r="O487" s="786">
        <f>'Income Eligible Deemed Table'!I1092</f>
        <v>0.16689599999999999</v>
      </c>
      <c r="P487" s="786">
        <f>'Income Eligible Deemed Table'!I1093</f>
        <v>5.3379999999999999E-3</v>
      </c>
      <c r="Q487" s="787"/>
      <c r="R487" s="787"/>
      <c r="S487" s="787"/>
      <c r="T487" s="787"/>
      <c r="U487" s="788">
        <f t="shared" si="282"/>
        <v>0</v>
      </c>
      <c r="V487" s="788">
        <f t="shared" si="283"/>
        <v>0</v>
      </c>
      <c r="W487" s="788">
        <f t="shared" si="284"/>
        <v>0.16689599999999999</v>
      </c>
      <c r="X487" s="23">
        <f>'Income Eligible Deemed Table'!J1092</f>
        <v>5</v>
      </c>
      <c r="Y487" s="23">
        <f>'Income Eligible Deemed Table'!J1093</f>
        <v>10</v>
      </c>
      <c r="Z487" s="23">
        <f t="shared" si="286"/>
        <v>15</v>
      </c>
      <c r="AA487" s="18">
        <f>'Income Eligible Deemed Table'!DG1092</f>
        <v>13.729058535416348</v>
      </c>
      <c r="AB487" s="259">
        <f>'Income Eligible Deemed Table'!K1092</f>
        <v>28</v>
      </c>
      <c r="AC487" s="902">
        <f t="shared" si="287"/>
        <v>369.05107865792837</v>
      </c>
      <c r="AD487" s="902">
        <f t="shared" si="281"/>
        <v>15.362560333729393</v>
      </c>
      <c r="AE487" s="610">
        <f>'Income Eligible Deemed Table'!DI1092</f>
        <v>369.05107865792837</v>
      </c>
      <c r="AF487" s="208"/>
      <c r="AG487" s="905">
        <f>'Income Eligible Deemed Table'!DI1093</f>
        <v>15.362560333729393</v>
      </c>
      <c r="AH487" s="208"/>
      <c r="AI487" s="1442" t="str">
        <f>'Income Eligible Deemed Table'!L1092</f>
        <v>per measure</v>
      </c>
      <c r="AJ487" s="71"/>
      <c r="AX487" s="1355" t="str">
        <f t="shared" si="288"/>
        <v>Refrigerator - Pre 1993 - ER1</v>
      </c>
      <c r="AY487" s="1378"/>
      <c r="AZ487" s="1446" t="str">
        <f t="shared" si="289"/>
        <v>405825</v>
      </c>
      <c r="BA487" s="1300" t="s">
        <v>1303</v>
      </c>
      <c r="BB487" s="1300" t="s">
        <v>1303</v>
      </c>
      <c r="BC487" s="1300" t="s">
        <v>1303</v>
      </c>
      <c r="BD487" s="1300" t="s">
        <v>1303</v>
      </c>
      <c r="BE487" s="1305"/>
      <c r="BF487" s="1300" t="s">
        <v>1303</v>
      </c>
      <c r="BG487" s="1300" t="s">
        <v>1303</v>
      </c>
      <c r="BH487" s="1300" t="s">
        <v>1303</v>
      </c>
      <c r="BI487" s="1301" t="s">
        <v>1303</v>
      </c>
      <c r="BJ487" s="1305"/>
      <c r="BK487" s="1300" t="s">
        <v>1303</v>
      </c>
      <c r="BL487" s="1301" t="s">
        <v>1303</v>
      </c>
      <c r="BM487" s="1300" t="s">
        <v>1303</v>
      </c>
      <c r="BN487" s="1301" t="s">
        <v>1303</v>
      </c>
    </row>
    <row r="488" spans="1:66" s="696" customFormat="1">
      <c r="A488" s="2958" t="str">
        <f t="shared" si="285"/>
        <v>405850</v>
      </c>
      <c r="B488" s="2233" t="str">
        <f>'Income Eligible Deemed Table'!C1126</f>
        <v>405850_2024_12_</v>
      </c>
      <c r="C488" s="2724" t="str">
        <f>'Income Eligible Deemed Table'!G1126</f>
        <v>Cooling RES</v>
      </c>
      <c r="D488" s="2724"/>
      <c r="E488" s="2724"/>
      <c r="F488" s="2724"/>
      <c r="G488" s="2724" t="str">
        <f>'Income Eligible Deemed Table'!E1126</f>
        <v>AC - Energy Star Room _unknown size_Thru-Wall_MF</v>
      </c>
      <c r="H488" s="2554" t="str">
        <f>'Income Eligible Deemed Table'!D1126</f>
        <v>MFIE</v>
      </c>
      <c r="I488" s="3840">
        <f t="shared" ref="I488:I511" si="296">K488+L488</f>
        <v>427.46</v>
      </c>
      <c r="J488" s="3840">
        <f t="shared" ref="J488:J511" si="297">M488+N488</f>
        <v>0</v>
      </c>
      <c r="K488" s="3251">
        <f>'Income Eligible Deemed Table'!F1126</f>
        <v>427.46</v>
      </c>
      <c r="L488" s="3251"/>
      <c r="M488" s="3251"/>
      <c r="N488" s="3251"/>
      <c r="O488" s="3841">
        <f t="shared" ref="O488:O511" si="298">Q488+R488</f>
        <v>0.40498299999999998</v>
      </c>
      <c r="P488" s="3841">
        <f t="shared" ref="P488:P511" si="299">S488+T488</f>
        <v>0</v>
      </c>
      <c r="Q488" s="3842">
        <f>'Income Eligible Deemed Table'!I1126</f>
        <v>0.40498299999999998</v>
      </c>
      <c r="R488" s="3842"/>
      <c r="S488" s="3842"/>
      <c r="T488" s="3842"/>
      <c r="U488" s="3843">
        <f t="shared" si="282"/>
        <v>0</v>
      </c>
      <c r="V488" s="3843">
        <f t="shared" si="283"/>
        <v>0.40498299999999998</v>
      </c>
      <c r="W488" s="3843">
        <f t="shared" si="284"/>
        <v>0</v>
      </c>
      <c r="X488" s="2846">
        <f>'Income Eligible Deemed Table'!J1126</f>
        <v>12</v>
      </c>
      <c r="Y488" s="2846"/>
      <c r="Z488" s="2846">
        <f t="shared" si="286"/>
        <v>12</v>
      </c>
      <c r="AA488" s="2529">
        <f>'Income Eligible Deemed Table'!DG1126</f>
        <v>2.4741096632162609</v>
      </c>
      <c r="AB488" s="3878">
        <f>'Income Eligible Deemed Table'!K1126</f>
        <v>300</v>
      </c>
      <c r="AC488" s="3864">
        <f t="shared" si="287"/>
        <v>742.23289896487825</v>
      </c>
      <c r="AD488" s="3864">
        <f t="shared" si="281"/>
        <v>0</v>
      </c>
      <c r="AE488" s="3865">
        <f>'Income Eligible Deemed Table'!DI1126</f>
        <v>742.23289896487825</v>
      </c>
      <c r="AF488" s="3846"/>
      <c r="AG488" s="3846"/>
      <c r="AH488" s="3846"/>
      <c r="AI488" s="2233" t="str">
        <f>'Income Eligible Deemed Table'!L1126</f>
        <v>per measure</v>
      </c>
      <c r="AJ488" s="2724"/>
      <c r="AX488" s="3849" t="str">
        <f t="shared" si="288"/>
        <v>AC - Energy Star Room _unknown size_Thru-Wall_MF</v>
      </c>
      <c r="AY488" s="2724"/>
      <c r="AZ488" s="3850" t="str">
        <f t="shared" si="289"/>
        <v>405850</v>
      </c>
      <c r="BA488" s="3866" t="s">
        <v>1303</v>
      </c>
      <c r="BB488" s="3866" t="s">
        <v>1303</v>
      </c>
      <c r="BC488" s="3866" t="s">
        <v>1303</v>
      </c>
      <c r="BD488" s="3866" t="s">
        <v>1303</v>
      </c>
      <c r="BE488" s="3853"/>
      <c r="BF488" s="3866" t="s">
        <v>1303</v>
      </c>
      <c r="BG488" s="3866" t="s">
        <v>1303</v>
      </c>
      <c r="BH488" s="3866" t="s">
        <v>1303</v>
      </c>
      <c r="BI488" s="3867" t="s">
        <v>1303</v>
      </c>
      <c r="BJ488" s="3853"/>
      <c r="BK488" s="3866" t="s">
        <v>1303</v>
      </c>
      <c r="BL488" s="3867" t="s">
        <v>1303</v>
      </c>
      <c r="BM488" s="3866" t="s">
        <v>1303</v>
      </c>
      <c r="BN488" s="3867" t="s">
        <v>1303</v>
      </c>
    </row>
    <row r="489" spans="1:66" s="696" customFormat="1">
      <c r="A489" s="2958" t="str">
        <f t="shared" si="285"/>
        <v>405851</v>
      </c>
      <c r="B489" s="2233" t="str">
        <f>'Income Eligible Deemed Table'!C1130</f>
        <v>405851_2024_12_</v>
      </c>
      <c r="C489" s="2724" t="str">
        <f>'Income Eligible Deemed Table'!G1130</f>
        <v>Cooling RES</v>
      </c>
      <c r="D489" s="2724"/>
      <c r="E489" s="2724"/>
      <c r="F489" s="2724"/>
      <c r="G489" s="2724" t="str">
        <f>'Income Eligible Deemed Table'!E1130</f>
        <v>AC - Energy Star Room _5kBtu_Thru-Wall_MF</v>
      </c>
      <c r="H489" s="2554" t="str">
        <f>'Income Eligible Deemed Table'!D1130</f>
        <v>MFIE</v>
      </c>
      <c r="I489" s="3840">
        <f t="shared" si="296"/>
        <v>181.97</v>
      </c>
      <c r="J489" s="3840">
        <f t="shared" si="297"/>
        <v>0</v>
      </c>
      <c r="K489" s="3251">
        <f>'Income Eligible Deemed Table'!F1130</f>
        <v>181.97</v>
      </c>
      <c r="L489" s="3251"/>
      <c r="M489" s="3251"/>
      <c r="N489" s="3251"/>
      <c r="O489" s="3841">
        <f t="shared" si="298"/>
        <v>0.172402</v>
      </c>
      <c r="P489" s="3841">
        <f t="shared" si="299"/>
        <v>0</v>
      </c>
      <c r="Q489" s="3842">
        <f>'Income Eligible Deemed Table'!I1130</f>
        <v>0.172402</v>
      </c>
      <c r="R489" s="3842"/>
      <c r="S489" s="3842"/>
      <c r="T489" s="3842"/>
      <c r="U489" s="3843">
        <f t="shared" si="282"/>
        <v>0</v>
      </c>
      <c r="V489" s="3843">
        <f t="shared" si="283"/>
        <v>0.172402</v>
      </c>
      <c r="W489" s="3843">
        <f t="shared" si="284"/>
        <v>0</v>
      </c>
      <c r="X489" s="2846">
        <f>'Income Eligible Deemed Table'!J1130</f>
        <v>12</v>
      </c>
      <c r="Y489" s="2846"/>
      <c r="Z489" s="2846">
        <f t="shared" si="286"/>
        <v>12</v>
      </c>
      <c r="AA489" s="2529">
        <f>'Income Eligible Deemed Table'!DG1130</f>
        <v>1.0532300926764211</v>
      </c>
      <c r="AB489" s="3878">
        <f>'Income Eligible Deemed Table'!K1130</f>
        <v>300</v>
      </c>
      <c r="AC489" s="3864">
        <f t="shared" si="287"/>
        <v>315.96902780292635</v>
      </c>
      <c r="AD489" s="3864">
        <f t="shared" si="281"/>
        <v>0</v>
      </c>
      <c r="AE489" s="3865">
        <f>'Income Eligible Deemed Table'!DI1130</f>
        <v>315.96902780292635</v>
      </c>
      <c r="AF489" s="3846"/>
      <c r="AG489" s="3846"/>
      <c r="AH489" s="3846"/>
      <c r="AI489" s="2233" t="str">
        <f>'Income Eligible Deemed Table'!L1130</f>
        <v>per measure</v>
      </c>
      <c r="AJ489" s="2724"/>
      <c r="AX489" s="3849" t="str">
        <f t="shared" si="288"/>
        <v>AC - Energy Star Room _5kBtu_Thru-Wall_MF</v>
      </c>
      <c r="AY489" s="2724"/>
      <c r="AZ489" s="3850" t="str">
        <f t="shared" si="289"/>
        <v>405851</v>
      </c>
      <c r="BA489" s="3866" t="s">
        <v>1303</v>
      </c>
      <c r="BB489" s="3866" t="s">
        <v>1303</v>
      </c>
      <c r="BC489" s="3866" t="s">
        <v>1303</v>
      </c>
      <c r="BD489" s="3866" t="s">
        <v>1303</v>
      </c>
      <c r="BE489" s="3853"/>
      <c r="BF489" s="3866" t="s">
        <v>1303</v>
      </c>
      <c r="BG489" s="3866" t="s">
        <v>1303</v>
      </c>
      <c r="BH489" s="3866" t="s">
        <v>1303</v>
      </c>
      <c r="BI489" s="3867" t="s">
        <v>1303</v>
      </c>
      <c r="BJ489" s="3853"/>
      <c r="BK489" s="3866" t="s">
        <v>1303</v>
      </c>
      <c r="BL489" s="3867" t="s">
        <v>1303</v>
      </c>
      <c r="BM489" s="3866" t="s">
        <v>1303</v>
      </c>
      <c r="BN489" s="3867" t="s">
        <v>1303</v>
      </c>
    </row>
    <row r="490" spans="1:66" s="696" customFormat="1">
      <c r="A490" s="2958" t="str">
        <f t="shared" si="285"/>
        <v>405852</v>
      </c>
      <c r="B490" s="2233" t="str">
        <f>'Income Eligible Deemed Table'!C1134</f>
        <v>405852_2024_12_</v>
      </c>
      <c r="C490" s="2724" t="str">
        <f>'Income Eligible Deemed Table'!G1134</f>
        <v>Cooling RES</v>
      </c>
      <c r="D490" s="2724"/>
      <c r="E490" s="2724"/>
      <c r="F490" s="2724"/>
      <c r="G490" s="2724" t="str">
        <f>'Income Eligible Deemed Table'!E1134</f>
        <v>AC - Energy Star Room _8kBtu_Thru-Wall_MF</v>
      </c>
      <c r="H490" s="2554" t="str">
        <f>'Income Eligible Deemed Table'!D1134</f>
        <v>MFIE</v>
      </c>
      <c r="I490" s="3840">
        <f t="shared" si="296"/>
        <v>291.16000000000003</v>
      </c>
      <c r="J490" s="3840">
        <f t="shared" si="297"/>
        <v>0</v>
      </c>
      <c r="K490" s="3251">
        <f>'Income Eligible Deemed Table'!F1134</f>
        <v>291.16000000000003</v>
      </c>
      <c r="L490" s="3251"/>
      <c r="M490" s="3251"/>
      <c r="N490" s="3251"/>
      <c r="O490" s="3841">
        <f t="shared" si="298"/>
        <v>0.27584999999999998</v>
      </c>
      <c r="P490" s="3841">
        <f t="shared" si="299"/>
        <v>0</v>
      </c>
      <c r="Q490" s="3842">
        <f>'Income Eligible Deemed Table'!I1134</f>
        <v>0.27584999999999998</v>
      </c>
      <c r="R490" s="3842"/>
      <c r="S490" s="3842"/>
      <c r="T490" s="3842"/>
      <c r="U490" s="3843">
        <f t="shared" si="282"/>
        <v>0</v>
      </c>
      <c r="V490" s="3843">
        <f t="shared" si="283"/>
        <v>0.27584999999999998</v>
      </c>
      <c r="W490" s="3843">
        <f t="shared" si="284"/>
        <v>0</v>
      </c>
      <c r="X490" s="2846">
        <f>'Income Eligible Deemed Table'!J1134</f>
        <v>12</v>
      </c>
      <c r="Y490" s="2846"/>
      <c r="Z490" s="2846">
        <f t="shared" si="286"/>
        <v>12</v>
      </c>
      <c r="AA490" s="2529">
        <f>'Income Eligible Deemed Table'!DG1134</f>
        <v>1.6852144517429621</v>
      </c>
      <c r="AB490" s="3878">
        <f>'Income Eligible Deemed Table'!K1134</f>
        <v>300</v>
      </c>
      <c r="AC490" s="3864">
        <f t="shared" si="287"/>
        <v>505.56433552288865</v>
      </c>
      <c r="AD490" s="3864">
        <f t="shared" si="281"/>
        <v>0</v>
      </c>
      <c r="AE490" s="3865">
        <f>'Income Eligible Deemed Table'!DI1134</f>
        <v>505.56433552288865</v>
      </c>
      <c r="AF490" s="3846"/>
      <c r="AG490" s="3846"/>
      <c r="AH490" s="3846"/>
      <c r="AI490" s="2233" t="str">
        <f>'Income Eligible Deemed Table'!L1134</f>
        <v>per measure</v>
      </c>
      <c r="AJ490" s="2724"/>
      <c r="AX490" s="3849" t="str">
        <f t="shared" si="288"/>
        <v>AC - Energy Star Room _8kBtu_Thru-Wall_MF</v>
      </c>
      <c r="AY490" s="2724"/>
      <c r="AZ490" s="3850" t="str">
        <f t="shared" si="289"/>
        <v>405852</v>
      </c>
      <c r="BA490" s="3866" t="s">
        <v>1303</v>
      </c>
      <c r="BB490" s="3866" t="s">
        <v>1303</v>
      </c>
      <c r="BC490" s="3866" t="s">
        <v>1303</v>
      </c>
      <c r="BD490" s="3866" t="s">
        <v>1303</v>
      </c>
      <c r="BE490" s="3853"/>
      <c r="BF490" s="3866" t="s">
        <v>1303</v>
      </c>
      <c r="BG490" s="3866" t="s">
        <v>1303</v>
      </c>
      <c r="BH490" s="3866" t="s">
        <v>1303</v>
      </c>
      <c r="BI490" s="3867" t="s">
        <v>1303</v>
      </c>
      <c r="BJ490" s="3853"/>
      <c r="BK490" s="3866" t="s">
        <v>1303</v>
      </c>
      <c r="BL490" s="3867" t="s">
        <v>1303</v>
      </c>
      <c r="BM490" s="3866" t="s">
        <v>1303</v>
      </c>
      <c r="BN490" s="3867" t="s">
        <v>1303</v>
      </c>
    </row>
    <row r="491" spans="1:66" s="696" customFormat="1">
      <c r="A491" s="2958" t="str">
        <f t="shared" si="285"/>
        <v>405853</v>
      </c>
      <c r="B491" s="2233" t="str">
        <f>'Income Eligible Deemed Table'!C1138</f>
        <v>405853_2024_12_</v>
      </c>
      <c r="C491" s="2724" t="str">
        <f>'Income Eligible Deemed Table'!G1138</f>
        <v>Cooling RES</v>
      </c>
      <c r="D491" s="2724"/>
      <c r="E491" s="2724"/>
      <c r="F491" s="2724"/>
      <c r="G491" s="2724" t="str">
        <f>'Income Eligible Deemed Table'!E1138</f>
        <v>AC - Energy Star Room _10kBtu_Thru-Wall_MF</v>
      </c>
      <c r="H491" s="2554" t="str">
        <f>'Income Eligible Deemed Table'!D1138</f>
        <v>MFIE</v>
      </c>
      <c r="I491" s="3840">
        <f t="shared" si="296"/>
        <v>363.95</v>
      </c>
      <c r="J491" s="3840">
        <f t="shared" si="297"/>
        <v>0</v>
      </c>
      <c r="K491" s="3251">
        <f>'Income Eligible Deemed Table'!F1138</f>
        <v>363.95</v>
      </c>
      <c r="L491" s="3251"/>
      <c r="M491" s="3251"/>
      <c r="N491" s="3251"/>
      <c r="O491" s="3841">
        <f t="shared" si="298"/>
        <v>0.34481299999999998</v>
      </c>
      <c r="P491" s="3841">
        <f t="shared" si="299"/>
        <v>0</v>
      </c>
      <c r="Q491" s="3842">
        <f>'Income Eligible Deemed Table'!I1138</f>
        <v>0.34481299999999998</v>
      </c>
      <c r="R491" s="3842"/>
      <c r="S491" s="3842"/>
      <c r="T491" s="3842"/>
      <c r="U491" s="3843">
        <f t="shared" si="282"/>
        <v>0</v>
      </c>
      <c r="V491" s="3843">
        <f t="shared" si="283"/>
        <v>0.34481299999999998</v>
      </c>
      <c r="W491" s="3843">
        <f t="shared" si="284"/>
        <v>0</v>
      </c>
      <c r="X491" s="2846">
        <f>'Income Eligible Deemed Table'!J1138</f>
        <v>12</v>
      </c>
      <c r="Y491" s="2846"/>
      <c r="Z491" s="2846">
        <f t="shared" si="286"/>
        <v>12</v>
      </c>
      <c r="AA491" s="2529">
        <f>'Income Eligible Deemed Table'!DG1138</f>
        <v>2.1065180646787027</v>
      </c>
      <c r="AB491" s="3878">
        <f>'Income Eligible Deemed Table'!K1138</f>
        <v>300</v>
      </c>
      <c r="AC491" s="3864">
        <f t="shared" si="287"/>
        <v>631.95541940361079</v>
      </c>
      <c r="AD491" s="3864">
        <f t="shared" si="281"/>
        <v>0</v>
      </c>
      <c r="AE491" s="3865">
        <f>'Income Eligible Deemed Table'!DI1138</f>
        <v>631.95541940361079</v>
      </c>
      <c r="AF491" s="3846"/>
      <c r="AG491" s="3846"/>
      <c r="AH491" s="3846"/>
      <c r="AI491" s="2233" t="str">
        <f>'Income Eligible Deemed Table'!L1138</f>
        <v>per measure</v>
      </c>
      <c r="AJ491" s="2724"/>
      <c r="AX491" s="3849" t="str">
        <f t="shared" si="288"/>
        <v>AC - Energy Star Room _10kBtu_Thru-Wall_MF</v>
      </c>
      <c r="AY491" s="2724"/>
      <c r="AZ491" s="3850" t="str">
        <f t="shared" si="289"/>
        <v>405853</v>
      </c>
      <c r="BA491" s="3866" t="s">
        <v>1303</v>
      </c>
      <c r="BB491" s="3866" t="s">
        <v>1303</v>
      </c>
      <c r="BC491" s="3866" t="s">
        <v>1303</v>
      </c>
      <c r="BD491" s="3866" t="s">
        <v>1303</v>
      </c>
      <c r="BE491" s="3853"/>
      <c r="BF491" s="3866" t="s">
        <v>1303</v>
      </c>
      <c r="BG491" s="3866" t="s">
        <v>1303</v>
      </c>
      <c r="BH491" s="3866" t="s">
        <v>1303</v>
      </c>
      <c r="BI491" s="3867" t="s">
        <v>1303</v>
      </c>
      <c r="BJ491" s="3853"/>
      <c r="BK491" s="3866" t="s">
        <v>1303</v>
      </c>
      <c r="BL491" s="3867" t="s">
        <v>1303</v>
      </c>
      <c r="BM491" s="3866" t="s">
        <v>1303</v>
      </c>
      <c r="BN491" s="3867" t="s">
        <v>1303</v>
      </c>
    </row>
    <row r="492" spans="1:66" s="696" customFormat="1">
      <c r="A492" s="2958" t="str">
        <f t="shared" si="285"/>
        <v>405854</v>
      </c>
      <c r="B492" s="2233" t="str">
        <f>'Income Eligible Deemed Table'!C1142</f>
        <v>405854_2024_12_</v>
      </c>
      <c r="C492" s="2724" t="str">
        <f>'Income Eligible Deemed Table'!G1142</f>
        <v>Cooling RES</v>
      </c>
      <c r="D492" s="2724"/>
      <c r="E492" s="2724"/>
      <c r="F492" s="2724"/>
      <c r="G492" s="2724" t="str">
        <f>'Income Eligible Deemed Table'!E1142</f>
        <v>AC - Energy Star Room _12kBtu_Thru-Wall_MF</v>
      </c>
      <c r="H492" s="2554" t="str">
        <f>'Income Eligible Deemed Table'!D1142</f>
        <v>MFIE</v>
      </c>
      <c r="I492" s="3840">
        <f t="shared" si="296"/>
        <v>436.74</v>
      </c>
      <c r="J492" s="3840">
        <f t="shared" si="297"/>
        <v>0</v>
      </c>
      <c r="K492" s="3251">
        <f>'Income Eligible Deemed Table'!F1142</f>
        <v>436.74</v>
      </c>
      <c r="L492" s="3251"/>
      <c r="M492" s="3251"/>
      <c r="N492" s="3251"/>
      <c r="O492" s="3841">
        <f t="shared" si="298"/>
        <v>0.413775</v>
      </c>
      <c r="P492" s="3841">
        <f t="shared" si="299"/>
        <v>0</v>
      </c>
      <c r="Q492" s="3842">
        <f>'Income Eligible Deemed Table'!I1142</f>
        <v>0.413775</v>
      </c>
      <c r="R492" s="3842"/>
      <c r="S492" s="3842"/>
      <c r="T492" s="3842"/>
      <c r="U492" s="3843">
        <f t="shared" si="282"/>
        <v>0</v>
      </c>
      <c r="V492" s="3843">
        <f t="shared" si="283"/>
        <v>0.413775</v>
      </c>
      <c r="W492" s="3843">
        <f t="shared" si="284"/>
        <v>0</v>
      </c>
      <c r="X492" s="2846">
        <f>'Income Eligible Deemed Table'!J1142</f>
        <v>12</v>
      </c>
      <c r="Y492" s="2846"/>
      <c r="Z492" s="2846">
        <f t="shared" si="286"/>
        <v>12</v>
      </c>
      <c r="AA492" s="2529">
        <f>'Income Eligible Deemed Table'!DG1142</f>
        <v>2.5278216776144431</v>
      </c>
      <c r="AB492" s="3878">
        <f>'Income Eligible Deemed Table'!K1142</f>
        <v>300</v>
      </c>
      <c r="AC492" s="3864">
        <f t="shared" si="287"/>
        <v>758.34650328433293</v>
      </c>
      <c r="AD492" s="3864">
        <f t="shared" si="281"/>
        <v>0</v>
      </c>
      <c r="AE492" s="3865">
        <f>'Income Eligible Deemed Table'!DI1142</f>
        <v>758.34650328433293</v>
      </c>
      <c r="AF492" s="3846"/>
      <c r="AG492" s="3846"/>
      <c r="AH492" s="3846"/>
      <c r="AI492" s="2233" t="str">
        <f>'Income Eligible Deemed Table'!L1142</f>
        <v>per measure</v>
      </c>
      <c r="AJ492" s="2724"/>
      <c r="AX492" s="3849" t="str">
        <f t="shared" si="288"/>
        <v>AC - Energy Star Room _12kBtu_Thru-Wall_MF</v>
      </c>
      <c r="AY492" s="2724"/>
      <c r="AZ492" s="3850" t="str">
        <f t="shared" si="289"/>
        <v>405854</v>
      </c>
      <c r="BA492" s="3866" t="s">
        <v>1303</v>
      </c>
      <c r="BB492" s="3866" t="s">
        <v>1303</v>
      </c>
      <c r="BC492" s="3866" t="s">
        <v>1303</v>
      </c>
      <c r="BD492" s="3866" t="s">
        <v>1303</v>
      </c>
      <c r="BE492" s="3853"/>
      <c r="BF492" s="3866" t="s">
        <v>1303</v>
      </c>
      <c r="BG492" s="3866" t="s">
        <v>1303</v>
      </c>
      <c r="BH492" s="3866" t="s">
        <v>1303</v>
      </c>
      <c r="BI492" s="3867" t="s">
        <v>1303</v>
      </c>
      <c r="BJ492" s="3853"/>
      <c r="BK492" s="3866" t="s">
        <v>1303</v>
      </c>
      <c r="BL492" s="3867" t="s">
        <v>1303</v>
      </c>
      <c r="BM492" s="3866" t="s">
        <v>1303</v>
      </c>
      <c r="BN492" s="3867" t="s">
        <v>1303</v>
      </c>
    </row>
    <row r="493" spans="1:66" s="696" customFormat="1">
      <c r="A493" s="2958" t="str">
        <f t="shared" si="285"/>
        <v>405855</v>
      </c>
      <c r="B493" s="2233" t="str">
        <f>'Income Eligible Deemed Table'!C1146</f>
        <v>405855_2024_12_</v>
      </c>
      <c r="C493" s="2724" t="str">
        <f>'Income Eligible Deemed Table'!G1146</f>
        <v>Cooling RES</v>
      </c>
      <c r="D493" s="2724"/>
      <c r="E493" s="2724"/>
      <c r="F493" s="2724"/>
      <c r="G493" s="2724" t="str">
        <f>'Income Eligible Deemed Table'!E1146</f>
        <v>AC - Energy Star Room _15kBtu_Thru-Wall_MF</v>
      </c>
      <c r="H493" s="2554" t="str">
        <f>'Income Eligible Deemed Table'!D1146</f>
        <v>MFIE</v>
      </c>
      <c r="I493" s="3840">
        <f t="shared" si="296"/>
        <v>545.91999999999996</v>
      </c>
      <c r="J493" s="3840">
        <f t="shared" si="297"/>
        <v>0</v>
      </c>
      <c r="K493" s="3251">
        <f>'Income Eligible Deemed Table'!F1146</f>
        <v>545.91999999999996</v>
      </c>
      <c r="L493" s="3251"/>
      <c r="M493" s="3251"/>
      <c r="N493" s="3251"/>
      <c r="O493" s="3841">
        <f t="shared" si="298"/>
        <v>0.51721399999999995</v>
      </c>
      <c r="P493" s="3841">
        <f t="shared" si="299"/>
        <v>0</v>
      </c>
      <c r="Q493" s="3842">
        <f>'Income Eligible Deemed Table'!I1146</f>
        <v>0.51721399999999995</v>
      </c>
      <c r="R493" s="3842"/>
      <c r="S493" s="3842"/>
      <c r="T493" s="3842"/>
      <c r="U493" s="3843">
        <f t="shared" si="282"/>
        <v>0</v>
      </c>
      <c r="V493" s="3843">
        <f t="shared" si="283"/>
        <v>0.51721399999999995</v>
      </c>
      <c r="W493" s="3843">
        <f t="shared" si="284"/>
        <v>0</v>
      </c>
      <c r="X493" s="2846">
        <f>'Income Eligible Deemed Table'!J1146</f>
        <v>12</v>
      </c>
      <c r="Y493" s="2846"/>
      <c r="Z493" s="2846">
        <f t="shared" si="286"/>
        <v>12</v>
      </c>
      <c r="AA493" s="2529">
        <f>'Income Eligible Deemed Table'!DG1146</f>
        <v>3.1597481573551236</v>
      </c>
      <c r="AB493" s="3878">
        <f>'Income Eligible Deemed Table'!K1146</f>
        <v>300</v>
      </c>
      <c r="AC493" s="3864">
        <f t="shared" si="287"/>
        <v>947.92444720653702</v>
      </c>
      <c r="AD493" s="3864">
        <f t="shared" si="281"/>
        <v>0</v>
      </c>
      <c r="AE493" s="3865">
        <f>'Income Eligible Deemed Table'!DI1146</f>
        <v>947.92444720653702</v>
      </c>
      <c r="AF493" s="3846"/>
      <c r="AG493" s="3846"/>
      <c r="AH493" s="3846"/>
      <c r="AI493" s="2233" t="str">
        <f>'Income Eligible Deemed Table'!L1146</f>
        <v>per measure</v>
      </c>
      <c r="AJ493" s="2724"/>
      <c r="AX493" s="3849" t="str">
        <f t="shared" si="288"/>
        <v>AC - Energy Star Room _15kBtu_Thru-Wall_MF</v>
      </c>
      <c r="AY493" s="2724"/>
      <c r="AZ493" s="3850" t="str">
        <f t="shared" si="289"/>
        <v>405855</v>
      </c>
      <c r="BA493" s="3866" t="s">
        <v>1303</v>
      </c>
      <c r="BB493" s="3866" t="s">
        <v>1303</v>
      </c>
      <c r="BC493" s="3866" t="s">
        <v>1303</v>
      </c>
      <c r="BD493" s="3866" t="s">
        <v>1303</v>
      </c>
      <c r="BE493" s="3853"/>
      <c r="BF493" s="3866" t="s">
        <v>1303</v>
      </c>
      <c r="BG493" s="3866" t="s">
        <v>1303</v>
      </c>
      <c r="BH493" s="3866" t="s">
        <v>1303</v>
      </c>
      <c r="BI493" s="3867" t="s">
        <v>1303</v>
      </c>
      <c r="BJ493" s="3853"/>
      <c r="BK493" s="3866" t="s">
        <v>1303</v>
      </c>
      <c r="BL493" s="3867" t="s">
        <v>1303</v>
      </c>
      <c r="BM493" s="3866" t="s">
        <v>1303</v>
      </c>
      <c r="BN493" s="3867" t="s">
        <v>1303</v>
      </c>
    </row>
    <row r="494" spans="1:66" s="696" customFormat="1">
      <c r="A494" s="2958" t="str">
        <f t="shared" si="285"/>
        <v>405900</v>
      </c>
      <c r="B494" s="2233" t="str">
        <f>'Income Eligible Deemed Table'!C1127</f>
        <v>405900_2024_12_</v>
      </c>
      <c r="C494" s="2724" t="str">
        <f>'Income Eligible Deemed Table'!G1127</f>
        <v>Cooling RES</v>
      </c>
      <c r="D494" s="2724"/>
      <c r="E494" s="2724"/>
      <c r="F494" s="2724"/>
      <c r="G494" s="2724" t="str">
        <f>'Income Eligible Deemed Table'!E1127</f>
        <v>AC - Energy Star Room  _unknown size_Thru-Wall_SF</v>
      </c>
      <c r="H494" s="2554" t="str">
        <f>'Income Eligible Deemed Table'!D1127</f>
        <v>SFIE</v>
      </c>
      <c r="I494" s="3840">
        <f t="shared" si="296"/>
        <v>400.38</v>
      </c>
      <c r="J494" s="3840">
        <f t="shared" si="297"/>
        <v>0</v>
      </c>
      <c r="K494" s="3251">
        <f>'Income Eligible Deemed Table'!F1127</f>
        <v>400.38</v>
      </c>
      <c r="L494" s="3251"/>
      <c r="M494" s="3251"/>
      <c r="N494" s="3251"/>
      <c r="O494" s="3841">
        <f t="shared" si="298"/>
        <v>0.37932700000000003</v>
      </c>
      <c r="P494" s="3841">
        <f t="shared" si="299"/>
        <v>0</v>
      </c>
      <c r="Q494" s="3842">
        <f>'Income Eligible Deemed Table'!I1127</f>
        <v>0.37932700000000003</v>
      </c>
      <c r="R494" s="3842"/>
      <c r="S494" s="3842"/>
      <c r="T494" s="3842"/>
      <c r="U494" s="3843">
        <f t="shared" si="282"/>
        <v>0</v>
      </c>
      <c r="V494" s="3843">
        <f t="shared" si="283"/>
        <v>0.37932700000000003</v>
      </c>
      <c r="W494" s="3843">
        <f t="shared" si="284"/>
        <v>0</v>
      </c>
      <c r="X494" s="2846">
        <f>'Income Eligible Deemed Table'!J1127</f>
        <v>12</v>
      </c>
      <c r="Y494" s="2846"/>
      <c r="Z494" s="2846">
        <f t="shared" si="286"/>
        <v>12</v>
      </c>
      <c r="AA494" s="2529">
        <f>'Income Eligible Deemed Table'!DG1127</f>
        <v>2.3173724487870828</v>
      </c>
      <c r="AB494" s="3878">
        <f>'Income Eligible Deemed Table'!K1127</f>
        <v>300</v>
      </c>
      <c r="AC494" s="3864">
        <f t="shared" si="287"/>
        <v>695.2117346361249</v>
      </c>
      <c r="AD494" s="3864">
        <f t="shared" si="281"/>
        <v>0</v>
      </c>
      <c r="AE494" s="3865">
        <f>'Income Eligible Deemed Table'!DI1127</f>
        <v>695.2117346361249</v>
      </c>
      <c r="AF494" s="3846"/>
      <c r="AG494" s="3846"/>
      <c r="AH494" s="3846"/>
      <c r="AI494" s="2233" t="str">
        <f>'Income Eligible Deemed Table'!L1127</f>
        <v>per measure</v>
      </c>
      <c r="AJ494" s="2724"/>
      <c r="AX494" s="3849" t="str">
        <f t="shared" si="288"/>
        <v>AC - Energy Star Room  _unknown size_Thru-Wall_SF</v>
      </c>
      <c r="AY494" s="2724"/>
      <c r="AZ494" s="3850" t="str">
        <f t="shared" si="289"/>
        <v>405900</v>
      </c>
      <c r="BA494" s="3866" t="s">
        <v>1303</v>
      </c>
      <c r="BB494" s="3866" t="s">
        <v>1303</v>
      </c>
      <c r="BC494" s="3866" t="s">
        <v>1303</v>
      </c>
      <c r="BD494" s="3866" t="s">
        <v>1303</v>
      </c>
      <c r="BE494" s="3853"/>
      <c r="BF494" s="3866" t="s">
        <v>1303</v>
      </c>
      <c r="BG494" s="3866" t="s">
        <v>1303</v>
      </c>
      <c r="BH494" s="3866" t="s">
        <v>1303</v>
      </c>
      <c r="BI494" s="3867" t="s">
        <v>1303</v>
      </c>
      <c r="BJ494" s="3853"/>
      <c r="BK494" s="3866" t="s">
        <v>1303</v>
      </c>
      <c r="BL494" s="3867" t="s">
        <v>1303</v>
      </c>
      <c r="BM494" s="3866" t="s">
        <v>1303</v>
      </c>
      <c r="BN494" s="3867" t="s">
        <v>1303</v>
      </c>
    </row>
    <row r="495" spans="1:66" s="696" customFormat="1">
      <c r="A495" s="2958" t="str">
        <f t="shared" si="285"/>
        <v>405901</v>
      </c>
      <c r="B495" s="2233" t="str">
        <f>'Income Eligible Deemed Table'!C1131</f>
        <v>405901_2024_12_</v>
      </c>
      <c r="C495" s="2724" t="str">
        <f>'Income Eligible Deemed Table'!G1131</f>
        <v>Cooling RES</v>
      </c>
      <c r="D495" s="2724"/>
      <c r="E495" s="2724"/>
      <c r="F495" s="2724"/>
      <c r="G495" s="2724" t="str">
        <f>'Income Eligible Deemed Table'!E1131</f>
        <v>AC - Energy Star Room _5kBtu _Thru-Wall_SF</v>
      </c>
      <c r="H495" s="2554" t="str">
        <f>'Income Eligible Deemed Table'!D1131</f>
        <v>SFIE</v>
      </c>
      <c r="I495" s="3840">
        <f t="shared" si="296"/>
        <v>193.94</v>
      </c>
      <c r="J495" s="3840">
        <f t="shared" si="297"/>
        <v>0</v>
      </c>
      <c r="K495" s="3251">
        <f>'Income Eligible Deemed Table'!F1131</f>
        <v>193.94</v>
      </c>
      <c r="L495" s="3251"/>
      <c r="M495" s="3251"/>
      <c r="N495" s="3251"/>
      <c r="O495" s="3841">
        <f t="shared" si="298"/>
        <v>0.18374199999999999</v>
      </c>
      <c r="P495" s="3841">
        <f t="shared" si="299"/>
        <v>0</v>
      </c>
      <c r="Q495" s="3842">
        <f>'Income Eligible Deemed Table'!I1131</f>
        <v>0.18374199999999999</v>
      </c>
      <c r="R495" s="3842"/>
      <c r="S495" s="3842"/>
      <c r="T495" s="3842"/>
      <c r="U495" s="3843">
        <f t="shared" si="282"/>
        <v>0</v>
      </c>
      <c r="V495" s="3843">
        <f t="shared" si="283"/>
        <v>0.18374199999999999</v>
      </c>
      <c r="W495" s="3843">
        <f t="shared" si="284"/>
        <v>0</v>
      </c>
      <c r="X495" s="2846">
        <f>'Income Eligible Deemed Table'!J1131</f>
        <v>12</v>
      </c>
      <c r="Y495" s="2846"/>
      <c r="Z495" s="2846">
        <f t="shared" si="286"/>
        <v>12</v>
      </c>
      <c r="AA495" s="2529">
        <f>'Income Eligible Deemed Table'!DG1131</f>
        <v>1.1225116457309727</v>
      </c>
      <c r="AB495" s="3878">
        <f>'Income Eligible Deemed Table'!K1131</f>
        <v>300</v>
      </c>
      <c r="AC495" s="3864">
        <f t="shared" si="287"/>
        <v>336.75349371929184</v>
      </c>
      <c r="AD495" s="3864">
        <f t="shared" si="281"/>
        <v>0</v>
      </c>
      <c r="AE495" s="3865">
        <f>'Income Eligible Deemed Table'!DI1131</f>
        <v>336.75349371929184</v>
      </c>
      <c r="AF495" s="3846"/>
      <c r="AG495" s="3846"/>
      <c r="AH495" s="3846"/>
      <c r="AI495" s="2233" t="str">
        <f>'Income Eligible Deemed Table'!L1131</f>
        <v>per measure</v>
      </c>
      <c r="AJ495" s="2724"/>
      <c r="AX495" s="3849" t="str">
        <f t="shared" si="288"/>
        <v>AC - Energy Star Room _5kBtu _Thru-Wall_SF</v>
      </c>
      <c r="AY495" s="2724"/>
      <c r="AZ495" s="3850" t="str">
        <f t="shared" si="289"/>
        <v>405901</v>
      </c>
      <c r="BA495" s="3866" t="s">
        <v>1303</v>
      </c>
      <c r="BB495" s="3866" t="s">
        <v>1303</v>
      </c>
      <c r="BC495" s="3866" t="s">
        <v>1303</v>
      </c>
      <c r="BD495" s="3866" t="s">
        <v>1303</v>
      </c>
      <c r="BE495" s="3853"/>
      <c r="BF495" s="3866" t="s">
        <v>1303</v>
      </c>
      <c r="BG495" s="3866" t="s">
        <v>1303</v>
      </c>
      <c r="BH495" s="3866" t="s">
        <v>1303</v>
      </c>
      <c r="BI495" s="3867" t="s">
        <v>1303</v>
      </c>
      <c r="BJ495" s="3853"/>
      <c r="BK495" s="3866" t="s">
        <v>1303</v>
      </c>
      <c r="BL495" s="3867" t="s">
        <v>1303</v>
      </c>
      <c r="BM495" s="3866" t="s">
        <v>1303</v>
      </c>
      <c r="BN495" s="3867" t="s">
        <v>1303</v>
      </c>
    </row>
    <row r="496" spans="1:66" s="696" customFormat="1">
      <c r="A496" s="2958" t="str">
        <f t="shared" si="285"/>
        <v>405902</v>
      </c>
      <c r="B496" s="2233" t="str">
        <f>'Income Eligible Deemed Table'!C1135</f>
        <v>405902_2024_12_</v>
      </c>
      <c r="C496" s="2724" t="str">
        <f>'Income Eligible Deemed Table'!G1135</f>
        <v>Cooling RES</v>
      </c>
      <c r="D496" s="2724"/>
      <c r="E496" s="2724"/>
      <c r="F496" s="2724"/>
      <c r="G496" s="2724" t="str">
        <f>'Income Eligible Deemed Table'!E1135</f>
        <v>AC - Energy Star Room _8kBtu_Thru-Wall_SF</v>
      </c>
      <c r="H496" s="2554" t="str">
        <f>'Income Eligible Deemed Table'!D1135</f>
        <v>SFIE</v>
      </c>
      <c r="I496" s="3840">
        <f t="shared" si="296"/>
        <v>310.3</v>
      </c>
      <c r="J496" s="3840">
        <f t="shared" si="297"/>
        <v>0</v>
      </c>
      <c r="K496" s="3251">
        <f>'Income Eligible Deemed Table'!F1135</f>
        <v>310.3</v>
      </c>
      <c r="L496" s="3251"/>
      <c r="M496" s="3251"/>
      <c r="N496" s="3251"/>
      <c r="O496" s="3841">
        <f t="shared" si="298"/>
        <v>0.29398400000000002</v>
      </c>
      <c r="P496" s="3841">
        <f t="shared" si="299"/>
        <v>0</v>
      </c>
      <c r="Q496" s="3842">
        <f>'Income Eligible Deemed Table'!I1135</f>
        <v>0.29398400000000002</v>
      </c>
      <c r="R496" s="3842"/>
      <c r="S496" s="3842"/>
      <c r="T496" s="3842"/>
      <c r="U496" s="3843">
        <f t="shared" si="282"/>
        <v>0</v>
      </c>
      <c r="V496" s="3843">
        <f t="shared" si="283"/>
        <v>0.29398400000000002</v>
      </c>
      <c r="W496" s="3843">
        <f t="shared" si="284"/>
        <v>0</v>
      </c>
      <c r="X496" s="2846">
        <f>'Income Eligible Deemed Table'!J1135</f>
        <v>12</v>
      </c>
      <c r="Y496" s="2846"/>
      <c r="Z496" s="2846">
        <f t="shared" si="286"/>
        <v>12</v>
      </c>
      <c r="AA496" s="2529">
        <f>'Income Eligible Deemed Table'!DG1135</f>
        <v>1.7959954814392127</v>
      </c>
      <c r="AB496" s="3878">
        <f>'Income Eligible Deemed Table'!K1135</f>
        <v>300</v>
      </c>
      <c r="AC496" s="3864">
        <f t="shared" si="287"/>
        <v>538.79864443176382</v>
      </c>
      <c r="AD496" s="3864">
        <f t="shared" si="281"/>
        <v>0</v>
      </c>
      <c r="AE496" s="3865">
        <f>'Income Eligible Deemed Table'!DI1135</f>
        <v>538.79864443176382</v>
      </c>
      <c r="AF496" s="3846"/>
      <c r="AG496" s="3846"/>
      <c r="AH496" s="3846"/>
      <c r="AI496" s="2233" t="str">
        <f>'Income Eligible Deemed Table'!L1135</f>
        <v>per measure</v>
      </c>
      <c r="AJ496" s="2724"/>
      <c r="AX496" s="3849" t="str">
        <f t="shared" si="288"/>
        <v>AC - Energy Star Room _8kBtu_Thru-Wall_SF</v>
      </c>
      <c r="AY496" s="2724"/>
      <c r="AZ496" s="3850" t="str">
        <f t="shared" si="289"/>
        <v>405902</v>
      </c>
      <c r="BA496" s="3866" t="s">
        <v>1303</v>
      </c>
      <c r="BB496" s="3866" t="s">
        <v>1303</v>
      </c>
      <c r="BC496" s="3866" t="s">
        <v>1303</v>
      </c>
      <c r="BD496" s="3866" t="s">
        <v>1303</v>
      </c>
      <c r="BE496" s="3853"/>
      <c r="BF496" s="3866" t="s">
        <v>1303</v>
      </c>
      <c r="BG496" s="3866" t="s">
        <v>1303</v>
      </c>
      <c r="BH496" s="3866" t="s">
        <v>1303</v>
      </c>
      <c r="BI496" s="3867" t="s">
        <v>1303</v>
      </c>
      <c r="BJ496" s="3853"/>
      <c r="BK496" s="3866" t="s">
        <v>1303</v>
      </c>
      <c r="BL496" s="3867" t="s">
        <v>1303</v>
      </c>
      <c r="BM496" s="3866" t="s">
        <v>1303</v>
      </c>
      <c r="BN496" s="3867" t="s">
        <v>1303</v>
      </c>
    </row>
    <row r="497" spans="1:66" s="696" customFormat="1">
      <c r="A497" s="2958" t="str">
        <f t="shared" si="285"/>
        <v>405903</v>
      </c>
      <c r="B497" s="2233" t="str">
        <f>'Income Eligible Deemed Table'!C1139</f>
        <v>405903_2024_12_</v>
      </c>
      <c r="C497" s="2724" t="str">
        <f>'Income Eligible Deemed Table'!G1139</f>
        <v>Cooling RES</v>
      </c>
      <c r="D497" s="2724"/>
      <c r="E497" s="2724"/>
      <c r="F497" s="2724"/>
      <c r="G497" s="2724" t="str">
        <f>'Income Eligible Deemed Table'!E1139</f>
        <v>AC - Energy Star Room _10kBtu_Thru-Wall_SF</v>
      </c>
      <c r="H497" s="2554" t="str">
        <f>'Income Eligible Deemed Table'!D1139</f>
        <v>SFIE</v>
      </c>
      <c r="I497" s="3840">
        <f t="shared" si="296"/>
        <v>387.88</v>
      </c>
      <c r="J497" s="3840">
        <f t="shared" si="297"/>
        <v>0</v>
      </c>
      <c r="K497" s="3251">
        <f>'Income Eligible Deemed Table'!F1139</f>
        <v>387.88</v>
      </c>
      <c r="L497" s="3251"/>
      <c r="M497" s="3251"/>
      <c r="N497" s="3251"/>
      <c r="O497" s="3841">
        <f t="shared" si="298"/>
        <v>0.36748500000000001</v>
      </c>
      <c r="P497" s="3841">
        <f t="shared" si="299"/>
        <v>0</v>
      </c>
      <c r="Q497" s="3842">
        <f>'Income Eligible Deemed Table'!I1139</f>
        <v>0.36748500000000001</v>
      </c>
      <c r="R497" s="3842"/>
      <c r="S497" s="3842"/>
      <c r="T497" s="3842"/>
      <c r="U497" s="3843">
        <f t="shared" si="282"/>
        <v>0</v>
      </c>
      <c r="V497" s="3843">
        <f t="shared" si="283"/>
        <v>0.36748500000000001</v>
      </c>
      <c r="W497" s="3843">
        <f t="shared" si="284"/>
        <v>0</v>
      </c>
      <c r="X497" s="2846">
        <f>'Income Eligible Deemed Table'!J1139</f>
        <v>12</v>
      </c>
      <c r="Y497" s="2846"/>
      <c r="Z497" s="2846">
        <f t="shared" si="286"/>
        <v>12</v>
      </c>
      <c r="AA497" s="2529">
        <f>'Income Eligible Deemed Table'!DG1139</f>
        <v>2.2450232914619455</v>
      </c>
      <c r="AB497" s="3878">
        <f>'Income Eligible Deemed Table'!K1139</f>
        <v>300</v>
      </c>
      <c r="AC497" s="3864">
        <f t="shared" si="287"/>
        <v>673.50698743858368</v>
      </c>
      <c r="AD497" s="3864">
        <f t="shared" si="281"/>
        <v>0</v>
      </c>
      <c r="AE497" s="3865">
        <f>'Income Eligible Deemed Table'!DI1139</f>
        <v>673.50698743858368</v>
      </c>
      <c r="AF497" s="3846"/>
      <c r="AG497" s="3846"/>
      <c r="AH497" s="3846"/>
      <c r="AI497" s="2233" t="str">
        <f>'Income Eligible Deemed Table'!L1139</f>
        <v>per measure</v>
      </c>
      <c r="AJ497" s="2724"/>
      <c r="AX497" s="3849" t="str">
        <f t="shared" si="288"/>
        <v>AC - Energy Star Room _10kBtu_Thru-Wall_SF</v>
      </c>
      <c r="AY497" s="2724"/>
      <c r="AZ497" s="3850" t="str">
        <f t="shared" si="289"/>
        <v>405903</v>
      </c>
      <c r="BA497" s="3866" t="s">
        <v>1303</v>
      </c>
      <c r="BB497" s="3866" t="s">
        <v>1303</v>
      </c>
      <c r="BC497" s="3866" t="s">
        <v>1303</v>
      </c>
      <c r="BD497" s="3866" t="s">
        <v>1303</v>
      </c>
      <c r="BE497" s="3853"/>
      <c r="BF497" s="3866" t="s">
        <v>1303</v>
      </c>
      <c r="BG497" s="3866" t="s">
        <v>1303</v>
      </c>
      <c r="BH497" s="3866" t="s">
        <v>1303</v>
      </c>
      <c r="BI497" s="3867" t="s">
        <v>1303</v>
      </c>
      <c r="BJ497" s="3853"/>
      <c r="BK497" s="3866" t="s">
        <v>1303</v>
      </c>
      <c r="BL497" s="3867" t="s">
        <v>1303</v>
      </c>
      <c r="BM497" s="3866" t="s">
        <v>1303</v>
      </c>
      <c r="BN497" s="3867" t="s">
        <v>1303</v>
      </c>
    </row>
    <row r="498" spans="1:66" s="696" customFormat="1">
      <c r="A498" s="2958" t="str">
        <f t="shared" si="285"/>
        <v>405904</v>
      </c>
      <c r="B498" s="2233" t="str">
        <f>'Income Eligible Deemed Table'!C1143</f>
        <v>405904_2024_12_</v>
      </c>
      <c r="C498" s="2724" t="str">
        <f>'Income Eligible Deemed Table'!G1143</f>
        <v>Cooling RES</v>
      </c>
      <c r="D498" s="2724"/>
      <c r="E498" s="2724"/>
      <c r="F498" s="2724"/>
      <c r="G498" s="2724" t="str">
        <f>'Income Eligible Deemed Table'!E1143</f>
        <v>AC - Energy Star Room _12kBtu_Thru-Wall_SF</v>
      </c>
      <c r="H498" s="2554" t="str">
        <f>'Income Eligible Deemed Table'!D1143</f>
        <v>SFIE</v>
      </c>
      <c r="I498" s="3840">
        <f t="shared" si="296"/>
        <v>465.46</v>
      </c>
      <c r="J498" s="3840">
        <f t="shared" si="297"/>
        <v>0</v>
      </c>
      <c r="K498" s="3251">
        <f>'Income Eligible Deemed Table'!F1143</f>
        <v>465.46</v>
      </c>
      <c r="L498" s="3251"/>
      <c r="M498" s="3251"/>
      <c r="N498" s="3251"/>
      <c r="O498" s="3841">
        <f t="shared" si="298"/>
        <v>0.44098500000000002</v>
      </c>
      <c r="P498" s="3841">
        <f t="shared" si="299"/>
        <v>0</v>
      </c>
      <c r="Q498" s="3842">
        <f>'Income Eligible Deemed Table'!I1143</f>
        <v>0.44098500000000002</v>
      </c>
      <c r="R498" s="3842"/>
      <c r="S498" s="3842"/>
      <c r="T498" s="3842"/>
      <c r="U498" s="3843">
        <f t="shared" si="282"/>
        <v>0</v>
      </c>
      <c r="V498" s="3843">
        <f t="shared" si="283"/>
        <v>0.44098500000000002</v>
      </c>
      <c r="W498" s="3843">
        <f t="shared" si="284"/>
        <v>0</v>
      </c>
      <c r="X498" s="2846">
        <f>'Income Eligible Deemed Table'!J1143</f>
        <v>12</v>
      </c>
      <c r="Y498" s="2846"/>
      <c r="Z498" s="2846">
        <f t="shared" si="286"/>
        <v>12</v>
      </c>
      <c r="AA498" s="2529">
        <f>'Income Eligible Deemed Table'!DG1143</f>
        <v>2.6940511014846789</v>
      </c>
      <c r="AB498" s="3878">
        <f>'Income Eligible Deemed Table'!K1143</f>
        <v>300</v>
      </c>
      <c r="AC498" s="3864">
        <f t="shared" si="287"/>
        <v>808.21533044540365</v>
      </c>
      <c r="AD498" s="3864">
        <f t="shared" si="281"/>
        <v>0</v>
      </c>
      <c r="AE498" s="3865">
        <f>'Income Eligible Deemed Table'!DI1143</f>
        <v>808.21533044540365</v>
      </c>
      <c r="AF498" s="3846"/>
      <c r="AG498" s="3846"/>
      <c r="AH498" s="3846"/>
      <c r="AI498" s="2233" t="str">
        <f>'Income Eligible Deemed Table'!L1143</f>
        <v>per measure</v>
      </c>
      <c r="AJ498" s="2724"/>
      <c r="AX498" s="3849" t="str">
        <f t="shared" si="288"/>
        <v>AC - Energy Star Room _12kBtu_Thru-Wall_SF</v>
      </c>
      <c r="AY498" s="2724"/>
      <c r="AZ498" s="3850" t="str">
        <f t="shared" si="289"/>
        <v>405904</v>
      </c>
      <c r="BA498" s="3866" t="s">
        <v>1303</v>
      </c>
      <c r="BB498" s="3866" t="s">
        <v>1303</v>
      </c>
      <c r="BC498" s="3866" t="s">
        <v>1303</v>
      </c>
      <c r="BD498" s="3866" t="s">
        <v>1303</v>
      </c>
      <c r="BE498" s="3853"/>
      <c r="BF498" s="3866" t="s">
        <v>1303</v>
      </c>
      <c r="BG498" s="3866" t="s">
        <v>1303</v>
      </c>
      <c r="BH498" s="3866" t="s">
        <v>1303</v>
      </c>
      <c r="BI498" s="3867" t="s">
        <v>1303</v>
      </c>
      <c r="BJ498" s="3853"/>
      <c r="BK498" s="3866" t="s">
        <v>1303</v>
      </c>
      <c r="BL498" s="3867" t="s">
        <v>1303</v>
      </c>
      <c r="BM498" s="3866" t="s">
        <v>1303</v>
      </c>
      <c r="BN498" s="3867" t="s">
        <v>1303</v>
      </c>
    </row>
    <row r="499" spans="1:66" s="696" customFormat="1">
      <c r="A499" s="2958" t="str">
        <f t="shared" si="285"/>
        <v>405905</v>
      </c>
      <c r="B499" s="2233" t="str">
        <f>'Income Eligible Deemed Table'!C1147</f>
        <v>405905_2024_12_</v>
      </c>
      <c r="C499" s="2724" t="str">
        <f>'Income Eligible Deemed Table'!G1147</f>
        <v>Cooling RES</v>
      </c>
      <c r="D499" s="2724"/>
      <c r="E499" s="2724"/>
      <c r="F499" s="2724"/>
      <c r="G499" s="2724" t="str">
        <f>'Income Eligible Deemed Table'!E1147</f>
        <v>AC - Energy Star Room _15kBtu_Thru-Wall_SF</v>
      </c>
      <c r="H499" s="2554" t="str">
        <f>'Income Eligible Deemed Table'!D1147</f>
        <v>SFIE</v>
      </c>
      <c r="I499" s="3840">
        <f t="shared" si="296"/>
        <v>581.82000000000005</v>
      </c>
      <c r="J499" s="3840">
        <f t="shared" si="297"/>
        <v>0</v>
      </c>
      <c r="K499" s="3251">
        <f>'Income Eligible Deemed Table'!F1147</f>
        <v>581.82000000000005</v>
      </c>
      <c r="L499" s="3251"/>
      <c r="M499" s="3251"/>
      <c r="N499" s="3251"/>
      <c r="O499" s="3841">
        <f t="shared" si="298"/>
        <v>0.55122700000000002</v>
      </c>
      <c r="P499" s="3841">
        <f t="shared" si="299"/>
        <v>0</v>
      </c>
      <c r="Q499" s="3842">
        <f>'Income Eligible Deemed Table'!I1147</f>
        <v>0.55122700000000002</v>
      </c>
      <c r="R499" s="3842"/>
      <c r="S499" s="3842"/>
      <c r="T499" s="3842"/>
      <c r="U499" s="3843">
        <f t="shared" si="282"/>
        <v>0</v>
      </c>
      <c r="V499" s="3843">
        <f t="shared" si="283"/>
        <v>0.55122700000000002</v>
      </c>
      <c r="W499" s="3843">
        <f t="shared" si="284"/>
        <v>0</v>
      </c>
      <c r="X499" s="2846">
        <f>'Income Eligible Deemed Table'!J1147</f>
        <v>12</v>
      </c>
      <c r="Y499" s="2846"/>
      <c r="Z499" s="2846">
        <f t="shared" si="286"/>
        <v>12</v>
      </c>
      <c r="AA499" s="2529">
        <f>'Income Eligible Deemed Table'!DG1147</f>
        <v>3.3675349371929189</v>
      </c>
      <c r="AB499" s="3878">
        <f>'Income Eligible Deemed Table'!K1147</f>
        <v>300</v>
      </c>
      <c r="AC499" s="3864">
        <f t="shared" si="287"/>
        <v>1010.2604811578757</v>
      </c>
      <c r="AD499" s="3864">
        <f t="shared" si="281"/>
        <v>0</v>
      </c>
      <c r="AE499" s="3865">
        <f>'Income Eligible Deemed Table'!DI1147</f>
        <v>1010.2604811578757</v>
      </c>
      <c r="AF499" s="3846"/>
      <c r="AG499" s="3846"/>
      <c r="AH499" s="3846"/>
      <c r="AI499" s="2233" t="str">
        <f>'Income Eligible Deemed Table'!L1147</f>
        <v>per measure</v>
      </c>
      <c r="AJ499" s="2724"/>
      <c r="AX499" s="3849" t="str">
        <f t="shared" si="288"/>
        <v>AC - Energy Star Room _15kBtu_Thru-Wall_SF</v>
      </c>
      <c r="AY499" s="2724"/>
      <c r="AZ499" s="3850" t="str">
        <f t="shared" si="289"/>
        <v>405905</v>
      </c>
      <c r="BA499" s="3866" t="s">
        <v>1303</v>
      </c>
      <c r="BB499" s="3866" t="s">
        <v>1303</v>
      </c>
      <c r="BC499" s="3866" t="s">
        <v>1303</v>
      </c>
      <c r="BD499" s="3866" t="s">
        <v>1303</v>
      </c>
      <c r="BE499" s="3853"/>
      <c r="BF499" s="3866" t="s">
        <v>1303</v>
      </c>
      <c r="BG499" s="3866" t="s">
        <v>1303</v>
      </c>
      <c r="BH499" s="3866" t="s">
        <v>1303</v>
      </c>
      <c r="BI499" s="3867" t="s">
        <v>1303</v>
      </c>
      <c r="BJ499" s="3853"/>
      <c r="BK499" s="3866" t="s">
        <v>1303</v>
      </c>
      <c r="BL499" s="3867" t="s">
        <v>1303</v>
      </c>
      <c r="BM499" s="3866" t="s">
        <v>1303</v>
      </c>
      <c r="BN499" s="3867" t="s">
        <v>1303</v>
      </c>
    </row>
    <row r="500" spans="1:66" s="696" customFormat="1">
      <c r="A500" s="2958" t="str">
        <f t="shared" si="285"/>
        <v>405950</v>
      </c>
      <c r="B500" s="2233" t="str">
        <f>'Income Eligible Deemed Table'!C1128</f>
        <v>405950_2024_12_</v>
      </c>
      <c r="C500" s="2724" t="str">
        <f>'Income Eligible Deemed Table'!G1128</f>
        <v>Cooling RES</v>
      </c>
      <c r="D500" s="2724"/>
      <c r="E500" s="2724"/>
      <c r="F500" s="2724"/>
      <c r="G500" s="2724" t="str">
        <f>'Income Eligible Deemed Table'!E1128</f>
        <v>AC - Energy Star Room _unknown size_MF</v>
      </c>
      <c r="H500" s="2554" t="str">
        <f>'Income Eligible Deemed Table'!D1128</f>
        <v>MFIE</v>
      </c>
      <c r="I500" s="3840">
        <f t="shared" si="296"/>
        <v>427.46</v>
      </c>
      <c r="J500" s="3840">
        <f t="shared" si="297"/>
        <v>0</v>
      </c>
      <c r="K500" s="3251">
        <f>'Income Eligible Deemed Table'!F1128</f>
        <v>427.46</v>
      </c>
      <c r="L500" s="3251"/>
      <c r="M500" s="3251"/>
      <c r="N500" s="3251"/>
      <c r="O500" s="3841">
        <f t="shared" si="298"/>
        <v>0.40498299999999998</v>
      </c>
      <c r="P500" s="3841">
        <f t="shared" si="299"/>
        <v>0</v>
      </c>
      <c r="Q500" s="3842">
        <f>'Income Eligible Deemed Table'!I1128</f>
        <v>0.40498299999999998</v>
      </c>
      <c r="R500" s="3842"/>
      <c r="S500" s="3842"/>
      <c r="T500" s="3842"/>
      <c r="U500" s="3843">
        <f t="shared" si="282"/>
        <v>0</v>
      </c>
      <c r="V500" s="3843">
        <f t="shared" si="283"/>
        <v>0.40498299999999998</v>
      </c>
      <c r="W500" s="3843">
        <f t="shared" si="284"/>
        <v>0</v>
      </c>
      <c r="X500" s="2846">
        <f>'Income Eligible Deemed Table'!J1128</f>
        <v>12</v>
      </c>
      <c r="Y500" s="2846"/>
      <c r="Z500" s="2846">
        <f t="shared" si="286"/>
        <v>12</v>
      </c>
      <c r="AA500" s="2529">
        <f>'Income Eligible Deemed Table'!DG1128</f>
        <v>2.4741096632162609</v>
      </c>
      <c r="AB500" s="3878">
        <f>'Income Eligible Deemed Table'!K1128</f>
        <v>300</v>
      </c>
      <c r="AC500" s="3864">
        <f t="shared" si="287"/>
        <v>742.23289896487825</v>
      </c>
      <c r="AD500" s="3864">
        <f t="shared" si="281"/>
        <v>0</v>
      </c>
      <c r="AE500" s="3865">
        <f>'Income Eligible Deemed Table'!DI1128</f>
        <v>742.23289896487825</v>
      </c>
      <c r="AF500" s="3846"/>
      <c r="AG500" s="3846"/>
      <c r="AH500" s="3846"/>
      <c r="AI500" s="2233" t="str">
        <f>'Income Eligible Deemed Table'!L1128</f>
        <v>per measure</v>
      </c>
      <c r="AJ500" s="2724"/>
      <c r="AX500" s="3849" t="str">
        <f t="shared" si="288"/>
        <v>AC - Energy Star Room _unknown size_MF</v>
      </c>
      <c r="AY500" s="2724"/>
      <c r="AZ500" s="3850" t="str">
        <f t="shared" si="289"/>
        <v>405950</v>
      </c>
      <c r="BA500" s="3866" t="s">
        <v>1303</v>
      </c>
      <c r="BB500" s="3866" t="s">
        <v>1303</v>
      </c>
      <c r="BC500" s="3866" t="s">
        <v>1303</v>
      </c>
      <c r="BD500" s="3866" t="s">
        <v>1303</v>
      </c>
      <c r="BE500" s="3853"/>
      <c r="BF500" s="3866" t="s">
        <v>1303</v>
      </c>
      <c r="BG500" s="3866" t="s">
        <v>1303</v>
      </c>
      <c r="BH500" s="3866" t="s">
        <v>1303</v>
      </c>
      <c r="BI500" s="3867" t="s">
        <v>1303</v>
      </c>
      <c r="BJ500" s="3853"/>
      <c r="BK500" s="3866" t="s">
        <v>1303</v>
      </c>
      <c r="BL500" s="3867" t="s">
        <v>1303</v>
      </c>
      <c r="BM500" s="3866" t="s">
        <v>1303</v>
      </c>
      <c r="BN500" s="3867" t="s">
        <v>1303</v>
      </c>
    </row>
    <row r="501" spans="1:66" s="696" customFormat="1">
      <c r="A501" s="2958" t="str">
        <f t="shared" si="285"/>
        <v>405951</v>
      </c>
      <c r="B501" s="2233" t="str">
        <f>'Income Eligible Deemed Table'!C1132</f>
        <v>405951_2024_12_</v>
      </c>
      <c r="C501" s="2724" t="str">
        <f>'Income Eligible Deemed Table'!G1132</f>
        <v>Cooling RES</v>
      </c>
      <c r="D501" s="2724"/>
      <c r="E501" s="2724"/>
      <c r="F501" s="2724"/>
      <c r="G501" s="2724" t="str">
        <f>'Income Eligible Deemed Table'!E1132</f>
        <v>AC - Energy Star Room_5kBtu_MF</v>
      </c>
      <c r="H501" s="2554" t="str">
        <f>'Income Eligible Deemed Table'!D1132</f>
        <v>MFIE</v>
      </c>
      <c r="I501" s="3840">
        <f t="shared" si="296"/>
        <v>181.97</v>
      </c>
      <c r="J501" s="3840">
        <f t="shared" si="297"/>
        <v>0</v>
      </c>
      <c r="K501" s="3251">
        <f>'Income Eligible Deemed Table'!F1132</f>
        <v>181.97</v>
      </c>
      <c r="L501" s="3251"/>
      <c r="M501" s="3251"/>
      <c r="N501" s="3251"/>
      <c r="O501" s="3841">
        <f t="shared" si="298"/>
        <v>0.172402</v>
      </c>
      <c r="P501" s="3841">
        <f t="shared" si="299"/>
        <v>0</v>
      </c>
      <c r="Q501" s="3842">
        <f>'Income Eligible Deemed Table'!I1132</f>
        <v>0.172402</v>
      </c>
      <c r="R501" s="3842"/>
      <c r="S501" s="3842"/>
      <c r="T501" s="3842"/>
      <c r="U501" s="3843">
        <f t="shared" si="282"/>
        <v>0</v>
      </c>
      <c r="V501" s="3843">
        <f t="shared" si="283"/>
        <v>0.172402</v>
      </c>
      <c r="W501" s="3843">
        <f t="shared" si="284"/>
        <v>0</v>
      </c>
      <c r="X501" s="2846">
        <f>'Income Eligible Deemed Table'!J1132</f>
        <v>12</v>
      </c>
      <c r="Y501" s="2846"/>
      <c r="Z501" s="2846">
        <f t="shared" si="286"/>
        <v>12</v>
      </c>
      <c r="AA501" s="2529">
        <f>'Income Eligible Deemed Table'!DG1132</f>
        <v>1.0532300926764211</v>
      </c>
      <c r="AB501" s="3878">
        <f>'Income Eligible Deemed Table'!K1132</f>
        <v>300</v>
      </c>
      <c r="AC501" s="3864">
        <f t="shared" si="287"/>
        <v>315.96902780292635</v>
      </c>
      <c r="AD501" s="3864">
        <f t="shared" si="281"/>
        <v>0</v>
      </c>
      <c r="AE501" s="3865">
        <f>'Income Eligible Deemed Table'!DI1132</f>
        <v>315.96902780292635</v>
      </c>
      <c r="AF501" s="3846"/>
      <c r="AG501" s="3846"/>
      <c r="AH501" s="3846"/>
      <c r="AI501" s="2233" t="str">
        <f>'Income Eligible Deemed Table'!L1132</f>
        <v>per measure</v>
      </c>
      <c r="AJ501" s="2724"/>
      <c r="AX501" s="3849" t="str">
        <f t="shared" si="288"/>
        <v>AC - Energy Star Room_5kBtu_MF</v>
      </c>
      <c r="AY501" s="2724"/>
      <c r="AZ501" s="3850" t="str">
        <f t="shared" si="289"/>
        <v>405951</v>
      </c>
      <c r="BA501" s="3866" t="s">
        <v>1303</v>
      </c>
      <c r="BB501" s="3866" t="s">
        <v>1303</v>
      </c>
      <c r="BC501" s="3866" t="s">
        <v>1303</v>
      </c>
      <c r="BD501" s="3866" t="s">
        <v>1303</v>
      </c>
      <c r="BE501" s="3853"/>
      <c r="BF501" s="3866" t="s">
        <v>1303</v>
      </c>
      <c r="BG501" s="3866" t="s">
        <v>1303</v>
      </c>
      <c r="BH501" s="3866" t="s">
        <v>1303</v>
      </c>
      <c r="BI501" s="3867" t="s">
        <v>1303</v>
      </c>
      <c r="BJ501" s="3853"/>
      <c r="BK501" s="3866" t="s">
        <v>1303</v>
      </c>
      <c r="BL501" s="3867" t="s">
        <v>1303</v>
      </c>
      <c r="BM501" s="3866" t="s">
        <v>1303</v>
      </c>
      <c r="BN501" s="3867" t="s">
        <v>1303</v>
      </c>
    </row>
    <row r="502" spans="1:66" s="696" customFormat="1">
      <c r="A502" s="2958" t="str">
        <f t="shared" si="285"/>
        <v>405952</v>
      </c>
      <c r="B502" s="2233" t="str">
        <f>'Income Eligible Deemed Table'!C1136</f>
        <v>405952_2024_12_</v>
      </c>
      <c r="C502" s="2724" t="str">
        <f>'Income Eligible Deemed Table'!G1136</f>
        <v>Cooling RES</v>
      </c>
      <c r="D502" s="2724"/>
      <c r="E502" s="2724"/>
      <c r="F502" s="2724"/>
      <c r="G502" s="2724" t="str">
        <f>'Income Eligible Deemed Table'!E1136</f>
        <v>AC - Energy Star Room_8kBtu_MF</v>
      </c>
      <c r="H502" s="2554" t="str">
        <f>'Income Eligible Deemed Table'!D1136</f>
        <v>MFIE</v>
      </c>
      <c r="I502" s="3840">
        <f t="shared" si="296"/>
        <v>291.16000000000003</v>
      </c>
      <c r="J502" s="3840">
        <f t="shared" si="297"/>
        <v>0</v>
      </c>
      <c r="K502" s="3251">
        <f>'Income Eligible Deemed Table'!F1136</f>
        <v>291.16000000000003</v>
      </c>
      <c r="L502" s="3251"/>
      <c r="M502" s="3251"/>
      <c r="N502" s="3251"/>
      <c r="O502" s="3841">
        <f t="shared" si="298"/>
        <v>0.27584999999999998</v>
      </c>
      <c r="P502" s="3841">
        <f t="shared" si="299"/>
        <v>0</v>
      </c>
      <c r="Q502" s="3842">
        <f>'Income Eligible Deemed Table'!I1136</f>
        <v>0.27584999999999998</v>
      </c>
      <c r="R502" s="3842"/>
      <c r="S502" s="3842"/>
      <c r="T502" s="3842"/>
      <c r="U502" s="3843">
        <f t="shared" si="282"/>
        <v>0</v>
      </c>
      <c r="V502" s="3843">
        <f t="shared" si="283"/>
        <v>0.27584999999999998</v>
      </c>
      <c r="W502" s="3843">
        <f t="shared" si="284"/>
        <v>0</v>
      </c>
      <c r="X502" s="2846">
        <f>'Income Eligible Deemed Table'!J1136</f>
        <v>12</v>
      </c>
      <c r="Y502" s="2846"/>
      <c r="Z502" s="2846">
        <f t="shared" si="286"/>
        <v>12</v>
      </c>
      <c r="AA502" s="2529">
        <f>'Income Eligible Deemed Table'!DG1136</f>
        <v>1.6852144517429621</v>
      </c>
      <c r="AB502" s="3878">
        <f>'Income Eligible Deemed Table'!K1136</f>
        <v>300</v>
      </c>
      <c r="AC502" s="3864">
        <f t="shared" si="287"/>
        <v>505.56433552288865</v>
      </c>
      <c r="AD502" s="3864">
        <f t="shared" ref="AD502:AD523" si="300">AG502+AH502</f>
        <v>0</v>
      </c>
      <c r="AE502" s="3865">
        <f>'Income Eligible Deemed Table'!DI1136</f>
        <v>505.56433552288865</v>
      </c>
      <c r="AF502" s="3846"/>
      <c r="AG502" s="3846"/>
      <c r="AH502" s="3846"/>
      <c r="AI502" s="2233" t="str">
        <f>'Income Eligible Deemed Table'!L1136</f>
        <v>per measure</v>
      </c>
      <c r="AJ502" s="2724"/>
      <c r="AX502" s="3849" t="str">
        <f t="shared" si="288"/>
        <v>AC - Energy Star Room_8kBtu_MF</v>
      </c>
      <c r="AY502" s="2724"/>
      <c r="AZ502" s="3850" t="str">
        <f t="shared" si="289"/>
        <v>405952</v>
      </c>
      <c r="BA502" s="3866" t="s">
        <v>1303</v>
      </c>
      <c r="BB502" s="3866" t="s">
        <v>1303</v>
      </c>
      <c r="BC502" s="3866" t="s">
        <v>1303</v>
      </c>
      <c r="BD502" s="3866" t="s">
        <v>1303</v>
      </c>
      <c r="BE502" s="3853"/>
      <c r="BF502" s="3866" t="s">
        <v>1303</v>
      </c>
      <c r="BG502" s="3866" t="s">
        <v>1303</v>
      </c>
      <c r="BH502" s="3866" t="s">
        <v>1303</v>
      </c>
      <c r="BI502" s="3867" t="s">
        <v>1303</v>
      </c>
      <c r="BJ502" s="3853"/>
      <c r="BK502" s="3866" t="s">
        <v>1303</v>
      </c>
      <c r="BL502" s="3867" t="s">
        <v>1303</v>
      </c>
      <c r="BM502" s="3866" t="s">
        <v>1303</v>
      </c>
      <c r="BN502" s="3867" t="s">
        <v>1303</v>
      </c>
    </row>
    <row r="503" spans="1:66" s="696" customFormat="1">
      <c r="A503" s="2958" t="str">
        <f t="shared" si="285"/>
        <v>405953</v>
      </c>
      <c r="B503" s="2233" t="str">
        <f>'Income Eligible Deemed Table'!C1140</f>
        <v>405953_2024_12_</v>
      </c>
      <c r="C503" s="2724" t="str">
        <f>'Income Eligible Deemed Table'!G1140</f>
        <v>Cooling RES</v>
      </c>
      <c r="D503" s="2724"/>
      <c r="E503" s="2724"/>
      <c r="F503" s="2724"/>
      <c r="G503" s="2724" t="str">
        <f>'Income Eligible Deemed Table'!E1140</f>
        <v>AC - Energy Star Room_10kBtu_MF</v>
      </c>
      <c r="H503" s="2554" t="str">
        <f>'Income Eligible Deemed Table'!D1140</f>
        <v>MFIE</v>
      </c>
      <c r="I503" s="3840">
        <f t="shared" si="296"/>
        <v>363.95</v>
      </c>
      <c r="J503" s="3840">
        <f t="shared" si="297"/>
        <v>0</v>
      </c>
      <c r="K503" s="3251">
        <f>'Income Eligible Deemed Table'!F1140</f>
        <v>363.95</v>
      </c>
      <c r="L503" s="3251"/>
      <c r="M503" s="3251"/>
      <c r="N503" s="3251"/>
      <c r="O503" s="3841">
        <f t="shared" si="298"/>
        <v>0.34481299999999998</v>
      </c>
      <c r="P503" s="3841">
        <f t="shared" si="299"/>
        <v>0</v>
      </c>
      <c r="Q503" s="3842">
        <f>'Income Eligible Deemed Table'!I1140</f>
        <v>0.34481299999999998</v>
      </c>
      <c r="R503" s="3842"/>
      <c r="S503" s="3842"/>
      <c r="T503" s="3842"/>
      <c r="U503" s="3843">
        <f t="shared" si="282"/>
        <v>0</v>
      </c>
      <c r="V503" s="3843">
        <f t="shared" si="283"/>
        <v>0.34481299999999998</v>
      </c>
      <c r="W503" s="3843">
        <f t="shared" si="284"/>
        <v>0</v>
      </c>
      <c r="X503" s="2846">
        <f>'Income Eligible Deemed Table'!J1140</f>
        <v>12</v>
      </c>
      <c r="Y503" s="2846"/>
      <c r="Z503" s="2846">
        <f t="shared" si="286"/>
        <v>12</v>
      </c>
      <c r="AA503" s="2529">
        <f>'Income Eligible Deemed Table'!DG1140</f>
        <v>2.1065180646787027</v>
      </c>
      <c r="AB503" s="3878">
        <f>'Income Eligible Deemed Table'!K1140</f>
        <v>300</v>
      </c>
      <c r="AC503" s="3864">
        <f t="shared" si="287"/>
        <v>631.95541940361079</v>
      </c>
      <c r="AD503" s="3864">
        <f t="shared" si="300"/>
        <v>0</v>
      </c>
      <c r="AE503" s="3865">
        <f>'Income Eligible Deemed Table'!DI1140</f>
        <v>631.95541940361079</v>
      </c>
      <c r="AF503" s="3846"/>
      <c r="AG503" s="3846"/>
      <c r="AH503" s="3846"/>
      <c r="AI503" s="2233" t="str">
        <f>'Income Eligible Deemed Table'!L1140</f>
        <v>per measure</v>
      </c>
      <c r="AJ503" s="2724"/>
      <c r="AX503" s="3849" t="str">
        <f t="shared" si="288"/>
        <v>AC - Energy Star Room_10kBtu_MF</v>
      </c>
      <c r="AY503" s="2724"/>
      <c r="AZ503" s="3850" t="str">
        <f t="shared" si="289"/>
        <v>405953</v>
      </c>
      <c r="BA503" s="3866" t="s">
        <v>1303</v>
      </c>
      <c r="BB503" s="3866" t="s">
        <v>1303</v>
      </c>
      <c r="BC503" s="3866" t="s">
        <v>1303</v>
      </c>
      <c r="BD503" s="3866" t="s">
        <v>1303</v>
      </c>
      <c r="BE503" s="3853"/>
      <c r="BF503" s="3866" t="s">
        <v>1303</v>
      </c>
      <c r="BG503" s="3866" t="s">
        <v>1303</v>
      </c>
      <c r="BH503" s="3866" t="s">
        <v>1303</v>
      </c>
      <c r="BI503" s="3867" t="s">
        <v>1303</v>
      </c>
      <c r="BJ503" s="3853"/>
      <c r="BK503" s="3866" t="s">
        <v>1303</v>
      </c>
      <c r="BL503" s="3867" t="s">
        <v>1303</v>
      </c>
      <c r="BM503" s="3866" t="s">
        <v>1303</v>
      </c>
      <c r="BN503" s="3867" t="s">
        <v>1303</v>
      </c>
    </row>
    <row r="504" spans="1:66" s="696" customFormat="1">
      <c r="A504" s="2958" t="str">
        <f t="shared" si="285"/>
        <v>405954</v>
      </c>
      <c r="B504" s="2233" t="str">
        <f>'Income Eligible Deemed Table'!C1144</f>
        <v>405954_2024_12_</v>
      </c>
      <c r="C504" s="2724" t="str">
        <f>'Income Eligible Deemed Table'!G1144</f>
        <v>Cooling RES</v>
      </c>
      <c r="D504" s="2724"/>
      <c r="E504" s="2724"/>
      <c r="F504" s="2724"/>
      <c r="G504" s="2724" t="str">
        <f>'Income Eligible Deemed Table'!E1144</f>
        <v>AC - Energy Star Room_12kBtu_MF</v>
      </c>
      <c r="H504" s="2554" t="str">
        <f>'Income Eligible Deemed Table'!D1144</f>
        <v>MFIE</v>
      </c>
      <c r="I504" s="3840">
        <f t="shared" si="296"/>
        <v>436.74</v>
      </c>
      <c r="J504" s="3840">
        <f t="shared" si="297"/>
        <v>0</v>
      </c>
      <c r="K504" s="3251">
        <f>'Income Eligible Deemed Table'!F1144</f>
        <v>436.74</v>
      </c>
      <c r="L504" s="3251"/>
      <c r="M504" s="3251"/>
      <c r="N504" s="3251"/>
      <c r="O504" s="3841">
        <f t="shared" si="298"/>
        <v>0.413775</v>
      </c>
      <c r="P504" s="3841">
        <f t="shared" si="299"/>
        <v>0</v>
      </c>
      <c r="Q504" s="3842">
        <f>'Income Eligible Deemed Table'!I1144</f>
        <v>0.413775</v>
      </c>
      <c r="R504" s="3842"/>
      <c r="S504" s="3842"/>
      <c r="T504" s="3842"/>
      <c r="U504" s="3843">
        <f t="shared" si="282"/>
        <v>0</v>
      </c>
      <c r="V504" s="3843">
        <f t="shared" si="283"/>
        <v>0.413775</v>
      </c>
      <c r="W504" s="3843">
        <f t="shared" si="284"/>
        <v>0</v>
      </c>
      <c r="X504" s="2846">
        <f>'Income Eligible Deemed Table'!J1144</f>
        <v>12</v>
      </c>
      <c r="Y504" s="2846"/>
      <c r="Z504" s="2846">
        <f t="shared" si="286"/>
        <v>12</v>
      </c>
      <c r="AA504" s="2529">
        <f>'Income Eligible Deemed Table'!DG1144</f>
        <v>2.5278216776144431</v>
      </c>
      <c r="AB504" s="3878">
        <f>'Income Eligible Deemed Table'!K1144</f>
        <v>300</v>
      </c>
      <c r="AC504" s="3864">
        <f t="shared" si="287"/>
        <v>758.34650328433293</v>
      </c>
      <c r="AD504" s="3864">
        <f t="shared" si="300"/>
        <v>0</v>
      </c>
      <c r="AE504" s="3865">
        <f>'Income Eligible Deemed Table'!DI1144</f>
        <v>758.34650328433293</v>
      </c>
      <c r="AF504" s="3846"/>
      <c r="AG504" s="3846"/>
      <c r="AH504" s="3846"/>
      <c r="AI504" s="2233" t="str">
        <f>'Income Eligible Deemed Table'!L1144</f>
        <v>per measure</v>
      </c>
      <c r="AJ504" s="2724"/>
      <c r="AX504" s="3849" t="str">
        <f t="shared" si="288"/>
        <v>AC - Energy Star Room_12kBtu_MF</v>
      </c>
      <c r="AY504" s="2724"/>
      <c r="AZ504" s="3850" t="str">
        <f t="shared" si="289"/>
        <v>405954</v>
      </c>
      <c r="BA504" s="3866" t="s">
        <v>1303</v>
      </c>
      <c r="BB504" s="3866" t="s">
        <v>1303</v>
      </c>
      <c r="BC504" s="3866" t="s">
        <v>1303</v>
      </c>
      <c r="BD504" s="3866" t="s">
        <v>1303</v>
      </c>
      <c r="BE504" s="3853"/>
      <c r="BF504" s="3866" t="s">
        <v>1303</v>
      </c>
      <c r="BG504" s="3866" t="s">
        <v>1303</v>
      </c>
      <c r="BH504" s="3866" t="s">
        <v>1303</v>
      </c>
      <c r="BI504" s="3867" t="s">
        <v>1303</v>
      </c>
      <c r="BJ504" s="3853"/>
      <c r="BK504" s="3866" t="s">
        <v>1303</v>
      </c>
      <c r="BL504" s="3867" t="s">
        <v>1303</v>
      </c>
      <c r="BM504" s="3866" t="s">
        <v>1303</v>
      </c>
      <c r="BN504" s="3867" t="s">
        <v>1303</v>
      </c>
    </row>
    <row r="505" spans="1:66" s="696" customFormat="1">
      <c r="A505" s="2958" t="str">
        <f t="shared" si="285"/>
        <v>405955</v>
      </c>
      <c r="B505" s="2233" t="str">
        <f>'Income Eligible Deemed Table'!C1148</f>
        <v>405955_2024_12_</v>
      </c>
      <c r="C505" s="2724" t="str">
        <f>'Income Eligible Deemed Table'!G1148</f>
        <v>Cooling RES</v>
      </c>
      <c r="D505" s="2724"/>
      <c r="E505" s="2724"/>
      <c r="F505" s="2724"/>
      <c r="G505" s="2724" t="str">
        <f>'Income Eligible Deemed Table'!E1148</f>
        <v>AC - Energy Star Room_15kBtu_MF</v>
      </c>
      <c r="H505" s="2554" t="str">
        <f>'Income Eligible Deemed Table'!D1148</f>
        <v>MFIE</v>
      </c>
      <c r="I505" s="3840">
        <f t="shared" si="296"/>
        <v>545.91999999999996</v>
      </c>
      <c r="J505" s="3840">
        <f t="shared" si="297"/>
        <v>0</v>
      </c>
      <c r="K505" s="3251">
        <f>'Income Eligible Deemed Table'!F1148</f>
        <v>545.91999999999996</v>
      </c>
      <c r="L505" s="3251"/>
      <c r="M505" s="3251"/>
      <c r="N505" s="3251"/>
      <c r="O505" s="3841">
        <f t="shared" si="298"/>
        <v>0.51721399999999995</v>
      </c>
      <c r="P505" s="3841">
        <f t="shared" si="299"/>
        <v>0</v>
      </c>
      <c r="Q505" s="3842">
        <f>'Income Eligible Deemed Table'!I1148</f>
        <v>0.51721399999999995</v>
      </c>
      <c r="R505" s="3842"/>
      <c r="S505" s="3842"/>
      <c r="T505" s="3842"/>
      <c r="U505" s="3843">
        <f t="shared" si="282"/>
        <v>0</v>
      </c>
      <c r="V505" s="3843">
        <f t="shared" si="283"/>
        <v>0.51721399999999995</v>
      </c>
      <c r="W505" s="3843">
        <f t="shared" si="284"/>
        <v>0</v>
      </c>
      <c r="X505" s="2846">
        <f>'Income Eligible Deemed Table'!J1148</f>
        <v>12</v>
      </c>
      <c r="Y505" s="2846"/>
      <c r="Z505" s="2846">
        <f t="shared" si="286"/>
        <v>12</v>
      </c>
      <c r="AA505" s="2529">
        <f>'Income Eligible Deemed Table'!DG1148</f>
        <v>3.1597481573551236</v>
      </c>
      <c r="AB505" s="3878">
        <f>'Income Eligible Deemed Table'!K1148</f>
        <v>300</v>
      </c>
      <c r="AC505" s="3864">
        <f t="shared" si="287"/>
        <v>947.92444720653702</v>
      </c>
      <c r="AD505" s="3864">
        <f t="shared" si="300"/>
        <v>0</v>
      </c>
      <c r="AE505" s="3865">
        <f>'Income Eligible Deemed Table'!DI1148</f>
        <v>947.92444720653702</v>
      </c>
      <c r="AF505" s="3846"/>
      <c r="AG505" s="3846"/>
      <c r="AH505" s="3846"/>
      <c r="AI505" s="2233" t="str">
        <f>'Income Eligible Deemed Table'!L1148</f>
        <v>per measure</v>
      </c>
      <c r="AJ505" s="2724"/>
      <c r="AX505" s="3849" t="str">
        <f t="shared" si="288"/>
        <v>AC - Energy Star Room_15kBtu_MF</v>
      </c>
      <c r="AY505" s="2724"/>
      <c r="AZ505" s="3850" t="str">
        <f t="shared" si="289"/>
        <v>405955</v>
      </c>
      <c r="BA505" s="3866" t="s">
        <v>1303</v>
      </c>
      <c r="BB505" s="3866" t="s">
        <v>1303</v>
      </c>
      <c r="BC505" s="3866" t="s">
        <v>1303</v>
      </c>
      <c r="BD505" s="3866" t="s">
        <v>1303</v>
      </c>
      <c r="BE505" s="3853"/>
      <c r="BF505" s="3866" t="s">
        <v>1303</v>
      </c>
      <c r="BG505" s="3866" t="s">
        <v>1303</v>
      </c>
      <c r="BH505" s="3866" t="s">
        <v>1303</v>
      </c>
      <c r="BI505" s="3867" t="s">
        <v>1303</v>
      </c>
      <c r="BJ505" s="3853"/>
      <c r="BK505" s="3866" t="s">
        <v>1303</v>
      </c>
      <c r="BL505" s="3867" t="s">
        <v>1303</v>
      </c>
      <c r="BM505" s="3866" t="s">
        <v>1303</v>
      </c>
      <c r="BN505" s="3867" t="s">
        <v>1303</v>
      </c>
    </row>
    <row r="506" spans="1:66">
      <c r="A506" s="51" t="str">
        <f t="shared" si="285"/>
        <v>406000</v>
      </c>
      <c r="B506" s="1442" t="str">
        <f>'Income Eligible Deemed Table'!C1129</f>
        <v>406000_2024_12_</v>
      </c>
      <c r="C506" s="1378" t="str">
        <f>'Income Eligible Deemed Table'!G1129</f>
        <v>Cooling RES</v>
      </c>
      <c r="D506" s="1378"/>
      <c r="E506" s="1378"/>
      <c r="F506" s="1378"/>
      <c r="G506" s="1378" t="str">
        <f>'Income Eligible Deemed Table'!E1129</f>
        <v>AC - Energy Star Room _unknown size_SF</v>
      </c>
      <c r="H506" s="19" t="str">
        <f>'Income Eligible Deemed Table'!D1129</f>
        <v>SFIE</v>
      </c>
      <c r="I506" s="785">
        <f t="shared" si="296"/>
        <v>400.38</v>
      </c>
      <c r="J506" s="785">
        <f t="shared" si="297"/>
        <v>0</v>
      </c>
      <c r="K506" s="202">
        <f>'Income Eligible Deemed Table'!F1129</f>
        <v>400.38</v>
      </c>
      <c r="L506" s="202"/>
      <c r="M506" s="202"/>
      <c r="N506" s="202"/>
      <c r="O506" s="786">
        <f t="shared" si="298"/>
        <v>0.37932700000000003</v>
      </c>
      <c r="P506" s="786">
        <f t="shared" si="299"/>
        <v>0</v>
      </c>
      <c r="Q506" s="787">
        <f>'Income Eligible Deemed Table'!I1129</f>
        <v>0.37932700000000003</v>
      </c>
      <c r="R506" s="787"/>
      <c r="S506" s="787"/>
      <c r="T506" s="787"/>
      <c r="U506" s="788">
        <f t="shared" ref="U506:U549" si="301">IFERROR(IF(V506+W506&gt;0,0,IF(Z506&gt;0,O506,0)),0)</f>
        <v>0</v>
      </c>
      <c r="V506" s="788">
        <f t="shared" ref="V506:V549" si="302">IF(W506&gt;0,0,IF(Z506&gt;9,O506,0))</f>
        <v>0.37932700000000003</v>
      </c>
      <c r="W506" s="788">
        <f t="shared" ref="W506:W549" si="303">IF(Z506&gt;14,O506,0)</f>
        <v>0</v>
      </c>
      <c r="X506" s="23">
        <f>'Income Eligible Deemed Table'!J1129</f>
        <v>12</v>
      </c>
      <c r="Y506" s="23"/>
      <c r="Z506" s="23">
        <f t="shared" si="286"/>
        <v>12</v>
      </c>
      <c r="AA506" s="18">
        <f>'Income Eligible Deemed Table'!DG1129</f>
        <v>2.3173724487870828</v>
      </c>
      <c r="AB506" s="259">
        <f>'Income Eligible Deemed Table'!K1129</f>
        <v>300</v>
      </c>
      <c r="AC506" s="902">
        <f t="shared" si="287"/>
        <v>695.2117346361249</v>
      </c>
      <c r="AD506" s="902">
        <f t="shared" si="300"/>
        <v>0</v>
      </c>
      <c r="AE506" s="610">
        <f>'Income Eligible Deemed Table'!DI1129</f>
        <v>695.2117346361249</v>
      </c>
      <c r="AF506" s="208"/>
      <c r="AG506" s="208"/>
      <c r="AH506" s="208"/>
      <c r="AI506" s="1442" t="str">
        <f>'Income Eligible Deemed Table'!L1129</f>
        <v>per measure</v>
      </c>
      <c r="AJ506" s="71"/>
      <c r="AX506" s="1355" t="str">
        <f t="shared" si="288"/>
        <v>AC - Energy Star Room _unknown size_SF</v>
      </c>
      <c r="AY506" s="1378"/>
      <c r="AZ506" s="1446" t="str">
        <f t="shared" si="289"/>
        <v>406000</v>
      </c>
      <c r="BA506" s="1300" t="s">
        <v>1303</v>
      </c>
      <c r="BB506" s="1300" t="s">
        <v>1303</v>
      </c>
      <c r="BC506" s="1300" t="s">
        <v>1303</v>
      </c>
      <c r="BD506" s="1300" t="s">
        <v>1303</v>
      </c>
      <c r="BE506" s="1305"/>
      <c r="BF506" s="1300" t="s">
        <v>1303</v>
      </c>
      <c r="BG506" s="1300" t="s">
        <v>1303</v>
      </c>
      <c r="BH506" s="1300" t="s">
        <v>1303</v>
      </c>
      <c r="BI506" s="1301" t="s">
        <v>1303</v>
      </c>
      <c r="BJ506" s="1305"/>
      <c r="BK506" s="1300" t="s">
        <v>1303</v>
      </c>
      <c r="BL506" s="1301" t="s">
        <v>1303</v>
      </c>
      <c r="BM506" s="1300" t="s">
        <v>1303</v>
      </c>
      <c r="BN506" s="1301" t="s">
        <v>1303</v>
      </c>
    </row>
    <row r="507" spans="1:66" s="696" customFormat="1">
      <c r="A507" s="2958" t="str">
        <f t="shared" si="285"/>
        <v>406001</v>
      </c>
      <c r="B507" s="2233" t="str">
        <f>'Income Eligible Deemed Table'!C1133</f>
        <v>406001_2024_12_</v>
      </c>
      <c r="C507" s="2724" t="str">
        <f>'Income Eligible Deemed Table'!G1133</f>
        <v>Cooling RES</v>
      </c>
      <c r="D507" s="2724"/>
      <c r="E507" s="2724"/>
      <c r="F507" s="2724"/>
      <c r="G507" s="2724" t="str">
        <f>'Income Eligible Deemed Table'!E1133</f>
        <v>AC - Energy Star Room_5kBtu_SF</v>
      </c>
      <c r="H507" s="2554" t="str">
        <f>'Income Eligible Deemed Table'!D1133</f>
        <v>SFIE</v>
      </c>
      <c r="I507" s="3840">
        <f t="shared" si="296"/>
        <v>193.94</v>
      </c>
      <c r="J507" s="3840">
        <f t="shared" si="297"/>
        <v>0</v>
      </c>
      <c r="K507" s="3251">
        <f>'Income Eligible Deemed Table'!F1133</f>
        <v>193.94</v>
      </c>
      <c r="L507" s="3251"/>
      <c r="M507" s="3251"/>
      <c r="N507" s="3251"/>
      <c r="O507" s="3841">
        <f t="shared" si="298"/>
        <v>0.18374199999999999</v>
      </c>
      <c r="P507" s="3841">
        <f t="shared" si="299"/>
        <v>0</v>
      </c>
      <c r="Q507" s="3842">
        <f>'Income Eligible Deemed Table'!I1133</f>
        <v>0.18374199999999999</v>
      </c>
      <c r="R507" s="3842"/>
      <c r="S507" s="3842"/>
      <c r="T507" s="3842"/>
      <c r="U507" s="3843">
        <f t="shared" si="301"/>
        <v>0</v>
      </c>
      <c r="V507" s="3843">
        <f t="shared" si="302"/>
        <v>0.18374199999999999</v>
      </c>
      <c r="W507" s="3843">
        <f t="shared" si="303"/>
        <v>0</v>
      </c>
      <c r="X507" s="2846">
        <f>'Income Eligible Deemed Table'!J1133</f>
        <v>12</v>
      </c>
      <c r="Y507" s="2846"/>
      <c r="Z507" s="2846">
        <f t="shared" si="286"/>
        <v>12</v>
      </c>
      <c r="AA507" s="2529">
        <f>'Income Eligible Deemed Table'!DG1133</f>
        <v>1.1225116457309727</v>
      </c>
      <c r="AB507" s="3878">
        <f>'Income Eligible Deemed Table'!K1133</f>
        <v>300</v>
      </c>
      <c r="AC507" s="3864">
        <f t="shared" si="287"/>
        <v>336.75349371929184</v>
      </c>
      <c r="AD507" s="3864">
        <f t="shared" si="300"/>
        <v>0</v>
      </c>
      <c r="AE507" s="3865">
        <f>'Income Eligible Deemed Table'!DI1133</f>
        <v>336.75349371929184</v>
      </c>
      <c r="AF507" s="3846"/>
      <c r="AG507" s="3846"/>
      <c r="AH507" s="3846"/>
      <c r="AI507" s="2233" t="str">
        <f>'Income Eligible Deemed Table'!L1133</f>
        <v>per measure</v>
      </c>
      <c r="AJ507" s="2724"/>
      <c r="AX507" s="3849" t="str">
        <f t="shared" si="288"/>
        <v>AC - Energy Star Room_5kBtu_SF</v>
      </c>
      <c r="AY507" s="2724"/>
      <c r="AZ507" s="3850" t="str">
        <f t="shared" si="289"/>
        <v>406001</v>
      </c>
      <c r="BA507" s="3866" t="s">
        <v>1303</v>
      </c>
      <c r="BB507" s="3866" t="s">
        <v>1303</v>
      </c>
      <c r="BC507" s="3866" t="s">
        <v>1303</v>
      </c>
      <c r="BD507" s="3866" t="s">
        <v>1303</v>
      </c>
      <c r="BE507" s="3853"/>
      <c r="BF507" s="3866" t="s">
        <v>1303</v>
      </c>
      <c r="BG507" s="3866" t="s">
        <v>1303</v>
      </c>
      <c r="BH507" s="3866" t="s">
        <v>1303</v>
      </c>
      <c r="BI507" s="3867" t="s">
        <v>1303</v>
      </c>
      <c r="BJ507" s="3853"/>
      <c r="BK507" s="3866" t="s">
        <v>1303</v>
      </c>
      <c r="BL507" s="3867" t="s">
        <v>1303</v>
      </c>
      <c r="BM507" s="3866" t="s">
        <v>1303</v>
      </c>
      <c r="BN507" s="3867" t="s">
        <v>1303</v>
      </c>
    </row>
    <row r="508" spans="1:66" s="696" customFormat="1">
      <c r="A508" s="2958" t="str">
        <f t="shared" si="285"/>
        <v>406002</v>
      </c>
      <c r="B508" s="2233" t="str">
        <f>'Income Eligible Deemed Table'!C1137</f>
        <v>406002_2024_12_</v>
      </c>
      <c r="C508" s="2724" t="str">
        <f>'Income Eligible Deemed Table'!G1137</f>
        <v>Cooling RES</v>
      </c>
      <c r="D508" s="2724"/>
      <c r="E508" s="2724"/>
      <c r="F508" s="2724"/>
      <c r="G508" s="2724" t="str">
        <f>'Income Eligible Deemed Table'!E1137</f>
        <v>AC - Energy Star Room_8kBtu_SF</v>
      </c>
      <c r="H508" s="2554" t="str">
        <f>'Income Eligible Deemed Table'!D1137</f>
        <v>SFIE</v>
      </c>
      <c r="I508" s="3840">
        <f t="shared" si="296"/>
        <v>310.3</v>
      </c>
      <c r="J508" s="3840">
        <f t="shared" si="297"/>
        <v>0</v>
      </c>
      <c r="K508" s="3251">
        <f>'Income Eligible Deemed Table'!F1137</f>
        <v>310.3</v>
      </c>
      <c r="L508" s="3251"/>
      <c r="M508" s="3251"/>
      <c r="N508" s="3251"/>
      <c r="O508" s="3841">
        <f t="shared" si="298"/>
        <v>0.29398400000000002</v>
      </c>
      <c r="P508" s="3841">
        <f t="shared" si="299"/>
        <v>0</v>
      </c>
      <c r="Q508" s="3842">
        <f>'Income Eligible Deemed Table'!I1137</f>
        <v>0.29398400000000002</v>
      </c>
      <c r="R508" s="3842"/>
      <c r="S508" s="3842"/>
      <c r="T508" s="3842"/>
      <c r="U508" s="3843">
        <f t="shared" si="301"/>
        <v>0</v>
      </c>
      <c r="V508" s="3843">
        <f t="shared" si="302"/>
        <v>0.29398400000000002</v>
      </c>
      <c r="W508" s="3843">
        <f t="shared" si="303"/>
        <v>0</v>
      </c>
      <c r="X508" s="2846">
        <f>'Income Eligible Deemed Table'!J1137</f>
        <v>12</v>
      </c>
      <c r="Y508" s="2846"/>
      <c r="Z508" s="2846">
        <f t="shared" si="286"/>
        <v>12</v>
      </c>
      <c r="AA508" s="2529">
        <f>'Income Eligible Deemed Table'!DG1137</f>
        <v>1.7959954814392127</v>
      </c>
      <c r="AB508" s="3878">
        <f>'Income Eligible Deemed Table'!K1137</f>
        <v>300</v>
      </c>
      <c r="AC508" s="3864">
        <f t="shared" si="287"/>
        <v>538.79864443176382</v>
      </c>
      <c r="AD508" s="3864">
        <f t="shared" si="300"/>
        <v>0</v>
      </c>
      <c r="AE508" s="3865">
        <f>'Income Eligible Deemed Table'!DI1137</f>
        <v>538.79864443176382</v>
      </c>
      <c r="AF508" s="3846"/>
      <c r="AG508" s="3846"/>
      <c r="AH508" s="3846"/>
      <c r="AI508" s="2233" t="str">
        <f>'Income Eligible Deemed Table'!L1137</f>
        <v>per measure</v>
      </c>
      <c r="AJ508" s="2724"/>
      <c r="AX508" s="3849" t="str">
        <f t="shared" si="288"/>
        <v>AC - Energy Star Room_8kBtu_SF</v>
      </c>
      <c r="AY508" s="2724"/>
      <c r="AZ508" s="3850" t="str">
        <f t="shared" si="289"/>
        <v>406002</v>
      </c>
      <c r="BA508" s="3866" t="s">
        <v>1303</v>
      </c>
      <c r="BB508" s="3866" t="s">
        <v>1303</v>
      </c>
      <c r="BC508" s="3866" t="s">
        <v>1303</v>
      </c>
      <c r="BD508" s="3866" t="s">
        <v>1303</v>
      </c>
      <c r="BE508" s="3853"/>
      <c r="BF508" s="3866" t="s">
        <v>1303</v>
      </c>
      <c r="BG508" s="3866" t="s">
        <v>1303</v>
      </c>
      <c r="BH508" s="3866" t="s">
        <v>1303</v>
      </c>
      <c r="BI508" s="3867" t="s">
        <v>1303</v>
      </c>
      <c r="BJ508" s="3853"/>
      <c r="BK508" s="3866" t="s">
        <v>1303</v>
      </c>
      <c r="BL508" s="3867" t="s">
        <v>1303</v>
      </c>
      <c r="BM508" s="3866" t="s">
        <v>1303</v>
      </c>
      <c r="BN508" s="3867" t="s">
        <v>1303</v>
      </c>
    </row>
    <row r="509" spans="1:66" s="696" customFormat="1">
      <c r="A509" s="2958" t="str">
        <f t="shared" si="285"/>
        <v>406003</v>
      </c>
      <c r="B509" s="2233" t="str">
        <f>'Income Eligible Deemed Table'!C1141</f>
        <v>406003_2024_12_</v>
      </c>
      <c r="C509" s="2724" t="str">
        <f>'Income Eligible Deemed Table'!G1141</f>
        <v>Cooling RES</v>
      </c>
      <c r="D509" s="2724"/>
      <c r="E509" s="2724"/>
      <c r="F509" s="2724"/>
      <c r="G509" s="2724" t="str">
        <f>'Income Eligible Deemed Table'!E1141</f>
        <v>AC - Energy Star Room_10kBtu_SF</v>
      </c>
      <c r="H509" s="2554" t="str">
        <f>'Income Eligible Deemed Table'!D1141</f>
        <v>SFIE</v>
      </c>
      <c r="I509" s="3840">
        <f t="shared" si="296"/>
        <v>387.88</v>
      </c>
      <c r="J509" s="3840">
        <f t="shared" si="297"/>
        <v>0</v>
      </c>
      <c r="K509" s="3251">
        <f>'Income Eligible Deemed Table'!F1141</f>
        <v>387.88</v>
      </c>
      <c r="L509" s="3251"/>
      <c r="M509" s="3251"/>
      <c r="N509" s="3251"/>
      <c r="O509" s="3841">
        <f t="shared" si="298"/>
        <v>0.36748500000000001</v>
      </c>
      <c r="P509" s="3841">
        <f t="shared" si="299"/>
        <v>0</v>
      </c>
      <c r="Q509" s="3842">
        <f>'Income Eligible Deemed Table'!I1141</f>
        <v>0.36748500000000001</v>
      </c>
      <c r="R509" s="3842"/>
      <c r="S509" s="3842"/>
      <c r="T509" s="3842"/>
      <c r="U509" s="3843">
        <f t="shared" si="301"/>
        <v>0</v>
      </c>
      <c r="V509" s="3843">
        <f t="shared" si="302"/>
        <v>0.36748500000000001</v>
      </c>
      <c r="W509" s="3843">
        <f t="shared" si="303"/>
        <v>0</v>
      </c>
      <c r="X509" s="2846">
        <f>'Income Eligible Deemed Table'!J1141</f>
        <v>12</v>
      </c>
      <c r="Y509" s="2846"/>
      <c r="Z509" s="2846">
        <f t="shared" si="286"/>
        <v>12</v>
      </c>
      <c r="AA509" s="2529">
        <f>'Income Eligible Deemed Table'!DG1141</f>
        <v>2.2450232914619455</v>
      </c>
      <c r="AB509" s="3878">
        <f>'Income Eligible Deemed Table'!K1141</f>
        <v>300</v>
      </c>
      <c r="AC509" s="3864">
        <f t="shared" si="287"/>
        <v>673.50698743858368</v>
      </c>
      <c r="AD509" s="3864">
        <f t="shared" si="300"/>
        <v>0</v>
      </c>
      <c r="AE509" s="3865">
        <f>'Income Eligible Deemed Table'!DI1141</f>
        <v>673.50698743858368</v>
      </c>
      <c r="AF509" s="3846"/>
      <c r="AG509" s="3846"/>
      <c r="AH509" s="3846"/>
      <c r="AI509" s="2233" t="str">
        <f>'Income Eligible Deemed Table'!L1141</f>
        <v>per measure</v>
      </c>
      <c r="AJ509" s="2724"/>
      <c r="AX509" s="3849" t="str">
        <f t="shared" si="288"/>
        <v>AC - Energy Star Room_10kBtu_SF</v>
      </c>
      <c r="AY509" s="2724"/>
      <c r="AZ509" s="3850" t="str">
        <f t="shared" si="289"/>
        <v>406003</v>
      </c>
      <c r="BA509" s="3866" t="s">
        <v>1303</v>
      </c>
      <c r="BB509" s="3866" t="s">
        <v>1303</v>
      </c>
      <c r="BC509" s="3866" t="s">
        <v>1303</v>
      </c>
      <c r="BD509" s="3866" t="s">
        <v>1303</v>
      </c>
      <c r="BE509" s="3853"/>
      <c r="BF509" s="3866" t="s">
        <v>1303</v>
      </c>
      <c r="BG509" s="3866" t="s">
        <v>1303</v>
      </c>
      <c r="BH509" s="3866" t="s">
        <v>1303</v>
      </c>
      <c r="BI509" s="3867" t="s">
        <v>1303</v>
      </c>
      <c r="BJ509" s="3853"/>
      <c r="BK509" s="3866" t="s">
        <v>1303</v>
      </c>
      <c r="BL509" s="3867" t="s">
        <v>1303</v>
      </c>
      <c r="BM509" s="3866" t="s">
        <v>1303</v>
      </c>
      <c r="BN509" s="3867" t="s">
        <v>1303</v>
      </c>
    </row>
    <row r="510" spans="1:66" s="41" customFormat="1">
      <c r="A510" s="51" t="str">
        <f t="shared" si="285"/>
        <v>406004</v>
      </c>
      <c r="B510" s="1442" t="str">
        <f>'Income Eligible Deemed Table'!C1145</f>
        <v>406004_2024_12_</v>
      </c>
      <c r="C510" s="1378" t="str">
        <f>'Income Eligible Deemed Table'!G1145</f>
        <v>Cooling RES</v>
      </c>
      <c r="D510" s="1378"/>
      <c r="E510" s="1378"/>
      <c r="F510" s="1378"/>
      <c r="G510" s="1378" t="str">
        <f>'Income Eligible Deemed Table'!E1145</f>
        <v>AC - Energy Star Room_12kBtu_SF</v>
      </c>
      <c r="H510" s="19" t="str">
        <f>'Income Eligible Deemed Table'!D1145</f>
        <v>SFIE</v>
      </c>
      <c r="I510" s="785">
        <f t="shared" si="296"/>
        <v>465.46</v>
      </c>
      <c r="J510" s="785">
        <f t="shared" si="297"/>
        <v>0</v>
      </c>
      <c r="K510" s="202">
        <f>'Income Eligible Deemed Table'!F1145</f>
        <v>465.46</v>
      </c>
      <c r="L510" s="202"/>
      <c r="M510" s="202"/>
      <c r="N510" s="202"/>
      <c r="O510" s="786">
        <f t="shared" si="298"/>
        <v>0.44098500000000002</v>
      </c>
      <c r="P510" s="786">
        <f t="shared" si="299"/>
        <v>0</v>
      </c>
      <c r="Q510" s="787">
        <f>'Income Eligible Deemed Table'!I1145</f>
        <v>0.44098500000000002</v>
      </c>
      <c r="R510" s="787"/>
      <c r="S510" s="787"/>
      <c r="T510" s="787"/>
      <c r="U510" s="788">
        <f t="shared" si="301"/>
        <v>0</v>
      </c>
      <c r="V510" s="788">
        <f t="shared" si="302"/>
        <v>0.44098500000000002</v>
      </c>
      <c r="W510" s="788">
        <f t="shared" si="303"/>
        <v>0</v>
      </c>
      <c r="X510" s="23">
        <f>'Income Eligible Deemed Table'!J1145</f>
        <v>12</v>
      </c>
      <c r="Y510" s="23"/>
      <c r="Z510" s="23">
        <f t="shared" si="286"/>
        <v>12</v>
      </c>
      <c r="AA510" s="18">
        <f>'Income Eligible Deemed Table'!DG1145</f>
        <v>2.6940511014846789</v>
      </c>
      <c r="AB510" s="259">
        <f>'Income Eligible Deemed Table'!K1145</f>
        <v>300</v>
      </c>
      <c r="AC510" s="902">
        <f t="shared" si="287"/>
        <v>808.21533044540365</v>
      </c>
      <c r="AD510" s="902">
        <f t="shared" si="300"/>
        <v>0</v>
      </c>
      <c r="AE510" s="610">
        <f>'Income Eligible Deemed Table'!DI1145</f>
        <v>808.21533044540365</v>
      </c>
      <c r="AF510" s="208"/>
      <c r="AG510" s="208"/>
      <c r="AH510" s="208"/>
      <c r="AI510" s="1442" t="str">
        <f>'Income Eligible Deemed Table'!L1145</f>
        <v>per measure</v>
      </c>
      <c r="AJ510" s="71"/>
      <c r="AK510"/>
      <c r="AL510"/>
      <c r="AM510"/>
      <c r="AN510"/>
      <c r="AO510"/>
      <c r="AP510"/>
      <c r="AQ510"/>
      <c r="AR510"/>
      <c r="AS510"/>
      <c r="AT510"/>
      <c r="AU510"/>
      <c r="AV510"/>
      <c r="AW510"/>
      <c r="AX510" s="1355" t="str">
        <f t="shared" si="288"/>
        <v>AC - Energy Star Room_12kBtu_SF</v>
      </c>
      <c r="AY510" s="1378"/>
      <c r="AZ510" s="1446" t="str">
        <f t="shared" si="289"/>
        <v>406004</v>
      </c>
      <c r="BA510" s="1300" t="s">
        <v>1303</v>
      </c>
      <c r="BB510" s="1300" t="s">
        <v>1303</v>
      </c>
      <c r="BC510" s="1300" t="s">
        <v>1303</v>
      </c>
      <c r="BD510" s="1300" t="s">
        <v>1303</v>
      </c>
      <c r="BE510" s="1306"/>
      <c r="BF510" s="1300" t="s">
        <v>1303</v>
      </c>
      <c r="BG510" s="1300" t="s">
        <v>1303</v>
      </c>
      <c r="BH510" s="1300" t="s">
        <v>1303</v>
      </c>
      <c r="BI510" s="1301" t="s">
        <v>1303</v>
      </c>
      <c r="BJ510" s="1305"/>
      <c r="BK510" s="1300" t="s">
        <v>1303</v>
      </c>
      <c r="BL510" s="1301" t="s">
        <v>1303</v>
      </c>
      <c r="BM510" s="1300" t="s">
        <v>1303</v>
      </c>
      <c r="BN510" s="1301" t="s">
        <v>1303</v>
      </c>
    </row>
    <row r="511" spans="1:66" s="696" customFormat="1">
      <c r="A511" s="2958" t="str">
        <f t="shared" si="285"/>
        <v>406005</v>
      </c>
      <c r="B511" s="2233" t="str">
        <f>'Income Eligible Deemed Table'!C1149</f>
        <v>406005_2024_12_</v>
      </c>
      <c r="C511" s="2724" t="str">
        <f>'Income Eligible Deemed Table'!G1149</f>
        <v>Cooling RES</v>
      </c>
      <c r="D511" s="2724"/>
      <c r="E511" s="2724"/>
      <c r="F511" s="2724"/>
      <c r="G511" s="2724" t="str">
        <f>'Income Eligible Deemed Table'!E1149</f>
        <v>AC - Energy Star Room_15kBtu_SF</v>
      </c>
      <c r="H511" s="2554" t="str">
        <f>'Income Eligible Deemed Table'!D1149</f>
        <v>SFIE</v>
      </c>
      <c r="I511" s="3840">
        <f t="shared" si="296"/>
        <v>581.82000000000005</v>
      </c>
      <c r="J511" s="3840">
        <f t="shared" si="297"/>
        <v>0</v>
      </c>
      <c r="K511" s="3251">
        <f>'Income Eligible Deemed Table'!F1149</f>
        <v>581.82000000000005</v>
      </c>
      <c r="L511" s="3251"/>
      <c r="M511" s="3251"/>
      <c r="N511" s="3251"/>
      <c r="O511" s="3841">
        <f t="shared" si="298"/>
        <v>0.55122700000000002</v>
      </c>
      <c r="P511" s="3841">
        <f t="shared" si="299"/>
        <v>0</v>
      </c>
      <c r="Q511" s="3842">
        <f>'Income Eligible Deemed Table'!I1149</f>
        <v>0.55122700000000002</v>
      </c>
      <c r="R511" s="3842"/>
      <c r="S511" s="3842"/>
      <c r="T511" s="3842"/>
      <c r="U511" s="3843">
        <f t="shared" si="301"/>
        <v>0</v>
      </c>
      <c r="V511" s="3843">
        <f t="shared" si="302"/>
        <v>0.55122700000000002</v>
      </c>
      <c r="W511" s="3843">
        <f t="shared" si="303"/>
        <v>0</v>
      </c>
      <c r="X511" s="2846">
        <f>'Income Eligible Deemed Table'!J1149</f>
        <v>12</v>
      </c>
      <c r="Y511" s="2846"/>
      <c r="Z511" s="2846">
        <f t="shared" si="286"/>
        <v>12</v>
      </c>
      <c r="AA511" s="2529">
        <f>'Income Eligible Deemed Table'!DG1149</f>
        <v>3.3675349371929189</v>
      </c>
      <c r="AB511" s="3878">
        <f>'Income Eligible Deemed Table'!K1149</f>
        <v>300</v>
      </c>
      <c r="AC511" s="3864">
        <f t="shared" si="287"/>
        <v>1010.2604811578757</v>
      </c>
      <c r="AD511" s="3864">
        <f t="shared" si="300"/>
        <v>0</v>
      </c>
      <c r="AE511" s="3865">
        <f>'Income Eligible Deemed Table'!DI1149</f>
        <v>1010.2604811578757</v>
      </c>
      <c r="AF511" s="3846"/>
      <c r="AG511" s="3846"/>
      <c r="AH511" s="3846"/>
      <c r="AI511" s="2233" t="str">
        <f>'Income Eligible Deemed Table'!L1149</f>
        <v>per measure</v>
      </c>
      <c r="AJ511" s="2724"/>
      <c r="AX511" s="3849" t="str">
        <f t="shared" si="288"/>
        <v>AC - Energy Star Room_15kBtu_SF</v>
      </c>
      <c r="AY511" s="2724"/>
      <c r="AZ511" s="3850" t="str">
        <f t="shared" si="289"/>
        <v>406005</v>
      </c>
      <c r="BA511" s="3866" t="s">
        <v>1303</v>
      </c>
      <c r="BB511" s="3866" t="s">
        <v>1303</v>
      </c>
      <c r="BC511" s="3866" t="s">
        <v>1303</v>
      </c>
      <c r="BD511" s="3866" t="s">
        <v>1303</v>
      </c>
      <c r="BE511" s="3853"/>
      <c r="BF511" s="3866" t="s">
        <v>1303</v>
      </c>
      <c r="BG511" s="3866" t="s">
        <v>1303</v>
      </c>
      <c r="BH511" s="3866" t="s">
        <v>1303</v>
      </c>
      <c r="BI511" s="3867" t="s">
        <v>1303</v>
      </c>
      <c r="BJ511" s="3853"/>
      <c r="BK511" s="3866" t="s">
        <v>1303</v>
      </c>
      <c r="BL511" s="3867" t="s">
        <v>1303</v>
      </c>
      <c r="BM511" s="3866" t="s">
        <v>1303</v>
      </c>
      <c r="BN511" s="3867" t="s">
        <v>1303</v>
      </c>
    </row>
    <row r="512" spans="1:66" s="696" customFormat="1">
      <c r="A512" s="2958" t="str">
        <f t="shared" si="285"/>
        <v>406025</v>
      </c>
      <c r="B512" s="2233" t="str">
        <f>'Income Eligible Deemed Table'!C1177</f>
        <v>406025_2024_12_</v>
      </c>
      <c r="C512" s="2724" t="str">
        <f>'Income Eligible Deemed Table'!G1177</f>
        <v>Building Shell RES</v>
      </c>
      <c r="D512" s="2724"/>
      <c r="E512" s="2724"/>
      <c r="F512" s="2724"/>
      <c r="G512" s="2724" t="str">
        <f>'Income Eligible Deemed Table'!E1177</f>
        <v>Storm Window - Single Pane, Double Hung - Electric Furnace</v>
      </c>
      <c r="H512" s="2554" t="str">
        <f>'Income Eligible Deemed Table'!D1177</f>
        <v>SFIE / MFIE</v>
      </c>
      <c r="I512" s="3840">
        <f>'Income Eligible Deemed Table'!F1177</f>
        <v>17.27</v>
      </c>
      <c r="J512" s="3840"/>
      <c r="K512" s="3251"/>
      <c r="L512" s="3251"/>
      <c r="M512" s="3251"/>
      <c r="N512" s="3251"/>
      <c r="O512" s="3841">
        <f>'Income Eligible Deemed Table'!I1177</f>
        <v>8.0490000000000006E-3</v>
      </c>
      <c r="P512" s="3841"/>
      <c r="Q512" s="3842"/>
      <c r="R512" s="3842"/>
      <c r="S512" s="3842"/>
      <c r="T512" s="3842"/>
      <c r="U512" s="3843">
        <f t="shared" si="301"/>
        <v>0</v>
      </c>
      <c r="V512" s="3843">
        <f t="shared" si="302"/>
        <v>0</v>
      </c>
      <c r="W512" s="3843">
        <f t="shared" si="303"/>
        <v>8.0490000000000006E-3</v>
      </c>
      <c r="X512" s="2846">
        <f>'Income Eligible Deemed Table'!J1177</f>
        <v>20</v>
      </c>
      <c r="Y512" s="2846"/>
      <c r="Z512" s="2846">
        <f t="shared" si="286"/>
        <v>20</v>
      </c>
      <c r="AA512" s="2529">
        <f>'Income Eligible Deemed Table'!DG1177</f>
        <v>2.8319290347196429</v>
      </c>
      <c r="AB512" s="3878">
        <f>'Income Eligible Deemed Table'!K1177</f>
        <v>9.2850000000000001</v>
      </c>
      <c r="AC512" s="3864">
        <f t="shared" si="287"/>
        <v>26.294461087371886</v>
      </c>
      <c r="AD512" s="3864">
        <f t="shared" si="300"/>
        <v>0</v>
      </c>
      <c r="AE512" s="3865">
        <f>'Income Eligible Deemed Table'!DI1177</f>
        <v>26.294461087371886</v>
      </c>
      <c r="AF512" s="3846"/>
      <c r="AG512" s="3846"/>
      <c r="AH512" s="3846"/>
      <c r="AI512" s="2233" t="str">
        <f>'Income Eligible Deemed Table'!L1177</f>
        <v>per sq ft</v>
      </c>
      <c r="AJ512" s="2724"/>
      <c r="AX512" s="3849" t="str">
        <f t="shared" si="288"/>
        <v>Storm Window - Single Pane, Double Hung - Electric Furnace</v>
      </c>
      <c r="AY512" s="2724"/>
      <c r="AZ512" s="3850" t="str">
        <f t="shared" si="289"/>
        <v>406025</v>
      </c>
      <c r="BA512" s="3866" t="s">
        <v>1303</v>
      </c>
      <c r="BB512" s="3866" t="s">
        <v>1303</v>
      </c>
      <c r="BC512" s="3866" t="s">
        <v>1303</v>
      </c>
      <c r="BD512" s="3866" t="s">
        <v>1303</v>
      </c>
      <c r="BE512" s="3853"/>
      <c r="BF512" s="3866" t="s">
        <v>1303</v>
      </c>
      <c r="BG512" s="3866" t="s">
        <v>1303</v>
      </c>
      <c r="BH512" s="3866" t="s">
        <v>1303</v>
      </c>
      <c r="BI512" s="3867" t="s">
        <v>1303</v>
      </c>
      <c r="BJ512" s="3853"/>
      <c r="BK512" s="3866" t="s">
        <v>1303</v>
      </c>
      <c r="BL512" s="3867" t="s">
        <v>1303</v>
      </c>
      <c r="BM512" s="3866" t="s">
        <v>1303</v>
      </c>
      <c r="BN512" s="3867" t="s">
        <v>1303</v>
      </c>
    </row>
    <row r="513" spans="1:66" s="696" customFormat="1">
      <c r="A513" s="2958" t="str">
        <f t="shared" si="285"/>
        <v>406050</v>
      </c>
      <c r="B513" s="2233" t="str">
        <f>'Income Eligible Deemed Table'!C1178</f>
        <v>406050_2024_12_</v>
      </c>
      <c r="C513" s="2724" t="str">
        <f>'Income Eligible Deemed Table'!G1178</f>
        <v>Building Shell RES</v>
      </c>
      <c r="D513" s="2724"/>
      <c r="E513" s="2724"/>
      <c r="F513" s="2724"/>
      <c r="G513" s="2724" t="str">
        <f>'Income Eligible Deemed Table'!E1178</f>
        <v>Storm Window - Single Pane, Double Hung - Heat Pump</v>
      </c>
      <c r="H513" s="2554" t="str">
        <f>'Income Eligible Deemed Table'!D1178</f>
        <v>SFIE / MFIE</v>
      </c>
      <c r="I513" s="3840">
        <f>'Income Eligible Deemed Table'!F1178</f>
        <v>11.47</v>
      </c>
      <c r="J513" s="3840"/>
      <c r="K513" s="3251"/>
      <c r="L513" s="3251"/>
      <c r="M513" s="3251"/>
      <c r="N513" s="3251"/>
      <c r="O513" s="3841">
        <f>'Income Eligible Deemed Table'!I1178</f>
        <v>5.3460000000000001E-3</v>
      </c>
      <c r="P513" s="3841"/>
      <c r="Q513" s="3842"/>
      <c r="R513" s="3842"/>
      <c r="S513" s="3842"/>
      <c r="T513" s="3842"/>
      <c r="U513" s="3843">
        <f t="shared" si="301"/>
        <v>0</v>
      </c>
      <c r="V513" s="3843">
        <f t="shared" si="302"/>
        <v>0</v>
      </c>
      <c r="W513" s="3843">
        <f t="shared" si="303"/>
        <v>5.3460000000000001E-3</v>
      </c>
      <c r="X513" s="2846">
        <f>'Income Eligible Deemed Table'!J1178</f>
        <v>20</v>
      </c>
      <c r="Y513" s="2846"/>
      <c r="Z513" s="2846">
        <f t="shared" si="286"/>
        <v>20</v>
      </c>
      <c r="AA513" s="2529">
        <f>'Income Eligible Deemed Table'!DG1178</f>
        <v>1.8808469037773197</v>
      </c>
      <c r="AB513" s="3878">
        <f>'Income Eligible Deemed Table'!K1178</f>
        <v>9.2850000000000001</v>
      </c>
      <c r="AC513" s="3864">
        <f t="shared" si="287"/>
        <v>17.463663501572412</v>
      </c>
      <c r="AD513" s="3864">
        <f t="shared" si="300"/>
        <v>0</v>
      </c>
      <c r="AE513" s="3865">
        <f>'Income Eligible Deemed Table'!DI1178</f>
        <v>17.463663501572412</v>
      </c>
      <c r="AF513" s="3846"/>
      <c r="AG513" s="3846"/>
      <c r="AH513" s="3846"/>
      <c r="AI513" s="2233" t="str">
        <f>'Income Eligible Deemed Table'!L1178</f>
        <v>per sq ft</v>
      </c>
      <c r="AJ513" s="2724"/>
      <c r="AX513" s="3849" t="str">
        <f t="shared" si="288"/>
        <v>Storm Window - Single Pane, Double Hung - Heat Pump</v>
      </c>
      <c r="AY513" s="2724"/>
      <c r="AZ513" s="3850" t="str">
        <f t="shared" si="289"/>
        <v>406050</v>
      </c>
      <c r="BA513" s="3866" t="s">
        <v>1303</v>
      </c>
      <c r="BB513" s="3866" t="s">
        <v>1303</v>
      </c>
      <c r="BC513" s="3866" t="s">
        <v>1303</v>
      </c>
      <c r="BD513" s="3866" t="s">
        <v>1303</v>
      </c>
      <c r="BE513" s="3853"/>
      <c r="BF513" s="3866" t="s">
        <v>1303</v>
      </c>
      <c r="BG513" s="3866" t="s">
        <v>1303</v>
      </c>
      <c r="BH513" s="3866" t="s">
        <v>1303</v>
      </c>
      <c r="BI513" s="3867" t="s">
        <v>1303</v>
      </c>
      <c r="BJ513" s="3853"/>
      <c r="BK513" s="3866" t="s">
        <v>1303</v>
      </c>
      <c r="BL513" s="3867" t="s">
        <v>1303</v>
      </c>
      <c r="BM513" s="3866" t="s">
        <v>1303</v>
      </c>
      <c r="BN513" s="3867" t="s">
        <v>1303</v>
      </c>
    </row>
    <row r="514" spans="1:66" s="696" customFormat="1">
      <c r="A514" s="2958" t="str">
        <f t="shared" si="285"/>
        <v>406075</v>
      </c>
      <c r="B514" s="2233" t="str">
        <f>'Income Eligible Deemed Table'!C1179</f>
        <v>406075_2024_12_</v>
      </c>
      <c r="C514" s="2724" t="str">
        <f>'Income Eligible Deemed Table'!G1179</f>
        <v>Building Shell RES</v>
      </c>
      <c r="D514" s="2724"/>
      <c r="E514" s="2724"/>
      <c r="F514" s="2724"/>
      <c r="G514" s="2724" t="str">
        <f>'Income Eligible Deemed Table'!E1179</f>
        <v>Storm Window - Single Pane, Double Hung - Gas Heating</v>
      </c>
      <c r="H514" s="2554" t="str">
        <f>'Income Eligible Deemed Table'!D1179</f>
        <v>SFIE / MFIE</v>
      </c>
      <c r="I514" s="3840">
        <f>'Income Eligible Deemed Table'!F1179</f>
        <v>2.12</v>
      </c>
      <c r="J514" s="3840"/>
      <c r="K514" s="3251"/>
      <c r="L514" s="3251"/>
      <c r="M514" s="3251"/>
      <c r="N514" s="3251"/>
      <c r="O514" s="3841">
        <f>'Income Eligible Deemed Table'!I1179</f>
        <v>9.8799999999999995E-4</v>
      </c>
      <c r="P514" s="3841"/>
      <c r="Q514" s="3842"/>
      <c r="R514" s="3842"/>
      <c r="S514" s="3842"/>
      <c r="T514" s="3842"/>
      <c r="U514" s="3843">
        <f t="shared" si="301"/>
        <v>0</v>
      </c>
      <c r="V514" s="3843">
        <f t="shared" si="302"/>
        <v>0</v>
      </c>
      <c r="W514" s="3843">
        <f t="shared" si="303"/>
        <v>9.8799999999999995E-4</v>
      </c>
      <c r="X514" s="2846">
        <f>'Income Eligible Deemed Table'!J1179</f>
        <v>20</v>
      </c>
      <c r="Y514" s="2846"/>
      <c r="Z514" s="2846">
        <f t="shared" si="286"/>
        <v>20</v>
      </c>
      <c r="AA514" s="2529">
        <f>'Income Eligible Deemed Table'!DG1179</f>
        <v>0.34763691682719416</v>
      </c>
      <c r="AB514" s="3878">
        <f>'Income Eligible Deemed Table'!K1179</f>
        <v>9.2850000000000001</v>
      </c>
      <c r="AC514" s="3864">
        <f t="shared" si="287"/>
        <v>3.2278087727404978</v>
      </c>
      <c r="AD514" s="3864">
        <f t="shared" si="300"/>
        <v>0</v>
      </c>
      <c r="AE514" s="3865">
        <f>'Income Eligible Deemed Table'!DI1179</f>
        <v>3.2278087727404978</v>
      </c>
      <c r="AF514" s="3846"/>
      <c r="AG514" s="3846"/>
      <c r="AH514" s="3846"/>
      <c r="AI514" s="2233" t="str">
        <f>'Income Eligible Deemed Table'!L1179</f>
        <v>per sq ft</v>
      </c>
      <c r="AJ514" s="2724"/>
      <c r="AX514" s="3849" t="str">
        <f t="shared" si="288"/>
        <v>Storm Window - Single Pane, Double Hung - Gas Heating</v>
      </c>
      <c r="AY514" s="2724"/>
      <c r="AZ514" s="3850" t="str">
        <f t="shared" si="289"/>
        <v>406075</v>
      </c>
      <c r="BA514" s="3866" t="s">
        <v>1303</v>
      </c>
      <c r="BB514" s="3866" t="s">
        <v>1303</v>
      </c>
      <c r="BC514" s="3866" t="s">
        <v>1303</v>
      </c>
      <c r="BD514" s="3866" t="s">
        <v>1303</v>
      </c>
      <c r="BE514" s="3853"/>
      <c r="BF514" s="3866" t="s">
        <v>1303</v>
      </c>
      <c r="BG514" s="3866" t="s">
        <v>1303</v>
      </c>
      <c r="BH514" s="3866" t="s">
        <v>1303</v>
      </c>
      <c r="BI514" s="3867" t="s">
        <v>1303</v>
      </c>
      <c r="BJ514" s="3853"/>
      <c r="BK514" s="3866" t="s">
        <v>1303</v>
      </c>
      <c r="BL514" s="3867" t="s">
        <v>1303</v>
      </c>
      <c r="BM514" s="3866" t="s">
        <v>1303</v>
      </c>
      <c r="BN514" s="3867" t="s">
        <v>1303</v>
      </c>
    </row>
    <row r="515" spans="1:66" s="696" customFormat="1">
      <c r="A515" s="2958" t="str">
        <f t="shared" si="285"/>
        <v>406100</v>
      </c>
      <c r="B515" s="2233" t="str">
        <f>'Income Eligible Deemed Table'!C1180</f>
        <v>406100_2024_12_</v>
      </c>
      <c r="C515" s="2724" t="str">
        <f>'Income Eligible Deemed Table'!G1180</f>
        <v>Building Shell RES</v>
      </c>
      <c r="D515" s="2724"/>
      <c r="E515" s="2724"/>
      <c r="F515" s="2724"/>
      <c r="G515" s="2724" t="str">
        <f>'Income Eligible Deemed Table'!E1180</f>
        <v>Storm Window - Double Pane, Double Hung - Electric Furnace</v>
      </c>
      <c r="H515" s="2554" t="str">
        <f>'Income Eligible Deemed Table'!D1180</f>
        <v>SFIE / MFIE</v>
      </c>
      <c r="I515" s="3840">
        <f>'Income Eligible Deemed Table'!F1180</f>
        <v>5.77</v>
      </c>
      <c r="J515" s="3840"/>
      <c r="K515" s="3251"/>
      <c r="L515" s="3251"/>
      <c r="M515" s="3251"/>
      <c r="N515" s="3251"/>
      <c r="O515" s="3841">
        <f>'Income Eligible Deemed Table'!I1180</f>
        <v>2.689E-3</v>
      </c>
      <c r="P515" s="3841"/>
      <c r="Q515" s="3842"/>
      <c r="R515" s="3842"/>
      <c r="S515" s="3842"/>
      <c r="T515" s="3842"/>
      <c r="U515" s="3843">
        <f t="shared" si="301"/>
        <v>0</v>
      </c>
      <c r="V515" s="3843">
        <f t="shared" si="302"/>
        <v>0</v>
      </c>
      <c r="W515" s="3843">
        <f t="shared" si="303"/>
        <v>2.689E-3</v>
      </c>
      <c r="X515" s="2846">
        <f>'Income Eligible Deemed Table'!J1180</f>
        <v>20</v>
      </c>
      <c r="Y515" s="2846"/>
      <c r="Z515" s="2846">
        <f t="shared" si="286"/>
        <v>20</v>
      </c>
      <c r="AA515" s="2529">
        <f>'Income Eligible Deemed Table'!DG1180</f>
        <v>0.94616274060986316</v>
      </c>
      <c r="AB515" s="3878">
        <f>'Income Eligible Deemed Table'!K1180</f>
        <v>9.2850000000000001</v>
      </c>
      <c r="AC515" s="3864">
        <f t="shared" si="287"/>
        <v>8.7851210465625797</v>
      </c>
      <c r="AD515" s="3864">
        <f t="shared" si="300"/>
        <v>0</v>
      </c>
      <c r="AE515" s="3865">
        <f>'Income Eligible Deemed Table'!DI1180</f>
        <v>8.7851210465625797</v>
      </c>
      <c r="AF515" s="3846"/>
      <c r="AG515" s="3846"/>
      <c r="AH515" s="3846"/>
      <c r="AI515" s="2233" t="str">
        <f>'Income Eligible Deemed Table'!L1180</f>
        <v>per sq ft</v>
      </c>
      <c r="AJ515" s="2724"/>
      <c r="AX515" s="3849" t="str">
        <f t="shared" si="288"/>
        <v>Storm Window - Double Pane, Double Hung - Electric Furnace</v>
      </c>
      <c r="AY515" s="2724"/>
      <c r="AZ515" s="3850" t="str">
        <f t="shared" si="289"/>
        <v>406100</v>
      </c>
      <c r="BA515" s="3866" t="s">
        <v>1303</v>
      </c>
      <c r="BB515" s="3866" t="s">
        <v>1303</v>
      </c>
      <c r="BC515" s="3866" t="s">
        <v>1303</v>
      </c>
      <c r="BD515" s="3866" t="s">
        <v>1303</v>
      </c>
      <c r="BE515" s="3853"/>
      <c r="BF515" s="3866" t="s">
        <v>1303</v>
      </c>
      <c r="BG515" s="3866" t="s">
        <v>1303</v>
      </c>
      <c r="BH515" s="3866" t="s">
        <v>1303</v>
      </c>
      <c r="BI515" s="3867" t="s">
        <v>1303</v>
      </c>
      <c r="BJ515" s="3853"/>
      <c r="BK515" s="3866" t="s">
        <v>1303</v>
      </c>
      <c r="BL515" s="3867" t="s">
        <v>1303</v>
      </c>
      <c r="BM515" s="3866" t="s">
        <v>1303</v>
      </c>
      <c r="BN515" s="3867" t="s">
        <v>1303</v>
      </c>
    </row>
    <row r="516" spans="1:66" s="696" customFormat="1">
      <c r="A516" s="2958" t="str">
        <f t="shared" si="285"/>
        <v>406125</v>
      </c>
      <c r="B516" s="2233" t="str">
        <f>'Income Eligible Deemed Table'!C1181</f>
        <v>406125_2024_12_</v>
      </c>
      <c r="C516" s="2724" t="str">
        <f>'Income Eligible Deemed Table'!G1181</f>
        <v>Building Shell RES</v>
      </c>
      <c r="D516" s="2724"/>
      <c r="E516" s="2724"/>
      <c r="F516" s="2724"/>
      <c r="G516" s="2724" t="str">
        <f>'Income Eligible Deemed Table'!E1181</f>
        <v>Storm Window - Double Pane, Double Hung - Heat Pump</v>
      </c>
      <c r="H516" s="2554" t="str">
        <f>'Income Eligible Deemed Table'!D1181</f>
        <v>SFIE / MFIE</v>
      </c>
      <c r="I516" s="3840">
        <f>'Income Eligible Deemed Table'!F1181</f>
        <v>3.96</v>
      </c>
      <c r="J516" s="3840"/>
      <c r="K516" s="3251"/>
      <c r="L516" s="3251"/>
      <c r="M516" s="3251"/>
      <c r="N516" s="3251"/>
      <c r="O516" s="3841">
        <f>'Income Eligible Deemed Table'!I1181</f>
        <v>1.846E-3</v>
      </c>
      <c r="P516" s="3841"/>
      <c r="Q516" s="3842"/>
      <c r="R516" s="3842"/>
      <c r="S516" s="3842"/>
      <c r="T516" s="3842"/>
      <c r="U516" s="3843">
        <f t="shared" si="301"/>
        <v>0</v>
      </c>
      <c r="V516" s="3843">
        <f t="shared" si="302"/>
        <v>0</v>
      </c>
      <c r="W516" s="3843">
        <f t="shared" si="303"/>
        <v>1.846E-3</v>
      </c>
      <c r="X516" s="2846">
        <f>'Income Eligible Deemed Table'!J1181</f>
        <v>20</v>
      </c>
      <c r="Y516" s="2846"/>
      <c r="Z516" s="2846">
        <f t="shared" si="286"/>
        <v>20</v>
      </c>
      <c r="AA516" s="2529">
        <f>'Income Eligible Deemed Table'!DG1181</f>
        <v>0.64935952388475882</v>
      </c>
      <c r="AB516" s="3878">
        <f>'Income Eligible Deemed Table'!K1181</f>
        <v>9.2850000000000001</v>
      </c>
      <c r="AC516" s="3864">
        <f t="shared" si="287"/>
        <v>6.029303179269986</v>
      </c>
      <c r="AD516" s="3864">
        <f t="shared" si="300"/>
        <v>0</v>
      </c>
      <c r="AE516" s="3865">
        <f>'Income Eligible Deemed Table'!DI1181</f>
        <v>6.029303179269986</v>
      </c>
      <c r="AF516" s="3846"/>
      <c r="AG516" s="3846"/>
      <c r="AH516" s="3846"/>
      <c r="AI516" s="2233" t="str">
        <f>'Income Eligible Deemed Table'!L1181</f>
        <v>per sq ft</v>
      </c>
      <c r="AJ516" s="2724"/>
      <c r="AX516" s="3849" t="str">
        <f t="shared" si="288"/>
        <v>Storm Window - Double Pane, Double Hung - Heat Pump</v>
      </c>
      <c r="AY516" s="2724"/>
      <c r="AZ516" s="3850" t="str">
        <f t="shared" si="289"/>
        <v>406125</v>
      </c>
      <c r="BA516" s="3866" t="s">
        <v>1303</v>
      </c>
      <c r="BB516" s="3866" t="s">
        <v>1303</v>
      </c>
      <c r="BC516" s="3866" t="s">
        <v>1303</v>
      </c>
      <c r="BD516" s="3866" t="s">
        <v>1303</v>
      </c>
      <c r="BE516" s="3853"/>
      <c r="BF516" s="3866" t="s">
        <v>1303</v>
      </c>
      <c r="BG516" s="3866" t="s">
        <v>1303</v>
      </c>
      <c r="BH516" s="3866" t="s">
        <v>1303</v>
      </c>
      <c r="BI516" s="3867" t="s">
        <v>1303</v>
      </c>
      <c r="BJ516" s="3853"/>
      <c r="BK516" s="3866" t="s">
        <v>1303</v>
      </c>
      <c r="BL516" s="3867" t="s">
        <v>1303</v>
      </c>
      <c r="BM516" s="3866" t="s">
        <v>1303</v>
      </c>
      <c r="BN516" s="3867" t="s">
        <v>1303</v>
      </c>
    </row>
    <row r="517" spans="1:66" s="696" customFormat="1">
      <c r="A517" s="2958" t="str">
        <f t="shared" si="285"/>
        <v>406150</v>
      </c>
      <c r="B517" s="2233" t="str">
        <f>'Income Eligible Deemed Table'!C1182</f>
        <v>406150_2024_12_</v>
      </c>
      <c r="C517" s="2724" t="str">
        <f>'Income Eligible Deemed Table'!G1182</f>
        <v>Building Shell RES</v>
      </c>
      <c r="D517" s="2724"/>
      <c r="E517" s="2724"/>
      <c r="F517" s="2724"/>
      <c r="G517" s="2724" t="str">
        <f>'Income Eligible Deemed Table'!E1182</f>
        <v>Storm Window - Double Pane, Double Hung - Gas Heating</v>
      </c>
      <c r="H517" s="2554" t="str">
        <f>'Income Eligible Deemed Table'!D1182</f>
        <v>SFIE / MFIE</v>
      </c>
      <c r="I517" s="3840">
        <f>'Income Eligible Deemed Table'!F1182</f>
        <v>1.02</v>
      </c>
      <c r="J517" s="3840"/>
      <c r="K517" s="3251"/>
      <c r="L517" s="3251"/>
      <c r="M517" s="3251"/>
      <c r="N517" s="3251"/>
      <c r="O517" s="3841">
        <f>'Income Eligible Deemed Table'!I1182</f>
        <v>4.75E-4</v>
      </c>
      <c r="P517" s="3841"/>
      <c r="Q517" s="3842"/>
      <c r="R517" s="3842"/>
      <c r="S517" s="3842"/>
      <c r="T517" s="3842"/>
      <c r="U517" s="3843">
        <f t="shared" si="301"/>
        <v>0</v>
      </c>
      <c r="V517" s="3843">
        <f t="shared" si="302"/>
        <v>0</v>
      </c>
      <c r="W517" s="3843">
        <f t="shared" si="303"/>
        <v>4.75E-4</v>
      </c>
      <c r="X517" s="2846">
        <f>'Income Eligible Deemed Table'!J1182</f>
        <v>20</v>
      </c>
      <c r="Y517" s="2846"/>
      <c r="Z517" s="2846">
        <f t="shared" si="286"/>
        <v>20</v>
      </c>
      <c r="AA517" s="2529">
        <f>'Income Eligible Deemed Table'!DG1182</f>
        <v>0.16725927130365001</v>
      </c>
      <c r="AB517" s="3878">
        <f>'Income Eligible Deemed Table'!K1182</f>
        <v>9.2850000000000001</v>
      </c>
      <c r="AC517" s="3864">
        <f t="shared" si="287"/>
        <v>1.5530023340543904</v>
      </c>
      <c r="AD517" s="3864">
        <f t="shared" si="300"/>
        <v>0</v>
      </c>
      <c r="AE517" s="3865">
        <f>'Income Eligible Deemed Table'!DI1182</f>
        <v>1.5530023340543904</v>
      </c>
      <c r="AF517" s="3846"/>
      <c r="AG517" s="3846"/>
      <c r="AH517" s="3846"/>
      <c r="AI517" s="2233" t="str">
        <f>'Income Eligible Deemed Table'!L1182</f>
        <v>per sq ft</v>
      </c>
      <c r="AJ517" s="2724"/>
      <c r="AX517" s="3849" t="str">
        <f t="shared" si="288"/>
        <v>Storm Window - Double Pane, Double Hung - Gas Heating</v>
      </c>
      <c r="AY517" s="2724"/>
      <c r="AZ517" s="3850" t="str">
        <f t="shared" si="289"/>
        <v>406150</v>
      </c>
      <c r="BA517" s="3866" t="s">
        <v>1303</v>
      </c>
      <c r="BB517" s="3866" t="s">
        <v>1303</v>
      </c>
      <c r="BC517" s="3866" t="s">
        <v>1303</v>
      </c>
      <c r="BD517" s="3866" t="s">
        <v>1303</v>
      </c>
      <c r="BE517" s="3853"/>
      <c r="BF517" s="3866" t="s">
        <v>1303</v>
      </c>
      <c r="BG517" s="3866" t="s">
        <v>1303</v>
      </c>
      <c r="BH517" s="3866" t="s">
        <v>1303</v>
      </c>
      <c r="BI517" s="3867" t="s">
        <v>1303</v>
      </c>
      <c r="BJ517" s="3853"/>
      <c r="BK517" s="3866" t="s">
        <v>1303</v>
      </c>
      <c r="BL517" s="3867" t="s">
        <v>1303</v>
      </c>
      <c r="BM517" s="3866" t="s">
        <v>1303</v>
      </c>
      <c r="BN517" s="3867" t="s">
        <v>1303</v>
      </c>
    </row>
    <row r="518" spans="1:66" s="696" customFormat="1">
      <c r="A518" s="2958" t="str">
        <f t="shared" si="285"/>
        <v>406175</v>
      </c>
      <c r="B518" s="2233" t="str">
        <f>'Income Eligible Deemed Table'!C1183</f>
        <v>406175_2024_12_</v>
      </c>
      <c r="C518" s="2724" t="str">
        <f>'Income Eligible Deemed Table'!G1183</f>
        <v>Building Shell RES</v>
      </c>
      <c r="D518" s="2724"/>
      <c r="E518" s="2724"/>
      <c r="F518" s="2724"/>
      <c r="G518" s="2724" t="str">
        <f>'Income Eligible Deemed Table'!E1183</f>
        <v>Storm Window - Single Pane, Fixed - Electric Furnace</v>
      </c>
      <c r="H518" s="2554" t="str">
        <f>'Income Eligible Deemed Table'!D1183</f>
        <v>SFIE / MFIE</v>
      </c>
      <c r="I518" s="3840">
        <f>'Income Eligible Deemed Table'!F1183</f>
        <v>17.260000000000002</v>
      </c>
      <c r="J518" s="3840"/>
      <c r="K518" s="3251"/>
      <c r="L518" s="3251"/>
      <c r="M518" s="3251"/>
      <c r="N518" s="3251"/>
      <c r="O518" s="3841">
        <f>'Income Eligible Deemed Table'!I1183</f>
        <v>8.0450000000000001E-3</v>
      </c>
      <c r="P518" s="3841"/>
      <c r="Q518" s="3842"/>
      <c r="R518" s="3842"/>
      <c r="S518" s="3842"/>
      <c r="T518" s="3842"/>
      <c r="U518" s="3843">
        <f t="shared" si="301"/>
        <v>0</v>
      </c>
      <c r="V518" s="3843">
        <f t="shared" si="302"/>
        <v>0</v>
      </c>
      <c r="W518" s="3843">
        <f t="shared" si="303"/>
        <v>8.0450000000000001E-3</v>
      </c>
      <c r="X518" s="2846">
        <f>'Income Eligible Deemed Table'!J1183</f>
        <v>20</v>
      </c>
      <c r="Y518" s="2846"/>
      <c r="Z518" s="2846">
        <f t="shared" si="286"/>
        <v>20</v>
      </c>
      <c r="AA518" s="2529">
        <f>'Income Eligible Deemed Table'!DG1183</f>
        <v>2.8302892379421563</v>
      </c>
      <c r="AB518" s="3878">
        <f>'Income Eligible Deemed Table'!K1183</f>
        <v>9.2850000000000001</v>
      </c>
      <c r="AC518" s="3864">
        <f t="shared" si="287"/>
        <v>26.279235574292922</v>
      </c>
      <c r="AD518" s="3864">
        <f t="shared" si="300"/>
        <v>0</v>
      </c>
      <c r="AE518" s="3865">
        <f>'Income Eligible Deemed Table'!DI1183</f>
        <v>26.279235574292922</v>
      </c>
      <c r="AF518" s="3846"/>
      <c r="AG518" s="3846"/>
      <c r="AH518" s="3846"/>
      <c r="AI518" s="2233" t="str">
        <f>'Income Eligible Deemed Table'!L1183</f>
        <v>per sq ft</v>
      </c>
      <c r="AJ518" s="2724"/>
      <c r="AX518" s="3849" t="str">
        <f t="shared" si="288"/>
        <v>Storm Window - Single Pane, Fixed - Electric Furnace</v>
      </c>
      <c r="AY518" s="2724"/>
      <c r="AZ518" s="3850" t="str">
        <f t="shared" si="289"/>
        <v>406175</v>
      </c>
      <c r="BA518" s="3866" t="s">
        <v>1303</v>
      </c>
      <c r="BB518" s="3866" t="s">
        <v>1303</v>
      </c>
      <c r="BC518" s="3866" t="s">
        <v>1303</v>
      </c>
      <c r="BD518" s="3866" t="s">
        <v>1303</v>
      </c>
      <c r="BE518" s="3853"/>
      <c r="BF518" s="3866" t="s">
        <v>1303</v>
      </c>
      <c r="BG518" s="3866" t="s">
        <v>1303</v>
      </c>
      <c r="BH518" s="3866" t="s">
        <v>1303</v>
      </c>
      <c r="BI518" s="3867" t="s">
        <v>1303</v>
      </c>
      <c r="BJ518" s="3853"/>
      <c r="BK518" s="3866" t="s">
        <v>1303</v>
      </c>
      <c r="BL518" s="3867" t="s">
        <v>1303</v>
      </c>
      <c r="BM518" s="3866" t="s">
        <v>1303</v>
      </c>
      <c r="BN518" s="3867" t="s">
        <v>1303</v>
      </c>
    </row>
    <row r="519" spans="1:66" s="696" customFormat="1">
      <c r="A519" s="2958" t="str">
        <f t="shared" si="285"/>
        <v>406200</v>
      </c>
      <c r="B519" s="2233" t="str">
        <f>'Income Eligible Deemed Table'!C1184</f>
        <v>406200_2024_12_</v>
      </c>
      <c r="C519" s="2724" t="str">
        <f>'Income Eligible Deemed Table'!G1184</f>
        <v>Building Shell RES</v>
      </c>
      <c r="D519" s="2724"/>
      <c r="E519" s="2724"/>
      <c r="F519" s="2724"/>
      <c r="G519" s="2724" t="str">
        <f>'Income Eligible Deemed Table'!E1184</f>
        <v>Storm Window - Single Pane, Fixed - Heat Pump</v>
      </c>
      <c r="H519" s="2554" t="str">
        <f>'Income Eligible Deemed Table'!D1184</f>
        <v>SFIE / MFIE</v>
      </c>
      <c r="I519" s="3840">
        <f>'Income Eligible Deemed Table'!F1184</f>
        <v>11.47</v>
      </c>
      <c r="J519" s="3840"/>
      <c r="K519" s="3251"/>
      <c r="L519" s="3251"/>
      <c r="M519" s="3251"/>
      <c r="N519" s="3251"/>
      <c r="O519" s="3841">
        <f>'Income Eligible Deemed Table'!I1184</f>
        <v>5.3460000000000001E-3</v>
      </c>
      <c r="P519" s="3841"/>
      <c r="Q519" s="3842"/>
      <c r="R519" s="3842"/>
      <c r="S519" s="3842"/>
      <c r="T519" s="3842"/>
      <c r="U519" s="3843">
        <f t="shared" si="301"/>
        <v>0</v>
      </c>
      <c r="V519" s="3843">
        <f t="shared" si="302"/>
        <v>0</v>
      </c>
      <c r="W519" s="3843">
        <f t="shared" si="303"/>
        <v>5.3460000000000001E-3</v>
      </c>
      <c r="X519" s="2846">
        <f>'Income Eligible Deemed Table'!J1184</f>
        <v>20</v>
      </c>
      <c r="Y519" s="2846"/>
      <c r="Z519" s="2846">
        <f t="shared" si="286"/>
        <v>20</v>
      </c>
      <c r="AA519" s="2529">
        <f>'Income Eligible Deemed Table'!DG1184</f>
        <v>1.8808469037773197</v>
      </c>
      <c r="AB519" s="3878">
        <f>'Income Eligible Deemed Table'!K1184</f>
        <v>9.2850000000000001</v>
      </c>
      <c r="AC519" s="3864">
        <f t="shared" si="287"/>
        <v>17.463663501572412</v>
      </c>
      <c r="AD519" s="3864">
        <f t="shared" si="300"/>
        <v>0</v>
      </c>
      <c r="AE519" s="3865">
        <f>'Income Eligible Deemed Table'!DI1184</f>
        <v>17.463663501572412</v>
      </c>
      <c r="AF519" s="3846"/>
      <c r="AG519" s="3846"/>
      <c r="AH519" s="3846"/>
      <c r="AI519" s="2233" t="str">
        <f>'Income Eligible Deemed Table'!L1184</f>
        <v>per sq ft</v>
      </c>
      <c r="AJ519" s="2724"/>
      <c r="AX519" s="3849" t="str">
        <f t="shared" si="288"/>
        <v>Storm Window - Single Pane, Fixed - Heat Pump</v>
      </c>
      <c r="AY519" s="2724"/>
      <c r="AZ519" s="3850" t="str">
        <f t="shared" si="289"/>
        <v>406200</v>
      </c>
      <c r="BA519" s="3866" t="s">
        <v>1303</v>
      </c>
      <c r="BB519" s="3866" t="s">
        <v>1303</v>
      </c>
      <c r="BC519" s="3866" t="s">
        <v>1303</v>
      </c>
      <c r="BD519" s="3866" t="s">
        <v>1303</v>
      </c>
      <c r="BE519" s="3853"/>
      <c r="BF519" s="3866" t="s">
        <v>1303</v>
      </c>
      <c r="BG519" s="3866" t="s">
        <v>1303</v>
      </c>
      <c r="BH519" s="3866" t="s">
        <v>1303</v>
      </c>
      <c r="BI519" s="3867" t="s">
        <v>1303</v>
      </c>
      <c r="BJ519" s="3853"/>
      <c r="BK519" s="3866" t="s">
        <v>1303</v>
      </c>
      <c r="BL519" s="3867" t="s">
        <v>1303</v>
      </c>
      <c r="BM519" s="3866" t="s">
        <v>1303</v>
      </c>
      <c r="BN519" s="3867" t="s">
        <v>1303</v>
      </c>
    </row>
    <row r="520" spans="1:66" s="696" customFormat="1">
      <c r="A520" s="2958" t="str">
        <f t="shared" si="285"/>
        <v>406225</v>
      </c>
      <c r="B520" s="2233" t="str">
        <f>'Income Eligible Deemed Table'!C1185</f>
        <v>406225_2024_12_</v>
      </c>
      <c r="C520" s="2724" t="str">
        <f>'Income Eligible Deemed Table'!G1185</f>
        <v>Building Shell RES</v>
      </c>
      <c r="D520" s="2724"/>
      <c r="E520" s="2724"/>
      <c r="F520" s="2724"/>
      <c r="G520" s="2724" t="str">
        <f>'Income Eligible Deemed Table'!E1185</f>
        <v>Storm Window - Single Pane, Fixed - Gas Heating</v>
      </c>
      <c r="H520" s="2554" t="str">
        <f>'Income Eligible Deemed Table'!D1185</f>
        <v>SFIE / MFIE</v>
      </c>
      <c r="I520" s="3840">
        <f>'Income Eligible Deemed Table'!F1185</f>
        <v>2.12</v>
      </c>
      <c r="J520" s="3840"/>
      <c r="K520" s="3251"/>
      <c r="L520" s="3251"/>
      <c r="M520" s="3251"/>
      <c r="N520" s="3251"/>
      <c r="O520" s="3841">
        <f>'Income Eligible Deemed Table'!I1185</f>
        <v>9.8799999999999995E-4</v>
      </c>
      <c r="P520" s="3841"/>
      <c r="Q520" s="3842"/>
      <c r="R520" s="3842"/>
      <c r="S520" s="3842"/>
      <c r="T520" s="3842"/>
      <c r="U520" s="3843">
        <f t="shared" si="301"/>
        <v>0</v>
      </c>
      <c r="V520" s="3843">
        <f t="shared" si="302"/>
        <v>0</v>
      </c>
      <c r="W520" s="3843">
        <f t="shared" si="303"/>
        <v>9.8799999999999995E-4</v>
      </c>
      <c r="X520" s="2846">
        <f>'Income Eligible Deemed Table'!J1185</f>
        <v>20</v>
      </c>
      <c r="Y520" s="2846"/>
      <c r="Z520" s="2846">
        <f t="shared" si="286"/>
        <v>20</v>
      </c>
      <c r="AA520" s="2529">
        <f>'Income Eligible Deemed Table'!DG1185</f>
        <v>0.34763691682719416</v>
      </c>
      <c r="AB520" s="3878">
        <f>'Income Eligible Deemed Table'!K1185</f>
        <v>9.2850000000000001</v>
      </c>
      <c r="AC520" s="3864">
        <f t="shared" si="287"/>
        <v>3.2278087727404978</v>
      </c>
      <c r="AD520" s="3864">
        <f t="shared" si="300"/>
        <v>0</v>
      </c>
      <c r="AE520" s="3865">
        <f>'Income Eligible Deemed Table'!DI1185</f>
        <v>3.2278087727404978</v>
      </c>
      <c r="AF520" s="3846"/>
      <c r="AG520" s="3846"/>
      <c r="AH520" s="3846"/>
      <c r="AI520" s="2233" t="str">
        <f>'Income Eligible Deemed Table'!L1185</f>
        <v>per sq ft</v>
      </c>
      <c r="AJ520" s="2724"/>
      <c r="AX520" s="3849" t="str">
        <f t="shared" si="288"/>
        <v>Storm Window - Single Pane, Fixed - Gas Heating</v>
      </c>
      <c r="AY520" s="2724"/>
      <c r="AZ520" s="3850" t="str">
        <f t="shared" si="289"/>
        <v>406225</v>
      </c>
      <c r="BA520" s="3866" t="s">
        <v>1303</v>
      </c>
      <c r="BB520" s="3866" t="s">
        <v>1303</v>
      </c>
      <c r="BC520" s="3866" t="s">
        <v>1303</v>
      </c>
      <c r="BD520" s="3866" t="s">
        <v>1303</v>
      </c>
      <c r="BE520" s="3853"/>
      <c r="BF520" s="3866" t="s">
        <v>1303</v>
      </c>
      <c r="BG520" s="3866" t="s">
        <v>1303</v>
      </c>
      <c r="BH520" s="3866" t="s">
        <v>1303</v>
      </c>
      <c r="BI520" s="3867" t="s">
        <v>1303</v>
      </c>
      <c r="BJ520" s="3853"/>
      <c r="BK520" s="3866" t="s">
        <v>1303</v>
      </c>
      <c r="BL520" s="3867" t="s">
        <v>1303</v>
      </c>
      <c r="BM520" s="3866" t="s">
        <v>1303</v>
      </c>
      <c r="BN520" s="3867" t="s">
        <v>1303</v>
      </c>
    </row>
    <row r="521" spans="1:66" s="696" customFormat="1">
      <c r="A521" s="2958" t="str">
        <f t="shared" si="285"/>
        <v>406250</v>
      </c>
      <c r="B521" s="2233" t="str">
        <f>'Income Eligible Deemed Table'!C1186</f>
        <v>406250_2024_12_</v>
      </c>
      <c r="C521" s="2724" t="str">
        <f>'Income Eligible Deemed Table'!G1186</f>
        <v>Building Shell RES</v>
      </c>
      <c r="D521" s="2724"/>
      <c r="E521" s="2724"/>
      <c r="F521" s="2724"/>
      <c r="G521" s="2724" t="str">
        <f>'Income Eligible Deemed Table'!E1186</f>
        <v>Storm Window - Double Pane, Fixed - Electric Furnace</v>
      </c>
      <c r="H521" s="2554" t="str">
        <f>'Income Eligible Deemed Table'!D1186</f>
        <v>SFIE / MFIE</v>
      </c>
      <c r="I521" s="3840">
        <f>'Income Eligible Deemed Table'!F1186</f>
        <v>5.49</v>
      </c>
      <c r="J521" s="3840"/>
      <c r="K521" s="3251"/>
      <c r="L521" s="3251"/>
      <c r="M521" s="3251"/>
      <c r="N521" s="3251"/>
      <c r="O521" s="3841">
        <f>'Income Eligible Deemed Table'!I1186</f>
        <v>2.5590000000000001E-3</v>
      </c>
      <c r="P521" s="3841"/>
      <c r="Q521" s="3842"/>
      <c r="R521" s="3842"/>
      <c r="S521" s="3842"/>
      <c r="T521" s="3842"/>
      <c r="U521" s="3843">
        <f t="shared" si="301"/>
        <v>0</v>
      </c>
      <c r="V521" s="3843">
        <f t="shared" si="302"/>
        <v>0</v>
      </c>
      <c r="W521" s="3843">
        <f t="shared" si="303"/>
        <v>2.5590000000000001E-3</v>
      </c>
      <c r="X521" s="2846">
        <f>'Income Eligible Deemed Table'!J1186</f>
        <v>20</v>
      </c>
      <c r="Y521" s="2846"/>
      <c r="Z521" s="2846">
        <f t="shared" si="286"/>
        <v>20</v>
      </c>
      <c r="AA521" s="2529">
        <f>'Income Eligible Deemed Table'!DG1186</f>
        <v>0.90024843084023387</v>
      </c>
      <c r="AB521" s="3878">
        <f>'Income Eligible Deemed Table'!K1186</f>
        <v>9.2850000000000001</v>
      </c>
      <c r="AC521" s="3864">
        <f t="shared" si="287"/>
        <v>8.3588066803515719</v>
      </c>
      <c r="AD521" s="3864">
        <f t="shared" si="300"/>
        <v>0</v>
      </c>
      <c r="AE521" s="3865">
        <f>'Income Eligible Deemed Table'!DI1186</f>
        <v>8.3588066803515719</v>
      </c>
      <c r="AF521" s="3846"/>
      <c r="AG521" s="3846"/>
      <c r="AH521" s="3846"/>
      <c r="AI521" s="2233" t="str">
        <f>'Income Eligible Deemed Table'!L1186</f>
        <v>per sq ft</v>
      </c>
      <c r="AJ521" s="2724"/>
      <c r="AX521" s="3849" t="str">
        <f t="shared" si="288"/>
        <v>Storm Window - Double Pane, Fixed - Electric Furnace</v>
      </c>
      <c r="AY521" s="2724"/>
      <c r="AZ521" s="3850" t="str">
        <f t="shared" si="289"/>
        <v>406250</v>
      </c>
      <c r="BA521" s="3866" t="s">
        <v>1303</v>
      </c>
      <c r="BB521" s="3866" t="s">
        <v>1303</v>
      </c>
      <c r="BC521" s="3866" t="s">
        <v>1303</v>
      </c>
      <c r="BD521" s="3866" t="s">
        <v>1303</v>
      </c>
      <c r="BE521" s="3853"/>
      <c r="BF521" s="3866" t="s">
        <v>1303</v>
      </c>
      <c r="BG521" s="3866" t="s">
        <v>1303</v>
      </c>
      <c r="BH521" s="3866" t="s">
        <v>1303</v>
      </c>
      <c r="BI521" s="3867" t="s">
        <v>1303</v>
      </c>
      <c r="BJ521" s="3853"/>
      <c r="BK521" s="3866" t="s">
        <v>1303</v>
      </c>
      <c r="BL521" s="3867" t="s">
        <v>1303</v>
      </c>
      <c r="BM521" s="3866" t="s">
        <v>1303</v>
      </c>
      <c r="BN521" s="3867" t="s">
        <v>1303</v>
      </c>
    </row>
    <row r="522" spans="1:66" s="696" customFormat="1">
      <c r="A522" s="2958" t="str">
        <f t="shared" si="285"/>
        <v>406275</v>
      </c>
      <c r="B522" s="2233" t="str">
        <f>'Income Eligible Deemed Table'!C1187</f>
        <v>406275_2024_12_</v>
      </c>
      <c r="C522" s="2724" t="str">
        <f>'Income Eligible Deemed Table'!G1187</f>
        <v>Building Shell RES</v>
      </c>
      <c r="D522" s="2724"/>
      <c r="E522" s="2724"/>
      <c r="F522" s="2724"/>
      <c r="G522" s="2724" t="str">
        <f>'Income Eligible Deemed Table'!E1187</f>
        <v>Storm Window - Double Pane, Fixed - Heat Pump</v>
      </c>
      <c r="H522" s="2554" t="str">
        <f>'Income Eligible Deemed Table'!D1187</f>
        <v>SFIE / MFIE</v>
      </c>
      <c r="I522" s="3840">
        <f>'Income Eligible Deemed Table'!F1187</f>
        <v>3.71</v>
      </c>
      <c r="J522" s="3840"/>
      <c r="K522" s="3251"/>
      <c r="L522" s="3251"/>
      <c r="M522" s="3251"/>
      <c r="N522" s="3251"/>
      <c r="O522" s="3841">
        <f>'Income Eligible Deemed Table'!I1187</f>
        <v>1.7290000000000001E-3</v>
      </c>
      <c r="P522" s="3841"/>
      <c r="Q522" s="3842"/>
      <c r="R522" s="3842"/>
      <c r="S522" s="3842"/>
      <c r="T522" s="3842"/>
      <c r="U522" s="3843">
        <f t="shared" si="301"/>
        <v>0</v>
      </c>
      <c r="V522" s="3843">
        <f t="shared" si="302"/>
        <v>0</v>
      </c>
      <c r="W522" s="3843">
        <f t="shared" si="303"/>
        <v>1.7290000000000001E-3</v>
      </c>
      <c r="X522" s="2846">
        <f>'Income Eligible Deemed Table'!J1187</f>
        <v>20</v>
      </c>
      <c r="Y522" s="2846"/>
      <c r="Z522" s="2846">
        <f t="shared" si="286"/>
        <v>20</v>
      </c>
      <c r="AA522" s="2529">
        <f>'Income Eligible Deemed Table'!DG1187</f>
        <v>0.60836460444758977</v>
      </c>
      <c r="AB522" s="3878">
        <f>'Income Eligible Deemed Table'!K1187</f>
        <v>9.2850000000000001</v>
      </c>
      <c r="AC522" s="3864">
        <f t="shared" si="287"/>
        <v>5.648665352295871</v>
      </c>
      <c r="AD522" s="3864">
        <f t="shared" si="300"/>
        <v>0</v>
      </c>
      <c r="AE522" s="3865">
        <f>'Income Eligible Deemed Table'!DI1187</f>
        <v>5.648665352295871</v>
      </c>
      <c r="AF522" s="3846"/>
      <c r="AG522" s="3846"/>
      <c r="AH522" s="3846"/>
      <c r="AI522" s="2233" t="str">
        <f>'Income Eligible Deemed Table'!L1187</f>
        <v>per sq ft</v>
      </c>
      <c r="AJ522" s="2724"/>
      <c r="AX522" s="3849" t="str">
        <f t="shared" si="288"/>
        <v>Storm Window - Double Pane, Fixed - Heat Pump</v>
      </c>
      <c r="AY522" s="2724"/>
      <c r="AZ522" s="3850" t="str">
        <f t="shared" si="289"/>
        <v>406275</v>
      </c>
      <c r="BA522" s="3866" t="s">
        <v>1303</v>
      </c>
      <c r="BB522" s="3866" t="s">
        <v>1303</v>
      </c>
      <c r="BC522" s="3866" t="s">
        <v>1303</v>
      </c>
      <c r="BD522" s="3866" t="s">
        <v>1303</v>
      </c>
      <c r="BE522" s="3853"/>
      <c r="BF522" s="3866" t="s">
        <v>1303</v>
      </c>
      <c r="BG522" s="3866" t="s">
        <v>1303</v>
      </c>
      <c r="BH522" s="3866" t="s">
        <v>1303</v>
      </c>
      <c r="BI522" s="3867" t="s">
        <v>1303</v>
      </c>
      <c r="BJ522" s="3853"/>
      <c r="BK522" s="3866" t="s">
        <v>1303</v>
      </c>
      <c r="BL522" s="3867" t="s">
        <v>1303</v>
      </c>
      <c r="BM522" s="3866" t="s">
        <v>1303</v>
      </c>
      <c r="BN522" s="3867" t="s">
        <v>1303</v>
      </c>
    </row>
    <row r="523" spans="1:66" s="696" customFormat="1">
      <c r="A523" s="2958" t="str">
        <f t="shared" si="285"/>
        <v>406300</v>
      </c>
      <c r="B523" s="2233" t="str">
        <f>'Income Eligible Deemed Table'!C1188</f>
        <v>406300_2024_12_</v>
      </c>
      <c r="C523" s="2724" t="str">
        <f>'Income Eligible Deemed Table'!G1188</f>
        <v>Building Shell RES</v>
      </c>
      <c r="D523" s="2724"/>
      <c r="E523" s="2724"/>
      <c r="F523" s="2724"/>
      <c r="G523" s="2724" t="str">
        <f>'Income Eligible Deemed Table'!E1188</f>
        <v>Storm Window - Double Pane, Fixed - Gas Heating</v>
      </c>
      <c r="H523" s="2554" t="str">
        <f>'Income Eligible Deemed Table'!D1188</f>
        <v>SFIE / MFIE</v>
      </c>
      <c r="I523" s="3840">
        <f>'Income Eligible Deemed Table'!F1188</f>
        <v>0.85</v>
      </c>
      <c r="J523" s="3840"/>
      <c r="K523" s="3251"/>
      <c r="L523" s="3251"/>
      <c r="M523" s="3251"/>
      <c r="N523" s="3251"/>
      <c r="O523" s="3841">
        <f>'Income Eligible Deemed Table'!I1188</f>
        <v>3.9599999999999998E-4</v>
      </c>
      <c r="P523" s="3841"/>
      <c r="Q523" s="3842"/>
      <c r="R523" s="3842"/>
      <c r="S523" s="3842"/>
      <c r="T523" s="3842"/>
      <c r="U523" s="3843">
        <f t="shared" si="301"/>
        <v>0</v>
      </c>
      <c r="V523" s="3843">
        <f t="shared" si="302"/>
        <v>0</v>
      </c>
      <c r="W523" s="3843">
        <f t="shared" si="303"/>
        <v>3.9599999999999998E-4</v>
      </c>
      <c r="X523" s="2846">
        <f>'Income Eligible Deemed Table'!J1188</f>
        <v>20</v>
      </c>
      <c r="Y523" s="2846"/>
      <c r="Z523" s="2846">
        <f t="shared" si="286"/>
        <v>20</v>
      </c>
      <c r="AA523" s="2529">
        <f>'Income Eligible Deemed Table'!DG1188</f>
        <v>0.139382726086375</v>
      </c>
      <c r="AB523" s="3878">
        <f>'Income Eligible Deemed Table'!K1188</f>
        <v>9.2850000000000001</v>
      </c>
      <c r="AC523" s="3864">
        <f t="shared" si="287"/>
        <v>1.2941686117119919</v>
      </c>
      <c r="AD523" s="3864">
        <f t="shared" si="300"/>
        <v>0</v>
      </c>
      <c r="AE523" s="3865">
        <f>'Income Eligible Deemed Table'!DI1188</f>
        <v>1.2941686117119919</v>
      </c>
      <c r="AF523" s="3846"/>
      <c r="AG523" s="3846"/>
      <c r="AH523" s="3846"/>
      <c r="AI523" s="2233" t="str">
        <f>'Income Eligible Deemed Table'!L1188</f>
        <v>per sq ft</v>
      </c>
      <c r="AJ523" s="2724"/>
      <c r="AX523" s="3849" t="str">
        <f t="shared" si="288"/>
        <v>Storm Window - Double Pane, Fixed - Gas Heating</v>
      </c>
      <c r="AY523" s="2724"/>
      <c r="AZ523" s="3850" t="str">
        <f t="shared" si="289"/>
        <v>406300</v>
      </c>
      <c r="BA523" s="3866" t="s">
        <v>1303</v>
      </c>
      <c r="BB523" s="3866" t="s">
        <v>1303</v>
      </c>
      <c r="BC523" s="3866" t="s">
        <v>1303</v>
      </c>
      <c r="BD523" s="3866" t="s">
        <v>1303</v>
      </c>
      <c r="BE523" s="3853"/>
      <c r="BF523" s="3866" t="s">
        <v>1303</v>
      </c>
      <c r="BG523" s="3866" t="s">
        <v>1303</v>
      </c>
      <c r="BH523" s="3866" t="s">
        <v>1303</v>
      </c>
      <c r="BI523" s="3867" t="s">
        <v>1303</v>
      </c>
      <c r="BJ523" s="3853"/>
      <c r="BK523" s="3866" t="s">
        <v>1303</v>
      </c>
      <c r="BL523" s="3867" t="s">
        <v>1303</v>
      </c>
      <c r="BM523" s="3866" t="s">
        <v>1303</v>
      </c>
      <c r="BN523" s="3867" t="s">
        <v>1303</v>
      </c>
    </row>
    <row r="524" spans="1:66" s="696" customFormat="1">
      <c r="A524" s="2958" t="str">
        <f t="shared" ref="A524:A532" si="304">LEFT(B524,6)</f>
        <v>406500</v>
      </c>
      <c r="B524" s="2233" t="str">
        <f>'Income Eligible Deemed Table'!C1218</f>
        <v>406500_2024_12_</v>
      </c>
      <c r="C524" s="2724" t="str">
        <f>'Income Eligible Deemed Table'!G1218</f>
        <v>Cooling RES</v>
      </c>
      <c r="D524" s="2724" t="str">
        <f>'Income Eligible Deemed Table'!G1219</f>
        <v>Heating RES</v>
      </c>
      <c r="E524" s="2724"/>
      <c r="F524" s="2724"/>
      <c r="G524" s="2724" t="str">
        <f>'Income Eligible Deemed Table'!E1218</f>
        <v>Learning Thermostat - ASHP heating/cooling SF</v>
      </c>
      <c r="H524" s="2554" t="str">
        <f>'Income Eligible Deemed Table'!D1218</f>
        <v>SFIE</v>
      </c>
      <c r="I524" s="3840">
        <f>K524+L524</f>
        <v>0</v>
      </c>
      <c r="J524" s="3840">
        <f>M524+N524</f>
        <v>0</v>
      </c>
      <c r="K524" s="3251">
        <f>'Income Eligible Deemed Table'!F1218</f>
        <v>0</v>
      </c>
      <c r="L524" s="3251">
        <f>'Income Eligible Deemed Table'!F1219</f>
        <v>0</v>
      </c>
      <c r="M524" s="3251">
        <v>0</v>
      </c>
      <c r="N524" s="3251">
        <v>0</v>
      </c>
      <c r="O524" s="3841">
        <f>Q524+R524</f>
        <v>0</v>
      </c>
      <c r="P524" s="3841">
        <f>S524+T524</f>
        <v>0</v>
      </c>
      <c r="Q524" s="3842">
        <f>'Income Eligible Deemed Table'!I1218</f>
        <v>0</v>
      </c>
      <c r="R524" s="3842">
        <v>0</v>
      </c>
      <c r="S524" s="3842"/>
      <c r="T524" s="3842"/>
      <c r="U524" s="3843">
        <f t="shared" si="301"/>
        <v>0</v>
      </c>
      <c r="V524" s="3843">
        <f t="shared" si="302"/>
        <v>0</v>
      </c>
      <c r="W524" s="3843">
        <f t="shared" si="303"/>
        <v>0</v>
      </c>
      <c r="X524" s="2846">
        <f>'Income Eligible Deemed Table'!J1218</f>
        <v>11</v>
      </c>
      <c r="Y524" s="2846"/>
      <c r="Z524" s="2846">
        <f>Y524+X524</f>
        <v>11</v>
      </c>
      <c r="AA524" s="2529">
        <f>'Income Eligible Deemed Table'!DG1218</f>
        <v>0</v>
      </c>
      <c r="AB524" s="3878">
        <f>'Income Eligible Deemed Table'!K1218</f>
        <v>79</v>
      </c>
      <c r="AC524" s="3864">
        <f>AE524+AF524</f>
        <v>0</v>
      </c>
      <c r="AD524" s="3864"/>
      <c r="AE524" s="3865">
        <f>'Income Eligible Deemed Table'!DI1218</f>
        <v>0</v>
      </c>
      <c r="AF524" s="3894">
        <f>'Income Eligible Deemed Table'!DI1219</f>
        <v>0</v>
      </c>
      <c r="AG524" s="3846"/>
      <c r="AH524" s="3846"/>
      <c r="AI524" s="2233" t="str">
        <f>'Income Eligible Deemed Table'!L1218</f>
        <v>per measure</v>
      </c>
      <c r="AJ524" s="2724"/>
      <c r="AX524" s="3849" t="str">
        <f t="shared" si="288"/>
        <v>Learning Thermostat - ASHP heating/cooling SF</v>
      </c>
      <c r="AY524" s="2724"/>
      <c r="AZ524" s="3850" t="str">
        <f t="shared" si="289"/>
        <v>406500</v>
      </c>
      <c r="BA524" s="3866" t="s">
        <v>1303</v>
      </c>
      <c r="BB524" s="3866" t="s">
        <v>1303</v>
      </c>
      <c r="BC524" s="3866" t="s">
        <v>1303</v>
      </c>
      <c r="BD524" s="3866" t="s">
        <v>1303</v>
      </c>
      <c r="BE524" s="3853"/>
      <c r="BF524" s="3866" t="s">
        <v>1303</v>
      </c>
      <c r="BG524" s="3866" t="s">
        <v>1303</v>
      </c>
      <c r="BH524" s="3866" t="s">
        <v>1303</v>
      </c>
      <c r="BI524" s="3867" t="s">
        <v>1303</v>
      </c>
      <c r="BJ524" s="3853"/>
      <c r="BK524" s="3866" t="s">
        <v>1303</v>
      </c>
      <c r="BL524" s="3867" t="s">
        <v>1303</v>
      </c>
      <c r="BM524" s="3866" t="s">
        <v>1303</v>
      </c>
      <c r="BN524" s="3867" t="s">
        <v>1303</v>
      </c>
    </row>
    <row r="525" spans="1:66" s="696" customFormat="1">
      <c r="A525" s="2958" t="str">
        <f t="shared" si="304"/>
        <v>406525</v>
      </c>
      <c r="B525" s="2233" t="str">
        <f>'Income Eligible Deemed Table'!C1220</f>
        <v>406525_2024_12_</v>
      </c>
      <c r="C525" s="2724" t="str">
        <f>'Income Eligible Deemed Table'!G1220</f>
        <v>Cooling RES</v>
      </c>
      <c r="D525" s="2724" t="str">
        <f>'Income Eligible Deemed Table'!G1221</f>
        <v>Heating RES</v>
      </c>
      <c r="E525" s="2724"/>
      <c r="F525" s="2724"/>
      <c r="G525" s="2724" t="str">
        <f>'Income Eligible Deemed Table'!E1220</f>
        <v>Learning Thermostat - ASHP heating/cooling MF</v>
      </c>
      <c r="H525" s="2554" t="str">
        <f>'Income Eligible Deemed Table'!D1220</f>
        <v>MFIE</v>
      </c>
      <c r="I525" s="3840">
        <f t="shared" ref="I525:I531" si="305">K525+L525</f>
        <v>0</v>
      </c>
      <c r="J525" s="3840">
        <f t="shared" ref="J525:J531" si="306">M525+N525</f>
        <v>0</v>
      </c>
      <c r="K525" s="3251">
        <f>'Income Eligible Deemed Table'!F1220</f>
        <v>0</v>
      </c>
      <c r="L525" s="3251">
        <f>'Income Eligible Deemed Table'!F1221</f>
        <v>0</v>
      </c>
      <c r="M525" s="3251">
        <v>0</v>
      </c>
      <c r="N525" s="3251">
        <v>0</v>
      </c>
      <c r="O525" s="3841">
        <f t="shared" ref="O525:O531" si="307">Q525+R525</f>
        <v>0</v>
      </c>
      <c r="P525" s="3841">
        <f t="shared" ref="P525:P531" si="308">S525+T525</f>
        <v>0</v>
      </c>
      <c r="Q525" s="3842">
        <f>'Income Eligible Deemed Table'!I1220</f>
        <v>0</v>
      </c>
      <c r="R525" s="3842">
        <v>0</v>
      </c>
      <c r="S525" s="3842"/>
      <c r="T525" s="3842"/>
      <c r="U525" s="3843">
        <f t="shared" si="301"/>
        <v>0</v>
      </c>
      <c r="V525" s="3843">
        <f t="shared" si="302"/>
        <v>0</v>
      </c>
      <c r="W525" s="3843">
        <f t="shared" si="303"/>
        <v>0</v>
      </c>
      <c r="X525" s="2846">
        <f>'Income Eligible Deemed Table'!J1220</f>
        <v>11</v>
      </c>
      <c r="Y525" s="2846"/>
      <c r="Z525" s="2846">
        <f t="shared" ref="Z525:Z532" si="309">Y525+X525</f>
        <v>11</v>
      </c>
      <c r="AA525" s="2529">
        <f>'Income Eligible Deemed Table'!DG1220</f>
        <v>0</v>
      </c>
      <c r="AB525" s="3878">
        <f>'Income Eligible Deemed Table'!K1220</f>
        <v>79</v>
      </c>
      <c r="AC525" s="3864">
        <f t="shared" ref="AC525:AC532" si="310">AE525+AF525</f>
        <v>0</v>
      </c>
      <c r="AD525" s="3864"/>
      <c r="AE525" s="3865">
        <f>'Income Eligible Deemed Table'!DI1220</f>
        <v>0</v>
      </c>
      <c r="AF525" s="3894">
        <f>'Income Eligible Deemed Table'!DI1221</f>
        <v>0</v>
      </c>
      <c r="AG525" s="3846"/>
      <c r="AH525" s="3846"/>
      <c r="AI525" s="2233" t="str">
        <f>'Income Eligible Deemed Table'!L1220</f>
        <v>per measure</v>
      </c>
      <c r="AJ525" s="2724"/>
      <c r="AX525" s="3849" t="str">
        <f t="shared" si="288"/>
        <v>Learning Thermostat - ASHP heating/cooling MF</v>
      </c>
      <c r="AY525" s="2724"/>
      <c r="AZ525" s="3850" t="str">
        <f t="shared" si="289"/>
        <v>406525</v>
      </c>
      <c r="BA525" s="3866" t="s">
        <v>1303</v>
      </c>
      <c r="BB525" s="3866" t="s">
        <v>1303</v>
      </c>
      <c r="BC525" s="3866" t="s">
        <v>1303</v>
      </c>
      <c r="BD525" s="3866" t="s">
        <v>1303</v>
      </c>
      <c r="BE525" s="3853"/>
      <c r="BF525" s="3866" t="s">
        <v>1303</v>
      </c>
      <c r="BG525" s="3866" t="s">
        <v>1303</v>
      </c>
      <c r="BH525" s="3866" t="s">
        <v>1303</v>
      </c>
      <c r="BI525" s="3867" t="s">
        <v>1303</v>
      </c>
      <c r="BJ525" s="3853"/>
      <c r="BK525" s="3866" t="s">
        <v>1303</v>
      </c>
      <c r="BL525" s="3867" t="s">
        <v>1303</v>
      </c>
      <c r="BM525" s="3866" t="s">
        <v>1303</v>
      </c>
      <c r="BN525" s="3867" t="s">
        <v>1303</v>
      </c>
    </row>
    <row r="526" spans="1:66" s="696" customFormat="1">
      <c r="A526" s="2958" t="str">
        <f t="shared" si="304"/>
        <v>406550</v>
      </c>
      <c r="B526" s="2233" t="str">
        <f>'Income Eligible Deemed Table'!C1222</f>
        <v>406550_2024_12_</v>
      </c>
      <c r="C526" s="2724" t="str">
        <f>'Income Eligible Deemed Table'!G1222</f>
        <v>Cooling RES</v>
      </c>
      <c r="D526" s="2724" t="str">
        <f>'Income Eligible Deemed Table'!G1223</f>
        <v>Heating RES</v>
      </c>
      <c r="E526" s="2724"/>
      <c r="F526" s="2724"/>
      <c r="G526" s="2724" t="str">
        <f>'Income Eligible Deemed Table'!E1222</f>
        <v>Learning Thermostat - electric furnace heating / central AC MF</v>
      </c>
      <c r="H526" s="2554" t="str">
        <f>'Income Eligible Deemed Table'!D1222</f>
        <v>MFIE</v>
      </c>
      <c r="I526" s="3840">
        <f t="shared" si="305"/>
        <v>0</v>
      </c>
      <c r="J526" s="3840">
        <f t="shared" si="306"/>
        <v>0</v>
      </c>
      <c r="K526" s="3251">
        <f>'Income Eligible Deemed Table'!F1222</f>
        <v>0</v>
      </c>
      <c r="L526" s="3251">
        <f>'Income Eligible Deemed Table'!F1223</f>
        <v>0</v>
      </c>
      <c r="M526" s="3251">
        <v>0</v>
      </c>
      <c r="N526" s="3251">
        <v>0</v>
      </c>
      <c r="O526" s="3841">
        <f t="shared" si="307"/>
        <v>0</v>
      </c>
      <c r="P526" s="3841">
        <f t="shared" si="308"/>
        <v>0</v>
      </c>
      <c r="Q526" s="3842">
        <f>'Income Eligible Deemed Table'!I1222</f>
        <v>0</v>
      </c>
      <c r="R526" s="3842">
        <v>0</v>
      </c>
      <c r="S526" s="3842"/>
      <c r="T526" s="3842"/>
      <c r="U526" s="3843">
        <f t="shared" si="301"/>
        <v>0</v>
      </c>
      <c r="V526" s="3843">
        <f t="shared" si="302"/>
        <v>0</v>
      </c>
      <c r="W526" s="3843">
        <f t="shared" si="303"/>
        <v>0</v>
      </c>
      <c r="X526" s="2846">
        <f>'Income Eligible Deemed Table'!J1222</f>
        <v>11</v>
      </c>
      <c r="Y526" s="2846"/>
      <c r="Z526" s="2846">
        <f t="shared" si="309"/>
        <v>11</v>
      </c>
      <c r="AA526" s="2529">
        <f>'Income Eligible Deemed Table'!DG1222</f>
        <v>0</v>
      </c>
      <c r="AB526" s="3878">
        <f>'Income Eligible Deemed Table'!K1222</f>
        <v>79</v>
      </c>
      <c r="AC526" s="3864">
        <f t="shared" si="310"/>
        <v>0</v>
      </c>
      <c r="AD526" s="3864"/>
      <c r="AE526" s="3865">
        <f>'Income Eligible Deemed Table'!DI1222</f>
        <v>0</v>
      </c>
      <c r="AF526" s="3894">
        <f>'Income Eligible Deemed Table'!DI1223</f>
        <v>0</v>
      </c>
      <c r="AG526" s="3846"/>
      <c r="AH526" s="3846"/>
      <c r="AI526" s="2233" t="str">
        <f>'Income Eligible Deemed Table'!L1222</f>
        <v>per measure</v>
      </c>
      <c r="AJ526" s="2724"/>
      <c r="AX526" s="3849" t="str">
        <f t="shared" si="288"/>
        <v>Learning Thermostat - electric furnace heating / central AC MF</v>
      </c>
      <c r="AY526" s="2724"/>
      <c r="AZ526" s="3850" t="str">
        <f t="shared" si="289"/>
        <v>406550</v>
      </c>
      <c r="BA526" s="3866" t="s">
        <v>1303</v>
      </c>
      <c r="BB526" s="3866" t="s">
        <v>1303</v>
      </c>
      <c r="BC526" s="3866" t="s">
        <v>1303</v>
      </c>
      <c r="BD526" s="3866" t="s">
        <v>1303</v>
      </c>
      <c r="BE526" s="3853"/>
      <c r="BF526" s="3866" t="s">
        <v>1303</v>
      </c>
      <c r="BG526" s="3866" t="s">
        <v>1303</v>
      </c>
      <c r="BH526" s="3866" t="s">
        <v>1303</v>
      </c>
      <c r="BI526" s="3867" t="s">
        <v>1303</v>
      </c>
      <c r="BJ526" s="3853"/>
      <c r="BK526" s="3866" t="s">
        <v>1303</v>
      </c>
      <c r="BL526" s="3867" t="s">
        <v>1303</v>
      </c>
      <c r="BM526" s="3866" t="s">
        <v>1303</v>
      </c>
      <c r="BN526" s="3867" t="s">
        <v>1303</v>
      </c>
    </row>
    <row r="527" spans="1:66" s="696" customFormat="1">
      <c r="A527" s="2958" t="str">
        <f t="shared" si="304"/>
        <v>406575</v>
      </c>
      <c r="B527" s="2233" t="str">
        <f>'Income Eligible Deemed Table'!C1224</f>
        <v>406575_2024_12_</v>
      </c>
      <c r="C527" s="2724" t="str">
        <f>'Income Eligible Deemed Table'!G1224</f>
        <v>Cooling RES</v>
      </c>
      <c r="D527" s="2724" t="str">
        <f>'Income Eligible Deemed Table'!G1225</f>
        <v>Heating RES</v>
      </c>
      <c r="E527" s="2724"/>
      <c r="F527" s="2724"/>
      <c r="G527" s="2724" t="str">
        <f>'Income Eligible Deemed Table'!E1224</f>
        <v>Learning Thermostat - electric furnace heating / central AC SF</v>
      </c>
      <c r="H527" s="2554" t="str">
        <f>'Income Eligible Deemed Table'!D1224</f>
        <v>SFIE</v>
      </c>
      <c r="I527" s="3840">
        <f t="shared" si="305"/>
        <v>0</v>
      </c>
      <c r="J527" s="3840">
        <f t="shared" si="306"/>
        <v>0</v>
      </c>
      <c r="K527" s="3251">
        <f>'Income Eligible Deemed Table'!F1224</f>
        <v>0</v>
      </c>
      <c r="L527" s="3251">
        <f>'Income Eligible Deemed Table'!F1225</f>
        <v>0</v>
      </c>
      <c r="M527" s="3251">
        <v>0</v>
      </c>
      <c r="N527" s="3251">
        <v>0</v>
      </c>
      <c r="O527" s="3841">
        <f t="shared" si="307"/>
        <v>0</v>
      </c>
      <c r="P527" s="3841">
        <f t="shared" si="308"/>
        <v>0</v>
      </c>
      <c r="Q527" s="3842">
        <f>'Income Eligible Deemed Table'!I1224</f>
        <v>0</v>
      </c>
      <c r="R527" s="3842">
        <v>0</v>
      </c>
      <c r="S527" s="3842"/>
      <c r="T527" s="3842"/>
      <c r="U527" s="3843">
        <f t="shared" si="301"/>
        <v>0</v>
      </c>
      <c r="V527" s="3843">
        <f t="shared" si="302"/>
        <v>0</v>
      </c>
      <c r="W527" s="3843">
        <f t="shared" si="303"/>
        <v>0</v>
      </c>
      <c r="X527" s="2846">
        <f>'Income Eligible Deemed Table'!J1224</f>
        <v>11</v>
      </c>
      <c r="Y527" s="2846"/>
      <c r="Z527" s="2846">
        <f t="shared" si="309"/>
        <v>11</v>
      </c>
      <c r="AA527" s="2529">
        <f>'Income Eligible Deemed Table'!DG1224</f>
        <v>0</v>
      </c>
      <c r="AB527" s="3878">
        <f>'Income Eligible Deemed Table'!K1224</f>
        <v>79</v>
      </c>
      <c r="AC527" s="3864">
        <f t="shared" si="310"/>
        <v>0</v>
      </c>
      <c r="AD527" s="3864"/>
      <c r="AE527" s="3865">
        <f>'Income Eligible Deemed Table'!DI1224</f>
        <v>0</v>
      </c>
      <c r="AF527" s="3894">
        <f>'Income Eligible Deemed Table'!DI1225</f>
        <v>0</v>
      </c>
      <c r="AG527" s="3846"/>
      <c r="AH527" s="3846"/>
      <c r="AI527" s="2233" t="str">
        <f>'Income Eligible Deemed Table'!L1224</f>
        <v>per measure</v>
      </c>
      <c r="AJ527" s="2724"/>
      <c r="AX527" s="3849" t="str">
        <f t="shared" si="288"/>
        <v>Learning Thermostat - electric furnace heating / central AC SF</v>
      </c>
      <c r="AY527" s="2724"/>
      <c r="AZ527" s="3850" t="str">
        <f t="shared" si="289"/>
        <v>406575</v>
      </c>
      <c r="BA527" s="3866" t="s">
        <v>1303</v>
      </c>
      <c r="BB527" s="3866" t="s">
        <v>1303</v>
      </c>
      <c r="BC527" s="3866" t="s">
        <v>1303</v>
      </c>
      <c r="BD527" s="3866" t="s">
        <v>1303</v>
      </c>
      <c r="BE527" s="3853"/>
      <c r="BF527" s="3866" t="s">
        <v>1303</v>
      </c>
      <c r="BG527" s="3866" t="s">
        <v>1303</v>
      </c>
      <c r="BH527" s="3866" t="s">
        <v>1303</v>
      </c>
      <c r="BI527" s="3867" t="s">
        <v>1303</v>
      </c>
      <c r="BJ527" s="3853"/>
      <c r="BK527" s="3866" t="s">
        <v>1303</v>
      </c>
      <c r="BL527" s="3867" t="s">
        <v>1303</v>
      </c>
      <c r="BM527" s="3866" t="s">
        <v>1303</v>
      </c>
      <c r="BN527" s="3867" t="s">
        <v>1303</v>
      </c>
    </row>
    <row r="528" spans="1:66" s="696" customFormat="1">
      <c r="A528" s="2958" t="str">
        <f t="shared" si="304"/>
        <v>406600</v>
      </c>
      <c r="B528" s="2233" t="str">
        <f>'Income Eligible Deemed Table'!C1226</f>
        <v>406600_2024_12_</v>
      </c>
      <c r="C528" s="2724" t="str">
        <f>'Income Eligible Deemed Table'!G1226</f>
        <v>Cooling RES</v>
      </c>
      <c r="D528" s="2724" t="str">
        <f>'Income Eligible Deemed Table'!G1227</f>
        <v>Heating RES</v>
      </c>
      <c r="E528" s="2724"/>
      <c r="F528" s="2724"/>
      <c r="G528" s="2724" t="str">
        <f>'Income Eligible Deemed Table'!E1226</f>
        <v>Learning Thermostat - Gas Heated / central AC SF**</v>
      </c>
      <c r="H528" s="2554" t="str">
        <f>'Income Eligible Deemed Table'!D1226</f>
        <v>SFIE</v>
      </c>
      <c r="I528" s="3840">
        <f t="shared" si="305"/>
        <v>0</v>
      </c>
      <c r="J528" s="3840">
        <f t="shared" si="306"/>
        <v>0</v>
      </c>
      <c r="K528" s="3251">
        <f>'Income Eligible Deemed Table'!F1226</f>
        <v>0</v>
      </c>
      <c r="L528" s="3251">
        <f>'Income Eligible Deemed Table'!F1227</f>
        <v>0</v>
      </c>
      <c r="M528" s="3251">
        <v>0</v>
      </c>
      <c r="N528" s="3251">
        <v>0</v>
      </c>
      <c r="O528" s="3841">
        <f t="shared" si="307"/>
        <v>0</v>
      </c>
      <c r="P528" s="3841">
        <f t="shared" si="308"/>
        <v>0</v>
      </c>
      <c r="Q528" s="3842">
        <f>'Income Eligible Deemed Table'!I1226</f>
        <v>0</v>
      </c>
      <c r="R528" s="3842">
        <v>0</v>
      </c>
      <c r="S528" s="3842"/>
      <c r="T528" s="3842"/>
      <c r="U528" s="3843">
        <f t="shared" si="301"/>
        <v>0</v>
      </c>
      <c r="V528" s="3843">
        <f t="shared" si="302"/>
        <v>0</v>
      </c>
      <c r="W528" s="3843">
        <f t="shared" si="303"/>
        <v>0</v>
      </c>
      <c r="X528" s="2846">
        <f>'Income Eligible Deemed Table'!J1226</f>
        <v>11</v>
      </c>
      <c r="Y528" s="2846"/>
      <c r="Z528" s="2846">
        <f t="shared" si="309"/>
        <v>11</v>
      </c>
      <c r="AA528" s="2529">
        <f>'Income Eligible Deemed Table'!DG1226</f>
        <v>0</v>
      </c>
      <c r="AB528" s="3878">
        <f>'Income Eligible Deemed Table'!K1226</f>
        <v>79</v>
      </c>
      <c r="AC528" s="3864">
        <f t="shared" si="310"/>
        <v>0</v>
      </c>
      <c r="AD528" s="3864"/>
      <c r="AE528" s="3865">
        <f>'Income Eligible Deemed Table'!DI1226</f>
        <v>0</v>
      </c>
      <c r="AF528" s="3894">
        <f>'Income Eligible Deemed Table'!DI1227</f>
        <v>0</v>
      </c>
      <c r="AG528" s="3846"/>
      <c r="AH528" s="3846"/>
      <c r="AI528" s="2233" t="str">
        <f>'Income Eligible Deemed Table'!L1226</f>
        <v>per measure</v>
      </c>
      <c r="AJ528" s="2724"/>
      <c r="AX528" s="3849" t="str">
        <f t="shared" si="288"/>
        <v>Learning Thermostat - Gas Heated / central AC SF**</v>
      </c>
      <c r="AY528" s="2724"/>
      <c r="AZ528" s="3850" t="str">
        <f t="shared" si="289"/>
        <v>406600</v>
      </c>
      <c r="BA528" s="3866" t="s">
        <v>1303</v>
      </c>
      <c r="BB528" s="3866" t="s">
        <v>1303</v>
      </c>
      <c r="BC528" s="3866" t="s">
        <v>1303</v>
      </c>
      <c r="BD528" s="3866" t="s">
        <v>1303</v>
      </c>
      <c r="BE528" s="3853"/>
      <c r="BF528" s="3866" t="s">
        <v>1303</v>
      </c>
      <c r="BG528" s="3866" t="s">
        <v>1303</v>
      </c>
      <c r="BH528" s="3866" t="s">
        <v>1303</v>
      </c>
      <c r="BI528" s="3867" t="s">
        <v>1303</v>
      </c>
      <c r="BJ528" s="3853"/>
      <c r="BK528" s="3866" t="s">
        <v>1303</v>
      </c>
      <c r="BL528" s="3867" t="s">
        <v>1303</v>
      </c>
      <c r="BM528" s="3866" t="s">
        <v>1303</v>
      </c>
      <c r="BN528" s="3867" t="s">
        <v>1303</v>
      </c>
    </row>
    <row r="529" spans="1:66" s="696" customFormat="1">
      <c r="A529" s="2958" t="str">
        <f t="shared" si="304"/>
        <v>406625</v>
      </c>
      <c r="B529" s="2233" t="str">
        <f>'Income Eligible Deemed Table'!C1228</f>
        <v>406625_2024_12_</v>
      </c>
      <c r="C529" s="2724" t="str">
        <f>'Income Eligible Deemed Table'!G1228</f>
        <v>Cooling RES</v>
      </c>
      <c r="D529" s="2724" t="str">
        <f>'Income Eligible Deemed Table'!G1229</f>
        <v>Heating RES</v>
      </c>
      <c r="E529" s="2724"/>
      <c r="F529" s="2724"/>
      <c r="G529" s="2724" t="str">
        <f>'Income Eligible Deemed Table'!E1228</f>
        <v>Learning Thermostat - Gas Heated / central AC MF**</v>
      </c>
      <c r="H529" s="2554" t="str">
        <f>'Income Eligible Deemed Table'!D1228</f>
        <v>MFIE</v>
      </c>
      <c r="I529" s="3840">
        <f t="shared" si="305"/>
        <v>0</v>
      </c>
      <c r="J529" s="3840">
        <f t="shared" si="306"/>
        <v>0</v>
      </c>
      <c r="K529" s="3251">
        <f>'Income Eligible Deemed Table'!F1228</f>
        <v>0</v>
      </c>
      <c r="L529" s="3251">
        <f>'Income Eligible Deemed Table'!F1229</f>
        <v>0</v>
      </c>
      <c r="M529" s="3251">
        <v>0</v>
      </c>
      <c r="N529" s="3251">
        <v>0</v>
      </c>
      <c r="O529" s="3841">
        <f t="shared" si="307"/>
        <v>0</v>
      </c>
      <c r="P529" s="3841">
        <f t="shared" si="308"/>
        <v>0</v>
      </c>
      <c r="Q529" s="3842">
        <f>'Income Eligible Deemed Table'!I1228</f>
        <v>0</v>
      </c>
      <c r="R529" s="3842">
        <v>0</v>
      </c>
      <c r="S529" s="3842"/>
      <c r="T529" s="3842"/>
      <c r="U529" s="3843">
        <f t="shared" si="301"/>
        <v>0</v>
      </c>
      <c r="V529" s="3843">
        <f t="shared" si="302"/>
        <v>0</v>
      </c>
      <c r="W529" s="3843">
        <f t="shared" si="303"/>
        <v>0</v>
      </c>
      <c r="X529" s="2846">
        <f>'Income Eligible Deemed Table'!J1228</f>
        <v>11</v>
      </c>
      <c r="Y529" s="2846"/>
      <c r="Z529" s="2846">
        <f t="shared" si="309"/>
        <v>11</v>
      </c>
      <c r="AA529" s="2529">
        <f>'Income Eligible Deemed Table'!DG1228</f>
        <v>0</v>
      </c>
      <c r="AB529" s="3878">
        <f>'Income Eligible Deemed Table'!K1228</f>
        <v>79</v>
      </c>
      <c r="AC529" s="3864">
        <f t="shared" si="310"/>
        <v>0</v>
      </c>
      <c r="AD529" s="3864"/>
      <c r="AE529" s="3865">
        <f>'Income Eligible Deemed Table'!DI1228</f>
        <v>0</v>
      </c>
      <c r="AF529" s="3894">
        <f>'Income Eligible Deemed Table'!DI1229</f>
        <v>0</v>
      </c>
      <c r="AG529" s="3846"/>
      <c r="AH529" s="3846"/>
      <c r="AI529" s="2233" t="str">
        <f>'Income Eligible Deemed Table'!L1228</f>
        <v>per measure</v>
      </c>
      <c r="AJ529" s="2724"/>
      <c r="AX529" s="3849" t="str">
        <f t="shared" si="288"/>
        <v>Learning Thermostat - Gas Heated / central AC MF**</v>
      </c>
      <c r="AY529" s="2724"/>
      <c r="AZ529" s="3850" t="str">
        <f t="shared" si="289"/>
        <v>406625</v>
      </c>
      <c r="BA529" s="3866" t="s">
        <v>1303</v>
      </c>
      <c r="BB529" s="3866" t="s">
        <v>1303</v>
      </c>
      <c r="BC529" s="3866" t="s">
        <v>1303</v>
      </c>
      <c r="BD529" s="3866" t="s">
        <v>1303</v>
      </c>
      <c r="BE529" s="3853"/>
      <c r="BF529" s="3866" t="s">
        <v>1303</v>
      </c>
      <c r="BG529" s="3866" t="s">
        <v>1303</v>
      </c>
      <c r="BH529" s="3866" t="s">
        <v>1303</v>
      </c>
      <c r="BI529" s="3867" t="s">
        <v>1303</v>
      </c>
      <c r="BJ529" s="3853"/>
      <c r="BK529" s="3866" t="s">
        <v>1303</v>
      </c>
      <c r="BL529" s="3867" t="s">
        <v>1303</v>
      </c>
      <c r="BM529" s="3866" t="s">
        <v>1303</v>
      </c>
      <c r="BN529" s="3867" t="s">
        <v>1303</v>
      </c>
    </row>
    <row r="530" spans="1:66" s="696" customFormat="1">
      <c r="A530" s="2958" t="str">
        <f t="shared" si="304"/>
        <v>406650</v>
      </c>
      <c r="B530" s="2233" t="str">
        <f>'Income Eligible Deemed Table'!C1230</f>
        <v>406650_2024_12_</v>
      </c>
      <c r="C530" s="2724" t="str">
        <f>'Income Eligible Deemed Table'!G1230</f>
        <v>Cooling RES</v>
      </c>
      <c r="D530" s="2724" t="str">
        <f>'Income Eligible Deemed Table'!G1231</f>
        <v>Heating RES</v>
      </c>
      <c r="E530" s="2724"/>
      <c r="F530" s="2724"/>
      <c r="G530" s="2724" t="str">
        <f>'Income Eligible Deemed Table'!E1230</f>
        <v>Learning Thermostat - Unknown SF**</v>
      </c>
      <c r="H530" s="2554" t="str">
        <f>'Income Eligible Deemed Table'!D1230</f>
        <v>SFIE</v>
      </c>
      <c r="I530" s="3840">
        <f t="shared" si="305"/>
        <v>0</v>
      </c>
      <c r="J530" s="3840">
        <f t="shared" si="306"/>
        <v>0</v>
      </c>
      <c r="K530" s="3251">
        <f>'Income Eligible Deemed Table'!F1230</f>
        <v>0</v>
      </c>
      <c r="L530" s="3251">
        <f>'Income Eligible Deemed Table'!F1231</f>
        <v>0</v>
      </c>
      <c r="M530" s="3251">
        <v>0</v>
      </c>
      <c r="N530" s="3251">
        <v>0</v>
      </c>
      <c r="O530" s="3841">
        <f t="shared" si="307"/>
        <v>0</v>
      </c>
      <c r="P530" s="3841">
        <f t="shared" si="308"/>
        <v>0</v>
      </c>
      <c r="Q530" s="3842">
        <f>'Income Eligible Deemed Table'!I1230</f>
        <v>0</v>
      </c>
      <c r="R530" s="3842">
        <v>0</v>
      </c>
      <c r="S530" s="3842"/>
      <c r="T530" s="3842"/>
      <c r="U530" s="3843">
        <f t="shared" si="301"/>
        <v>0</v>
      </c>
      <c r="V530" s="3843">
        <f t="shared" si="302"/>
        <v>0</v>
      </c>
      <c r="W530" s="3843">
        <f t="shared" si="303"/>
        <v>0</v>
      </c>
      <c r="X530" s="2846">
        <f>'Income Eligible Deemed Table'!J1230</f>
        <v>11</v>
      </c>
      <c r="Y530" s="2846"/>
      <c r="Z530" s="2846">
        <f t="shared" si="309"/>
        <v>11</v>
      </c>
      <c r="AA530" s="2529">
        <f>'Income Eligible Deemed Table'!DG1230</f>
        <v>0</v>
      </c>
      <c r="AB530" s="3878">
        <f>'Income Eligible Deemed Table'!K1230</f>
        <v>79</v>
      </c>
      <c r="AC530" s="3864">
        <f t="shared" si="310"/>
        <v>0</v>
      </c>
      <c r="AD530" s="3864"/>
      <c r="AE530" s="3865">
        <f>'Income Eligible Deemed Table'!DI1230</f>
        <v>0</v>
      </c>
      <c r="AF530" s="3894">
        <f>'Income Eligible Deemed Table'!DI1231</f>
        <v>0</v>
      </c>
      <c r="AG530" s="3846"/>
      <c r="AH530" s="3846"/>
      <c r="AI530" s="2233" t="str">
        <f>'Income Eligible Deemed Table'!L1230</f>
        <v>per measure</v>
      </c>
      <c r="AJ530" s="2724"/>
      <c r="AX530" s="3849" t="str">
        <f t="shared" si="288"/>
        <v>Learning Thermostat - Unknown SF**</v>
      </c>
      <c r="AY530" s="2724"/>
      <c r="AZ530" s="3850" t="str">
        <f t="shared" si="289"/>
        <v>406650</v>
      </c>
      <c r="BA530" s="3866" t="s">
        <v>1303</v>
      </c>
      <c r="BB530" s="3866" t="s">
        <v>1303</v>
      </c>
      <c r="BC530" s="3866" t="s">
        <v>1303</v>
      </c>
      <c r="BD530" s="3866" t="s">
        <v>1303</v>
      </c>
      <c r="BE530" s="3853"/>
      <c r="BF530" s="3866" t="s">
        <v>1303</v>
      </c>
      <c r="BG530" s="3866" t="s">
        <v>1303</v>
      </c>
      <c r="BH530" s="3866" t="s">
        <v>1303</v>
      </c>
      <c r="BI530" s="3867" t="s">
        <v>1303</v>
      </c>
      <c r="BJ530" s="3853"/>
      <c r="BK530" s="3866" t="s">
        <v>1303</v>
      </c>
      <c r="BL530" s="3867" t="s">
        <v>1303</v>
      </c>
      <c r="BM530" s="3866" t="s">
        <v>1303</v>
      </c>
      <c r="BN530" s="3867" t="s">
        <v>1303</v>
      </c>
    </row>
    <row r="531" spans="1:66" s="696" customFormat="1">
      <c r="A531" s="2958" t="str">
        <f t="shared" si="304"/>
        <v>406675</v>
      </c>
      <c r="B531" s="2233" t="str">
        <f>'Income Eligible Deemed Table'!C1232</f>
        <v>406675_2024_12_</v>
      </c>
      <c r="C531" s="2724" t="str">
        <f>'Income Eligible Deemed Table'!G1232</f>
        <v>Cooling RES</v>
      </c>
      <c r="D531" s="2724" t="str">
        <f>'Income Eligible Deemed Table'!G1233</f>
        <v>Heating RES</v>
      </c>
      <c r="E531" s="2724"/>
      <c r="F531" s="2724"/>
      <c r="G531" s="2724" t="str">
        <f>'Income Eligible Deemed Table'!E1232</f>
        <v>Learning Thermostat - Unknown MF**</v>
      </c>
      <c r="H531" s="2554" t="str">
        <f>'Income Eligible Deemed Table'!D1232</f>
        <v>MFIE</v>
      </c>
      <c r="I531" s="3840">
        <f t="shared" si="305"/>
        <v>0</v>
      </c>
      <c r="J531" s="3840">
        <f t="shared" si="306"/>
        <v>0</v>
      </c>
      <c r="K531" s="3251">
        <f>'Income Eligible Deemed Table'!F1232</f>
        <v>0</v>
      </c>
      <c r="L531" s="3251">
        <f>'Income Eligible Deemed Table'!F1233</f>
        <v>0</v>
      </c>
      <c r="M531" s="3251">
        <v>0</v>
      </c>
      <c r="N531" s="3251">
        <v>0</v>
      </c>
      <c r="O531" s="3841">
        <f t="shared" si="307"/>
        <v>0</v>
      </c>
      <c r="P531" s="3841">
        <f t="shared" si="308"/>
        <v>0</v>
      </c>
      <c r="Q531" s="3842">
        <f>'Income Eligible Deemed Table'!I1232</f>
        <v>0</v>
      </c>
      <c r="R531" s="3842">
        <v>0</v>
      </c>
      <c r="S531" s="3842"/>
      <c r="T531" s="3842"/>
      <c r="U531" s="3843">
        <f t="shared" si="301"/>
        <v>0</v>
      </c>
      <c r="V531" s="3843">
        <f t="shared" si="302"/>
        <v>0</v>
      </c>
      <c r="W531" s="3843">
        <f t="shared" si="303"/>
        <v>0</v>
      </c>
      <c r="X531" s="2846">
        <f>'Income Eligible Deemed Table'!J1232</f>
        <v>11</v>
      </c>
      <c r="Y531" s="2846"/>
      <c r="Z531" s="2846">
        <f t="shared" si="309"/>
        <v>11</v>
      </c>
      <c r="AA531" s="2529">
        <f>'Income Eligible Deemed Table'!DG1232</f>
        <v>0</v>
      </c>
      <c r="AB531" s="3878">
        <f>'Income Eligible Deemed Table'!K1232</f>
        <v>79</v>
      </c>
      <c r="AC531" s="3864">
        <f t="shared" si="310"/>
        <v>0</v>
      </c>
      <c r="AD531" s="3864"/>
      <c r="AE531" s="3865">
        <f>'Income Eligible Deemed Table'!DI1232</f>
        <v>0</v>
      </c>
      <c r="AF531" s="3894">
        <f>'Income Eligible Deemed Table'!DI1233</f>
        <v>0</v>
      </c>
      <c r="AG531" s="3846"/>
      <c r="AH531" s="3846"/>
      <c r="AI531" s="2233" t="str">
        <f>'Income Eligible Deemed Table'!L1232</f>
        <v>per measure</v>
      </c>
      <c r="AJ531" s="2724"/>
      <c r="AX531" s="3849" t="str">
        <f t="shared" si="288"/>
        <v>Learning Thermostat - Unknown MF**</v>
      </c>
      <c r="AY531" s="2724"/>
      <c r="AZ531" s="3850" t="str">
        <f t="shared" si="289"/>
        <v>406675</v>
      </c>
      <c r="BA531" s="3866" t="s">
        <v>1303</v>
      </c>
      <c r="BB531" s="3866" t="s">
        <v>1303</v>
      </c>
      <c r="BC531" s="3866" t="s">
        <v>1303</v>
      </c>
      <c r="BD531" s="3866" t="s">
        <v>1303</v>
      </c>
      <c r="BE531" s="3853"/>
      <c r="BF531" s="3866" t="s">
        <v>1303</v>
      </c>
      <c r="BG531" s="3866" t="s">
        <v>1303</v>
      </c>
      <c r="BH531" s="3866" t="s">
        <v>1303</v>
      </c>
      <c r="BI531" s="3867" t="s">
        <v>1303</v>
      </c>
      <c r="BJ531" s="3853"/>
      <c r="BK531" s="3866" t="s">
        <v>1303</v>
      </c>
      <c r="BL531" s="3867" t="s">
        <v>1303</v>
      </c>
      <c r="BM531" s="3866" t="s">
        <v>1303</v>
      </c>
      <c r="BN531" s="3867" t="s">
        <v>1303</v>
      </c>
    </row>
    <row r="532" spans="1:66" s="696" customFormat="1">
      <c r="A532" s="2958" t="str">
        <f t="shared" si="304"/>
        <v>406800</v>
      </c>
      <c r="B532" s="2233" t="str">
        <f>'Income Eligible Deemed Table'!C1309</f>
        <v>406800_2024_12_</v>
      </c>
      <c r="C532" s="2724" t="str">
        <f>'Income Eligible Deemed Table'!G1309</f>
        <v>Building Shell RES</v>
      </c>
      <c r="D532" s="2724"/>
      <c r="E532" s="2724"/>
      <c r="F532" s="2724"/>
      <c r="G532" s="2724" t="str">
        <f>'Income Eligible Deemed Table'!E1309</f>
        <v>Cool Roof: Single Family Vintage Up to 1979-Non-Electric Heating</v>
      </c>
      <c r="H532" s="2554" t="str">
        <f>'Income Eligible Deemed Table'!D1309</f>
        <v>SFIE</v>
      </c>
      <c r="I532" s="3840">
        <f>'Income Eligible Deemed Table'!F1309</f>
        <v>136</v>
      </c>
      <c r="J532" s="3840"/>
      <c r="K532" s="3251"/>
      <c r="L532" s="3251"/>
      <c r="M532" s="3251"/>
      <c r="N532" s="3251"/>
      <c r="O532" s="3841">
        <f>'Income Eligible Deemed Table'!I1309</f>
        <v>6.3386999999999999E-2</v>
      </c>
      <c r="P532" s="3841"/>
      <c r="Q532" s="3842"/>
      <c r="R532" s="3842"/>
      <c r="S532" s="3842"/>
      <c r="T532" s="3842"/>
      <c r="U532" s="3843">
        <f t="shared" si="301"/>
        <v>0</v>
      </c>
      <c r="V532" s="3843">
        <f t="shared" si="302"/>
        <v>0</v>
      </c>
      <c r="W532" s="3843">
        <f t="shared" si="303"/>
        <v>6.3386999999999999E-2</v>
      </c>
      <c r="X532" s="2846">
        <f>'Income Eligible Deemed Table'!J1309</f>
        <v>15</v>
      </c>
      <c r="Y532" s="2846"/>
      <c r="Z532" s="2846">
        <f t="shared" si="309"/>
        <v>15</v>
      </c>
      <c r="AA532" s="2529">
        <f>'Income Eligible Deemed Table'!DG1309</f>
        <v>21.998759890588161</v>
      </c>
      <c r="AB532" s="3878">
        <f>'Income Eligible Deemed Table'!K1309</f>
        <v>7.84</v>
      </c>
      <c r="AC532" s="3864">
        <f t="shared" si="310"/>
        <v>172.47027754221119</v>
      </c>
      <c r="AD532" s="3864">
        <f t="shared" ref="AD532" si="311">AG532+AH532</f>
        <v>0</v>
      </c>
      <c r="AE532" s="3008">
        <f>'Income Eligible Deemed Table'!DI1309</f>
        <v>172.47027754221119</v>
      </c>
      <c r="AF532" s="3846"/>
      <c r="AG532" s="3846"/>
      <c r="AH532" s="3846"/>
      <c r="AI532" s="2233" t="str">
        <f>'Income Eligible Deemed Table'!L1309</f>
        <v>per sq ft</v>
      </c>
      <c r="AJ532" s="2724"/>
      <c r="AX532" s="3849" t="str">
        <f t="shared" ref="AX532" si="312">G532</f>
        <v>Cool Roof: Single Family Vintage Up to 1979-Non-Electric Heating</v>
      </c>
      <c r="AY532" s="2724"/>
      <c r="AZ532" s="3850" t="str">
        <f t="shared" ref="AZ532" si="313">A532</f>
        <v>406800</v>
      </c>
      <c r="BA532" s="3866" t="s">
        <v>1303</v>
      </c>
      <c r="BB532" s="3866" t="s">
        <v>1303</v>
      </c>
      <c r="BC532" s="3866" t="s">
        <v>1303</v>
      </c>
      <c r="BD532" s="3866" t="s">
        <v>1303</v>
      </c>
      <c r="BE532" s="3853"/>
      <c r="BF532" s="3866" t="s">
        <v>1303</v>
      </c>
      <c r="BG532" s="3866" t="s">
        <v>1303</v>
      </c>
      <c r="BH532" s="3866" t="s">
        <v>1303</v>
      </c>
      <c r="BI532" s="3867" t="s">
        <v>1303</v>
      </c>
      <c r="BJ532" s="3853"/>
      <c r="BK532" s="3866" t="s">
        <v>1303</v>
      </c>
      <c r="BL532" s="3867" t="s">
        <v>1303</v>
      </c>
      <c r="BM532" s="3866" t="s">
        <v>1303</v>
      </c>
      <c r="BN532" s="3867" t="s">
        <v>1303</v>
      </c>
    </row>
    <row r="533" spans="1:66" s="696" customFormat="1">
      <c r="A533" s="2958" t="str">
        <f t="shared" ref="A533:A547" si="314">LEFT(B533,6)</f>
        <v>406801</v>
      </c>
      <c r="B533" s="2233" t="str">
        <f>'Income Eligible Deemed Table'!C1310</f>
        <v>406801_2024_12_</v>
      </c>
      <c r="C533" s="2724" t="str">
        <f>'Income Eligible Deemed Table'!G1310</f>
        <v>Building Shell RES</v>
      </c>
      <c r="D533" s="2724"/>
      <c r="E533" s="2724"/>
      <c r="F533" s="2724"/>
      <c r="G533" s="2724" t="str">
        <f>'Income Eligible Deemed Table'!E1310</f>
        <v>Cool Roof: Single Family Vintage 1980-1999-Non-Electric Heating</v>
      </c>
      <c r="H533" s="2554" t="str">
        <f>'Income Eligible Deemed Table'!D1310</f>
        <v>SFIE</v>
      </c>
      <c r="I533" s="3840">
        <f>'Income Eligible Deemed Table'!F1310</f>
        <v>73.900000000000006</v>
      </c>
      <c r="J533" s="3840"/>
      <c r="K533" s="3251"/>
      <c r="L533" s="3251"/>
      <c r="M533" s="3251"/>
      <c r="N533" s="3251"/>
      <c r="O533" s="3841">
        <f>'Income Eligible Deemed Table'!I1310</f>
        <v>3.4443000000000001E-2</v>
      </c>
      <c r="P533" s="3841"/>
      <c r="Q533" s="3842"/>
      <c r="R533" s="3842"/>
      <c r="S533" s="3842"/>
      <c r="T533" s="3842"/>
      <c r="U533" s="3843">
        <f t="shared" si="301"/>
        <v>0</v>
      </c>
      <c r="V533" s="3843">
        <f t="shared" si="302"/>
        <v>0</v>
      </c>
      <c r="W533" s="3843">
        <f t="shared" si="303"/>
        <v>3.4443000000000001E-2</v>
      </c>
      <c r="X533" s="2846">
        <f>'Income Eligible Deemed Table'!J1310</f>
        <v>15</v>
      </c>
      <c r="Y533" s="2846"/>
      <c r="Z533" s="2846">
        <f t="shared" ref="Z533:Z547" si="315">Y533+X533</f>
        <v>15</v>
      </c>
      <c r="AA533" s="2529">
        <f>'Income Eligible Deemed Table'!DG1310</f>
        <v>11.953737911135775</v>
      </c>
      <c r="AB533" s="3878">
        <f>'Income Eligible Deemed Table'!K1310</f>
        <v>7.84</v>
      </c>
      <c r="AC533" s="3864">
        <f t="shared" ref="AC533:AC547" si="316">AE533+AF533</f>
        <v>93.717305223304479</v>
      </c>
      <c r="AD533" s="3864">
        <f t="shared" ref="AD533:AD547" si="317">AG533+AH533</f>
        <v>0</v>
      </c>
      <c r="AE533" s="3008">
        <f>'Income Eligible Deemed Table'!DI1310</f>
        <v>93.717305223304479</v>
      </c>
      <c r="AF533" s="3846"/>
      <c r="AG533" s="3846"/>
      <c r="AH533" s="3846"/>
      <c r="AI533" s="2233" t="str">
        <f>'Income Eligible Deemed Table'!L1310</f>
        <v>per sq ft</v>
      </c>
      <c r="AJ533" s="2724"/>
      <c r="AX533" s="3849" t="str">
        <f t="shared" ref="AX533:AX547" si="318">G533</f>
        <v>Cool Roof: Single Family Vintage 1980-1999-Non-Electric Heating</v>
      </c>
      <c r="AY533" s="2724"/>
      <c r="AZ533" s="3850" t="str">
        <f t="shared" ref="AZ533:AZ547" si="319">A533</f>
        <v>406801</v>
      </c>
      <c r="BA533" s="3866" t="s">
        <v>1303</v>
      </c>
      <c r="BB533" s="3866" t="s">
        <v>1303</v>
      </c>
      <c r="BC533" s="3866" t="s">
        <v>1303</v>
      </c>
      <c r="BD533" s="3866" t="s">
        <v>1303</v>
      </c>
      <c r="BE533" s="3853"/>
      <c r="BF533" s="3866" t="s">
        <v>1303</v>
      </c>
      <c r="BG533" s="3866" t="s">
        <v>1303</v>
      </c>
      <c r="BH533" s="3866" t="s">
        <v>1303</v>
      </c>
      <c r="BI533" s="3867" t="s">
        <v>1303</v>
      </c>
      <c r="BJ533" s="3853"/>
      <c r="BK533" s="3866" t="s">
        <v>1303</v>
      </c>
      <c r="BL533" s="3867" t="s">
        <v>1303</v>
      </c>
      <c r="BM533" s="3866" t="s">
        <v>1303</v>
      </c>
      <c r="BN533" s="3867" t="s">
        <v>1303</v>
      </c>
    </row>
    <row r="534" spans="1:66" s="696" customFormat="1">
      <c r="A534" s="2958" t="str">
        <f t="shared" si="314"/>
        <v>406802</v>
      </c>
      <c r="B534" s="2233" t="str">
        <f>'Income Eligible Deemed Table'!C1311</f>
        <v>406802_2024_12_</v>
      </c>
      <c r="C534" s="2724" t="str">
        <f>'Income Eligible Deemed Table'!G1311</f>
        <v>Building Shell RES</v>
      </c>
      <c r="D534" s="2724"/>
      <c r="E534" s="2724"/>
      <c r="F534" s="2724"/>
      <c r="G534" s="2724" t="str">
        <f>'Income Eligible Deemed Table'!E1311</f>
        <v>Cool Roof: Single Family Vintage 2000-2009-Non-Electric Heating</v>
      </c>
      <c r="H534" s="2554" t="str">
        <f>'Income Eligible Deemed Table'!D1311</f>
        <v>SFIE</v>
      </c>
      <c r="I534" s="3840">
        <f>'Income Eligible Deemed Table'!F1311</f>
        <v>33.299999999999997</v>
      </c>
      <c r="J534" s="3840"/>
      <c r="K534" s="3251"/>
      <c r="L534" s="3251"/>
      <c r="M534" s="3251"/>
      <c r="N534" s="3251"/>
      <c r="O534" s="3841">
        <f>'Income Eligible Deemed Table'!I1311</f>
        <v>1.5520000000000001E-2</v>
      </c>
      <c r="P534" s="3841"/>
      <c r="Q534" s="3842"/>
      <c r="R534" s="3842"/>
      <c r="S534" s="3842"/>
      <c r="T534" s="3842"/>
      <c r="U534" s="3843">
        <f t="shared" si="301"/>
        <v>0</v>
      </c>
      <c r="V534" s="3843">
        <f t="shared" si="302"/>
        <v>0</v>
      </c>
      <c r="W534" s="3843">
        <f t="shared" si="303"/>
        <v>1.5520000000000001E-2</v>
      </c>
      <c r="X534" s="2846">
        <f>'Income Eligible Deemed Table'!J1311</f>
        <v>15</v>
      </c>
      <c r="Y534" s="2846"/>
      <c r="Z534" s="2846">
        <f t="shared" si="315"/>
        <v>15</v>
      </c>
      <c r="AA534" s="2529">
        <f>'Income Eligible Deemed Table'!DG1311</f>
        <v>5.386461061445484</v>
      </c>
      <c r="AB534" s="3878">
        <f>'Income Eligible Deemed Table'!K1311</f>
        <v>7.84</v>
      </c>
      <c r="AC534" s="3864">
        <f t="shared" si="316"/>
        <v>42.229854721732593</v>
      </c>
      <c r="AD534" s="3864">
        <f t="shared" si="317"/>
        <v>0</v>
      </c>
      <c r="AE534" s="3008">
        <f>'Income Eligible Deemed Table'!DI1311</f>
        <v>42.229854721732593</v>
      </c>
      <c r="AF534" s="3846"/>
      <c r="AG534" s="3846"/>
      <c r="AH534" s="3846"/>
      <c r="AI534" s="2233" t="str">
        <f>'Income Eligible Deemed Table'!L1311</f>
        <v>per sq ft</v>
      </c>
      <c r="AJ534" s="2724"/>
      <c r="AX534" s="3849" t="str">
        <f t="shared" si="318"/>
        <v>Cool Roof: Single Family Vintage 2000-2009-Non-Electric Heating</v>
      </c>
      <c r="AY534" s="2724"/>
      <c r="AZ534" s="3850" t="str">
        <f t="shared" si="319"/>
        <v>406802</v>
      </c>
      <c r="BA534" s="3866" t="s">
        <v>1303</v>
      </c>
      <c r="BB534" s="3866" t="s">
        <v>1303</v>
      </c>
      <c r="BC534" s="3866" t="s">
        <v>1303</v>
      </c>
      <c r="BD534" s="3866" t="s">
        <v>1303</v>
      </c>
      <c r="BE534" s="3853"/>
      <c r="BF534" s="3866" t="s">
        <v>1303</v>
      </c>
      <c r="BG534" s="3866" t="s">
        <v>1303</v>
      </c>
      <c r="BH534" s="3866" t="s">
        <v>1303</v>
      </c>
      <c r="BI534" s="3867" t="s">
        <v>1303</v>
      </c>
      <c r="BJ534" s="3853"/>
      <c r="BK534" s="3866" t="s">
        <v>1303</v>
      </c>
      <c r="BL534" s="3867" t="s">
        <v>1303</v>
      </c>
      <c r="BM534" s="3866" t="s">
        <v>1303</v>
      </c>
      <c r="BN534" s="3867" t="s">
        <v>1303</v>
      </c>
    </row>
    <row r="535" spans="1:66" s="696" customFormat="1">
      <c r="A535" s="2958" t="str">
        <f t="shared" si="314"/>
        <v>406803</v>
      </c>
      <c r="B535" s="2233" t="str">
        <f>'Income Eligible Deemed Table'!C1312</f>
        <v>406803_2024_12_</v>
      </c>
      <c r="C535" s="2724" t="str">
        <f>'Income Eligible Deemed Table'!G1312</f>
        <v>Building Shell RES</v>
      </c>
      <c r="D535" s="2724"/>
      <c r="E535" s="2724"/>
      <c r="F535" s="2724"/>
      <c r="G535" s="2724" t="str">
        <f>'Income Eligible Deemed Table'!E1312</f>
        <v>Cool Roof: Single Family Vintage 2010-2015-Non-Electric Heating</v>
      </c>
      <c r="H535" s="2554" t="str">
        <f>'Income Eligible Deemed Table'!D1312</f>
        <v>SFIE</v>
      </c>
      <c r="I535" s="3840">
        <f>'Income Eligible Deemed Table'!F1312</f>
        <v>23.9</v>
      </c>
      <c r="J535" s="3840"/>
      <c r="K535" s="3251"/>
      <c r="L535" s="3251"/>
      <c r="M535" s="3251"/>
      <c r="N535" s="3251"/>
      <c r="O535" s="3841">
        <f>'Income Eligible Deemed Table'!I1312</f>
        <v>1.1139E-2</v>
      </c>
      <c r="P535" s="3841"/>
      <c r="Q535" s="3842"/>
      <c r="R535" s="3842"/>
      <c r="S535" s="3842"/>
      <c r="T535" s="3842"/>
      <c r="U535" s="3843">
        <f t="shared" si="301"/>
        <v>0</v>
      </c>
      <c r="V535" s="3843">
        <f t="shared" si="302"/>
        <v>0</v>
      </c>
      <c r="W535" s="3843">
        <f t="shared" si="303"/>
        <v>1.1139E-2</v>
      </c>
      <c r="X535" s="2846">
        <f>'Income Eligible Deemed Table'!J1312</f>
        <v>15</v>
      </c>
      <c r="Y535" s="2846"/>
      <c r="Z535" s="2846">
        <f t="shared" si="315"/>
        <v>15</v>
      </c>
      <c r="AA535" s="2529">
        <f>'Income Eligible Deemed Table'!DG1312</f>
        <v>3.8659585395960083</v>
      </c>
      <c r="AB535" s="3878">
        <f>'Income Eligible Deemed Table'!K1312</f>
        <v>7.84</v>
      </c>
      <c r="AC535" s="3864">
        <f t="shared" si="316"/>
        <v>30.309114950432704</v>
      </c>
      <c r="AD535" s="3864">
        <f t="shared" si="317"/>
        <v>0</v>
      </c>
      <c r="AE535" s="3008">
        <f>'Income Eligible Deemed Table'!DI1312</f>
        <v>30.309114950432704</v>
      </c>
      <c r="AF535" s="3846"/>
      <c r="AG535" s="3846"/>
      <c r="AH535" s="3846"/>
      <c r="AI535" s="2233" t="str">
        <f>'Income Eligible Deemed Table'!L1312</f>
        <v>per sq ft</v>
      </c>
      <c r="AJ535" s="2724"/>
      <c r="AX535" s="3849" t="str">
        <f t="shared" si="318"/>
        <v>Cool Roof: Single Family Vintage 2010-2015-Non-Electric Heating</v>
      </c>
      <c r="AY535" s="2724"/>
      <c r="AZ535" s="3850" t="str">
        <f t="shared" si="319"/>
        <v>406803</v>
      </c>
      <c r="BA535" s="3866" t="s">
        <v>1303</v>
      </c>
      <c r="BB535" s="3866" t="s">
        <v>1303</v>
      </c>
      <c r="BC535" s="3866" t="s">
        <v>1303</v>
      </c>
      <c r="BD535" s="3866" t="s">
        <v>1303</v>
      </c>
      <c r="BE535" s="3853"/>
      <c r="BF535" s="3866" t="s">
        <v>1303</v>
      </c>
      <c r="BG535" s="3866" t="s">
        <v>1303</v>
      </c>
      <c r="BH535" s="3866" t="s">
        <v>1303</v>
      </c>
      <c r="BI535" s="3867" t="s">
        <v>1303</v>
      </c>
      <c r="BJ535" s="3853"/>
      <c r="BK535" s="3866" t="s">
        <v>1303</v>
      </c>
      <c r="BL535" s="3867" t="s">
        <v>1303</v>
      </c>
      <c r="BM535" s="3866" t="s">
        <v>1303</v>
      </c>
      <c r="BN535" s="3867" t="s">
        <v>1303</v>
      </c>
    </row>
    <row r="536" spans="1:66">
      <c r="A536" s="51" t="str">
        <f t="shared" si="314"/>
        <v>406804</v>
      </c>
      <c r="B536" s="1442" t="str">
        <f>'Income Eligible Deemed Table'!C1313</f>
        <v>406804_2024_12_</v>
      </c>
      <c r="C536" s="1378" t="str">
        <f>'Income Eligible Deemed Table'!G1313</f>
        <v>Building Shell RES</v>
      </c>
      <c r="D536" s="1378"/>
      <c r="E536" s="1378"/>
      <c r="F536" s="1378"/>
      <c r="G536" s="1378" t="str">
        <f>'Income Eligible Deemed Table'!E1313</f>
        <v>Cool Roof: Multi-Family Vintage Up to 1979-Non-Electric Heating</v>
      </c>
      <c r="H536" s="19" t="str">
        <f>'Income Eligible Deemed Table'!D1313</f>
        <v>MFIE</v>
      </c>
      <c r="I536" s="785">
        <f>'Income Eligible Deemed Table'!F1313</f>
        <v>114</v>
      </c>
      <c r="J536" s="785"/>
      <c r="K536" s="202"/>
      <c r="L536" s="202"/>
      <c r="M536" s="202"/>
      <c r="N536" s="202"/>
      <c r="O536" s="786">
        <f>'Income Eligible Deemed Table'!I1313</f>
        <v>5.3133E-2</v>
      </c>
      <c r="P536" s="786"/>
      <c r="Q536" s="787"/>
      <c r="R536" s="787"/>
      <c r="S536" s="787"/>
      <c r="T536" s="787"/>
      <c r="U536" s="788">
        <f t="shared" si="301"/>
        <v>0</v>
      </c>
      <c r="V536" s="788">
        <f t="shared" si="302"/>
        <v>0</v>
      </c>
      <c r="W536" s="788">
        <f t="shared" si="303"/>
        <v>5.3133E-2</v>
      </c>
      <c r="X536" s="23">
        <f>'Income Eligible Deemed Table'!J1313</f>
        <v>15</v>
      </c>
      <c r="Y536" s="23"/>
      <c r="Z536" s="23">
        <f t="shared" si="315"/>
        <v>15</v>
      </c>
      <c r="AA536" s="18">
        <f>'Income Eligible Deemed Table'!DG1313</f>
        <v>18.440136967110668</v>
      </c>
      <c r="AB536" s="259">
        <f>'Income Eligible Deemed Table'!K1313</f>
        <v>7.84</v>
      </c>
      <c r="AC536" s="902">
        <f t="shared" si="316"/>
        <v>144.57067382214763</v>
      </c>
      <c r="AD536" s="902">
        <f t="shared" si="317"/>
        <v>0</v>
      </c>
      <c r="AE536" s="207">
        <f>'Income Eligible Deemed Table'!DI1313</f>
        <v>144.57067382214763</v>
      </c>
      <c r="AF536" s="208"/>
      <c r="AG536" s="208"/>
      <c r="AH536" s="208"/>
      <c r="AI536" s="1442" t="str">
        <f>'Income Eligible Deemed Table'!L1313</f>
        <v>per sq ft</v>
      </c>
      <c r="AJ536" s="676"/>
      <c r="AK536" s="41"/>
      <c r="AL536" s="41"/>
      <c r="AX536" s="1355" t="str">
        <f t="shared" si="318"/>
        <v>Cool Roof: Multi-Family Vintage Up to 1979-Non-Electric Heating</v>
      </c>
      <c r="AY536" s="1378"/>
      <c r="AZ536" s="1446" t="str">
        <f t="shared" si="319"/>
        <v>406804</v>
      </c>
      <c r="BA536" s="1300" t="s">
        <v>1303</v>
      </c>
      <c r="BB536" s="1300" t="s">
        <v>1303</v>
      </c>
      <c r="BC536" s="1300" t="s">
        <v>1303</v>
      </c>
      <c r="BD536" s="1300" t="s">
        <v>1303</v>
      </c>
      <c r="BE536" s="1305"/>
      <c r="BF536" s="1300" t="s">
        <v>1303</v>
      </c>
      <c r="BG536" s="1300" t="s">
        <v>1303</v>
      </c>
      <c r="BH536" s="1300" t="s">
        <v>1303</v>
      </c>
      <c r="BI536" s="1301" t="s">
        <v>1303</v>
      </c>
      <c r="BJ536" s="1305"/>
      <c r="BK536" s="1300" t="s">
        <v>1303</v>
      </c>
      <c r="BL536" s="1301" t="s">
        <v>1303</v>
      </c>
      <c r="BM536" s="1300" t="s">
        <v>1303</v>
      </c>
      <c r="BN536" s="1301" t="s">
        <v>1303</v>
      </c>
    </row>
    <row r="537" spans="1:66">
      <c r="A537" s="51" t="str">
        <f t="shared" si="314"/>
        <v>406805</v>
      </c>
      <c r="B537" s="1442" t="str">
        <f>'Income Eligible Deemed Table'!C1314</f>
        <v>406805_2024_12_</v>
      </c>
      <c r="C537" s="1378" t="str">
        <f>'Income Eligible Deemed Table'!G1314</f>
        <v>Building Shell RES</v>
      </c>
      <c r="D537" s="1378"/>
      <c r="E537" s="1378"/>
      <c r="F537" s="1378"/>
      <c r="G537" s="1378" t="str">
        <f>'Income Eligible Deemed Table'!E1314</f>
        <v>Cool Roof: Multi-Family Vintage 1980-1999-Non-Electric Heating</v>
      </c>
      <c r="H537" s="19" t="str">
        <f>'Income Eligible Deemed Table'!D1314</f>
        <v>MFIE</v>
      </c>
      <c r="I537" s="785">
        <f>'Income Eligible Deemed Table'!F1314</f>
        <v>58.1</v>
      </c>
      <c r="J537" s="785"/>
      <c r="K537" s="202"/>
      <c r="L537" s="202"/>
      <c r="M537" s="202"/>
      <c r="N537" s="202"/>
      <c r="O537" s="786">
        <f>'Income Eligible Deemed Table'!I1314</f>
        <v>2.7078999999999999E-2</v>
      </c>
      <c r="P537" s="786"/>
      <c r="Q537" s="787"/>
      <c r="R537" s="787"/>
      <c r="S537" s="787"/>
      <c r="T537" s="787"/>
      <c r="U537" s="788">
        <f t="shared" si="301"/>
        <v>0</v>
      </c>
      <c r="V537" s="788">
        <f t="shared" si="302"/>
        <v>0</v>
      </c>
      <c r="W537" s="788">
        <f t="shared" si="303"/>
        <v>2.7078999999999999E-2</v>
      </c>
      <c r="X537" s="23">
        <f>'Income Eligible Deemed Table'!J1314</f>
        <v>15</v>
      </c>
      <c r="Y537" s="23"/>
      <c r="Z537" s="23">
        <f t="shared" si="315"/>
        <v>15</v>
      </c>
      <c r="AA537" s="18">
        <f>'Income Eligible Deemed Table'!DG1314</f>
        <v>9.3979996297292079</v>
      </c>
      <c r="AB537" s="259">
        <f>'Income Eligible Deemed Table'!K1314</f>
        <v>7.84</v>
      </c>
      <c r="AC537" s="902">
        <f t="shared" si="316"/>
        <v>73.680317097076994</v>
      </c>
      <c r="AD537" s="902">
        <f t="shared" si="317"/>
        <v>0</v>
      </c>
      <c r="AE537" s="207">
        <f>'Income Eligible Deemed Table'!DI1314</f>
        <v>73.680317097076994</v>
      </c>
      <c r="AF537" s="208"/>
      <c r="AG537" s="208"/>
      <c r="AH537" s="208"/>
      <c r="AI537" s="1442" t="str">
        <f>'Income Eligible Deemed Table'!L1314</f>
        <v>per sq ft</v>
      </c>
      <c r="AJ537" s="676"/>
      <c r="AK537" s="41"/>
      <c r="AL537" s="41"/>
      <c r="AX537" s="1355" t="str">
        <f t="shared" si="318"/>
        <v>Cool Roof: Multi-Family Vintage 1980-1999-Non-Electric Heating</v>
      </c>
      <c r="AY537" s="1378"/>
      <c r="AZ537" s="1446" t="str">
        <f t="shared" si="319"/>
        <v>406805</v>
      </c>
      <c r="BA537" s="1300" t="s">
        <v>1303</v>
      </c>
      <c r="BB537" s="1300" t="s">
        <v>1303</v>
      </c>
      <c r="BC537" s="1300" t="s">
        <v>1303</v>
      </c>
      <c r="BD537" s="1300" t="s">
        <v>1303</v>
      </c>
      <c r="BE537" s="1305"/>
      <c r="BF537" s="1300" t="s">
        <v>1303</v>
      </c>
      <c r="BG537" s="1300" t="s">
        <v>1303</v>
      </c>
      <c r="BH537" s="1300" t="s">
        <v>1303</v>
      </c>
      <c r="BI537" s="1301" t="s">
        <v>1303</v>
      </c>
      <c r="BJ537" s="1305"/>
      <c r="BK537" s="1300" t="s">
        <v>1303</v>
      </c>
      <c r="BL537" s="1301" t="s">
        <v>1303</v>
      </c>
      <c r="BM537" s="1300" t="s">
        <v>1303</v>
      </c>
      <c r="BN537" s="1301" t="s">
        <v>1303</v>
      </c>
    </row>
    <row r="538" spans="1:66">
      <c r="A538" s="51" t="str">
        <f t="shared" si="314"/>
        <v>406806</v>
      </c>
      <c r="B538" s="1442" t="str">
        <f>'Income Eligible Deemed Table'!C1315</f>
        <v>406806_2024_12_</v>
      </c>
      <c r="C538" s="1378" t="str">
        <f>'Income Eligible Deemed Table'!G1315</f>
        <v>Building Shell RES</v>
      </c>
      <c r="D538" s="1378"/>
      <c r="E538" s="1378"/>
      <c r="F538" s="1378"/>
      <c r="G538" s="1378" t="str">
        <f>'Income Eligible Deemed Table'!E1315</f>
        <v>Cool Roof: Multi-Family Vintage 2000-2009-Non-Electric Heating</v>
      </c>
      <c r="H538" s="19" t="str">
        <f>'Income Eligible Deemed Table'!D1315</f>
        <v>MFIE</v>
      </c>
      <c r="I538" s="785">
        <f>'Income Eligible Deemed Table'!F1315</f>
        <v>24.9</v>
      </c>
      <c r="J538" s="785"/>
      <c r="K538" s="202"/>
      <c r="L538" s="202"/>
      <c r="M538" s="202"/>
      <c r="N538" s="202"/>
      <c r="O538" s="786">
        <f>'Income Eligible Deemed Table'!I1315</f>
        <v>1.1605000000000001E-2</v>
      </c>
      <c r="P538" s="786"/>
      <c r="Q538" s="787"/>
      <c r="R538" s="787"/>
      <c r="S538" s="787"/>
      <c r="T538" s="787"/>
      <c r="U538" s="788">
        <f t="shared" si="301"/>
        <v>0</v>
      </c>
      <c r="V538" s="788">
        <f t="shared" si="302"/>
        <v>0</v>
      </c>
      <c r="W538" s="788">
        <f t="shared" si="303"/>
        <v>1.1605000000000001E-2</v>
      </c>
      <c r="X538" s="23">
        <f>'Income Eligible Deemed Table'!J1315</f>
        <v>15</v>
      </c>
      <c r="Y538" s="23"/>
      <c r="Z538" s="23">
        <f t="shared" si="315"/>
        <v>15</v>
      </c>
      <c r="AA538" s="18">
        <f>'Income Eligible Deemed Table'!DG1315</f>
        <v>4.0277141270268038</v>
      </c>
      <c r="AB538" s="259">
        <f>'Income Eligible Deemed Table'!K1315</f>
        <v>7.84</v>
      </c>
      <c r="AC538" s="902">
        <f t="shared" si="316"/>
        <v>31.577278755890138</v>
      </c>
      <c r="AD538" s="902">
        <f t="shared" si="317"/>
        <v>0</v>
      </c>
      <c r="AE538" s="207">
        <f>'Income Eligible Deemed Table'!DI1315</f>
        <v>31.577278755890138</v>
      </c>
      <c r="AF538" s="208"/>
      <c r="AG538" s="208"/>
      <c r="AH538" s="208"/>
      <c r="AI538" s="1442" t="str">
        <f>'Income Eligible Deemed Table'!L1315</f>
        <v>per sq ft</v>
      </c>
      <c r="AJ538" s="676"/>
      <c r="AK538" s="41"/>
      <c r="AL538" s="41"/>
      <c r="AX538" s="1355" t="str">
        <f t="shared" si="318"/>
        <v>Cool Roof: Multi-Family Vintage 2000-2009-Non-Electric Heating</v>
      </c>
      <c r="AY538" s="1378"/>
      <c r="AZ538" s="1446" t="str">
        <f t="shared" si="319"/>
        <v>406806</v>
      </c>
      <c r="BA538" s="1300" t="s">
        <v>1303</v>
      </c>
      <c r="BB538" s="1300" t="s">
        <v>1303</v>
      </c>
      <c r="BC538" s="1300" t="s">
        <v>1303</v>
      </c>
      <c r="BD538" s="1300" t="s">
        <v>1303</v>
      </c>
      <c r="BE538" s="1305"/>
      <c r="BF538" s="1300" t="s">
        <v>1303</v>
      </c>
      <c r="BG538" s="1300" t="s">
        <v>1303</v>
      </c>
      <c r="BH538" s="1300" t="s">
        <v>1303</v>
      </c>
      <c r="BI538" s="1301" t="s">
        <v>1303</v>
      </c>
      <c r="BJ538" s="1305"/>
      <c r="BK538" s="1300" t="s">
        <v>1303</v>
      </c>
      <c r="BL538" s="1301" t="s">
        <v>1303</v>
      </c>
      <c r="BM538" s="1300" t="s">
        <v>1303</v>
      </c>
      <c r="BN538" s="1301" t="s">
        <v>1303</v>
      </c>
    </row>
    <row r="539" spans="1:66">
      <c r="A539" s="51" t="str">
        <f t="shared" si="314"/>
        <v>406807</v>
      </c>
      <c r="B539" s="1442" t="str">
        <f>'Income Eligible Deemed Table'!C1316</f>
        <v>406807_2024_12_</v>
      </c>
      <c r="C539" s="1378" t="str">
        <f>'Income Eligible Deemed Table'!G1316</f>
        <v>Building Shell RES</v>
      </c>
      <c r="D539" s="1378"/>
      <c r="E539" s="1378"/>
      <c r="F539" s="1378"/>
      <c r="G539" s="1378" t="str">
        <f>'Income Eligible Deemed Table'!E1316</f>
        <v>Cool Roof: Multi-Family Vintage 2010-2015-Non-Electric Heating</v>
      </c>
      <c r="H539" s="19" t="str">
        <f>'Income Eligible Deemed Table'!D1316</f>
        <v>MFIE</v>
      </c>
      <c r="I539" s="785">
        <f>'Income Eligible Deemed Table'!F1316</f>
        <v>19.5</v>
      </c>
      <c r="J539" s="785"/>
      <c r="K539" s="202"/>
      <c r="L539" s="202"/>
      <c r="M539" s="202"/>
      <c r="N539" s="202"/>
      <c r="O539" s="786">
        <f>'Income Eligible Deemed Table'!I1316</f>
        <v>9.0889999999999999E-3</v>
      </c>
      <c r="P539" s="786"/>
      <c r="Q539" s="787"/>
      <c r="R539" s="787"/>
      <c r="S539" s="787"/>
      <c r="T539" s="787"/>
      <c r="U539" s="788">
        <f t="shared" si="301"/>
        <v>0</v>
      </c>
      <c r="V539" s="788">
        <f t="shared" si="302"/>
        <v>0</v>
      </c>
      <c r="W539" s="788">
        <f t="shared" si="303"/>
        <v>9.0889999999999999E-3</v>
      </c>
      <c r="X539" s="23">
        <f>'Income Eligible Deemed Table'!J1316</f>
        <v>15</v>
      </c>
      <c r="Y539" s="23"/>
      <c r="Z539" s="23">
        <f t="shared" si="315"/>
        <v>15</v>
      </c>
      <c r="AA539" s="18">
        <f>'Income Eligible Deemed Table'!DG1316</f>
        <v>3.154233954900509</v>
      </c>
      <c r="AB539" s="259">
        <f>'Income Eligible Deemed Table'!K1316</f>
        <v>7.84</v>
      </c>
      <c r="AC539" s="902">
        <f t="shared" si="316"/>
        <v>24.72919420641999</v>
      </c>
      <c r="AD539" s="902">
        <f t="shared" si="317"/>
        <v>0</v>
      </c>
      <c r="AE539" s="207">
        <f>'Income Eligible Deemed Table'!DI1316</f>
        <v>24.72919420641999</v>
      </c>
      <c r="AF539" s="208"/>
      <c r="AG539" s="208"/>
      <c r="AH539" s="208"/>
      <c r="AI539" s="1442" t="str">
        <f>'Income Eligible Deemed Table'!L1316</f>
        <v>per sq ft</v>
      </c>
      <c r="AJ539" s="676"/>
      <c r="AK539" s="41"/>
      <c r="AL539" s="41"/>
      <c r="AX539" s="1355" t="str">
        <f t="shared" si="318"/>
        <v>Cool Roof: Multi-Family Vintage 2010-2015-Non-Electric Heating</v>
      </c>
      <c r="AY539" s="1378"/>
      <c r="AZ539" s="1446" t="str">
        <f t="shared" si="319"/>
        <v>406807</v>
      </c>
      <c r="BA539" s="1300" t="s">
        <v>1303</v>
      </c>
      <c r="BB539" s="1300" t="s">
        <v>1303</v>
      </c>
      <c r="BC539" s="1300" t="s">
        <v>1303</v>
      </c>
      <c r="BD539" s="1300" t="s">
        <v>1303</v>
      </c>
      <c r="BE539" s="1305"/>
      <c r="BF539" s="1300" t="s">
        <v>1303</v>
      </c>
      <c r="BG539" s="1300" t="s">
        <v>1303</v>
      </c>
      <c r="BH539" s="1300" t="s">
        <v>1303</v>
      </c>
      <c r="BI539" s="1301" t="s">
        <v>1303</v>
      </c>
      <c r="BJ539" s="1305"/>
      <c r="BK539" s="1300" t="s">
        <v>1303</v>
      </c>
      <c r="BL539" s="1301" t="s">
        <v>1303</v>
      </c>
      <c r="BM539" s="1300" t="s">
        <v>1303</v>
      </c>
      <c r="BN539" s="1301" t="s">
        <v>1303</v>
      </c>
    </row>
    <row r="540" spans="1:66" s="696" customFormat="1">
      <c r="A540" s="2958" t="str">
        <f t="shared" si="314"/>
        <v>406808</v>
      </c>
      <c r="B540" s="2233" t="str">
        <f>'Income Eligible Deemed Table'!C1317</f>
        <v>406808_2024_12_</v>
      </c>
      <c r="C540" s="2724" t="str">
        <f>'Income Eligible Deemed Table'!G1317</f>
        <v>Building Shell RES</v>
      </c>
      <c r="D540" s="2724"/>
      <c r="E540" s="2724"/>
      <c r="F540" s="2724"/>
      <c r="G540" s="2724" t="str">
        <f>'Income Eligible Deemed Table'!E1317</f>
        <v>Cool Roof: Single Family Vintage Up to 1979-Heat Pump Heating</v>
      </c>
      <c r="H540" s="2554" t="str">
        <f>'Income Eligible Deemed Table'!D1317</f>
        <v>SFIE</v>
      </c>
      <c r="I540" s="3840">
        <f>'Income Eligible Deemed Table'!F1317</f>
        <v>57.12</v>
      </c>
      <c r="J540" s="3840"/>
      <c r="K540" s="3251"/>
      <c r="L540" s="3251"/>
      <c r="M540" s="3251"/>
      <c r="N540" s="3251"/>
      <c r="O540" s="3841">
        <f>'Income Eligible Deemed Table'!I1317</f>
        <v>2.6623000000000001E-2</v>
      </c>
      <c r="P540" s="3841"/>
      <c r="Q540" s="3842"/>
      <c r="R540" s="3842"/>
      <c r="S540" s="3842"/>
      <c r="T540" s="3842"/>
      <c r="U540" s="3843">
        <f t="shared" si="301"/>
        <v>0</v>
      </c>
      <c r="V540" s="3843">
        <f t="shared" si="302"/>
        <v>0</v>
      </c>
      <c r="W540" s="3843">
        <f t="shared" si="303"/>
        <v>2.6623000000000001E-2</v>
      </c>
      <c r="X540" s="2846">
        <f>'Income Eligible Deemed Table'!J1317</f>
        <v>15</v>
      </c>
      <c r="Y540" s="2846"/>
      <c r="Z540" s="2846">
        <f t="shared" si="315"/>
        <v>15</v>
      </c>
      <c r="AA540" s="2529">
        <f>'Income Eligible Deemed Table'!DG1317</f>
        <v>9.2394791540470287</v>
      </c>
      <c r="AB540" s="3878">
        <f>'Income Eligible Deemed Table'!K1317</f>
        <v>7.84</v>
      </c>
      <c r="AC540" s="3864">
        <f t="shared" si="316"/>
        <v>72.437516567728707</v>
      </c>
      <c r="AD540" s="3864">
        <f t="shared" si="317"/>
        <v>0</v>
      </c>
      <c r="AE540" s="3008">
        <f>'Income Eligible Deemed Table'!DI1317</f>
        <v>72.437516567728707</v>
      </c>
      <c r="AF540" s="3846"/>
      <c r="AG540" s="3846"/>
      <c r="AH540" s="3846"/>
      <c r="AI540" s="2233" t="str">
        <f>'Income Eligible Deemed Table'!L1317</f>
        <v>per sq ft</v>
      </c>
      <c r="AJ540" s="2724"/>
      <c r="AX540" s="3849" t="str">
        <f t="shared" si="318"/>
        <v>Cool Roof: Single Family Vintage Up to 1979-Heat Pump Heating</v>
      </c>
      <c r="AY540" s="2724"/>
      <c r="AZ540" s="3850" t="str">
        <f t="shared" si="319"/>
        <v>406808</v>
      </c>
      <c r="BA540" s="3866" t="s">
        <v>1303</v>
      </c>
      <c r="BB540" s="3866" t="s">
        <v>1303</v>
      </c>
      <c r="BC540" s="3866" t="s">
        <v>1303</v>
      </c>
      <c r="BD540" s="3866" t="s">
        <v>1303</v>
      </c>
      <c r="BE540" s="3853"/>
      <c r="BF540" s="3866" t="s">
        <v>1303</v>
      </c>
      <c r="BG540" s="3866" t="s">
        <v>1303</v>
      </c>
      <c r="BH540" s="3866" t="s">
        <v>1303</v>
      </c>
      <c r="BI540" s="3867" t="s">
        <v>1303</v>
      </c>
      <c r="BJ540" s="3853"/>
      <c r="BK540" s="3866" t="s">
        <v>1303</v>
      </c>
      <c r="BL540" s="3867" t="s">
        <v>1303</v>
      </c>
      <c r="BM540" s="3866" t="s">
        <v>1303</v>
      </c>
      <c r="BN540" s="3867" t="s">
        <v>1303</v>
      </c>
    </row>
    <row r="541" spans="1:66" s="696" customFormat="1">
      <c r="A541" s="2958" t="str">
        <f t="shared" si="314"/>
        <v>406809</v>
      </c>
      <c r="B541" s="2233" t="str">
        <f>'Income Eligible Deemed Table'!C1318</f>
        <v>406809_2024_12_</v>
      </c>
      <c r="C541" s="2724" t="str">
        <f>'Income Eligible Deemed Table'!G1318</f>
        <v>Building Shell RES</v>
      </c>
      <c r="D541" s="2724"/>
      <c r="E541" s="2724"/>
      <c r="F541" s="2724"/>
      <c r="G541" s="2724" t="str">
        <f>'Income Eligible Deemed Table'!E1318</f>
        <v>Cool Roof: Single Family Vintage 1980-1999-Heat Pump Heating</v>
      </c>
      <c r="H541" s="2554" t="str">
        <f>'Income Eligible Deemed Table'!D1318</f>
        <v>SFIE</v>
      </c>
      <c r="I541" s="3840">
        <f>'Income Eligible Deemed Table'!F1318</f>
        <v>31.04</v>
      </c>
      <c r="J541" s="3840"/>
      <c r="K541" s="3251"/>
      <c r="L541" s="3251"/>
      <c r="M541" s="3251"/>
      <c r="N541" s="3251"/>
      <c r="O541" s="3841">
        <f>'Income Eligible Deemed Table'!I1318</f>
        <v>1.4467000000000001E-2</v>
      </c>
      <c r="P541" s="3841"/>
      <c r="Q541" s="3842"/>
      <c r="R541" s="3842"/>
      <c r="S541" s="3842"/>
      <c r="T541" s="3842"/>
      <c r="U541" s="3843">
        <f t="shared" si="301"/>
        <v>0</v>
      </c>
      <c r="V541" s="3843">
        <f t="shared" si="302"/>
        <v>0</v>
      </c>
      <c r="W541" s="3843">
        <f t="shared" si="303"/>
        <v>1.4467000000000001E-2</v>
      </c>
      <c r="X541" s="2846">
        <f>'Income Eligible Deemed Table'!J1318</f>
        <v>15</v>
      </c>
      <c r="Y541" s="2846"/>
      <c r="Z541" s="2846">
        <f t="shared" si="315"/>
        <v>15</v>
      </c>
      <c r="AA541" s="2529">
        <f>'Income Eligible Deemed Table'!DG1318</f>
        <v>5.0208934338518869</v>
      </c>
      <c r="AB541" s="3878">
        <f>'Income Eligible Deemed Table'!K1318</f>
        <v>7.84</v>
      </c>
      <c r="AC541" s="3864">
        <f t="shared" si="316"/>
        <v>39.363804521398791</v>
      </c>
      <c r="AD541" s="3864">
        <f t="shared" si="317"/>
        <v>0</v>
      </c>
      <c r="AE541" s="3008">
        <f>'Income Eligible Deemed Table'!DI1318</f>
        <v>39.363804521398791</v>
      </c>
      <c r="AF541" s="3846"/>
      <c r="AG541" s="3846"/>
      <c r="AH541" s="3846"/>
      <c r="AI541" s="2233" t="str">
        <f>'Income Eligible Deemed Table'!L1318</f>
        <v>per sq ft</v>
      </c>
      <c r="AJ541" s="2724"/>
      <c r="AX541" s="3849" t="str">
        <f t="shared" si="318"/>
        <v>Cool Roof: Single Family Vintage 1980-1999-Heat Pump Heating</v>
      </c>
      <c r="AY541" s="2724"/>
      <c r="AZ541" s="3850" t="str">
        <f t="shared" si="319"/>
        <v>406809</v>
      </c>
      <c r="BA541" s="3866" t="s">
        <v>1303</v>
      </c>
      <c r="BB541" s="3866" t="s">
        <v>1303</v>
      </c>
      <c r="BC541" s="3866" t="s">
        <v>1303</v>
      </c>
      <c r="BD541" s="3866" t="s">
        <v>1303</v>
      </c>
      <c r="BE541" s="3853"/>
      <c r="BF541" s="3866" t="s">
        <v>1303</v>
      </c>
      <c r="BG541" s="3866" t="s">
        <v>1303</v>
      </c>
      <c r="BH541" s="3866" t="s">
        <v>1303</v>
      </c>
      <c r="BI541" s="3867" t="s">
        <v>1303</v>
      </c>
      <c r="BJ541" s="3853"/>
      <c r="BK541" s="3866" t="s">
        <v>1303</v>
      </c>
      <c r="BL541" s="3867" t="s">
        <v>1303</v>
      </c>
      <c r="BM541" s="3866" t="s">
        <v>1303</v>
      </c>
      <c r="BN541" s="3867" t="s">
        <v>1303</v>
      </c>
    </row>
    <row r="542" spans="1:66" s="696" customFormat="1">
      <c r="A542" s="2958" t="str">
        <f t="shared" si="314"/>
        <v>406810</v>
      </c>
      <c r="B542" s="2233" t="str">
        <f>'Income Eligible Deemed Table'!C1319</f>
        <v>406810_2024_12_</v>
      </c>
      <c r="C542" s="2724" t="str">
        <f>'Income Eligible Deemed Table'!G1319</f>
        <v>Building Shell RES</v>
      </c>
      <c r="D542" s="2724"/>
      <c r="E542" s="2724"/>
      <c r="F542" s="2724"/>
      <c r="G542" s="2724" t="str">
        <f>'Income Eligible Deemed Table'!E1319</f>
        <v>Cool Roof: Single Family Vintage 2000-2009-Heat Pump Heating</v>
      </c>
      <c r="H542" s="2554" t="str">
        <f>'Income Eligible Deemed Table'!D1319</f>
        <v>SFIE</v>
      </c>
      <c r="I542" s="3840">
        <f>'Income Eligible Deemed Table'!F1319</f>
        <v>13.99</v>
      </c>
      <c r="J542" s="3840"/>
      <c r="K542" s="3251"/>
      <c r="L542" s="3251"/>
      <c r="M542" s="3251"/>
      <c r="N542" s="3251"/>
      <c r="O542" s="3841">
        <f>'Income Eligible Deemed Table'!I1319</f>
        <v>6.5199999999999998E-3</v>
      </c>
      <c r="P542" s="3841"/>
      <c r="Q542" s="3842"/>
      <c r="R542" s="3842"/>
      <c r="S542" s="3842"/>
      <c r="T542" s="3842"/>
      <c r="U542" s="3843">
        <f t="shared" si="301"/>
        <v>0</v>
      </c>
      <c r="V542" s="3843">
        <f t="shared" si="302"/>
        <v>0</v>
      </c>
      <c r="W542" s="3843">
        <f t="shared" si="303"/>
        <v>6.5199999999999998E-3</v>
      </c>
      <c r="X542" s="2846">
        <f>'Income Eligible Deemed Table'!J1319</f>
        <v>15</v>
      </c>
      <c r="Y542" s="2846"/>
      <c r="Z542" s="2846">
        <f t="shared" si="315"/>
        <v>15</v>
      </c>
      <c r="AA542" s="2529">
        <f>'Income Eligible Deemed Table'!DG1319</f>
        <v>2.2629606681568268</v>
      </c>
      <c r="AB542" s="3878">
        <f>'Income Eligible Deemed Table'!K1319</f>
        <v>7.84</v>
      </c>
      <c r="AC542" s="3864">
        <f t="shared" si="316"/>
        <v>17.741611638349521</v>
      </c>
      <c r="AD542" s="3864">
        <f t="shared" si="317"/>
        <v>0</v>
      </c>
      <c r="AE542" s="3008">
        <f>'Income Eligible Deemed Table'!DI1319</f>
        <v>17.741611638349521</v>
      </c>
      <c r="AF542" s="3846"/>
      <c r="AG542" s="3846"/>
      <c r="AH542" s="3846"/>
      <c r="AI542" s="2233" t="str">
        <f>'Income Eligible Deemed Table'!L1319</f>
        <v>per sq ft</v>
      </c>
      <c r="AJ542" s="2724"/>
      <c r="AX542" s="3849" t="str">
        <f t="shared" si="318"/>
        <v>Cool Roof: Single Family Vintage 2000-2009-Heat Pump Heating</v>
      </c>
      <c r="AY542" s="2724"/>
      <c r="AZ542" s="3850" t="str">
        <f t="shared" si="319"/>
        <v>406810</v>
      </c>
      <c r="BA542" s="3866" t="s">
        <v>1303</v>
      </c>
      <c r="BB542" s="3866" t="s">
        <v>1303</v>
      </c>
      <c r="BC542" s="3866" t="s">
        <v>1303</v>
      </c>
      <c r="BD542" s="3866" t="s">
        <v>1303</v>
      </c>
      <c r="BE542" s="3853"/>
      <c r="BF542" s="3866" t="s">
        <v>1303</v>
      </c>
      <c r="BG542" s="3866" t="s">
        <v>1303</v>
      </c>
      <c r="BH542" s="3866" t="s">
        <v>1303</v>
      </c>
      <c r="BI542" s="3867" t="s">
        <v>1303</v>
      </c>
      <c r="BJ542" s="3853"/>
      <c r="BK542" s="3866" t="s">
        <v>1303</v>
      </c>
      <c r="BL542" s="3867" t="s">
        <v>1303</v>
      </c>
      <c r="BM542" s="3866" t="s">
        <v>1303</v>
      </c>
      <c r="BN542" s="3867" t="s">
        <v>1303</v>
      </c>
    </row>
    <row r="543" spans="1:66" s="696" customFormat="1">
      <c r="A543" s="2958" t="str">
        <f t="shared" si="314"/>
        <v>406811</v>
      </c>
      <c r="B543" s="2233" t="str">
        <f>'Income Eligible Deemed Table'!C1320</f>
        <v>406811_2024_12_</v>
      </c>
      <c r="C543" s="2724" t="str">
        <f>'Income Eligible Deemed Table'!G1320</f>
        <v>Building Shell RES</v>
      </c>
      <c r="D543" s="2724"/>
      <c r="E543" s="2724"/>
      <c r="F543" s="2724"/>
      <c r="G543" s="2724" t="str">
        <f>'Income Eligible Deemed Table'!E1320</f>
        <v>Cool Roof: Single Family Vintage 2010-2015-Heat Pump Heating</v>
      </c>
      <c r="H543" s="2554" t="str">
        <f>'Income Eligible Deemed Table'!D1320</f>
        <v>SFIE</v>
      </c>
      <c r="I543" s="3840">
        <f>'Income Eligible Deemed Table'!F1320</f>
        <v>10.039999999999999</v>
      </c>
      <c r="J543" s="3840"/>
      <c r="K543" s="3251"/>
      <c r="L543" s="3251"/>
      <c r="M543" s="3251"/>
      <c r="N543" s="3251"/>
      <c r="O543" s="3841">
        <f>'Income Eligible Deemed Table'!I1320</f>
        <v>4.679E-3</v>
      </c>
      <c r="P543" s="3841"/>
      <c r="Q543" s="3842"/>
      <c r="R543" s="3842"/>
      <c r="S543" s="3842"/>
      <c r="T543" s="3842"/>
      <c r="U543" s="3843">
        <f t="shared" si="301"/>
        <v>0</v>
      </c>
      <c r="V543" s="3843">
        <f t="shared" si="302"/>
        <v>0</v>
      </c>
      <c r="W543" s="3843">
        <f t="shared" si="303"/>
        <v>4.679E-3</v>
      </c>
      <c r="X543" s="2846">
        <f>'Income Eligible Deemed Table'!J1320</f>
        <v>15</v>
      </c>
      <c r="Y543" s="2846"/>
      <c r="Z543" s="2846">
        <f t="shared" si="315"/>
        <v>15</v>
      </c>
      <c r="AA543" s="2529">
        <f>'Income Eligible Deemed Table'!DG1320</f>
        <v>1.624026097805185</v>
      </c>
      <c r="AB543" s="3878">
        <f>'Income Eligible Deemed Table'!K1320</f>
        <v>7.84</v>
      </c>
      <c r="AC543" s="3864">
        <f t="shared" si="316"/>
        <v>12.73236460679265</v>
      </c>
      <c r="AD543" s="3864">
        <f t="shared" si="317"/>
        <v>0</v>
      </c>
      <c r="AE543" s="3008">
        <f>'Income Eligible Deemed Table'!DI1320</f>
        <v>12.73236460679265</v>
      </c>
      <c r="AF543" s="3846"/>
      <c r="AG543" s="3846"/>
      <c r="AH543" s="3846"/>
      <c r="AI543" s="2233" t="str">
        <f>'Income Eligible Deemed Table'!L1320</f>
        <v>per sq ft</v>
      </c>
      <c r="AJ543" s="2724"/>
      <c r="AX543" s="3849" t="str">
        <f t="shared" si="318"/>
        <v>Cool Roof: Single Family Vintage 2010-2015-Heat Pump Heating</v>
      </c>
      <c r="AY543" s="2724"/>
      <c r="AZ543" s="3850" t="str">
        <f t="shared" si="319"/>
        <v>406811</v>
      </c>
      <c r="BA543" s="3866" t="s">
        <v>1303</v>
      </c>
      <c r="BB543" s="3866" t="s">
        <v>1303</v>
      </c>
      <c r="BC543" s="3866" t="s">
        <v>1303</v>
      </c>
      <c r="BD543" s="3866" t="s">
        <v>1303</v>
      </c>
      <c r="BE543" s="3853"/>
      <c r="BF543" s="3866" t="s">
        <v>1303</v>
      </c>
      <c r="BG543" s="3866" t="s">
        <v>1303</v>
      </c>
      <c r="BH543" s="3866" t="s">
        <v>1303</v>
      </c>
      <c r="BI543" s="3867" t="s">
        <v>1303</v>
      </c>
      <c r="BJ543" s="3853"/>
      <c r="BK543" s="3866" t="s">
        <v>1303</v>
      </c>
      <c r="BL543" s="3867" t="s">
        <v>1303</v>
      </c>
      <c r="BM543" s="3866" t="s">
        <v>1303</v>
      </c>
      <c r="BN543" s="3867" t="s">
        <v>1303</v>
      </c>
    </row>
    <row r="544" spans="1:66">
      <c r="A544" s="51" t="str">
        <f t="shared" si="314"/>
        <v>406812</v>
      </c>
      <c r="B544" s="1442" t="str">
        <f>'Income Eligible Deemed Table'!C1321</f>
        <v>406812_2024_12_</v>
      </c>
      <c r="C544" s="1378" t="str">
        <f>'Income Eligible Deemed Table'!G1321</f>
        <v>Building Shell RES</v>
      </c>
      <c r="D544" s="1378"/>
      <c r="E544" s="1378"/>
      <c r="F544" s="1378"/>
      <c r="G544" s="1378" t="str">
        <f>'Income Eligible Deemed Table'!E1321</f>
        <v>Cool Roof: Multi-Family Vintage Up to 1979-Heat Pump Heating</v>
      </c>
      <c r="H544" s="19" t="str">
        <f>'Income Eligible Deemed Table'!D1321</f>
        <v>MFIE</v>
      </c>
      <c r="I544" s="785">
        <f>'Income Eligible Deemed Table'!F1321</f>
        <v>47.88</v>
      </c>
      <c r="J544" s="785"/>
      <c r="K544" s="202"/>
      <c r="L544" s="202"/>
      <c r="M544" s="202"/>
      <c r="N544" s="202"/>
      <c r="O544" s="786">
        <f>'Income Eligible Deemed Table'!I1321</f>
        <v>2.2315999999999999E-2</v>
      </c>
      <c r="P544" s="786"/>
      <c r="Q544" s="787"/>
      <c r="R544" s="787"/>
      <c r="S544" s="787"/>
      <c r="T544" s="787"/>
      <c r="U544" s="788">
        <f t="shared" si="301"/>
        <v>0</v>
      </c>
      <c r="V544" s="788">
        <f t="shared" si="302"/>
        <v>0</v>
      </c>
      <c r="W544" s="788">
        <f t="shared" si="303"/>
        <v>2.2315999999999999E-2</v>
      </c>
      <c r="X544" s="23">
        <f>'Income Eligible Deemed Table'!J1321</f>
        <v>15</v>
      </c>
      <c r="Y544" s="23"/>
      <c r="Z544" s="23">
        <f t="shared" si="315"/>
        <v>15</v>
      </c>
      <c r="AA544" s="18">
        <f>'Income Eligible Deemed Table'!DG1321</f>
        <v>7.7448575261864807</v>
      </c>
      <c r="AB544" s="259">
        <f>'Income Eligible Deemed Table'!K1321</f>
        <v>7.84</v>
      </c>
      <c r="AC544" s="902">
        <f t="shared" si="316"/>
        <v>60.719683005302009</v>
      </c>
      <c r="AD544" s="902">
        <f t="shared" si="317"/>
        <v>0</v>
      </c>
      <c r="AE544" s="207">
        <f>'Income Eligible Deemed Table'!DI1321</f>
        <v>60.719683005302009</v>
      </c>
      <c r="AF544" s="208"/>
      <c r="AG544" s="208"/>
      <c r="AH544" s="208"/>
      <c r="AI544" s="1442" t="str">
        <f>'Income Eligible Deemed Table'!L1321</f>
        <v>per sq ft</v>
      </c>
      <c r="AJ544" s="676"/>
      <c r="AK544" s="41"/>
      <c r="AL544" s="41"/>
      <c r="AX544" s="1355" t="str">
        <f t="shared" si="318"/>
        <v>Cool Roof: Multi-Family Vintage Up to 1979-Heat Pump Heating</v>
      </c>
      <c r="AY544" s="1378"/>
      <c r="AZ544" s="1446" t="str">
        <f t="shared" si="319"/>
        <v>406812</v>
      </c>
      <c r="BA544" s="1300" t="s">
        <v>1303</v>
      </c>
      <c r="BB544" s="1300" t="s">
        <v>1303</v>
      </c>
      <c r="BC544" s="1300" t="s">
        <v>1303</v>
      </c>
      <c r="BD544" s="1300" t="s">
        <v>1303</v>
      </c>
      <c r="BE544" s="1305"/>
      <c r="BF544" s="1300" t="s">
        <v>1303</v>
      </c>
      <c r="BG544" s="1300" t="s">
        <v>1303</v>
      </c>
      <c r="BH544" s="1300" t="s">
        <v>1303</v>
      </c>
      <c r="BI544" s="1301" t="s">
        <v>1303</v>
      </c>
      <c r="BJ544" s="1305"/>
      <c r="BK544" s="1300" t="s">
        <v>1303</v>
      </c>
      <c r="BL544" s="1301" t="s">
        <v>1303</v>
      </c>
      <c r="BM544" s="1300" t="s">
        <v>1303</v>
      </c>
      <c r="BN544" s="1301" t="s">
        <v>1303</v>
      </c>
    </row>
    <row r="545" spans="1:66">
      <c r="A545" s="51" t="str">
        <f t="shared" si="314"/>
        <v>406813</v>
      </c>
      <c r="B545" s="1442" t="str">
        <f>'Income Eligible Deemed Table'!C1322</f>
        <v>406813_2024_12_</v>
      </c>
      <c r="C545" s="1378" t="str">
        <f>'Income Eligible Deemed Table'!G1322</f>
        <v>Building Shell RES</v>
      </c>
      <c r="D545" s="1378"/>
      <c r="E545" s="1378"/>
      <c r="F545" s="1378"/>
      <c r="G545" s="1378" t="str">
        <f>'Income Eligible Deemed Table'!E1322</f>
        <v>Cool Roof: Multi-Family Vintage 1980-1999-Heat Pump Heating</v>
      </c>
      <c r="H545" s="19" t="str">
        <f>'Income Eligible Deemed Table'!D1322</f>
        <v>MFIE</v>
      </c>
      <c r="I545" s="785">
        <f>'Income Eligible Deemed Table'!F1322</f>
        <v>24.4</v>
      </c>
      <c r="J545" s="785"/>
      <c r="K545" s="202"/>
      <c r="L545" s="202"/>
      <c r="M545" s="202"/>
      <c r="N545" s="202"/>
      <c r="O545" s="786">
        <f>'Income Eligible Deemed Table'!I1322</f>
        <v>1.1372E-2</v>
      </c>
      <c r="P545" s="786"/>
      <c r="Q545" s="787"/>
      <c r="R545" s="787"/>
      <c r="S545" s="787"/>
      <c r="T545" s="787"/>
      <c r="U545" s="788">
        <f t="shared" si="301"/>
        <v>0</v>
      </c>
      <c r="V545" s="788">
        <f t="shared" si="302"/>
        <v>0</v>
      </c>
      <c r="W545" s="788">
        <f t="shared" si="303"/>
        <v>1.1372E-2</v>
      </c>
      <c r="X545" s="23">
        <f>'Income Eligible Deemed Table'!J1322</f>
        <v>15</v>
      </c>
      <c r="Y545" s="23"/>
      <c r="Z545" s="23">
        <f t="shared" si="315"/>
        <v>15</v>
      </c>
      <c r="AA545" s="18">
        <f>'Income Eligible Deemed Table'!DG1322</f>
        <v>3.9468363333114058</v>
      </c>
      <c r="AB545" s="259">
        <f>'Income Eligible Deemed Table'!K1322</f>
        <v>7.84</v>
      </c>
      <c r="AC545" s="902">
        <f t="shared" si="316"/>
        <v>30.943196853161421</v>
      </c>
      <c r="AD545" s="902">
        <f t="shared" si="317"/>
        <v>0</v>
      </c>
      <c r="AE545" s="207">
        <f>'Income Eligible Deemed Table'!DI1322</f>
        <v>30.943196853161421</v>
      </c>
      <c r="AF545" s="208"/>
      <c r="AG545" s="208"/>
      <c r="AH545" s="208"/>
      <c r="AI545" s="1442" t="str">
        <f>'Income Eligible Deemed Table'!L1322</f>
        <v>per sq ft</v>
      </c>
      <c r="AJ545" s="676"/>
      <c r="AK545" s="41"/>
      <c r="AL545" s="41"/>
      <c r="AX545" s="1355" t="str">
        <f t="shared" si="318"/>
        <v>Cool Roof: Multi-Family Vintage 1980-1999-Heat Pump Heating</v>
      </c>
      <c r="AY545" s="1378"/>
      <c r="AZ545" s="1446" t="str">
        <f t="shared" si="319"/>
        <v>406813</v>
      </c>
      <c r="BA545" s="1300" t="s">
        <v>1303</v>
      </c>
      <c r="BB545" s="1300" t="s">
        <v>1303</v>
      </c>
      <c r="BC545" s="1300" t="s">
        <v>1303</v>
      </c>
      <c r="BD545" s="1300" t="s">
        <v>1303</v>
      </c>
      <c r="BE545" s="1305"/>
      <c r="BF545" s="1300" t="s">
        <v>1303</v>
      </c>
      <c r="BG545" s="1300" t="s">
        <v>1303</v>
      </c>
      <c r="BH545" s="1300" t="s">
        <v>1303</v>
      </c>
      <c r="BI545" s="1301" t="s">
        <v>1303</v>
      </c>
      <c r="BJ545" s="1305"/>
      <c r="BK545" s="1300" t="s">
        <v>1303</v>
      </c>
      <c r="BL545" s="1301" t="s">
        <v>1303</v>
      </c>
      <c r="BM545" s="1300" t="s">
        <v>1303</v>
      </c>
      <c r="BN545" s="1301" t="s">
        <v>1303</v>
      </c>
    </row>
    <row r="546" spans="1:66">
      <c r="A546" s="51" t="str">
        <f t="shared" si="314"/>
        <v>406814</v>
      </c>
      <c r="B546" s="1442" t="str">
        <f>'Income Eligible Deemed Table'!C1323</f>
        <v>406814_2024_12_</v>
      </c>
      <c r="C546" s="1378" t="str">
        <f>'Income Eligible Deemed Table'!G1323</f>
        <v>Building Shell RES</v>
      </c>
      <c r="D546" s="1378"/>
      <c r="E546" s="1378"/>
      <c r="F546" s="1378"/>
      <c r="G546" s="1378" t="str">
        <f>'Income Eligible Deemed Table'!E1323</f>
        <v>Cool Roof: Multi-Family Vintage 2000-2009-Heat Pump Heating</v>
      </c>
      <c r="H546" s="19" t="str">
        <f>'Income Eligible Deemed Table'!D1323</f>
        <v>MFIE</v>
      </c>
      <c r="I546" s="785">
        <f>'Income Eligible Deemed Table'!F1323</f>
        <v>10.46</v>
      </c>
      <c r="J546" s="785"/>
      <c r="K546" s="202"/>
      <c r="L546" s="202"/>
      <c r="M546" s="202"/>
      <c r="N546" s="202"/>
      <c r="O546" s="786">
        <f>'Income Eligible Deemed Table'!I1323</f>
        <v>4.875E-3</v>
      </c>
      <c r="P546" s="786"/>
      <c r="Q546" s="787"/>
      <c r="R546" s="787"/>
      <c r="S546" s="787"/>
      <c r="T546" s="787"/>
      <c r="U546" s="788">
        <f t="shared" si="301"/>
        <v>0</v>
      </c>
      <c r="V546" s="788">
        <f t="shared" si="302"/>
        <v>0</v>
      </c>
      <c r="W546" s="788">
        <f t="shared" si="303"/>
        <v>4.875E-3</v>
      </c>
      <c r="X546" s="23">
        <f>'Income Eligible Deemed Table'!J1323</f>
        <v>15</v>
      </c>
      <c r="Y546" s="23"/>
      <c r="Z546" s="23">
        <f t="shared" si="315"/>
        <v>15</v>
      </c>
      <c r="AA546" s="18">
        <f>'Income Eligible Deemed Table'!DG1323</f>
        <v>1.6919634445261194</v>
      </c>
      <c r="AB546" s="259">
        <f>'Income Eligible Deemed Table'!K1323</f>
        <v>7.84</v>
      </c>
      <c r="AC546" s="902">
        <f t="shared" si="316"/>
        <v>13.264993405084775</v>
      </c>
      <c r="AD546" s="902">
        <f t="shared" si="317"/>
        <v>0</v>
      </c>
      <c r="AE546" s="207">
        <f>'Income Eligible Deemed Table'!DI1323</f>
        <v>13.264993405084775</v>
      </c>
      <c r="AF546" s="208"/>
      <c r="AG546" s="208"/>
      <c r="AH546" s="208"/>
      <c r="AI546" s="1442" t="str">
        <f>'Income Eligible Deemed Table'!L1323</f>
        <v>per sq ft</v>
      </c>
      <c r="AJ546" s="676"/>
      <c r="AK546" s="41"/>
      <c r="AL546" s="41"/>
      <c r="AX546" s="1355" t="str">
        <f t="shared" si="318"/>
        <v>Cool Roof: Multi-Family Vintage 2000-2009-Heat Pump Heating</v>
      </c>
      <c r="AY546" s="1378"/>
      <c r="AZ546" s="1446" t="str">
        <f t="shared" si="319"/>
        <v>406814</v>
      </c>
      <c r="BA546" s="1300" t="s">
        <v>1303</v>
      </c>
      <c r="BB546" s="1300" t="s">
        <v>1303</v>
      </c>
      <c r="BC546" s="1300" t="s">
        <v>1303</v>
      </c>
      <c r="BD546" s="1300" t="s">
        <v>1303</v>
      </c>
      <c r="BE546" s="1305"/>
      <c r="BF546" s="1300" t="s">
        <v>1303</v>
      </c>
      <c r="BG546" s="1300" t="s">
        <v>1303</v>
      </c>
      <c r="BH546" s="1300" t="s">
        <v>1303</v>
      </c>
      <c r="BI546" s="1301" t="s">
        <v>1303</v>
      </c>
      <c r="BJ546" s="1305"/>
      <c r="BK546" s="1300" t="s">
        <v>1303</v>
      </c>
      <c r="BL546" s="1301" t="s">
        <v>1303</v>
      </c>
      <c r="BM546" s="1300" t="s">
        <v>1303</v>
      </c>
      <c r="BN546" s="1301" t="s">
        <v>1303</v>
      </c>
    </row>
    <row r="547" spans="1:66">
      <c r="A547" s="51" t="str">
        <f t="shared" si="314"/>
        <v>406815</v>
      </c>
      <c r="B547" s="1442" t="str">
        <f>'Income Eligible Deemed Table'!C1324</f>
        <v>406815_2024_12_</v>
      </c>
      <c r="C547" s="1378" t="str">
        <f>'Income Eligible Deemed Table'!G1324</f>
        <v>Building Shell RES</v>
      </c>
      <c r="D547" s="1378"/>
      <c r="E547" s="1378"/>
      <c r="F547" s="1378"/>
      <c r="G547" s="1378" t="str">
        <f>'Income Eligible Deemed Table'!E1324</f>
        <v>Cool Roof: Multi-Family Vintage 2010-2015-Heat Pump Heating</v>
      </c>
      <c r="H547" s="19" t="str">
        <f>'Income Eligible Deemed Table'!D1324</f>
        <v>MFIE</v>
      </c>
      <c r="I547" s="785">
        <f>'Income Eligible Deemed Table'!F1324</f>
        <v>8.19</v>
      </c>
      <c r="J547" s="785"/>
      <c r="K547" s="202"/>
      <c r="L547" s="202"/>
      <c r="M547" s="202"/>
      <c r="N547" s="202"/>
      <c r="O547" s="786">
        <f>'Income Eligible Deemed Table'!I1324</f>
        <v>3.8170000000000001E-3</v>
      </c>
      <c r="P547" s="786"/>
      <c r="Q547" s="787"/>
      <c r="R547" s="787"/>
      <c r="S547" s="787"/>
      <c r="T547" s="787"/>
      <c r="U547" s="788">
        <f t="shared" si="301"/>
        <v>0</v>
      </c>
      <c r="V547" s="788">
        <f t="shared" si="302"/>
        <v>0</v>
      </c>
      <c r="W547" s="788">
        <f t="shared" si="303"/>
        <v>3.8170000000000001E-3</v>
      </c>
      <c r="X547" s="23">
        <f>'Income Eligible Deemed Table'!J1324</f>
        <v>15</v>
      </c>
      <c r="Y547" s="23"/>
      <c r="Z547" s="23">
        <f t="shared" si="315"/>
        <v>15</v>
      </c>
      <c r="AA547" s="18">
        <f>'Income Eligible Deemed Table'!DG1324</f>
        <v>1.3247782610582135</v>
      </c>
      <c r="AB547" s="259">
        <f>'Income Eligible Deemed Table'!K1324</f>
        <v>7.84</v>
      </c>
      <c r="AC547" s="902">
        <f t="shared" si="316"/>
        <v>10.386261566696394</v>
      </c>
      <c r="AD547" s="902">
        <f t="shared" si="317"/>
        <v>0</v>
      </c>
      <c r="AE547" s="207">
        <f>'Income Eligible Deemed Table'!DI1324</f>
        <v>10.386261566696394</v>
      </c>
      <c r="AF547" s="208"/>
      <c r="AG547" s="208"/>
      <c r="AH547" s="208"/>
      <c r="AI547" s="1442" t="str">
        <f>'Income Eligible Deemed Table'!L1324</f>
        <v>per sq ft</v>
      </c>
      <c r="AJ547" s="676"/>
      <c r="AK547" s="41"/>
      <c r="AL547" s="41"/>
      <c r="AX547" s="1355" t="str">
        <f t="shared" si="318"/>
        <v>Cool Roof: Multi-Family Vintage 2010-2015-Heat Pump Heating</v>
      </c>
      <c r="AY547" s="1378"/>
      <c r="AZ547" s="1446" t="str">
        <f t="shared" si="319"/>
        <v>406815</v>
      </c>
      <c r="BA547" s="1300" t="s">
        <v>1303</v>
      </c>
      <c r="BB547" s="1300" t="s">
        <v>1303</v>
      </c>
      <c r="BC547" s="1300" t="s">
        <v>1303</v>
      </c>
      <c r="BD547" s="1300" t="s">
        <v>1303</v>
      </c>
      <c r="BE547" s="1305"/>
      <c r="BF547" s="1300" t="s">
        <v>1303</v>
      </c>
      <c r="BG547" s="1300" t="s">
        <v>1303</v>
      </c>
      <c r="BH547" s="1300" t="s">
        <v>1303</v>
      </c>
      <c r="BI547" s="1301" t="s">
        <v>1303</v>
      </c>
      <c r="BJ547" s="1305"/>
      <c r="BK547" s="1300" t="s">
        <v>1303</v>
      </c>
      <c r="BL547" s="1301" t="s">
        <v>1303</v>
      </c>
      <c r="BM547" s="1300" t="s">
        <v>1303</v>
      </c>
      <c r="BN547" s="1301" t="s">
        <v>1303</v>
      </c>
    </row>
    <row r="548" spans="1:66" s="52" customFormat="1">
      <c r="A548" s="51" t="str">
        <f t="shared" ref="A548:A552" si="320">LEFT(B548,6)</f>
        <v>450100</v>
      </c>
      <c r="B548" s="1378" t="str">
        <f>'PAYS Deemed Table'!C7</f>
        <v>450100_2024_12_</v>
      </c>
      <c r="C548" s="1378" t="str">
        <f>'PAYS Deemed Table'!H7</f>
        <v>Lighting RES</v>
      </c>
      <c r="D548" s="1378"/>
      <c r="E548" s="1378"/>
      <c r="F548" s="1378"/>
      <c r="G548" s="1378" t="str">
        <f>'PAYS Deemed Table'!E7</f>
        <v>LED - 10W (750-899 lumens) DI</v>
      </c>
      <c r="H548" s="19" t="str">
        <f>'PAYS Deemed Table'!D7</f>
        <v>PAYS</v>
      </c>
      <c r="I548" s="785">
        <f>'PAYS Deemed Table'!F7</f>
        <v>29.57</v>
      </c>
      <c r="J548" s="785"/>
      <c r="K548" s="202"/>
      <c r="L548" s="202"/>
      <c r="M548" s="202"/>
      <c r="N548" s="202"/>
      <c r="O548" s="786">
        <f>'PAYS Deemed Table'!G7</f>
        <v>4.4140000000000004E-3</v>
      </c>
      <c r="P548" s="786"/>
      <c r="Q548" s="787"/>
      <c r="R548" s="787"/>
      <c r="S548" s="787"/>
      <c r="T548" s="787"/>
      <c r="U548" s="788">
        <f>IFERROR(IF(V548+W548&gt;0,0,IF(Z548&gt;0,O548,0)),0)</f>
        <v>4.4140000000000004E-3</v>
      </c>
      <c r="V548" s="788">
        <f t="shared" si="302"/>
        <v>0</v>
      </c>
      <c r="W548" s="788">
        <f t="shared" si="303"/>
        <v>0</v>
      </c>
      <c r="X548" s="23">
        <f>'PAYS Deemed Table'!P7</f>
        <v>2</v>
      </c>
      <c r="Y548" s="23"/>
      <c r="Z548" s="23">
        <f t="shared" ref="Z548" si="321">Y548+X548</f>
        <v>2</v>
      </c>
      <c r="AA548" s="18">
        <f>'PAYS Deemed Table'!DG7</f>
        <v>2.4846833571625995</v>
      </c>
      <c r="AB548" s="259">
        <f>'PAYS Deemed Table'!DJ7</f>
        <v>1.45</v>
      </c>
      <c r="AC548" s="902">
        <f t="shared" ref="AC548:AC560" si="322">AE548+AF548</f>
        <v>3.6027908678857692</v>
      </c>
      <c r="AD548" s="902">
        <f t="shared" ref="AD548:AD560" si="323">AG548+AH548</f>
        <v>0</v>
      </c>
      <c r="AE548" s="610">
        <f>'PAYS Deemed Table'!DI7</f>
        <v>3.6027908678857692</v>
      </c>
      <c r="AF548" s="1009"/>
      <c r="AG548" s="208"/>
      <c r="AH548" s="208"/>
      <c r="AI548" s="1442" t="str">
        <f>'PAYS Deemed Table'!S7</f>
        <v xml:space="preserve">  per bulb</v>
      </c>
      <c r="AJ548" s="1378"/>
      <c r="AX548" s="1355" t="str">
        <f t="shared" si="288"/>
        <v>LED - 10W (750-899 lumens) DI</v>
      </c>
      <c r="AY548" s="1378"/>
      <c r="AZ548" s="1446" t="str">
        <f t="shared" si="289"/>
        <v>450100</v>
      </c>
      <c r="BA548" s="3964" t="s">
        <v>1303</v>
      </c>
      <c r="BB548" s="3964" t="s">
        <v>1303</v>
      </c>
      <c r="BC548" s="3964" t="s">
        <v>1303</v>
      </c>
      <c r="BD548" s="3964" t="s">
        <v>1303</v>
      </c>
      <c r="BE548" s="1307"/>
      <c r="BF548" s="3964" t="s">
        <v>1303</v>
      </c>
      <c r="BG548" s="3964" t="s">
        <v>1303</v>
      </c>
      <c r="BH548" s="3964" t="s">
        <v>1303</v>
      </c>
      <c r="BI548" s="3965" t="s">
        <v>1303</v>
      </c>
      <c r="BJ548" s="1307"/>
      <c r="BK548" s="3964" t="s">
        <v>1303</v>
      </c>
      <c r="BL548" s="3965" t="s">
        <v>1303</v>
      </c>
      <c r="BM548" s="3964" t="s">
        <v>1303</v>
      </c>
      <c r="BN548" s="3965" t="s">
        <v>1303</v>
      </c>
    </row>
    <row r="549" spans="1:66" s="696" customFormat="1">
      <c r="A549" s="2958" t="str">
        <f t="shared" si="320"/>
        <v>450110</v>
      </c>
      <c r="B549" s="2233" t="str">
        <f>'PAYS Deemed Table'!C8</f>
        <v>450110_2024_12_</v>
      </c>
      <c r="C549" s="2724" t="str">
        <f>'PAYS Deemed Table'!H8</f>
        <v>Lighting RES</v>
      </c>
      <c r="D549" s="2724"/>
      <c r="E549" s="2724"/>
      <c r="F549" s="2724"/>
      <c r="G549" s="2724" t="str">
        <f>'PAYS Deemed Table'!E8</f>
        <v>LED - 10.5W Downlight E26 DI</v>
      </c>
      <c r="H549" s="2554" t="str">
        <f>'PAYS Deemed Table'!D8</f>
        <v>PAYS</v>
      </c>
      <c r="I549" s="3840">
        <f>'PAYS Deemed Table'!F8</f>
        <v>55.71</v>
      </c>
      <c r="J549" s="3840"/>
      <c r="K549" s="3251"/>
      <c r="L549" s="3251"/>
      <c r="M549" s="3251"/>
      <c r="N549" s="3251"/>
      <c r="O549" s="3841">
        <f>'PAYS Deemed Table'!G8</f>
        <v>8.3160000000000005E-3</v>
      </c>
      <c r="P549" s="3841"/>
      <c r="Q549" s="3842"/>
      <c r="R549" s="3842"/>
      <c r="S549" s="3842"/>
      <c r="T549" s="3842"/>
      <c r="U549" s="3861">
        <f t="shared" si="301"/>
        <v>8.3160000000000005E-3</v>
      </c>
      <c r="V549" s="3861">
        <f t="shared" si="302"/>
        <v>0</v>
      </c>
      <c r="W549" s="3861">
        <f t="shared" si="303"/>
        <v>0</v>
      </c>
      <c r="X549" s="2846">
        <f>'PAYS Deemed Table'!P8</f>
        <v>2</v>
      </c>
      <c r="Y549" s="2846"/>
      <c r="Z549" s="2846">
        <f t="shared" ref="Z549:Z560" si="324">Y549+X549</f>
        <v>2</v>
      </c>
      <c r="AA549" s="2529">
        <f>'PAYS Deemed Table'!DG8</f>
        <v>4.0889594071229025</v>
      </c>
      <c r="AB549" s="3878">
        <f>'PAYS Deemed Table'!DJ8</f>
        <v>1.66</v>
      </c>
      <c r="AC549" s="3864">
        <f t="shared" si="322"/>
        <v>6.7876726158240173</v>
      </c>
      <c r="AD549" s="3864">
        <f t="shared" si="323"/>
        <v>0</v>
      </c>
      <c r="AE549" s="3865">
        <f>'PAYS Deemed Table'!DI8</f>
        <v>6.7876726158240173</v>
      </c>
      <c r="AF549" s="3894"/>
      <c r="AG549" s="3846"/>
      <c r="AH549" s="3846"/>
      <c r="AI549" s="2233" t="str">
        <f>'PAYS Deemed Table'!S8</f>
        <v xml:space="preserve">  per bulb</v>
      </c>
      <c r="AJ549" s="2724"/>
      <c r="AM549" s="2237"/>
      <c r="AN549" s="2237"/>
      <c r="AO549" s="2237"/>
      <c r="AP549" s="2237"/>
      <c r="AQ549" s="2237"/>
      <c r="AR549" s="2237"/>
      <c r="AS549" s="2237"/>
      <c r="AT549" s="2237"/>
      <c r="AU549" s="2237"/>
      <c r="AV549" s="2237"/>
      <c r="AW549" s="2237"/>
      <c r="AX549" s="3862" t="str">
        <f t="shared" si="288"/>
        <v>LED - 10.5W Downlight E26 DI</v>
      </c>
      <c r="AY549" s="2425"/>
      <c r="AZ549" s="2597" t="str">
        <f t="shared" si="289"/>
        <v>450110</v>
      </c>
      <c r="BA549" s="3895" t="s">
        <v>1303</v>
      </c>
      <c r="BB549" s="3895" t="s">
        <v>1303</v>
      </c>
      <c r="BC549" s="3895" t="s">
        <v>1303</v>
      </c>
      <c r="BD549" s="3895" t="s">
        <v>1303</v>
      </c>
      <c r="BE549" s="3853"/>
      <c r="BF549" s="3895" t="s">
        <v>1303</v>
      </c>
      <c r="BG549" s="3895" t="s">
        <v>1303</v>
      </c>
      <c r="BH549" s="3895" t="s">
        <v>1303</v>
      </c>
      <c r="BI549" s="3896" t="s">
        <v>1303</v>
      </c>
      <c r="BJ549" s="3863"/>
      <c r="BK549" s="3895" t="s">
        <v>1303</v>
      </c>
      <c r="BL549" s="3896" t="s">
        <v>1303</v>
      </c>
      <c r="BM549" s="3895" t="s">
        <v>1303</v>
      </c>
      <c r="BN549" s="3896" t="s">
        <v>1303</v>
      </c>
    </row>
    <row r="550" spans="1:66" s="696" customFormat="1">
      <c r="A550" s="2958" t="str">
        <f t="shared" si="320"/>
        <v>450120</v>
      </c>
      <c r="B550" s="2233" t="str">
        <f>'PAYS Deemed Table'!C9</f>
        <v>450120_2024_12_</v>
      </c>
      <c r="C550" s="2724" t="str">
        <f>'PAYS Deemed Table'!H9</f>
        <v>Lighting RES</v>
      </c>
      <c r="D550" s="2724"/>
      <c r="E550" s="2724"/>
      <c r="F550" s="2724"/>
      <c r="G550" s="2724" t="str">
        <f>'PAYS Deemed Table'!E9</f>
        <v>LED - 15W Flood Light PAR30 Bulb DI</v>
      </c>
      <c r="H550" s="2554" t="str">
        <f>'PAYS Deemed Table'!D9</f>
        <v>PAYS</v>
      </c>
      <c r="I550" s="3840">
        <f>'PAYS Deemed Table'!F9</f>
        <v>49.78</v>
      </c>
      <c r="J550" s="3840"/>
      <c r="K550" s="3251"/>
      <c r="L550" s="3251"/>
      <c r="M550" s="3251"/>
      <c r="N550" s="3251"/>
      <c r="O550" s="3841">
        <f>'PAYS Deemed Table'!G9</f>
        <v>7.43E-3</v>
      </c>
      <c r="P550" s="3841"/>
      <c r="Q550" s="3842"/>
      <c r="R550" s="3842"/>
      <c r="S550" s="3842"/>
      <c r="T550" s="3842"/>
      <c r="U550" s="3861">
        <f t="shared" ref="U550:U560" si="325">IFERROR(IF(V550+W550&gt;0,0,IF(Z550&gt;0,O550,0)),0)</f>
        <v>7.43E-3</v>
      </c>
      <c r="V550" s="3861">
        <f t="shared" ref="V550:V560" si="326">IF(W550&gt;0,0,IF(Z550&gt;9,O550,0))</f>
        <v>0</v>
      </c>
      <c r="W550" s="3861">
        <f t="shared" ref="W550:W560" si="327">IF(Z550&gt;14,O550,0)</f>
        <v>0</v>
      </c>
      <c r="X550" s="2846">
        <f>'PAYS Deemed Table'!P9</f>
        <v>2</v>
      </c>
      <c r="Y550" s="2846"/>
      <c r="Z550" s="2846">
        <f t="shared" si="324"/>
        <v>2</v>
      </c>
      <c r="AA550" s="2529">
        <f>'PAYS Deemed Table'!DG9</f>
        <v>3.6537138626203207</v>
      </c>
      <c r="AB550" s="3878">
        <f>'PAYS Deemed Table'!DJ9</f>
        <v>1.66</v>
      </c>
      <c r="AC550" s="3864">
        <f t="shared" si="322"/>
        <v>6.0651650119497322</v>
      </c>
      <c r="AD550" s="3864">
        <f t="shared" si="323"/>
        <v>0</v>
      </c>
      <c r="AE550" s="3865">
        <f>'PAYS Deemed Table'!DI9</f>
        <v>6.0651650119497322</v>
      </c>
      <c r="AF550" s="3894"/>
      <c r="AG550" s="3846"/>
      <c r="AH550" s="3846"/>
      <c r="AI550" s="2233" t="str">
        <f>'PAYS Deemed Table'!S9</f>
        <v xml:space="preserve">  per bulb</v>
      </c>
      <c r="AJ550" s="2724"/>
      <c r="AM550" s="2237"/>
      <c r="AN550" s="2237"/>
      <c r="AO550" s="2237"/>
      <c r="AP550" s="2237"/>
      <c r="AQ550" s="2237"/>
      <c r="AR550" s="2237"/>
      <c r="AS550" s="2237"/>
      <c r="AT550" s="2237"/>
      <c r="AU550" s="2237"/>
      <c r="AV550" s="2237"/>
      <c r="AW550" s="2237"/>
      <c r="AX550" s="3862" t="str">
        <f t="shared" si="288"/>
        <v>LED - 15W Flood Light PAR30 Bulb DI</v>
      </c>
      <c r="AY550" s="2425"/>
      <c r="AZ550" s="2597" t="str">
        <f t="shared" si="289"/>
        <v>450120</v>
      </c>
      <c r="BA550" s="3895" t="s">
        <v>1303</v>
      </c>
      <c r="BB550" s="3895" t="s">
        <v>1303</v>
      </c>
      <c r="BC550" s="3895" t="s">
        <v>1303</v>
      </c>
      <c r="BD550" s="3895" t="s">
        <v>1303</v>
      </c>
      <c r="BE550" s="3853"/>
      <c r="BF550" s="3895" t="s">
        <v>1303</v>
      </c>
      <c r="BG550" s="3895" t="s">
        <v>1303</v>
      </c>
      <c r="BH550" s="3895" t="s">
        <v>1303</v>
      </c>
      <c r="BI550" s="3896" t="s">
        <v>1303</v>
      </c>
      <c r="BJ550" s="3863"/>
      <c r="BK550" s="3895" t="s">
        <v>1303</v>
      </c>
      <c r="BL550" s="3896" t="s">
        <v>1303</v>
      </c>
      <c r="BM550" s="3895" t="s">
        <v>1303</v>
      </c>
      <c r="BN550" s="3896" t="s">
        <v>1303</v>
      </c>
    </row>
    <row r="551" spans="1:66" s="696" customFormat="1">
      <c r="A551" s="2958" t="str">
        <f t="shared" si="320"/>
        <v>450130</v>
      </c>
      <c r="B551" s="2233" t="str">
        <f>'PAYS Deemed Table'!C10</f>
        <v>450130_2024_12_</v>
      </c>
      <c r="C551" s="2724" t="str">
        <f>'PAYS Deemed Table'!H10</f>
        <v>Lighting RES</v>
      </c>
      <c r="D551" s="2724"/>
      <c r="E551" s="2724"/>
      <c r="F551" s="2724"/>
      <c r="G551" s="2724" t="str">
        <f>'PAYS Deemed Table'!E10</f>
        <v>LED - 4W Candelabra Specialty DI</v>
      </c>
      <c r="H551" s="2554" t="str">
        <f>'PAYS Deemed Table'!D10</f>
        <v>PAYS</v>
      </c>
      <c r="I551" s="3840">
        <f>'PAYS Deemed Table'!F10</f>
        <v>30.86</v>
      </c>
      <c r="J551" s="3840"/>
      <c r="K551" s="3251"/>
      <c r="L551" s="3251"/>
      <c r="M551" s="3251"/>
      <c r="N551" s="3251"/>
      <c r="O551" s="3841">
        <f>'PAYS Deemed Table'!G10</f>
        <v>4.6059999999999999E-3</v>
      </c>
      <c r="P551" s="3841"/>
      <c r="Q551" s="3842"/>
      <c r="R551" s="3842"/>
      <c r="S551" s="3842"/>
      <c r="T551" s="3842"/>
      <c r="U551" s="3861">
        <f t="shared" si="325"/>
        <v>4.6059999999999999E-3</v>
      </c>
      <c r="V551" s="3861">
        <f t="shared" si="326"/>
        <v>0</v>
      </c>
      <c r="W551" s="3861">
        <f t="shared" si="327"/>
        <v>0</v>
      </c>
      <c r="X551" s="2846">
        <f>'PAYS Deemed Table'!P10</f>
        <v>2</v>
      </c>
      <c r="Y551" s="2846"/>
      <c r="Z551" s="2846">
        <f t="shared" si="324"/>
        <v>2</v>
      </c>
      <c r="AA551" s="2529">
        <f>'PAYS Deemed Table'!DG10</f>
        <v>2.2650383648144454</v>
      </c>
      <c r="AB551" s="3878">
        <f>'PAYS Deemed Table'!DJ10</f>
        <v>1.66</v>
      </c>
      <c r="AC551" s="3864">
        <f t="shared" si="322"/>
        <v>3.7599636855919796</v>
      </c>
      <c r="AD551" s="3864">
        <f t="shared" si="323"/>
        <v>0</v>
      </c>
      <c r="AE551" s="3865">
        <f>'PAYS Deemed Table'!DI10</f>
        <v>3.7599636855919796</v>
      </c>
      <c r="AF551" s="3894"/>
      <c r="AG551" s="3846"/>
      <c r="AH551" s="3846"/>
      <c r="AI551" s="2233" t="str">
        <f>'PAYS Deemed Table'!S10</f>
        <v xml:space="preserve">  per bulb</v>
      </c>
      <c r="AJ551" s="2724"/>
      <c r="AM551" s="2237"/>
      <c r="AN551" s="2237"/>
      <c r="AO551" s="2237"/>
      <c r="AP551" s="2237"/>
      <c r="AQ551" s="2237"/>
      <c r="AR551" s="2237"/>
      <c r="AS551" s="2237"/>
      <c r="AT551" s="2237"/>
      <c r="AU551" s="2237"/>
      <c r="AV551" s="2237"/>
      <c r="AW551" s="2237"/>
      <c r="AX551" s="3862" t="str">
        <f t="shared" si="288"/>
        <v>LED - 4W Candelabra Specialty DI</v>
      </c>
      <c r="AY551" s="2425"/>
      <c r="AZ551" s="2597" t="str">
        <f t="shared" si="289"/>
        <v>450130</v>
      </c>
      <c r="BA551" s="3895" t="s">
        <v>1303</v>
      </c>
      <c r="BB551" s="3895" t="s">
        <v>1303</v>
      </c>
      <c r="BC551" s="3895" t="s">
        <v>1303</v>
      </c>
      <c r="BD551" s="3895" t="s">
        <v>1303</v>
      </c>
      <c r="BE551" s="3853"/>
      <c r="BF551" s="3895" t="s">
        <v>1303</v>
      </c>
      <c r="BG551" s="3895" t="s">
        <v>1303</v>
      </c>
      <c r="BH551" s="3895" t="s">
        <v>1303</v>
      </c>
      <c r="BI551" s="3896" t="s">
        <v>1303</v>
      </c>
      <c r="BJ551" s="3863"/>
      <c r="BK551" s="3895" t="s">
        <v>1303</v>
      </c>
      <c r="BL551" s="3896" t="s">
        <v>1303</v>
      </c>
      <c r="BM551" s="3895" t="s">
        <v>1303</v>
      </c>
      <c r="BN551" s="3896" t="s">
        <v>1303</v>
      </c>
    </row>
    <row r="552" spans="1:66" s="696" customFormat="1">
      <c r="A552" s="2958" t="str">
        <f t="shared" si="320"/>
        <v>450140</v>
      </c>
      <c r="B552" s="2233" t="str">
        <f>'PAYS Deemed Table'!C11</f>
        <v>450140_2024_12_</v>
      </c>
      <c r="C552" s="2724" t="str">
        <f>'PAYS Deemed Table'!H11</f>
        <v>Lighting RES</v>
      </c>
      <c r="D552" s="2724"/>
      <c r="E552" s="2724"/>
      <c r="F552" s="2724"/>
      <c r="G552" s="2724" t="str">
        <f>'PAYS Deemed Table'!E11</f>
        <v>LED - 4.5-5.5W Globe G25 Bulb (400-500 lumens) DI</v>
      </c>
      <c r="H552" s="2554" t="str">
        <f>'PAYS Deemed Table'!D11</f>
        <v>PAYS</v>
      </c>
      <c r="I552" s="3840">
        <f>'PAYS Deemed Table'!F11</f>
        <v>30</v>
      </c>
      <c r="J552" s="3840"/>
      <c r="K552" s="3251"/>
      <c r="L552" s="3251"/>
      <c r="M552" s="3251"/>
      <c r="N552" s="3251"/>
      <c r="O552" s="3841">
        <f>'PAYS Deemed Table'!G11</f>
        <v>4.4780000000000002E-3</v>
      </c>
      <c r="P552" s="3841"/>
      <c r="Q552" s="3842"/>
      <c r="R552" s="3842"/>
      <c r="S552" s="3842"/>
      <c r="T552" s="3842"/>
      <c r="U552" s="3861">
        <f t="shared" si="325"/>
        <v>4.4780000000000002E-3</v>
      </c>
      <c r="V552" s="3861">
        <f t="shared" si="326"/>
        <v>0</v>
      </c>
      <c r="W552" s="3861">
        <f t="shared" si="327"/>
        <v>0</v>
      </c>
      <c r="X552" s="2846">
        <f>'PAYS Deemed Table'!P11</f>
        <v>2</v>
      </c>
      <c r="Y552" s="2846"/>
      <c r="Z552" s="2846">
        <f t="shared" si="324"/>
        <v>2</v>
      </c>
      <c r="AA552" s="2529">
        <f>'PAYS Deemed Table'!DG11</f>
        <v>2.2019167512778148</v>
      </c>
      <c r="AB552" s="3878">
        <f>'PAYS Deemed Table'!DJ11</f>
        <v>1.66</v>
      </c>
      <c r="AC552" s="3864">
        <f t="shared" si="322"/>
        <v>3.6551818071211724</v>
      </c>
      <c r="AD552" s="3864">
        <f t="shared" si="323"/>
        <v>0</v>
      </c>
      <c r="AE552" s="3865">
        <f>'PAYS Deemed Table'!DI11</f>
        <v>3.6551818071211724</v>
      </c>
      <c r="AF552" s="3894"/>
      <c r="AG552" s="3846"/>
      <c r="AH552" s="3846"/>
      <c r="AI552" s="2233" t="str">
        <f>'PAYS Deemed Table'!S11</f>
        <v xml:space="preserve">  per bulb</v>
      </c>
      <c r="AJ552" s="2724"/>
      <c r="AM552" s="2237"/>
      <c r="AN552" s="2237"/>
      <c r="AO552" s="2237"/>
      <c r="AP552" s="2237"/>
      <c r="AQ552" s="2237"/>
      <c r="AR552" s="2237"/>
      <c r="AS552" s="2237"/>
      <c r="AT552" s="2237"/>
      <c r="AU552" s="2237"/>
      <c r="AV552" s="2237"/>
      <c r="AW552" s="2237"/>
      <c r="AX552" s="3862" t="str">
        <f t="shared" si="288"/>
        <v>LED - 4.5-5.5W Globe G25 Bulb (400-500 lumens) DI</v>
      </c>
      <c r="AY552" s="2425"/>
      <c r="AZ552" s="2597" t="str">
        <f t="shared" si="289"/>
        <v>450140</v>
      </c>
      <c r="BA552" s="3895" t="s">
        <v>1303</v>
      </c>
      <c r="BB552" s="3895" t="s">
        <v>1303</v>
      </c>
      <c r="BC552" s="3895" t="s">
        <v>1303</v>
      </c>
      <c r="BD552" s="3895" t="s">
        <v>1303</v>
      </c>
      <c r="BE552" s="3853"/>
      <c r="BF552" s="3895" t="s">
        <v>1303</v>
      </c>
      <c r="BG552" s="3895" t="s">
        <v>1303</v>
      </c>
      <c r="BH552" s="3895" t="s">
        <v>1303</v>
      </c>
      <c r="BI552" s="3896" t="s">
        <v>1303</v>
      </c>
      <c r="BJ552" s="3863"/>
      <c r="BK552" s="3895" t="s">
        <v>1303</v>
      </c>
      <c r="BL552" s="3896" t="s">
        <v>1303</v>
      </c>
      <c r="BM552" s="3895" t="s">
        <v>1303</v>
      </c>
      <c r="BN552" s="3896" t="s">
        <v>1303</v>
      </c>
    </row>
    <row r="553" spans="1:66" s="696" customFormat="1">
      <c r="A553" s="2958" t="str">
        <f t="shared" ref="A553:A560" si="328">LEFT(B553,6)</f>
        <v>450300</v>
      </c>
      <c r="B553" s="2233" t="str">
        <f>'PAYS Deemed Table'!C52</f>
        <v>450300_2024_12_</v>
      </c>
      <c r="C553" s="2724" t="str">
        <f>'PAYS Deemed Table'!G52</f>
        <v>Water heating RES</v>
      </c>
      <c r="D553" s="2724"/>
      <c r="E553" s="2724"/>
      <c r="F553" s="2724"/>
      <c r="G553" s="2724" t="str">
        <f>'PAYS Deemed Table'!E52</f>
        <v>Pipe Insulation DI</v>
      </c>
      <c r="H553" s="2554" t="str">
        <f>'PAYS Deemed Table'!D52</f>
        <v>PAYS</v>
      </c>
      <c r="I553" s="3840">
        <f>'PAYS Deemed Table'!F52</f>
        <v>4.92</v>
      </c>
      <c r="J553" s="3840"/>
      <c r="K553" s="3251"/>
      <c r="L553" s="3251"/>
      <c r="M553" s="3251"/>
      <c r="N553" s="3251"/>
      <c r="O553" s="3841">
        <f>'PAYS Deemed Table'!I52</f>
        <v>4.37E-4</v>
      </c>
      <c r="P553" s="3841"/>
      <c r="Q553" s="3842"/>
      <c r="R553" s="3842"/>
      <c r="S553" s="3842"/>
      <c r="T553" s="3842"/>
      <c r="U553" s="3861">
        <f t="shared" si="325"/>
        <v>0</v>
      </c>
      <c r="V553" s="3861">
        <f t="shared" si="326"/>
        <v>4.37E-4</v>
      </c>
      <c r="W553" s="3861">
        <f t="shared" si="327"/>
        <v>0</v>
      </c>
      <c r="X553" s="2846">
        <f>'PAYS Deemed Table'!J52</f>
        <v>12</v>
      </c>
      <c r="Y553" s="2846"/>
      <c r="Z553" s="2846">
        <f t="shared" si="324"/>
        <v>12</v>
      </c>
      <c r="AA553" s="2529">
        <f>'PAYS Deemed Table'!DG52</f>
        <v>0.3890634031598742</v>
      </c>
      <c r="AB553" s="3878">
        <f>'PAYS Deemed Table'!DJ52</f>
        <v>7.1</v>
      </c>
      <c r="AC553" s="3864">
        <f t="shared" si="322"/>
        <v>2.7623501624351068</v>
      </c>
      <c r="AD553" s="3864">
        <f t="shared" si="323"/>
        <v>0</v>
      </c>
      <c r="AE553" s="3865">
        <f>'PAYS Deemed Table'!DI52</f>
        <v>2.7623501624351068</v>
      </c>
      <c r="AF553" s="3894"/>
      <c r="AG553" s="3846"/>
      <c r="AH553" s="3846"/>
      <c r="AI553" s="2233" t="str">
        <f>'PAYS Deemed Table'!L52</f>
        <v>per foot</v>
      </c>
      <c r="AJ553" s="2724"/>
      <c r="AM553" s="2237"/>
      <c r="AN553" s="2237"/>
      <c r="AO553" s="2237"/>
      <c r="AP553" s="2237"/>
      <c r="AQ553" s="2237"/>
      <c r="AR553" s="2237"/>
      <c r="AS553" s="2237"/>
      <c r="AT553" s="2237"/>
      <c r="AU553" s="2237"/>
      <c r="AV553" s="2237"/>
      <c r="AW553" s="2237"/>
      <c r="AX553" s="3862" t="str">
        <f t="shared" si="288"/>
        <v>Pipe Insulation DI</v>
      </c>
      <c r="AY553" s="2425"/>
      <c r="AZ553" s="2597" t="str">
        <f t="shared" si="289"/>
        <v>450300</v>
      </c>
      <c r="BA553" s="3895" t="s">
        <v>1303</v>
      </c>
      <c r="BB553" s="3895" t="s">
        <v>1303</v>
      </c>
      <c r="BC553" s="3895" t="s">
        <v>1303</v>
      </c>
      <c r="BD553" s="3895" t="s">
        <v>1303</v>
      </c>
      <c r="BE553" s="3853"/>
      <c r="BF553" s="3895" t="s">
        <v>1303</v>
      </c>
      <c r="BG553" s="3895" t="s">
        <v>1303</v>
      </c>
      <c r="BH553" s="3895" t="s">
        <v>1303</v>
      </c>
      <c r="BI553" s="3896" t="s">
        <v>1303</v>
      </c>
      <c r="BJ553" s="3863"/>
      <c r="BK553" s="3895" t="s">
        <v>1303</v>
      </c>
      <c r="BL553" s="3896" t="s">
        <v>1303</v>
      </c>
      <c r="BM553" s="3895" t="s">
        <v>1303</v>
      </c>
      <c r="BN553" s="3896" t="s">
        <v>1303</v>
      </c>
    </row>
    <row r="554" spans="1:66" s="696" customFormat="1">
      <c r="A554" s="2958" t="str">
        <f t="shared" si="328"/>
        <v>450400</v>
      </c>
      <c r="B554" s="2233" t="str">
        <f>'PAYS Deemed Table'!C79</f>
        <v>450400_2024_12_</v>
      </c>
      <c r="C554" s="2724" t="str">
        <f>'PAYS Deemed Table'!G79</f>
        <v>Water heating RES</v>
      </c>
      <c r="D554" s="2724"/>
      <c r="E554" s="2724"/>
      <c r="F554" s="2724"/>
      <c r="G554" s="2724" t="str">
        <f>'PAYS Deemed Table'!E79</f>
        <v>Low Flow Showerhead SF DI</v>
      </c>
      <c r="H554" s="2554" t="str">
        <f>'PAYS Deemed Table'!D79</f>
        <v>PAYS</v>
      </c>
      <c r="I554" s="3840">
        <f>'PAYS Deemed Table'!F79</f>
        <v>143.62</v>
      </c>
      <c r="J554" s="3840"/>
      <c r="K554" s="3251"/>
      <c r="L554" s="3251"/>
      <c r="M554" s="3251"/>
      <c r="N554" s="3251"/>
      <c r="O554" s="3841">
        <f>'PAYS Deemed Table'!J79</f>
        <v>1.2744E-2</v>
      </c>
      <c r="P554" s="3841"/>
      <c r="Q554" s="3842"/>
      <c r="R554" s="3842"/>
      <c r="S554" s="3842"/>
      <c r="T554" s="3842"/>
      <c r="U554" s="3861">
        <f t="shared" si="325"/>
        <v>0</v>
      </c>
      <c r="V554" s="3861">
        <f t="shared" si="326"/>
        <v>1.2744E-2</v>
      </c>
      <c r="W554" s="3861">
        <f t="shared" si="327"/>
        <v>0</v>
      </c>
      <c r="X554" s="2846">
        <f>'PAYS Deemed Table'!K79</f>
        <v>10</v>
      </c>
      <c r="Y554" s="2846"/>
      <c r="Z554" s="2846">
        <f t="shared" si="324"/>
        <v>10</v>
      </c>
      <c r="AA554" s="2529">
        <f>'PAYS Deemed Table'!DG10</f>
        <v>2.2650383648144454</v>
      </c>
      <c r="AB554" s="3878">
        <f>'PAYS Deemed Table'!DJ79</f>
        <v>15.33</v>
      </c>
      <c r="AC554" s="3864">
        <f t="shared" si="322"/>
        <v>70.559771691775538</v>
      </c>
      <c r="AD554" s="3864">
        <f t="shared" si="323"/>
        <v>0</v>
      </c>
      <c r="AE554" s="3008">
        <f>'PAYS Deemed Table'!DI79</f>
        <v>70.559771691775538</v>
      </c>
      <c r="AF554" s="3894"/>
      <c r="AG554" s="3846"/>
      <c r="AH554" s="3846"/>
      <c r="AI554" s="3872" t="str">
        <f>'PAYS Deemed Table'!M79</f>
        <v>per measure</v>
      </c>
      <c r="AJ554" s="2724"/>
      <c r="AM554" s="2237"/>
      <c r="AN554" s="2237"/>
      <c r="AO554" s="2237"/>
      <c r="AP554" s="2237"/>
      <c r="AQ554" s="2237"/>
      <c r="AR554" s="2237"/>
      <c r="AS554" s="2237"/>
      <c r="AT554" s="2237"/>
      <c r="AU554" s="2237"/>
      <c r="AV554" s="2237"/>
      <c r="AW554" s="2237"/>
      <c r="AX554" s="3862" t="str">
        <f t="shared" si="288"/>
        <v>Low Flow Showerhead SF DI</v>
      </c>
      <c r="AY554" s="2425"/>
      <c r="AZ554" s="2597" t="str">
        <f t="shared" si="289"/>
        <v>450400</v>
      </c>
      <c r="BA554" s="3895" t="s">
        <v>1303</v>
      </c>
      <c r="BB554" s="3895" t="s">
        <v>1303</v>
      </c>
      <c r="BC554" s="3895" t="s">
        <v>1303</v>
      </c>
      <c r="BD554" s="3895" t="s">
        <v>1303</v>
      </c>
      <c r="BE554" s="3853"/>
      <c r="BF554" s="3895" t="s">
        <v>1303</v>
      </c>
      <c r="BG554" s="3895" t="s">
        <v>1303</v>
      </c>
      <c r="BH554" s="3895" t="s">
        <v>1303</v>
      </c>
      <c r="BI554" s="3896" t="s">
        <v>1303</v>
      </c>
      <c r="BJ554" s="3863"/>
      <c r="BK554" s="3895" t="s">
        <v>1303</v>
      </c>
      <c r="BL554" s="3896" t="s">
        <v>1303</v>
      </c>
      <c r="BM554" s="3895" t="s">
        <v>1303</v>
      </c>
      <c r="BN554" s="3896" t="s">
        <v>1303</v>
      </c>
    </row>
    <row r="555" spans="1:66" s="696" customFormat="1">
      <c r="A555" s="2958" t="str">
        <f t="shared" si="328"/>
        <v>450401</v>
      </c>
      <c r="B555" s="2233" t="str">
        <f>'PAYS Deemed Table'!C80</f>
        <v>450401_2024_12_</v>
      </c>
      <c r="C555" s="2724" t="str">
        <f>'PAYS Deemed Table'!G80</f>
        <v>Water heating RES</v>
      </c>
      <c r="D555" s="2724"/>
      <c r="E555" s="2724"/>
      <c r="F555" s="2724"/>
      <c r="G555" s="2724" t="str">
        <f>'PAYS Deemed Table'!E80</f>
        <v>Low Flow Showerhead MF DI</v>
      </c>
      <c r="H555" s="2554" t="str">
        <f>'PAYS Deemed Table'!D80</f>
        <v>PAYS</v>
      </c>
      <c r="I555" s="3840">
        <f>'PAYS Deemed Table'!F80</f>
        <v>167.23</v>
      </c>
      <c r="J555" s="3840"/>
      <c r="K555" s="3251"/>
      <c r="L555" s="3251"/>
      <c r="M555" s="3251"/>
      <c r="N555" s="3251"/>
      <c r="O555" s="3841">
        <f>'PAYS Deemed Table'!J80</f>
        <v>1.4839E-2</v>
      </c>
      <c r="P555" s="3841"/>
      <c r="Q555" s="3842"/>
      <c r="R555" s="3842"/>
      <c r="S555" s="3842"/>
      <c r="T555" s="3842"/>
      <c r="U555" s="3861">
        <f t="shared" si="325"/>
        <v>0</v>
      </c>
      <c r="V555" s="3861">
        <f t="shared" si="326"/>
        <v>1.4839E-2</v>
      </c>
      <c r="W555" s="3861">
        <f t="shared" si="327"/>
        <v>0</v>
      </c>
      <c r="X555" s="2846">
        <f>'PAYS Deemed Table'!K80</f>
        <v>10</v>
      </c>
      <c r="Y555" s="2846"/>
      <c r="Z555" s="2846">
        <f t="shared" si="324"/>
        <v>10</v>
      </c>
      <c r="AA555" s="2529">
        <f>'PAYS Deemed Table'!DG11</f>
        <v>2.2019167512778148</v>
      </c>
      <c r="AB555" s="3878">
        <f>'PAYS Deemed Table'!DJ80</f>
        <v>15.33</v>
      </c>
      <c r="AC555" s="3864">
        <f t="shared" si="322"/>
        <v>82.159243977270734</v>
      </c>
      <c r="AD555" s="3864">
        <f t="shared" si="323"/>
        <v>0</v>
      </c>
      <c r="AE555" s="3008">
        <f>'PAYS Deemed Table'!DI80</f>
        <v>82.159243977270734</v>
      </c>
      <c r="AF555" s="3894"/>
      <c r="AG555" s="3846"/>
      <c r="AH555" s="3846"/>
      <c r="AI555" s="3872" t="str">
        <f>'PAYS Deemed Table'!M80</f>
        <v>per measure</v>
      </c>
      <c r="AJ555" s="2724"/>
      <c r="AM555" s="2237"/>
      <c r="AN555" s="2237"/>
      <c r="AO555" s="2237"/>
      <c r="AP555" s="2237"/>
      <c r="AQ555" s="2237"/>
      <c r="AR555" s="2237"/>
      <c r="AS555" s="2237"/>
      <c r="AT555" s="2237"/>
      <c r="AU555" s="2237"/>
      <c r="AV555" s="2237"/>
      <c r="AW555" s="2237"/>
      <c r="AX555" s="3862" t="str">
        <f t="shared" si="288"/>
        <v>Low Flow Showerhead MF DI</v>
      </c>
      <c r="AY555" s="2425"/>
      <c r="AZ555" s="2597" t="str">
        <f t="shared" si="289"/>
        <v>450401</v>
      </c>
      <c r="BA555" s="3895" t="s">
        <v>1303</v>
      </c>
      <c r="BB555" s="3895" t="s">
        <v>1303</v>
      </c>
      <c r="BC555" s="3895" t="s">
        <v>1303</v>
      </c>
      <c r="BD555" s="3895" t="s">
        <v>1303</v>
      </c>
      <c r="BE555" s="3853"/>
      <c r="BF555" s="3895" t="s">
        <v>1303</v>
      </c>
      <c r="BG555" s="3895" t="s">
        <v>1303</v>
      </c>
      <c r="BH555" s="3895" t="s">
        <v>1303</v>
      </c>
      <c r="BI555" s="3896" t="s">
        <v>1303</v>
      </c>
      <c r="BJ555" s="3863"/>
      <c r="BK555" s="3895" t="s">
        <v>1303</v>
      </c>
      <c r="BL555" s="3896" t="s">
        <v>1303</v>
      </c>
      <c r="BM555" s="3895" t="s">
        <v>1303</v>
      </c>
      <c r="BN555" s="3896" t="s">
        <v>1303</v>
      </c>
    </row>
    <row r="556" spans="1:66" s="696" customFormat="1">
      <c r="A556" s="2958" t="str">
        <f t="shared" si="328"/>
        <v>450500</v>
      </c>
      <c r="B556" s="2233" t="str">
        <f>'PAYS Deemed Table'!C116</f>
        <v>450500_2024_12_</v>
      </c>
      <c r="C556" s="2724" t="str">
        <f>'PAYS Deemed Table'!G116</f>
        <v>Water heating RES</v>
      </c>
      <c r="D556" s="2724"/>
      <c r="E556" s="2724"/>
      <c r="F556" s="2724"/>
      <c r="G556" s="2724" t="str">
        <f>'PAYS Deemed Table'!E116</f>
        <v>Low Flow Bathroom Faucet Aerator SF DI</v>
      </c>
      <c r="H556" s="2554" t="str">
        <f>'PAYS Deemed Table'!D116</f>
        <v>PAYS</v>
      </c>
      <c r="I556" s="3840">
        <f>'PAYS Deemed Table'!F116</f>
        <v>34.590000000000003</v>
      </c>
      <c r="J556" s="3840"/>
      <c r="K556" s="3251"/>
      <c r="L556" s="3251"/>
      <c r="M556" s="3251"/>
      <c r="N556" s="3251"/>
      <c r="O556" s="3841">
        <f>'PAYS Deemed Table'!J116</f>
        <v>3.0690000000000001E-3</v>
      </c>
      <c r="P556" s="3841"/>
      <c r="Q556" s="3842"/>
      <c r="R556" s="3842"/>
      <c r="S556" s="3842"/>
      <c r="T556" s="3842"/>
      <c r="U556" s="3861">
        <f t="shared" si="325"/>
        <v>0</v>
      </c>
      <c r="V556" s="3861">
        <f t="shared" si="326"/>
        <v>3.0690000000000001E-3</v>
      </c>
      <c r="W556" s="3861">
        <f t="shared" si="327"/>
        <v>0</v>
      </c>
      <c r="X556" s="2846">
        <f>'PAYS Deemed Table'!K116</f>
        <v>10</v>
      </c>
      <c r="Y556" s="2846"/>
      <c r="Z556" s="2846">
        <f t="shared" si="324"/>
        <v>10</v>
      </c>
      <c r="AA556" s="2529">
        <f>'PAYS Deemed Table'!DG12</f>
        <v>0</v>
      </c>
      <c r="AB556" s="3878">
        <f>'PAYS Deemed Table'!DJ116</f>
        <v>11.33</v>
      </c>
      <c r="AC556" s="3864">
        <f t="shared" si="322"/>
        <v>16.993890146348114</v>
      </c>
      <c r="AD556" s="3864">
        <f t="shared" si="323"/>
        <v>0</v>
      </c>
      <c r="AE556" s="3008">
        <f>'PAYS Deemed Table'!DI116</f>
        <v>16.993890146348114</v>
      </c>
      <c r="AF556" s="3894"/>
      <c r="AG556" s="3846"/>
      <c r="AH556" s="3846"/>
      <c r="AI556" s="3872" t="str">
        <f>'PAYS Deemed Table'!M116</f>
        <v>per measure</v>
      </c>
      <c r="AJ556" s="2724"/>
      <c r="AM556" s="2237"/>
      <c r="AN556" s="2237"/>
      <c r="AO556" s="2237"/>
      <c r="AP556" s="2237"/>
      <c r="AQ556" s="2237"/>
      <c r="AR556" s="2237"/>
      <c r="AS556" s="2237"/>
      <c r="AT556" s="2237"/>
      <c r="AU556" s="2237"/>
      <c r="AV556" s="2237"/>
      <c r="AW556" s="2237"/>
      <c r="AX556" s="3862" t="str">
        <f t="shared" si="288"/>
        <v>Low Flow Bathroom Faucet Aerator SF DI</v>
      </c>
      <c r="AY556" s="2425"/>
      <c r="AZ556" s="2597" t="str">
        <f t="shared" si="289"/>
        <v>450500</v>
      </c>
      <c r="BA556" s="3895" t="s">
        <v>1303</v>
      </c>
      <c r="BB556" s="3895" t="s">
        <v>1303</v>
      </c>
      <c r="BC556" s="3895" t="s">
        <v>1303</v>
      </c>
      <c r="BD556" s="3895" t="s">
        <v>1303</v>
      </c>
      <c r="BE556" s="3853"/>
      <c r="BF556" s="3895" t="s">
        <v>1303</v>
      </c>
      <c r="BG556" s="3895" t="s">
        <v>1303</v>
      </c>
      <c r="BH556" s="3895" t="s">
        <v>1303</v>
      </c>
      <c r="BI556" s="3896" t="s">
        <v>1303</v>
      </c>
      <c r="BJ556" s="3863"/>
      <c r="BK556" s="3895" t="s">
        <v>1303</v>
      </c>
      <c r="BL556" s="3896" t="s">
        <v>1303</v>
      </c>
      <c r="BM556" s="3895" t="s">
        <v>1303</v>
      </c>
      <c r="BN556" s="3896" t="s">
        <v>1303</v>
      </c>
    </row>
    <row r="557" spans="1:66" s="696" customFormat="1">
      <c r="A557" s="2958" t="str">
        <f t="shared" si="328"/>
        <v>450501</v>
      </c>
      <c r="B557" s="2233" t="str">
        <f>'PAYS Deemed Table'!C117</f>
        <v>450501_2024_12_</v>
      </c>
      <c r="C557" s="2724" t="str">
        <f>'PAYS Deemed Table'!G117</f>
        <v>Water heating RES</v>
      </c>
      <c r="D557" s="2724"/>
      <c r="E557" s="2724"/>
      <c r="F557" s="2724"/>
      <c r="G557" s="2724" t="str">
        <f>'PAYS Deemed Table'!E117</f>
        <v>Low Flow Bathroom Faucet Aerator MF DI</v>
      </c>
      <c r="H557" s="2554" t="str">
        <f>'PAYS Deemed Table'!D117</f>
        <v>PAYS</v>
      </c>
      <c r="I557" s="3840">
        <f>'PAYS Deemed Table'!F117</f>
        <v>34.590000000000003</v>
      </c>
      <c r="J557" s="3840"/>
      <c r="K557" s="3251"/>
      <c r="L557" s="3251"/>
      <c r="M557" s="3251"/>
      <c r="N557" s="3251"/>
      <c r="O557" s="3841">
        <f>'PAYS Deemed Table'!J117</f>
        <v>3.0690000000000001E-3</v>
      </c>
      <c r="P557" s="3841"/>
      <c r="Q557" s="3842"/>
      <c r="R557" s="3842"/>
      <c r="S557" s="3842"/>
      <c r="T557" s="3842"/>
      <c r="U557" s="3861">
        <f t="shared" si="325"/>
        <v>0</v>
      </c>
      <c r="V557" s="3861">
        <f t="shared" si="326"/>
        <v>3.0690000000000001E-3</v>
      </c>
      <c r="W557" s="3861">
        <f t="shared" si="327"/>
        <v>0</v>
      </c>
      <c r="X557" s="2846">
        <f>'PAYS Deemed Table'!K117</f>
        <v>10</v>
      </c>
      <c r="Y557" s="2846"/>
      <c r="Z557" s="2846">
        <f t="shared" si="324"/>
        <v>10</v>
      </c>
      <c r="AA557" s="2529">
        <f>'PAYS Deemed Table'!DG13</f>
        <v>0</v>
      </c>
      <c r="AB557" s="3878">
        <f>'PAYS Deemed Table'!DJ117</f>
        <v>11.33</v>
      </c>
      <c r="AC557" s="3864">
        <f t="shared" si="322"/>
        <v>16.993890146348114</v>
      </c>
      <c r="AD557" s="3864">
        <f t="shared" si="323"/>
        <v>0</v>
      </c>
      <c r="AE557" s="3008">
        <f>'PAYS Deemed Table'!DI117</f>
        <v>16.993890146348114</v>
      </c>
      <c r="AF557" s="3894"/>
      <c r="AG557" s="3846"/>
      <c r="AH557" s="3846"/>
      <c r="AI557" s="3872" t="str">
        <f>'PAYS Deemed Table'!M117</f>
        <v>per measure</v>
      </c>
      <c r="AJ557" s="2724"/>
      <c r="AM557" s="2237"/>
      <c r="AN557" s="2237"/>
      <c r="AO557" s="2237"/>
      <c r="AP557" s="2237"/>
      <c r="AQ557" s="2237"/>
      <c r="AR557" s="2237"/>
      <c r="AS557" s="2237"/>
      <c r="AT557" s="2237"/>
      <c r="AU557" s="2237"/>
      <c r="AV557" s="2237"/>
      <c r="AW557" s="2237"/>
      <c r="AX557" s="3862" t="str">
        <f t="shared" ref="AX557:AX560" si="329">G557</f>
        <v>Low Flow Bathroom Faucet Aerator MF DI</v>
      </c>
      <c r="AY557" s="2425"/>
      <c r="AZ557" s="2597" t="str">
        <f t="shared" ref="AZ557:AZ560" si="330">A557</f>
        <v>450501</v>
      </c>
      <c r="BA557" s="3895" t="s">
        <v>1303</v>
      </c>
      <c r="BB557" s="3895" t="s">
        <v>1303</v>
      </c>
      <c r="BC557" s="3895" t="s">
        <v>1303</v>
      </c>
      <c r="BD557" s="3895" t="s">
        <v>1303</v>
      </c>
      <c r="BE557" s="3853"/>
      <c r="BF557" s="3895" t="s">
        <v>1303</v>
      </c>
      <c r="BG557" s="3895" t="s">
        <v>1303</v>
      </c>
      <c r="BH557" s="3895" t="s">
        <v>1303</v>
      </c>
      <c r="BI557" s="3896" t="s">
        <v>1303</v>
      </c>
      <c r="BJ557" s="3863"/>
      <c r="BK557" s="3895" t="s">
        <v>1303</v>
      </c>
      <c r="BL557" s="3896" t="s">
        <v>1303</v>
      </c>
      <c r="BM557" s="3895" t="s">
        <v>1303</v>
      </c>
      <c r="BN557" s="3896" t="s">
        <v>1303</v>
      </c>
    </row>
    <row r="558" spans="1:66" s="696" customFormat="1">
      <c r="A558" s="2958" t="str">
        <f t="shared" si="328"/>
        <v>450600</v>
      </c>
      <c r="B558" s="2233" t="str">
        <f>'PAYS Deemed Table'!C152</f>
        <v>450600_2024_12_</v>
      </c>
      <c r="C558" s="2724" t="str">
        <f>'PAYS Deemed Table'!G152</f>
        <v>Water Heating RES</v>
      </c>
      <c r="D558" s="2724"/>
      <c r="E558" s="2724"/>
      <c r="F558" s="2724"/>
      <c r="G558" s="2724" t="str">
        <f>'PAYS Deemed Table'!E152</f>
        <v>Low Flow Kitchen Faucet Aerator SF DI</v>
      </c>
      <c r="H558" s="2554" t="str">
        <f>'PAYS Deemed Table'!D152</f>
        <v>PAYS</v>
      </c>
      <c r="I558" s="3840">
        <f>'PAYS Deemed Table'!F152</f>
        <v>103.2</v>
      </c>
      <c r="J558" s="3840"/>
      <c r="K558" s="3251"/>
      <c r="L558" s="3251"/>
      <c r="M558" s="3251"/>
      <c r="N558" s="3251"/>
      <c r="O558" s="3841">
        <f>'PAYS Deemed Table'!J152</f>
        <v>9.1570000000000002E-3</v>
      </c>
      <c r="P558" s="3841"/>
      <c r="Q558" s="3842"/>
      <c r="R558" s="3842"/>
      <c r="S558" s="3842"/>
      <c r="T558" s="3842"/>
      <c r="U558" s="3861">
        <f t="shared" si="325"/>
        <v>0</v>
      </c>
      <c r="V558" s="3861">
        <f t="shared" si="326"/>
        <v>9.1570000000000002E-3</v>
      </c>
      <c r="W558" s="3861">
        <f t="shared" si="327"/>
        <v>0</v>
      </c>
      <c r="X558" s="2846">
        <f>'PAYS Deemed Table'!K152</f>
        <v>10</v>
      </c>
      <c r="Y558" s="2846"/>
      <c r="Z558" s="2846">
        <f t="shared" si="324"/>
        <v>10</v>
      </c>
      <c r="AA558" s="2529">
        <f>'PAYS Deemed Table'!DG14</f>
        <v>0</v>
      </c>
      <c r="AB558" s="3878">
        <f>'PAYS Deemed Table'!DJ152</f>
        <v>11.33</v>
      </c>
      <c r="AC558" s="3864">
        <f t="shared" si="322"/>
        <v>50.701632353371643</v>
      </c>
      <c r="AD558" s="3864">
        <f t="shared" si="323"/>
        <v>0</v>
      </c>
      <c r="AE558" s="3008">
        <f>'PAYS Deemed Table'!DI152</f>
        <v>50.701632353371643</v>
      </c>
      <c r="AF558" s="3894"/>
      <c r="AG558" s="3846"/>
      <c r="AH558" s="3846"/>
      <c r="AI558" s="3872" t="str">
        <f>'PAYS Deemed Table'!M152</f>
        <v>per measure</v>
      </c>
      <c r="AJ558" s="2724"/>
      <c r="AM558" s="2237"/>
      <c r="AN558" s="2237"/>
      <c r="AO558" s="2237"/>
      <c r="AP558" s="2237"/>
      <c r="AQ558" s="2237"/>
      <c r="AR558" s="2237"/>
      <c r="AS558" s="2237"/>
      <c r="AT558" s="2237"/>
      <c r="AU558" s="2237"/>
      <c r="AV558" s="2237"/>
      <c r="AW558" s="2237"/>
      <c r="AX558" s="3862" t="str">
        <f t="shared" si="329"/>
        <v>Low Flow Kitchen Faucet Aerator SF DI</v>
      </c>
      <c r="AY558" s="2425"/>
      <c r="AZ558" s="2597" t="str">
        <f t="shared" si="330"/>
        <v>450600</v>
      </c>
      <c r="BA558" s="3895" t="s">
        <v>1303</v>
      </c>
      <c r="BB558" s="3895" t="s">
        <v>1303</v>
      </c>
      <c r="BC558" s="3895" t="s">
        <v>1303</v>
      </c>
      <c r="BD558" s="3895" t="s">
        <v>1303</v>
      </c>
      <c r="BE558" s="3853"/>
      <c r="BF558" s="3895" t="s">
        <v>1303</v>
      </c>
      <c r="BG558" s="3895" t="s">
        <v>1303</v>
      </c>
      <c r="BH558" s="3895" t="s">
        <v>1303</v>
      </c>
      <c r="BI558" s="3896" t="s">
        <v>1303</v>
      </c>
      <c r="BJ558" s="3863"/>
      <c r="BK558" s="3895" t="s">
        <v>1303</v>
      </c>
      <c r="BL558" s="3896" t="s">
        <v>1303</v>
      </c>
      <c r="BM558" s="3895" t="s">
        <v>1303</v>
      </c>
      <c r="BN558" s="3896" t="s">
        <v>1303</v>
      </c>
    </row>
    <row r="559" spans="1:66" s="696" customFormat="1">
      <c r="A559" s="2958" t="str">
        <f t="shared" si="328"/>
        <v>450601</v>
      </c>
      <c r="B559" s="2233" t="str">
        <f>'PAYS Deemed Table'!C153</f>
        <v>450601_2024_12_</v>
      </c>
      <c r="C559" s="2724" t="str">
        <f>'PAYS Deemed Table'!G153</f>
        <v>Water Heating RES</v>
      </c>
      <c r="D559" s="2724"/>
      <c r="E559" s="2724"/>
      <c r="F559" s="2724"/>
      <c r="G559" s="2724" t="str">
        <f>'PAYS Deemed Table'!E153</f>
        <v>Low Flow Kitchen Faucet Aerator MF DI</v>
      </c>
      <c r="H559" s="2554" t="str">
        <f>'PAYS Deemed Table'!D153</f>
        <v>PAYS</v>
      </c>
      <c r="I559" s="3840">
        <f>'PAYS Deemed Table'!F153</f>
        <v>103.2</v>
      </c>
      <c r="J559" s="3840"/>
      <c r="K559" s="3251"/>
      <c r="L559" s="3251"/>
      <c r="M559" s="3251"/>
      <c r="N559" s="3251"/>
      <c r="O559" s="3841">
        <f>'PAYS Deemed Table'!J153</f>
        <v>9.1570000000000002E-3</v>
      </c>
      <c r="P559" s="3841"/>
      <c r="Q559" s="3842"/>
      <c r="R559" s="3842"/>
      <c r="S559" s="3842"/>
      <c r="T559" s="3842"/>
      <c r="U559" s="3861">
        <f t="shared" si="325"/>
        <v>0</v>
      </c>
      <c r="V559" s="3861">
        <f t="shared" si="326"/>
        <v>9.1570000000000002E-3</v>
      </c>
      <c r="W559" s="3861">
        <f t="shared" si="327"/>
        <v>0</v>
      </c>
      <c r="X559" s="2846">
        <f>'PAYS Deemed Table'!K153</f>
        <v>10</v>
      </c>
      <c r="Y559" s="2846"/>
      <c r="Z559" s="2846">
        <f t="shared" si="324"/>
        <v>10</v>
      </c>
      <c r="AA559" s="2529">
        <f>'PAYS Deemed Table'!DG15</f>
        <v>0</v>
      </c>
      <c r="AB559" s="3878">
        <f>'PAYS Deemed Table'!DJ153</f>
        <v>11.33</v>
      </c>
      <c r="AC559" s="3864">
        <f t="shared" si="322"/>
        <v>50.701632353371643</v>
      </c>
      <c r="AD559" s="3864">
        <f t="shared" si="323"/>
        <v>0</v>
      </c>
      <c r="AE559" s="3008">
        <f>'PAYS Deemed Table'!DI153</f>
        <v>50.701632353371643</v>
      </c>
      <c r="AF559" s="3894"/>
      <c r="AG559" s="3846"/>
      <c r="AH559" s="3846"/>
      <c r="AI559" s="3872" t="str">
        <f>'PAYS Deemed Table'!M153</f>
        <v>per measure</v>
      </c>
      <c r="AJ559" s="2724"/>
      <c r="AM559" s="2237"/>
      <c r="AN559" s="2237"/>
      <c r="AO559" s="2237"/>
      <c r="AP559" s="2237"/>
      <c r="AQ559" s="2237"/>
      <c r="AR559" s="2237"/>
      <c r="AS559" s="2237"/>
      <c r="AT559" s="2237"/>
      <c r="AU559" s="2237"/>
      <c r="AV559" s="2237"/>
      <c r="AW559" s="2237"/>
      <c r="AX559" s="3862" t="str">
        <f t="shared" si="329"/>
        <v>Low Flow Kitchen Faucet Aerator MF DI</v>
      </c>
      <c r="AY559" s="2425"/>
      <c r="AZ559" s="2597" t="str">
        <f t="shared" si="330"/>
        <v>450601</v>
      </c>
      <c r="BA559" s="3895" t="s">
        <v>1303</v>
      </c>
      <c r="BB559" s="3895" t="s">
        <v>1303</v>
      </c>
      <c r="BC559" s="3895" t="s">
        <v>1303</v>
      </c>
      <c r="BD559" s="3895" t="s">
        <v>1303</v>
      </c>
      <c r="BE559" s="3853"/>
      <c r="BF559" s="3895" t="s">
        <v>1303</v>
      </c>
      <c r="BG559" s="3895" t="s">
        <v>1303</v>
      </c>
      <c r="BH559" s="3895" t="s">
        <v>1303</v>
      </c>
      <c r="BI559" s="3896" t="s">
        <v>1303</v>
      </c>
      <c r="BJ559" s="3863"/>
      <c r="BK559" s="3895" t="s">
        <v>1303</v>
      </c>
      <c r="BL559" s="3896" t="s">
        <v>1303</v>
      </c>
      <c r="BM559" s="3895" t="s">
        <v>1303</v>
      </c>
      <c r="BN559" s="3896" t="s">
        <v>1303</v>
      </c>
    </row>
    <row r="560" spans="1:66" s="41" customFormat="1">
      <c r="A560" s="51" t="str">
        <f t="shared" si="328"/>
        <v>450700</v>
      </c>
      <c r="B560" s="677" t="str">
        <f>'PAYS Deemed Table'!C187</f>
        <v>450700_2024_12_</v>
      </c>
      <c r="C560" s="676" t="str">
        <f>'PAYS Deemed Table'!G187</f>
        <v>Miscellaneous RES</v>
      </c>
      <c r="D560" s="676"/>
      <c r="E560" s="676"/>
      <c r="F560" s="676"/>
      <c r="G560" s="676" t="str">
        <f>'PAYS Deemed Table'!E187</f>
        <v>Advanced Tier 1 Power Strips DI - Home Office</v>
      </c>
      <c r="H560" s="682" t="str">
        <f>'PAYS Deemed Table'!D187</f>
        <v>PAYS</v>
      </c>
      <c r="I560" s="680">
        <f>'PAYS Deemed Table'!F187</f>
        <v>23.03</v>
      </c>
      <c r="J560" s="680"/>
      <c r="K560" s="678"/>
      <c r="L560" s="678"/>
      <c r="M560" s="678"/>
      <c r="N560" s="678"/>
      <c r="O560" s="681">
        <f>'PAYS Deemed Table'!I187</f>
        <v>2.6440000000000001E-3</v>
      </c>
      <c r="P560" s="681"/>
      <c r="Q560" s="683"/>
      <c r="R560" s="683"/>
      <c r="S560" s="683"/>
      <c r="T560" s="683"/>
      <c r="U560" s="788">
        <f t="shared" si="325"/>
        <v>0</v>
      </c>
      <c r="V560" s="788">
        <f t="shared" si="326"/>
        <v>2.6440000000000001E-3</v>
      </c>
      <c r="W560" s="788">
        <f t="shared" si="327"/>
        <v>0</v>
      </c>
      <c r="X560" s="674">
        <f>'PAYS Deemed Table'!J187</f>
        <v>10</v>
      </c>
      <c r="Y560" s="674"/>
      <c r="Z560" s="674">
        <f t="shared" si="324"/>
        <v>10</v>
      </c>
      <c r="AA560" s="117">
        <f>'PAYS Deemed Table'!DG187</f>
        <v>0.38464720958253451</v>
      </c>
      <c r="AB560" s="781">
        <f>'PAYS Deemed Table'!DJ187</f>
        <v>30</v>
      </c>
      <c r="AC560" s="783">
        <f t="shared" si="322"/>
        <v>11.539416287476035</v>
      </c>
      <c r="AD560" s="783">
        <f t="shared" si="323"/>
        <v>0</v>
      </c>
      <c r="AE560" s="1242">
        <f>'PAYS Deemed Table'!DI187</f>
        <v>11.539416287476035</v>
      </c>
      <c r="AF560" s="919"/>
      <c r="AG560" s="684"/>
      <c r="AH560" s="684"/>
      <c r="AI560" s="677" t="str">
        <f>'PAYS Deemed Table'!L187</f>
        <v>per measure</v>
      </c>
      <c r="AJ560" s="676"/>
      <c r="AM560"/>
      <c r="AN560"/>
      <c r="AO560"/>
      <c r="AP560"/>
      <c r="AQ560"/>
      <c r="AR560"/>
      <c r="AS560"/>
      <c r="AT560"/>
      <c r="AU560"/>
      <c r="AV560"/>
      <c r="AW560"/>
      <c r="AX560" s="1355" t="str">
        <f t="shared" si="329"/>
        <v>Advanced Tier 1 Power Strips DI - Home Office</v>
      </c>
      <c r="AY560" s="1378"/>
      <c r="AZ560" s="1446" t="str">
        <f t="shared" si="330"/>
        <v>450700</v>
      </c>
      <c r="BA560" s="1300" t="s">
        <v>1303</v>
      </c>
      <c r="BB560" s="1300" t="s">
        <v>1303</v>
      </c>
      <c r="BC560" s="1300" t="s">
        <v>1303</v>
      </c>
      <c r="BD560" s="1300" t="s">
        <v>1303</v>
      </c>
      <c r="BE560" s="1306"/>
      <c r="BF560" s="1300" t="s">
        <v>1303</v>
      </c>
      <c r="BG560" s="1300" t="s">
        <v>1303</v>
      </c>
      <c r="BH560" s="1300" t="s">
        <v>1303</v>
      </c>
      <c r="BI560" s="1301" t="s">
        <v>1303</v>
      </c>
      <c r="BJ560" s="1305"/>
      <c r="BK560" s="1300" t="s">
        <v>1303</v>
      </c>
      <c r="BL560" s="1301" t="s">
        <v>1303</v>
      </c>
      <c r="BM560" s="1300" t="s">
        <v>1303</v>
      </c>
      <c r="BN560" s="1301" t="s">
        <v>1303</v>
      </c>
    </row>
    <row r="561" spans="1:66">
      <c r="A561" s="51" t="str">
        <f t="shared" ref="A561:A623" si="331">LEFT(B561,6)</f>
        <v>600050</v>
      </c>
      <c r="B561" s="1442" t="str">
        <f>'Demand Response Deemed Table'!C7</f>
        <v>600050_2024_12_</v>
      </c>
      <c r="C561" s="1378" t="str">
        <f>'Demand Response Deemed Table'!E7</f>
        <v>Summer Demand Response Advanced Thermostat - with Program-driven Optimization</v>
      </c>
      <c r="D561" s="1378"/>
      <c r="E561" s="1378"/>
      <c r="F561" s="1378"/>
      <c r="G561" s="1378" t="str">
        <f>'Demand Response Deemed Table'!E7</f>
        <v>Summer Demand Response Advanced Thermostat - with Program-driven Optimization</v>
      </c>
      <c r="H561" s="19" t="str">
        <f>'Demand Response Deemed Table'!D7</f>
        <v>DR</v>
      </c>
      <c r="I561" s="785">
        <f>'Demand Response Deemed Table'!F7</f>
        <v>0</v>
      </c>
      <c r="J561" s="785"/>
      <c r="K561" s="202"/>
      <c r="L561" s="202"/>
      <c r="M561" s="202"/>
      <c r="N561" s="202"/>
      <c r="O561" s="786" t="str">
        <f>'Demand Response Deemed Table'!I7</f>
        <v>-</v>
      </c>
      <c r="P561" s="786"/>
      <c r="Q561" s="787"/>
      <c r="R561" s="787"/>
      <c r="S561" s="787"/>
      <c r="T561" s="787"/>
      <c r="U561" s="788" t="str">
        <f t="shared" ref="U561:U600" si="332">IFERROR(IF(V561+W561&gt;0,0,IF(Z561&gt;0,O561,0)),0)</f>
        <v>-</v>
      </c>
      <c r="V561" s="788">
        <f t="shared" ref="V561:V600" si="333">IF(W561&gt;0,0,IF(Z561&gt;9,O561,0))</f>
        <v>0</v>
      </c>
      <c r="W561" s="788">
        <f t="shared" ref="W561:W600" si="334">IF(Z561&gt;14,O561,0)</f>
        <v>0</v>
      </c>
      <c r="X561" s="23">
        <f>'Demand Response Deemed Table'!K7</f>
        <v>1</v>
      </c>
      <c r="Y561" s="23"/>
      <c r="Z561" s="23">
        <f t="shared" ref="Z561:Z623" si="335">Y561+X561</f>
        <v>1</v>
      </c>
      <c r="AA561" s="912" t="str">
        <f>'Demand Response Deemed Table'!DG7</f>
        <v/>
      </c>
      <c r="AB561" s="259">
        <f>'Demand Response Deemed Table'!L7</f>
        <v>0</v>
      </c>
      <c r="AC561" s="903">
        <f t="shared" ref="AC561:AC623" si="336">AE561+AF561</f>
        <v>0</v>
      </c>
      <c r="AD561" s="903">
        <f t="shared" ref="AD561:AD623" si="337">AG561+AH561</f>
        <v>0</v>
      </c>
      <c r="AE561" s="913">
        <f>'Demand Response Deemed Table'!DI7</f>
        <v>0</v>
      </c>
      <c r="AF561" s="208"/>
      <c r="AG561" s="208"/>
      <c r="AH561" s="208"/>
      <c r="AI561" s="1442" t="str">
        <f>'Demand Response Deemed Table'!M7</f>
        <v>per thermostat</v>
      </c>
      <c r="AJ561" s="71"/>
      <c r="AX561" s="1355" t="str">
        <f t="shared" ref="AX561:AX615" si="338">G561</f>
        <v>Summer Demand Response Advanced Thermostat - with Program-driven Optimization</v>
      </c>
      <c r="AY561" s="1378"/>
      <c r="AZ561" s="1446" t="str">
        <f t="shared" ref="AZ561:AZ615" si="339">A561</f>
        <v>600050</v>
      </c>
      <c r="BA561" s="1300" t="s">
        <v>1303</v>
      </c>
      <c r="BB561" s="1300" t="s">
        <v>1303</v>
      </c>
      <c r="BC561" s="1300" t="s">
        <v>1303</v>
      </c>
      <c r="BD561" s="1300" t="s">
        <v>1303</v>
      </c>
      <c r="BE561" s="1305"/>
      <c r="BF561" s="1300" t="s">
        <v>1303</v>
      </c>
      <c r="BG561" s="1300" t="s">
        <v>1303</v>
      </c>
      <c r="BH561" s="1300" t="s">
        <v>1303</v>
      </c>
      <c r="BI561" s="1301" t="s">
        <v>1303</v>
      </c>
      <c r="BJ561" s="1305"/>
      <c r="BK561" s="1300" t="s">
        <v>1303</v>
      </c>
      <c r="BL561" s="1301" t="s">
        <v>1303</v>
      </c>
      <c r="BM561" s="1300" t="s">
        <v>1303</v>
      </c>
      <c r="BN561" s="1301" t="s">
        <v>1303</v>
      </c>
    </row>
    <row r="562" spans="1:66" s="41" customFormat="1">
      <c r="A562" s="51" t="str">
        <f>LEFT(B562,6)</f>
        <v>600060</v>
      </c>
      <c r="B562" s="677" t="str">
        <f>'Demand Response Deemed Table'!C8</f>
        <v>600060_2023_12_</v>
      </c>
      <c r="C562" s="676" t="str">
        <f>'Demand Response Deemed Table'!E8</f>
        <v>Winter Demand Response Advanced Thermostat - with Program-driven Optimization</v>
      </c>
      <c r="D562" s="676"/>
      <c r="E562" s="676"/>
      <c r="F562" s="676"/>
      <c r="G562" s="676" t="str">
        <f>'Demand Response Deemed Table'!E8</f>
        <v>Winter Demand Response Advanced Thermostat - with Program-driven Optimization</v>
      </c>
      <c r="H562" s="682" t="str">
        <f>'Demand Response Deemed Table'!D8</f>
        <v>DR</v>
      </c>
      <c r="I562" s="680">
        <f>'Demand Response Deemed Table'!F8</f>
        <v>0</v>
      </c>
      <c r="J562" s="680"/>
      <c r="K562" s="678"/>
      <c r="L562" s="678"/>
      <c r="M562" s="678"/>
      <c r="N562" s="678"/>
      <c r="O562" s="681" t="str">
        <f>'Demand Response Deemed Table'!I8</f>
        <v>-</v>
      </c>
      <c r="P562" s="681"/>
      <c r="Q562" s="683"/>
      <c r="R562" s="683"/>
      <c r="S562" s="683"/>
      <c r="T562" s="683"/>
      <c r="U562" s="788" t="str">
        <f t="shared" si="332"/>
        <v>-</v>
      </c>
      <c r="V562" s="788">
        <f t="shared" si="333"/>
        <v>0</v>
      </c>
      <c r="W562" s="788">
        <f t="shared" si="334"/>
        <v>0</v>
      </c>
      <c r="X562" s="674">
        <f>'Demand Response Deemed Table'!K8</f>
        <v>1</v>
      </c>
      <c r="Y562" s="674"/>
      <c r="Z562" s="674">
        <f>Y562+X562</f>
        <v>1</v>
      </c>
      <c r="AA562" s="1290" t="str">
        <f>'Demand Response Deemed Table'!DG8</f>
        <v/>
      </c>
      <c r="AB562" s="781">
        <f>'Demand Response Deemed Table'!L8</f>
        <v>0</v>
      </c>
      <c r="AC562" s="784">
        <f>AE562+AF562</f>
        <v>0</v>
      </c>
      <c r="AD562" s="784">
        <f>AG562+AH562</f>
        <v>0</v>
      </c>
      <c r="AE562" s="1104">
        <f>'Demand Response Deemed Table'!DI8</f>
        <v>0</v>
      </c>
      <c r="AF562" s="684"/>
      <c r="AG562" s="684"/>
      <c r="AH562" s="684"/>
      <c r="AI562" s="677" t="str">
        <f>'Demand Response Deemed Table'!M8</f>
        <v>per thermostat</v>
      </c>
      <c r="AJ562" s="676"/>
      <c r="AM562"/>
      <c r="AN562"/>
      <c r="AO562"/>
      <c r="AP562"/>
      <c r="AQ562"/>
      <c r="AR562"/>
      <c r="AS562"/>
      <c r="AT562"/>
      <c r="AU562"/>
      <c r="AV562"/>
      <c r="AW562"/>
      <c r="AX562" s="1355" t="str">
        <f t="shared" si="338"/>
        <v>Winter Demand Response Advanced Thermostat - with Program-driven Optimization</v>
      </c>
      <c r="AY562" s="1378"/>
      <c r="AZ562" s="1446" t="str">
        <f t="shared" si="339"/>
        <v>600060</v>
      </c>
      <c r="BA562" s="1300" t="s">
        <v>1303</v>
      </c>
      <c r="BB562" s="1300" t="s">
        <v>1303</v>
      </c>
      <c r="BC562" s="1300" t="s">
        <v>1303</v>
      </c>
      <c r="BD562" s="1300" t="s">
        <v>1303</v>
      </c>
      <c r="BE562" s="1306"/>
      <c r="BF562" s="1300" t="s">
        <v>1303</v>
      </c>
      <c r="BG562" s="1300" t="s">
        <v>1303</v>
      </c>
      <c r="BH562" s="1300" t="s">
        <v>1303</v>
      </c>
      <c r="BI562" s="1301" t="s">
        <v>1303</v>
      </c>
      <c r="BJ562" s="1305"/>
      <c r="BK562" s="1300" t="s">
        <v>1303</v>
      </c>
      <c r="BL562" s="1301" t="s">
        <v>1303</v>
      </c>
      <c r="BM562" s="1300" t="s">
        <v>1303</v>
      </c>
      <c r="BN562" s="1301" t="s">
        <v>1303</v>
      </c>
    </row>
    <row r="563" spans="1:66">
      <c r="A563" s="51" t="str">
        <f t="shared" si="331"/>
        <v>600100</v>
      </c>
      <c r="B563" s="1442" t="str">
        <f>'Demand Response Deemed Table'!C9</f>
        <v>600100_2021_12_</v>
      </c>
      <c r="C563" s="1378" t="str">
        <f>'Demand Response Deemed Table'!E9</f>
        <v>Summer Demand Response Advanced Thermostat - without Program-Driven Optimization</v>
      </c>
      <c r="D563" s="1378"/>
      <c r="E563" s="1378"/>
      <c r="F563" s="1378"/>
      <c r="G563" s="1378" t="str">
        <f>'Demand Response Deemed Table'!E9</f>
        <v>Summer Demand Response Advanced Thermostat - without Program-Driven Optimization</v>
      </c>
      <c r="H563" s="19" t="str">
        <f>'Demand Response Deemed Table'!D9</f>
        <v>DR</v>
      </c>
      <c r="I563" s="785">
        <f>'Demand Response Deemed Table'!F9</f>
        <v>0</v>
      </c>
      <c r="J563" s="785"/>
      <c r="K563" s="202"/>
      <c r="L563" s="202"/>
      <c r="M563" s="202"/>
      <c r="N563" s="202"/>
      <c r="O563" s="786" t="str">
        <f>'Demand Response Deemed Table'!I9</f>
        <v>-</v>
      </c>
      <c r="P563" s="786"/>
      <c r="Q563" s="787"/>
      <c r="R563" s="787"/>
      <c r="S563" s="787"/>
      <c r="T563" s="787"/>
      <c r="U563" s="788" t="str">
        <f t="shared" si="332"/>
        <v>-</v>
      </c>
      <c r="V563" s="788">
        <f t="shared" si="333"/>
        <v>0</v>
      </c>
      <c r="W563" s="788">
        <f t="shared" si="334"/>
        <v>0</v>
      </c>
      <c r="X563" s="23">
        <f>'Demand Response Deemed Table'!K9</f>
        <v>1</v>
      </c>
      <c r="Y563" s="23"/>
      <c r="Z563" s="23">
        <f t="shared" si="335"/>
        <v>1</v>
      </c>
      <c r="AA563" s="912" t="str">
        <f>'Demand Response Deemed Table'!DG9</f>
        <v/>
      </c>
      <c r="AB563" s="259">
        <f>'Demand Response Deemed Table'!L9</f>
        <v>0</v>
      </c>
      <c r="AC563" s="903">
        <f t="shared" si="336"/>
        <v>0</v>
      </c>
      <c r="AD563" s="903">
        <f t="shared" si="337"/>
        <v>0</v>
      </c>
      <c r="AE563" s="913">
        <f>'Demand Response Deemed Table'!DI9</f>
        <v>0</v>
      </c>
      <c r="AF563" s="208"/>
      <c r="AG563" s="208"/>
      <c r="AH563" s="208"/>
      <c r="AI563" s="1442" t="str">
        <f>'Demand Response Deemed Table'!M9</f>
        <v>per thermostat</v>
      </c>
      <c r="AJ563" s="676"/>
      <c r="AK563" s="41"/>
      <c r="AL563" s="41"/>
      <c r="AX563" s="1355" t="str">
        <f t="shared" si="338"/>
        <v>Summer Demand Response Advanced Thermostat - without Program-Driven Optimization</v>
      </c>
      <c r="AY563" s="1378"/>
      <c r="AZ563" s="1446" t="str">
        <f t="shared" si="339"/>
        <v>600100</v>
      </c>
      <c r="BA563" s="1300" t="s">
        <v>1303</v>
      </c>
      <c r="BB563" s="1300" t="s">
        <v>1303</v>
      </c>
      <c r="BC563" s="1300" t="s">
        <v>1303</v>
      </c>
      <c r="BD563" s="1300" t="s">
        <v>1303</v>
      </c>
      <c r="BE563" s="1305"/>
      <c r="BF563" s="1300" t="s">
        <v>1303</v>
      </c>
      <c r="BG563" s="1300" t="s">
        <v>1303</v>
      </c>
      <c r="BH563" s="1300" t="s">
        <v>1303</v>
      </c>
      <c r="BI563" s="1301" t="s">
        <v>1303</v>
      </c>
      <c r="BJ563" s="1305"/>
      <c r="BK563" s="1300" t="s">
        <v>1303</v>
      </c>
      <c r="BL563" s="1301" t="s">
        <v>1303</v>
      </c>
      <c r="BM563" s="1300" t="s">
        <v>1303</v>
      </c>
      <c r="BN563" s="1301" t="s">
        <v>1303</v>
      </c>
    </row>
    <row r="564" spans="1:66" s="41" customFormat="1">
      <c r="A564" s="51" t="str">
        <f t="shared" si="331"/>
        <v>600110</v>
      </c>
      <c r="B564" s="677" t="str">
        <f>'Demand Response Deemed Table'!C10</f>
        <v>600110_2023_12_</v>
      </c>
      <c r="C564" s="676" t="str">
        <f>'Demand Response Deemed Table'!E10</f>
        <v>Winter Demand Response Advanced Thermostat - without Program-Driven Optimization</v>
      </c>
      <c r="D564" s="676"/>
      <c r="E564" s="676"/>
      <c r="F564" s="676"/>
      <c r="G564" s="676" t="str">
        <f>'Demand Response Deemed Table'!E10</f>
        <v>Winter Demand Response Advanced Thermostat - without Program-Driven Optimization</v>
      </c>
      <c r="H564" s="682" t="str">
        <f>'Demand Response Deemed Table'!D10</f>
        <v>DR</v>
      </c>
      <c r="I564" s="680">
        <f>'Demand Response Deemed Table'!F10</f>
        <v>0</v>
      </c>
      <c r="J564" s="680"/>
      <c r="K564" s="678"/>
      <c r="L564" s="678"/>
      <c r="M564" s="678"/>
      <c r="N564" s="678"/>
      <c r="O564" s="681" t="str">
        <f>'Demand Response Deemed Table'!I10</f>
        <v>-</v>
      </c>
      <c r="P564" s="681"/>
      <c r="Q564" s="683"/>
      <c r="R564" s="683"/>
      <c r="S564" s="683"/>
      <c r="T564" s="683"/>
      <c r="U564" s="788" t="str">
        <f t="shared" si="332"/>
        <v>-</v>
      </c>
      <c r="V564" s="788">
        <f t="shared" si="333"/>
        <v>0</v>
      </c>
      <c r="W564" s="788">
        <f t="shared" si="334"/>
        <v>0</v>
      </c>
      <c r="X564" s="674">
        <f>'Demand Response Deemed Table'!K10</f>
        <v>1</v>
      </c>
      <c r="Y564" s="674"/>
      <c r="Z564" s="674">
        <f t="shared" si="335"/>
        <v>1</v>
      </c>
      <c r="AA564" s="1290" t="str">
        <f>'Demand Response Deemed Table'!DG10</f>
        <v/>
      </c>
      <c r="AB564" s="781">
        <f>'Demand Response Deemed Table'!L10</f>
        <v>0</v>
      </c>
      <c r="AC564" s="784">
        <f t="shared" si="336"/>
        <v>0</v>
      </c>
      <c r="AD564" s="784">
        <f t="shared" si="337"/>
        <v>0</v>
      </c>
      <c r="AE564" s="1104">
        <f>'Demand Response Deemed Table'!DI10</f>
        <v>0</v>
      </c>
      <c r="AF564" s="684"/>
      <c r="AG564" s="684"/>
      <c r="AH564" s="684"/>
      <c r="AI564" s="677" t="str">
        <f>'Demand Response Deemed Table'!M10</f>
        <v>per thermostat</v>
      </c>
      <c r="AJ564" s="676"/>
      <c r="AM564"/>
      <c r="AN564"/>
      <c r="AO564"/>
      <c r="AP564"/>
      <c r="AQ564"/>
      <c r="AR564"/>
      <c r="AS564"/>
      <c r="AT564"/>
      <c r="AU564"/>
      <c r="AV564"/>
      <c r="AW564"/>
      <c r="AX564" s="1355" t="str">
        <f t="shared" si="338"/>
        <v>Winter Demand Response Advanced Thermostat - without Program-Driven Optimization</v>
      </c>
      <c r="AY564" s="1378"/>
      <c r="AZ564" s="1446" t="str">
        <f t="shared" si="339"/>
        <v>600110</v>
      </c>
      <c r="BA564" s="1300" t="s">
        <v>1303</v>
      </c>
      <c r="BB564" s="1300" t="s">
        <v>1303</v>
      </c>
      <c r="BC564" s="1300" t="s">
        <v>1303</v>
      </c>
      <c r="BD564" s="1300" t="s">
        <v>1303</v>
      </c>
      <c r="BE564" s="1306"/>
      <c r="BF564" s="1300" t="s">
        <v>1303</v>
      </c>
      <c r="BG564" s="1300" t="s">
        <v>1303</v>
      </c>
      <c r="BH564" s="1300" t="s">
        <v>1303</v>
      </c>
      <c r="BI564" s="1301" t="s">
        <v>1303</v>
      </c>
      <c r="BJ564" s="1305"/>
      <c r="BK564" s="1300" t="s">
        <v>1303</v>
      </c>
      <c r="BL564" s="1301" t="s">
        <v>1303</v>
      </c>
      <c r="BM564" s="1300" t="s">
        <v>1303</v>
      </c>
      <c r="BN564" s="1301" t="s">
        <v>1303</v>
      </c>
    </row>
    <row r="565" spans="1:66" s="41" customFormat="1">
      <c r="A565" s="51" t="str">
        <f>LEFT(B565,6)</f>
        <v>600401</v>
      </c>
      <c r="B565" s="1442" t="str">
        <f>'Demand Response Deemed Table'!C28</f>
        <v>600401_2024_12_</v>
      </c>
      <c r="C565" s="1378" t="str">
        <f>'Demand Response Deemed Table'!E28</f>
        <v>Demand Response Heat Pump Water Heater Switch</v>
      </c>
      <c r="D565" s="1378"/>
      <c r="E565" s="1378"/>
      <c r="F565" s="1378"/>
      <c r="G565" s="1378" t="str">
        <f>'Demand Response Deemed Table'!E28</f>
        <v>Demand Response Heat Pump Water Heater Switch</v>
      </c>
      <c r="H565" s="19" t="str">
        <f>'Demand Response Deemed Table'!D28</f>
        <v>DR</v>
      </c>
      <c r="I565" s="785">
        <f>'Demand Response Deemed Table'!F28</f>
        <v>0</v>
      </c>
      <c r="J565" s="785"/>
      <c r="K565" s="202"/>
      <c r="L565" s="202"/>
      <c r="M565" s="202"/>
      <c r="N565" s="202"/>
      <c r="O565" s="786">
        <f>'Demand Response Deemed Table'!I28</f>
        <v>0.27</v>
      </c>
      <c r="P565" s="786"/>
      <c r="Q565" s="787"/>
      <c r="R565" s="787"/>
      <c r="S565" s="787"/>
      <c r="T565" s="787"/>
      <c r="U565" s="788">
        <f t="shared" si="332"/>
        <v>0.27</v>
      </c>
      <c r="V565" s="788">
        <f t="shared" si="333"/>
        <v>0</v>
      </c>
      <c r="W565" s="788">
        <f t="shared" si="334"/>
        <v>0</v>
      </c>
      <c r="X565" s="23">
        <f>'Demand Response Deemed Table'!K28</f>
        <v>1</v>
      </c>
      <c r="Y565" s="23"/>
      <c r="Z565" s="23">
        <f>Y565+X565</f>
        <v>1</v>
      </c>
      <c r="AA565" s="912">
        <f>'Demand Response Deemed Table'!DG28</f>
        <v>0</v>
      </c>
      <c r="AB565" s="259">
        <f>'Demand Response Deemed Table'!L28</f>
        <v>149</v>
      </c>
      <c r="AC565" s="903">
        <f>AE565+AF565</f>
        <v>0</v>
      </c>
      <c r="AD565" s="903">
        <f>AG565+AH565</f>
        <v>0</v>
      </c>
      <c r="AE565" s="913">
        <f>'Demand Response Deemed Table'!DI11</f>
        <v>0</v>
      </c>
      <c r="AF565" s="208"/>
      <c r="AG565" s="208"/>
      <c r="AH565" s="208"/>
      <c r="AI565" s="1442" t="str">
        <f>'Demand Response Deemed Table'!M28</f>
        <v>per unit</v>
      </c>
      <c r="AJ565" s="676"/>
      <c r="AM565"/>
      <c r="AN565"/>
      <c r="AO565"/>
      <c r="AP565"/>
      <c r="AQ565"/>
      <c r="AR565"/>
      <c r="AS565"/>
      <c r="AT565"/>
      <c r="AU565"/>
      <c r="AV565"/>
      <c r="AW565"/>
      <c r="AX565" s="1355" t="str">
        <f t="shared" ref="AX565" si="340">G565</f>
        <v>Demand Response Heat Pump Water Heater Switch</v>
      </c>
      <c r="AY565" s="1378"/>
      <c r="AZ565" s="1446" t="str">
        <f t="shared" ref="AZ565" si="341">A565</f>
        <v>600401</v>
      </c>
      <c r="BA565" s="1300" t="s">
        <v>1303</v>
      </c>
      <c r="BB565" s="1300" t="s">
        <v>1303</v>
      </c>
      <c r="BC565" s="1300" t="s">
        <v>1303</v>
      </c>
      <c r="BD565" s="1300" t="s">
        <v>1303</v>
      </c>
      <c r="BE565" s="1306"/>
      <c r="BF565" s="1300" t="s">
        <v>1303</v>
      </c>
      <c r="BG565" s="1300" t="s">
        <v>1303</v>
      </c>
      <c r="BH565" s="1300" t="s">
        <v>1303</v>
      </c>
      <c r="BI565" s="1301" t="s">
        <v>1303</v>
      </c>
      <c r="BJ565" s="1305"/>
      <c r="BK565" s="1300" t="s">
        <v>1303</v>
      </c>
      <c r="BL565" s="1301" t="s">
        <v>1303</v>
      </c>
      <c r="BM565" s="1300" t="s">
        <v>1303</v>
      </c>
      <c r="BN565" s="1301" t="s">
        <v>1303</v>
      </c>
    </row>
    <row r="566" spans="1:66" s="41" customFormat="1">
      <c r="A566" s="51" t="str">
        <f>LEFT(B566,6)</f>
        <v>600402</v>
      </c>
      <c r="B566" s="1442" t="str">
        <f>'Demand Response Deemed Table'!C29</f>
        <v>600402_2024_12_</v>
      </c>
      <c r="C566" s="1378" t="str">
        <f>'Demand Response Deemed Table'!E29</f>
        <v>Demand Response Electric Resistance Water Heater Switch</v>
      </c>
      <c r="D566" s="1378"/>
      <c r="E566" s="1378"/>
      <c r="F566" s="1378"/>
      <c r="G566" s="1378" t="str">
        <f>'Demand Response Deemed Table'!E29</f>
        <v>Demand Response Electric Resistance Water Heater Switch</v>
      </c>
      <c r="H566" s="19" t="str">
        <f>'Demand Response Deemed Table'!D29</f>
        <v>DR</v>
      </c>
      <c r="I566" s="785">
        <f>'Demand Response Deemed Table'!F29</f>
        <v>0</v>
      </c>
      <c r="J566" s="785"/>
      <c r="K566" s="202"/>
      <c r="L566" s="202"/>
      <c r="M566" s="202"/>
      <c r="N566" s="202"/>
      <c r="O566" s="786">
        <f>'Demand Response Deemed Table'!I29</f>
        <v>0.22</v>
      </c>
      <c r="P566" s="786"/>
      <c r="Q566" s="787"/>
      <c r="R566" s="787"/>
      <c r="S566" s="787"/>
      <c r="T566" s="787"/>
      <c r="U566" s="788">
        <f t="shared" si="332"/>
        <v>0.22</v>
      </c>
      <c r="V566" s="788">
        <f t="shared" si="333"/>
        <v>0</v>
      </c>
      <c r="W566" s="788">
        <f t="shared" si="334"/>
        <v>0</v>
      </c>
      <c r="X566" s="23">
        <f>'Demand Response Deemed Table'!K29</f>
        <v>1</v>
      </c>
      <c r="Y566" s="23"/>
      <c r="Z566" s="23">
        <f>Y566+X566</f>
        <v>1</v>
      </c>
      <c r="AA566" s="912">
        <f>'Demand Response Deemed Table'!DG29</f>
        <v>0</v>
      </c>
      <c r="AB566" s="259">
        <f>'Demand Response Deemed Table'!L29</f>
        <v>149</v>
      </c>
      <c r="AC566" s="903">
        <f>AE566+AF566</f>
        <v>0</v>
      </c>
      <c r="AD566" s="903">
        <f>AG566+AH566</f>
        <v>0</v>
      </c>
      <c r="AE566" s="913">
        <f>'Demand Response Deemed Table'!DI12</f>
        <v>0</v>
      </c>
      <c r="AF566" s="208"/>
      <c r="AG566" s="208"/>
      <c r="AH566" s="208"/>
      <c r="AI566" s="1442" t="str">
        <f>'Demand Response Deemed Table'!M29</f>
        <v>per unit</v>
      </c>
      <c r="AJ566" s="676"/>
      <c r="AM566"/>
      <c r="AN566"/>
      <c r="AO566"/>
      <c r="AP566"/>
      <c r="AQ566"/>
      <c r="AR566"/>
      <c r="AS566"/>
      <c r="AT566"/>
      <c r="AU566"/>
      <c r="AV566"/>
      <c r="AW566"/>
      <c r="AX566" s="1355" t="str">
        <f t="shared" ref="AX566" si="342">G566</f>
        <v>Demand Response Electric Resistance Water Heater Switch</v>
      </c>
      <c r="AY566" s="1378"/>
      <c r="AZ566" s="1446" t="str">
        <f t="shared" ref="AZ566" si="343">A566</f>
        <v>600402</v>
      </c>
      <c r="BA566" s="1300" t="s">
        <v>1303</v>
      </c>
      <c r="BB566" s="1300" t="s">
        <v>1303</v>
      </c>
      <c r="BC566" s="1300" t="s">
        <v>1303</v>
      </c>
      <c r="BD566" s="1300" t="s">
        <v>1303</v>
      </c>
      <c r="BE566" s="1306"/>
      <c r="BF566" s="1300" t="s">
        <v>1303</v>
      </c>
      <c r="BG566" s="1300" t="s">
        <v>1303</v>
      </c>
      <c r="BH566" s="1300" t="s">
        <v>1303</v>
      </c>
      <c r="BI566" s="1301" t="s">
        <v>1303</v>
      </c>
      <c r="BJ566" s="1305"/>
      <c r="BK566" s="1300" t="s">
        <v>1303</v>
      </c>
      <c r="BL566" s="1301" t="s">
        <v>1303</v>
      </c>
      <c r="BM566" s="1300" t="s">
        <v>1303</v>
      </c>
      <c r="BN566" s="1301" t="s">
        <v>1303</v>
      </c>
    </row>
    <row r="567" spans="1:66" s="696" customFormat="1">
      <c r="A567" s="2958" t="str">
        <f>LEFT(B567,6)</f>
        <v>600500</v>
      </c>
      <c r="B567" s="2233" t="str">
        <f>'Demand Response Deemed Table'!C38</f>
        <v>600500_2024_12_</v>
      </c>
      <c r="C567" s="2724" t="str">
        <f>'Demand Response Deemed Table'!E38</f>
        <v>Demand Response Electric Vehicle Charger</v>
      </c>
      <c r="D567" s="2724"/>
      <c r="E567" s="2724"/>
      <c r="F567" s="2724"/>
      <c r="G567" s="2724" t="str">
        <f>'Demand Response Deemed Table'!E38</f>
        <v>Demand Response Electric Vehicle Charger</v>
      </c>
      <c r="H567" s="2554" t="str">
        <f>'Demand Response Deemed Table'!D38</f>
        <v>DR</v>
      </c>
      <c r="I567" s="3840">
        <f>'Demand Response Deemed Table'!F38</f>
        <v>0</v>
      </c>
      <c r="J567" s="3840"/>
      <c r="K567" s="3251"/>
      <c r="L567" s="3251"/>
      <c r="M567" s="3251"/>
      <c r="N567" s="3251"/>
      <c r="O567" s="3841">
        <f>'Demand Response Deemed Table'!I38</f>
        <v>0.16</v>
      </c>
      <c r="P567" s="3841"/>
      <c r="Q567" s="3842"/>
      <c r="R567" s="3842"/>
      <c r="S567" s="3842"/>
      <c r="T567" s="3842"/>
      <c r="U567" s="3843">
        <f t="shared" si="332"/>
        <v>0.16</v>
      </c>
      <c r="V567" s="3843">
        <f t="shared" si="333"/>
        <v>0</v>
      </c>
      <c r="W567" s="3843">
        <f t="shared" si="334"/>
        <v>0</v>
      </c>
      <c r="X567" s="2846">
        <f>'Demand Response Deemed Table'!K38</f>
        <v>1</v>
      </c>
      <c r="Y567" s="2846"/>
      <c r="Z567" s="2846">
        <f>Y567+X567</f>
        <v>1</v>
      </c>
      <c r="AA567" s="3966" t="str">
        <f>'Demand Response Deemed Table'!DG38</f>
        <v/>
      </c>
      <c r="AB567" s="3878">
        <f>'Demand Response Deemed Table'!L38</f>
        <v>0</v>
      </c>
      <c r="AC567" s="3845">
        <f>AE567+AF567</f>
        <v>0</v>
      </c>
      <c r="AD567" s="3845">
        <f>AG567+AH567</f>
        <v>0</v>
      </c>
      <c r="AE567" s="3967">
        <f>'Demand Response Deemed Table'!DI12</f>
        <v>0</v>
      </c>
      <c r="AF567" s="3846"/>
      <c r="AG567" s="3846"/>
      <c r="AH567" s="3846"/>
      <c r="AI567" s="2233" t="str">
        <f>'Demand Response Deemed Table'!M38</f>
        <v>per unit</v>
      </c>
      <c r="AJ567" s="2724"/>
      <c r="AX567" s="3849" t="str">
        <f t="shared" si="338"/>
        <v>Demand Response Electric Vehicle Charger</v>
      </c>
      <c r="AY567" s="2724"/>
      <c r="AZ567" s="3850" t="str">
        <f t="shared" si="339"/>
        <v>600500</v>
      </c>
      <c r="BA567" s="3866" t="s">
        <v>1303</v>
      </c>
      <c r="BB567" s="3866" t="s">
        <v>1303</v>
      </c>
      <c r="BC567" s="3866" t="s">
        <v>1303</v>
      </c>
      <c r="BD567" s="3866" t="s">
        <v>1303</v>
      </c>
      <c r="BE567" s="3853"/>
      <c r="BF567" s="3866" t="s">
        <v>1303</v>
      </c>
      <c r="BG567" s="3866" t="s">
        <v>1303</v>
      </c>
      <c r="BH567" s="3866" t="s">
        <v>1303</v>
      </c>
      <c r="BI567" s="3867" t="s">
        <v>1303</v>
      </c>
      <c r="BJ567" s="3853"/>
      <c r="BK567" s="3866" t="s">
        <v>1303</v>
      </c>
      <c r="BL567" s="3867" t="s">
        <v>1303</v>
      </c>
      <c r="BM567" s="3866" t="s">
        <v>1303</v>
      </c>
      <c r="BN567" s="3867" t="s">
        <v>1303</v>
      </c>
    </row>
    <row r="568" spans="1:66" s="696" customFormat="1">
      <c r="A568" s="2958" t="str">
        <f>LEFT(B568,6)</f>
        <v>600600</v>
      </c>
      <c r="B568" s="2233" t="str">
        <f>'Demand Response Deemed Table'!C48</f>
        <v>600600_2024_12_</v>
      </c>
      <c r="C568" s="3860" t="str">
        <f>'Demand Response Deemed Table'!E48</f>
        <v>Behavioral Demand Response</v>
      </c>
      <c r="D568" s="3860"/>
      <c r="E568" s="2724"/>
      <c r="F568" s="2724"/>
      <c r="G568" s="2724" t="str">
        <f>'Demand Response Deemed Table'!E48</f>
        <v>Behavioral Demand Response</v>
      </c>
      <c r="H568" s="2554" t="str">
        <f>'Demand Response Deemed Table'!D48</f>
        <v>DR</v>
      </c>
      <c r="I568" s="3840">
        <f>'Demand Response Deemed Table'!F48</f>
        <v>0</v>
      </c>
      <c r="J568" s="3840"/>
      <c r="K568" s="3251"/>
      <c r="L568" s="3251"/>
      <c r="M568" s="3251"/>
      <c r="N568" s="3251"/>
      <c r="O568" s="3841" t="str">
        <f>'Demand Response Deemed Table'!I48</f>
        <v>-</v>
      </c>
      <c r="P568" s="3841"/>
      <c r="Q568" s="3842"/>
      <c r="R568" s="3842"/>
      <c r="S568" s="3842"/>
      <c r="T568" s="3842"/>
      <c r="U568" s="3843" t="str">
        <f t="shared" si="332"/>
        <v>-</v>
      </c>
      <c r="V568" s="3843">
        <f t="shared" si="333"/>
        <v>0</v>
      </c>
      <c r="W568" s="3843">
        <f t="shared" si="334"/>
        <v>0</v>
      </c>
      <c r="X568" s="2846">
        <f>'Demand Response Deemed Table'!K48</f>
        <v>1</v>
      </c>
      <c r="Y568" s="2846"/>
      <c r="Z568" s="2846">
        <f>Y568+X568</f>
        <v>1</v>
      </c>
      <c r="AA568" s="3966" t="str">
        <f>'Demand Response Deemed Table'!DG48</f>
        <v/>
      </c>
      <c r="AB568" s="3878">
        <f>'Demand Response Deemed Table'!L48</f>
        <v>0</v>
      </c>
      <c r="AC568" s="3845">
        <f>AE568+AF568</f>
        <v>0</v>
      </c>
      <c r="AD568" s="3845">
        <f>AG568+AH568</f>
        <v>0</v>
      </c>
      <c r="AE568" s="3967">
        <f>'Demand Response Deemed Table'!DI13</f>
        <v>0</v>
      </c>
      <c r="AF568" s="3846"/>
      <c r="AG568" s="3846"/>
      <c r="AH568" s="3846"/>
      <c r="AI568" s="2233" t="str">
        <f>'Demand Response Deemed Table'!M48</f>
        <v>per unit</v>
      </c>
      <c r="AJ568" s="2724"/>
      <c r="AX568" s="3849" t="str">
        <f t="shared" ref="AX568" si="344">G568</f>
        <v>Behavioral Demand Response</v>
      </c>
      <c r="AY568" s="2724"/>
      <c r="AZ568" s="3850" t="str">
        <f t="shared" ref="AZ568" si="345">A568</f>
        <v>600600</v>
      </c>
      <c r="BA568" s="3866" t="s">
        <v>1303</v>
      </c>
      <c r="BB568" s="3866" t="s">
        <v>1303</v>
      </c>
      <c r="BC568" s="3866" t="s">
        <v>1303</v>
      </c>
      <c r="BD568" s="3866" t="s">
        <v>1303</v>
      </c>
      <c r="BE568" s="3853"/>
      <c r="BF568" s="3866" t="s">
        <v>1303</v>
      </c>
      <c r="BG568" s="3866" t="s">
        <v>1303</v>
      </c>
      <c r="BH568" s="3866" t="s">
        <v>1303</v>
      </c>
      <c r="BI568" s="3867" t="s">
        <v>1303</v>
      </c>
      <c r="BJ568" s="3853"/>
      <c r="BK568" s="3866" t="s">
        <v>1303</v>
      </c>
      <c r="BL568" s="3867" t="s">
        <v>1303</v>
      </c>
      <c r="BM568" s="3866" t="s">
        <v>1303</v>
      </c>
      <c r="BN568" s="3867" t="s">
        <v>1303</v>
      </c>
    </row>
    <row r="569" spans="1:66">
      <c r="A569" s="51" t="str">
        <f t="shared" si="331"/>
        <v>800050</v>
      </c>
      <c r="B569" s="1442" t="str">
        <f>'BUS Deemed Savings Table'!C9</f>
        <v>800050_2024_12_</v>
      </c>
      <c r="C569" s="1378" t="str">
        <f>'BUS Deemed Savings Table'!G9</f>
        <v>Lighting BUS</v>
      </c>
      <c r="D569" s="1378"/>
      <c r="E569" s="1378"/>
      <c r="F569" s="1378"/>
      <c r="G569" s="1378" t="str">
        <f>'BUS Deemed Savings Table'!E9</f>
        <v>LED &lt;=11 Watt Lamp Replacing Interior Halogen A 28-52 Watt Lamp</v>
      </c>
      <c r="H569" s="19" t="str">
        <f>'BUS Deemed Savings Table'!D9</f>
        <v>BSS/MFIE</v>
      </c>
      <c r="I569" s="785">
        <f>'BUS Deemed Savings Table'!F9</f>
        <v>20.75</v>
      </c>
      <c r="J569" s="785"/>
      <c r="K569" s="202"/>
      <c r="L569" s="202"/>
      <c r="M569" s="202"/>
      <c r="N569" s="202"/>
      <c r="O569" s="786">
        <f>'BUS Deemed Savings Table'!I9</f>
        <v>4.0679999999999996E-3</v>
      </c>
      <c r="P569" s="786"/>
      <c r="Q569" s="787"/>
      <c r="R569" s="787"/>
      <c r="S569" s="787"/>
      <c r="T569" s="787"/>
      <c r="U569" s="788">
        <f t="shared" si="332"/>
        <v>0</v>
      </c>
      <c r="V569" s="788">
        <f t="shared" si="333"/>
        <v>4.0679999999999996E-3</v>
      </c>
      <c r="W569" s="788">
        <f t="shared" si="334"/>
        <v>0</v>
      </c>
      <c r="X569" s="23">
        <f>'BUS Deemed Savings Table'!J9</f>
        <v>10</v>
      </c>
      <c r="Y569" s="23"/>
      <c r="Z569" s="23">
        <f t="shared" si="335"/>
        <v>10</v>
      </c>
      <c r="AA569" s="18">
        <f>'BUS Deemed Savings Table'!DG9</f>
        <v>3.6574447966762897</v>
      </c>
      <c r="AB569" s="259">
        <f>'BUS Deemed Savings Table'!K9</f>
        <v>3.26</v>
      </c>
      <c r="AC569" s="790">
        <f t="shared" si="336"/>
        <v>11.923270037164704</v>
      </c>
      <c r="AD569" s="790">
        <f t="shared" si="337"/>
        <v>0</v>
      </c>
      <c r="AE569" s="610">
        <f>'BUS Deemed Savings Table'!DI9</f>
        <v>11.923270037164704</v>
      </c>
      <c r="AF569" s="208"/>
      <c r="AG569" s="208"/>
      <c r="AH569" s="208"/>
      <c r="AI569" s="1442" t="str">
        <f>'BUS Deemed Savings Table'!L9</f>
        <v>per measure</v>
      </c>
      <c r="AJ569" s="71"/>
      <c r="AX569" s="1355" t="str">
        <f t="shared" si="338"/>
        <v>LED &lt;=11 Watt Lamp Replacing Interior Halogen A 28-52 Watt Lamp</v>
      </c>
      <c r="AY569" s="1378"/>
      <c r="AZ569" s="1446" t="str">
        <f t="shared" si="339"/>
        <v>800050</v>
      </c>
      <c r="BA569" s="1300" t="s">
        <v>1303</v>
      </c>
      <c r="BB569" s="1300" t="s">
        <v>1303</v>
      </c>
      <c r="BC569" s="1300" t="s">
        <v>1303</v>
      </c>
      <c r="BD569" s="1300" t="s">
        <v>1303</v>
      </c>
      <c r="BE569" s="1305"/>
      <c r="BF569" s="1300" t="s">
        <v>1303</v>
      </c>
      <c r="BG569" s="1300" t="s">
        <v>1303</v>
      </c>
      <c r="BH569" s="1300" t="s">
        <v>1303</v>
      </c>
      <c r="BI569" s="1301" t="s">
        <v>1303</v>
      </c>
      <c r="BJ569" s="1305"/>
      <c r="BK569" s="1300" t="s">
        <v>1303</v>
      </c>
      <c r="BL569" s="1301" t="s">
        <v>1303</v>
      </c>
      <c r="BM569" s="1300" t="s">
        <v>1303</v>
      </c>
      <c r="BN569" s="1301" t="s">
        <v>1303</v>
      </c>
    </row>
    <row r="570" spans="1:66">
      <c r="A570" s="51" t="str">
        <f t="shared" si="331"/>
        <v>800100</v>
      </c>
      <c r="B570" s="1442" t="str">
        <f>'BUS Deemed Savings Table'!C10</f>
        <v>800100_2024_12_</v>
      </c>
      <c r="C570" s="1378" t="str">
        <f>'BUS Deemed Savings Table'!G10</f>
        <v>Lighting BUS</v>
      </c>
      <c r="D570" s="1378"/>
      <c r="E570" s="1378"/>
      <c r="F570" s="1378"/>
      <c r="G570" s="1378" t="str">
        <f>'BUS Deemed Savings Table'!E10</f>
        <v>LED 7-20 Watt Lamp Replacing Interior Halogen 53-70 Watt Lamp</v>
      </c>
      <c r="H570" s="19" t="str">
        <f>'BUS Deemed Savings Table'!D10</f>
        <v>BSS/MFIE</v>
      </c>
      <c r="I570" s="785">
        <f>'BUS Deemed Savings Table'!F10</f>
        <v>77.77</v>
      </c>
      <c r="J570" s="785"/>
      <c r="K570" s="202"/>
      <c r="L570" s="202"/>
      <c r="M570" s="202"/>
      <c r="N570" s="202"/>
      <c r="O570" s="786">
        <f>'BUS Deemed Savings Table'!I10</f>
        <v>1.5245999999999999E-2</v>
      </c>
      <c r="P570" s="786"/>
      <c r="Q570" s="787"/>
      <c r="R570" s="787"/>
      <c r="S570" s="787"/>
      <c r="T570" s="787"/>
      <c r="U570" s="788">
        <f t="shared" si="332"/>
        <v>0</v>
      </c>
      <c r="V570" s="788">
        <f t="shared" si="333"/>
        <v>1.5245999999999999E-2</v>
      </c>
      <c r="W570" s="788">
        <f t="shared" si="334"/>
        <v>0</v>
      </c>
      <c r="X570" s="23">
        <f>'BUS Deemed Savings Table'!J10</f>
        <v>10</v>
      </c>
      <c r="Y570" s="23"/>
      <c r="Z570" s="23">
        <f t="shared" si="335"/>
        <v>10</v>
      </c>
      <c r="AA570" s="18">
        <f>'BUS Deemed Savings Table'!DG10</f>
        <v>13.707926835542892</v>
      </c>
      <c r="AB570" s="259">
        <f>'BUS Deemed Savings Table'!K10</f>
        <v>3.26</v>
      </c>
      <c r="AC570" s="790">
        <f t="shared" si="336"/>
        <v>44.687841483869825</v>
      </c>
      <c r="AD570" s="790">
        <f t="shared" si="337"/>
        <v>0</v>
      </c>
      <c r="AE570" s="610">
        <f>'BUS Deemed Savings Table'!DI10</f>
        <v>44.687841483869825</v>
      </c>
      <c r="AF570" s="208"/>
      <c r="AG570" s="208"/>
      <c r="AH570" s="208"/>
      <c r="AI570" s="1442" t="str">
        <f>'BUS Deemed Savings Table'!L10</f>
        <v>per measure</v>
      </c>
      <c r="AJ570" s="71"/>
      <c r="AX570" s="1355" t="str">
        <f t="shared" si="338"/>
        <v>LED 7-20 Watt Lamp Replacing Interior Halogen 53-70 Watt Lamp</v>
      </c>
      <c r="AY570" s="1378"/>
      <c r="AZ570" s="1446" t="str">
        <f t="shared" si="339"/>
        <v>800100</v>
      </c>
      <c r="BA570" s="1300" t="s">
        <v>1303</v>
      </c>
      <c r="BB570" s="1300" t="s">
        <v>1303</v>
      </c>
      <c r="BC570" s="1300" t="s">
        <v>1303</v>
      </c>
      <c r="BD570" s="1300" t="s">
        <v>1303</v>
      </c>
      <c r="BE570" s="1305"/>
      <c r="BF570" s="1300" t="s">
        <v>1303</v>
      </c>
      <c r="BG570" s="1300" t="s">
        <v>1303</v>
      </c>
      <c r="BH570" s="1300" t="s">
        <v>1303</v>
      </c>
      <c r="BI570" s="1301" t="s">
        <v>1303</v>
      </c>
      <c r="BJ570" s="1305"/>
      <c r="BK570" s="1300" t="s">
        <v>1303</v>
      </c>
      <c r="BL570" s="1301" t="s">
        <v>1303</v>
      </c>
      <c r="BM570" s="1300" t="s">
        <v>1303</v>
      </c>
      <c r="BN570" s="1301" t="s">
        <v>1303</v>
      </c>
    </row>
    <row r="571" spans="1:66">
      <c r="A571" s="51" t="str">
        <f t="shared" si="331"/>
        <v>800150</v>
      </c>
      <c r="B571" s="1442" t="str">
        <f>'BUS Deemed Savings Table'!C11</f>
        <v>800150_2024_12_</v>
      </c>
      <c r="C571" s="1378" t="str">
        <f>'BUS Deemed Savings Table'!G11</f>
        <v>Lighting BUS</v>
      </c>
      <c r="D571" s="1378"/>
      <c r="E571" s="1378"/>
      <c r="F571" s="1378"/>
      <c r="G571" s="1378" t="str">
        <f>'BUS Deemed Savings Table'!E11</f>
        <v>LED &lt;=14 Watt Lamp Replacing Interior Halogen BR/R 45-65 Watt Lamp</v>
      </c>
      <c r="H571" s="19" t="str">
        <f>'BUS Deemed Savings Table'!D11</f>
        <v>BSS/MFIE</v>
      </c>
      <c r="I571" s="785">
        <f>'BUS Deemed Savings Table'!F11</f>
        <v>27.67</v>
      </c>
      <c r="J571" s="785"/>
      <c r="K571" s="202"/>
      <c r="L571" s="202"/>
      <c r="M571" s="202"/>
      <c r="N571" s="202"/>
      <c r="O571" s="786">
        <f>'BUS Deemed Savings Table'!I11</f>
        <v>5.424E-3</v>
      </c>
      <c r="P571" s="786"/>
      <c r="Q571" s="787"/>
      <c r="R571" s="787"/>
      <c r="S571" s="787"/>
      <c r="T571" s="787"/>
      <c r="U571" s="788">
        <f t="shared" si="332"/>
        <v>0</v>
      </c>
      <c r="V571" s="788">
        <f t="shared" si="333"/>
        <v>5.424E-3</v>
      </c>
      <c r="W571" s="788">
        <f t="shared" si="334"/>
        <v>0</v>
      </c>
      <c r="X571" s="23">
        <f>'BUS Deemed Savings Table'!J11</f>
        <v>10</v>
      </c>
      <c r="Y571" s="23"/>
      <c r="Z571" s="23">
        <f t="shared" si="335"/>
        <v>10</v>
      </c>
      <c r="AA571" s="18">
        <f>'BUS Deemed Savings Table'!DG11</f>
        <v>4.8771806035678527</v>
      </c>
      <c r="AB571" s="259">
        <f>'BUS Deemed Savings Table'!K11</f>
        <v>3.26</v>
      </c>
      <c r="AC571" s="790">
        <f t="shared" si="336"/>
        <v>15.899608767631198</v>
      </c>
      <c r="AD571" s="790">
        <f t="shared" si="337"/>
        <v>0</v>
      </c>
      <c r="AE571" s="610">
        <f>'BUS Deemed Savings Table'!DI11</f>
        <v>15.899608767631198</v>
      </c>
      <c r="AF571" s="208"/>
      <c r="AG571" s="208"/>
      <c r="AH571" s="208"/>
      <c r="AI571" s="1442" t="str">
        <f>'BUS Deemed Savings Table'!L11</f>
        <v>per measure</v>
      </c>
      <c r="AJ571" s="71"/>
      <c r="AX571" s="1355" t="str">
        <f t="shared" si="338"/>
        <v>LED &lt;=14 Watt Lamp Replacing Interior Halogen BR/R 45-65 Watt Lamp</v>
      </c>
      <c r="AY571" s="1378"/>
      <c r="AZ571" s="1446" t="str">
        <f t="shared" si="339"/>
        <v>800150</v>
      </c>
      <c r="BA571" s="1300" t="s">
        <v>1303</v>
      </c>
      <c r="BB571" s="1300" t="s">
        <v>1303</v>
      </c>
      <c r="BC571" s="1300" t="s">
        <v>1303</v>
      </c>
      <c r="BD571" s="1300" t="s">
        <v>1303</v>
      </c>
      <c r="BE571" s="1305"/>
      <c r="BF571" s="1300" t="s">
        <v>1303</v>
      </c>
      <c r="BG571" s="1300" t="s">
        <v>1303</v>
      </c>
      <c r="BH571" s="1300" t="s">
        <v>1303</v>
      </c>
      <c r="BI571" s="1301" t="s">
        <v>1303</v>
      </c>
      <c r="BJ571" s="1305"/>
      <c r="BK571" s="1300" t="s">
        <v>1303</v>
      </c>
      <c r="BL571" s="1301" t="s">
        <v>1303</v>
      </c>
      <c r="BM571" s="1300" t="s">
        <v>1303</v>
      </c>
      <c r="BN571" s="1301" t="s">
        <v>1303</v>
      </c>
    </row>
    <row r="572" spans="1:66">
      <c r="A572" s="51" t="str">
        <f t="shared" si="331"/>
        <v>800200</v>
      </c>
      <c r="B572" s="1442" t="str">
        <f>'BUS Deemed Savings Table'!C12</f>
        <v>800200_2024_12_</v>
      </c>
      <c r="C572" s="1378" t="str">
        <f>'BUS Deemed Savings Table'!G12</f>
        <v>Lighting BUS</v>
      </c>
      <c r="D572" s="1378"/>
      <c r="E572" s="1378"/>
      <c r="F572" s="1378"/>
      <c r="G572" s="1378" t="str">
        <f>'BUS Deemed Savings Table'!E12</f>
        <v>LED &lt;=13 Watt Lamp Replacing Interior Halogen MR-16 35-50 Watt Lamp</v>
      </c>
      <c r="H572" s="19" t="str">
        <f>'BUS Deemed Savings Table'!D12</f>
        <v>BSS/MFIE</v>
      </c>
      <c r="I572" s="785">
        <f>'BUS Deemed Savings Table'!F12</f>
        <v>175.07</v>
      </c>
      <c r="J572" s="785"/>
      <c r="K572" s="202"/>
      <c r="L572" s="202"/>
      <c r="M572" s="202"/>
      <c r="N572" s="202"/>
      <c r="O572" s="786">
        <f>'BUS Deemed Savings Table'!I12</f>
        <v>3.4320999999999997E-2</v>
      </c>
      <c r="P572" s="786"/>
      <c r="Q572" s="787"/>
      <c r="R572" s="787"/>
      <c r="S572" s="787"/>
      <c r="T572" s="787"/>
      <c r="U572" s="788">
        <f t="shared" si="332"/>
        <v>0</v>
      </c>
      <c r="V572" s="788">
        <f t="shared" si="333"/>
        <v>3.4320999999999997E-2</v>
      </c>
      <c r="W572" s="788">
        <f t="shared" si="334"/>
        <v>0</v>
      </c>
      <c r="X572" s="23">
        <f>'BUS Deemed Savings Table'!J12</f>
        <v>10</v>
      </c>
      <c r="Y572" s="23"/>
      <c r="Z572" s="23">
        <f t="shared" si="335"/>
        <v>10</v>
      </c>
      <c r="AA572" s="18">
        <f>'BUS Deemed Savings Table'!DG12</f>
        <v>30.858258339957494</v>
      </c>
      <c r="AB572" s="259">
        <f>'BUS Deemed Savings Table'!K12</f>
        <v>3.26</v>
      </c>
      <c r="AC572" s="790">
        <f t="shared" si="336"/>
        <v>100.59792218826142</v>
      </c>
      <c r="AD572" s="790">
        <f t="shared" si="337"/>
        <v>0</v>
      </c>
      <c r="AE572" s="610">
        <f>'BUS Deemed Savings Table'!DI12</f>
        <v>100.59792218826142</v>
      </c>
      <c r="AF572" s="208"/>
      <c r="AG572" s="208"/>
      <c r="AH572" s="208"/>
      <c r="AI572" s="1442" t="str">
        <f>'BUS Deemed Savings Table'!L12</f>
        <v>per measure</v>
      </c>
      <c r="AJ572" s="71"/>
      <c r="AX572" s="1355" t="str">
        <f t="shared" si="338"/>
        <v>LED &lt;=13 Watt Lamp Replacing Interior Halogen MR-16 35-50 Watt Lamp</v>
      </c>
      <c r="AY572" s="1378"/>
      <c r="AZ572" s="1446" t="str">
        <f t="shared" si="339"/>
        <v>800200</v>
      </c>
      <c r="BA572" s="1300" t="s">
        <v>1303</v>
      </c>
      <c r="BB572" s="1300" t="s">
        <v>1303</v>
      </c>
      <c r="BC572" s="1300" t="s">
        <v>1303</v>
      </c>
      <c r="BD572" s="1300" t="s">
        <v>1303</v>
      </c>
      <c r="BE572" s="1305"/>
      <c r="BF572" s="1300" t="s">
        <v>1303</v>
      </c>
      <c r="BG572" s="1300" t="s">
        <v>1303</v>
      </c>
      <c r="BH572" s="1300" t="s">
        <v>1303</v>
      </c>
      <c r="BI572" s="1301" t="s">
        <v>1303</v>
      </c>
      <c r="BJ572" s="1305"/>
      <c r="BK572" s="1300" t="s">
        <v>1303</v>
      </c>
      <c r="BL572" s="1301" t="s">
        <v>1303</v>
      </c>
      <c r="BM572" s="1300" t="s">
        <v>1303</v>
      </c>
      <c r="BN572" s="1301" t="s">
        <v>1303</v>
      </c>
    </row>
    <row r="573" spans="1:66">
      <c r="A573" s="51" t="str">
        <f t="shared" si="331"/>
        <v>800250</v>
      </c>
      <c r="B573" s="1442" t="str">
        <f>'BUS Deemed Savings Table'!C13</f>
        <v>800250_2024_12_</v>
      </c>
      <c r="C573" s="1378" t="str">
        <f>'BUS Deemed Savings Table'!G13</f>
        <v>Lighting BUS</v>
      </c>
      <c r="D573" s="1378"/>
      <c r="E573" s="1378"/>
      <c r="F573" s="1378"/>
      <c r="G573" s="1378" t="str">
        <f>'BUS Deemed Savings Table'!E13</f>
        <v xml:space="preserve">LED &lt;=20 Watt Lamp Replacing Interior Halogen PAR 48-90 Watt Lamp  </v>
      </c>
      <c r="H573" s="19" t="str">
        <f>'BUS Deemed Savings Table'!D13</f>
        <v>BSS/MFIE</v>
      </c>
      <c r="I573" s="785">
        <f>'BUS Deemed Savings Table'!F13</f>
        <v>40.340000000000003</v>
      </c>
      <c r="J573" s="785"/>
      <c r="K573" s="202"/>
      <c r="L573" s="202"/>
      <c r="M573" s="202"/>
      <c r="N573" s="202"/>
      <c r="O573" s="786">
        <f>'BUS Deemed Savings Table'!I13</f>
        <v>7.9080000000000001E-3</v>
      </c>
      <c r="P573" s="786"/>
      <c r="Q573" s="787"/>
      <c r="R573" s="787"/>
      <c r="S573" s="787"/>
      <c r="T573" s="787"/>
      <c r="U573" s="788">
        <f t="shared" si="332"/>
        <v>0</v>
      </c>
      <c r="V573" s="788">
        <f t="shared" si="333"/>
        <v>7.9080000000000001E-3</v>
      </c>
      <c r="W573" s="788">
        <f t="shared" si="334"/>
        <v>0</v>
      </c>
      <c r="X573" s="23">
        <f>'BUS Deemed Savings Table'!J13</f>
        <v>10</v>
      </c>
      <c r="Y573" s="23"/>
      <c r="Z573" s="23">
        <f t="shared" si="335"/>
        <v>10</v>
      </c>
      <c r="AA573" s="18">
        <f>'BUS Deemed Savings Table'!DG13</f>
        <v>7.1104252095383877</v>
      </c>
      <c r="AB573" s="259">
        <f>'BUS Deemed Savings Table'!K13</f>
        <v>3.26</v>
      </c>
      <c r="AC573" s="790">
        <f t="shared" si="336"/>
        <v>23.179986183095142</v>
      </c>
      <c r="AD573" s="790">
        <f t="shared" si="337"/>
        <v>0</v>
      </c>
      <c r="AE573" s="610">
        <f>'BUS Deemed Savings Table'!DI13</f>
        <v>23.179986183095142</v>
      </c>
      <c r="AF573" s="208"/>
      <c r="AG573" s="208"/>
      <c r="AH573" s="208"/>
      <c r="AI573" s="1442" t="str">
        <f>'BUS Deemed Savings Table'!L13</f>
        <v>per measure</v>
      </c>
      <c r="AJ573" s="71"/>
      <c r="AX573" s="1355" t="str">
        <f t="shared" si="338"/>
        <v xml:space="preserve">LED &lt;=20 Watt Lamp Replacing Interior Halogen PAR 48-90 Watt Lamp  </v>
      </c>
      <c r="AY573" s="1378"/>
      <c r="AZ573" s="1446" t="str">
        <f t="shared" si="339"/>
        <v>800250</v>
      </c>
      <c r="BA573" s="1300" t="s">
        <v>1303</v>
      </c>
      <c r="BB573" s="1300" t="s">
        <v>1303</v>
      </c>
      <c r="BC573" s="1300" t="s">
        <v>1303</v>
      </c>
      <c r="BD573" s="1300" t="s">
        <v>1303</v>
      </c>
      <c r="BE573" s="1305"/>
      <c r="BF573" s="1300" t="s">
        <v>1303</v>
      </c>
      <c r="BG573" s="1300" t="s">
        <v>1303</v>
      </c>
      <c r="BH573" s="1300" t="s">
        <v>1303</v>
      </c>
      <c r="BI573" s="1301" t="s">
        <v>1303</v>
      </c>
      <c r="BJ573" s="1305"/>
      <c r="BK573" s="1300" t="s">
        <v>1303</v>
      </c>
      <c r="BL573" s="1301" t="s">
        <v>1303</v>
      </c>
      <c r="BM573" s="1300" t="s">
        <v>1303</v>
      </c>
      <c r="BN573" s="1301" t="s">
        <v>1303</v>
      </c>
    </row>
    <row r="574" spans="1:66">
      <c r="A574" s="51" t="str">
        <f t="shared" si="331"/>
        <v>800300</v>
      </c>
      <c r="B574" s="1442" t="str">
        <f>'BUS Deemed Savings Table'!C14</f>
        <v>800300_2024_12_</v>
      </c>
      <c r="C574" s="1378" t="str">
        <f>'BUS Deemed Savings Table'!G14</f>
        <v>Lighting BUS</v>
      </c>
      <c r="D574" s="1378"/>
      <c r="E574" s="1378"/>
      <c r="F574" s="1378"/>
      <c r="G574" s="1378" t="str">
        <f>'BUS Deemed Savings Table'!E14</f>
        <v>LED &lt;=80 Watt Lamp or Fixture Replacing Interior HID 100-175 Watt Lamp or Fixture</v>
      </c>
      <c r="H574" s="19" t="str">
        <f>'BUS Deemed Savings Table'!D14</f>
        <v>BSS/MFIE</v>
      </c>
      <c r="I574" s="785">
        <f>'BUS Deemed Savings Table'!F14</f>
        <v>716.61</v>
      </c>
      <c r="J574" s="785"/>
      <c r="K574" s="202"/>
      <c r="L574" s="202"/>
      <c r="M574" s="202"/>
      <c r="N574" s="202"/>
      <c r="O574" s="786">
        <f>'BUS Deemed Savings Table'!I14</f>
        <v>0.140486</v>
      </c>
      <c r="P574" s="786"/>
      <c r="Q574" s="787"/>
      <c r="R574" s="787"/>
      <c r="S574" s="787"/>
      <c r="T574" s="787"/>
      <c r="U574" s="788">
        <f t="shared" si="332"/>
        <v>0</v>
      </c>
      <c r="V574" s="788">
        <f t="shared" si="333"/>
        <v>0</v>
      </c>
      <c r="W574" s="788">
        <f t="shared" si="334"/>
        <v>0.140486</v>
      </c>
      <c r="X574" s="23">
        <f>'BUS Deemed Savings Table'!J14</f>
        <v>15</v>
      </c>
      <c r="Y574" s="23"/>
      <c r="Z574" s="23">
        <f t="shared" si="335"/>
        <v>15</v>
      </c>
      <c r="AA574" s="18">
        <f>'BUS Deemed Savings Table'!DG14</f>
        <v>8.1013171644147945</v>
      </c>
      <c r="AB574" s="259">
        <f>'BUS Deemed Savings Table'!K14</f>
        <v>68</v>
      </c>
      <c r="AC574" s="790">
        <f t="shared" si="336"/>
        <v>550.88956718020597</v>
      </c>
      <c r="AD574" s="790">
        <f t="shared" si="337"/>
        <v>0</v>
      </c>
      <c r="AE574" s="610">
        <f>'BUS Deemed Savings Table'!DI14</f>
        <v>550.88956718020597</v>
      </c>
      <c r="AF574" s="208"/>
      <c r="AG574" s="208"/>
      <c r="AH574" s="208"/>
      <c r="AI574" s="1442" t="str">
        <f>'BUS Deemed Savings Table'!L14</f>
        <v>per measure</v>
      </c>
      <c r="AJ574" s="71"/>
      <c r="AX574" s="1355" t="str">
        <f t="shared" si="338"/>
        <v>LED &lt;=80 Watt Lamp or Fixture Replacing Interior HID 100-175 Watt Lamp or Fixture</v>
      </c>
      <c r="AY574" s="1378"/>
      <c r="AZ574" s="1446" t="str">
        <f t="shared" si="339"/>
        <v>800300</v>
      </c>
      <c r="BA574" s="1300" t="s">
        <v>1303</v>
      </c>
      <c r="BB574" s="1300" t="s">
        <v>1303</v>
      </c>
      <c r="BC574" s="1300" t="s">
        <v>1303</v>
      </c>
      <c r="BD574" s="1300" t="s">
        <v>1303</v>
      </c>
      <c r="BE574" s="1305"/>
      <c r="BF574" s="1300" t="s">
        <v>1303</v>
      </c>
      <c r="BG574" s="1300" t="s">
        <v>1303</v>
      </c>
      <c r="BH574" s="1300" t="s">
        <v>1303</v>
      </c>
      <c r="BI574" s="1301" t="s">
        <v>1303</v>
      </c>
      <c r="BJ574" s="1305"/>
      <c r="BK574" s="1300" t="s">
        <v>1303</v>
      </c>
      <c r="BL574" s="1301" t="s">
        <v>1303</v>
      </c>
      <c r="BM574" s="1300" t="s">
        <v>1303</v>
      </c>
      <c r="BN574" s="1301" t="s">
        <v>1303</v>
      </c>
    </row>
    <row r="575" spans="1:66">
      <c r="A575" s="51" t="str">
        <f t="shared" si="331"/>
        <v>800350</v>
      </c>
      <c r="B575" s="1442" t="str">
        <f>'BUS Deemed Savings Table'!C15</f>
        <v>800350_2024_12_</v>
      </c>
      <c r="C575" s="1378" t="str">
        <f>'BUS Deemed Savings Table'!G15</f>
        <v>Lighting BUS</v>
      </c>
      <c r="D575" s="1378"/>
      <c r="E575" s="1378"/>
      <c r="F575" s="1378"/>
      <c r="G575" s="1378" t="str">
        <f>'BUS Deemed Savings Table'!E15</f>
        <v>LED 62 - 130 Watt Lamp or Fixture Replacing Interior HID 176-300 Watt Lamp or Fixture</v>
      </c>
      <c r="H575" s="19" t="str">
        <f>'BUS Deemed Savings Table'!D15</f>
        <v>BSS/MFIE</v>
      </c>
      <c r="I575" s="785">
        <f>'BUS Deemed Savings Table'!F15</f>
        <v>798.17</v>
      </c>
      <c r="J575" s="785"/>
      <c r="K575" s="202"/>
      <c r="L575" s="202"/>
      <c r="M575" s="202"/>
      <c r="N575" s="202"/>
      <c r="O575" s="786">
        <f>'BUS Deemed Savings Table'!I15</f>
        <v>0.156475</v>
      </c>
      <c r="P575" s="786"/>
      <c r="Q575" s="787"/>
      <c r="R575" s="787"/>
      <c r="S575" s="787"/>
      <c r="T575" s="787"/>
      <c r="U575" s="788">
        <f t="shared" si="332"/>
        <v>0</v>
      </c>
      <c r="V575" s="788">
        <f t="shared" si="333"/>
        <v>0</v>
      </c>
      <c r="W575" s="788">
        <f t="shared" si="334"/>
        <v>0.156475</v>
      </c>
      <c r="X575" s="23">
        <f>'BUS Deemed Savings Table'!J15</f>
        <v>15</v>
      </c>
      <c r="Y575" s="23"/>
      <c r="Z575" s="23">
        <f t="shared" si="335"/>
        <v>15</v>
      </c>
      <c r="AA575" s="18">
        <f>'BUS Deemed Savings Table'!DG15</f>
        <v>10.226471996302614</v>
      </c>
      <c r="AB575" s="259">
        <f>'BUS Deemed Savings Table'!K15</f>
        <v>60</v>
      </c>
      <c r="AC575" s="790">
        <f t="shared" si="336"/>
        <v>613.5883197781568</v>
      </c>
      <c r="AD575" s="790">
        <f t="shared" si="337"/>
        <v>0</v>
      </c>
      <c r="AE575" s="610">
        <f>'BUS Deemed Savings Table'!DI15</f>
        <v>613.5883197781568</v>
      </c>
      <c r="AF575" s="208"/>
      <c r="AG575" s="208"/>
      <c r="AH575" s="208"/>
      <c r="AI575" s="1442" t="str">
        <f>'BUS Deemed Savings Table'!L15</f>
        <v>per measure</v>
      </c>
      <c r="AJ575" s="71"/>
      <c r="AX575" s="1355" t="str">
        <f t="shared" si="338"/>
        <v>LED 62 - 130 Watt Lamp or Fixture Replacing Interior HID 176-300 Watt Lamp or Fixture</v>
      </c>
      <c r="AY575" s="1378"/>
      <c r="AZ575" s="1446" t="str">
        <f t="shared" si="339"/>
        <v>800350</v>
      </c>
      <c r="BA575" s="1300" t="s">
        <v>1303</v>
      </c>
      <c r="BB575" s="1300" t="s">
        <v>1303</v>
      </c>
      <c r="BC575" s="1300" t="s">
        <v>1303</v>
      </c>
      <c r="BD575" s="1300" t="s">
        <v>1303</v>
      </c>
      <c r="BE575" s="1305"/>
      <c r="BF575" s="1300" t="s">
        <v>1303</v>
      </c>
      <c r="BG575" s="1300" t="s">
        <v>1303</v>
      </c>
      <c r="BH575" s="1300" t="s">
        <v>1303</v>
      </c>
      <c r="BI575" s="1301" t="s">
        <v>1303</v>
      </c>
      <c r="BJ575" s="1305"/>
      <c r="BK575" s="1300" t="s">
        <v>1303</v>
      </c>
      <c r="BL575" s="1301" t="s">
        <v>1303</v>
      </c>
      <c r="BM575" s="1300" t="s">
        <v>1303</v>
      </c>
      <c r="BN575" s="1301" t="s">
        <v>1303</v>
      </c>
    </row>
    <row r="576" spans="1:66">
      <c r="A576" s="51" t="str">
        <f t="shared" si="331"/>
        <v>800400</v>
      </c>
      <c r="B576" s="1442" t="str">
        <f>'BUS Deemed Savings Table'!C16</f>
        <v>800400_2024_12_</v>
      </c>
      <c r="C576" s="1378" t="str">
        <f>'BUS Deemed Savings Table'!G16</f>
        <v>Lighting BUS</v>
      </c>
      <c r="D576" s="1378"/>
      <c r="E576" s="1378"/>
      <c r="F576" s="1378"/>
      <c r="G576" s="1378" t="str">
        <f>'BUS Deemed Savings Table'!E16</f>
        <v>LED 85 - 225 Watt Lamp or Fixture Replacing Interior HID 301-500 Watt Lamp or Fixture</v>
      </c>
      <c r="H576" s="19" t="str">
        <f>'BUS Deemed Savings Table'!D16</f>
        <v>BSS/MFIE</v>
      </c>
      <c r="I576" s="785">
        <f>'BUS Deemed Savings Table'!F16</f>
        <v>983.73</v>
      </c>
      <c r="J576" s="785"/>
      <c r="K576" s="202"/>
      <c r="L576" s="202"/>
      <c r="M576" s="202"/>
      <c r="N576" s="202"/>
      <c r="O576" s="786">
        <f>'BUS Deemed Savings Table'!I16</f>
        <v>0.192853</v>
      </c>
      <c r="P576" s="786"/>
      <c r="Q576" s="787"/>
      <c r="R576" s="787"/>
      <c r="S576" s="787"/>
      <c r="T576" s="787"/>
      <c r="U576" s="788">
        <f t="shared" si="332"/>
        <v>0</v>
      </c>
      <c r="V576" s="788">
        <f t="shared" si="333"/>
        <v>0</v>
      </c>
      <c r="W576" s="788">
        <f t="shared" si="334"/>
        <v>0.192853</v>
      </c>
      <c r="X576" s="23">
        <f>'BUS Deemed Savings Table'!J16</f>
        <v>15</v>
      </c>
      <c r="Y576" s="23"/>
      <c r="Z576" s="23">
        <f t="shared" si="335"/>
        <v>15</v>
      </c>
      <c r="AA576" s="18">
        <f>'BUS Deemed Savings Table'!DG16</f>
        <v>4.8476694751372467</v>
      </c>
      <c r="AB576" s="259">
        <f>'BUS Deemed Savings Table'!K16</f>
        <v>156</v>
      </c>
      <c r="AC576" s="790">
        <f t="shared" si="336"/>
        <v>756.23643812141052</v>
      </c>
      <c r="AD576" s="790">
        <f t="shared" si="337"/>
        <v>0</v>
      </c>
      <c r="AE576" s="610">
        <f>'BUS Deemed Savings Table'!DI16</f>
        <v>756.23643812141052</v>
      </c>
      <c r="AF576" s="208"/>
      <c r="AG576" s="208"/>
      <c r="AH576" s="208"/>
      <c r="AI576" s="1442" t="str">
        <f>'BUS Deemed Savings Table'!L16</f>
        <v>per measure</v>
      </c>
      <c r="AJ576" s="71"/>
      <c r="AX576" s="1355" t="str">
        <f t="shared" si="338"/>
        <v>LED 85 - 225 Watt Lamp or Fixture Replacing Interior HID 301-500 Watt Lamp or Fixture</v>
      </c>
      <c r="AY576" s="1378"/>
      <c r="AZ576" s="1446" t="str">
        <f t="shared" si="339"/>
        <v>800400</v>
      </c>
      <c r="BA576" s="1300" t="s">
        <v>1303</v>
      </c>
      <c r="BB576" s="1300" t="s">
        <v>1303</v>
      </c>
      <c r="BC576" s="1300" t="s">
        <v>1303</v>
      </c>
      <c r="BD576" s="1300" t="s">
        <v>1303</v>
      </c>
      <c r="BE576" s="1305"/>
      <c r="BF576" s="1300" t="s">
        <v>1303</v>
      </c>
      <c r="BG576" s="1300" t="s">
        <v>1303</v>
      </c>
      <c r="BH576" s="1300" t="s">
        <v>1303</v>
      </c>
      <c r="BI576" s="1301" t="s">
        <v>1303</v>
      </c>
      <c r="BJ576" s="1305"/>
      <c r="BK576" s="1300" t="s">
        <v>1303</v>
      </c>
      <c r="BL576" s="1301" t="s">
        <v>1303</v>
      </c>
      <c r="BM576" s="1300" t="s">
        <v>1303</v>
      </c>
      <c r="BN576" s="1301" t="s">
        <v>1303</v>
      </c>
    </row>
    <row r="577" spans="1:66" s="696" customFormat="1">
      <c r="A577" s="2958" t="str">
        <f t="shared" si="331"/>
        <v>800450</v>
      </c>
      <c r="B577" s="2233" t="str">
        <f>'BUS Deemed Savings Table'!C17</f>
        <v>800450_2024_12_</v>
      </c>
      <c r="C577" s="2724" t="str">
        <f>'BUS Deemed Savings Table'!G17</f>
        <v>Ext Lighting BUS</v>
      </c>
      <c r="D577" s="2724"/>
      <c r="E577" s="2724"/>
      <c r="F577" s="2724"/>
      <c r="G577" s="2724" t="str">
        <f>'BUS Deemed Savings Table'!E17</f>
        <v>LED &lt;=80 Watt Lamp or Fixture Replacing Exterior &lt;24/7 HID 100-175 Watt Lamp or Fixture</v>
      </c>
      <c r="H577" s="2554" t="str">
        <f>'BUS Deemed Savings Table'!D17</f>
        <v>C&amp;I   (only IE or BSS)</v>
      </c>
      <c r="I577" s="3840">
        <f>'BUS Deemed Savings Table'!F17</f>
        <v>418.23</v>
      </c>
      <c r="J577" s="3840"/>
      <c r="K577" s="3251"/>
      <c r="L577" s="3251"/>
      <c r="M577" s="3251"/>
      <c r="N577" s="3251"/>
      <c r="O577" s="3841">
        <f>'BUS Deemed Savings Table'!I17</f>
        <v>2.349E-3</v>
      </c>
      <c r="P577" s="3841"/>
      <c r="Q577" s="3842"/>
      <c r="R577" s="3842"/>
      <c r="S577" s="3842"/>
      <c r="T577" s="3842"/>
      <c r="U577" s="3843">
        <f t="shared" si="332"/>
        <v>0</v>
      </c>
      <c r="V577" s="3843">
        <f t="shared" si="333"/>
        <v>0</v>
      </c>
      <c r="W577" s="3843">
        <f t="shared" si="334"/>
        <v>2.349E-3</v>
      </c>
      <c r="X577" s="2846">
        <f>'BUS Deemed Savings Table'!J17</f>
        <v>15</v>
      </c>
      <c r="Y577" s="2846"/>
      <c r="Z577" s="2846">
        <f t="shared" si="335"/>
        <v>15</v>
      </c>
      <c r="AA577" s="2529">
        <f>'BUS Deemed Savings Table'!DG17</f>
        <v>3.0904254648252034</v>
      </c>
      <c r="AB577" s="3878">
        <f>'BUS Deemed Savings Table'!K17</f>
        <v>60</v>
      </c>
      <c r="AC577" s="3968">
        <f t="shared" si="336"/>
        <v>185.42552788951221</v>
      </c>
      <c r="AD577" s="3968">
        <f t="shared" si="337"/>
        <v>0</v>
      </c>
      <c r="AE577" s="3865">
        <f>'BUS Deemed Savings Table'!DI17</f>
        <v>185.42552788951221</v>
      </c>
      <c r="AF577" s="3846"/>
      <c r="AG577" s="3846"/>
      <c r="AH577" s="3846"/>
      <c r="AI577" s="2233" t="str">
        <f>'BUS Deemed Savings Table'!L17</f>
        <v>per measure</v>
      </c>
      <c r="AJ577" s="2724"/>
      <c r="AX577" s="3849" t="str">
        <f t="shared" si="338"/>
        <v>LED &lt;=80 Watt Lamp or Fixture Replacing Exterior &lt;24/7 HID 100-175 Watt Lamp or Fixture</v>
      </c>
      <c r="AY577" s="2724"/>
      <c r="AZ577" s="3850" t="str">
        <f t="shared" si="339"/>
        <v>800450</v>
      </c>
      <c r="BA577" s="3866" t="s">
        <v>1303</v>
      </c>
      <c r="BB577" s="3866" t="s">
        <v>1303</v>
      </c>
      <c r="BC577" s="3866" t="s">
        <v>1303</v>
      </c>
      <c r="BD577" s="3866" t="s">
        <v>1303</v>
      </c>
      <c r="BE577" s="3853"/>
      <c r="BF577" s="3866" t="s">
        <v>1303</v>
      </c>
      <c r="BG577" s="3866" t="s">
        <v>1303</v>
      </c>
      <c r="BH577" s="3866" t="s">
        <v>1303</v>
      </c>
      <c r="BI577" s="3867" t="s">
        <v>1303</v>
      </c>
      <c r="BJ577" s="3853"/>
      <c r="BK577" s="3866" t="s">
        <v>1303</v>
      </c>
      <c r="BL577" s="3867" t="s">
        <v>1303</v>
      </c>
      <c r="BM577" s="3866" t="s">
        <v>1303</v>
      </c>
      <c r="BN577" s="3867" t="s">
        <v>1303</v>
      </c>
    </row>
    <row r="578" spans="1:66" s="696" customFormat="1">
      <c r="A578" s="2958" t="str">
        <f t="shared" si="331"/>
        <v>800500</v>
      </c>
      <c r="B578" s="2233" t="str">
        <f>'BUS Deemed Savings Table'!C18</f>
        <v>800500_2024_12_</v>
      </c>
      <c r="C578" s="2724" t="str">
        <f>'BUS Deemed Savings Table'!G18</f>
        <v>Ext Lighting BUS</v>
      </c>
      <c r="D578" s="2724"/>
      <c r="E578" s="2724"/>
      <c r="F578" s="2724"/>
      <c r="G578" s="2724" t="str">
        <f>'BUS Deemed Savings Table'!E18</f>
        <v>LED 62 - 130 Watt Lamp or Fixture Replacing Exterior &lt;24/7 HID 176-300 Watt Lamp or Fixture</v>
      </c>
      <c r="H578" s="2554" t="str">
        <f>'BUS Deemed Savings Table'!D18</f>
        <v>C&amp;I   (only IE or BSS)</v>
      </c>
      <c r="I578" s="3840">
        <f>'BUS Deemed Savings Table'!F18</f>
        <v>796.46</v>
      </c>
      <c r="J578" s="3840"/>
      <c r="K578" s="3251"/>
      <c r="L578" s="3251"/>
      <c r="M578" s="3251"/>
      <c r="N578" s="3251"/>
      <c r="O578" s="3841">
        <f>'BUS Deemed Savings Table'!I18</f>
        <v>4.4730000000000004E-3</v>
      </c>
      <c r="P578" s="3841"/>
      <c r="Q578" s="3842"/>
      <c r="R578" s="3842"/>
      <c r="S578" s="3842"/>
      <c r="T578" s="3842"/>
      <c r="U578" s="3843">
        <f t="shared" si="332"/>
        <v>0</v>
      </c>
      <c r="V578" s="3843">
        <f t="shared" si="333"/>
        <v>0</v>
      </c>
      <c r="W578" s="3843">
        <f t="shared" si="334"/>
        <v>4.4730000000000004E-3</v>
      </c>
      <c r="X578" s="2846">
        <f>'BUS Deemed Savings Table'!J18</f>
        <v>15</v>
      </c>
      <c r="Y578" s="2846"/>
      <c r="Z578" s="2846">
        <f t="shared" si="335"/>
        <v>15</v>
      </c>
      <c r="AA578" s="2529">
        <f>'BUS Deemed Savings Table'!DG18</f>
        <v>2.7373391026242726</v>
      </c>
      <c r="AB578" s="3878">
        <f>'BUS Deemed Savings Table'!K18</f>
        <v>129</v>
      </c>
      <c r="AC578" s="3968">
        <f t="shared" si="336"/>
        <v>353.11674423853117</v>
      </c>
      <c r="AD578" s="3968">
        <f t="shared" si="337"/>
        <v>0</v>
      </c>
      <c r="AE578" s="3865">
        <f>'BUS Deemed Savings Table'!DI18</f>
        <v>353.11674423853117</v>
      </c>
      <c r="AF578" s="3846"/>
      <c r="AG578" s="3846"/>
      <c r="AH578" s="3846"/>
      <c r="AI578" s="2233" t="str">
        <f>'BUS Deemed Savings Table'!L18</f>
        <v>per measure</v>
      </c>
      <c r="AJ578" s="2724"/>
      <c r="AX578" s="3849" t="str">
        <f t="shared" si="338"/>
        <v>LED 62 - 130 Watt Lamp or Fixture Replacing Exterior &lt;24/7 HID 176-300 Watt Lamp or Fixture</v>
      </c>
      <c r="AY578" s="2724"/>
      <c r="AZ578" s="3850" t="str">
        <f t="shared" si="339"/>
        <v>800500</v>
      </c>
      <c r="BA578" s="3866" t="s">
        <v>1303</v>
      </c>
      <c r="BB578" s="3866" t="s">
        <v>1303</v>
      </c>
      <c r="BC578" s="3866" t="s">
        <v>1303</v>
      </c>
      <c r="BD578" s="3866" t="s">
        <v>1303</v>
      </c>
      <c r="BE578" s="3853"/>
      <c r="BF578" s="3866" t="s">
        <v>1303</v>
      </c>
      <c r="BG578" s="3866" t="s">
        <v>1303</v>
      </c>
      <c r="BH578" s="3866" t="s">
        <v>1303</v>
      </c>
      <c r="BI578" s="3867" t="s">
        <v>1303</v>
      </c>
      <c r="BJ578" s="3853"/>
      <c r="BK578" s="3866" t="s">
        <v>1303</v>
      </c>
      <c r="BL578" s="3867" t="s">
        <v>1303</v>
      </c>
      <c r="BM578" s="3866" t="s">
        <v>1303</v>
      </c>
      <c r="BN578" s="3867" t="s">
        <v>1303</v>
      </c>
    </row>
    <row r="579" spans="1:66" s="696" customFormat="1">
      <c r="A579" s="2958" t="str">
        <f t="shared" si="331"/>
        <v>800550</v>
      </c>
      <c r="B579" s="2233" t="str">
        <f>'BUS Deemed Savings Table'!C19</f>
        <v>800550_2024_12_</v>
      </c>
      <c r="C579" s="2724" t="str">
        <f>'BUS Deemed Savings Table'!G19</f>
        <v>Ext Lighting BUS</v>
      </c>
      <c r="D579" s="2724"/>
      <c r="E579" s="2724"/>
      <c r="F579" s="2724"/>
      <c r="G579" s="2724" t="str">
        <f>'BUS Deemed Savings Table'!E19</f>
        <v>LED 85 - 225 Watt Lamp or Fixture Replacing Exterior &lt;24/7 HID 301-500 Watt Lamp or Fixture</v>
      </c>
      <c r="H579" s="2554" t="str">
        <f>'BUS Deemed Savings Table'!D19</f>
        <v>C&amp;I   (only IE or BSS)</v>
      </c>
      <c r="I579" s="3840">
        <f>'BUS Deemed Savings Table'!F19</f>
        <v>1457.44</v>
      </c>
      <c r="J579" s="3840"/>
      <c r="K579" s="3251"/>
      <c r="L579" s="3251"/>
      <c r="M579" s="3251"/>
      <c r="N579" s="3251"/>
      <c r="O579" s="3841">
        <f>'BUS Deemed Savings Table'!I19</f>
        <v>8.1849999999999996E-3</v>
      </c>
      <c r="P579" s="3841"/>
      <c r="Q579" s="3842"/>
      <c r="R579" s="3842"/>
      <c r="S579" s="3842"/>
      <c r="T579" s="3842"/>
      <c r="U579" s="3843">
        <f t="shared" si="332"/>
        <v>0</v>
      </c>
      <c r="V579" s="3843">
        <f t="shared" si="333"/>
        <v>0</v>
      </c>
      <c r="W579" s="3843">
        <f t="shared" si="334"/>
        <v>8.1849999999999996E-3</v>
      </c>
      <c r="X579" s="2846">
        <f>'BUS Deemed Savings Table'!J19</f>
        <v>15</v>
      </c>
      <c r="Y579" s="2846"/>
      <c r="Z579" s="2846">
        <f t="shared" si="335"/>
        <v>15</v>
      </c>
      <c r="AA579" s="2529">
        <f>'BUS Deemed Savings Table'!DG19</f>
        <v>4.1420985595475104</v>
      </c>
      <c r="AB579" s="3878">
        <f>'BUS Deemed Savings Table'!K19</f>
        <v>156</v>
      </c>
      <c r="AC579" s="3968">
        <f t="shared" si="336"/>
        <v>646.16737528941167</v>
      </c>
      <c r="AD579" s="3968">
        <f t="shared" si="337"/>
        <v>0</v>
      </c>
      <c r="AE579" s="3865">
        <f>'BUS Deemed Savings Table'!DI19</f>
        <v>646.16737528941167</v>
      </c>
      <c r="AF579" s="3846"/>
      <c r="AG579" s="3846"/>
      <c r="AH579" s="3846"/>
      <c r="AI579" s="2233" t="str">
        <f>'BUS Deemed Savings Table'!L19</f>
        <v>per measure</v>
      </c>
      <c r="AJ579" s="2724"/>
      <c r="AX579" s="3849" t="str">
        <f t="shared" si="338"/>
        <v>LED 85 - 225 Watt Lamp or Fixture Replacing Exterior &lt;24/7 HID 301-500 Watt Lamp or Fixture</v>
      </c>
      <c r="AY579" s="2724"/>
      <c r="AZ579" s="3850" t="str">
        <f t="shared" si="339"/>
        <v>800550</v>
      </c>
      <c r="BA579" s="3866" t="s">
        <v>1303</v>
      </c>
      <c r="BB579" s="3866" t="s">
        <v>1303</v>
      </c>
      <c r="BC579" s="3866" t="s">
        <v>1303</v>
      </c>
      <c r="BD579" s="3866" t="s">
        <v>1303</v>
      </c>
      <c r="BE579" s="3853"/>
      <c r="BF579" s="3866" t="s">
        <v>1303</v>
      </c>
      <c r="BG579" s="3866" t="s">
        <v>1303</v>
      </c>
      <c r="BH579" s="3866" t="s">
        <v>1303</v>
      </c>
      <c r="BI579" s="3867" t="s">
        <v>1303</v>
      </c>
      <c r="BJ579" s="3853"/>
      <c r="BK579" s="3866" t="s">
        <v>1303</v>
      </c>
      <c r="BL579" s="3867" t="s">
        <v>1303</v>
      </c>
      <c r="BM579" s="3866" t="s">
        <v>1303</v>
      </c>
      <c r="BN579" s="3867" t="s">
        <v>1303</v>
      </c>
    </row>
    <row r="580" spans="1:66" s="696" customFormat="1">
      <c r="A580" s="2958" t="str">
        <f t="shared" si="331"/>
        <v>800600</v>
      </c>
      <c r="B580" s="2233" t="str">
        <f>'BUS Deemed Savings Table'!C20</f>
        <v>800600_2024_12_</v>
      </c>
      <c r="C580" s="2724" t="str">
        <f>'BUS Deemed Savings Table'!G20</f>
        <v>Miscellaneous BUS</v>
      </c>
      <c r="D580" s="2724"/>
      <c r="E580" s="2724"/>
      <c r="F580" s="2724"/>
      <c r="G580" s="2724" t="str">
        <f>'BUS Deemed Savings Table'!E20</f>
        <v>LED &lt;=80 Watt Lamp or Fixture Replacing Exterior 24/7 HID 100-175 Watt Lamp or Fixture Misc.</v>
      </c>
      <c r="H580" s="2554" t="str">
        <f>'BUS Deemed Savings Table'!D20</f>
        <v>C&amp;I   (only IE or BSS)</v>
      </c>
      <c r="I580" s="3840">
        <f>'BUS Deemed Savings Table'!F20</f>
        <v>656.8</v>
      </c>
      <c r="J580" s="3840"/>
      <c r="K580" s="3251"/>
      <c r="L580" s="3251"/>
      <c r="M580" s="3251"/>
      <c r="N580" s="3251"/>
      <c r="O580" s="3841">
        <f>'BUS Deemed Savings Table'!I20</f>
        <v>9.0602000000000002E-2</v>
      </c>
      <c r="P580" s="3841"/>
      <c r="Q580" s="3842"/>
      <c r="R580" s="3842"/>
      <c r="S580" s="3842"/>
      <c r="T580" s="3842"/>
      <c r="U580" s="3843">
        <f t="shared" si="332"/>
        <v>0</v>
      </c>
      <c r="V580" s="3843">
        <f t="shared" si="333"/>
        <v>0</v>
      </c>
      <c r="W580" s="3843">
        <f t="shared" si="334"/>
        <v>9.0602000000000002E-2</v>
      </c>
      <c r="X580" s="2846">
        <f>'BUS Deemed Savings Table'!J20</f>
        <v>15</v>
      </c>
      <c r="Y580" s="2846"/>
      <c r="Z580" s="2846">
        <f t="shared" si="335"/>
        <v>15</v>
      </c>
      <c r="AA580" s="2529">
        <f>'BUS Deemed Savings Table'!DG20</f>
        <v>7.8061010915971139</v>
      </c>
      <c r="AB580" s="3878">
        <f>'BUS Deemed Savings Table'!K20</f>
        <v>60</v>
      </c>
      <c r="AC580" s="3968">
        <f t="shared" si="336"/>
        <v>468.36606549582683</v>
      </c>
      <c r="AD580" s="3968">
        <f t="shared" si="337"/>
        <v>0</v>
      </c>
      <c r="AE580" s="3865">
        <f>'BUS Deemed Savings Table'!DI20</f>
        <v>468.36606549582683</v>
      </c>
      <c r="AF580" s="3846"/>
      <c r="AG580" s="3846"/>
      <c r="AH580" s="3846"/>
      <c r="AI580" s="2233" t="str">
        <f>'BUS Deemed Savings Table'!L20</f>
        <v>per measure</v>
      </c>
      <c r="AJ580" s="2724"/>
      <c r="AX580" s="3849" t="str">
        <f t="shared" si="338"/>
        <v>LED &lt;=80 Watt Lamp or Fixture Replacing Exterior 24/7 HID 100-175 Watt Lamp or Fixture Misc.</v>
      </c>
      <c r="AY580" s="2724"/>
      <c r="AZ580" s="3850" t="str">
        <f t="shared" si="339"/>
        <v>800600</v>
      </c>
      <c r="BA580" s="3866" t="s">
        <v>1303</v>
      </c>
      <c r="BB580" s="3866" t="s">
        <v>1303</v>
      </c>
      <c r="BC580" s="3866" t="s">
        <v>1303</v>
      </c>
      <c r="BD580" s="3866" t="s">
        <v>1303</v>
      </c>
      <c r="BE580" s="3853"/>
      <c r="BF580" s="3866" t="s">
        <v>1303</v>
      </c>
      <c r="BG580" s="3866" t="s">
        <v>1303</v>
      </c>
      <c r="BH580" s="3866" t="s">
        <v>1303</v>
      </c>
      <c r="BI580" s="3867" t="s">
        <v>1303</v>
      </c>
      <c r="BJ580" s="3853"/>
      <c r="BK580" s="3866" t="s">
        <v>1303</v>
      </c>
      <c r="BL580" s="3867" t="s">
        <v>1303</v>
      </c>
      <c r="BM580" s="3866" t="s">
        <v>1303</v>
      </c>
      <c r="BN580" s="3867" t="s">
        <v>1303</v>
      </c>
    </row>
    <row r="581" spans="1:66" s="696" customFormat="1">
      <c r="A581" s="2958" t="str">
        <f t="shared" si="331"/>
        <v>800650</v>
      </c>
      <c r="B581" s="2233" t="str">
        <f>'BUS Deemed Savings Table'!C21</f>
        <v>800650_2024_12_</v>
      </c>
      <c r="C581" s="2724" t="str">
        <f>'BUS Deemed Savings Table'!G21</f>
        <v>Miscellaneous BUS</v>
      </c>
      <c r="D581" s="2724"/>
      <c r="E581" s="2724"/>
      <c r="F581" s="2724"/>
      <c r="G581" s="2724" t="str">
        <f>'BUS Deemed Savings Table'!E21</f>
        <v>LED 62 - 130 Watt Lamp or Fixture Replacing Exterior 24/7 HID 176-300 Watt Lamp or Fixture Misc.</v>
      </c>
      <c r="H581" s="2554" t="str">
        <f>'BUS Deemed Savings Table'!D21</f>
        <v>C&amp;I   (only IE or BSS)</v>
      </c>
      <c r="I581" s="3840">
        <f>'BUS Deemed Savings Table'!F21</f>
        <v>1389.33</v>
      </c>
      <c r="J581" s="3840"/>
      <c r="K581" s="3251"/>
      <c r="L581" s="3251"/>
      <c r="M581" s="3251"/>
      <c r="N581" s="3251"/>
      <c r="O581" s="3841">
        <f>'BUS Deemed Savings Table'!I21</f>
        <v>0.19164999999999999</v>
      </c>
      <c r="P581" s="3841"/>
      <c r="Q581" s="3842"/>
      <c r="R581" s="3842"/>
      <c r="S581" s="3842"/>
      <c r="T581" s="3842"/>
      <c r="U581" s="3843">
        <f t="shared" si="332"/>
        <v>0</v>
      </c>
      <c r="V581" s="3843">
        <f t="shared" si="333"/>
        <v>0</v>
      </c>
      <c r="W581" s="3843">
        <f t="shared" si="334"/>
        <v>0.19164999999999999</v>
      </c>
      <c r="X581" s="2846">
        <f>'BUS Deemed Savings Table'!J21</f>
        <v>15</v>
      </c>
      <c r="Y581" s="2846"/>
      <c r="Z581" s="2846">
        <f t="shared" si="335"/>
        <v>15</v>
      </c>
      <c r="AA581" s="2529">
        <f>'BUS Deemed Savings Table'!DG21</f>
        <v>7.6801195575366243</v>
      </c>
      <c r="AB581" s="3878">
        <f>'BUS Deemed Savings Table'!K21</f>
        <v>129</v>
      </c>
      <c r="AC581" s="3968">
        <f t="shared" si="336"/>
        <v>990.73542292222453</v>
      </c>
      <c r="AD581" s="3968">
        <f t="shared" si="337"/>
        <v>0</v>
      </c>
      <c r="AE581" s="3865">
        <f>'BUS Deemed Savings Table'!DI21</f>
        <v>990.73542292222453</v>
      </c>
      <c r="AF581" s="3846"/>
      <c r="AG581" s="3846"/>
      <c r="AH581" s="3846"/>
      <c r="AI581" s="2233" t="str">
        <f>'BUS Deemed Savings Table'!L21</f>
        <v>per measure</v>
      </c>
      <c r="AJ581" s="2724"/>
      <c r="AX581" s="3849" t="str">
        <f t="shared" si="338"/>
        <v>LED 62 - 130 Watt Lamp or Fixture Replacing Exterior 24/7 HID 176-300 Watt Lamp or Fixture Misc.</v>
      </c>
      <c r="AY581" s="2724"/>
      <c r="AZ581" s="3850" t="str">
        <f t="shared" si="339"/>
        <v>800650</v>
      </c>
      <c r="BA581" s="3866" t="s">
        <v>1303</v>
      </c>
      <c r="BB581" s="3866" t="s">
        <v>1303</v>
      </c>
      <c r="BC581" s="3866" t="s">
        <v>1303</v>
      </c>
      <c r="BD581" s="3866" t="s">
        <v>1303</v>
      </c>
      <c r="BE581" s="3853"/>
      <c r="BF581" s="3866" t="s">
        <v>1303</v>
      </c>
      <c r="BG581" s="3866" t="s">
        <v>1303</v>
      </c>
      <c r="BH581" s="3866" t="s">
        <v>1303</v>
      </c>
      <c r="BI581" s="3867" t="s">
        <v>1303</v>
      </c>
      <c r="BJ581" s="3853"/>
      <c r="BK581" s="3866" t="s">
        <v>1303</v>
      </c>
      <c r="BL581" s="3867" t="s">
        <v>1303</v>
      </c>
      <c r="BM581" s="3866" t="s">
        <v>1303</v>
      </c>
      <c r="BN581" s="3867" t="s">
        <v>1303</v>
      </c>
    </row>
    <row r="582" spans="1:66" s="696" customFormat="1">
      <c r="A582" s="2958" t="str">
        <f t="shared" si="331"/>
        <v>800700</v>
      </c>
      <c r="B582" s="2233" t="str">
        <f>'BUS Deemed Savings Table'!C22</f>
        <v>800700_2024_12_</v>
      </c>
      <c r="C582" s="2724" t="str">
        <f>'BUS Deemed Savings Table'!G22</f>
        <v>Miscellaneous BUS</v>
      </c>
      <c r="D582" s="2724"/>
      <c r="E582" s="2724"/>
      <c r="F582" s="2724"/>
      <c r="G582" s="2724" t="str">
        <f>'BUS Deemed Savings Table'!E22</f>
        <v xml:space="preserve">LED 85 - 225 Watt Lamp or Fixture Replacing Exterior 24/7 HID 301-500 Watt Lamp or Fixture Misc. </v>
      </c>
      <c r="H582" s="2554" t="str">
        <f>'BUS Deemed Savings Table'!D22</f>
        <v>C&amp;I   (only IE or BSS)</v>
      </c>
      <c r="I582" s="3840">
        <f>'BUS Deemed Savings Table'!F22</f>
        <v>2490.86</v>
      </c>
      <c r="J582" s="3840"/>
      <c r="K582" s="3251"/>
      <c r="L582" s="3251"/>
      <c r="M582" s="3251"/>
      <c r="N582" s="3251"/>
      <c r="O582" s="3841">
        <f>'BUS Deemed Savings Table'!I22</f>
        <v>0.34359899999999999</v>
      </c>
      <c r="P582" s="3841"/>
      <c r="Q582" s="3842"/>
      <c r="R582" s="3842"/>
      <c r="S582" s="3842"/>
      <c r="T582" s="3842"/>
      <c r="U582" s="3843">
        <f t="shared" si="332"/>
        <v>0</v>
      </c>
      <c r="V582" s="3843">
        <f t="shared" si="333"/>
        <v>0</v>
      </c>
      <c r="W582" s="3843">
        <f t="shared" si="334"/>
        <v>0.34359899999999999</v>
      </c>
      <c r="X582" s="2846">
        <f>'BUS Deemed Savings Table'!J22</f>
        <v>15</v>
      </c>
      <c r="Y582" s="2846"/>
      <c r="Z582" s="2846">
        <f t="shared" si="335"/>
        <v>15</v>
      </c>
      <c r="AA582" s="2529">
        <f>'BUS Deemed Savings Table'!DG22</f>
        <v>11.386152537369759</v>
      </c>
      <c r="AB582" s="3878">
        <f>'BUS Deemed Savings Table'!K22</f>
        <v>156</v>
      </c>
      <c r="AC582" s="3968">
        <f t="shared" si="336"/>
        <v>1776.2397958296824</v>
      </c>
      <c r="AD582" s="3968">
        <f t="shared" si="337"/>
        <v>0</v>
      </c>
      <c r="AE582" s="3865">
        <f>'BUS Deemed Savings Table'!DI22</f>
        <v>1776.2397958296824</v>
      </c>
      <c r="AF582" s="3846"/>
      <c r="AG582" s="3846"/>
      <c r="AH582" s="3846"/>
      <c r="AI582" s="2233" t="str">
        <f>'BUS Deemed Savings Table'!L22</f>
        <v>per measure</v>
      </c>
      <c r="AJ582" s="2724"/>
      <c r="AX582" s="3849" t="str">
        <f t="shared" si="338"/>
        <v xml:space="preserve">LED 85 - 225 Watt Lamp or Fixture Replacing Exterior 24/7 HID 301-500 Watt Lamp or Fixture Misc. </v>
      </c>
      <c r="AY582" s="2724"/>
      <c r="AZ582" s="3850" t="str">
        <f t="shared" si="339"/>
        <v>800700</v>
      </c>
      <c r="BA582" s="3866" t="s">
        <v>1303</v>
      </c>
      <c r="BB582" s="3866" t="s">
        <v>1303</v>
      </c>
      <c r="BC582" s="3866" t="s">
        <v>1303</v>
      </c>
      <c r="BD582" s="3866" t="s">
        <v>1303</v>
      </c>
      <c r="BE582" s="3853"/>
      <c r="BF582" s="3866" t="s">
        <v>1303</v>
      </c>
      <c r="BG582" s="3866" t="s">
        <v>1303</v>
      </c>
      <c r="BH582" s="3866" t="s">
        <v>1303</v>
      </c>
      <c r="BI582" s="3867" t="s">
        <v>1303</v>
      </c>
      <c r="BJ582" s="3853"/>
      <c r="BK582" s="3866" t="s">
        <v>1303</v>
      </c>
      <c r="BL582" s="3867" t="s">
        <v>1303</v>
      </c>
      <c r="BM582" s="3866" t="s">
        <v>1303</v>
      </c>
      <c r="BN582" s="3867" t="s">
        <v>1303</v>
      </c>
    </row>
    <row r="583" spans="1:66" s="41" customFormat="1">
      <c r="A583" s="51" t="str">
        <f t="shared" si="331"/>
        <v>800750</v>
      </c>
      <c r="B583" s="1442" t="str">
        <f>'BUS Deemed Savings Table'!C23</f>
        <v>800750_2024_12_</v>
      </c>
      <c r="C583" s="1378" t="str">
        <f>'BUS Deemed Savings Table'!G23</f>
        <v>Lighting BUS</v>
      </c>
      <c r="D583" s="1378"/>
      <c r="E583" s="1378"/>
      <c r="F583" s="1378"/>
      <c r="G583" s="1378" t="str">
        <f>'BUS Deemed Savings Table'!E23</f>
        <v>LED or Electroluminescent Replacing Interior Incandescent/CFL Exit Sign</v>
      </c>
      <c r="H583" s="19" t="str">
        <f>'BUS Deemed Savings Table'!D23</f>
        <v>BSS/MFIE</v>
      </c>
      <c r="I583" s="785">
        <f>'BUS Deemed Savings Table'!F23</f>
        <v>243.01</v>
      </c>
      <c r="J583" s="785"/>
      <c r="K583" s="202"/>
      <c r="L583" s="202"/>
      <c r="M583" s="202"/>
      <c r="N583" s="202"/>
      <c r="O583" s="786">
        <f>'BUS Deemed Savings Table'!I23</f>
        <v>4.7640000000000002E-2</v>
      </c>
      <c r="P583" s="786"/>
      <c r="Q583" s="787"/>
      <c r="R583" s="787"/>
      <c r="S583" s="787"/>
      <c r="T583" s="787"/>
      <c r="U583" s="788">
        <f t="shared" si="332"/>
        <v>4.7640000000000002E-2</v>
      </c>
      <c r="V583" s="788">
        <f t="shared" si="333"/>
        <v>0</v>
      </c>
      <c r="W583" s="788">
        <f t="shared" si="334"/>
        <v>0</v>
      </c>
      <c r="X583" s="23">
        <f>'BUS Deemed Savings Table'!J23</f>
        <v>7</v>
      </c>
      <c r="Y583" s="23"/>
      <c r="Z583" s="23">
        <f t="shared" si="335"/>
        <v>7</v>
      </c>
      <c r="AA583" s="18">
        <f>'BUS Deemed Savings Table'!DG23</f>
        <v>2.3213842325206708</v>
      </c>
      <c r="AB583" s="259">
        <f>'BUS Deemed Savings Table'!K23</f>
        <v>45.25</v>
      </c>
      <c r="AC583" s="790">
        <f t="shared" si="336"/>
        <v>105.04263652156035</v>
      </c>
      <c r="AD583" s="790">
        <f t="shared" si="337"/>
        <v>0</v>
      </c>
      <c r="AE583" s="610">
        <f>'BUS Deemed Savings Table'!DI23</f>
        <v>105.04263652156035</v>
      </c>
      <c r="AF583" s="208"/>
      <c r="AG583" s="208"/>
      <c r="AH583" s="208"/>
      <c r="AI583" s="1442" t="str">
        <f>'BUS Deemed Savings Table'!L23</f>
        <v>per measure</v>
      </c>
      <c r="AJ583" s="71"/>
      <c r="AK583"/>
      <c r="AL583"/>
      <c r="AM583"/>
      <c r="AN583"/>
      <c r="AO583"/>
      <c r="AP583"/>
      <c r="AQ583"/>
      <c r="AR583"/>
      <c r="AS583"/>
      <c r="AT583"/>
      <c r="AU583"/>
      <c r="AV583"/>
      <c r="AW583"/>
      <c r="AX583" s="1355" t="str">
        <f t="shared" si="338"/>
        <v>LED or Electroluminescent Replacing Interior Incandescent/CFL Exit Sign</v>
      </c>
      <c r="AY583" s="1378"/>
      <c r="AZ583" s="1446" t="str">
        <f t="shared" si="339"/>
        <v>800750</v>
      </c>
      <c r="BA583" s="1300" t="s">
        <v>1303</v>
      </c>
      <c r="BB583" s="1300" t="s">
        <v>1303</v>
      </c>
      <c r="BC583" s="1300" t="s">
        <v>1303</v>
      </c>
      <c r="BD583" s="1300" t="s">
        <v>1303</v>
      </c>
      <c r="BE583" s="1306"/>
      <c r="BF583" s="1300" t="s">
        <v>1303</v>
      </c>
      <c r="BG583" s="1300" t="s">
        <v>1303</v>
      </c>
      <c r="BH583" s="1300" t="s">
        <v>1303</v>
      </c>
      <c r="BI583" s="1301" t="s">
        <v>1303</v>
      </c>
      <c r="BJ583" s="1305"/>
      <c r="BK583" s="1300" t="s">
        <v>1303</v>
      </c>
      <c r="BL583" s="1301" t="s">
        <v>1303</v>
      </c>
      <c r="BM583" s="1300" t="s">
        <v>1303</v>
      </c>
      <c r="BN583" s="1301" t="s">
        <v>1303</v>
      </c>
    </row>
    <row r="584" spans="1:66" s="41" customFormat="1">
      <c r="A584" s="3962" t="str">
        <f t="shared" si="331"/>
        <v>800800</v>
      </c>
      <c r="B584" s="3963" t="str">
        <f>'BUS Deemed Savings Table'!C24</f>
        <v>800800_2024_12_</v>
      </c>
      <c r="C584" s="3963" t="str">
        <f>'BUS Deemed Savings Table'!G24</f>
        <v>Lighting BUS</v>
      </c>
      <c r="D584" s="3963"/>
      <c r="E584" s="3963"/>
      <c r="F584" s="3963"/>
      <c r="G584" s="3963" t="str">
        <f>'BUS Deemed Savings Table'!E24</f>
        <v xml:space="preserve">LED Replacing Interior T5 Fluorescent (Type A / Hybrid) </v>
      </c>
      <c r="H584" s="19" t="str">
        <f>'BUS Deemed Savings Table'!D24</f>
        <v>BSS</v>
      </c>
      <c r="I584" s="785">
        <f>'BUS Deemed Savings Table'!F24</f>
        <v>290.27999999999997</v>
      </c>
      <c r="J584" s="785"/>
      <c r="K584" s="202"/>
      <c r="L584" s="202"/>
      <c r="M584" s="202"/>
      <c r="N584" s="202"/>
      <c r="O584" s="786">
        <f>'BUS Deemed Savings Table'!I24</f>
        <v>5.6906999999999999E-2</v>
      </c>
      <c r="P584" s="786"/>
      <c r="Q584" s="787"/>
      <c r="R584" s="787"/>
      <c r="S584" s="787"/>
      <c r="T584" s="787"/>
      <c r="U584" s="788">
        <f t="shared" si="332"/>
        <v>0</v>
      </c>
      <c r="V584" s="788">
        <f t="shared" si="333"/>
        <v>5.6906999999999999E-2</v>
      </c>
      <c r="W584" s="788">
        <f t="shared" si="334"/>
        <v>0</v>
      </c>
      <c r="X584" s="23">
        <f>'BUS Deemed Savings Table'!J24</f>
        <v>10</v>
      </c>
      <c r="Y584" s="23"/>
      <c r="Z584" s="23">
        <f t="shared" si="335"/>
        <v>10</v>
      </c>
      <c r="AA584" s="18">
        <f>'BUS Deemed Savings Table'!DG24</f>
        <v>12.830720394395438</v>
      </c>
      <c r="AB584" s="259">
        <f>'BUS Deemed Savings Table'!K24</f>
        <v>13</v>
      </c>
      <c r="AC584" s="790">
        <f t="shared" si="336"/>
        <v>166.7993651271407</v>
      </c>
      <c r="AD584" s="790">
        <f t="shared" si="337"/>
        <v>0</v>
      </c>
      <c r="AE584" s="610">
        <f>'BUS Deemed Savings Table'!DI24</f>
        <v>166.7993651271407</v>
      </c>
      <c r="AF584" s="208"/>
      <c r="AG584" s="208"/>
      <c r="AH584" s="208"/>
      <c r="AI584" s="1442" t="str">
        <f>'BUS Deemed Savings Table'!L24</f>
        <v>per measure</v>
      </c>
      <c r="AJ584" s="71"/>
      <c r="AK584"/>
      <c r="AL584"/>
      <c r="AM584"/>
      <c r="AN584"/>
      <c r="AO584"/>
      <c r="AP584"/>
      <c r="AQ584"/>
      <c r="AR584"/>
      <c r="AS584"/>
      <c r="AT584"/>
      <c r="AU584"/>
      <c r="AV584"/>
      <c r="AW584"/>
      <c r="AX584" s="1355" t="str">
        <f t="shared" si="338"/>
        <v xml:space="preserve">LED Replacing Interior T5 Fluorescent (Type A / Hybrid) </v>
      </c>
      <c r="AY584" s="1378"/>
      <c r="AZ584" s="1446" t="str">
        <f t="shared" si="339"/>
        <v>800800</v>
      </c>
      <c r="BA584" s="1300" t="s">
        <v>1303</v>
      </c>
      <c r="BB584" s="1300" t="s">
        <v>1303</v>
      </c>
      <c r="BC584" s="1300" t="s">
        <v>1303</v>
      </c>
      <c r="BD584" s="1300" t="s">
        <v>1303</v>
      </c>
      <c r="BE584" s="1306"/>
      <c r="BF584" s="1300" t="s">
        <v>1303</v>
      </c>
      <c r="BG584" s="1300" t="s">
        <v>1303</v>
      </c>
      <c r="BH584" s="1300" t="s">
        <v>1303</v>
      </c>
      <c r="BI584" s="1301" t="s">
        <v>1303</v>
      </c>
      <c r="BJ584" s="1305"/>
      <c r="BK584" s="1300" t="s">
        <v>1303</v>
      </c>
      <c r="BL584" s="1301" t="s">
        <v>1303</v>
      </c>
      <c r="BM584" s="1300" t="s">
        <v>1303</v>
      </c>
      <c r="BN584" s="1301" t="s">
        <v>1303</v>
      </c>
    </row>
    <row r="585" spans="1:66">
      <c r="A585" s="51" t="str">
        <f t="shared" si="331"/>
        <v>800801</v>
      </c>
      <c r="B585" s="1442" t="str">
        <f>'BUS Deemed Savings Table'!C25</f>
        <v>800801_2024_12_</v>
      </c>
      <c r="C585" s="1378" t="str">
        <f>'BUS Deemed Savings Table'!G25</f>
        <v>Lighting BUS</v>
      </c>
      <c r="D585" s="1378"/>
      <c r="E585" s="1378"/>
      <c r="F585" s="1378"/>
      <c r="G585" s="1378" t="str">
        <f>'BUS Deemed Savings Table'!E25</f>
        <v>LED Replacing Interior T5 Fluorescent (Type B, Kits, and Fixtures)</v>
      </c>
      <c r="H585" s="19" t="str">
        <f>'BUS Deemed Savings Table'!D25</f>
        <v>BSS</v>
      </c>
      <c r="I585" s="785">
        <f>'BUS Deemed Savings Table'!F25</f>
        <v>473.41</v>
      </c>
      <c r="J585" s="785"/>
      <c r="K585" s="202"/>
      <c r="L585" s="202"/>
      <c r="M585" s="202"/>
      <c r="N585" s="202"/>
      <c r="O585" s="786">
        <f>'BUS Deemed Savings Table'!I25</f>
        <v>9.2808000000000002E-2</v>
      </c>
      <c r="P585" s="786"/>
      <c r="Q585" s="787"/>
      <c r="R585" s="787"/>
      <c r="S585" s="787"/>
      <c r="T585" s="787"/>
      <c r="U585" s="788">
        <f t="shared" si="332"/>
        <v>0</v>
      </c>
      <c r="V585" s="788">
        <f t="shared" si="333"/>
        <v>0</v>
      </c>
      <c r="W585" s="788">
        <f t="shared" si="334"/>
        <v>9.2808000000000002E-2</v>
      </c>
      <c r="X585" s="23">
        <f>'BUS Deemed Savings Table'!J25</f>
        <v>15</v>
      </c>
      <c r="Y585" s="23"/>
      <c r="Z585" s="23">
        <f t="shared" si="335"/>
        <v>15</v>
      </c>
      <c r="AA585" s="18">
        <f>'BUS Deemed Savings Table'!DG25</f>
        <v>27.994696181570848</v>
      </c>
      <c r="AB585" s="259">
        <f>'BUS Deemed Savings Table'!K25</f>
        <v>13</v>
      </c>
      <c r="AC585" s="790">
        <f t="shared" si="336"/>
        <v>363.93105036042101</v>
      </c>
      <c r="AD585" s="790">
        <f t="shared" si="337"/>
        <v>0</v>
      </c>
      <c r="AE585" s="610">
        <f>'BUS Deemed Savings Table'!DI25</f>
        <v>363.93105036042101</v>
      </c>
      <c r="AF585" s="208"/>
      <c r="AG585" s="208"/>
      <c r="AH585" s="208"/>
      <c r="AI585" s="1442" t="str">
        <f>'BUS Deemed Savings Table'!L25</f>
        <v>per measure</v>
      </c>
      <c r="AJ585" s="676"/>
      <c r="AK585" s="41"/>
      <c r="AL585" s="41"/>
      <c r="AX585" s="1355" t="str">
        <f t="shared" si="338"/>
        <v>LED Replacing Interior T5 Fluorescent (Type B, Kits, and Fixtures)</v>
      </c>
      <c r="AY585" s="1378"/>
      <c r="AZ585" s="1446" t="str">
        <f t="shared" si="339"/>
        <v>800801</v>
      </c>
      <c r="BA585" s="1300" t="s">
        <v>1303</v>
      </c>
      <c r="BB585" s="1300" t="s">
        <v>1303</v>
      </c>
      <c r="BC585" s="1300" t="s">
        <v>1303</v>
      </c>
      <c r="BD585" s="1300" t="s">
        <v>1303</v>
      </c>
      <c r="BE585" s="1305"/>
      <c r="BF585" s="1300" t="s">
        <v>1303</v>
      </c>
      <c r="BG585" s="1300" t="s">
        <v>1303</v>
      </c>
      <c r="BH585" s="1300" t="s">
        <v>1303</v>
      </c>
      <c r="BI585" s="1301" t="s">
        <v>1303</v>
      </c>
      <c r="BJ585" s="1305"/>
      <c r="BK585" s="1300" t="s">
        <v>1303</v>
      </c>
      <c r="BL585" s="1301" t="s">
        <v>1303</v>
      </c>
      <c r="BM585" s="1300" t="s">
        <v>1303</v>
      </c>
      <c r="BN585" s="1301" t="s">
        <v>1303</v>
      </c>
    </row>
    <row r="586" spans="1:66" s="696" customFormat="1">
      <c r="A586" s="2958" t="str">
        <f t="shared" si="331"/>
        <v>800802</v>
      </c>
      <c r="B586" s="2233" t="str">
        <f>'BUS Deemed Savings Table'!C26</f>
        <v>800802_2024_12_</v>
      </c>
      <c r="C586" s="2724" t="str">
        <f>'BUS Deemed Savings Table'!G26</f>
        <v>Lighting BUS</v>
      </c>
      <c r="D586" s="2724"/>
      <c r="E586" s="2724"/>
      <c r="F586" s="2724"/>
      <c r="G586" s="2724" t="str">
        <f>'BUS Deemed Savings Table'!E26</f>
        <v>LED Replacing Interior T5 Fluorescent (Type C)</v>
      </c>
      <c r="H586" s="2554" t="str">
        <f>'BUS Deemed Savings Table'!D26</f>
        <v>C&amp;I   (only IE or BSS)</v>
      </c>
      <c r="I586" s="3840">
        <f>'BUS Deemed Savings Table'!F26</f>
        <v>286.79000000000002</v>
      </c>
      <c r="J586" s="3840"/>
      <c r="K586" s="3251"/>
      <c r="L586" s="3251"/>
      <c r="M586" s="3251"/>
      <c r="N586" s="3251"/>
      <c r="O586" s="3841">
        <f>'BUS Deemed Savings Table'!I26</f>
        <v>5.6223000000000002E-2</v>
      </c>
      <c r="P586" s="3841"/>
      <c r="Q586" s="3842"/>
      <c r="R586" s="3842"/>
      <c r="S586" s="3842"/>
      <c r="T586" s="3842"/>
      <c r="U586" s="3843">
        <f t="shared" si="332"/>
        <v>0</v>
      </c>
      <c r="V586" s="3843">
        <f t="shared" si="333"/>
        <v>5.6223000000000002E-2</v>
      </c>
      <c r="W586" s="3843">
        <f t="shared" si="334"/>
        <v>0</v>
      </c>
      <c r="X586" s="2846">
        <f>'BUS Deemed Savings Table'!J26</f>
        <v>11</v>
      </c>
      <c r="Y586" s="2846"/>
      <c r="Z586" s="2846">
        <f t="shared" si="335"/>
        <v>11</v>
      </c>
      <c r="AA586" s="2529">
        <f>'BUS Deemed Savings Table'!DG26</f>
        <v>13.613777657076202</v>
      </c>
      <c r="AB586" s="3878">
        <f>'BUS Deemed Savings Table'!K26</f>
        <v>13</v>
      </c>
      <c r="AC586" s="3968">
        <f t="shared" si="336"/>
        <v>176.97910954199062</v>
      </c>
      <c r="AD586" s="3968">
        <f t="shared" si="337"/>
        <v>0</v>
      </c>
      <c r="AE586" s="3865">
        <f>'BUS Deemed Savings Table'!DI26</f>
        <v>176.97910954199062</v>
      </c>
      <c r="AF586" s="3846"/>
      <c r="AG586" s="3846"/>
      <c r="AH586" s="3846"/>
      <c r="AI586" s="2233" t="str">
        <f>'BUS Deemed Savings Table'!L26</f>
        <v>per measure</v>
      </c>
      <c r="AJ586" s="2724"/>
      <c r="AX586" s="3849" t="str">
        <f t="shared" si="338"/>
        <v>LED Replacing Interior T5 Fluorescent (Type C)</v>
      </c>
      <c r="AY586" s="2724"/>
      <c r="AZ586" s="3850" t="str">
        <f t="shared" si="339"/>
        <v>800802</v>
      </c>
      <c r="BA586" s="3866" t="s">
        <v>1303</v>
      </c>
      <c r="BB586" s="3866" t="s">
        <v>1303</v>
      </c>
      <c r="BC586" s="3866" t="s">
        <v>1303</v>
      </c>
      <c r="BD586" s="3866" t="s">
        <v>1303</v>
      </c>
      <c r="BE586" s="3853"/>
      <c r="BF586" s="3866" t="s">
        <v>1303</v>
      </c>
      <c r="BG586" s="3866" t="s">
        <v>1303</v>
      </c>
      <c r="BH586" s="3866" t="s">
        <v>1303</v>
      </c>
      <c r="BI586" s="3867" t="s">
        <v>1303</v>
      </c>
      <c r="BJ586" s="3853"/>
      <c r="BK586" s="3866" t="s">
        <v>1303</v>
      </c>
      <c r="BL586" s="3867" t="s">
        <v>1303</v>
      </c>
      <c r="BM586" s="3866" t="s">
        <v>1303</v>
      </c>
      <c r="BN586" s="3867" t="s">
        <v>1303</v>
      </c>
    </row>
    <row r="587" spans="1:66" s="41" customFormat="1">
      <c r="A587" s="3962" t="str">
        <f t="shared" si="331"/>
        <v>800850</v>
      </c>
      <c r="B587" s="3963" t="str">
        <f>'BUS Deemed Savings Table'!C27</f>
        <v>800850_2024_12_</v>
      </c>
      <c r="C587" s="3963" t="str">
        <f>'BUS Deemed Savings Table'!G27</f>
        <v>Lighting BUS</v>
      </c>
      <c r="D587" s="3963"/>
      <c r="E587" s="3963"/>
      <c r="F587" s="3963"/>
      <c r="G587" s="3963" t="str">
        <f>'BUS Deemed Savings Table'!E27</f>
        <v xml:space="preserve">LED Replacing Interior T8 Fluorescent (Type A / Hybrid) </v>
      </c>
      <c r="H587" s="19" t="str">
        <f>'BUS Deemed Savings Table'!D27</f>
        <v>BSS</v>
      </c>
      <c r="I587" s="785">
        <f>'BUS Deemed Savings Table'!F27</f>
        <v>220.32</v>
      </c>
      <c r="J587" s="785"/>
      <c r="K587" s="202"/>
      <c r="L587" s="202"/>
      <c r="M587" s="202"/>
      <c r="N587" s="202"/>
      <c r="O587" s="786">
        <f>'BUS Deemed Savings Table'!I27</f>
        <v>4.3192000000000001E-2</v>
      </c>
      <c r="P587" s="786"/>
      <c r="Q587" s="787"/>
      <c r="R587" s="787"/>
      <c r="S587" s="787"/>
      <c r="T587" s="787"/>
      <c r="U587" s="788">
        <f t="shared" si="332"/>
        <v>0</v>
      </c>
      <c r="V587" s="788">
        <f t="shared" si="333"/>
        <v>4.3192000000000001E-2</v>
      </c>
      <c r="W587" s="788">
        <f t="shared" si="334"/>
        <v>0</v>
      </c>
      <c r="X587" s="23">
        <f>'BUS Deemed Savings Table'!J27</f>
        <v>10</v>
      </c>
      <c r="Y587" s="23"/>
      <c r="Z587" s="23">
        <f t="shared" si="335"/>
        <v>10</v>
      </c>
      <c r="AA587" s="18">
        <f>'BUS Deemed Savings Table'!DG27</f>
        <v>9.7384053923563574</v>
      </c>
      <c r="AB587" s="259">
        <f>'BUS Deemed Savings Table'!K27</f>
        <v>13</v>
      </c>
      <c r="AC587" s="790">
        <f t="shared" si="336"/>
        <v>126.59927010063264</v>
      </c>
      <c r="AD587" s="790">
        <f t="shared" si="337"/>
        <v>0</v>
      </c>
      <c r="AE587" s="610">
        <f>'BUS Deemed Savings Table'!DI27</f>
        <v>126.59927010063264</v>
      </c>
      <c r="AF587" s="208"/>
      <c r="AG587" s="208"/>
      <c r="AH587" s="208"/>
      <c r="AI587" s="1442" t="str">
        <f>'BUS Deemed Savings Table'!L27</f>
        <v>per measure</v>
      </c>
      <c r="AJ587" s="71"/>
      <c r="AK587"/>
      <c r="AL587"/>
      <c r="AM587"/>
      <c r="AN587"/>
      <c r="AO587"/>
      <c r="AP587"/>
      <c r="AQ587"/>
      <c r="AR587"/>
      <c r="AS587"/>
      <c r="AT587"/>
      <c r="AU587"/>
      <c r="AV587"/>
      <c r="AW587"/>
      <c r="AX587" s="1355" t="str">
        <f t="shared" si="338"/>
        <v xml:space="preserve">LED Replacing Interior T8 Fluorescent (Type A / Hybrid) </v>
      </c>
      <c r="AY587" s="1378"/>
      <c r="AZ587" s="1446" t="str">
        <f t="shared" si="339"/>
        <v>800850</v>
      </c>
      <c r="BA587" s="1300" t="s">
        <v>1303</v>
      </c>
      <c r="BB587" s="1300" t="s">
        <v>1303</v>
      </c>
      <c r="BC587" s="1300" t="s">
        <v>1303</v>
      </c>
      <c r="BD587" s="1300" t="s">
        <v>1303</v>
      </c>
      <c r="BE587" s="1306"/>
      <c r="BF587" s="1300" t="s">
        <v>1303</v>
      </c>
      <c r="BG587" s="1300" t="s">
        <v>1303</v>
      </c>
      <c r="BH587" s="1300" t="s">
        <v>1303</v>
      </c>
      <c r="BI587" s="1301" t="s">
        <v>1303</v>
      </c>
      <c r="BJ587" s="1305"/>
      <c r="BK587" s="1300" t="s">
        <v>1303</v>
      </c>
      <c r="BL587" s="1301" t="s">
        <v>1303</v>
      </c>
      <c r="BM587" s="1300" t="s">
        <v>1303</v>
      </c>
      <c r="BN587" s="1301" t="s">
        <v>1303</v>
      </c>
    </row>
    <row r="588" spans="1:66">
      <c r="A588" s="51" t="str">
        <f t="shared" si="331"/>
        <v>800851</v>
      </c>
      <c r="B588" s="1442" t="str">
        <f>'BUS Deemed Savings Table'!C28</f>
        <v>800851_2024_12_</v>
      </c>
      <c r="C588" s="1378" t="str">
        <f>'BUS Deemed Savings Table'!G28</f>
        <v>Lighting BUS</v>
      </c>
      <c r="D588" s="1378"/>
      <c r="E588" s="1378"/>
      <c r="F588" s="1378"/>
      <c r="G588" s="1378" t="str">
        <f>'BUS Deemed Savings Table'!E28</f>
        <v>LED Replacting Interior T8 Fluorescent (Type B, Kits, and Fixtures)</v>
      </c>
      <c r="H588" s="19" t="str">
        <f>'BUS Deemed Savings Table'!D28</f>
        <v>BSS/MFIE</v>
      </c>
      <c r="I588" s="785">
        <f>'BUS Deemed Savings Table'!F28</f>
        <v>200.02</v>
      </c>
      <c r="J588" s="785"/>
      <c r="K588" s="202"/>
      <c r="L588" s="202"/>
      <c r="M588" s="202"/>
      <c r="N588" s="202"/>
      <c r="O588" s="786">
        <f>'BUS Deemed Savings Table'!I28</f>
        <v>3.9211999999999997E-2</v>
      </c>
      <c r="P588" s="786"/>
      <c r="Q588" s="787"/>
      <c r="R588" s="787"/>
      <c r="S588" s="787"/>
      <c r="T588" s="787"/>
      <c r="U588" s="788">
        <f t="shared" si="332"/>
        <v>0</v>
      </c>
      <c r="V588" s="788">
        <f t="shared" si="333"/>
        <v>0</v>
      </c>
      <c r="W588" s="788">
        <f t="shared" si="334"/>
        <v>3.9211999999999997E-2</v>
      </c>
      <c r="X588" s="23">
        <f>'BUS Deemed Savings Table'!J28</f>
        <v>15</v>
      </c>
      <c r="Y588" s="23"/>
      <c r="Z588" s="23">
        <f t="shared" si="335"/>
        <v>15</v>
      </c>
      <c r="AA588" s="18">
        <f>'BUS Deemed Savings Table'!DG28</f>
        <v>11.82801193518895</v>
      </c>
      <c r="AB588" s="259">
        <f>'BUS Deemed Savings Table'!K28</f>
        <v>13</v>
      </c>
      <c r="AC588" s="790">
        <f t="shared" si="336"/>
        <v>153.76415515745634</v>
      </c>
      <c r="AD588" s="790">
        <f t="shared" si="337"/>
        <v>0</v>
      </c>
      <c r="AE588" s="610">
        <f>'BUS Deemed Savings Table'!DI28</f>
        <v>153.76415515745634</v>
      </c>
      <c r="AF588" s="208"/>
      <c r="AG588" s="208"/>
      <c r="AH588" s="208"/>
      <c r="AI588" s="1442" t="str">
        <f>'BUS Deemed Savings Table'!L28</f>
        <v>per measure</v>
      </c>
      <c r="AJ588" s="676"/>
      <c r="AK588" s="41"/>
      <c r="AL588" s="41"/>
      <c r="AX588" s="1355" t="str">
        <f t="shared" si="338"/>
        <v>LED Replacting Interior T8 Fluorescent (Type B, Kits, and Fixtures)</v>
      </c>
      <c r="AY588" s="1378"/>
      <c r="AZ588" s="1446" t="str">
        <f t="shared" si="339"/>
        <v>800851</v>
      </c>
      <c r="BA588" s="1300" t="s">
        <v>1303</v>
      </c>
      <c r="BB588" s="1300" t="s">
        <v>1303</v>
      </c>
      <c r="BC588" s="1300" t="s">
        <v>1303</v>
      </c>
      <c r="BD588" s="1300" t="s">
        <v>1303</v>
      </c>
      <c r="BE588" s="1305"/>
      <c r="BF588" s="1300" t="s">
        <v>1303</v>
      </c>
      <c r="BG588" s="1300" t="s">
        <v>1303</v>
      </c>
      <c r="BH588" s="1300" t="s">
        <v>1303</v>
      </c>
      <c r="BI588" s="1301" t="s">
        <v>1303</v>
      </c>
      <c r="BJ588" s="1305"/>
      <c r="BK588" s="1300" t="s">
        <v>1303</v>
      </c>
      <c r="BL588" s="1301" t="s">
        <v>1303</v>
      </c>
      <c r="BM588" s="1300" t="s">
        <v>1303</v>
      </c>
      <c r="BN588" s="1301" t="s">
        <v>1303</v>
      </c>
    </row>
    <row r="589" spans="1:66" s="696" customFormat="1">
      <c r="A589" s="2958" t="str">
        <f t="shared" si="331"/>
        <v>800852</v>
      </c>
      <c r="B589" s="2233" t="str">
        <f>'BUS Deemed Savings Table'!C29</f>
        <v>800852_2024_12_</v>
      </c>
      <c r="C589" s="2724" t="str">
        <f>'BUS Deemed Savings Table'!G29</f>
        <v>Lighting BUS</v>
      </c>
      <c r="D589" s="2724"/>
      <c r="E589" s="2724"/>
      <c r="F589" s="2724"/>
      <c r="G589" s="2724" t="str">
        <f>'BUS Deemed Savings Table'!E29</f>
        <v>LED Replacting Interior T8 Fluorescent (Type C)</v>
      </c>
      <c r="H589" s="2554" t="str">
        <f>'BUS Deemed Savings Table'!D29</f>
        <v>C&amp;I   (only IE or BSS)</v>
      </c>
      <c r="I589" s="3840">
        <f>'BUS Deemed Savings Table'!F29</f>
        <v>169.72</v>
      </c>
      <c r="J589" s="3840"/>
      <c r="K589" s="3251"/>
      <c r="L589" s="3251"/>
      <c r="M589" s="3251"/>
      <c r="N589" s="3251"/>
      <c r="O589" s="3841">
        <f>'BUS Deemed Savings Table'!I29</f>
        <v>3.3272000000000003E-2</v>
      </c>
      <c r="P589" s="3841"/>
      <c r="Q589" s="3842"/>
      <c r="R589" s="3842"/>
      <c r="S589" s="3842"/>
      <c r="T589" s="3842"/>
      <c r="U589" s="3843">
        <f t="shared" si="332"/>
        <v>0</v>
      </c>
      <c r="V589" s="3843">
        <f t="shared" si="333"/>
        <v>3.3272000000000003E-2</v>
      </c>
      <c r="W589" s="3843">
        <f t="shared" si="334"/>
        <v>0</v>
      </c>
      <c r="X589" s="2846">
        <f>'BUS Deemed Savings Table'!J29</f>
        <v>11</v>
      </c>
      <c r="Y589" s="2846"/>
      <c r="Z589" s="2846">
        <f t="shared" si="335"/>
        <v>11</v>
      </c>
      <c r="AA589" s="2529">
        <f>'BUS Deemed Savings Table'!DG29</f>
        <v>8.0565233932807025</v>
      </c>
      <c r="AB589" s="3878">
        <f>'BUS Deemed Savings Table'!K29</f>
        <v>13</v>
      </c>
      <c r="AC589" s="3968">
        <f t="shared" si="336"/>
        <v>104.73480411264913</v>
      </c>
      <c r="AD589" s="3968">
        <f t="shared" si="337"/>
        <v>0</v>
      </c>
      <c r="AE589" s="3865">
        <f>'BUS Deemed Savings Table'!DI29</f>
        <v>104.73480411264913</v>
      </c>
      <c r="AF589" s="3846"/>
      <c r="AG589" s="3846"/>
      <c r="AH589" s="3846"/>
      <c r="AI589" s="2233" t="str">
        <f>'BUS Deemed Savings Table'!L29</f>
        <v>per measure</v>
      </c>
      <c r="AJ589" s="2724"/>
      <c r="AX589" s="3849" t="str">
        <f t="shared" si="338"/>
        <v>LED Replacting Interior T8 Fluorescent (Type C)</v>
      </c>
      <c r="AY589" s="2724"/>
      <c r="AZ589" s="3850" t="str">
        <f t="shared" si="339"/>
        <v>800852</v>
      </c>
      <c r="BA589" s="3866" t="s">
        <v>1303</v>
      </c>
      <c r="BB589" s="3866" t="s">
        <v>1303</v>
      </c>
      <c r="BC589" s="3866" t="s">
        <v>1303</v>
      </c>
      <c r="BD589" s="3866" t="s">
        <v>1303</v>
      </c>
      <c r="BE589" s="3853"/>
      <c r="BF589" s="3866" t="s">
        <v>1303</v>
      </c>
      <c r="BG589" s="3866" t="s">
        <v>1303</v>
      </c>
      <c r="BH589" s="3866" t="s">
        <v>1303</v>
      </c>
      <c r="BI589" s="3867" t="s">
        <v>1303</v>
      </c>
      <c r="BJ589" s="3853"/>
      <c r="BK589" s="3866" t="s">
        <v>1303</v>
      </c>
      <c r="BL589" s="3867" t="s">
        <v>1303</v>
      </c>
      <c r="BM589" s="3866" t="s">
        <v>1303</v>
      </c>
      <c r="BN589" s="3867" t="s">
        <v>1303</v>
      </c>
    </row>
    <row r="590" spans="1:66" s="41" customFormat="1">
      <c r="A590" s="3962" t="str">
        <f t="shared" si="331"/>
        <v>800900</v>
      </c>
      <c r="B590" s="3963" t="str">
        <f>'BUS Deemed Savings Table'!C30</f>
        <v>800900_2024_12_</v>
      </c>
      <c r="C590" s="3963" t="str">
        <f>'BUS Deemed Savings Table'!G30</f>
        <v>Lighting BUS</v>
      </c>
      <c r="D590" s="3963"/>
      <c r="E590" s="3963"/>
      <c r="F590" s="3963"/>
      <c r="G590" s="3963" t="str">
        <f>'BUS Deemed Savings Table'!E30</f>
        <v xml:space="preserve">LED Replacing Interior T12 Fluorescent (Type A / Hybrid) </v>
      </c>
      <c r="H590" s="19" t="str">
        <f>'BUS Deemed Savings Table'!D30</f>
        <v>BSS</v>
      </c>
      <c r="I590" s="785">
        <f>'BUS Deemed Savings Table'!F30</f>
        <v>186.88</v>
      </c>
      <c r="J590" s="785"/>
      <c r="K590" s="202"/>
      <c r="L590" s="202"/>
      <c r="M590" s="202"/>
      <c r="N590" s="202"/>
      <c r="O590" s="786">
        <f>'BUS Deemed Savings Table'!I30</f>
        <v>3.6636000000000002E-2</v>
      </c>
      <c r="P590" s="786"/>
      <c r="Q590" s="787"/>
      <c r="R590" s="787"/>
      <c r="S590" s="787"/>
      <c r="T590" s="787"/>
      <c r="U590" s="788">
        <f t="shared" si="332"/>
        <v>0</v>
      </c>
      <c r="V590" s="788">
        <f t="shared" si="333"/>
        <v>3.6636000000000002E-2</v>
      </c>
      <c r="W590" s="788">
        <f t="shared" si="334"/>
        <v>0</v>
      </c>
      <c r="X590" s="23">
        <f>'BUS Deemed Savings Table'!J30</f>
        <v>10</v>
      </c>
      <c r="Y590" s="23"/>
      <c r="Z590" s="23">
        <f t="shared" si="335"/>
        <v>10</v>
      </c>
      <c r="AA590" s="18">
        <f>'BUS Deemed Savings Table'!DG30</f>
        <v>8.2603177184257266</v>
      </c>
      <c r="AB590" s="259">
        <f>'BUS Deemed Savings Table'!K30</f>
        <v>13</v>
      </c>
      <c r="AC590" s="790">
        <f t="shared" si="336"/>
        <v>107.38413033953444</v>
      </c>
      <c r="AD590" s="790">
        <f t="shared" si="337"/>
        <v>0</v>
      </c>
      <c r="AE590" s="610">
        <f>'BUS Deemed Savings Table'!DI30</f>
        <v>107.38413033953444</v>
      </c>
      <c r="AF590" s="208"/>
      <c r="AG590" s="208"/>
      <c r="AH590" s="208"/>
      <c r="AI590" s="1442" t="str">
        <f>'BUS Deemed Savings Table'!L30</f>
        <v>per measure</v>
      </c>
      <c r="AJ590" s="71"/>
      <c r="AK590"/>
      <c r="AL590"/>
      <c r="AM590"/>
      <c r="AN590"/>
      <c r="AO590"/>
      <c r="AP590"/>
      <c r="AQ590"/>
      <c r="AR590"/>
      <c r="AS590"/>
      <c r="AT590"/>
      <c r="AU590"/>
      <c r="AV590"/>
      <c r="AW590"/>
      <c r="AX590" s="1355" t="str">
        <f t="shared" si="338"/>
        <v xml:space="preserve">LED Replacing Interior T12 Fluorescent (Type A / Hybrid) </v>
      </c>
      <c r="AY590" s="1378"/>
      <c r="AZ590" s="1446" t="str">
        <f t="shared" si="339"/>
        <v>800900</v>
      </c>
      <c r="BA590" s="1300" t="s">
        <v>1303</v>
      </c>
      <c r="BB590" s="1300" t="s">
        <v>1303</v>
      </c>
      <c r="BC590" s="1300" t="s">
        <v>1303</v>
      </c>
      <c r="BD590" s="1300" t="s">
        <v>1303</v>
      </c>
      <c r="BE590" s="1306"/>
      <c r="BF590" s="1300" t="s">
        <v>1303</v>
      </c>
      <c r="BG590" s="1300" t="s">
        <v>1303</v>
      </c>
      <c r="BH590" s="1300" t="s">
        <v>1303</v>
      </c>
      <c r="BI590" s="1301" t="s">
        <v>1303</v>
      </c>
      <c r="BJ590" s="1305"/>
      <c r="BK590" s="1300" t="s">
        <v>1303</v>
      </c>
      <c r="BL590" s="1301" t="s">
        <v>1303</v>
      </c>
      <c r="BM590" s="1300" t="s">
        <v>1303</v>
      </c>
      <c r="BN590" s="1301" t="s">
        <v>1303</v>
      </c>
    </row>
    <row r="591" spans="1:66">
      <c r="A591" s="51" t="str">
        <f t="shared" si="331"/>
        <v>800901</v>
      </c>
      <c r="B591" s="1442" t="str">
        <f>'BUS Deemed Savings Table'!C31</f>
        <v>800901_2024_12_</v>
      </c>
      <c r="C591" s="1378" t="str">
        <f>'BUS Deemed Savings Table'!G31</f>
        <v>Lighting BUS</v>
      </c>
      <c r="D591" s="1378"/>
      <c r="E591" s="1378"/>
      <c r="F591" s="1378"/>
      <c r="G591" s="1378" t="str">
        <f>'BUS Deemed Savings Table'!E31</f>
        <v xml:space="preserve">LED Replacing Interior T12 Fluorescent (Type B, Kits, and Fixtures) </v>
      </c>
      <c r="H591" s="19" t="str">
        <f>'BUS Deemed Savings Table'!D31</f>
        <v>BSS</v>
      </c>
      <c r="I591" s="785">
        <f>'BUS Deemed Savings Table'!F31</f>
        <v>254.96</v>
      </c>
      <c r="J591" s="785"/>
      <c r="K591" s="202"/>
      <c r="L591" s="202"/>
      <c r="M591" s="202"/>
      <c r="N591" s="202"/>
      <c r="O591" s="786">
        <f>'BUS Deemed Savings Table'!I31</f>
        <v>4.9983E-2</v>
      </c>
      <c r="P591" s="786"/>
      <c r="Q591" s="787"/>
      <c r="R591" s="787"/>
      <c r="S591" s="787"/>
      <c r="T591" s="787"/>
      <c r="U591" s="788">
        <f t="shared" si="332"/>
        <v>0</v>
      </c>
      <c r="V591" s="788">
        <f t="shared" si="333"/>
        <v>0</v>
      </c>
      <c r="W591" s="788">
        <f t="shared" si="334"/>
        <v>4.9983E-2</v>
      </c>
      <c r="X591" s="23">
        <f>'BUS Deemed Savings Table'!J31</f>
        <v>15</v>
      </c>
      <c r="Y591" s="23"/>
      <c r="Z591" s="23">
        <f t="shared" si="335"/>
        <v>15</v>
      </c>
      <c r="AA591" s="18">
        <f>'BUS Deemed Savings Table'!DG31</f>
        <v>15.076841930785795</v>
      </c>
      <c r="AB591" s="259">
        <f>'BUS Deemed Savings Table'!K31</f>
        <v>13</v>
      </c>
      <c r="AC591" s="790">
        <f t="shared" si="336"/>
        <v>195.99894510021534</v>
      </c>
      <c r="AD591" s="790">
        <f t="shared" si="337"/>
        <v>0</v>
      </c>
      <c r="AE591" s="610">
        <f>'BUS Deemed Savings Table'!DI31</f>
        <v>195.99894510021534</v>
      </c>
      <c r="AF591" s="208"/>
      <c r="AG591" s="208"/>
      <c r="AH591" s="208"/>
      <c r="AI591" s="1442" t="str">
        <f>'BUS Deemed Savings Table'!L31</f>
        <v>per measure</v>
      </c>
      <c r="AJ591" s="676"/>
      <c r="AK591" s="41"/>
      <c r="AL591" s="41"/>
      <c r="AX591" s="1355" t="str">
        <f t="shared" si="338"/>
        <v xml:space="preserve">LED Replacing Interior T12 Fluorescent (Type B, Kits, and Fixtures) </v>
      </c>
      <c r="AY591" s="1378"/>
      <c r="AZ591" s="1446" t="str">
        <f t="shared" si="339"/>
        <v>800901</v>
      </c>
      <c r="BA591" s="1300" t="s">
        <v>1303</v>
      </c>
      <c r="BB591" s="1300" t="s">
        <v>1303</v>
      </c>
      <c r="BC591" s="1300" t="s">
        <v>1303</v>
      </c>
      <c r="BD591" s="1300" t="s">
        <v>1303</v>
      </c>
      <c r="BE591" s="1305"/>
      <c r="BF591" s="1300" t="s">
        <v>1303</v>
      </c>
      <c r="BG591" s="1300" t="s">
        <v>1303</v>
      </c>
      <c r="BH591" s="1300" t="s">
        <v>1303</v>
      </c>
      <c r="BI591" s="1301" t="s">
        <v>1303</v>
      </c>
      <c r="BJ591" s="1305"/>
      <c r="BK591" s="1300" t="s">
        <v>1303</v>
      </c>
      <c r="BL591" s="1301" t="s">
        <v>1303</v>
      </c>
      <c r="BM591" s="1300" t="s">
        <v>1303</v>
      </c>
      <c r="BN591" s="1301" t="s">
        <v>1303</v>
      </c>
    </row>
    <row r="592" spans="1:66" s="696" customFormat="1">
      <c r="A592" s="2958" t="str">
        <f t="shared" si="331"/>
        <v>800902</v>
      </c>
      <c r="B592" s="2233" t="str">
        <f>'BUS Deemed Savings Table'!C32</f>
        <v>800902_2024_12_</v>
      </c>
      <c r="C592" s="2724" t="str">
        <f>'BUS Deemed Savings Table'!G32</f>
        <v>Lighting BUS</v>
      </c>
      <c r="D592" s="2724"/>
      <c r="E592" s="2724"/>
      <c r="F592" s="2724"/>
      <c r="G592" s="2724" t="str">
        <f>'BUS Deemed Savings Table'!E32</f>
        <v>LED Replacing Interior T12 Fluorescent (Type C)</v>
      </c>
      <c r="H592" s="2554" t="str">
        <f>'BUS Deemed Savings Table'!D32</f>
        <v>C&amp;I   (only IE or BSS)</v>
      </c>
      <c r="I592" s="3840">
        <f>'BUS Deemed Savings Table'!F32</f>
        <v>266.5</v>
      </c>
      <c r="J592" s="3840"/>
      <c r="K592" s="3251"/>
      <c r="L592" s="3251"/>
      <c r="M592" s="3251"/>
      <c r="N592" s="3251"/>
      <c r="O592" s="3841">
        <f>'BUS Deemed Savings Table'!I32</f>
        <v>5.2245E-2</v>
      </c>
      <c r="P592" s="3841"/>
      <c r="Q592" s="3842"/>
      <c r="R592" s="3842"/>
      <c r="S592" s="3842"/>
      <c r="T592" s="3842"/>
      <c r="U592" s="3843">
        <f t="shared" si="332"/>
        <v>0</v>
      </c>
      <c r="V592" s="3843">
        <f t="shared" si="333"/>
        <v>5.2245E-2</v>
      </c>
      <c r="W592" s="3843">
        <f t="shared" si="334"/>
        <v>0</v>
      </c>
      <c r="X592" s="2846">
        <f>'BUS Deemed Savings Table'!J32</f>
        <v>11</v>
      </c>
      <c r="Y592" s="2846"/>
      <c r="Z592" s="2846">
        <f t="shared" si="335"/>
        <v>11</v>
      </c>
      <c r="AA592" s="2529">
        <f>'BUS Deemed Savings Table'!DG32</f>
        <v>12.650621519616468</v>
      </c>
      <c r="AB592" s="3878">
        <f>'BUS Deemed Savings Table'!K32</f>
        <v>13</v>
      </c>
      <c r="AC592" s="3968">
        <f t="shared" si="336"/>
        <v>164.4580797550141</v>
      </c>
      <c r="AD592" s="3968">
        <f t="shared" si="337"/>
        <v>0</v>
      </c>
      <c r="AE592" s="3865">
        <f>'BUS Deemed Savings Table'!DI32</f>
        <v>164.4580797550141</v>
      </c>
      <c r="AF592" s="3846"/>
      <c r="AG592" s="3846"/>
      <c r="AH592" s="3846"/>
      <c r="AI592" s="2233" t="str">
        <f>'BUS Deemed Savings Table'!L32</f>
        <v>per measure</v>
      </c>
      <c r="AJ592" s="2724"/>
      <c r="AX592" s="3849" t="str">
        <f t="shared" si="338"/>
        <v>LED Replacing Interior T12 Fluorescent (Type C)</v>
      </c>
      <c r="AY592" s="2724"/>
      <c r="AZ592" s="3850" t="str">
        <f t="shared" si="339"/>
        <v>800902</v>
      </c>
      <c r="BA592" s="3866" t="s">
        <v>1303</v>
      </c>
      <c r="BB592" s="3866" t="s">
        <v>1303</v>
      </c>
      <c r="BC592" s="3866" t="s">
        <v>1303</v>
      </c>
      <c r="BD592" s="3866" t="s">
        <v>1303</v>
      </c>
      <c r="BE592" s="3853"/>
      <c r="BF592" s="3866" t="s">
        <v>1303</v>
      </c>
      <c r="BG592" s="3866" t="s">
        <v>1303</v>
      </c>
      <c r="BH592" s="3866" t="s">
        <v>1303</v>
      </c>
      <c r="BI592" s="3867" t="s">
        <v>1303</v>
      </c>
      <c r="BJ592" s="3853"/>
      <c r="BK592" s="3866" t="s">
        <v>1303</v>
      </c>
      <c r="BL592" s="3867" t="s">
        <v>1303</v>
      </c>
      <c r="BM592" s="3866" t="s">
        <v>1303</v>
      </c>
      <c r="BN592" s="3867" t="s">
        <v>1303</v>
      </c>
    </row>
    <row r="593" spans="1:66" s="41" customFormat="1">
      <c r="A593" s="3962" t="str">
        <f t="shared" si="331"/>
        <v>800950</v>
      </c>
      <c r="B593" s="3963" t="str">
        <f>'BUS Deemed Savings Table'!C33</f>
        <v>800950_2024_12_</v>
      </c>
      <c r="C593" s="3963" t="str">
        <f>'BUS Deemed Savings Table'!G33</f>
        <v>Lighting BUS</v>
      </c>
      <c r="D593" s="3963"/>
      <c r="E593" s="3963"/>
      <c r="F593" s="3963"/>
      <c r="G593" s="3963" t="str">
        <f>'BUS Deemed Savings Table'!E33</f>
        <v xml:space="preserve">LED Specialty Lamp </v>
      </c>
      <c r="H593" s="19" t="str">
        <f>'BUS Deemed Savings Table'!D33</f>
        <v>BSS/MFIE</v>
      </c>
      <c r="I593" s="785">
        <f>'BUS Deemed Savings Table'!F33</f>
        <v>94.51</v>
      </c>
      <c r="J593" s="785"/>
      <c r="K593" s="202"/>
      <c r="L593" s="202"/>
      <c r="M593" s="202"/>
      <c r="N593" s="202"/>
      <c r="O593" s="786">
        <f>'BUS Deemed Savings Table'!I33</f>
        <v>1.8527999999999999E-2</v>
      </c>
      <c r="P593" s="786"/>
      <c r="Q593" s="787"/>
      <c r="R593" s="787"/>
      <c r="S593" s="787"/>
      <c r="T593" s="787"/>
      <c r="U593" s="788">
        <f t="shared" si="332"/>
        <v>0</v>
      </c>
      <c r="V593" s="788">
        <f t="shared" si="333"/>
        <v>1.8527999999999999E-2</v>
      </c>
      <c r="W593" s="788">
        <f t="shared" si="334"/>
        <v>0</v>
      </c>
      <c r="X593" s="23">
        <f>'BUS Deemed Savings Table'!J33</f>
        <v>10</v>
      </c>
      <c r="Y593" s="23"/>
      <c r="Z593" s="23">
        <f t="shared" si="335"/>
        <v>10</v>
      </c>
      <c r="AA593" s="18">
        <f>'BUS Deemed Savings Table'!DG33</f>
        <v>4.5483168905266744</v>
      </c>
      <c r="AB593" s="259">
        <f>'BUS Deemed Savings Table'!K33</f>
        <v>11.94</v>
      </c>
      <c r="AC593" s="790">
        <f t="shared" si="336"/>
        <v>54.306903672888488</v>
      </c>
      <c r="AD593" s="790">
        <f t="shared" si="337"/>
        <v>0</v>
      </c>
      <c r="AE593" s="610">
        <f>'BUS Deemed Savings Table'!DI33</f>
        <v>54.306903672888488</v>
      </c>
      <c r="AF593" s="208"/>
      <c r="AG593" s="208"/>
      <c r="AH593" s="208"/>
      <c r="AI593" s="1442" t="str">
        <f>'BUS Deemed Savings Table'!L33</f>
        <v>per measure</v>
      </c>
      <c r="AJ593" s="71"/>
      <c r="AK593"/>
      <c r="AL593"/>
      <c r="AM593"/>
      <c r="AN593"/>
      <c r="AO593"/>
      <c r="AP593"/>
      <c r="AQ593"/>
      <c r="AR593"/>
      <c r="AS593"/>
      <c r="AT593"/>
      <c r="AU593"/>
      <c r="AV593"/>
      <c r="AW593"/>
      <c r="AX593" s="1355" t="str">
        <f t="shared" si="338"/>
        <v xml:space="preserve">LED Specialty Lamp </v>
      </c>
      <c r="AY593" s="1378"/>
      <c r="AZ593" s="1446" t="str">
        <f t="shared" si="339"/>
        <v>800950</v>
      </c>
      <c r="BA593" s="1300" t="s">
        <v>1303</v>
      </c>
      <c r="BB593" s="1300" t="s">
        <v>1303</v>
      </c>
      <c r="BC593" s="1300" t="s">
        <v>1303</v>
      </c>
      <c r="BD593" s="1300" t="s">
        <v>1303</v>
      </c>
      <c r="BE593" s="1306"/>
      <c r="BF593" s="1300" t="s">
        <v>1303</v>
      </c>
      <c r="BG593" s="1300" t="s">
        <v>1303</v>
      </c>
      <c r="BH593" s="1300" t="s">
        <v>1303</v>
      </c>
      <c r="BI593" s="1301" t="s">
        <v>1303</v>
      </c>
      <c r="BJ593" s="1305"/>
      <c r="BK593" s="1300" t="s">
        <v>1303</v>
      </c>
      <c r="BL593" s="1301" t="s">
        <v>1303</v>
      </c>
      <c r="BM593" s="1300" t="s">
        <v>1303</v>
      </c>
      <c r="BN593" s="1301" t="s">
        <v>1303</v>
      </c>
    </row>
    <row r="594" spans="1:66" s="696" customFormat="1">
      <c r="A594" s="2958" t="str">
        <f t="shared" si="331"/>
        <v>800980</v>
      </c>
      <c r="B594" s="2233" t="str">
        <f>'BUS Deemed Savings Table'!C34</f>
        <v>800980_2024_12_</v>
      </c>
      <c r="C594" s="2724" t="str">
        <f>'BUS Deemed Savings Table'!G34</f>
        <v>Lighting BUS</v>
      </c>
      <c r="D594" s="2724"/>
      <c r="E594" s="2724"/>
      <c r="F594" s="2724"/>
      <c r="G594" s="2724" t="str">
        <f>'BUS Deemed Savings Table'!E34</f>
        <v xml:space="preserve">LED Lighting Redesign </v>
      </c>
      <c r="H594" s="2554" t="str">
        <f>'BUS Deemed Savings Table'!D34</f>
        <v>C&amp;I   (only IE or BSS)</v>
      </c>
      <c r="I594" s="3840">
        <f>'BUS Deemed Savings Table'!F34</f>
        <v>73003.89</v>
      </c>
      <c r="J594" s="3840"/>
      <c r="K594" s="3251"/>
      <c r="L594" s="3251"/>
      <c r="M594" s="3251"/>
      <c r="N594" s="3251"/>
      <c r="O594" s="3841">
        <f>'BUS Deemed Savings Table'!I34</f>
        <v>14.311852999999999</v>
      </c>
      <c r="P594" s="3841"/>
      <c r="Q594" s="3842"/>
      <c r="R594" s="3842"/>
      <c r="S594" s="3842"/>
      <c r="T594" s="3842"/>
      <c r="U594" s="3843">
        <f t="shared" si="332"/>
        <v>0</v>
      </c>
      <c r="V594" s="3843">
        <f t="shared" si="333"/>
        <v>0</v>
      </c>
      <c r="W594" s="3843">
        <f t="shared" si="334"/>
        <v>14.311852999999999</v>
      </c>
      <c r="X594" s="2846">
        <f>'BUS Deemed Savings Table'!J34</f>
        <v>15</v>
      </c>
      <c r="Y594" s="2846"/>
      <c r="Z594" s="2846">
        <f t="shared" si="335"/>
        <v>15</v>
      </c>
      <c r="AA594" s="2529">
        <f>'BUS Deemed Savings Table'!DG34</f>
        <v>5.6121295215767804</v>
      </c>
      <c r="AB594" s="3878">
        <f>'BUS Deemed Savings Table'!K34</f>
        <v>10000</v>
      </c>
      <c r="AC594" s="3968">
        <f t="shared" si="336"/>
        <v>56121.295215767801</v>
      </c>
      <c r="AD594" s="3968">
        <f t="shared" si="337"/>
        <v>0</v>
      </c>
      <c r="AE594" s="3865">
        <f>'BUS Deemed Savings Table'!DI34</f>
        <v>56121.295215767801</v>
      </c>
      <c r="AF594" s="3846"/>
      <c r="AG594" s="3846"/>
      <c r="AH594" s="3846"/>
      <c r="AI594" s="2233" t="str">
        <f>'BUS Deemed Savings Table'!L34</f>
        <v>per project</v>
      </c>
      <c r="AJ594" s="2724"/>
      <c r="AX594" s="3849" t="str">
        <f t="shared" si="338"/>
        <v xml:space="preserve">LED Lighting Redesign </v>
      </c>
      <c r="AY594" s="2724"/>
      <c r="AZ594" s="3850" t="str">
        <f t="shared" si="339"/>
        <v>800980</v>
      </c>
      <c r="BA594" s="3866" t="s">
        <v>1303</v>
      </c>
      <c r="BB594" s="3866" t="s">
        <v>1303</v>
      </c>
      <c r="BC594" s="3866" t="s">
        <v>1303</v>
      </c>
      <c r="BD594" s="3866" t="s">
        <v>1303</v>
      </c>
      <c r="BE594" s="3853"/>
      <c r="BF594" s="3866" t="s">
        <v>1303</v>
      </c>
      <c r="BG594" s="3866" t="s">
        <v>1303</v>
      </c>
      <c r="BH594" s="3866" t="s">
        <v>1303</v>
      </c>
      <c r="BI594" s="3867" t="s">
        <v>1303</v>
      </c>
      <c r="BJ594" s="3853"/>
      <c r="BK594" s="3866" t="s">
        <v>1303</v>
      </c>
      <c r="BL594" s="3867" t="s">
        <v>1303</v>
      </c>
      <c r="BM594" s="3866" t="s">
        <v>1303</v>
      </c>
      <c r="BN594" s="3867" t="s">
        <v>1303</v>
      </c>
    </row>
    <row r="595" spans="1:66" s="696" customFormat="1">
      <c r="A595" s="2958" t="str">
        <f t="shared" si="331"/>
        <v>800990</v>
      </c>
      <c r="B595" s="3860" t="str">
        <f>'BUS Deemed Savings Table'!C80</f>
        <v>800990_2024_12_</v>
      </c>
      <c r="C595" s="2724" t="str">
        <f>'BUS Deemed Savings Table'!G80</f>
        <v>Lighting BUS</v>
      </c>
      <c r="D595" s="2724"/>
      <c r="E595" s="2724"/>
      <c r="F595" s="2724"/>
      <c r="G595" s="2724" t="str">
        <f>'BUS Deemed Savings Table'!E80</f>
        <v>Lighting Power Density</v>
      </c>
      <c r="H595" s="2554" t="str">
        <f>'BUS Deemed Savings Table'!D80</f>
        <v>BSS/MFIE</v>
      </c>
      <c r="I595" s="3840">
        <f>'BUS Deemed Savings Table'!F80</f>
        <v>0.67</v>
      </c>
      <c r="J595" s="3840"/>
      <c r="K595" s="3251"/>
      <c r="L595" s="3251"/>
      <c r="M595" s="3251"/>
      <c r="N595" s="3251"/>
      <c r="O595" s="3841">
        <f>'BUS Deemed Savings Table'!I80</f>
        <v>1.3100000000000001E-4</v>
      </c>
      <c r="P595" s="3841"/>
      <c r="Q595" s="3842"/>
      <c r="R595" s="3842"/>
      <c r="S595" s="3842"/>
      <c r="T595" s="3842"/>
      <c r="U595" s="3843">
        <f t="shared" si="332"/>
        <v>0</v>
      </c>
      <c r="V595" s="3843">
        <f t="shared" si="333"/>
        <v>0</v>
      </c>
      <c r="W595" s="3843">
        <f t="shared" si="334"/>
        <v>1.3100000000000001E-4</v>
      </c>
      <c r="X595" s="2846">
        <f>'BUS Deemed Savings Table'!J80</f>
        <v>15</v>
      </c>
      <c r="Y595" s="2846"/>
      <c r="Z595" s="2846">
        <f t="shared" si="335"/>
        <v>15</v>
      </c>
      <c r="AA595" s="2529">
        <f>'BUS Deemed Savings Table'!DG80</f>
        <v>2.3411746088003871</v>
      </c>
      <c r="AB595" s="3878">
        <f>'BUS Deemed Savings Table'!K80</f>
        <v>0.22</v>
      </c>
      <c r="AC595" s="3968">
        <f t="shared" si="336"/>
        <v>0.5150584139360852</v>
      </c>
      <c r="AD595" s="3968">
        <f t="shared" si="337"/>
        <v>0</v>
      </c>
      <c r="AE595" s="3865">
        <f>'BUS Deemed Savings Table'!DI80</f>
        <v>0.5150584139360852</v>
      </c>
      <c r="AF595" s="3846"/>
      <c r="AG595" s="3846"/>
      <c r="AH595" s="3846"/>
      <c r="AI595" s="2233" t="str">
        <f>'BUS Deemed Savings Table'!L80</f>
        <v>per sqft</v>
      </c>
      <c r="AJ595" s="2724"/>
      <c r="AX595" s="3849" t="str">
        <f t="shared" si="338"/>
        <v>Lighting Power Density</v>
      </c>
      <c r="AY595" s="2724"/>
      <c r="AZ595" s="3850" t="str">
        <f t="shared" si="339"/>
        <v>800990</v>
      </c>
      <c r="BA595" s="3866" t="s">
        <v>1303</v>
      </c>
      <c r="BB595" s="3866" t="s">
        <v>1303</v>
      </c>
      <c r="BC595" s="3866" t="s">
        <v>1303</v>
      </c>
      <c r="BD595" s="3866" t="s">
        <v>1303</v>
      </c>
      <c r="BE595" s="3853"/>
      <c r="BF595" s="3866" t="s">
        <v>1303</v>
      </c>
      <c r="BG595" s="3866" t="s">
        <v>1303</v>
      </c>
      <c r="BH595" s="3866" t="s">
        <v>1303</v>
      </c>
      <c r="BI595" s="3867" t="s">
        <v>1303</v>
      </c>
      <c r="BJ595" s="3853"/>
      <c r="BK595" s="3866" t="s">
        <v>1303</v>
      </c>
      <c r="BL595" s="3867" t="s">
        <v>1303</v>
      </c>
      <c r="BM595" s="3866" t="s">
        <v>1303</v>
      </c>
      <c r="BN595" s="3867" t="s">
        <v>1303</v>
      </c>
    </row>
    <row r="596" spans="1:66" s="41" customFormat="1">
      <c r="A596" s="51" t="str">
        <f t="shared" si="331"/>
        <v>801010</v>
      </c>
      <c r="B596" s="1442" t="str">
        <f>'BUS Deemed Savings Table'!C98</f>
        <v>801010_2024_12_</v>
      </c>
      <c r="C596" s="1378" t="str">
        <f>'BUS Deemed Savings Table'!G98</f>
        <v>Lighting BUS</v>
      </c>
      <c r="D596" s="1378"/>
      <c r="E596" s="1378"/>
      <c r="F596" s="1378"/>
      <c r="G596" s="1378" t="str">
        <f>'BUS Deemed Savings Table'!E98</f>
        <v>Fixture Mounted Occupancy Sensor Controlling &gt; 60 Watts, &lt;200 Watts</v>
      </c>
      <c r="H596" s="19" t="str">
        <f>'BUS Deemed Savings Table'!D98</f>
        <v>BSS</v>
      </c>
      <c r="I596" s="785">
        <f>'BUS Deemed Savings Table'!F98</f>
        <v>150.15</v>
      </c>
      <c r="J596" s="785"/>
      <c r="K596" s="202"/>
      <c r="L596" s="202"/>
      <c r="M596" s="202"/>
      <c r="N596" s="202"/>
      <c r="O596" s="786">
        <f>'BUS Deemed Savings Table'!I98</f>
        <v>2.9436E-2</v>
      </c>
      <c r="P596" s="786"/>
      <c r="Q596" s="787"/>
      <c r="R596" s="787"/>
      <c r="S596" s="787"/>
      <c r="T596" s="787"/>
      <c r="U596" s="788">
        <f t="shared" si="332"/>
        <v>0</v>
      </c>
      <c r="V596" s="788">
        <f t="shared" si="333"/>
        <v>2.9436E-2</v>
      </c>
      <c r="W596" s="788">
        <f t="shared" si="334"/>
        <v>0</v>
      </c>
      <c r="X596" s="23">
        <f>'BUS Deemed Savings Table'!J98</f>
        <v>10</v>
      </c>
      <c r="Y596" s="23"/>
      <c r="Z596" s="23">
        <f t="shared" si="335"/>
        <v>10</v>
      </c>
      <c r="AA596" s="18">
        <f>'BUS Deemed Savings Table'!DG98</f>
        <v>1.3273616282337573</v>
      </c>
      <c r="AB596" s="259">
        <f>'BUS Deemed Savings Table'!K98</f>
        <v>65</v>
      </c>
      <c r="AC596" s="790">
        <f t="shared" si="336"/>
        <v>86.278505835194224</v>
      </c>
      <c r="AD596" s="790">
        <f t="shared" si="337"/>
        <v>0</v>
      </c>
      <c r="AE596" s="610">
        <f>'BUS Deemed Savings Table'!DI98</f>
        <v>86.278505835194224</v>
      </c>
      <c r="AF596" s="208"/>
      <c r="AG596" s="208"/>
      <c r="AH596" s="208"/>
      <c r="AI596" s="1442" t="str">
        <f>'BUS Deemed Savings Table'!L98</f>
        <v>per measure</v>
      </c>
      <c r="AJ596" s="1378"/>
      <c r="AK596" s="52"/>
      <c r="AL596" s="52"/>
      <c r="AM596"/>
      <c r="AN596"/>
      <c r="AO596"/>
      <c r="AP596"/>
      <c r="AQ596"/>
      <c r="AR596"/>
      <c r="AS596"/>
      <c r="AT596"/>
      <c r="AU596"/>
      <c r="AV596"/>
      <c r="AW596"/>
      <c r="AX596" s="1355" t="str">
        <f t="shared" si="338"/>
        <v>Fixture Mounted Occupancy Sensor Controlling &gt; 60 Watts, &lt;200 Watts</v>
      </c>
      <c r="AY596" s="1378"/>
      <c r="AZ596" s="1446" t="str">
        <f t="shared" si="339"/>
        <v>801010</v>
      </c>
      <c r="BA596" s="1300" t="s">
        <v>1303</v>
      </c>
      <c r="BB596" s="1300" t="s">
        <v>1303</v>
      </c>
      <c r="BC596" s="1300" t="s">
        <v>1303</v>
      </c>
      <c r="BD596" s="1300" t="s">
        <v>1303</v>
      </c>
      <c r="BE596" s="1306"/>
      <c r="BF596" s="1300" t="s">
        <v>1303</v>
      </c>
      <c r="BG596" s="1300" t="s">
        <v>1303</v>
      </c>
      <c r="BH596" s="1300" t="s">
        <v>1303</v>
      </c>
      <c r="BI596" s="1301" t="s">
        <v>1303</v>
      </c>
      <c r="BJ596" s="1305"/>
      <c r="BK596" s="1300" t="s">
        <v>1303</v>
      </c>
      <c r="BL596" s="1301" t="s">
        <v>1303</v>
      </c>
      <c r="BM596" s="1300" t="s">
        <v>1303</v>
      </c>
      <c r="BN596" s="1301" t="s">
        <v>1303</v>
      </c>
    </row>
    <row r="597" spans="1:66" s="41" customFormat="1">
      <c r="A597" s="51" t="str">
        <f t="shared" si="331"/>
        <v>801020</v>
      </c>
      <c r="B597" s="1442" t="str">
        <f>'BUS Deemed Savings Table'!C99</f>
        <v>801020_2024_12_</v>
      </c>
      <c r="C597" s="1378" t="str">
        <f>'BUS Deemed Savings Table'!G99</f>
        <v>Lighting BUS</v>
      </c>
      <c r="D597" s="1378"/>
      <c r="E597" s="1378"/>
      <c r="F597" s="1378"/>
      <c r="G597" s="1378" t="str">
        <f>'BUS Deemed Savings Table'!E99</f>
        <v>Remote Mounted Occupancy Sensor Controlling &gt; 150 Watts</v>
      </c>
      <c r="H597" s="19" t="str">
        <f>'BUS Deemed Savings Table'!D99</f>
        <v>BSS</v>
      </c>
      <c r="I597" s="785">
        <f>'BUS Deemed Savings Table'!F99</f>
        <v>545.92999999999995</v>
      </c>
      <c r="J597" s="785"/>
      <c r="K597" s="202"/>
      <c r="L597" s="202"/>
      <c r="M597" s="202"/>
      <c r="N597" s="202"/>
      <c r="O597" s="786">
        <f>'BUS Deemed Savings Table'!I99</f>
        <v>0.107025</v>
      </c>
      <c r="P597" s="786"/>
      <c r="Q597" s="787"/>
      <c r="R597" s="787"/>
      <c r="S597" s="787"/>
      <c r="T597" s="787"/>
      <c r="U597" s="788">
        <f t="shared" si="332"/>
        <v>0</v>
      </c>
      <c r="V597" s="788">
        <f t="shared" si="333"/>
        <v>0.107025</v>
      </c>
      <c r="W597" s="788">
        <f t="shared" si="334"/>
        <v>0</v>
      </c>
      <c r="X597" s="23">
        <f>'BUS Deemed Savings Table'!J99</f>
        <v>10</v>
      </c>
      <c r="Y597" s="23"/>
      <c r="Z597" s="23">
        <f t="shared" si="335"/>
        <v>10</v>
      </c>
      <c r="AA597" s="18">
        <f>'BUS Deemed Savings Table'!DG99</f>
        <v>2.9876171251356629</v>
      </c>
      <c r="AB597" s="259">
        <f>'BUS Deemed Savings Table'!K99</f>
        <v>105</v>
      </c>
      <c r="AC597" s="790">
        <f t="shared" si="336"/>
        <v>313.69979813924459</v>
      </c>
      <c r="AD597" s="790">
        <f t="shared" si="337"/>
        <v>0</v>
      </c>
      <c r="AE597" s="610">
        <f>'BUS Deemed Savings Table'!DI99</f>
        <v>313.69979813924459</v>
      </c>
      <c r="AF597" s="208"/>
      <c r="AG597" s="208"/>
      <c r="AH597" s="208"/>
      <c r="AI597" s="1442" t="str">
        <f>'BUS Deemed Savings Table'!L99</f>
        <v>per measure</v>
      </c>
      <c r="AJ597" s="1378"/>
      <c r="AK597" s="52"/>
      <c r="AL597" s="52"/>
      <c r="AM597"/>
      <c r="AN597"/>
      <c r="AO597"/>
      <c r="AP597"/>
      <c r="AQ597"/>
      <c r="AR597"/>
      <c r="AS597"/>
      <c r="AT597"/>
      <c r="AU597"/>
      <c r="AV597"/>
      <c r="AW597"/>
      <c r="AX597" s="1355" t="str">
        <f t="shared" si="338"/>
        <v>Remote Mounted Occupancy Sensor Controlling &gt; 150 Watts</v>
      </c>
      <c r="AY597" s="1378"/>
      <c r="AZ597" s="1446" t="str">
        <f t="shared" si="339"/>
        <v>801020</v>
      </c>
      <c r="BA597" s="1300" t="s">
        <v>1303</v>
      </c>
      <c r="BB597" s="1300" t="s">
        <v>1303</v>
      </c>
      <c r="BC597" s="1300" t="s">
        <v>1303</v>
      </c>
      <c r="BD597" s="1300" t="s">
        <v>1303</v>
      </c>
      <c r="BE597" s="1306"/>
      <c r="BF597" s="1300" t="s">
        <v>1303</v>
      </c>
      <c r="BG597" s="1300" t="s">
        <v>1303</v>
      </c>
      <c r="BH597" s="1300" t="s">
        <v>1303</v>
      </c>
      <c r="BI597" s="1301" t="s">
        <v>1303</v>
      </c>
      <c r="BJ597" s="1305"/>
      <c r="BK597" s="1300" t="s">
        <v>1303</v>
      </c>
      <c r="BL597" s="1301" t="s">
        <v>1303</v>
      </c>
      <c r="BM597" s="1300" t="s">
        <v>1303</v>
      </c>
      <c r="BN597" s="1301" t="s">
        <v>1303</v>
      </c>
    </row>
    <row r="598" spans="1:66" s="696" customFormat="1">
      <c r="A598" s="2958" t="str">
        <f t="shared" ref="A598" si="346">LEFT(B598,6)</f>
        <v>801025</v>
      </c>
      <c r="B598" s="2233" t="str">
        <f>'BUS Deemed Savings Table'!C100</f>
        <v>801025_2024_12_</v>
      </c>
      <c r="C598" s="2724" t="str">
        <f>'BUS Deemed Savings Table'!G100</f>
        <v>Lighting BUS</v>
      </c>
      <c r="D598" s="2724"/>
      <c r="E598" s="2724"/>
      <c r="F598" s="2724"/>
      <c r="G598" s="2724" t="str">
        <f>'BUS Deemed Savings Table'!E100</f>
        <v>High End TRIM with Network Lighting Controls</v>
      </c>
      <c r="H598" s="2554" t="str">
        <f>'BUS Deemed Savings Table'!D100</f>
        <v>C&amp;I</v>
      </c>
      <c r="I598" s="3840">
        <f>'BUS Deemed Savings Table'!F100</f>
        <v>422.36</v>
      </c>
      <c r="J598" s="3840"/>
      <c r="K598" s="3251"/>
      <c r="L598" s="3251"/>
      <c r="M598" s="3251"/>
      <c r="N598" s="3251"/>
      <c r="O598" s="3841">
        <f>'BUS Deemed Savings Table'!I100</f>
        <v>8.2799999999999999E-2</v>
      </c>
      <c r="P598" s="3841"/>
      <c r="Q598" s="3842"/>
      <c r="R598" s="3842"/>
      <c r="S598" s="3842"/>
      <c r="T598" s="3842"/>
      <c r="U598" s="3843">
        <f t="shared" si="332"/>
        <v>0</v>
      </c>
      <c r="V598" s="3843">
        <f t="shared" si="333"/>
        <v>0</v>
      </c>
      <c r="W598" s="3843">
        <f t="shared" si="334"/>
        <v>8.2799999999999999E-2</v>
      </c>
      <c r="X598" s="2846">
        <f>'BUS Deemed Savings Table'!J100</f>
        <v>15</v>
      </c>
      <c r="Y598" s="2846"/>
      <c r="Z598" s="2846">
        <f t="shared" ref="Z598" si="347">Y598+X598</f>
        <v>15</v>
      </c>
      <c r="AA598" s="2529">
        <f>'BUS Deemed Savings Table'!DG100</f>
        <v>0.43474995358192642</v>
      </c>
      <c r="AB598" s="3878">
        <f>'BUS Deemed Savings Table'!K100</f>
        <v>746.83544303797453</v>
      </c>
      <c r="AC598" s="3968">
        <f t="shared" ref="AC598" si="348">AE598+AF598</f>
        <v>324.6866741940969</v>
      </c>
      <c r="AD598" s="3968">
        <f t="shared" ref="AD598" si="349">AG598+AH598</f>
        <v>0</v>
      </c>
      <c r="AE598" s="3865">
        <f>'BUS Deemed Savings Table'!DI100</f>
        <v>324.6866741940969</v>
      </c>
      <c r="AF598" s="3846"/>
      <c r="AG598" s="3846"/>
      <c r="AH598" s="3846"/>
      <c r="AI598" s="2233" t="str">
        <f>'BUS Deemed Savings Table'!L100</f>
        <v>per kW controlled</v>
      </c>
      <c r="AJ598" s="2724"/>
      <c r="AX598" s="3849" t="str">
        <f t="shared" ref="AX598" si="350">G598</f>
        <v>High End TRIM with Network Lighting Controls</v>
      </c>
      <c r="AY598" s="2724"/>
      <c r="AZ598" s="3850" t="str">
        <f t="shared" ref="AZ598" si="351">A598</f>
        <v>801025</v>
      </c>
      <c r="BA598" s="3866" t="s">
        <v>1303</v>
      </c>
      <c r="BB598" s="3866" t="s">
        <v>1303</v>
      </c>
      <c r="BC598" s="3866" t="s">
        <v>1303</v>
      </c>
      <c r="BD598" s="3866" t="s">
        <v>1303</v>
      </c>
      <c r="BE598" s="3853"/>
      <c r="BF598" s="3866" t="s">
        <v>1303</v>
      </c>
      <c r="BG598" s="3866" t="s">
        <v>1303</v>
      </c>
      <c r="BH598" s="3866" t="s">
        <v>1303</v>
      </c>
      <c r="BI598" s="3867" t="s">
        <v>1303</v>
      </c>
      <c r="BJ598" s="3853"/>
      <c r="BK598" s="3866" t="s">
        <v>1303</v>
      </c>
      <c r="BL598" s="3867" t="s">
        <v>1303</v>
      </c>
      <c r="BM598" s="3866" t="s">
        <v>1303</v>
      </c>
      <c r="BN598" s="3867" t="s">
        <v>1303</v>
      </c>
    </row>
    <row r="599" spans="1:66" s="696" customFormat="1">
      <c r="A599" s="2958" t="str">
        <f t="shared" ref="A599" si="352">LEFT(B599,6)</f>
        <v>801030</v>
      </c>
      <c r="B599" s="2233" t="str">
        <f>'BUS Deemed Savings Table'!C101</f>
        <v>801030_2024_12_</v>
      </c>
      <c r="C599" s="2724" t="str">
        <f>'BUS Deemed Savings Table'!G101</f>
        <v>Lighting BUS</v>
      </c>
      <c r="D599" s="2724"/>
      <c r="E599" s="2724"/>
      <c r="F599" s="2724"/>
      <c r="G599" s="2724" t="str">
        <f>'BUS Deemed Savings Table'!E101</f>
        <v>High End TRIM with Network Lighting Controls installed with Luminaire Level Lighting Control LED Fixtures</v>
      </c>
      <c r="H599" s="2554" t="str">
        <f>'BUS Deemed Savings Table'!D101</f>
        <v>C&amp;I</v>
      </c>
      <c r="I599" s="3840">
        <f>'BUS Deemed Savings Table'!F101</f>
        <v>1075.0899999999999</v>
      </c>
      <c r="J599" s="3840"/>
      <c r="K599" s="3251"/>
      <c r="L599" s="3251"/>
      <c r="M599" s="3251"/>
      <c r="N599" s="3251"/>
      <c r="O599" s="3841">
        <f>'BUS Deemed Savings Table'!I101</f>
        <v>0.21076300000000001</v>
      </c>
      <c r="P599" s="3841"/>
      <c r="Q599" s="3842"/>
      <c r="R599" s="3842"/>
      <c r="S599" s="3842"/>
      <c r="T599" s="3842"/>
      <c r="U599" s="3843">
        <f t="shared" si="332"/>
        <v>0</v>
      </c>
      <c r="V599" s="3843">
        <f t="shared" si="333"/>
        <v>0</v>
      </c>
      <c r="W599" s="3843">
        <f t="shared" si="334"/>
        <v>0.21076300000000001</v>
      </c>
      <c r="X599" s="2846">
        <f>'BUS Deemed Savings Table'!J101</f>
        <v>15</v>
      </c>
      <c r="Y599" s="2846"/>
      <c r="Z599" s="2846">
        <f t="shared" ref="Z599" si="353">Y599+X599</f>
        <v>15</v>
      </c>
      <c r="AA599" s="2529">
        <f>'BUS Deemed Savings Table'!DG101</f>
        <v>1.2475001976649862</v>
      </c>
      <c r="AB599" s="3878">
        <f>'BUS Deemed Savings Table'!K101</f>
        <v>662.5</v>
      </c>
      <c r="AC599" s="3968">
        <f t="shared" ref="AC599" si="354">AE599+AF599</f>
        <v>826.46888095305337</v>
      </c>
      <c r="AD599" s="3968">
        <f t="shared" ref="AD599" si="355">AG599+AH599</f>
        <v>0</v>
      </c>
      <c r="AE599" s="3865">
        <f>'BUS Deemed Savings Table'!DI101</f>
        <v>826.46888095305337</v>
      </c>
      <c r="AF599" s="3846"/>
      <c r="AG599" s="3846"/>
      <c r="AH599" s="3846"/>
      <c r="AI599" s="2233" t="str">
        <f>'BUS Deemed Savings Table'!L101</f>
        <v>per kW controlled</v>
      </c>
      <c r="AJ599" s="2724"/>
      <c r="AX599" s="3849" t="str">
        <f t="shared" ref="AX599" si="356">G599</f>
        <v>High End TRIM with Network Lighting Controls installed with Luminaire Level Lighting Control LED Fixtures</v>
      </c>
      <c r="AY599" s="2724"/>
      <c r="AZ599" s="3850" t="str">
        <f t="shared" ref="AZ599" si="357">A599</f>
        <v>801030</v>
      </c>
      <c r="BA599" s="3866" t="s">
        <v>1303</v>
      </c>
      <c r="BB599" s="3866" t="s">
        <v>1303</v>
      </c>
      <c r="BC599" s="3866" t="s">
        <v>1303</v>
      </c>
      <c r="BD599" s="3866" t="s">
        <v>1303</v>
      </c>
      <c r="BE599" s="3853"/>
      <c r="BF599" s="3866" t="s">
        <v>1303</v>
      </c>
      <c r="BG599" s="3866" t="s">
        <v>1303</v>
      </c>
      <c r="BH599" s="3866" t="s">
        <v>1303</v>
      </c>
      <c r="BI599" s="3867" t="s">
        <v>1303</v>
      </c>
      <c r="BJ599" s="3853"/>
      <c r="BK599" s="3866" t="s">
        <v>1303</v>
      </c>
      <c r="BL599" s="3867" t="s">
        <v>1303</v>
      </c>
      <c r="BM599" s="3866" t="s">
        <v>1303</v>
      </c>
      <c r="BN599" s="3867" t="s">
        <v>1303</v>
      </c>
    </row>
    <row r="600" spans="1:66" s="696" customFormat="1">
      <c r="A600" s="2958" t="str">
        <f t="shared" ref="A600" si="358">LEFT(B600,6)</f>
        <v>801035</v>
      </c>
      <c r="B600" s="2233" t="str">
        <f>'BUS Deemed Savings Table'!C102</f>
        <v>801035_2024_12_</v>
      </c>
      <c r="C600" s="2724" t="str">
        <f>'BUS Deemed Savings Table'!G102</f>
        <v>Lighting BUS</v>
      </c>
      <c r="D600" s="2724"/>
      <c r="E600" s="2724"/>
      <c r="F600" s="2724"/>
      <c r="G600" s="2724" t="str">
        <f>'BUS Deemed Savings Table'!E102</f>
        <v>NLC, LLLC Additional Control Strategy (Daylighting,dimming,personal level control)</v>
      </c>
      <c r="H600" s="2554" t="str">
        <f>'BUS Deemed Savings Table'!D102</f>
        <v>C&amp;I</v>
      </c>
      <c r="I600" s="3840">
        <f>'BUS Deemed Savings Table'!F102</f>
        <v>383.96</v>
      </c>
      <c r="J600" s="3840"/>
      <c r="K600" s="3251"/>
      <c r="L600" s="3251"/>
      <c r="M600" s="3251"/>
      <c r="N600" s="3251"/>
      <c r="O600" s="3841">
        <f>'BUS Deemed Savings Table'!I102</f>
        <v>7.5272000000000006E-2</v>
      </c>
      <c r="P600" s="3841"/>
      <c r="Q600" s="3842"/>
      <c r="R600" s="3842"/>
      <c r="S600" s="3842"/>
      <c r="T600" s="3842"/>
      <c r="U600" s="3843">
        <f t="shared" si="332"/>
        <v>0</v>
      </c>
      <c r="V600" s="3843">
        <f t="shared" si="333"/>
        <v>0</v>
      </c>
      <c r="W600" s="3843">
        <f t="shared" si="334"/>
        <v>7.5272000000000006E-2</v>
      </c>
      <c r="X600" s="2846">
        <f>'BUS Deemed Savings Table'!J102</f>
        <v>15</v>
      </c>
      <c r="Y600" s="2846"/>
      <c r="Z600" s="2846">
        <f t="shared" ref="Z600" si="359">Y600+X600</f>
        <v>15</v>
      </c>
      <c r="AA600" s="2529">
        <f>'BUS Deemed Savings Table'!DG102</f>
        <v>2.9516690838044664</v>
      </c>
      <c r="AB600" s="3878">
        <f>'BUS Deemed Savings Table'!K102</f>
        <v>100</v>
      </c>
      <c r="AC600" s="3968">
        <f t="shared" ref="AC600" si="360">AE600+AF600</f>
        <v>295.16690838044661</v>
      </c>
      <c r="AD600" s="3968">
        <f t="shared" ref="AD600" si="361">AG600+AH600</f>
        <v>0</v>
      </c>
      <c r="AE600" s="3865">
        <f>'BUS Deemed Savings Table'!DI102</f>
        <v>295.16690838044661</v>
      </c>
      <c r="AF600" s="3846"/>
      <c r="AG600" s="3846"/>
      <c r="AH600" s="3846"/>
      <c r="AI600" s="2233" t="str">
        <f>'BUS Deemed Savings Table'!L102</f>
        <v>per kW controlled</v>
      </c>
      <c r="AJ600" s="2724"/>
      <c r="AX600" s="3849" t="str">
        <f t="shared" ref="AX600" si="362">G600</f>
        <v>NLC, LLLC Additional Control Strategy (Daylighting,dimming,personal level control)</v>
      </c>
      <c r="AY600" s="2724"/>
      <c r="AZ600" s="3850" t="str">
        <f t="shared" ref="AZ600" si="363">A600</f>
        <v>801035</v>
      </c>
      <c r="BA600" s="3866" t="s">
        <v>1303</v>
      </c>
      <c r="BB600" s="3866" t="s">
        <v>1303</v>
      </c>
      <c r="BC600" s="3866" t="s">
        <v>1303</v>
      </c>
      <c r="BD600" s="3866" t="s">
        <v>1303</v>
      </c>
      <c r="BE600" s="3853"/>
      <c r="BF600" s="3866" t="s">
        <v>1303</v>
      </c>
      <c r="BG600" s="3866" t="s">
        <v>1303</v>
      </c>
      <c r="BH600" s="3866" t="s">
        <v>1303</v>
      </c>
      <c r="BI600" s="3867" t="s">
        <v>1303</v>
      </c>
      <c r="BJ600" s="3853"/>
      <c r="BK600" s="3866" t="s">
        <v>1303</v>
      </c>
      <c r="BL600" s="3867" t="s">
        <v>1303</v>
      </c>
      <c r="BM600" s="3866" t="s">
        <v>1303</v>
      </c>
      <c r="BN600" s="3867" t="s">
        <v>1303</v>
      </c>
    </row>
    <row r="601" spans="1:66" s="696" customFormat="1">
      <c r="A601" s="2958" t="str">
        <f t="shared" ref="A601" si="364">LEFT(B601,6)</f>
        <v>801243</v>
      </c>
      <c r="B601" s="2233" t="str">
        <f>'BUS Deemed Savings Table'!C126</f>
        <v>801243_2024_12_</v>
      </c>
      <c r="C601" s="2724" t="str">
        <f>'BUS Deemed Savings Table'!G126</f>
        <v>Lighting BUS</v>
      </c>
      <c r="D601" s="2724"/>
      <c r="E601" s="2724"/>
      <c r="F601" s="2724"/>
      <c r="G601" s="2724" t="str">
        <f>'BUS Deemed Savings Table'!E126</f>
        <v>LED Fixture or Kit with LLLC controls replacing interior T5 (per watt reduced)</v>
      </c>
      <c r="H601" s="2554" t="str">
        <f>'BUS Deemed Savings Table'!D126</f>
        <v>BSS</v>
      </c>
      <c r="I601" s="3840">
        <f>'BUS Deemed Savings Table'!F126</f>
        <v>4.3520896000000002</v>
      </c>
      <c r="J601" s="3840"/>
      <c r="K601" s="3251"/>
      <c r="L601" s="3251"/>
      <c r="M601" s="3251"/>
      <c r="N601" s="3251"/>
      <c r="O601" s="3841">
        <f>'BUS Deemed Savings Table'!I126</f>
        <v>8.5300000000000003E-4</v>
      </c>
      <c r="P601" s="3841"/>
      <c r="Q601" s="3842"/>
      <c r="R601" s="3842"/>
      <c r="S601" s="3842"/>
      <c r="T601" s="3842"/>
      <c r="U601" s="3843">
        <f t="shared" ref="U601:U651" si="365">IFERROR(IF(V601+W601&gt;0,0,IF(Z601&gt;0,O601,0)),0)</f>
        <v>0</v>
      </c>
      <c r="V601" s="3843">
        <f t="shared" ref="V601:V651" si="366">IF(W601&gt;0,0,IF(Z601&gt;9,O601,0))</f>
        <v>0</v>
      </c>
      <c r="W601" s="3843">
        <f t="shared" ref="W601:W651" si="367">IF(Z601&gt;14,O601,0)</f>
        <v>8.5300000000000003E-4</v>
      </c>
      <c r="X601" s="2846">
        <f>'BUS Deemed Savings Table'!J126</f>
        <v>15</v>
      </c>
      <c r="Y601" s="2846"/>
      <c r="Z601" s="2846">
        <f t="shared" ref="Z601" si="368">Y601+X601</f>
        <v>15</v>
      </c>
      <c r="AA601" s="2529">
        <f>'BUS Deemed Savings Table'!DG126</f>
        <v>1.3020302348547959</v>
      </c>
      <c r="AB601" s="3878">
        <f>'BUS Deemed Savings Table'!K126</f>
        <v>2.5695581014729951</v>
      </c>
      <c r="AC601" s="3968">
        <f t="shared" ref="AC601" si="369">AE601+AF601</f>
        <v>3.3456423383339273</v>
      </c>
      <c r="AD601" s="3968">
        <f t="shared" ref="AD601" si="370">AG601+AH601</f>
        <v>0</v>
      </c>
      <c r="AE601" s="3865">
        <f>'BUS Deemed Savings Table'!DI126</f>
        <v>3.3456423383339273</v>
      </c>
      <c r="AF601" s="3846"/>
      <c r="AG601" s="3846"/>
      <c r="AH601" s="3846"/>
      <c r="AI601" s="2233" t="str">
        <f>'BUS Deemed Savings Table'!L126</f>
        <v>watt reduced</v>
      </c>
      <c r="AJ601" s="2724"/>
      <c r="AX601" s="3849" t="str">
        <f t="shared" ref="AX601" si="371">G601</f>
        <v>LED Fixture or Kit with LLLC controls replacing interior T5 (per watt reduced)</v>
      </c>
      <c r="AY601" s="2724"/>
      <c r="AZ601" s="3850" t="str">
        <f t="shared" ref="AZ601" si="372">A601</f>
        <v>801243</v>
      </c>
      <c r="BA601" s="3866" t="s">
        <v>1303</v>
      </c>
      <c r="BB601" s="3866" t="s">
        <v>1303</v>
      </c>
      <c r="BC601" s="3866" t="s">
        <v>1303</v>
      </c>
      <c r="BD601" s="3866" t="s">
        <v>1303</v>
      </c>
      <c r="BE601" s="3853"/>
      <c r="BF601" s="3866" t="s">
        <v>1303</v>
      </c>
      <c r="BG601" s="3866" t="s">
        <v>1303</v>
      </c>
      <c r="BH601" s="3866" t="s">
        <v>1303</v>
      </c>
      <c r="BI601" s="3867" t="s">
        <v>1303</v>
      </c>
      <c r="BJ601" s="3853"/>
      <c r="BK601" s="3866" t="s">
        <v>1303</v>
      </c>
      <c r="BL601" s="3867" t="s">
        <v>1303</v>
      </c>
      <c r="BM601" s="3866" t="s">
        <v>1303</v>
      </c>
      <c r="BN601" s="3867" t="s">
        <v>1303</v>
      </c>
    </row>
    <row r="602" spans="1:66" s="696" customFormat="1">
      <c r="A602" s="2958" t="str">
        <f t="shared" ref="A602" si="373">LEFT(B602,6)</f>
        <v>801245</v>
      </c>
      <c r="B602" s="2233" t="str">
        <f>'BUS Deemed Savings Table'!C127</f>
        <v>801245_2024_12_</v>
      </c>
      <c r="C602" s="2724" t="str">
        <f>'BUS Deemed Savings Table'!G127</f>
        <v>Lighting BUS</v>
      </c>
      <c r="D602" s="2724"/>
      <c r="E602" s="2724"/>
      <c r="F602" s="2724"/>
      <c r="G602" s="2724" t="str">
        <f>'BUS Deemed Savings Table'!E127</f>
        <v>LED Fixture or Kit with LLLC controls replacing interior T8 (per watt reduced)</v>
      </c>
      <c r="H602" s="2554" t="str">
        <f>'BUS Deemed Savings Table'!D127</f>
        <v>BSS</v>
      </c>
      <c r="I602" s="3840">
        <f>'BUS Deemed Savings Table'!F127</f>
        <v>4.3520896000000002</v>
      </c>
      <c r="J602" s="3840"/>
      <c r="K602" s="3251"/>
      <c r="L602" s="3251"/>
      <c r="M602" s="3251"/>
      <c r="N602" s="3251"/>
      <c r="O602" s="3841">
        <f>'BUS Deemed Savings Table'!I127</f>
        <v>8.5300000000000003E-4</v>
      </c>
      <c r="P602" s="3841"/>
      <c r="Q602" s="3842"/>
      <c r="R602" s="3842"/>
      <c r="S602" s="3842"/>
      <c r="T602" s="3842"/>
      <c r="U602" s="3843">
        <f t="shared" si="365"/>
        <v>0</v>
      </c>
      <c r="V602" s="3843">
        <f t="shared" si="366"/>
        <v>0</v>
      </c>
      <c r="W602" s="3843">
        <f t="shared" si="367"/>
        <v>8.5300000000000003E-4</v>
      </c>
      <c r="X602" s="2846">
        <f>'BUS Deemed Savings Table'!J127</f>
        <v>15</v>
      </c>
      <c r="Y602" s="2846"/>
      <c r="Z602" s="2846">
        <f t="shared" ref="Z602" si="374">Y602+X602</f>
        <v>15</v>
      </c>
      <c r="AA602" s="2529">
        <f>'BUS Deemed Savings Table'!DG127</f>
        <v>1.0996529856229342</v>
      </c>
      <c r="AB602" s="3878">
        <f>'BUS Deemed Savings Table'!K127</f>
        <v>3.0424528301886795</v>
      </c>
      <c r="AC602" s="3968">
        <f t="shared" ref="AC602" si="375">AE602+AF602</f>
        <v>3.3456423383339273</v>
      </c>
      <c r="AD602" s="3968">
        <f t="shared" ref="AD602" si="376">AG602+AH602</f>
        <v>0</v>
      </c>
      <c r="AE602" s="3865">
        <f>'BUS Deemed Savings Table'!DI127</f>
        <v>3.3456423383339273</v>
      </c>
      <c r="AF602" s="3846"/>
      <c r="AG602" s="3846"/>
      <c r="AH602" s="3846"/>
      <c r="AI602" s="2233" t="str">
        <f>'BUS Deemed Savings Table'!L127</f>
        <v>watt reduced</v>
      </c>
      <c r="AJ602" s="2724"/>
      <c r="AX602" s="3849" t="str">
        <f t="shared" ref="AX602" si="377">G602</f>
        <v>LED Fixture or Kit with LLLC controls replacing interior T8 (per watt reduced)</v>
      </c>
      <c r="AY602" s="2724"/>
      <c r="AZ602" s="3850" t="str">
        <f t="shared" ref="AZ602" si="378">A602</f>
        <v>801245</v>
      </c>
      <c r="BA602" s="3866" t="s">
        <v>1303</v>
      </c>
      <c r="BB602" s="3866" t="s">
        <v>1303</v>
      </c>
      <c r="BC602" s="3866" t="s">
        <v>1303</v>
      </c>
      <c r="BD602" s="3866" t="s">
        <v>1303</v>
      </c>
      <c r="BE602" s="3853"/>
      <c r="BF602" s="3866" t="s">
        <v>1303</v>
      </c>
      <c r="BG602" s="3866" t="s">
        <v>1303</v>
      </c>
      <c r="BH602" s="3866" t="s">
        <v>1303</v>
      </c>
      <c r="BI602" s="3867" t="s">
        <v>1303</v>
      </c>
      <c r="BJ602" s="3853"/>
      <c r="BK602" s="3866" t="s">
        <v>1303</v>
      </c>
      <c r="BL602" s="3867" t="s">
        <v>1303</v>
      </c>
      <c r="BM602" s="3866" t="s">
        <v>1303</v>
      </c>
      <c r="BN602" s="3867" t="s">
        <v>1303</v>
      </c>
    </row>
    <row r="603" spans="1:66" s="696" customFormat="1">
      <c r="A603" s="2958" t="str">
        <f t="shared" ref="A603" si="379">LEFT(B603,6)</f>
        <v>801247</v>
      </c>
      <c r="B603" s="2233" t="str">
        <f>'BUS Deemed Savings Table'!C128</f>
        <v>801247_2024_12_</v>
      </c>
      <c r="C603" s="2724" t="str">
        <f>'BUS Deemed Savings Table'!G128</f>
        <v>Lighting BUS</v>
      </c>
      <c r="D603" s="2724"/>
      <c r="E603" s="2724"/>
      <c r="F603" s="2724"/>
      <c r="G603" s="2724" t="str">
        <f>'BUS Deemed Savings Table'!E128</f>
        <v>LED Fixture or Kit with LLLC controls replacing interior T12 (per watt reduced) - Before midlife baseline shift</v>
      </c>
      <c r="H603" s="2554" t="str">
        <f>'BUS Deemed Savings Table'!D128</f>
        <v>BSS</v>
      </c>
      <c r="I603" s="3840">
        <f>'BUS Deemed Savings Table'!F128</f>
        <v>4.3520896000000002</v>
      </c>
      <c r="J603" s="3840"/>
      <c r="K603" s="3251"/>
      <c r="L603" s="3251"/>
      <c r="M603" s="3251"/>
      <c r="N603" s="3251"/>
      <c r="O603" s="3841">
        <f>'BUS Deemed Savings Table'!I128</f>
        <v>8.5300000000000003E-4</v>
      </c>
      <c r="P603" s="3841"/>
      <c r="Q603" s="3842"/>
      <c r="R603" s="3842"/>
      <c r="S603" s="3842"/>
      <c r="T603" s="3842"/>
      <c r="U603" s="3843">
        <f t="shared" si="365"/>
        <v>8.5300000000000003E-4</v>
      </c>
      <c r="V603" s="3843">
        <f t="shared" si="366"/>
        <v>0</v>
      </c>
      <c r="W603" s="3843">
        <f t="shared" si="367"/>
        <v>0</v>
      </c>
      <c r="X603" s="2846">
        <f>'BUS Deemed Savings Table'!J128</f>
        <v>5</v>
      </c>
      <c r="Y603" s="2846"/>
      <c r="Z603" s="2846">
        <f t="shared" ref="Z603" si="380">Y603+X603</f>
        <v>5</v>
      </c>
      <c r="AA603" s="2529">
        <f>'BUS Deemed Savings Table'!DG128</f>
        <v>0.84512282085827173</v>
      </c>
      <c r="AB603" s="3878">
        <f>'BUS Deemed Savings Table'!K128</f>
        <v>1.6559691912708601</v>
      </c>
      <c r="AC603" s="3968">
        <f t="shared" ref="AC603" si="381">AE603+AF603</f>
        <v>1.3994973541812201</v>
      </c>
      <c r="AD603" s="3968">
        <f t="shared" ref="AD603" si="382">AG603+AH603</f>
        <v>0</v>
      </c>
      <c r="AE603" s="3865">
        <f>'BUS Deemed Savings Table'!DI128</f>
        <v>1.3994973541812201</v>
      </c>
      <c r="AF603" s="3846"/>
      <c r="AG603" s="3846"/>
      <c r="AH603" s="3846"/>
      <c r="AI603" s="2233" t="str">
        <f>'BUS Deemed Savings Table'!L128</f>
        <v>watt reduced</v>
      </c>
      <c r="AJ603" s="2724"/>
      <c r="AX603" s="3849" t="str">
        <f t="shared" ref="AX603" si="383">G603</f>
        <v>LED Fixture or Kit with LLLC controls replacing interior T12 (per watt reduced) - Before midlife baseline shift</v>
      </c>
      <c r="AY603" s="2724"/>
      <c r="AZ603" s="3850" t="str">
        <f t="shared" ref="AZ603" si="384">A603</f>
        <v>801247</v>
      </c>
      <c r="BA603" s="3866" t="s">
        <v>1303</v>
      </c>
      <c r="BB603" s="3866" t="s">
        <v>1303</v>
      </c>
      <c r="BC603" s="3866" t="s">
        <v>1303</v>
      </c>
      <c r="BD603" s="3866" t="s">
        <v>1303</v>
      </c>
      <c r="BE603" s="3853"/>
      <c r="BF603" s="3866" t="s">
        <v>1303</v>
      </c>
      <c r="BG603" s="3866" t="s">
        <v>1303</v>
      </c>
      <c r="BH603" s="3866" t="s">
        <v>1303</v>
      </c>
      <c r="BI603" s="3867" t="s">
        <v>1303</v>
      </c>
      <c r="BJ603" s="3853"/>
      <c r="BK603" s="3866" t="s">
        <v>1303</v>
      </c>
      <c r="BL603" s="3867" t="s">
        <v>1303</v>
      </c>
      <c r="BM603" s="3866" t="s">
        <v>1303</v>
      </c>
      <c r="BN603" s="3867" t="s">
        <v>1303</v>
      </c>
    </row>
    <row r="604" spans="1:66" s="696" customFormat="1">
      <c r="A604" s="2958" t="str">
        <f t="shared" ref="A604" si="385">LEFT(B604,6)</f>
        <v>801249</v>
      </c>
      <c r="B604" s="2233" t="str">
        <f>'BUS Deemed Savings Table'!C129</f>
        <v>801249_2024_12_</v>
      </c>
      <c r="C604" s="2724" t="str">
        <f>'BUS Deemed Savings Table'!G129</f>
        <v>Lighting BUS</v>
      </c>
      <c r="D604" s="2724"/>
      <c r="E604" s="2724"/>
      <c r="F604" s="2724"/>
      <c r="G604" s="2724" t="str">
        <f>'BUS Deemed Savings Table'!E129</f>
        <v>LED Fixture or Kit with LLLC controls replacing interior T12 (per watt reduced) - After midlife baseline shift</v>
      </c>
      <c r="H604" s="2554" t="str">
        <f>'BUS Deemed Savings Table'!D129</f>
        <v>BSS</v>
      </c>
      <c r="I604" s="3840">
        <f>'BUS Deemed Savings Table'!F129</f>
        <v>4.3520896000000002</v>
      </c>
      <c r="J604" s="3840"/>
      <c r="K604" s="3251"/>
      <c r="L604" s="3251"/>
      <c r="M604" s="3251"/>
      <c r="N604" s="3251"/>
      <c r="O604" s="3841">
        <f>'BUS Deemed Savings Table'!I129</f>
        <v>8.5300000000000003E-4</v>
      </c>
      <c r="P604" s="3841"/>
      <c r="Q604" s="3842"/>
      <c r="R604" s="3842"/>
      <c r="S604" s="3842"/>
      <c r="T604" s="3842"/>
      <c r="U604" s="3843">
        <f t="shared" si="365"/>
        <v>0</v>
      </c>
      <c r="V604" s="3843">
        <f t="shared" si="366"/>
        <v>8.5300000000000003E-4</v>
      </c>
      <c r="W604" s="3843">
        <f t="shared" si="367"/>
        <v>0</v>
      </c>
      <c r="X604" s="2846">
        <f>'BUS Deemed Savings Table'!J129</f>
        <v>10</v>
      </c>
      <c r="Y604" s="2846"/>
      <c r="Z604" s="2846">
        <f t="shared" ref="Z604" si="386">Y604+X604</f>
        <v>10</v>
      </c>
      <c r="AA604" s="2529" t="str">
        <f>'BUS Deemed Savings Table'!DG129</f>
        <v>n/a</v>
      </c>
      <c r="AB604" s="3878">
        <f>'BUS Deemed Savings Table'!K129</f>
        <v>0</v>
      </c>
      <c r="AC604" s="3968">
        <f t="shared" ref="AC604" si="387">AE604+AF604</f>
        <v>2.5007778085174035</v>
      </c>
      <c r="AD604" s="3968">
        <f t="shared" ref="AD604" si="388">AG604+AH604</f>
        <v>0</v>
      </c>
      <c r="AE604" s="3865">
        <f>'BUS Deemed Savings Table'!DI129</f>
        <v>2.5007778085174035</v>
      </c>
      <c r="AF604" s="3846"/>
      <c r="AG604" s="3846"/>
      <c r="AH604" s="3846"/>
      <c r="AI604" s="2233" t="str">
        <f>'BUS Deemed Savings Table'!L129</f>
        <v>watt reduced</v>
      </c>
      <c r="AJ604" s="2724"/>
      <c r="AX604" s="3849" t="str">
        <f t="shared" ref="AX604" si="389">G604</f>
        <v>LED Fixture or Kit with LLLC controls replacing interior T12 (per watt reduced) - After midlife baseline shift</v>
      </c>
      <c r="AY604" s="2724"/>
      <c r="AZ604" s="3850" t="str">
        <f t="shared" ref="AZ604" si="390">A604</f>
        <v>801249</v>
      </c>
      <c r="BA604" s="3866" t="s">
        <v>1303</v>
      </c>
      <c r="BB604" s="3866" t="s">
        <v>1303</v>
      </c>
      <c r="BC604" s="3866" t="s">
        <v>1303</v>
      </c>
      <c r="BD604" s="3866" t="s">
        <v>1303</v>
      </c>
      <c r="BE604" s="3853"/>
      <c r="BF604" s="3866" t="s">
        <v>1303</v>
      </c>
      <c r="BG604" s="3866" t="s">
        <v>1303</v>
      </c>
      <c r="BH604" s="3866" t="s">
        <v>1303</v>
      </c>
      <c r="BI604" s="3867" t="s">
        <v>1303</v>
      </c>
      <c r="BJ604" s="3853"/>
      <c r="BK604" s="3866" t="s">
        <v>1303</v>
      </c>
      <c r="BL604" s="3867" t="s">
        <v>1303</v>
      </c>
      <c r="BM604" s="3866" t="s">
        <v>1303</v>
      </c>
      <c r="BN604" s="3867" t="s">
        <v>1303</v>
      </c>
    </row>
    <row r="605" spans="1:66" s="696" customFormat="1">
      <c r="A605" s="2958" t="str">
        <f t="shared" ref="A605" si="391">LEFT(B605,6)</f>
        <v>801251</v>
      </c>
      <c r="B605" s="2233" t="str">
        <f>'BUS Deemed Savings Table'!C130</f>
        <v>801251_2024_12_</v>
      </c>
      <c r="C605" s="2724" t="str">
        <f>'BUS Deemed Savings Table'!G130</f>
        <v>Lighting BUS</v>
      </c>
      <c r="D605" s="2724"/>
      <c r="E605" s="2724"/>
      <c r="F605" s="2724"/>
      <c r="G605" s="2724" t="str">
        <f>'BUS Deemed Savings Table'!E130</f>
        <v xml:space="preserve">LED Fixture or Kit with LLLC controls replacing interior high bay/low bay (per watt reduced) </v>
      </c>
      <c r="H605" s="2554" t="str">
        <f>'BUS Deemed Savings Table'!D130</f>
        <v>BSS</v>
      </c>
      <c r="I605" s="3840">
        <f>'BUS Deemed Savings Table'!F130</f>
        <v>5.1715673600000001</v>
      </c>
      <c r="J605" s="3840"/>
      <c r="K605" s="3251"/>
      <c r="L605" s="3251"/>
      <c r="M605" s="3251"/>
      <c r="N605" s="3251"/>
      <c r="O605" s="3841">
        <f>'BUS Deemed Savings Table'!I130</f>
        <v>1.0139999999999999E-3</v>
      </c>
      <c r="P605" s="3841"/>
      <c r="Q605" s="3842"/>
      <c r="R605" s="3842"/>
      <c r="S605" s="3842"/>
      <c r="T605" s="3842"/>
      <c r="U605" s="3843">
        <f t="shared" si="365"/>
        <v>0</v>
      </c>
      <c r="V605" s="3843">
        <f t="shared" si="366"/>
        <v>0</v>
      </c>
      <c r="W605" s="3843">
        <f t="shared" si="367"/>
        <v>1.0139999999999999E-3</v>
      </c>
      <c r="X605" s="2846">
        <f>'BUS Deemed Savings Table'!J130</f>
        <v>15</v>
      </c>
      <c r="Y605" s="2846"/>
      <c r="Z605" s="2846">
        <f t="shared" ref="Z605" si="392">Y605+X605</f>
        <v>15</v>
      </c>
      <c r="AA605" s="2529">
        <f>'BUS Deemed Savings Table'!DG130</f>
        <v>6.0844131555213492</v>
      </c>
      <c r="AB605" s="3878">
        <f>'BUS Deemed Savings Table'!K130</f>
        <v>0.65340909090909094</v>
      </c>
      <c r="AC605" s="3968">
        <f t="shared" ref="AC605" si="393">AE605+AF605</f>
        <v>3.9756108686645182</v>
      </c>
      <c r="AD605" s="3968">
        <f t="shared" ref="AD605" si="394">AG605+AH605</f>
        <v>0</v>
      </c>
      <c r="AE605" s="3865">
        <f>'BUS Deemed Savings Table'!DI130</f>
        <v>3.9756108686645182</v>
      </c>
      <c r="AF605" s="3846"/>
      <c r="AG605" s="3846"/>
      <c r="AH605" s="3846"/>
      <c r="AI605" s="2233" t="str">
        <f>'BUS Deemed Savings Table'!L130</f>
        <v>watt reduced</v>
      </c>
      <c r="AJ605" s="2724"/>
      <c r="AX605" s="3849" t="str">
        <f t="shared" ref="AX605" si="395">G605</f>
        <v xml:space="preserve">LED Fixture or Kit with LLLC controls replacing interior high bay/low bay (per watt reduced) </v>
      </c>
      <c r="AY605" s="2724"/>
      <c r="AZ605" s="3850" t="str">
        <f t="shared" ref="AZ605" si="396">A605</f>
        <v>801251</v>
      </c>
      <c r="BA605" s="3866" t="s">
        <v>1303</v>
      </c>
      <c r="BB605" s="3866" t="s">
        <v>1303</v>
      </c>
      <c r="BC605" s="3866" t="s">
        <v>1303</v>
      </c>
      <c r="BD605" s="3866" t="s">
        <v>1303</v>
      </c>
      <c r="BE605" s="3853"/>
      <c r="BF605" s="3866" t="s">
        <v>1303</v>
      </c>
      <c r="BG605" s="3866" t="s">
        <v>1303</v>
      </c>
      <c r="BH605" s="3866" t="s">
        <v>1303</v>
      </c>
      <c r="BI605" s="3867" t="s">
        <v>1303</v>
      </c>
      <c r="BJ605" s="3853"/>
      <c r="BK605" s="3866" t="s">
        <v>1303</v>
      </c>
      <c r="BL605" s="3867" t="s">
        <v>1303</v>
      </c>
      <c r="BM605" s="3866" t="s">
        <v>1303</v>
      </c>
      <c r="BN605" s="3867" t="s">
        <v>1303</v>
      </c>
    </row>
    <row r="606" spans="1:66">
      <c r="A606" s="51" t="str">
        <f t="shared" si="331"/>
        <v>801250</v>
      </c>
      <c r="B606" s="1442" t="str">
        <f>'BUS Deemed Savings Table'!C153</f>
        <v>801250_2024_12_</v>
      </c>
      <c r="C606" s="1378" t="str">
        <f>'BUS Deemed Savings Table'!G153</f>
        <v>Refrigeration BUS</v>
      </c>
      <c r="D606" s="1378"/>
      <c r="E606" s="1378"/>
      <c r="F606" s="1378"/>
      <c r="G606" s="1378" t="str">
        <f>'BUS Deemed Savings Table'!E153</f>
        <v>0 &lt; V &lt; 15 - Vertical Closed - Solid Door Refrigerator</v>
      </c>
      <c r="H606" s="19" t="str">
        <f>'BUS Deemed Savings Table'!D153</f>
        <v>Standard</v>
      </c>
      <c r="I606" s="785">
        <f>'BUS Deemed Savings Table'!F153</f>
        <v>329.82</v>
      </c>
      <c r="J606" s="785"/>
      <c r="K606" s="202"/>
      <c r="L606" s="202"/>
      <c r="M606" s="202"/>
      <c r="N606" s="202"/>
      <c r="O606" s="786">
        <f>'BUS Deemed Savings Table'!I153</f>
        <v>4.4769000000000003E-2</v>
      </c>
      <c r="P606" s="786"/>
      <c r="Q606" s="787"/>
      <c r="R606" s="787"/>
      <c r="S606" s="787"/>
      <c r="T606" s="787"/>
      <c r="U606" s="788">
        <f t="shared" si="365"/>
        <v>0</v>
      </c>
      <c r="V606" s="788">
        <f t="shared" si="366"/>
        <v>4.4769000000000003E-2</v>
      </c>
      <c r="W606" s="788">
        <f t="shared" si="367"/>
        <v>0</v>
      </c>
      <c r="X606" s="23">
        <f>'BUS Deemed Savings Table'!J153</f>
        <v>12</v>
      </c>
      <c r="Y606" s="23"/>
      <c r="Z606" s="23">
        <f t="shared" si="335"/>
        <v>12</v>
      </c>
      <c r="AA606" s="18">
        <f>'BUS Deemed Savings Table'!DG153</f>
        <v>1.3324016354481989</v>
      </c>
      <c r="AB606" s="259">
        <f>'BUS Deemed Savings Table'!K153</f>
        <v>150</v>
      </c>
      <c r="AC606" s="790">
        <f t="shared" si="336"/>
        <v>199.86024531722984</v>
      </c>
      <c r="AD606" s="790">
        <f t="shared" si="337"/>
        <v>0</v>
      </c>
      <c r="AE606" s="610">
        <f>'BUS Deemed Savings Table'!DI153</f>
        <v>199.86024531722984</v>
      </c>
      <c r="AF606" s="208"/>
      <c r="AG606" s="208"/>
      <c r="AH606" s="208"/>
      <c r="AI606" s="1442" t="str">
        <f>'BUS Deemed Savings Table'!L153</f>
        <v>per measure</v>
      </c>
      <c r="AJ606" s="71"/>
      <c r="AX606" s="1355" t="str">
        <f t="shared" si="338"/>
        <v>0 &lt; V &lt; 15 - Vertical Closed - Solid Door Refrigerator</v>
      </c>
      <c r="AY606" s="1378"/>
      <c r="AZ606" s="1446" t="str">
        <f t="shared" si="339"/>
        <v>801250</v>
      </c>
      <c r="BA606" s="1300" t="s">
        <v>1303</v>
      </c>
      <c r="BB606" s="1300" t="s">
        <v>1303</v>
      </c>
      <c r="BC606" s="1300" t="s">
        <v>1303</v>
      </c>
      <c r="BD606" s="1300" t="s">
        <v>1303</v>
      </c>
      <c r="BE606" s="1305"/>
      <c r="BF606" s="1300" t="s">
        <v>1303</v>
      </c>
      <c r="BG606" s="1300" t="s">
        <v>1303</v>
      </c>
      <c r="BH606" s="1300" t="s">
        <v>1303</v>
      </c>
      <c r="BI606" s="1301" t="s">
        <v>1303</v>
      </c>
      <c r="BJ606" s="1305"/>
      <c r="BK606" s="1300" t="s">
        <v>1303</v>
      </c>
      <c r="BL606" s="1301" t="s">
        <v>1303</v>
      </c>
      <c r="BM606" s="1300" t="s">
        <v>1303</v>
      </c>
      <c r="BN606" s="1301" t="s">
        <v>1303</v>
      </c>
    </row>
    <row r="607" spans="1:66" s="696" customFormat="1">
      <c r="A607" s="2958" t="str">
        <f t="shared" si="331"/>
        <v>801300</v>
      </c>
      <c r="B607" s="2233" t="str">
        <f>'BUS Deemed Savings Table'!C154</f>
        <v>801300_2024_12_</v>
      </c>
      <c r="C607" s="2724" t="str">
        <f>'BUS Deemed Savings Table'!G154</f>
        <v>Refrigeration BUS</v>
      </c>
      <c r="D607" s="2724"/>
      <c r="E607" s="2724"/>
      <c r="F607" s="2724"/>
      <c r="G607" s="2724" t="str">
        <f>'BUS Deemed Savings Table'!E154</f>
        <v>15 ≤ V &lt; 30 - Vertical Closed - Solid Door Refrigerator</v>
      </c>
      <c r="H607" s="2554" t="str">
        <f>'BUS Deemed Savings Table'!D154</f>
        <v>BSS</v>
      </c>
      <c r="I607" s="3840">
        <f>'BUS Deemed Savings Table'!F154</f>
        <v>394.84</v>
      </c>
      <c r="J607" s="3840"/>
      <c r="K607" s="3251"/>
      <c r="L607" s="3251"/>
      <c r="M607" s="3251"/>
      <c r="N607" s="3251"/>
      <c r="O607" s="3841">
        <f>'BUS Deemed Savings Table'!I154</f>
        <v>5.3594999999999997E-2</v>
      </c>
      <c r="P607" s="3841"/>
      <c r="Q607" s="3842"/>
      <c r="R607" s="3842"/>
      <c r="S607" s="3842"/>
      <c r="T607" s="3842"/>
      <c r="U607" s="3843">
        <f t="shared" si="365"/>
        <v>0</v>
      </c>
      <c r="V607" s="3843">
        <f t="shared" si="366"/>
        <v>5.3594999999999997E-2</v>
      </c>
      <c r="W607" s="3843">
        <f t="shared" si="367"/>
        <v>0</v>
      </c>
      <c r="X607" s="2846">
        <f>'BUS Deemed Savings Table'!J154</f>
        <v>12</v>
      </c>
      <c r="Y607" s="2846"/>
      <c r="Z607" s="2846">
        <f t="shared" si="335"/>
        <v>12</v>
      </c>
      <c r="AA607" s="2529">
        <f>'BUS Deemed Savings Table'!DG154</f>
        <v>1.1963013046670157</v>
      </c>
      <c r="AB607" s="3878">
        <f>'BUS Deemed Savings Table'!K154</f>
        <v>200</v>
      </c>
      <c r="AC607" s="3968">
        <f t="shared" si="336"/>
        <v>239.26026093340315</v>
      </c>
      <c r="AD607" s="3968">
        <f t="shared" si="337"/>
        <v>0</v>
      </c>
      <c r="AE607" s="3865">
        <f>'BUS Deemed Savings Table'!DI154</f>
        <v>239.26026093340315</v>
      </c>
      <c r="AF607" s="3846"/>
      <c r="AG607" s="3846"/>
      <c r="AH607" s="3846"/>
      <c r="AI607" s="2233" t="str">
        <f>'BUS Deemed Savings Table'!L154</f>
        <v>per measure</v>
      </c>
      <c r="AJ607" s="2724"/>
      <c r="AX607" s="3849" t="str">
        <f t="shared" si="338"/>
        <v>15 ≤ V &lt; 30 - Vertical Closed - Solid Door Refrigerator</v>
      </c>
      <c r="AY607" s="2724"/>
      <c r="AZ607" s="3850" t="str">
        <f t="shared" si="339"/>
        <v>801300</v>
      </c>
      <c r="BA607" s="3866" t="s">
        <v>1303</v>
      </c>
      <c r="BB607" s="3866" t="s">
        <v>1303</v>
      </c>
      <c r="BC607" s="3866" t="s">
        <v>1303</v>
      </c>
      <c r="BD607" s="3866" t="s">
        <v>1303</v>
      </c>
      <c r="BE607" s="3853"/>
      <c r="BF607" s="3866" t="s">
        <v>1303</v>
      </c>
      <c r="BG607" s="3866" t="s">
        <v>1303</v>
      </c>
      <c r="BH607" s="3866" t="s">
        <v>1303</v>
      </c>
      <c r="BI607" s="3867" t="s">
        <v>1303</v>
      </c>
      <c r="BJ607" s="3853"/>
      <c r="BK607" s="3866" t="s">
        <v>1303</v>
      </c>
      <c r="BL607" s="3867" t="s">
        <v>1303</v>
      </c>
      <c r="BM607" s="3866" t="s">
        <v>1303</v>
      </c>
      <c r="BN607" s="3867" t="s">
        <v>1303</v>
      </c>
    </row>
    <row r="608" spans="1:66" s="696" customFormat="1">
      <c r="A608" s="2958" t="str">
        <f t="shared" si="331"/>
        <v>801350</v>
      </c>
      <c r="B608" s="2233" t="str">
        <f>'BUS Deemed Savings Table'!C155</f>
        <v>801350_2024_12_</v>
      </c>
      <c r="C608" s="2724" t="str">
        <f>'BUS Deemed Savings Table'!G155</f>
        <v>Refrigeration BUS</v>
      </c>
      <c r="D608" s="2724"/>
      <c r="E608" s="2724"/>
      <c r="F608" s="2724"/>
      <c r="G608" s="2724" t="str">
        <f>'BUS Deemed Savings Table'!E155</f>
        <v>30 ≤ V &lt; 50 - Vertical Closed - Solid Door Refrigerator</v>
      </c>
      <c r="H608" s="2554" t="str">
        <f>'BUS Deemed Savings Table'!D155</f>
        <v>BSS</v>
      </c>
      <c r="I608" s="3840">
        <f>'BUS Deemed Savings Table'!F155</f>
        <v>454.01</v>
      </c>
      <c r="J608" s="3840"/>
      <c r="K608" s="3251"/>
      <c r="L608" s="3251"/>
      <c r="M608" s="3251"/>
      <c r="N608" s="3251"/>
      <c r="O608" s="3841">
        <f>'BUS Deemed Savings Table'!I155</f>
        <v>6.1627000000000001E-2</v>
      </c>
      <c r="P608" s="3841"/>
      <c r="Q608" s="3842"/>
      <c r="R608" s="3842"/>
      <c r="S608" s="3842"/>
      <c r="T608" s="3842"/>
      <c r="U608" s="3843">
        <f t="shared" si="365"/>
        <v>0</v>
      </c>
      <c r="V608" s="3843">
        <f t="shared" si="366"/>
        <v>6.1627000000000001E-2</v>
      </c>
      <c r="W608" s="3843">
        <f t="shared" si="367"/>
        <v>0</v>
      </c>
      <c r="X608" s="2846">
        <f>'BUS Deemed Savings Table'!J155</f>
        <v>12</v>
      </c>
      <c r="Y608" s="2846"/>
      <c r="Z608" s="2846">
        <f t="shared" si="335"/>
        <v>12</v>
      </c>
      <c r="AA608" s="2529">
        <f>'BUS Deemed Savings Table'!DG155</f>
        <v>1.1004614635434542</v>
      </c>
      <c r="AB608" s="3878">
        <f>'BUS Deemed Savings Table'!K155</f>
        <v>250</v>
      </c>
      <c r="AC608" s="3968">
        <f t="shared" si="336"/>
        <v>275.11536588586353</v>
      </c>
      <c r="AD608" s="3968">
        <f t="shared" si="337"/>
        <v>0</v>
      </c>
      <c r="AE608" s="3865">
        <f>'BUS Deemed Savings Table'!DI155</f>
        <v>275.11536588586353</v>
      </c>
      <c r="AF608" s="3846"/>
      <c r="AG608" s="3846"/>
      <c r="AH608" s="3846"/>
      <c r="AI608" s="2233" t="str">
        <f>'BUS Deemed Savings Table'!L155</f>
        <v>per measure</v>
      </c>
      <c r="AJ608" s="2724"/>
      <c r="AX608" s="3849" t="str">
        <f t="shared" si="338"/>
        <v>30 ≤ V &lt; 50 - Vertical Closed - Solid Door Refrigerator</v>
      </c>
      <c r="AY608" s="2724"/>
      <c r="AZ608" s="3850" t="str">
        <f t="shared" si="339"/>
        <v>801350</v>
      </c>
      <c r="BA608" s="3866" t="s">
        <v>1303</v>
      </c>
      <c r="BB608" s="3866" t="s">
        <v>1303</v>
      </c>
      <c r="BC608" s="3866" t="s">
        <v>1303</v>
      </c>
      <c r="BD608" s="3866" t="s">
        <v>1303</v>
      </c>
      <c r="BE608" s="3853"/>
      <c r="BF608" s="3866" t="s">
        <v>1303</v>
      </c>
      <c r="BG608" s="3866" t="s">
        <v>1303</v>
      </c>
      <c r="BH608" s="3866" t="s">
        <v>1303</v>
      </c>
      <c r="BI608" s="3867" t="s">
        <v>1303</v>
      </c>
      <c r="BJ608" s="3853"/>
      <c r="BK608" s="3866" t="s">
        <v>1303</v>
      </c>
      <c r="BL608" s="3867" t="s">
        <v>1303</v>
      </c>
      <c r="BM608" s="3866" t="s">
        <v>1303</v>
      </c>
      <c r="BN608" s="3867" t="s">
        <v>1303</v>
      </c>
    </row>
    <row r="609" spans="1:66" s="696" customFormat="1">
      <c r="A609" s="2958" t="str">
        <f t="shared" si="331"/>
        <v>801400</v>
      </c>
      <c r="B609" s="2233" t="str">
        <f>'BUS Deemed Savings Table'!C156</f>
        <v>801400_2024_12_</v>
      </c>
      <c r="C609" s="2724" t="str">
        <f>'BUS Deemed Savings Table'!G156</f>
        <v>Refrigeration BUS</v>
      </c>
      <c r="D609" s="2724"/>
      <c r="E609" s="2724"/>
      <c r="F609" s="2724"/>
      <c r="G609" s="2724" t="str">
        <f>'BUS Deemed Savings Table'!E156</f>
        <v>V ≥ 50 - Vertical Closed - Solid Door Refrigerator</v>
      </c>
      <c r="H609" s="2554" t="str">
        <f>'BUS Deemed Savings Table'!D156</f>
        <v>BSS</v>
      </c>
      <c r="I609" s="3840">
        <f>'BUS Deemed Savings Table'!F156</f>
        <v>639.19000000000005</v>
      </c>
      <c r="J609" s="3840"/>
      <c r="K609" s="3251"/>
      <c r="L609" s="3251"/>
      <c r="M609" s="3251"/>
      <c r="N609" s="3251"/>
      <c r="O609" s="3841">
        <f>'BUS Deemed Savings Table'!I156</f>
        <v>8.6763000000000007E-2</v>
      </c>
      <c r="P609" s="3841"/>
      <c r="Q609" s="3842"/>
      <c r="R609" s="3842"/>
      <c r="S609" s="3842"/>
      <c r="T609" s="3842"/>
      <c r="U609" s="3843">
        <f t="shared" si="365"/>
        <v>0</v>
      </c>
      <c r="V609" s="3843">
        <f t="shared" si="366"/>
        <v>8.6763000000000007E-2</v>
      </c>
      <c r="W609" s="3843">
        <f t="shared" si="367"/>
        <v>0</v>
      </c>
      <c r="X609" s="2846">
        <f>'BUS Deemed Savings Table'!J156</f>
        <v>12</v>
      </c>
      <c r="Y609" s="2846"/>
      <c r="Z609" s="2846">
        <f t="shared" si="335"/>
        <v>12</v>
      </c>
      <c r="AA609" s="2529">
        <f>'BUS Deemed Savings Table'!DG156</f>
        <v>1.1066527214352431</v>
      </c>
      <c r="AB609" s="3878">
        <f>'BUS Deemed Savings Table'!K156</f>
        <v>350</v>
      </c>
      <c r="AC609" s="3968">
        <f t="shared" si="336"/>
        <v>387.32845250233504</v>
      </c>
      <c r="AD609" s="3968">
        <f t="shared" si="337"/>
        <v>0</v>
      </c>
      <c r="AE609" s="3865">
        <f>'BUS Deemed Savings Table'!DI156</f>
        <v>387.32845250233504</v>
      </c>
      <c r="AF609" s="3846"/>
      <c r="AG609" s="3846"/>
      <c r="AH609" s="3846"/>
      <c r="AI609" s="2233" t="str">
        <f>'BUS Deemed Savings Table'!L156</f>
        <v>per measure</v>
      </c>
      <c r="AJ609" s="2724"/>
      <c r="AX609" s="3849" t="str">
        <f t="shared" si="338"/>
        <v>V ≥ 50 - Vertical Closed - Solid Door Refrigerator</v>
      </c>
      <c r="AY609" s="2724"/>
      <c r="AZ609" s="3850" t="str">
        <f t="shared" si="339"/>
        <v>801400</v>
      </c>
      <c r="BA609" s="3866" t="s">
        <v>1303</v>
      </c>
      <c r="BB609" s="3866" t="s">
        <v>1303</v>
      </c>
      <c r="BC609" s="3866" t="s">
        <v>1303</v>
      </c>
      <c r="BD609" s="3866" t="s">
        <v>1303</v>
      </c>
      <c r="BE609" s="3853"/>
      <c r="BF609" s="3866" t="s">
        <v>1303</v>
      </c>
      <c r="BG609" s="3866" t="s">
        <v>1303</v>
      </c>
      <c r="BH609" s="3866" t="s">
        <v>1303</v>
      </c>
      <c r="BI609" s="3867" t="s">
        <v>1303</v>
      </c>
      <c r="BJ609" s="3853"/>
      <c r="BK609" s="3866" t="s">
        <v>1303</v>
      </c>
      <c r="BL609" s="3867" t="s">
        <v>1303</v>
      </c>
      <c r="BM609" s="3866" t="s">
        <v>1303</v>
      </c>
      <c r="BN609" s="3867" t="s">
        <v>1303</v>
      </c>
    </row>
    <row r="610" spans="1:66" s="696" customFormat="1">
      <c r="A610" s="2958" t="str">
        <f t="shared" si="331"/>
        <v>801450</v>
      </c>
      <c r="B610" s="2233" t="str">
        <f>'BUS Deemed Savings Table'!C157</f>
        <v>801450_2024_12_</v>
      </c>
      <c r="C610" s="2724" t="str">
        <f>'BUS Deemed Savings Table'!G157</f>
        <v>Refrigeration BUS</v>
      </c>
      <c r="D610" s="2724"/>
      <c r="E610" s="2724"/>
      <c r="F610" s="2724"/>
      <c r="G610" s="2724" t="str">
        <f>'BUS Deemed Savings Table'!E157</f>
        <v>0 &lt; V &lt; 15 - Vertical Closed - Glass Door Refrigerator</v>
      </c>
      <c r="H610" s="2554" t="str">
        <f>'BUS Deemed Savings Table'!D157</f>
        <v>BSS</v>
      </c>
      <c r="I610" s="3840">
        <f>'BUS Deemed Savings Table'!F157</f>
        <v>197.97</v>
      </c>
      <c r="J610" s="3840"/>
      <c r="K610" s="3251"/>
      <c r="L610" s="3251"/>
      <c r="M610" s="3251"/>
      <c r="N610" s="3251"/>
      <c r="O610" s="3841">
        <f>'BUS Deemed Savings Table'!I157</f>
        <v>2.6872E-2</v>
      </c>
      <c r="P610" s="3841"/>
      <c r="Q610" s="3842"/>
      <c r="R610" s="3842"/>
      <c r="S610" s="3842"/>
      <c r="T610" s="3842"/>
      <c r="U610" s="3843">
        <f t="shared" si="365"/>
        <v>0</v>
      </c>
      <c r="V610" s="3843">
        <f t="shared" si="366"/>
        <v>2.6872E-2</v>
      </c>
      <c r="W610" s="3843">
        <f t="shared" si="367"/>
        <v>0</v>
      </c>
      <c r="X610" s="2846">
        <f>'BUS Deemed Savings Table'!J157</f>
        <v>12</v>
      </c>
      <c r="Y610" s="2846"/>
      <c r="Z610" s="2846">
        <f t="shared" si="335"/>
        <v>12</v>
      </c>
      <c r="AA610" s="2529">
        <f>'BUS Deemed Savings Table'!DG157</f>
        <v>2.3992682533170813</v>
      </c>
      <c r="AB610" s="3878">
        <f>'BUS Deemed Savings Table'!K157</f>
        <v>50</v>
      </c>
      <c r="AC610" s="3968">
        <f t="shared" si="336"/>
        <v>119.96341266585407</v>
      </c>
      <c r="AD610" s="3968">
        <f t="shared" si="337"/>
        <v>0</v>
      </c>
      <c r="AE610" s="3865">
        <f>'BUS Deemed Savings Table'!DI157</f>
        <v>119.96341266585407</v>
      </c>
      <c r="AF610" s="3846"/>
      <c r="AG610" s="3846"/>
      <c r="AH610" s="3846"/>
      <c r="AI610" s="2233" t="str">
        <f>'BUS Deemed Savings Table'!L157</f>
        <v>per measure</v>
      </c>
      <c r="AJ610" s="2724"/>
      <c r="AX610" s="3849" t="str">
        <f t="shared" si="338"/>
        <v>0 &lt; V &lt; 15 - Vertical Closed - Glass Door Refrigerator</v>
      </c>
      <c r="AY610" s="2724"/>
      <c r="AZ610" s="3850" t="str">
        <f t="shared" si="339"/>
        <v>801450</v>
      </c>
      <c r="BA610" s="3866" t="s">
        <v>1303</v>
      </c>
      <c r="BB610" s="3866" t="s">
        <v>1303</v>
      </c>
      <c r="BC610" s="3866" t="s">
        <v>1303</v>
      </c>
      <c r="BD610" s="3866" t="s">
        <v>1303</v>
      </c>
      <c r="BE610" s="3853"/>
      <c r="BF610" s="3866" t="s">
        <v>1303</v>
      </c>
      <c r="BG610" s="3866" t="s">
        <v>1303</v>
      </c>
      <c r="BH610" s="3866" t="s">
        <v>1303</v>
      </c>
      <c r="BI610" s="3867" t="s">
        <v>1303</v>
      </c>
      <c r="BJ610" s="3853"/>
      <c r="BK610" s="3866" t="s">
        <v>1303</v>
      </c>
      <c r="BL610" s="3867" t="s">
        <v>1303</v>
      </c>
      <c r="BM610" s="3866" t="s">
        <v>1303</v>
      </c>
      <c r="BN610" s="3867" t="s">
        <v>1303</v>
      </c>
    </row>
    <row r="611" spans="1:66" s="696" customFormat="1">
      <c r="A611" s="2958" t="str">
        <f t="shared" si="331"/>
        <v>801500</v>
      </c>
      <c r="B611" s="2233" t="str">
        <f>'BUS Deemed Savings Table'!C158</f>
        <v>801500_2024_12_</v>
      </c>
      <c r="C611" s="2724" t="str">
        <f>'BUS Deemed Savings Table'!G158</f>
        <v>Refrigeration BUS</v>
      </c>
      <c r="D611" s="2724"/>
      <c r="E611" s="2724"/>
      <c r="F611" s="2724"/>
      <c r="G611" s="2724" t="str">
        <f>'BUS Deemed Savings Table'!E158</f>
        <v>15 ≤ V &lt; 30 - Vertical Closed - Glass Door Refrigerator</v>
      </c>
      <c r="H611" s="2554" t="str">
        <f>'BUS Deemed Savings Table'!D158</f>
        <v>BSS</v>
      </c>
      <c r="I611" s="3840">
        <f>'BUS Deemed Savings Table'!F158</f>
        <v>377.3</v>
      </c>
      <c r="J611" s="3840"/>
      <c r="K611" s="3251"/>
      <c r="L611" s="3251"/>
      <c r="M611" s="3251"/>
      <c r="N611" s="3251"/>
      <c r="O611" s="3841">
        <f>'BUS Deemed Savings Table'!I158</f>
        <v>5.1214000000000003E-2</v>
      </c>
      <c r="P611" s="3841"/>
      <c r="Q611" s="3842"/>
      <c r="R611" s="3842"/>
      <c r="S611" s="3842"/>
      <c r="T611" s="3842"/>
      <c r="U611" s="3843">
        <f t="shared" si="365"/>
        <v>0</v>
      </c>
      <c r="V611" s="3843">
        <f t="shared" si="366"/>
        <v>5.1214000000000003E-2</v>
      </c>
      <c r="W611" s="3843">
        <f t="shared" si="367"/>
        <v>0</v>
      </c>
      <c r="X611" s="2846">
        <f>'BUS Deemed Savings Table'!J158</f>
        <v>12</v>
      </c>
      <c r="Y611" s="2846"/>
      <c r="Z611" s="2846">
        <f t="shared" si="335"/>
        <v>12</v>
      </c>
      <c r="AA611" s="2529">
        <f>'BUS Deemed Savings Table'!DG158</f>
        <v>1.1431579430930632</v>
      </c>
      <c r="AB611" s="3878">
        <f>'BUS Deemed Savings Table'!K158</f>
        <v>200</v>
      </c>
      <c r="AC611" s="3968">
        <f t="shared" si="336"/>
        <v>228.63158861861262</v>
      </c>
      <c r="AD611" s="3968">
        <f t="shared" si="337"/>
        <v>0</v>
      </c>
      <c r="AE611" s="3865">
        <f>'BUS Deemed Savings Table'!DI158</f>
        <v>228.63158861861262</v>
      </c>
      <c r="AF611" s="3846"/>
      <c r="AG611" s="3846"/>
      <c r="AH611" s="3846"/>
      <c r="AI611" s="2233" t="str">
        <f>'BUS Deemed Savings Table'!L158</f>
        <v>per measure</v>
      </c>
      <c r="AJ611" s="2724"/>
      <c r="AX611" s="3849" t="str">
        <f t="shared" si="338"/>
        <v>15 ≤ V &lt; 30 - Vertical Closed - Glass Door Refrigerator</v>
      </c>
      <c r="AY611" s="2724"/>
      <c r="AZ611" s="3850" t="str">
        <f t="shared" si="339"/>
        <v>801500</v>
      </c>
      <c r="BA611" s="3866" t="s">
        <v>1303</v>
      </c>
      <c r="BB611" s="3866" t="s">
        <v>1303</v>
      </c>
      <c r="BC611" s="3866" t="s">
        <v>1303</v>
      </c>
      <c r="BD611" s="3866" t="s">
        <v>1303</v>
      </c>
      <c r="BE611" s="3853"/>
      <c r="BF611" s="3866" t="s">
        <v>1303</v>
      </c>
      <c r="BG611" s="3866" t="s">
        <v>1303</v>
      </c>
      <c r="BH611" s="3866" t="s">
        <v>1303</v>
      </c>
      <c r="BI611" s="3867" t="s">
        <v>1303</v>
      </c>
      <c r="BJ611" s="3853"/>
      <c r="BK611" s="3866" t="s">
        <v>1303</v>
      </c>
      <c r="BL611" s="3867" t="s">
        <v>1303</v>
      </c>
      <c r="BM611" s="3866" t="s">
        <v>1303</v>
      </c>
      <c r="BN611" s="3867" t="s">
        <v>1303</v>
      </c>
    </row>
    <row r="612" spans="1:66" s="696" customFormat="1">
      <c r="A612" s="2958" t="str">
        <f t="shared" si="331"/>
        <v>801550</v>
      </c>
      <c r="B612" s="2233" t="str">
        <f>'BUS Deemed Savings Table'!C159</f>
        <v>801550_2024_12_</v>
      </c>
      <c r="C612" s="2724" t="str">
        <f>'BUS Deemed Savings Table'!G159</f>
        <v>Refrigeration BUS</v>
      </c>
      <c r="D612" s="2724"/>
      <c r="E612" s="2724"/>
      <c r="F612" s="2724"/>
      <c r="G612" s="2724" t="str">
        <f>'BUS Deemed Savings Table'!E159</f>
        <v>30 ≤ V &lt; 50 - Vertical Closed - Glass Door Refrigerator</v>
      </c>
      <c r="H612" s="2554" t="str">
        <f>'BUS Deemed Savings Table'!D159</f>
        <v>BSS</v>
      </c>
      <c r="I612" s="3840">
        <f>'BUS Deemed Savings Table'!F159</f>
        <v>706.39</v>
      </c>
      <c r="J612" s="3840"/>
      <c r="K612" s="3251"/>
      <c r="L612" s="3251"/>
      <c r="M612" s="3251"/>
      <c r="N612" s="3251"/>
      <c r="O612" s="3841">
        <f>'BUS Deemed Savings Table'!I159</f>
        <v>9.5883999999999997E-2</v>
      </c>
      <c r="P612" s="3841"/>
      <c r="Q612" s="3842"/>
      <c r="R612" s="3842"/>
      <c r="S612" s="3842"/>
      <c r="T612" s="3842"/>
      <c r="U612" s="3843">
        <f t="shared" si="365"/>
        <v>0</v>
      </c>
      <c r="V612" s="3843">
        <f t="shared" si="366"/>
        <v>9.5883999999999997E-2</v>
      </c>
      <c r="W612" s="3843">
        <f t="shared" si="367"/>
        <v>0</v>
      </c>
      <c r="X612" s="2846">
        <f>'BUS Deemed Savings Table'!J159</f>
        <v>12</v>
      </c>
      <c r="Y612" s="2846"/>
      <c r="Z612" s="2846">
        <f t="shared" si="335"/>
        <v>12</v>
      </c>
      <c r="AA612" s="2529">
        <f>'BUS Deemed Savings Table'!DG159</f>
        <v>0.95122106124982642</v>
      </c>
      <c r="AB612" s="3878">
        <f>'BUS Deemed Savings Table'!K159</f>
        <v>450</v>
      </c>
      <c r="AC612" s="3968">
        <f t="shared" si="336"/>
        <v>428.04947756242188</v>
      </c>
      <c r="AD612" s="3968">
        <f t="shared" si="337"/>
        <v>0</v>
      </c>
      <c r="AE612" s="3865">
        <f>'BUS Deemed Savings Table'!DI159</f>
        <v>428.04947756242188</v>
      </c>
      <c r="AF612" s="3846"/>
      <c r="AG612" s="3846"/>
      <c r="AH612" s="3846"/>
      <c r="AI612" s="2233" t="str">
        <f>'BUS Deemed Savings Table'!L159</f>
        <v>per measure</v>
      </c>
      <c r="AJ612" s="2724"/>
      <c r="AX612" s="3849" t="str">
        <f t="shared" si="338"/>
        <v>30 ≤ V &lt; 50 - Vertical Closed - Glass Door Refrigerator</v>
      </c>
      <c r="AY612" s="2724"/>
      <c r="AZ612" s="3850" t="str">
        <f t="shared" si="339"/>
        <v>801550</v>
      </c>
      <c r="BA612" s="3866" t="s">
        <v>1303</v>
      </c>
      <c r="BB612" s="3866" t="s">
        <v>1303</v>
      </c>
      <c r="BC612" s="3866" t="s">
        <v>1303</v>
      </c>
      <c r="BD612" s="3866" t="s">
        <v>1303</v>
      </c>
      <c r="BE612" s="3853"/>
      <c r="BF612" s="3866" t="s">
        <v>1303</v>
      </c>
      <c r="BG612" s="3866" t="s">
        <v>1303</v>
      </c>
      <c r="BH612" s="3866" t="s">
        <v>1303</v>
      </c>
      <c r="BI612" s="3867" t="s">
        <v>1303</v>
      </c>
      <c r="BJ612" s="3853"/>
      <c r="BK612" s="3866" t="s">
        <v>1303</v>
      </c>
      <c r="BL612" s="3867" t="s">
        <v>1303</v>
      </c>
      <c r="BM612" s="3866" t="s">
        <v>1303</v>
      </c>
      <c r="BN612" s="3867" t="s">
        <v>1303</v>
      </c>
    </row>
    <row r="613" spans="1:66" s="696" customFormat="1">
      <c r="A613" s="2958" t="str">
        <f t="shared" si="331"/>
        <v>801600</v>
      </c>
      <c r="B613" s="2233" t="str">
        <f>'BUS Deemed Savings Table'!C160</f>
        <v>801600_2024_12_</v>
      </c>
      <c r="C613" s="2724" t="str">
        <f>'BUS Deemed Savings Table'!G160</f>
        <v>Refrigeration BUS</v>
      </c>
      <c r="D613" s="2724"/>
      <c r="E613" s="2724"/>
      <c r="F613" s="2724"/>
      <c r="G613" s="2724" t="str">
        <f>'BUS Deemed Savings Table'!E160</f>
        <v>V ≥ 50 - Vertical Closed - Glass Door Refrigerator</v>
      </c>
      <c r="H613" s="2554" t="str">
        <f>'BUS Deemed Savings Table'!D160</f>
        <v>BSS</v>
      </c>
      <c r="I613" s="3840">
        <f>'BUS Deemed Savings Table'!F160</f>
        <v>1060.32</v>
      </c>
      <c r="J613" s="3840"/>
      <c r="K613" s="3251"/>
      <c r="L613" s="3251"/>
      <c r="M613" s="3251"/>
      <c r="N613" s="3251"/>
      <c r="O613" s="3841">
        <f>'BUS Deemed Savings Table'!I160</f>
        <v>0.143926</v>
      </c>
      <c r="P613" s="3841"/>
      <c r="Q613" s="3842"/>
      <c r="R613" s="3842"/>
      <c r="S613" s="3842"/>
      <c r="T613" s="3842"/>
      <c r="U613" s="3843">
        <f t="shared" si="365"/>
        <v>0</v>
      </c>
      <c r="V613" s="3843">
        <f t="shared" si="366"/>
        <v>0.143926</v>
      </c>
      <c r="W613" s="3843">
        <f t="shared" si="367"/>
        <v>0</v>
      </c>
      <c r="X613" s="2846">
        <f>'BUS Deemed Savings Table'!J160</f>
        <v>12</v>
      </c>
      <c r="Y613" s="2846"/>
      <c r="Z613" s="2846">
        <f t="shared" si="335"/>
        <v>12</v>
      </c>
      <c r="AA613" s="2529">
        <f>'BUS Deemed Savings Table'!DG160</f>
        <v>0.91788514650746789</v>
      </c>
      <c r="AB613" s="3878">
        <f>'BUS Deemed Savings Table'!K160</f>
        <v>700</v>
      </c>
      <c r="AC613" s="3968">
        <f t="shared" si="336"/>
        <v>642.51960255522749</v>
      </c>
      <c r="AD613" s="3968">
        <f t="shared" si="337"/>
        <v>0</v>
      </c>
      <c r="AE613" s="3865">
        <f>'BUS Deemed Savings Table'!DI160</f>
        <v>642.51960255522749</v>
      </c>
      <c r="AF613" s="3846"/>
      <c r="AG613" s="3846"/>
      <c r="AH613" s="3846"/>
      <c r="AI613" s="2233" t="str">
        <f>'BUS Deemed Savings Table'!L160</f>
        <v>per measure</v>
      </c>
      <c r="AJ613" s="2724"/>
      <c r="AX613" s="3849" t="str">
        <f t="shared" si="338"/>
        <v>V ≥ 50 - Vertical Closed - Glass Door Refrigerator</v>
      </c>
      <c r="AY613" s="2724"/>
      <c r="AZ613" s="3850" t="str">
        <f t="shared" si="339"/>
        <v>801600</v>
      </c>
      <c r="BA613" s="3866" t="s">
        <v>1303</v>
      </c>
      <c r="BB613" s="3866" t="s">
        <v>1303</v>
      </c>
      <c r="BC613" s="3866" t="s">
        <v>1303</v>
      </c>
      <c r="BD613" s="3866" t="s">
        <v>1303</v>
      </c>
      <c r="BE613" s="3853"/>
      <c r="BF613" s="3866" t="s">
        <v>1303</v>
      </c>
      <c r="BG613" s="3866" t="s">
        <v>1303</v>
      </c>
      <c r="BH613" s="3866" t="s">
        <v>1303</v>
      </c>
      <c r="BI613" s="3867" t="s">
        <v>1303</v>
      </c>
      <c r="BJ613" s="3853"/>
      <c r="BK613" s="3866" t="s">
        <v>1303</v>
      </c>
      <c r="BL613" s="3867" t="s">
        <v>1303</v>
      </c>
      <c r="BM613" s="3866" t="s">
        <v>1303</v>
      </c>
      <c r="BN613" s="3867" t="s">
        <v>1303</v>
      </c>
    </row>
    <row r="614" spans="1:66" s="696" customFormat="1">
      <c r="A614" s="2958" t="str">
        <f t="shared" si="331"/>
        <v>801700</v>
      </c>
      <c r="B614" s="2233" t="str">
        <f>'BUS Deemed Savings Table'!C161</f>
        <v>801700_2024_12_</v>
      </c>
      <c r="C614" s="2724" t="str">
        <f>'BUS Deemed Savings Table'!G161</f>
        <v>Refrigeration BUS</v>
      </c>
      <c r="D614" s="2724"/>
      <c r="E614" s="2724"/>
      <c r="F614" s="2724"/>
      <c r="G614" s="2724" t="str">
        <f>'BUS Deemed Savings Table'!E161</f>
        <v>0 &lt; V &lt; 15 - Vertical Closed - Solid Door Freezer</v>
      </c>
      <c r="H614" s="2554" t="str">
        <f>'BUS Deemed Savings Table'!D161</f>
        <v>BSS</v>
      </c>
      <c r="I614" s="3840">
        <f>'BUS Deemed Savings Table'!F161</f>
        <v>284.16000000000003</v>
      </c>
      <c r="J614" s="3840"/>
      <c r="K614" s="3251"/>
      <c r="L614" s="3251"/>
      <c r="M614" s="3251"/>
      <c r="N614" s="3251"/>
      <c r="O614" s="3841">
        <f>'BUS Deemed Savings Table'!I161</f>
        <v>3.8571000000000001E-2</v>
      </c>
      <c r="P614" s="3841"/>
      <c r="Q614" s="3842"/>
      <c r="R614" s="3842"/>
      <c r="S614" s="3842"/>
      <c r="T614" s="3842"/>
      <c r="U614" s="3843">
        <f t="shared" si="365"/>
        <v>0</v>
      </c>
      <c r="V614" s="3843">
        <f t="shared" si="366"/>
        <v>3.8571000000000001E-2</v>
      </c>
      <c r="W614" s="3843">
        <f t="shared" si="367"/>
        <v>0</v>
      </c>
      <c r="X614" s="2846">
        <f>'BUS Deemed Savings Table'!J161</f>
        <v>12</v>
      </c>
      <c r="Y614" s="2846"/>
      <c r="Z614" s="2846">
        <f t="shared" si="335"/>
        <v>12</v>
      </c>
      <c r="AA614" s="2529">
        <f>'BUS Deemed Savings Table'!DG161</f>
        <v>1.7219176311122442</v>
      </c>
      <c r="AB614" s="3878">
        <f>'BUS Deemed Savings Table'!K161</f>
        <v>100</v>
      </c>
      <c r="AC614" s="3968">
        <f t="shared" si="336"/>
        <v>172.19176311122442</v>
      </c>
      <c r="AD614" s="3968">
        <f t="shared" si="337"/>
        <v>0</v>
      </c>
      <c r="AE614" s="3865">
        <f>'BUS Deemed Savings Table'!DI161</f>
        <v>172.19176311122442</v>
      </c>
      <c r="AF614" s="3846"/>
      <c r="AG614" s="3846"/>
      <c r="AH614" s="3846"/>
      <c r="AI614" s="2233" t="str">
        <f>'BUS Deemed Savings Table'!L161</f>
        <v>per measure</v>
      </c>
      <c r="AJ614" s="2724"/>
      <c r="AX614" s="3849" t="str">
        <f t="shared" si="338"/>
        <v>0 &lt; V &lt; 15 - Vertical Closed - Solid Door Freezer</v>
      </c>
      <c r="AY614" s="2724"/>
      <c r="AZ614" s="3850" t="str">
        <f t="shared" si="339"/>
        <v>801700</v>
      </c>
      <c r="BA614" s="3866" t="s">
        <v>1303</v>
      </c>
      <c r="BB614" s="3866" t="s">
        <v>1303</v>
      </c>
      <c r="BC614" s="3866" t="s">
        <v>1303</v>
      </c>
      <c r="BD614" s="3866" t="s">
        <v>1303</v>
      </c>
      <c r="BE614" s="3853"/>
      <c r="BF614" s="3866" t="s">
        <v>1303</v>
      </c>
      <c r="BG614" s="3866" t="s">
        <v>1303</v>
      </c>
      <c r="BH614" s="3866" t="s">
        <v>1303</v>
      </c>
      <c r="BI614" s="3867" t="s">
        <v>1303</v>
      </c>
      <c r="BJ614" s="3853"/>
      <c r="BK614" s="3866" t="s">
        <v>1303</v>
      </c>
      <c r="BL614" s="3867" t="s">
        <v>1303</v>
      </c>
      <c r="BM614" s="3866" t="s">
        <v>1303</v>
      </c>
      <c r="BN614" s="3867" t="s">
        <v>1303</v>
      </c>
    </row>
    <row r="615" spans="1:66">
      <c r="A615" s="51" t="str">
        <f t="shared" si="331"/>
        <v>801750</v>
      </c>
      <c r="B615" s="1442" t="str">
        <f>'BUS Deemed Savings Table'!C162</f>
        <v>801750_2024_12_</v>
      </c>
      <c r="C615" s="1378" t="str">
        <f>'BUS Deemed Savings Table'!G162</f>
        <v>Refrigeration BUS</v>
      </c>
      <c r="D615" s="1378"/>
      <c r="E615" s="1378"/>
      <c r="F615" s="1378"/>
      <c r="G615" s="1378" t="str">
        <f>'BUS Deemed Savings Table'!E162</f>
        <v>15 ≤ V &lt; 30 - Vertical Closed - Solid Door Freezer</v>
      </c>
      <c r="H615" s="19" t="str">
        <f>'BUS Deemed Savings Table'!D162</f>
        <v>Standard</v>
      </c>
      <c r="I615" s="785">
        <f>'BUS Deemed Savings Table'!F162</f>
        <v>575.27</v>
      </c>
      <c r="J615" s="785"/>
      <c r="K615" s="202"/>
      <c r="L615" s="202"/>
      <c r="M615" s="202"/>
      <c r="N615" s="202"/>
      <c r="O615" s="786">
        <f>'BUS Deemed Savings Table'!I162</f>
        <v>7.8086000000000003E-2</v>
      </c>
      <c r="P615" s="786"/>
      <c r="Q615" s="787"/>
      <c r="R615" s="787"/>
      <c r="S615" s="787"/>
      <c r="T615" s="787"/>
      <c r="U615" s="788">
        <f t="shared" si="365"/>
        <v>0</v>
      </c>
      <c r="V615" s="788">
        <f t="shared" si="366"/>
        <v>7.8086000000000003E-2</v>
      </c>
      <c r="W615" s="788">
        <f t="shared" si="367"/>
        <v>0</v>
      </c>
      <c r="X615" s="23">
        <f>'BUS Deemed Savings Table'!J162</f>
        <v>12</v>
      </c>
      <c r="Y615" s="23"/>
      <c r="Z615" s="23">
        <f t="shared" si="335"/>
        <v>12</v>
      </c>
      <c r="AA615" s="18">
        <f>'BUS Deemed Savings Table'!DG162</f>
        <v>0.99598571795561908</v>
      </c>
      <c r="AB615" s="259">
        <f>'BUS Deemed Savings Table'!K162</f>
        <v>350</v>
      </c>
      <c r="AC615" s="790">
        <f t="shared" si="336"/>
        <v>348.59500128446666</v>
      </c>
      <c r="AD615" s="790">
        <f t="shared" si="337"/>
        <v>0</v>
      </c>
      <c r="AE615" s="610">
        <f>'BUS Deemed Savings Table'!DI162</f>
        <v>348.59500128446666</v>
      </c>
      <c r="AF615" s="208"/>
      <c r="AG615" s="208"/>
      <c r="AH615" s="208"/>
      <c r="AI615" s="1442" t="str">
        <f>'BUS Deemed Savings Table'!L162</f>
        <v>per measure</v>
      </c>
      <c r="AJ615" s="71"/>
      <c r="AX615" s="1355" t="str">
        <f t="shared" si="338"/>
        <v>15 ≤ V &lt; 30 - Vertical Closed - Solid Door Freezer</v>
      </c>
      <c r="AY615" s="1378"/>
      <c r="AZ615" s="1446" t="str">
        <f t="shared" si="339"/>
        <v>801750</v>
      </c>
      <c r="BA615" s="1300" t="s">
        <v>1303</v>
      </c>
      <c r="BB615" s="1300" t="s">
        <v>1303</v>
      </c>
      <c r="BC615" s="1300" t="s">
        <v>1303</v>
      </c>
      <c r="BD615" s="1300" t="s">
        <v>1303</v>
      </c>
      <c r="BE615" s="1305"/>
      <c r="BF615" s="1300" t="s">
        <v>1303</v>
      </c>
      <c r="BG615" s="1300" t="s">
        <v>1303</v>
      </c>
      <c r="BH615" s="1300" t="s">
        <v>1303</v>
      </c>
      <c r="BI615" s="1301" t="s">
        <v>1303</v>
      </c>
      <c r="BJ615" s="1305"/>
      <c r="BK615" s="1300" t="s">
        <v>1303</v>
      </c>
      <c r="BL615" s="1301" t="s">
        <v>1303</v>
      </c>
      <c r="BM615" s="1300" t="s">
        <v>1303</v>
      </c>
      <c r="BN615" s="1301" t="s">
        <v>1303</v>
      </c>
    </row>
    <row r="616" spans="1:66">
      <c r="A616" s="51" t="str">
        <f t="shared" si="331"/>
        <v>801800</v>
      </c>
      <c r="B616" s="1442" t="str">
        <f>'BUS Deemed Savings Table'!C163</f>
        <v>801800_2024_12_</v>
      </c>
      <c r="C616" s="1378" t="str">
        <f>'BUS Deemed Savings Table'!G163</f>
        <v>Refrigeration BUS</v>
      </c>
      <c r="D616" s="1378"/>
      <c r="E616" s="1378"/>
      <c r="F616" s="1378"/>
      <c r="G616" s="1378" t="str">
        <f>'BUS Deemed Savings Table'!E163</f>
        <v>30 ≤ V &lt; 50 - Vertical Closed - Solid Door Freezer</v>
      </c>
      <c r="H616" s="19" t="str">
        <f>'BUS Deemed Savings Table'!D163</f>
        <v>Standard</v>
      </c>
      <c r="I616" s="785">
        <f>'BUS Deemed Savings Table'!F163</f>
        <v>1117.67</v>
      </c>
      <c r="J616" s="785"/>
      <c r="K616" s="202"/>
      <c r="L616" s="202"/>
      <c r="M616" s="202"/>
      <c r="N616" s="202"/>
      <c r="O616" s="786">
        <f>'BUS Deemed Savings Table'!I163</f>
        <v>0.15171100000000001</v>
      </c>
      <c r="P616" s="786"/>
      <c r="Q616" s="787"/>
      <c r="R616" s="787"/>
      <c r="S616" s="787"/>
      <c r="T616" s="787"/>
      <c r="U616" s="788">
        <f t="shared" si="365"/>
        <v>0</v>
      </c>
      <c r="V616" s="788">
        <f t="shared" si="366"/>
        <v>0.15171100000000001</v>
      </c>
      <c r="W616" s="788">
        <f t="shared" si="367"/>
        <v>0</v>
      </c>
      <c r="X616" s="23">
        <f>'BUS Deemed Savings Table'!J163</f>
        <v>12</v>
      </c>
      <c r="Y616" s="23"/>
      <c r="Z616" s="23">
        <f t="shared" si="335"/>
        <v>12</v>
      </c>
      <c r="AA616" s="18">
        <f>'BUS Deemed Savings Table'!DG163</f>
        <v>1.3545436928246213</v>
      </c>
      <c r="AB616" s="259">
        <f>'BUS Deemed Savings Table'!K163</f>
        <v>500</v>
      </c>
      <c r="AC616" s="790">
        <f t="shared" si="336"/>
        <v>677.27184641231065</v>
      </c>
      <c r="AD616" s="790">
        <f t="shared" si="337"/>
        <v>0</v>
      </c>
      <c r="AE616" s="610">
        <f>'BUS Deemed Savings Table'!DI163</f>
        <v>677.27184641231065</v>
      </c>
      <c r="AF616" s="208"/>
      <c r="AG616" s="208"/>
      <c r="AH616" s="208"/>
      <c r="AI616" s="1442" t="str">
        <f>'BUS Deemed Savings Table'!L163</f>
        <v>per measure</v>
      </c>
      <c r="AJ616" s="71"/>
      <c r="AX616" s="1355" t="str">
        <f t="shared" ref="AX616:AX691" si="397">G616</f>
        <v>30 ≤ V &lt; 50 - Vertical Closed - Solid Door Freezer</v>
      </c>
      <c r="AY616" s="1378"/>
      <c r="AZ616" s="1446" t="str">
        <f t="shared" ref="AZ616:AZ691" si="398">A616</f>
        <v>801800</v>
      </c>
      <c r="BA616" s="1300" t="s">
        <v>1303</v>
      </c>
      <c r="BB616" s="1300" t="s">
        <v>1303</v>
      </c>
      <c r="BC616" s="1300" t="s">
        <v>1303</v>
      </c>
      <c r="BD616" s="1300" t="s">
        <v>1303</v>
      </c>
      <c r="BE616" s="1305"/>
      <c r="BF616" s="1300" t="s">
        <v>1303</v>
      </c>
      <c r="BG616" s="1300" t="s">
        <v>1303</v>
      </c>
      <c r="BH616" s="1300" t="s">
        <v>1303</v>
      </c>
      <c r="BI616" s="1301" t="s">
        <v>1303</v>
      </c>
      <c r="BJ616" s="1305"/>
      <c r="BK616" s="1300" t="s">
        <v>1303</v>
      </c>
      <c r="BL616" s="1301" t="s">
        <v>1303</v>
      </c>
      <c r="BM616" s="1300" t="s">
        <v>1303</v>
      </c>
      <c r="BN616" s="1301" t="s">
        <v>1303</v>
      </c>
    </row>
    <row r="617" spans="1:66">
      <c r="A617" s="51" t="str">
        <f t="shared" si="331"/>
        <v>801850</v>
      </c>
      <c r="B617" s="1442" t="str">
        <f>'BUS Deemed Savings Table'!C164</f>
        <v>801850_2024_12_</v>
      </c>
      <c r="C617" s="1378" t="str">
        <f>'BUS Deemed Savings Table'!G164</f>
        <v>Refrigeration BUS</v>
      </c>
      <c r="D617" s="1378"/>
      <c r="E617" s="1378"/>
      <c r="F617" s="1378"/>
      <c r="G617" s="1378" t="str">
        <f>'BUS Deemed Savings Table'!E164</f>
        <v>V ≥ 50 - Vertical Closed - Solid Door Freezer</v>
      </c>
      <c r="H617" s="19" t="str">
        <f>'BUS Deemed Savings Table'!D164</f>
        <v>Standard</v>
      </c>
      <c r="I617" s="785">
        <f>'BUS Deemed Savings Table'!F164</f>
        <v>1504.46</v>
      </c>
      <c r="J617" s="785"/>
      <c r="K617" s="202"/>
      <c r="L617" s="202"/>
      <c r="M617" s="202"/>
      <c r="N617" s="202"/>
      <c r="O617" s="786">
        <f>'BUS Deemed Savings Table'!I164</f>
        <v>0.20421300000000001</v>
      </c>
      <c r="P617" s="786"/>
      <c r="Q617" s="787"/>
      <c r="R617" s="787"/>
      <c r="S617" s="787"/>
      <c r="T617" s="787"/>
      <c r="U617" s="788">
        <f t="shared" si="365"/>
        <v>0</v>
      </c>
      <c r="V617" s="788">
        <f t="shared" si="366"/>
        <v>0.20421300000000001</v>
      </c>
      <c r="W617" s="788">
        <f t="shared" si="367"/>
        <v>0</v>
      </c>
      <c r="X617" s="23">
        <f>'BUS Deemed Savings Table'!J164</f>
        <v>12</v>
      </c>
      <c r="Y617" s="23"/>
      <c r="Z617" s="23">
        <f t="shared" si="335"/>
        <v>12</v>
      </c>
      <c r="AA617" s="18">
        <f>'BUS Deemed Savings Table'!DG164</f>
        <v>1.5194234464756515</v>
      </c>
      <c r="AB617" s="259">
        <f>'BUS Deemed Savings Table'!K164</f>
        <v>600</v>
      </c>
      <c r="AC617" s="790">
        <f t="shared" si="336"/>
        <v>911.65406788539087</v>
      </c>
      <c r="AD617" s="790">
        <f t="shared" si="337"/>
        <v>0</v>
      </c>
      <c r="AE617" s="610">
        <f>'BUS Deemed Savings Table'!DI164</f>
        <v>911.65406788539087</v>
      </c>
      <c r="AF617" s="208"/>
      <c r="AG617" s="208"/>
      <c r="AH617" s="208"/>
      <c r="AI617" s="1442" t="str">
        <f>'BUS Deemed Savings Table'!L164</f>
        <v>per measure</v>
      </c>
      <c r="AJ617" s="71"/>
      <c r="AX617" s="1355" t="str">
        <f t="shared" si="397"/>
        <v>V ≥ 50 - Vertical Closed - Solid Door Freezer</v>
      </c>
      <c r="AY617" s="1378"/>
      <c r="AZ617" s="1446" t="str">
        <f t="shared" si="398"/>
        <v>801850</v>
      </c>
      <c r="BA617" s="1300" t="s">
        <v>1303</v>
      </c>
      <c r="BB617" s="1300" t="s">
        <v>1303</v>
      </c>
      <c r="BC617" s="1300" t="s">
        <v>1303</v>
      </c>
      <c r="BD617" s="1300" t="s">
        <v>1303</v>
      </c>
      <c r="BE617" s="1305"/>
      <c r="BF617" s="1300" t="s">
        <v>1303</v>
      </c>
      <c r="BG617" s="1300" t="s">
        <v>1303</v>
      </c>
      <c r="BH617" s="1300" t="s">
        <v>1303</v>
      </c>
      <c r="BI617" s="1301" t="s">
        <v>1303</v>
      </c>
      <c r="BJ617" s="1305"/>
      <c r="BK617" s="1300" t="s">
        <v>1303</v>
      </c>
      <c r="BL617" s="1301" t="s">
        <v>1303</v>
      </c>
      <c r="BM617" s="1300" t="s">
        <v>1303</v>
      </c>
      <c r="BN617" s="1301" t="s">
        <v>1303</v>
      </c>
    </row>
    <row r="618" spans="1:66">
      <c r="A618" s="51" t="str">
        <f t="shared" si="331"/>
        <v>801900</v>
      </c>
      <c r="B618" s="1442" t="str">
        <f>'BUS Deemed Savings Table'!C165</f>
        <v>801900_2024_12_</v>
      </c>
      <c r="C618" s="1378" t="str">
        <f>'BUS Deemed Savings Table'!G165</f>
        <v>Refrigeration BUS</v>
      </c>
      <c r="D618" s="1378"/>
      <c r="E618" s="1378"/>
      <c r="F618" s="1378"/>
      <c r="G618" s="1378" t="str">
        <f>'BUS Deemed Savings Table'!E165</f>
        <v>0 &lt; V &lt; 15 - Vertical Closed - Glass Door Freezer</v>
      </c>
      <c r="H618" s="19" t="str">
        <f>'BUS Deemed Savings Table'!D165</f>
        <v>Standard</v>
      </c>
      <c r="I618" s="785">
        <f>'BUS Deemed Savings Table'!F165</f>
        <v>558.83000000000004</v>
      </c>
      <c r="J618" s="785"/>
      <c r="K618" s="202"/>
      <c r="L618" s="202"/>
      <c r="M618" s="202"/>
      <c r="N618" s="202"/>
      <c r="O618" s="786">
        <f>'BUS Deemed Savings Table'!I165</f>
        <v>7.5855000000000006E-2</v>
      </c>
      <c r="P618" s="786"/>
      <c r="Q618" s="787"/>
      <c r="R618" s="787"/>
      <c r="S618" s="787"/>
      <c r="T618" s="787"/>
      <c r="U618" s="788">
        <f t="shared" si="365"/>
        <v>0</v>
      </c>
      <c r="V618" s="788">
        <f t="shared" si="366"/>
        <v>7.5855000000000006E-2</v>
      </c>
      <c r="W618" s="788">
        <f t="shared" si="367"/>
        <v>0</v>
      </c>
      <c r="X618" s="23">
        <f>'BUS Deemed Savings Table'!J165</f>
        <v>12</v>
      </c>
      <c r="Y618" s="23"/>
      <c r="Z618" s="23">
        <f t="shared" si="335"/>
        <v>12</v>
      </c>
      <c r="AA618" s="18">
        <f>'BUS Deemed Savings Table'!DG165</f>
        <v>6.7726578673596238</v>
      </c>
      <c r="AB618" s="259">
        <f>'BUS Deemed Savings Table'!K165</f>
        <v>50</v>
      </c>
      <c r="AC618" s="790">
        <f t="shared" si="336"/>
        <v>338.63289336798118</v>
      </c>
      <c r="AD618" s="790">
        <f t="shared" si="337"/>
        <v>0</v>
      </c>
      <c r="AE618" s="610">
        <f>'BUS Deemed Savings Table'!DI165</f>
        <v>338.63289336798118</v>
      </c>
      <c r="AF618" s="208"/>
      <c r="AG618" s="208"/>
      <c r="AH618" s="208"/>
      <c r="AI618" s="1442" t="str">
        <f>'BUS Deemed Savings Table'!L165</f>
        <v>per measure</v>
      </c>
      <c r="AJ618" s="71"/>
      <c r="AX618" s="1355" t="str">
        <f t="shared" si="397"/>
        <v>0 &lt; V &lt; 15 - Vertical Closed - Glass Door Freezer</v>
      </c>
      <c r="AY618" s="1378"/>
      <c r="AZ618" s="1446" t="str">
        <f t="shared" si="398"/>
        <v>801900</v>
      </c>
      <c r="BA618" s="1300" t="s">
        <v>1303</v>
      </c>
      <c r="BB618" s="1300" t="s">
        <v>1303</v>
      </c>
      <c r="BC618" s="1300" t="s">
        <v>1303</v>
      </c>
      <c r="BD618" s="1300" t="s">
        <v>1303</v>
      </c>
      <c r="BE618" s="1305"/>
      <c r="BF618" s="1300" t="s">
        <v>1303</v>
      </c>
      <c r="BG618" s="1300" t="s">
        <v>1303</v>
      </c>
      <c r="BH618" s="1300" t="s">
        <v>1303</v>
      </c>
      <c r="BI618" s="1301" t="s">
        <v>1303</v>
      </c>
      <c r="BJ618" s="1305"/>
      <c r="BK618" s="1300" t="s">
        <v>1303</v>
      </c>
      <c r="BL618" s="1301" t="s">
        <v>1303</v>
      </c>
      <c r="BM618" s="1300" t="s">
        <v>1303</v>
      </c>
      <c r="BN618" s="1301" t="s">
        <v>1303</v>
      </c>
    </row>
    <row r="619" spans="1:66">
      <c r="A619" s="51" t="str">
        <f t="shared" si="331"/>
        <v>801950</v>
      </c>
      <c r="B619" s="1442" t="str">
        <f>'BUS Deemed Savings Table'!C166</f>
        <v>801950_2024_12_</v>
      </c>
      <c r="C619" s="1378" t="str">
        <f>'BUS Deemed Savings Table'!G166</f>
        <v>Refrigeration BUS</v>
      </c>
      <c r="D619" s="1378"/>
      <c r="E619" s="1378"/>
      <c r="F619" s="1378"/>
      <c r="G619" s="1378" t="str">
        <f>'BUS Deemed Savings Table'!E166</f>
        <v>15 ≤ V &lt; 30 - Vertical Closed - Glass Door Freezer</v>
      </c>
      <c r="H619" s="19" t="str">
        <f>'BUS Deemed Savings Table'!D166</f>
        <v>Standard</v>
      </c>
      <c r="I619" s="785">
        <f>'BUS Deemed Savings Table'!F166</f>
        <v>974.85</v>
      </c>
      <c r="J619" s="785"/>
      <c r="K619" s="202"/>
      <c r="L619" s="202"/>
      <c r="M619" s="202"/>
      <c r="N619" s="202"/>
      <c r="O619" s="786">
        <f>'BUS Deemed Savings Table'!I166</f>
        <v>0.132324</v>
      </c>
      <c r="P619" s="786"/>
      <c r="Q619" s="787"/>
      <c r="R619" s="787"/>
      <c r="S619" s="787"/>
      <c r="T619" s="787"/>
      <c r="U619" s="788">
        <f t="shared" si="365"/>
        <v>0</v>
      </c>
      <c r="V619" s="788">
        <f t="shared" si="366"/>
        <v>0.132324</v>
      </c>
      <c r="W619" s="788">
        <f t="shared" si="367"/>
        <v>0</v>
      </c>
      <c r="X619" s="23">
        <f>'BUS Deemed Savings Table'!J166</f>
        <v>12</v>
      </c>
      <c r="Y619" s="23"/>
      <c r="Z619" s="23">
        <f t="shared" si="335"/>
        <v>12</v>
      </c>
      <c r="AA619" s="18">
        <f>'BUS Deemed Savings Table'!DG166</f>
        <v>5.9072754880692955</v>
      </c>
      <c r="AB619" s="259">
        <f>'BUS Deemed Savings Table'!K166</f>
        <v>100</v>
      </c>
      <c r="AC619" s="790">
        <f t="shared" si="336"/>
        <v>590.72754880692958</v>
      </c>
      <c r="AD619" s="790">
        <f t="shared" si="337"/>
        <v>0</v>
      </c>
      <c r="AE619" s="610">
        <f>'BUS Deemed Savings Table'!DI166</f>
        <v>590.72754880692958</v>
      </c>
      <c r="AF619" s="208"/>
      <c r="AG619" s="208"/>
      <c r="AH619" s="208"/>
      <c r="AI619" s="1442" t="str">
        <f>'BUS Deemed Savings Table'!L166</f>
        <v>per measure</v>
      </c>
      <c r="AJ619" s="71"/>
      <c r="AX619" s="1355" t="str">
        <f t="shared" si="397"/>
        <v>15 ≤ V &lt; 30 - Vertical Closed - Glass Door Freezer</v>
      </c>
      <c r="AY619" s="1378"/>
      <c r="AZ619" s="1446" t="str">
        <f t="shared" si="398"/>
        <v>801950</v>
      </c>
      <c r="BA619" s="1300" t="s">
        <v>1303</v>
      </c>
      <c r="BB619" s="1300" t="s">
        <v>1303</v>
      </c>
      <c r="BC619" s="1300" t="s">
        <v>1303</v>
      </c>
      <c r="BD619" s="1300" t="s">
        <v>1303</v>
      </c>
      <c r="BE619" s="1305"/>
      <c r="BF619" s="1300" t="s">
        <v>1303</v>
      </c>
      <c r="BG619" s="1300" t="s">
        <v>1303</v>
      </c>
      <c r="BH619" s="1300" t="s">
        <v>1303</v>
      </c>
      <c r="BI619" s="1301" t="s">
        <v>1303</v>
      </c>
      <c r="BJ619" s="1305"/>
      <c r="BK619" s="1300" t="s">
        <v>1303</v>
      </c>
      <c r="BL619" s="1301" t="s">
        <v>1303</v>
      </c>
      <c r="BM619" s="1300" t="s">
        <v>1303</v>
      </c>
      <c r="BN619" s="1301" t="s">
        <v>1303</v>
      </c>
    </row>
    <row r="620" spans="1:66">
      <c r="A620" s="51" t="str">
        <f t="shared" si="331"/>
        <v>802000</v>
      </c>
      <c r="B620" s="1442" t="str">
        <f>'BUS Deemed Savings Table'!C167</f>
        <v>802000_2024_12_</v>
      </c>
      <c r="C620" s="1378" t="str">
        <f>'BUS Deemed Savings Table'!G167</f>
        <v>Refrigeration BUS</v>
      </c>
      <c r="D620" s="1378"/>
      <c r="E620" s="1378"/>
      <c r="F620" s="1378"/>
      <c r="G620" s="1378" t="str">
        <f>'BUS Deemed Savings Table'!E167</f>
        <v>30 ≤ V &lt; 50 - Vertical Closed - Glass Door Freezer</v>
      </c>
      <c r="H620" s="19" t="str">
        <f>'BUS Deemed Savings Table'!D167</f>
        <v>Standard</v>
      </c>
      <c r="I620" s="785">
        <f>'BUS Deemed Savings Table'!F167</f>
        <v>1579.34</v>
      </c>
      <c r="J620" s="785"/>
      <c r="K620" s="202"/>
      <c r="L620" s="202"/>
      <c r="M620" s="202"/>
      <c r="N620" s="202"/>
      <c r="O620" s="786">
        <f>'BUS Deemed Savings Table'!I167</f>
        <v>0.21437700000000001</v>
      </c>
      <c r="P620" s="786"/>
      <c r="Q620" s="787"/>
      <c r="R620" s="787"/>
      <c r="S620" s="787"/>
      <c r="T620" s="787"/>
      <c r="U620" s="788">
        <f t="shared" si="365"/>
        <v>0</v>
      </c>
      <c r="V620" s="788">
        <f t="shared" si="366"/>
        <v>0.21437700000000001</v>
      </c>
      <c r="W620" s="788">
        <f t="shared" si="367"/>
        <v>0</v>
      </c>
      <c r="X620" s="23">
        <f>'BUS Deemed Savings Table'!J167</f>
        <v>12</v>
      </c>
      <c r="Y620" s="23"/>
      <c r="Z620" s="23">
        <f t="shared" si="335"/>
        <v>12</v>
      </c>
      <c r="AA620" s="18">
        <f>'BUS Deemed Savings Table'!DG167</f>
        <v>3.1900964146030537</v>
      </c>
      <c r="AB620" s="259">
        <f>'BUS Deemed Savings Table'!K167</f>
        <v>300</v>
      </c>
      <c r="AC620" s="790">
        <f t="shared" si="336"/>
        <v>957.02892438091612</v>
      </c>
      <c r="AD620" s="790">
        <f t="shared" si="337"/>
        <v>0</v>
      </c>
      <c r="AE620" s="610">
        <f>'BUS Deemed Savings Table'!DI167</f>
        <v>957.02892438091612</v>
      </c>
      <c r="AF620" s="208"/>
      <c r="AG620" s="208"/>
      <c r="AH620" s="208"/>
      <c r="AI620" s="1442" t="str">
        <f>'BUS Deemed Savings Table'!L167</f>
        <v>per measure</v>
      </c>
      <c r="AJ620" s="71"/>
      <c r="AX620" s="1355" t="str">
        <f t="shared" si="397"/>
        <v>30 ≤ V &lt; 50 - Vertical Closed - Glass Door Freezer</v>
      </c>
      <c r="AY620" s="1378"/>
      <c r="AZ620" s="1446" t="str">
        <f t="shared" si="398"/>
        <v>802000</v>
      </c>
      <c r="BA620" s="1300" t="s">
        <v>1303</v>
      </c>
      <c r="BB620" s="1300" t="s">
        <v>1303</v>
      </c>
      <c r="BC620" s="1300" t="s">
        <v>1303</v>
      </c>
      <c r="BD620" s="1300" t="s">
        <v>1303</v>
      </c>
      <c r="BE620" s="1305"/>
      <c r="BF620" s="1300" t="s">
        <v>1303</v>
      </c>
      <c r="BG620" s="1300" t="s">
        <v>1303</v>
      </c>
      <c r="BH620" s="1300" t="s">
        <v>1303</v>
      </c>
      <c r="BI620" s="1301" t="s">
        <v>1303</v>
      </c>
      <c r="BJ620" s="1305"/>
      <c r="BK620" s="1300" t="s">
        <v>1303</v>
      </c>
      <c r="BL620" s="1301" t="s">
        <v>1303</v>
      </c>
      <c r="BM620" s="1300" t="s">
        <v>1303</v>
      </c>
      <c r="BN620" s="1301" t="s">
        <v>1303</v>
      </c>
    </row>
    <row r="621" spans="1:66">
      <c r="A621" s="51" t="str">
        <f t="shared" si="331"/>
        <v>802050</v>
      </c>
      <c r="B621" s="1442" t="str">
        <f>'BUS Deemed Savings Table'!C168</f>
        <v>802050_2024_12_</v>
      </c>
      <c r="C621" s="1378" t="str">
        <f>'BUS Deemed Savings Table'!G168</f>
        <v>Refrigeration BUS</v>
      </c>
      <c r="D621" s="1378"/>
      <c r="E621" s="1378"/>
      <c r="F621" s="1378"/>
      <c r="G621" s="1378" t="str">
        <f>'BUS Deemed Savings Table'!E168</f>
        <v>V ≥ 50 - Vertical Closed - Glass Door Freezer</v>
      </c>
      <c r="H621" s="19" t="str">
        <f>'BUS Deemed Savings Table'!D168</f>
        <v>Standard</v>
      </c>
      <c r="I621" s="785">
        <f>'BUS Deemed Savings Table'!F168</f>
        <v>3149.19</v>
      </c>
      <c r="J621" s="785"/>
      <c r="K621" s="202"/>
      <c r="L621" s="202"/>
      <c r="M621" s="202"/>
      <c r="N621" s="202"/>
      <c r="O621" s="786">
        <f>'BUS Deemed Savings Table'!I168</f>
        <v>0.42746600000000001</v>
      </c>
      <c r="P621" s="786"/>
      <c r="Q621" s="787"/>
      <c r="R621" s="787"/>
      <c r="S621" s="787"/>
      <c r="T621" s="787"/>
      <c r="U621" s="788">
        <f t="shared" si="365"/>
        <v>0</v>
      </c>
      <c r="V621" s="788">
        <f t="shared" si="366"/>
        <v>0.42746600000000001</v>
      </c>
      <c r="W621" s="788">
        <f t="shared" si="367"/>
        <v>0</v>
      </c>
      <c r="X621" s="23">
        <f>'BUS Deemed Savings Table'!J168</f>
        <v>12</v>
      </c>
      <c r="Y621" s="23"/>
      <c r="Z621" s="23">
        <f t="shared" si="335"/>
        <v>12</v>
      </c>
      <c r="AA621" s="18">
        <f>'BUS Deemed Savings Table'!DG168</f>
        <v>3.8166144318147293</v>
      </c>
      <c r="AB621" s="259">
        <f>'BUS Deemed Savings Table'!K168</f>
        <v>500</v>
      </c>
      <c r="AC621" s="790">
        <f t="shared" si="336"/>
        <v>1908.3072159073647</v>
      </c>
      <c r="AD621" s="790">
        <f t="shared" si="337"/>
        <v>0</v>
      </c>
      <c r="AE621" s="610">
        <f>'BUS Deemed Savings Table'!DI168</f>
        <v>1908.3072159073647</v>
      </c>
      <c r="AF621" s="208"/>
      <c r="AG621" s="208"/>
      <c r="AH621" s="208"/>
      <c r="AI621" s="1442" t="str">
        <f>'BUS Deemed Savings Table'!L168</f>
        <v>per measure</v>
      </c>
      <c r="AJ621" s="71"/>
      <c r="AX621" s="1355" t="str">
        <f t="shared" si="397"/>
        <v>V ≥ 50 - Vertical Closed - Glass Door Freezer</v>
      </c>
      <c r="AY621" s="1378"/>
      <c r="AZ621" s="1446" t="str">
        <f t="shared" si="398"/>
        <v>802050</v>
      </c>
      <c r="BA621" s="1300" t="s">
        <v>1303</v>
      </c>
      <c r="BB621" s="1300" t="s">
        <v>1303</v>
      </c>
      <c r="BC621" s="1300" t="s">
        <v>1303</v>
      </c>
      <c r="BD621" s="1300" t="s">
        <v>1303</v>
      </c>
      <c r="BE621" s="1305"/>
      <c r="BF621" s="1300" t="s">
        <v>1303</v>
      </c>
      <c r="BG621" s="1300" t="s">
        <v>1303</v>
      </c>
      <c r="BH621" s="1300" t="s">
        <v>1303</v>
      </c>
      <c r="BI621" s="1301" t="s">
        <v>1303</v>
      </c>
      <c r="BJ621" s="1305"/>
      <c r="BK621" s="1300" t="s">
        <v>1303</v>
      </c>
      <c r="BL621" s="1301" t="s">
        <v>1303</v>
      </c>
      <c r="BM621" s="1300" t="s">
        <v>1303</v>
      </c>
      <c r="BN621" s="1301" t="s">
        <v>1303</v>
      </c>
    </row>
    <row r="622" spans="1:66">
      <c r="A622" s="51" t="str">
        <f t="shared" ref="A622" si="399">LEFT(B622,6)</f>
        <v>801650</v>
      </c>
      <c r="B622" s="1442" t="str">
        <f>'BUS Deemed Savings Table'!C169</f>
        <v>801650_2024_12_</v>
      </c>
      <c r="C622" s="1378" t="str">
        <f>'BUS Deemed Savings Table'!G169</f>
        <v>Refrigeration BUS</v>
      </c>
      <c r="D622" s="1378"/>
      <c r="E622" s="1378"/>
      <c r="F622" s="1378"/>
      <c r="G622" s="1378" t="str">
        <f>'BUS Deemed Savings Table'!E169</f>
        <v>Horizontal Closed - Solid Door Refrigerator  - All Volumes</v>
      </c>
      <c r="H622" s="19" t="str">
        <f>'BUS Deemed Savings Table'!D169</f>
        <v>Standard</v>
      </c>
      <c r="I622" s="785">
        <f>'BUS Deemed Savings Table'!F169</f>
        <v>290.01</v>
      </c>
      <c r="J622" s="785"/>
      <c r="K622" s="202"/>
      <c r="L622" s="202"/>
      <c r="M622" s="202"/>
      <c r="N622" s="202"/>
      <c r="O622" s="786">
        <f>'BUS Deemed Savings Table'!I169</f>
        <v>3.9364999999999997E-2</v>
      </c>
      <c r="P622" s="786"/>
      <c r="Q622" s="787"/>
      <c r="R622" s="787"/>
      <c r="S622" s="787"/>
      <c r="T622" s="787"/>
      <c r="U622" s="788">
        <f t="shared" si="365"/>
        <v>0</v>
      </c>
      <c r="V622" s="788">
        <f t="shared" si="366"/>
        <v>3.9364999999999997E-2</v>
      </c>
      <c r="W622" s="788">
        <f t="shared" si="367"/>
        <v>0</v>
      </c>
      <c r="X622" s="23">
        <f>'BUS Deemed Savings Table'!J169</f>
        <v>12</v>
      </c>
      <c r="Y622" s="23"/>
      <c r="Z622" s="23">
        <f t="shared" ref="Z622" si="400">Y622+X622</f>
        <v>12</v>
      </c>
      <c r="AA622" s="18" t="str">
        <f>'BUS Deemed Savings Table'!DG169</f>
        <v>n/a</v>
      </c>
      <c r="AB622" s="259">
        <f>'BUS Deemed Savings Table'!K169</f>
        <v>0</v>
      </c>
      <c r="AC622" s="790">
        <f t="shared" ref="AC622" si="401">AE622+AF622</f>
        <v>175.73667377493732</v>
      </c>
      <c r="AD622" s="790">
        <f t="shared" ref="AD622" si="402">AG622+AH622</f>
        <v>0</v>
      </c>
      <c r="AE622" s="610">
        <f>'BUS Deemed Savings Table'!DI169</f>
        <v>175.73667377493732</v>
      </c>
      <c r="AF622" s="208"/>
      <c r="AG622" s="208"/>
      <c r="AH622" s="208"/>
      <c r="AI622" s="1442" t="str">
        <f>'BUS Deemed Savings Table'!L169</f>
        <v>per measure</v>
      </c>
      <c r="AJ622" s="71"/>
      <c r="AX622" s="1355" t="str">
        <f t="shared" ref="AX622" si="403">G622</f>
        <v>Horizontal Closed - Solid Door Refrigerator  - All Volumes</v>
      </c>
      <c r="AY622" s="1378"/>
      <c r="AZ622" s="1446" t="str">
        <f t="shared" ref="AZ622" si="404">A622</f>
        <v>801650</v>
      </c>
      <c r="BA622" s="1300" t="s">
        <v>1303</v>
      </c>
      <c r="BB622" s="1300" t="s">
        <v>1303</v>
      </c>
      <c r="BC622" s="1300" t="s">
        <v>1303</v>
      </c>
      <c r="BD622" s="1300" t="s">
        <v>1303</v>
      </c>
      <c r="BE622" s="1305"/>
      <c r="BF622" s="1300" t="s">
        <v>1303</v>
      </c>
      <c r="BG622" s="1300" t="s">
        <v>1303</v>
      </c>
      <c r="BH622" s="1300" t="s">
        <v>1303</v>
      </c>
      <c r="BI622" s="1301" t="s">
        <v>1303</v>
      </c>
      <c r="BJ622" s="1305"/>
      <c r="BK622" s="1300" t="s">
        <v>1303</v>
      </c>
      <c r="BL622" s="1301" t="s">
        <v>1303</v>
      </c>
      <c r="BM622" s="1300" t="s">
        <v>1303</v>
      </c>
      <c r="BN622" s="1301" t="s">
        <v>1303</v>
      </c>
    </row>
    <row r="623" spans="1:66">
      <c r="A623" s="51" t="str">
        <f t="shared" si="331"/>
        <v>801655</v>
      </c>
      <c r="B623" s="1442" t="str">
        <f>'BUS Deemed Savings Table'!C170</f>
        <v>801655_2024_12_</v>
      </c>
      <c r="C623" s="1378" t="str">
        <f>'BUS Deemed Savings Table'!G170</f>
        <v>Refrigeration BUS</v>
      </c>
      <c r="D623" s="1378"/>
      <c r="E623" s="1378"/>
      <c r="F623" s="1378"/>
      <c r="G623" s="1378" t="str">
        <f>'BUS Deemed Savings Table'!E170</f>
        <v>Horizontal Closed - Glass Door Refrigerator  - All Volumes</v>
      </c>
      <c r="H623" s="19" t="str">
        <f>'BUS Deemed Savings Table'!D170</f>
        <v>Standard</v>
      </c>
      <c r="I623" s="785">
        <f>'BUS Deemed Savings Table'!F170</f>
        <v>172.4</v>
      </c>
      <c r="J623" s="785"/>
      <c r="K623" s="202"/>
      <c r="L623" s="202"/>
      <c r="M623" s="202"/>
      <c r="N623" s="202"/>
      <c r="O623" s="786">
        <f>'BUS Deemed Savings Table'!I170</f>
        <v>2.3401000000000002E-2</v>
      </c>
      <c r="P623" s="786"/>
      <c r="Q623" s="787"/>
      <c r="R623" s="787"/>
      <c r="S623" s="787"/>
      <c r="T623" s="787"/>
      <c r="U623" s="788">
        <f t="shared" si="365"/>
        <v>0</v>
      </c>
      <c r="V623" s="788">
        <f t="shared" si="366"/>
        <v>2.3401000000000002E-2</v>
      </c>
      <c r="W623" s="788">
        <f t="shared" si="367"/>
        <v>0</v>
      </c>
      <c r="X623" s="23">
        <f>'BUS Deemed Savings Table'!J170</f>
        <v>12</v>
      </c>
      <c r="Y623" s="23"/>
      <c r="Z623" s="23">
        <f t="shared" si="335"/>
        <v>12</v>
      </c>
      <c r="AA623" s="18" t="str">
        <f>'BUS Deemed Savings Table'!DG170</f>
        <v>n/a</v>
      </c>
      <c r="AB623" s="259">
        <f>'BUS Deemed Savings Table'!K170</f>
        <v>0</v>
      </c>
      <c r="AC623" s="790">
        <f t="shared" si="336"/>
        <v>104.46882024343709</v>
      </c>
      <c r="AD623" s="790">
        <f t="shared" si="337"/>
        <v>0</v>
      </c>
      <c r="AE623" s="610">
        <f>'BUS Deemed Savings Table'!DI170</f>
        <v>104.46882024343709</v>
      </c>
      <c r="AF623" s="208"/>
      <c r="AG623" s="208"/>
      <c r="AH623" s="208"/>
      <c r="AI623" s="1442" t="str">
        <f>'BUS Deemed Savings Table'!L170</f>
        <v>per measure</v>
      </c>
      <c r="AJ623" s="71"/>
      <c r="AX623" s="1355" t="str">
        <f t="shared" si="397"/>
        <v>Horizontal Closed - Glass Door Refrigerator  - All Volumes</v>
      </c>
      <c r="AY623" s="1378"/>
      <c r="AZ623" s="1446" t="str">
        <f t="shared" si="398"/>
        <v>801655</v>
      </c>
      <c r="BA623" s="1300" t="s">
        <v>1303</v>
      </c>
      <c r="BB623" s="1300" t="s">
        <v>1303</v>
      </c>
      <c r="BC623" s="1300" t="s">
        <v>1303</v>
      </c>
      <c r="BD623" s="1300" t="s">
        <v>1303</v>
      </c>
      <c r="BE623" s="1305"/>
      <c r="BF623" s="1300" t="s">
        <v>1303</v>
      </c>
      <c r="BG623" s="1300" t="s">
        <v>1303</v>
      </c>
      <c r="BH623" s="1300" t="s">
        <v>1303</v>
      </c>
      <c r="BI623" s="1301" t="s">
        <v>1303</v>
      </c>
      <c r="BJ623" s="1305"/>
      <c r="BK623" s="1300" t="s">
        <v>1303</v>
      </c>
      <c r="BL623" s="1301" t="s">
        <v>1303</v>
      </c>
      <c r="BM623" s="1300" t="s">
        <v>1303</v>
      </c>
      <c r="BN623" s="1301" t="s">
        <v>1303</v>
      </c>
    </row>
    <row r="624" spans="1:66">
      <c r="A624" s="51" t="str">
        <f t="shared" ref="A624" si="405">LEFT(B624,6)</f>
        <v>802100</v>
      </c>
      <c r="B624" s="1442" t="str">
        <f>'BUS Deemed Savings Table'!C171</f>
        <v>802100_2024_12_</v>
      </c>
      <c r="C624" s="1378" t="str">
        <f>'BUS Deemed Savings Table'!G171</f>
        <v>Refrigeration BUS</v>
      </c>
      <c r="D624" s="1378"/>
      <c r="E624" s="1378"/>
      <c r="F624" s="1378"/>
      <c r="G624" s="1378" t="str">
        <f>'BUS Deemed Savings Table'!E171</f>
        <v>Horizontal Closed - Solid Door Freezer  - All Volumes</v>
      </c>
      <c r="H624" s="19" t="str">
        <f>'BUS Deemed Savings Table'!D171</f>
        <v>Standard</v>
      </c>
      <c r="I624" s="785">
        <f>'BUS Deemed Savings Table'!F171</f>
        <v>228.65</v>
      </c>
      <c r="J624" s="785"/>
      <c r="K624" s="202"/>
      <c r="L624" s="202"/>
      <c r="M624" s="202"/>
      <c r="N624" s="202"/>
      <c r="O624" s="786">
        <f>'BUS Deemed Savings Table'!I171</f>
        <v>3.1036999999999999E-2</v>
      </c>
      <c r="P624" s="786"/>
      <c r="Q624" s="787"/>
      <c r="R624" s="787"/>
      <c r="S624" s="787"/>
      <c r="T624" s="787"/>
      <c r="U624" s="788">
        <f t="shared" si="365"/>
        <v>0</v>
      </c>
      <c r="V624" s="788">
        <f t="shared" si="366"/>
        <v>3.1036999999999999E-2</v>
      </c>
      <c r="W624" s="788">
        <f t="shared" si="367"/>
        <v>0</v>
      </c>
      <c r="X624" s="23">
        <f>'BUS Deemed Savings Table'!J171</f>
        <v>12</v>
      </c>
      <c r="Y624" s="23"/>
      <c r="Z624" s="23">
        <f t="shared" ref="Z624" si="406">Y624+X624</f>
        <v>12</v>
      </c>
      <c r="AA624" s="18" t="str">
        <f>'BUS Deemed Savings Table'!DG171</f>
        <v>n/a</v>
      </c>
      <c r="AB624" s="259">
        <f>'BUS Deemed Savings Table'!K171</f>
        <v>0</v>
      </c>
      <c r="AC624" s="790">
        <f t="shared" ref="AC624" si="407">AE624+AF624</f>
        <v>138.55449970221517</v>
      </c>
      <c r="AD624" s="790">
        <f t="shared" ref="AD624" si="408">AG624+AH624</f>
        <v>0</v>
      </c>
      <c r="AE624" s="610">
        <f>'BUS Deemed Savings Table'!DI171</f>
        <v>138.55449970221517</v>
      </c>
      <c r="AF624" s="208"/>
      <c r="AG624" s="208"/>
      <c r="AH624" s="208"/>
      <c r="AI624" s="1442" t="str">
        <f>'BUS Deemed Savings Table'!L171</f>
        <v>per measure</v>
      </c>
      <c r="AJ624" s="71"/>
      <c r="AX624" s="1355" t="str">
        <f t="shared" ref="AX624" si="409">G624</f>
        <v>Horizontal Closed - Solid Door Freezer  - All Volumes</v>
      </c>
      <c r="AY624" s="1378"/>
      <c r="AZ624" s="1446" t="str">
        <f t="shared" ref="AZ624" si="410">A624</f>
        <v>802100</v>
      </c>
      <c r="BA624" s="1300" t="s">
        <v>1303</v>
      </c>
      <c r="BB624" s="1300" t="s">
        <v>1303</v>
      </c>
      <c r="BC624" s="1300" t="s">
        <v>1303</v>
      </c>
      <c r="BD624" s="1300" t="s">
        <v>1303</v>
      </c>
      <c r="BE624" s="1305"/>
      <c r="BF624" s="1300" t="s">
        <v>1303</v>
      </c>
      <c r="BG624" s="1300" t="s">
        <v>1303</v>
      </c>
      <c r="BH624" s="1300" t="s">
        <v>1303</v>
      </c>
      <c r="BI624" s="1301" t="s">
        <v>1303</v>
      </c>
      <c r="BJ624" s="1305"/>
      <c r="BK624" s="1300" t="s">
        <v>1303</v>
      </c>
      <c r="BL624" s="1301" t="s">
        <v>1303</v>
      </c>
      <c r="BM624" s="1300" t="s">
        <v>1303</v>
      </c>
      <c r="BN624" s="1301" t="s">
        <v>1303</v>
      </c>
    </row>
    <row r="625" spans="1:66">
      <c r="A625" s="51" t="str">
        <f t="shared" ref="A625:A709" si="411">LEFT(B625,6)</f>
        <v>802150</v>
      </c>
      <c r="B625" s="1442" t="str">
        <f>'BUS Deemed Savings Table'!C199</f>
        <v>802150_2024_12_</v>
      </c>
      <c r="C625" s="1378" t="str">
        <f>'BUS Deemed Savings Table'!G199</f>
        <v>Refrigeration BUS</v>
      </c>
      <c r="D625" s="1378"/>
      <c r="E625" s="1378"/>
      <c r="F625" s="1378"/>
      <c r="G625" s="1378" t="str">
        <f>'BUS Deemed Savings Table'!E199</f>
        <v>Anti-Sweat Heater Controls Refrigerator</v>
      </c>
      <c r="H625" s="19" t="str">
        <f>'BUS Deemed Savings Table'!D199</f>
        <v>Standard</v>
      </c>
      <c r="I625" s="785">
        <f>'BUS Deemed Savings Table'!F199</f>
        <v>668.14</v>
      </c>
      <c r="J625" s="785"/>
      <c r="K625" s="202"/>
      <c r="L625" s="202"/>
      <c r="M625" s="202"/>
      <c r="N625" s="202"/>
      <c r="O625" s="786">
        <f>'BUS Deemed Savings Table'!I199</f>
        <v>9.0691999999999995E-2</v>
      </c>
      <c r="P625" s="786"/>
      <c r="Q625" s="787"/>
      <c r="R625" s="787"/>
      <c r="S625" s="787"/>
      <c r="T625" s="787"/>
      <c r="U625" s="788">
        <f t="shared" si="365"/>
        <v>0</v>
      </c>
      <c r="V625" s="788">
        <f t="shared" si="366"/>
        <v>9.0691999999999995E-2</v>
      </c>
      <c r="W625" s="788">
        <f t="shared" si="367"/>
        <v>0</v>
      </c>
      <c r="X625" s="23">
        <f>'BUS Deemed Savings Table'!J199</f>
        <v>12</v>
      </c>
      <c r="Y625" s="23"/>
      <c r="Z625" s="23">
        <f t="shared" ref="Z625:Z709" si="412">Y625+X625</f>
        <v>12</v>
      </c>
      <c r="AA625" s="18">
        <f>'BUS Deemed Savings Table'!DG199</f>
        <v>2.6991414368696853</v>
      </c>
      <c r="AB625" s="259">
        <f>'BUS Deemed Savings Table'!K199</f>
        <v>150</v>
      </c>
      <c r="AC625" s="790">
        <f t="shared" ref="AC625:AC709" si="413">AE625+AF625</f>
        <v>404.87121553045279</v>
      </c>
      <c r="AD625" s="790">
        <f t="shared" ref="AD625:AD709" si="414">AG625+AH625</f>
        <v>0</v>
      </c>
      <c r="AE625" s="610">
        <f>'BUS Deemed Savings Table'!DI199</f>
        <v>404.87121553045279</v>
      </c>
      <c r="AF625" s="208"/>
      <c r="AG625" s="208"/>
      <c r="AH625" s="208"/>
      <c r="AI625" s="1442" t="str">
        <f>'BUS Deemed Savings Table'!L199</f>
        <v>per door</v>
      </c>
      <c r="AJ625" s="71"/>
      <c r="AX625" s="1355" t="str">
        <f t="shared" si="397"/>
        <v>Anti-Sweat Heater Controls Refrigerator</v>
      </c>
      <c r="AY625" s="1378"/>
      <c r="AZ625" s="1446" t="str">
        <f t="shared" si="398"/>
        <v>802150</v>
      </c>
      <c r="BA625" s="1300" t="s">
        <v>1303</v>
      </c>
      <c r="BB625" s="1300" t="s">
        <v>1303</v>
      </c>
      <c r="BC625" s="1300" t="s">
        <v>1303</v>
      </c>
      <c r="BD625" s="1300" t="s">
        <v>1303</v>
      </c>
      <c r="BE625" s="1305"/>
      <c r="BF625" s="1300" t="s">
        <v>1303</v>
      </c>
      <c r="BG625" s="1300" t="s">
        <v>1303</v>
      </c>
      <c r="BH625" s="1300" t="s">
        <v>1303</v>
      </c>
      <c r="BI625" s="1301" t="s">
        <v>1303</v>
      </c>
      <c r="BJ625" s="1305"/>
      <c r="BK625" s="1300" t="s">
        <v>1303</v>
      </c>
      <c r="BL625" s="1301" t="s">
        <v>1303</v>
      </c>
      <c r="BM625" s="1300" t="s">
        <v>1303</v>
      </c>
      <c r="BN625" s="1301" t="s">
        <v>1303</v>
      </c>
    </row>
    <row r="626" spans="1:66">
      <c r="A626" s="51" t="str">
        <f t="shared" si="411"/>
        <v>802200</v>
      </c>
      <c r="B626" s="1442" t="str">
        <f>'BUS Deemed Savings Table'!C200</f>
        <v>802200_2024_12_</v>
      </c>
      <c r="C626" s="1378" t="str">
        <f>'BUS Deemed Savings Table'!G200</f>
        <v>Refrigeration BUS</v>
      </c>
      <c r="D626" s="1378"/>
      <c r="E626" s="1378"/>
      <c r="F626" s="1378"/>
      <c r="G626" s="1378" t="str">
        <f>'BUS Deemed Savings Table'!E200</f>
        <v>Anti-Sweat Heater Controls Freezer</v>
      </c>
      <c r="H626" s="19" t="str">
        <f>'BUS Deemed Savings Table'!D200</f>
        <v>Standard</v>
      </c>
      <c r="I626" s="785">
        <f>'BUS Deemed Savings Table'!F200</f>
        <v>770.93</v>
      </c>
      <c r="J626" s="785"/>
      <c r="K626" s="202"/>
      <c r="L626" s="202"/>
      <c r="M626" s="202"/>
      <c r="N626" s="202"/>
      <c r="O626" s="786">
        <f>'BUS Deemed Savings Table'!I200</f>
        <v>0.104645</v>
      </c>
      <c r="P626" s="786"/>
      <c r="Q626" s="787"/>
      <c r="R626" s="787"/>
      <c r="S626" s="787"/>
      <c r="T626" s="787"/>
      <c r="U626" s="788">
        <f t="shared" si="365"/>
        <v>0</v>
      </c>
      <c r="V626" s="788">
        <f t="shared" si="366"/>
        <v>0.104645</v>
      </c>
      <c r="W626" s="788">
        <f t="shared" si="367"/>
        <v>0</v>
      </c>
      <c r="X626" s="23">
        <f>'BUS Deemed Savings Table'!J200</f>
        <v>12</v>
      </c>
      <c r="Y626" s="23"/>
      <c r="Z626" s="23">
        <f t="shared" si="412"/>
        <v>12</v>
      </c>
      <c r="AA626" s="18">
        <f>'BUS Deemed Savings Table'!DG200</f>
        <v>3.114390858092535</v>
      </c>
      <c r="AB626" s="259">
        <f>'BUS Deemed Savings Table'!K200</f>
        <v>150</v>
      </c>
      <c r="AC626" s="790">
        <f t="shared" si="413"/>
        <v>467.15862871388026</v>
      </c>
      <c r="AD626" s="790">
        <f t="shared" si="414"/>
        <v>0</v>
      </c>
      <c r="AE626" s="610">
        <f>'BUS Deemed Savings Table'!DI200</f>
        <v>467.15862871388026</v>
      </c>
      <c r="AF626" s="208"/>
      <c r="AG626" s="208"/>
      <c r="AH626" s="208"/>
      <c r="AI626" s="1442" t="str">
        <f>'BUS Deemed Savings Table'!L200</f>
        <v>per door</v>
      </c>
      <c r="AJ626" s="71"/>
      <c r="AX626" s="1355" t="str">
        <f t="shared" si="397"/>
        <v>Anti-Sweat Heater Controls Freezer</v>
      </c>
      <c r="AY626" s="1378"/>
      <c r="AZ626" s="1446" t="str">
        <f t="shared" si="398"/>
        <v>802200</v>
      </c>
      <c r="BA626" s="1300" t="s">
        <v>1303</v>
      </c>
      <c r="BB626" s="1300" t="s">
        <v>1303</v>
      </c>
      <c r="BC626" s="1300" t="s">
        <v>1303</v>
      </c>
      <c r="BD626" s="1300" t="s">
        <v>1303</v>
      </c>
      <c r="BE626" s="1305"/>
      <c r="BF626" s="1300" t="s">
        <v>1303</v>
      </c>
      <c r="BG626" s="1300" t="s">
        <v>1303</v>
      </c>
      <c r="BH626" s="1300" t="s">
        <v>1303</v>
      </c>
      <c r="BI626" s="1301" t="s">
        <v>1303</v>
      </c>
      <c r="BJ626" s="1305"/>
      <c r="BK626" s="1300" t="s">
        <v>1303</v>
      </c>
      <c r="BL626" s="1301" t="s">
        <v>1303</v>
      </c>
      <c r="BM626" s="1300" t="s">
        <v>1303</v>
      </c>
      <c r="BN626" s="1301" t="s">
        <v>1303</v>
      </c>
    </row>
    <row r="627" spans="1:66">
      <c r="A627" s="51" t="str">
        <f t="shared" si="411"/>
        <v>802250</v>
      </c>
      <c r="B627" s="1442" t="str">
        <f>'BUS Deemed Savings Table'!C218</f>
        <v>802250_2024_12_</v>
      </c>
      <c r="C627" s="1378" t="str">
        <f>'BUS Deemed Savings Table'!G218</f>
        <v>Water Heating BUS</v>
      </c>
      <c r="D627" s="1378"/>
      <c r="E627" s="1378"/>
      <c r="F627" s="1378"/>
      <c r="G627" s="1378" t="str">
        <f>'BUS Deemed Savings Table'!E218</f>
        <v>Heat Pump Water Heater replacing 98% Efficiency 2.9-14.6 kW (10 to 50 MBH)</v>
      </c>
      <c r="H627" s="19" t="str">
        <f>'BUS Deemed Savings Table'!D218</f>
        <v>Standard</v>
      </c>
      <c r="I627" s="785">
        <f>'BUS Deemed Savings Table'!F218</f>
        <v>18785.38</v>
      </c>
      <c r="J627" s="785"/>
      <c r="K627" s="202"/>
      <c r="L627" s="202"/>
      <c r="M627" s="202"/>
      <c r="N627" s="202"/>
      <c r="O627" s="786">
        <f>'BUS Deemed Savings Table'!I218</f>
        <v>3.4030559999999999</v>
      </c>
      <c r="P627" s="786"/>
      <c r="Q627" s="787"/>
      <c r="R627" s="787"/>
      <c r="S627" s="787"/>
      <c r="T627" s="787"/>
      <c r="U627" s="788">
        <f t="shared" si="365"/>
        <v>0</v>
      </c>
      <c r="V627" s="788">
        <f t="shared" si="366"/>
        <v>0</v>
      </c>
      <c r="W627" s="788">
        <f t="shared" si="367"/>
        <v>3.4030559999999999</v>
      </c>
      <c r="X627" s="23">
        <f>'BUS Deemed Savings Table'!J218</f>
        <v>15</v>
      </c>
      <c r="Y627" s="23"/>
      <c r="Z627" s="23">
        <f t="shared" si="412"/>
        <v>15</v>
      </c>
      <c r="AA627" s="18">
        <f>'BUS Deemed Savings Table'!DG218</f>
        <v>3.9210604174884565</v>
      </c>
      <c r="AB627" s="259">
        <f>'BUS Deemed Savings Table'!K218</f>
        <v>4000</v>
      </c>
      <c r="AC627" s="790">
        <f t="shared" si="413"/>
        <v>15684.241669953826</v>
      </c>
      <c r="AD627" s="790">
        <f t="shared" si="414"/>
        <v>0</v>
      </c>
      <c r="AE627" s="610">
        <f>'BUS Deemed Savings Table'!DI218</f>
        <v>15684.241669953826</v>
      </c>
      <c r="AF627" s="208"/>
      <c r="AG627" s="208"/>
      <c r="AH627" s="208"/>
      <c r="AI627" s="1442" t="str">
        <f>'BUS Deemed Savings Table'!L218</f>
        <v>per measure</v>
      </c>
      <c r="AJ627" s="71"/>
      <c r="AX627" s="1355" t="str">
        <f t="shared" si="397"/>
        <v>Heat Pump Water Heater replacing 98% Efficiency 2.9-14.6 kW (10 to 50 MBH)</v>
      </c>
      <c r="AY627" s="1378"/>
      <c r="AZ627" s="1446" t="str">
        <f t="shared" si="398"/>
        <v>802250</v>
      </c>
      <c r="BA627" s="1300" t="s">
        <v>1303</v>
      </c>
      <c r="BB627" s="1300" t="s">
        <v>1303</v>
      </c>
      <c r="BC627" s="1300" t="s">
        <v>1303</v>
      </c>
      <c r="BD627" s="1300" t="s">
        <v>1303</v>
      </c>
      <c r="BE627" s="1305"/>
      <c r="BF627" s="1300" t="s">
        <v>1303</v>
      </c>
      <c r="BG627" s="1300" t="s">
        <v>1303</v>
      </c>
      <c r="BH627" s="1300" t="s">
        <v>1303</v>
      </c>
      <c r="BI627" s="1301" t="s">
        <v>1303</v>
      </c>
      <c r="BJ627" s="1305"/>
      <c r="BK627" s="1300" t="s">
        <v>1303</v>
      </c>
      <c r="BL627" s="1301" t="s">
        <v>1303</v>
      </c>
      <c r="BM627" s="1300" t="s">
        <v>1303</v>
      </c>
      <c r="BN627" s="1301" t="s">
        <v>1303</v>
      </c>
    </row>
    <row r="628" spans="1:66">
      <c r="A628" s="51" t="str">
        <f t="shared" si="411"/>
        <v>802300</v>
      </c>
      <c r="B628" s="1442" t="str">
        <f>'BUS Deemed Savings Table'!C219</f>
        <v>802300_2024_12_</v>
      </c>
      <c r="C628" s="1378" t="str">
        <f>'BUS Deemed Savings Table'!G219</f>
        <v>Water Heating BUS</v>
      </c>
      <c r="D628" s="1378"/>
      <c r="E628" s="1378"/>
      <c r="F628" s="1378"/>
      <c r="G628" s="1378" t="str">
        <f>'BUS Deemed Savings Table'!E219</f>
        <v>Heat Pump Water Heater replacing 98% Efficiency 14.7-29.3 kW (50 to 100 MBH)</v>
      </c>
      <c r="H628" s="19" t="str">
        <f>'BUS Deemed Savings Table'!D219</f>
        <v>Standard</v>
      </c>
      <c r="I628" s="785">
        <f>'BUS Deemed Savings Table'!F219</f>
        <v>48912.79</v>
      </c>
      <c r="J628" s="785"/>
      <c r="K628" s="202"/>
      <c r="L628" s="202"/>
      <c r="M628" s="202"/>
      <c r="N628" s="202"/>
      <c r="O628" s="786">
        <f>'BUS Deemed Savings Table'!I219</f>
        <v>8.8607720000000008</v>
      </c>
      <c r="P628" s="786"/>
      <c r="Q628" s="787"/>
      <c r="R628" s="787"/>
      <c r="S628" s="787"/>
      <c r="T628" s="787"/>
      <c r="U628" s="788">
        <f t="shared" si="365"/>
        <v>0</v>
      </c>
      <c r="V628" s="788">
        <f t="shared" si="366"/>
        <v>0</v>
      </c>
      <c r="W628" s="788">
        <f t="shared" si="367"/>
        <v>8.8607720000000008</v>
      </c>
      <c r="X628" s="23">
        <f>'BUS Deemed Savings Table'!J219</f>
        <v>15</v>
      </c>
      <c r="Y628" s="23"/>
      <c r="Z628" s="23">
        <f t="shared" si="412"/>
        <v>15</v>
      </c>
      <c r="AA628" s="18">
        <f>'BUS Deemed Savings Table'!DG219</f>
        <v>5.8340203096519048</v>
      </c>
      <c r="AB628" s="259">
        <f>'BUS Deemed Savings Table'!K219</f>
        <v>7000</v>
      </c>
      <c r="AC628" s="790">
        <f t="shared" si="413"/>
        <v>40838.142167563332</v>
      </c>
      <c r="AD628" s="790">
        <f t="shared" si="414"/>
        <v>0</v>
      </c>
      <c r="AE628" s="610">
        <f>'BUS Deemed Savings Table'!DI219</f>
        <v>40838.142167563332</v>
      </c>
      <c r="AF628" s="208"/>
      <c r="AG628" s="208"/>
      <c r="AH628" s="208"/>
      <c r="AI628" s="1442" t="str">
        <f>'BUS Deemed Savings Table'!L219</f>
        <v>per measure</v>
      </c>
      <c r="AJ628" s="71"/>
      <c r="AX628" s="1355" t="str">
        <f t="shared" si="397"/>
        <v>Heat Pump Water Heater replacing 98% Efficiency 14.7-29.3 kW (50 to 100 MBH)</v>
      </c>
      <c r="AY628" s="1378"/>
      <c r="AZ628" s="1446" t="str">
        <f t="shared" si="398"/>
        <v>802300</v>
      </c>
      <c r="BA628" s="1300" t="s">
        <v>1303</v>
      </c>
      <c r="BB628" s="1300" t="s">
        <v>1303</v>
      </c>
      <c r="BC628" s="1300" t="s">
        <v>1303</v>
      </c>
      <c r="BD628" s="1300" t="s">
        <v>1303</v>
      </c>
      <c r="BE628" s="1305"/>
      <c r="BF628" s="1300" t="s">
        <v>1303</v>
      </c>
      <c r="BG628" s="1300" t="s">
        <v>1303</v>
      </c>
      <c r="BH628" s="1300" t="s">
        <v>1303</v>
      </c>
      <c r="BI628" s="1301" t="s">
        <v>1303</v>
      </c>
      <c r="BJ628" s="1305"/>
      <c r="BK628" s="1300" t="s">
        <v>1303</v>
      </c>
      <c r="BL628" s="1301" t="s">
        <v>1303</v>
      </c>
      <c r="BM628" s="1300" t="s">
        <v>1303</v>
      </c>
      <c r="BN628" s="1301" t="s">
        <v>1303</v>
      </c>
    </row>
    <row r="629" spans="1:66">
      <c r="A629" s="51" t="str">
        <f t="shared" si="411"/>
        <v>802350</v>
      </c>
      <c r="B629" s="1442" t="str">
        <f>'BUS Deemed Savings Table'!C220</f>
        <v>802350_2024_12_</v>
      </c>
      <c r="C629" s="1378" t="str">
        <f>'BUS Deemed Savings Table'!G220</f>
        <v>Water Heating BUS</v>
      </c>
      <c r="D629" s="1378"/>
      <c r="E629" s="1378"/>
      <c r="F629" s="1378"/>
      <c r="G629" s="1378" t="str">
        <f>'BUS Deemed Savings Table'!E220</f>
        <v>Heat Pump Water Heater replacing 98% Efficiency 29.4-87.9 kW (100 to 300 MBH)</v>
      </c>
      <c r="H629" s="19" t="str">
        <f>'BUS Deemed Savings Table'!D220</f>
        <v>Standard</v>
      </c>
      <c r="I629" s="785">
        <f>'BUS Deemed Savings Table'!F220</f>
        <v>129087.64</v>
      </c>
      <c r="J629" s="785"/>
      <c r="K629" s="202"/>
      <c r="L629" s="202"/>
      <c r="M629" s="202"/>
      <c r="N629" s="202"/>
      <c r="O629" s="786">
        <f>'BUS Deemed Savings Table'!I220</f>
        <v>23.384806999999999</v>
      </c>
      <c r="P629" s="786"/>
      <c r="Q629" s="787"/>
      <c r="R629" s="787"/>
      <c r="S629" s="787"/>
      <c r="T629" s="787"/>
      <c r="U629" s="788">
        <f t="shared" si="365"/>
        <v>0</v>
      </c>
      <c r="V629" s="788">
        <f t="shared" si="366"/>
        <v>0</v>
      </c>
      <c r="W629" s="788">
        <f t="shared" si="367"/>
        <v>23.384806999999999</v>
      </c>
      <c r="X629" s="23">
        <f>'BUS Deemed Savings Table'!J220</f>
        <v>15</v>
      </c>
      <c r="Y629" s="23"/>
      <c r="Z629" s="23">
        <f t="shared" si="412"/>
        <v>15</v>
      </c>
      <c r="AA629" s="18">
        <f>'BUS Deemed Savings Table'!DG220</f>
        <v>10.777752392360433</v>
      </c>
      <c r="AB629" s="259">
        <f>'BUS Deemed Savings Table'!K220</f>
        <v>10000</v>
      </c>
      <c r="AC629" s="790">
        <f t="shared" si="413"/>
        <v>107777.52392360433</v>
      </c>
      <c r="AD629" s="790">
        <f t="shared" si="414"/>
        <v>0</v>
      </c>
      <c r="AE629" s="610">
        <f>'BUS Deemed Savings Table'!DI220</f>
        <v>107777.52392360433</v>
      </c>
      <c r="AF629" s="208"/>
      <c r="AG629" s="208"/>
      <c r="AH629" s="208"/>
      <c r="AI629" s="1442" t="str">
        <f>'BUS Deemed Savings Table'!L220</f>
        <v>per measure</v>
      </c>
      <c r="AJ629" s="71"/>
      <c r="AX629" s="1355" t="str">
        <f t="shared" si="397"/>
        <v>Heat Pump Water Heater replacing 98% Efficiency 29.4-87.9 kW (100 to 300 MBH)</v>
      </c>
      <c r="AY629" s="1378"/>
      <c r="AZ629" s="1446" t="str">
        <f t="shared" si="398"/>
        <v>802350</v>
      </c>
      <c r="BA629" s="1300" t="s">
        <v>1303</v>
      </c>
      <c r="BB629" s="1300" t="s">
        <v>1303</v>
      </c>
      <c r="BC629" s="1300" t="s">
        <v>1303</v>
      </c>
      <c r="BD629" s="1300" t="s">
        <v>1303</v>
      </c>
      <c r="BE629" s="1305"/>
      <c r="BF629" s="1300" t="s">
        <v>1303</v>
      </c>
      <c r="BG629" s="1300" t="s">
        <v>1303</v>
      </c>
      <c r="BH629" s="1300" t="s">
        <v>1303</v>
      </c>
      <c r="BI629" s="1301" t="s">
        <v>1303</v>
      </c>
      <c r="BJ629" s="1305"/>
      <c r="BK629" s="1300" t="s">
        <v>1303</v>
      </c>
      <c r="BL629" s="1301" t="s">
        <v>1303</v>
      </c>
      <c r="BM629" s="1300" t="s">
        <v>1303</v>
      </c>
      <c r="BN629" s="1301" t="s">
        <v>1303</v>
      </c>
    </row>
    <row r="630" spans="1:66">
      <c r="A630" s="51" t="str">
        <f t="shared" si="411"/>
        <v>802400</v>
      </c>
      <c r="B630" s="1442" t="str">
        <f>'BUS Deemed Savings Table'!C221</f>
        <v>802400_2024_12_</v>
      </c>
      <c r="C630" s="1378" t="str">
        <f>'BUS Deemed Savings Table'!G221</f>
        <v>Water Heating BUS</v>
      </c>
      <c r="D630" s="1378"/>
      <c r="E630" s="1378"/>
      <c r="F630" s="1378"/>
      <c r="G630" s="1378" t="str">
        <f>'BUS Deemed Savings Table'!E221</f>
        <v>Heat Pump Water Heater replacing 98% Efficiency 88-146.5 kW (300 to 500 MBH)</v>
      </c>
      <c r="H630" s="19" t="str">
        <f>'BUS Deemed Savings Table'!D221</f>
        <v>Standard</v>
      </c>
      <c r="I630" s="785">
        <f>'BUS Deemed Savings Table'!F221</f>
        <v>255265</v>
      </c>
      <c r="J630" s="785"/>
      <c r="K630" s="202"/>
      <c r="L630" s="202"/>
      <c r="M630" s="202"/>
      <c r="N630" s="202"/>
      <c r="O630" s="786">
        <f>'BUS Deemed Savings Table'!I221</f>
        <v>46.242403000000003</v>
      </c>
      <c r="P630" s="786"/>
      <c r="Q630" s="787"/>
      <c r="R630" s="787"/>
      <c r="S630" s="787"/>
      <c r="T630" s="787"/>
      <c r="U630" s="788">
        <f t="shared" si="365"/>
        <v>0</v>
      </c>
      <c r="V630" s="788">
        <f t="shared" si="366"/>
        <v>0</v>
      </c>
      <c r="W630" s="788">
        <f t="shared" si="367"/>
        <v>46.242403000000003</v>
      </c>
      <c r="X630" s="23">
        <f>'BUS Deemed Savings Table'!J221</f>
        <v>15</v>
      </c>
      <c r="Y630" s="23"/>
      <c r="Z630" s="23">
        <f t="shared" si="412"/>
        <v>15</v>
      </c>
      <c r="AA630" s="18">
        <f>'BUS Deemed Savings Table'!DG221</f>
        <v>15.223228876775309</v>
      </c>
      <c r="AB630" s="259">
        <f>'BUS Deemed Savings Table'!K221</f>
        <v>14000</v>
      </c>
      <c r="AC630" s="790">
        <f t="shared" si="413"/>
        <v>213125.20427485433</v>
      </c>
      <c r="AD630" s="790">
        <f t="shared" si="414"/>
        <v>0</v>
      </c>
      <c r="AE630" s="610">
        <f>'BUS Deemed Savings Table'!DI221</f>
        <v>213125.20427485433</v>
      </c>
      <c r="AF630" s="208"/>
      <c r="AG630" s="208"/>
      <c r="AH630" s="208"/>
      <c r="AI630" s="1442" t="str">
        <f>'BUS Deemed Savings Table'!L221</f>
        <v>per measure</v>
      </c>
      <c r="AJ630" s="71"/>
      <c r="AX630" s="1355" t="str">
        <f t="shared" si="397"/>
        <v>Heat Pump Water Heater replacing 98% Efficiency 88-146.5 kW (300 to 500 MBH)</v>
      </c>
      <c r="AY630" s="1378"/>
      <c r="AZ630" s="1446" t="str">
        <f t="shared" si="398"/>
        <v>802400</v>
      </c>
      <c r="BA630" s="1300" t="s">
        <v>1303</v>
      </c>
      <c r="BB630" s="1300" t="s">
        <v>1303</v>
      </c>
      <c r="BC630" s="1300" t="s">
        <v>1303</v>
      </c>
      <c r="BD630" s="1300" t="s">
        <v>1303</v>
      </c>
      <c r="BE630" s="1305"/>
      <c r="BF630" s="1300" t="s">
        <v>1303</v>
      </c>
      <c r="BG630" s="1300" t="s">
        <v>1303</v>
      </c>
      <c r="BH630" s="1300" t="s">
        <v>1303</v>
      </c>
      <c r="BI630" s="1301" t="s">
        <v>1303</v>
      </c>
      <c r="BJ630" s="1305"/>
      <c r="BK630" s="1300" t="s">
        <v>1303</v>
      </c>
      <c r="BL630" s="1301" t="s">
        <v>1303</v>
      </c>
      <c r="BM630" s="1300" t="s">
        <v>1303</v>
      </c>
      <c r="BN630" s="1301" t="s">
        <v>1303</v>
      </c>
    </row>
    <row r="631" spans="1:66">
      <c r="A631" s="51" t="str">
        <f t="shared" si="411"/>
        <v>802450</v>
      </c>
      <c r="B631" s="1442" t="str">
        <f>'BUS Deemed Savings Table'!C222</f>
        <v>802450_2024_12_</v>
      </c>
      <c r="C631" s="1378" t="str">
        <f>'BUS Deemed Savings Table'!G222</f>
        <v>Water Heating BUS</v>
      </c>
      <c r="D631" s="1378"/>
      <c r="E631" s="1378"/>
      <c r="F631" s="1378"/>
      <c r="G631" s="1378" t="str">
        <f>'BUS Deemed Savings Table'!E222</f>
        <v>Heat Pump Water Heater replacing 98% Efficiency &gt;146.6 kW (above 500 MBH)</v>
      </c>
      <c r="H631" s="19" t="str">
        <f>'BUS Deemed Savings Table'!D222</f>
        <v>Standard</v>
      </c>
      <c r="I631" s="785">
        <f>'BUS Deemed Savings Table'!F222</f>
        <v>382897.95</v>
      </c>
      <c r="J631" s="785"/>
      <c r="K631" s="202"/>
      <c r="L631" s="202"/>
      <c r="M631" s="202"/>
      <c r="N631" s="202"/>
      <c r="O631" s="786">
        <f>'BUS Deemed Savings Table'!I222</f>
        <v>69.363686999999999</v>
      </c>
      <c r="P631" s="786"/>
      <c r="Q631" s="787"/>
      <c r="R631" s="787"/>
      <c r="S631" s="787"/>
      <c r="T631" s="787"/>
      <c r="U631" s="788">
        <f t="shared" si="365"/>
        <v>0</v>
      </c>
      <c r="V631" s="788">
        <f t="shared" si="366"/>
        <v>0</v>
      </c>
      <c r="W631" s="788">
        <f t="shared" si="367"/>
        <v>69.363686999999999</v>
      </c>
      <c r="X631" s="23">
        <f>'BUS Deemed Savings Table'!J222</f>
        <v>15</v>
      </c>
      <c r="Y631" s="23"/>
      <c r="Z631" s="23">
        <f t="shared" si="412"/>
        <v>15</v>
      </c>
      <c r="AA631" s="18">
        <f>'BUS Deemed Savings Table'!DG222</f>
        <v>17.760454562507583</v>
      </c>
      <c r="AB631" s="259">
        <f>'BUS Deemed Savings Table'!K222</f>
        <v>18000</v>
      </c>
      <c r="AC631" s="790">
        <f t="shared" si="413"/>
        <v>319688.18212513649</v>
      </c>
      <c r="AD631" s="790">
        <f t="shared" si="414"/>
        <v>0</v>
      </c>
      <c r="AE631" s="610">
        <f>'BUS Deemed Savings Table'!DI222</f>
        <v>319688.18212513649</v>
      </c>
      <c r="AF631" s="208"/>
      <c r="AG631" s="208"/>
      <c r="AH631" s="208"/>
      <c r="AI631" s="1442" t="str">
        <f>'BUS Deemed Savings Table'!L222</f>
        <v>per measure</v>
      </c>
      <c r="AJ631" s="71"/>
      <c r="AX631" s="1355" t="str">
        <f t="shared" si="397"/>
        <v>Heat Pump Water Heater replacing 98% Efficiency &gt;146.6 kW (above 500 MBH)</v>
      </c>
      <c r="AY631" s="1378"/>
      <c r="AZ631" s="1446" t="str">
        <f t="shared" si="398"/>
        <v>802450</v>
      </c>
      <c r="BA631" s="1300" t="s">
        <v>1303</v>
      </c>
      <c r="BB631" s="1300" t="s">
        <v>1303</v>
      </c>
      <c r="BC631" s="1300" t="s">
        <v>1303</v>
      </c>
      <c r="BD631" s="1300" t="s">
        <v>1303</v>
      </c>
      <c r="BE631" s="1305"/>
      <c r="BF631" s="1300" t="s">
        <v>1303</v>
      </c>
      <c r="BG631" s="1300" t="s">
        <v>1303</v>
      </c>
      <c r="BH631" s="1300" t="s">
        <v>1303</v>
      </c>
      <c r="BI631" s="1301" t="s">
        <v>1303</v>
      </c>
      <c r="BJ631" s="1305"/>
      <c r="BK631" s="1300" t="s">
        <v>1303</v>
      </c>
      <c r="BL631" s="1301" t="s">
        <v>1303</v>
      </c>
      <c r="BM631" s="1300" t="s">
        <v>1303</v>
      </c>
      <c r="BN631" s="1301" t="s">
        <v>1303</v>
      </c>
    </row>
    <row r="632" spans="1:66">
      <c r="A632" s="51" t="str">
        <f t="shared" ref="A632:A633" si="415">LEFT(B632,6)</f>
        <v>802455</v>
      </c>
      <c r="B632" s="1442" t="str">
        <f>'BUS Deemed Savings Table'!C223</f>
        <v>802455_2024_12_</v>
      </c>
      <c r="C632" s="1378" t="str">
        <f>'BUS Deemed Savings Table'!G223</f>
        <v>Water Heating BUS</v>
      </c>
      <c r="D632" s="1378"/>
      <c r="E632" s="1378"/>
      <c r="F632" s="1378"/>
      <c r="G632" s="1378" t="str">
        <f>'BUS Deemed Savings Table'!E223</f>
        <v>Heat Pump Water Heater replacing 98% Efficiency, ≤55 gal, medium draw</v>
      </c>
      <c r="H632" s="19" t="str">
        <f>'BUS Deemed Savings Table'!D223</f>
        <v>Standard</v>
      </c>
      <c r="I632" s="785">
        <f>'BUS Deemed Savings Table'!F223</f>
        <v>3363.29</v>
      </c>
      <c r="J632" s="785"/>
      <c r="K632" s="202"/>
      <c r="L632" s="202"/>
      <c r="M632" s="202"/>
      <c r="N632" s="202"/>
      <c r="O632" s="786">
        <f>'BUS Deemed Savings Table'!I223</f>
        <v>0.60927500000000001</v>
      </c>
      <c r="P632" s="786"/>
      <c r="Q632" s="787"/>
      <c r="R632" s="787"/>
      <c r="S632" s="787"/>
      <c r="T632" s="787"/>
      <c r="U632" s="788">
        <f t="shared" si="365"/>
        <v>0</v>
      </c>
      <c r="V632" s="788">
        <f t="shared" si="366"/>
        <v>0</v>
      </c>
      <c r="W632" s="788">
        <f t="shared" si="367"/>
        <v>0.60927500000000001</v>
      </c>
      <c r="X632" s="23">
        <f>'BUS Deemed Savings Table'!J223</f>
        <v>15</v>
      </c>
      <c r="Y632" s="23"/>
      <c r="Z632" s="23">
        <f t="shared" ref="Z632:Z633" si="416">Y632+X632</f>
        <v>15</v>
      </c>
      <c r="AA632" s="18">
        <f>'BUS Deemed Savings Table'!DG223</f>
        <v>0.15600386271468972</v>
      </c>
      <c r="AB632" s="259">
        <f>'BUS Deemed Savings Table'!K223</f>
        <v>18000</v>
      </c>
      <c r="AC632" s="790">
        <f t="shared" ref="AC632:AC633" si="417">AE632+AF632</f>
        <v>2808.0695288644147</v>
      </c>
      <c r="AD632" s="790">
        <f t="shared" ref="AD632:AD633" si="418">AG632+AH632</f>
        <v>0</v>
      </c>
      <c r="AE632" s="610">
        <f>'BUS Deemed Savings Table'!DI223</f>
        <v>2808.0695288644147</v>
      </c>
      <c r="AF632" s="208"/>
      <c r="AG632" s="208"/>
      <c r="AH632" s="208"/>
      <c r="AI632" s="1442" t="str">
        <f>'BUS Deemed Savings Table'!L223</f>
        <v>per measure</v>
      </c>
      <c r="AJ632" s="71"/>
      <c r="AX632" s="1355" t="str">
        <f t="shared" ref="AX632:AX633" si="419">G632</f>
        <v>Heat Pump Water Heater replacing 98% Efficiency, ≤55 gal, medium draw</v>
      </c>
      <c r="AY632" s="1378"/>
      <c r="AZ632" s="1446" t="str">
        <f t="shared" ref="AZ632:AZ633" si="420">A632</f>
        <v>802455</v>
      </c>
      <c r="BA632" s="1300" t="s">
        <v>1303</v>
      </c>
      <c r="BB632" s="1300" t="s">
        <v>1303</v>
      </c>
      <c r="BC632" s="1300" t="s">
        <v>1303</v>
      </c>
      <c r="BD632" s="1300" t="s">
        <v>1303</v>
      </c>
      <c r="BE632" s="1305"/>
      <c r="BF632" s="1300" t="s">
        <v>1303</v>
      </c>
      <c r="BG632" s="1300" t="s">
        <v>1303</v>
      </c>
      <c r="BH632" s="1300" t="s">
        <v>1303</v>
      </c>
      <c r="BI632" s="1301" t="s">
        <v>1303</v>
      </c>
      <c r="BJ632" s="1305"/>
      <c r="BK632" s="1300" t="s">
        <v>1303</v>
      </c>
      <c r="BL632" s="1301" t="s">
        <v>1303</v>
      </c>
      <c r="BM632" s="1300" t="s">
        <v>1303</v>
      </c>
      <c r="BN632" s="1301" t="s">
        <v>1303</v>
      </c>
    </row>
    <row r="633" spans="1:66">
      <c r="A633" s="51" t="str">
        <f t="shared" si="415"/>
        <v>802460</v>
      </c>
      <c r="B633" s="1442" t="str">
        <f>'BUS Deemed Savings Table'!C224</f>
        <v>802460_2024_12_</v>
      </c>
      <c r="C633" s="1378" t="str">
        <f>'BUS Deemed Savings Table'!G224</f>
        <v>Water Heating BUS</v>
      </c>
      <c r="D633" s="1378"/>
      <c r="E633" s="1378"/>
      <c r="F633" s="1378"/>
      <c r="G633" s="1378" t="str">
        <f>'BUS Deemed Savings Table'!E224</f>
        <v>Heat Pump Water Heater replacing 98% Efficiency, &gt;55 gal and ≤ 120 gal, medium draw</v>
      </c>
      <c r="H633" s="19" t="str">
        <f>'BUS Deemed Savings Table'!D224</f>
        <v>Standard</v>
      </c>
      <c r="I633" s="785">
        <f>'BUS Deemed Savings Table'!F224</f>
        <v>5044.93</v>
      </c>
      <c r="J633" s="785"/>
      <c r="K633" s="202"/>
      <c r="L633" s="202"/>
      <c r="M633" s="202"/>
      <c r="N633" s="202"/>
      <c r="O633" s="786">
        <f>'BUS Deemed Savings Table'!I224</f>
        <v>0.91391199999999995</v>
      </c>
      <c r="P633" s="786"/>
      <c r="Q633" s="787"/>
      <c r="R633" s="787"/>
      <c r="S633" s="787"/>
      <c r="T633" s="787"/>
      <c r="U633" s="788">
        <f t="shared" si="365"/>
        <v>0</v>
      </c>
      <c r="V633" s="788">
        <f t="shared" si="366"/>
        <v>0</v>
      </c>
      <c r="W633" s="788">
        <f t="shared" si="367"/>
        <v>0.91391199999999995</v>
      </c>
      <c r="X633" s="23">
        <f>'BUS Deemed Savings Table'!J224</f>
        <v>15</v>
      </c>
      <c r="Y633" s="23"/>
      <c r="Z633" s="23">
        <f t="shared" si="416"/>
        <v>15</v>
      </c>
      <c r="AA633" s="18">
        <f>'BUS Deemed Savings Table'!DG224</f>
        <v>0.23400556215051918</v>
      </c>
      <c r="AB633" s="259">
        <f>'BUS Deemed Savings Table'!K224</f>
        <v>18000</v>
      </c>
      <c r="AC633" s="790">
        <f t="shared" si="417"/>
        <v>4212.1001187093452</v>
      </c>
      <c r="AD633" s="790">
        <f t="shared" si="418"/>
        <v>0</v>
      </c>
      <c r="AE633" s="610">
        <f>'BUS Deemed Savings Table'!DI224</f>
        <v>4212.1001187093452</v>
      </c>
      <c r="AF633" s="208"/>
      <c r="AG633" s="208"/>
      <c r="AH633" s="208"/>
      <c r="AI633" s="1442" t="str">
        <f>'BUS Deemed Savings Table'!L224</f>
        <v>per measure</v>
      </c>
      <c r="AJ633" s="71"/>
      <c r="AX633" s="1355" t="str">
        <f t="shared" si="419"/>
        <v>Heat Pump Water Heater replacing 98% Efficiency, &gt;55 gal and ≤ 120 gal, medium draw</v>
      </c>
      <c r="AY633" s="1378"/>
      <c r="AZ633" s="1446" t="str">
        <f t="shared" si="420"/>
        <v>802460</v>
      </c>
      <c r="BA633" s="1300" t="s">
        <v>1303</v>
      </c>
      <c r="BB633" s="1300" t="s">
        <v>1303</v>
      </c>
      <c r="BC633" s="1300" t="s">
        <v>1303</v>
      </c>
      <c r="BD633" s="1300" t="s">
        <v>1303</v>
      </c>
      <c r="BE633" s="1305"/>
      <c r="BF633" s="1300" t="s">
        <v>1303</v>
      </c>
      <c r="BG633" s="1300" t="s">
        <v>1303</v>
      </c>
      <c r="BH633" s="1300" t="s">
        <v>1303</v>
      </c>
      <c r="BI633" s="1301" t="s">
        <v>1303</v>
      </c>
      <c r="BJ633" s="1305"/>
      <c r="BK633" s="1300" t="s">
        <v>1303</v>
      </c>
      <c r="BL633" s="1301" t="s">
        <v>1303</v>
      </c>
      <c r="BM633" s="1300" t="s">
        <v>1303</v>
      </c>
      <c r="BN633" s="1301" t="s">
        <v>1303</v>
      </c>
    </row>
    <row r="634" spans="1:66" s="696" customFormat="1">
      <c r="A634" s="2958" t="str">
        <f t="shared" si="411"/>
        <v>802500</v>
      </c>
      <c r="B634" s="2233" t="str">
        <f>'BUS Deemed Savings Table'!C246</f>
        <v>802500_2024_12_</v>
      </c>
      <c r="C634" s="2724" t="str">
        <f>'BUS Deemed Savings Table'!G246</f>
        <v>Water Heating BUS</v>
      </c>
      <c r="D634" s="2724"/>
      <c r="E634" s="2724"/>
      <c r="F634" s="2724"/>
      <c r="G634" s="2724" t="str">
        <f>'BUS Deemed Savings Table'!E246</f>
        <v>Pool Heater Heat Pump (Uncovered)</v>
      </c>
      <c r="H634" s="2554" t="str">
        <f>'BUS Deemed Savings Table'!D246</f>
        <v>BSS</v>
      </c>
      <c r="I634" s="3840">
        <f>'BUS Deemed Savings Table'!F246</f>
        <v>33284.46</v>
      </c>
      <c r="J634" s="3840"/>
      <c r="K634" s="3251"/>
      <c r="L634" s="3251"/>
      <c r="M634" s="3251"/>
      <c r="N634" s="3251"/>
      <c r="O634" s="3841">
        <f>'BUS Deemed Savings Table'!I246</f>
        <v>6.02963</v>
      </c>
      <c r="P634" s="3841"/>
      <c r="Q634" s="3842"/>
      <c r="R634" s="3842"/>
      <c r="S634" s="3842"/>
      <c r="T634" s="3842"/>
      <c r="U634" s="3843">
        <f t="shared" si="365"/>
        <v>0</v>
      </c>
      <c r="V634" s="3843">
        <f t="shared" si="366"/>
        <v>0</v>
      </c>
      <c r="W634" s="3843">
        <f t="shared" si="367"/>
        <v>6.02963</v>
      </c>
      <c r="X634" s="2846">
        <f>'BUS Deemed Savings Table'!J246</f>
        <v>15</v>
      </c>
      <c r="Y634" s="2846"/>
      <c r="Z634" s="2846">
        <f t="shared" si="412"/>
        <v>15</v>
      </c>
      <c r="AA634" s="2529">
        <f>'BUS Deemed Savings Table'!DG246</f>
        <v>27.789776650454307</v>
      </c>
      <c r="AB634" s="3878">
        <f>'BUS Deemed Savings Table'!K246</f>
        <v>1000</v>
      </c>
      <c r="AC634" s="3968">
        <f t="shared" si="413"/>
        <v>27789.776650454307</v>
      </c>
      <c r="AD634" s="3968">
        <f t="shared" si="414"/>
        <v>0</v>
      </c>
      <c r="AE634" s="3865">
        <f>'BUS Deemed Savings Table'!DI246</f>
        <v>27789.776650454307</v>
      </c>
      <c r="AF634" s="3846"/>
      <c r="AG634" s="3846"/>
      <c r="AH634" s="3846"/>
      <c r="AI634" s="2233" t="str">
        <f>'BUS Deemed Savings Table'!L246</f>
        <v>per measure</v>
      </c>
      <c r="AJ634" s="2724"/>
      <c r="AX634" s="3849" t="str">
        <f t="shared" si="397"/>
        <v>Pool Heater Heat Pump (Uncovered)</v>
      </c>
      <c r="AY634" s="2724"/>
      <c r="AZ634" s="3850" t="str">
        <f t="shared" si="398"/>
        <v>802500</v>
      </c>
      <c r="BA634" s="3866" t="s">
        <v>1303</v>
      </c>
      <c r="BB634" s="3866" t="s">
        <v>1303</v>
      </c>
      <c r="BC634" s="3866" t="s">
        <v>1303</v>
      </c>
      <c r="BD634" s="3866" t="s">
        <v>1303</v>
      </c>
      <c r="BE634" s="3853"/>
      <c r="BF634" s="3866" t="s">
        <v>1303</v>
      </c>
      <c r="BG634" s="3866" t="s">
        <v>1303</v>
      </c>
      <c r="BH634" s="3866" t="s">
        <v>1303</v>
      </c>
      <c r="BI634" s="3867" t="s">
        <v>1303</v>
      </c>
      <c r="BJ634" s="3853"/>
      <c r="BK634" s="3866" t="s">
        <v>1303</v>
      </c>
      <c r="BL634" s="3867" t="s">
        <v>1303</v>
      </c>
      <c r="BM634" s="3866" t="s">
        <v>1303</v>
      </c>
      <c r="BN634" s="3867" t="s">
        <v>1303</v>
      </c>
    </row>
    <row r="635" spans="1:66" s="696" customFormat="1">
      <c r="A635" s="2958" t="str">
        <f t="shared" si="411"/>
        <v>802550</v>
      </c>
      <c r="B635" s="2233" t="str">
        <f>'BUS Deemed Savings Table'!C247</f>
        <v>802550_2024_12_</v>
      </c>
      <c r="C635" s="2724" t="str">
        <f>'BUS Deemed Savings Table'!G247</f>
        <v>Water Heating BUS</v>
      </c>
      <c r="D635" s="2724"/>
      <c r="E635" s="2724"/>
      <c r="F635" s="2724"/>
      <c r="G635" s="2724" t="str">
        <f>'BUS Deemed Savings Table'!E247</f>
        <v>Pool Heater Heat Pump (Covered)</v>
      </c>
      <c r="H635" s="2554" t="str">
        <f>'BUS Deemed Savings Table'!D247</f>
        <v>BSS</v>
      </c>
      <c r="I635" s="3840">
        <f>'BUS Deemed Savings Table'!F247</f>
        <v>5856.98</v>
      </c>
      <c r="J635" s="3840"/>
      <c r="K635" s="3251"/>
      <c r="L635" s="3251"/>
      <c r="M635" s="3251"/>
      <c r="N635" s="3251"/>
      <c r="O635" s="3841">
        <f>'BUS Deemed Savings Table'!I247</f>
        <v>1.061018</v>
      </c>
      <c r="P635" s="3841"/>
      <c r="Q635" s="3842"/>
      <c r="R635" s="3842"/>
      <c r="S635" s="3842"/>
      <c r="T635" s="3842"/>
      <c r="U635" s="3843">
        <f t="shared" si="365"/>
        <v>0</v>
      </c>
      <c r="V635" s="3843">
        <f t="shared" si="366"/>
        <v>0</v>
      </c>
      <c r="W635" s="3843">
        <f t="shared" si="367"/>
        <v>1.061018</v>
      </c>
      <c r="X635" s="2846">
        <f>'BUS Deemed Savings Table'!J247</f>
        <v>15</v>
      </c>
      <c r="Y635" s="2846"/>
      <c r="Z635" s="2846">
        <f t="shared" si="412"/>
        <v>15</v>
      </c>
      <c r="AA635" s="2529">
        <f>'BUS Deemed Savings Table'!DG247</f>
        <v>4.8900948384374523</v>
      </c>
      <c r="AB635" s="3878">
        <f>'BUS Deemed Savings Table'!K247</f>
        <v>1000</v>
      </c>
      <c r="AC635" s="3968">
        <f t="shared" si="413"/>
        <v>4890.0948384374524</v>
      </c>
      <c r="AD635" s="3968">
        <f t="shared" si="414"/>
        <v>0</v>
      </c>
      <c r="AE635" s="3865">
        <f>'BUS Deemed Savings Table'!DI247</f>
        <v>4890.0948384374524</v>
      </c>
      <c r="AF635" s="3846"/>
      <c r="AG635" s="3846"/>
      <c r="AH635" s="3846"/>
      <c r="AI635" s="2233" t="str">
        <f>'BUS Deemed Savings Table'!L247</f>
        <v>per measure</v>
      </c>
      <c r="AJ635" s="2724"/>
      <c r="AX635" s="3849" t="str">
        <f t="shared" si="397"/>
        <v>Pool Heater Heat Pump (Covered)</v>
      </c>
      <c r="AY635" s="2724"/>
      <c r="AZ635" s="3850" t="str">
        <f t="shared" si="398"/>
        <v>802550</v>
      </c>
      <c r="BA635" s="3866" t="s">
        <v>1303</v>
      </c>
      <c r="BB635" s="3866" t="s">
        <v>1303</v>
      </c>
      <c r="BC635" s="3866" t="s">
        <v>1303</v>
      </c>
      <c r="BD635" s="3866" t="s">
        <v>1303</v>
      </c>
      <c r="BE635" s="3853"/>
      <c r="BF635" s="3866" t="s">
        <v>1303</v>
      </c>
      <c r="BG635" s="3866" t="s">
        <v>1303</v>
      </c>
      <c r="BH635" s="3866" t="s">
        <v>1303</v>
      </c>
      <c r="BI635" s="3867" t="s">
        <v>1303</v>
      </c>
      <c r="BJ635" s="3853"/>
      <c r="BK635" s="3866" t="s">
        <v>1303</v>
      </c>
      <c r="BL635" s="3867" t="s">
        <v>1303</v>
      </c>
      <c r="BM635" s="3866" t="s">
        <v>1303</v>
      </c>
      <c r="BN635" s="3867" t="s">
        <v>1303</v>
      </c>
    </row>
    <row r="636" spans="1:66">
      <c r="A636" s="51" t="str">
        <f t="shared" si="411"/>
        <v>802600</v>
      </c>
      <c r="B636" s="1442" t="str">
        <f>'BUS Deemed Savings Table'!C264</f>
        <v>802600_2019_12_</v>
      </c>
      <c r="C636" s="1378" t="str">
        <f>'BUS Deemed Savings Table'!G264</f>
        <v>Motors BUS</v>
      </c>
      <c r="D636" s="1378"/>
      <c r="E636" s="1378"/>
      <c r="F636" s="1378"/>
      <c r="G636" s="1378" t="str">
        <f>'BUS Deemed Savings Table'!E264</f>
        <v>Pool Pump w/ Variable Frequency Drive per HP</v>
      </c>
      <c r="H636" s="19" t="str">
        <f>'BUS Deemed Savings Table'!D264</f>
        <v>BSS/MFIE</v>
      </c>
      <c r="I636" s="785">
        <f>'BUS Deemed Savings Table'!F264</f>
        <v>1747</v>
      </c>
      <c r="J636" s="785"/>
      <c r="K636" s="202"/>
      <c r="L636" s="202"/>
      <c r="M636" s="202"/>
      <c r="N636" s="202"/>
      <c r="O636" s="786">
        <f>'BUS Deemed Savings Table'!I264</f>
        <v>0.24098800000000001</v>
      </c>
      <c r="P636" s="786"/>
      <c r="Q636" s="787"/>
      <c r="R636" s="787"/>
      <c r="S636" s="787"/>
      <c r="T636" s="787"/>
      <c r="U636" s="788">
        <f t="shared" si="365"/>
        <v>0</v>
      </c>
      <c r="V636" s="788">
        <f t="shared" si="366"/>
        <v>0.24098800000000001</v>
      </c>
      <c r="W636" s="788">
        <f t="shared" si="367"/>
        <v>0</v>
      </c>
      <c r="X636" s="23">
        <f>'BUS Deemed Savings Table'!J264</f>
        <v>10</v>
      </c>
      <c r="Y636" s="23"/>
      <c r="Z636" s="23">
        <f t="shared" si="412"/>
        <v>10</v>
      </c>
      <c r="AA636" s="18">
        <f>'BUS Deemed Savings Table'!DG264</f>
        <v>3.786650095230387</v>
      </c>
      <c r="AB636" s="259">
        <f>'BUS Deemed Savings Table'!K264</f>
        <v>246</v>
      </c>
      <c r="AC636" s="790">
        <f t="shared" si="413"/>
        <v>931.51592342667516</v>
      </c>
      <c r="AD636" s="790">
        <f t="shared" si="414"/>
        <v>0</v>
      </c>
      <c r="AE636" s="610">
        <f>'BUS Deemed Savings Table'!DI264</f>
        <v>931.51592342667516</v>
      </c>
      <c r="AF636" s="208"/>
      <c r="AG636" s="208"/>
      <c r="AH636" s="208"/>
      <c r="AI636" s="1442" t="str">
        <f>'BUS Deemed Savings Table'!L264</f>
        <v>per HP</v>
      </c>
      <c r="AJ636" s="71"/>
      <c r="AX636" s="1355" t="str">
        <f t="shared" si="397"/>
        <v>Pool Pump w/ Variable Frequency Drive per HP</v>
      </c>
      <c r="AY636" s="1378"/>
      <c r="AZ636" s="1446" t="str">
        <f t="shared" si="398"/>
        <v>802600</v>
      </c>
      <c r="BA636" s="1300" t="s">
        <v>1303</v>
      </c>
      <c r="BB636" s="1300" t="s">
        <v>1303</v>
      </c>
      <c r="BC636" s="1300" t="s">
        <v>1303</v>
      </c>
      <c r="BD636" s="1300" t="s">
        <v>1303</v>
      </c>
      <c r="BE636" s="1305"/>
      <c r="BF636" s="1300" t="s">
        <v>1303</v>
      </c>
      <c r="BG636" s="1300" t="s">
        <v>1303</v>
      </c>
      <c r="BH636" s="1300" t="s">
        <v>1303</v>
      </c>
      <c r="BI636" s="1301" t="s">
        <v>1303</v>
      </c>
      <c r="BJ636" s="1305"/>
      <c r="BK636" s="1300" t="s">
        <v>1303</v>
      </c>
      <c r="BL636" s="1301" t="s">
        <v>1303</v>
      </c>
      <c r="BM636" s="1300" t="s">
        <v>1303</v>
      </c>
      <c r="BN636" s="1301" t="s">
        <v>1303</v>
      </c>
    </row>
    <row r="637" spans="1:66" s="696" customFormat="1">
      <c r="A637" s="2958" t="str">
        <f t="shared" si="411"/>
        <v>802650</v>
      </c>
      <c r="B637" s="2233" t="str">
        <f>'BUS Deemed Savings Table'!C278</f>
        <v>802650_2024_12_</v>
      </c>
      <c r="C637" s="2724" t="str">
        <f>'BUS Deemed Savings Table'!G278</f>
        <v>Motors BUS</v>
      </c>
      <c r="D637" s="2724"/>
      <c r="E637" s="2724"/>
      <c r="F637" s="2724"/>
      <c r="G637" s="2724" t="str">
        <f>'BUS Deemed Savings Table'!E278</f>
        <v>Pool Pump Timer per HP</v>
      </c>
      <c r="H637" s="2554" t="str">
        <f>'BUS Deemed Savings Table'!D278</f>
        <v>BSS</v>
      </c>
      <c r="I637" s="3840">
        <f>'BUS Deemed Savings Table'!F278</f>
        <v>300.64</v>
      </c>
      <c r="J637" s="3840"/>
      <c r="K637" s="3251"/>
      <c r="L637" s="3251"/>
      <c r="M637" s="3251"/>
      <c r="N637" s="3251"/>
      <c r="O637" s="3841">
        <f>'BUS Deemed Savings Table'!I278</f>
        <v>4.1471000000000001E-2</v>
      </c>
      <c r="P637" s="3841"/>
      <c r="Q637" s="3842"/>
      <c r="R637" s="3842"/>
      <c r="S637" s="3842"/>
      <c r="T637" s="3842"/>
      <c r="U637" s="3843">
        <f t="shared" si="365"/>
        <v>0</v>
      </c>
      <c r="V637" s="3843">
        <f t="shared" si="366"/>
        <v>4.1471000000000001E-2</v>
      </c>
      <c r="W637" s="3843">
        <f t="shared" si="367"/>
        <v>0</v>
      </c>
      <c r="X637" s="2846">
        <f>'BUS Deemed Savings Table'!J278</f>
        <v>10</v>
      </c>
      <c r="Y637" s="2846"/>
      <c r="Z637" s="2846">
        <f t="shared" si="412"/>
        <v>10</v>
      </c>
      <c r="AA637" s="2529">
        <f>'BUS Deemed Savings Table'!DG278</f>
        <v>1.6030391941556703</v>
      </c>
      <c r="AB637" s="3878">
        <f>'BUS Deemed Savings Table'!K278</f>
        <v>100</v>
      </c>
      <c r="AC637" s="3968">
        <f t="shared" si="413"/>
        <v>160.30391941556704</v>
      </c>
      <c r="AD637" s="3968">
        <f t="shared" si="414"/>
        <v>0</v>
      </c>
      <c r="AE637" s="3865">
        <f>'BUS Deemed Savings Table'!DI278</f>
        <v>160.30391941556704</v>
      </c>
      <c r="AF637" s="3846"/>
      <c r="AG637" s="3846"/>
      <c r="AH637" s="3846"/>
      <c r="AI637" s="2233" t="str">
        <f>'BUS Deemed Savings Table'!L278</f>
        <v>per HP</v>
      </c>
      <c r="AJ637" s="2724"/>
      <c r="AX637" s="3849" t="str">
        <f t="shared" si="397"/>
        <v>Pool Pump Timer per HP</v>
      </c>
      <c r="AY637" s="2724"/>
      <c r="AZ637" s="3850" t="str">
        <f t="shared" si="398"/>
        <v>802650</v>
      </c>
      <c r="BA637" s="3866" t="s">
        <v>1303</v>
      </c>
      <c r="BB637" s="3866" t="s">
        <v>1303</v>
      </c>
      <c r="BC637" s="3866" t="s">
        <v>1303</v>
      </c>
      <c r="BD637" s="3866" t="s">
        <v>1303</v>
      </c>
      <c r="BE637" s="3853"/>
      <c r="BF637" s="3866" t="s">
        <v>1303</v>
      </c>
      <c r="BG637" s="3866" t="s">
        <v>1303</v>
      </c>
      <c r="BH637" s="3866" t="s">
        <v>1303</v>
      </c>
      <c r="BI637" s="3867" t="s">
        <v>1303</v>
      </c>
      <c r="BJ637" s="3853"/>
      <c r="BK637" s="3866" t="s">
        <v>1303</v>
      </c>
      <c r="BL637" s="3867" t="s">
        <v>1303</v>
      </c>
      <c r="BM637" s="3866" t="s">
        <v>1303</v>
      </c>
      <c r="BN637" s="3867" t="s">
        <v>1303</v>
      </c>
    </row>
    <row r="638" spans="1:66">
      <c r="A638" s="51" t="str">
        <f t="shared" si="411"/>
        <v>802700</v>
      </c>
      <c r="B638" s="1442" t="str">
        <f>'BUS Deemed Savings Table'!C294</f>
        <v>802700_2024_12_</v>
      </c>
      <c r="C638" s="1378" t="str">
        <f>'BUS Deemed Savings Table'!G294</f>
        <v>Cooking BUS</v>
      </c>
      <c r="D638" s="1378"/>
      <c r="E638" s="1378"/>
      <c r="F638" s="1378"/>
      <c r="G638" s="1378" t="str">
        <f>'BUS Deemed Savings Table'!E294</f>
        <v>3 Pan ENERGY STAR Steam Cooker</v>
      </c>
      <c r="H638" s="19" t="str">
        <f>'BUS Deemed Savings Table'!D294</f>
        <v>Standard</v>
      </c>
      <c r="I638" s="785">
        <f>'BUS Deemed Savings Table'!F294</f>
        <v>7383.26</v>
      </c>
      <c r="J638" s="785"/>
      <c r="K638" s="202"/>
      <c r="L638" s="202"/>
      <c r="M638" s="202"/>
      <c r="N638" s="202"/>
      <c r="O638" s="786">
        <f>'BUS Deemed Savings Table'!I294</f>
        <v>1.475876</v>
      </c>
      <c r="P638" s="786"/>
      <c r="Q638" s="787"/>
      <c r="R638" s="787"/>
      <c r="S638" s="787"/>
      <c r="T638" s="787"/>
      <c r="U638" s="788">
        <f t="shared" si="365"/>
        <v>0</v>
      </c>
      <c r="V638" s="788">
        <f t="shared" si="366"/>
        <v>1.475876</v>
      </c>
      <c r="W638" s="788">
        <f t="shared" si="367"/>
        <v>0</v>
      </c>
      <c r="X638" s="23">
        <f>'BUS Deemed Savings Table'!J294</f>
        <v>12</v>
      </c>
      <c r="Y638" s="23"/>
      <c r="Z638" s="23">
        <f t="shared" si="412"/>
        <v>12</v>
      </c>
      <c r="AA638" s="18">
        <f>'BUS Deemed Savings Table'!DG294</f>
        <v>2.6007745812285687</v>
      </c>
      <c r="AB638" s="259">
        <f>'BUS Deemed Savings Table'!K294</f>
        <v>2000</v>
      </c>
      <c r="AC638" s="790">
        <f t="shared" si="413"/>
        <v>5201.5491624571378</v>
      </c>
      <c r="AD638" s="790">
        <f t="shared" si="414"/>
        <v>0</v>
      </c>
      <c r="AE638" s="610">
        <f>'BUS Deemed Savings Table'!DI294</f>
        <v>5201.5491624571378</v>
      </c>
      <c r="AF638" s="208"/>
      <c r="AG638" s="208"/>
      <c r="AH638" s="208"/>
      <c r="AI638" s="1442" t="str">
        <f>'BUS Deemed Savings Table'!L294</f>
        <v>per measure</v>
      </c>
      <c r="AJ638" s="71"/>
      <c r="AX638" s="1355" t="str">
        <f t="shared" si="397"/>
        <v>3 Pan ENERGY STAR Steam Cooker</v>
      </c>
      <c r="AY638" s="1378"/>
      <c r="AZ638" s="1446" t="str">
        <f t="shared" si="398"/>
        <v>802700</v>
      </c>
      <c r="BA638" s="1300" t="s">
        <v>1303</v>
      </c>
      <c r="BB638" s="1300" t="s">
        <v>1303</v>
      </c>
      <c r="BC638" s="1300" t="s">
        <v>1303</v>
      </c>
      <c r="BD638" s="1300" t="s">
        <v>1303</v>
      </c>
      <c r="BE638" s="1305"/>
      <c r="BF638" s="1300" t="s">
        <v>1303</v>
      </c>
      <c r="BG638" s="1300" t="s">
        <v>1303</v>
      </c>
      <c r="BH638" s="1300" t="s">
        <v>1303</v>
      </c>
      <c r="BI638" s="1301" t="s">
        <v>1303</v>
      </c>
      <c r="BJ638" s="1305"/>
      <c r="BK638" s="1300" t="s">
        <v>1303</v>
      </c>
      <c r="BL638" s="1301" t="s">
        <v>1303</v>
      </c>
      <c r="BM638" s="1300" t="s">
        <v>1303</v>
      </c>
      <c r="BN638" s="1301" t="s">
        <v>1303</v>
      </c>
    </row>
    <row r="639" spans="1:66">
      <c r="A639" s="51" t="str">
        <f t="shared" si="411"/>
        <v>802750</v>
      </c>
      <c r="B639" s="1442" t="str">
        <f>'BUS Deemed Savings Table'!C295</f>
        <v>802750_2024_12_</v>
      </c>
      <c r="C639" s="1378" t="str">
        <f>'BUS Deemed Savings Table'!G295</f>
        <v>Cooking BUS</v>
      </c>
      <c r="D639" s="1378"/>
      <c r="E639" s="1378"/>
      <c r="F639" s="1378"/>
      <c r="G639" s="1378" t="str">
        <f>'BUS Deemed Savings Table'!E295</f>
        <v>4 Pan ENERGY STAR Steam Cooker</v>
      </c>
      <c r="H639" s="19" t="str">
        <f>'BUS Deemed Savings Table'!D295</f>
        <v>Standard</v>
      </c>
      <c r="I639" s="785">
        <f>'BUS Deemed Savings Table'!F295</f>
        <v>8568.5499999999993</v>
      </c>
      <c r="J639" s="785"/>
      <c r="K639" s="202"/>
      <c r="L639" s="202"/>
      <c r="M639" s="202"/>
      <c r="N639" s="202"/>
      <c r="O639" s="786">
        <f>'BUS Deemed Savings Table'!I295</f>
        <v>1.712809</v>
      </c>
      <c r="P639" s="786"/>
      <c r="Q639" s="787"/>
      <c r="R639" s="787"/>
      <c r="S639" s="787"/>
      <c r="T639" s="787"/>
      <c r="U639" s="788">
        <f t="shared" si="365"/>
        <v>0</v>
      </c>
      <c r="V639" s="788">
        <f t="shared" si="366"/>
        <v>1.712809</v>
      </c>
      <c r="W639" s="788">
        <f t="shared" si="367"/>
        <v>0</v>
      </c>
      <c r="X639" s="23">
        <f>'BUS Deemed Savings Table'!J295</f>
        <v>12</v>
      </c>
      <c r="Y639" s="23"/>
      <c r="Z639" s="23">
        <f t="shared" si="412"/>
        <v>12</v>
      </c>
      <c r="AA639" s="18">
        <f>'BUS Deemed Savings Table'!DG295</f>
        <v>3.0182963945446932</v>
      </c>
      <c r="AB639" s="259">
        <f>'BUS Deemed Savings Table'!K295</f>
        <v>2000</v>
      </c>
      <c r="AC639" s="790">
        <f t="shared" si="413"/>
        <v>6036.5927890893863</v>
      </c>
      <c r="AD639" s="790">
        <f t="shared" si="414"/>
        <v>0</v>
      </c>
      <c r="AE639" s="610">
        <f>'BUS Deemed Savings Table'!DI295</f>
        <v>6036.5927890893863</v>
      </c>
      <c r="AF639" s="208"/>
      <c r="AG639" s="208"/>
      <c r="AH639" s="208"/>
      <c r="AI639" s="1442" t="str">
        <f>'BUS Deemed Savings Table'!L295</f>
        <v>per measure</v>
      </c>
      <c r="AJ639" s="71"/>
      <c r="AX639" s="1355" t="str">
        <f t="shared" si="397"/>
        <v>4 Pan ENERGY STAR Steam Cooker</v>
      </c>
      <c r="AY639" s="1378"/>
      <c r="AZ639" s="1446" t="str">
        <f t="shared" si="398"/>
        <v>802750</v>
      </c>
      <c r="BA639" s="1300" t="s">
        <v>1303</v>
      </c>
      <c r="BB639" s="1300" t="s">
        <v>1303</v>
      </c>
      <c r="BC639" s="1300" t="s">
        <v>1303</v>
      </c>
      <c r="BD639" s="1300" t="s">
        <v>1303</v>
      </c>
      <c r="BE639" s="1305"/>
      <c r="BF639" s="1300" t="s">
        <v>1303</v>
      </c>
      <c r="BG639" s="1300" t="s">
        <v>1303</v>
      </c>
      <c r="BH639" s="1300" t="s">
        <v>1303</v>
      </c>
      <c r="BI639" s="1301" t="s">
        <v>1303</v>
      </c>
      <c r="BJ639" s="1305"/>
      <c r="BK639" s="1300" t="s">
        <v>1303</v>
      </c>
      <c r="BL639" s="1301" t="s">
        <v>1303</v>
      </c>
      <c r="BM639" s="1300" t="s">
        <v>1303</v>
      </c>
      <c r="BN639" s="1301" t="s">
        <v>1303</v>
      </c>
    </row>
    <row r="640" spans="1:66">
      <c r="A640" s="51" t="str">
        <f t="shared" si="411"/>
        <v>802800</v>
      </c>
      <c r="B640" s="1442" t="str">
        <f>'BUS Deemed Savings Table'!C296</f>
        <v>802800_2024_12_</v>
      </c>
      <c r="C640" s="1378" t="str">
        <f>'BUS Deemed Savings Table'!G296</f>
        <v>Cooking BUS</v>
      </c>
      <c r="D640" s="1378"/>
      <c r="E640" s="1378"/>
      <c r="F640" s="1378"/>
      <c r="G640" s="1378" t="str">
        <f>'BUS Deemed Savings Table'!E296</f>
        <v>5 Pan ENERGY STAR Steam Cooker</v>
      </c>
      <c r="H640" s="19" t="str">
        <f>'BUS Deemed Savings Table'!D296</f>
        <v>Standard</v>
      </c>
      <c r="I640" s="785">
        <f>'BUS Deemed Savings Table'!F296</f>
        <v>9692.98</v>
      </c>
      <c r="J640" s="785"/>
      <c r="K640" s="202"/>
      <c r="L640" s="202"/>
      <c r="M640" s="202"/>
      <c r="N640" s="202"/>
      <c r="O640" s="786">
        <f>'BUS Deemed Savings Table'!I296</f>
        <v>1.9375770000000001</v>
      </c>
      <c r="P640" s="786"/>
      <c r="Q640" s="787"/>
      <c r="R640" s="787"/>
      <c r="S640" s="787"/>
      <c r="T640" s="787"/>
      <c r="U640" s="788">
        <f t="shared" si="365"/>
        <v>0</v>
      </c>
      <c r="V640" s="788">
        <f t="shared" si="366"/>
        <v>1.9375770000000001</v>
      </c>
      <c r="W640" s="788">
        <f t="shared" si="367"/>
        <v>0</v>
      </c>
      <c r="X640" s="23">
        <f>'BUS Deemed Savings Table'!J296</f>
        <v>12</v>
      </c>
      <c r="Y640" s="23"/>
      <c r="Z640" s="23">
        <f t="shared" si="412"/>
        <v>12</v>
      </c>
      <c r="AA640" s="18">
        <f>'BUS Deemed Savings Table'!DG296</f>
        <v>3.4143800977287664</v>
      </c>
      <c r="AB640" s="259">
        <f>'BUS Deemed Savings Table'!K296</f>
        <v>2000</v>
      </c>
      <c r="AC640" s="790">
        <f t="shared" si="413"/>
        <v>6828.760195457533</v>
      </c>
      <c r="AD640" s="790">
        <f t="shared" si="414"/>
        <v>0</v>
      </c>
      <c r="AE640" s="610">
        <f>'BUS Deemed Savings Table'!DI296</f>
        <v>6828.760195457533</v>
      </c>
      <c r="AF640" s="208"/>
      <c r="AG640" s="208"/>
      <c r="AH640" s="208"/>
      <c r="AI640" s="1442" t="str">
        <f>'BUS Deemed Savings Table'!L296</f>
        <v>per measure</v>
      </c>
      <c r="AJ640" s="71"/>
      <c r="AX640" s="1355" t="str">
        <f t="shared" si="397"/>
        <v>5 Pan ENERGY STAR Steam Cooker</v>
      </c>
      <c r="AY640" s="1378"/>
      <c r="AZ640" s="1446" t="str">
        <f t="shared" si="398"/>
        <v>802800</v>
      </c>
      <c r="BA640" s="1300" t="s">
        <v>1303</v>
      </c>
      <c r="BB640" s="1300" t="s">
        <v>1303</v>
      </c>
      <c r="BC640" s="1300" t="s">
        <v>1303</v>
      </c>
      <c r="BD640" s="1300" t="s">
        <v>1303</v>
      </c>
      <c r="BE640" s="1305"/>
      <c r="BF640" s="1300" t="s">
        <v>1303</v>
      </c>
      <c r="BG640" s="1300" t="s">
        <v>1303</v>
      </c>
      <c r="BH640" s="1300" t="s">
        <v>1303</v>
      </c>
      <c r="BI640" s="1301" t="s">
        <v>1303</v>
      </c>
      <c r="BJ640" s="1305"/>
      <c r="BK640" s="1300" t="s">
        <v>1303</v>
      </c>
      <c r="BL640" s="1301" t="s">
        <v>1303</v>
      </c>
      <c r="BM640" s="1300" t="s">
        <v>1303</v>
      </c>
      <c r="BN640" s="1301" t="s">
        <v>1303</v>
      </c>
    </row>
    <row r="641" spans="1:66">
      <c r="A641" s="51" t="str">
        <f t="shared" si="411"/>
        <v>802850</v>
      </c>
      <c r="B641" s="1442" t="str">
        <f>'BUS Deemed Savings Table'!C297</f>
        <v>802850_2024_12_</v>
      </c>
      <c r="C641" s="1378" t="str">
        <f>'BUS Deemed Savings Table'!G297</f>
        <v>Cooking BUS</v>
      </c>
      <c r="D641" s="1378"/>
      <c r="E641" s="1378"/>
      <c r="F641" s="1378"/>
      <c r="G641" s="1378" t="str">
        <f>'BUS Deemed Savings Table'!E297</f>
        <v>6 Pan ENERGY STAR Steam Cooker</v>
      </c>
      <c r="H641" s="19" t="str">
        <f>'BUS Deemed Savings Table'!D297</f>
        <v>Standard</v>
      </c>
      <c r="I641" s="785">
        <f>'BUS Deemed Savings Table'!F297</f>
        <v>10822.05</v>
      </c>
      <c r="J641" s="785"/>
      <c r="K641" s="202"/>
      <c r="L641" s="202"/>
      <c r="M641" s="202"/>
      <c r="N641" s="202"/>
      <c r="O641" s="786">
        <f>'BUS Deemed Savings Table'!I297</f>
        <v>2.1632729999999998</v>
      </c>
      <c r="P641" s="786"/>
      <c r="Q641" s="787"/>
      <c r="R641" s="787"/>
      <c r="S641" s="787"/>
      <c r="T641" s="787"/>
      <c r="U641" s="788">
        <f t="shared" si="365"/>
        <v>0</v>
      </c>
      <c r="V641" s="788">
        <f t="shared" si="366"/>
        <v>2.1632729999999998</v>
      </c>
      <c r="W641" s="788">
        <f t="shared" si="367"/>
        <v>0</v>
      </c>
      <c r="X641" s="23">
        <f>'BUS Deemed Savings Table'!J297</f>
        <v>12</v>
      </c>
      <c r="Y641" s="23"/>
      <c r="Z641" s="23">
        <f t="shared" si="412"/>
        <v>12</v>
      </c>
      <c r="AA641" s="18">
        <f>'BUS Deemed Savings Table'!DG297</f>
        <v>3.8120982542650035</v>
      </c>
      <c r="AB641" s="259">
        <f>'BUS Deemed Savings Table'!K297</f>
        <v>2000</v>
      </c>
      <c r="AC641" s="790">
        <f t="shared" si="413"/>
        <v>7624.1965085300071</v>
      </c>
      <c r="AD641" s="790">
        <f t="shared" si="414"/>
        <v>0</v>
      </c>
      <c r="AE641" s="610">
        <f>'BUS Deemed Savings Table'!DI297</f>
        <v>7624.1965085300071</v>
      </c>
      <c r="AF641" s="208"/>
      <c r="AG641" s="208"/>
      <c r="AH641" s="208"/>
      <c r="AI641" s="1442" t="str">
        <f>'BUS Deemed Savings Table'!L297</f>
        <v>per measure</v>
      </c>
      <c r="AJ641" s="71"/>
      <c r="AX641" s="1355" t="str">
        <f t="shared" si="397"/>
        <v>6 Pan ENERGY STAR Steam Cooker</v>
      </c>
      <c r="AY641" s="1378"/>
      <c r="AZ641" s="1446" t="str">
        <f t="shared" si="398"/>
        <v>802850</v>
      </c>
      <c r="BA641" s="1300" t="s">
        <v>1303</v>
      </c>
      <c r="BB641" s="1300" t="s">
        <v>1303</v>
      </c>
      <c r="BC641" s="1300" t="s">
        <v>1303</v>
      </c>
      <c r="BD641" s="1300" t="s">
        <v>1303</v>
      </c>
      <c r="BE641" s="1305"/>
      <c r="BF641" s="1300" t="s">
        <v>1303</v>
      </c>
      <c r="BG641" s="1300" t="s">
        <v>1303</v>
      </c>
      <c r="BH641" s="1300" t="s">
        <v>1303</v>
      </c>
      <c r="BI641" s="1301" t="s">
        <v>1303</v>
      </c>
      <c r="BJ641" s="1305"/>
      <c r="BK641" s="1300" t="s">
        <v>1303</v>
      </c>
      <c r="BL641" s="1301" t="s">
        <v>1303</v>
      </c>
      <c r="BM641" s="1300" t="s">
        <v>1303</v>
      </c>
      <c r="BN641" s="1301" t="s">
        <v>1303</v>
      </c>
    </row>
    <row r="642" spans="1:66" s="696" customFormat="1">
      <c r="A642" s="2958" t="str">
        <f t="shared" ref="A642" si="421">LEFT(B642,6)</f>
        <v>802855</v>
      </c>
      <c r="B642" s="2233" t="str">
        <f>'BUS Deemed Savings Table'!C298</f>
        <v>802855_2024_12_</v>
      </c>
      <c r="C642" s="2724" t="str">
        <f>'BUS Deemed Savings Table'!G298</f>
        <v>Cooking BUS</v>
      </c>
      <c r="D642" s="2724"/>
      <c r="E642" s="2724"/>
      <c r="F642" s="2724"/>
      <c r="G642" s="2724" t="str">
        <f>'BUS Deemed Savings Table'!E298</f>
        <v>10 Pan ENERGY STAR Steam Cooker</v>
      </c>
      <c r="H642" s="2554" t="str">
        <f>'BUS Deemed Savings Table'!D298</f>
        <v>BSS</v>
      </c>
      <c r="I642" s="3840">
        <f>'BUS Deemed Savings Table'!F298</f>
        <v>16564.12</v>
      </c>
      <c r="J642" s="3840"/>
      <c r="K642" s="3251"/>
      <c r="L642" s="3251"/>
      <c r="M642" s="3251"/>
      <c r="N642" s="3251"/>
      <c r="O642" s="3841">
        <f>'BUS Deemed Savings Table'!I298</f>
        <v>3.311083</v>
      </c>
      <c r="P642" s="3841"/>
      <c r="Q642" s="3842"/>
      <c r="R642" s="3842"/>
      <c r="S642" s="3842"/>
      <c r="T642" s="3842"/>
      <c r="U642" s="3843">
        <f t="shared" si="365"/>
        <v>0</v>
      </c>
      <c r="V642" s="3843">
        <f t="shared" si="366"/>
        <v>3.311083</v>
      </c>
      <c r="W642" s="3843">
        <f t="shared" si="367"/>
        <v>0</v>
      </c>
      <c r="X642" s="2846">
        <f>'BUS Deemed Savings Table'!J298</f>
        <v>12</v>
      </c>
      <c r="Y642" s="2846"/>
      <c r="Z642" s="2846">
        <f t="shared" ref="Z642" si="422">Y642+X642</f>
        <v>12</v>
      </c>
      <c r="AA642" s="2529">
        <f>'BUS Deemed Savings Table'!DG298</f>
        <v>5.8347589352697531</v>
      </c>
      <c r="AB642" s="3878">
        <f>'BUS Deemed Savings Table'!K298</f>
        <v>2000</v>
      </c>
      <c r="AC642" s="3968">
        <f t="shared" ref="AC642" si="423">AE642+AF642</f>
        <v>11669.517870539506</v>
      </c>
      <c r="AD642" s="3968">
        <f t="shared" ref="AD642" si="424">AG642+AH642</f>
        <v>0</v>
      </c>
      <c r="AE642" s="3865">
        <f>'BUS Deemed Savings Table'!DI298</f>
        <v>11669.517870539506</v>
      </c>
      <c r="AF642" s="3846"/>
      <c r="AG642" s="3846"/>
      <c r="AH642" s="3846"/>
      <c r="AI642" s="2233" t="str">
        <f>'BUS Deemed Savings Table'!L298</f>
        <v>per measure</v>
      </c>
      <c r="AJ642" s="2724"/>
      <c r="AX642" s="3849" t="str">
        <f t="shared" ref="AX642" si="425">G642</f>
        <v>10 Pan ENERGY STAR Steam Cooker</v>
      </c>
      <c r="AY642" s="2724"/>
      <c r="AZ642" s="3850" t="str">
        <f t="shared" ref="AZ642" si="426">A642</f>
        <v>802855</v>
      </c>
      <c r="BA642" s="3866" t="s">
        <v>1303</v>
      </c>
      <c r="BB642" s="3866" t="s">
        <v>1303</v>
      </c>
      <c r="BC642" s="3866" t="s">
        <v>1303</v>
      </c>
      <c r="BD642" s="3866" t="s">
        <v>1303</v>
      </c>
      <c r="BE642" s="3853"/>
      <c r="BF642" s="3866" t="s">
        <v>1303</v>
      </c>
      <c r="BG642" s="3866" t="s">
        <v>1303</v>
      </c>
      <c r="BH642" s="3866" t="s">
        <v>1303</v>
      </c>
      <c r="BI642" s="3867" t="s">
        <v>1303</v>
      </c>
      <c r="BJ642" s="3853"/>
      <c r="BK642" s="3866" t="s">
        <v>1303</v>
      </c>
      <c r="BL642" s="3867" t="s">
        <v>1303</v>
      </c>
      <c r="BM642" s="3866" t="s">
        <v>1303</v>
      </c>
      <c r="BN642" s="3867" t="s">
        <v>1303</v>
      </c>
    </row>
    <row r="643" spans="1:66">
      <c r="A643" s="51" t="str">
        <f t="shared" si="411"/>
        <v>802900</v>
      </c>
      <c r="B643" s="1442" t="str">
        <f>'BUS Deemed Savings Table'!C319</f>
        <v>802900_2024_12_</v>
      </c>
      <c r="C643" s="1378" t="str">
        <f>'BUS Deemed Savings Table'!G319</f>
        <v>Cooking BUS</v>
      </c>
      <c r="D643" s="1378"/>
      <c r="E643" s="1378"/>
      <c r="F643" s="1378"/>
      <c r="G643" s="1378" t="str">
        <f>'BUS Deemed Savings Table'!E319</f>
        <v>ENERGY STAR Hot Holding Cabinet (0 &lt; V &lt;13)</v>
      </c>
      <c r="H643" s="19" t="str">
        <f>'BUS Deemed Savings Table'!D319</f>
        <v>Standard</v>
      </c>
      <c r="I643" s="785">
        <f>'BUS Deemed Savings Table'!F319</f>
        <v>325.99</v>
      </c>
      <c r="J643" s="785"/>
      <c r="K643" s="202"/>
      <c r="L643" s="202"/>
      <c r="M643" s="202"/>
      <c r="N643" s="202"/>
      <c r="O643" s="786">
        <f>'BUS Deemed Savings Table'!I319</f>
        <v>6.5164E-2</v>
      </c>
      <c r="P643" s="786"/>
      <c r="Q643" s="787"/>
      <c r="R643" s="787"/>
      <c r="S643" s="787"/>
      <c r="T643" s="787"/>
      <c r="U643" s="788">
        <f t="shared" si="365"/>
        <v>0</v>
      </c>
      <c r="V643" s="788">
        <f t="shared" si="366"/>
        <v>6.5164E-2</v>
      </c>
      <c r="W643" s="788">
        <f t="shared" si="367"/>
        <v>0</v>
      </c>
      <c r="X643" s="23">
        <f>'BUS Deemed Savings Table'!J319</f>
        <v>12</v>
      </c>
      <c r="Y643" s="23"/>
      <c r="Z643" s="23">
        <f t="shared" si="412"/>
        <v>12</v>
      </c>
      <c r="AA643" s="18">
        <f>'BUS Deemed Savings Table'!DG319</f>
        <v>0.22966183115174088</v>
      </c>
      <c r="AB643" s="259">
        <f>'BUS Deemed Savings Table'!K319</f>
        <v>1000</v>
      </c>
      <c r="AC643" s="790">
        <f t="shared" si="413"/>
        <v>229.66183115174087</v>
      </c>
      <c r="AD643" s="790">
        <f t="shared" si="414"/>
        <v>0</v>
      </c>
      <c r="AE643" s="610">
        <f>'BUS Deemed Savings Table'!DI319</f>
        <v>229.66183115174087</v>
      </c>
      <c r="AF643" s="208"/>
      <c r="AG643" s="208"/>
      <c r="AH643" s="208"/>
      <c r="AI643" s="1442" t="str">
        <f>'BUS Deemed Savings Table'!L319</f>
        <v>per measure</v>
      </c>
      <c r="AJ643" s="71"/>
      <c r="AX643" s="1355" t="str">
        <f t="shared" si="397"/>
        <v>ENERGY STAR Hot Holding Cabinet (0 &lt; V &lt;13)</v>
      </c>
      <c r="AY643" s="1378"/>
      <c r="AZ643" s="1446" t="str">
        <f t="shared" si="398"/>
        <v>802900</v>
      </c>
      <c r="BA643" s="1300" t="s">
        <v>1303</v>
      </c>
      <c r="BB643" s="1300" t="s">
        <v>1303</v>
      </c>
      <c r="BC643" s="1300" t="s">
        <v>1303</v>
      </c>
      <c r="BD643" s="1300" t="s">
        <v>1303</v>
      </c>
      <c r="BE643" s="1305"/>
      <c r="BF643" s="1300" t="s">
        <v>1303</v>
      </c>
      <c r="BG643" s="1300" t="s">
        <v>1303</v>
      </c>
      <c r="BH643" s="1300" t="s">
        <v>1303</v>
      </c>
      <c r="BI643" s="1301" t="s">
        <v>1303</v>
      </c>
      <c r="BJ643" s="1305"/>
      <c r="BK643" s="1300" t="s">
        <v>1303</v>
      </c>
      <c r="BL643" s="1301" t="s">
        <v>1303</v>
      </c>
      <c r="BM643" s="1300" t="s">
        <v>1303</v>
      </c>
      <c r="BN643" s="1301" t="s">
        <v>1303</v>
      </c>
    </row>
    <row r="644" spans="1:66">
      <c r="A644" s="51" t="str">
        <f t="shared" si="411"/>
        <v>802950</v>
      </c>
      <c r="B644" s="1442" t="str">
        <f>'BUS Deemed Savings Table'!C320</f>
        <v>802950_2024_12_</v>
      </c>
      <c r="C644" s="1378" t="str">
        <f>'BUS Deemed Savings Table'!G320</f>
        <v>Cooking BUS</v>
      </c>
      <c r="D644" s="1378"/>
      <c r="E644" s="1378"/>
      <c r="F644" s="1378"/>
      <c r="G644" s="1378" t="str">
        <f>'BUS Deemed Savings Table'!E320</f>
        <v>ENERGY STAR Hot Holding Cabinet (13 ≤ V &lt;28)</v>
      </c>
      <c r="H644" s="19" t="str">
        <f>'BUS Deemed Savings Table'!D320</f>
        <v>Standard</v>
      </c>
      <c r="I644" s="785">
        <f>'BUS Deemed Savings Table'!F320</f>
        <v>1676.5</v>
      </c>
      <c r="J644" s="785"/>
      <c r="K644" s="202"/>
      <c r="L644" s="202"/>
      <c r="M644" s="202"/>
      <c r="N644" s="202"/>
      <c r="O644" s="786">
        <f>'BUS Deemed Savings Table'!I320</f>
        <v>0.33512399999999998</v>
      </c>
      <c r="P644" s="786"/>
      <c r="Q644" s="787"/>
      <c r="R644" s="787"/>
      <c r="S644" s="787"/>
      <c r="T644" s="787"/>
      <c r="U644" s="788">
        <f t="shared" si="365"/>
        <v>0</v>
      </c>
      <c r="V644" s="788">
        <f t="shared" si="366"/>
        <v>0.33512399999999998</v>
      </c>
      <c r="W644" s="788">
        <f t="shared" si="367"/>
        <v>0</v>
      </c>
      <c r="X644" s="23">
        <f>'BUS Deemed Savings Table'!J320</f>
        <v>12</v>
      </c>
      <c r="Y644" s="23"/>
      <c r="Z644" s="23">
        <f t="shared" si="412"/>
        <v>12</v>
      </c>
      <c r="AA644" s="18">
        <f>'BUS Deemed Savings Table'!DG320</f>
        <v>1.1811038986652769</v>
      </c>
      <c r="AB644" s="259">
        <f>'BUS Deemed Savings Table'!K320</f>
        <v>1000</v>
      </c>
      <c r="AC644" s="790">
        <f t="shared" si="413"/>
        <v>1181.1038986652768</v>
      </c>
      <c r="AD644" s="790">
        <f t="shared" si="414"/>
        <v>0</v>
      </c>
      <c r="AE644" s="610">
        <f>'BUS Deemed Savings Table'!DI320</f>
        <v>1181.1038986652768</v>
      </c>
      <c r="AF644" s="208"/>
      <c r="AG644" s="208"/>
      <c r="AH644" s="208"/>
      <c r="AI644" s="1442" t="str">
        <f>'BUS Deemed Savings Table'!L320</f>
        <v>per measure</v>
      </c>
      <c r="AJ644" s="71"/>
      <c r="AX644" s="1355" t="str">
        <f t="shared" si="397"/>
        <v>ENERGY STAR Hot Holding Cabinet (13 ≤ V &lt;28)</v>
      </c>
      <c r="AY644" s="1378"/>
      <c r="AZ644" s="1446" t="str">
        <f t="shared" si="398"/>
        <v>802950</v>
      </c>
      <c r="BA644" s="1300" t="s">
        <v>1303</v>
      </c>
      <c r="BB644" s="1300" t="s">
        <v>1303</v>
      </c>
      <c r="BC644" s="1300" t="s">
        <v>1303</v>
      </c>
      <c r="BD644" s="1300" t="s">
        <v>1303</v>
      </c>
      <c r="BE644" s="1305"/>
      <c r="BF644" s="1300" t="s">
        <v>1303</v>
      </c>
      <c r="BG644" s="1300" t="s">
        <v>1303</v>
      </c>
      <c r="BH644" s="1300" t="s">
        <v>1303</v>
      </c>
      <c r="BI644" s="1301" t="s">
        <v>1303</v>
      </c>
      <c r="BJ644" s="1305"/>
      <c r="BK644" s="1300" t="s">
        <v>1303</v>
      </c>
      <c r="BL644" s="1301" t="s">
        <v>1303</v>
      </c>
      <c r="BM644" s="1300" t="s">
        <v>1303</v>
      </c>
      <c r="BN644" s="1301" t="s">
        <v>1303</v>
      </c>
    </row>
    <row r="645" spans="1:66">
      <c r="A645" s="51" t="str">
        <f t="shared" si="411"/>
        <v>803000</v>
      </c>
      <c r="B645" s="1442" t="str">
        <f>'BUS Deemed Savings Table'!C321</f>
        <v>803000_2024_12_</v>
      </c>
      <c r="C645" s="1378" t="str">
        <f>'BUS Deemed Savings Table'!G321</f>
        <v>Cooking BUS</v>
      </c>
      <c r="D645" s="1378"/>
      <c r="E645" s="1378"/>
      <c r="F645" s="1378"/>
      <c r="G645" s="1378" t="str">
        <f>'BUS Deemed Savings Table'!E321</f>
        <v>ENERGY STAR Hot Holding Cabinet (28 ≤ V)</v>
      </c>
      <c r="H645" s="19" t="str">
        <f>'BUS Deemed Savings Table'!D321</f>
        <v>Standard</v>
      </c>
      <c r="I645" s="785">
        <f>'BUS Deemed Savings Table'!F321</f>
        <v>2904.29</v>
      </c>
      <c r="J645" s="785"/>
      <c r="K645" s="202"/>
      <c r="L645" s="202"/>
      <c r="M645" s="202"/>
      <c r="N645" s="202"/>
      <c r="O645" s="786">
        <f>'BUS Deemed Savings Table'!I321</f>
        <v>0.58055299999999999</v>
      </c>
      <c r="P645" s="786"/>
      <c r="Q645" s="787"/>
      <c r="R645" s="787"/>
      <c r="S645" s="787"/>
      <c r="T645" s="787"/>
      <c r="U645" s="788">
        <f t="shared" si="365"/>
        <v>0</v>
      </c>
      <c r="V645" s="788">
        <f t="shared" si="366"/>
        <v>0.58055299999999999</v>
      </c>
      <c r="W645" s="788">
        <f t="shared" si="367"/>
        <v>0</v>
      </c>
      <c r="X645" s="23">
        <f>'BUS Deemed Savings Table'!J321</f>
        <v>12</v>
      </c>
      <c r="Y645" s="23"/>
      <c r="Z645" s="23">
        <f t="shared" si="412"/>
        <v>12</v>
      </c>
      <c r="AA645" s="18">
        <f>'BUS Deemed Savings Table'!DG321</f>
        <v>2.0460890198953634</v>
      </c>
      <c r="AB645" s="259">
        <f>'BUS Deemed Savings Table'!K321</f>
        <v>1000</v>
      </c>
      <c r="AC645" s="790">
        <f t="shared" si="413"/>
        <v>2046.0890198953634</v>
      </c>
      <c r="AD645" s="790">
        <f t="shared" si="414"/>
        <v>0</v>
      </c>
      <c r="AE645" s="610">
        <f>'BUS Deemed Savings Table'!DI321</f>
        <v>2046.0890198953634</v>
      </c>
      <c r="AF645" s="208"/>
      <c r="AG645" s="208"/>
      <c r="AH645" s="208"/>
      <c r="AI645" s="1442" t="str">
        <f>'BUS Deemed Savings Table'!L321</f>
        <v>per measure</v>
      </c>
      <c r="AJ645" s="71"/>
      <c r="AX645" s="1355" t="str">
        <f t="shared" si="397"/>
        <v>ENERGY STAR Hot Holding Cabinet (28 ≤ V)</v>
      </c>
      <c r="AY645" s="1378"/>
      <c r="AZ645" s="1446" t="str">
        <f t="shared" si="398"/>
        <v>803000</v>
      </c>
      <c r="BA645" s="1300" t="s">
        <v>1303</v>
      </c>
      <c r="BB645" s="1300" t="s">
        <v>1303</v>
      </c>
      <c r="BC645" s="1300" t="s">
        <v>1303</v>
      </c>
      <c r="BD645" s="1300" t="s">
        <v>1303</v>
      </c>
      <c r="BE645" s="1305"/>
      <c r="BF645" s="1300" t="s">
        <v>1303</v>
      </c>
      <c r="BG645" s="1300" t="s">
        <v>1303</v>
      </c>
      <c r="BH645" s="1300" t="s">
        <v>1303</v>
      </c>
      <c r="BI645" s="1301" t="s">
        <v>1303</v>
      </c>
      <c r="BJ645" s="1305"/>
      <c r="BK645" s="1300" t="s">
        <v>1303</v>
      </c>
      <c r="BL645" s="1301" t="s">
        <v>1303</v>
      </c>
      <c r="BM645" s="1300" t="s">
        <v>1303</v>
      </c>
      <c r="BN645" s="1301" t="s">
        <v>1303</v>
      </c>
    </row>
    <row r="646" spans="1:66">
      <c r="A646" s="51" t="str">
        <f t="shared" si="411"/>
        <v>803050</v>
      </c>
      <c r="B646" s="1442" t="str">
        <f>'BUS Deemed Savings Table'!C339</f>
        <v>803050_2024_12_</v>
      </c>
      <c r="C646" s="1378" t="str">
        <f>'BUS Deemed Savings Table'!I339</f>
        <v>Cooling BUS</v>
      </c>
      <c r="D646" s="1378" t="str">
        <f>'BUS Deemed Savings Table'!J339</f>
        <v>Heating BUS</v>
      </c>
      <c r="E646" s="1378"/>
      <c r="F646" s="1378"/>
      <c r="G646" s="1378" t="str">
        <f>'BUS Deemed Savings Table'!E339</f>
        <v>Learning Thermostat, cooling and electric heat, per ton</v>
      </c>
      <c r="H646" s="19" t="str">
        <f>'BUS Deemed Savings Table'!D339</f>
        <v>BSS/Standard</v>
      </c>
      <c r="I646" s="785">
        <f>K646+L646</f>
        <v>0</v>
      </c>
      <c r="J646" s="785">
        <f>S646+T646</f>
        <v>0</v>
      </c>
      <c r="K646" s="890">
        <f>'BUS Deemed Savings Table'!G339</f>
        <v>0</v>
      </c>
      <c r="L646" s="1378">
        <f>'BUS Deemed Savings Table'!H339</f>
        <v>0</v>
      </c>
      <c r="M646" s="202"/>
      <c r="N646" s="202"/>
      <c r="O646" s="786">
        <f>Q646+R646</f>
        <v>0</v>
      </c>
      <c r="P646" s="786">
        <f>S646+T646</f>
        <v>0</v>
      </c>
      <c r="Q646" s="787">
        <f>'BUS Deemed Savings Table'!L339</f>
        <v>0</v>
      </c>
      <c r="R646" s="787">
        <v>0</v>
      </c>
      <c r="S646" s="787"/>
      <c r="T646" s="787"/>
      <c r="U646" s="788">
        <f t="shared" si="365"/>
        <v>0</v>
      </c>
      <c r="V646" s="788">
        <f t="shared" si="366"/>
        <v>0</v>
      </c>
      <c r="W646" s="788">
        <f t="shared" si="367"/>
        <v>0</v>
      </c>
      <c r="X646" s="23">
        <f>'BUS Deemed Savings Table'!M339</f>
        <v>9</v>
      </c>
      <c r="Y646" s="23"/>
      <c r="Z646" s="23">
        <f t="shared" si="412"/>
        <v>9</v>
      </c>
      <c r="AA646" s="18">
        <f>'BUS Deemed Savings Table'!DG339</f>
        <v>0</v>
      </c>
      <c r="AB646" s="259">
        <f>'BUS Deemed Savings Table'!N339</f>
        <v>105.6</v>
      </c>
      <c r="AC646" s="790">
        <f t="shared" si="413"/>
        <v>0</v>
      </c>
      <c r="AD646" s="790">
        <f t="shared" si="414"/>
        <v>0</v>
      </c>
      <c r="AE646" s="610">
        <f>'BUS Deemed Savings Table'!DI339</f>
        <v>0</v>
      </c>
      <c r="AF646" s="208"/>
      <c r="AG646" s="208"/>
      <c r="AH646" s="208"/>
      <c r="AI646" s="908" t="str">
        <f>'BUS Deemed Savings Table'!O339</f>
        <v>per ton</v>
      </c>
      <c r="AJ646" s="71"/>
      <c r="AX646" s="1355" t="str">
        <f t="shared" si="397"/>
        <v>Learning Thermostat, cooling and electric heat, per ton</v>
      </c>
      <c r="AY646" s="1378"/>
      <c r="AZ646" s="1446" t="str">
        <f t="shared" si="398"/>
        <v>803050</v>
      </c>
      <c r="BA646" s="1300" t="s">
        <v>1303</v>
      </c>
      <c r="BB646" s="1300" t="s">
        <v>1303</v>
      </c>
      <c r="BC646" s="1300" t="s">
        <v>1303</v>
      </c>
      <c r="BD646" s="1300" t="s">
        <v>1303</v>
      </c>
      <c r="BE646" s="1305"/>
      <c r="BF646" s="1300" t="s">
        <v>1303</v>
      </c>
      <c r="BG646" s="1300" t="s">
        <v>1303</v>
      </c>
      <c r="BH646" s="1300" t="s">
        <v>1303</v>
      </c>
      <c r="BI646" s="1301" t="s">
        <v>1303</v>
      </c>
      <c r="BJ646" s="1305"/>
      <c r="BK646" s="1300" t="s">
        <v>1303</v>
      </c>
      <c r="BL646" s="1301" t="s">
        <v>1303</v>
      </c>
      <c r="BM646" s="1300" t="s">
        <v>1303</v>
      </c>
      <c r="BN646" s="1301" t="s">
        <v>1303</v>
      </c>
    </row>
    <row r="647" spans="1:66">
      <c r="A647" s="51" t="str">
        <f t="shared" ref="A647" si="427">LEFT(B647,6)</f>
        <v>803060</v>
      </c>
      <c r="B647" s="1442" t="str">
        <f>'BUS Deemed Savings Table'!C340</f>
        <v>803060_2024_12_</v>
      </c>
      <c r="C647" s="1378" t="str">
        <f>'BUS Deemed Savings Table'!I340</f>
        <v>Cooling BUS</v>
      </c>
      <c r="D647" s="1378" t="str">
        <f>'BUS Deemed Savings Table'!J340</f>
        <v>Heating BUS</v>
      </c>
      <c r="E647" s="1378"/>
      <c r="F647" s="1378"/>
      <c r="G647" s="1378" t="str">
        <f>'BUS Deemed Savings Table'!E340</f>
        <v>Learning Thermostat, cooling , per ton</v>
      </c>
      <c r="H647" s="19" t="str">
        <f>'BUS Deemed Savings Table'!D340</f>
        <v>BSS/Standard</v>
      </c>
      <c r="I647" s="785">
        <f>K647+L647</f>
        <v>0</v>
      </c>
      <c r="J647" s="785">
        <f>S647+T647</f>
        <v>0</v>
      </c>
      <c r="K647" s="890">
        <f>'BUS Deemed Savings Table'!G340</f>
        <v>0</v>
      </c>
      <c r="L647" s="1378">
        <f>'BUS Deemed Savings Table'!H340</f>
        <v>0</v>
      </c>
      <c r="M647" s="202"/>
      <c r="N647" s="202"/>
      <c r="O647" s="786">
        <f>Q647+R647</f>
        <v>0</v>
      </c>
      <c r="P647" s="786">
        <f>S647+T647</f>
        <v>0</v>
      </c>
      <c r="Q647" s="787">
        <f>'BUS Deemed Savings Table'!L340</f>
        <v>0</v>
      </c>
      <c r="R647" s="787">
        <v>0</v>
      </c>
      <c r="S647" s="787"/>
      <c r="T647" s="787"/>
      <c r="U647" s="788">
        <f t="shared" si="365"/>
        <v>0</v>
      </c>
      <c r="V647" s="788">
        <f t="shared" si="366"/>
        <v>0</v>
      </c>
      <c r="W647" s="788">
        <f t="shared" si="367"/>
        <v>0</v>
      </c>
      <c r="X647" s="23">
        <f>'BUS Deemed Savings Table'!M340</f>
        <v>9</v>
      </c>
      <c r="Y647" s="23"/>
      <c r="Z647" s="23">
        <f t="shared" ref="Z647" si="428">Y647+X647</f>
        <v>9</v>
      </c>
      <c r="AA647" s="18">
        <f>'BUS Deemed Savings Table'!DG340</f>
        <v>0</v>
      </c>
      <c r="AB647" s="259">
        <f>'BUS Deemed Savings Table'!N340</f>
        <v>105.6</v>
      </c>
      <c r="AC647" s="790">
        <f t="shared" ref="AC647" si="429">AE647+AF647</f>
        <v>0</v>
      </c>
      <c r="AD647" s="790">
        <f t="shared" ref="AD647" si="430">AG647+AH647</f>
        <v>0</v>
      </c>
      <c r="AE647" s="610">
        <f>'BUS Deemed Savings Table'!DI340</f>
        <v>0</v>
      </c>
      <c r="AF647" s="208"/>
      <c r="AG647" s="208"/>
      <c r="AH647" s="208"/>
      <c r="AI647" s="908" t="str">
        <f>'BUS Deemed Savings Table'!O340</f>
        <v>per ton</v>
      </c>
      <c r="AJ647" s="71"/>
      <c r="AX647" s="1355" t="str">
        <f t="shared" ref="AX647" si="431">G647</f>
        <v>Learning Thermostat, cooling , per ton</v>
      </c>
      <c r="AY647" s="1378"/>
      <c r="AZ647" s="1446" t="str">
        <f t="shared" ref="AZ647" si="432">A647</f>
        <v>803060</v>
      </c>
      <c r="BA647" s="1300" t="s">
        <v>1303</v>
      </c>
      <c r="BB647" s="1300" t="s">
        <v>1303</v>
      </c>
      <c r="BC647" s="1300" t="s">
        <v>1303</v>
      </c>
      <c r="BD647" s="1300" t="s">
        <v>1303</v>
      </c>
      <c r="BE647" s="1305"/>
      <c r="BF647" s="1300" t="s">
        <v>1303</v>
      </c>
      <c r="BG647" s="1300" t="s">
        <v>1303</v>
      </c>
      <c r="BH647" s="1300" t="s">
        <v>1303</v>
      </c>
      <c r="BI647" s="1301" t="s">
        <v>1303</v>
      </c>
      <c r="BJ647" s="1305"/>
      <c r="BK647" s="1300" t="s">
        <v>1303</v>
      </c>
      <c r="BL647" s="1301" t="s">
        <v>1303</v>
      </c>
      <c r="BM647" s="1300" t="s">
        <v>1303</v>
      </c>
      <c r="BN647" s="1301" t="s">
        <v>1303</v>
      </c>
    </row>
    <row r="648" spans="1:66">
      <c r="A648" s="51" t="str">
        <f t="shared" si="411"/>
        <v>803100</v>
      </c>
      <c r="B648" s="1442" t="str">
        <f>'BUS Deemed Savings Table'!C354</f>
        <v>803100_2024_12_</v>
      </c>
      <c r="C648" s="1378" t="str">
        <f>'BUS Deemed Savings Table'!G354</f>
        <v>Cooling BUS</v>
      </c>
      <c r="D648" s="1378"/>
      <c r="E648" s="1378"/>
      <c r="F648" s="1378"/>
      <c r="G648" s="1378" t="str">
        <f>'BUS Deemed Savings Table'!E354</f>
        <v>VFD on Chilled Water Pump &gt;= 1HP, per Hp</v>
      </c>
      <c r="H648" s="19" t="str">
        <f>'BUS Deemed Savings Table'!D354</f>
        <v>BSS/Standard</v>
      </c>
      <c r="I648" s="785">
        <f>'BUS Deemed Savings Table'!F354</f>
        <v>1362.32</v>
      </c>
      <c r="J648" s="785"/>
      <c r="K648" s="202"/>
      <c r="L648" s="202"/>
      <c r="M648" s="202"/>
      <c r="N648" s="202"/>
      <c r="O648" s="786">
        <f>'BUS Deemed Savings Table'!I354</f>
        <v>1.2406429999999999</v>
      </c>
      <c r="P648" s="786"/>
      <c r="Q648" s="787"/>
      <c r="R648" s="787"/>
      <c r="S648" s="787"/>
      <c r="T648" s="787"/>
      <c r="U648" s="788">
        <f t="shared" si="365"/>
        <v>0</v>
      </c>
      <c r="V648" s="788">
        <f t="shared" si="366"/>
        <v>0</v>
      </c>
      <c r="W648" s="788">
        <f t="shared" si="367"/>
        <v>1.2406429999999999</v>
      </c>
      <c r="X648" s="23">
        <f>'BUS Deemed Savings Table'!J354</f>
        <v>15</v>
      </c>
      <c r="Y648" s="23"/>
      <c r="Z648" s="23">
        <f t="shared" si="412"/>
        <v>15</v>
      </c>
      <c r="AA648" s="18">
        <f>'BUS Deemed Savings Table'!DG354</f>
        <v>7.3182991924593015</v>
      </c>
      <c r="AB648" s="259">
        <f>'BUS Deemed Savings Table'!K354</f>
        <v>360</v>
      </c>
      <c r="AC648" s="790">
        <f t="shared" si="413"/>
        <v>2634.5877092853484</v>
      </c>
      <c r="AD648" s="790">
        <f t="shared" si="414"/>
        <v>0</v>
      </c>
      <c r="AE648" s="610">
        <f>'BUS Deemed Savings Table'!DI354</f>
        <v>2634.5877092853484</v>
      </c>
      <c r="AF648" s="208"/>
      <c r="AG648" s="208"/>
      <c r="AH648" s="208"/>
      <c r="AI648" s="914" t="str">
        <f>'BUS Deemed Savings Table'!L354</f>
        <v>per Hp</v>
      </c>
      <c r="AJ648" s="71"/>
      <c r="AX648" s="1355" t="str">
        <f t="shared" si="397"/>
        <v>VFD on Chilled Water Pump &gt;= 1HP, per Hp</v>
      </c>
      <c r="AY648" s="1378"/>
      <c r="AZ648" s="1446" t="str">
        <f t="shared" si="398"/>
        <v>803100</v>
      </c>
      <c r="BA648" s="1300" t="s">
        <v>1303</v>
      </c>
      <c r="BB648" s="1300" t="s">
        <v>1303</v>
      </c>
      <c r="BC648" s="1300" t="s">
        <v>1303</v>
      </c>
      <c r="BD648" s="1300" t="s">
        <v>1303</v>
      </c>
      <c r="BE648" s="1305"/>
      <c r="BF648" s="1300" t="s">
        <v>1303</v>
      </c>
      <c r="BG648" s="1300" t="s">
        <v>1303</v>
      </c>
      <c r="BH648" s="1300" t="s">
        <v>1303</v>
      </c>
      <c r="BI648" s="1301" t="s">
        <v>1303</v>
      </c>
      <c r="BJ648" s="1305"/>
      <c r="BK648" s="1300" t="s">
        <v>1303</v>
      </c>
      <c r="BL648" s="1301" t="s">
        <v>1303</v>
      </c>
      <c r="BM648" s="1300" t="s">
        <v>1303</v>
      </c>
      <c r="BN648" s="1301" t="s">
        <v>1303</v>
      </c>
    </row>
    <row r="649" spans="1:66">
      <c r="A649" s="51" t="str">
        <f t="shared" si="411"/>
        <v>803150</v>
      </c>
      <c r="B649" s="1442" t="str">
        <f>'BUS Deemed Savings Table'!C355</f>
        <v>803150_2024_12_</v>
      </c>
      <c r="C649" s="1378" t="str">
        <f>'BUS Deemed Savings Table'!G355</f>
        <v>HVAC BUS</v>
      </c>
      <c r="D649" s="1378"/>
      <c r="E649" s="1378"/>
      <c r="F649" s="1378"/>
      <c r="G649" s="1378" t="str">
        <f>'BUS Deemed Savings Table'!E355</f>
        <v>VFD on Hot Water Pump &gt;= 1HP</v>
      </c>
      <c r="H649" s="19" t="str">
        <f>'BUS Deemed Savings Table'!D355</f>
        <v>Standard</v>
      </c>
      <c r="I649" s="785">
        <f>'BUS Deemed Savings Table'!F355</f>
        <v>1181.01</v>
      </c>
      <c r="J649" s="785"/>
      <c r="K649" s="202"/>
      <c r="L649" s="202"/>
      <c r="M649" s="202"/>
      <c r="N649" s="202"/>
      <c r="O649" s="786">
        <f>'BUS Deemed Savings Table'!I355</f>
        <v>0.52434800000000004</v>
      </c>
      <c r="P649" s="786"/>
      <c r="Q649" s="787"/>
      <c r="R649" s="787"/>
      <c r="S649" s="787"/>
      <c r="T649" s="787"/>
      <c r="U649" s="788">
        <f t="shared" si="365"/>
        <v>0</v>
      </c>
      <c r="V649" s="788">
        <f t="shared" si="366"/>
        <v>0</v>
      </c>
      <c r="W649" s="788">
        <f t="shared" si="367"/>
        <v>0.52434800000000004</v>
      </c>
      <c r="X649" s="23">
        <f>'BUS Deemed Savings Table'!J355</f>
        <v>15</v>
      </c>
      <c r="Y649" s="23"/>
      <c r="Z649" s="23">
        <f t="shared" si="412"/>
        <v>15</v>
      </c>
      <c r="AA649" s="18">
        <f>'BUS Deemed Savings Table'!DG355</f>
        <v>4.0001669388996595</v>
      </c>
      <c r="AB649" s="259">
        <f>'BUS Deemed Savings Table'!K355</f>
        <v>360</v>
      </c>
      <c r="AC649" s="790">
        <f t="shared" si="413"/>
        <v>1440.0600980038776</v>
      </c>
      <c r="AD649" s="790">
        <f t="shared" si="414"/>
        <v>0</v>
      </c>
      <c r="AE649" s="610">
        <f>'BUS Deemed Savings Table'!DI355</f>
        <v>1440.0600980038776</v>
      </c>
      <c r="AF649" s="208"/>
      <c r="AG649" s="208"/>
      <c r="AH649" s="208"/>
      <c r="AI649" s="914" t="str">
        <f>'BUS Deemed Savings Table'!L355</f>
        <v>per Hp</v>
      </c>
      <c r="AJ649" s="71"/>
      <c r="AX649" s="1355" t="str">
        <f t="shared" si="397"/>
        <v>VFD on Hot Water Pump &gt;= 1HP</v>
      </c>
      <c r="AY649" s="1378"/>
      <c r="AZ649" s="1446" t="str">
        <f t="shared" si="398"/>
        <v>803150</v>
      </c>
      <c r="BA649" s="1300" t="s">
        <v>1303</v>
      </c>
      <c r="BB649" s="1300" t="s">
        <v>1303</v>
      </c>
      <c r="BC649" s="1300" t="s">
        <v>1303</v>
      </c>
      <c r="BD649" s="1300" t="s">
        <v>1303</v>
      </c>
      <c r="BE649" s="1305"/>
      <c r="BF649" s="1300" t="s">
        <v>1303</v>
      </c>
      <c r="BG649" s="1300" t="s">
        <v>1303</v>
      </c>
      <c r="BH649" s="1300" t="s">
        <v>1303</v>
      </c>
      <c r="BI649" s="1301" t="s">
        <v>1303</v>
      </c>
      <c r="BJ649" s="1305"/>
      <c r="BK649" s="1300" t="s">
        <v>1303</v>
      </c>
      <c r="BL649" s="1301" t="s">
        <v>1303</v>
      </c>
      <c r="BM649" s="1300" t="s">
        <v>1303</v>
      </c>
      <c r="BN649" s="1301" t="s">
        <v>1303</v>
      </c>
    </row>
    <row r="650" spans="1:66">
      <c r="A650" s="51" t="str">
        <f t="shared" si="411"/>
        <v>803155</v>
      </c>
      <c r="B650" s="1442" t="str">
        <f>'BUS Deemed Savings Table'!C356</f>
        <v>803155_2024_12_</v>
      </c>
      <c r="C650" s="1378" t="str">
        <f>'BUS Deemed Savings Table'!G356</f>
        <v>Cooling BUS</v>
      </c>
      <c r="D650" s="1378"/>
      <c r="E650" s="1378"/>
      <c r="F650" s="1378"/>
      <c r="G650" s="1378" t="str">
        <f>'BUS Deemed Savings Table'!E356</f>
        <v>VFD on Condenser Water Pump &gt;= 1HP</v>
      </c>
      <c r="H650" s="19" t="str">
        <f>'BUS Deemed Savings Table'!D356</f>
        <v>Standard</v>
      </c>
      <c r="I650" s="785">
        <f>'BUS Deemed Savings Table'!F356</f>
        <v>1362.32</v>
      </c>
      <c r="J650" s="785"/>
      <c r="K650" s="202"/>
      <c r="L650" s="202"/>
      <c r="M650" s="202"/>
      <c r="N650" s="202"/>
      <c r="O650" s="786">
        <f>'BUS Deemed Savings Table'!I356</f>
        <v>1.2406429999999999</v>
      </c>
      <c r="P650" s="786"/>
      <c r="Q650" s="787"/>
      <c r="R650" s="787"/>
      <c r="S650" s="787"/>
      <c r="T650" s="787"/>
      <c r="U650" s="788">
        <f t="shared" si="365"/>
        <v>0</v>
      </c>
      <c r="V650" s="788">
        <f t="shared" si="366"/>
        <v>0</v>
      </c>
      <c r="W650" s="788">
        <f t="shared" si="367"/>
        <v>1.2406429999999999</v>
      </c>
      <c r="X650" s="23">
        <f>'BUS Deemed Savings Table'!J356</f>
        <v>15</v>
      </c>
      <c r="Y650" s="23"/>
      <c r="Z650" s="23">
        <f t="shared" si="412"/>
        <v>15</v>
      </c>
      <c r="AA650" s="18">
        <f>'BUS Deemed Savings Table'!DG356</f>
        <v>7.3182991924593015</v>
      </c>
      <c r="AB650" s="259">
        <f>'BUS Deemed Savings Table'!K356</f>
        <v>360</v>
      </c>
      <c r="AC650" s="790">
        <f t="shared" si="413"/>
        <v>2634.5877092853484</v>
      </c>
      <c r="AD650" s="790">
        <f t="shared" si="414"/>
        <v>0</v>
      </c>
      <c r="AE650" s="610">
        <f>'BUS Deemed Savings Table'!DI356</f>
        <v>2634.5877092853484</v>
      </c>
      <c r="AF650" s="208"/>
      <c r="AG650" s="208"/>
      <c r="AH650" s="208"/>
      <c r="AI650" s="914" t="str">
        <f>'BUS Deemed Savings Table'!L356</f>
        <v>per Hp</v>
      </c>
      <c r="AJ650" s="71"/>
      <c r="AX650" s="1355" t="str">
        <f t="shared" si="397"/>
        <v>VFD on Condenser Water Pump &gt;= 1HP</v>
      </c>
      <c r="AY650" s="1378"/>
      <c r="AZ650" s="1446" t="str">
        <f t="shared" si="398"/>
        <v>803155</v>
      </c>
      <c r="BA650" s="1300" t="s">
        <v>1303</v>
      </c>
      <c r="BB650" s="1300" t="s">
        <v>1303</v>
      </c>
      <c r="BC650" s="1300" t="s">
        <v>1303</v>
      </c>
      <c r="BD650" s="1300" t="s">
        <v>1303</v>
      </c>
      <c r="BE650" s="1305"/>
      <c r="BF650" s="1300" t="s">
        <v>1303</v>
      </c>
      <c r="BG650" s="1300" t="s">
        <v>1303</v>
      </c>
      <c r="BH650" s="1300" t="s">
        <v>1303</v>
      </c>
      <c r="BI650" s="1301" t="s">
        <v>1303</v>
      </c>
      <c r="BJ650" s="1305"/>
      <c r="BK650" s="1300" t="s">
        <v>1303</v>
      </c>
      <c r="BL650" s="1301" t="s">
        <v>1303</v>
      </c>
      <c r="BM650" s="1300" t="s">
        <v>1303</v>
      </c>
      <c r="BN650" s="1301" t="s">
        <v>1303</v>
      </c>
    </row>
    <row r="651" spans="1:66">
      <c r="A651" s="51" t="str">
        <f t="shared" si="411"/>
        <v>803160</v>
      </c>
      <c r="B651" s="1442" t="str">
        <f>'BUS Deemed Savings Table'!C357</f>
        <v>803160_2024_12_</v>
      </c>
      <c r="C651" s="1378" t="str">
        <f>'BUS Deemed Savings Table'!G357</f>
        <v>HVAC BUS</v>
      </c>
      <c r="D651" s="1378"/>
      <c r="E651" s="1378"/>
      <c r="F651" s="1378"/>
      <c r="G651" s="1378" t="str">
        <f>'BUS Deemed Savings Table'!E357</f>
        <v>VFD on Cooling Tower Fan &gt;= 1HP</v>
      </c>
      <c r="H651" s="19" t="str">
        <f>'BUS Deemed Savings Table'!D357</f>
        <v>Standard</v>
      </c>
      <c r="I651" s="785">
        <f>'BUS Deemed Savings Table'!F357</f>
        <v>1910.3</v>
      </c>
      <c r="J651" s="785"/>
      <c r="K651" s="202"/>
      <c r="L651" s="202"/>
      <c r="M651" s="202"/>
      <c r="N651" s="202"/>
      <c r="O651" s="786">
        <f>'BUS Deemed Savings Table'!I357</f>
        <v>0.84814100000000003</v>
      </c>
      <c r="P651" s="786"/>
      <c r="Q651" s="787"/>
      <c r="R651" s="787"/>
      <c r="S651" s="787"/>
      <c r="T651" s="787"/>
      <c r="U651" s="788">
        <f t="shared" si="365"/>
        <v>0</v>
      </c>
      <c r="V651" s="788">
        <f t="shared" si="366"/>
        <v>0</v>
      </c>
      <c r="W651" s="788">
        <f t="shared" si="367"/>
        <v>0.84814100000000003</v>
      </c>
      <c r="X651" s="23">
        <f>'BUS Deemed Savings Table'!J357</f>
        <v>15</v>
      </c>
      <c r="Y651" s="23"/>
      <c r="Z651" s="23">
        <f t="shared" si="412"/>
        <v>15</v>
      </c>
      <c r="AA651" s="18">
        <f>'BUS Deemed Savings Table'!DG357</f>
        <v>6.4703253176349218</v>
      </c>
      <c r="AB651" s="259">
        <f>'BUS Deemed Savings Table'!K357</f>
        <v>360</v>
      </c>
      <c r="AC651" s="790">
        <f t="shared" si="413"/>
        <v>2329.317114348572</v>
      </c>
      <c r="AD651" s="790">
        <f t="shared" si="414"/>
        <v>0</v>
      </c>
      <c r="AE651" s="610">
        <f>'BUS Deemed Savings Table'!DI357</f>
        <v>2329.317114348572</v>
      </c>
      <c r="AF651" s="208"/>
      <c r="AG651" s="208"/>
      <c r="AH651" s="208"/>
      <c r="AI651" s="914" t="str">
        <f>'BUS Deemed Savings Table'!L357</f>
        <v>per Hp</v>
      </c>
      <c r="AJ651" s="71"/>
      <c r="AX651" s="1355" t="str">
        <f t="shared" si="397"/>
        <v>VFD on Cooling Tower Fan &gt;= 1HP</v>
      </c>
      <c r="AY651" s="1378"/>
      <c r="AZ651" s="1446" t="str">
        <f t="shared" si="398"/>
        <v>803160</v>
      </c>
      <c r="BA651" s="1300" t="s">
        <v>1303</v>
      </c>
      <c r="BB651" s="1300" t="s">
        <v>1303</v>
      </c>
      <c r="BC651" s="1300" t="s">
        <v>1303</v>
      </c>
      <c r="BD651" s="1300" t="s">
        <v>1303</v>
      </c>
      <c r="BE651" s="1305"/>
      <c r="BF651" s="1300" t="s">
        <v>1303</v>
      </c>
      <c r="BG651" s="1300" t="s">
        <v>1303</v>
      </c>
      <c r="BH651" s="1300" t="s">
        <v>1303</v>
      </c>
      <c r="BI651" s="1301" t="s">
        <v>1303</v>
      </c>
      <c r="BJ651" s="1305"/>
      <c r="BK651" s="1300" t="s">
        <v>1303</v>
      </c>
      <c r="BL651" s="1301" t="s">
        <v>1303</v>
      </c>
      <c r="BM651" s="1300" t="s">
        <v>1303</v>
      </c>
      <c r="BN651" s="1301" t="s">
        <v>1303</v>
      </c>
    </row>
    <row r="652" spans="1:66">
      <c r="A652" s="51" t="str">
        <f t="shared" si="411"/>
        <v>803200</v>
      </c>
      <c r="B652" s="1442" t="str">
        <f>'BUS Deemed Savings Table'!C374</f>
        <v>803200_2024_12_</v>
      </c>
      <c r="C652" s="1378" t="str">
        <f>'BUS Deemed Savings Table'!G374</f>
        <v>HVAC BUS</v>
      </c>
      <c r="D652" s="1378"/>
      <c r="E652" s="1378"/>
      <c r="F652" s="1378"/>
      <c r="G652" s="1378" t="str">
        <f>'BUS Deemed Savings Table'!E374</f>
        <v xml:space="preserve"> VFD on HVAC Fans &gt;= 1HP </v>
      </c>
      <c r="H652" s="19" t="str">
        <f>'BUS Deemed Savings Table'!D374</f>
        <v>BSS/Standard</v>
      </c>
      <c r="I652" s="785">
        <f>'BUS Deemed Savings Table'!F374</f>
        <v>939.75</v>
      </c>
      <c r="J652" s="785"/>
      <c r="K652" s="202"/>
      <c r="L652" s="202"/>
      <c r="M652" s="202"/>
      <c r="N652" s="202"/>
      <c r="O652" s="786">
        <f>'BUS Deemed Savings Table'!I374</f>
        <v>0.41723300000000002</v>
      </c>
      <c r="P652" s="786"/>
      <c r="Q652" s="787"/>
      <c r="R652" s="787"/>
      <c r="S652" s="787"/>
      <c r="T652" s="787"/>
      <c r="U652" s="788">
        <f t="shared" ref="U652:U689" si="433">IFERROR(IF(V652+W652&gt;0,0,IF(Z652&gt;0,O652,0)),0)</f>
        <v>0</v>
      </c>
      <c r="V652" s="788">
        <f t="shared" ref="V652:V689" si="434">IF(W652&gt;0,0,IF(Z652&gt;9,O652,0))</f>
        <v>0</v>
      </c>
      <c r="W652" s="788">
        <f t="shared" ref="W652:W689" si="435">IF(Z652&gt;14,O652,0)</f>
        <v>0.41723300000000002</v>
      </c>
      <c r="X652" s="23">
        <f>'BUS Deemed Savings Table'!J374</f>
        <v>15</v>
      </c>
      <c r="Y652" s="23"/>
      <c r="Z652" s="23">
        <f t="shared" si="412"/>
        <v>15</v>
      </c>
      <c r="AA652" s="18">
        <f>'BUS Deemed Savings Table'!DG374</f>
        <v>3.1830017365060037</v>
      </c>
      <c r="AB652" s="259">
        <f>'BUS Deemed Savings Table'!K374</f>
        <v>360</v>
      </c>
      <c r="AC652" s="790">
        <f t="shared" si="413"/>
        <v>1145.8806251421613</v>
      </c>
      <c r="AD652" s="790">
        <f t="shared" si="414"/>
        <v>0</v>
      </c>
      <c r="AE652" s="610">
        <f>'BUS Deemed Savings Table'!DI374</f>
        <v>1145.8806251421613</v>
      </c>
      <c r="AF652" s="208"/>
      <c r="AG652" s="208"/>
      <c r="AH652" s="208"/>
      <c r="AI652" s="914" t="str">
        <f>'BUS Deemed Savings Table'!L374</f>
        <v>per Hp</v>
      </c>
      <c r="AJ652" s="71"/>
      <c r="AX652" s="1355" t="str">
        <f t="shared" si="397"/>
        <v xml:space="preserve"> VFD on HVAC Fans &gt;= 1HP </v>
      </c>
      <c r="AY652" s="1378"/>
      <c r="AZ652" s="1446" t="str">
        <f t="shared" si="398"/>
        <v>803200</v>
      </c>
      <c r="BA652" s="1300" t="s">
        <v>1303</v>
      </c>
      <c r="BB652" s="1300" t="s">
        <v>1303</v>
      </c>
      <c r="BC652" s="1300" t="s">
        <v>1303</v>
      </c>
      <c r="BD652" s="1300" t="s">
        <v>1303</v>
      </c>
      <c r="BE652" s="1305"/>
      <c r="BF652" s="1300" t="s">
        <v>1303</v>
      </c>
      <c r="BG652" s="1300" t="s">
        <v>1303</v>
      </c>
      <c r="BH652" s="1300" t="s">
        <v>1303</v>
      </c>
      <c r="BI652" s="1301" t="s">
        <v>1303</v>
      </c>
      <c r="BJ652" s="1305"/>
      <c r="BK652" s="1300" t="s">
        <v>1303</v>
      </c>
      <c r="BL652" s="1301" t="s">
        <v>1303</v>
      </c>
      <c r="BM652" s="1300" t="s">
        <v>1303</v>
      </c>
      <c r="BN652" s="1301" t="s">
        <v>1303</v>
      </c>
    </row>
    <row r="653" spans="1:66">
      <c r="A653" s="51" t="str">
        <f t="shared" si="411"/>
        <v>803250</v>
      </c>
      <c r="B653" s="1442" t="str">
        <f>'BUS Deemed Savings Table'!C404</f>
        <v>803250_2024_12_</v>
      </c>
      <c r="C653" s="1378" t="str">
        <f>'BUS Deemed Savings Table'!G404</f>
        <v>Cooling BUS</v>
      </c>
      <c r="D653" s="1378"/>
      <c r="E653" s="1378"/>
      <c r="F653" s="1378"/>
      <c r="G653" s="1378" t="str">
        <f>'BUS Deemed Savings Table'!E404</f>
        <v>Single Package or Split Sytem Unitary AC_DX 135 - 240kbtu</v>
      </c>
      <c r="H653" s="19" t="str">
        <f>'BUS Deemed Savings Table'!D404</f>
        <v>BSS/Standard</v>
      </c>
      <c r="I653" s="785">
        <f t="shared" ref="I653:I667" si="436">K653+L653</f>
        <v>117.73</v>
      </c>
      <c r="J653" s="785">
        <f t="shared" ref="J653:J667" si="437">S653+T653</f>
        <v>0</v>
      </c>
      <c r="K653" s="202">
        <f>'BUS Deemed Savings Table'!F404</f>
        <v>117.73</v>
      </c>
      <c r="L653" s="202"/>
      <c r="M653" s="202"/>
      <c r="N653" s="202"/>
      <c r="O653" s="786">
        <f t="shared" ref="O653:O667" si="438">Q653+R653</f>
        <v>0.107215</v>
      </c>
      <c r="P653" s="786">
        <f t="shared" ref="P653:P667" si="439">S653+T653</f>
        <v>0</v>
      </c>
      <c r="Q653" s="786">
        <f>'BUS Deemed Savings Table'!I404</f>
        <v>0.107215</v>
      </c>
      <c r="R653" s="787">
        <v>0</v>
      </c>
      <c r="S653" s="787"/>
      <c r="T653" s="787"/>
      <c r="U653" s="788">
        <f t="shared" si="433"/>
        <v>0</v>
      </c>
      <c r="V653" s="788">
        <f t="shared" si="434"/>
        <v>0</v>
      </c>
      <c r="W653" s="788">
        <f t="shared" si="435"/>
        <v>0.107215</v>
      </c>
      <c r="X653" s="23">
        <f>'BUS Deemed Savings Table'!J404</f>
        <v>15</v>
      </c>
      <c r="Y653" s="23"/>
      <c r="Z653" s="23">
        <f t="shared" si="412"/>
        <v>15</v>
      </c>
      <c r="AA653" s="18">
        <f>'BUS Deemed Savings Table'!DG404</f>
        <v>1.0424807373623386</v>
      </c>
      <c r="AB653" s="259">
        <f>'BUS Deemed Savings Table'!K404</f>
        <v>218.40000000000015</v>
      </c>
      <c r="AC653" s="790">
        <f t="shared" si="413"/>
        <v>227.6777930399349</v>
      </c>
      <c r="AD653" s="790">
        <f t="shared" si="414"/>
        <v>0</v>
      </c>
      <c r="AE653" s="610">
        <f>'BUS Deemed Savings Table'!DI404</f>
        <v>227.6777930399349</v>
      </c>
      <c r="AF653" s="208"/>
      <c r="AG653" s="208"/>
      <c r="AH653" s="208"/>
      <c r="AI653" s="914" t="str">
        <f>'BUS Deemed Savings Table'!L404</f>
        <v>per ton</v>
      </c>
      <c r="AJ653" s="71"/>
      <c r="AX653" s="1355" t="str">
        <f t="shared" si="397"/>
        <v>Single Package or Split Sytem Unitary AC_DX 135 - 240kbtu</v>
      </c>
      <c r="AY653" s="1378"/>
      <c r="AZ653" s="1446" t="str">
        <f t="shared" si="398"/>
        <v>803250</v>
      </c>
      <c r="BA653" s="1300" t="s">
        <v>1303</v>
      </c>
      <c r="BB653" s="1300" t="s">
        <v>1303</v>
      </c>
      <c r="BC653" s="1300" t="s">
        <v>1303</v>
      </c>
      <c r="BD653" s="1300" t="s">
        <v>1303</v>
      </c>
      <c r="BE653" s="1305"/>
      <c r="BF653" s="1300" t="s">
        <v>1303</v>
      </c>
      <c r="BG653" s="1300" t="s">
        <v>1303</v>
      </c>
      <c r="BH653" s="1300" t="s">
        <v>1303</v>
      </c>
      <c r="BI653" s="1301" t="s">
        <v>1303</v>
      </c>
      <c r="BJ653" s="1305"/>
      <c r="BK653" s="1300" t="s">
        <v>1303</v>
      </c>
      <c r="BL653" s="1301" t="s">
        <v>1303</v>
      </c>
      <c r="BM653" s="1300" t="s">
        <v>1303</v>
      </c>
      <c r="BN653" s="1301" t="s">
        <v>1303</v>
      </c>
    </row>
    <row r="654" spans="1:66">
      <c r="A654" s="51" t="str">
        <f t="shared" si="411"/>
        <v>803300</v>
      </c>
      <c r="B654" s="1442" t="str">
        <f>'BUS Deemed Savings Table'!C405</f>
        <v>803300_2024_12_</v>
      </c>
      <c r="C654" s="1378" t="str">
        <f>'BUS Deemed Savings Table'!G405</f>
        <v>Cooling BUS</v>
      </c>
      <c r="D654" s="1378"/>
      <c r="E654" s="1378"/>
      <c r="F654" s="1378"/>
      <c r="G654" s="1378" t="str">
        <f>'BUS Deemed Savings Table'!E405</f>
        <v>Single Package or Split Sytem Unitary AC_DX 240 - 760kBTUh</v>
      </c>
      <c r="H654" s="19" t="str">
        <f>'BUS Deemed Savings Table'!D405</f>
        <v>BSS/Standard</v>
      </c>
      <c r="I654" s="785">
        <f t="shared" si="436"/>
        <v>179.28</v>
      </c>
      <c r="J654" s="785">
        <f t="shared" si="437"/>
        <v>0</v>
      </c>
      <c r="K654" s="202">
        <f>'BUS Deemed Savings Table'!F405</f>
        <v>179.28</v>
      </c>
      <c r="L654" s="202"/>
      <c r="M654" s="202"/>
      <c r="N654" s="202"/>
      <c r="O654" s="786">
        <f t="shared" si="438"/>
        <v>0.163267</v>
      </c>
      <c r="P654" s="786">
        <f t="shared" si="439"/>
        <v>0</v>
      </c>
      <c r="Q654" s="786">
        <f>'BUS Deemed Savings Table'!I405</f>
        <v>0.163267</v>
      </c>
      <c r="R654" s="787">
        <v>0</v>
      </c>
      <c r="S654" s="787"/>
      <c r="T654" s="787"/>
      <c r="U654" s="788">
        <f t="shared" si="433"/>
        <v>0</v>
      </c>
      <c r="V654" s="788">
        <f t="shared" si="434"/>
        <v>0</v>
      </c>
      <c r="W654" s="788">
        <f t="shared" si="435"/>
        <v>0.163267</v>
      </c>
      <c r="X654" s="23">
        <f>'BUS Deemed Savings Table'!J405</f>
        <v>15</v>
      </c>
      <c r="Y654" s="23"/>
      <c r="Z654" s="23">
        <f t="shared" si="412"/>
        <v>15</v>
      </c>
      <c r="AA654" s="18">
        <f>'BUS Deemed Savings Table'!DG405</f>
        <v>1.1339259722265245</v>
      </c>
      <c r="AB654" s="259">
        <f>'BUS Deemed Savings Table'!K405</f>
        <v>305.75999999999993</v>
      </c>
      <c r="AC654" s="790">
        <f t="shared" si="413"/>
        <v>346.70920526798204</v>
      </c>
      <c r="AD654" s="790">
        <f t="shared" si="414"/>
        <v>0</v>
      </c>
      <c r="AE654" s="610">
        <f>'BUS Deemed Savings Table'!DI405</f>
        <v>346.70920526798204</v>
      </c>
      <c r="AF654" s="208"/>
      <c r="AG654" s="208"/>
      <c r="AH654" s="208"/>
      <c r="AI654" s="914" t="str">
        <f>'BUS Deemed Savings Table'!L405</f>
        <v>per ton</v>
      </c>
      <c r="AJ654" s="71"/>
      <c r="AX654" s="1355" t="str">
        <f t="shared" si="397"/>
        <v>Single Package or Split Sytem Unitary AC_DX 240 - 760kBTUh</v>
      </c>
      <c r="AY654" s="1378"/>
      <c r="AZ654" s="1446" t="str">
        <f t="shared" si="398"/>
        <v>803300</v>
      </c>
      <c r="BA654" s="1300" t="s">
        <v>1303</v>
      </c>
      <c r="BB654" s="1300" t="s">
        <v>1303</v>
      </c>
      <c r="BC654" s="1300" t="s">
        <v>1303</v>
      </c>
      <c r="BD654" s="1300" t="s">
        <v>1303</v>
      </c>
      <c r="BE654" s="1305"/>
      <c r="BF654" s="1300" t="s">
        <v>1303</v>
      </c>
      <c r="BG654" s="1300" t="s">
        <v>1303</v>
      </c>
      <c r="BH654" s="1300" t="s">
        <v>1303</v>
      </c>
      <c r="BI654" s="1301" t="s">
        <v>1303</v>
      </c>
      <c r="BJ654" s="1305"/>
      <c r="BK654" s="1300" t="s">
        <v>1303</v>
      </c>
      <c r="BL654" s="1301" t="s">
        <v>1303</v>
      </c>
      <c r="BM654" s="1300" t="s">
        <v>1303</v>
      </c>
      <c r="BN654" s="1301" t="s">
        <v>1303</v>
      </c>
    </row>
    <row r="655" spans="1:66">
      <c r="A655" s="51" t="str">
        <f t="shared" si="411"/>
        <v>803350</v>
      </c>
      <c r="B655" s="1442" t="str">
        <f>'BUS Deemed Savings Table'!C406</f>
        <v>803350_2024_12_</v>
      </c>
      <c r="C655" s="1378" t="str">
        <f>'BUS Deemed Savings Table'!G406</f>
        <v>Cooling BUS</v>
      </c>
      <c r="D655" s="1378"/>
      <c r="E655" s="1378"/>
      <c r="F655" s="1378"/>
      <c r="G655" s="1378" t="str">
        <f>'BUS Deemed Savings Table'!E406</f>
        <v>Single Package or Split Sytem Unitary AC_DX 65 -135kBTUh</v>
      </c>
      <c r="H655" s="19" t="str">
        <f>'BUS Deemed Savings Table'!D406</f>
        <v>BSS/Standard</v>
      </c>
      <c r="I655" s="785">
        <f t="shared" si="436"/>
        <v>102.44</v>
      </c>
      <c r="J655" s="785">
        <f t="shared" si="437"/>
        <v>0</v>
      </c>
      <c r="K655" s="202">
        <f>'BUS Deemed Savings Table'!F406</f>
        <v>102.44</v>
      </c>
      <c r="L655" s="202"/>
      <c r="M655" s="202"/>
      <c r="N655" s="202"/>
      <c r="O655" s="786">
        <f t="shared" si="438"/>
        <v>9.3289999999999998E-2</v>
      </c>
      <c r="P655" s="786">
        <f t="shared" si="439"/>
        <v>0</v>
      </c>
      <c r="Q655" s="786">
        <f>'BUS Deemed Savings Table'!I406</f>
        <v>9.3289999999999998E-2</v>
      </c>
      <c r="R655" s="787">
        <v>0</v>
      </c>
      <c r="S655" s="787"/>
      <c r="T655" s="787"/>
      <c r="U655" s="788">
        <f t="shared" si="433"/>
        <v>0</v>
      </c>
      <c r="V655" s="788">
        <f t="shared" si="434"/>
        <v>0</v>
      </c>
      <c r="W655" s="788">
        <f t="shared" si="435"/>
        <v>9.3289999999999998E-2</v>
      </c>
      <c r="X655" s="23">
        <f>'BUS Deemed Savings Table'!J406</f>
        <v>15</v>
      </c>
      <c r="Y655" s="23"/>
      <c r="Z655" s="23">
        <f t="shared" si="412"/>
        <v>15</v>
      </c>
      <c r="AA655" s="18">
        <f>'BUS Deemed Savings Table'!DG406</f>
        <v>0.97188233429455484</v>
      </c>
      <c r="AB655" s="259">
        <f>'BUS Deemed Savings Table'!K406</f>
        <v>203.83999999999992</v>
      </c>
      <c r="AC655" s="790">
        <f t="shared" si="413"/>
        <v>198.10849502260197</v>
      </c>
      <c r="AD655" s="790">
        <f t="shared" si="414"/>
        <v>0</v>
      </c>
      <c r="AE655" s="610">
        <f>'BUS Deemed Savings Table'!DI406</f>
        <v>198.10849502260197</v>
      </c>
      <c r="AF655" s="208"/>
      <c r="AG655" s="208"/>
      <c r="AH655" s="208"/>
      <c r="AI655" s="914" t="str">
        <f>'BUS Deemed Savings Table'!L406</f>
        <v>per ton</v>
      </c>
      <c r="AJ655" s="71"/>
      <c r="AX655" s="1355" t="str">
        <f t="shared" si="397"/>
        <v>Single Package or Split Sytem Unitary AC_DX 65 -135kBTUh</v>
      </c>
      <c r="AY655" s="1378"/>
      <c r="AZ655" s="1446" t="str">
        <f t="shared" si="398"/>
        <v>803350</v>
      </c>
      <c r="BA655" s="1300" t="s">
        <v>1303</v>
      </c>
      <c r="BB655" s="1300" t="s">
        <v>1303</v>
      </c>
      <c r="BC655" s="1300" t="s">
        <v>1303</v>
      </c>
      <c r="BD655" s="1300" t="s">
        <v>1303</v>
      </c>
      <c r="BE655" s="1305"/>
      <c r="BF655" s="1300" t="s">
        <v>1303</v>
      </c>
      <c r="BG655" s="1300" t="s">
        <v>1303</v>
      </c>
      <c r="BH655" s="1300" t="s">
        <v>1303</v>
      </c>
      <c r="BI655" s="1301" t="s">
        <v>1303</v>
      </c>
      <c r="BJ655" s="1305"/>
      <c r="BK655" s="1300" t="s">
        <v>1303</v>
      </c>
      <c r="BL655" s="1301" t="s">
        <v>1303</v>
      </c>
      <c r="BM655" s="1300" t="s">
        <v>1303</v>
      </c>
      <c r="BN655" s="1301" t="s">
        <v>1303</v>
      </c>
    </row>
    <row r="656" spans="1:66">
      <c r="A656" s="51" t="str">
        <f t="shared" si="411"/>
        <v>803400</v>
      </c>
      <c r="B656" s="1442" t="str">
        <f>'BUS Deemed Savings Table'!C407</f>
        <v>803400_2024_12_</v>
      </c>
      <c r="C656" s="1378" t="str">
        <f>'BUS Deemed Savings Table'!G407</f>
        <v>Cooling BUS</v>
      </c>
      <c r="D656" s="1378"/>
      <c r="E656" s="1378"/>
      <c r="F656" s="1378"/>
      <c r="G656" s="1378" t="str">
        <f>'BUS Deemed Savings Table'!E407</f>
        <v>Single Package or Split Sytem Unitary AC_DX &gt;760kBTUh</v>
      </c>
      <c r="H656" s="19" t="str">
        <f>'BUS Deemed Savings Table'!D407</f>
        <v>BSS/Standard</v>
      </c>
      <c r="I656" s="785">
        <f t="shared" si="436"/>
        <v>10.35</v>
      </c>
      <c r="J656" s="785">
        <f t="shared" si="437"/>
        <v>0</v>
      </c>
      <c r="K656" s="202">
        <f>'BUS Deemed Savings Table'!F407</f>
        <v>10.35</v>
      </c>
      <c r="L656" s="202"/>
      <c r="M656" s="202"/>
      <c r="N656" s="202"/>
      <c r="O656" s="786">
        <f t="shared" si="438"/>
        <v>9.4260000000000004E-3</v>
      </c>
      <c r="P656" s="786">
        <f t="shared" si="439"/>
        <v>0</v>
      </c>
      <c r="Q656" s="786">
        <f>'BUS Deemed Savings Table'!I407</f>
        <v>9.4260000000000004E-3</v>
      </c>
      <c r="R656" s="787">
        <v>0</v>
      </c>
      <c r="S656" s="787"/>
      <c r="T656" s="787"/>
      <c r="U656" s="788">
        <f t="shared" si="433"/>
        <v>0</v>
      </c>
      <c r="V656" s="788">
        <f t="shared" si="434"/>
        <v>0</v>
      </c>
      <c r="W656" s="788">
        <f t="shared" si="435"/>
        <v>9.4260000000000004E-3</v>
      </c>
      <c r="X656" s="23">
        <f>'BUS Deemed Savings Table'!J407</f>
        <v>15</v>
      </c>
      <c r="Y656" s="23"/>
      <c r="Z656" s="23">
        <f t="shared" si="412"/>
        <v>15</v>
      </c>
      <c r="AA656" s="18">
        <f>'BUS Deemed Savings Table'!DG407</f>
        <v>1.9246002570772549</v>
      </c>
      <c r="AB656" s="259">
        <f>'BUS Deemed Savings Table'!K407</f>
        <v>10.399999999999963</v>
      </c>
      <c r="AC656" s="790">
        <f t="shared" si="413"/>
        <v>20.01584267360338</v>
      </c>
      <c r="AD656" s="790">
        <f t="shared" si="414"/>
        <v>0</v>
      </c>
      <c r="AE656" s="610">
        <f>'BUS Deemed Savings Table'!DI407</f>
        <v>20.01584267360338</v>
      </c>
      <c r="AF656" s="208"/>
      <c r="AG656" s="208"/>
      <c r="AH656" s="208"/>
      <c r="AI656" s="914" t="str">
        <f>'BUS Deemed Savings Table'!L407</f>
        <v>per ton</v>
      </c>
      <c r="AJ656" s="71"/>
      <c r="AX656" s="1355" t="str">
        <f t="shared" si="397"/>
        <v>Single Package or Split Sytem Unitary AC_DX &gt;760kBTUh</v>
      </c>
      <c r="AY656" s="1378"/>
      <c r="AZ656" s="1446" t="str">
        <f t="shared" si="398"/>
        <v>803400</v>
      </c>
      <c r="BA656" s="1300" t="s">
        <v>1303</v>
      </c>
      <c r="BB656" s="1300" t="s">
        <v>1303</v>
      </c>
      <c r="BC656" s="1300" t="s">
        <v>1303</v>
      </c>
      <c r="BD656" s="1300" t="s">
        <v>1303</v>
      </c>
      <c r="BE656" s="1305"/>
      <c r="BF656" s="1300" t="s">
        <v>1303</v>
      </c>
      <c r="BG656" s="1300" t="s">
        <v>1303</v>
      </c>
      <c r="BH656" s="1300" t="s">
        <v>1303</v>
      </c>
      <c r="BI656" s="1301" t="s">
        <v>1303</v>
      </c>
      <c r="BJ656" s="1305"/>
      <c r="BK656" s="1300" t="s">
        <v>1303</v>
      </c>
      <c r="BL656" s="1301" t="s">
        <v>1303</v>
      </c>
      <c r="BM656" s="1300" t="s">
        <v>1303</v>
      </c>
      <c r="BN656" s="1301" t="s">
        <v>1303</v>
      </c>
    </row>
    <row r="657" spans="1:66">
      <c r="A657" s="51" t="str">
        <f t="shared" si="411"/>
        <v>803450</v>
      </c>
      <c r="B657" s="1442" t="str">
        <f>'BUS Deemed Savings Table'!C408</f>
        <v>803450_2024_12_</v>
      </c>
      <c r="C657" s="1378" t="str">
        <f>'BUS Deemed Savings Table'!G408</f>
        <v>Cooling BUS</v>
      </c>
      <c r="D657" s="1378"/>
      <c r="E657" s="1378"/>
      <c r="F657" s="1378"/>
      <c r="G657" s="1378" t="str">
        <f>'BUS Deemed Savings Table'!E408</f>
        <v>Single Package or Split Sytem Unitary AC_DX &lt;65kBTUh</v>
      </c>
      <c r="H657" s="19" t="str">
        <f>'BUS Deemed Savings Table'!D408</f>
        <v>BSS/Standard</v>
      </c>
      <c r="I657" s="785">
        <f t="shared" si="436"/>
        <v>149.76</v>
      </c>
      <c r="J657" s="785">
        <f t="shared" si="437"/>
        <v>0</v>
      </c>
      <c r="K657" s="202">
        <f>'BUS Deemed Savings Table'!F408</f>
        <v>149.76</v>
      </c>
      <c r="L657" s="202"/>
      <c r="M657" s="202"/>
      <c r="N657" s="202"/>
      <c r="O657" s="786">
        <f t="shared" si="438"/>
        <v>0.13638400000000001</v>
      </c>
      <c r="P657" s="786">
        <f t="shared" si="439"/>
        <v>0</v>
      </c>
      <c r="Q657" s="786">
        <f>'BUS Deemed Savings Table'!I408</f>
        <v>0.13638400000000001</v>
      </c>
      <c r="R657" s="787">
        <v>0</v>
      </c>
      <c r="S657" s="787"/>
      <c r="T657" s="787"/>
      <c r="U657" s="788">
        <f t="shared" si="433"/>
        <v>0</v>
      </c>
      <c r="V657" s="788">
        <f t="shared" si="434"/>
        <v>0</v>
      </c>
      <c r="W657" s="788">
        <f t="shared" si="435"/>
        <v>0.13638400000000001</v>
      </c>
      <c r="X657" s="23">
        <f>'BUS Deemed Savings Table'!J408</f>
        <v>15</v>
      </c>
      <c r="Y657" s="23"/>
      <c r="Z657" s="23">
        <f t="shared" si="412"/>
        <v>15</v>
      </c>
      <c r="AA657" s="18">
        <f>'BUS Deemed Savings Table'!DG408</f>
        <v>1.1007165587821073</v>
      </c>
      <c r="AB657" s="259">
        <f>'BUS Deemed Savings Table'!K408</f>
        <v>263.11999999999995</v>
      </c>
      <c r="AC657" s="790">
        <f t="shared" si="413"/>
        <v>289.62054094674801</v>
      </c>
      <c r="AD657" s="790">
        <f t="shared" si="414"/>
        <v>0</v>
      </c>
      <c r="AE657" s="610">
        <f>'BUS Deemed Savings Table'!DI408</f>
        <v>289.62054094674801</v>
      </c>
      <c r="AF657" s="208"/>
      <c r="AG657" s="208"/>
      <c r="AH657" s="208"/>
      <c r="AI657" s="914" t="str">
        <f>'BUS Deemed Savings Table'!L408</f>
        <v>per ton</v>
      </c>
      <c r="AJ657" s="71"/>
      <c r="AX657" s="1355" t="str">
        <f t="shared" si="397"/>
        <v>Single Package or Split Sytem Unitary AC_DX &lt;65kBTUh</v>
      </c>
      <c r="AY657" s="1378"/>
      <c r="AZ657" s="1446" t="str">
        <f t="shared" si="398"/>
        <v>803450</v>
      </c>
      <c r="BA657" s="1300" t="s">
        <v>1303</v>
      </c>
      <c r="BB657" s="1300" t="s">
        <v>1303</v>
      </c>
      <c r="BC657" s="1300" t="s">
        <v>1303</v>
      </c>
      <c r="BD657" s="1300" t="s">
        <v>1303</v>
      </c>
      <c r="BE657" s="1305"/>
      <c r="BF657" s="1300" t="s">
        <v>1303</v>
      </c>
      <c r="BG657" s="1300" t="s">
        <v>1303</v>
      </c>
      <c r="BH657" s="1300" t="s">
        <v>1303</v>
      </c>
      <c r="BI657" s="1301" t="s">
        <v>1303</v>
      </c>
      <c r="BJ657" s="1305"/>
      <c r="BK657" s="1300" t="s">
        <v>1303</v>
      </c>
      <c r="BL657" s="1301" t="s">
        <v>1303</v>
      </c>
      <c r="BM657" s="1300" t="s">
        <v>1303</v>
      </c>
      <c r="BN657" s="1301" t="s">
        <v>1303</v>
      </c>
    </row>
    <row r="658" spans="1:66">
      <c r="A658" s="3962" t="str">
        <f t="shared" si="411"/>
        <v>803500</v>
      </c>
      <c r="B658" s="3963" t="str">
        <f>'BUS Deemed Savings Table'!C426</f>
        <v>803500_2024_12_</v>
      </c>
      <c r="C658" s="3963" t="str">
        <f>'BUS Deemed Savings Table'!I426</f>
        <v>Cooling BUS</v>
      </c>
      <c r="D658" s="3963" t="str">
        <f>'BUS Deemed Savings Table'!J426</f>
        <v>Heating BUS</v>
      </c>
      <c r="E658" s="3963"/>
      <c r="F658" s="3963"/>
      <c r="G658" s="3963" t="str">
        <f>'BUS Deemed Savings Table'!E426</f>
        <v xml:space="preserve">GSHP  </v>
      </c>
      <c r="H658" s="19" t="str">
        <f>'BUS Deemed Savings Table'!D426</f>
        <v>Standard</v>
      </c>
      <c r="I658" s="785">
        <f t="shared" si="436"/>
        <v>526.24</v>
      </c>
      <c r="J658" s="785">
        <f t="shared" si="437"/>
        <v>0</v>
      </c>
      <c r="K658" s="202">
        <f>'BUS Deemed Savings Table'!G426</f>
        <v>430.9</v>
      </c>
      <c r="L658" s="202">
        <f>'BUS Deemed Savings Table'!H426</f>
        <v>95.34</v>
      </c>
      <c r="M658" s="202"/>
      <c r="N658" s="202"/>
      <c r="O658" s="786">
        <f t="shared" si="438"/>
        <v>0.39241399999999999</v>
      </c>
      <c r="P658" s="786">
        <f t="shared" si="439"/>
        <v>0</v>
      </c>
      <c r="Q658" s="787">
        <f>'BUS Deemed Savings Table'!L426</f>
        <v>0.39241399999999999</v>
      </c>
      <c r="R658" s="787">
        <v>0</v>
      </c>
      <c r="S658" s="787"/>
      <c r="T658" s="787"/>
      <c r="U658" s="788">
        <f t="shared" si="433"/>
        <v>0</v>
      </c>
      <c r="V658" s="788">
        <f t="shared" si="434"/>
        <v>0</v>
      </c>
      <c r="W658" s="788">
        <f t="shared" si="435"/>
        <v>0.39241399999999999</v>
      </c>
      <c r="X658" s="23">
        <f>'BUS Deemed Savings Table'!M426</f>
        <v>15</v>
      </c>
      <c r="Y658" s="23"/>
      <c r="Z658" s="23">
        <f t="shared" si="412"/>
        <v>15</v>
      </c>
      <c r="AA658" s="18">
        <f>'BUS Deemed Savings Table'!DG426</f>
        <v>2.1226929220263142</v>
      </c>
      <c r="AB658" s="259">
        <f>'BUS Deemed Savings Table'!N426</f>
        <v>416</v>
      </c>
      <c r="AC658" s="790">
        <f t="shared" si="413"/>
        <v>833.31658048847305</v>
      </c>
      <c r="AD658" s="790">
        <f t="shared" si="414"/>
        <v>0</v>
      </c>
      <c r="AE658" s="610">
        <f>'BUS Deemed Savings Table'!DI426</f>
        <v>833.31658048847305</v>
      </c>
      <c r="AF658" s="208"/>
      <c r="AG658" s="208"/>
      <c r="AH658" s="208"/>
      <c r="AI658" s="915" t="str">
        <f>'BUS Deemed Savings Table'!O426</f>
        <v xml:space="preserve">per ton   </v>
      </c>
      <c r="AJ658" s="71"/>
      <c r="AX658" s="1355" t="str">
        <f t="shared" si="397"/>
        <v xml:space="preserve">GSHP  </v>
      </c>
      <c r="AY658" s="1378"/>
      <c r="AZ658" s="1446" t="str">
        <f t="shared" si="398"/>
        <v>803500</v>
      </c>
      <c r="BA658" s="1300" t="s">
        <v>1303</v>
      </c>
      <c r="BB658" s="1300" t="s">
        <v>1303</v>
      </c>
      <c r="BC658" s="1300" t="s">
        <v>1303</v>
      </c>
      <c r="BD658" s="1300" t="s">
        <v>1303</v>
      </c>
      <c r="BE658" s="1305"/>
      <c r="BF658" s="1300" t="s">
        <v>1303</v>
      </c>
      <c r="BG658" s="1300" t="s">
        <v>1303</v>
      </c>
      <c r="BH658" s="1300" t="s">
        <v>1303</v>
      </c>
      <c r="BI658" s="1301" t="s">
        <v>1303</v>
      </c>
      <c r="BJ658" s="1305"/>
      <c r="BK658" s="1300" t="s">
        <v>1303</v>
      </c>
      <c r="BL658" s="1301" t="s">
        <v>1303</v>
      </c>
      <c r="BM658" s="1300" t="s">
        <v>1303</v>
      </c>
      <c r="BN658" s="1301" t="s">
        <v>1303</v>
      </c>
    </row>
    <row r="659" spans="1:66">
      <c r="A659" s="51" t="str">
        <f t="shared" si="411"/>
        <v>803570</v>
      </c>
      <c r="B659" s="1442" t="str">
        <f>'BUS Deemed Savings Table'!C427</f>
        <v>803570_2024_12_</v>
      </c>
      <c r="C659" s="1378" t="str">
        <f>'BUS Deemed Savings Table'!I427</f>
        <v>Cooling BUS</v>
      </c>
      <c r="D659" s="1378" t="str">
        <f>'BUS Deemed Savings Table'!J427</f>
        <v>Heating BUS</v>
      </c>
      <c r="E659" s="1378"/>
      <c r="F659" s="1378"/>
      <c r="G659" s="1378" t="str">
        <f>'BUS Deemed Savings Table'!E427</f>
        <v>WSHP &lt;17 kBTUh per ton</v>
      </c>
      <c r="H659" s="19" t="str">
        <f>'BUS Deemed Savings Table'!D427</f>
        <v>Standard</v>
      </c>
      <c r="I659" s="785">
        <f t="shared" si="436"/>
        <v>291.85000000000002</v>
      </c>
      <c r="J659" s="785">
        <f t="shared" si="437"/>
        <v>0</v>
      </c>
      <c r="K659" s="202">
        <f>'BUS Deemed Savings Table'!G427</f>
        <v>253.32</v>
      </c>
      <c r="L659" s="202">
        <f>'BUS Deemed Savings Table'!H427</f>
        <v>38.53</v>
      </c>
      <c r="M659" s="202"/>
      <c r="N659" s="202"/>
      <c r="O659" s="786">
        <f t="shared" si="438"/>
        <v>0.23069400000000001</v>
      </c>
      <c r="P659" s="786">
        <f t="shared" si="439"/>
        <v>0</v>
      </c>
      <c r="Q659" s="787">
        <f>'BUS Deemed Savings Table'!L427</f>
        <v>0.23069400000000001</v>
      </c>
      <c r="R659" s="787">
        <v>0</v>
      </c>
      <c r="S659" s="787"/>
      <c r="T659" s="787"/>
      <c r="U659" s="788">
        <f t="shared" si="433"/>
        <v>0</v>
      </c>
      <c r="V659" s="788">
        <f t="shared" si="434"/>
        <v>0</v>
      </c>
      <c r="W659" s="788">
        <f t="shared" si="435"/>
        <v>0.23069400000000001</v>
      </c>
      <c r="X659" s="23">
        <f>'BUS Deemed Savings Table'!M427</f>
        <v>15</v>
      </c>
      <c r="Y659" s="23"/>
      <c r="Z659" s="23">
        <f t="shared" si="412"/>
        <v>15</v>
      </c>
      <c r="AA659" s="18">
        <f>'BUS Deemed Savings Table'!DG427</f>
        <v>2.4518748007493518</v>
      </c>
      <c r="AB659" s="259">
        <f>'BUS Deemed Savings Table'!N427</f>
        <v>208</v>
      </c>
      <c r="AC659" s="790">
        <f t="shared" si="413"/>
        <v>489.89500155335344</v>
      </c>
      <c r="AD659" s="790">
        <f t="shared" si="414"/>
        <v>0</v>
      </c>
      <c r="AE659" s="610">
        <f>'BUS Deemed Savings Table'!DI427</f>
        <v>489.89500155335344</v>
      </c>
      <c r="AF659" s="208"/>
      <c r="AG659" s="208"/>
      <c r="AH659" s="208"/>
      <c r="AI659" s="915" t="str">
        <f>'BUS Deemed Savings Table'!O427</f>
        <v xml:space="preserve">per ton   </v>
      </c>
      <c r="AJ659" s="71"/>
      <c r="AX659" s="1355" t="str">
        <f t="shared" si="397"/>
        <v>WSHP &lt;17 kBTUh per ton</v>
      </c>
      <c r="AY659" s="1378"/>
      <c r="AZ659" s="1446" t="str">
        <f t="shared" si="398"/>
        <v>803570</v>
      </c>
      <c r="BA659" s="1300" t="s">
        <v>1303</v>
      </c>
      <c r="BB659" s="1300" t="s">
        <v>1303</v>
      </c>
      <c r="BC659" s="1300" t="s">
        <v>1303</v>
      </c>
      <c r="BD659" s="1300" t="s">
        <v>1303</v>
      </c>
      <c r="BE659" s="1305"/>
      <c r="BF659" s="1300" t="s">
        <v>1303</v>
      </c>
      <c r="BG659" s="1300" t="s">
        <v>1303</v>
      </c>
      <c r="BH659" s="1300" t="s">
        <v>1303</v>
      </c>
      <c r="BI659" s="1301" t="s">
        <v>1303</v>
      </c>
      <c r="BJ659" s="1305"/>
      <c r="BK659" s="1300" t="s">
        <v>1303</v>
      </c>
      <c r="BL659" s="1301" t="s">
        <v>1303</v>
      </c>
      <c r="BM659" s="1300" t="s">
        <v>1303</v>
      </c>
      <c r="BN659" s="1301" t="s">
        <v>1303</v>
      </c>
    </row>
    <row r="660" spans="1:66">
      <c r="A660" s="51" t="str">
        <f t="shared" ref="A660:A661" si="440">LEFT(B660,6)</f>
        <v>803575</v>
      </c>
      <c r="B660" s="1442" t="str">
        <f>'BUS Deemed Savings Table'!C428</f>
        <v>803575_2024_12_</v>
      </c>
      <c r="C660" s="1378" t="str">
        <f>'BUS Deemed Savings Table'!I428</f>
        <v>Cooling BUS</v>
      </c>
      <c r="D660" s="1378" t="str">
        <f>'BUS Deemed Savings Table'!J428</f>
        <v>Heating BUS</v>
      </c>
      <c r="E660" s="1378"/>
      <c r="F660" s="1378"/>
      <c r="G660" s="1378" t="str">
        <f>'BUS Deemed Savings Table'!E428</f>
        <v>WSHP ≥17 kBTUh and &lt;65 kBTUh per ton</v>
      </c>
      <c r="H660" s="19" t="str">
        <f>'BUS Deemed Savings Table'!D428</f>
        <v>Standard</v>
      </c>
      <c r="I660" s="785">
        <f t="shared" ref="I660:I661" si="441">K660+L660</f>
        <v>228.12</v>
      </c>
      <c r="J660" s="785">
        <f t="shared" ref="J660:J661" si="442">S660+T660</f>
        <v>0</v>
      </c>
      <c r="K660" s="202">
        <f>'BUS Deemed Savings Table'!G428</f>
        <v>189.59</v>
      </c>
      <c r="L660" s="202">
        <f>'BUS Deemed Savings Table'!H428</f>
        <v>38.53</v>
      </c>
      <c r="M660" s="202"/>
      <c r="N660" s="202"/>
      <c r="O660" s="786">
        <f t="shared" ref="O660:O661" si="443">Q660+R660</f>
        <v>0.172657</v>
      </c>
      <c r="P660" s="786">
        <f t="shared" ref="P660:P661" si="444">S660+T660</f>
        <v>0</v>
      </c>
      <c r="Q660" s="787">
        <f>'BUS Deemed Savings Table'!L428</f>
        <v>0.172657</v>
      </c>
      <c r="R660" s="787">
        <v>0</v>
      </c>
      <c r="S660" s="787"/>
      <c r="T660" s="787"/>
      <c r="U660" s="788">
        <f t="shared" si="433"/>
        <v>0</v>
      </c>
      <c r="V660" s="788">
        <f t="shared" si="434"/>
        <v>0</v>
      </c>
      <c r="W660" s="788">
        <f t="shared" si="435"/>
        <v>0.172657</v>
      </c>
      <c r="X660" s="23">
        <f>'BUS Deemed Savings Table'!M428</f>
        <v>15</v>
      </c>
      <c r="Y660" s="23"/>
      <c r="Z660" s="23">
        <f t="shared" ref="Z660:Z661" si="445">Y660+X660</f>
        <v>15</v>
      </c>
      <c r="AA660" s="18">
        <f>'BUS Deemed Savings Table'!DG428</f>
        <v>0</v>
      </c>
      <c r="AB660" s="259">
        <f>'BUS Deemed Savings Table'!N428</f>
        <v>208</v>
      </c>
      <c r="AC660" s="790">
        <f t="shared" ref="AC660:AC661" si="446">AE660+AF660</f>
        <v>0</v>
      </c>
      <c r="AD660" s="790">
        <f t="shared" ref="AD660:AD661" si="447">AG660+AH660</f>
        <v>0</v>
      </c>
      <c r="AE660" s="610">
        <f>'BUS Deemed Savings Table'!DI428</f>
        <v>0</v>
      </c>
      <c r="AF660" s="208"/>
      <c r="AG660" s="208"/>
      <c r="AH660" s="208"/>
      <c r="AI660" s="915" t="str">
        <f>'BUS Deemed Savings Table'!O428</f>
        <v xml:space="preserve">per ton   </v>
      </c>
      <c r="AJ660" s="71"/>
      <c r="AX660" s="1355" t="str">
        <f t="shared" ref="AX660:AX661" si="448">G660</f>
        <v>WSHP ≥17 kBTUh and &lt;65 kBTUh per ton</v>
      </c>
      <c r="AY660" s="1378"/>
      <c r="AZ660" s="1446" t="str">
        <f t="shared" ref="AZ660:AZ661" si="449">A660</f>
        <v>803575</v>
      </c>
      <c r="BA660" s="1300" t="s">
        <v>1303</v>
      </c>
      <c r="BB660" s="1300" t="s">
        <v>1303</v>
      </c>
      <c r="BC660" s="1300" t="s">
        <v>1303</v>
      </c>
      <c r="BD660" s="1300" t="s">
        <v>1303</v>
      </c>
      <c r="BE660" s="1305"/>
      <c r="BF660" s="1300" t="s">
        <v>1303</v>
      </c>
      <c r="BG660" s="1300" t="s">
        <v>1303</v>
      </c>
      <c r="BH660" s="1300" t="s">
        <v>1303</v>
      </c>
      <c r="BI660" s="1301" t="s">
        <v>1303</v>
      </c>
      <c r="BJ660" s="1305"/>
      <c r="BK660" s="1300" t="s">
        <v>1303</v>
      </c>
      <c r="BL660" s="1301" t="s">
        <v>1303</v>
      </c>
      <c r="BM660" s="1300" t="s">
        <v>1303</v>
      </c>
      <c r="BN660" s="1301" t="s">
        <v>1303</v>
      </c>
    </row>
    <row r="661" spans="1:66">
      <c r="A661" s="51" t="str">
        <f t="shared" si="440"/>
        <v>803580</v>
      </c>
      <c r="B661" s="1442" t="str">
        <f>'BUS Deemed Savings Table'!C429</f>
        <v>803580_2024_12_</v>
      </c>
      <c r="C661" s="1378" t="str">
        <f>'BUS Deemed Savings Table'!I429</f>
        <v>Cooling BUS</v>
      </c>
      <c r="D661" s="1378" t="str">
        <f>'BUS Deemed Savings Table'!J429</f>
        <v>Heating BUS</v>
      </c>
      <c r="E661" s="1378"/>
      <c r="F661" s="1378"/>
      <c r="G661" s="1378" t="str">
        <f>'BUS Deemed Savings Table'!E429</f>
        <v xml:space="preserve">WSHP ≥65kBTUh and &lt;135 kBTUh per ton </v>
      </c>
      <c r="H661" s="19" t="str">
        <f>'BUS Deemed Savings Table'!D429</f>
        <v>Standard</v>
      </c>
      <c r="I661" s="785">
        <f t="shared" si="441"/>
        <v>228.12</v>
      </c>
      <c r="J661" s="785">
        <f t="shared" si="442"/>
        <v>0</v>
      </c>
      <c r="K661" s="202">
        <f>'BUS Deemed Savings Table'!G429</f>
        <v>189.59</v>
      </c>
      <c r="L661" s="202">
        <f>'BUS Deemed Savings Table'!H429</f>
        <v>38.53</v>
      </c>
      <c r="M661" s="202"/>
      <c r="N661" s="202"/>
      <c r="O661" s="786">
        <f t="shared" si="443"/>
        <v>0.172657</v>
      </c>
      <c r="P661" s="786">
        <f t="shared" si="444"/>
        <v>0</v>
      </c>
      <c r="Q661" s="787">
        <f>'BUS Deemed Savings Table'!L429</f>
        <v>0.172657</v>
      </c>
      <c r="R661" s="787">
        <v>0</v>
      </c>
      <c r="S661" s="787"/>
      <c r="T661" s="787"/>
      <c r="U661" s="788">
        <f t="shared" si="433"/>
        <v>0</v>
      </c>
      <c r="V661" s="788">
        <f t="shared" si="434"/>
        <v>0</v>
      </c>
      <c r="W661" s="788">
        <f t="shared" si="435"/>
        <v>0.172657</v>
      </c>
      <c r="X661" s="23">
        <f>'BUS Deemed Savings Table'!M429</f>
        <v>15</v>
      </c>
      <c r="Y661" s="23"/>
      <c r="Z661" s="23">
        <f t="shared" si="445"/>
        <v>15</v>
      </c>
      <c r="AA661" s="18">
        <f>'BUS Deemed Savings Table'!DG429</f>
        <v>0</v>
      </c>
      <c r="AB661" s="259">
        <f>'BUS Deemed Savings Table'!N429</f>
        <v>208</v>
      </c>
      <c r="AC661" s="790">
        <f t="shared" si="446"/>
        <v>0</v>
      </c>
      <c r="AD661" s="790">
        <f t="shared" si="447"/>
        <v>0</v>
      </c>
      <c r="AE661" s="610">
        <f>'BUS Deemed Savings Table'!DI429</f>
        <v>0</v>
      </c>
      <c r="AF661" s="208"/>
      <c r="AG661" s="208"/>
      <c r="AH661" s="208"/>
      <c r="AI661" s="915" t="str">
        <f>'BUS Deemed Savings Table'!O429</f>
        <v xml:space="preserve">per ton   </v>
      </c>
      <c r="AJ661" s="71"/>
      <c r="AX661" s="1355" t="str">
        <f t="shared" si="448"/>
        <v xml:space="preserve">WSHP ≥65kBTUh and &lt;135 kBTUh per ton </v>
      </c>
      <c r="AY661" s="1378"/>
      <c r="AZ661" s="1446" t="str">
        <f t="shared" si="449"/>
        <v>803580</v>
      </c>
      <c r="BA661" s="1300" t="s">
        <v>1303</v>
      </c>
      <c r="BB661" s="1300" t="s">
        <v>1303</v>
      </c>
      <c r="BC661" s="1300" t="s">
        <v>1303</v>
      </c>
      <c r="BD661" s="1300" t="s">
        <v>1303</v>
      </c>
      <c r="BE661" s="1305"/>
      <c r="BF661" s="1300" t="s">
        <v>1303</v>
      </c>
      <c r="BG661" s="1300" t="s">
        <v>1303</v>
      </c>
      <c r="BH661" s="1300" t="s">
        <v>1303</v>
      </c>
      <c r="BI661" s="1301" t="s">
        <v>1303</v>
      </c>
      <c r="BJ661" s="1305"/>
      <c r="BK661" s="1300" t="s">
        <v>1303</v>
      </c>
      <c r="BL661" s="1301" t="s">
        <v>1303</v>
      </c>
      <c r="BM661" s="1300" t="s">
        <v>1303</v>
      </c>
      <c r="BN661" s="1301" t="s">
        <v>1303</v>
      </c>
    </row>
    <row r="662" spans="1:66">
      <c r="A662" s="51" t="str">
        <f t="shared" si="411"/>
        <v>803600</v>
      </c>
      <c r="B662" s="1442" t="str">
        <f>'BUS Deemed Savings Table'!C430</f>
        <v>803600_2024_12_</v>
      </c>
      <c r="C662" s="1378" t="str">
        <f>'BUS Deemed Savings Table'!I430</f>
        <v>Cooling BUS</v>
      </c>
      <c r="D662" s="1378" t="str">
        <f>'BUS Deemed Savings Table'!J430</f>
        <v>Heating BUS</v>
      </c>
      <c r="E662" s="1378"/>
      <c r="F662" s="1378"/>
      <c r="G662" s="1378" t="str">
        <f>'BUS Deemed Savings Table'!E430</f>
        <v xml:space="preserve">ASHP ≥65kBTUh and &lt;135 kBTUh per ton </v>
      </c>
      <c r="H662" s="19" t="str">
        <f>'BUS Deemed Savings Table'!D430</f>
        <v>BSS/Standard</v>
      </c>
      <c r="I662" s="785">
        <f t="shared" si="436"/>
        <v>169.55</v>
      </c>
      <c r="J662" s="785">
        <f t="shared" si="437"/>
        <v>0</v>
      </c>
      <c r="K662" s="202">
        <f>'BUS Deemed Savings Table'!G430</f>
        <v>117.34</v>
      </c>
      <c r="L662" s="202">
        <f>'BUS Deemed Savings Table'!H430</f>
        <v>52.21</v>
      </c>
      <c r="M662" s="202"/>
      <c r="N662" s="202"/>
      <c r="O662" s="786">
        <f t="shared" si="438"/>
        <v>0.10686</v>
      </c>
      <c r="P662" s="786">
        <f t="shared" si="439"/>
        <v>0</v>
      </c>
      <c r="Q662" s="787">
        <f>'BUS Deemed Savings Table'!L430</f>
        <v>0.10686</v>
      </c>
      <c r="R662" s="787">
        <v>0</v>
      </c>
      <c r="S662" s="787"/>
      <c r="T662" s="787"/>
      <c r="U662" s="788">
        <f t="shared" si="433"/>
        <v>0</v>
      </c>
      <c r="V662" s="788">
        <f t="shared" si="434"/>
        <v>0</v>
      </c>
      <c r="W662" s="788">
        <f t="shared" si="435"/>
        <v>0.10686</v>
      </c>
      <c r="X662" s="23">
        <f>'BUS Deemed Savings Table'!M430</f>
        <v>15</v>
      </c>
      <c r="Y662" s="23"/>
      <c r="Z662" s="23">
        <f t="shared" si="412"/>
        <v>15</v>
      </c>
      <c r="AA662" s="18">
        <f>'BUS Deemed Savings Table'!DG430</f>
        <v>1.1863013651494656</v>
      </c>
      <c r="AB662" s="259">
        <f>'BUS Deemed Savings Table'!N430</f>
        <v>214.24000000000007</v>
      </c>
      <c r="AC662" s="790">
        <f t="shared" si="413"/>
        <v>226.9235728812194</v>
      </c>
      <c r="AD662" s="790">
        <f t="shared" si="414"/>
        <v>0</v>
      </c>
      <c r="AE662" s="610">
        <f>'BUS Deemed Savings Table'!DI430</f>
        <v>226.9235728812194</v>
      </c>
      <c r="AF662" s="208"/>
      <c r="AG662" s="208"/>
      <c r="AH662" s="208"/>
      <c r="AI662" s="915" t="str">
        <f>'BUS Deemed Savings Table'!O430</f>
        <v xml:space="preserve">per ton   </v>
      </c>
      <c r="AJ662" s="71"/>
      <c r="AX662" s="1355" t="str">
        <f t="shared" si="397"/>
        <v xml:space="preserve">ASHP ≥65kBTUh and &lt;135 kBTUh per ton </v>
      </c>
      <c r="AY662" s="1378"/>
      <c r="AZ662" s="1446" t="str">
        <f t="shared" si="398"/>
        <v>803600</v>
      </c>
      <c r="BA662" s="1300" t="s">
        <v>1303</v>
      </c>
      <c r="BB662" s="1300" t="s">
        <v>1303</v>
      </c>
      <c r="BC662" s="1300" t="s">
        <v>1303</v>
      </c>
      <c r="BD662" s="1300" t="s">
        <v>1303</v>
      </c>
      <c r="BE662" s="1305"/>
      <c r="BF662" s="1300" t="s">
        <v>1303</v>
      </c>
      <c r="BG662" s="1300" t="s">
        <v>1303</v>
      </c>
      <c r="BH662" s="1300" t="s">
        <v>1303</v>
      </c>
      <c r="BI662" s="1301" t="s">
        <v>1303</v>
      </c>
      <c r="BJ662" s="1305"/>
      <c r="BK662" s="1300" t="s">
        <v>1303</v>
      </c>
      <c r="BL662" s="1301" t="s">
        <v>1303</v>
      </c>
      <c r="BM662" s="1300" t="s">
        <v>1303</v>
      </c>
      <c r="BN662" s="1301" t="s">
        <v>1303</v>
      </c>
    </row>
    <row r="663" spans="1:66">
      <c r="A663" s="51" t="str">
        <f t="shared" si="411"/>
        <v>803650</v>
      </c>
      <c r="B663" s="1442" t="str">
        <f>'BUS Deemed Savings Table'!C431</f>
        <v>803650_2024_12_</v>
      </c>
      <c r="C663" s="1378" t="str">
        <f>'BUS Deemed Savings Table'!I431</f>
        <v>Cooling BUS</v>
      </c>
      <c r="D663" s="1378" t="str">
        <f>'BUS Deemed Savings Table'!J431</f>
        <v>Heating BUS</v>
      </c>
      <c r="E663" s="1378"/>
      <c r="F663" s="1378"/>
      <c r="G663" s="1378" t="str">
        <f>'BUS Deemed Savings Table'!E431</f>
        <v xml:space="preserve">ASHP ≥135kBTUh and &lt;240 kBTUh per ton </v>
      </c>
      <c r="H663" s="19" t="str">
        <f>'BUS Deemed Savings Table'!D431</f>
        <v>Standard</v>
      </c>
      <c r="I663" s="785">
        <f t="shared" si="436"/>
        <v>204.57999999999998</v>
      </c>
      <c r="J663" s="785">
        <f t="shared" si="437"/>
        <v>0</v>
      </c>
      <c r="K663" s="202">
        <f>'BUS Deemed Savings Table'!G431</f>
        <v>168.14</v>
      </c>
      <c r="L663" s="202">
        <f>'BUS Deemed Savings Table'!H431</f>
        <v>36.44</v>
      </c>
      <c r="M663" s="202"/>
      <c r="N663" s="202"/>
      <c r="O663" s="786">
        <f t="shared" si="438"/>
        <v>0.15312200000000001</v>
      </c>
      <c r="P663" s="786">
        <f t="shared" si="439"/>
        <v>0</v>
      </c>
      <c r="Q663" s="787">
        <f>'BUS Deemed Savings Table'!L431</f>
        <v>0.15312200000000001</v>
      </c>
      <c r="R663" s="787">
        <v>0</v>
      </c>
      <c r="S663" s="787"/>
      <c r="T663" s="787"/>
      <c r="U663" s="788">
        <f t="shared" si="433"/>
        <v>0</v>
      </c>
      <c r="V663" s="788">
        <f t="shared" si="434"/>
        <v>0</v>
      </c>
      <c r="W663" s="788">
        <f t="shared" si="435"/>
        <v>0.15312200000000001</v>
      </c>
      <c r="X663" s="23">
        <f>'BUS Deemed Savings Table'!M431</f>
        <v>15</v>
      </c>
      <c r="Y663" s="23"/>
      <c r="Z663" s="23">
        <f t="shared" si="412"/>
        <v>15</v>
      </c>
      <c r="AA663" s="18">
        <f>'BUS Deemed Savings Table'!DG431</f>
        <v>1.1571090659381082</v>
      </c>
      <c r="AB663" s="259">
        <f>'BUS Deemed Savings Table'!N431</f>
        <v>297.43999999999994</v>
      </c>
      <c r="AC663" s="790">
        <f t="shared" si="413"/>
        <v>325.16558329851904</v>
      </c>
      <c r="AD663" s="790">
        <f t="shared" si="414"/>
        <v>0</v>
      </c>
      <c r="AE663" s="610">
        <f>'BUS Deemed Savings Table'!DI431</f>
        <v>325.16558329851904</v>
      </c>
      <c r="AF663" s="208"/>
      <c r="AG663" s="208"/>
      <c r="AH663" s="208"/>
      <c r="AI663" s="915" t="str">
        <f>'BUS Deemed Savings Table'!O431</f>
        <v xml:space="preserve">per ton   </v>
      </c>
      <c r="AJ663" s="71"/>
      <c r="AX663" s="1355" t="str">
        <f t="shared" si="397"/>
        <v xml:space="preserve">ASHP ≥135kBTUh and &lt;240 kBTUh per ton </v>
      </c>
      <c r="AY663" s="1378"/>
      <c r="AZ663" s="1446" t="str">
        <f t="shared" si="398"/>
        <v>803650</v>
      </c>
      <c r="BA663" s="1300" t="s">
        <v>1303</v>
      </c>
      <c r="BB663" s="1300" t="s">
        <v>1303</v>
      </c>
      <c r="BC663" s="1300" t="s">
        <v>1303</v>
      </c>
      <c r="BD663" s="1300" t="s">
        <v>1303</v>
      </c>
      <c r="BE663" s="1305"/>
      <c r="BF663" s="1300" t="s">
        <v>1303</v>
      </c>
      <c r="BG663" s="1300" t="s">
        <v>1303</v>
      </c>
      <c r="BH663" s="1300" t="s">
        <v>1303</v>
      </c>
      <c r="BI663" s="1301" t="s">
        <v>1303</v>
      </c>
      <c r="BJ663" s="1305"/>
      <c r="BK663" s="1300" t="s">
        <v>1303</v>
      </c>
      <c r="BL663" s="1301" t="s">
        <v>1303</v>
      </c>
      <c r="BM663" s="1300" t="s">
        <v>1303</v>
      </c>
      <c r="BN663" s="1301" t="s">
        <v>1303</v>
      </c>
    </row>
    <row r="664" spans="1:66">
      <c r="A664" s="51" t="str">
        <f t="shared" si="411"/>
        <v>803700</v>
      </c>
      <c r="B664" s="1442" t="str">
        <f>'BUS Deemed Savings Table'!C432</f>
        <v>803700_2024_12_</v>
      </c>
      <c r="C664" s="1378" t="str">
        <f>'BUS Deemed Savings Table'!I432</f>
        <v>Cooling BUS</v>
      </c>
      <c r="D664" s="1378" t="str">
        <f>'BUS Deemed Savings Table'!J432</f>
        <v>Heating BUS</v>
      </c>
      <c r="E664" s="1378"/>
      <c r="F664" s="1378"/>
      <c r="G664" s="1378" t="str">
        <f>'BUS Deemed Savings Table'!E432</f>
        <v>ASHP &gt;240kBTUh per ton</v>
      </c>
      <c r="H664" s="19" t="str">
        <f>'BUS Deemed Savings Table'!D432</f>
        <v>BSS/Standard</v>
      </c>
      <c r="I664" s="785">
        <f t="shared" si="436"/>
        <v>386.41999999999996</v>
      </c>
      <c r="J664" s="785">
        <f t="shared" si="437"/>
        <v>0</v>
      </c>
      <c r="K664" s="202">
        <f>'BUS Deemed Savings Table'!G432</f>
        <v>327.64999999999998</v>
      </c>
      <c r="L664" s="202">
        <f>'BUS Deemed Savings Table'!H432</f>
        <v>58.77</v>
      </c>
      <c r="M664" s="202"/>
      <c r="N664" s="202"/>
      <c r="O664" s="786">
        <f t="shared" si="438"/>
        <v>0.29838599999999998</v>
      </c>
      <c r="P664" s="786">
        <f t="shared" si="439"/>
        <v>0</v>
      </c>
      <c r="Q664" s="787">
        <f>'BUS Deemed Savings Table'!L432</f>
        <v>0.29838599999999998</v>
      </c>
      <c r="R664" s="787">
        <v>0</v>
      </c>
      <c r="S664" s="787"/>
      <c r="T664" s="787"/>
      <c r="U664" s="788">
        <f t="shared" si="433"/>
        <v>0</v>
      </c>
      <c r="V664" s="788">
        <f t="shared" si="434"/>
        <v>0</v>
      </c>
      <c r="W664" s="788">
        <f t="shared" si="435"/>
        <v>0.29838599999999998</v>
      </c>
      <c r="X664" s="23">
        <f>'BUS Deemed Savings Table'!M432</f>
        <v>15</v>
      </c>
      <c r="Y664" s="23"/>
      <c r="Z664" s="23">
        <f t="shared" si="412"/>
        <v>15</v>
      </c>
      <c r="AA664" s="18">
        <f>'BUS Deemed Savings Table'!DG432</f>
        <v>1.5968571291906939</v>
      </c>
      <c r="AB664" s="259">
        <f>'BUS Deemed Savings Table'!N432</f>
        <v>416</v>
      </c>
      <c r="AC664" s="790">
        <f t="shared" si="413"/>
        <v>633.64162821315438</v>
      </c>
      <c r="AD664" s="790">
        <f t="shared" si="414"/>
        <v>0</v>
      </c>
      <c r="AE664" s="610">
        <f>'BUS Deemed Savings Table'!DI432</f>
        <v>633.64162821315438</v>
      </c>
      <c r="AF664" s="208"/>
      <c r="AG664" s="208"/>
      <c r="AH664" s="208"/>
      <c r="AI664" s="915" t="str">
        <f>'BUS Deemed Savings Table'!O432</f>
        <v xml:space="preserve">per ton   </v>
      </c>
      <c r="AJ664" s="71"/>
      <c r="AX664" s="1355" t="str">
        <f t="shared" si="397"/>
        <v>ASHP &gt;240kBTUh per ton</v>
      </c>
      <c r="AY664" s="1378"/>
      <c r="AZ664" s="1446" t="str">
        <f t="shared" si="398"/>
        <v>803700</v>
      </c>
      <c r="BA664" s="1300" t="s">
        <v>1303</v>
      </c>
      <c r="BB664" s="1300" t="s">
        <v>1303</v>
      </c>
      <c r="BC664" s="1300" t="s">
        <v>1303</v>
      </c>
      <c r="BD664" s="1300" t="s">
        <v>1303</v>
      </c>
      <c r="BE664" s="1305"/>
      <c r="BF664" s="1300" t="s">
        <v>1303</v>
      </c>
      <c r="BG664" s="1300" t="s">
        <v>1303</v>
      </c>
      <c r="BH664" s="1300" t="s">
        <v>1303</v>
      </c>
      <c r="BI664" s="1301" t="s">
        <v>1303</v>
      </c>
      <c r="BJ664" s="1305"/>
      <c r="BK664" s="1300" t="s">
        <v>1303</v>
      </c>
      <c r="BL664" s="1301" t="s">
        <v>1303</v>
      </c>
      <c r="BM664" s="1300" t="s">
        <v>1303</v>
      </c>
      <c r="BN664" s="1301" t="s">
        <v>1303</v>
      </c>
    </row>
    <row r="665" spans="1:66" s="41" customFormat="1">
      <c r="A665" s="51" t="str">
        <f t="shared" si="411"/>
        <v>803750</v>
      </c>
      <c r="B665" s="1442" t="str">
        <f>'BUS Deemed Savings Table'!C433</f>
        <v>803750_2024_12_</v>
      </c>
      <c r="C665" s="1378" t="str">
        <f>'BUS Deemed Savings Table'!I433</f>
        <v>Cooling BUS</v>
      </c>
      <c r="D665" s="1378" t="str">
        <f>'BUS Deemed Savings Table'!J433</f>
        <v>Heating BUS</v>
      </c>
      <c r="E665" s="1378"/>
      <c r="F665" s="1378"/>
      <c r="G665" s="1378" t="str">
        <f>'BUS Deemed Savings Table'!E433</f>
        <v xml:space="preserve">ASHP &lt;65kBTUh per ton </v>
      </c>
      <c r="H665" s="19" t="str">
        <f>'BUS Deemed Savings Table'!D433</f>
        <v>BSS/Standard</v>
      </c>
      <c r="I665" s="785">
        <f t="shared" si="436"/>
        <v>223.37</v>
      </c>
      <c r="J665" s="785">
        <f t="shared" si="437"/>
        <v>0</v>
      </c>
      <c r="K665" s="202">
        <f>'BUS Deemed Savings Table'!G433</f>
        <v>158.13999999999999</v>
      </c>
      <c r="L665" s="202">
        <f>'BUS Deemed Savings Table'!H433</f>
        <v>65.23</v>
      </c>
      <c r="M665" s="202"/>
      <c r="N665" s="202"/>
      <c r="O665" s="786">
        <f t="shared" si="438"/>
        <v>0.14401600000000001</v>
      </c>
      <c r="P665" s="786">
        <f t="shared" si="439"/>
        <v>0</v>
      </c>
      <c r="Q665" s="787">
        <f>'BUS Deemed Savings Table'!L433</f>
        <v>0.14401600000000001</v>
      </c>
      <c r="R665" s="787">
        <v>0</v>
      </c>
      <c r="S665" s="787"/>
      <c r="T665" s="787"/>
      <c r="U665" s="788">
        <f t="shared" si="433"/>
        <v>0</v>
      </c>
      <c r="V665" s="788">
        <f t="shared" si="434"/>
        <v>0</v>
      </c>
      <c r="W665" s="788">
        <f t="shared" si="435"/>
        <v>0.14401600000000001</v>
      </c>
      <c r="X665" s="23">
        <f>'BUS Deemed Savings Table'!M433</f>
        <v>15</v>
      </c>
      <c r="Y665" s="23"/>
      <c r="Z665" s="23">
        <f t="shared" si="412"/>
        <v>15</v>
      </c>
      <c r="AA665" s="18">
        <f>'BUS Deemed Savings Table'!DG433</f>
        <v>1.2102802503129362</v>
      </c>
      <c r="AB665" s="259">
        <f>'BUS Deemed Savings Table'!N433</f>
        <v>280.80000000000013</v>
      </c>
      <c r="AC665" s="790">
        <f t="shared" si="413"/>
        <v>305.82660486991676</v>
      </c>
      <c r="AD665" s="790">
        <f t="shared" si="414"/>
        <v>0</v>
      </c>
      <c r="AE665" s="610">
        <f>'BUS Deemed Savings Table'!DI433</f>
        <v>305.82660486991676</v>
      </c>
      <c r="AF665" s="208"/>
      <c r="AG665" s="208"/>
      <c r="AH665" s="208"/>
      <c r="AI665" s="915" t="str">
        <f>'BUS Deemed Savings Table'!O433</f>
        <v xml:space="preserve">per ton   </v>
      </c>
      <c r="AJ665" s="71"/>
      <c r="AK665"/>
      <c r="AL665"/>
      <c r="AM665"/>
      <c r="AN665"/>
      <c r="AO665"/>
      <c r="AP665"/>
      <c r="AQ665"/>
      <c r="AR665"/>
      <c r="AS665"/>
      <c r="AT665"/>
      <c r="AU665"/>
      <c r="AV665"/>
      <c r="AW665"/>
      <c r="AX665" s="1355" t="str">
        <f t="shared" si="397"/>
        <v xml:space="preserve">ASHP &lt;65kBTUh per ton </v>
      </c>
      <c r="AY665" s="1378"/>
      <c r="AZ665" s="1446" t="str">
        <f t="shared" si="398"/>
        <v>803750</v>
      </c>
      <c r="BA665" s="1300" t="s">
        <v>1303</v>
      </c>
      <c r="BB665" s="1300" t="s">
        <v>1303</v>
      </c>
      <c r="BC665" s="1300" t="s">
        <v>1303</v>
      </c>
      <c r="BD665" s="1300" t="s">
        <v>1303</v>
      </c>
      <c r="BE665" s="1306"/>
      <c r="BF665" s="1300" t="s">
        <v>1303</v>
      </c>
      <c r="BG665" s="1300" t="s">
        <v>1303</v>
      </c>
      <c r="BH665" s="1300" t="s">
        <v>1303</v>
      </c>
      <c r="BI665" s="1301" t="s">
        <v>1303</v>
      </c>
      <c r="BJ665" s="1305"/>
      <c r="BK665" s="1300" t="s">
        <v>1303</v>
      </c>
      <c r="BL665" s="1301" t="s">
        <v>1303</v>
      </c>
      <c r="BM665" s="1300" t="s">
        <v>1303</v>
      </c>
      <c r="BN665" s="1301" t="s">
        <v>1303</v>
      </c>
    </row>
    <row r="666" spans="1:66">
      <c r="A666" s="51" t="str">
        <f t="shared" si="411"/>
        <v>803800</v>
      </c>
      <c r="B666" s="1442" t="str">
        <f>'BUS Deemed Savings Table'!C455</f>
        <v>803800_2024_12_</v>
      </c>
      <c r="C666" s="1378" t="str">
        <f>'BUS Deemed Savings Table'!G455</f>
        <v>Cooling BUS</v>
      </c>
      <c r="D666" s="1378"/>
      <c r="E666" s="1378"/>
      <c r="F666" s="1378"/>
      <c r="G666" s="1378" t="str">
        <f>'BUS Deemed Savings Table'!E455</f>
        <v>Air Cooled Chiller</v>
      </c>
      <c r="H666" s="19" t="str">
        <f>'BUS Deemed Savings Table'!D455</f>
        <v>BSS/Standard</v>
      </c>
      <c r="I666" s="785">
        <f t="shared" si="436"/>
        <v>321.48</v>
      </c>
      <c r="J666" s="785">
        <f t="shared" si="437"/>
        <v>0</v>
      </c>
      <c r="K666" s="202">
        <f>'BUS Deemed Savings Table'!F455</f>
        <v>321.48</v>
      </c>
      <c r="L666" s="202"/>
      <c r="M666" s="202"/>
      <c r="N666" s="202"/>
      <c r="O666" s="786">
        <f t="shared" si="438"/>
        <v>0.292767</v>
      </c>
      <c r="P666" s="786">
        <f t="shared" si="439"/>
        <v>0</v>
      </c>
      <c r="Q666" s="786">
        <f>'BUS Deemed Savings Table'!I455</f>
        <v>0.292767</v>
      </c>
      <c r="R666" s="787">
        <v>0</v>
      </c>
      <c r="S666" s="787"/>
      <c r="T666" s="787"/>
      <c r="U666" s="788">
        <f t="shared" si="433"/>
        <v>0</v>
      </c>
      <c r="V666" s="788">
        <f t="shared" si="434"/>
        <v>0</v>
      </c>
      <c r="W666" s="788">
        <f t="shared" si="435"/>
        <v>0.292767</v>
      </c>
      <c r="X666" s="23">
        <f>'BUS Deemed Savings Table'!J455</f>
        <v>23</v>
      </c>
      <c r="Y666" s="23"/>
      <c r="Z666" s="23">
        <f t="shared" si="412"/>
        <v>23</v>
      </c>
      <c r="AA666" s="18">
        <f>'BUS Deemed Savings Table'!DG455</f>
        <v>0.94937896665443189</v>
      </c>
      <c r="AB666" s="259">
        <f>'BUS Deemed Savings Table'!K455</f>
        <v>854.83204137359746</v>
      </c>
      <c r="AC666" s="790">
        <f t="shared" si="413"/>
        <v>811.55956010236457</v>
      </c>
      <c r="AD666" s="790">
        <f t="shared" si="414"/>
        <v>0</v>
      </c>
      <c r="AE666" s="610">
        <f>'BUS Deemed Savings Table'!DI455</f>
        <v>811.55956010236457</v>
      </c>
      <c r="AF666" s="208"/>
      <c r="AG666" s="208"/>
      <c r="AH666" s="208"/>
      <c r="AI666" s="914" t="str">
        <f>'BUS Deemed Savings Table'!L455</f>
        <v>per ton</v>
      </c>
      <c r="AJ666" s="71"/>
      <c r="AX666" s="1355" t="str">
        <f t="shared" si="397"/>
        <v>Air Cooled Chiller</v>
      </c>
      <c r="AY666" s="1378"/>
      <c r="AZ666" s="1446" t="str">
        <f t="shared" si="398"/>
        <v>803800</v>
      </c>
      <c r="BA666" s="1300" t="s">
        <v>1303</v>
      </c>
      <c r="BB666" s="1300" t="s">
        <v>1303</v>
      </c>
      <c r="BC666" s="1300" t="s">
        <v>1303</v>
      </c>
      <c r="BD666" s="1300" t="s">
        <v>1303</v>
      </c>
      <c r="BE666" s="1305"/>
      <c r="BF666" s="1300" t="s">
        <v>1303</v>
      </c>
      <c r="BG666" s="1300" t="s">
        <v>1303</v>
      </c>
      <c r="BH666" s="1300" t="s">
        <v>1303</v>
      </c>
      <c r="BI666" s="1301" t="s">
        <v>1303</v>
      </c>
      <c r="BJ666" s="1305"/>
      <c r="BK666" s="1300" t="s">
        <v>1303</v>
      </c>
      <c r="BL666" s="1301" t="s">
        <v>1303</v>
      </c>
      <c r="BM666" s="1300" t="s">
        <v>1303</v>
      </c>
      <c r="BN666" s="1301" t="s">
        <v>1303</v>
      </c>
    </row>
    <row r="667" spans="1:66">
      <c r="A667" s="51" t="str">
        <f t="shared" si="411"/>
        <v>803810</v>
      </c>
      <c r="B667" s="1442" t="str">
        <f>'BUS Deemed Savings Table'!C456</f>
        <v>803810_2024_12_</v>
      </c>
      <c r="C667" s="1378" t="str">
        <f>'BUS Deemed Savings Table'!G456</f>
        <v>Cooling BUS</v>
      </c>
      <c r="D667" s="1378"/>
      <c r="E667" s="1378"/>
      <c r="F667" s="1378"/>
      <c r="G667" s="1378" t="str">
        <f>'BUS Deemed Savings Table'!E456</f>
        <v>Water Cooled Chiller</v>
      </c>
      <c r="H667" s="19" t="str">
        <f>'BUS Deemed Savings Table'!D456</f>
        <v>Standard</v>
      </c>
      <c r="I667" s="785">
        <f t="shared" si="436"/>
        <v>113.72</v>
      </c>
      <c r="J667" s="785">
        <f t="shared" si="437"/>
        <v>0</v>
      </c>
      <c r="K667" s="202">
        <f>'BUS Deemed Savings Table'!F456</f>
        <v>113.72</v>
      </c>
      <c r="L667" s="202"/>
      <c r="M667" s="202"/>
      <c r="N667" s="202"/>
      <c r="O667" s="786">
        <f t="shared" si="438"/>
        <v>0.103563</v>
      </c>
      <c r="P667" s="786">
        <f t="shared" si="439"/>
        <v>0</v>
      </c>
      <c r="Q667" s="786">
        <f>'BUS Deemed Savings Table'!I456</f>
        <v>0.103563</v>
      </c>
      <c r="R667" s="787">
        <v>0</v>
      </c>
      <c r="S667" s="787"/>
      <c r="T667" s="787"/>
      <c r="U667" s="788">
        <f t="shared" si="433"/>
        <v>0</v>
      </c>
      <c r="V667" s="788">
        <f t="shared" si="434"/>
        <v>0</v>
      </c>
      <c r="W667" s="788">
        <f t="shared" si="435"/>
        <v>0.103563</v>
      </c>
      <c r="X667" s="23">
        <f>'BUS Deemed Savings Table'!J456</f>
        <v>23</v>
      </c>
      <c r="Y667" s="23"/>
      <c r="Z667" s="23">
        <f t="shared" si="412"/>
        <v>23</v>
      </c>
      <c r="AA667" s="18">
        <f>'BUS Deemed Savings Table'!DG456</f>
        <v>0.75947151480323571</v>
      </c>
      <c r="AB667" s="259">
        <f>'BUS Deemed Savings Table'!K456</f>
        <v>377.99999999999994</v>
      </c>
      <c r="AC667" s="790">
        <f t="shared" si="413"/>
        <v>287.08023259562304</v>
      </c>
      <c r="AD667" s="790">
        <f t="shared" si="414"/>
        <v>0</v>
      </c>
      <c r="AE667" s="610">
        <f>'BUS Deemed Savings Table'!DI456</f>
        <v>287.08023259562304</v>
      </c>
      <c r="AF667" s="208"/>
      <c r="AG667" s="208"/>
      <c r="AH667" s="208"/>
      <c r="AI667" s="914" t="str">
        <f>'BUS Deemed Savings Table'!L456</f>
        <v>per ton</v>
      </c>
      <c r="AJ667" s="676"/>
      <c r="AK667" s="41"/>
      <c r="AL667" s="41"/>
      <c r="AX667" s="1355" t="str">
        <f t="shared" si="397"/>
        <v>Water Cooled Chiller</v>
      </c>
      <c r="AY667" s="1378"/>
      <c r="AZ667" s="1446" t="str">
        <f t="shared" si="398"/>
        <v>803810</v>
      </c>
      <c r="BA667" s="1300" t="s">
        <v>1303</v>
      </c>
      <c r="BB667" s="1300" t="s">
        <v>1303</v>
      </c>
      <c r="BC667" s="1300" t="s">
        <v>1303</v>
      </c>
      <c r="BD667" s="1300" t="s">
        <v>1303</v>
      </c>
      <c r="BE667" s="1305"/>
      <c r="BF667" s="1300" t="s">
        <v>1303</v>
      </c>
      <c r="BG667" s="1300" t="s">
        <v>1303</v>
      </c>
      <c r="BH667" s="1300" t="s">
        <v>1303</v>
      </c>
      <c r="BI667" s="1301" t="s">
        <v>1303</v>
      </c>
      <c r="BJ667" s="1305"/>
      <c r="BK667" s="1300" t="s">
        <v>1303</v>
      </c>
      <c r="BL667" s="1301" t="s">
        <v>1303</v>
      </c>
      <c r="BM667" s="1300" t="s">
        <v>1303</v>
      </c>
      <c r="BN667" s="1301" t="s">
        <v>1303</v>
      </c>
    </row>
    <row r="668" spans="1:66" s="696" customFormat="1">
      <c r="A668" s="2958" t="str">
        <f t="shared" si="411"/>
        <v>803820</v>
      </c>
      <c r="B668" s="2233" t="str">
        <f>'BUS Deemed Savings Table'!C474</f>
        <v>803820_2024_12_</v>
      </c>
      <c r="C668" s="2724" t="str">
        <f>'BUS Deemed Savings Table'!G474</f>
        <v>Cooling BUS</v>
      </c>
      <c r="D668" s="2724"/>
      <c r="E668" s="2724"/>
      <c r="F668" s="2724"/>
      <c r="G668" s="2724" t="str">
        <f>'BUS Deemed Savings Table'!E474</f>
        <v>Air Cooled Chiller Tune up</v>
      </c>
      <c r="H668" s="2554" t="str">
        <f>'BUS Deemed Savings Table'!D474</f>
        <v>BSS</v>
      </c>
      <c r="I668" s="3840">
        <f t="shared" ref="I668:I675" si="450">K668+L668</f>
        <v>50.59</v>
      </c>
      <c r="J668" s="3840">
        <f t="shared" ref="J668:J675" si="451">S668+T668</f>
        <v>0</v>
      </c>
      <c r="K668" s="3251">
        <f>'BUS Deemed Savings Table'!F474</f>
        <v>50.59</v>
      </c>
      <c r="L668" s="3251"/>
      <c r="M668" s="3251"/>
      <c r="N668" s="3251"/>
      <c r="O668" s="3841">
        <f t="shared" ref="O668:O675" si="452">Q668+R668</f>
        <v>4.6072000000000002E-2</v>
      </c>
      <c r="P668" s="3841">
        <f t="shared" ref="P668:P675" si="453">S668+T668</f>
        <v>0</v>
      </c>
      <c r="Q668" s="3841">
        <f>'BUS Deemed Savings Table'!I474</f>
        <v>4.6072000000000002E-2</v>
      </c>
      <c r="R668" s="3842">
        <v>0</v>
      </c>
      <c r="S668" s="3842"/>
      <c r="T668" s="3842"/>
      <c r="U668" s="3843">
        <f t="shared" si="433"/>
        <v>4.6072000000000002E-2</v>
      </c>
      <c r="V668" s="3843">
        <f t="shared" si="434"/>
        <v>0</v>
      </c>
      <c r="W668" s="3843">
        <f t="shared" si="435"/>
        <v>0</v>
      </c>
      <c r="X668" s="2846">
        <f>'BUS Deemed Savings Table'!J474</f>
        <v>5</v>
      </c>
      <c r="Y668" s="2846"/>
      <c r="Z668" s="2846">
        <f t="shared" ref="Z668:Z675" si="454">Y668+X668</f>
        <v>5</v>
      </c>
      <c r="AA668" s="2529">
        <f>'BUS Deemed Savings Table'!DG474</f>
        <v>8.1411334140015672</v>
      </c>
      <c r="AB668" s="3878">
        <f>'BUS Deemed Savings Table'!K474</f>
        <v>5</v>
      </c>
      <c r="AC668" s="3968">
        <f t="shared" ref="AC668:AC675" si="455">AE668+AF668</f>
        <v>40.705667070007834</v>
      </c>
      <c r="AD668" s="3968">
        <f t="shared" ref="AD668:AD675" si="456">AG668+AH668</f>
        <v>0</v>
      </c>
      <c r="AE668" s="3865">
        <f>'BUS Deemed Savings Table'!DI474</f>
        <v>40.705667070007834</v>
      </c>
      <c r="AF668" s="3846"/>
      <c r="AG668" s="3846"/>
      <c r="AH668" s="3846"/>
      <c r="AI668" s="3969" t="str">
        <f>'BUS Deemed Savings Table'!L474</f>
        <v>per ton</v>
      </c>
      <c r="AJ668" s="2724"/>
      <c r="AX668" s="3849" t="str">
        <f t="shared" si="397"/>
        <v>Air Cooled Chiller Tune up</v>
      </c>
      <c r="AY668" s="2724"/>
      <c r="AZ668" s="3850" t="str">
        <f t="shared" si="398"/>
        <v>803820</v>
      </c>
      <c r="BA668" s="3866" t="s">
        <v>1303</v>
      </c>
      <c r="BB668" s="3866" t="s">
        <v>1303</v>
      </c>
      <c r="BC668" s="3866" t="s">
        <v>1303</v>
      </c>
      <c r="BD668" s="3866" t="s">
        <v>1303</v>
      </c>
      <c r="BE668" s="3853"/>
      <c r="BF668" s="3866" t="s">
        <v>1303</v>
      </c>
      <c r="BG668" s="3866" t="s">
        <v>1303</v>
      </c>
      <c r="BH668" s="3866" t="s">
        <v>1303</v>
      </c>
      <c r="BI668" s="3867" t="s">
        <v>1303</v>
      </c>
      <c r="BJ668" s="3853"/>
      <c r="BK668" s="3866" t="s">
        <v>1303</v>
      </c>
      <c r="BL668" s="3867" t="s">
        <v>1303</v>
      </c>
      <c r="BM668" s="3866" t="s">
        <v>1303</v>
      </c>
      <c r="BN668" s="3867" t="s">
        <v>1303</v>
      </c>
    </row>
    <row r="669" spans="1:66" s="696" customFormat="1">
      <c r="A669" s="2958" t="str">
        <f t="shared" ref="A669:A675" si="457">LEFT(B669,6)</f>
        <v>803825</v>
      </c>
      <c r="B669" s="2233" t="str">
        <f>'BUS Deemed Savings Table'!C475</f>
        <v>803825_2024_12_</v>
      </c>
      <c r="C669" s="2724" t="str">
        <f>'BUS Deemed Savings Table'!G475</f>
        <v>Cooling BUS</v>
      </c>
      <c r="D669" s="2724"/>
      <c r="E669" s="2724"/>
      <c r="F669" s="2724"/>
      <c r="G669" s="2724" t="str">
        <f>'BUS Deemed Savings Table'!E475</f>
        <v>Water Cooled Chiller Tune up</v>
      </c>
      <c r="H669" s="2554" t="str">
        <f>'BUS Deemed Savings Table'!D475</f>
        <v>BSS</v>
      </c>
      <c r="I669" s="3840">
        <f t="shared" si="450"/>
        <v>30.54</v>
      </c>
      <c r="J669" s="3840">
        <f t="shared" si="451"/>
        <v>0</v>
      </c>
      <c r="K669" s="3251">
        <f>'BUS Deemed Savings Table'!F475</f>
        <v>30.54</v>
      </c>
      <c r="L669" s="3251"/>
      <c r="M669" s="3251"/>
      <c r="N669" s="3251"/>
      <c r="O669" s="3841">
        <f t="shared" si="452"/>
        <v>2.7812E-2</v>
      </c>
      <c r="P669" s="3841">
        <f t="shared" si="453"/>
        <v>0</v>
      </c>
      <c r="Q669" s="3841">
        <f>'BUS Deemed Savings Table'!I475</f>
        <v>2.7812E-2</v>
      </c>
      <c r="R669" s="3842">
        <v>0</v>
      </c>
      <c r="S669" s="3842"/>
      <c r="T669" s="3842"/>
      <c r="U669" s="3843">
        <f t="shared" si="433"/>
        <v>2.7812E-2</v>
      </c>
      <c r="V669" s="3843">
        <f t="shared" si="434"/>
        <v>0</v>
      </c>
      <c r="W669" s="3843">
        <f t="shared" si="435"/>
        <v>0</v>
      </c>
      <c r="X669" s="2846">
        <f>'BUS Deemed Savings Table'!J475</f>
        <v>5</v>
      </c>
      <c r="Y669" s="2846"/>
      <c r="Z669" s="2846">
        <f t="shared" si="454"/>
        <v>5</v>
      </c>
      <c r="AA669" s="2529">
        <f>'BUS Deemed Savings Table'!DG475</f>
        <v>4.914611869215415</v>
      </c>
      <c r="AB669" s="3878">
        <f>'BUS Deemed Savings Table'!K475</f>
        <v>5</v>
      </c>
      <c r="AC669" s="3968">
        <f t="shared" si="455"/>
        <v>24.573059346077073</v>
      </c>
      <c r="AD669" s="3968">
        <f t="shared" si="456"/>
        <v>0</v>
      </c>
      <c r="AE669" s="3865">
        <f>'BUS Deemed Savings Table'!DI475</f>
        <v>24.573059346077073</v>
      </c>
      <c r="AF669" s="3846"/>
      <c r="AG669" s="3846"/>
      <c r="AH669" s="3846"/>
      <c r="AI669" s="3969" t="str">
        <f>'BUS Deemed Savings Table'!L475</f>
        <v>per ton</v>
      </c>
      <c r="AJ669" s="2724"/>
      <c r="AX669" s="3849" t="str">
        <f t="shared" si="397"/>
        <v>Water Cooled Chiller Tune up</v>
      </c>
      <c r="AY669" s="2724"/>
      <c r="AZ669" s="3850" t="str">
        <f t="shared" si="398"/>
        <v>803825</v>
      </c>
      <c r="BA669" s="3866" t="s">
        <v>1303</v>
      </c>
      <c r="BB669" s="3866" t="s">
        <v>1303</v>
      </c>
      <c r="BC669" s="3866" t="s">
        <v>1303</v>
      </c>
      <c r="BD669" s="3866" t="s">
        <v>1303</v>
      </c>
      <c r="BE669" s="3853"/>
      <c r="BF669" s="3866" t="s">
        <v>1303</v>
      </c>
      <c r="BG669" s="3866" t="s">
        <v>1303</v>
      </c>
      <c r="BH669" s="3866" t="s">
        <v>1303</v>
      </c>
      <c r="BI669" s="3867" t="s">
        <v>1303</v>
      </c>
      <c r="BJ669" s="3853"/>
      <c r="BK669" s="3866" t="s">
        <v>1303</v>
      </c>
      <c r="BL669" s="3867" t="s">
        <v>1303</v>
      </c>
      <c r="BM669" s="3866" t="s">
        <v>1303</v>
      </c>
      <c r="BN669" s="3867" t="s">
        <v>1303</v>
      </c>
    </row>
    <row r="670" spans="1:66" s="696" customFormat="1">
      <c r="A670" s="2958" t="str">
        <f t="shared" si="457"/>
        <v>803835</v>
      </c>
      <c r="B670" s="2233" t="str">
        <f>'BUS Deemed Savings Table'!C488</f>
        <v>803835_2024_12_</v>
      </c>
      <c r="C670" s="3608" t="str">
        <f>'BUS Deemed Savings Table'!I488</f>
        <v>Cooling BUS</v>
      </c>
      <c r="D670" s="3608"/>
      <c r="E670" s="3608"/>
      <c r="F670" s="3608"/>
      <c r="G670" s="2724" t="str">
        <f>'BUS Deemed Savings Table'!E488</f>
        <v>DOAS, dehumidification</v>
      </c>
      <c r="H670" s="2554" t="str">
        <f>'BUS Deemed Savings Table'!D488</f>
        <v>C&amp;I</v>
      </c>
      <c r="I670" s="3840">
        <f t="shared" si="450"/>
        <v>72.321428571428555</v>
      </c>
      <c r="J670" s="3840">
        <f t="shared" si="451"/>
        <v>0</v>
      </c>
      <c r="K670" s="3251">
        <f>'BUS Deemed Savings Table'!F488</f>
        <v>72.321428571428555</v>
      </c>
      <c r="L670" s="3251"/>
      <c r="M670" s="3251"/>
      <c r="N670" s="3251"/>
      <c r="O670" s="3841">
        <f t="shared" si="452"/>
        <v>6.5862000000000004E-2</v>
      </c>
      <c r="P670" s="3841">
        <f t="shared" si="453"/>
        <v>0</v>
      </c>
      <c r="Q670" s="3841">
        <f>'BUS Deemed Savings Table'!L488</f>
        <v>6.5862000000000004E-2</v>
      </c>
      <c r="R670" s="3842">
        <v>0</v>
      </c>
      <c r="S670" s="3842"/>
      <c r="T670" s="3842"/>
      <c r="U670" s="3843">
        <f t="shared" si="433"/>
        <v>0</v>
      </c>
      <c r="V670" s="3843">
        <f t="shared" si="434"/>
        <v>0</v>
      </c>
      <c r="W670" s="3843">
        <f t="shared" si="435"/>
        <v>6.5862000000000004E-2</v>
      </c>
      <c r="X670" s="2846">
        <f>'BUS Deemed Savings Table'!M488</f>
        <v>20</v>
      </c>
      <c r="Y670" s="2846"/>
      <c r="Z670" s="2846">
        <f t="shared" si="454"/>
        <v>20</v>
      </c>
      <c r="AA670" s="2529">
        <f>'BUS Deemed Savings Table'!DG488</f>
        <v>1.5148717028335119</v>
      </c>
      <c r="AB670" s="3878">
        <f>'BUS Deemed Savings Table'!K488</f>
        <v>9.1068395835808389E-4</v>
      </c>
      <c r="AC670" s="3968">
        <f t="shared" si="455"/>
        <v>168.31907809261244</v>
      </c>
      <c r="AD670" s="3968">
        <f t="shared" si="456"/>
        <v>0</v>
      </c>
      <c r="AE670" s="3865">
        <f>'BUS Deemed Savings Table'!DI488</f>
        <v>168.31907809261244</v>
      </c>
      <c r="AF670" s="3846"/>
      <c r="AG670" s="3846"/>
      <c r="AH670" s="3846"/>
      <c r="AI670" s="3969" t="str">
        <f>'BUS Deemed Savings Table'!O488</f>
        <v>lb/hr</v>
      </c>
      <c r="AJ670" s="2724"/>
      <c r="AX670" s="3849" t="str">
        <f t="shared" ref="AX670" si="458">G670</f>
        <v>DOAS, dehumidification</v>
      </c>
      <c r="AY670" s="2724"/>
      <c r="AZ670" s="3850" t="str">
        <f t="shared" ref="AZ670" si="459">A670</f>
        <v>803835</v>
      </c>
      <c r="BA670" s="3866" t="s">
        <v>1303</v>
      </c>
      <c r="BB670" s="3866" t="s">
        <v>1303</v>
      </c>
      <c r="BC670" s="3866" t="s">
        <v>1303</v>
      </c>
      <c r="BD670" s="3866" t="s">
        <v>1303</v>
      </c>
      <c r="BE670" s="3853"/>
      <c r="BF670" s="3866" t="s">
        <v>1303</v>
      </c>
      <c r="BG670" s="3866" t="s">
        <v>1303</v>
      </c>
      <c r="BH670" s="3866" t="s">
        <v>1303</v>
      </c>
      <c r="BI670" s="3867" t="s">
        <v>1303</v>
      </c>
      <c r="BJ670" s="3853"/>
      <c r="BK670" s="3866" t="s">
        <v>1303</v>
      </c>
      <c r="BL670" s="3867" t="s">
        <v>1303</v>
      </c>
      <c r="BM670" s="3866" t="s">
        <v>1303</v>
      </c>
      <c r="BN670" s="3867" t="s">
        <v>1303</v>
      </c>
    </row>
    <row r="671" spans="1:66" s="696" customFormat="1">
      <c r="A671" s="2958" t="str">
        <f t="shared" si="457"/>
        <v>803837</v>
      </c>
      <c r="B671" s="2233" t="str">
        <f>'BUS Deemed Savings Table'!C489</f>
        <v>803837_2024_12_</v>
      </c>
      <c r="C671" s="3608" t="str">
        <f>'BUS Deemed Savings Table'!I489</f>
        <v>Cooling BUS</v>
      </c>
      <c r="D671" s="3608"/>
      <c r="E671" s="3608"/>
      <c r="F671" s="3608"/>
      <c r="G671" s="2724" t="str">
        <f>'BUS Deemed Savings Table'!E489</f>
        <v>DOAS, dehumdiification, latent cooling, sensible cooling</v>
      </c>
      <c r="H671" s="2554" t="str">
        <f>'BUS Deemed Savings Table'!D489</f>
        <v>C&amp;I</v>
      </c>
      <c r="I671" s="3840">
        <f t="shared" si="450"/>
        <v>102.68796992481201</v>
      </c>
      <c r="J671" s="3840">
        <f t="shared" si="451"/>
        <v>0</v>
      </c>
      <c r="K671" s="3251">
        <f>'BUS Deemed Savings Table'!F489</f>
        <v>102.68796992481201</v>
      </c>
      <c r="L671" s="3251"/>
      <c r="M671" s="3251"/>
      <c r="N671" s="3251"/>
      <c r="O671" s="3841">
        <f t="shared" si="452"/>
        <v>9.3516000000000002E-2</v>
      </c>
      <c r="P671" s="3841">
        <f t="shared" si="453"/>
        <v>0</v>
      </c>
      <c r="Q671" s="3841">
        <f>'BUS Deemed Savings Table'!L489</f>
        <v>9.3516000000000002E-2</v>
      </c>
      <c r="R671" s="3842">
        <v>0</v>
      </c>
      <c r="S671" s="3842"/>
      <c r="T671" s="3842"/>
      <c r="U671" s="3843">
        <f t="shared" si="433"/>
        <v>0</v>
      </c>
      <c r="V671" s="3843">
        <f t="shared" si="434"/>
        <v>0</v>
      </c>
      <c r="W671" s="3843">
        <f t="shared" si="435"/>
        <v>9.3516000000000002E-2</v>
      </c>
      <c r="X671" s="2846">
        <f>'BUS Deemed Savings Table'!M489</f>
        <v>20</v>
      </c>
      <c r="Y671" s="2846"/>
      <c r="Z671" s="2846">
        <f t="shared" si="454"/>
        <v>20</v>
      </c>
      <c r="AA671" s="2529">
        <f>'BUS Deemed Savings Table'!DG489</f>
        <v>2.1509406400466475</v>
      </c>
      <c r="AB671" s="3878">
        <f>'BUS Deemed Savings Table'!K489</f>
        <v>9.1068395835808389E-4</v>
      </c>
      <c r="AC671" s="3968">
        <f t="shared" si="455"/>
        <v>238.99340444962752</v>
      </c>
      <c r="AD671" s="3968">
        <f t="shared" si="456"/>
        <v>0</v>
      </c>
      <c r="AE671" s="3865">
        <f>'BUS Deemed Savings Table'!DI489</f>
        <v>238.99340444962752</v>
      </c>
      <c r="AF671" s="3846"/>
      <c r="AG671" s="3846"/>
      <c r="AH671" s="3846"/>
      <c r="AI671" s="3969" t="str">
        <f>'BUS Deemed Savings Table'!O489</f>
        <v>lb/hr</v>
      </c>
      <c r="AJ671" s="2724"/>
      <c r="AX671" s="3849" t="str">
        <f t="shared" ref="AX671:AX672" si="460">G671</f>
        <v>DOAS, dehumdiification, latent cooling, sensible cooling</v>
      </c>
      <c r="AY671" s="2724"/>
      <c r="AZ671" s="3850" t="str">
        <f t="shared" ref="AZ671:AZ672" si="461">A671</f>
        <v>803837</v>
      </c>
      <c r="BA671" s="3866" t="s">
        <v>1303</v>
      </c>
      <c r="BB671" s="3866" t="s">
        <v>1303</v>
      </c>
      <c r="BC671" s="3866" t="s">
        <v>1303</v>
      </c>
      <c r="BD671" s="3866" t="s">
        <v>1303</v>
      </c>
      <c r="BE671" s="3853"/>
      <c r="BF671" s="3866" t="s">
        <v>1303</v>
      </c>
      <c r="BG671" s="3866" t="s">
        <v>1303</v>
      </c>
      <c r="BH671" s="3866" t="s">
        <v>1303</v>
      </c>
      <c r="BI671" s="3867" t="s">
        <v>1303</v>
      </c>
      <c r="BJ671" s="3853"/>
      <c r="BK671" s="3866" t="s">
        <v>1303</v>
      </c>
      <c r="BL671" s="3867" t="s">
        <v>1303</v>
      </c>
      <c r="BM671" s="3866" t="s">
        <v>1303</v>
      </c>
      <c r="BN671" s="3867" t="s">
        <v>1303</v>
      </c>
    </row>
    <row r="672" spans="1:66" s="696" customFormat="1">
      <c r="A672" s="2958" t="str">
        <f t="shared" si="457"/>
        <v>803839</v>
      </c>
      <c r="B672" s="2233" t="str">
        <f>'BUS Deemed Savings Table'!C490</f>
        <v>803839_2024_12_</v>
      </c>
      <c r="C672" s="3608" t="str">
        <f>'BUS Deemed Savings Table'!I490</f>
        <v>Cooling BUS</v>
      </c>
      <c r="D672" s="3608" t="str">
        <f>'BUS Deemed Savings Table'!J490</f>
        <v>Heating BUS</v>
      </c>
      <c r="E672" s="3608"/>
      <c r="F672" s="3608"/>
      <c r="G672" s="2724" t="str">
        <f>'BUS Deemed Savings Table'!E490</f>
        <v>DOAS, dehumification, latent cooling, sensible cooling, ASHP heating 17F rated</v>
      </c>
      <c r="H672" s="2554" t="str">
        <f>'BUS Deemed Savings Table'!D490</f>
        <v>C&amp;I</v>
      </c>
      <c r="I672" s="3840">
        <f t="shared" si="450"/>
        <v>154.87296376216324</v>
      </c>
      <c r="J672" s="3840">
        <f t="shared" si="451"/>
        <v>0</v>
      </c>
      <c r="K672" s="3251">
        <f>'BUS Deemed Savings Table'!F490</f>
        <v>154.87296376216324</v>
      </c>
      <c r="L672" s="3251"/>
      <c r="M672" s="3251"/>
      <c r="N672" s="3251"/>
      <c r="O672" s="3841">
        <f t="shared" si="452"/>
        <v>9.3516000000000002E-2</v>
      </c>
      <c r="P672" s="3841">
        <f t="shared" si="453"/>
        <v>0</v>
      </c>
      <c r="Q672" s="3841">
        <f>'BUS Deemed Savings Table'!L490</f>
        <v>9.3516000000000002E-2</v>
      </c>
      <c r="R672" s="3842">
        <v>0</v>
      </c>
      <c r="S672" s="3842"/>
      <c r="T672" s="3842"/>
      <c r="U672" s="3843">
        <f t="shared" si="433"/>
        <v>0</v>
      </c>
      <c r="V672" s="3843">
        <f t="shared" si="434"/>
        <v>0</v>
      </c>
      <c r="W672" s="3843">
        <f t="shared" si="435"/>
        <v>9.3516000000000002E-2</v>
      </c>
      <c r="X672" s="2846">
        <f>'BUS Deemed Savings Table'!M490</f>
        <v>20</v>
      </c>
      <c r="Y672" s="2846"/>
      <c r="Z672" s="2846">
        <f t="shared" si="454"/>
        <v>20</v>
      </c>
      <c r="AA672" s="2529">
        <f>'BUS Deemed Savings Table'!DG490</f>
        <v>3.2440270466386716</v>
      </c>
      <c r="AB672" s="3878">
        <f>'BUS Deemed Savings Table'!K490</f>
        <v>9.1068395835808389E-4</v>
      </c>
      <c r="AC672" s="3968">
        <f t="shared" si="455"/>
        <v>360.44744962651907</v>
      </c>
      <c r="AD672" s="3968">
        <f t="shared" si="456"/>
        <v>0</v>
      </c>
      <c r="AE672" s="3865">
        <f>'BUS Deemed Savings Table'!DI490</f>
        <v>360.44744962651907</v>
      </c>
      <c r="AF672" s="3846"/>
      <c r="AG672" s="3846"/>
      <c r="AH672" s="3846"/>
      <c r="AI672" s="3969" t="str">
        <f>'BUS Deemed Savings Table'!O490</f>
        <v>lb/hr</v>
      </c>
      <c r="AJ672" s="2724"/>
      <c r="AX672" s="3849" t="str">
        <f t="shared" si="460"/>
        <v>DOAS, dehumification, latent cooling, sensible cooling, ASHP heating 17F rated</v>
      </c>
      <c r="AY672" s="2724"/>
      <c r="AZ672" s="3850" t="str">
        <f t="shared" si="461"/>
        <v>803839</v>
      </c>
      <c r="BA672" s="3866" t="s">
        <v>1303</v>
      </c>
      <c r="BB672" s="3866" t="s">
        <v>1303</v>
      </c>
      <c r="BC672" s="3866" t="s">
        <v>1303</v>
      </c>
      <c r="BD672" s="3866" t="s">
        <v>1303</v>
      </c>
      <c r="BE672" s="3853"/>
      <c r="BF672" s="3866" t="s">
        <v>1303</v>
      </c>
      <c r="BG672" s="3866" t="s">
        <v>1303</v>
      </c>
      <c r="BH672" s="3866" t="s">
        <v>1303</v>
      </c>
      <c r="BI672" s="3867" t="s">
        <v>1303</v>
      </c>
      <c r="BJ672" s="3853"/>
      <c r="BK672" s="3866" t="s">
        <v>1303</v>
      </c>
      <c r="BL672" s="3867" t="s">
        <v>1303</v>
      </c>
      <c r="BM672" s="3866" t="s">
        <v>1303</v>
      </c>
      <c r="BN672" s="3867" t="s">
        <v>1303</v>
      </c>
    </row>
    <row r="673" spans="1:66" s="696" customFormat="1">
      <c r="A673" s="2958" t="str">
        <f t="shared" si="457"/>
        <v>803841</v>
      </c>
      <c r="B673" s="2233" t="str">
        <f>'BUS Deemed Savings Table'!C491</f>
        <v>803841_2024_12_</v>
      </c>
      <c r="C673" s="3608" t="str">
        <f>'BUS Deemed Savings Table'!I491</f>
        <v>Cooling BUS</v>
      </c>
      <c r="D673" s="3608"/>
      <c r="E673" s="3608"/>
      <c r="F673" s="3608"/>
      <c r="G673" s="2724" t="str">
        <f>'BUS Deemed Savings Table'!E491</f>
        <v xml:space="preserve">DOAS, VRS,dehumidification </v>
      </c>
      <c r="H673" s="2554" t="str">
        <f>'BUS Deemed Savings Table'!D491</f>
        <v>C&amp;I</v>
      </c>
      <c r="I673" s="3840">
        <f t="shared" si="450"/>
        <v>72.321428571428555</v>
      </c>
      <c r="J673" s="3840">
        <f t="shared" si="451"/>
        <v>0</v>
      </c>
      <c r="K673" s="3251">
        <f>'BUS Deemed Savings Table'!F491</f>
        <v>72.321428571428555</v>
      </c>
      <c r="L673" s="3251"/>
      <c r="M673" s="3251"/>
      <c r="N673" s="3251"/>
      <c r="O673" s="3841">
        <f t="shared" si="452"/>
        <v>6.5862000000000004E-2</v>
      </c>
      <c r="P673" s="3841">
        <f t="shared" si="453"/>
        <v>0</v>
      </c>
      <c r="Q673" s="3841">
        <f>'BUS Deemed Savings Table'!L491</f>
        <v>6.5862000000000004E-2</v>
      </c>
      <c r="R673" s="3842">
        <v>0</v>
      </c>
      <c r="S673" s="3842"/>
      <c r="T673" s="3842"/>
      <c r="U673" s="3843">
        <f t="shared" si="433"/>
        <v>0</v>
      </c>
      <c r="V673" s="3843">
        <f t="shared" si="434"/>
        <v>0</v>
      </c>
      <c r="W673" s="3843">
        <f t="shared" si="435"/>
        <v>6.5862000000000004E-2</v>
      </c>
      <c r="X673" s="2846">
        <f>'BUS Deemed Savings Table'!M491</f>
        <v>20</v>
      </c>
      <c r="Y673" s="2846"/>
      <c r="Z673" s="2846">
        <f t="shared" si="454"/>
        <v>20</v>
      </c>
      <c r="AA673" s="2529">
        <f>'BUS Deemed Savings Table'!DG491</f>
        <v>0.65863987079717912</v>
      </c>
      <c r="AB673" s="3878">
        <f>'BUS Deemed Savings Table'!K491</f>
        <v>9.1068395835808389E-4</v>
      </c>
      <c r="AC673" s="3968">
        <f t="shared" si="455"/>
        <v>168.31907809261244</v>
      </c>
      <c r="AD673" s="3968">
        <f t="shared" si="456"/>
        <v>0</v>
      </c>
      <c r="AE673" s="3865">
        <f>'BUS Deemed Savings Table'!DI491</f>
        <v>168.31907809261244</v>
      </c>
      <c r="AF673" s="3846"/>
      <c r="AG673" s="3846"/>
      <c r="AH673" s="3846"/>
      <c r="AI673" s="3969" t="str">
        <f>'BUS Deemed Savings Table'!O491</f>
        <v>lb/hr</v>
      </c>
      <c r="AJ673" s="2724"/>
      <c r="AX673" s="3849" t="str">
        <f t="shared" ref="AX673:AX675" si="462">G673</f>
        <v xml:space="preserve">DOAS, VRS,dehumidification </v>
      </c>
      <c r="AY673" s="2724"/>
      <c r="AZ673" s="3850" t="str">
        <f t="shared" ref="AZ673:AZ675" si="463">A673</f>
        <v>803841</v>
      </c>
      <c r="BA673" s="3866" t="s">
        <v>1303</v>
      </c>
      <c r="BB673" s="3866" t="s">
        <v>1303</v>
      </c>
      <c r="BC673" s="3866" t="s">
        <v>1303</v>
      </c>
      <c r="BD673" s="3866" t="s">
        <v>1303</v>
      </c>
      <c r="BE673" s="3853"/>
      <c r="BF673" s="3866" t="s">
        <v>1303</v>
      </c>
      <c r="BG673" s="3866" t="s">
        <v>1303</v>
      </c>
      <c r="BH673" s="3866" t="s">
        <v>1303</v>
      </c>
      <c r="BI673" s="3867" t="s">
        <v>1303</v>
      </c>
      <c r="BJ673" s="3853"/>
      <c r="BK673" s="3866" t="s">
        <v>1303</v>
      </c>
      <c r="BL673" s="3867" t="s">
        <v>1303</v>
      </c>
      <c r="BM673" s="3866" t="s">
        <v>1303</v>
      </c>
      <c r="BN673" s="3867" t="s">
        <v>1303</v>
      </c>
    </row>
    <row r="674" spans="1:66" s="696" customFormat="1">
      <c r="A674" s="2958" t="str">
        <f t="shared" si="457"/>
        <v>803843</v>
      </c>
      <c r="B674" s="2233" t="str">
        <f>'BUS Deemed Savings Table'!C492</f>
        <v>803843_2024_12_</v>
      </c>
      <c r="C674" s="3608" t="str">
        <f>'BUS Deemed Savings Table'!I492</f>
        <v>Cooling BUS</v>
      </c>
      <c r="D674" s="3608"/>
      <c r="E674" s="3608"/>
      <c r="F674" s="3608"/>
      <c r="G674" s="2724" t="str">
        <f>'BUS Deemed Savings Table'!E492</f>
        <v xml:space="preserve">DOAS, VRS, dehumification, latent cooling, sensible cooling </v>
      </c>
      <c r="H674" s="2554" t="str">
        <f>'BUS Deemed Savings Table'!D492</f>
        <v>C&amp;I</v>
      </c>
      <c r="I674" s="3840">
        <f t="shared" si="450"/>
        <v>102.68796992481201</v>
      </c>
      <c r="J674" s="3840">
        <f t="shared" si="451"/>
        <v>0</v>
      </c>
      <c r="K674" s="3251">
        <f>'BUS Deemed Savings Table'!F492</f>
        <v>102.68796992481201</v>
      </c>
      <c r="L674" s="3251"/>
      <c r="M674" s="3251"/>
      <c r="N674" s="3251"/>
      <c r="O674" s="3841">
        <f t="shared" si="452"/>
        <v>9.3516000000000002E-2</v>
      </c>
      <c r="P674" s="3841">
        <f t="shared" si="453"/>
        <v>0</v>
      </c>
      <c r="Q674" s="3841">
        <f>'BUS Deemed Savings Table'!L492</f>
        <v>9.3516000000000002E-2</v>
      </c>
      <c r="R674" s="3842">
        <v>0</v>
      </c>
      <c r="S674" s="3842"/>
      <c r="T674" s="3842"/>
      <c r="U674" s="3843">
        <f t="shared" si="433"/>
        <v>0</v>
      </c>
      <c r="V674" s="3843">
        <f t="shared" si="434"/>
        <v>0</v>
      </c>
      <c r="W674" s="3843">
        <f t="shared" si="435"/>
        <v>9.3516000000000002E-2</v>
      </c>
      <c r="X674" s="2846">
        <f>'BUS Deemed Savings Table'!M492</f>
        <v>20</v>
      </c>
      <c r="Y674" s="2846"/>
      <c r="Z674" s="2846">
        <f t="shared" si="454"/>
        <v>20</v>
      </c>
      <c r="AA674" s="2529">
        <f>'BUS Deemed Savings Table'!DG492</f>
        <v>0.93519158262897728</v>
      </c>
      <c r="AB674" s="3878">
        <f>'BUS Deemed Savings Table'!K492</f>
        <v>9.1068395835808389E-4</v>
      </c>
      <c r="AC674" s="3968">
        <f t="shared" si="455"/>
        <v>238.99340444962752</v>
      </c>
      <c r="AD674" s="3968">
        <f t="shared" si="456"/>
        <v>0</v>
      </c>
      <c r="AE674" s="3865">
        <f>'BUS Deemed Savings Table'!DI492</f>
        <v>238.99340444962752</v>
      </c>
      <c r="AF674" s="3846"/>
      <c r="AG674" s="3846"/>
      <c r="AH674" s="3846"/>
      <c r="AI674" s="3969" t="str">
        <f>'BUS Deemed Savings Table'!O492</f>
        <v>lb/hr</v>
      </c>
      <c r="AJ674" s="2724"/>
      <c r="AX674" s="3849" t="str">
        <f t="shared" si="462"/>
        <v xml:space="preserve">DOAS, VRS, dehumification, latent cooling, sensible cooling </v>
      </c>
      <c r="AY674" s="2724"/>
      <c r="AZ674" s="3850" t="str">
        <f t="shared" si="463"/>
        <v>803843</v>
      </c>
      <c r="BA674" s="3866" t="s">
        <v>1303</v>
      </c>
      <c r="BB674" s="3866" t="s">
        <v>1303</v>
      </c>
      <c r="BC674" s="3866" t="s">
        <v>1303</v>
      </c>
      <c r="BD674" s="3866" t="s">
        <v>1303</v>
      </c>
      <c r="BE674" s="3853"/>
      <c r="BF674" s="3866" t="s">
        <v>1303</v>
      </c>
      <c r="BG674" s="3866" t="s">
        <v>1303</v>
      </c>
      <c r="BH674" s="3866" t="s">
        <v>1303</v>
      </c>
      <c r="BI674" s="3867" t="s">
        <v>1303</v>
      </c>
      <c r="BJ674" s="3853"/>
      <c r="BK674" s="3866" t="s">
        <v>1303</v>
      </c>
      <c r="BL674" s="3867" t="s">
        <v>1303</v>
      </c>
      <c r="BM674" s="3866" t="s">
        <v>1303</v>
      </c>
      <c r="BN674" s="3867" t="s">
        <v>1303</v>
      </c>
    </row>
    <row r="675" spans="1:66" s="696" customFormat="1">
      <c r="A675" s="2958" t="str">
        <f t="shared" si="457"/>
        <v>803845</v>
      </c>
      <c r="B675" s="2233" t="str">
        <f>'BUS Deemed Savings Table'!C493</f>
        <v>803845_2024_12_</v>
      </c>
      <c r="C675" s="3608" t="str">
        <f>'BUS Deemed Savings Table'!I493</f>
        <v>Cooling BUS</v>
      </c>
      <c r="D675" s="3608" t="str">
        <f>'BUS Deemed Savings Table'!J493</f>
        <v>Heating BUS</v>
      </c>
      <c r="E675" s="3608"/>
      <c r="F675" s="3608"/>
      <c r="G675" s="2724" t="str">
        <f>'BUS Deemed Savings Table'!E493</f>
        <v xml:space="preserve">DOAS, VRS, dehumification, latent cooling, sensible cooling, ASHP heating 17F rated  </v>
      </c>
      <c r="H675" s="2554" t="str">
        <f>'BUS Deemed Savings Table'!D493</f>
        <v>C&amp;I</v>
      </c>
      <c r="I675" s="3840">
        <f t="shared" si="450"/>
        <v>170.45537368670566</v>
      </c>
      <c r="J675" s="3840">
        <f t="shared" si="451"/>
        <v>0</v>
      </c>
      <c r="K675" s="3251">
        <f>'BUS Deemed Savings Table'!F493</f>
        <v>170.45537368670566</v>
      </c>
      <c r="L675" s="3251"/>
      <c r="M675" s="3251"/>
      <c r="N675" s="3251"/>
      <c r="O675" s="3841">
        <f t="shared" si="452"/>
        <v>9.3516000000000002E-2</v>
      </c>
      <c r="P675" s="3841">
        <f t="shared" si="453"/>
        <v>0</v>
      </c>
      <c r="Q675" s="3841">
        <f>'BUS Deemed Savings Table'!L493</f>
        <v>9.3516000000000002E-2</v>
      </c>
      <c r="R675" s="3842">
        <v>0</v>
      </c>
      <c r="S675" s="3842"/>
      <c r="T675" s="3842"/>
      <c r="U675" s="3843">
        <f t="shared" si="433"/>
        <v>0</v>
      </c>
      <c r="V675" s="3843">
        <f t="shared" si="434"/>
        <v>0</v>
      </c>
      <c r="W675" s="3843">
        <f t="shared" si="435"/>
        <v>9.3516000000000002E-2</v>
      </c>
      <c r="X675" s="2846">
        <f>'BUS Deemed Savings Table'!M493</f>
        <v>20</v>
      </c>
      <c r="Y675" s="2846"/>
      <c r="Z675" s="2846">
        <f t="shared" si="454"/>
        <v>20</v>
      </c>
      <c r="AA675" s="2529">
        <f>'BUS Deemed Savings Table'!DG493</f>
        <v>1.5523574066407451</v>
      </c>
      <c r="AB675" s="3878">
        <f>'BUS Deemed Savings Table'!K493</f>
        <v>9.1068395835808389E-4</v>
      </c>
      <c r="AC675" s="3968">
        <f t="shared" si="455"/>
        <v>396.71355947485705</v>
      </c>
      <c r="AD675" s="3968">
        <f t="shared" si="456"/>
        <v>0</v>
      </c>
      <c r="AE675" s="3865">
        <f>'BUS Deemed Savings Table'!DI493</f>
        <v>396.71355947485705</v>
      </c>
      <c r="AF675" s="3846"/>
      <c r="AG675" s="3846"/>
      <c r="AH675" s="3846"/>
      <c r="AI675" s="3969" t="str">
        <f>'BUS Deemed Savings Table'!O493</f>
        <v>lb/hr</v>
      </c>
      <c r="AJ675" s="2724"/>
      <c r="AX675" s="3849" t="str">
        <f t="shared" si="462"/>
        <v xml:space="preserve">DOAS, VRS, dehumification, latent cooling, sensible cooling, ASHP heating 17F rated  </v>
      </c>
      <c r="AY675" s="2724"/>
      <c r="AZ675" s="3850" t="str">
        <f t="shared" si="463"/>
        <v>803845</v>
      </c>
      <c r="BA675" s="3866" t="s">
        <v>1303</v>
      </c>
      <c r="BB675" s="3866" t="s">
        <v>1303</v>
      </c>
      <c r="BC675" s="3866" t="s">
        <v>1303</v>
      </c>
      <c r="BD675" s="3866" t="s">
        <v>1303</v>
      </c>
      <c r="BE675" s="3853"/>
      <c r="BF675" s="3866" t="s">
        <v>1303</v>
      </c>
      <c r="BG675" s="3866" t="s">
        <v>1303</v>
      </c>
      <c r="BH675" s="3866" t="s">
        <v>1303</v>
      </c>
      <c r="BI675" s="3867" t="s">
        <v>1303</v>
      </c>
      <c r="BJ675" s="3853"/>
      <c r="BK675" s="3866" t="s">
        <v>1303</v>
      </c>
      <c r="BL675" s="3867" t="s">
        <v>1303</v>
      </c>
      <c r="BM675" s="3866" t="s">
        <v>1303</v>
      </c>
      <c r="BN675" s="3867" t="s">
        <v>1303</v>
      </c>
    </row>
    <row r="676" spans="1:66" s="696" customFormat="1">
      <c r="A676" s="2958" t="str">
        <f t="shared" si="411"/>
        <v>803850</v>
      </c>
      <c r="B676" s="2233" t="str">
        <f>'BUS Deemed Savings Table'!C517</f>
        <v>803850_2024_12_</v>
      </c>
      <c r="C676" s="2724" t="str">
        <f>'BUS Deemed Savings Table'!G517</f>
        <v>Miscellaneous BUS</v>
      </c>
      <c r="D676" s="2724"/>
      <c r="E676" s="2724"/>
      <c r="F676" s="2724"/>
      <c r="G676" s="2724" t="str">
        <f>'BUS Deemed Savings Table'!E517</f>
        <v>Clothes Washer (Electric DHW; Electric Dryer)</v>
      </c>
      <c r="H676" s="2554" t="str">
        <f>'BUS Deemed Savings Table'!D517</f>
        <v>BSS</v>
      </c>
      <c r="I676" s="3840">
        <f>'BUS Deemed Savings Table'!F517</f>
        <v>678.99</v>
      </c>
      <c r="J676" s="3840"/>
      <c r="K676" s="3251"/>
      <c r="L676" s="3251"/>
      <c r="M676" s="3251"/>
      <c r="N676" s="3251"/>
      <c r="O676" s="3841">
        <f>'BUS Deemed Savings Table'!I517</f>
        <v>9.3662999999999996E-2</v>
      </c>
      <c r="P676" s="3841"/>
      <c r="Q676" s="3842"/>
      <c r="R676" s="3842"/>
      <c r="S676" s="3842"/>
      <c r="T676" s="3842"/>
      <c r="U676" s="3843">
        <f t="shared" si="433"/>
        <v>0</v>
      </c>
      <c r="V676" s="3843">
        <f t="shared" si="434"/>
        <v>9.3662999999999996E-2</v>
      </c>
      <c r="W676" s="3843">
        <f t="shared" si="435"/>
        <v>0</v>
      </c>
      <c r="X676" s="2846">
        <f>'BUS Deemed Savings Table'!J517</f>
        <v>11</v>
      </c>
      <c r="Y676" s="2846"/>
      <c r="Z676" s="2846">
        <f t="shared" si="412"/>
        <v>11</v>
      </c>
      <c r="AA676" s="2529">
        <f>'BUS Deemed Savings Table'!DG517</f>
        <v>1.9438813072772527</v>
      </c>
      <c r="AB676" s="3878">
        <f>'BUS Deemed Savings Table'!K517</f>
        <v>200</v>
      </c>
      <c r="AC676" s="3968">
        <f t="shared" si="413"/>
        <v>388.77626145545054</v>
      </c>
      <c r="AD676" s="3968">
        <f t="shared" si="414"/>
        <v>0</v>
      </c>
      <c r="AE676" s="3865">
        <f>'BUS Deemed Savings Table'!DI517</f>
        <v>388.77626145545054</v>
      </c>
      <c r="AF676" s="3846"/>
      <c r="AG676" s="3846"/>
      <c r="AH676" s="3846"/>
      <c r="AI676" s="3969" t="str">
        <f>'BUS Deemed Savings Table'!L517</f>
        <v>per measure</v>
      </c>
      <c r="AJ676" s="2724"/>
      <c r="AX676" s="3849" t="str">
        <f t="shared" si="397"/>
        <v>Clothes Washer (Electric DHW; Electric Dryer)</v>
      </c>
      <c r="AY676" s="2724"/>
      <c r="AZ676" s="3850" t="str">
        <f t="shared" si="398"/>
        <v>803850</v>
      </c>
      <c r="BA676" s="3866" t="s">
        <v>1303</v>
      </c>
      <c r="BB676" s="3866" t="s">
        <v>1303</v>
      </c>
      <c r="BC676" s="3866" t="s">
        <v>1303</v>
      </c>
      <c r="BD676" s="3866" t="s">
        <v>1303</v>
      </c>
      <c r="BE676" s="3853"/>
      <c r="BF676" s="3866" t="s">
        <v>1303</v>
      </c>
      <c r="BG676" s="3866" t="s">
        <v>1303</v>
      </c>
      <c r="BH676" s="3866" t="s">
        <v>1303</v>
      </c>
      <c r="BI676" s="3867" t="s">
        <v>1303</v>
      </c>
      <c r="BJ676" s="3853"/>
      <c r="BK676" s="3866" t="s">
        <v>1303</v>
      </c>
      <c r="BL676" s="3867" t="s">
        <v>1303</v>
      </c>
      <c r="BM676" s="3866" t="s">
        <v>1303</v>
      </c>
      <c r="BN676" s="3867" t="s">
        <v>1303</v>
      </c>
    </row>
    <row r="677" spans="1:66" s="696" customFormat="1">
      <c r="A677" s="2958" t="str">
        <f t="shared" si="411"/>
        <v>803900</v>
      </c>
      <c r="B677" s="2233" t="str">
        <f>'BUS Deemed Savings Table'!C518</f>
        <v>803900_2024_12_</v>
      </c>
      <c r="C677" s="2724" t="str">
        <f>'BUS Deemed Savings Table'!G518</f>
        <v>Miscellaneous BUS</v>
      </c>
      <c r="D677" s="2724"/>
      <c r="E677" s="2724"/>
      <c r="F677" s="2724"/>
      <c r="G677" s="2724" t="str">
        <f>'BUS Deemed Savings Table'!E518</f>
        <v>Clothes Washer (Gas DHW; Electric Dryer)</v>
      </c>
      <c r="H677" s="2554" t="str">
        <f>'BUS Deemed Savings Table'!D518</f>
        <v>BSS</v>
      </c>
      <c r="I677" s="3840">
        <f>'BUS Deemed Savings Table'!F518</f>
        <v>92.26</v>
      </c>
      <c r="J677" s="3840"/>
      <c r="K677" s="3251"/>
      <c r="L677" s="3251"/>
      <c r="M677" s="3251"/>
      <c r="N677" s="3251"/>
      <c r="O677" s="3841">
        <f>'BUS Deemed Savings Table'!I518</f>
        <v>1.2727E-2</v>
      </c>
      <c r="P677" s="3841"/>
      <c r="Q677" s="3842"/>
      <c r="R677" s="3842"/>
      <c r="S677" s="3842"/>
      <c r="T677" s="3842"/>
      <c r="U677" s="3843">
        <f t="shared" si="433"/>
        <v>0</v>
      </c>
      <c r="V677" s="3843">
        <f t="shared" si="434"/>
        <v>1.2727E-2</v>
      </c>
      <c r="W677" s="3843">
        <f t="shared" si="435"/>
        <v>0</v>
      </c>
      <c r="X677" s="2846">
        <f>'BUS Deemed Savings Table'!J518</f>
        <v>11</v>
      </c>
      <c r="Y677" s="2846"/>
      <c r="Z677" s="2846">
        <f t="shared" si="412"/>
        <v>11</v>
      </c>
      <c r="AA677" s="2529">
        <f>'BUS Deemed Savings Table'!DG518</f>
        <v>0.26413126763192291</v>
      </c>
      <c r="AB677" s="3878">
        <f>'BUS Deemed Savings Table'!K518</f>
        <v>200</v>
      </c>
      <c r="AC677" s="3968">
        <f t="shared" si="413"/>
        <v>52.826253526384583</v>
      </c>
      <c r="AD677" s="3968">
        <f t="shared" si="414"/>
        <v>0</v>
      </c>
      <c r="AE677" s="3865">
        <f>'BUS Deemed Savings Table'!DI518</f>
        <v>52.826253526384583</v>
      </c>
      <c r="AF677" s="3846"/>
      <c r="AG677" s="3846"/>
      <c r="AH677" s="3846"/>
      <c r="AI677" s="3969" t="str">
        <f>'BUS Deemed Savings Table'!L518</f>
        <v>per measure</v>
      </c>
      <c r="AJ677" s="2724"/>
      <c r="AX677" s="3849" t="str">
        <f t="shared" si="397"/>
        <v>Clothes Washer (Gas DHW; Electric Dryer)</v>
      </c>
      <c r="AY677" s="2724"/>
      <c r="AZ677" s="3850" t="str">
        <f t="shared" si="398"/>
        <v>803900</v>
      </c>
      <c r="BA677" s="3866" t="s">
        <v>1303</v>
      </c>
      <c r="BB677" s="3866" t="s">
        <v>1303</v>
      </c>
      <c r="BC677" s="3866" t="s">
        <v>1303</v>
      </c>
      <c r="BD677" s="3866" t="s">
        <v>1303</v>
      </c>
      <c r="BE677" s="3853"/>
      <c r="BF677" s="3866" t="s">
        <v>1303</v>
      </c>
      <c r="BG677" s="3866" t="s">
        <v>1303</v>
      </c>
      <c r="BH677" s="3866" t="s">
        <v>1303</v>
      </c>
      <c r="BI677" s="3867" t="s">
        <v>1303</v>
      </c>
      <c r="BJ677" s="3853"/>
      <c r="BK677" s="3866" t="s">
        <v>1303</v>
      </c>
      <c r="BL677" s="3867" t="s">
        <v>1303</v>
      </c>
      <c r="BM677" s="3866" t="s">
        <v>1303</v>
      </c>
      <c r="BN677" s="3867" t="s">
        <v>1303</v>
      </c>
    </row>
    <row r="678" spans="1:66" s="696" customFormat="1">
      <c r="A678" s="2958" t="str">
        <f t="shared" si="411"/>
        <v>803950</v>
      </c>
      <c r="B678" s="2233" t="str">
        <f>'BUS Deemed Savings Table'!C519</f>
        <v>803950_2024_12_</v>
      </c>
      <c r="C678" s="2724" t="str">
        <f>'BUS Deemed Savings Table'!G519</f>
        <v>Miscellaneous BUS</v>
      </c>
      <c r="D678" s="2724"/>
      <c r="E678" s="2724"/>
      <c r="F678" s="2724"/>
      <c r="G678" s="2724" t="str">
        <f>'BUS Deemed Savings Table'!E519</f>
        <v>Clothes Washer (Electric DHW; Gas Dryer)</v>
      </c>
      <c r="H678" s="2554" t="str">
        <f>'BUS Deemed Savings Table'!D519</f>
        <v>BSS</v>
      </c>
      <c r="I678" s="3840">
        <f>'BUS Deemed Savings Table'!F519</f>
        <v>735.33</v>
      </c>
      <c r="J678" s="3840"/>
      <c r="K678" s="3251"/>
      <c r="L678" s="3251"/>
      <c r="M678" s="3251"/>
      <c r="N678" s="3251"/>
      <c r="O678" s="3841">
        <f>'BUS Deemed Savings Table'!I519</f>
        <v>0.101434</v>
      </c>
      <c r="P678" s="3841"/>
      <c r="Q678" s="3842"/>
      <c r="R678" s="3842"/>
      <c r="S678" s="3842"/>
      <c r="T678" s="3842"/>
      <c r="U678" s="3843">
        <f t="shared" si="433"/>
        <v>0</v>
      </c>
      <c r="V678" s="3843">
        <f t="shared" si="434"/>
        <v>0.101434</v>
      </c>
      <c r="W678" s="3843">
        <f t="shared" si="435"/>
        <v>0</v>
      </c>
      <c r="X678" s="2846">
        <f>'BUS Deemed Savings Table'!J519</f>
        <v>11</v>
      </c>
      <c r="Y678" s="2846"/>
      <c r="Z678" s="2846">
        <f t="shared" si="412"/>
        <v>11</v>
      </c>
      <c r="AA678" s="2529">
        <f>'BUS Deemed Savings Table'!DG519</f>
        <v>2.1051771626683489</v>
      </c>
      <c r="AB678" s="3878">
        <f>'BUS Deemed Savings Table'!K519</f>
        <v>200</v>
      </c>
      <c r="AC678" s="3968">
        <f t="shared" si="413"/>
        <v>421.03543253366979</v>
      </c>
      <c r="AD678" s="3968">
        <f t="shared" si="414"/>
        <v>0</v>
      </c>
      <c r="AE678" s="3865">
        <f>'BUS Deemed Savings Table'!DI519</f>
        <v>421.03543253366979</v>
      </c>
      <c r="AF678" s="3846"/>
      <c r="AG678" s="3846"/>
      <c r="AH678" s="3846"/>
      <c r="AI678" s="3969" t="str">
        <f>'BUS Deemed Savings Table'!L519</f>
        <v>per measure</v>
      </c>
      <c r="AJ678" s="2724"/>
      <c r="AX678" s="3849" t="str">
        <f t="shared" si="397"/>
        <v>Clothes Washer (Electric DHW; Gas Dryer)</v>
      </c>
      <c r="AY678" s="2724"/>
      <c r="AZ678" s="3850" t="str">
        <f t="shared" si="398"/>
        <v>803950</v>
      </c>
      <c r="BA678" s="3866" t="s">
        <v>1303</v>
      </c>
      <c r="BB678" s="3866" t="s">
        <v>1303</v>
      </c>
      <c r="BC678" s="3866" t="s">
        <v>1303</v>
      </c>
      <c r="BD678" s="3866" t="s">
        <v>1303</v>
      </c>
      <c r="BE678" s="3853"/>
      <c r="BF678" s="3866" t="s">
        <v>1303</v>
      </c>
      <c r="BG678" s="3866" t="s">
        <v>1303</v>
      </c>
      <c r="BH678" s="3866" t="s">
        <v>1303</v>
      </c>
      <c r="BI678" s="3867" t="s">
        <v>1303</v>
      </c>
      <c r="BJ678" s="3853"/>
      <c r="BK678" s="3866" t="s">
        <v>1303</v>
      </c>
      <c r="BL678" s="3867" t="s">
        <v>1303</v>
      </c>
      <c r="BM678" s="3866" t="s">
        <v>1303</v>
      </c>
      <c r="BN678" s="3867" t="s">
        <v>1303</v>
      </c>
    </row>
    <row r="679" spans="1:66" s="696" customFormat="1">
      <c r="A679" s="2958" t="str">
        <f t="shared" si="411"/>
        <v>804000</v>
      </c>
      <c r="B679" s="2233" t="str">
        <f>'BUS Deemed Savings Table'!C520</f>
        <v>804000_2024_12_</v>
      </c>
      <c r="C679" s="2724" t="str">
        <f>'BUS Deemed Savings Table'!G520</f>
        <v>Miscellaneous BUS</v>
      </c>
      <c r="D679" s="2724"/>
      <c r="E679" s="2724"/>
      <c r="F679" s="2724"/>
      <c r="G679" s="2724" t="str">
        <f>'BUS Deemed Savings Table'!E520</f>
        <v>Clothes Washer (Gas DHW; Gas Dryer)</v>
      </c>
      <c r="H679" s="2554" t="str">
        <f>'BUS Deemed Savings Table'!D520</f>
        <v>BSS</v>
      </c>
      <c r="I679" s="3840">
        <f>'BUS Deemed Savings Table'!F520</f>
        <v>148.59</v>
      </c>
      <c r="J679" s="3840"/>
      <c r="K679" s="3251"/>
      <c r="L679" s="3251"/>
      <c r="M679" s="3251"/>
      <c r="N679" s="3251"/>
      <c r="O679" s="3841">
        <f>'BUS Deemed Savings Table'!I520</f>
        <v>2.0497000000000001E-2</v>
      </c>
      <c r="P679" s="3841"/>
      <c r="Q679" s="3842"/>
      <c r="R679" s="3842"/>
      <c r="S679" s="3842"/>
      <c r="T679" s="3842"/>
      <c r="U679" s="3843">
        <f t="shared" si="433"/>
        <v>0</v>
      </c>
      <c r="V679" s="3843">
        <f t="shared" si="434"/>
        <v>2.0497000000000001E-2</v>
      </c>
      <c r="W679" s="3843">
        <f t="shared" si="435"/>
        <v>0</v>
      </c>
      <c r="X679" s="2846">
        <f>'BUS Deemed Savings Table'!J520</f>
        <v>11</v>
      </c>
      <c r="Y679" s="2846"/>
      <c r="Z679" s="2846">
        <f t="shared" si="412"/>
        <v>11</v>
      </c>
      <c r="AA679" s="2529">
        <f>'BUS Deemed Savings Table'!DG520</f>
        <v>0.42539849401070262</v>
      </c>
      <c r="AB679" s="3878">
        <f>'BUS Deemed Savings Table'!K520</f>
        <v>200</v>
      </c>
      <c r="AC679" s="3968">
        <f t="shared" si="413"/>
        <v>85.079698802140527</v>
      </c>
      <c r="AD679" s="3968">
        <f t="shared" si="414"/>
        <v>0</v>
      </c>
      <c r="AE679" s="3865">
        <f>'BUS Deemed Savings Table'!DI520</f>
        <v>85.079698802140527</v>
      </c>
      <c r="AF679" s="3846"/>
      <c r="AG679" s="3846"/>
      <c r="AH679" s="3846"/>
      <c r="AI679" s="3969" t="str">
        <f>'BUS Deemed Savings Table'!L520</f>
        <v>per measure</v>
      </c>
      <c r="AJ679" s="2724"/>
      <c r="AX679" s="3849" t="str">
        <f t="shared" si="397"/>
        <v>Clothes Washer (Gas DHW; Gas Dryer)</v>
      </c>
      <c r="AY679" s="2724"/>
      <c r="AZ679" s="3850" t="str">
        <f t="shared" si="398"/>
        <v>804000</v>
      </c>
      <c r="BA679" s="3866" t="s">
        <v>1303</v>
      </c>
      <c r="BB679" s="3866" t="s">
        <v>1303</v>
      </c>
      <c r="BC679" s="3866" t="s">
        <v>1303</v>
      </c>
      <c r="BD679" s="3866" t="s">
        <v>1303</v>
      </c>
      <c r="BE679" s="3853"/>
      <c r="BF679" s="3866" t="s">
        <v>1303</v>
      </c>
      <c r="BG679" s="3866" t="s">
        <v>1303</v>
      </c>
      <c r="BH679" s="3866" t="s">
        <v>1303</v>
      </c>
      <c r="BI679" s="3867" t="s">
        <v>1303</v>
      </c>
      <c r="BJ679" s="3853"/>
      <c r="BK679" s="3866" t="s">
        <v>1303</v>
      </c>
      <c r="BL679" s="3867" t="s">
        <v>1303</v>
      </c>
      <c r="BM679" s="3866" t="s">
        <v>1303</v>
      </c>
      <c r="BN679" s="3867" t="s">
        <v>1303</v>
      </c>
    </row>
    <row r="680" spans="1:66" s="696" customFormat="1">
      <c r="A680" s="2958" t="str">
        <f t="shared" si="411"/>
        <v>804050</v>
      </c>
      <c r="B680" s="2233" t="str">
        <f>'BUS Deemed Savings Table'!C537</f>
        <v>804050_2024_12_</v>
      </c>
      <c r="C680" s="2724" t="str">
        <f>'BUS Deemed Savings Table'!G537</f>
        <v>Miscellaneous BUS</v>
      </c>
      <c r="D680" s="2724"/>
      <c r="E680" s="2724"/>
      <c r="F680" s="2724"/>
      <c r="G680" s="2724" t="str">
        <f>'BUS Deemed Savings Table'!E537</f>
        <v>Clothes Dryer Vented Electric, Standard (≥ 4.4 ft3)</v>
      </c>
      <c r="H680" s="2554" t="str">
        <f>'BUS Deemed Savings Table'!D537</f>
        <v>BSS</v>
      </c>
      <c r="I680" s="3840">
        <f>'BUS Deemed Savings Table'!F537</f>
        <v>132.21</v>
      </c>
      <c r="J680" s="3840"/>
      <c r="K680" s="3251"/>
      <c r="L680" s="3251"/>
      <c r="M680" s="3251"/>
      <c r="N680" s="3251"/>
      <c r="O680" s="3841">
        <f>'BUS Deemed Savings Table'!I537</f>
        <v>1.8238000000000001E-2</v>
      </c>
      <c r="P680" s="3841"/>
      <c r="Q680" s="3842"/>
      <c r="R680" s="3842"/>
      <c r="S680" s="3842"/>
      <c r="T680" s="3842"/>
      <c r="U680" s="3843">
        <f t="shared" si="433"/>
        <v>0</v>
      </c>
      <c r="V680" s="3843">
        <f t="shared" si="434"/>
        <v>1.8238000000000001E-2</v>
      </c>
      <c r="W680" s="3843">
        <f t="shared" si="435"/>
        <v>0</v>
      </c>
      <c r="X680" s="2846">
        <f>'BUS Deemed Savings Table'!J537</f>
        <v>14</v>
      </c>
      <c r="Y680" s="2846"/>
      <c r="Z680" s="2846">
        <f t="shared" si="412"/>
        <v>14</v>
      </c>
      <c r="AA680" s="2529">
        <f>'BUS Deemed Savings Table'!DG537</f>
        <v>1.199448991905661</v>
      </c>
      <c r="AB680" s="3878">
        <f>'BUS Deemed Savings Table'!K537</f>
        <v>75</v>
      </c>
      <c r="AC680" s="3968">
        <f t="shared" si="413"/>
        <v>89.958674392924578</v>
      </c>
      <c r="AD680" s="3968">
        <f t="shared" si="414"/>
        <v>0</v>
      </c>
      <c r="AE680" s="3865">
        <f>'BUS Deemed Savings Table'!DI537</f>
        <v>89.958674392924578</v>
      </c>
      <c r="AF680" s="3846"/>
      <c r="AG680" s="3846"/>
      <c r="AH680" s="3846"/>
      <c r="AI680" s="3969" t="str">
        <f>'BUS Deemed Savings Table'!L537</f>
        <v>per measure</v>
      </c>
      <c r="AJ680" s="2724"/>
      <c r="AX680" s="3849" t="str">
        <f t="shared" si="397"/>
        <v>Clothes Dryer Vented Electric, Standard (≥ 4.4 ft3)</v>
      </c>
      <c r="AY680" s="2724"/>
      <c r="AZ680" s="3850" t="str">
        <f t="shared" si="398"/>
        <v>804050</v>
      </c>
      <c r="BA680" s="3866" t="s">
        <v>1303</v>
      </c>
      <c r="BB680" s="3866" t="s">
        <v>1303</v>
      </c>
      <c r="BC680" s="3866" t="s">
        <v>1303</v>
      </c>
      <c r="BD680" s="3866" t="s">
        <v>1303</v>
      </c>
      <c r="BE680" s="3853"/>
      <c r="BF680" s="3866" t="s">
        <v>1303</v>
      </c>
      <c r="BG680" s="3866" t="s">
        <v>1303</v>
      </c>
      <c r="BH680" s="3866" t="s">
        <v>1303</v>
      </c>
      <c r="BI680" s="3867" t="s">
        <v>1303</v>
      </c>
      <c r="BJ680" s="3853"/>
      <c r="BK680" s="3866" t="s">
        <v>1303</v>
      </c>
      <c r="BL680" s="3867" t="s">
        <v>1303</v>
      </c>
      <c r="BM680" s="3866" t="s">
        <v>1303</v>
      </c>
      <c r="BN680" s="3867" t="s">
        <v>1303</v>
      </c>
    </row>
    <row r="681" spans="1:66" s="696" customFormat="1">
      <c r="A681" s="2958" t="str">
        <f t="shared" si="411"/>
        <v>804100</v>
      </c>
      <c r="B681" s="2233" t="str">
        <f>'BUS Deemed Savings Table'!C538</f>
        <v>804100_2024_12_</v>
      </c>
      <c r="C681" s="2724" t="str">
        <f>'BUS Deemed Savings Table'!G538</f>
        <v>Miscellaneous BUS</v>
      </c>
      <c r="D681" s="2724"/>
      <c r="E681" s="2724"/>
      <c r="F681" s="2724"/>
      <c r="G681" s="2724" t="str">
        <f>'BUS Deemed Savings Table'!E538</f>
        <v>Clothes Dryer Vented/Ventless Electric, Compact (120V) (&lt; 4.4 ft3)</v>
      </c>
      <c r="H681" s="2554" t="str">
        <f>'BUS Deemed Savings Table'!D538</f>
        <v>BSS</v>
      </c>
      <c r="I681" s="3840">
        <f>'BUS Deemed Savings Table'!F538</f>
        <v>472.36</v>
      </c>
      <c r="J681" s="3840"/>
      <c r="K681" s="3251"/>
      <c r="L681" s="3251"/>
      <c r="M681" s="3251"/>
      <c r="N681" s="3251"/>
      <c r="O681" s="3841">
        <f>'BUS Deemed Savings Table'!I538</f>
        <v>6.5158999999999995E-2</v>
      </c>
      <c r="P681" s="3841"/>
      <c r="Q681" s="3842"/>
      <c r="R681" s="3842"/>
      <c r="S681" s="3842"/>
      <c r="T681" s="3842"/>
      <c r="U681" s="3843">
        <f t="shared" si="433"/>
        <v>0</v>
      </c>
      <c r="V681" s="3843">
        <f t="shared" si="434"/>
        <v>6.5158999999999995E-2</v>
      </c>
      <c r="W681" s="3843">
        <f t="shared" si="435"/>
        <v>0</v>
      </c>
      <c r="X681" s="2846">
        <f>'BUS Deemed Savings Table'!J538</f>
        <v>14</v>
      </c>
      <c r="Y681" s="2846"/>
      <c r="Z681" s="2846">
        <f t="shared" si="412"/>
        <v>14</v>
      </c>
      <c r="AA681" s="2529">
        <f>'BUS Deemed Savings Table'!DG538</f>
        <v>3.0609945531273732</v>
      </c>
      <c r="AB681" s="3878">
        <f>'BUS Deemed Savings Table'!K538</f>
        <v>105</v>
      </c>
      <c r="AC681" s="3968">
        <f t="shared" si="413"/>
        <v>321.40442807837417</v>
      </c>
      <c r="AD681" s="3968">
        <f t="shared" si="414"/>
        <v>0</v>
      </c>
      <c r="AE681" s="3865">
        <f>'BUS Deemed Savings Table'!DI538</f>
        <v>321.40442807837417</v>
      </c>
      <c r="AF681" s="3846"/>
      <c r="AG681" s="3846"/>
      <c r="AH681" s="3846"/>
      <c r="AI681" s="3969" t="str">
        <f>'BUS Deemed Savings Table'!L538</f>
        <v>per measure</v>
      </c>
      <c r="AJ681" s="2724"/>
      <c r="AX681" s="3849" t="str">
        <f t="shared" si="397"/>
        <v>Clothes Dryer Vented/Ventless Electric, Compact (120V) (&lt; 4.4 ft3)</v>
      </c>
      <c r="AY681" s="2724"/>
      <c r="AZ681" s="3850" t="str">
        <f t="shared" si="398"/>
        <v>804100</v>
      </c>
      <c r="BA681" s="3866" t="s">
        <v>1303</v>
      </c>
      <c r="BB681" s="3866" t="s">
        <v>1303</v>
      </c>
      <c r="BC681" s="3866" t="s">
        <v>1303</v>
      </c>
      <c r="BD681" s="3866" t="s">
        <v>1303</v>
      </c>
      <c r="BE681" s="3853"/>
      <c r="BF681" s="3866" t="s">
        <v>1303</v>
      </c>
      <c r="BG681" s="3866" t="s">
        <v>1303</v>
      </c>
      <c r="BH681" s="3866" t="s">
        <v>1303</v>
      </c>
      <c r="BI681" s="3867" t="s">
        <v>1303</v>
      </c>
      <c r="BJ681" s="3853"/>
      <c r="BK681" s="3866" t="s">
        <v>1303</v>
      </c>
      <c r="BL681" s="3867" t="s">
        <v>1303</v>
      </c>
      <c r="BM681" s="3866" t="s">
        <v>1303</v>
      </c>
      <c r="BN681" s="3867" t="s">
        <v>1303</v>
      </c>
    </row>
    <row r="682" spans="1:66" s="696" customFormat="1">
      <c r="A682" s="2958" t="str">
        <f t="shared" si="411"/>
        <v>804200</v>
      </c>
      <c r="B682" s="2233" t="str">
        <f>'BUS Deemed Savings Table'!C539</f>
        <v>804200_2024_12_</v>
      </c>
      <c r="C682" s="2724" t="str">
        <f>'BUS Deemed Savings Table'!G539</f>
        <v>Miscellaneous BUS</v>
      </c>
      <c r="D682" s="2724"/>
      <c r="E682" s="2724"/>
      <c r="F682" s="2724"/>
      <c r="G682" s="2724" t="str">
        <f>'BUS Deemed Savings Table'!E539</f>
        <v>Clothes Dryer Ventless Electric, Compact (240V) (&lt;4.4 ft3)</v>
      </c>
      <c r="H682" s="2554" t="str">
        <f>'BUS Deemed Savings Table'!D539</f>
        <v>BSS</v>
      </c>
      <c r="I682" s="3840">
        <f>'BUS Deemed Savings Table'!F539</f>
        <v>427.66</v>
      </c>
      <c r="J682" s="3840"/>
      <c r="K682" s="3251"/>
      <c r="L682" s="3251"/>
      <c r="M682" s="3251"/>
      <c r="N682" s="3251"/>
      <c r="O682" s="3841">
        <f>'BUS Deemed Savings Table'!I539</f>
        <v>5.8992999999999997E-2</v>
      </c>
      <c r="P682" s="3841"/>
      <c r="Q682" s="3842"/>
      <c r="R682" s="3842"/>
      <c r="S682" s="3842"/>
      <c r="T682" s="3842"/>
      <c r="U682" s="3843">
        <f t="shared" si="433"/>
        <v>0</v>
      </c>
      <c r="V682" s="3843">
        <f t="shared" si="434"/>
        <v>5.8992999999999997E-2</v>
      </c>
      <c r="W682" s="3843">
        <f t="shared" si="435"/>
        <v>0</v>
      </c>
      <c r="X682" s="2846">
        <f>'BUS Deemed Savings Table'!J539</f>
        <v>14</v>
      </c>
      <c r="Y682" s="2846"/>
      <c r="Z682" s="2846">
        <f t="shared" si="412"/>
        <v>14</v>
      </c>
      <c r="AA682" s="2529">
        <f>'BUS Deemed Savings Table'!DG539</f>
        <v>2.7713289241054544</v>
      </c>
      <c r="AB682" s="3878">
        <f>'BUS Deemed Savings Table'!K539</f>
        <v>105</v>
      </c>
      <c r="AC682" s="3968">
        <f t="shared" si="413"/>
        <v>290.9895370310727</v>
      </c>
      <c r="AD682" s="3968">
        <f t="shared" si="414"/>
        <v>0</v>
      </c>
      <c r="AE682" s="3865">
        <f>'BUS Deemed Savings Table'!DI539</f>
        <v>290.9895370310727</v>
      </c>
      <c r="AF682" s="3846"/>
      <c r="AG682" s="3846"/>
      <c r="AH682" s="3846"/>
      <c r="AI682" s="3969" t="str">
        <f>'BUS Deemed Savings Table'!L539</f>
        <v>per measure</v>
      </c>
      <c r="AJ682" s="2724"/>
      <c r="AX682" s="3849" t="str">
        <f t="shared" si="397"/>
        <v>Clothes Dryer Ventless Electric, Compact (240V) (&lt;4.4 ft3)</v>
      </c>
      <c r="AY682" s="2724"/>
      <c r="AZ682" s="3850" t="str">
        <f t="shared" si="398"/>
        <v>804200</v>
      </c>
      <c r="BA682" s="3866" t="s">
        <v>1303</v>
      </c>
      <c r="BB682" s="3866" t="s">
        <v>1303</v>
      </c>
      <c r="BC682" s="3866" t="s">
        <v>1303</v>
      </c>
      <c r="BD682" s="3866" t="s">
        <v>1303</v>
      </c>
      <c r="BE682" s="3853"/>
      <c r="BF682" s="3866" t="s">
        <v>1303</v>
      </c>
      <c r="BG682" s="3866" t="s">
        <v>1303</v>
      </c>
      <c r="BH682" s="3866" t="s">
        <v>1303</v>
      </c>
      <c r="BI682" s="3867" t="s">
        <v>1303</v>
      </c>
      <c r="BJ682" s="3853"/>
      <c r="BK682" s="3866" t="s">
        <v>1303</v>
      </c>
      <c r="BL682" s="3867" t="s">
        <v>1303</v>
      </c>
      <c r="BM682" s="3866" t="s">
        <v>1303</v>
      </c>
      <c r="BN682" s="3867" t="s">
        <v>1303</v>
      </c>
    </row>
    <row r="683" spans="1:66">
      <c r="A683" s="51" t="str">
        <f t="shared" si="411"/>
        <v>804300</v>
      </c>
      <c r="B683" s="1442" t="str">
        <f>'BUS Deemed Savings Table'!C557</f>
        <v>804300_2024_12_</v>
      </c>
      <c r="C683" s="1378" t="str">
        <f>'BUS Deemed Savings Table'!G557</f>
        <v>Air Comp BUS</v>
      </c>
      <c r="D683" s="1378"/>
      <c r="E683" s="1378"/>
      <c r="F683" s="1378"/>
      <c r="G683" s="1378" t="str">
        <f>'BUS Deemed Savings Table'!E557</f>
        <v>No Loss Condensate Drain (Reciprocating - On/off Control)</v>
      </c>
      <c r="H683" s="19" t="str">
        <f>'BUS Deemed Savings Table'!D557</f>
        <v>Standard</v>
      </c>
      <c r="I683" s="785">
        <f>'BUS Deemed Savings Table'!F557</f>
        <v>3272.26</v>
      </c>
      <c r="J683" s="785"/>
      <c r="K683" s="202"/>
      <c r="L683" s="202"/>
      <c r="M683" s="202"/>
      <c r="N683" s="202"/>
      <c r="O683" s="786">
        <f>'BUS Deemed Savings Table'!I557</f>
        <v>0.45138800000000001</v>
      </c>
      <c r="P683" s="786"/>
      <c r="Q683" s="787"/>
      <c r="R683" s="787"/>
      <c r="S683" s="787"/>
      <c r="T683" s="787"/>
      <c r="U683" s="788">
        <f t="shared" si="433"/>
        <v>0</v>
      </c>
      <c r="V683" s="788">
        <f t="shared" si="434"/>
        <v>0.45138800000000001</v>
      </c>
      <c r="W683" s="788">
        <f t="shared" si="435"/>
        <v>0</v>
      </c>
      <c r="X683" s="23">
        <f>'BUS Deemed Savings Table'!J557</f>
        <v>13</v>
      </c>
      <c r="Y683" s="23"/>
      <c r="Z683" s="23">
        <f t="shared" si="412"/>
        <v>13</v>
      </c>
      <c r="AA683" s="18">
        <f>'BUS Deemed Savings Table'!DG557</f>
        <v>2.718076455610043</v>
      </c>
      <c r="AB683" s="259">
        <f>'BUS Deemed Savings Table'!K557</f>
        <v>778</v>
      </c>
      <c r="AC683" s="790">
        <f t="shared" si="413"/>
        <v>2114.6634824646135</v>
      </c>
      <c r="AD683" s="790">
        <f t="shared" si="414"/>
        <v>0</v>
      </c>
      <c r="AE683" s="610">
        <f>'BUS Deemed Savings Table'!DI557</f>
        <v>2114.6634824646135</v>
      </c>
      <c r="AF683" s="208"/>
      <c r="AG683" s="208"/>
      <c r="AH683" s="208"/>
      <c r="AI683" s="914" t="str">
        <f>'BUS Deemed Savings Table'!L557</f>
        <v>per measure</v>
      </c>
      <c r="AJ683" s="71"/>
      <c r="AX683" s="1355" t="str">
        <f t="shared" si="397"/>
        <v>No Loss Condensate Drain (Reciprocating - On/off Control)</v>
      </c>
      <c r="AY683" s="1378"/>
      <c r="AZ683" s="1446" t="str">
        <f t="shared" si="398"/>
        <v>804300</v>
      </c>
      <c r="BA683" s="1300" t="s">
        <v>1303</v>
      </c>
      <c r="BB683" s="1300" t="s">
        <v>1303</v>
      </c>
      <c r="BC683" s="1300" t="s">
        <v>1303</v>
      </c>
      <c r="BD683" s="1300" t="s">
        <v>1303</v>
      </c>
      <c r="BE683" s="1305"/>
      <c r="BF683" s="1300" t="s">
        <v>1303</v>
      </c>
      <c r="BG683" s="1300" t="s">
        <v>1303</v>
      </c>
      <c r="BH683" s="1300" t="s">
        <v>1303</v>
      </c>
      <c r="BI683" s="1301" t="s">
        <v>1303</v>
      </c>
      <c r="BJ683" s="1305"/>
      <c r="BK683" s="1300" t="s">
        <v>1303</v>
      </c>
      <c r="BL683" s="1301" t="s">
        <v>1303</v>
      </c>
      <c r="BM683" s="1300" t="s">
        <v>1303</v>
      </c>
      <c r="BN683" s="1301" t="s">
        <v>1303</v>
      </c>
    </row>
    <row r="684" spans="1:66">
      <c r="A684" s="51" t="str">
        <f t="shared" si="411"/>
        <v>804350</v>
      </c>
      <c r="B684" s="1442" t="str">
        <f>'BUS Deemed Savings Table'!C558</f>
        <v>804350_2024_12_</v>
      </c>
      <c r="C684" s="1378" t="str">
        <f>'BUS Deemed Savings Table'!G558</f>
        <v>Air Comp BUS</v>
      </c>
      <c r="D684" s="1378"/>
      <c r="E684" s="1378"/>
      <c r="F684" s="1378"/>
      <c r="G684" s="1378" t="str">
        <f>'BUS Deemed Savings Table'!E558</f>
        <v>No Loss Condensate Drain (Reciprocating - Load/Unload)</v>
      </c>
      <c r="H684" s="19" t="str">
        <f>'BUS Deemed Savings Table'!D558</f>
        <v>Standard</v>
      </c>
      <c r="I684" s="785">
        <f>'BUS Deemed Savings Table'!F558</f>
        <v>2418.62</v>
      </c>
      <c r="J684" s="785"/>
      <c r="K684" s="202"/>
      <c r="L684" s="202"/>
      <c r="M684" s="202"/>
      <c r="N684" s="202"/>
      <c r="O684" s="786">
        <f>'BUS Deemed Savings Table'!I558</f>
        <v>0.33363399999999999</v>
      </c>
      <c r="P684" s="786"/>
      <c r="Q684" s="787"/>
      <c r="R684" s="787"/>
      <c r="S684" s="787"/>
      <c r="T684" s="787"/>
      <c r="U684" s="788">
        <f t="shared" si="433"/>
        <v>0</v>
      </c>
      <c r="V684" s="788">
        <f t="shared" si="434"/>
        <v>0.33363399999999999</v>
      </c>
      <c r="W684" s="788">
        <f t="shared" si="435"/>
        <v>0</v>
      </c>
      <c r="X684" s="23">
        <f>'BUS Deemed Savings Table'!J558</f>
        <v>13</v>
      </c>
      <c r="Y684" s="23"/>
      <c r="Z684" s="23">
        <f t="shared" si="412"/>
        <v>13</v>
      </c>
      <c r="AA684" s="18">
        <f>'BUS Deemed Savings Table'!DG558</f>
        <v>2.0090072540285804</v>
      </c>
      <c r="AB684" s="259">
        <f>'BUS Deemed Savings Table'!K558</f>
        <v>778</v>
      </c>
      <c r="AC684" s="790">
        <f t="shared" si="413"/>
        <v>1563.0076436342354</v>
      </c>
      <c r="AD684" s="790">
        <f t="shared" si="414"/>
        <v>0</v>
      </c>
      <c r="AE684" s="610">
        <f>'BUS Deemed Savings Table'!DI558</f>
        <v>1563.0076436342354</v>
      </c>
      <c r="AF684" s="208"/>
      <c r="AG684" s="208"/>
      <c r="AH684" s="208"/>
      <c r="AI684" s="914" t="str">
        <f>'BUS Deemed Savings Table'!L558</f>
        <v>per measure</v>
      </c>
      <c r="AJ684" s="71"/>
      <c r="AX684" s="1355" t="str">
        <f t="shared" si="397"/>
        <v>No Loss Condensate Drain (Reciprocating - Load/Unload)</v>
      </c>
      <c r="AY684" s="1378"/>
      <c r="AZ684" s="1446" t="str">
        <f t="shared" si="398"/>
        <v>804350</v>
      </c>
      <c r="BA684" s="1300" t="s">
        <v>1303</v>
      </c>
      <c r="BB684" s="1300" t="s">
        <v>1303</v>
      </c>
      <c r="BC684" s="1300" t="s">
        <v>1303</v>
      </c>
      <c r="BD684" s="1300" t="s">
        <v>1303</v>
      </c>
      <c r="BE684" s="1305"/>
      <c r="BF684" s="1300" t="s">
        <v>1303</v>
      </c>
      <c r="BG684" s="1300" t="s">
        <v>1303</v>
      </c>
      <c r="BH684" s="1300" t="s">
        <v>1303</v>
      </c>
      <c r="BI684" s="1301" t="s">
        <v>1303</v>
      </c>
      <c r="BJ684" s="1305"/>
      <c r="BK684" s="1300" t="s">
        <v>1303</v>
      </c>
      <c r="BL684" s="1301" t="s">
        <v>1303</v>
      </c>
      <c r="BM684" s="1300" t="s">
        <v>1303</v>
      </c>
      <c r="BN684" s="1301" t="s">
        <v>1303</v>
      </c>
    </row>
    <row r="685" spans="1:66">
      <c r="A685" s="51" t="str">
        <f t="shared" si="411"/>
        <v>804400</v>
      </c>
      <c r="B685" s="1442" t="str">
        <f>'BUS Deemed Savings Table'!C559</f>
        <v>804400_2024_12_</v>
      </c>
      <c r="C685" s="1378" t="str">
        <f>'BUS Deemed Savings Table'!G559</f>
        <v>Air Comp BUS</v>
      </c>
      <c r="D685" s="1378"/>
      <c r="E685" s="1378"/>
      <c r="F685" s="1378"/>
      <c r="G685" s="1378" t="str">
        <f>'BUS Deemed Savings Table'!E559</f>
        <v>No Loss Condensate Drain (Screw - Load/Unload)</v>
      </c>
      <c r="H685" s="19" t="str">
        <f>'BUS Deemed Savings Table'!D559</f>
        <v>Standard</v>
      </c>
      <c r="I685" s="785">
        <f>'BUS Deemed Savings Table'!F559</f>
        <v>2703.17</v>
      </c>
      <c r="J685" s="785"/>
      <c r="K685" s="202"/>
      <c r="L685" s="202"/>
      <c r="M685" s="202"/>
      <c r="N685" s="202"/>
      <c r="O685" s="786">
        <f>'BUS Deemed Savings Table'!I559</f>
        <v>0.372886</v>
      </c>
      <c r="P685" s="786"/>
      <c r="Q685" s="787"/>
      <c r="R685" s="787"/>
      <c r="S685" s="787"/>
      <c r="T685" s="787"/>
      <c r="U685" s="788">
        <f t="shared" si="433"/>
        <v>0</v>
      </c>
      <c r="V685" s="788">
        <f t="shared" si="434"/>
        <v>0.372886</v>
      </c>
      <c r="W685" s="788">
        <f t="shared" si="435"/>
        <v>0</v>
      </c>
      <c r="X685" s="23">
        <f>'BUS Deemed Savings Table'!J559</f>
        <v>13</v>
      </c>
      <c r="Y685" s="23"/>
      <c r="Z685" s="23">
        <f t="shared" si="412"/>
        <v>13</v>
      </c>
      <c r="AA685" s="18">
        <f>'BUS Deemed Savings Table'!DG559</f>
        <v>2.2453664233622632</v>
      </c>
      <c r="AB685" s="259">
        <f>'BUS Deemed Savings Table'!K559</f>
        <v>778</v>
      </c>
      <c r="AC685" s="790">
        <f t="shared" si="413"/>
        <v>1746.8950773758409</v>
      </c>
      <c r="AD685" s="790">
        <f t="shared" si="414"/>
        <v>0</v>
      </c>
      <c r="AE685" s="610">
        <f>'BUS Deemed Savings Table'!DI559</f>
        <v>1746.8950773758409</v>
      </c>
      <c r="AF685" s="208"/>
      <c r="AG685" s="208"/>
      <c r="AH685" s="208"/>
      <c r="AI685" s="914" t="str">
        <f>'BUS Deemed Savings Table'!L559</f>
        <v>per measure</v>
      </c>
      <c r="AJ685" s="71"/>
      <c r="AX685" s="1355" t="str">
        <f t="shared" si="397"/>
        <v>No Loss Condensate Drain (Screw - Load/Unload)</v>
      </c>
      <c r="AY685" s="1378"/>
      <c r="AZ685" s="1446" t="str">
        <f t="shared" si="398"/>
        <v>804400</v>
      </c>
      <c r="BA685" s="1300" t="s">
        <v>1303</v>
      </c>
      <c r="BB685" s="1300" t="s">
        <v>1303</v>
      </c>
      <c r="BC685" s="1300" t="s">
        <v>1303</v>
      </c>
      <c r="BD685" s="1300" t="s">
        <v>1303</v>
      </c>
      <c r="BE685" s="1305"/>
      <c r="BF685" s="1300" t="s">
        <v>1303</v>
      </c>
      <c r="BG685" s="1300" t="s">
        <v>1303</v>
      </c>
      <c r="BH685" s="1300" t="s">
        <v>1303</v>
      </c>
      <c r="BI685" s="1301" t="s">
        <v>1303</v>
      </c>
      <c r="BJ685" s="1305"/>
      <c r="BK685" s="1300" t="s">
        <v>1303</v>
      </c>
      <c r="BL685" s="1301" t="s">
        <v>1303</v>
      </c>
      <c r="BM685" s="1300" t="s">
        <v>1303</v>
      </c>
      <c r="BN685" s="1301" t="s">
        <v>1303</v>
      </c>
    </row>
    <row r="686" spans="1:66">
      <c r="A686" s="51" t="str">
        <f t="shared" si="411"/>
        <v>804450</v>
      </c>
      <c r="B686" s="1442" t="str">
        <f>'BUS Deemed Savings Table'!C560</f>
        <v>804450_2024_12_</v>
      </c>
      <c r="C686" s="1378" t="str">
        <f>'BUS Deemed Savings Table'!G560</f>
        <v>Air Comp BUS</v>
      </c>
      <c r="D686" s="1378"/>
      <c r="E686" s="1378"/>
      <c r="F686" s="1378"/>
      <c r="G686" s="1378" t="str">
        <f>'BUS Deemed Savings Table'!E560</f>
        <v>No Loss Condensate Drain (Screw - Inlet Modulation)</v>
      </c>
      <c r="H686" s="19" t="str">
        <f>'BUS Deemed Savings Table'!D560</f>
        <v>Standard</v>
      </c>
      <c r="I686" s="785">
        <f>'BUS Deemed Savings Table'!F560</f>
        <v>978.12</v>
      </c>
      <c r="J686" s="785"/>
      <c r="K686" s="202"/>
      <c r="L686" s="202"/>
      <c r="M686" s="202"/>
      <c r="N686" s="202"/>
      <c r="O686" s="786">
        <f>'BUS Deemed Savings Table'!I560</f>
        <v>0.13492599999999999</v>
      </c>
      <c r="P686" s="786"/>
      <c r="Q686" s="787"/>
      <c r="R686" s="787"/>
      <c r="S686" s="787"/>
      <c r="T686" s="787"/>
      <c r="U686" s="788">
        <f t="shared" si="433"/>
        <v>0</v>
      </c>
      <c r="V686" s="788">
        <f t="shared" si="434"/>
        <v>0.13492599999999999</v>
      </c>
      <c r="W686" s="788">
        <f t="shared" si="435"/>
        <v>0</v>
      </c>
      <c r="X686" s="23">
        <f>'BUS Deemed Savings Table'!J560</f>
        <v>13</v>
      </c>
      <c r="Y686" s="23"/>
      <c r="Z686" s="23">
        <f t="shared" si="412"/>
        <v>13</v>
      </c>
      <c r="AA686" s="18">
        <f>'BUS Deemed Savings Table'!DG560</f>
        <v>0.81246751259413841</v>
      </c>
      <c r="AB686" s="259">
        <f>'BUS Deemed Savings Table'!K560</f>
        <v>778</v>
      </c>
      <c r="AC686" s="790">
        <f t="shared" si="413"/>
        <v>632.09972479823966</v>
      </c>
      <c r="AD686" s="790">
        <f t="shared" si="414"/>
        <v>0</v>
      </c>
      <c r="AE686" s="610">
        <f>'BUS Deemed Savings Table'!DI560</f>
        <v>632.09972479823966</v>
      </c>
      <c r="AF686" s="208"/>
      <c r="AG686" s="208"/>
      <c r="AH686" s="208"/>
      <c r="AI686" s="914" t="str">
        <f>'BUS Deemed Savings Table'!L560</f>
        <v>per measure</v>
      </c>
      <c r="AJ686" s="71"/>
      <c r="AX686" s="1355" t="str">
        <f t="shared" si="397"/>
        <v>No Loss Condensate Drain (Screw - Inlet Modulation)</v>
      </c>
      <c r="AY686" s="1378"/>
      <c r="AZ686" s="1446" t="str">
        <f t="shared" si="398"/>
        <v>804450</v>
      </c>
      <c r="BA686" s="1300" t="s">
        <v>1303</v>
      </c>
      <c r="BB686" s="1300" t="s">
        <v>1303</v>
      </c>
      <c r="BC686" s="1300" t="s">
        <v>1303</v>
      </c>
      <c r="BD686" s="1300" t="s">
        <v>1303</v>
      </c>
      <c r="BE686" s="1305"/>
      <c r="BF686" s="1300" t="s">
        <v>1303</v>
      </c>
      <c r="BG686" s="1300" t="s">
        <v>1303</v>
      </c>
      <c r="BH686" s="1300" t="s">
        <v>1303</v>
      </c>
      <c r="BI686" s="1301" t="s">
        <v>1303</v>
      </c>
      <c r="BJ686" s="1305"/>
      <c r="BK686" s="1300" t="s">
        <v>1303</v>
      </c>
      <c r="BL686" s="1301" t="s">
        <v>1303</v>
      </c>
      <c r="BM686" s="1300" t="s">
        <v>1303</v>
      </c>
      <c r="BN686" s="1301" t="s">
        <v>1303</v>
      </c>
    </row>
    <row r="687" spans="1:66">
      <c r="A687" s="51" t="str">
        <f t="shared" si="411"/>
        <v>804500</v>
      </c>
      <c r="B687" s="1442" t="str">
        <f>'BUS Deemed Savings Table'!C561</f>
        <v>804500_2024_12_</v>
      </c>
      <c r="C687" s="1378" t="str">
        <f>'BUS Deemed Savings Table'!G561</f>
        <v>Air Comp BUS</v>
      </c>
      <c r="D687" s="1378"/>
      <c r="E687" s="1378"/>
      <c r="F687" s="1378"/>
      <c r="G687" s="1378" t="str">
        <f>'BUS Deemed Savings Table'!E561</f>
        <v>No Loss Condensate Drain (Screw - Inlet Modulation w/ Unloading)</v>
      </c>
      <c r="H687" s="19" t="str">
        <f>'BUS Deemed Savings Table'!D561</f>
        <v>Standard</v>
      </c>
      <c r="I687" s="785">
        <f>'BUS Deemed Savings Table'!F561</f>
        <v>978.12</v>
      </c>
      <c r="J687" s="785"/>
      <c r="K687" s="202"/>
      <c r="L687" s="202"/>
      <c r="M687" s="202"/>
      <c r="N687" s="202"/>
      <c r="O687" s="786">
        <f>'BUS Deemed Savings Table'!I561</f>
        <v>0.13492599999999999</v>
      </c>
      <c r="P687" s="786"/>
      <c r="Q687" s="787"/>
      <c r="R687" s="787"/>
      <c r="S687" s="787"/>
      <c r="T687" s="787"/>
      <c r="U687" s="788">
        <f t="shared" si="433"/>
        <v>0</v>
      </c>
      <c r="V687" s="788">
        <f t="shared" si="434"/>
        <v>0.13492599999999999</v>
      </c>
      <c r="W687" s="788">
        <f t="shared" si="435"/>
        <v>0</v>
      </c>
      <c r="X687" s="23">
        <f>'BUS Deemed Savings Table'!J561</f>
        <v>13</v>
      </c>
      <c r="Y687" s="23"/>
      <c r="Z687" s="23">
        <f t="shared" si="412"/>
        <v>13</v>
      </c>
      <c r="AA687" s="18">
        <f>'BUS Deemed Savings Table'!DG561</f>
        <v>0.81246751259413841</v>
      </c>
      <c r="AB687" s="259">
        <f>'BUS Deemed Savings Table'!K561</f>
        <v>778</v>
      </c>
      <c r="AC687" s="790">
        <f t="shared" si="413"/>
        <v>632.09972479823966</v>
      </c>
      <c r="AD687" s="790">
        <f t="shared" si="414"/>
        <v>0</v>
      </c>
      <c r="AE687" s="610">
        <f>'BUS Deemed Savings Table'!DI561</f>
        <v>632.09972479823966</v>
      </c>
      <c r="AF687" s="208"/>
      <c r="AG687" s="208"/>
      <c r="AH687" s="208"/>
      <c r="AI687" s="914" t="str">
        <f>'BUS Deemed Savings Table'!L561</f>
        <v>per measure</v>
      </c>
      <c r="AJ687" s="71"/>
      <c r="AX687" s="1355" t="str">
        <f t="shared" si="397"/>
        <v>No Loss Condensate Drain (Screw - Inlet Modulation w/ Unloading)</v>
      </c>
      <c r="AY687" s="1378"/>
      <c r="AZ687" s="1446" t="str">
        <f t="shared" si="398"/>
        <v>804500</v>
      </c>
      <c r="BA687" s="1300" t="s">
        <v>1303</v>
      </c>
      <c r="BB687" s="1300" t="s">
        <v>1303</v>
      </c>
      <c r="BC687" s="1300" t="s">
        <v>1303</v>
      </c>
      <c r="BD687" s="1300" t="s">
        <v>1303</v>
      </c>
      <c r="BE687" s="1305"/>
      <c r="BF687" s="1300" t="s">
        <v>1303</v>
      </c>
      <c r="BG687" s="1300" t="s">
        <v>1303</v>
      </c>
      <c r="BH687" s="1300" t="s">
        <v>1303</v>
      </c>
      <c r="BI687" s="1301" t="s">
        <v>1303</v>
      </c>
      <c r="BJ687" s="1305"/>
      <c r="BK687" s="1300" t="s">
        <v>1303</v>
      </c>
      <c r="BL687" s="1301" t="s">
        <v>1303</v>
      </c>
      <c r="BM687" s="1300" t="s">
        <v>1303</v>
      </c>
      <c r="BN687" s="1301" t="s">
        <v>1303</v>
      </c>
    </row>
    <row r="688" spans="1:66">
      <c r="A688" s="51" t="str">
        <f t="shared" si="411"/>
        <v>804550</v>
      </c>
      <c r="B688" s="1442" t="str">
        <f>'BUS Deemed Savings Table'!C562</f>
        <v>804550_2024_12_</v>
      </c>
      <c r="C688" s="1378" t="str">
        <f>'BUS Deemed Savings Table'!G562</f>
        <v>Air Comp BUS</v>
      </c>
      <c r="D688" s="1378"/>
      <c r="E688" s="1378"/>
      <c r="F688" s="1378"/>
      <c r="G688" s="1378" t="str">
        <f>'BUS Deemed Savings Table'!E562</f>
        <v>No Loss Condensate Drain (Screw - Variable Displacement)</v>
      </c>
      <c r="H688" s="19" t="str">
        <f>'BUS Deemed Savings Table'!D562</f>
        <v>Standard</v>
      </c>
      <c r="I688" s="785">
        <f>'BUS Deemed Savings Table'!F562</f>
        <v>2720.95</v>
      </c>
      <c r="J688" s="785"/>
      <c r="K688" s="202"/>
      <c r="L688" s="202"/>
      <c r="M688" s="202"/>
      <c r="N688" s="202"/>
      <c r="O688" s="786">
        <f>'BUS Deemed Savings Table'!I562</f>
        <v>0.375338</v>
      </c>
      <c r="P688" s="786"/>
      <c r="Q688" s="787"/>
      <c r="R688" s="787"/>
      <c r="S688" s="787"/>
      <c r="T688" s="787"/>
      <c r="U688" s="788">
        <f t="shared" si="433"/>
        <v>0</v>
      </c>
      <c r="V688" s="788">
        <f t="shared" si="434"/>
        <v>0.375338</v>
      </c>
      <c r="W688" s="788">
        <f t="shared" si="435"/>
        <v>0</v>
      </c>
      <c r="X688" s="23">
        <f>'BUS Deemed Savings Table'!J562</f>
        <v>13</v>
      </c>
      <c r="Y688" s="23"/>
      <c r="Z688" s="23">
        <f t="shared" si="412"/>
        <v>13</v>
      </c>
      <c r="AA688" s="18">
        <f>'BUS Deemed Savings Table'!DG562</f>
        <v>2.2601352373870491</v>
      </c>
      <c r="AB688" s="259">
        <f>'BUS Deemed Savings Table'!K562</f>
        <v>778</v>
      </c>
      <c r="AC688" s="790">
        <f t="shared" si="413"/>
        <v>1758.3852146871243</v>
      </c>
      <c r="AD688" s="790">
        <f t="shared" si="414"/>
        <v>0</v>
      </c>
      <c r="AE688" s="610">
        <f>'BUS Deemed Savings Table'!DI562</f>
        <v>1758.3852146871243</v>
      </c>
      <c r="AF688" s="208"/>
      <c r="AG688" s="208"/>
      <c r="AH688" s="208"/>
      <c r="AI688" s="914" t="str">
        <f>'BUS Deemed Savings Table'!L562</f>
        <v>per measure</v>
      </c>
      <c r="AJ688" s="71"/>
      <c r="AX688" s="1355" t="str">
        <f t="shared" si="397"/>
        <v>No Loss Condensate Drain (Screw - Variable Displacement)</v>
      </c>
      <c r="AY688" s="1378"/>
      <c r="AZ688" s="1446" t="str">
        <f t="shared" si="398"/>
        <v>804550</v>
      </c>
      <c r="BA688" s="1300" t="s">
        <v>1303</v>
      </c>
      <c r="BB688" s="1300" t="s">
        <v>1303</v>
      </c>
      <c r="BC688" s="1300" t="s">
        <v>1303</v>
      </c>
      <c r="BD688" s="1300" t="s">
        <v>1303</v>
      </c>
      <c r="BE688" s="1305"/>
      <c r="BF688" s="1300" t="s">
        <v>1303</v>
      </c>
      <c r="BG688" s="1300" t="s">
        <v>1303</v>
      </c>
      <c r="BH688" s="1300" t="s">
        <v>1303</v>
      </c>
      <c r="BI688" s="1301" t="s">
        <v>1303</v>
      </c>
      <c r="BJ688" s="1305"/>
      <c r="BK688" s="1300" t="s">
        <v>1303</v>
      </c>
      <c r="BL688" s="1301" t="s">
        <v>1303</v>
      </c>
      <c r="BM688" s="1300" t="s">
        <v>1303</v>
      </c>
      <c r="BN688" s="1301" t="s">
        <v>1303</v>
      </c>
    </row>
    <row r="689" spans="1:66">
      <c r="A689" s="51" t="str">
        <f t="shared" si="411"/>
        <v>804600</v>
      </c>
      <c r="B689" s="1442" t="str">
        <f>'BUS Deemed Savings Table'!C563</f>
        <v>804600_2024_12_</v>
      </c>
      <c r="C689" s="1378" t="str">
        <f>'BUS Deemed Savings Table'!G563</f>
        <v>Air Comp BUS</v>
      </c>
      <c r="D689" s="1378"/>
      <c r="E689" s="1378"/>
      <c r="F689" s="1378"/>
      <c r="G689" s="1378" t="str">
        <f>'BUS Deemed Savings Table'!E563</f>
        <v>No Loss Condensate Drain (Screw - VFD)</v>
      </c>
      <c r="H689" s="19" t="str">
        <f>'BUS Deemed Savings Table'!D563</f>
        <v>Standard</v>
      </c>
      <c r="I689" s="785">
        <f>'BUS Deemed Savings Table'!F563</f>
        <v>3165.55</v>
      </c>
      <c r="J689" s="785"/>
      <c r="K689" s="202"/>
      <c r="L689" s="202"/>
      <c r="M689" s="202"/>
      <c r="N689" s="202"/>
      <c r="O689" s="786">
        <f>'BUS Deemed Savings Table'!I563</f>
        <v>0.436668</v>
      </c>
      <c r="P689" s="786"/>
      <c r="Q689" s="787"/>
      <c r="R689" s="787"/>
      <c r="S689" s="787"/>
      <c r="T689" s="787"/>
      <c r="U689" s="788">
        <f t="shared" si="433"/>
        <v>0</v>
      </c>
      <c r="V689" s="788">
        <f t="shared" si="434"/>
        <v>0.436668</v>
      </c>
      <c r="W689" s="788">
        <f t="shared" si="435"/>
        <v>0</v>
      </c>
      <c r="X689" s="23">
        <f>'BUS Deemed Savings Table'!J563</f>
        <v>13</v>
      </c>
      <c r="Y689" s="23"/>
      <c r="Z689" s="23">
        <f t="shared" si="412"/>
        <v>13</v>
      </c>
      <c r="AA689" s="18">
        <f>'BUS Deemed Savings Table'!DG563</f>
        <v>2.629438652202567</v>
      </c>
      <c r="AB689" s="259">
        <f>'BUS Deemed Savings Table'!K563</f>
        <v>778</v>
      </c>
      <c r="AC689" s="790">
        <f t="shared" si="413"/>
        <v>2045.7032714135971</v>
      </c>
      <c r="AD689" s="790">
        <f t="shared" si="414"/>
        <v>0</v>
      </c>
      <c r="AE689" s="610">
        <f>'BUS Deemed Savings Table'!DI563</f>
        <v>2045.7032714135971</v>
      </c>
      <c r="AF689" s="208"/>
      <c r="AG689" s="208"/>
      <c r="AH689" s="208"/>
      <c r="AI689" s="914" t="str">
        <f>'BUS Deemed Savings Table'!L563</f>
        <v>per measure</v>
      </c>
      <c r="AJ689" s="71"/>
      <c r="AX689" s="1355" t="str">
        <f t="shared" si="397"/>
        <v>No Loss Condensate Drain (Screw - VFD)</v>
      </c>
      <c r="AY689" s="1378"/>
      <c r="AZ689" s="1446" t="str">
        <f t="shared" si="398"/>
        <v>804600</v>
      </c>
      <c r="BA689" s="1300" t="s">
        <v>1303</v>
      </c>
      <c r="BB689" s="1300" t="s">
        <v>1303</v>
      </c>
      <c r="BC689" s="1300" t="s">
        <v>1303</v>
      </c>
      <c r="BD689" s="1300" t="s">
        <v>1303</v>
      </c>
      <c r="BE689" s="1305"/>
      <c r="BF689" s="1300" t="s">
        <v>1303</v>
      </c>
      <c r="BG689" s="1300" t="s">
        <v>1303</v>
      </c>
      <c r="BH689" s="1300" t="s">
        <v>1303</v>
      </c>
      <c r="BI689" s="1301" t="s">
        <v>1303</v>
      </c>
      <c r="BJ689" s="1305"/>
      <c r="BK689" s="1300" t="s">
        <v>1303</v>
      </c>
      <c r="BL689" s="1301" t="s">
        <v>1303</v>
      </c>
      <c r="BM689" s="1300" t="s">
        <v>1303</v>
      </c>
      <c r="BN689" s="1301" t="s">
        <v>1303</v>
      </c>
    </row>
    <row r="690" spans="1:66">
      <c r="A690" s="51" t="str">
        <f t="shared" si="411"/>
        <v>804650</v>
      </c>
      <c r="B690" s="1442" t="str">
        <f>'BUS Deemed Savings Table'!C583</f>
        <v>804650_2024_12_</v>
      </c>
      <c r="C690" s="1378" t="str">
        <f>'BUS Deemed Savings Table'!G583</f>
        <v>Air Comp BUS</v>
      </c>
      <c r="D690" s="1378"/>
      <c r="E690" s="1378"/>
      <c r="F690" s="1378"/>
      <c r="G690" s="1378" t="str">
        <f>'BUS Deemed Savings Table'!E583</f>
        <v>Compressed Air Nozzle (Reciprocating - On/off Control)</v>
      </c>
      <c r="H690" s="19" t="str">
        <f>'BUS Deemed Savings Table'!D583</f>
        <v>Standard</v>
      </c>
      <c r="I690" s="785">
        <f>'BUS Deemed Savings Table'!F583</f>
        <v>1633.16</v>
      </c>
      <c r="J690" s="785"/>
      <c r="K690" s="202"/>
      <c r="L690" s="202"/>
      <c r="M690" s="202"/>
      <c r="N690" s="202"/>
      <c r="O690" s="786">
        <f>'BUS Deemed Savings Table'!I583</f>
        <v>0.22528400000000001</v>
      </c>
      <c r="P690" s="786"/>
      <c r="Q690" s="787"/>
      <c r="R690" s="787"/>
      <c r="S690" s="787"/>
      <c r="T690" s="787"/>
      <c r="U690" s="788">
        <f t="shared" ref="U690:U706" si="464">IFERROR(IF(V690+W690&gt;0,0,IF(Z690&gt;0,O690,0)),0)</f>
        <v>0</v>
      </c>
      <c r="V690" s="788">
        <f t="shared" ref="V690:V706" si="465">IF(W690&gt;0,0,IF(Z690&gt;9,O690,0))</f>
        <v>0</v>
      </c>
      <c r="W690" s="788">
        <f t="shared" ref="W690:W706" si="466">IF(Z690&gt;14,O690,0)</f>
        <v>0.22528400000000001</v>
      </c>
      <c r="X690" s="23">
        <f>'BUS Deemed Savings Table'!J583</f>
        <v>15</v>
      </c>
      <c r="Y690" s="23"/>
      <c r="Z690" s="23">
        <f t="shared" si="412"/>
        <v>15</v>
      </c>
      <c r="AA690" s="18">
        <f>'BUS Deemed Savings Table'!DG583</f>
        <v>19.739175135871012</v>
      </c>
      <c r="AB690" s="259">
        <f>'BUS Deemed Savings Table'!K583</f>
        <v>59</v>
      </c>
      <c r="AC690" s="790">
        <f t="shared" si="413"/>
        <v>1164.6113330163896</v>
      </c>
      <c r="AD690" s="790">
        <f t="shared" si="414"/>
        <v>0</v>
      </c>
      <c r="AE690" s="610">
        <f>'BUS Deemed Savings Table'!DI583</f>
        <v>1164.6113330163896</v>
      </c>
      <c r="AF690" s="208"/>
      <c r="AG690" s="208"/>
      <c r="AH690" s="208"/>
      <c r="AI690" s="914" t="str">
        <f>'BUS Deemed Savings Table'!L583</f>
        <v>per measure</v>
      </c>
      <c r="AJ690" s="71"/>
      <c r="AX690" s="1355" t="str">
        <f t="shared" si="397"/>
        <v>Compressed Air Nozzle (Reciprocating - On/off Control)</v>
      </c>
      <c r="AY690" s="1378"/>
      <c r="AZ690" s="1446" t="str">
        <f t="shared" si="398"/>
        <v>804650</v>
      </c>
      <c r="BA690" s="1300" t="s">
        <v>1303</v>
      </c>
      <c r="BB690" s="1300" t="s">
        <v>1303</v>
      </c>
      <c r="BC690" s="1300" t="s">
        <v>1303</v>
      </c>
      <c r="BD690" s="1300" t="s">
        <v>1303</v>
      </c>
      <c r="BE690" s="1305"/>
      <c r="BF690" s="1300" t="s">
        <v>1303</v>
      </c>
      <c r="BG690" s="1300" t="s">
        <v>1303</v>
      </c>
      <c r="BH690" s="1300" t="s">
        <v>1303</v>
      </c>
      <c r="BI690" s="1301" t="s">
        <v>1303</v>
      </c>
      <c r="BJ690" s="1305"/>
      <c r="BK690" s="1300" t="s">
        <v>1303</v>
      </c>
      <c r="BL690" s="1301" t="s">
        <v>1303</v>
      </c>
      <c r="BM690" s="1300" t="s">
        <v>1303</v>
      </c>
      <c r="BN690" s="1301" t="s">
        <v>1303</v>
      </c>
    </row>
    <row r="691" spans="1:66">
      <c r="A691" s="51" t="str">
        <f t="shared" si="411"/>
        <v>804700</v>
      </c>
      <c r="B691" s="1442" t="str">
        <f>'BUS Deemed Savings Table'!C584</f>
        <v>804700_2024_12_</v>
      </c>
      <c r="C691" s="1378" t="str">
        <f>'BUS Deemed Savings Table'!G584</f>
        <v>Air Comp BUS</v>
      </c>
      <c r="D691" s="1378"/>
      <c r="E691" s="1378"/>
      <c r="F691" s="1378"/>
      <c r="G691" s="1378" t="str">
        <f>'BUS Deemed Savings Table'!E584</f>
        <v>Compressed Air Nozzle (Reciprocating - Load/Unload)</v>
      </c>
      <c r="H691" s="19" t="str">
        <f>'BUS Deemed Savings Table'!D584</f>
        <v>Standard</v>
      </c>
      <c r="I691" s="785">
        <f>'BUS Deemed Savings Table'!F584</f>
        <v>1208.54</v>
      </c>
      <c r="J691" s="785"/>
      <c r="K691" s="202"/>
      <c r="L691" s="202"/>
      <c r="M691" s="202"/>
      <c r="N691" s="202"/>
      <c r="O691" s="786">
        <f>'BUS Deemed Savings Table'!I584</f>
        <v>0.166711</v>
      </c>
      <c r="P691" s="786"/>
      <c r="Q691" s="787"/>
      <c r="R691" s="787"/>
      <c r="S691" s="787"/>
      <c r="T691" s="787"/>
      <c r="U691" s="788">
        <f t="shared" si="464"/>
        <v>0</v>
      </c>
      <c r="V691" s="788">
        <f t="shared" si="465"/>
        <v>0</v>
      </c>
      <c r="W691" s="788">
        <f t="shared" si="466"/>
        <v>0.166711</v>
      </c>
      <c r="X691" s="23">
        <f>'BUS Deemed Savings Table'!J584</f>
        <v>15</v>
      </c>
      <c r="Y691" s="23"/>
      <c r="Z691" s="23">
        <f t="shared" si="412"/>
        <v>15</v>
      </c>
      <c r="AA691" s="18">
        <f>'BUS Deemed Savings Table'!DG584</f>
        <v>14.607008938931608</v>
      </c>
      <c r="AB691" s="259">
        <f>'BUS Deemed Savings Table'!K584</f>
        <v>59</v>
      </c>
      <c r="AC691" s="790">
        <f t="shared" si="413"/>
        <v>861.8135273969649</v>
      </c>
      <c r="AD691" s="790">
        <f t="shared" si="414"/>
        <v>0</v>
      </c>
      <c r="AE691" s="610">
        <f>'BUS Deemed Savings Table'!DI584</f>
        <v>861.8135273969649</v>
      </c>
      <c r="AF691" s="208"/>
      <c r="AG691" s="208"/>
      <c r="AH691" s="208"/>
      <c r="AI691" s="914" t="str">
        <f>'BUS Deemed Savings Table'!L584</f>
        <v>per measure</v>
      </c>
      <c r="AJ691" s="71"/>
      <c r="AX691" s="1355" t="str">
        <f t="shared" si="397"/>
        <v>Compressed Air Nozzle (Reciprocating - Load/Unload)</v>
      </c>
      <c r="AY691" s="1378"/>
      <c r="AZ691" s="1446" t="str">
        <f t="shared" si="398"/>
        <v>804700</v>
      </c>
      <c r="BA691" s="1300" t="s">
        <v>1303</v>
      </c>
      <c r="BB691" s="1300" t="s">
        <v>1303</v>
      </c>
      <c r="BC691" s="1300" t="s">
        <v>1303</v>
      </c>
      <c r="BD691" s="1300" t="s">
        <v>1303</v>
      </c>
      <c r="BE691" s="1305"/>
      <c r="BF691" s="1300" t="s">
        <v>1303</v>
      </c>
      <c r="BG691" s="1300" t="s">
        <v>1303</v>
      </c>
      <c r="BH691" s="1300" t="s">
        <v>1303</v>
      </c>
      <c r="BI691" s="1301" t="s">
        <v>1303</v>
      </c>
      <c r="BJ691" s="1305"/>
      <c r="BK691" s="1300" t="s">
        <v>1303</v>
      </c>
      <c r="BL691" s="1301" t="s">
        <v>1303</v>
      </c>
      <c r="BM691" s="1300" t="s">
        <v>1303</v>
      </c>
      <c r="BN691" s="1301" t="s">
        <v>1303</v>
      </c>
    </row>
    <row r="692" spans="1:66">
      <c r="A692" s="51" t="str">
        <f t="shared" si="411"/>
        <v>804750</v>
      </c>
      <c r="B692" s="1442" t="str">
        <f>'BUS Deemed Savings Table'!C585</f>
        <v>804750_2024_12_</v>
      </c>
      <c r="C692" s="1378" t="str">
        <f>'BUS Deemed Savings Table'!G585</f>
        <v>Air Comp BUS</v>
      </c>
      <c r="D692" s="1378"/>
      <c r="E692" s="1378"/>
      <c r="F692" s="1378"/>
      <c r="G692" s="1378" t="str">
        <f>'BUS Deemed Savings Table'!E585</f>
        <v>Compressed Air Nozzle (Screw - Load/Unload)</v>
      </c>
      <c r="H692" s="19" t="str">
        <f>'BUS Deemed Savings Table'!D585</f>
        <v>Standard</v>
      </c>
      <c r="I692" s="785">
        <f>'BUS Deemed Savings Table'!F585</f>
        <v>1192.21</v>
      </c>
      <c r="J692" s="785"/>
      <c r="K692" s="202"/>
      <c r="L692" s="202"/>
      <c r="M692" s="202"/>
      <c r="N692" s="202"/>
      <c r="O692" s="786">
        <f>'BUS Deemed Savings Table'!I585</f>
        <v>0.16445799999999999</v>
      </c>
      <c r="P692" s="786"/>
      <c r="Q692" s="787"/>
      <c r="R692" s="787"/>
      <c r="S692" s="787"/>
      <c r="T692" s="787"/>
      <c r="U692" s="788">
        <f t="shared" si="464"/>
        <v>0</v>
      </c>
      <c r="V692" s="788">
        <f t="shared" si="465"/>
        <v>0</v>
      </c>
      <c r="W692" s="788">
        <f t="shared" si="466"/>
        <v>0.16445799999999999</v>
      </c>
      <c r="X692" s="23">
        <f>'BUS Deemed Savings Table'!J585</f>
        <v>15</v>
      </c>
      <c r="Y692" s="23"/>
      <c r="Z692" s="23">
        <f t="shared" si="412"/>
        <v>15</v>
      </c>
      <c r="AA692" s="18">
        <f>'BUS Deemed Savings Table'!DG585</f>
        <v>14.409636525959964</v>
      </c>
      <c r="AB692" s="259">
        <f>'BUS Deemed Savings Table'!K585</f>
        <v>59</v>
      </c>
      <c r="AC692" s="790">
        <f t="shared" si="413"/>
        <v>850.16855503163788</v>
      </c>
      <c r="AD692" s="790">
        <f t="shared" si="414"/>
        <v>0</v>
      </c>
      <c r="AE692" s="610">
        <f>'BUS Deemed Savings Table'!DI585</f>
        <v>850.16855503163788</v>
      </c>
      <c r="AF692" s="208"/>
      <c r="AG692" s="208"/>
      <c r="AH692" s="208"/>
      <c r="AI692" s="914" t="str">
        <f>'BUS Deemed Savings Table'!L585</f>
        <v>per measure</v>
      </c>
      <c r="AJ692" s="71"/>
      <c r="AX692" s="1355" t="str">
        <f t="shared" ref="AX692:AX736" si="467">G692</f>
        <v>Compressed Air Nozzle (Screw - Load/Unload)</v>
      </c>
      <c r="AY692" s="1378"/>
      <c r="AZ692" s="1446" t="str">
        <f t="shared" ref="AZ692:AZ736" si="468">A692</f>
        <v>804750</v>
      </c>
      <c r="BA692" s="1300" t="s">
        <v>1303</v>
      </c>
      <c r="BB692" s="1300" t="s">
        <v>1303</v>
      </c>
      <c r="BC692" s="1300" t="s">
        <v>1303</v>
      </c>
      <c r="BD692" s="1300" t="s">
        <v>1303</v>
      </c>
      <c r="BE692" s="1305"/>
      <c r="BF692" s="1300" t="s">
        <v>1303</v>
      </c>
      <c r="BG692" s="1300" t="s">
        <v>1303</v>
      </c>
      <c r="BH692" s="1300" t="s">
        <v>1303</v>
      </c>
      <c r="BI692" s="1301" t="s">
        <v>1303</v>
      </c>
      <c r="BJ692" s="1305"/>
      <c r="BK692" s="1300" t="s">
        <v>1303</v>
      </c>
      <c r="BL692" s="1301" t="s">
        <v>1303</v>
      </c>
      <c r="BM692" s="1300" t="s">
        <v>1303</v>
      </c>
      <c r="BN692" s="1301" t="s">
        <v>1303</v>
      </c>
    </row>
    <row r="693" spans="1:66">
      <c r="A693" s="51" t="str">
        <f t="shared" si="411"/>
        <v>804800</v>
      </c>
      <c r="B693" s="1442" t="str">
        <f>'BUS Deemed Savings Table'!C586</f>
        <v>804800_2024_12_</v>
      </c>
      <c r="C693" s="1378" t="str">
        <f>'BUS Deemed Savings Table'!G586</f>
        <v>Air Comp BUS</v>
      </c>
      <c r="D693" s="1378"/>
      <c r="E693" s="1378"/>
      <c r="F693" s="1378"/>
      <c r="G693" s="1378" t="str">
        <f>'BUS Deemed Savings Table'!E586</f>
        <v>Compressed Air Nozzle (Screw - Inlet Modulation)</v>
      </c>
      <c r="H693" s="19" t="str">
        <f>'BUS Deemed Savings Table'!D586</f>
        <v>Standard</v>
      </c>
      <c r="I693" s="785">
        <f>'BUS Deemed Savings Table'!F586</f>
        <v>473.62</v>
      </c>
      <c r="J693" s="785"/>
      <c r="K693" s="202"/>
      <c r="L693" s="202"/>
      <c r="M693" s="202"/>
      <c r="N693" s="202"/>
      <c r="O693" s="786">
        <f>'BUS Deemed Savings Table'!I586</f>
        <v>6.5333000000000002E-2</v>
      </c>
      <c r="P693" s="786"/>
      <c r="Q693" s="787"/>
      <c r="R693" s="787"/>
      <c r="S693" s="787"/>
      <c r="T693" s="787"/>
      <c r="U693" s="788">
        <f t="shared" si="464"/>
        <v>0</v>
      </c>
      <c r="V693" s="788">
        <f t="shared" si="465"/>
        <v>0</v>
      </c>
      <c r="W693" s="788">
        <f t="shared" si="466"/>
        <v>6.5333000000000002E-2</v>
      </c>
      <c r="X693" s="23">
        <f>'BUS Deemed Savings Table'!J586</f>
        <v>15</v>
      </c>
      <c r="Y693" s="23"/>
      <c r="Z693" s="23">
        <f t="shared" si="412"/>
        <v>15</v>
      </c>
      <c r="AA693" s="18">
        <f>'BUS Deemed Savings Table'!DG586</f>
        <v>5.7244043007734859</v>
      </c>
      <c r="AB693" s="259">
        <f>'BUS Deemed Savings Table'!K586</f>
        <v>59</v>
      </c>
      <c r="AC693" s="790">
        <f t="shared" si="413"/>
        <v>337.73985374563568</v>
      </c>
      <c r="AD693" s="790">
        <f t="shared" si="414"/>
        <v>0</v>
      </c>
      <c r="AE693" s="610">
        <f>'BUS Deemed Savings Table'!DI586</f>
        <v>337.73985374563568</v>
      </c>
      <c r="AF693" s="208"/>
      <c r="AG693" s="208"/>
      <c r="AH693" s="208"/>
      <c r="AI693" s="914" t="str">
        <f>'BUS Deemed Savings Table'!L586</f>
        <v>per measure</v>
      </c>
      <c r="AJ693" s="71"/>
      <c r="AX693" s="1355" t="str">
        <f t="shared" si="467"/>
        <v>Compressed Air Nozzle (Screw - Inlet Modulation)</v>
      </c>
      <c r="AY693" s="1378"/>
      <c r="AZ693" s="1446" t="str">
        <f t="shared" si="468"/>
        <v>804800</v>
      </c>
      <c r="BA693" s="1300" t="s">
        <v>1303</v>
      </c>
      <c r="BB693" s="1300" t="s">
        <v>1303</v>
      </c>
      <c r="BC693" s="1300" t="s">
        <v>1303</v>
      </c>
      <c r="BD693" s="1300" t="s">
        <v>1303</v>
      </c>
      <c r="BE693" s="1305"/>
      <c r="BF693" s="1300" t="s">
        <v>1303</v>
      </c>
      <c r="BG693" s="1300" t="s">
        <v>1303</v>
      </c>
      <c r="BH693" s="1300" t="s">
        <v>1303</v>
      </c>
      <c r="BI693" s="1301" t="s">
        <v>1303</v>
      </c>
      <c r="BJ693" s="1305"/>
      <c r="BK693" s="1300" t="s">
        <v>1303</v>
      </c>
      <c r="BL693" s="1301" t="s">
        <v>1303</v>
      </c>
      <c r="BM693" s="1300" t="s">
        <v>1303</v>
      </c>
      <c r="BN693" s="1301" t="s">
        <v>1303</v>
      </c>
    </row>
    <row r="694" spans="1:66">
      <c r="A694" s="51" t="str">
        <f t="shared" si="411"/>
        <v>804850</v>
      </c>
      <c r="B694" s="1442" t="str">
        <f>'BUS Deemed Savings Table'!C587</f>
        <v>804850_2024_12_</v>
      </c>
      <c r="C694" s="1378" t="str">
        <f>'BUS Deemed Savings Table'!G587</f>
        <v>Air Comp BUS</v>
      </c>
      <c r="D694" s="1378"/>
      <c r="E694" s="1378"/>
      <c r="F694" s="1378"/>
      <c r="G694" s="1378" t="str">
        <f>'BUS Deemed Savings Table'!E587</f>
        <v>Compressed Air Nozzle (Screw - Inlet Modulation w/ blowdown)</v>
      </c>
      <c r="H694" s="19" t="str">
        <f>'BUS Deemed Savings Table'!D587</f>
        <v>Standard</v>
      </c>
      <c r="I694" s="785">
        <f>'BUS Deemed Savings Table'!F587</f>
        <v>1208.54</v>
      </c>
      <c r="J694" s="785"/>
      <c r="K694" s="202"/>
      <c r="L694" s="202"/>
      <c r="M694" s="202"/>
      <c r="N694" s="202"/>
      <c r="O694" s="786">
        <f>'BUS Deemed Savings Table'!I587</f>
        <v>0.166711</v>
      </c>
      <c r="P694" s="786"/>
      <c r="Q694" s="787"/>
      <c r="R694" s="787"/>
      <c r="S694" s="787"/>
      <c r="T694" s="787"/>
      <c r="U694" s="788">
        <f t="shared" si="464"/>
        <v>0</v>
      </c>
      <c r="V694" s="788">
        <f t="shared" si="465"/>
        <v>0</v>
      </c>
      <c r="W694" s="788">
        <f t="shared" si="466"/>
        <v>0.166711</v>
      </c>
      <c r="X694" s="23">
        <f>'BUS Deemed Savings Table'!J587</f>
        <v>15</v>
      </c>
      <c r="Y694" s="23"/>
      <c r="Z694" s="23">
        <f t="shared" si="412"/>
        <v>15</v>
      </c>
      <c r="AA694" s="18">
        <f>'BUS Deemed Savings Table'!DG587</f>
        <v>14.607008938931608</v>
      </c>
      <c r="AB694" s="259">
        <f>'BUS Deemed Savings Table'!K587</f>
        <v>59</v>
      </c>
      <c r="AC694" s="790">
        <f t="shared" si="413"/>
        <v>861.8135273969649</v>
      </c>
      <c r="AD694" s="790">
        <f t="shared" si="414"/>
        <v>0</v>
      </c>
      <c r="AE694" s="610">
        <f>'BUS Deemed Savings Table'!DI587</f>
        <v>861.8135273969649</v>
      </c>
      <c r="AF694" s="208"/>
      <c r="AG694" s="208"/>
      <c r="AH694" s="208"/>
      <c r="AI694" s="914" t="str">
        <f>'BUS Deemed Savings Table'!L587</f>
        <v>per measure</v>
      </c>
      <c r="AJ694" s="71"/>
      <c r="AX694" s="1355" t="str">
        <f t="shared" si="467"/>
        <v>Compressed Air Nozzle (Screw - Inlet Modulation w/ blowdown)</v>
      </c>
      <c r="AY694" s="1378"/>
      <c r="AZ694" s="1446" t="str">
        <f t="shared" si="468"/>
        <v>804850</v>
      </c>
      <c r="BA694" s="1300" t="s">
        <v>1303</v>
      </c>
      <c r="BB694" s="1300" t="s">
        <v>1303</v>
      </c>
      <c r="BC694" s="1300" t="s">
        <v>1303</v>
      </c>
      <c r="BD694" s="1300" t="s">
        <v>1303</v>
      </c>
      <c r="BE694" s="1305"/>
      <c r="BF694" s="1300" t="s">
        <v>1303</v>
      </c>
      <c r="BG694" s="1300" t="s">
        <v>1303</v>
      </c>
      <c r="BH694" s="1300" t="s">
        <v>1303</v>
      </c>
      <c r="BI694" s="1301" t="s">
        <v>1303</v>
      </c>
      <c r="BJ694" s="1305"/>
      <c r="BK694" s="1300" t="s">
        <v>1303</v>
      </c>
      <c r="BL694" s="1301" t="s">
        <v>1303</v>
      </c>
      <c r="BM694" s="1300" t="s">
        <v>1303</v>
      </c>
      <c r="BN694" s="1301" t="s">
        <v>1303</v>
      </c>
    </row>
    <row r="695" spans="1:66">
      <c r="A695" s="51" t="str">
        <f t="shared" si="411"/>
        <v>804900</v>
      </c>
      <c r="B695" s="1442" t="str">
        <f>'BUS Deemed Savings Table'!C588</f>
        <v>804900_2024_12_</v>
      </c>
      <c r="C695" s="1378" t="str">
        <f>'BUS Deemed Savings Table'!G588</f>
        <v>Air Comp BUS</v>
      </c>
      <c r="D695" s="1378"/>
      <c r="E695" s="1378"/>
      <c r="F695" s="1378"/>
      <c r="G695" s="1378" t="str">
        <f>'BUS Deemed Savings Table'!E588</f>
        <v>Compressed Air Nozzle (Screw - Variable Displacement)</v>
      </c>
      <c r="H695" s="19" t="str">
        <f>'BUS Deemed Savings Table'!D588</f>
        <v>Standard</v>
      </c>
      <c r="I695" s="785">
        <f>'BUS Deemed Savings Table'!F588</f>
        <v>979.9</v>
      </c>
      <c r="J695" s="785"/>
      <c r="K695" s="202"/>
      <c r="L695" s="202"/>
      <c r="M695" s="202"/>
      <c r="N695" s="202"/>
      <c r="O695" s="786">
        <f>'BUS Deemed Savings Table'!I588</f>
        <v>0.13517100000000001</v>
      </c>
      <c r="P695" s="786"/>
      <c r="Q695" s="787"/>
      <c r="R695" s="787"/>
      <c r="S695" s="787"/>
      <c r="T695" s="787"/>
      <c r="U695" s="788">
        <f t="shared" si="464"/>
        <v>0</v>
      </c>
      <c r="V695" s="788">
        <f t="shared" si="465"/>
        <v>0</v>
      </c>
      <c r="W695" s="788">
        <f t="shared" si="466"/>
        <v>0.13517100000000001</v>
      </c>
      <c r="X695" s="23">
        <f>'BUS Deemed Savings Table'!J588</f>
        <v>15</v>
      </c>
      <c r="Y695" s="23"/>
      <c r="Z695" s="23">
        <f t="shared" si="412"/>
        <v>15</v>
      </c>
      <c r="AA695" s="18">
        <f>'BUS Deemed Savings Table'!DG588</f>
        <v>11.843553427490265</v>
      </c>
      <c r="AB695" s="259">
        <f>'BUS Deemed Savings Table'!K588</f>
        <v>59</v>
      </c>
      <c r="AC695" s="790">
        <f t="shared" si="413"/>
        <v>698.76965222192564</v>
      </c>
      <c r="AD695" s="790">
        <f t="shared" si="414"/>
        <v>0</v>
      </c>
      <c r="AE695" s="610">
        <f>'BUS Deemed Savings Table'!DI588</f>
        <v>698.76965222192564</v>
      </c>
      <c r="AF695" s="208"/>
      <c r="AG695" s="208"/>
      <c r="AH695" s="208"/>
      <c r="AI695" s="914" t="str">
        <f>'BUS Deemed Savings Table'!L588</f>
        <v>per measure</v>
      </c>
      <c r="AJ695" s="71"/>
      <c r="AX695" s="1355" t="str">
        <f t="shared" si="467"/>
        <v>Compressed Air Nozzle (Screw - Variable Displacement)</v>
      </c>
      <c r="AY695" s="1378"/>
      <c r="AZ695" s="1446" t="str">
        <f t="shared" si="468"/>
        <v>804900</v>
      </c>
      <c r="BA695" s="1300" t="s">
        <v>1303</v>
      </c>
      <c r="BB695" s="1300" t="s">
        <v>1303</v>
      </c>
      <c r="BC695" s="1300" t="s">
        <v>1303</v>
      </c>
      <c r="BD695" s="1300" t="s">
        <v>1303</v>
      </c>
      <c r="BE695" s="1305"/>
      <c r="BF695" s="1300" t="s">
        <v>1303</v>
      </c>
      <c r="BG695" s="1300" t="s">
        <v>1303</v>
      </c>
      <c r="BH695" s="1300" t="s">
        <v>1303</v>
      </c>
      <c r="BI695" s="1301" t="s">
        <v>1303</v>
      </c>
      <c r="BJ695" s="1305"/>
      <c r="BK695" s="1300" t="s">
        <v>1303</v>
      </c>
      <c r="BL695" s="1301" t="s">
        <v>1303</v>
      </c>
      <c r="BM695" s="1300" t="s">
        <v>1303</v>
      </c>
      <c r="BN695" s="1301" t="s">
        <v>1303</v>
      </c>
    </row>
    <row r="696" spans="1:66">
      <c r="A696" s="51" t="str">
        <f t="shared" si="411"/>
        <v>804950</v>
      </c>
      <c r="B696" s="1442" t="str">
        <f>'BUS Deemed Savings Table'!C589</f>
        <v>804950_2024_12_</v>
      </c>
      <c r="C696" s="1378" t="str">
        <f>'BUS Deemed Savings Table'!G589</f>
        <v>Air Comp BUS</v>
      </c>
      <c r="D696" s="1378"/>
      <c r="E696" s="1378"/>
      <c r="F696" s="1378"/>
      <c r="G696" s="1378" t="str">
        <f>'BUS Deemed Savings Table'!E589</f>
        <v>Compressed Air Nozzle (Screw - VFD)</v>
      </c>
      <c r="H696" s="19" t="str">
        <f>'BUS Deemed Savings Table'!D589</f>
        <v>Standard</v>
      </c>
      <c r="I696" s="785">
        <f>'BUS Deemed Savings Table'!F589</f>
        <v>1584.17</v>
      </c>
      <c r="J696" s="785"/>
      <c r="K696" s="202"/>
      <c r="L696" s="202"/>
      <c r="M696" s="202"/>
      <c r="N696" s="202"/>
      <c r="O696" s="786">
        <f>'BUS Deemed Savings Table'!I589</f>
        <v>0.218527</v>
      </c>
      <c r="P696" s="786"/>
      <c r="Q696" s="787"/>
      <c r="R696" s="787"/>
      <c r="S696" s="787"/>
      <c r="T696" s="787"/>
      <c r="U696" s="788">
        <f t="shared" si="464"/>
        <v>0</v>
      </c>
      <c r="V696" s="788">
        <f t="shared" si="465"/>
        <v>0</v>
      </c>
      <c r="W696" s="788">
        <f t="shared" si="466"/>
        <v>0.218527</v>
      </c>
      <c r="X696" s="23">
        <f>'BUS Deemed Savings Table'!J589</f>
        <v>15</v>
      </c>
      <c r="Y696" s="23"/>
      <c r="Z696" s="23">
        <f t="shared" si="412"/>
        <v>15</v>
      </c>
      <c r="AA696" s="18">
        <f>'BUS Deemed Savings Table'!DG589</f>
        <v>19.147057896956071</v>
      </c>
      <c r="AB696" s="259">
        <f>'BUS Deemed Savings Table'!K589</f>
        <v>59</v>
      </c>
      <c r="AC696" s="790">
        <f t="shared" si="413"/>
        <v>1129.6764159204081</v>
      </c>
      <c r="AD696" s="790">
        <f t="shared" si="414"/>
        <v>0</v>
      </c>
      <c r="AE696" s="610">
        <f>'BUS Deemed Savings Table'!DI589</f>
        <v>1129.6764159204081</v>
      </c>
      <c r="AF696" s="208"/>
      <c r="AG696" s="208"/>
      <c r="AH696" s="208"/>
      <c r="AI696" s="914" t="str">
        <f>'BUS Deemed Savings Table'!L589</f>
        <v>per measure</v>
      </c>
      <c r="AJ696" s="71"/>
      <c r="AX696" s="1355" t="str">
        <f t="shared" si="467"/>
        <v>Compressed Air Nozzle (Screw - VFD)</v>
      </c>
      <c r="AY696" s="1378"/>
      <c r="AZ696" s="1446" t="str">
        <f t="shared" si="468"/>
        <v>804950</v>
      </c>
      <c r="BA696" s="1300" t="s">
        <v>1303</v>
      </c>
      <c r="BB696" s="1300" t="s">
        <v>1303</v>
      </c>
      <c r="BC696" s="1300" t="s">
        <v>1303</v>
      </c>
      <c r="BD696" s="1300" t="s">
        <v>1303</v>
      </c>
      <c r="BE696" s="1305"/>
      <c r="BF696" s="1300" t="s">
        <v>1303</v>
      </c>
      <c r="BG696" s="1300" t="s">
        <v>1303</v>
      </c>
      <c r="BH696" s="1300" t="s">
        <v>1303</v>
      </c>
      <c r="BI696" s="1301" t="s">
        <v>1303</v>
      </c>
      <c r="BJ696" s="1305"/>
      <c r="BK696" s="1300" t="s">
        <v>1303</v>
      </c>
      <c r="BL696" s="1301" t="s">
        <v>1303</v>
      </c>
      <c r="BM696" s="1300" t="s">
        <v>1303</v>
      </c>
      <c r="BN696" s="1301" t="s">
        <v>1303</v>
      </c>
    </row>
    <row r="697" spans="1:66">
      <c r="A697" s="51" t="str">
        <f t="shared" si="411"/>
        <v>805000</v>
      </c>
      <c r="B697" s="1442" t="str">
        <f>'BUS Deemed Savings Table'!C609</f>
        <v>805000_2024_12_</v>
      </c>
      <c r="C697" s="1378" t="str">
        <f>'BUS Deemed Savings Table'!G609</f>
        <v>Air Comp BUS</v>
      </c>
      <c r="D697" s="1378"/>
      <c r="E697" s="1378"/>
      <c r="F697" s="1378"/>
      <c r="G697" s="1378" t="str">
        <f>'BUS Deemed Savings Table'!E609</f>
        <v>VSD Air Compressor 5-40 HP</v>
      </c>
      <c r="H697" s="19" t="str">
        <f>'BUS Deemed Savings Table'!D609</f>
        <v>Standard</v>
      </c>
      <c r="I697" s="785">
        <f>'BUS Deemed Savings Table'!F609</f>
        <v>949.38</v>
      </c>
      <c r="J697" s="785"/>
      <c r="K697" s="202"/>
      <c r="L697" s="202"/>
      <c r="M697" s="202"/>
      <c r="N697" s="202"/>
      <c r="O697" s="786">
        <f>'BUS Deemed Savings Table'!I609</f>
        <v>0.13096099999999999</v>
      </c>
      <c r="P697" s="786"/>
      <c r="Q697" s="787"/>
      <c r="R697" s="787"/>
      <c r="S697" s="787"/>
      <c r="T697" s="787"/>
      <c r="U697" s="788">
        <f t="shared" si="464"/>
        <v>0</v>
      </c>
      <c r="V697" s="788">
        <f t="shared" si="465"/>
        <v>0.13096099999999999</v>
      </c>
      <c r="W697" s="788">
        <f t="shared" si="466"/>
        <v>0</v>
      </c>
      <c r="X697" s="23">
        <f>'BUS Deemed Savings Table'!J609</f>
        <v>10</v>
      </c>
      <c r="Y697" s="23"/>
      <c r="Z697" s="23">
        <f t="shared" si="412"/>
        <v>10</v>
      </c>
      <c r="AA697" s="18">
        <f>'BUS Deemed Savings Table'!DG609</f>
        <v>1.3755919890352668</v>
      </c>
      <c r="AB697" s="259">
        <f>'BUS Deemed Savings Table'!K609</f>
        <v>202.28779999999998</v>
      </c>
      <c r="AC697" s="790">
        <f t="shared" si="413"/>
        <v>3037.3071117898689</v>
      </c>
      <c r="AD697" s="790">
        <f t="shared" si="414"/>
        <v>0</v>
      </c>
      <c r="AE697" s="610">
        <f>'BUS Deemed Savings Table'!DI609</f>
        <v>3037.3071117898689</v>
      </c>
      <c r="AF697" s="208"/>
      <c r="AG697" s="208"/>
      <c r="AH697" s="208"/>
      <c r="AI697" s="914" t="str">
        <f>'BUS Deemed Savings Table'!L609</f>
        <v>per HP</v>
      </c>
      <c r="AJ697" s="71"/>
      <c r="AX697" s="1355" t="str">
        <f t="shared" si="467"/>
        <v>VSD Air Compressor 5-40 HP</v>
      </c>
      <c r="AY697" s="1378"/>
      <c r="AZ697" s="1446" t="str">
        <f t="shared" si="468"/>
        <v>805000</v>
      </c>
      <c r="BA697" s="1300" t="s">
        <v>1303</v>
      </c>
      <c r="BB697" s="1300" t="s">
        <v>1303</v>
      </c>
      <c r="BC697" s="1300" t="s">
        <v>1303</v>
      </c>
      <c r="BD697" s="1300" t="s">
        <v>1303</v>
      </c>
      <c r="BE697" s="1305"/>
      <c r="BF697" s="1300" t="s">
        <v>1303</v>
      </c>
      <c r="BG697" s="1300" t="s">
        <v>1303</v>
      </c>
      <c r="BH697" s="1300" t="s">
        <v>1303</v>
      </c>
      <c r="BI697" s="1301" t="s">
        <v>1303</v>
      </c>
      <c r="BJ697" s="1305"/>
      <c r="BK697" s="1300" t="s">
        <v>1303</v>
      </c>
      <c r="BL697" s="1301" t="s">
        <v>1303</v>
      </c>
      <c r="BM697" s="1300" t="s">
        <v>1303</v>
      </c>
      <c r="BN697" s="1301" t="s">
        <v>1303</v>
      </c>
    </row>
    <row r="698" spans="1:66" s="41" customFormat="1">
      <c r="A698" s="51" t="str">
        <f>LEFT(B698,6)</f>
        <v>805001</v>
      </c>
      <c r="B698" s="677" t="str">
        <f>'BUS Deemed Savings Table'!C610</f>
        <v>805001_2024_12_</v>
      </c>
      <c r="C698" s="676" t="str">
        <f>'BUS Deemed Savings Table'!G610</f>
        <v>Air Comp BUS</v>
      </c>
      <c r="D698" s="676"/>
      <c r="E698" s="676"/>
      <c r="F698" s="676"/>
      <c r="G698" s="676" t="str">
        <f>'BUS Deemed Savings Table'!E610</f>
        <v>VSD Air Compressor &gt;40-&lt;50 HP</v>
      </c>
      <c r="H698" s="682" t="str">
        <f>'BUS Deemed Savings Table'!D610</f>
        <v>Standard</v>
      </c>
      <c r="I698" s="680">
        <f>'BUS Deemed Savings Table'!F610</f>
        <v>949.38</v>
      </c>
      <c r="J698" s="680"/>
      <c r="K698" s="678"/>
      <c r="L698" s="678"/>
      <c r="M698" s="678"/>
      <c r="N698" s="678"/>
      <c r="O698" s="681">
        <f>'BUS Deemed Savings Table'!I610</f>
        <v>0.13096099999999999</v>
      </c>
      <c r="P698" s="681"/>
      <c r="Q698" s="683"/>
      <c r="R698" s="683"/>
      <c r="S698" s="683"/>
      <c r="T698" s="683"/>
      <c r="U698" s="788">
        <f t="shared" si="464"/>
        <v>0</v>
      </c>
      <c r="V698" s="788">
        <f t="shared" si="465"/>
        <v>0.13096099999999999</v>
      </c>
      <c r="W698" s="788">
        <f t="shared" si="466"/>
        <v>0</v>
      </c>
      <c r="X698" s="674">
        <f>'BUS Deemed Savings Table'!J610</f>
        <v>10</v>
      </c>
      <c r="Y698" s="674"/>
      <c r="Z698" s="674">
        <f>Y698+X698</f>
        <v>10</v>
      </c>
      <c r="AA698" s="117">
        <f>'BUS Deemed Savings Table'!DG610</f>
        <v>1.3755919890352668</v>
      </c>
      <c r="AB698" s="781">
        <f>'BUS Deemed Savings Table'!K610</f>
        <v>202.28779999999998</v>
      </c>
      <c r="AC698" s="666">
        <f>AE698+AF698</f>
        <v>3037.3071117898689</v>
      </c>
      <c r="AD698" s="666">
        <f>AG698+AH698</f>
        <v>0</v>
      </c>
      <c r="AE698" s="791">
        <f>'BUS Deemed Savings Table'!DI610</f>
        <v>3037.3071117898689</v>
      </c>
      <c r="AF698" s="684"/>
      <c r="AG698" s="684"/>
      <c r="AH698" s="684"/>
      <c r="AI698" s="1042" t="str">
        <f>'BUS Deemed Savings Table'!L610</f>
        <v>per HP</v>
      </c>
      <c r="AJ698" s="676"/>
      <c r="AM698"/>
      <c r="AN698"/>
      <c r="AO698"/>
      <c r="AP698"/>
      <c r="AQ698"/>
      <c r="AR698"/>
      <c r="AS698"/>
      <c r="AT698"/>
      <c r="AU698"/>
      <c r="AV698"/>
      <c r="AW698"/>
      <c r="AX698" s="1355" t="str">
        <f t="shared" si="467"/>
        <v>VSD Air Compressor &gt;40-&lt;50 HP</v>
      </c>
      <c r="AY698" s="1378"/>
      <c r="AZ698" s="1446" t="str">
        <f t="shared" si="468"/>
        <v>805001</v>
      </c>
      <c r="BA698" s="1300" t="s">
        <v>1303</v>
      </c>
      <c r="BB698" s="1300" t="s">
        <v>1303</v>
      </c>
      <c r="BC698" s="1300" t="s">
        <v>1303</v>
      </c>
      <c r="BD698" s="1300" t="s">
        <v>1303</v>
      </c>
      <c r="BE698" s="1306"/>
      <c r="BF698" s="1300" t="s">
        <v>1303</v>
      </c>
      <c r="BG698" s="1300" t="s">
        <v>1303</v>
      </c>
      <c r="BH698" s="1300" t="s">
        <v>1303</v>
      </c>
      <c r="BI698" s="1301" t="s">
        <v>1303</v>
      </c>
      <c r="BJ698" s="1305"/>
      <c r="BK698" s="1300" t="s">
        <v>1303</v>
      </c>
      <c r="BL698" s="1301" t="s">
        <v>1303</v>
      </c>
      <c r="BM698" s="1300" t="s">
        <v>1303</v>
      </c>
      <c r="BN698" s="1301" t="s">
        <v>1303</v>
      </c>
    </row>
    <row r="699" spans="1:66" s="41" customFormat="1">
      <c r="A699" s="51" t="str">
        <f>LEFT(B699,6)</f>
        <v>805002</v>
      </c>
      <c r="B699" s="677" t="str">
        <f>'BUS Deemed Savings Table'!C611</f>
        <v>805002_2024_12_</v>
      </c>
      <c r="C699" s="676" t="str">
        <f>'BUS Deemed Savings Table'!G611</f>
        <v>Air Comp BUS</v>
      </c>
      <c r="D699" s="676"/>
      <c r="E699" s="676"/>
      <c r="F699" s="676"/>
      <c r="G699" s="676" t="str">
        <f>'BUS Deemed Savings Table'!E611</f>
        <v>VSD Air Compressor 50-200 HP</v>
      </c>
      <c r="H699" s="682" t="str">
        <f>'BUS Deemed Savings Table'!D611</f>
        <v>Standard</v>
      </c>
      <c r="I699" s="680">
        <f>'BUS Deemed Savings Table'!F611</f>
        <v>1052.02</v>
      </c>
      <c r="J699" s="680"/>
      <c r="K699" s="678"/>
      <c r="L699" s="678"/>
      <c r="M699" s="678"/>
      <c r="N699" s="678"/>
      <c r="O699" s="681">
        <f>'BUS Deemed Savings Table'!I611</f>
        <v>0.14512</v>
      </c>
      <c r="P699" s="681"/>
      <c r="Q699" s="683"/>
      <c r="R699" s="683"/>
      <c r="S699" s="683"/>
      <c r="T699" s="683"/>
      <c r="U699" s="788">
        <f t="shared" si="464"/>
        <v>0</v>
      </c>
      <c r="V699" s="788">
        <f t="shared" si="465"/>
        <v>0.14512</v>
      </c>
      <c r="W699" s="788">
        <f t="shared" si="466"/>
        <v>0</v>
      </c>
      <c r="X699" s="674">
        <f>'BUS Deemed Savings Table'!J611</f>
        <v>10</v>
      </c>
      <c r="Y699" s="674"/>
      <c r="Z699" s="674">
        <f>Y699+X699</f>
        <v>10</v>
      </c>
      <c r="AA699" s="117">
        <f>'BUS Deemed Savings Table'!DG611</f>
        <v>1.5243109021728725</v>
      </c>
      <c r="AB699" s="781">
        <f>'BUS Deemed Savings Table'!K611</f>
        <v>202.28779999999998</v>
      </c>
      <c r="AC699" s="666">
        <f>AE699+AF699</f>
        <v>3365.6784719977022</v>
      </c>
      <c r="AD699" s="666">
        <f>AG699+AH699</f>
        <v>0</v>
      </c>
      <c r="AE699" s="791">
        <f>'BUS Deemed Savings Table'!DI611</f>
        <v>3365.6784719977022</v>
      </c>
      <c r="AF699" s="684"/>
      <c r="AG699" s="684"/>
      <c r="AH699" s="684"/>
      <c r="AI699" s="1042" t="str">
        <f>'BUS Deemed Savings Table'!L611</f>
        <v>per HP</v>
      </c>
      <c r="AJ699" s="676"/>
      <c r="AM699"/>
      <c r="AN699"/>
      <c r="AO699"/>
      <c r="AP699"/>
      <c r="AQ699"/>
      <c r="AR699"/>
      <c r="AS699"/>
      <c r="AT699"/>
      <c r="AU699"/>
      <c r="AV699"/>
      <c r="AW699"/>
      <c r="AX699" s="1355" t="str">
        <f t="shared" si="467"/>
        <v>VSD Air Compressor 50-200 HP</v>
      </c>
      <c r="AY699" s="1378"/>
      <c r="AZ699" s="1446" t="str">
        <f t="shared" si="468"/>
        <v>805002</v>
      </c>
      <c r="BA699" s="1300" t="s">
        <v>1303</v>
      </c>
      <c r="BB699" s="1300" t="s">
        <v>1303</v>
      </c>
      <c r="BC699" s="1300" t="s">
        <v>1303</v>
      </c>
      <c r="BD699" s="1300" t="s">
        <v>1303</v>
      </c>
      <c r="BE699" s="1306"/>
      <c r="BF699" s="1300" t="s">
        <v>1303</v>
      </c>
      <c r="BG699" s="1300" t="s">
        <v>1303</v>
      </c>
      <c r="BH699" s="1300" t="s">
        <v>1303</v>
      </c>
      <c r="BI699" s="1301" t="s">
        <v>1303</v>
      </c>
      <c r="BJ699" s="1305"/>
      <c r="BK699" s="1300" t="s">
        <v>1303</v>
      </c>
      <c r="BL699" s="1301" t="s">
        <v>1303</v>
      </c>
      <c r="BM699" s="1300" t="s">
        <v>1303</v>
      </c>
      <c r="BN699" s="1301" t="s">
        <v>1303</v>
      </c>
    </row>
    <row r="700" spans="1:66" s="696" customFormat="1">
      <c r="A700" s="2958" t="str">
        <f>LEFT(B700,6)</f>
        <v>805020</v>
      </c>
      <c r="B700" s="2233" t="str">
        <f>'BUS Deemed Savings Table'!C627</f>
        <v>805020_2024_12_</v>
      </c>
      <c r="C700" s="2724" t="str">
        <f>'BUS Deemed Savings Table'!G627</f>
        <v>Air Comp BUS</v>
      </c>
      <c r="D700" s="2724"/>
      <c r="E700" s="2724"/>
      <c r="F700" s="2724"/>
      <c r="G700" s="2724" t="str">
        <f>'BUS Deemed Savings Table'!E627</f>
        <v>Leak Repair  (Reciprocating - On/off Control)</v>
      </c>
      <c r="H700" s="2554" t="str">
        <f>'BUS Deemed Savings Table'!D627</f>
        <v>BSS</v>
      </c>
      <c r="I700" s="3840">
        <f>'BUS Deemed Savings Table'!F627</f>
        <v>1126.32</v>
      </c>
      <c r="J700" s="3840"/>
      <c r="K700" s="3251"/>
      <c r="L700" s="3251"/>
      <c r="M700" s="3251"/>
      <c r="N700" s="3251"/>
      <c r="O700" s="3841">
        <f>'BUS Deemed Savings Table'!I627</f>
        <v>0.15536900000000001</v>
      </c>
      <c r="P700" s="3841"/>
      <c r="Q700" s="3842"/>
      <c r="R700" s="3842"/>
      <c r="S700" s="3842"/>
      <c r="T700" s="3842"/>
      <c r="U700" s="3843">
        <f t="shared" si="464"/>
        <v>0.15536900000000001</v>
      </c>
      <c r="V700" s="3843">
        <f t="shared" si="465"/>
        <v>0</v>
      </c>
      <c r="W700" s="3843">
        <f t="shared" si="466"/>
        <v>0</v>
      </c>
      <c r="X700" s="2846">
        <f>'BUS Deemed Savings Table'!J627</f>
        <v>2</v>
      </c>
      <c r="Y700" s="2846"/>
      <c r="Z700" s="2846">
        <f>Y700+X700</f>
        <v>2</v>
      </c>
      <c r="AA700" s="3015"/>
      <c r="AB700" s="3878" t="str">
        <f>'BUS Deemed Savings Table'!K627</f>
        <v>Actual</v>
      </c>
      <c r="AC700" s="3968">
        <f>AE700+AF700</f>
        <v>149.60429919216566</v>
      </c>
      <c r="AD700" s="3968">
        <f>AG700+AH700</f>
        <v>0</v>
      </c>
      <c r="AE700" s="3865">
        <f>'BUS Deemed Savings Table'!DI627</f>
        <v>149.60429919216566</v>
      </c>
      <c r="AF700" s="3846"/>
      <c r="AG700" s="3846"/>
      <c r="AH700" s="3846"/>
      <c r="AI700" s="3969" t="str">
        <f>'BUS Deemed Savings Table'!L627</f>
        <v>per CFM Reduced</v>
      </c>
      <c r="AJ700" s="2724"/>
      <c r="AX700" s="3849" t="str">
        <f t="shared" si="467"/>
        <v>Leak Repair  (Reciprocating - On/off Control)</v>
      </c>
      <c r="AY700" s="2724"/>
      <c r="AZ700" s="3850" t="str">
        <f t="shared" si="468"/>
        <v>805020</v>
      </c>
      <c r="BA700" s="3866" t="s">
        <v>1303</v>
      </c>
      <c r="BB700" s="3866" t="s">
        <v>1303</v>
      </c>
      <c r="BC700" s="3866" t="s">
        <v>1303</v>
      </c>
      <c r="BD700" s="3866" t="s">
        <v>1303</v>
      </c>
      <c r="BE700" s="3853"/>
      <c r="BF700" s="3866" t="s">
        <v>1303</v>
      </c>
      <c r="BG700" s="3866" t="s">
        <v>1303</v>
      </c>
      <c r="BH700" s="3866" t="s">
        <v>1303</v>
      </c>
      <c r="BI700" s="3867" t="s">
        <v>1303</v>
      </c>
      <c r="BJ700" s="3853"/>
      <c r="BK700" s="3866" t="s">
        <v>1303</v>
      </c>
      <c r="BL700" s="3867" t="s">
        <v>1303</v>
      </c>
      <c r="BM700" s="3866" t="s">
        <v>1303</v>
      </c>
      <c r="BN700" s="3867" t="s">
        <v>1303</v>
      </c>
    </row>
    <row r="701" spans="1:66" s="696" customFormat="1">
      <c r="A701" s="2958" t="str">
        <f t="shared" ref="A701:A706" si="469">LEFT(B701,6)</f>
        <v>805022</v>
      </c>
      <c r="B701" s="2233" t="str">
        <f>'BUS Deemed Savings Table'!C628</f>
        <v>805022_2024_12_</v>
      </c>
      <c r="C701" s="2724" t="str">
        <f>'BUS Deemed Savings Table'!G628</f>
        <v>Air Comp BUS</v>
      </c>
      <c r="D701" s="2724"/>
      <c r="E701" s="2724"/>
      <c r="F701" s="2724"/>
      <c r="G701" s="2724" t="str">
        <f>'BUS Deemed Savings Table'!E628</f>
        <v>Leak Repair (Reciprocating - Load/Unload)</v>
      </c>
      <c r="H701" s="2554" t="str">
        <f>'BUS Deemed Savings Table'!D628</f>
        <v>BSS</v>
      </c>
      <c r="I701" s="3840">
        <f>'BUS Deemed Savings Table'!F628</f>
        <v>833.48</v>
      </c>
      <c r="J701" s="3840"/>
      <c r="K701" s="3251"/>
      <c r="L701" s="3251"/>
      <c r="M701" s="3251"/>
      <c r="N701" s="3251"/>
      <c r="O701" s="3841">
        <f>'BUS Deemed Savings Table'!I628</f>
        <v>0.11497300000000001</v>
      </c>
      <c r="P701" s="3841"/>
      <c r="Q701" s="3842"/>
      <c r="R701" s="3842"/>
      <c r="S701" s="3842"/>
      <c r="T701" s="3842"/>
      <c r="U701" s="3843">
        <f t="shared" si="464"/>
        <v>0.11497300000000001</v>
      </c>
      <c r="V701" s="3843">
        <f t="shared" si="465"/>
        <v>0</v>
      </c>
      <c r="W701" s="3843">
        <f t="shared" si="466"/>
        <v>0</v>
      </c>
      <c r="X701" s="2846">
        <f>'BUS Deemed Savings Table'!J628</f>
        <v>2</v>
      </c>
      <c r="Y701" s="2846"/>
      <c r="Z701" s="2846">
        <f t="shared" ref="Z701:Z706" si="470">Y701+X701</f>
        <v>2</v>
      </c>
      <c r="AA701" s="3015"/>
      <c r="AB701" s="3878" t="str">
        <f>'BUS Deemed Savings Table'!K628</f>
        <v>Actual</v>
      </c>
      <c r="AC701" s="3968">
        <f t="shared" ref="AC701:AC706" si="471">AE701+AF701</f>
        <v>110.70760644460388</v>
      </c>
      <c r="AD701" s="3968">
        <f t="shared" ref="AD701:AD706" si="472">AG701+AH701</f>
        <v>0</v>
      </c>
      <c r="AE701" s="3865">
        <f>'BUS Deemed Savings Table'!DI628</f>
        <v>110.70760644460388</v>
      </c>
      <c r="AF701" s="3846"/>
      <c r="AG701" s="3846"/>
      <c r="AH701" s="3846"/>
      <c r="AI701" s="3969" t="str">
        <f>'BUS Deemed Savings Table'!L628</f>
        <v>per CFM Reduced</v>
      </c>
      <c r="AJ701" s="2724"/>
      <c r="AX701" s="3849" t="str">
        <f t="shared" si="467"/>
        <v>Leak Repair (Reciprocating - Load/Unload)</v>
      </c>
      <c r="AY701" s="2724"/>
      <c r="AZ701" s="3850" t="str">
        <f t="shared" si="468"/>
        <v>805022</v>
      </c>
      <c r="BA701" s="3866" t="s">
        <v>1303</v>
      </c>
      <c r="BB701" s="3866" t="s">
        <v>1303</v>
      </c>
      <c r="BC701" s="3866" t="s">
        <v>1303</v>
      </c>
      <c r="BD701" s="3866" t="s">
        <v>1303</v>
      </c>
      <c r="BE701" s="3853"/>
      <c r="BF701" s="3866" t="s">
        <v>1303</v>
      </c>
      <c r="BG701" s="3866" t="s">
        <v>1303</v>
      </c>
      <c r="BH701" s="3866" t="s">
        <v>1303</v>
      </c>
      <c r="BI701" s="3867" t="s">
        <v>1303</v>
      </c>
      <c r="BJ701" s="3853"/>
      <c r="BK701" s="3866" t="s">
        <v>1303</v>
      </c>
      <c r="BL701" s="3867" t="s">
        <v>1303</v>
      </c>
      <c r="BM701" s="3866" t="s">
        <v>1303</v>
      </c>
      <c r="BN701" s="3867" t="s">
        <v>1303</v>
      </c>
    </row>
    <row r="702" spans="1:66" s="696" customFormat="1">
      <c r="A702" s="2958" t="str">
        <f t="shared" si="469"/>
        <v>805024</v>
      </c>
      <c r="B702" s="2233" t="str">
        <f>'BUS Deemed Savings Table'!C629</f>
        <v>805024_2024_12_</v>
      </c>
      <c r="C702" s="2724" t="str">
        <f>'BUS Deemed Savings Table'!G629</f>
        <v>Air Comp BUS</v>
      </c>
      <c r="D702" s="2724"/>
      <c r="E702" s="2724"/>
      <c r="F702" s="2724"/>
      <c r="G702" s="2724" t="str">
        <f>'BUS Deemed Savings Table'!E629</f>
        <v>Leak Repair (Screw - Load/Unload)</v>
      </c>
      <c r="H702" s="2554" t="str">
        <f>'BUS Deemed Savings Table'!D629</f>
        <v>BSS</v>
      </c>
      <c r="I702" s="3840">
        <f>'BUS Deemed Savings Table'!F629</f>
        <v>822.21</v>
      </c>
      <c r="J702" s="3840"/>
      <c r="K702" s="3251"/>
      <c r="L702" s="3251"/>
      <c r="M702" s="3251"/>
      <c r="N702" s="3251"/>
      <c r="O702" s="3841">
        <f>'BUS Deemed Savings Table'!I629</f>
        <v>0.11341900000000001</v>
      </c>
      <c r="P702" s="3841"/>
      <c r="Q702" s="3842"/>
      <c r="R702" s="3842"/>
      <c r="S702" s="3842"/>
      <c r="T702" s="3842"/>
      <c r="U702" s="3843">
        <f t="shared" si="464"/>
        <v>0.11341900000000001</v>
      </c>
      <c r="V702" s="3843">
        <f t="shared" si="465"/>
        <v>0</v>
      </c>
      <c r="W702" s="3843">
        <f t="shared" si="466"/>
        <v>0</v>
      </c>
      <c r="X702" s="2846">
        <f>'BUS Deemed Savings Table'!J629</f>
        <v>2</v>
      </c>
      <c r="Y702" s="2846"/>
      <c r="Z702" s="2846">
        <f t="shared" si="470"/>
        <v>2</v>
      </c>
      <c r="AA702" s="3015"/>
      <c r="AB702" s="3878" t="str">
        <f>'BUS Deemed Savings Table'!K629</f>
        <v>Actual</v>
      </c>
      <c r="AC702" s="3968">
        <f t="shared" si="471"/>
        <v>109.2106602375795</v>
      </c>
      <c r="AD702" s="3968">
        <f t="shared" si="472"/>
        <v>0</v>
      </c>
      <c r="AE702" s="3865">
        <f>'BUS Deemed Savings Table'!DI629</f>
        <v>109.2106602375795</v>
      </c>
      <c r="AF702" s="3846"/>
      <c r="AG702" s="3846"/>
      <c r="AH702" s="3846"/>
      <c r="AI702" s="3969" t="str">
        <f>'BUS Deemed Savings Table'!L629</f>
        <v>per CFM Reduced</v>
      </c>
      <c r="AJ702" s="2724"/>
      <c r="AX702" s="3849" t="str">
        <f t="shared" si="467"/>
        <v>Leak Repair (Screw - Load/Unload)</v>
      </c>
      <c r="AY702" s="2724"/>
      <c r="AZ702" s="3850" t="str">
        <f t="shared" si="468"/>
        <v>805024</v>
      </c>
      <c r="BA702" s="3866" t="s">
        <v>1303</v>
      </c>
      <c r="BB702" s="3866" t="s">
        <v>1303</v>
      </c>
      <c r="BC702" s="3866" t="s">
        <v>1303</v>
      </c>
      <c r="BD702" s="3866" t="s">
        <v>1303</v>
      </c>
      <c r="BE702" s="3853"/>
      <c r="BF702" s="3866" t="s">
        <v>1303</v>
      </c>
      <c r="BG702" s="3866" t="s">
        <v>1303</v>
      </c>
      <c r="BH702" s="3866" t="s">
        <v>1303</v>
      </c>
      <c r="BI702" s="3867" t="s">
        <v>1303</v>
      </c>
      <c r="BJ702" s="3853"/>
      <c r="BK702" s="3866" t="s">
        <v>1303</v>
      </c>
      <c r="BL702" s="3867" t="s">
        <v>1303</v>
      </c>
      <c r="BM702" s="3866" t="s">
        <v>1303</v>
      </c>
      <c r="BN702" s="3867" t="s">
        <v>1303</v>
      </c>
    </row>
    <row r="703" spans="1:66" s="696" customFormat="1">
      <c r="A703" s="2958" t="str">
        <f t="shared" si="469"/>
        <v>805026</v>
      </c>
      <c r="B703" s="2233" t="str">
        <f>'BUS Deemed Savings Table'!C630</f>
        <v>805026_2024_12_</v>
      </c>
      <c r="C703" s="2724" t="str">
        <f>'BUS Deemed Savings Table'!G630</f>
        <v>Air Comp BUS</v>
      </c>
      <c r="D703" s="2724"/>
      <c r="E703" s="2724"/>
      <c r="F703" s="2724"/>
      <c r="G703" s="2724" t="str">
        <f>'BUS Deemed Savings Table'!E630</f>
        <v>Leak Repair (Screw - Inlet Modulation)</v>
      </c>
      <c r="H703" s="2554" t="str">
        <f>'BUS Deemed Savings Table'!D630</f>
        <v>BSS</v>
      </c>
      <c r="I703" s="3840">
        <f>'BUS Deemed Savings Table'!F630</f>
        <v>326.63</v>
      </c>
      <c r="J703" s="3840"/>
      <c r="K703" s="3251"/>
      <c r="L703" s="3251"/>
      <c r="M703" s="3251"/>
      <c r="N703" s="3251"/>
      <c r="O703" s="3841">
        <f>'BUS Deemed Savings Table'!I630</f>
        <v>4.5057E-2</v>
      </c>
      <c r="P703" s="3841"/>
      <c r="Q703" s="3842"/>
      <c r="R703" s="3842"/>
      <c r="S703" s="3842"/>
      <c r="T703" s="3842"/>
      <c r="U703" s="3843">
        <f t="shared" si="464"/>
        <v>4.5057E-2</v>
      </c>
      <c r="V703" s="3843">
        <f t="shared" si="465"/>
        <v>0</v>
      </c>
      <c r="W703" s="3843">
        <f t="shared" si="466"/>
        <v>0</v>
      </c>
      <c r="X703" s="2846">
        <f>'BUS Deemed Savings Table'!J630</f>
        <v>2</v>
      </c>
      <c r="Y703" s="2846"/>
      <c r="Z703" s="2846">
        <f t="shared" si="470"/>
        <v>2</v>
      </c>
      <c r="AA703" s="3015"/>
      <c r="AB703" s="3878" t="str">
        <f>'BUS Deemed Savings Table'!K630</f>
        <v>Actual</v>
      </c>
      <c r="AC703" s="3968">
        <f t="shared" si="471"/>
        <v>43.384874853626918</v>
      </c>
      <c r="AD703" s="3968">
        <f t="shared" si="472"/>
        <v>0</v>
      </c>
      <c r="AE703" s="3865">
        <f>'BUS Deemed Savings Table'!DI630</f>
        <v>43.384874853626918</v>
      </c>
      <c r="AF703" s="3846"/>
      <c r="AG703" s="3846"/>
      <c r="AH703" s="3846"/>
      <c r="AI703" s="3969" t="str">
        <f>'BUS Deemed Savings Table'!L630</f>
        <v>per CFM Reduced</v>
      </c>
      <c r="AJ703" s="2724"/>
      <c r="AX703" s="3849" t="str">
        <f t="shared" si="467"/>
        <v>Leak Repair (Screw - Inlet Modulation)</v>
      </c>
      <c r="AY703" s="2724"/>
      <c r="AZ703" s="3850" t="str">
        <f t="shared" si="468"/>
        <v>805026</v>
      </c>
      <c r="BA703" s="3866" t="s">
        <v>1303</v>
      </c>
      <c r="BB703" s="3866" t="s">
        <v>1303</v>
      </c>
      <c r="BC703" s="3866" t="s">
        <v>1303</v>
      </c>
      <c r="BD703" s="3866" t="s">
        <v>1303</v>
      </c>
      <c r="BE703" s="3853"/>
      <c r="BF703" s="3866" t="s">
        <v>1303</v>
      </c>
      <c r="BG703" s="3866" t="s">
        <v>1303</v>
      </c>
      <c r="BH703" s="3866" t="s">
        <v>1303</v>
      </c>
      <c r="BI703" s="3867" t="s">
        <v>1303</v>
      </c>
      <c r="BJ703" s="3853"/>
      <c r="BK703" s="3866" t="s">
        <v>1303</v>
      </c>
      <c r="BL703" s="3867" t="s">
        <v>1303</v>
      </c>
      <c r="BM703" s="3866" t="s">
        <v>1303</v>
      </c>
      <c r="BN703" s="3867" t="s">
        <v>1303</v>
      </c>
    </row>
    <row r="704" spans="1:66" s="696" customFormat="1">
      <c r="A704" s="2958" t="str">
        <f t="shared" si="469"/>
        <v>805028</v>
      </c>
      <c r="B704" s="2233" t="str">
        <f>'BUS Deemed Savings Table'!C631</f>
        <v>805028_2024_12_</v>
      </c>
      <c r="C704" s="2724" t="str">
        <f>'BUS Deemed Savings Table'!G631</f>
        <v>Air Comp BUS</v>
      </c>
      <c r="D704" s="2724"/>
      <c r="E704" s="2724"/>
      <c r="F704" s="2724"/>
      <c r="G704" s="2724" t="str">
        <f>'BUS Deemed Savings Table'!E631</f>
        <v>Leak Repair (Screw - Inlet Modulation w/ Blowdown)</v>
      </c>
      <c r="H704" s="2554" t="str">
        <f>'BUS Deemed Savings Table'!D631</f>
        <v>BSS</v>
      </c>
      <c r="I704" s="3840">
        <f>'BUS Deemed Savings Table'!F631</f>
        <v>833.48</v>
      </c>
      <c r="J704" s="3840"/>
      <c r="K704" s="3251"/>
      <c r="L704" s="3251"/>
      <c r="M704" s="3251"/>
      <c r="N704" s="3251"/>
      <c r="O704" s="3841">
        <f>'BUS Deemed Savings Table'!I631</f>
        <v>0.11497300000000001</v>
      </c>
      <c r="P704" s="3841"/>
      <c r="Q704" s="3842"/>
      <c r="R704" s="3842"/>
      <c r="S704" s="3842"/>
      <c r="T704" s="3842"/>
      <c r="U704" s="3843">
        <f t="shared" si="464"/>
        <v>0.11497300000000001</v>
      </c>
      <c r="V704" s="3843">
        <f t="shared" si="465"/>
        <v>0</v>
      </c>
      <c r="W704" s="3843">
        <f t="shared" si="466"/>
        <v>0</v>
      </c>
      <c r="X704" s="2846">
        <f>'BUS Deemed Savings Table'!J631</f>
        <v>2</v>
      </c>
      <c r="Y704" s="2846"/>
      <c r="Z704" s="2846">
        <f t="shared" si="470"/>
        <v>2</v>
      </c>
      <c r="AA704" s="3015"/>
      <c r="AB704" s="3878" t="str">
        <f>'BUS Deemed Savings Table'!K631</f>
        <v>Actual</v>
      </c>
      <c r="AC704" s="3968">
        <f t="shared" si="471"/>
        <v>110.70760644460388</v>
      </c>
      <c r="AD704" s="3968">
        <f t="shared" si="472"/>
        <v>0</v>
      </c>
      <c r="AE704" s="3865">
        <f>'BUS Deemed Savings Table'!DI631</f>
        <v>110.70760644460388</v>
      </c>
      <c r="AF704" s="3846"/>
      <c r="AG704" s="3846"/>
      <c r="AH704" s="3846"/>
      <c r="AI704" s="3969" t="str">
        <f>'BUS Deemed Savings Table'!L631</f>
        <v>per CFM Reduced</v>
      </c>
      <c r="AJ704" s="2724"/>
      <c r="AX704" s="3849" t="str">
        <f t="shared" si="467"/>
        <v>Leak Repair (Screw - Inlet Modulation w/ Blowdown)</v>
      </c>
      <c r="AY704" s="2724"/>
      <c r="AZ704" s="3850" t="str">
        <f t="shared" si="468"/>
        <v>805028</v>
      </c>
      <c r="BA704" s="3866" t="s">
        <v>1303</v>
      </c>
      <c r="BB704" s="3866" t="s">
        <v>1303</v>
      </c>
      <c r="BC704" s="3866" t="s">
        <v>1303</v>
      </c>
      <c r="BD704" s="3866" t="s">
        <v>1303</v>
      </c>
      <c r="BE704" s="3853"/>
      <c r="BF704" s="3866" t="s">
        <v>1303</v>
      </c>
      <c r="BG704" s="3866" t="s">
        <v>1303</v>
      </c>
      <c r="BH704" s="3866" t="s">
        <v>1303</v>
      </c>
      <c r="BI704" s="3867" t="s">
        <v>1303</v>
      </c>
      <c r="BJ704" s="3853"/>
      <c r="BK704" s="3866" t="s">
        <v>1303</v>
      </c>
      <c r="BL704" s="3867" t="s">
        <v>1303</v>
      </c>
      <c r="BM704" s="3866" t="s">
        <v>1303</v>
      </c>
      <c r="BN704" s="3867" t="s">
        <v>1303</v>
      </c>
    </row>
    <row r="705" spans="1:66" s="696" customFormat="1">
      <c r="A705" s="2958" t="str">
        <f t="shared" si="469"/>
        <v>805030</v>
      </c>
      <c r="B705" s="2233" t="str">
        <f>'BUS Deemed Savings Table'!C632</f>
        <v>805030_2024_12_</v>
      </c>
      <c r="C705" s="2724" t="str">
        <f>'BUS Deemed Savings Table'!G632</f>
        <v>Air Comp BUS</v>
      </c>
      <c r="D705" s="2724"/>
      <c r="E705" s="2724"/>
      <c r="F705" s="2724"/>
      <c r="G705" s="2724" t="str">
        <f>'BUS Deemed Savings Table'!E632</f>
        <v>Leak Repair (Screw - Variable Displacement)</v>
      </c>
      <c r="H705" s="2554" t="str">
        <f>'BUS Deemed Savings Table'!D632</f>
        <v>BSS</v>
      </c>
      <c r="I705" s="3840">
        <f>'BUS Deemed Savings Table'!F632</f>
        <v>675.79</v>
      </c>
      <c r="J705" s="3840"/>
      <c r="K705" s="3251"/>
      <c r="L705" s="3251"/>
      <c r="M705" s="3251"/>
      <c r="N705" s="3251"/>
      <c r="O705" s="3841">
        <f>'BUS Deemed Savings Table'!I632</f>
        <v>9.3220999999999998E-2</v>
      </c>
      <c r="P705" s="3841"/>
      <c r="Q705" s="3842"/>
      <c r="R705" s="3842"/>
      <c r="S705" s="3842"/>
      <c r="T705" s="3842"/>
      <c r="U705" s="3843">
        <f t="shared" si="464"/>
        <v>9.3220999999999998E-2</v>
      </c>
      <c r="V705" s="3843">
        <f t="shared" si="465"/>
        <v>0</v>
      </c>
      <c r="W705" s="3843">
        <f t="shared" si="466"/>
        <v>0</v>
      </c>
      <c r="X705" s="2846">
        <f>'BUS Deemed Savings Table'!J632</f>
        <v>2</v>
      </c>
      <c r="Y705" s="2846"/>
      <c r="Z705" s="2846">
        <f t="shared" si="470"/>
        <v>2</v>
      </c>
      <c r="AA705" s="3015"/>
      <c r="AB705" s="3878" t="str">
        <f>'BUS Deemed Savings Table'!K632</f>
        <v>Actual</v>
      </c>
      <c r="AC705" s="3968">
        <f t="shared" si="471"/>
        <v>89.762313863798596</v>
      </c>
      <c r="AD705" s="3968">
        <f t="shared" si="472"/>
        <v>0</v>
      </c>
      <c r="AE705" s="3865">
        <f>'BUS Deemed Savings Table'!DI632</f>
        <v>89.762313863798596</v>
      </c>
      <c r="AF705" s="3846"/>
      <c r="AG705" s="3846"/>
      <c r="AH705" s="3846"/>
      <c r="AI705" s="3969" t="str">
        <f>'BUS Deemed Savings Table'!L632</f>
        <v>per CFM Reduced</v>
      </c>
      <c r="AJ705" s="2724"/>
      <c r="AX705" s="3849" t="str">
        <f t="shared" si="467"/>
        <v>Leak Repair (Screw - Variable Displacement)</v>
      </c>
      <c r="AY705" s="2724"/>
      <c r="AZ705" s="3850" t="str">
        <f t="shared" si="468"/>
        <v>805030</v>
      </c>
      <c r="BA705" s="3866" t="s">
        <v>1303</v>
      </c>
      <c r="BB705" s="3866" t="s">
        <v>1303</v>
      </c>
      <c r="BC705" s="3866" t="s">
        <v>1303</v>
      </c>
      <c r="BD705" s="3866" t="s">
        <v>1303</v>
      </c>
      <c r="BE705" s="3853"/>
      <c r="BF705" s="3866" t="s">
        <v>1303</v>
      </c>
      <c r="BG705" s="3866" t="s">
        <v>1303</v>
      </c>
      <c r="BH705" s="3866" t="s">
        <v>1303</v>
      </c>
      <c r="BI705" s="3867" t="s">
        <v>1303</v>
      </c>
      <c r="BJ705" s="3853"/>
      <c r="BK705" s="3866" t="s">
        <v>1303</v>
      </c>
      <c r="BL705" s="3867" t="s">
        <v>1303</v>
      </c>
      <c r="BM705" s="3866" t="s">
        <v>1303</v>
      </c>
      <c r="BN705" s="3867" t="s">
        <v>1303</v>
      </c>
    </row>
    <row r="706" spans="1:66" s="696" customFormat="1">
      <c r="A706" s="2958" t="str">
        <f t="shared" si="469"/>
        <v>805032</v>
      </c>
      <c r="B706" s="2233" t="str">
        <f>'BUS Deemed Savings Table'!C633</f>
        <v>805032_2024_12_</v>
      </c>
      <c r="C706" s="2724" t="str">
        <f>'BUS Deemed Savings Table'!G633</f>
        <v>Air Comp BUS</v>
      </c>
      <c r="D706" s="2724"/>
      <c r="E706" s="2724"/>
      <c r="F706" s="2724"/>
      <c r="G706" s="2724" t="str">
        <f>'BUS Deemed Savings Table'!E633</f>
        <v>Leak Repair  (Screw - VFD)</v>
      </c>
      <c r="H706" s="2554" t="str">
        <f>'BUS Deemed Savings Table'!D633</f>
        <v>BSS</v>
      </c>
      <c r="I706" s="3840">
        <f>'BUS Deemed Savings Table'!F633</f>
        <v>1092.53</v>
      </c>
      <c r="J706" s="3840"/>
      <c r="K706" s="3251"/>
      <c r="L706" s="3251"/>
      <c r="M706" s="3251"/>
      <c r="N706" s="3251"/>
      <c r="O706" s="3841">
        <f>'BUS Deemed Savings Table'!I633</f>
        <v>0.15070800000000001</v>
      </c>
      <c r="P706" s="3841"/>
      <c r="Q706" s="3842"/>
      <c r="R706" s="3842"/>
      <c r="S706" s="3842"/>
      <c r="T706" s="3842"/>
      <c r="U706" s="3843">
        <f t="shared" si="464"/>
        <v>0.15070800000000001</v>
      </c>
      <c r="V706" s="3843">
        <f t="shared" si="465"/>
        <v>0</v>
      </c>
      <c r="W706" s="3843">
        <f t="shared" si="466"/>
        <v>0</v>
      </c>
      <c r="X706" s="2846">
        <f>'BUS Deemed Savings Table'!J633</f>
        <v>2</v>
      </c>
      <c r="Y706" s="2846"/>
      <c r="Z706" s="2846">
        <f t="shared" si="470"/>
        <v>2</v>
      </c>
      <c r="AA706" s="3015"/>
      <c r="AB706" s="3878" t="str">
        <f>'BUS Deemed Savings Table'!K633</f>
        <v>Actual</v>
      </c>
      <c r="AC706" s="3968">
        <f t="shared" si="471"/>
        <v>145.11611708610053</v>
      </c>
      <c r="AD706" s="3968">
        <f t="shared" si="472"/>
        <v>0</v>
      </c>
      <c r="AE706" s="3865">
        <f>'BUS Deemed Savings Table'!DI633</f>
        <v>145.11611708610053</v>
      </c>
      <c r="AF706" s="3846"/>
      <c r="AG706" s="3846"/>
      <c r="AH706" s="3846"/>
      <c r="AI706" s="3969" t="str">
        <f>'BUS Deemed Savings Table'!L633</f>
        <v>per CFM Reduced</v>
      </c>
      <c r="AJ706" s="2724"/>
      <c r="AX706" s="3849" t="str">
        <f t="shared" si="467"/>
        <v>Leak Repair  (Screw - VFD)</v>
      </c>
      <c r="AY706" s="2724"/>
      <c r="AZ706" s="3850" t="str">
        <f t="shared" si="468"/>
        <v>805032</v>
      </c>
      <c r="BA706" s="3866" t="s">
        <v>1303</v>
      </c>
      <c r="BB706" s="3866" t="s">
        <v>1303</v>
      </c>
      <c r="BC706" s="3866" t="s">
        <v>1303</v>
      </c>
      <c r="BD706" s="3866" t="s">
        <v>1303</v>
      </c>
      <c r="BE706" s="3853"/>
      <c r="BF706" s="3866" t="s">
        <v>1303</v>
      </c>
      <c r="BG706" s="3866" t="s">
        <v>1303</v>
      </c>
      <c r="BH706" s="3866" t="s">
        <v>1303</v>
      </c>
      <c r="BI706" s="3867" t="s">
        <v>1303</v>
      </c>
      <c r="BJ706" s="3853"/>
      <c r="BK706" s="3866" t="s">
        <v>1303</v>
      </c>
      <c r="BL706" s="3867" t="s">
        <v>1303</v>
      </c>
      <c r="BM706" s="3866" t="s">
        <v>1303</v>
      </c>
      <c r="BN706" s="3867" t="s">
        <v>1303</v>
      </c>
    </row>
    <row r="707" spans="1:66" s="696" customFormat="1">
      <c r="A707" s="2958" t="str">
        <f t="shared" si="411"/>
        <v>805050</v>
      </c>
      <c r="B707" s="2233" t="str">
        <f>'BUS Deemed Savings Table'!C656</f>
        <v>805050_2024_12_</v>
      </c>
      <c r="C707" s="2724" t="str">
        <f>'BUS Deemed Savings Table'!G656</f>
        <v>Cooking BUS</v>
      </c>
      <c r="D707" s="2724"/>
      <c r="E707" s="2724"/>
      <c r="F707" s="2724"/>
      <c r="G707" s="2724" t="str">
        <f>'BUS Deemed Savings Table'!E656</f>
        <v xml:space="preserve">Combination Oven (Pan Capacity  5 - 40) </v>
      </c>
      <c r="H707" s="2554" t="str">
        <f>'BUS Deemed Savings Table'!D656</f>
        <v>BSS</v>
      </c>
      <c r="I707" s="3840">
        <f>'BUS Deemed Savings Table'!F656</f>
        <v>6506.42</v>
      </c>
      <c r="J707" s="3840"/>
      <c r="K707" s="3251"/>
      <c r="L707" s="3251"/>
      <c r="M707" s="3251"/>
      <c r="N707" s="3251"/>
      <c r="O707" s="3841">
        <f>'BUS Deemed Savings Table'!I656</f>
        <v>1.3006</v>
      </c>
      <c r="P707" s="3841"/>
      <c r="Q707" s="3842"/>
      <c r="R707" s="3842"/>
      <c r="S707" s="3842"/>
      <c r="T707" s="3842"/>
      <c r="U707" s="3843">
        <f t="shared" ref="U707:U734" si="473">IFERROR(IF(V707+W707&gt;0,0,IF(Z707&gt;0,O707,0)),0)</f>
        <v>0</v>
      </c>
      <c r="V707" s="3843">
        <f t="shared" ref="V707:V734" si="474">IF(W707&gt;0,0,IF(Z707&gt;9,O707,0))</f>
        <v>1.3006</v>
      </c>
      <c r="W707" s="3843">
        <f t="shared" ref="W707:W734" si="475">IF(Z707&gt;14,O707,0)</f>
        <v>0</v>
      </c>
      <c r="X707" s="2846">
        <f>'BUS Deemed Savings Table'!J656</f>
        <v>12</v>
      </c>
      <c r="Y707" s="2846"/>
      <c r="Z707" s="2846">
        <f t="shared" si="412"/>
        <v>12</v>
      </c>
      <c r="AA707" s="2529">
        <f>'BUS Deemed Savings Table'!DG656</f>
        <v>2.815608314514535</v>
      </c>
      <c r="AB707" s="3878">
        <f>'BUS Deemed Savings Table'!K656</f>
        <v>1628</v>
      </c>
      <c r="AC707" s="3968">
        <f t="shared" si="413"/>
        <v>4583.8103360296627</v>
      </c>
      <c r="AD707" s="3968">
        <f t="shared" si="414"/>
        <v>0</v>
      </c>
      <c r="AE707" s="3865">
        <f>'BUS Deemed Savings Table'!DI656</f>
        <v>4583.8103360296627</v>
      </c>
      <c r="AF707" s="3846"/>
      <c r="AG707" s="3846"/>
      <c r="AH707" s="3846"/>
      <c r="AI707" s="3969" t="str">
        <f>'BUS Deemed Savings Table'!L656</f>
        <v>per measure</v>
      </c>
      <c r="AJ707" s="2724"/>
      <c r="AX707" s="3849" t="str">
        <f t="shared" si="467"/>
        <v xml:space="preserve">Combination Oven (Pan Capacity  5 - 40) </v>
      </c>
      <c r="AY707" s="2724"/>
      <c r="AZ707" s="3850" t="str">
        <f t="shared" si="468"/>
        <v>805050</v>
      </c>
      <c r="BA707" s="3866" t="s">
        <v>1303</v>
      </c>
      <c r="BB707" s="3866" t="s">
        <v>1303</v>
      </c>
      <c r="BC707" s="3866" t="s">
        <v>1303</v>
      </c>
      <c r="BD707" s="3866" t="s">
        <v>1303</v>
      </c>
      <c r="BE707" s="3853"/>
      <c r="BF707" s="3866" t="s">
        <v>1303</v>
      </c>
      <c r="BG707" s="3866" t="s">
        <v>1303</v>
      </c>
      <c r="BH707" s="3866" t="s">
        <v>1303</v>
      </c>
      <c r="BI707" s="3867" t="s">
        <v>1303</v>
      </c>
      <c r="BJ707" s="3853"/>
      <c r="BK707" s="3866" t="s">
        <v>1303</v>
      </c>
      <c r="BL707" s="3867" t="s">
        <v>1303</v>
      </c>
      <c r="BM707" s="3866" t="s">
        <v>1303</v>
      </c>
      <c r="BN707" s="3867" t="s">
        <v>1303</v>
      </c>
    </row>
    <row r="708" spans="1:66" s="696" customFormat="1">
      <c r="A708" s="2958" t="str">
        <f t="shared" si="411"/>
        <v>805100</v>
      </c>
      <c r="B708" s="2233" t="str">
        <f>'BUS Deemed Savings Table'!C657</f>
        <v>805100_2024_12_</v>
      </c>
      <c r="C708" s="2724" t="str">
        <f>'BUS Deemed Savings Table'!G657</f>
        <v>Cooking BUS</v>
      </c>
      <c r="D708" s="2724"/>
      <c r="E708" s="2724"/>
      <c r="F708" s="2724"/>
      <c r="G708" s="2724" t="str">
        <f>'BUS Deemed Savings Table'!E657</f>
        <v>Combination Oven (Pan Capacity &lt; 5 )</v>
      </c>
      <c r="H708" s="2554" t="str">
        <f>'BUS Deemed Savings Table'!D657</f>
        <v>BSS</v>
      </c>
      <c r="I708" s="3840">
        <f>'BUS Deemed Savings Table'!F657</f>
        <v>1582.27</v>
      </c>
      <c r="J708" s="3840"/>
      <c r="K708" s="3251"/>
      <c r="L708" s="3251"/>
      <c r="M708" s="3251"/>
      <c r="N708" s="3251"/>
      <c r="O708" s="3841">
        <f>'BUS Deemed Savings Table'!I657</f>
        <v>0.31628800000000001</v>
      </c>
      <c r="P708" s="3841"/>
      <c r="Q708" s="3842"/>
      <c r="R708" s="3842"/>
      <c r="S708" s="3842"/>
      <c r="T708" s="3842"/>
      <c r="U708" s="3843">
        <f t="shared" si="473"/>
        <v>0</v>
      </c>
      <c r="V708" s="3843">
        <f t="shared" si="474"/>
        <v>0.31628800000000001</v>
      </c>
      <c r="W708" s="3843">
        <f t="shared" si="475"/>
        <v>0</v>
      </c>
      <c r="X708" s="2846">
        <f>'BUS Deemed Savings Table'!J657</f>
        <v>12</v>
      </c>
      <c r="Y708" s="2846"/>
      <c r="Z708" s="2846">
        <f t="shared" si="412"/>
        <v>12</v>
      </c>
      <c r="AA708" s="2529">
        <f>'BUS Deemed Savings Table'!DG657</f>
        <v>1.9729527811481542</v>
      </c>
      <c r="AB708" s="3878">
        <f>'BUS Deemed Savings Table'!K657</f>
        <v>565</v>
      </c>
      <c r="AC708" s="3968">
        <f t="shared" si="413"/>
        <v>1114.7183213487071</v>
      </c>
      <c r="AD708" s="3968">
        <f t="shared" si="414"/>
        <v>0</v>
      </c>
      <c r="AE708" s="3865">
        <f>'BUS Deemed Savings Table'!DI657</f>
        <v>1114.7183213487071</v>
      </c>
      <c r="AF708" s="3846"/>
      <c r="AG708" s="3846"/>
      <c r="AH708" s="3846"/>
      <c r="AI708" s="3969" t="str">
        <f>'BUS Deemed Savings Table'!L657</f>
        <v>per measure</v>
      </c>
      <c r="AJ708" s="2724"/>
      <c r="AX708" s="3849" t="str">
        <f t="shared" si="467"/>
        <v>Combination Oven (Pan Capacity &lt; 5 )</v>
      </c>
      <c r="AY708" s="2724"/>
      <c r="AZ708" s="3850" t="str">
        <f t="shared" si="468"/>
        <v>805100</v>
      </c>
      <c r="BA708" s="3866" t="s">
        <v>1303</v>
      </c>
      <c r="BB708" s="3866" t="s">
        <v>1303</v>
      </c>
      <c r="BC708" s="3866" t="s">
        <v>1303</v>
      </c>
      <c r="BD708" s="3866" t="s">
        <v>1303</v>
      </c>
      <c r="BE708" s="3853"/>
      <c r="BF708" s="3866" t="s">
        <v>1303</v>
      </c>
      <c r="BG708" s="3866" t="s">
        <v>1303</v>
      </c>
      <c r="BH708" s="3866" t="s">
        <v>1303</v>
      </c>
      <c r="BI708" s="3867" t="s">
        <v>1303</v>
      </c>
      <c r="BJ708" s="3853"/>
      <c r="BK708" s="3866" t="s">
        <v>1303</v>
      </c>
      <c r="BL708" s="3867" t="s">
        <v>1303</v>
      </c>
      <c r="BM708" s="3866" t="s">
        <v>1303</v>
      </c>
      <c r="BN708" s="3867" t="s">
        <v>1303</v>
      </c>
    </row>
    <row r="709" spans="1:66" s="696" customFormat="1">
      <c r="A709" s="2958" t="str">
        <f t="shared" si="411"/>
        <v>805150</v>
      </c>
      <c r="B709" s="2233" t="str">
        <f>'BUS Deemed Savings Table'!C679</f>
        <v>805150_2024_12_</v>
      </c>
      <c r="C709" s="2724" t="str">
        <f>'BUS Deemed Savings Table'!G679</f>
        <v>Cooking BUS</v>
      </c>
      <c r="D709" s="2724"/>
      <c r="E709" s="2724"/>
      <c r="F709" s="2724"/>
      <c r="G709" s="2724" t="str">
        <f>'BUS Deemed Savings Table'!E679</f>
        <v>Standard Open Deep-Fat Fryer</v>
      </c>
      <c r="H709" s="2554" t="str">
        <f>'BUS Deemed Savings Table'!D679</f>
        <v>BSS</v>
      </c>
      <c r="I709" s="3840">
        <f>'BUS Deemed Savings Table'!F679</f>
        <v>3310.75</v>
      </c>
      <c r="J709" s="3840"/>
      <c r="K709" s="3251"/>
      <c r="L709" s="3251"/>
      <c r="M709" s="3251"/>
      <c r="N709" s="3251"/>
      <c r="O709" s="3841">
        <f>'BUS Deemed Savings Table'!I679</f>
        <v>0.661802</v>
      </c>
      <c r="P709" s="3841"/>
      <c r="Q709" s="3842"/>
      <c r="R709" s="3842"/>
      <c r="S709" s="3842"/>
      <c r="T709" s="3842"/>
      <c r="U709" s="3843">
        <f t="shared" si="473"/>
        <v>0</v>
      </c>
      <c r="V709" s="3843">
        <f t="shared" si="474"/>
        <v>0.661802</v>
      </c>
      <c r="W709" s="3843">
        <f t="shared" si="475"/>
        <v>0</v>
      </c>
      <c r="X709" s="2846">
        <f>'BUS Deemed Savings Table'!J679</f>
        <v>12</v>
      </c>
      <c r="Y709" s="2846"/>
      <c r="Z709" s="2846">
        <f t="shared" si="412"/>
        <v>12</v>
      </c>
      <c r="AA709" s="2529">
        <f>'BUS Deemed Savings Table'!DG679</f>
        <v>1.5549616194476847</v>
      </c>
      <c r="AB709" s="3878">
        <f>'BUS Deemed Savings Table'!K679</f>
        <v>1500</v>
      </c>
      <c r="AC709" s="3968">
        <f t="shared" si="413"/>
        <v>2332.4424291715272</v>
      </c>
      <c r="AD709" s="3968">
        <f t="shared" si="414"/>
        <v>0</v>
      </c>
      <c r="AE709" s="3865">
        <f>'BUS Deemed Savings Table'!DI679</f>
        <v>2332.4424291715272</v>
      </c>
      <c r="AF709" s="3846"/>
      <c r="AG709" s="3846"/>
      <c r="AH709" s="3846"/>
      <c r="AI709" s="3969" t="str">
        <f>'BUS Deemed Savings Table'!L679</f>
        <v>per measure</v>
      </c>
      <c r="AJ709" s="2724"/>
      <c r="AX709" s="3849" t="str">
        <f t="shared" si="467"/>
        <v>Standard Open Deep-Fat Fryer</v>
      </c>
      <c r="AY709" s="2724"/>
      <c r="AZ709" s="3850" t="str">
        <f t="shared" si="468"/>
        <v>805150</v>
      </c>
      <c r="BA709" s="3866" t="s">
        <v>1303</v>
      </c>
      <c r="BB709" s="3866" t="s">
        <v>1303</v>
      </c>
      <c r="BC709" s="3866" t="s">
        <v>1303</v>
      </c>
      <c r="BD709" s="3866" t="s">
        <v>1303</v>
      </c>
      <c r="BE709" s="3853"/>
      <c r="BF709" s="3866" t="s">
        <v>1303</v>
      </c>
      <c r="BG709" s="3866" t="s">
        <v>1303</v>
      </c>
      <c r="BH709" s="3866" t="s">
        <v>1303</v>
      </c>
      <c r="BI709" s="3867" t="s">
        <v>1303</v>
      </c>
      <c r="BJ709" s="3853"/>
      <c r="BK709" s="3866" t="s">
        <v>1303</v>
      </c>
      <c r="BL709" s="3867" t="s">
        <v>1303</v>
      </c>
      <c r="BM709" s="3866" t="s">
        <v>1303</v>
      </c>
      <c r="BN709" s="3867" t="s">
        <v>1303</v>
      </c>
    </row>
    <row r="710" spans="1:66" s="696" customFormat="1">
      <c r="A710" s="2958" t="str">
        <f t="shared" ref="A710:A736" si="476">LEFT(B710,6)</f>
        <v>805200</v>
      </c>
      <c r="B710" s="2233" t="str">
        <f>'BUS Deemed Savings Table'!C680</f>
        <v>805200_2024_12_</v>
      </c>
      <c r="C710" s="2724" t="str">
        <f>'BUS Deemed Savings Table'!G680</f>
        <v>Cooking BUS</v>
      </c>
      <c r="D710" s="2724"/>
      <c r="E710" s="2724"/>
      <c r="F710" s="2724"/>
      <c r="G710" s="2724" t="str">
        <f>'BUS Deemed Savings Table'!E680</f>
        <v>Large Vat Open Deep-Fat Fryer</v>
      </c>
      <c r="H710" s="2554" t="str">
        <f>'BUS Deemed Savings Table'!D680</f>
        <v>BSS</v>
      </c>
      <c r="I710" s="3840">
        <f>'BUS Deemed Savings Table'!F680</f>
        <v>2720.46</v>
      </c>
      <c r="J710" s="3840"/>
      <c r="K710" s="3251"/>
      <c r="L710" s="3251"/>
      <c r="M710" s="3251"/>
      <c r="N710" s="3251"/>
      <c r="O710" s="3841">
        <f>'BUS Deemed Savings Table'!I680</f>
        <v>0.54380600000000001</v>
      </c>
      <c r="P710" s="3841"/>
      <c r="Q710" s="3842"/>
      <c r="R710" s="3842"/>
      <c r="S710" s="3842"/>
      <c r="T710" s="3842"/>
      <c r="U710" s="3843">
        <f t="shared" si="473"/>
        <v>0</v>
      </c>
      <c r="V710" s="3843">
        <f t="shared" si="474"/>
        <v>0.54380600000000001</v>
      </c>
      <c r="W710" s="3843">
        <f t="shared" si="475"/>
        <v>0</v>
      </c>
      <c r="X710" s="2846">
        <f>'BUS Deemed Savings Table'!J680</f>
        <v>12</v>
      </c>
      <c r="Y710" s="2846"/>
      <c r="Z710" s="2846">
        <f t="shared" ref="Z710:Z735" si="477">Y710+X710</f>
        <v>12</v>
      </c>
      <c r="AA710" s="3015"/>
      <c r="AB710" s="3878">
        <f>'BUS Deemed Savings Table'!K680</f>
        <v>500</v>
      </c>
      <c r="AC710" s="3968">
        <f t="shared" ref="AC710:AC735" si="478">AE710+AF710</f>
        <v>1916.5797269090003</v>
      </c>
      <c r="AD710" s="3968">
        <f t="shared" ref="AD710:AD735" si="479">AG710+AH710</f>
        <v>0</v>
      </c>
      <c r="AE710" s="3865">
        <f>'BUS Deemed Savings Table'!DI680</f>
        <v>1916.5797269090003</v>
      </c>
      <c r="AF710" s="3846"/>
      <c r="AG710" s="3846"/>
      <c r="AH710" s="3846"/>
      <c r="AI710" s="3969" t="str">
        <f>'BUS Deemed Savings Table'!L680</f>
        <v>per measure</v>
      </c>
      <c r="AJ710" s="2724"/>
      <c r="AX710" s="3849" t="str">
        <f t="shared" si="467"/>
        <v>Large Vat Open Deep-Fat Fryer</v>
      </c>
      <c r="AY710" s="2724"/>
      <c r="AZ710" s="3850" t="str">
        <f t="shared" si="468"/>
        <v>805200</v>
      </c>
      <c r="BA710" s="3866" t="s">
        <v>1303</v>
      </c>
      <c r="BB710" s="3866" t="s">
        <v>1303</v>
      </c>
      <c r="BC710" s="3866" t="s">
        <v>1303</v>
      </c>
      <c r="BD710" s="3866" t="s">
        <v>1303</v>
      </c>
      <c r="BE710" s="3853"/>
      <c r="BF710" s="3866" t="s">
        <v>1303</v>
      </c>
      <c r="BG710" s="3866" t="s">
        <v>1303</v>
      </c>
      <c r="BH710" s="3866" t="s">
        <v>1303</v>
      </c>
      <c r="BI710" s="3867" t="s">
        <v>1303</v>
      </c>
      <c r="BJ710" s="3853"/>
      <c r="BK710" s="3866" t="s">
        <v>1303</v>
      </c>
      <c r="BL710" s="3867" t="s">
        <v>1303</v>
      </c>
      <c r="BM710" s="3866" t="s">
        <v>1303</v>
      </c>
      <c r="BN710" s="3867" t="s">
        <v>1303</v>
      </c>
    </row>
    <row r="711" spans="1:66" s="696" customFormat="1">
      <c r="A711" s="2958" t="str">
        <f t="shared" si="476"/>
        <v>805250</v>
      </c>
      <c r="B711" s="2233" t="str">
        <f>'BUS Deemed Savings Table'!C697</f>
        <v>805250_2024_12_</v>
      </c>
      <c r="C711" s="2724" t="str">
        <f>'BUS Deemed Savings Table'!G697</f>
        <v>Cooking BUS</v>
      </c>
      <c r="D711" s="2724"/>
      <c r="E711" s="2724"/>
      <c r="F711" s="2724"/>
      <c r="G711" s="2724" t="str">
        <f>'BUS Deemed Savings Table'!E697</f>
        <v>Convection Oven (Full Size) &gt;5 pans</v>
      </c>
      <c r="H711" s="2554" t="str">
        <f>'BUS Deemed Savings Table'!D697</f>
        <v>BSS</v>
      </c>
      <c r="I711" s="3840">
        <f>'BUS Deemed Savings Table'!F697</f>
        <v>1090.32</v>
      </c>
      <c r="J711" s="3840"/>
      <c r="K711" s="3251"/>
      <c r="L711" s="3251"/>
      <c r="M711" s="3251"/>
      <c r="N711" s="3251"/>
      <c r="O711" s="3841">
        <f>'BUS Deemed Savings Table'!I697</f>
        <v>0.217949</v>
      </c>
      <c r="P711" s="3841"/>
      <c r="Q711" s="3842"/>
      <c r="R711" s="3842"/>
      <c r="S711" s="3842"/>
      <c r="T711" s="3842"/>
      <c r="U711" s="3843">
        <f t="shared" si="473"/>
        <v>0</v>
      </c>
      <c r="V711" s="3843">
        <f t="shared" si="474"/>
        <v>0.217949</v>
      </c>
      <c r="W711" s="3843">
        <f t="shared" si="475"/>
        <v>0</v>
      </c>
      <c r="X711" s="2846">
        <f>'BUS Deemed Savings Table'!J697</f>
        <v>12</v>
      </c>
      <c r="Y711" s="2846"/>
      <c r="Z711" s="2846">
        <f t="shared" si="477"/>
        <v>12</v>
      </c>
      <c r="AA711" s="3015"/>
      <c r="AB711" s="3878">
        <f>'BUS Deemed Savings Table'!K697</f>
        <v>1191</v>
      </c>
      <c r="AC711" s="3968">
        <f t="shared" si="478"/>
        <v>768.13671505679963</v>
      </c>
      <c r="AD711" s="3968">
        <f t="shared" si="479"/>
        <v>0</v>
      </c>
      <c r="AE711" s="3865">
        <f>'BUS Deemed Savings Table'!DI697</f>
        <v>768.13671505679963</v>
      </c>
      <c r="AF711" s="3846"/>
      <c r="AG711" s="3846"/>
      <c r="AH711" s="3846"/>
      <c r="AI711" s="3969" t="str">
        <f>'BUS Deemed Savings Table'!L697</f>
        <v>per measure</v>
      </c>
      <c r="AJ711" s="2724"/>
      <c r="AX711" s="3849" t="str">
        <f t="shared" si="467"/>
        <v>Convection Oven (Full Size) &gt;5 pans</v>
      </c>
      <c r="AY711" s="2724"/>
      <c r="AZ711" s="3850" t="str">
        <f t="shared" si="468"/>
        <v>805250</v>
      </c>
      <c r="BA711" s="3866" t="s">
        <v>1303</v>
      </c>
      <c r="BB711" s="3866" t="s">
        <v>1303</v>
      </c>
      <c r="BC711" s="3866" t="s">
        <v>1303</v>
      </c>
      <c r="BD711" s="3866" t="s">
        <v>1303</v>
      </c>
      <c r="BE711" s="3853"/>
      <c r="BF711" s="3866" t="s">
        <v>1303</v>
      </c>
      <c r="BG711" s="3866" t="s">
        <v>1303</v>
      </c>
      <c r="BH711" s="3866" t="s">
        <v>1303</v>
      </c>
      <c r="BI711" s="3867" t="s">
        <v>1303</v>
      </c>
      <c r="BJ711" s="3853"/>
      <c r="BK711" s="3866" t="s">
        <v>1303</v>
      </c>
      <c r="BL711" s="3867" t="s">
        <v>1303</v>
      </c>
      <c r="BM711" s="3866" t="s">
        <v>1303</v>
      </c>
      <c r="BN711" s="3867" t="s">
        <v>1303</v>
      </c>
    </row>
    <row r="712" spans="1:66" s="696" customFormat="1">
      <c r="A712" s="2958" t="str">
        <f t="shared" ref="A712" si="480">LEFT(B712,6)</f>
        <v>805275</v>
      </c>
      <c r="B712" s="2233" t="str">
        <f>'BUS Deemed Savings Table'!C698</f>
        <v>805275_2024_12_</v>
      </c>
      <c r="C712" s="2724" t="str">
        <f>'BUS Deemed Savings Table'!G698</f>
        <v>Cooking BUS</v>
      </c>
      <c r="D712" s="2724"/>
      <c r="E712" s="2724"/>
      <c r="F712" s="2724"/>
      <c r="G712" s="2724" t="str">
        <f>'BUS Deemed Savings Table'!E698</f>
        <v>Convection Oven (Full Size) &lt;5 pans</v>
      </c>
      <c r="H712" s="2554" t="str">
        <f>'BUS Deemed Savings Table'!D698</f>
        <v>BSS</v>
      </c>
      <c r="I712" s="3840">
        <f>'BUS Deemed Savings Table'!F698</f>
        <v>4576.38</v>
      </c>
      <c r="J712" s="3840"/>
      <c r="K712" s="3251"/>
      <c r="L712" s="3251"/>
      <c r="M712" s="3251"/>
      <c r="N712" s="3251"/>
      <c r="O712" s="3841">
        <f>'BUS Deemed Savings Table'!I698</f>
        <v>0.91479500000000002</v>
      </c>
      <c r="P712" s="3841"/>
      <c r="Q712" s="3842"/>
      <c r="R712" s="3842"/>
      <c r="S712" s="3842"/>
      <c r="T712" s="3842"/>
      <c r="U712" s="3843">
        <f t="shared" si="473"/>
        <v>0</v>
      </c>
      <c r="V712" s="3843">
        <f t="shared" si="474"/>
        <v>0.91479500000000002</v>
      </c>
      <c r="W712" s="3843">
        <f t="shared" si="475"/>
        <v>0</v>
      </c>
      <c r="X712" s="2846">
        <f>'BUS Deemed Savings Table'!J698</f>
        <v>13</v>
      </c>
      <c r="Y712" s="2846"/>
      <c r="Z712" s="2846">
        <f t="shared" ref="Z712" si="481">Y712+X712</f>
        <v>13</v>
      </c>
      <c r="AA712" s="3015"/>
      <c r="AB712" s="3878">
        <f>'BUS Deemed Savings Table'!K698</f>
        <v>1192</v>
      </c>
      <c r="AC712" s="3968">
        <f t="shared" ref="AC712" si="482">AE712+AF712</f>
        <v>3414.6765655732315</v>
      </c>
      <c r="AD712" s="3968">
        <f t="shared" ref="AD712" si="483">AG712+AH712</f>
        <v>0</v>
      </c>
      <c r="AE712" s="3865">
        <f>'BUS Deemed Savings Table'!DI698</f>
        <v>3414.6765655732315</v>
      </c>
      <c r="AF712" s="3846"/>
      <c r="AG712" s="3846"/>
      <c r="AH712" s="3846"/>
      <c r="AI712" s="3969" t="str">
        <f>'BUS Deemed Savings Table'!L698</f>
        <v>per measure</v>
      </c>
      <c r="AJ712" s="2724"/>
      <c r="AX712" s="3849" t="str">
        <f t="shared" ref="AX712" si="484">G712</f>
        <v>Convection Oven (Full Size) &lt;5 pans</v>
      </c>
      <c r="AY712" s="2724"/>
      <c r="AZ712" s="3850" t="str">
        <f t="shared" ref="AZ712" si="485">A712</f>
        <v>805275</v>
      </c>
      <c r="BA712" s="3866" t="s">
        <v>1303</v>
      </c>
      <c r="BB712" s="3866" t="s">
        <v>1303</v>
      </c>
      <c r="BC712" s="3866" t="s">
        <v>1303</v>
      </c>
      <c r="BD712" s="3866" t="s">
        <v>1303</v>
      </c>
      <c r="BE712" s="3853"/>
      <c r="BF712" s="3866" t="s">
        <v>1303</v>
      </c>
      <c r="BG712" s="3866" t="s">
        <v>1303</v>
      </c>
      <c r="BH712" s="3866" t="s">
        <v>1303</v>
      </c>
      <c r="BI712" s="3867" t="s">
        <v>1303</v>
      </c>
      <c r="BJ712" s="3853"/>
      <c r="BK712" s="3866" t="s">
        <v>1303</v>
      </c>
      <c r="BL712" s="3867" t="s">
        <v>1303</v>
      </c>
      <c r="BM712" s="3866" t="s">
        <v>1303</v>
      </c>
      <c r="BN712" s="3867" t="s">
        <v>1303</v>
      </c>
    </row>
    <row r="713" spans="1:66" s="696" customFormat="1">
      <c r="A713" s="2958" t="str">
        <f t="shared" si="476"/>
        <v>805300</v>
      </c>
      <c r="B713" s="2233" t="str">
        <f>'BUS Deemed Savings Table'!C699</f>
        <v>805300_2024_12_</v>
      </c>
      <c r="C713" s="2724" t="str">
        <f>'BUS Deemed Savings Table'!G699</f>
        <v>Cooking BUS</v>
      </c>
      <c r="D713" s="2724"/>
      <c r="E713" s="2724"/>
      <c r="F713" s="2724"/>
      <c r="G713" s="2724" t="str">
        <f>'BUS Deemed Savings Table'!E699</f>
        <v>Convection Oven (Half Size)</v>
      </c>
      <c r="H713" s="2554" t="str">
        <f>'BUS Deemed Savings Table'!D699</f>
        <v>BSS</v>
      </c>
      <c r="I713" s="3840">
        <f>'BUS Deemed Savings Table'!F699</f>
        <v>2491</v>
      </c>
      <c r="J713" s="3840"/>
      <c r="K713" s="3251"/>
      <c r="L713" s="3251"/>
      <c r="M713" s="3251"/>
      <c r="N713" s="3251"/>
      <c r="O713" s="3841">
        <f>'BUS Deemed Savings Table'!I699</f>
        <v>0.49793799999999999</v>
      </c>
      <c r="P713" s="3841"/>
      <c r="Q713" s="3842"/>
      <c r="R713" s="3842"/>
      <c r="S713" s="3842"/>
      <c r="T713" s="3842"/>
      <c r="U713" s="3843">
        <f t="shared" si="473"/>
        <v>0</v>
      </c>
      <c r="V713" s="3843">
        <f t="shared" si="474"/>
        <v>0.49793799999999999</v>
      </c>
      <c r="W713" s="3843">
        <f t="shared" si="475"/>
        <v>0</v>
      </c>
      <c r="X713" s="2846">
        <f>'BUS Deemed Savings Table'!J699</f>
        <v>12</v>
      </c>
      <c r="Y713" s="2846"/>
      <c r="Z713" s="2846">
        <f t="shared" si="477"/>
        <v>12</v>
      </c>
      <c r="AA713" s="3015"/>
      <c r="AB713" s="3878">
        <f>'BUS Deemed Savings Table'!K699</f>
        <v>828</v>
      </c>
      <c r="AC713" s="3968">
        <f t="shared" si="478"/>
        <v>1754.9238363108884</v>
      </c>
      <c r="AD713" s="3968">
        <f t="shared" si="479"/>
        <v>0</v>
      </c>
      <c r="AE713" s="3865">
        <f>'BUS Deemed Savings Table'!DI699</f>
        <v>1754.9238363108884</v>
      </c>
      <c r="AF713" s="3846"/>
      <c r="AG713" s="3846"/>
      <c r="AH713" s="3846"/>
      <c r="AI713" s="3969" t="str">
        <f>'BUS Deemed Savings Table'!L699</f>
        <v>per measure</v>
      </c>
      <c r="AJ713" s="2724"/>
      <c r="AX713" s="3849" t="str">
        <f t="shared" si="467"/>
        <v>Convection Oven (Half Size)</v>
      </c>
      <c r="AY713" s="2724"/>
      <c r="AZ713" s="3850" t="str">
        <f t="shared" si="468"/>
        <v>805300</v>
      </c>
      <c r="BA713" s="3866" t="s">
        <v>1303</v>
      </c>
      <c r="BB713" s="3866" t="s">
        <v>1303</v>
      </c>
      <c r="BC713" s="3866" t="s">
        <v>1303</v>
      </c>
      <c r="BD713" s="3866" t="s">
        <v>1303</v>
      </c>
      <c r="BE713" s="3853"/>
      <c r="BF713" s="3866" t="s">
        <v>1303</v>
      </c>
      <c r="BG713" s="3866" t="s">
        <v>1303</v>
      </c>
      <c r="BH713" s="3866" t="s">
        <v>1303</v>
      </c>
      <c r="BI713" s="3867" t="s">
        <v>1303</v>
      </c>
      <c r="BJ713" s="3853"/>
      <c r="BK713" s="3866" t="s">
        <v>1303</v>
      </c>
      <c r="BL713" s="3867" t="s">
        <v>1303</v>
      </c>
      <c r="BM713" s="3866" t="s">
        <v>1303</v>
      </c>
      <c r="BN713" s="3867" t="s">
        <v>1303</v>
      </c>
    </row>
    <row r="714" spans="1:66" s="696" customFormat="1">
      <c r="A714" s="2958" t="str">
        <f t="shared" si="476"/>
        <v>805350</v>
      </c>
      <c r="B714" s="2233" t="str">
        <f>'BUS Deemed Savings Table'!C717</f>
        <v>805350_2024_12_</v>
      </c>
      <c r="C714" s="2724" t="str">
        <f>'BUS Deemed Savings Table'!G717</f>
        <v>Cooking BUS</v>
      </c>
      <c r="D714" s="2724"/>
      <c r="E714" s="2724"/>
      <c r="F714" s="2724"/>
      <c r="G714" s="2724" t="str">
        <f>'BUS Deemed Savings Table'!E717</f>
        <v>Griddle, single sided</v>
      </c>
      <c r="H714" s="2554" t="str">
        <f>'BUS Deemed Savings Table'!D717</f>
        <v>BSS</v>
      </c>
      <c r="I714" s="3840">
        <f>'BUS Deemed Savings Table'!F717</f>
        <v>2640.88</v>
      </c>
      <c r="J714" s="3840"/>
      <c r="K714" s="3251"/>
      <c r="L714" s="3251"/>
      <c r="M714" s="3251"/>
      <c r="N714" s="3251"/>
      <c r="O714" s="3841">
        <f>'BUS Deemed Savings Table'!I717</f>
        <v>0.52789799999999998</v>
      </c>
      <c r="P714" s="3841"/>
      <c r="Q714" s="3842"/>
      <c r="R714" s="3842"/>
      <c r="S714" s="3842"/>
      <c r="T714" s="3842"/>
      <c r="U714" s="3843">
        <f t="shared" si="473"/>
        <v>0</v>
      </c>
      <c r="V714" s="3843">
        <f t="shared" si="474"/>
        <v>0.52789799999999998</v>
      </c>
      <c r="W714" s="3843">
        <f t="shared" si="475"/>
        <v>0</v>
      </c>
      <c r="X714" s="2846">
        <f>'BUS Deemed Savings Table'!J717</f>
        <v>12</v>
      </c>
      <c r="Y714" s="2846"/>
      <c r="Z714" s="2846">
        <f t="shared" si="477"/>
        <v>12</v>
      </c>
      <c r="AA714" s="3015"/>
      <c r="AB714" s="3878">
        <f>'BUS Deemed Savings Table'!K717</f>
        <v>850</v>
      </c>
      <c r="AC714" s="3968">
        <f t="shared" si="478"/>
        <v>1860.5151589067439</v>
      </c>
      <c r="AD714" s="3968">
        <f t="shared" si="479"/>
        <v>0</v>
      </c>
      <c r="AE714" s="3865">
        <f>'BUS Deemed Savings Table'!DI717</f>
        <v>1860.5151589067439</v>
      </c>
      <c r="AF714" s="3846"/>
      <c r="AG714" s="3846"/>
      <c r="AH714" s="3846"/>
      <c r="AI714" s="3969" t="str">
        <f>'BUS Deemed Savings Table'!L717</f>
        <v>per measure</v>
      </c>
      <c r="AJ714" s="2724"/>
      <c r="AX714" s="3849" t="str">
        <f t="shared" si="467"/>
        <v>Griddle, single sided</v>
      </c>
      <c r="AY714" s="2724"/>
      <c r="AZ714" s="3850" t="str">
        <f t="shared" si="468"/>
        <v>805350</v>
      </c>
      <c r="BA714" s="3866" t="s">
        <v>1303</v>
      </c>
      <c r="BB714" s="3866" t="s">
        <v>1303</v>
      </c>
      <c r="BC714" s="3866" t="s">
        <v>1303</v>
      </c>
      <c r="BD714" s="3866" t="s">
        <v>1303</v>
      </c>
      <c r="BE714" s="3853"/>
      <c r="BF714" s="3866" t="s">
        <v>1303</v>
      </c>
      <c r="BG714" s="3866" t="s">
        <v>1303</v>
      </c>
      <c r="BH714" s="3866" t="s">
        <v>1303</v>
      </c>
      <c r="BI714" s="3867" t="s">
        <v>1303</v>
      </c>
      <c r="BJ714" s="3853"/>
      <c r="BK714" s="3866" t="s">
        <v>1303</v>
      </c>
      <c r="BL714" s="3867" t="s">
        <v>1303</v>
      </c>
      <c r="BM714" s="3866" t="s">
        <v>1303</v>
      </c>
      <c r="BN714" s="3867" t="s">
        <v>1303</v>
      </c>
    </row>
    <row r="715" spans="1:66">
      <c r="A715" s="51" t="str">
        <f t="shared" si="476"/>
        <v>805405</v>
      </c>
      <c r="B715" s="1442" t="str">
        <f>'BUS Deemed Savings Table'!C733</f>
        <v>805405_2020_07_</v>
      </c>
      <c r="C715" s="1378" t="str">
        <f>'BUS Deemed Savings Table'!G733</f>
        <v>Cooking BUS</v>
      </c>
      <c r="D715" s="1378"/>
      <c r="E715" s="1378"/>
      <c r="F715" s="1378"/>
      <c r="G715" s="1378" t="str">
        <f>'BUS Deemed Savings Table'!E733</f>
        <v>Kitchen Demand Ventilation Controls, Retrofit</v>
      </c>
      <c r="H715" s="19" t="str">
        <f>'BUS Deemed Savings Table'!D733</f>
        <v>Standard</v>
      </c>
      <c r="I715" s="785">
        <f>'BUS Deemed Savings Table'!F733</f>
        <v>4197</v>
      </c>
      <c r="J715" s="785"/>
      <c r="K715" s="202"/>
      <c r="L715" s="202"/>
      <c r="M715" s="202"/>
      <c r="N715" s="202"/>
      <c r="O715" s="786">
        <f>'BUS Deemed Savings Table'!I733</f>
        <v>0.83895889530000001</v>
      </c>
      <c r="P715" s="786"/>
      <c r="Q715" s="787"/>
      <c r="R715" s="787"/>
      <c r="S715" s="787"/>
      <c r="T715" s="787"/>
      <c r="U715" s="788">
        <f t="shared" si="473"/>
        <v>0</v>
      </c>
      <c r="V715" s="788">
        <f t="shared" si="474"/>
        <v>0</v>
      </c>
      <c r="W715" s="788">
        <f t="shared" si="475"/>
        <v>0.83895889530000001</v>
      </c>
      <c r="X715" s="23">
        <f>'BUS Deemed Savings Table'!J733</f>
        <v>15</v>
      </c>
      <c r="Y715" s="23"/>
      <c r="Z715" s="23">
        <f t="shared" si="477"/>
        <v>15</v>
      </c>
      <c r="AA715" s="18">
        <f>'BUS Deemed Savings Table'!DG733</f>
        <v>1.7359796272251358</v>
      </c>
      <c r="AB715" s="259">
        <f>'BUS Deemed Savings Table'!K733</f>
        <v>1991</v>
      </c>
      <c r="AC715" s="790">
        <f t="shared" si="478"/>
        <v>3456.3354378052454</v>
      </c>
      <c r="AD715" s="790">
        <f t="shared" si="479"/>
        <v>0</v>
      </c>
      <c r="AE715" s="610">
        <f>'BUS Deemed Savings Table'!DI733</f>
        <v>3456.3354378052454</v>
      </c>
      <c r="AF715" s="208"/>
      <c r="AG715" s="208"/>
      <c r="AH715" s="208"/>
      <c r="AI715" s="914" t="str">
        <f>'BUS Deemed Savings Table'!L733</f>
        <v>per HP</v>
      </c>
      <c r="AJ715" s="71"/>
      <c r="AX715" s="1355" t="str">
        <f t="shared" si="467"/>
        <v>Kitchen Demand Ventilation Controls, Retrofit</v>
      </c>
      <c r="AY715" s="1378"/>
      <c r="AZ715" s="1446" t="str">
        <f t="shared" si="468"/>
        <v>805405</v>
      </c>
      <c r="BA715" s="1300" t="s">
        <v>1303</v>
      </c>
      <c r="BB715" s="1300" t="s">
        <v>1303</v>
      </c>
      <c r="BC715" s="1300" t="s">
        <v>1303</v>
      </c>
      <c r="BD715" s="1300" t="s">
        <v>1303</v>
      </c>
      <c r="BE715" s="1305"/>
      <c r="BF715" s="1300" t="s">
        <v>1303</v>
      </c>
      <c r="BG715" s="1300" t="s">
        <v>1303</v>
      </c>
      <c r="BH715" s="1300" t="s">
        <v>1303</v>
      </c>
      <c r="BI715" s="1301" t="s">
        <v>1303</v>
      </c>
      <c r="BJ715" s="1305"/>
      <c r="BK715" s="1300" t="s">
        <v>1303</v>
      </c>
      <c r="BL715" s="1301" t="s">
        <v>1303</v>
      </c>
      <c r="BM715" s="1300" t="s">
        <v>1303</v>
      </c>
      <c r="BN715" s="1301" t="s">
        <v>1303</v>
      </c>
    </row>
    <row r="716" spans="1:66" s="696" customFormat="1">
      <c r="A716" s="2958" t="str">
        <f t="shared" si="476"/>
        <v>805410</v>
      </c>
      <c r="B716" s="2233" t="str">
        <f>'BUS Deemed Savings Table'!C734</f>
        <v>805410_2020_07_</v>
      </c>
      <c r="C716" s="2724" t="str">
        <f>'BUS Deemed Savings Table'!G734</f>
        <v>Cooking BUS</v>
      </c>
      <c r="D716" s="2724"/>
      <c r="E716" s="2724"/>
      <c r="F716" s="2724"/>
      <c r="G716" s="2724" t="str">
        <f>'BUS Deemed Savings Table'!E734</f>
        <v>Kitchen Demand Ventilation Controls, New</v>
      </c>
      <c r="H716" s="2554" t="str">
        <f>'BUS Deemed Savings Table'!D734</f>
        <v>BSS</v>
      </c>
      <c r="I716" s="3840">
        <f>'BUS Deemed Savings Table'!F734</f>
        <v>4197</v>
      </c>
      <c r="J716" s="3840"/>
      <c r="K716" s="3251"/>
      <c r="L716" s="3251"/>
      <c r="M716" s="3251"/>
      <c r="N716" s="3251"/>
      <c r="O716" s="3841">
        <f>'BUS Deemed Savings Table'!I734</f>
        <v>0.83895889530000001</v>
      </c>
      <c r="P716" s="3841"/>
      <c r="Q716" s="3842"/>
      <c r="R716" s="3842"/>
      <c r="S716" s="3842"/>
      <c r="T716" s="3842"/>
      <c r="U716" s="3843">
        <f t="shared" si="473"/>
        <v>0</v>
      </c>
      <c r="V716" s="3843">
        <f t="shared" si="474"/>
        <v>0</v>
      </c>
      <c r="W716" s="3843">
        <f t="shared" si="475"/>
        <v>0.83895889530000001</v>
      </c>
      <c r="X716" s="2846">
        <f>'BUS Deemed Savings Table'!J734</f>
        <v>15</v>
      </c>
      <c r="Y716" s="2846"/>
      <c r="Z716" s="2846">
        <f t="shared" si="477"/>
        <v>15</v>
      </c>
      <c r="AA716" s="2529">
        <f>'BUS Deemed Savings Table'!DG734</f>
        <v>1.7359796272251358</v>
      </c>
      <c r="AB716" s="3878">
        <f>'BUS Deemed Savings Table'!K734</f>
        <v>1991</v>
      </c>
      <c r="AC716" s="3968">
        <f t="shared" si="478"/>
        <v>3456.3354378052454</v>
      </c>
      <c r="AD716" s="3968">
        <f t="shared" si="479"/>
        <v>0</v>
      </c>
      <c r="AE716" s="3865">
        <f>'BUS Deemed Savings Table'!DI734</f>
        <v>3456.3354378052454</v>
      </c>
      <c r="AF716" s="3846"/>
      <c r="AG716" s="3846"/>
      <c r="AH716" s="3846"/>
      <c r="AI716" s="3969" t="str">
        <f>'BUS Deemed Savings Table'!L734</f>
        <v>per HP</v>
      </c>
      <c r="AJ716" s="2724"/>
      <c r="AX716" s="3849" t="str">
        <f t="shared" si="467"/>
        <v>Kitchen Demand Ventilation Controls, New</v>
      </c>
      <c r="AY716" s="2724"/>
      <c r="AZ716" s="3850" t="str">
        <f t="shared" si="468"/>
        <v>805410</v>
      </c>
      <c r="BA716" s="3866" t="s">
        <v>1303</v>
      </c>
      <c r="BB716" s="3866" t="s">
        <v>1303</v>
      </c>
      <c r="BC716" s="3866" t="s">
        <v>1303</v>
      </c>
      <c r="BD716" s="3866" t="s">
        <v>1303</v>
      </c>
      <c r="BE716" s="3853"/>
      <c r="BF716" s="3866" t="s">
        <v>1303</v>
      </c>
      <c r="BG716" s="3866" t="s">
        <v>1303</v>
      </c>
      <c r="BH716" s="3866" t="s">
        <v>1303</v>
      </c>
      <c r="BI716" s="3867" t="s">
        <v>1303</v>
      </c>
      <c r="BJ716" s="3853"/>
      <c r="BK716" s="3866" t="s">
        <v>1303</v>
      </c>
      <c r="BL716" s="3867" t="s">
        <v>1303</v>
      </c>
      <c r="BM716" s="3866" t="s">
        <v>1303</v>
      </c>
      <c r="BN716" s="3867" t="s">
        <v>1303</v>
      </c>
    </row>
    <row r="717" spans="1:66" s="696" customFormat="1">
      <c r="A717" s="2958" t="str">
        <f t="shared" si="476"/>
        <v>805450</v>
      </c>
      <c r="B717" s="2233" t="str">
        <f>'BUS Deemed Savings Table'!C751</f>
        <v>805450_2024_12_</v>
      </c>
      <c r="C717" s="2724" t="str">
        <f>'BUS Deemed Savings Table'!G751</f>
        <v>Cooking BUS</v>
      </c>
      <c r="D717" s="2724"/>
      <c r="E717" s="2724"/>
      <c r="F717" s="2724"/>
      <c r="G717" s="2724" t="str">
        <f>'BUS Deemed Savings Table'!E751</f>
        <v>Pre-Rinse Spray Valve</v>
      </c>
      <c r="H717" s="2554" t="str">
        <f>'BUS Deemed Savings Table'!D751</f>
        <v>BSS</v>
      </c>
      <c r="I717" s="3840">
        <f>'BUS Deemed Savings Table'!F751</f>
        <v>4698.46</v>
      </c>
      <c r="J717" s="3840"/>
      <c r="K717" s="3251"/>
      <c r="L717" s="3251"/>
      <c r="M717" s="3251"/>
      <c r="N717" s="3251"/>
      <c r="O717" s="3841">
        <f>'BUS Deemed Savings Table'!I751</f>
        <v>0.93919799999999998</v>
      </c>
      <c r="P717" s="3841"/>
      <c r="Q717" s="3842"/>
      <c r="R717" s="3842"/>
      <c r="S717" s="3842"/>
      <c r="T717" s="3842"/>
      <c r="U717" s="3843">
        <f t="shared" si="473"/>
        <v>0.93919799999999998</v>
      </c>
      <c r="V717" s="3843">
        <f t="shared" si="474"/>
        <v>0</v>
      </c>
      <c r="W717" s="3843">
        <f t="shared" si="475"/>
        <v>0</v>
      </c>
      <c r="X717" s="2846">
        <f>'BUS Deemed Savings Table'!J751</f>
        <v>5</v>
      </c>
      <c r="Y717" s="2846"/>
      <c r="Z717" s="2846">
        <f t="shared" si="477"/>
        <v>5</v>
      </c>
      <c r="AA717" s="2529">
        <f>'BUS Deemed Savings Table'!DG751</f>
        <v>17.416785515440349</v>
      </c>
      <c r="AB717" s="3878">
        <f>'BUS Deemed Savings Table'!K751</f>
        <v>92.9</v>
      </c>
      <c r="AC717" s="3968">
        <f t="shared" si="478"/>
        <v>1618.0193743844084</v>
      </c>
      <c r="AD717" s="3968">
        <f t="shared" si="479"/>
        <v>0</v>
      </c>
      <c r="AE717" s="3865">
        <f>'BUS Deemed Savings Table'!DI751</f>
        <v>1618.0193743844084</v>
      </c>
      <c r="AF717" s="3846"/>
      <c r="AG717" s="3846"/>
      <c r="AH717" s="3846"/>
      <c r="AI717" s="3969" t="str">
        <f>'BUS Deemed Savings Table'!L751</f>
        <v>per measure</v>
      </c>
      <c r="AJ717" s="2724"/>
      <c r="AX717" s="3849" t="str">
        <f t="shared" si="467"/>
        <v>Pre-Rinse Spray Valve</v>
      </c>
      <c r="AY717" s="2724"/>
      <c r="AZ717" s="3850" t="str">
        <f t="shared" si="468"/>
        <v>805450</v>
      </c>
      <c r="BA717" s="3866" t="s">
        <v>1303</v>
      </c>
      <c r="BB717" s="3866" t="s">
        <v>1303</v>
      </c>
      <c r="BC717" s="3866" t="s">
        <v>1303</v>
      </c>
      <c r="BD717" s="3866" t="s">
        <v>1303</v>
      </c>
      <c r="BE717" s="3853"/>
      <c r="BF717" s="3866" t="s">
        <v>1303</v>
      </c>
      <c r="BG717" s="3866" t="s">
        <v>1303</v>
      </c>
      <c r="BH717" s="3866" t="s">
        <v>1303</v>
      </c>
      <c r="BI717" s="3867" t="s">
        <v>1303</v>
      </c>
      <c r="BJ717" s="3853"/>
      <c r="BK717" s="3866" t="s">
        <v>1303</v>
      </c>
      <c r="BL717" s="3867" t="s">
        <v>1303</v>
      </c>
      <c r="BM717" s="3866" t="s">
        <v>1303</v>
      </c>
      <c r="BN717" s="3867" t="s">
        <v>1303</v>
      </c>
    </row>
    <row r="718" spans="1:66" s="696" customFormat="1">
      <c r="A718" s="2958" t="str">
        <f t="shared" si="476"/>
        <v>805500</v>
      </c>
      <c r="B718" s="2233" t="str">
        <f>'BUS Deemed Savings Table'!C767</f>
        <v>805500_2024_12_</v>
      </c>
      <c r="C718" s="2724" t="str">
        <f>'BUS Deemed Savings Table'!G767</f>
        <v>Water Heating BUS</v>
      </c>
      <c r="D718" s="2724"/>
      <c r="E718" s="2724"/>
      <c r="F718" s="2724"/>
      <c r="G718" s="2724" t="str">
        <f>'BUS Deemed Savings Table'!E767</f>
        <v>Low Flow Faucet Aerator</v>
      </c>
      <c r="H718" s="2554" t="str">
        <f>'BUS Deemed Savings Table'!D767</f>
        <v>BSS</v>
      </c>
      <c r="I718" s="3840">
        <f>'BUS Deemed Savings Table'!F767</f>
        <v>125.64</v>
      </c>
      <c r="J718" s="3840"/>
      <c r="K718" s="3251"/>
      <c r="L718" s="3251"/>
      <c r="M718" s="3251"/>
      <c r="N718" s="3251"/>
      <c r="O718" s="3841">
        <f>'BUS Deemed Savings Table'!I767</f>
        <v>2.2759999999999999E-2</v>
      </c>
      <c r="P718" s="3841"/>
      <c r="Q718" s="3842"/>
      <c r="R718" s="3842"/>
      <c r="S718" s="3842"/>
      <c r="T718" s="3842"/>
      <c r="U718" s="3843">
        <f t="shared" si="473"/>
        <v>0</v>
      </c>
      <c r="V718" s="3843">
        <f t="shared" si="474"/>
        <v>2.2759999999999999E-2</v>
      </c>
      <c r="W718" s="3843">
        <f t="shared" si="475"/>
        <v>0</v>
      </c>
      <c r="X718" s="2846">
        <f>'BUS Deemed Savings Table'!J767</f>
        <v>10</v>
      </c>
      <c r="Y718" s="2846"/>
      <c r="Z718" s="2846">
        <f t="shared" si="477"/>
        <v>10</v>
      </c>
      <c r="AA718" s="2529">
        <f>'BUS Deemed Savings Table'!DG767</f>
        <v>9.7970179238085429</v>
      </c>
      <c r="AB718" s="3878">
        <f>'BUS Deemed Savings Table'!K767</f>
        <v>8</v>
      </c>
      <c r="AC718" s="3968">
        <f t="shared" si="478"/>
        <v>78.376143390468343</v>
      </c>
      <c r="AD718" s="3968">
        <f t="shared" si="479"/>
        <v>0</v>
      </c>
      <c r="AE718" s="3865">
        <f>'BUS Deemed Savings Table'!DI767</f>
        <v>78.376143390468343</v>
      </c>
      <c r="AF718" s="3846"/>
      <c r="AG718" s="3846"/>
      <c r="AH718" s="3846"/>
      <c r="AI718" s="3969" t="str">
        <f>'BUS Deemed Savings Table'!L767</f>
        <v>per measure</v>
      </c>
      <c r="AJ718" s="2724"/>
      <c r="AX718" s="3849" t="str">
        <f t="shared" si="467"/>
        <v>Low Flow Faucet Aerator</v>
      </c>
      <c r="AY718" s="2724"/>
      <c r="AZ718" s="3850" t="str">
        <f t="shared" si="468"/>
        <v>805500</v>
      </c>
      <c r="BA718" s="3866" t="s">
        <v>1303</v>
      </c>
      <c r="BB718" s="3866" t="s">
        <v>1303</v>
      </c>
      <c r="BC718" s="3866" t="s">
        <v>1303</v>
      </c>
      <c r="BD718" s="3866" t="s">
        <v>1303</v>
      </c>
      <c r="BE718" s="3853"/>
      <c r="BF718" s="3866" t="s">
        <v>1303</v>
      </c>
      <c r="BG718" s="3866" t="s">
        <v>1303</v>
      </c>
      <c r="BH718" s="3866" t="s">
        <v>1303</v>
      </c>
      <c r="BI718" s="3867" t="s">
        <v>1303</v>
      </c>
      <c r="BJ718" s="3853"/>
      <c r="BK718" s="3866" t="s">
        <v>1303</v>
      </c>
      <c r="BL718" s="3867" t="s">
        <v>1303</v>
      </c>
      <c r="BM718" s="3866" t="s">
        <v>1303</v>
      </c>
      <c r="BN718" s="3867" t="s">
        <v>1303</v>
      </c>
    </row>
    <row r="719" spans="1:66" s="696" customFormat="1">
      <c r="A719" s="2958" t="str">
        <f t="shared" si="476"/>
        <v>805550</v>
      </c>
      <c r="B719" s="2233" t="str">
        <f>'BUS Deemed Savings Table'!C783</f>
        <v>805550_2019_12_</v>
      </c>
      <c r="C719" s="2724" t="str">
        <f>'BUS Deemed Savings Table'!G783</f>
        <v>Miscellaneous BUS</v>
      </c>
      <c r="D719" s="2724"/>
      <c r="E719" s="2724"/>
      <c r="F719" s="2724"/>
      <c r="G719" s="2724" t="str">
        <f>'BUS Deemed Savings Table'!E783</f>
        <v>Circulator Pump</v>
      </c>
      <c r="H719" s="2554" t="str">
        <f>'BUS Deemed Savings Table'!D783</f>
        <v>BSS</v>
      </c>
      <c r="I719" s="3840">
        <f>'BUS Deemed Savings Table'!F783</f>
        <v>651</v>
      </c>
      <c r="J719" s="3840"/>
      <c r="K719" s="3251"/>
      <c r="L719" s="3251"/>
      <c r="M719" s="3251"/>
      <c r="N719" s="3251"/>
      <c r="O719" s="3841">
        <f>'BUS Deemed Savings Table'!I783</f>
        <v>8.9801000000000006E-2</v>
      </c>
      <c r="P719" s="3841"/>
      <c r="Q719" s="3842"/>
      <c r="R719" s="3842"/>
      <c r="S719" s="3842"/>
      <c r="T719" s="3842"/>
      <c r="U719" s="3843">
        <f t="shared" si="473"/>
        <v>0</v>
      </c>
      <c r="V719" s="3843">
        <f t="shared" si="474"/>
        <v>0</v>
      </c>
      <c r="W719" s="3843">
        <f t="shared" si="475"/>
        <v>8.9801000000000006E-2</v>
      </c>
      <c r="X719" s="2846">
        <f>'BUS Deemed Savings Table'!J783</f>
        <v>15</v>
      </c>
      <c r="Y719" s="2846"/>
      <c r="Z719" s="2846">
        <f t="shared" si="477"/>
        <v>15</v>
      </c>
      <c r="AA719" s="2529">
        <f>'BUS Deemed Savings Table'!DG783</f>
        <v>0.38685838996876687</v>
      </c>
      <c r="AB719" s="3878">
        <f>'BUS Deemed Savings Table'!K783</f>
        <v>1200</v>
      </c>
      <c r="AC719" s="3968">
        <f t="shared" si="478"/>
        <v>464.23006796252025</v>
      </c>
      <c r="AD719" s="3968">
        <f t="shared" si="479"/>
        <v>0</v>
      </c>
      <c r="AE719" s="3865">
        <f>'BUS Deemed Savings Table'!DI783</f>
        <v>464.23006796252025</v>
      </c>
      <c r="AF719" s="3846"/>
      <c r="AG719" s="3846"/>
      <c r="AH719" s="3846"/>
      <c r="AI719" s="3969" t="str">
        <f>'BUS Deemed Savings Table'!L783</f>
        <v>per measure</v>
      </c>
      <c r="AJ719" s="2724"/>
      <c r="AX719" s="3849" t="str">
        <f t="shared" si="467"/>
        <v>Circulator Pump</v>
      </c>
      <c r="AY719" s="2724"/>
      <c r="AZ719" s="3850" t="str">
        <f t="shared" si="468"/>
        <v>805550</v>
      </c>
      <c r="BA719" s="3866" t="s">
        <v>1303</v>
      </c>
      <c r="BB719" s="3866" t="s">
        <v>1303</v>
      </c>
      <c r="BC719" s="3866" t="s">
        <v>1303</v>
      </c>
      <c r="BD719" s="3866" t="s">
        <v>1303</v>
      </c>
      <c r="BE719" s="3853"/>
      <c r="BF719" s="3866" t="s">
        <v>1303</v>
      </c>
      <c r="BG719" s="3866" t="s">
        <v>1303</v>
      </c>
      <c r="BH719" s="3866" t="s">
        <v>1303</v>
      </c>
      <c r="BI719" s="3867" t="s">
        <v>1303</v>
      </c>
      <c r="BJ719" s="3853"/>
      <c r="BK719" s="3866" t="s">
        <v>1303</v>
      </c>
      <c r="BL719" s="3867" t="s">
        <v>1303</v>
      </c>
      <c r="BM719" s="3866" t="s">
        <v>1303</v>
      </c>
      <c r="BN719" s="3867" t="s">
        <v>1303</v>
      </c>
    </row>
    <row r="720" spans="1:66" s="696" customFormat="1">
      <c r="A720" s="2958" t="str">
        <f t="shared" si="476"/>
        <v>805600</v>
      </c>
      <c r="B720" s="2233" t="str">
        <f>'BUS Deemed Savings Table'!C799</f>
        <v>805600_2024_12_</v>
      </c>
      <c r="C720" s="2724" t="str">
        <f>'BUS Deemed Savings Table'!G799</f>
        <v>Cooling BUS</v>
      </c>
      <c r="D720" s="2724"/>
      <c r="E720" s="2724"/>
      <c r="F720" s="2724"/>
      <c r="G720" s="2724" t="str">
        <f>'BUS Deemed Savings Table'!E799</f>
        <v>Small Commercial Programmable Thermostats</v>
      </c>
      <c r="H720" s="2554" t="str">
        <f>'BUS Deemed Savings Table'!D799</f>
        <v>BSS</v>
      </c>
      <c r="I720" s="3840">
        <f>'BUS Deemed Savings Table'!F799</f>
        <v>0</v>
      </c>
      <c r="J720" s="3840"/>
      <c r="K720" s="3897"/>
      <c r="L720" s="3251"/>
      <c r="M720" s="3251"/>
      <c r="N720" s="3251"/>
      <c r="O720" s="3841">
        <f>'BUS Deemed Savings Table'!I799</f>
        <v>0</v>
      </c>
      <c r="P720" s="3841"/>
      <c r="Q720" s="3842"/>
      <c r="R720" s="3842"/>
      <c r="S720" s="3842"/>
      <c r="T720" s="3842"/>
      <c r="U720" s="3843">
        <f t="shared" si="473"/>
        <v>0</v>
      </c>
      <c r="V720" s="3843">
        <f t="shared" si="474"/>
        <v>0</v>
      </c>
      <c r="W720" s="3843">
        <f t="shared" si="475"/>
        <v>0</v>
      </c>
      <c r="X720" s="2846">
        <f>'BUS Deemed Savings Table'!J799</f>
        <v>8</v>
      </c>
      <c r="Y720" s="2846"/>
      <c r="Z720" s="2846">
        <f t="shared" si="477"/>
        <v>8</v>
      </c>
      <c r="AA720" s="2529">
        <f>'BUS Deemed Savings Table'!DG799</f>
        <v>0</v>
      </c>
      <c r="AB720" s="3878">
        <f>'BUS Deemed Savings Table'!K799</f>
        <v>160</v>
      </c>
      <c r="AC720" s="3968">
        <f t="shared" si="478"/>
        <v>0</v>
      </c>
      <c r="AD720" s="3968">
        <f t="shared" si="479"/>
        <v>0</v>
      </c>
      <c r="AE720" s="3865">
        <f>'BUS Deemed Savings Table'!DI799</f>
        <v>0</v>
      </c>
      <c r="AF720" s="3846"/>
      <c r="AG720" s="3846"/>
      <c r="AH720" s="3846"/>
      <c r="AI720" s="3969" t="str">
        <f>'BUS Deemed Savings Table'!L799</f>
        <v>per measure</v>
      </c>
      <c r="AJ720" s="2724"/>
      <c r="AX720" s="3849" t="str">
        <f t="shared" si="467"/>
        <v>Small Commercial Programmable Thermostats</v>
      </c>
      <c r="AY720" s="2724"/>
      <c r="AZ720" s="3850" t="str">
        <f t="shared" si="468"/>
        <v>805600</v>
      </c>
      <c r="BA720" s="3866" t="s">
        <v>1303</v>
      </c>
      <c r="BB720" s="3866" t="s">
        <v>1303</v>
      </c>
      <c r="BC720" s="3866" t="s">
        <v>1303</v>
      </c>
      <c r="BD720" s="3866" t="s">
        <v>1303</v>
      </c>
      <c r="BE720" s="3853"/>
      <c r="BF720" s="3866" t="s">
        <v>1303</v>
      </c>
      <c r="BG720" s="3866" t="s">
        <v>1303</v>
      </c>
      <c r="BH720" s="3866" t="s">
        <v>1303</v>
      </c>
      <c r="BI720" s="3867" t="s">
        <v>1303</v>
      </c>
      <c r="BJ720" s="3853"/>
      <c r="BK720" s="3866" t="s">
        <v>1303</v>
      </c>
      <c r="BL720" s="3867" t="s">
        <v>1303</v>
      </c>
      <c r="BM720" s="3866" t="s">
        <v>1303</v>
      </c>
      <c r="BN720" s="3867" t="s">
        <v>1303</v>
      </c>
    </row>
    <row r="721" spans="1:66">
      <c r="A721" s="51" t="str">
        <f t="shared" si="476"/>
        <v>805650</v>
      </c>
      <c r="B721" s="1442" t="str">
        <f>'BUS Deemed Savings Table'!C815</f>
        <v>805650_2019_12_</v>
      </c>
      <c r="C721" s="1378" t="str">
        <f>'BUS Deemed Savings Table'!G815</f>
        <v>Cooling BUS</v>
      </c>
      <c r="D721" s="1378"/>
      <c r="E721" s="1378"/>
      <c r="F721" s="1378"/>
      <c r="G721" s="1378" t="str">
        <f>'BUS Deemed Savings Table'!E815</f>
        <v>Demand Controlled Ventillation (Gas Heat)</v>
      </c>
      <c r="H721" s="19" t="str">
        <f>'BUS Deemed Savings Table'!D815</f>
        <v>Standard</v>
      </c>
      <c r="I721" s="785">
        <f>'BUS Deemed Savings Table'!F815</f>
        <v>0.67</v>
      </c>
      <c r="J721" s="785"/>
      <c r="K721" s="888"/>
      <c r="L721" s="202"/>
      <c r="M721" s="202"/>
      <c r="N721" s="202"/>
      <c r="O721" s="786">
        <f>'BUS Deemed Savings Table'!I815</f>
        <v>6.0999999999999997E-4</v>
      </c>
      <c r="P721" s="786"/>
      <c r="Q721" s="787"/>
      <c r="R721" s="787"/>
      <c r="S721" s="787"/>
      <c r="T721" s="787"/>
      <c r="U721" s="788">
        <f t="shared" si="473"/>
        <v>0</v>
      </c>
      <c r="V721" s="788">
        <f t="shared" si="474"/>
        <v>6.0999999999999997E-4</v>
      </c>
      <c r="W721" s="788">
        <f t="shared" si="475"/>
        <v>0</v>
      </c>
      <c r="X721" s="23">
        <f>'BUS Deemed Savings Table'!J815</f>
        <v>10</v>
      </c>
      <c r="Y721" s="23"/>
      <c r="Z721" s="23">
        <f t="shared" si="477"/>
        <v>10</v>
      </c>
      <c r="AA721" s="916"/>
      <c r="AB721" s="259" t="str">
        <f>'BUS Deemed Savings Table'!K815</f>
        <v>Actual</v>
      </c>
      <c r="AC721" s="790">
        <f t="shared" si="478"/>
        <v>0.96382681093578204</v>
      </c>
      <c r="AD721" s="790">
        <f t="shared" si="479"/>
        <v>0</v>
      </c>
      <c r="AE721" s="610">
        <f>'BUS Deemed Savings Table'!DI815</f>
        <v>0.96382681093578204</v>
      </c>
      <c r="AF721" s="208"/>
      <c r="AG721" s="208"/>
      <c r="AH721" s="208"/>
      <c r="AI721" s="914" t="str">
        <f>'BUS Deemed Savings Table'!L815</f>
        <v>per sq. ft.</v>
      </c>
      <c r="AJ721" s="71"/>
      <c r="AX721" s="1355" t="str">
        <f t="shared" si="467"/>
        <v>Demand Controlled Ventillation (Gas Heat)</v>
      </c>
      <c r="AY721" s="1378"/>
      <c r="AZ721" s="1446" t="str">
        <f t="shared" si="468"/>
        <v>805650</v>
      </c>
      <c r="BA721" s="1300" t="s">
        <v>1303</v>
      </c>
      <c r="BB721" s="1300" t="s">
        <v>1303</v>
      </c>
      <c r="BC721" s="1300" t="s">
        <v>1303</v>
      </c>
      <c r="BD721" s="1300" t="s">
        <v>1303</v>
      </c>
      <c r="BE721" s="1305"/>
      <c r="BF721" s="1300" t="s">
        <v>1303</v>
      </c>
      <c r="BG721" s="1300" t="s">
        <v>1303</v>
      </c>
      <c r="BH721" s="1300" t="s">
        <v>1303</v>
      </c>
      <c r="BI721" s="1301" t="s">
        <v>1303</v>
      </c>
      <c r="BJ721" s="1305"/>
      <c r="BK721" s="1300" t="s">
        <v>1303</v>
      </c>
      <c r="BL721" s="1301" t="s">
        <v>1303</v>
      </c>
      <c r="BM721" s="1300" t="s">
        <v>1303</v>
      </c>
      <c r="BN721" s="1301" t="s">
        <v>1303</v>
      </c>
    </row>
    <row r="722" spans="1:66">
      <c r="A722" s="51" t="str">
        <f t="shared" si="476"/>
        <v>805700</v>
      </c>
      <c r="B722" s="1442" t="str">
        <f>'BUS Deemed Savings Table'!C816</f>
        <v>805700_2019_12_</v>
      </c>
      <c r="C722" s="1378" t="str">
        <f>'BUS Deemed Savings Table'!G816</f>
        <v>Cooling BUS</v>
      </c>
      <c r="D722" s="1378"/>
      <c r="E722" s="1378"/>
      <c r="F722" s="1378"/>
      <c r="G722" s="1378" t="str">
        <f>'BUS Deemed Savings Table'!E816</f>
        <v>Demand Controlled Ventillation (Electric Heat)</v>
      </c>
      <c r="H722" s="19" t="str">
        <f>'BUS Deemed Savings Table'!D816</f>
        <v>Standard</v>
      </c>
      <c r="I722" s="785">
        <f>'BUS Deemed Savings Table'!F816</f>
        <v>1.9</v>
      </c>
      <c r="J722" s="785"/>
      <c r="K722" s="888"/>
      <c r="L722" s="202"/>
      <c r="M722" s="202"/>
      <c r="N722" s="202"/>
      <c r="O722" s="786">
        <f>'BUS Deemed Savings Table'!I816</f>
        <v>1.73E-3</v>
      </c>
      <c r="P722" s="786"/>
      <c r="Q722" s="787"/>
      <c r="R722" s="787"/>
      <c r="S722" s="787"/>
      <c r="T722" s="787"/>
      <c r="U722" s="788">
        <f t="shared" si="473"/>
        <v>0</v>
      </c>
      <c r="V722" s="788">
        <f t="shared" si="474"/>
        <v>1.73E-3</v>
      </c>
      <c r="W722" s="788">
        <f t="shared" si="475"/>
        <v>0</v>
      </c>
      <c r="X722" s="23">
        <f>'BUS Deemed Savings Table'!J816</f>
        <v>10</v>
      </c>
      <c r="Y722" s="23"/>
      <c r="Z722" s="23">
        <f t="shared" si="477"/>
        <v>10</v>
      </c>
      <c r="AA722" s="916"/>
      <c r="AB722" s="259" t="str">
        <f>'BUS Deemed Savings Table'!K816</f>
        <v>Actual</v>
      </c>
      <c r="AC722" s="790">
        <f t="shared" si="478"/>
        <v>2.7332402101163966</v>
      </c>
      <c r="AD722" s="790">
        <f t="shared" si="479"/>
        <v>0</v>
      </c>
      <c r="AE722" s="610">
        <f>'BUS Deemed Savings Table'!DI816</f>
        <v>2.7332402101163966</v>
      </c>
      <c r="AF722" s="208"/>
      <c r="AG722" s="208"/>
      <c r="AH722" s="208"/>
      <c r="AI722" s="914" t="str">
        <f>'BUS Deemed Savings Table'!L816</f>
        <v>per sq. ft.</v>
      </c>
      <c r="AJ722" s="71"/>
      <c r="AX722" s="1355" t="str">
        <f t="shared" si="467"/>
        <v>Demand Controlled Ventillation (Electric Heat)</v>
      </c>
      <c r="AY722" s="1378"/>
      <c r="AZ722" s="1446" t="str">
        <f t="shared" si="468"/>
        <v>805700</v>
      </c>
      <c r="BA722" s="1300" t="s">
        <v>1303</v>
      </c>
      <c r="BB722" s="1300" t="s">
        <v>1303</v>
      </c>
      <c r="BC722" s="1300" t="s">
        <v>1303</v>
      </c>
      <c r="BD722" s="1300" t="s">
        <v>1303</v>
      </c>
      <c r="BE722" s="1305"/>
      <c r="BF722" s="1300" t="s">
        <v>1303</v>
      </c>
      <c r="BG722" s="1300" t="s">
        <v>1303</v>
      </c>
      <c r="BH722" s="1300" t="s">
        <v>1303</v>
      </c>
      <c r="BI722" s="1301" t="s">
        <v>1303</v>
      </c>
      <c r="BJ722" s="1305"/>
      <c r="BK722" s="1300" t="s">
        <v>1303</v>
      </c>
      <c r="BL722" s="1301" t="s">
        <v>1303</v>
      </c>
      <c r="BM722" s="1300" t="s">
        <v>1303</v>
      </c>
      <c r="BN722" s="1301" t="s">
        <v>1303</v>
      </c>
    </row>
    <row r="723" spans="1:66">
      <c r="A723" s="51" t="str">
        <f t="shared" si="476"/>
        <v>805750</v>
      </c>
      <c r="B723" s="1442" t="str">
        <f>'BUS Deemed Savings Table'!C817</f>
        <v>805750_2019_12_</v>
      </c>
      <c r="C723" s="1378" t="str">
        <f>'BUS Deemed Savings Table'!G817</f>
        <v>Cooling BUS</v>
      </c>
      <c r="D723" s="1378"/>
      <c r="E723" s="1378"/>
      <c r="F723" s="1378"/>
      <c r="G723" s="1378" t="str">
        <f>'BUS Deemed Savings Table'!E817</f>
        <v>Demand Controlled Ventillation (Heat Pump)</v>
      </c>
      <c r="H723" s="19" t="str">
        <f>'BUS Deemed Savings Table'!D817</f>
        <v>Standard</v>
      </c>
      <c r="I723" s="785">
        <f>'BUS Deemed Savings Table'!F817</f>
        <v>1.08</v>
      </c>
      <c r="J723" s="785"/>
      <c r="K723" s="888"/>
      <c r="L723" s="202"/>
      <c r="M723" s="202"/>
      <c r="N723" s="202"/>
      <c r="O723" s="786">
        <f>'BUS Deemed Savings Table'!I817</f>
        <v>9.8400000000000007E-4</v>
      </c>
      <c r="P723" s="786"/>
      <c r="Q723" s="787"/>
      <c r="R723" s="787"/>
      <c r="S723" s="787"/>
      <c r="T723" s="787"/>
      <c r="U723" s="788">
        <f t="shared" si="473"/>
        <v>0</v>
      </c>
      <c r="V723" s="788">
        <f t="shared" si="474"/>
        <v>9.8400000000000007E-4</v>
      </c>
      <c r="W723" s="788">
        <f t="shared" si="475"/>
        <v>0</v>
      </c>
      <c r="X723" s="23">
        <f>'BUS Deemed Savings Table'!J817</f>
        <v>10</v>
      </c>
      <c r="Y723" s="23"/>
      <c r="Z723" s="23">
        <f t="shared" si="477"/>
        <v>10</v>
      </c>
      <c r="AA723" s="916"/>
      <c r="AB723" s="259" t="str">
        <f>'BUS Deemed Savings Table'!K817</f>
        <v>Actual</v>
      </c>
      <c r="AC723" s="790">
        <f t="shared" si="478"/>
        <v>1.5536312773293204</v>
      </c>
      <c r="AD723" s="790">
        <f t="shared" si="479"/>
        <v>0</v>
      </c>
      <c r="AE723" s="610">
        <f>'BUS Deemed Savings Table'!DI817</f>
        <v>1.5536312773293204</v>
      </c>
      <c r="AF723" s="208"/>
      <c r="AG723" s="208"/>
      <c r="AH723" s="208"/>
      <c r="AI723" s="914" t="str">
        <f>'BUS Deemed Savings Table'!L817</f>
        <v>per sq. ft.</v>
      </c>
      <c r="AJ723" s="71"/>
      <c r="AX723" s="1355" t="str">
        <f t="shared" si="467"/>
        <v>Demand Controlled Ventillation (Heat Pump)</v>
      </c>
      <c r="AY723" s="1378"/>
      <c r="AZ723" s="1446" t="str">
        <f t="shared" si="468"/>
        <v>805750</v>
      </c>
      <c r="BA723" s="1300" t="s">
        <v>1303</v>
      </c>
      <c r="BB723" s="1300" t="s">
        <v>1303</v>
      </c>
      <c r="BC723" s="1300" t="s">
        <v>1303</v>
      </c>
      <c r="BD723" s="1300" t="s">
        <v>1303</v>
      </c>
      <c r="BE723" s="1305"/>
      <c r="BF723" s="1300" t="s">
        <v>1303</v>
      </c>
      <c r="BG723" s="1300" t="s">
        <v>1303</v>
      </c>
      <c r="BH723" s="1300" t="s">
        <v>1303</v>
      </c>
      <c r="BI723" s="1301" t="s">
        <v>1303</v>
      </c>
      <c r="BJ723" s="1305"/>
      <c r="BK723" s="1300" t="s">
        <v>1303</v>
      </c>
      <c r="BL723" s="1301" t="s">
        <v>1303</v>
      </c>
      <c r="BM723" s="1300" t="s">
        <v>1303</v>
      </c>
      <c r="BN723" s="1301" t="s">
        <v>1303</v>
      </c>
    </row>
    <row r="724" spans="1:66">
      <c r="A724" s="51" t="str">
        <f t="shared" si="476"/>
        <v>805800</v>
      </c>
      <c r="B724" s="1442" t="str">
        <f>'BUS Deemed Savings Table'!C835</f>
        <v>805800_2019_12_</v>
      </c>
      <c r="C724" s="1378" t="str">
        <f>'BUS Deemed Savings Table'!G835</f>
        <v>HVAC BUS</v>
      </c>
      <c r="D724" s="1378"/>
      <c r="E724" s="1378"/>
      <c r="F724" s="1378"/>
      <c r="G724" s="1378" t="str">
        <f>'BUS Deemed Savings Table'!E835</f>
        <v>Advanced RTU Controls</v>
      </c>
      <c r="H724" s="19" t="str">
        <f>'BUS Deemed Savings Table'!D835</f>
        <v>Standard</v>
      </c>
      <c r="I724" s="785">
        <f>'BUS Deemed Savings Table'!F835</f>
        <v>3779.33</v>
      </c>
      <c r="J724" s="785"/>
      <c r="K724" s="202"/>
      <c r="L724" s="202"/>
      <c r="M724" s="202"/>
      <c r="N724" s="202"/>
      <c r="O724" s="786">
        <f>'BUS Deemed Savings Table'!I835</f>
        <v>1.6779580000000001</v>
      </c>
      <c r="P724" s="786"/>
      <c r="Q724" s="787"/>
      <c r="R724" s="787"/>
      <c r="S724" s="787"/>
      <c r="T724" s="787"/>
      <c r="U724" s="788">
        <f t="shared" si="473"/>
        <v>0</v>
      </c>
      <c r="V724" s="788">
        <f t="shared" si="474"/>
        <v>0</v>
      </c>
      <c r="W724" s="788">
        <f t="shared" si="475"/>
        <v>1.6779580000000001</v>
      </c>
      <c r="X724" s="23">
        <f>'BUS Deemed Savings Table'!J835</f>
        <v>15</v>
      </c>
      <c r="Y724" s="23"/>
      <c r="Z724" s="23">
        <f t="shared" si="477"/>
        <v>15</v>
      </c>
      <c r="AA724" s="18">
        <f>'BUS Deemed Savings Table'!DG835</f>
        <v>1.1412362084060232</v>
      </c>
      <c r="AB724" s="259">
        <f>'BUS Deemed Savings Table'!K835</f>
        <v>4038</v>
      </c>
      <c r="AC724" s="790">
        <f t="shared" si="478"/>
        <v>4608.311809543522</v>
      </c>
      <c r="AD724" s="790">
        <f t="shared" si="479"/>
        <v>0</v>
      </c>
      <c r="AE724" s="610">
        <f>'BUS Deemed Savings Table'!DI835</f>
        <v>4608.311809543522</v>
      </c>
      <c r="AF724" s="208"/>
      <c r="AG724" s="208"/>
      <c r="AH724" s="208"/>
      <c r="AI724" s="914" t="str">
        <f>'BUS Deemed Savings Table'!L835</f>
        <v>per measure</v>
      </c>
      <c r="AJ724" s="71"/>
      <c r="AX724" s="1355" t="str">
        <f t="shared" si="467"/>
        <v>Advanced RTU Controls</v>
      </c>
      <c r="AY724" s="1378"/>
      <c r="AZ724" s="1446" t="str">
        <f t="shared" si="468"/>
        <v>805800</v>
      </c>
      <c r="BA724" s="1300" t="s">
        <v>1303</v>
      </c>
      <c r="BB724" s="1300" t="s">
        <v>1303</v>
      </c>
      <c r="BC724" s="1300" t="s">
        <v>1303</v>
      </c>
      <c r="BD724" s="1300" t="s">
        <v>1303</v>
      </c>
      <c r="BE724" s="1305"/>
      <c r="BF724" s="1300" t="s">
        <v>1303</v>
      </c>
      <c r="BG724" s="1300" t="s">
        <v>1303</v>
      </c>
      <c r="BH724" s="1300" t="s">
        <v>1303</v>
      </c>
      <c r="BI724" s="1301" t="s">
        <v>1303</v>
      </c>
      <c r="BJ724" s="1305"/>
      <c r="BK724" s="1300" t="s">
        <v>1303</v>
      </c>
      <c r="BL724" s="1301" t="s">
        <v>1303</v>
      </c>
      <c r="BM724" s="1300" t="s">
        <v>1303</v>
      </c>
      <c r="BN724" s="1301" t="s">
        <v>1303</v>
      </c>
    </row>
    <row r="725" spans="1:66" s="696" customFormat="1">
      <c r="A725" s="2958" t="str">
        <f t="shared" si="476"/>
        <v>805850</v>
      </c>
      <c r="B725" s="2233" t="str">
        <f>'BUS Deemed Savings Table'!C851</f>
        <v>805850_2019_12_</v>
      </c>
      <c r="C725" s="2724" t="str">
        <f>'BUS Deemed Savings Table'!H851</f>
        <v>Cooling BUS</v>
      </c>
      <c r="D725" s="2724"/>
      <c r="E725" s="2724"/>
      <c r="F725" s="2724"/>
      <c r="G725" s="2724" t="str">
        <f>'BUS Deemed Savings Table'!E851</f>
        <v>PTAC</v>
      </c>
      <c r="H725" s="2554" t="str">
        <f>'BUS Deemed Savings Table'!D851</f>
        <v>BSS</v>
      </c>
      <c r="I725" s="3840">
        <f>'BUS Deemed Savings Table'!F851</f>
        <v>411.27</v>
      </c>
      <c r="J725" s="3840">
        <f>'BUS Deemed Savings Table'!G851</f>
        <v>10.53878231859869</v>
      </c>
      <c r="K725" s="3251"/>
      <c r="L725" s="3251"/>
      <c r="M725" s="3251"/>
      <c r="N725" s="3251"/>
      <c r="O725" s="3841">
        <f>'BUS Deemed Savings Table'!J851</f>
        <v>0.37453700000000001</v>
      </c>
      <c r="P725" s="3841">
        <f>'BUS Deemed Savings Table'!K851</f>
        <v>9.5969999999999996E-3</v>
      </c>
      <c r="Q725" s="3842"/>
      <c r="R725" s="3842"/>
      <c r="S725" s="3842"/>
      <c r="T725" s="3842"/>
      <c r="U725" s="3843">
        <f t="shared" si="473"/>
        <v>0</v>
      </c>
      <c r="V725" s="3843">
        <f t="shared" si="474"/>
        <v>0</v>
      </c>
      <c r="W725" s="3843">
        <f t="shared" si="475"/>
        <v>0.37453700000000001</v>
      </c>
      <c r="X725" s="2846">
        <f>'BUS Deemed Savings Table'!L851</f>
        <v>15</v>
      </c>
      <c r="Y725" s="2846"/>
      <c r="Z725" s="2846">
        <f t="shared" si="477"/>
        <v>15</v>
      </c>
      <c r="AA725" s="2529">
        <f>'BUS Deemed Savings Table'!DG851</f>
        <v>0.75965058818827769</v>
      </c>
      <c r="AB725" s="3878">
        <f>'BUS Deemed Savings Table'!M851</f>
        <v>1047</v>
      </c>
      <c r="AC725" s="3968">
        <f t="shared" si="478"/>
        <v>795.35416583312679</v>
      </c>
      <c r="AD725" s="3968">
        <f t="shared" si="479"/>
        <v>0</v>
      </c>
      <c r="AE725" s="3865">
        <f>'BUS Deemed Savings Table'!DI851</f>
        <v>795.35416583312679</v>
      </c>
      <c r="AF725" s="3846"/>
      <c r="AG725" s="3846"/>
      <c r="AH725" s="3846"/>
      <c r="AI725" s="3970" t="str">
        <f>'BUS Deemed Savings Table'!N851</f>
        <v>per ton</v>
      </c>
      <c r="AJ725" s="2724"/>
      <c r="AX725" s="3849" t="str">
        <f t="shared" si="467"/>
        <v>PTAC</v>
      </c>
      <c r="AY725" s="2724"/>
      <c r="AZ725" s="3850" t="str">
        <f t="shared" si="468"/>
        <v>805850</v>
      </c>
      <c r="BA725" s="3866" t="s">
        <v>1303</v>
      </c>
      <c r="BB725" s="3866" t="s">
        <v>1303</v>
      </c>
      <c r="BC725" s="3866" t="s">
        <v>1303</v>
      </c>
      <c r="BD725" s="3866" t="s">
        <v>1303</v>
      </c>
      <c r="BE725" s="3853"/>
      <c r="BF725" s="3866" t="s">
        <v>1303</v>
      </c>
      <c r="BG725" s="3866" t="s">
        <v>1303</v>
      </c>
      <c r="BH725" s="3866" t="s">
        <v>1303</v>
      </c>
      <c r="BI725" s="3867" t="s">
        <v>1303</v>
      </c>
      <c r="BJ725" s="3853"/>
      <c r="BK725" s="3866" t="s">
        <v>1303</v>
      </c>
      <c r="BL725" s="3867" t="s">
        <v>1303</v>
      </c>
      <c r="BM725" s="3866" t="s">
        <v>1303</v>
      </c>
      <c r="BN725" s="3867" t="s">
        <v>1303</v>
      </c>
    </row>
    <row r="726" spans="1:66" s="696" customFormat="1">
      <c r="A726" s="2958" t="str">
        <f t="shared" si="476"/>
        <v>805900</v>
      </c>
      <c r="B726" s="2233" t="str">
        <f>'BUS Deemed Savings Table'!C852</f>
        <v>805900_2019_12_</v>
      </c>
      <c r="C726" s="2724" t="str">
        <f>'BUS Deemed Savings Table'!H852</f>
        <v>Cooling BUS</v>
      </c>
      <c r="D726" s="2724"/>
      <c r="E726" s="2724"/>
      <c r="F726" s="2724"/>
      <c r="G726" s="2724" t="str">
        <f>'BUS Deemed Savings Table'!E852</f>
        <v>PTHP</v>
      </c>
      <c r="H726" s="2554" t="str">
        <f>'BUS Deemed Savings Table'!D852</f>
        <v>BSS</v>
      </c>
      <c r="I726" s="3840">
        <f>'BUS Deemed Savings Table'!F852</f>
        <v>715.42</v>
      </c>
      <c r="J726" s="3840">
        <f>'BUS Deemed Savings Table'!G852</f>
        <v>94.156769449209634</v>
      </c>
      <c r="K726" s="3251"/>
      <c r="L726" s="3251"/>
      <c r="M726" s="3251"/>
      <c r="N726" s="3251"/>
      <c r="O726" s="3841">
        <f>'BUS Deemed Savings Table'!J852</f>
        <v>0.37453599999999998</v>
      </c>
      <c r="P726" s="3841">
        <f>'BUS Deemed Savings Table'!K852</f>
        <v>1.9373000000000001E-2</v>
      </c>
      <c r="Q726" s="3842"/>
      <c r="R726" s="3842"/>
      <c r="S726" s="3842"/>
      <c r="T726" s="3842"/>
      <c r="U726" s="3843">
        <f t="shared" si="473"/>
        <v>0</v>
      </c>
      <c r="V726" s="3843">
        <f t="shared" si="474"/>
        <v>0</v>
      </c>
      <c r="W726" s="3843">
        <f t="shared" si="475"/>
        <v>0.37453599999999998</v>
      </c>
      <c r="X726" s="2846">
        <f>'BUS Deemed Savings Table'!L852</f>
        <v>15</v>
      </c>
      <c r="Y726" s="2846"/>
      <c r="Z726" s="2846">
        <f t="shared" si="477"/>
        <v>15</v>
      </c>
      <c r="AA726" s="2529">
        <f>'BUS Deemed Savings Table'!DG852</f>
        <v>1.3214414467421831</v>
      </c>
      <c r="AB726" s="3878">
        <f>'BUS Deemed Savings Table'!M852</f>
        <v>1047</v>
      </c>
      <c r="AC726" s="3968">
        <f t="shared" si="478"/>
        <v>1383.5491947390658</v>
      </c>
      <c r="AD726" s="3968">
        <f t="shared" si="479"/>
        <v>0</v>
      </c>
      <c r="AE726" s="3865">
        <f>'BUS Deemed Savings Table'!DI852</f>
        <v>1383.5491947390658</v>
      </c>
      <c r="AF726" s="3846"/>
      <c r="AG726" s="3846"/>
      <c r="AH726" s="3846"/>
      <c r="AI726" s="3970" t="str">
        <f>'BUS Deemed Savings Table'!N852</f>
        <v>per ton</v>
      </c>
      <c r="AJ726" s="2724"/>
      <c r="AX726" s="3849" t="str">
        <f t="shared" si="467"/>
        <v>PTHP</v>
      </c>
      <c r="AY726" s="2724"/>
      <c r="AZ726" s="3850" t="str">
        <f t="shared" si="468"/>
        <v>805900</v>
      </c>
      <c r="BA726" s="3866" t="s">
        <v>1303</v>
      </c>
      <c r="BB726" s="3866" t="s">
        <v>1303</v>
      </c>
      <c r="BC726" s="3866" t="s">
        <v>1303</v>
      </c>
      <c r="BD726" s="3866" t="s">
        <v>1303</v>
      </c>
      <c r="BE726" s="3853"/>
      <c r="BF726" s="3866" t="s">
        <v>1303</v>
      </c>
      <c r="BG726" s="3866" t="s">
        <v>1303</v>
      </c>
      <c r="BH726" s="3866" t="s">
        <v>1303</v>
      </c>
      <c r="BI726" s="3867" t="s">
        <v>1303</v>
      </c>
      <c r="BJ726" s="3853"/>
      <c r="BK726" s="3866" t="s">
        <v>1303</v>
      </c>
      <c r="BL726" s="3867" t="s">
        <v>1303</v>
      </c>
      <c r="BM726" s="3866" t="s">
        <v>1303</v>
      </c>
      <c r="BN726" s="3867" t="s">
        <v>1303</v>
      </c>
    </row>
    <row r="727" spans="1:66" s="696" customFormat="1">
      <c r="A727" s="2958" t="str">
        <f t="shared" si="476"/>
        <v>805950</v>
      </c>
      <c r="B727" s="2233" t="str">
        <f>'BUS Deemed Savings Table'!C869</f>
        <v>805950_2024_12_</v>
      </c>
      <c r="C727" s="2724" t="str">
        <f>'BUS Deemed Savings Table'!G869</f>
        <v>Refrigeration BUS</v>
      </c>
      <c r="D727" s="2724"/>
      <c r="E727" s="2724"/>
      <c r="F727" s="2724"/>
      <c r="G727" s="2724" t="str">
        <f>'BUS Deemed Savings Table'!E869</f>
        <v>Refrigerated Beverage Vending Machine (Class A)</v>
      </c>
      <c r="H727" s="2554" t="str">
        <f>'BUS Deemed Savings Table'!D869</f>
        <v>BSS</v>
      </c>
      <c r="I727" s="3840">
        <f>'BUS Deemed Savings Table'!F869</f>
        <v>0.13</v>
      </c>
      <c r="J727" s="3840"/>
      <c r="K727" s="3251"/>
      <c r="L727" s="3251"/>
      <c r="M727" s="3251"/>
      <c r="N727" s="3251"/>
      <c r="O727" s="3841">
        <f>'BUS Deemed Savings Table'!I869</f>
        <v>1.8E-5</v>
      </c>
      <c r="P727" s="3841"/>
      <c r="Q727" s="3842"/>
      <c r="R727" s="3842"/>
      <c r="S727" s="3842"/>
      <c r="T727" s="3842"/>
      <c r="U727" s="3843">
        <f t="shared" si="473"/>
        <v>0</v>
      </c>
      <c r="V727" s="3843">
        <f t="shared" si="474"/>
        <v>1.8E-5</v>
      </c>
      <c r="W727" s="3843">
        <f t="shared" si="475"/>
        <v>0</v>
      </c>
      <c r="X727" s="2846">
        <f>'BUS Deemed Savings Table'!J869</f>
        <v>12</v>
      </c>
      <c r="Y727" s="2846"/>
      <c r="Z727" s="2846">
        <f t="shared" si="477"/>
        <v>12</v>
      </c>
      <c r="AA727" s="2529">
        <f>'BUS Deemed Savings Table'!DG869</f>
        <v>6.3020634021562977E-4</v>
      </c>
      <c r="AB727" s="3878">
        <f>'BUS Deemed Savings Table'!K869</f>
        <v>125</v>
      </c>
      <c r="AC727" s="3968">
        <f t="shared" si="478"/>
        <v>7.8775792526953728E-2</v>
      </c>
      <c r="AD727" s="3968">
        <f t="shared" si="479"/>
        <v>0</v>
      </c>
      <c r="AE727" s="3865">
        <f>'BUS Deemed Savings Table'!DI869</f>
        <v>7.8775792526953728E-2</v>
      </c>
      <c r="AF727" s="3846"/>
      <c r="AG727" s="3846"/>
      <c r="AH727" s="3846"/>
      <c r="AI727" s="3969" t="str">
        <f>'BUS Deemed Savings Table'!L869</f>
        <v>per measure</v>
      </c>
      <c r="AJ727" s="2724"/>
      <c r="AX727" s="3849" t="str">
        <f t="shared" si="467"/>
        <v>Refrigerated Beverage Vending Machine (Class A)</v>
      </c>
      <c r="AY727" s="2724"/>
      <c r="AZ727" s="3850" t="str">
        <f t="shared" si="468"/>
        <v>805950</v>
      </c>
      <c r="BA727" s="3866" t="s">
        <v>1303</v>
      </c>
      <c r="BB727" s="3866" t="s">
        <v>1303</v>
      </c>
      <c r="BC727" s="3866" t="s">
        <v>1303</v>
      </c>
      <c r="BD727" s="3866" t="s">
        <v>1303</v>
      </c>
      <c r="BE727" s="3853"/>
      <c r="BF727" s="3866" t="s">
        <v>1303</v>
      </c>
      <c r="BG727" s="3866" t="s">
        <v>1303</v>
      </c>
      <c r="BH727" s="3866" t="s">
        <v>1303</v>
      </c>
      <c r="BI727" s="3867" t="s">
        <v>1303</v>
      </c>
      <c r="BJ727" s="3853"/>
      <c r="BK727" s="3866" t="s">
        <v>1303</v>
      </c>
      <c r="BL727" s="3867" t="s">
        <v>1303</v>
      </c>
      <c r="BM727" s="3866" t="s">
        <v>1303</v>
      </c>
      <c r="BN727" s="3867" t="s">
        <v>1303</v>
      </c>
    </row>
    <row r="728" spans="1:66" s="696" customFormat="1">
      <c r="A728" s="2958" t="str">
        <f t="shared" si="476"/>
        <v>806000</v>
      </c>
      <c r="B728" s="2233" t="str">
        <f>'BUS Deemed Savings Table'!C870</f>
        <v>806000_2024_12_</v>
      </c>
      <c r="C728" s="2724" t="str">
        <f>'BUS Deemed Savings Table'!G870</f>
        <v>Refrigeration BUS</v>
      </c>
      <c r="D728" s="2724"/>
      <c r="E728" s="2724"/>
      <c r="F728" s="2724"/>
      <c r="G728" s="2724" t="str">
        <f>'BUS Deemed Savings Table'!E870</f>
        <v>Refrigerated Beverage Vending Machine (Class B)</v>
      </c>
      <c r="H728" s="2554" t="str">
        <f>'BUS Deemed Savings Table'!D870</f>
        <v>BSS</v>
      </c>
      <c r="I728" s="3840">
        <f>'BUS Deemed Savings Table'!F870</f>
        <v>0.32</v>
      </c>
      <c r="J728" s="3840"/>
      <c r="K728" s="3251"/>
      <c r="L728" s="3251"/>
      <c r="M728" s="3251"/>
      <c r="N728" s="3251"/>
      <c r="O728" s="3841">
        <f>'BUS Deemed Savings Table'!I870</f>
        <v>4.3000000000000002E-5</v>
      </c>
      <c r="P728" s="3841"/>
      <c r="Q728" s="3842"/>
      <c r="R728" s="3842"/>
      <c r="S728" s="3842"/>
      <c r="T728" s="3842"/>
      <c r="U728" s="3843">
        <f t="shared" si="473"/>
        <v>0</v>
      </c>
      <c r="V728" s="3843">
        <f t="shared" si="474"/>
        <v>4.3000000000000002E-5</v>
      </c>
      <c r="W728" s="3843">
        <f t="shared" si="475"/>
        <v>0</v>
      </c>
      <c r="X728" s="2846">
        <f>'BUS Deemed Savings Table'!J870</f>
        <v>12</v>
      </c>
      <c r="Y728" s="2846"/>
      <c r="Z728" s="2846">
        <f t="shared" si="477"/>
        <v>12</v>
      </c>
      <c r="AA728" s="2529">
        <f>'BUS Deemed Savings Table'!DG870</f>
        <v>1.5512771451461657E-3</v>
      </c>
      <c r="AB728" s="3878">
        <f>'BUS Deemed Savings Table'!K870</f>
        <v>125</v>
      </c>
      <c r="AC728" s="3968">
        <f t="shared" si="478"/>
        <v>0.19390964314327072</v>
      </c>
      <c r="AD728" s="3968">
        <f t="shared" si="479"/>
        <v>0</v>
      </c>
      <c r="AE728" s="3865">
        <f>'BUS Deemed Savings Table'!DI870</f>
        <v>0.19390964314327072</v>
      </c>
      <c r="AF728" s="3846"/>
      <c r="AG728" s="3846"/>
      <c r="AH728" s="3846"/>
      <c r="AI728" s="3969" t="str">
        <f>'BUS Deemed Savings Table'!L870</f>
        <v>per measure</v>
      </c>
      <c r="AJ728" s="2724"/>
      <c r="AX728" s="3849" t="str">
        <f t="shared" si="467"/>
        <v>Refrigerated Beverage Vending Machine (Class B)</v>
      </c>
      <c r="AY728" s="2724"/>
      <c r="AZ728" s="3850" t="str">
        <f t="shared" si="468"/>
        <v>806000</v>
      </c>
      <c r="BA728" s="3866" t="s">
        <v>1303</v>
      </c>
      <c r="BB728" s="3866" t="s">
        <v>1303</v>
      </c>
      <c r="BC728" s="3866" t="s">
        <v>1303</v>
      </c>
      <c r="BD728" s="3866" t="s">
        <v>1303</v>
      </c>
      <c r="BE728" s="3853"/>
      <c r="BF728" s="3866" t="s">
        <v>1303</v>
      </c>
      <c r="BG728" s="3866" t="s">
        <v>1303</v>
      </c>
      <c r="BH728" s="3866" t="s">
        <v>1303</v>
      </c>
      <c r="BI728" s="3867" t="s">
        <v>1303</v>
      </c>
      <c r="BJ728" s="3853"/>
      <c r="BK728" s="3866" t="s">
        <v>1303</v>
      </c>
      <c r="BL728" s="3867" t="s">
        <v>1303</v>
      </c>
      <c r="BM728" s="3866" t="s">
        <v>1303</v>
      </c>
      <c r="BN728" s="3867" t="s">
        <v>1303</v>
      </c>
    </row>
    <row r="729" spans="1:66" s="696" customFormat="1">
      <c r="A729" s="2958" t="str">
        <f t="shared" si="476"/>
        <v>806050</v>
      </c>
      <c r="B729" s="2233" t="str">
        <f>'BUS Deemed Savings Table'!C887</f>
        <v>806050_2024_12_</v>
      </c>
      <c r="C729" s="2724" t="str">
        <f>'BUS Deemed Savings Table'!G887</f>
        <v>Miscellaneous BUS</v>
      </c>
      <c r="D729" s="2724"/>
      <c r="E729" s="2724"/>
      <c r="F729" s="2724"/>
      <c r="G729" s="2724" t="str">
        <f>'BUS Deemed Savings Table'!E887</f>
        <v>ECM for Walk-in &amp; Reach-in Coolers</v>
      </c>
      <c r="H729" s="2554" t="str">
        <f>'BUS Deemed Savings Table'!D887</f>
        <v>BSS</v>
      </c>
      <c r="I729" s="3840">
        <f>'BUS Deemed Savings Table'!F887</f>
        <v>1409</v>
      </c>
      <c r="J729" s="3840"/>
      <c r="K729" s="3251"/>
      <c r="L729" s="3251"/>
      <c r="M729" s="3251"/>
      <c r="N729" s="3251"/>
      <c r="O729" s="3841">
        <f>'BUS Deemed Savings Table'!I887</f>
        <v>0.19436300000000001</v>
      </c>
      <c r="P729" s="3841"/>
      <c r="Q729" s="3842"/>
      <c r="R729" s="3842"/>
      <c r="S729" s="3842"/>
      <c r="T729" s="3842"/>
      <c r="U729" s="3843">
        <f t="shared" si="473"/>
        <v>0</v>
      </c>
      <c r="V729" s="3843">
        <f t="shared" si="474"/>
        <v>0</v>
      </c>
      <c r="W729" s="3843">
        <f t="shared" si="475"/>
        <v>0.19436300000000001</v>
      </c>
      <c r="X729" s="2846">
        <f>'BUS Deemed Savings Table'!J887</f>
        <v>15</v>
      </c>
      <c r="Y729" s="2846"/>
      <c r="Z729" s="2846">
        <f t="shared" si="477"/>
        <v>15</v>
      </c>
      <c r="AA729" s="2529">
        <f>'BUS Deemed Savings Table'!DG887</f>
        <v>2.8065982105707206</v>
      </c>
      <c r="AB729" s="3878">
        <f>'BUS Deemed Savings Table'!K887</f>
        <v>358</v>
      </c>
      <c r="AC729" s="3968">
        <f t="shared" si="478"/>
        <v>1004.762159384318</v>
      </c>
      <c r="AD729" s="3968">
        <f t="shared" si="479"/>
        <v>0</v>
      </c>
      <c r="AE729" s="3865">
        <f>'BUS Deemed Savings Table'!DI887</f>
        <v>1004.762159384318</v>
      </c>
      <c r="AF729" s="3846"/>
      <c r="AG729" s="3846"/>
      <c r="AH729" s="3846"/>
      <c r="AI729" s="3969" t="str">
        <f>'BUS Deemed Savings Table'!L887</f>
        <v>per motor</v>
      </c>
      <c r="AJ729" s="2724"/>
      <c r="AX729" s="3849" t="str">
        <f t="shared" si="467"/>
        <v>ECM for Walk-in &amp; Reach-in Coolers</v>
      </c>
      <c r="AY729" s="2724"/>
      <c r="AZ729" s="3850" t="str">
        <f t="shared" si="468"/>
        <v>806050</v>
      </c>
      <c r="BA729" s="3866" t="s">
        <v>1303</v>
      </c>
      <c r="BB729" s="3866" t="s">
        <v>1303</v>
      </c>
      <c r="BC729" s="3866" t="s">
        <v>1303</v>
      </c>
      <c r="BD729" s="3866" t="s">
        <v>1303</v>
      </c>
      <c r="BE729" s="3853"/>
      <c r="BF729" s="3866" t="s">
        <v>1303</v>
      </c>
      <c r="BG729" s="3866" t="s">
        <v>1303</v>
      </c>
      <c r="BH729" s="3866" t="s">
        <v>1303</v>
      </c>
      <c r="BI729" s="3867" t="s">
        <v>1303</v>
      </c>
      <c r="BJ729" s="3853"/>
      <c r="BK729" s="3866" t="s">
        <v>1303</v>
      </c>
      <c r="BL729" s="3867" t="s">
        <v>1303</v>
      </c>
      <c r="BM729" s="3866" t="s">
        <v>1303</v>
      </c>
      <c r="BN729" s="3867" t="s">
        <v>1303</v>
      </c>
    </row>
    <row r="730" spans="1:66" s="696" customFormat="1">
      <c r="A730" s="2958" t="str">
        <f t="shared" ref="A730" si="486">LEFT(B730,6)</f>
        <v>806055</v>
      </c>
      <c r="B730" s="2233" t="str">
        <f>'BUS Deemed Savings Table'!C888</f>
        <v>806055_2024_12_</v>
      </c>
      <c r="C730" s="2724" t="str">
        <f>'BUS Deemed Savings Table'!G888</f>
        <v>Miscellaneous BUS</v>
      </c>
      <c r="D730" s="2724"/>
      <c r="E730" s="2724"/>
      <c r="F730" s="2724"/>
      <c r="G730" s="2724" t="str">
        <f>'BUS Deemed Savings Table'!E888</f>
        <v>ECM for Walk-in &amp; Reach-in Freezers</v>
      </c>
      <c r="H730" s="2554" t="str">
        <f>'BUS Deemed Savings Table'!D888</f>
        <v>BSS</v>
      </c>
      <c r="I730" s="3840">
        <f>'BUS Deemed Savings Table'!F888</f>
        <v>1409</v>
      </c>
      <c r="J730" s="3840"/>
      <c r="K730" s="3251"/>
      <c r="L730" s="3251"/>
      <c r="M730" s="3251"/>
      <c r="N730" s="3251"/>
      <c r="O730" s="3841">
        <f>'BUS Deemed Savings Table'!I888</f>
        <v>0.19436300000000001</v>
      </c>
      <c r="P730" s="3841"/>
      <c r="Q730" s="3842"/>
      <c r="R730" s="3842"/>
      <c r="S730" s="3842"/>
      <c r="T730" s="3842"/>
      <c r="U730" s="3843">
        <f t="shared" ref="U730" si="487">IFERROR(IF(V730+W730&gt;0,0,IF(Z730&gt;0,O730,0)),0)</f>
        <v>0</v>
      </c>
      <c r="V730" s="3843">
        <f t="shared" ref="V730" si="488">IF(W730&gt;0,0,IF(Z730&gt;9,O730,0))</f>
        <v>0</v>
      </c>
      <c r="W730" s="3843">
        <f t="shared" ref="W730" si="489">IF(Z730&gt;14,O730,0)</f>
        <v>0.19436300000000001</v>
      </c>
      <c r="X730" s="2846">
        <f>'BUS Deemed Savings Table'!J888</f>
        <v>15</v>
      </c>
      <c r="Y730" s="2846"/>
      <c r="Z730" s="2846">
        <f t="shared" ref="Z730" si="490">Y730+X730</f>
        <v>15</v>
      </c>
      <c r="AA730" s="2529">
        <f>'BUS Deemed Savings Table'!DG888</f>
        <v>4.8305873047322985</v>
      </c>
      <c r="AB730" s="3878">
        <f>'BUS Deemed Savings Table'!K888</f>
        <v>208</v>
      </c>
      <c r="AC730" s="3968">
        <f t="shared" ref="AC730" si="491">AE730+AF730</f>
        <v>1004.762159384318</v>
      </c>
      <c r="AD730" s="3968">
        <f t="shared" ref="AD730" si="492">AG730+AH730</f>
        <v>0</v>
      </c>
      <c r="AE730" s="3865">
        <f>'BUS Deemed Savings Table'!DI888</f>
        <v>1004.762159384318</v>
      </c>
      <c r="AF730" s="3846"/>
      <c r="AG730" s="3846"/>
      <c r="AH730" s="3846"/>
      <c r="AI730" s="3969" t="str">
        <f>'BUS Deemed Savings Table'!L888</f>
        <v>per motor</v>
      </c>
      <c r="AJ730" s="2724"/>
      <c r="AX730" s="3849" t="str">
        <f t="shared" ref="AX730" si="493">G730</f>
        <v>ECM for Walk-in &amp; Reach-in Freezers</v>
      </c>
      <c r="AY730" s="2724"/>
      <c r="AZ730" s="3850" t="str">
        <f t="shared" ref="AZ730" si="494">A730</f>
        <v>806055</v>
      </c>
      <c r="BA730" s="3866" t="s">
        <v>1303</v>
      </c>
      <c r="BB730" s="3866" t="s">
        <v>1303</v>
      </c>
      <c r="BC730" s="3866" t="s">
        <v>1303</v>
      </c>
      <c r="BD730" s="3866" t="s">
        <v>1303</v>
      </c>
      <c r="BE730" s="3853"/>
      <c r="BF730" s="3866" t="s">
        <v>1303</v>
      </c>
      <c r="BG730" s="3866" t="s">
        <v>1303</v>
      </c>
      <c r="BH730" s="3866" t="s">
        <v>1303</v>
      </c>
      <c r="BI730" s="3867" t="s">
        <v>1303</v>
      </c>
      <c r="BJ730" s="3853"/>
      <c r="BK730" s="3866" t="s">
        <v>1303</v>
      </c>
      <c r="BL730" s="3867" t="s">
        <v>1303</v>
      </c>
      <c r="BM730" s="3866" t="s">
        <v>1303</v>
      </c>
      <c r="BN730" s="3867" t="s">
        <v>1303</v>
      </c>
    </row>
    <row r="731" spans="1:66">
      <c r="A731" s="51" t="str">
        <f t="shared" ref="A731" si="495">LEFT(B731,6)</f>
        <v>806090</v>
      </c>
      <c r="B731" s="1442" t="str">
        <f>'BUS Deemed Savings Table'!C904</f>
        <v>806090_2024_12_</v>
      </c>
      <c r="C731" s="1378" t="str">
        <f>'BUS Deemed Savings Table'!G904</f>
        <v>HVAC BUS</v>
      </c>
      <c r="D731" s="1378"/>
      <c r="E731" s="1378"/>
      <c r="F731" s="1378"/>
      <c r="G731" s="1378" t="str">
        <f>'BUS Deemed Savings Table'!E904</f>
        <v>High Volume Low Speed Fan, 16</v>
      </c>
      <c r="H731" s="19" t="str">
        <f>'BUS Deemed Savings Table'!D904</f>
        <v>Standard</v>
      </c>
      <c r="I731" s="785">
        <f>'BUS Deemed Savings Table'!F904</f>
        <v>3218</v>
      </c>
      <c r="J731" s="785"/>
      <c r="K731" s="202"/>
      <c r="L731" s="202"/>
      <c r="M731" s="202"/>
      <c r="N731" s="202"/>
      <c r="O731" s="786">
        <f>'BUS Deemed Savings Table'!I904</f>
        <v>1.428737294</v>
      </c>
      <c r="P731" s="786"/>
      <c r="Q731" s="787"/>
      <c r="R731" s="787"/>
      <c r="S731" s="787"/>
      <c r="T731" s="787"/>
      <c r="U731" s="788">
        <f t="shared" si="473"/>
        <v>0</v>
      </c>
      <c r="V731" s="788">
        <f t="shared" si="474"/>
        <v>1.428737294</v>
      </c>
      <c r="W731" s="788">
        <f t="shared" si="475"/>
        <v>0</v>
      </c>
      <c r="X731" s="23">
        <f>'BUS Deemed Savings Table'!J904</f>
        <v>10</v>
      </c>
      <c r="Y731" s="23"/>
      <c r="Z731" s="23">
        <f t="shared" ref="Z731" si="496">Y731+X731</f>
        <v>10</v>
      </c>
      <c r="AA731" s="18">
        <f>'BUS Deemed Savings Table'!DG904</f>
        <v>0.71821819439734769</v>
      </c>
      <c r="AB731" s="259">
        <f>'BUS Deemed Savings Table'!K904</f>
        <v>4072</v>
      </c>
      <c r="AC731" s="790">
        <f t="shared" ref="AC731" si="497">AE731+AF731</f>
        <v>2924.5844875859998</v>
      </c>
      <c r="AD731" s="790">
        <f t="shared" ref="AD731" si="498">AG731+AH731</f>
        <v>0</v>
      </c>
      <c r="AE731" s="610">
        <f>'BUS Deemed Savings Table'!DI904</f>
        <v>2924.5844875859998</v>
      </c>
      <c r="AF731" s="208"/>
      <c r="AG731" s="208"/>
      <c r="AH731" s="208"/>
      <c r="AI731" s="914" t="str">
        <f>'BUS Deemed Savings Table'!L904</f>
        <v>per measure</v>
      </c>
      <c r="AJ731" s="71"/>
      <c r="AX731" s="1355" t="str">
        <f t="shared" ref="AX731" si="499">G731</f>
        <v>High Volume Low Speed Fan, 16</v>
      </c>
      <c r="AY731" s="1378"/>
      <c r="AZ731" s="1446" t="str">
        <f t="shared" ref="AZ731" si="500">A731</f>
        <v>806090</v>
      </c>
      <c r="BA731" s="1300" t="s">
        <v>1303</v>
      </c>
      <c r="BB731" s="1300" t="s">
        <v>1303</v>
      </c>
      <c r="BC731" s="1300" t="s">
        <v>1303</v>
      </c>
      <c r="BD731" s="1300" t="s">
        <v>1303</v>
      </c>
      <c r="BE731" s="1305"/>
      <c r="BF731" s="1300" t="s">
        <v>1303</v>
      </c>
      <c r="BG731" s="1300" t="s">
        <v>1303</v>
      </c>
      <c r="BH731" s="1300" t="s">
        <v>1303</v>
      </c>
      <c r="BI731" s="1301" t="s">
        <v>1303</v>
      </c>
      <c r="BJ731" s="1305"/>
      <c r="BK731" s="1300" t="s">
        <v>1303</v>
      </c>
      <c r="BL731" s="1301" t="s">
        <v>1303</v>
      </c>
      <c r="BM731" s="1300" t="s">
        <v>1303</v>
      </c>
      <c r="BN731" s="1301" t="s">
        <v>1303</v>
      </c>
    </row>
    <row r="732" spans="1:66">
      <c r="A732" s="51" t="str">
        <f t="shared" ref="A732" si="501">LEFT(B732,6)</f>
        <v>806095</v>
      </c>
      <c r="B732" s="1442" t="str">
        <f>'BUS Deemed Savings Table'!C905</f>
        <v>806095_2024_12_</v>
      </c>
      <c r="C732" s="1378" t="str">
        <f>'BUS Deemed Savings Table'!G905</f>
        <v>HVAC BUS</v>
      </c>
      <c r="D732" s="1378"/>
      <c r="E732" s="1378"/>
      <c r="F732" s="1378"/>
      <c r="G732" s="1378" t="str">
        <f>'BUS Deemed Savings Table'!E905</f>
        <v>High Volume Low Speed Fan, 18</v>
      </c>
      <c r="H732" s="19" t="str">
        <f>'BUS Deemed Savings Table'!D905</f>
        <v>Standard</v>
      </c>
      <c r="I732" s="785">
        <f>'BUS Deemed Savings Table'!F905</f>
        <v>4938</v>
      </c>
      <c r="J732" s="785"/>
      <c r="K732" s="202"/>
      <c r="L732" s="202"/>
      <c r="M732" s="202"/>
      <c r="N732" s="202"/>
      <c r="O732" s="786">
        <f>'BUS Deemed Savings Table'!I905</f>
        <v>2.1923880540000003</v>
      </c>
      <c r="P732" s="786"/>
      <c r="Q732" s="787"/>
      <c r="R732" s="787"/>
      <c r="S732" s="787"/>
      <c r="T732" s="787"/>
      <c r="U732" s="788">
        <f t="shared" si="473"/>
        <v>0</v>
      </c>
      <c r="V732" s="788">
        <f t="shared" si="474"/>
        <v>2.1923880540000003</v>
      </c>
      <c r="W732" s="788">
        <f t="shared" si="475"/>
        <v>0</v>
      </c>
      <c r="X732" s="23">
        <f>'BUS Deemed Savings Table'!J905</f>
        <v>10</v>
      </c>
      <c r="Y732" s="23"/>
      <c r="Z732" s="23">
        <f t="shared" ref="Z732" si="502">Y732+X732</f>
        <v>10</v>
      </c>
      <c r="AA732" s="18">
        <f>'BUS Deemed Savings Table'!DG905</f>
        <v>1.0919113895302781</v>
      </c>
      <c r="AB732" s="259">
        <f>'BUS Deemed Savings Table'!K905</f>
        <v>4110</v>
      </c>
      <c r="AC732" s="790">
        <f t="shared" ref="AC732" si="503">AE732+AF732</f>
        <v>4487.7558109694428</v>
      </c>
      <c r="AD732" s="790">
        <f t="shared" ref="AD732" si="504">AG732+AH732</f>
        <v>0</v>
      </c>
      <c r="AE732" s="610">
        <f>'BUS Deemed Savings Table'!DI905</f>
        <v>4487.7558109694428</v>
      </c>
      <c r="AF732" s="208"/>
      <c r="AG732" s="208"/>
      <c r="AH732" s="208"/>
      <c r="AI732" s="914" t="str">
        <f>'BUS Deemed Savings Table'!L905</f>
        <v>per measure</v>
      </c>
      <c r="AJ732" s="71"/>
      <c r="AX732" s="1355" t="str">
        <f t="shared" ref="AX732" si="505">G732</f>
        <v>High Volume Low Speed Fan, 18</v>
      </c>
      <c r="AY732" s="1378"/>
      <c r="AZ732" s="1446" t="str">
        <f t="shared" ref="AZ732" si="506">A732</f>
        <v>806095</v>
      </c>
      <c r="BA732" s="1300" t="s">
        <v>1303</v>
      </c>
      <c r="BB732" s="1300" t="s">
        <v>1303</v>
      </c>
      <c r="BC732" s="1300" t="s">
        <v>1303</v>
      </c>
      <c r="BD732" s="1300" t="s">
        <v>1303</v>
      </c>
      <c r="BE732" s="1305"/>
      <c r="BF732" s="1300" t="s">
        <v>1303</v>
      </c>
      <c r="BG732" s="1300" t="s">
        <v>1303</v>
      </c>
      <c r="BH732" s="1300" t="s">
        <v>1303</v>
      </c>
      <c r="BI732" s="1301" t="s">
        <v>1303</v>
      </c>
      <c r="BJ732" s="1305"/>
      <c r="BK732" s="1300" t="s">
        <v>1303</v>
      </c>
      <c r="BL732" s="1301" t="s">
        <v>1303</v>
      </c>
      <c r="BM732" s="1300" t="s">
        <v>1303</v>
      </c>
      <c r="BN732" s="1301" t="s">
        <v>1303</v>
      </c>
    </row>
    <row r="733" spans="1:66">
      <c r="A733" s="51" t="str">
        <f t="shared" si="476"/>
        <v>806100</v>
      </c>
      <c r="B733" s="1442" t="str">
        <f>'BUS Deemed Savings Table'!C906</f>
        <v>806100_2020_07_</v>
      </c>
      <c r="C733" s="1378" t="str">
        <f>'BUS Deemed Savings Table'!G906</f>
        <v>HVAC BUS</v>
      </c>
      <c r="D733" s="1378"/>
      <c r="E733" s="1378"/>
      <c r="F733" s="1378"/>
      <c r="G733" s="1378" t="str">
        <f>'BUS Deemed Savings Table'!E906</f>
        <v>High Volume Low Speed Fan, 20</v>
      </c>
      <c r="H733" s="19" t="str">
        <f>'BUS Deemed Savings Table'!D906</f>
        <v>Standard</v>
      </c>
      <c r="I733" s="785">
        <f>'BUS Deemed Savings Table'!F906</f>
        <v>6577</v>
      </c>
      <c r="J733" s="785"/>
      <c r="K733" s="202"/>
      <c r="L733" s="202"/>
      <c r="M733" s="202"/>
      <c r="N733" s="202"/>
      <c r="O733" s="786">
        <f>'BUS Deemed Savings Table'!I906</f>
        <v>2.9200761910000002</v>
      </c>
      <c r="P733" s="786"/>
      <c r="Q733" s="787"/>
      <c r="R733" s="787"/>
      <c r="S733" s="787"/>
      <c r="T733" s="787"/>
      <c r="U733" s="788">
        <f t="shared" si="473"/>
        <v>0</v>
      </c>
      <c r="V733" s="788">
        <f t="shared" si="474"/>
        <v>2.9200761910000002</v>
      </c>
      <c r="W733" s="788">
        <f t="shared" si="475"/>
        <v>0</v>
      </c>
      <c r="X733" s="23">
        <f>'BUS Deemed Savings Table'!J906</f>
        <v>10</v>
      </c>
      <c r="Y733" s="23"/>
      <c r="Z733" s="23">
        <f t="shared" si="477"/>
        <v>10</v>
      </c>
      <c r="AA733" s="18">
        <f>'BUS Deemed Savings Table'!DG906</f>
        <v>1.4403163062332454</v>
      </c>
      <c r="AB733" s="259">
        <f>'BUS Deemed Savings Table'!K906</f>
        <v>4150</v>
      </c>
      <c r="AC733" s="790">
        <f t="shared" si="478"/>
        <v>5977.3126708679683</v>
      </c>
      <c r="AD733" s="790">
        <f t="shared" si="479"/>
        <v>0</v>
      </c>
      <c r="AE733" s="610">
        <f>'BUS Deemed Savings Table'!DI906</f>
        <v>5977.3126708679683</v>
      </c>
      <c r="AF733" s="208"/>
      <c r="AG733" s="208"/>
      <c r="AH733" s="208"/>
      <c r="AI733" s="914" t="str">
        <f>'BUS Deemed Savings Table'!L906</f>
        <v>per measure</v>
      </c>
      <c r="AJ733" s="71"/>
      <c r="AX733" s="1355" t="str">
        <f t="shared" si="467"/>
        <v>High Volume Low Speed Fan, 20</v>
      </c>
      <c r="AY733" s="1378"/>
      <c r="AZ733" s="1446" t="str">
        <f t="shared" si="468"/>
        <v>806100</v>
      </c>
      <c r="BA733" s="1300" t="s">
        <v>1303</v>
      </c>
      <c r="BB733" s="1300" t="s">
        <v>1303</v>
      </c>
      <c r="BC733" s="1300" t="s">
        <v>1303</v>
      </c>
      <c r="BD733" s="1300" t="s">
        <v>1303</v>
      </c>
      <c r="BE733" s="1305"/>
      <c r="BF733" s="1300" t="s">
        <v>1303</v>
      </c>
      <c r="BG733" s="1300" t="s">
        <v>1303</v>
      </c>
      <c r="BH733" s="1300" t="s">
        <v>1303</v>
      </c>
      <c r="BI733" s="1301" t="s">
        <v>1303</v>
      </c>
      <c r="BJ733" s="1305"/>
      <c r="BK733" s="1300" t="s">
        <v>1303</v>
      </c>
      <c r="BL733" s="1301" t="s">
        <v>1303</v>
      </c>
      <c r="BM733" s="1300" t="s">
        <v>1303</v>
      </c>
      <c r="BN733" s="1301" t="s">
        <v>1303</v>
      </c>
    </row>
    <row r="734" spans="1:66">
      <c r="A734" s="51" t="str">
        <f t="shared" si="476"/>
        <v>806110</v>
      </c>
      <c r="B734" s="1442" t="str">
        <f>'BUS Deemed Savings Table'!C907</f>
        <v>806110_2020_07_</v>
      </c>
      <c r="C734" s="1378" t="str">
        <f>'BUS Deemed Savings Table'!G907</f>
        <v>HVAC BUS</v>
      </c>
      <c r="D734" s="1378"/>
      <c r="E734" s="1378"/>
      <c r="F734" s="1378"/>
      <c r="G734" s="1378" t="str">
        <f>'BUS Deemed Savings Table'!E907</f>
        <v>High Volume Low Speed Fan, 22</v>
      </c>
      <c r="H734" s="19" t="str">
        <f>'BUS Deemed Savings Table'!D907</f>
        <v>Standard</v>
      </c>
      <c r="I734" s="785">
        <f>'BUS Deemed Savings Table'!F907</f>
        <v>8543</v>
      </c>
      <c r="J734" s="785"/>
      <c r="K734" s="202"/>
      <c r="L734" s="202"/>
      <c r="M734" s="202"/>
      <c r="N734" s="202"/>
      <c r="O734" s="786">
        <f>'BUS Deemed Savings Table'!I907</f>
        <v>3.7929467690000003</v>
      </c>
      <c r="P734" s="786"/>
      <c r="Q734" s="787"/>
      <c r="R734" s="787"/>
      <c r="S734" s="787"/>
      <c r="T734" s="787"/>
      <c r="U734" s="788">
        <f t="shared" si="473"/>
        <v>0</v>
      </c>
      <c r="V734" s="788">
        <f t="shared" si="474"/>
        <v>3.7929467690000003</v>
      </c>
      <c r="W734" s="788">
        <f t="shared" si="475"/>
        <v>0</v>
      </c>
      <c r="X734" s="23">
        <f>'BUS Deemed Savings Table'!J907</f>
        <v>10</v>
      </c>
      <c r="Y734" s="23"/>
      <c r="Z734" s="23">
        <f t="shared" si="477"/>
        <v>10</v>
      </c>
      <c r="AA734" s="18">
        <f>'BUS Deemed Savings Table'!DG907</f>
        <v>1.8574291498365354</v>
      </c>
      <c r="AB734" s="259">
        <f>'BUS Deemed Savings Table'!K907</f>
        <v>4180</v>
      </c>
      <c r="AC734" s="790">
        <f t="shared" si="478"/>
        <v>7764.0538463167177</v>
      </c>
      <c r="AD734" s="790">
        <f t="shared" si="479"/>
        <v>0</v>
      </c>
      <c r="AE734" s="610">
        <f>'BUS Deemed Savings Table'!DI907</f>
        <v>7764.0538463167177</v>
      </c>
      <c r="AF734" s="208"/>
      <c r="AG734" s="208"/>
      <c r="AH734" s="208"/>
      <c r="AI734" s="914" t="str">
        <f>'BUS Deemed Savings Table'!L907</f>
        <v>per measure</v>
      </c>
      <c r="AJ734" s="71"/>
      <c r="AX734" s="1355" t="str">
        <f t="shared" si="467"/>
        <v>High Volume Low Speed Fan, 22</v>
      </c>
      <c r="AY734" s="1378"/>
      <c r="AZ734" s="1446" t="str">
        <f t="shared" si="468"/>
        <v>806110</v>
      </c>
      <c r="BA734" s="1300" t="s">
        <v>1303</v>
      </c>
      <c r="BB734" s="1300" t="s">
        <v>1303</v>
      </c>
      <c r="BC734" s="1300" t="s">
        <v>1303</v>
      </c>
      <c r="BD734" s="1300" t="s">
        <v>1303</v>
      </c>
      <c r="BE734" s="1305"/>
      <c r="BF734" s="1300" t="s">
        <v>1303</v>
      </c>
      <c r="BG734" s="1300" t="s">
        <v>1303</v>
      </c>
      <c r="BH734" s="1300" t="s">
        <v>1303</v>
      </c>
      <c r="BI734" s="1301" t="s">
        <v>1303</v>
      </c>
      <c r="BJ734" s="1305"/>
      <c r="BK734" s="1300" t="s">
        <v>1303</v>
      </c>
      <c r="BL734" s="1301" t="s">
        <v>1303</v>
      </c>
      <c r="BM734" s="1300" t="s">
        <v>1303</v>
      </c>
      <c r="BN734" s="1301" t="s">
        <v>1303</v>
      </c>
    </row>
    <row r="735" spans="1:66">
      <c r="A735" s="51" t="str">
        <f t="shared" si="476"/>
        <v>806120</v>
      </c>
      <c r="B735" s="1442" t="str">
        <f>'BUS Deemed Savings Table'!C908</f>
        <v>806120_2020_07_</v>
      </c>
      <c r="C735" s="1378" t="str">
        <f>'BUS Deemed Savings Table'!G908</f>
        <v>HVAC BUS</v>
      </c>
      <c r="D735" s="1378"/>
      <c r="E735" s="1378"/>
      <c r="F735" s="1378"/>
      <c r="G735" s="1378" t="str">
        <f>'BUS Deemed Savings Table'!E908</f>
        <v>High Volume Low Speed Fan, 24</v>
      </c>
      <c r="H735" s="19" t="str">
        <f>'BUS Deemed Savings Table'!D908</f>
        <v>Standard</v>
      </c>
      <c r="I735" s="785">
        <f>'BUS Deemed Savings Table'!F908</f>
        <v>10018</v>
      </c>
      <c r="J735" s="785"/>
      <c r="K735" s="202"/>
      <c r="L735" s="202"/>
      <c r="M735" s="202"/>
      <c r="N735" s="202"/>
      <c r="O735" s="786">
        <f>'BUS Deemed Savings Table'!I908</f>
        <v>4.4478216939999999</v>
      </c>
      <c r="P735" s="786"/>
      <c r="Q735" s="787"/>
      <c r="R735" s="787"/>
      <c r="S735" s="787"/>
      <c r="T735" s="787"/>
      <c r="U735" s="788">
        <f>IFERROR(IF(V735+W735&gt;0,0,IF(Z735&gt;0,O735,0)),0)</f>
        <v>0</v>
      </c>
      <c r="V735" s="788">
        <f t="shared" ref="V735" si="507">IF(W735&gt;0,0,IF(Z735&gt;9,O735,0))</f>
        <v>4.4478216939999999</v>
      </c>
      <c r="W735" s="788">
        <f t="shared" ref="W735" si="508">IF(Z735&gt;14,O735,0)</f>
        <v>0</v>
      </c>
      <c r="X735" s="23">
        <f>'BUS Deemed Savings Table'!J908</f>
        <v>10</v>
      </c>
      <c r="Y735" s="23"/>
      <c r="Z735" s="23">
        <f t="shared" si="477"/>
        <v>10</v>
      </c>
      <c r="AA735" s="18">
        <f>'BUS Deemed Savings Table'!DG908</f>
        <v>2.1549264232359064</v>
      </c>
      <c r="AB735" s="259">
        <f>'BUS Deemed Savings Table'!K908</f>
        <v>4225</v>
      </c>
      <c r="AC735" s="790">
        <f t="shared" si="478"/>
        <v>9104.5641381717051</v>
      </c>
      <c r="AD735" s="790">
        <f t="shared" si="479"/>
        <v>0</v>
      </c>
      <c r="AE735" s="610">
        <f>'BUS Deemed Savings Table'!DI908</f>
        <v>9104.5641381717051</v>
      </c>
      <c r="AF735" s="208"/>
      <c r="AG735" s="208"/>
      <c r="AH735" s="208"/>
      <c r="AI735" s="914" t="str">
        <f>'BUS Deemed Savings Table'!L908</f>
        <v>per measure</v>
      </c>
      <c r="AJ735" s="71"/>
      <c r="AX735" s="1355" t="str">
        <f t="shared" si="467"/>
        <v>High Volume Low Speed Fan, 24</v>
      </c>
      <c r="AY735" s="1378"/>
      <c r="AZ735" s="1446" t="str">
        <f t="shared" si="468"/>
        <v>806120</v>
      </c>
      <c r="BA735" s="1300" t="s">
        <v>1303</v>
      </c>
      <c r="BB735" s="1300" t="s">
        <v>1303</v>
      </c>
      <c r="BC735" s="1300" t="s">
        <v>1303</v>
      </c>
      <c r="BD735" s="1300" t="s">
        <v>1303</v>
      </c>
      <c r="BE735" s="1305"/>
      <c r="BF735" s="1300" t="s">
        <v>1303</v>
      </c>
      <c r="BG735" s="1300" t="s">
        <v>1303</v>
      </c>
      <c r="BH735" s="1300" t="s">
        <v>1303</v>
      </c>
      <c r="BI735" s="1301" t="s">
        <v>1303</v>
      </c>
      <c r="BJ735" s="1305"/>
      <c r="BK735" s="1300" t="s">
        <v>1303</v>
      </c>
      <c r="BL735" s="1301" t="s">
        <v>1303</v>
      </c>
      <c r="BM735" s="1300" t="s">
        <v>1303</v>
      </c>
      <c r="BN735" s="1301" t="s">
        <v>1303</v>
      </c>
    </row>
    <row r="736" spans="1:66" ht="15.75" thickBot="1">
      <c r="A736" s="51" t="str">
        <f t="shared" si="476"/>
        <v>999999</v>
      </c>
      <c r="B736" s="1442" t="str">
        <f>'BUS Deemed Savings Table'!C924</f>
        <v>999999_2024_12</v>
      </c>
      <c r="C736" s="1378" t="str">
        <f>'BUS Deemed Savings Table'!G924</f>
        <v>Variable</v>
      </c>
      <c r="D736" s="1378"/>
      <c r="E736" s="1378"/>
      <c r="F736" s="1378"/>
      <c r="G736" s="1378" t="str">
        <f>'BUS Deemed Savings Table'!E924</f>
        <v>Custom-Air Comp</v>
      </c>
      <c r="H736" s="19" t="str">
        <f>'BUS Deemed Savings Table'!D924</f>
        <v>Custom</v>
      </c>
      <c r="I736" s="785" t="str">
        <f>'BUS Deemed Savings Table'!F924</f>
        <v>Custom</v>
      </c>
      <c r="J736" s="785"/>
      <c r="K736" s="202"/>
      <c r="L736" s="202"/>
      <c r="M736" s="202"/>
      <c r="N736" s="202"/>
      <c r="O736" s="786" t="str">
        <f>'BUS Deemed Savings Table'!I924</f>
        <v>Custom</v>
      </c>
      <c r="P736" s="786"/>
      <c r="Q736" s="787"/>
      <c r="R736" s="787"/>
      <c r="S736" s="787"/>
      <c r="T736" s="787"/>
      <c r="U736" s="788">
        <f>IFERROR(IF(V736+W736&gt;0,0,IF(Z736&gt;0,O736,0)),0)</f>
        <v>0</v>
      </c>
      <c r="V736" s="788">
        <f t="shared" ref="V736" si="509">IF(W736&gt;0,0,IF(Z736&gt;9,O736,0))</f>
        <v>0</v>
      </c>
      <c r="W736" s="788" t="str">
        <f t="shared" ref="W736" si="510">IF(Z736&gt;14,O736,0)</f>
        <v>Custom</v>
      </c>
      <c r="X736" s="23" t="str">
        <f>'BUS Deemed Savings Table'!J924</f>
        <v>Custom</v>
      </c>
      <c r="Y736" s="23"/>
      <c r="Z736" s="23" t="s">
        <v>3778</v>
      </c>
      <c r="AA736" s="18" t="s">
        <v>3778</v>
      </c>
      <c r="AB736" s="259" t="s">
        <v>3778</v>
      </c>
      <c r="AC736" s="917" t="s">
        <v>3778</v>
      </c>
      <c r="AD736" s="790" t="s">
        <v>3778</v>
      </c>
      <c r="AE736" s="610"/>
      <c r="AF736" s="208"/>
      <c r="AG736" s="208"/>
      <c r="AH736" s="208"/>
      <c r="AI736" s="914" t="str">
        <f>'BUS Deemed Savings Table'!L924</f>
        <v>Custom</v>
      </c>
      <c r="AJ736" s="71"/>
      <c r="AX736" s="1356" t="str">
        <f t="shared" si="467"/>
        <v>Custom-Air Comp</v>
      </c>
      <c r="AY736" s="1410"/>
      <c r="AZ736" s="1357" t="str">
        <f t="shared" si="468"/>
        <v>999999</v>
      </c>
      <c r="BA736" s="1302" t="s">
        <v>1303</v>
      </c>
      <c r="BB736" s="1302" t="s">
        <v>1303</v>
      </c>
      <c r="BC736" s="1302" t="s">
        <v>1303</v>
      </c>
      <c r="BD736" s="1302" t="s">
        <v>1303</v>
      </c>
      <c r="BE736" s="1308"/>
      <c r="BF736" s="1302" t="s">
        <v>1303</v>
      </c>
      <c r="BG736" s="1302" t="s">
        <v>1303</v>
      </c>
      <c r="BH736" s="1302" t="s">
        <v>1303</v>
      </c>
      <c r="BI736" s="1303" t="s">
        <v>1303</v>
      </c>
      <c r="BJ736" s="1305"/>
      <c r="BK736" s="1302" t="s">
        <v>1303</v>
      </c>
      <c r="BL736" s="1303" t="s">
        <v>1303</v>
      </c>
      <c r="BM736" s="1302" t="s">
        <v>1303</v>
      </c>
      <c r="BN736" s="1303" t="s">
        <v>1303</v>
      </c>
    </row>
    <row r="737" spans="1:56">
      <c r="A737" s="51" t="str">
        <f t="shared" ref="A737:A746" si="511">LEFT(B737,6)</f>
        <v>999999</v>
      </c>
      <c r="B737" s="1442" t="str">
        <f>'BUS Deemed Savings Table'!C925</f>
        <v>999999_2024_12</v>
      </c>
      <c r="C737" s="1378" t="str">
        <f>'BUS Deemed Savings Table'!G925</f>
        <v>Variable</v>
      </c>
      <c r="D737" s="1378"/>
      <c r="E737" s="1378"/>
      <c r="F737" s="1378"/>
      <c r="G737" s="1378" t="str">
        <f>'BUS Deemed Savings Table'!E925</f>
        <v>Custom-Building Shell</v>
      </c>
      <c r="H737" s="19" t="str">
        <f>'BUS Deemed Savings Table'!D925</f>
        <v>Custom</v>
      </c>
      <c r="I737" s="785" t="str">
        <f>'BUS Deemed Savings Table'!F925</f>
        <v>Custom</v>
      </c>
      <c r="J737" s="785"/>
      <c r="K737" s="202"/>
      <c r="L737" s="202"/>
      <c r="M737" s="202"/>
      <c r="N737" s="202"/>
      <c r="O737" s="786" t="str">
        <f>'BUS Deemed Savings Table'!I925</f>
        <v>Custom</v>
      </c>
      <c r="P737" s="786"/>
      <c r="Q737" s="787"/>
      <c r="R737" s="787"/>
      <c r="S737" s="787"/>
      <c r="T737" s="787"/>
      <c r="U737" s="788">
        <f t="shared" ref="U737:U746" si="512">IFERROR(IF(V737+W737&gt;0,0,IF(Z737&gt;0,O737,0)),0)</f>
        <v>0</v>
      </c>
      <c r="V737" s="788">
        <f t="shared" ref="V737:V746" si="513">IF(W737&gt;0,0,IF(Z737&gt;9,O737,0))</f>
        <v>0</v>
      </c>
      <c r="W737" s="788" t="str">
        <f t="shared" ref="W737:W746" si="514">IF(Z737&gt;14,O737,0)</f>
        <v>Custom</v>
      </c>
      <c r="X737" s="23" t="str">
        <f>'BUS Deemed Savings Table'!J925</f>
        <v>Custom</v>
      </c>
      <c r="Y737" s="23"/>
      <c r="Z737" s="23" t="s">
        <v>3778</v>
      </c>
      <c r="AA737" s="18" t="s">
        <v>3778</v>
      </c>
      <c r="AB737" s="259" t="s">
        <v>3778</v>
      </c>
      <c r="AC737" s="917" t="s">
        <v>3778</v>
      </c>
      <c r="AD737" s="790" t="s">
        <v>3778</v>
      </c>
      <c r="AE737" s="610"/>
      <c r="AF737" s="208"/>
      <c r="AG737" s="208"/>
      <c r="AH737" s="208"/>
      <c r="AI737" s="914" t="str">
        <f>'BUS Deemed Savings Table'!L925</f>
        <v>Custom</v>
      </c>
      <c r="AJ737" s="71"/>
      <c r="BA737" s="51"/>
      <c r="BB737" s="51"/>
      <c r="BC737" s="51"/>
      <c r="BD737" s="51"/>
    </row>
    <row r="738" spans="1:56">
      <c r="A738" s="51" t="str">
        <f t="shared" si="511"/>
        <v>999999</v>
      </c>
      <c r="B738" s="1442" t="str">
        <f>'BUS Deemed Savings Table'!C926</f>
        <v>999999_2024_12</v>
      </c>
      <c r="C738" s="1378" t="str">
        <f>'BUS Deemed Savings Table'!G926</f>
        <v>Variable</v>
      </c>
      <c r="D738" s="1378"/>
      <c r="E738" s="1378"/>
      <c r="F738" s="1378"/>
      <c r="G738" s="1378" t="str">
        <f>'BUS Deemed Savings Table'!E926</f>
        <v>Custom-Cooking</v>
      </c>
      <c r="H738" s="19" t="str">
        <f>'BUS Deemed Savings Table'!D926</f>
        <v>Custom</v>
      </c>
      <c r="I738" s="785" t="str">
        <f>'BUS Deemed Savings Table'!F926</f>
        <v>Custom</v>
      </c>
      <c r="J738" s="785"/>
      <c r="K738" s="202"/>
      <c r="L738" s="202"/>
      <c r="M738" s="202"/>
      <c r="N738" s="202"/>
      <c r="O738" s="786" t="str">
        <f>'BUS Deemed Savings Table'!I926</f>
        <v>Custom</v>
      </c>
      <c r="P738" s="786"/>
      <c r="Q738" s="787"/>
      <c r="R738" s="787"/>
      <c r="S738" s="787"/>
      <c r="T738" s="787"/>
      <c r="U738" s="788">
        <f t="shared" si="512"/>
        <v>0</v>
      </c>
      <c r="V738" s="788">
        <f t="shared" si="513"/>
        <v>0</v>
      </c>
      <c r="W738" s="788" t="str">
        <f t="shared" si="514"/>
        <v>Custom</v>
      </c>
      <c r="X738" s="23" t="str">
        <f>'BUS Deemed Savings Table'!J926</f>
        <v>Custom</v>
      </c>
      <c r="Y738" s="23"/>
      <c r="Z738" s="23" t="s">
        <v>3778</v>
      </c>
      <c r="AA738" s="18" t="s">
        <v>3778</v>
      </c>
      <c r="AB738" s="259" t="s">
        <v>3778</v>
      </c>
      <c r="AC738" s="917" t="s">
        <v>3778</v>
      </c>
      <c r="AD738" s="790" t="s">
        <v>3778</v>
      </c>
      <c r="AE738" s="610"/>
      <c r="AF738" s="208"/>
      <c r="AG738" s="208"/>
      <c r="AH738" s="208"/>
      <c r="AI738" s="914" t="str">
        <f>'BUS Deemed Savings Table'!L926</f>
        <v>Custom</v>
      </c>
      <c r="AJ738" s="71"/>
      <c r="BA738" s="51"/>
      <c r="BB738" s="51"/>
      <c r="BC738" s="51"/>
      <c r="BD738" s="51"/>
    </row>
    <row r="739" spans="1:56">
      <c r="A739" s="51" t="str">
        <f t="shared" si="511"/>
        <v>999999</v>
      </c>
      <c r="B739" s="1442" t="str">
        <f>'BUS Deemed Savings Table'!C927</f>
        <v>999999_2024_12</v>
      </c>
      <c r="C739" s="1378" t="str">
        <f>'BUS Deemed Savings Table'!G927</f>
        <v>Variable</v>
      </c>
      <c r="D739" s="1378"/>
      <c r="E739" s="1378"/>
      <c r="F739" s="1378"/>
      <c r="G739" s="1378" t="str">
        <f>'BUS Deemed Savings Table'!E927</f>
        <v>Custom-Cooling</v>
      </c>
      <c r="H739" s="19" t="str">
        <f>'BUS Deemed Savings Table'!D927</f>
        <v>Custom</v>
      </c>
      <c r="I739" s="785" t="str">
        <f>'BUS Deemed Savings Table'!F927</f>
        <v>Custom</v>
      </c>
      <c r="J739" s="785"/>
      <c r="K739" s="202"/>
      <c r="L739" s="202"/>
      <c r="M739" s="202"/>
      <c r="N739" s="202"/>
      <c r="O739" s="786" t="str">
        <f>'BUS Deemed Savings Table'!I927</f>
        <v>Custom</v>
      </c>
      <c r="P739" s="786"/>
      <c r="Q739" s="787"/>
      <c r="R739" s="787"/>
      <c r="S739" s="787"/>
      <c r="T739" s="787"/>
      <c r="U739" s="788">
        <f t="shared" si="512"/>
        <v>0</v>
      </c>
      <c r="V739" s="788">
        <f t="shared" si="513"/>
        <v>0</v>
      </c>
      <c r="W739" s="788" t="str">
        <f t="shared" si="514"/>
        <v>Custom</v>
      </c>
      <c r="X739" s="23" t="str">
        <f>'BUS Deemed Savings Table'!J927</f>
        <v>Custom</v>
      </c>
      <c r="Y739" s="23"/>
      <c r="Z739" s="23" t="s">
        <v>3778</v>
      </c>
      <c r="AA739" s="18" t="s">
        <v>3778</v>
      </c>
      <c r="AB739" s="259" t="s">
        <v>3778</v>
      </c>
      <c r="AC739" s="917" t="s">
        <v>3778</v>
      </c>
      <c r="AD739" s="790" t="s">
        <v>3778</v>
      </c>
      <c r="AE739" s="610"/>
      <c r="AF739" s="208"/>
      <c r="AG739" s="208"/>
      <c r="AH739" s="208"/>
      <c r="AI739" s="914" t="str">
        <f>'BUS Deemed Savings Table'!L927</f>
        <v>Custom</v>
      </c>
      <c r="AJ739" s="71"/>
      <c r="BA739" s="51"/>
      <c r="BB739" s="51"/>
      <c r="BC739" s="51"/>
      <c r="BD739" s="51"/>
    </row>
    <row r="740" spans="1:56">
      <c r="A740" s="51" t="str">
        <f t="shared" si="511"/>
        <v>999999</v>
      </c>
      <c r="B740" s="1442" t="str">
        <f>'BUS Deemed Savings Table'!C928</f>
        <v>999999_2024_12</v>
      </c>
      <c r="C740" s="1378" t="str">
        <f>'BUS Deemed Savings Table'!G928</f>
        <v>Variable</v>
      </c>
      <c r="D740" s="1378"/>
      <c r="E740" s="1378"/>
      <c r="F740" s="1378"/>
      <c r="G740" s="1378" t="str">
        <f>'BUS Deemed Savings Table'!E928</f>
        <v>Custom-HVAC</v>
      </c>
      <c r="H740" s="19" t="str">
        <f>'BUS Deemed Savings Table'!D928</f>
        <v>Custom</v>
      </c>
      <c r="I740" s="785" t="str">
        <f>'BUS Deemed Savings Table'!F928</f>
        <v>Custom</v>
      </c>
      <c r="J740" s="785"/>
      <c r="K740" s="202"/>
      <c r="L740" s="202"/>
      <c r="M740" s="202"/>
      <c r="N740" s="202"/>
      <c r="O740" s="786" t="str">
        <f>'BUS Deemed Savings Table'!I928</f>
        <v>Custom</v>
      </c>
      <c r="P740" s="786"/>
      <c r="Q740" s="787"/>
      <c r="R740" s="787"/>
      <c r="S740" s="787"/>
      <c r="T740" s="787"/>
      <c r="U740" s="788">
        <f t="shared" si="512"/>
        <v>0</v>
      </c>
      <c r="V740" s="788">
        <f t="shared" si="513"/>
        <v>0</v>
      </c>
      <c r="W740" s="788" t="str">
        <f t="shared" si="514"/>
        <v>Custom</v>
      </c>
      <c r="X740" s="23" t="str">
        <f>'BUS Deemed Savings Table'!J928</f>
        <v>Custom</v>
      </c>
      <c r="Y740" s="23"/>
      <c r="Z740" s="23" t="s">
        <v>3778</v>
      </c>
      <c r="AA740" s="18" t="s">
        <v>3778</v>
      </c>
      <c r="AB740" s="259" t="s">
        <v>3778</v>
      </c>
      <c r="AC740" s="917" t="s">
        <v>3778</v>
      </c>
      <c r="AD740" s="790" t="s">
        <v>3778</v>
      </c>
      <c r="AE740" s="610"/>
      <c r="AF740" s="208"/>
      <c r="AG740" s="208"/>
      <c r="AH740" s="208"/>
      <c r="AI740" s="914" t="str">
        <f>'BUS Deemed Savings Table'!L928</f>
        <v>Custom</v>
      </c>
      <c r="AJ740" s="71"/>
      <c r="BA740" s="51"/>
      <c r="BB740" s="51"/>
      <c r="BC740" s="51"/>
      <c r="BD740" s="51"/>
    </row>
    <row r="741" spans="1:56">
      <c r="A741" s="51" t="str">
        <f t="shared" si="511"/>
        <v>999999</v>
      </c>
      <c r="B741" s="1442" t="str">
        <f>'BUS Deemed Savings Table'!C929</f>
        <v>999999_2024_12</v>
      </c>
      <c r="C741" s="1378" t="str">
        <f>'BUS Deemed Savings Table'!G929</f>
        <v>Variable</v>
      </c>
      <c r="D741" s="1378"/>
      <c r="E741" s="1378"/>
      <c r="F741" s="1378"/>
      <c r="G741" s="1378" t="str">
        <f>'BUS Deemed Savings Table'!E929</f>
        <v>Custom Lighting (Controls)</v>
      </c>
      <c r="H741" s="19" t="str">
        <f>'BUS Deemed Savings Table'!D929</f>
        <v>Custom</v>
      </c>
      <c r="I741" s="785" t="str">
        <f>'BUS Deemed Savings Table'!F929</f>
        <v>Custom</v>
      </c>
      <c r="J741" s="785"/>
      <c r="K741" s="202"/>
      <c r="L741" s="202"/>
      <c r="M741" s="202"/>
      <c r="N741" s="202"/>
      <c r="O741" s="786" t="str">
        <f>'BUS Deemed Savings Table'!I929</f>
        <v>Custom</v>
      </c>
      <c r="P741" s="786"/>
      <c r="Q741" s="787"/>
      <c r="R741" s="787"/>
      <c r="S741" s="787"/>
      <c r="T741" s="787"/>
      <c r="U741" s="788">
        <f t="shared" si="512"/>
        <v>0</v>
      </c>
      <c r="V741" s="788">
        <f t="shared" si="513"/>
        <v>0</v>
      </c>
      <c r="W741" s="788" t="str">
        <f t="shared" si="514"/>
        <v>Custom</v>
      </c>
      <c r="X741" s="23" t="str">
        <f>'BUS Deemed Savings Table'!J929</f>
        <v>Custom</v>
      </c>
      <c r="Y741" s="23"/>
      <c r="Z741" s="23" t="s">
        <v>3778</v>
      </c>
      <c r="AA741" s="18" t="s">
        <v>3778</v>
      </c>
      <c r="AB741" s="259" t="s">
        <v>3778</v>
      </c>
      <c r="AC741" s="917" t="s">
        <v>3778</v>
      </c>
      <c r="AD741" s="790" t="s">
        <v>3778</v>
      </c>
      <c r="AE741" s="610"/>
      <c r="AF741" s="208"/>
      <c r="AG741" s="208"/>
      <c r="AH741" s="208"/>
      <c r="AI741" s="914" t="str">
        <f>'BUS Deemed Savings Table'!L929</f>
        <v>Custom</v>
      </c>
      <c r="AJ741" s="71"/>
      <c r="BA741" s="51"/>
      <c r="BB741" s="51"/>
      <c r="BC741" s="51"/>
      <c r="BD741" s="51"/>
    </row>
    <row r="742" spans="1:56">
      <c r="A742" s="51" t="str">
        <f t="shared" si="511"/>
        <v>999999</v>
      </c>
      <c r="B742" s="1442" t="str">
        <f>'BUS Deemed Savings Table'!C930</f>
        <v>999999_2024_12</v>
      </c>
      <c r="C742" s="1378" t="str">
        <f>'BUS Deemed Savings Table'!G930</f>
        <v>Variable</v>
      </c>
      <c r="D742" s="1378"/>
      <c r="E742" s="1378"/>
      <c r="F742" s="1378"/>
      <c r="G742" s="1378" t="str">
        <f>'BUS Deemed Savings Table'!E930</f>
        <v>Custom-Miscellaneous</v>
      </c>
      <c r="H742" s="19" t="str">
        <f>'BUS Deemed Savings Table'!D930</f>
        <v>Custom</v>
      </c>
      <c r="I742" s="785" t="str">
        <f>'BUS Deemed Savings Table'!F930</f>
        <v>Custom</v>
      </c>
      <c r="J742" s="785"/>
      <c r="K742" s="202"/>
      <c r="L742" s="202"/>
      <c r="M742" s="202"/>
      <c r="N742" s="202"/>
      <c r="O742" s="786" t="str">
        <f>'BUS Deemed Savings Table'!I930</f>
        <v>Custom</v>
      </c>
      <c r="P742" s="786"/>
      <c r="Q742" s="787"/>
      <c r="R742" s="787"/>
      <c r="S742" s="787"/>
      <c r="T742" s="787"/>
      <c r="U742" s="788">
        <f t="shared" si="512"/>
        <v>0</v>
      </c>
      <c r="V742" s="788">
        <f t="shared" si="513"/>
        <v>0</v>
      </c>
      <c r="W742" s="788" t="str">
        <f t="shared" si="514"/>
        <v>Custom</v>
      </c>
      <c r="X742" s="23" t="str">
        <f>'BUS Deemed Savings Table'!J930</f>
        <v>Custom</v>
      </c>
      <c r="Y742" s="23"/>
      <c r="Z742" s="23" t="s">
        <v>3778</v>
      </c>
      <c r="AA742" s="18" t="s">
        <v>3778</v>
      </c>
      <c r="AB742" s="259" t="s">
        <v>3778</v>
      </c>
      <c r="AC742" s="917" t="s">
        <v>3778</v>
      </c>
      <c r="AD742" s="790" t="s">
        <v>3778</v>
      </c>
      <c r="AE742" s="610"/>
      <c r="AF742" s="208"/>
      <c r="AG742" s="208"/>
      <c r="AH742" s="208"/>
      <c r="AI742" s="914" t="str">
        <f>'BUS Deemed Savings Table'!L930</f>
        <v>Custom</v>
      </c>
      <c r="AJ742" s="71"/>
      <c r="BA742" s="51"/>
      <c r="BB742" s="51"/>
      <c r="BC742" s="51"/>
      <c r="BD742" s="51"/>
    </row>
    <row r="743" spans="1:56">
      <c r="A743" s="51" t="str">
        <f t="shared" si="511"/>
        <v>999999</v>
      </c>
      <c r="B743" s="1442" t="str">
        <f>'BUS Deemed Savings Table'!C931</f>
        <v>999999_2024_12</v>
      </c>
      <c r="C743" s="1378" t="str">
        <f>'BUS Deemed Savings Table'!G931</f>
        <v>Variable</v>
      </c>
      <c r="D743" s="1378"/>
      <c r="E743" s="1378"/>
      <c r="F743" s="1378"/>
      <c r="G743" s="1378" t="str">
        <f>'BUS Deemed Savings Table'!E931</f>
        <v>Custom-Motors</v>
      </c>
      <c r="H743" s="19" t="str">
        <f>'BUS Deemed Savings Table'!D931</f>
        <v>Custom</v>
      </c>
      <c r="I743" s="785" t="str">
        <f>'BUS Deemed Savings Table'!F931</f>
        <v>Custom</v>
      </c>
      <c r="J743" s="785"/>
      <c r="K743" s="202"/>
      <c r="L743" s="202"/>
      <c r="M743" s="202"/>
      <c r="N743" s="202"/>
      <c r="O743" s="786" t="str">
        <f>'BUS Deemed Savings Table'!I931</f>
        <v>Custom</v>
      </c>
      <c r="P743" s="786"/>
      <c r="Q743" s="787"/>
      <c r="R743" s="787"/>
      <c r="S743" s="787"/>
      <c r="T743" s="787"/>
      <c r="U743" s="788">
        <f t="shared" si="512"/>
        <v>0</v>
      </c>
      <c r="V743" s="788">
        <f t="shared" si="513"/>
        <v>0</v>
      </c>
      <c r="W743" s="788" t="str">
        <f t="shared" si="514"/>
        <v>Custom</v>
      </c>
      <c r="X743" s="23" t="str">
        <f>'BUS Deemed Savings Table'!J931</f>
        <v>Custom</v>
      </c>
      <c r="Y743" s="23"/>
      <c r="Z743" s="23" t="s">
        <v>3778</v>
      </c>
      <c r="AA743" s="18" t="s">
        <v>3778</v>
      </c>
      <c r="AB743" s="259" t="s">
        <v>3778</v>
      </c>
      <c r="AC743" s="917" t="s">
        <v>3778</v>
      </c>
      <c r="AD743" s="790" t="s">
        <v>3778</v>
      </c>
      <c r="AE743" s="610"/>
      <c r="AF743" s="208"/>
      <c r="AG743" s="208"/>
      <c r="AH743" s="208"/>
      <c r="AI743" s="914" t="str">
        <f>'BUS Deemed Savings Table'!L931</f>
        <v>Custom</v>
      </c>
      <c r="AJ743" s="71"/>
      <c r="BA743" s="51"/>
      <c r="BB743" s="51"/>
      <c r="BC743" s="51"/>
      <c r="BD743" s="51"/>
    </row>
    <row r="744" spans="1:56">
      <c r="A744" s="51" t="str">
        <f t="shared" si="511"/>
        <v>999999</v>
      </c>
      <c r="B744" s="1442" t="str">
        <f>'BUS Deemed Savings Table'!C932</f>
        <v>999999_2024_12</v>
      </c>
      <c r="C744" s="1378" t="str">
        <f>'BUS Deemed Savings Table'!G932</f>
        <v>Variable</v>
      </c>
      <c r="D744" s="1378"/>
      <c r="E744" s="1378"/>
      <c r="F744" s="1378"/>
      <c r="G744" s="1378" t="str">
        <f>'BUS Deemed Savings Table'!E932</f>
        <v>Custom-Process</v>
      </c>
      <c r="H744" s="19" t="str">
        <f>'BUS Deemed Savings Table'!D932</f>
        <v>Custom</v>
      </c>
      <c r="I744" s="785" t="str">
        <f>'BUS Deemed Savings Table'!F932</f>
        <v>Custom</v>
      </c>
      <c r="J744" s="785"/>
      <c r="K744" s="202"/>
      <c r="L744" s="202"/>
      <c r="M744" s="202"/>
      <c r="N744" s="202"/>
      <c r="O744" s="786" t="str">
        <f>'BUS Deemed Savings Table'!I932</f>
        <v>Custom</v>
      </c>
      <c r="P744" s="786"/>
      <c r="Q744" s="787"/>
      <c r="R744" s="787"/>
      <c r="S744" s="787"/>
      <c r="T744" s="787"/>
      <c r="U744" s="788">
        <f t="shared" si="512"/>
        <v>0</v>
      </c>
      <c r="V744" s="788">
        <f t="shared" si="513"/>
        <v>0</v>
      </c>
      <c r="W744" s="788" t="str">
        <f t="shared" si="514"/>
        <v>Custom</v>
      </c>
      <c r="X744" s="23" t="str">
        <f>'BUS Deemed Savings Table'!J932</f>
        <v>Custom</v>
      </c>
      <c r="Y744" s="23"/>
      <c r="Z744" s="23" t="s">
        <v>3778</v>
      </c>
      <c r="AA744" s="18" t="s">
        <v>3778</v>
      </c>
      <c r="AB744" s="259" t="s">
        <v>3778</v>
      </c>
      <c r="AC744" s="917" t="s">
        <v>3778</v>
      </c>
      <c r="AD744" s="790" t="s">
        <v>3778</v>
      </c>
      <c r="AE744" s="610"/>
      <c r="AF744" s="208"/>
      <c r="AG744" s="208"/>
      <c r="AH744" s="208"/>
      <c r="AI744" s="914" t="str">
        <f>'BUS Deemed Savings Table'!L932</f>
        <v>Custom</v>
      </c>
      <c r="AJ744" s="71"/>
      <c r="BA744" s="51"/>
      <c r="BB744" s="51"/>
      <c r="BC744" s="51"/>
      <c r="BD744" s="51"/>
    </row>
    <row r="745" spans="1:56">
      <c r="A745" s="51" t="str">
        <f t="shared" si="511"/>
        <v>999999</v>
      </c>
      <c r="B745" s="1442" t="str">
        <f>'BUS Deemed Savings Table'!C933</f>
        <v>999999_2024_12</v>
      </c>
      <c r="C745" s="1378" t="str">
        <f>'BUS Deemed Savings Table'!G933</f>
        <v>Variable</v>
      </c>
      <c r="D745" s="1378"/>
      <c r="E745" s="1378"/>
      <c r="F745" s="1378"/>
      <c r="G745" s="1378" t="str">
        <f>'BUS Deemed Savings Table'!E933</f>
        <v>Custom-Refrigeration</v>
      </c>
      <c r="H745" s="19" t="str">
        <f>'BUS Deemed Savings Table'!D933</f>
        <v>Custom</v>
      </c>
      <c r="I745" s="785" t="str">
        <f>'BUS Deemed Savings Table'!F933</f>
        <v>Custom</v>
      </c>
      <c r="J745" s="785"/>
      <c r="K745" s="202"/>
      <c r="L745" s="202"/>
      <c r="M745" s="202"/>
      <c r="N745" s="202"/>
      <c r="O745" s="786" t="str">
        <f>'BUS Deemed Savings Table'!I933</f>
        <v>Custom</v>
      </c>
      <c r="P745" s="786"/>
      <c r="Q745" s="787"/>
      <c r="R745" s="787"/>
      <c r="S745" s="787"/>
      <c r="T745" s="787"/>
      <c r="U745" s="788">
        <f t="shared" si="512"/>
        <v>0</v>
      </c>
      <c r="V745" s="788">
        <f t="shared" si="513"/>
        <v>0</v>
      </c>
      <c r="W745" s="788" t="str">
        <f t="shared" si="514"/>
        <v>Custom</v>
      </c>
      <c r="X745" s="23" t="str">
        <f>'BUS Deemed Savings Table'!J933</f>
        <v>Custom</v>
      </c>
      <c r="Y745" s="23"/>
      <c r="Z745" s="23" t="s">
        <v>3778</v>
      </c>
      <c r="AA745" s="18" t="s">
        <v>3778</v>
      </c>
      <c r="AB745" s="259" t="s">
        <v>3778</v>
      </c>
      <c r="AC745" s="917" t="s">
        <v>3778</v>
      </c>
      <c r="AD745" s="790" t="s">
        <v>3778</v>
      </c>
      <c r="AE745" s="610"/>
      <c r="AF745" s="208"/>
      <c r="AG745" s="208"/>
      <c r="AH745" s="208"/>
      <c r="AI745" s="914" t="str">
        <f>'BUS Deemed Savings Table'!L933</f>
        <v>Custom</v>
      </c>
      <c r="AJ745" s="71"/>
      <c r="BA745" s="51"/>
      <c r="BB745" s="51"/>
      <c r="BC745" s="51"/>
      <c r="BD745" s="51"/>
    </row>
    <row r="746" spans="1:56">
      <c r="A746" s="51" t="str">
        <f t="shared" si="511"/>
        <v>999999</v>
      </c>
      <c r="B746" s="1442" t="str">
        <f>'BUS Deemed Savings Table'!C934</f>
        <v>999999_2024_12</v>
      </c>
      <c r="C746" s="1378" t="str">
        <f>'BUS Deemed Savings Table'!G934</f>
        <v>Variable</v>
      </c>
      <c r="D746" s="1378"/>
      <c r="E746" s="1378"/>
      <c r="F746" s="1378"/>
      <c r="G746" s="1378" t="str">
        <f>'BUS Deemed Savings Table'!E934</f>
        <v>Custom-Water Heating</v>
      </c>
      <c r="H746" s="19" t="str">
        <f>'BUS Deemed Savings Table'!D934</f>
        <v>Custom</v>
      </c>
      <c r="I746" s="785" t="str">
        <f>'BUS Deemed Savings Table'!F934</f>
        <v>Custom</v>
      </c>
      <c r="J746" s="785"/>
      <c r="K746" s="202"/>
      <c r="L746" s="202"/>
      <c r="M746" s="202"/>
      <c r="N746" s="202"/>
      <c r="O746" s="786" t="str">
        <f>'BUS Deemed Savings Table'!I934</f>
        <v>Custom</v>
      </c>
      <c r="P746" s="786"/>
      <c r="Q746" s="787"/>
      <c r="R746" s="787"/>
      <c r="S746" s="787"/>
      <c r="T746" s="787"/>
      <c r="U746" s="788">
        <f t="shared" si="512"/>
        <v>0</v>
      </c>
      <c r="V746" s="788">
        <f t="shared" si="513"/>
        <v>0</v>
      </c>
      <c r="W746" s="788" t="str">
        <f t="shared" si="514"/>
        <v>Custom</v>
      </c>
      <c r="X746" s="23" t="str">
        <f>'BUS Deemed Savings Table'!J934</f>
        <v>Custom</v>
      </c>
      <c r="Y746" s="23"/>
      <c r="Z746" s="23" t="s">
        <v>3778</v>
      </c>
      <c r="AA746" s="18" t="s">
        <v>3778</v>
      </c>
      <c r="AB746" s="259" t="s">
        <v>3778</v>
      </c>
      <c r="AC746" s="917" t="s">
        <v>3778</v>
      </c>
      <c r="AD746" s="790" t="s">
        <v>3778</v>
      </c>
      <c r="AE746" s="610"/>
      <c r="AF746" s="208"/>
      <c r="AG746" s="208"/>
      <c r="AH746" s="208"/>
      <c r="AI746" s="914" t="str">
        <f>'BUS Deemed Savings Table'!L934</f>
        <v>Custom</v>
      </c>
      <c r="AJ746" s="71"/>
      <c r="BA746" s="51"/>
      <c r="BB746" s="51"/>
      <c r="BC746" s="51"/>
      <c r="BD746" s="51"/>
    </row>
    <row r="747" spans="1:56">
      <c r="A747" s="51"/>
      <c r="U747" s="52"/>
      <c r="V747" s="52"/>
      <c r="W747" s="52"/>
      <c r="BA747" s="51"/>
      <c r="BB747" s="51"/>
      <c r="BC747" s="51"/>
      <c r="BD747" s="51"/>
    </row>
    <row r="748" spans="1:56">
      <c r="A748" s="51"/>
      <c r="U748" s="52"/>
      <c r="V748" s="52"/>
      <c r="W748" s="52"/>
      <c r="BA748" s="51"/>
      <c r="BB748" s="51"/>
      <c r="BC748" s="51"/>
      <c r="BD748" s="51"/>
    </row>
    <row r="749" spans="1:56">
      <c r="A749" s="51"/>
      <c r="U749" s="52"/>
      <c r="V749" s="52"/>
      <c r="W749" s="52"/>
      <c r="BA749" s="51"/>
      <c r="BB749" s="51"/>
      <c r="BC749" s="51"/>
      <c r="BD749" s="51"/>
    </row>
    <row r="750" spans="1:56">
      <c r="A750" s="51"/>
      <c r="U750" s="52"/>
      <c r="V750" s="52"/>
      <c r="W750" s="52"/>
      <c r="BA750" s="51"/>
      <c r="BB750" s="51"/>
      <c r="BC750" s="51"/>
      <c r="BD750" s="51"/>
    </row>
    <row r="751" spans="1:56">
      <c r="A751" s="51"/>
      <c r="U751" s="52"/>
      <c r="V751" s="52"/>
      <c r="W751" s="52"/>
      <c r="BA751" s="51"/>
      <c r="BB751" s="51"/>
      <c r="BC751" s="51"/>
      <c r="BD751" s="51"/>
    </row>
    <row r="752" spans="1:56">
      <c r="A752" s="51"/>
      <c r="U752" s="52"/>
      <c r="V752" s="52"/>
      <c r="W752" s="52"/>
      <c r="BA752" s="51"/>
      <c r="BB752" s="51"/>
      <c r="BC752" s="51"/>
      <c r="BD752" s="51"/>
    </row>
    <row r="753" spans="1:56">
      <c r="A753" s="51"/>
      <c r="U753" s="52"/>
      <c r="V753" s="52"/>
      <c r="W753" s="52"/>
      <c r="BA753" s="51"/>
      <c r="BB753" s="51"/>
      <c r="BC753" s="51"/>
      <c r="BD753" s="51"/>
    </row>
    <row r="754" spans="1:56">
      <c r="A754" s="51"/>
      <c r="U754" s="52"/>
      <c r="V754" s="52"/>
      <c r="W754" s="52"/>
      <c r="BA754" s="51"/>
      <c r="BB754" s="51"/>
      <c r="BC754" s="51"/>
      <c r="BD754" s="51"/>
    </row>
    <row r="755" spans="1:56">
      <c r="A755" s="51"/>
      <c r="U755" s="52"/>
      <c r="V755" s="52"/>
      <c r="W755" s="52"/>
      <c r="BA755" s="51"/>
      <c r="BB755" s="51"/>
      <c r="BC755" s="51"/>
      <c r="BD755" s="51"/>
    </row>
    <row r="756" spans="1:56">
      <c r="A756" s="51"/>
      <c r="U756" s="52"/>
      <c r="V756" s="52"/>
      <c r="W756" s="52"/>
      <c r="BA756" s="51"/>
      <c r="BB756" s="51"/>
      <c r="BC756" s="51"/>
      <c r="BD756" s="51"/>
    </row>
    <row r="757" spans="1:56">
      <c r="A757" s="51"/>
      <c r="U757" s="52"/>
      <c r="V757" s="52"/>
      <c r="W757" s="52"/>
      <c r="BA757" s="51"/>
      <c r="BB757" s="51"/>
      <c r="BC757" s="51"/>
      <c r="BD757" s="51"/>
    </row>
    <row r="758" spans="1:56">
      <c r="A758" s="51"/>
      <c r="U758" s="52"/>
      <c r="V758" s="52"/>
      <c r="W758" s="52"/>
      <c r="BA758" s="51"/>
      <c r="BB758" s="51"/>
      <c r="BC758" s="51"/>
      <c r="BD758" s="51"/>
    </row>
    <row r="759" spans="1:56">
      <c r="A759" s="51"/>
      <c r="U759" s="52"/>
      <c r="V759" s="52"/>
      <c r="W759" s="52"/>
      <c r="BA759" s="51"/>
      <c r="BB759" s="51"/>
      <c r="BC759" s="51"/>
      <c r="BD759" s="51"/>
    </row>
    <row r="760" spans="1:56">
      <c r="A760" s="51"/>
      <c r="U760" s="52"/>
      <c r="V760" s="52"/>
      <c r="W760" s="52"/>
      <c r="BA760" s="51"/>
      <c r="BB760" s="51"/>
      <c r="BC760" s="51"/>
      <c r="BD760" s="51"/>
    </row>
    <row r="761" spans="1:56">
      <c r="A761" s="51"/>
      <c r="U761" s="52"/>
      <c r="V761" s="52"/>
      <c r="W761" s="52"/>
      <c r="BA761" s="51"/>
      <c r="BB761" s="51"/>
      <c r="BC761" s="51"/>
      <c r="BD761" s="51"/>
    </row>
    <row r="762" spans="1:56">
      <c r="A762" s="51"/>
      <c r="U762" s="52"/>
      <c r="V762" s="52"/>
      <c r="W762" s="52"/>
      <c r="BA762" s="51"/>
      <c r="BB762" s="51"/>
      <c r="BC762" s="51"/>
      <c r="BD762" s="51"/>
    </row>
    <row r="763" spans="1:56">
      <c r="A763" s="51"/>
      <c r="U763" s="52"/>
      <c r="V763" s="52"/>
      <c r="W763" s="52"/>
      <c r="BA763" s="51"/>
      <c r="BB763" s="51"/>
      <c r="BC763" s="51"/>
      <c r="BD763" s="51"/>
    </row>
    <row r="764" spans="1:56">
      <c r="A764" s="51"/>
      <c r="U764" s="52"/>
      <c r="V764" s="52"/>
      <c r="W764" s="52"/>
      <c r="BA764" s="51"/>
      <c r="BB764" s="51"/>
      <c r="BC764" s="51"/>
      <c r="BD764" s="51"/>
    </row>
    <row r="765" spans="1:56">
      <c r="A765" s="51"/>
      <c r="U765" s="52"/>
      <c r="V765" s="52"/>
      <c r="W765" s="52"/>
      <c r="BA765" s="51"/>
      <c r="BB765" s="51"/>
      <c r="BC765" s="51"/>
      <c r="BD765" s="51"/>
    </row>
    <row r="766" spans="1:56">
      <c r="A766" s="51"/>
      <c r="U766" s="52"/>
      <c r="V766" s="52"/>
      <c r="W766" s="52"/>
      <c r="BA766" s="51"/>
      <c r="BB766" s="51"/>
      <c r="BC766" s="51"/>
      <c r="BD766" s="51"/>
    </row>
    <row r="767" spans="1:56">
      <c r="A767" s="51"/>
      <c r="U767" s="52"/>
      <c r="V767" s="52"/>
      <c r="W767" s="52"/>
      <c r="BA767" s="51"/>
      <c r="BB767" s="51"/>
      <c r="BC767" s="51"/>
      <c r="BD767" s="51"/>
    </row>
    <row r="768" spans="1:56">
      <c r="A768" s="51"/>
      <c r="U768" s="52"/>
      <c r="V768" s="52"/>
      <c r="W768" s="52"/>
      <c r="BA768" s="51"/>
      <c r="BB768" s="51"/>
      <c r="BC768" s="51"/>
      <c r="BD768" s="51"/>
    </row>
    <row r="769" spans="1:56">
      <c r="A769" s="51"/>
      <c r="U769" s="52"/>
      <c r="V769" s="52"/>
      <c r="W769" s="52"/>
      <c r="BA769" s="51"/>
      <c r="BB769" s="51"/>
      <c r="BC769" s="51"/>
      <c r="BD769" s="51"/>
    </row>
    <row r="770" spans="1:56">
      <c r="A770" s="51"/>
      <c r="U770" s="52"/>
      <c r="V770" s="52"/>
      <c r="W770" s="52"/>
      <c r="BA770" s="51"/>
      <c r="BB770" s="51"/>
      <c r="BC770" s="51"/>
      <c r="BD770" s="51"/>
    </row>
    <row r="771" spans="1:56">
      <c r="A771" s="51"/>
      <c r="U771" s="52"/>
      <c r="V771" s="52"/>
      <c r="W771" s="52"/>
      <c r="BA771" s="51"/>
      <c r="BB771" s="51"/>
      <c r="BC771" s="51"/>
      <c r="BD771" s="51"/>
    </row>
    <row r="772" spans="1:56">
      <c r="A772" s="51"/>
      <c r="U772" s="52"/>
      <c r="V772" s="52"/>
      <c r="W772" s="52"/>
      <c r="BA772" s="51"/>
      <c r="BB772" s="51"/>
      <c r="BC772" s="51"/>
      <c r="BD772" s="51"/>
    </row>
    <row r="773" spans="1:56">
      <c r="A773" s="51"/>
      <c r="U773" s="52"/>
      <c r="V773" s="52"/>
      <c r="W773" s="52"/>
      <c r="BA773" s="51"/>
      <c r="BB773" s="51"/>
      <c r="BC773" s="51"/>
      <c r="BD773" s="51"/>
    </row>
    <row r="774" spans="1:56">
      <c r="A774" s="51"/>
      <c r="U774" s="52"/>
      <c r="V774" s="52"/>
      <c r="W774" s="52"/>
      <c r="BA774" s="51"/>
      <c r="BB774" s="51"/>
      <c r="BC774" s="51"/>
      <c r="BD774" s="51"/>
    </row>
    <row r="775" spans="1:56">
      <c r="A775" s="51"/>
      <c r="U775" s="52"/>
      <c r="V775" s="52"/>
      <c r="W775" s="52"/>
      <c r="BA775" s="51"/>
      <c r="BB775" s="51"/>
      <c r="BC775" s="51"/>
      <c r="BD775" s="51"/>
    </row>
    <row r="776" spans="1:56">
      <c r="A776" s="51"/>
      <c r="U776" s="52"/>
      <c r="V776" s="52"/>
      <c r="W776" s="52"/>
      <c r="BA776" s="51"/>
      <c r="BB776" s="51"/>
      <c r="BC776" s="51"/>
      <c r="BD776" s="51"/>
    </row>
    <row r="777" spans="1:56">
      <c r="A777" s="51"/>
      <c r="U777" s="52"/>
      <c r="V777" s="52"/>
      <c r="W777" s="52"/>
      <c r="BA777" s="51"/>
      <c r="BB777" s="51"/>
      <c r="BC777" s="51"/>
      <c r="BD777" s="51"/>
    </row>
    <row r="778" spans="1:56">
      <c r="A778" s="51"/>
      <c r="U778" s="52"/>
      <c r="V778" s="52"/>
      <c r="W778" s="52"/>
      <c r="BA778" s="51"/>
      <c r="BB778" s="51"/>
      <c r="BC778" s="51"/>
      <c r="BD778" s="51"/>
    </row>
    <row r="779" spans="1:56">
      <c r="A779" s="51"/>
      <c r="U779" s="52"/>
      <c r="V779" s="52"/>
      <c r="W779" s="52"/>
      <c r="BA779" s="51"/>
      <c r="BB779" s="51"/>
      <c r="BC779" s="51"/>
      <c r="BD779" s="51"/>
    </row>
    <row r="780" spans="1:56">
      <c r="A780" s="51"/>
      <c r="U780" s="52"/>
      <c r="V780" s="52"/>
      <c r="W780" s="52"/>
      <c r="BA780" s="51"/>
      <c r="BB780" s="51"/>
      <c r="BC780" s="51"/>
      <c r="BD780" s="51"/>
    </row>
    <row r="781" spans="1:56">
      <c r="A781" s="51"/>
      <c r="U781" s="52"/>
      <c r="V781" s="52"/>
      <c r="W781" s="52"/>
      <c r="BA781" s="51"/>
      <c r="BB781" s="51"/>
      <c r="BC781" s="51"/>
      <c r="BD781" s="51"/>
    </row>
    <row r="782" spans="1:56">
      <c r="A782" s="51"/>
      <c r="U782" s="52"/>
      <c r="V782" s="52"/>
      <c r="W782" s="52"/>
      <c r="BA782" s="51"/>
      <c r="BB782" s="51"/>
      <c r="BC782" s="51"/>
      <c r="BD782" s="51"/>
    </row>
    <row r="783" spans="1:56">
      <c r="A783" s="51"/>
      <c r="U783" s="52"/>
      <c r="V783" s="52"/>
      <c r="W783" s="52"/>
      <c r="BA783" s="51"/>
      <c r="BB783" s="51"/>
      <c r="BC783" s="51"/>
      <c r="BD783" s="51"/>
    </row>
    <row r="784" spans="1:56">
      <c r="A784" s="51"/>
      <c r="U784" s="52"/>
      <c r="V784" s="52"/>
      <c r="W784" s="52"/>
      <c r="BA784" s="51"/>
      <c r="BB784" s="51"/>
      <c r="BC784" s="51"/>
      <c r="BD784" s="51"/>
    </row>
    <row r="785" spans="1:56">
      <c r="A785" s="51"/>
      <c r="U785" s="52"/>
      <c r="V785" s="52"/>
      <c r="W785" s="52"/>
      <c r="BA785" s="51"/>
      <c r="BB785" s="51"/>
      <c r="BC785" s="51"/>
      <c r="BD785" s="51"/>
    </row>
    <row r="786" spans="1:56">
      <c r="A786" s="51"/>
      <c r="U786" s="52"/>
      <c r="V786" s="52"/>
      <c r="W786" s="52"/>
      <c r="BA786" s="51"/>
      <c r="BB786" s="51"/>
      <c r="BC786" s="51"/>
      <c r="BD786" s="51"/>
    </row>
    <row r="787" spans="1:56">
      <c r="A787" s="51"/>
      <c r="U787" s="52"/>
      <c r="V787" s="52"/>
      <c r="W787" s="52"/>
      <c r="BA787" s="51"/>
      <c r="BB787" s="51"/>
      <c r="BC787" s="51"/>
      <c r="BD787" s="51"/>
    </row>
    <row r="788" spans="1:56">
      <c r="A788" s="51"/>
      <c r="U788" s="52"/>
      <c r="V788" s="52"/>
      <c r="W788" s="52"/>
      <c r="BA788" s="51"/>
      <c r="BB788" s="51"/>
      <c r="BC788" s="51"/>
      <c r="BD788" s="51"/>
    </row>
    <row r="789" spans="1:56">
      <c r="A789" s="51"/>
      <c r="U789" s="52"/>
      <c r="V789" s="52"/>
      <c r="W789" s="52"/>
      <c r="BA789" s="51"/>
      <c r="BB789" s="51"/>
      <c r="BC789" s="51"/>
      <c r="BD789" s="51"/>
    </row>
    <row r="790" spans="1:56">
      <c r="A790" s="51"/>
      <c r="U790" s="52"/>
      <c r="V790" s="52"/>
      <c r="W790" s="52"/>
      <c r="BA790" s="51"/>
      <c r="BB790" s="51"/>
      <c r="BC790" s="51"/>
      <c r="BD790" s="51"/>
    </row>
    <row r="791" spans="1:56">
      <c r="A791" s="51"/>
      <c r="U791" s="52"/>
      <c r="V791" s="52"/>
      <c r="W791" s="52"/>
      <c r="BA791" s="51"/>
      <c r="BB791" s="51"/>
      <c r="BC791" s="51"/>
      <c r="BD791" s="51"/>
    </row>
    <row r="792" spans="1:56">
      <c r="A792" s="51"/>
      <c r="U792" s="52"/>
      <c r="V792" s="52"/>
      <c r="W792" s="52"/>
      <c r="BA792" s="51"/>
      <c r="BB792" s="51"/>
      <c r="BC792" s="51"/>
      <c r="BD792" s="51"/>
    </row>
    <row r="793" spans="1:56">
      <c r="A793" s="51"/>
      <c r="U793" s="52"/>
      <c r="V793" s="52"/>
      <c r="W793" s="52"/>
      <c r="BA793" s="51"/>
      <c r="BB793" s="51"/>
      <c r="BC793" s="51"/>
      <c r="BD793" s="51"/>
    </row>
    <row r="794" spans="1:56">
      <c r="A794" s="51"/>
      <c r="U794" s="52"/>
      <c r="V794" s="52"/>
      <c r="W794" s="52"/>
      <c r="BA794" s="51"/>
      <c r="BB794" s="51"/>
      <c r="BC794" s="51"/>
      <c r="BD794" s="51"/>
    </row>
    <row r="795" spans="1:56">
      <c r="A795" s="51"/>
      <c r="U795" s="52"/>
      <c r="V795" s="52"/>
      <c r="W795" s="52"/>
      <c r="BA795" s="51"/>
      <c r="BB795" s="51"/>
      <c r="BC795" s="51"/>
      <c r="BD795" s="51"/>
    </row>
    <row r="796" spans="1:56">
      <c r="A796" s="51"/>
      <c r="U796" s="52"/>
      <c r="V796" s="52"/>
      <c r="W796" s="52"/>
      <c r="BA796" s="51"/>
      <c r="BB796" s="51"/>
      <c r="BC796" s="51"/>
      <c r="BD796" s="51"/>
    </row>
    <row r="797" spans="1:56">
      <c r="A797" s="51"/>
      <c r="U797" s="52"/>
      <c r="V797" s="52"/>
      <c r="W797" s="52"/>
      <c r="BA797" s="51"/>
      <c r="BB797" s="51"/>
      <c r="BC797" s="51"/>
      <c r="BD797" s="51"/>
    </row>
    <row r="798" spans="1:56">
      <c r="A798" s="51"/>
      <c r="U798" s="52"/>
      <c r="V798" s="52"/>
      <c r="W798" s="52"/>
      <c r="BA798" s="51"/>
      <c r="BB798" s="51"/>
      <c r="BC798" s="51"/>
      <c r="BD798" s="51"/>
    </row>
    <row r="799" spans="1:56">
      <c r="A799" s="51"/>
      <c r="U799" s="52"/>
      <c r="V799" s="52"/>
      <c r="W799" s="52"/>
      <c r="BA799" s="51"/>
      <c r="BB799" s="51"/>
      <c r="BC799" s="51"/>
      <c r="BD799" s="51"/>
    </row>
    <row r="800" spans="1:56">
      <c r="A800" s="51"/>
      <c r="U800" s="52"/>
      <c r="V800" s="52"/>
      <c r="W800" s="52"/>
      <c r="BA800" s="51"/>
      <c r="BB800" s="51"/>
      <c r="BC800" s="51"/>
      <c r="BD800" s="51"/>
    </row>
    <row r="801" spans="1:56">
      <c r="A801" s="51"/>
      <c r="U801" s="52"/>
      <c r="V801" s="52"/>
      <c r="W801" s="52"/>
      <c r="BA801" s="51"/>
      <c r="BB801" s="51"/>
      <c r="BC801" s="51"/>
      <c r="BD801" s="51"/>
    </row>
    <row r="802" spans="1:56">
      <c r="A802" s="51"/>
      <c r="U802" s="52"/>
      <c r="V802" s="52"/>
      <c r="W802" s="52"/>
      <c r="BA802" s="51"/>
      <c r="BB802" s="51"/>
      <c r="BC802" s="51"/>
      <c r="BD802" s="51"/>
    </row>
    <row r="803" spans="1:56">
      <c r="A803" s="51"/>
      <c r="U803" s="52"/>
      <c r="V803" s="52"/>
      <c r="W803" s="52"/>
      <c r="BA803" s="51"/>
      <c r="BB803" s="51"/>
      <c r="BC803" s="51"/>
      <c r="BD803" s="51"/>
    </row>
    <row r="804" spans="1:56">
      <c r="A804" s="51"/>
      <c r="U804" s="52"/>
      <c r="V804" s="52"/>
      <c r="W804" s="52"/>
      <c r="BA804" s="51"/>
      <c r="BB804" s="51"/>
      <c r="BC804" s="51"/>
      <c r="BD804" s="51"/>
    </row>
    <row r="805" spans="1:56">
      <c r="A805" s="51"/>
      <c r="U805" s="52"/>
      <c r="V805" s="52"/>
      <c r="W805" s="52"/>
      <c r="BA805" s="51"/>
      <c r="BB805" s="51"/>
      <c r="BC805" s="51"/>
      <c r="BD805" s="51"/>
    </row>
    <row r="806" spans="1:56">
      <c r="A806" s="51"/>
      <c r="U806" s="52"/>
      <c r="V806" s="52"/>
      <c r="W806" s="52"/>
      <c r="BA806" s="51"/>
      <c r="BB806" s="51"/>
      <c r="BC806" s="51"/>
      <c r="BD806" s="51"/>
    </row>
    <row r="807" spans="1:56">
      <c r="A807" s="51"/>
      <c r="U807" s="52"/>
      <c r="V807" s="52"/>
      <c r="W807" s="52"/>
      <c r="BA807" s="51"/>
      <c r="BB807" s="51"/>
      <c r="BC807" s="51"/>
      <c r="BD807" s="51"/>
    </row>
    <row r="808" spans="1:56">
      <c r="A808" s="51"/>
      <c r="U808" s="52"/>
      <c r="V808" s="52"/>
      <c r="W808" s="52"/>
      <c r="BA808" s="51"/>
      <c r="BB808" s="51"/>
      <c r="BC808" s="51"/>
      <c r="BD808" s="51"/>
    </row>
    <row r="809" spans="1:56">
      <c r="A809" s="51"/>
      <c r="U809" s="52"/>
      <c r="V809" s="52"/>
      <c r="W809" s="52"/>
      <c r="BA809" s="51"/>
      <c r="BB809" s="51"/>
      <c r="BC809" s="51"/>
      <c r="BD809" s="51"/>
    </row>
    <row r="810" spans="1:56">
      <c r="A810" s="51"/>
      <c r="U810" s="52"/>
      <c r="V810" s="52"/>
      <c r="W810" s="52"/>
      <c r="BA810" s="51"/>
      <c r="BB810" s="51"/>
      <c r="BC810" s="51"/>
      <c r="BD810" s="51"/>
    </row>
    <row r="811" spans="1:56">
      <c r="A811" s="51"/>
      <c r="U811" s="52"/>
      <c r="V811" s="52"/>
      <c r="W811" s="52"/>
      <c r="BA811" s="51"/>
      <c r="BB811" s="51"/>
      <c r="BC811" s="51"/>
      <c r="BD811" s="51"/>
    </row>
    <row r="812" spans="1:56">
      <c r="A812" s="51"/>
      <c r="U812" s="52"/>
      <c r="V812" s="52"/>
      <c r="W812" s="52"/>
      <c r="BA812" s="51"/>
      <c r="BB812" s="51"/>
      <c r="BC812" s="51"/>
      <c r="BD812" s="51"/>
    </row>
    <row r="813" spans="1:56">
      <c r="A813" s="51"/>
      <c r="U813" s="52"/>
      <c r="V813" s="52"/>
      <c r="W813" s="52"/>
      <c r="BA813" s="51"/>
      <c r="BB813" s="51"/>
      <c r="BC813" s="51"/>
      <c r="BD813" s="51"/>
    </row>
    <row r="814" spans="1:56">
      <c r="A814" s="51"/>
      <c r="U814" s="52"/>
      <c r="V814" s="52"/>
      <c r="W814" s="52"/>
      <c r="BA814" s="51"/>
      <c r="BB814" s="51"/>
      <c r="BC814" s="51"/>
      <c r="BD814" s="51"/>
    </row>
    <row r="815" spans="1:56">
      <c r="A815" s="51"/>
      <c r="U815" s="52"/>
      <c r="V815" s="52"/>
      <c r="W815" s="52"/>
      <c r="BA815" s="51"/>
      <c r="BB815" s="51"/>
      <c r="BC815" s="51"/>
      <c r="BD815" s="51"/>
    </row>
    <row r="816" spans="1:56">
      <c r="A816" s="51"/>
      <c r="U816" s="52"/>
      <c r="V816" s="52"/>
      <c r="W816" s="52"/>
      <c r="BA816" s="51"/>
      <c r="BB816" s="51"/>
      <c r="BC816" s="51"/>
      <c r="BD816" s="51"/>
    </row>
    <row r="817" spans="1:56">
      <c r="A817" s="51"/>
      <c r="U817" s="52"/>
      <c r="V817" s="52"/>
      <c r="W817" s="52"/>
      <c r="BA817" s="51"/>
      <c r="BB817" s="51"/>
      <c r="BC817" s="51"/>
      <c r="BD817" s="51"/>
    </row>
    <row r="818" spans="1:56">
      <c r="A818" s="51"/>
      <c r="U818" s="52"/>
      <c r="V818" s="52"/>
      <c r="W818" s="52"/>
      <c r="BA818" s="51"/>
      <c r="BB818" s="51"/>
      <c r="BC818" s="51"/>
      <c r="BD818" s="51"/>
    </row>
    <row r="819" spans="1:56">
      <c r="A819" s="51"/>
      <c r="U819" s="52"/>
      <c r="V819" s="52"/>
      <c r="W819" s="52"/>
      <c r="BA819" s="51"/>
      <c r="BB819" s="51"/>
      <c r="BC819" s="51"/>
      <c r="BD819" s="51"/>
    </row>
    <row r="820" spans="1:56">
      <c r="A820" s="51"/>
      <c r="U820" s="52"/>
      <c r="V820" s="52"/>
      <c r="W820" s="52"/>
      <c r="BA820" s="51"/>
      <c r="BB820" s="51"/>
      <c r="BC820" s="51"/>
      <c r="BD820" s="51"/>
    </row>
    <row r="821" spans="1:56">
      <c r="A821" s="51"/>
      <c r="U821" s="52"/>
      <c r="V821" s="52"/>
      <c r="W821" s="52"/>
      <c r="BA821" s="51"/>
      <c r="BB821" s="51"/>
      <c r="BC821" s="51"/>
      <c r="BD821" s="51"/>
    </row>
    <row r="822" spans="1:56">
      <c r="A822" s="51"/>
      <c r="U822" s="52"/>
      <c r="V822" s="52"/>
      <c r="W822" s="52"/>
      <c r="BA822" s="51"/>
      <c r="BB822" s="51"/>
      <c r="BC822" s="51"/>
      <c r="BD822" s="51"/>
    </row>
    <row r="823" spans="1:56">
      <c r="A823" s="51"/>
      <c r="U823" s="52"/>
      <c r="V823" s="52"/>
      <c r="W823" s="52"/>
      <c r="BA823" s="51"/>
      <c r="BB823" s="51"/>
      <c r="BC823" s="51"/>
      <c r="BD823" s="51"/>
    </row>
    <row r="824" spans="1:56">
      <c r="A824" s="51"/>
      <c r="U824" s="52"/>
      <c r="V824" s="52"/>
      <c r="W824" s="52"/>
      <c r="BA824" s="51"/>
      <c r="BB824" s="51"/>
      <c r="BC824" s="51"/>
      <c r="BD824" s="51"/>
    </row>
    <row r="825" spans="1:56">
      <c r="A825" s="51"/>
      <c r="U825" s="52"/>
      <c r="V825" s="52"/>
      <c r="W825" s="52"/>
      <c r="BA825" s="51"/>
      <c r="BB825" s="51"/>
      <c r="BC825" s="51"/>
      <c r="BD825" s="51"/>
    </row>
    <row r="826" spans="1:56">
      <c r="A826" s="51"/>
      <c r="U826" s="52"/>
      <c r="V826" s="52"/>
      <c r="W826" s="52"/>
      <c r="BA826" s="51"/>
      <c r="BB826" s="51"/>
      <c r="BC826" s="51"/>
      <c r="BD826" s="51"/>
    </row>
    <row r="827" spans="1:56">
      <c r="A827" s="51"/>
      <c r="U827" s="52"/>
      <c r="V827" s="52"/>
      <c r="W827" s="52"/>
      <c r="BA827" s="51"/>
      <c r="BB827" s="51"/>
      <c r="BC827" s="51"/>
      <c r="BD827" s="51"/>
    </row>
    <row r="828" spans="1:56">
      <c r="A828" s="51"/>
      <c r="U828" s="52"/>
      <c r="V828" s="52"/>
      <c r="W828" s="52"/>
      <c r="BA828" s="51"/>
      <c r="BB828" s="51"/>
      <c r="BC828" s="51"/>
      <c r="BD828" s="51"/>
    </row>
    <row r="829" spans="1:56">
      <c r="A829" s="51"/>
      <c r="U829" s="52"/>
      <c r="V829" s="52"/>
      <c r="W829" s="52"/>
      <c r="BA829" s="51"/>
      <c r="BB829" s="51"/>
      <c r="BC829" s="51"/>
      <c r="BD829" s="51"/>
    </row>
    <row r="830" spans="1:56">
      <c r="A830" s="51"/>
      <c r="U830" s="52"/>
      <c r="V830" s="52"/>
      <c r="W830" s="52"/>
      <c r="BA830" s="51"/>
      <c r="BB830" s="51"/>
      <c r="BC830" s="51"/>
      <c r="BD830" s="51"/>
    </row>
    <row r="831" spans="1:56">
      <c r="A831" s="51"/>
      <c r="U831" s="52"/>
      <c r="V831" s="52"/>
      <c r="W831" s="52"/>
      <c r="BA831" s="51"/>
      <c r="BB831" s="51"/>
      <c r="BC831" s="51"/>
      <c r="BD831" s="51"/>
    </row>
    <row r="832" spans="1:56">
      <c r="A832" s="51"/>
      <c r="U832" s="52"/>
      <c r="V832" s="52"/>
      <c r="W832" s="52"/>
      <c r="BA832" s="51"/>
      <c r="BB832" s="51"/>
      <c r="BC832" s="51"/>
      <c r="BD832" s="51"/>
    </row>
    <row r="833" spans="1:56">
      <c r="A833" s="51"/>
      <c r="U833" s="52"/>
      <c r="V833" s="52"/>
      <c r="W833" s="52"/>
      <c r="BA833" s="51"/>
      <c r="BB833" s="51"/>
      <c r="BC833" s="51"/>
      <c r="BD833" s="51"/>
    </row>
    <row r="834" spans="1:56">
      <c r="A834" s="51"/>
      <c r="U834" s="52"/>
      <c r="V834" s="52"/>
      <c r="W834" s="52"/>
      <c r="BA834" s="51"/>
      <c r="BB834" s="51"/>
      <c r="BC834" s="51"/>
      <c r="BD834" s="51"/>
    </row>
    <row r="835" spans="1:56">
      <c r="A835" s="51"/>
      <c r="U835" s="52"/>
      <c r="V835" s="52"/>
      <c r="W835" s="52"/>
      <c r="BA835" s="51"/>
      <c r="BB835" s="51"/>
      <c r="BC835" s="51"/>
      <c r="BD835" s="51"/>
    </row>
    <row r="836" spans="1:56">
      <c r="A836" s="51"/>
      <c r="U836" s="52"/>
      <c r="V836" s="52"/>
      <c r="W836" s="52"/>
      <c r="BA836" s="51"/>
      <c r="BB836" s="51"/>
      <c r="BC836" s="51"/>
      <c r="BD836" s="51"/>
    </row>
    <row r="837" spans="1:56">
      <c r="A837" s="51"/>
      <c r="U837" s="52"/>
      <c r="V837" s="52"/>
      <c r="W837" s="52"/>
      <c r="BA837" s="51"/>
      <c r="BB837" s="51"/>
      <c r="BC837" s="51"/>
      <c r="BD837" s="51"/>
    </row>
    <row r="870" spans="2:2">
      <c r="B870"/>
    </row>
    <row r="871" spans="2:2">
      <c r="B871"/>
    </row>
    <row r="872" spans="2:2">
      <c r="B872"/>
    </row>
    <row r="873" spans="2:2">
      <c r="B873"/>
    </row>
    <row r="874" spans="2:2">
      <c r="B874"/>
    </row>
    <row r="875" spans="2:2">
      <c r="B875"/>
    </row>
    <row r="876" spans="2:2">
      <c r="B876"/>
    </row>
    <row r="877" spans="2:2">
      <c r="B877"/>
    </row>
    <row r="878" spans="2:2">
      <c r="B878"/>
    </row>
    <row r="879" spans="2:2">
      <c r="B879"/>
    </row>
    <row r="880" spans="2:2">
      <c r="B880"/>
    </row>
    <row r="881" spans="2:2">
      <c r="B881"/>
    </row>
    <row r="882" spans="2:2">
      <c r="B882"/>
    </row>
    <row r="883" spans="2:2">
      <c r="B883"/>
    </row>
    <row r="884" spans="2:2">
      <c r="B884"/>
    </row>
    <row r="885" spans="2:2">
      <c r="B885"/>
    </row>
    <row r="886" spans="2:2">
      <c r="B886"/>
    </row>
    <row r="887" spans="2:2">
      <c r="B887"/>
    </row>
    <row r="888" spans="2:2">
      <c r="B888"/>
    </row>
    <row r="889" spans="2:2">
      <c r="B889"/>
    </row>
    <row r="890" spans="2:2">
      <c r="B890"/>
    </row>
    <row r="891" spans="2:2">
      <c r="B891"/>
    </row>
    <row r="892" spans="2:2">
      <c r="B892"/>
    </row>
    <row r="893" spans="2:2">
      <c r="B893"/>
    </row>
    <row r="894" spans="2:2">
      <c r="B894"/>
    </row>
    <row r="895" spans="2:2">
      <c r="B895"/>
    </row>
    <row r="896" spans="2:2">
      <c r="B896"/>
    </row>
    <row r="897" spans="2:2">
      <c r="B897"/>
    </row>
    <row r="898" spans="2:2">
      <c r="B898"/>
    </row>
    <row r="899" spans="2:2">
      <c r="B899"/>
    </row>
    <row r="900" spans="2:2">
      <c r="B900"/>
    </row>
    <row r="901" spans="2:2">
      <c r="B901"/>
    </row>
    <row r="902" spans="2:2">
      <c r="B902"/>
    </row>
    <row r="903" spans="2:2">
      <c r="B903"/>
    </row>
    <row r="904" spans="2:2">
      <c r="B904"/>
    </row>
    <row r="905" spans="2:2">
      <c r="B905"/>
    </row>
    <row r="906" spans="2:2">
      <c r="B906"/>
    </row>
    <row r="907" spans="2:2">
      <c r="B907"/>
    </row>
    <row r="908" spans="2:2">
      <c r="B908"/>
    </row>
    <row r="909" spans="2:2">
      <c r="B909"/>
    </row>
    <row r="910" spans="2:2">
      <c r="B910"/>
    </row>
    <row r="911" spans="2:2">
      <c r="B911"/>
    </row>
    <row r="912" spans="2:2">
      <c r="B912"/>
    </row>
    <row r="913" spans="2:2">
      <c r="B913"/>
    </row>
    <row r="914" spans="2:2">
      <c r="B914"/>
    </row>
    <row r="915" spans="2:2">
      <c r="B915"/>
    </row>
    <row r="916" spans="2:2">
      <c r="B916"/>
    </row>
    <row r="917" spans="2:2">
      <c r="B917"/>
    </row>
    <row r="918" spans="2:2">
      <c r="B918"/>
    </row>
    <row r="919" spans="2:2">
      <c r="B919"/>
    </row>
    <row r="920" spans="2:2">
      <c r="B920"/>
    </row>
    <row r="921" spans="2:2">
      <c r="B921"/>
    </row>
    <row r="922" spans="2:2">
      <c r="B922"/>
    </row>
    <row r="923" spans="2:2">
      <c r="B923"/>
    </row>
    <row r="924" spans="2:2">
      <c r="B924"/>
    </row>
    <row r="925" spans="2:2">
      <c r="B925"/>
    </row>
    <row r="926" spans="2:2">
      <c r="B926"/>
    </row>
    <row r="927" spans="2:2">
      <c r="B927"/>
    </row>
    <row r="928" spans="2:2">
      <c r="B928"/>
    </row>
    <row r="929" spans="2:2">
      <c r="B929"/>
    </row>
    <row r="930" spans="2:2">
      <c r="B930"/>
    </row>
    <row r="931" spans="2:2">
      <c r="B931"/>
    </row>
    <row r="932" spans="2:2">
      <c r="B932"/>
    </row>
    <row r="933" spans="2:2">
      <c r="B933"/>
    </row>
    <row r="934" spans="2:2">
      <c r="B934"/>
    </row>
    <row r="935" spans="2:2">
      <c r="B935"/>
    </row>
    <row r="936" spans="2:2">
      <c r="B936"/>
    </row>
    <row r="937" spans="2:2">
      <c r="B937"/>
    </row>
    <row r="938" spans="2:2">
      <c r="B938"/>
    </row>
    <row r="939" spans="2:2">
      <c r="B939"/>
    </row>
    <row r="940" spans="2:2">
      <c r="B940"/>
    </row>
    <row r="941" spans="2:2">
      <c r="B941"/>
    </row>
    <row r="942" spans="2:2">
      <c r="B942"/>
    </row>
    <row r="943" spans="2:2">
      <c r="B943"/>
    </row>
    <row r="944" spans="2:2">
      <c r="B944"/>
    </row>
    <row r="945" spans="2:2">
      <c r="B945"/>
    </row>
    <row r="946" spans="2:2">
      <c r="B946"/>
    </row>
    <row r="947" spans="2:2">
      <c r="B947"/>
    </row>
    <row r="948" spans="2:2">
      <c r="B948"/>
    </row>
    <row r="949" spans="2:2">
      <c r="B949"/>
    </row>
    <row r="950" spans="2:2">
      <c r="B950"/>
    </row>
    <row r="951" spans="2:2">
      <c r="B951"/>
    </row>
    <row r="952" spans="2:2">
      <c r="B952"/>
    </row>
    <row r="953" spans="2:2">
      <c r="B953"/>
    </row>
    <row r="954" spans="2:2">
      <c r="B954"/>
    </row>
    <row r="955" spans="2:2">
      <c r="B955"/>
    </row>
    <row r="956" spans="2:2">
      <c r="B956"/>
    </row>
    <row r="957" spans="2:2">
      <c r="B957"/>
    </row>
    <row r="958" spans="2:2">
      <c r="B958"/>
    </row>
    <row r="959" spans="2:2">
      <c r="B959"/>
    </row>
    <row r="960" spans="2:2">
      <c r="B960"/>
    </row>
    <row r="961" spans="2:2">
      <c r="B961"/>
    </row>
    <row r="962" spans="2:2">
      <c r="B962"/>
    </row>
    <row r="963" spans="2:2">
      <c r="B963"/>
    </row>
    <row r="964" spans="2:2">
      <c r="B964"/>
    </row>
    <row r="965" spans="2:2">
      <c r="B965"/>
    </row>
    <row r="966" spans="2:2">
      <c r="B966"/>
    </row>
    <row r="967" spans="2:2">
      <c r="B967"/>
    </row>
    <row r="968" spans="2:2">
      <c r="B968"/>
    </row>
    <row r="969" spans="2:2">
      <c r="B969"/>
    </row>
    <row r="970" spans="2:2">
      <c r="B970"/>
    </row>
    <row r="971" spans="2:2">
      <c r="B971"/>
    </row>
    <row r="972" spans="2:2">
      <c r="B972"/>
    </row>
    <row r="973" spans="2:2">
      <c r="B973"/>
    </row>
    <row r="974" spans="2:2">
      <c r="B974"/>
    </row>
    <row r="975" spans="2:2">
      <c r="B975"/>
    </row>
    <row r="976" spans="2:2">
      <c r="B976"/>
    </row>
    <row r="977" spans="2:2">
      <c r="B977"/>
    </row>
    <row r="978" spans="2:2">
      <c r="B978"/>
    </row>
    <row r="979" spans="2:2">
      <c r="B979"/>
    </row>
    <row r="980" spans="2:2">
      <c r="B980"/>
    </row>
    <row r="981" spans="2:2">
      <c r="B981"/>
    </row>
  </sheetData>
  <autoFilter ref="A8:BN736" xr:uid="{00000000-0001-0000-0C00-000000000000}"/>
  <sortState xmlns:xlrd2="http://schemas.microsoft.com/office/spreadsheetml/2017/richdata2" ref="A298:AV328">
    <sortCondition ref="A298:A328"/>
  </sortState>
  <mergeCells count="22">
    <mergeCell ref="C6:F6"/>
    <mergeCell ref="AA6:AA7"/>
    <mergeCell ref="V6:V7"/>
    <mergeCell ref="X6:Z6"/>
    <mergeCell ref="H6:H7"/>
    <mergeCell ref="U6:U7"/>
    <mergeCell ref="BK6:BN6"/>
    <mergeCell ref="BA2:BN2"/>
    <mergeCell ref="K6:N6"/>
    <mergeCell ref="Q6:T6"/>
    <mergeCell ref="BA6:BD6"/>
    <mergeCell ref="BF6:BI6"/>
    <mergeCell ref="B1:AH3"/>
    <mergeCell ref="AE6:AE7"/>
    <mergeCell ref="AF6:AF7"/>
    <mergeCell ref="AG6:AG7"/>
    <mergeCell ref="AH6:AH7"/>
    <mergeCell ref="AC6:AC7"/>
    <mergeCell ref="AD6:AD7"/>
    <mergeCell ref="B6:B7"/>
    <mergeCell ref="AB6:AB7"/>
    <mergeCell ref="W6:W7"/>
  </mergeCells>
  <phoneticPr fontId="73" type="noConversion"/>
  <conditionalFormatting sqref="A531 A548:A559">
    <cfRule type="duplicateValues" dxfId="38" priority="462"/>
  </conditionalFormatting>
  <conditionalFormatting sqref="A532:A547">
    <cfRule type="duplicateValues" dxfId="37" priority="19"/>
  </conditionalFormatting>
  <conditionalFormatting sqref="A560">
    <cfRule type="duplicateValues" dxfId="36" priority="437"/>
  </conditionalFormatting>
  <conditionalFormatting sqref="A562">
    <cfRule type="duplicateValues" dxfId="35" priority="39"/>
  </conditionalFormatting>
  <conditionalFormatting sqref="A564">
    <cfRule type="duplicateValues" dxfId="34" priority="37"/>
  </conditionalFormatting>
  <conditionalFormatting sqref="A567:A568">
    <cfRule type="duplicateValues" dxfId="33" priority="16"/>
  </conditionalFormatting>
  <conditionalFormatting sqref="A577:A582">
    <cfRule type="duplicateValues" dxfId="32" priority="15"/>
  </conditionalFormatting>
  <conditionalFormatting sqref="A584">
    <cfRule type="duplicateValues" dxfId="31" priority="14"/>
  </conditionalFormatting>
  <conditionalFormatting sqref="A586:A587">
    <cfRule type="duplicateValues" dxfId="30" priority="13"/>
  </conditionalFormatting>
  <conditionalFormatting sqref="A589:A590">
    <cfRule type="duplicateValues" dxfId="29" priority="12"/>
  </conditionalFormatting>
  <conditionalFormatting sqref="A592:A595">
    <cfRule type="duplicateValues" dxfId="28" priority="11"/>
  </conditionalFormatting>
  <conditionalFormatting sqref="A598:A605">
    <cfRule type="duplicateValues" dxfId="27" priority="10"/>
  </conditionalFormatting>
  <conditionalFormatting sqref="A607:A614">
    <cfRule type="duplicateValues" dxfId="26" priority="9"/>
  </conditionalFormatting>
  <conditionalFormatting sqref="A634:A635">
    <cfRule type="duplicateValues" dxfId="25" priority="8"/>
  </conditionalFormatting>
  <conditionalFormatting sqref="A637">
    <cfRule type="duplicateValues" dxfId="24" priority="7"/>
  </conditionalFormatting>
  <conditionalFormatting sqref="A642">
    <cfRule type="duplicateValues" dxfId="23" priority="6"/>
  </conditionalFormatting>
  <conditionalFormatting sqref="A658">
    <cfRule type="duplicateValues" dxfId="22" priority="5"/>
  </conditionalFormatting>
  <conditionalFormatting sqref="A668:A682">
    <cfRule type="duplicateValues" dxfId="21" priority="4"/>
  </conditionalFormatting>
  <conditionalFormatting sqref="A698">
    <cfRule type="duplicateValues" dxfId="20" priority="35"/>
  </conditionalFormatting>
  <conditionalFormatting sqref="A699">
    <cfRule type="duplicateValues" dxfId="19" priority="33"/>
  </conditionalFormatting>
  <conditionalFormatting sqref="A700:A714">
    <cfRule type="duplicateValues" dxfId="18" priority="3"/>
  </conditionalFormatting>
  <conditionalFormatting sqref="A715 A563 A561 A565:A566 A9:A530 A569:A576 A583 A585 A588 A591 A596:A597 A606 A615:A633 A636 A638:A641 A643:A657 A659:A667 A683:A697 A721:A724 A731:A734">
    <cfRule type="duplicateValues" dxfId="17" priority="268"/>
  </conditionalFormatting>
  <conditionalFormatting sqref="A716:A720">
    <cfRule type="duplicateValues" dxfId="16" priority="2"/>
  </conditionalFormatting>
  <conditionalFormatting sqref="A725:A730">
    <cfRule type="duplicateValues" dxfId="15" priority="1"/>
  </conditionalFormatting>
  <conditionalFormatting sqref="A735:A746">
    <cfRule type="duplicateValues" dxfId="14" priority="58"/>
  </conditionalFormatting>
  <conditionalFormatting sqref="B531 B548:B559">
    <cfRule type="duplicateValues" dxfId="13" priority="465"/>
  </conditionalFormatting>
  <conditionalFormatting sqref="B532:B547">
    <cfRule type="duplicateValues" dxfId="12" priority="18"/>
  </conditionalFormatting>
  <conditionalFormatting sqref="B560">
    <cfRule type="duplicateValues" dxfId="11" priority="442"/>
  </conditionalFormatting>
  <conditionalFormatting sqref="B562">
    <cfRule type="duplicateValues" dxfId="10" priority="38"/>
  </conditionalFormatting>
  <conditionalFormatting sqref="B564">
    <cfRule type="duplicateValues" dxfId="9" priority="36"/>
  </conditionalFormatting>
  <conditionalFormatting sqref="B698">
    <cfRule type="duplicateValues" dxfId="8" priority="34"/>
  </conditionalFormatting>
  <conditionalFormatting sqref="B699">
    <cfRule type="duplicateValues" dxfId="7" priority="32"/>
  </conditionalFormatting>
  <conditionalFormatting sqref="B982:B1048576 B563 B561 B1:B530 B565:B697 B700:B869">
    <cfRule type="duplicateValues" dxfId="6" priority="56"/>
  </conditionalFormatting>
  <conditionalFormatting sqref="G1:G1048576">
    <cfRule type="containsText" dxfId="5" priority="17" operator="containsText" text="retire">
      <formula>NOT(ISERROR(SEARCH("retire",G1)))</formula>
    </cfRule>
  </conditionalFormatting>
  <conditionalFormatting sqref="BC7:BC8">
    <cfRule type="duplicateValues" dxfId="4" priority="21"/>
  </conditionalFormatting>
  <conditionalFormatting sqref="BD88:BD131">
    <cfRule type="duplicateValues" dxfId="3" priority="29"/>
  </conditionalFormatting>
  <conditionalFormatting sqref="BE2870:BE1048576">
    <cfRule type="cellIs" dxfId="2" priority="54" operator="lessThan">
      <formula>1</formula>
    </cfRule>
  </conditionalFormatting>
  <conditionalFormatting sqref="BH7:BH8">
    <cfRule type="duplicateValues" dxfId="1" priority="20"/>
  </conditionalFormatting>
  <printOptions horizontalCentered="1"/>
  <pageMargins left="0.5" right="0.5" top="0.75" bottom="0.75" header="0.3" footer="0.3"/>
  <pageSetup scale="15" fitToHeight="0" orientation="landscape" r:id="rId1"/>
  <colBreaks count="1" manualBreakCount="1">
    <brk id="1" max="1048575" man="1"/>
  </col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
    <tabColor theme="1"/>
    <pageSetUpPr fitToPage="1"/>
  </sheetPr>
  <dimension ref="A1:U866"/>
  <sheetViews>
    <sheetView zoomScale="70" zoomScaleNormal="70" workbookViewId="0"/>
  </sheetViews>
  <sheetFormatPr defaultColWidth="9.28515625" defaultRowHeight="15"/>
  <cols>
    <col min="1" max="1" width="53.28515625" style="52" customWidth="1"/>
    <col min="2" max="2" width="16.7109375" style="52" customWidth="1"/>
    <col min="3" max="3" width="12.28515625" style="52" customWidth="1"/>
    <col min="4" max="7" width="9.5703125" style="52" bestFit="1" customWidth="1"/>
    <col min="8" max="8" width="9.28515625" style="52" bestFit="1" customWidth="1"/>
    <col min="9" max="9" width="9.28515625" style="52"/>
    <col min="10" max="10" width="17.28515625" style="52" customWidth="1"/>
    <col min="11" max="11" width="14.42578125" style="52" customWidth="1"/>
    <col min="12" max="13" width="9.28515625" style="52"/>
    <col min="14" max="14" width="13.5703125" style="52" customWidth="1"/>
    <col min="15" max="20" width="9.28515625" style="52"/>
    <col min="21" max="21" width="12.42578125" style="52" customWidth="1"/>
    <col min="22" max="16384" width="9.28515625" style="52"/>
  </cols>
  <sheetData>
    <row r="1" spans="1:21">
      <c r="A1" s="61"/>
      <c r="B1" s="61"/>
      <c r="C1" s="61"/>
      <c r="D1" s="61"/>
      <c r="E1" s="61"/>
      <c r="F1" s="61"/>
      <c r="G1" s="61"/>
      <c r="H1" s="61"/>
      <c r="I1" s="52" t="s">
        <v>3779</v>
      </c>
      <c r="J1" s="2179" t="s">
        <v>3780</v>
      </c>
      <c r="K1"/>
      <c r="L1"/>
      <c r="M1"/>
      <c r="N1"/>
      <c r="O1"/>
      <c r="P1"/>
      <c r="Q1"/>
      <c r="R1"/>
    </row>
    <row r="2" spans="1:21">
      <c r="B2" s="1996" t="s">
        <v>3781</v>
      </c>
      <c r="C2" s="1996"/>
      <c r="D2" s="1996"/>
      <c r="E2" s="1996"/>
      <c r="F2" s="1996"/>
      <c r="G2" s="1996"/>
      <c r="H2" s="1997"/>
      <c r="K2" s="1998"/>
      <c r="N2" s="1999"/>
    </row>
    <row r="3" spans="1:21">
      <c r="A3" s="1378" t="s">
        <v>1417</v>
      </c>
      <c r="B3" s="1973">
        <v>2025</v>
      </c>
      <c r="C3" s="1973">
        <v>2026</v>
      </c>
      <c r="D3" s="19">
        <v>2027</v>
      </c>
      <c r="E3" s="19">
        <v>2028</v>
      </c>
      <c r="F3" s="19">
        <v>2029</v>
      </c>
      <c r="G3" s="19">
        <v>2030</v>
      </c>
      <c r="H3" s="19">
        <v>2031</v>
      </c>
      <c r="I3" s="51"/>
      <c r="J3" s="51"/>
      <c r="K3" s="51"/>
      <c r="L3" s="51"/>
      <c r="M3" s="51"/>
    </row>
    <row r="4" spans="1:21">
      <c r="A4" s="2185" t="s">
        <v>3782</v>
      </c>
      <c r="B4" s="2184">
        <v>6.9716271613440697E-2</v>
      </c>
      <c r="C4" s="2184">
        <v>6.3109478788013804E-2</v>
      </c>
      <c r="D4" s="1378">
        <v>5.59776275933562E-2</v>
      </c>
      <c r="E4" s="1378">
        <v>5.4985269379490498E-2</v>
      </c>
      <c r="F4" s="1378">
        <v>5.4619524087442903E-2</v>
      </c>
      <c r="G4" s="1378"/>
      <c r="H4" s="1378"/>
      <c r="J4" s="41" t="s">
        <v>3783</v>
      </c>
      <c r="K4" s="2186">
        <v>2025</v>
      </c>
      <c r="L4" s="41"/>
      <c r="M4" s="41"/>
      <c r="N4" s="1606"/>
      <c r="O4" s="1606"/>
      <c r="P4" s="532"/>
      <c r="R4" s="2000"/>
      <c r="S4" s="2000"/>
      <c r="T4" s="2000"/>
      <c r="U4" s="2000"/>
    </row>
    <row r="5" spans="1:21">
      <c r="A5" s="2185" t="s">
        <v>3784</v>
      </c>
      <c r="B5" s="2184">
        <v>0.533208885762264</v>
      </c>
      <c r="C5" s="2184">
        <v>0.50286397471632904</v>
      </c>
      <c r="D5" s="1378">
        <v>0.47741180113305798</v>
      </c>
      <c r="E5" s="1378">
        <v>0.45743606583441199</v>
      </c>
      <c r="F5" s="1378">
        <v>0.436633971133562</v>
      </c>
      <c r="G5" s="1378"/>
      <c r="H5" s="1378"/>
      <c r="J5" s="41" t="s">
        <v>3785</v>
      </c>
      <c r="K5" s="41">
        <v>2027</v>
      </c>
      <c r="L5" s="41"/>
      <c r="M5" s="41"/>
      <c r="N5" s="1606"/>
      <c r="O5" s="1606"/>
      <c r="P5" s="532"/>
      <c r="R5" s="2000"/>
      <c r="S5" s="2000"/>
      <c r="T5" s="2000"/>
    </row>
    <row r="6" spans="1:21">
      <c r="A6" s="2185" t="s">
        <v>3786</v>
      </c>
      <c r="B6" s="2184">
        <v>0.57258024632977</v>
      </c>
      <c r="C6" s="2184">
        <v>0.54052127992107202</v>
      </c>
      <c r="D6" s="1378">
        <v>0.51341369342776799</v>
      </c>
      <c r="E6" s="1378">
        <v>0.491619240513052</v>
      </c>
      <c r="F6" s="1378">
        <v>0.46931437560960099</v>
      </c>
      <c r="G6" s="1378"/>
      <c r="H6" s="1378"/>
      <c r="J6" s="41" t="s">
        <v>3787</v>
      </c>
      <c r="K6" s="2187">
        <v>6.8599999999999994E-2</v>
      </c>
      <c r="L6" s="41"/>
      <c r="M6" s="41"/>
      <c r="N6" s="1606"/>
      <c r="O6" s="1606"/>
      <c r="P6" s="532"/>
      <c r="R6" s="2000"/>
      <c r="S6" s="2000"/>
      <c r="T6" s="2000"/>
    </row>
    <row r="7" spans="1:21">
      <c r="A7" s="2185" t="s">
        <v>3788</v>
      </c>
      <c r="B7" s="2184">
        <v>0.61023755153451198</v>
      </c>
      <c r="C7" s="2184">
        <v>0.57652317221578198</v>
      </c>
      <c r="D7" s="1378">
        <v>0.54759686810640795</v>
      </c>
      <c r="E7" s="1378">
        <v>0.52429964498909098</v>
      </c>
      <c r="F7" s="1378">
        <v>0.50055810790656297</v>
      </c>
      <c r="G7" s="1378"/>
      <c r="H7" s="1378"/>
      <c r="J7" s="41" t="s">
        <v>3789</v>
      </c>
      <c r="K7" s="41">
        <v>0.02</v>
      </c>
      <c r="L7" s="41"/>
      <c r="M7" s="41"/>
      <c r="N7" s="1606"/>
      <c r="O7" s="1606"/>
      <c r="P7" s="532"/>
      <c r="R7" s="2000"/>
      <c r="S7" s="2000"/>
      <c r="T7" s="2000"/>
    </row>
    <row r="8" spans="1:21">
      <c r="A8" s="2185" t="s">
        <v>3790</v>
      </c>
      <c r="B8" s="2184">
        <v>0.64623944382922305</v>
      </c>
      <c r="C8" s="2184">
        <v>0.61070634689442205</v>
      </c>
      <c r="D8" s="1378">
        <v>0.58027727258244699</v>
      </c>
      <c r="E8" s="1378">
        <v>0.55554337728605296</v>
      </c>
      <c r="F8" s="1378">
        <v>0.53042835731331395</v>
      </c>
      <c r="G8" s="1378"/>
      <c r="H8" s="1378"/>
      <c r="J8" s="41" t="s">
        <v>3791</v>
      </c>
      <c r="K8" s="2188">
        <v>2025</v>
      </c>
      <c r="L8" s="41" t="s">
        <v>3792</v>
      </c>
      <c r="M8" s="41"/>
      <c r="N8" s="1606"/>
      <c r="O8" s="1606"/>
      <c r="P8" s="532"/>
      <c r="R8" s="2000"/>
      <c r="S8" s="2000"/>
      <c r="T8" s="2000"/>
    </row>
    <row r="9" spans="1:21">
      <c r="A9" s="2185" t="s">
        <v>3793</v>
      </c>
      <c r="B9" s="2184">
        <v>0.68042261850786301</v>
      </c>
      <c r="C9" s="2184">
        <v>0.64338675137046097</v>
      </c>
      <c r="D9" s="1378">
        <v>0.61152100487940897</v>
      </c>
      <c r="E9" s="1378">
        <v>0.58541362669280395</v>
      </c>
      <c r="F9" s="1378">
        <v>0.55898553245286198</v>
      </c>
      <c r="G9" s="1378"/>
      <c r="H9" s="1378"/>
      <c r="N9" s="532"/>
      <c r="O9" s="532"/>
      <c r="P9" s="532"/>
      <c r="R9" s="2000"/>
      <c r="S9" s="2000"/>
      <c r="T9" s="2000"/>
    </row>
    <row r="10" spans="1:21">
      <c r="A10" s="2185" t="s">
        <v>3794</v>
      </c>
      <c r="B10" s="2184">
        <v>0.71310302298390205</v>
      </c>
      <c r="C10" s="2184">
        <v>0.67463048366742295</v>
      </c>
      <c r="D10" s="1378">
        <v>0.64139125428615995</v>
      </c>
      <c r="E10" s="1378">
        <v>0.61397080183235198</v>
      </c>
      <c r="F10" s="1378">
        <v>0.58628738370945699</v>
      </c>
      <c r="G10" s="1378"/>
      <c r="H10" s="1378"/>
      <c r="N10" s="532"/>
      <c r="O10" s="532"/>
      <c r="P10" s="532"/>
      <c r="R10" s="2000"/>
      <c r="S10" s="2000"/>
      <c r="T10" s="2000"/>
    </row>
    <row r="11" spans="1:21">
      <c r="A11" s="2185" t="s">
        <v>3795</v>
      </c>
      <c r="B11" s="2184">
        <v>0.74434675528086403</v>
      </c>
      <c r="C11" s="2184">
        <v>0.70450073307417405</v>
      </c>
      <c r="D11" s="1378">
        <v>0.66994842942570798</v>
      </c>
      <c r="E11" s="1378">
        <v>0.64127265308894699</v>
      </c>
      <c r="F11" s="1378">
        <v>0.61244655111442303</v>
      </c>
      <c r="G11" s="1378"/>
      <c r="H11" s="1378"/>
      <c r="N11" s="532"/>
      <c r="O11" s="532"/>
      <c r="P11" s="532"/>
      <c r="R11" s="2000"/>
      <c r="S11" s="2000"/>
      <c r="T11" s="2000"/>
    </row>
    <row r="12" spans="1:21">
      <c r="A12" s="2185" t="s">
        <v>3796</v>
      </c>
      <c r="B12" s="2184">
        <v>0.77421700468761501</v>
      </c>
      <c r="C12" s="2184">
        <v>0.73305790821372196</v>
      </c>
      <c r="D12" s="1378">
        <v>0.69725028068230299</v>
      </c>
      <c r="E12" s="1378">
        <v>0.66743182049391403</v>
      </c>
      <c r="F12" s="1378">
        <v>0.637455771710566</v>
      </c>
      <c r="G12" s="1378"/>
      <c r="H12" s="1378"/>
      <c r="N12" s="532"/>
      <c r="O12" s="532"/>
      <c r="P12" s="532"/>
      <c r="R12" s="2000"/>
      <c r="S12" s="2000"/>
      <c r="T12" s="2000"/>
    </row>
    <row r="13" spans="1:21">
      <c r="A13" s="2185" t="s">
        <v>3797</v>
      </c>
      <c r="B13" s="2184">
        <v>0.80277417982716304</v>
      </c>
      <c r="C13" s="2184">
        <v>0.76035975947031798</v>
      </c>
      <c r="D13" s="1378">
        <v>0.72340944808727004</v>
      </c>
      <c r="E13" s="1378">
        <v>0.692441041090057</v>
      </c>
      <c r="F13" s="1378">
        <v>0.66136562176815406</v>
      </c>
      <c r="G13" s="1378"/>
      <c r="H13" s="1378"/>
      <c r="N13" s="532"/>
      <c r="O13" s="532"/>
      <c r="P13" s="532"/>
      <c r="R13" s="2000"/>
      <c r="S13" s="2000"/>
      <c r="T13" s="2000"/>
    </row>
    <row r="14" spans="1:21">
      <c r="A14" s="2185" t="s">
        <v>3798</v>
      </c>
      <c r="B14" s="2184">
        <v>0.83007603108375805</v>
      </c>
      <c r="C14" s="2184">
        <v>0.78651892687528402</v>
      </c>
      <c r="D14" s="1378">
        <v>0.748418668683413</v>
      </c>
      <c r="E14" s="1378">
        <v>0.71635089114764505</v>
      </c>
      <c r="F14" s="1378">
        <v>0.68422445201905602</v>
      </c>
      <c r="G14" s="1378"/>
      <c r="H14" s="1378"/>
      <c r="N14" s="532"/>
      <c r="O14" s="532"/>
      <c r="P14" s="532"/>
      <c r="R14" s="2000"/>
      <c r="S14" s="2000"/>
      <c r="T14" s="2000"/>
    </row>
    <row r="15" spans="1:21">
      <c r="A15" s="2185" t="s">
        <v>3799</v>
      </c>
      <c r="B15" s="2184">
        <v>0.132825750401454</v>
      </c>
      <c r="C15" s="2184">
        <v>0.11908710638137</v>
      </c>
      <c r="D15" s="1378">
        <v>0.110962896972847</v>
      </c>
      <c r="E15" s="1378">
        <v>0.109604793466933</v>
      </c>
      <c r="F15" s="1378">
        <v>0.10768131933181101</v>
      </c>
      <c r="G15" s="1378"/>
      <c r="H15" s="1378"/>
      <c r="N15" s="532"/>
      <c r="O15" s="532"/>
      <c r="P15" s="532"/>
      <c r="R15" s="2000"/>
      <c r="S15" s="2000"/>
      <c r="T15" s="2000"/>
    </row>
    <row r="16" spans="1:21">
      <c r="A16" s="2185" t="s">
        <v>3800</v>
      </c>
      <c r="B16" s="2184">
        <v>0.85623519848872498</v>
      </c>
      <c r="C16" s="2184">
        <v>0.81152814747142699</v>
      </c>
      <c r="D16" s="1378">
        <v>0.77232851874100095</v>
      </c>
      <c r="E16" s="1378">
        <v>0.73920972139854602</v>
      </c>
      <c r="F16" s="1378">
        <v>0.70607848563878794</v>
      </c>
      <c r="G16" s="1378"/>
      <c r="H16" s="1378"/>
      <c r="N16" s="532"/>
      <c r="O16" s="532"/>
      <c r="P16" s="532"/>
      <c r="R16" s="2000"/>
      <c r="S16" s="2000"/>
      <c r="T16" s="2000"/>
    </row>
    <row r="17" spans="1:20">
      <c r="A17" s="2185" t="s">
        <v>3801</v>
      </c>
      <c r="B17" s="2184">
        <v>0.88124441908486695</v>
      </c>
      <c r="C17" s="2184">
        <v>0.83543799752901504</v>
      </c>
      <c r="D17" s="1378">
        <v>0.79518734899190302</v>
      </c>
      <c r="E17" s="1378">
        <v>0.76106375501827805</v>
      </c>
      <c r="F17" s="1378">
        <v>0.72697191191252897</v>
      </c>
      <c r="G17" s="1378"/>
      <c r="H17" s="1378"/>
      <c r="N17" s="532"/>
      <c r="O17" s="532"/>
      <c r="P17" s="532"/>
      <c r="R17" s="2000"/>
      <c r="S17" s="2000"/>
      <c r="T17" s="2000"/>
    </row>
    <row r="18" spans="1:20">
      <c r="A18" s="2185" t="s">
        <v>3802</v>
      </c>
      <c r="B18" s="2184">
        <v>0.905154269142456</v>
      </c>
      <c r="C18" s="2184">
        <v>0.858296827779917</v>
      </c>
      <c r="D18" s="1378">
        <v>0.81704138261163495</v>
      </c>
      <c r="E18" s="1378">
        <v>0.78195718129201996</v>
      </c>
      <c r="F18" s="1378">
        <v>0.74652406077434996</v>
      </c>
      <c r="G18" s="1378"/>
      <c r="H18" s="1378"/>
      <c r="N18" s="532"/>
      <c r="O18" s="532"/>
      <c r="P18" s="532"/>
      <c r="R18" s="2000"/>
      <c r="S18" s="2000"/>
      <c r="T18" s="2000"/>
    </row>
    <row r="19" spans="1:20">
      <c r="A19" s="2185" t="s">
        <v>3803</v>
      </c>
      <c r="B19" s="2184">
        <v>0.92801309939335697</v>
      </c>
      <c r="C19" s="2184">
        <v>0.88015086139964804</v>
      </c>
      <c r="D19" s="1378">
        <v>0.83793480888537597</v>
      </c>
      <c r="E19" s="1378">
        <v>0.80150933015383996</v>
      </c>
      <c r="F19" s="1378">
        <v>0.76482103706278404</v>
      </c>
      <c r="G19" s="1378"/>
      <c r="H19" s="1378"/>
      <c r="N19" s="532"/>
      <c r="O19" s="532"/>
      <c r="P19" s="532"/>
      <c r="R19" s="2000"/>
      <c r="S19" s="2000"/>
      <c r="T19" s="2000"/>
    </row>
    <row r="20" spans="1:20">
      <c r="A20" s="2185" t="s">
        <v>3804</v>
      </c>
      <c r="B20" s="2184">
        <v>0.949867133013089</v>
      </c>
      <c r="C20" s="2184">
        <v>0.90104428767338995</v>
      </c>
      <c r="D20" s="1378">
        <v>0.85748695774719697</v>
      </c>
      <c r="E20" s="1378">
        <v>0.81980630644227404</v>
      </c>
      <c r="F20" s="1378">
        <v>0.78194341801770995</v>
      </c>
      <c r="G20" s="1378"/>
      <c r="H20" s="1378"/>
      <c r="N20" s="532"/>
      <c r="O20" s="532"/>
      <c r="P20" s="532"/>
      <c r="R20" s="2000"/>
      <c r="S20" s="2000"/>
      <c r="T20" s="2000"/>
    </row>
    <row r="21" spans="1:20">
      <c r="A21" s="2185" t="s">
        <v>3805</v>
      </c>
      <c r="B21" s="2184">
        <v>0.97076055928683003</v>
      </c>
      <c r="C21" s="2184">
        <v>0.92059643653520995</v>
      </c>
      <c r="D21" s="1378">
        <v>0.87578393403563004</v>
      </c>
      <c r="E21" s="1378">
        <v>0.83692868739720006</v>
      </c>
      <c r="F21" s="1378">
        <v>0.79796660813087295</v>
      </c>
      <c r="G21" s="1378"/>
      <c r="H21" s="1378"/>
      <c r="N21" s="532"/>
      <c r="O21" s="532"/>
      <c r="P21" s="532"/>
      <c r="R21" s="2000"/>
      <c r="S21" s="2000"/>
      <c r="T21" s="2000"/>
    </row>
    <row r="22" spans="1:20">
      <c r="A22" s="2185" t="s">
        <v>3806</v>
      </c>
      <c r="B22" s="2184">
        <v>0.99031270814865102</v>
      </c>
      <c r="C22" s="2184">
        <v>0.93889341282364402</v>
      </c>
      <c r="D22" s="1378">
        <v>0.89290631499055595</v>
      </c>
      <c r="E22" s="1378">
        <v>0.85295187751036305</v>
      </c>
      <c r="F22" s="1378">
        <v>0.81296117121637101</v>
      </c>
      <c r="G22" s="1378"/>
      <c r="H22" s="1378"/>
      <c r="N22" s="532"/>
      <c r="O22" s="532"/>
      <c r="P22" s="532"/>
      <c r="R22" s="2000"/>
      <c r="S22" s="2000"/>
      <c r="T22" s="2000"/>
    </row>
    <row r="23" spans="1:20">
      <c r="A23" s="2185" t="s">
        <v>3807</v>
      </c>
      <c r="B23" s="2184">
        <v>1.00860968443708</v>
      </c>
      <c r="C23" s="2184">
        <v>0.95601579377857004</v>
      </c>
      <c r="D23" s="1378">
        <v>0.90892950510371995</v>
      </c>
      <c r="E23" s="1378">
        <v>0.86794644059586101</v>
      </c>
      <c r="F23" s="1378">
        <v>0.82699314116349598</v>
      </c>
      <c r="G23" s="1378"/>
      <c r="H23" s="1378"/>
      <c r="N23" s="532"/>
      <c r="O23" s="532"/>
      <c r="P23" s="532"/>
      <c r="R23" s="2000"/>
      <c r="S23" s="2000"/>
      <c r="T23" s="2000"/>
    </row>
    <row r="24" spans="1:20">
      <c r="A24" s="2185" t="s">
        <v>3808</v>
      </c>
      <c r="B24" s="2184">
        <v>1.0257320653920099</v>
      </c>
      <c r="C24" s="2184">
        <v>0.97203898389173304</v>
      </c>
      <c r="D24" s="1378">
        <v>0.92392406818921702</v>
      </c>
      <c r="E24" s="1378">
        <v>0.88197841054298598</v>
      </c>
      <c r="F24" s="1378">
        <v>0.84012431274044197</v>
      </c>
      <c r="G24" s="1378"/>
      <c r="H24" s="1378"/>
      <c r="N24" s="532"/>
      <c r="O24" s="532"/>
      <c r="P24" s="532"/>
      <c r="R24" s="2000"/>
      <c r="S24" s="2000"/>
      <c r="T24" s="2000"/>
    </row>
    <row r="25" spans="1:20">
      <c r="A25" s="2185" t="s">
        <v>3809</v>
      </c>
      <c r="B25" s="2184">
        <v>1.0417552555051699</v>
      </c>
      <c r="C25" s="2184">
        <v>0.987033546977231</v>
      </c>
      <c r="D25" s="1378">
        <v>0.93795603813634199</v>
      </c>
      <c r="E25" s="1378">
        <v>0.89510958211993297</v>
      </c>
      <c r="F25" s="1378">
        <v>0.85241251372953697</v>
      </c>
      <c r="G25" s="1378"/>
      <c r="H25" s="1378"/>
      <c r="N25" s="532"/>
      <c r="O25" s="532"/>
      <c r="P25" s="532"/>
      <c r="R25" s="2000"/>
      <c r="S25" s="2000"/>
      <c r="T25" s="2000"/>
    </row>
    <row r="26" spans="1:20">
      <c r="A26" s="2185" t="s">
        <v>3810</v>
      </c>
      <c r="B26" s="2184">
        <v>0.18880337799481101</v>
      </c>
      <c r="C26" s="2184">
        <v>0.17407237576085999</v>
      </c>
      <c r="D26" s="1378">
        <v>0.16558242106029</v>
      </c>
      <c r="E26" s="1378">
        <v>0.16266658871130099</v>
      </c>
      <c r="F26" s="1378">
        <v>0.15741256572722701</v>
      </c>
      <c r="G26" s="1378"/>
      <c r="H26" s="1378"/>
      <c r="N26" s="532"/>
      <c r="O26" s="532"/>
      <c r="P26" s="532"/>
      <c r="R26" s="2000"/>
      <c r="S26" s="2000"/>
      <c r="T26" s="2000"/>
    </row>
    <row r="27" spans="1:20">
      <c r="A27" s="2185" t="s">
        <v>3811</v>
      </c>
      <c r="B27" s="2184">
        <v>1.0567498185906701</v>
      </c>
      <c r="C27" s="2184">
        <v>1.0010655169243601</v>
      </c>
      <c r="D27" s="1378">
        <v>0.95108720971328897</v>
      </c>
      <c r="E27" s="1378">
        <v>0.90739778310902697</v>
      </c>
      <c r="F27" s="1378">
        <v>0.86391185959243699</v>
      </c>
      <c r="G27" s="1378"/>
      <c r="H27" s="1378"/>
      <c r="N27" s="532"/>
      <c r="O27" s="532"/>
      <c r="P27" s="532"/>
      <c r="R27" s="2000"/>
      <c r="S27" s="2000"/>
      <c r="T27" s="2000"/>
    </row>
    <row r="28" spans="1:20">
      <c r="A28" s="2185" t="s">
        <v>3812</v>
      </c>
      <c r="B28" s="2184">
        <v>0.243788647374301</v>
      </c>
      <c r="C28" s="2184">
        <v>0.22869189984830299</v>
      </c>
      <c r="D28" s="1378">
        <v>0.218644216304657</v>
      </c>
      <c r="E28" s="1378">
        <v>0.212397835106718</v>
      </c>
      <c r="F28" s="1378">
        <v>0.20390931618864</v>
      </c>
      <c r="G28" s="1378"/>
      <c r="H28" s="1378"/>
      <c r="N28" s="532"/>
      <c r="O28" s="532"/>
      <c r="P28" s="532"/>
      <c r="R28" s="2000"/>
      <c r="S28" s="2000"/>
      <c r="T28" s="2000"/>
    </row>
    <row r="29" spans="1:20">
      <c r="A29" s="2185" t="s">
        <v>3813</v>
      </c>
      <c r="B29" s="2184">
        <v>0.29840817146174398</v>
      </c>
      <c r="C29" s="2184">
        <v>0.28175369509267101</v>
      </c>
      <c r="D29" s="1378">
        <v>0.26837546270007401</v>
      </c>
      <c r="E29" s="1378">
        <v>0.258894585568131</v>
      </c>
      <c r="F29" s="1378">
        <v>0.24769351829184699</v>
      </c>
      <c r="G29" s="1378"/>
      <c r="H29" s="1378"/>
      <c r="N29" s="532"/>
      <c r="O29" s="532"/>
      <c r="P29" s="532"/>
      <c r="R29" s="2000"/>
      <c r="S29" s="2000"/>
      <c r="T29" s="2000"/>
    </row>
    <row r="30" spans="1:20">
      <c r="A30" s="2185" t="s">
        <v>3814</v>
      </c>
      <c r="B30" s="2184">
        <v>0.35146996670611202</v>
      </c>
      <c r="C30" s="2184">
        <v>0.33148494148808799</v>
      </c>
      <c r="D30" s="1378">
        <v>0.314872213161487</v>
      </c>
      <c r="E30" s="1378">
        <v>0.30267878767133699</v>
      </c>
      <c r="F30" s="1378">
        <v>0.28942023838796199</v>
      </c>
      <c r="G30" s="1378"/>
      <c r="H30" s="1378"/>
      <c r="N30" s="532"/>
      <c r="O30" s="532"/>
      <c r="P30" s="532"/>
      <c r="R30" s="2000"/>
      <c r="S30" s="2000"/>
      <c r="T30" s="2000"/>
    </row>
    <row r="31" spans="1:20">
      <c r="A31" s="2185" t="s">
        <v>3815</v>
      </c>
      <c r="B31" s="2184">
        <v>0.40120121310152801</v>
      </c>
      <c r="C31" s="2184">
        <v>0.37798169194950099</v>
      </c>
      <c r="D31" s="1378">
        <v>0.358656415264693</v>
      </c>
      <c r="E31" s="1378">
        <v>0.34440550776745299</v>
      </c>
      <c r="F31" s="1378">
        <v>0.328791598955469</v>
      </c>
      <c r="G31" s="1378"/>
      <c r="H31" s="1378"/>
      <c r="N31" s="532"/>
      <c r="O31" s="532"/>
      <c r="P31" s="532"/>
      <c r="R31" s="2000"/>
      <c r="S31" s="2000"/>
      <c r="T31" s="2000"/>
    </row>
    <row r="32" spans="1:20">
      <c r="A32" s="2185" t="s">
        <v>3816</v>
      </c>
      <c r="B32" s="2184">
        <v>0.447697963562941</v>
      </c>
      <c r="C32" s="2184">
        <v>0.42176589405270698</v>
      </c>
      <c r="D32" s="1378">
        <v>0.40038313536080899</v>
      </c>
      <c r="E32" s="1378">
        <v>0.383776868334959</v>
      </c>
      <c r="F32" s="1378">
        <v>0.36644890416021098</v>
      </c>
      <c r="G32" s="1378"/>
      <c r="H32" s="1378"/>
      <c r="N32" s="532"/>
      <c r="O32" s="532"/>
      <c r="P32" s="532"/>
      <c r="R32" s="2000"/>
      <c r="S32" s="2000"/>
      <c r="T32" s="2000"/>
    </row>
    <row r="33" spans="1:20">
      <c r="A33" s="2185" t="s">
        <v>3817</v>
      </c>
      <c r="B33" s="2184">
        <v>0.491482165666148</v>
      </c>
      <c r="C33" s="2184">
        <v>0.46349261414882298</v>
      </c>
      <c r="D33" s="1378">
        <v>0.439754495928316</v>
      </c>
      <c r="E33" s="1378">
        <v>0.42143417353970197</v>
      </c>
      <c r="F33" s="1378">
        <v>0.40245079645492099</v>
      </c>
      <c r="G33" s="1378"/>
      <c r="H33" s="1378"/>
      <c r="N33" s="532"/>
      <c r="O33" s="532"/>
      <c r="P33" s="532"/>
      <c r="R33" s="2000"/>
      <c r="S33" s="2000"/>
      <c r="T33" s="2000"/>
    </row>
    <row r="34" spans="1:20">
      <c r="A34" s="2185" t="s">
        <v>3818</v>
      </c>
      <c r="B34" s="2184">
        <v>6.6098903215431201E-2</v>
      </c>
      <c r="C34" s="2184">
        <v>6.185560847410744E-2</v>
      </c>
      <c r="D34" s="1378">
        <v>5.5872641343812285E-2</v>
      </c>
      <c r="E34" s="1378">
        <v>4.9403089974068823E-2</v>
      </c>
      <c r="F34" s="1378">
        <v>4.8594385516091347E-2</v>
      </c>
      <c r="G34" s="1378"/>
      <c r="H34" s="1378"/>
      <c r="N34" s="532"/>
      <c r="O34" s="532"/>
      <c r="P34" s="532"/>
      <c r="R34" s="2000"/>
      <c r="S34" s="2000"/>
      <c r="T34" s="2000"/>
    </row>
    <row r="35" spans="1:20">
      <c r="A35" s="2185" t="s">
        <v>3819</v>
      </c>
      <c r="B35" s="2184">
        <v>0.50106019485349695</v>
      </c>
      <c r="C35" s="2184">
        <v>0.47184990651739783</v>
      </c>
      <c r="D35" s="1378">
        <v>0.44478369094442571</v>
      </c>
      <c r="E35" s="1378">
        <v>0.42218873608745633</v>
      </c>
      <c r="F35" s="1378">
        <v>0.4046025893104408</v>
      </c>
      <c r="G35" s="1378"/>
      <c r="H35" s="1378"/>
      <c r="N35" s="532"/>
      <c r="O35" s="532"/>
      <c r="P35" s="532"/>
      <c r="R35" s="2000"/>
      <c r="S35" s="2000"/>
      <c r="T35" s="2000"/>
    </row>
    <row r="36" spans="1:20">
      <c r="A36" s="2185" t="s">
        <v>3820</v>
      </c>
      <c r="B36" s="2184">
        <v>0.53794880973282921</v>
      </c>
      <c r="C36" s="2184">
        <v>0.50663929941853325</v>
      </c>
      <c r="D36" s="1378">
        <v>0.47806137743126853</v>
      </c>
      <c r="E36" s="1378">
        <v>0.45400567928450963</v>
      </c>
      <c r="F36" s="1378">
        <v>0.43480545254789443</v>
      </c>
      <c r="G36" s="1378"/>
      <c r="H36" s="1378"/>
      <c r="N36" s="532"/>
      <c r="O36" s="532"/>
      <c r="P36" s="532"/>
      <c r="R36" s="2000"/>
      <c r="S36" s="2000"/>
      <c r="T36" s="2000"/>
    </row>
    <row r="37" spans="1:20">
      <c r="A37" s="2185" t="s">
        <v>3821</v>
      </c>
      <c r="B37" s="2184">
        <v>0.57273820263396447</v>
      </c>
      <c r="C37" s="2184">
        <v>0.53991698590537596</v>
      </c>
      <c r="D37" s="1378">
        <v>0.50987832062832195</v>
      </c>
      <c r="E37" s="1378">
        <v>0.48420854252196316</v>
      </c>
      <c r="F37" s="1378">
        <v>0.46368247758711628</v>
      </c>
      <c r="G37" s="1378"/>
      <c r="H37" s="1378"/>
      <c r="N37" s="532"/>
      <c r="O37" s="532"/>
      <c r="P37" s="532"/>
      <c r="R37" s="2000"/>
      <c r="S37" s="2000"/>
      <c r="T37" s="2000"/>
    </row>
    <row r="38" spans="1:20">
      <c r="A38" s="2185" t="s">
        <v>3822</v>
      </c>
      <c r="B38" s="2184">
        <v>0.60601588912080717</v>
      </c>
      <c r="C38" s="2184">
        <v>0.57173392910242937</v>
      </c>
      <c r="D38" s="1378">
        <v>0.54008118386577553</v>
      </c>
      <c r="E38" s="1378">
        <v>0.51308556756118517</v>
      </c>
      <c r="F38" s="1378">
        <v>0.49129189291290604</v>
      </c>
      <c r="G38" s="1378"/>
      <c r="H38" s="1378"/>
      <c r="N38" s="532"/>
      <c r="O38" s="532"/>
      <c r="P38" s="532"/>
      <c r="R38" s="2000"/>
      <c r="S38" s="2000"/>
      <c r="T38" s="2000"/>
    </row>
    <row r="39" spans="1:20">
      <c r="A39" s="2185" t="s">
        <v>3823</v>
      </c>
      <c r="B39" s="2184">
        <v>0.6378328323178607</v>
      </c>
      <c r="C39" s="2184">
        <v>0.60193679233988284</v>
      </c>
      <c r="D39" s="1378">
        <v>0.56895820890499738</v>
      </c>
      <c r="E39" s="1378">
        <v>0.54069498288697482</v>
      </c>
      <c r="F39" s="1378">
        <v>0.51768936849844716</v>
      </c>
      <c r="G39" s="1378"/>
      <c r="H39" s="1378"/>
      <c r="N39" s="532"/>
      <c r="O39" s="532"/>
      <c r="P39" s="532"/>
      <c r="R39" s="2000"/>
      <c r="S39" s="2000"/>
      <c r="T39" s="2000"/>
    </row>
    <row r="40" spans="1:20">
      <c r="A40" s="2185" t="s">
        <v>3824</v>
      </c>
      <c r="B40" s="2184">
        <v>0.66803569555531417</v>
      </c>
      <c r="C40" s="2184">
        <v>0.6308138173791048</v>
      </c>
      <c r="D40" s="1378">
        <v>0.59656762423078713</v>
      </c>
      <c r="E40" s="1378">
        <v>0.5670924584725161</v>
      </c>
      <c r="F40" s="1378">
        <v>0.54292812827888848</v>
      </c>
      <c r="G40" s="1378"/>
      <c r="H40" s="1378"/>
      <c r="N40" s="532"/>
      <c r="O40" s="532"/>
      <c r="P40" s="532"/>
      <c r="R40" s="2000"/>
      <c r="S40" s="2000"/>
      <c r="T40" s="2000"/>
    </row>
    <row r="41" spans="1:20">
      <c r="A41" s="2185" t="s">
        <v>3825</v>
      </c>
      <c r="B41" s="2184">
        <v>0.69691272059453602</v>
      </c>
      <c r="C41" s="2184">
        <v>0.65842323270489456</v>
      </c>
      <c r="D41" s="1378">
        <v>0.62296509981632842</v>
      </c>
      <c r="E41" s="1378">
        <v>0.59233121825295698</v>
      </c>
      <c r="F41" s="1378">
        <v>0.56705905767807019</v>
      </c>
      <c r="G41" s="1378"/>
      <c r="H41" s="1378"/>
      <c r="N41" s="532"/>
      <c r="O41" s="532"/>
      <c r="P41" s="532"/>
      <c r="R41" s="2000"/>
      <c r="S41" s="2000"/>
      <c r="T41" s="2000"/>
    </row>
    <row r="42" spans="1:20">
      <c r="A42" s="2185" t="s">
        <v>3826</v>
      </c>
      <c r="B42" s="2184">
        <v>0.72452213592032566</v>
      </c>
      <c r="C42" s="2184">
        <v>0.68482070829043573</v>
      </c>
      <c r="D42" s="1378">
        <v>0.64820385959676952</v>
      </c>
      <c r="E42" s="1378">
        <v>0.61646214765213891</v>
      </c>
      <c r="F42" s="1378">
        <v>0.59017637551474922</v>
      </c>
      <c r="G42" s="1378"/>
      <c r="H42" s="1378"/>
      <c r="N42" s="532"/>
      <c r="O42" s="532"/>
      <c r="P42" s="532"/>
      <c r="R42" s="2000"/>
      <c r="S42" s="2000"/>
      <c r="T42" s="2000"/>
    </row>
    <row r="43" spans="1:20">
      <c r="A43" s="2185" t="s">
        <v>3827</v>
      </c>
      <c r="B43" s="2184">
        <v>0.75091961150586695</v>
      </c>
      <c r="C43" s="2184">
        <v>0.71005946807087694</v>
      </c>
      <c r="D43" s="1378">
        <v>0.67233478899595123</v>
      </c>
      <c r="E43" s="1378">
        <v>0.63957946548881817</v>
      </c>
      <c r="F43" s="1378">
        <v>0.61227895246696207</v>
      </c>
      <c r="G43" s="1378"/>
      <c r="H43" s="1378"/>
      <c r="N43" s="532"/>
      <c r="O43" s="532"/>
      <c r="P43" s="532"/>
      <c r="R43" s="2000"/>
      <c r="S43" s="2000"/>
      <c r="T43" s="2000"/>
    </row>
    <row r="44" spans="1:20">
      <c r="A44" s="2185" t="s">
        <v>3828</v>
      </c>
      <c r="B44" s="2184">
        <v>0.77615837128630794</v>
      </c>
      <c r="C44" s="2184">
        <v>0.73419039747005888</v>
      </c>
      <c r="D44" s="1378">
        <v>0.69545210683263037</v>
      </c>
      <c r="E44" s="1378">
        <v>0.66168204244103079</v>
      </c>
      <c r="F44" s="1378">
        <v>0.63341135158144957</v>
      </c>
      <c r="G44" s="1378"/>
      <c r="H44" s="1378"/>
      <c r="N44" s="532"/>
      <c r="O44" s="532"/>
      <c r="P44" s="532"/>
      <c r="R44" s="2000"/>
      <c r="S44" s="2000"/>
      <c r="T44" s="2000"/>
    </row>
    <row r="45" spans="1:20">
      <c r="A45" s="2185" t="s">
        <v>3829</v>
      </c>
      <c r="B45" s="2184">
        <v>0.12795451168953864</v>
      </c>
      <c r="C45" s="2184">
        <v>0.11772824981791973</v>
      </c>
      <c r="D45" s="1378">
        <v>0.10527573131788111</v>
      </c>
      <c r="E45" s="1378">
        <v>9.7997475490160177E-2</v>
      </c>
      <c r="F45" s="1378">
        <v>9.6948009509917082E-2</v>
      </c>
      <c r="G45" s="1378"/>
      <c r="H45" s="1378"/>
      <c r="N45" s="532"/>
      <c r="O45" s="532"/>
      <c r="P45" s="532"/>
      <c r="R45" s="2000"/>
      <c r="S45" s="2000"/>
      <c r="T45" s="2000"/>
    </row>
    <row r="46" spans="1:20">
      <c r="A46" s="2185" t="s">
        <v>3830</v>
      </c>
      <c r="B46" s="2184">
        <v>0.80028930068548987</v>
      </c>
      <c r="C46" s="2184">
        <v>0.75730771530673802</v>
      </c>
      <c r="D46" s="1378">
        <v>0.71755468378484288</v>
      </c>
      <c r="E46" s="1378">
        <v>0.6828144415555184</v>
      </c>
      <c r="F46" s="1378">
        <v>0.6536161779576567</v>
      </c>
      <c r="G46" s="1378"/>
      <c r="H46" s="1378"/>
      <c r="N46" s="532"/>
      <c r="O46" s="532"/>
      <c r="P46" s="532"/>
      <c r="R46" s="2000"/>
      <c r="S46" s="2000"/>
      <c r="T46" s="2000"/>
    </row>
    <row r="47" spans="1:20">
      <c r="A47" s="2185" t="s">
        <v>3831</v>
      </c>
      <c r="B47" s="2184">
        <v>0.82340661852216901</v>
      </c>
      <c r="C47" s="2184">
        <v>0.77941029225895053</v>
      </c>
      <c r="D47" s="1378">
        <v>0.73868708289933094</v>
      </c>
      <c r="E47" s="1378">
        <v>0.70301926793172542</v>
      </c>
      <c r="F47" s="1378">
        <v>0.67293416481495794</v>
      </c>
      <c r="G47" s="1378"/>
      <c r="H47" s="1378"/>
      <c r="N47" s="532"/>
      <c r="O47" s="532"/>
      <c r="P47" s="532"/>
      <c r="R47" s="2000"/>
      <c r="S47" s="2000"/>
      <c r="T47" s="2000"/>
    </row>
    <row r="48" spans="1:20">
      <c r="A48" s="2185" t="s">
        <v>3832</v>
      </c>
      <c r="B48" s="2184">
        <v>0.84550919547438164</v>
      </c>
      <c r="C48" s="2184">
        <v>0.80054269137343814</v>
      </c>
      <c r="D48" s="1378">
        <v>0.75889190927553762</v>
      </c>
      <c r="E48" s="1378">
        <v>0.72233725478902699</v>
      </c>
      <c r="F48" s="1378">
        <v>0.69101201139674873</v>
      </c>
      <c r="G48" s="1378"/>
      <c r="H48" s="1378"/>
      <c r="N48" s="532"/>
      <c r="O48" s="532"/>
      <c r="P48" s="532"/>
      <c r="R48" s="2000"/>
      <c r="S48" s="2000"/>
      <c r="T48" s="2000"/>
    </row>
    <row r="49" spans="1:20">
      <c r="A49" s="2185" t="s">
        <v>3833</v>
      </c>
      <c r="B49" s="2184">
        <v>0.86664159458886958</v>
      </c>
      <c r="C49" s="2184">
        <v>0.82074751774964538</v>
      </c>
      <c r="D49" s="1378">
        <v>0.7782098961328392</v>
      </c>
      <c r="E49" s="1378">
        <v>0.74041510137081756</v>
      </c>
      <c r="F49" s="1378">
        <v>0.7079293299273407</v>
      </c>
      <c r="G49" s="1378"/>
      <c r="H49" s="1378"/>
      <c r="N49" s="532"/>
      <c r="O49" s="532"/>
      <c r="P49" s="532"/>
      <c r="R49" s="2000"/>
      <c r="S49" s="2000"/>
      <c r="T49" s="2000"/>
    </row>
    <row r="50" spans="1:20">
      <c r="A50" s="2185" t="s">
        <v>3834</v>
      </c>
      <c r="B50" s="2184">
        <v>0.88684642096507638</v>
      </c>
      <c r="C50" s="2184">
        <v>0.84006550460694662</v>
      </c>
      <c r="D50" s="1378">
        <v>0.79628774271462999</v>
      </c>
      <c r="E50" s="1378">
        <v>0.75733241990140954</v>
      </c>
      <c r="F50" s="1378">
        <v>0.72376062183319123</v>
      </c>
      <c r="G50" s="1378"/>
      <c r="H50" s="1378"/>
      <c r="N50" s="532"/>
      <c r="O50" s="532"/>
      <c r="P50" s="532"/>
      <c r="R50" s="2000"/>
      <c r="S50" s="2000"/>
      <c r="T50" s="2000"/>
    </row>
    <row r="51" spans="1:20">
      <c r="A51" s="2185" t="s">
        <v>3835</v>
      </c>
      <c r="B51" s="2184">
        <v>0.90616440782237795</v>
      </c>
      <c r="C51" s="2184">
        <v>0.85814335118873741</v>
      </c>
      <c r="D51" s="1378">
        <v>0.81320506124522207</v>
      </c>
      <c r="E51" s="1378">
        <v>0.77316371180726007</v>
      </c>
      <c r="F51" s="1378">
        <v>0.73857560583642068</v>
      </c>
      <c r="G51" s="1378"/>
      <c r="H51" s="1378"/>
      <c r="N51" s="532"/>
      <c r="O51" s="532"/>
      <c r="P51" s="532"/>
      <c r="R51" s="2000"/>
      <c r="S51" s="2000"/>
      <c r="T51" s="2000"/>
    </row>
    <row r="52" spans="1:20">
      <c r="A52" s="2185" t="s">
        <v>3836</v>
      </c>
      <c r="B52" s="2184">
        <v>0.18382715303335095</v>
      </c>
      <c r="C52" s="2184">
        <v>0.16713133979198855</v>
      </c>
      <c r="D52" s="1378">
        <v>0.15387011683397245</v>
      </c>
      <c r="E52" s="1378">
        <v>0.14635109948398586</v>
      </c>
      <c r="F52" s="1378">
        <v>0.14395842214707397</v>
      </c>
      <c r="G52" s="1378"/>
      <c r="H52" s="1378"/>
      <c r="N52" s="532"/>
      <c r="O52" s="532"/>
      <c r="P52" s="532"/>
      <c r="R52" s="2000"/>
      <c r="S52" s="2000"/>
      <c r="T52" s="2000"/>
    </row>
    <row r="53" spans="1:20">
      <c r="A53" s="2185" t="s">
        <v>3837</v>
      </c>
      <c r="B53" s="2184">
        <v>0.23323024300741971</v>
      </c>
      <c r="C53" s="2184">
        <v>0.2157257253080799</v>
      </c>
      <c r="D53" s="1378">
        <v>0.20222374082779818</v>
      </c>
      <c r="E53" s="1378">
        <v>0.19336151212114283</v>
      </c>
      <c r="F53" s="1378">
        <v>0.18798836714955569</v>
      </c>
      <c r="G53" s="1378"/>
      <c r="H53" s="1378"/>
      <c r="N53" s="532"/>
      <c r="O53" s="532"/>
      <c r="P53" s="532"/>
      <c r="R53" s="2000"/>
      <c r="S53" s="2000"/>
      <c r="T53" s="2000"/>
    </row>
    <row r="54" spans="1:20">
      <c r="A54" s="2185" t="s">
        <v>3838</v>
      </c>
      <c r="B54" s="2184">
        <v>0.28182462852351109</v>
      </c>
      <c r="C54" s="2184">
        <v>0.26407934930190557</v>
      </c>
      <c r="D54" s="1378">
        <v>0.24923415346495512</v>
      </c>
      <c r="E54" s="1378">
        <v>0.23739145712362444</v>
      </c>
      <c r="F54" s="1378">
        <v>0.2291198453285635</v>
      </c>
      <c r="G54" s="1378"/>
      <c r="H54" s="1378"/>
      <c r="N54" s="532"/>
      <c r="O54" s="532"/>
      <c r="P54" s="532"/>
      <c r="R54" s="2000"/>
      <c r="S54" s="2000"/>
      <c r="T54" s="2000"/>
    </row>
    <row r="55" spans="1:20">
      <c r="A55" s="2185" t="s">
        <v>3839</v>
      </c>
      <c r="B55" s="2184">
        <v>0.33017825251733685</v>
      </c>
      <c r="C55" s="2184">
        <v>0.31108976193906246</v>
      </c>
      <c r="D55" s="1378">
        <v>0.29326409846743678</v>
      </c>
      <c r="E55" s="1378">
        <v>0.27852293530263234</v>
      </c>
      <c r="F55" s="1378">
        <v>0.26782995184607711</v>
      </c>
      <c r="G55" s="1378"/>
      <c r="H55" s="1378"/>
      <c r="N55" s="532"/>
      <c r="O55" s="532"/>
      <c r="P55" s="532"/>
      <c r="R55" s="2000"/>
      <c r="S55" s="2000"/>
      <c r="T55" s="2000"/>
    </row>
    <row r="56" spans="1:20">
      <c r="A56" s="2185" t="s">
        <v>3840</v>
      </c>
      <c r="B56" s="2184">
        <v>0.37718866515449362</v>
      </c>
      <c r="C56" s="2184">
        <v>0.35511970694154416</v>
      </c>
      <c r="D56" s="1378">
        <v>0.33439557664644465</v>
      </c>
      <c r="E56" s="1378">
        <v>0.31723304182014589</v>
      </c>
      <c r="F56" s="1378">
        <v>0.30471856672540937</v>
      </c>
      <c r="G56" s="1378"/>
      <c r="H56" s="1378"/>
      <c r="N56" s="532"/>
      <c r="O56" s="532"/>
      <c r="P56" s="532"/>
      <c r="R56" s="2000"/>
      <c r="S56" s="2000"/>
      <c r="T56" s="2000"/>
    </row>
    <row r="57" spans="1:20">
      <c r="A57" s="2185" t="s">
        <v>3841</v>
      </c>
      <c r="B57" s="2184">
        <v>0.42121861015697543</v>
      </c>
      <c r="C57" s="2184">
        <v>0.39625118512055213</v>
      </c>
      <c r="D57" s="1378">
        <v>0.3731056831639582</v>
      </c>
      <c r="E57" s="1378">
        <v>0.35412165669947809</v>
      </c>
      <c r="F57" s="1378">
        <v>0.33950795962654468</v>
      </c>
      <c r="G57" s="1378"/>
      <c r="H57" s="1378"/>
      <c r="N57" s="532"/>
      <c r="O57" s="532"/>
      <c r="P57" s="532"/>
      <c r="R57" s="2000"/>
      <c r="S57" s="2000"/>
      <c r="T57" s="2000"/>
    </row>
    <row r="58" spans="1:20">
      <c r="A58" s="2185" t="s">
        <v>3842</v>
      </c>
      <c r="B58" s="2184">
        <v>0.46235008833598312</v>
      </c>
      <c r="C58" s="2184">
        <v>0.43496129163806563</v>
      </c>
      <c r="D58" s="1378">
        <v>0.40999429804329035</v>
      </c>
      <c r="E58" s="1378">
        <v>0.38891104960061351</v>
      </c>
      <c r="F58" s="1378">
        <v>0.37278564611338744</v>
      </c>
      <c r="G58" s="1378"/>
      <c r="H58" s="1378"/>
      <c r="N58" s="532"/>
      <c r="O58" s="532"/>
      <c r="P58" s="532"/>
      <c r="R58" s="2000"/>
      <c r="S58" s="2000"/>
      <c r="T58" s="2000"/>
    </row>
    <row r="59" spans="1:20">
      <c r="A59" s="2185" t="s">
        <v>3843</v>
      </c>
      <c r="B59" s="2184">
        <v>0.11606278234226</v>
      </c>
      <c r="C59" s="2184">
        <v>0.107131110447286</v>
      </c>
      <c r="D59" s="1378">
        <v>9.7679139909727805E-2</v>
      </c>
      <c r="E59" s="1378">
        <v>9.4802090584990201E-2</v>
      </c>
      <c r="F59" s="1378">
        <v>9.2763688218569895E-2</v>
      </c>
      <c r="G59" s="1378"/>
      <c r="H59" s="1378"/>
      <c r="N59" s="532"/>
      <c r="O59" s="532"/>
      <c r="P59" s="532"/>
      <c r="R59" s="2000"/>
      <c r="S59" s="2000"/>
      <c r="T59" s="2000"/>
    </row>
    <row r="60" spans="1:20">
      <c r="A60" s="2185" t="s">
        <v>3844</v>
      </c>
      <c r="B60" s="2184">
        <v>0.90882053685083897</v>
      </c>
      <c r="C60" s="2184">
        <v>0.86073959302135605</v>
      </c>
      <c r="D60" s="1378">
        <v>0.81858169645108603</v>
      </c>
      <c r="E60" s="1378">
        <v>0.782982990975297</v>
      </c>
      <c r="F60" s="1378">
        <v>0.74724084104877897</v>
      </c>
      <c r="G60" s="1378"/>
      <c r="H60" s="1378"/>
      <c r="N60" s="532"/>
      <c r="O60" s="532"/>
      <c r="P60" s="532"/>
      <c r="R60" s="2000"/>
      <c r="S60" s="2000"/>
      <c r="T60" s="2000"/>
    </row>
    <row r="61" spans="1:20">
      <c r="A61" s="2185" t="s">
        <v>3845</v>
      </c>
      <c r="B61" s="2184">
        <v>0.97680237536361703</v>
      </c>
      <c r="C61" s="2184">
        <v>0.92571280689837199</v>
      </c>
      <c r="D61" s="1378">
        <v>0.88066213088502499</v>
      </c>
      <c r="E61" s="1378">
        <v>0.84204293163376898</v>
      </c>
      <c r="F61" s="1378">
        <v>0.80367111256799695</v>
      </c>
      <c r="G61" s="1378"/>
      <c r="H61" s="1378"/>
      <c r="N61" s="532"/>
      <c r="O61" s="532"/>
      <c r="P61" s="532"/>
      <c r="R61" s="2000"/>
      <c r="S61" s="2000"/>
      <c r="T61" s="2000"/>
    </row>
    <row r="62" spans="1:20">
      <c r="A62" s="2185" t="s">
        <v>3846</v>
      </c>
      <c r="B62" s="2184">
        <v>1.04177558924063</v>
      </c>
      <c r="C62" s="2184">
        <v>0.98779324133231095</v>
      </c>
      <c r="D62" s="1378">
        <v>0.93972207154349696</v>
      </c>
      <c r="E62" s="1378">
        <v>0.89847320315298695</v>
      </c>
      <c r="F62" s="1378">
        <v>0.85758886951190805</v>
      </c>
      <c r="G62" s="1378"/>
      <c r="H62" s="1378"/>
      <c r="N62" s="532"/>
      <c r="O62" s="532"/>
      <c r="P62" s="532"/>
      <c r="R62" s="2000"/>
      <c r="S62" s="2000"/>
      <c r="T62" s="2000"/>
    </row>
    <row r="63" spans="1:20">
      <c r="A63" s="2185" t="s">
        <v>3847</v>
      </c>
      <c r="B63" s="2184">
        <v>1.10385602367457</v>
      </c>
      <c r="C63" s="2184">
        <v>1.04685318199078</v>
      </c>
      <c r="D63" s="1378">
        <v>0.99615234306271405</v>
      </c>
      <c r="E63" s="1378">
        <v>0.95239096009689805</v>
      </c>
      <c r="F63" s="1378">
        <v>0.90910604409981599</v>
      </c>
      <c r="G63" s="1378"/>
      <c r="H63" s="1378"/>
      <c r="N63" s="532"/>
      <c r="O63" s="532"/>
      <c r="P63" s="532"/>
      <c r="R63" s="2000"/>
      <c r="S63" s="2000"/>
      <c r="T63" s="2000"/>
    </row>
    <row r="64" spans="1:20">
      <c r="A64" s="2185" t="s">
        <v>3848</v>
      </c>
      <c r="B64" s="2184">
        <v>1.16291596433304</v>
      </c>
      <c r="C64" s="2184">
        <v>1.10328345351</v>
      </c>
      <c r="D64" s="1378">
        <v>1.0500701000066299</v>
      </c>
      <c r="E64" s="1378">
        <v>1.00390813468481</v>
      </c>
      <c r="F64" s="1378">
        <v>0.95832957913239702</v>
      </c>
      <c r="G64" s="1378"/>
      <c r="H64" s="1378"/>
      <c r="N64" s="532"/>
      <c r="O64" s="532"/>
      <c r="P64" s="532"/>
      <c r="R64" s="2000"/>
      <c r="S64" s="2000"/>
      <c r="T64" s="2000"/>
    </row>
    <row r="65" spans="1:20">
      <c r="A65" s="2185" t="s">
        <v>3849</v>
      </c>
      <c r="B65" s="2184">
        <v>1.21934623585226</v>
      </c>
      <c r="C65" s="2184">
        <v>1.15720121045391</v>
      </c>
      <c r="D65" s="1378">
        <v>1.1015872745945301</v>
      </c>
      <c r="E65" s="1378">
        <v>1.05313166971739</v>
      </c>
      <c r="F65" s="1378">
        <v>1.0053616505229701</v>
      </c>
      <c r="G65" s="1378"/>
      <c r="H65" s="1378"/>
      <c r="N65" s="532"/>
      <c r="O65" s="532"/>
      <c r="P65" s="532"/>
      <c r="R65" s="2000"/>
      <c r="S65" s="2000"/>
      <c r="T65" s="2000"/>
    </row>
    <row r="66" spans="1:20">
      <c r="A66" s="2185" t="s">
        <v>3850</v>
      </c>
      <c r="B66" s="2184">
        <v>1.27326399279617</v>
      </c>
      <c r="C66" s="2184">
        <v>1.2087183850418199</v>
      </c>
      <c r="D66" s="1378">
        <v>1.1508108096271199</v>
      </c>
      <c r="E66" s="1378">
        <v>1.1001637411079599</v>
      </c>
      <c r="F66" s="1378">
        <v>1.05048743296748</v>
      </c>
      <c r="G66" s="1378"/>
      <c r="H66" s="1378"/>
      <c r="N66" s="532"/>
      <c r="O66" s="532"/>
      <c r="P66" s="532"/>
      <c r="R66" s="2000"/>
      <c r="S66" s="2000"/>
      <c r="T66" s="2000"/>
    </row>
    <row r="67" spans="1:20">
      <c r="A67" s="2185" t="s">
        <v>3851</v>
      </c>
      <c r="B67" s="2184">
        <v>1.3247811673840799</v>
      </c>
      <c r="C67" s="2184">
        <v>1.2579419200744</v>
      </c>
      <c r="D67" s="1378">
        <v>1.19784288101769</v>
      </c>
      <c r="E67" s="1378">
        <v>1.14528952355247</v>
      </c>
      <c r="F67" s="1378">
        <v>1.09360411392371</v>
      </c>
      <c r="G67" s="1378"/>
      <c r="H67" s="1378"/>
      <c r="N67" s="532"/>
      <c r="O67" s="532"/>
      <c r="P67" s="532"/>
      <c r="R67" s="2000"/>
      <c r="S67" s="2000"/>
      <c r="T67" s="2000"/>
    </row>
    <row r="68" spans="1:20">
      <c r="A68" s="2185" t="s">
        <v>3852</v>
      </c>
      <c r="B68" s="2184">
        <v>1.37400470241666</v>
      </c>
      <c r="C68" s="2184">
        <v>1.3049739914649701</v>
      </c>
      <c r="D68" s="1378">
        <v>1.2429686634621999</v>
      </c>
      <c r="E68" s="1378">
        <v>1.1884062045087</v>
      </c>
      <c r="F68" s="1378">
        <v>1.1348011946632</v>
      </c>
      <c r="G68" s="1378"/>
      <c r="H68" s="1378"/>
      <c r="N68" s="532"/>
      <c r="O68" s="532"/>
      <c r="P68" s="532"/>
      <c r="R68" s="2000"/>
      <c r="S68" s="2000"/>
      <c r="T68" s="2000"/>
    </row>
    <row r="69" spans="1:20">
      <c r="A69" s="2185" t="s">
        <v>3853</v>
      </c>
      <c r="B69" s="2184">
        <v>1.42103677380723</v>
      </c>
      <c r="C69" s="2184">
        <v>1.35009977390949</v>
      </c>
      <c r="D69" s="1378">
        <v>1.2860853444184299</v>
      </c>
      <c r="E69" s="1378">
        <v>1.22960328524819</v>
      </c>
      <c r="F69" s="1378">
        <v>1.17416418708135</v>
      </c>
      <c r="G69" s="1378"/>
      <c r="H69" s="1378"/>
      <c r="N69" s="532"/>
      <c r="O69" s="532"/>
      <c r="P69" s="532"/>
      <c r="R69" s="2000"/>
      <c r="S69" s="2000"/>
      <c r="T69" s="2000"/>
    </row>
    <row r="70" spans="1:20">
      <c r="A70" s="2185" t="s">
        <v>3854</v>
      </c>
      <c r="B70" s="2184">
        <v>0.22319389278954599</v>
      </c>
      <c r="C70" s="2184">
        <v>0.204810250357014</v>
      </c>
      <c r="D70" s="1378">
        <v>0.19248123049471799</v>
      </c>
      <c r="E70" s="1378">
        <v>0.18756577880356001</v>
      </c>
      <c r="F70" s="1378">
        <v>0.18227041250044301</v>
      </c>
      <c r="G70" s="1378"/>
      <c r="H70" s="1378"/>
      <c r="N70" s="532"/>
      <c r="O70" s="532"/>
      <c r="P70" s="532"/>
      <c r="R70" s="2000"/>
      <c r="S70" s="2000"/>
      <c r="T70" s="2000"/>
    </row>
    <row r="71" spans="1:20">
      <c r="A71" s="2185" t="s">
        <v>3855</v>
      </c>
      <c r="B71" s="2184">
        <v>1.46616255625175</v>
      </c>
      <c r="C71" s="2184">
        <v>1.39321645486572</v>
      </c>
      <c r="D71" s="1378">
        <v>1.3272824251579201</v>
      </c>
      <c r="E71" s="1378">
        <v>1.26896627766634</v>
      </c>
      <c r="F71" s="1378">
        <v>1.2117747916184101</v>
      </c>
      <c r="G71" s="1378"/>
      <c r="H71" s="1378"/>
      <c r="N71" s="532"/>
      <c r="O71" s="532"/>
      <c r="P71" s="532"/>
      <c r="R71" s="2000"/>
      <c r="S71" s="2000"/>
      <c r="T71" s="2000"/>
    </row>
    <row r="72" spans="1:20">
      <c r="A72" s="2185" t="s">
        <v>3856</v>
      </c>
      <c r="B72" s="2184">
        <v>1.50927923720798</v>
      </c>
      <c r="C72" s="2184">
        <v>1.4344135356052099</v>
      </c>
      <c r="D72" s="1378">
        <v>1.3666454175760701</v>
      </c>
      <c r="E72" s="1378">
        <v>1.3065768822034001</v>
      </c>
      <c r="F72" s="1378">
        <v>1.2477110672409999</v>
      </c>
      <c r="G72" s="1378"/>
      <c r="H72" s="1378"/>
      <c r="N72" s="532"/>
      <c r="O72" s="532"/>
      <c r="P72" s="532"/>
      <c r="R72" s="2000"/>
      <c r="S72" s="2000"/>
      <c r="T72" s="2000"/>
    </row>
    <row r="73" spans="1:20">
      <c r="A73" s="2185" t="s">
        <v>3857</v>
      </c>
      <c r="B73" s="2184">
        <v>1.5504763179474701</v>
      </c>
      <c r="C73" s="2184">
        <v>1.4737765280233499</v>
      </c>
      <c r="D73" s="1378">
        <v>1.4042560221131299</v>
      </c>
      <c r="E73" s="1378">
        <v>1.3425131578259899</v>
      </c>
      <c r="F73" s="1378">
        <v>1.2813403725213499</v>
      </c>
      <c r="G73" s="1378"/>
      <c r="H73" s="1378"/>
      <c r="N73" s="532"/>
      <c r="O73" s="532"/>
      <c r="P73" s="532"/>
      <c r="R73" s="2000"/>
      <c r="S73" s="2000"/>
      <c r="T73" s="2000"/>
    </row>
    <row r="74" spans="1:20">
      <c r="A74" s="2185" t="s">
        <v>3858</v>
      </c>
      <c r="B74" s="2184">
        <v>1.5898393103656101</v>
      </c>
      <c r="C74" s="2184">
        <v>1.51138713256042</v>
      </c>
      <c r="D74" s="1378">
        <v>1.44019229773572</v>
      </c>
      <c r="E74" s="1378">
        <v>1.3761424631063399</v>
      </c>
      <c r="F74" s="1378">
        <v>1.3128108060608901</v>
      </c>
      <c r="G74" s="1378"/>
      <c r="H74" s="1378"/>
      <c r="N74" s="532"/>
      <c r="O74" s="532"/>
      <c r="P74" s="532"/>
      <c r="R74" s="2000"/>
      <c r="S74" s="2000"/>
      <c r="T74" s="2000"/>
    </row>
    <row r="75" spans="1:20">
      <c r="A75" s="2185" t="s">
        <v>3859</v>
      </c>
      <c r="B75" s="2184">
        <v>1.62744991490268</v>
      </c>
      <c r="C75" s="2184">
        <v>1.5473234081830001</v>
      </c>
      <c r="D75" s="1378">
        <v>1.47382160301607</v>
      </c>
      <c r="E75" s="1378">
        <v>1.4076128966458801</v>
      </c>
      <c r="F75" s="1378">
        <v>1.34226095910182</v>
      </c>
      <c r="G75" s="1378"/>
      <c r="H75" s="1378"/>
      <c r="N75" s="532"/>
      <c r="O75" s="532"/>
      <c r="P75" s="532"/>
      <c r="R75" s="2000"/>
      <c r="S75" s="2000"/>
      <c r="T75" s="2000"/>
    </row>
    <row r="76" spans="1:20">
      <c r="A76" s="2185" t="s">
        <v>3860</v>
      </c>
      <c r="B76" s="2184">
        <v>1.66338619052526</v>
      </c>
      <c r="C76" s="2184">
        <v>1.5809527134633501</v>
      </c>
      <c r="D76" s="1378">
        <v>1.5052920365556</v>
      </c>
      <c r="E76" s="1378">
        <v>1.43706304968681</v>
      </c>
      <c r="F76" s="1378">
        <v>1.3698205258629299</v>
      </c>
      <c r="G76" s="1378"/>
      <c r="H76" s="1378"/>
      <c r="N76" s="532"/>
      <c r="O76" s="532"/>
      <c r="P76" s="532"/>
      <c r="R76" s="2000"/>
      <c r="S76" s="2000"/>
      <c r="T76" s="2000"/>
    </row>
    <row r="77" spans="1:20">
      <c r="A77" s="2185" t="s">
        <v>3861</v>
      </c>
      <c r="B77" s="2184">
        <v>1.6970154958056101</v>
      </c>
      <c r="C77" s="2184">
        <v>1.61242314700289</v>
      </c>
      <c r="D77" s="1378">
        <v>1.5347421895965301</v>
      </c>
      <c r="E77" s="1378">
        <v>1.4646226164479199</v>
      </c>
      <c r="F77" s="1378">
        <v>1.39561087469423</v>
      </c>
      <c r="G77" s="1378"/>
      <c r="H77" s="1378"/>
      <c r="N77" s="532"/>
      <c r="O77" s="532"/>
      <c r="P77" s="532"/>
      <c r="R77" s="2000"/>
      <c r="S77" s="2000"/>
      <c r="T77" s="2000"/>
    </row>
    <row r="78" spans="1:20">
      <c r="A78" s="2185" t="s">
        <v>3862</v>
      </c>
      <c r="B78" s="2184">
        <v>1.72848592934515</v>
      </c>
      <c r="C78" s="2184">
        <v>1.6418733000438199</v>
      </c>
      <c r="D78" s="1378">
        <v>1.56230175635765</v>
      </c>
      <c r="E78" s="1378">
        <v>1.49041296527922</v>
      </c>
      <c r="F78" s="1378">
        <v>1.4197455825655401</v>
      </c>
      <c r="G78" s="1378"/>
      <c r="H78" s="1378"/>
      <c r="N78" s="532"/>
      <c r="O78" s="532"/>
      <c r="P78" s="532"/>
      <c r="R78" s="2000"/>
      <c r="S78" s="2000"/>
      <c r="T78" s="2000"/>
    </row>
    <row r="79" spans="1:20">
      <c r="A79" s="2185" t="s">
        <v>3863</v>
      </c>
      <c r="B79" s="2184">
        <v>1.7579360823860799</v>
      </c>
      <c r="C79" s="2184">
        <v>1.6694328668049401</v>
      </c>
      <c r="D79" s="1378">
        <v>1.5880921051889401</v>
      </c>
      <c r="E79" s="1378">
        <v>1.5145476731505301</v>
      </c>
      <c r="F79" s="1378">
        <v>1.4423309352431799</v>
      </c>
      <c r="G79" s="1378"/>
      <c r="H79" s="1378"/>
      <c r="N79" s="532"/>
      <c r="O79" s="532"/>
      <c r="P79" s="532"/>
      <c r="R79" s="2000"/>
      <c r="S79" s="2000"/>
      <c r="T79" s="2000"/>
    </row>
    <row r="80" spans="1:20">
      <c r="A80" s="2185" t="s">
        <v>3864</v>
      </c>
      <c r="B80" s="2184">
        <v>1.7854956491472</v>
      </c>
      <c r="C80" s="2184">
        <v>1.6952232156362299</v>
      </c>
      <c r="D80" s="1378">
        <v>1.6122268130602599</v>
      </c>
      <c r="E80" s="1378">
        <v>1.5371330258281699</v>
      </c>
      <c r="F80" s="1378">
        <v>1.463466395357</v>
      </c>
      <c r="G80" s="1378"/>
      <c r="H80" s="1378"/>
      <c r="N80" s="532"/>
      <c r="O80" s="532"/>
      <c r="P80" s="532"/>
      <c r="R80" s="2000"/>
      <c r="S80" s="2000"/>
      <c r="T80" s="2000"/>
    </row>
    <row r="81" spans="1:20">
      <c r="A81" s="2185" t="s">
        <v>3865</v>
      </c>
      <c r="B81" s="2184">
        <v>0.32087303269927397</v>
      </c>
      <c r="C81" s="2184">
        <v>0.29961234094200401</v>
      </c>
      <c r="D81" s="1378">
        <v>0.285244918713288</v>
      </c>
      <c r="E81" s="1378">
        <v>0.27707250308543302</v>
      </c>
      <c r="F81" s="1378">
        <v>0.26666683028717603</v>
      </c>
      <c r="G81" s="1378"/>
      <c r="H81" s="1378"/>
      <c r="N81" s="532"/>
      <c r="O81" s="532"/>
      <c r="P81" s="532"/>
      <c r="R81" s="2000"/>
      <c r="S81" s="2000"/>
      <c r="T81" s="2000"/>
    </row>
    <row r="82" spans="1:20">
      <c r="A82" s="2185" t="s">
        <v>3866</v>
      </c>
      <c r="B82" s="2184">
        <v>1.8112859979784901</v>
      </c>
      <c r="C82" s="2184">
        <v>1.71935792350755</v>
      </c>
      <c r="D82" s="1378">
        <v>1.6348121657379</v>
      </c>
      <c r="E82" s="1378">
        <v>1.55826848594199</v>
      </c>
      <c r="F82" s="1378">
        <v>1.4832450404195401</v>
      </c>
      <c r="G82" s="1378"/>
      <c r="H82" s="1378"/>
      <c r="N82" s="532"/>
      <c r="O82" s="532"/>
      <c r="P82" s="532"/>
      <c r="R82" s="2000"/>
      <c r="S82" s="2000"/>
      <c r="T82" s="2000"/>
    </row>
    <row r="83" spans="1:20">
      <c r="A83" s="2185" t="s">
        <v>3867</v>
      </c>
      <c r="B83" s="2184">
        <v>0.41567512328426498</v>
      </c>
      <c r="C83" s="2184">
        <v>0.39237602916057401</v>
      </c>
      <c r="D83" s="1378">
        <v>0.37475164299516101</v>
      </c>
      <c r="E83" s="1378">
        <v>0.36146892087216598</v>
      </c>
      <c r="F83" s="1378">
        <v>0.34616784693557001</v>
      </c>
      <c r="G83" s="1378"/>
      <c r="H83" s="1378"/>
      <c r="N83" s="532"/>
      <c r="O83" s="532"/>
      <c r="P83" s="532"/>
      <c r="R83" s="2000"/>
      <c r="S83" s="2000"/>
      <c r="T83" s="2000"/>
    </row>
    <row r="84" spans="1:20">
      <c r="A84" s="2185" t="s">
        <v>3868</v>
      </c>
      <c r="B84" s="2184">
        <v>0.50843881150283399</v>
      </c>
      <c r="C84" s="2184">
        <v>0.48188275344244702</v>
      </c>
      <c r="D84" s="1378">
        <v>0.45914806078189402</v>
      </c>
      <c r="E84" s="1378">
        <v>0.44096993752056102</v>
      </c>
      <c r="F84" s="1378">
        <v>0.42140344557348602</v>
      </c>
      <c r="G84" s="1378"/>
      <c r="H84" s="1378"/>
      <c r="N84" s="532"/>
      <c r="O84" s="532"/>
      <c r="P84" s="532"/>
      <c r="R84" s="2000"/>
      <c r="S84" s="2000"/>
      <c r="T84" s="2000"/>
    </row>
    <row r="85" spans="1:20">
      <c r="A85" s="2185" t="s">
        <v>3869</v>
      </c>
      <c r="B85" s="2184">
        <v>0.59794553578470699</v>
      </c>
      <c r="C85" s="2184">
        <v>0.56627917122918003</v>
      </c>
      <c r="D85" s="1378">
        <v>0.538649077430289</v>
      </c>
      <c r="E85" s="1378">
        <v>0.51620553615847597</v>
      </c>
      <c r="F85" s="1378">
        <v>0.49314541356657399</v>
      </c>
      <c r="G85" s="1378"/>
      <c r="H85" s="1378"/>
      <c r="N85" s="532"/>
      <c r="O85" s="532"/>
      <c r="P85" s="532"/>
      <c r="R85" s="2000"/>
      <c r="S85" s="2000"/>
      <c r="T85" s="2000"/>
    </row>
    <row r="86" spans="1:20">
      <c r="A86" s="2185" t="s">
        <v>3870</v>
      </c>
      <c r="B86" s="2184">
        <v>0.68234195357144001</v>
      </c>
      <c r="C86" s="2184">
        <v>0.64578018787757496</v>
      </c>
      <c r="D86" s="1378">
        <v>0.61388467606820396</v>
      </c>
      <c r="E86" s="1378">
        <v>0.58794750415156405</v>
      </c>
      <c r="F86" s="1378">
        <v>0.56112725207935299</v>
      </c>
      <c r="G86" s="1378"/>
      <c r="H86" s="1378"/>
      <c r="N86" s="532"/>
      <c r="O86" s="532"/>
      <c r="P86" s="532"/>
      <c r="R86" s="2000"/>
      <c r="S86" s="2000"/>
      <c r="T86" s="2000"/>
    </row>
    <row r="87" spans="1:20">
      <c r="A87" s="2185" t="s">
        <v>3871</v>
      </c>
      <c r="B87" s="2184">
        <v>0.76184297021983505</v>
      </c>
      <c r="C87" s="2184">
        <v>0.72101578651549003</v>
      </c>
      <c r="D87" s="1378">
        <v>0.68562664406129203</v>
      </c>
      <c r="E87" s="1378">
        <v>0.655929342664343</v>
      </c>
      <c r="F87" s="1378">
        <v>0.62610046595636804</v>
      </c>
      <c r="G87" s="1378"/>
      <c r="H87" s="1378"/>
      <c r="N87" s="532"/>
      <c r="O87" s="532"/>
      <c r="P87" s="532"/>
      <c r="R87" s="2000"/>
      <c r="S87" s="2000"/>
      <c r="T87" s="2000"/>
    </row>
    <row r="88" spans="1:20">
      <c r="A88" s="2185" t="s">
        <v>3872</v>
      </c>
      <c r="B88" s="2184">
        <v>0.83707856885775</v>
      </c>
      <c r="C88" s="2184">
        <v>0.79275775450857799</v>
      </c>
      <c r="D88" s="1378">
        <v>0.75360848257407098</v>
      </c>
      <c r="E88" s="1378">
        <v>0.72090255654135904</v>
      </c>
      <c r="F88" s="1378">
        <v>0.68818090039030699</v>
      </c>
      <c r="G88" s="1378"/>
      <c r="H88" s="1378"/>
      <c r="N88" s="532"/>
      <c r="O88" s="532"/>
      <c r="P88" s="532"/>
      <c r="R88" s="2000"/>
      <c r="S88" s="2000"/>
      <c r="T88" s="2000"/>
    </row>
    <row r="89" spans="1:20">
      <c r="A89" s="2185" t="s">
        <v>3873</v>
      </c>
      <c r="B89" s="2184">
        <v>0.12218265722831925</v>
      </c>
      <c r="C89" s="2184">
        <v>0.11433900171094821</v>
      </c>
      <c r="D89" s="1378">
        <v>0.10556308362787219</v>
      </c>
      <c r="E89" s="1378">
        <v>9.6278547961797079E-2</v>
      </c>
      <c r="F89" s="1378">
        <v>9.3430540950719926E-2</v>
      </c>
      <c r="G89" s="1378"/>
      <c r="H89" s="1378"/>
      <c r="N89" s="532"/>
      <c r="O89" s="532"/>
      <c r="P89" s="532"/>
      <c r="R89" s="2000"/>
      <c r="S89" s="2000"/>
      <c r="T89" s="2000"/>
    </row>
    <row r="90" spans="1:20">
      <c r="A90" s="2185" t="s">
        <v>3874</v>
      </c>
      <c r="B90" s="2184">
        <v>0.94703961869439535</v>
      </c>
      <c r="C90" s="2184">
        <v>0.89555883811934534</v>
      </c>
      <c r="D90" s="1378">
        <v>0.848219229059478</v>
      </c>
      <c r="E90" s="1378">
        <v>0.80668986501513207</v>
      </c>
      <c r="F90" s="1378">
        <v>0.77159369178142578</v>
      </c>
      <c r="G90" s="1378"/>
      <c r="H90" s="1378"/>
      <c r="N90" s="532"/>
      <c r="O90" s="532"/>
      <c r="P90" s="532"/>
      <c r="R90" s="2000"/>
      <c r="S90" s="2000"/>
      <c r="T90" s="2000"/>
    </row>
    <row r="91" spans="1:20">
      <c r="A91" s="2185" t="s">
        <v>3875</v>
      </c>
      <c r="B91" s="2184">
        <v>1.0177414953476644</v>
      </c>
      <c r="C91" s="2184">
        <v>0.96255823077042613</v>
      </c>
      <c r="D91" s="1378">
        <v>0.91225294864300444</v>
      </c>
      <c r="E91" s="1378">
        <v>0.86787223974322292</v>
      </c>
      <c r="F91" s="1378">
        <v>0.8298005149284986</v>
      </c>
      <c r="G91" s="1378"/>
      <c r="H91" s="1378"/>
      <c r="N91" s="532"/>
      <c r="O91" s="532"/>
      <c r="P91" s="532"/>
      <c r="R91" s="2000"/>
      <c r="S91" s="2000"/>
      <c r="T91" s="2000"/>
    </row>
    <row r="92" spans="1:20">
      <c r="A92" s="2185" t="s">
        <v>3876</v>
      </c>
      <c r="B92" s="2184">
        <v>1.0847408879987457</v>
      </c>
      <c r="C92" s="2184">
        <v>1.0265919503539525</v>
      </c>
      <c r="D92" s="1378">
        <v>0.97343532337109495</v>
      </c>
      <c r="E92" s="1378">
        <v>0.92607906289029573</v>
      </c>
      <c r="F92" s="1378">
        <v>0.88541529625699977</v>
      </c>
      <c r="G92" s="1378"/>
      <c r="H92" s="1378"/>
      <c r="N92" s="532"/>
      <c r="O92" s="532"/>
      <c r="P92" s="532"/>
      <c r="R92" s="2000"/>
      <c r="S92" s="2000"/>
      <c r="T92" s="2000"/>
    </row>
    <row r="93" spans="1:20">
      <c r="A93" s="2185" t="s">
        <v>3877</v>
      </c>
      <c r="B93" s="2184">
        <v>1.1487746075822718</v>
      </c>
      <c r="C93" s="2184">
        <v>1.0877743250820431</v>
      </c>
      <c r="D93" s="1378">
        <v>1.031642146518168</v>
      </c>
      <c r="E93" s="1378">
        <v>0.98169384421879702</v>
      </c>
      <c r="F93" s="1378">
        <v>0.93855352984271578</v>
      </c>
      <c r="G93" s="1378"/>
      <c r="H93" s="1378"/>
      <c r="N93" s="532"/>
      <c r="O93" s="532"/>
      <c r="P93" s="532"/>
      <c r="R93" s="2000"/>
      <c r="S93" s="2000"/>
      <c r="T93" s="2000"/>
    </row>
    <row r="94" spans="1:20">
      <c r="A94" s="2185" t="s">
        <v>3878</v>
      </c>
      <c r="B94" s="2184">
        <v>1.2099569823103624</v>
      </c>
      <c r="C94" s="2184">
        <v>1.1459811482291162</v>
      </c>
      <c r="D94" s="1378">
        <v>1.0872569278466691</v>
      </c>
      <c r="E94" s="1378">
        <v>1.0348320778045128</v>
      </c>
      <c r="F94" s="1378">
        <v>0.98932556073454136</v>
      </c>
      <c r="G94" s="1378"/>
      <c r="H94" s="1378"/>
      <c r="N94" s="532"/>
      <c r="O94" s="532"/>
      <c r="P94" s="532"/>
      <c r="R94" s="2000"/>
      <c r="S94" s="2000"/>
      <c r="T94" s="2000"/>
    </row>
    <row r="95" spans="1:20">
      <c r="A95" s="2185" t="s">
        <v>3879</v>
      </c>
      <c r="B95" s="2184">
        <v>1.2681638054574353</v>
      </c>
      <c r="C95" s="2184">
        <v>1.2015959295576175</v>
      </c>
      <c r="D95" s="1378">
        <v>1.1403951614323851</v>
      </c>
      <c r="E95" s="1378">
        <v>1.0856041086963384</v>
      </c>
      <c r="F95" s="1378">
        <v>1.037836814641389</v>
      </c>
      <c r="G95" s="1378"/>
      <c r="H95" s="1378"/>
      <c r="N95" s="532"/>
      <c r="O95" s="532"/>
      <c r="P95" s="532"/>
      <c r="R95" s="2000"/>
      <c r="S95" s="2000"/>
      <c r="T95" s="2000"/>
    </row>
    <row r="96" spans="1:20">
      <c r="A96" s="2185" t="s">
        <v>3880</v>
      </c>
      <c r="B96" s="2184">
        <v>1.3237785867859366</v>
      </c>
      <c r="C96" s="2184">
        <v>1.2547341631433331</v>
      </c>
      <c r="D96" s="1378">
        <v>1.1911671923242109</v>
      </c>
      <c r="E96" s="1378">
        <v>1.1341153626031861</v>
      </c>
      <c r="F96" s="1378">
        <v>1.0841880173675242</v>
      </c>
      <c r="G96" s="1378"/>
      <c r="H96" s="1378"/>
      <c r="N96" s="532"/>
      <c r="O96" s="532"/>
      <c r="P96" s="532"/>
      <c r="R96" s="2000"/>
      <c r="S96" s="2000"/>
      <c r="T96" s="2000"/>
    </row>
    <row r="97" spans="1:20">
      <c r="A97" s="2185" t="s">
        <v>3881</v>
      </c>
      <c r="B97" s="2184">
        <v>1.3769168203716526</v>
      </c>
      <c r="C97" s="2184">
        <v>1.3055061940351593</v>
      </c>
      <c r="D97" s="1378">
        <v>1.2396784462310584</v>
      </c>
      <c r="E97" s="1378">
        <v>1.1804665653293211</v>
      </c>
      <c r="F97" s="1378">
        <v>1.1286611993333333</v>
      </c>
      <c r="G97" s="1378"/>
      <c r="H97" s="1378"/>
      <c r="N97" s="532"/>
      <c r="O97" s="532"/>
      <c r="P97" s="532"/>
      <c r="R97" s="2000"/>
      <c r="S97" s="2000"/>
      <c r="T97" s="2000"/>
    </row>
    <row r="98" spans="1:20">
      <c r="A98" s="2185" t="s">
        <v>3882</v>
      </c>
      <c r="B98" s="2184">
        <v>1.4276888512634784</v>
      </c>
      <c r="C98" s="2184">
        <v>1.3540174479420068</v>
      </c>
      <c r="D98" s="1378">
        <v>1.2860296489571936</v>
      </c>
      <c r="E98" s="1378">
        <v>1.2249397472951309</v>
      </c>
      <c r="F98" s="1378">
        <v>1.1711540612592681</v>
      </c>
      <c r="G98" s="1378"/>
      <c r="H98" s="1378"/>
      <c r="N98" s="532"/>
      <c r="O98" s="532"/>
      <c r="P98" s="532"/>
      <c r="R98" s="2000"/>
      <c r="S98" s="2000"/>
      <c r="T98" s="2000"/>
    </row>
    <row r="99" spans="1:20">
      <c r="A99" s="2185" t="s">
        <v>3883</v>
      </c>
      <c r="B99" s="2184">
        <v>1.476200105170326</v>
      </c>
      <c r="C99" s="2184">
        <v>1.4003686506681416</v>
      </c>
      <c r="D99" s="1378">
        <v>1.3305028309230029</v>
      </c>
      <c r="E99" s="1378">
        <v>1.2674326092210655</v>
      </c>
      <c r="F99" s="1378">
        <v>1.2117548343821629</v>
      </c>
      <c r="G99" s="1378"/>
      <c r="H99" s="1378"/>
      <c r="N99" s="532"/>
      <c r="O99" s="532"/>
      <c r="P99" s="532"/>
      <c r="R99" s="2000"/>
      <c r="S99" s="2000"/>
      <c r="T99" s="2000"/>
    </row>
    <row r="100" spans="1:20">
      <c r="A100" s="2185" t="s">
        <v>3884</v>
      </c>
      <c r="B100" s="2184">
        <v>0.23652165893926744</v>
      </c>
      <c r="C100" s="2184">
        <v>0.21990208533882039</v>
      </c>
      <c r="D100" s="1378">
        <v>0.20184163158966925</v>
      </c>
      <c r="E100" s="1378">
        <v>0.189709088912517</v>
      </c>
      <c r="F100" s="1378">
        <v>0.184836980714504</v>
      </c>
      <c r="G100" s="1378"/>
      <c r="H100" s="1378"/>
      <c r="N100" s="532"/>
      <c r="O100" s="532"/>
      <c r="P100" s="532"/>
      <c r="R100" s="2000"/>
      <c r="S100" s="2000"/>
      <c r="T100" s="2000"/>
    </row>
    <row r="101" spans="1:20">
      <c r="A101" s="2185" t="s">
        <v>3885</v>
      </c>
      <c r="B101" s="2184">
        <v>1.5225513078964612</v>
      </c>
      <c r="C101" s="2184">
        <v>1.4448418326339514</v>
      </c>
      <c r="D101" s="1378">
        <v>1.3729956928489373</v>
      </c>
      <c r="E101" s="1378">
        <v>1.3080333823439603</v>
      </c>
      <c r="F101" s="1378">
        <v>1.2505478166363977</v>
      </c>
      <c r="G101" s="1378"/>
      <c r="H101" s="1378"/>
      <c r="N101" s="532"/>
      <c r="O101" s="532"/>
      <c r="P101" s="532"/>
      <c r="R101" s="2000"/>
      <c r="S101" s="2000"/>
      <c r="T101" s="2000"/>
    </row>
    <row r="102" spans="1:20">
      <c r="A102" s="2185" t="s">
        <v>3886</v>
      </c>
      <c r="B102" s="2184">
        <v>1.5670244898622705</v>
      </c>
      <c r="C102" s="2184">
        <v>1.4873346945598858</v>
      </c>
      <c r="D102" s="1378">
        <v>1.4135964659718323</v>
      </c>
      <c r="E102" s="1378">
        <v>1.3468263645981948</v>
      </c>
      <c r="F102" s="1378">
        <v>1.2876135480977782</v>
      </c>
      <c r="G102" s="1378"/>
      <c r="H102" s="1378"/>
      <c r="N102" s="532"/>
      <c r="O102" s="532"/>
      <c r="P102" s="532"/>
      <c r="R102" s="2000"/>
      <c r="S102" s="2000"/>
      <c r="T102" s="2000"/>
    </row>
    <row r="103" spans="1:20">
      <c r="A103" s="2185" t="s">
        <v>3887</v>
      </c>
      <c r="B103" s="2184">
        <v>1.6095173517882051</v>
      </c>
      <c r="C103" s="2184">
        <v>1.5279354676827805</v>
      </c>
      <c r="D103" s="1378">
        <v>1.4523894482260669</v>
      </c>
      <c r="E103" s="1378">
        <v>1.3838920960595753</v>
      </c>
      <c r="F103" s="1378">
        <v>1.3222998025067063</v>
      </c>
      <c r="G103" s="1378"/>
      <c r="H103" s="1378"/>
      <c r="N103" s="532"/>
      <c r="O103" s="532"/>
      <c r="P103" s="532"/>
      <c r="R103" s="2000"/>
      <c r="S103" s="2000"/>
      <c r="T103" s="2000"/>
    </row>
    <row r="104" spans="1:20">
      <c r="A104" s="2185" t="s">
        <v>3888</v>
      </c>
      <c r="B104" s="2184">
        <v>1.6501181249110999</v>
      </c>
      <c r="C104" s="2184">
        <v>1.5667284499370151</v>
      </c>
      <c r="D104" s="1378">
        <v>1.4894551796874473</v>
      </c>
      <c r="E104" s="1378">
        <v>1.4185783504685032</v>
      </c>
      <c r="F104" s="1378">
        <v>1.3547593331158472</v>
      </c>
      <c r="G104" s="1378"/>
      <c r="H104" s="1378"/>
      <c r="N104" s="532"/>
      <c r="O104" s="532"/>
      <c r="P104" s="532"/>
      <c r="R104" s="2000"/>
      <c r="S104" s="2000"/>
      <c r="T104" s="2000"/>
    </row>
    <row r="105" spans="1:20">
      <c r="A105" s="2185" t="s">
        <v>3889</v>
      </c>
      <c r="B105" s="2184">
        <v>1.6889111071653344</v>
      </c>
      <c r="C105" s="2184">
        <v>1.6037941813983958</v>
      </c>
      <c r="D105" s="1378">
        <v>1.5241414340963757</v>
      </c>
      <c r="E105" s="1378">
        <v>1.4510378810776443</v>
      </c>
      <c r="F105" s="1378">
        <v>1.3851350870079877</v>
      </c>
      <c r="G105" s="1378"/>
      <c r="H105" s="1378"/>
      <c r="N105" s="532"/>
      <c r="O105" s="532"/>
      <c r="P105" s="532"/>
      <c r="R105" s="2000"/>
      <c r="S105" s="2000"/>
      <c r="T105" s="2000"/>
    </row>
    <row r="106" spans="1:20">
      <c r="A106" s="2185" t="s">
        <v>3890</v>
      </c>
      <c r="B106" s="2184">
        <v>1.7259768386267149</v>
      </c>
      <c r="C106" s="2184">
        <v>1.6384804358073239</v>
      </c>
      <c r="D106" s="1378">
        <v>1.5566009647055168</v>
      </c>
      <c r="E106" s="1378">
        <v>1.4814136349697848</v>
      </c>
      <c r="F106" s="1378">
        <v>1.4135608346143329</v>
      </c>
      <c r="G106" s="1378"/>
      <c r="H106" s="1378"/>
      <c r="N106" s="532"/>
      <c r="O106" s="532"/>
      <c r="P106" s="532"/>
      <c r="R106" s="2000"/>
      <c r="S106" s="2000"/>
      <c r="T106" s="2000"/>
    </row>
    <row r="107" spans="1:20">
      <c r="A107" s="2185" t="s">
        <v>3891</v>
      </c>
      <c r="B107" s="2184">
        <v>0.34208474256713955</v>
      </c>
      <c r="C107" s="2184">
        <v>0.31618063330061752</v>
      </c>
      <c r="D107" s="1378">
        <v>0.29527217254038923</v>
      </c>
      <c r="E107" s="1378">
        <v>0.28111552867630107</v>
      </c>
      <c r="F107" s="1378">
        <v>0.27302741347453752</v>
      </c>
      <c r="G107" s="1378"/>
      <c r="H107" s="1378"/>
      <c r="N107" s="532"/>
      <c r="O107" s="532"/>
      <c r="P107" s="532"/>
      <c r="R107" s="2000"/>
      <c r="S107" s="2000"/>
      <c r="T107" s="2000"/>
    </row>
    <row r="108" spans="1:20">
      <c r="A108" s="2185" t="s">
        <v>3892</v>
      </c>
      <c r="B108" s="2184">
        <v>0.43836329052893674</v>
      </c>
      <c r="C108" s="2184">
        <v>0.40961117425133742</v>
      </c>
      <c r="D108" s="1378">
        <v>0.38667861230417327</v>
      </c>
      <c r="E108" s="1378">
        <v>0.3693059614363346</v>
      </c>
      <c r="F108" s="1378">
        <v>0.35618829216917203</v>
      </c>
      <c r="G108" s="1378"/>
      <c r="H108" s="1378"/>
      <c r="N108" s="532"/>
      <c r="O108" s="532"/>
      <c r="P108" s="532"/>
      <c r="R108" s="2000"/>
      <c r="S108" s="2000"/>
      <c r="T108" s="2000"/>
    </row>
    <row r="109" spans="1:20">
      <c r="A109" s="2185" t="s">
        <v>3893</v>
      </c>
      <c r="B109" s="2184">
        <v>0.53179383147965675</v>
      </c>
      <c r="C109" s="2184">
        <v>0.50101761401512157</v>
      </c>
      <c r="D109" s="1378">
        <v>0.4748690450642068</v>
      </c>
      <c r="E109" s="1378">
        <v>0.45246684013096905</v>
      </c>
      <c r="F109" s="1378">
        <v>0.43453194489723268</v>
      </c>
      <c r="G109" s="1378"/>
      <c r="H109" s="1378"/>
      <c r="N109" s="532"/>
      <c r="O109" s="532"/>
      <c r="P109" s="532"/>
      <c r="R109" s="2000"/>
      <c r="S109" s="2000"/>
      <c r="T109" s="2000"/>
    </row>
    <row r="110" spans="1:20">
      <c r="A110" s="2185" t="s">
        <v>3894</v>
      </c>
      <c r="B110" s="2184">
        <v>0.6232002712434408</v>
      </c>
      <c r="C110" s="2184">
        <v>0.58920804677515504</v>
      </c>
      <c r="D110" s="1378">
        <v>0.5580299237588412</v>
      </c>
      <c r="E110" s="1378">
        <v>0.53081049285902981</v>
      </c>
      <c r="F110" s="1378">
        <v>0.50867632816545871</v>
      </c>
      <c r="G110" s="1378"/>
      <c r="H110" s="1378"/>
      <c r="N110" s="532"/>
      <c r="O110" s="532"/>
      <c r="P110" s="532"/>
      <c r="R110" s="2000"/>
      <c r="S110" s="2000"/>
      <c r="T110" s="2000"/>
    </row>
    <row r="111" spans="1:20">
      <c r="A111" s="2185" t="s">
        <v>3895</v>
      </c>
      <c r="B111" s="2184">
        <v>0.71139070400347426</v>
      </c>
      <c r="C111" s="2184">
        <v>0.67236892546978944</v>
      </c>
      <c r="D111" s="1378">
        <v>0.63637357648690207</v>
      </c>
      <c r="E111" s="1378">
        <v>0.60495487612725563</v>
      </c>
      <c r="F111" s="1378">
        <v>0.57937820481872793</v>
      </c>
      <c r="G111" s="1378"/>
      <c r="H111" s="1378"/>
      <c r="N111" s="532"/>
      <c r="O111" s="532"/>
      <c r="P111" s="532"/>
      <c r="R111" s="2000"/>
      <c r="S111" s="2000"/>
      <c r="T111" s="2000"/>
    </row>
    <row r="112" spans="1:20">
      <c r="A112" s="2185" t="s">
        <v>3896</v>
      </c>
      <c r="B112" s="2184">
        <v>0.79455158269810888</v>
      </c>
      <c r="C112" s="2184">
        <v>0.75071257819785031</v>
      </c>
      <c r="D112" s="1378">
        <v>0.71051795975512799</v>
      </c>
      <c r="E112" s="1378">
        <v>0.67565675278052484</v>
      </c>
      <c r="F112" s="1378">
        <v>0.64637759746980872</v>
      </c>
      <c r="G112" s="1378"/>
      <c r="H112" s="1378"/>
      <c r="N112" s="532"/>
      <c r="O112" s="532"/>
      <c r="P112" s="532"/>
      <c r="R112" s="2000"/>
      <c r="S112" s="2000"/>
      <c r="T112" s="2000"/>
    </row>
    <row r="113" spans="1:20">
      <c r="A113" s="2185" t="s">
        <v>3897</v>
      </c>
      <c r="B113" s="2184">
        <v>0.87289523542616954</v>
      </c>
      <c r="C113" s="2184">
        <v>0.82485696146607612</v>
      </c>
      <c r="D113" s="1378">
        <v>0.78121983640839709</v>
      </c>
      <c r="E113" s="1378">
        <v>0.74265614543160563</v>
      </c>
      <c r="F113" s="1378">
        <v>0.71041131705333505</v>
      </c>
      <c r="G113" s="1378"/>
      <c r="H113" s="1378"/>
      <c r="N113" s="532"/>
      <c r="O113" s="532"/>
      <c r="P113" s="532"/>
      <c r="R113" s="2000"/>
      <c r="S113" s="2000"/>
      <c r="T113" s="2000"/>
    </row>
    <row r="114" spans="1:20">
      <c r="A114" s="2185" t="s">
        <v>3898</v>
      </c>
      <c r="B114" s="2184">
        <v>7.8011359814874462E-2</v>
      </c>
      <c r="C114" s="2184">
        <v>7.3003331288484408E-2</v>
      </c>
      <c r="D114" s="1378">
        <v>6.6242667143126363E-2</v>
      </c>
      <c r="E114" s="1378">
        <v>5.8959167856672497E-2</v>
      </c>
      <c r="F114" s="1378">
        <v>5.7826612047720286E-2</v>
      </c>
      <c r="G114" s="1378"/>
      <c r="H114" s="1378"/>
      <c r="N114" s="532"/>
      <c r="O114" s="532"/>
      <c r="P114" s="532"/>
      <c r="R114" s="2000"/>
      <c r="S114" s="2000"/>
      <c r="T114" s="2000"/>
    </row>
    <row r="115" spans="1:20">
      <c r="A115" s="2185" t="s">
        <v>3899</v>
      </c>
      <c r="B115" s="2184">
        <v>0.5941049962338939</v>
      </c>
      <c r="C115" s="2184">
        <v>0.55996127401319229</v>
      </c>
      <c r="D115" s="1378">
        <v>0.52837144778758227</v>
      </c>
      <c r="E115" s="1378">
        <v>0.50173558834071963</v>
      </c>
      <c r="F115" s="1378">
        <v>0.48063932738174608</v>
      </c>
      <c r="G115" s="1378"/>
      <c r="H115" s="1378"/>
      <c r="N115" s="532"/>
      <c r="O115" s="532"/>
      <c r="P115" s="532"/>
      <c r="R115" s="2000"/>
      <c r="S115" s="2000"/>
      <c r="T115" s="2000"/>
    </row>
    <row r="116" spans="1:20">
      <c r="A116" s="2185" t="s">
        <v>3900</v>
      </c>
      <c r="B116" s="2184">
        <v>0.63797263382806679</v>
      </c>
      <c r="C116" s="2184">
        <v>0.60137477907606673</v>
      </c>
      <c r="D116" s="1378">
        <v>0.56797825548384606</v>
      </c>
      <c r="E116" s="1378">
        <v>0.53959849523841863</v>
      </c>
      <c r="F116" s="1378">
        <v>0.51659832124022065</v>
      </c>
      <c r="G116" s="1378"/>
      <c r="H116" s="1378"/>
      <c r="N116" s="532"/>
      <c r="O116" s="532"/>
      <c r="P116" s="532"/>
      <c r="R116" s="2000"/>
      <c r="S116" s="2000"/>
      <c r="T116" s="2000"/>
    </row>
    <row r="117" spans="1:20">
      <c r="A117" s="2185" t="s">
        <v>3901</v>
      </c>
      <c r="B117" s="2184">
        <v>0.67938613889094113</v>
      </c>
      <c r="C117" s="2184">
        <v>0.6409815867723303</v>
      </c>
      <c r="D117" s="1378">
        <v>0.60584116238154517</v>
      </c>
      <c r="E117" s="1378">
        <v>0.57555748909689297</v>
      </c>
      <c r="F117" s="1378">
        <v>0.55097393968953789</v>
      </c>
      <c r="G117" s="1378"/>
      <c r="H117" s="1378"/>
      <c r="N117" s="532"/>
      <c r="O117" s="532"/>
      <c r="P117" s="532"/>
      <c r="R117" s="2000"/>
      <c r="S117" s="2000"/>
      <c r="T117" s="2000"/>
    </row>
    <row r="118" spans="1:20">
      <c r="A118" s="2185" t="s">
        <v>3902</v>
      </c>
      <c r="B118" s="2184">
        <v>0.71899294658720481</v>
      </c>
      <c r="C118" s="2184">
        <v>0.67884449367002941</v>
      </c>
      <c r="D118" s="1378">
        <v>0.64180015624001951</v>
      </c>
      <c r="E118" s="1378">
        <v>0.60993310754621033</v>
      </c>
      <c r="F118" s="1378">
        <v>0.58383593978669479</v>
      </c>
      <c r="G118" s="1378"/>
      <c r="H118" s="1378"/>
      <c r="N118" s="532"/>
      <c r="O118" s="532"/>
      <c r="P118" s="532"/>
      <c r="R118" s="2000"/>
      <c r="S118" s="2000"/>
      <c r="T118" s="2000"/>
    </row>
    <row r="119" spans="1:20">
      <c r="A119" s="2185" t="s">
        <v>3903</v>
      </c>
      <c r="B119" s="2184">
        <v>0.75685585348490381</v>
      </c>
      <c r="C119" s="2184">
        <v>0.71480348752850398</v>
      </c>
      <c r="D119" s="1378">
        <v>0.67617577468933676</v>
      </c>
      <c r="E119" s="1378">
        <v>0.64279510764336745</v>
      </c>
      <c r="F119" s="1378">
        <v>0.6152510037397757</v>
      </c>
      <c r="G119" s="1378"/>
      <c r="H119" s="1378"/>
      <c r="N119" s="532"/>
      <c r="O119" s="532"/>
      <c r="P119" s="532"/>
      <c r="R119" s="2000"/>
      <c r="S119" s="2000"/>
      <c r="T119" s="2000"/>
    </row>
    <row r="120" spans="1:20">
      <c r="A120" s="2185" t="s">
        <v>3904</v>
      </c>
      <c r="B120" s="2184">
        <v>0.79281484734337837</v>
      </c>
      <c r="C120" s="2184">
        <v>0.74917910597782122</v>
      </c>
      <c r="D120" s="1378">
        <v>0.70903777478649377</v>
      </c>
      <c r="E120" s="1378">
        <v>0.67421017159644825</v>
      </c>
      <c r="F120" s="1378">
        <v>0.64528287451869071</v>
      </c>
      <c r="G120" s="1378"/>
      <c r="H120" s="1378"/>
      <c r="N120" s="532"/>
      <c r="O120" s="532"/>
      <c r="P120" s="532"/>
      <c r="R120" s="2000"/>
      <c r="S120" s="2000"/>
      <c r="T120" s="2000"/>
    </row>
    <row r="121" spans="1:20">
      <c r="A121" s="2185" t="s">
        <v>3905</v>
      </c>
      <c r="B121" s="2184">
        <v>0.82719046579269584</v>
      </c>
      <c r="C121" s="2184">
        <v>0.78204110607497801</v>
      </c>
      <c r="D121" s="1378">
        <v>0.74045283873957446</v>
      </c>
      <c r="E121" s="1378">
        <v>0.70424204237536303</v>
      </c>
      <c r="F121" s="1378">
        <v>0.6739924854817686</v>
      </c>
      <c r="G121" s="1378"/>
      <c r="H121" s="1378"/>
      <c r="N121" s="532"/>
      <c r="O121" s="532"/>
      <c r="P121" s="532"/>
      <c r="R121" s="2000"/>
      <c r="S121" s="2000"/>
      <c r="T121" s="2000"/>
    </row>
    <row r="122" spans="1:20">
      <c r="A122" s="2185" t="s">
        <v>3906</v>
      </c>
      <c r="B122" s="2184">
        <v>0.86005246588985251</v>
      </c>
      <c r="C122" s="2184">
        <v>0.81345617002805892</v>
      </c>
      <c r="D122" s="1378">
        <v>0.77048470951848946</v>
      </c>
      <c r="E122" s="1378">
        <v>0.73295165333844114</v>
      </c>
      <c r="F122" s="1378">
        <v>0.70150523387784958</v>
      </c>
      <c r="G122" s="1378"/>
      <c r="H122" s="1378"/>
      <c r="N122" s="532"/>
      <c r="O122" s="532"/>
      <c r="P122" s="532"/>
      <c r="R122" s="2000"/>
      <c r="S122" s="2000"/>
      <c r="T122" s="2000"/>
    </row>
    <row r="123" spans="1:20">
      <c r="A123" s="2185" t="s">
        <v>3907</v>
      </c>
      <c r="B123" s="2184">
        <v>0.89146752984293332</v>
      </c>
      <c r="C123" s="2184">
        <v>0.84348804080697393</v>
      </c>
      <c r="D123" s="1378">
        <v>0.79919432048156736</v>
      </c>
      <c r="E123" s="1378">
        <v>0.76046440173452212</v>
      </c>
      <c r="F123" s="1378">
        <v>0.72780659653112123</v>
      </c>
      <c r="G123" s="1378"/>
      <c r="H123" s="1378"/>
      <c r="N123" s="532"/>
      <c r="O123" s="532"/>
      <c r="P123" s="532"/>
      <c r="R123" s="2000"/>
      <c r="S123" s="2000"/>
      <c r="T123" s="2000"/>
    </row>
    <row r="124" spans="1:20">
      <c r="A124" s="2185" t="s">
        <v>3908</v>
      </c>
      <c r="B124" s="2184">
        <v>0.92149940062184843</v>
      </c>
      <c r="C124" s="2184">
        <v>0.87219765177005193</v>
      </c>
      <c r="D124" s="1378">
        <v>0.82670706887764844</v>
      </c>
      <c r="E124" s="1378">
        <v>0.78676576438779389</v>
      </c>
      <c r="F124" s="1378">
        <v>0.75294993867159798</v>
      </c>
      <c r="G124" s="1378"/>
      <c r="H124" s="1378"/>
      <c r="N124" s="532"/>
      <c r="O124" s="532"/>
      <c r="P124" s="532"/>
      <c r="R124" s="2000"/>
      <c r="S124" s="2000"/>
      <c r="T124" s="2000"/>
    </row>
    <row r="125" spans="1:20">
      <c r="A125" s="2185" t="s">
        <v>3909</v>
      </c>
      <c r="B125" s="2184">
        <v>0.15101469110335886</v>
      </c>
      <c r="C125" s="2184">
        <v>0.13924599843161081</v>
      </c>
      <c r="D125" s="1378">
        <v>0.12520183499979884</v>
      </c>
      <c r="E125" s="1378">
        <v>0.11678577990439276</v>
      </c>
      <c r="F125" s="1378">
        <v>0.11516122936670729</v>
      </c>
      <c r="G125" s="1378"/>
      <c r="H125" s="1378"/>
      <c r="N125" s="532"/>
      <c r="O125" s="532"/>
      <c r="P125" s="532"/>
      <c r="R125" s="2000"/>
      <c r="S125" s="2000"/>
      <c r="T125" s="2000"/>
    </row>
    <row r="126" spans="1:20">
      <c r="A126" s="2185" t="s">
        <v>3910</v>
      </c>
      <c r="B126" s="2184">
        <v>0.95020901158492632</v>
      </c>
      <c r="C126" s="2184">
        <v>0.8997104001661328</v>
      </c>
      <c r="D126" s="1378">
        <v>0.85300843153092032</v>
      </c>
      <c r="E126" s="1378">
        <v>0.8119091065282702</v>
      </c>
      <c r="F126" s="1378">
        <v>0.77698627337790449</v>
      </c>
      <c r="G126" s="1378"/>
      <c r="H126" s="1378"/>
      <c r="N126" s="532"/>
      <c r="O126" s="532"/>
      <c r="P126" s="532"/>
      <c r="R126" s="2000"/>
      <c r="S126" s="2000"/>
      <c r="T126" s="2000"/>
    </row>
    <row r="127" spans="1:20">
      <c r="A127" s="2185" t="s">
        <v>3911</v>
      </c>
      <c r="B127" s="2184">
        <v>0.97772175998100741</v>
      </c>
      <c r="C127" s="2184">
        <v>0.92601176281940456</v>
      </c>
      <c r="D127" s="1378">
        <v>0.87815177367139663</v>
      </c>
      <c r="E127" s="1378">
        <v>0.83594544123457659</v>
      </c>
      <c r="F127" s="1378">
        <v>0.79996436530776571</v>
      </c>
      <c r="G127" s="1378"/>
      <c r="H127" s="1378"/>
      <c r="N127" s="532"/>
      <c r="O127" s="532"/>
      <c r="P127" s="532"/>
      <c r="R127" s="2000"/>
      <c r="S127" s="2000"/>
      <c r="T127" s="2000"/>
    </row>
    <row r="128" spans="1:20">
      <c r="A128" s="2185" t="s">
        <v>3912</v>
      </c>
      <c r="B128" s="2184">
        <v>1.0040231226342788</v>
      </c>
      <c r="C128" s="2184">
        <v>0.95115510495988098</v>
      </c>
      <c r="D128" s="1378">
        <v>0.90218810837770302</v>
      </c>
      <c r="E128" s="1378">
        <v>0.85892353316443826</v>
      </c>
      <c r="F128" s="1378">
        <v>0.8214673523280368</v>
      </c>
      <c r="G128" s="1378"/>
      <c r="H128" s="1378"/>
      <c r="N128" s="532"/>
      <c r="O128" s="532"/>
      <c r="P128" s="532"/>
      <c r="R128" s="2000"/>
      <c r="S128" s="2000"/>
      <c r="T128" s="2000"/>
    </row>
    <row r="129" spans="1:20">
      <c r="A129" s="2185" t="s">
        <v>3913</v>
      </c>
      <c r="B129" s="2184">
        <v>1.0291664647747554</v>
      </c>
      <c r="C129" s="2184">
        <v>0.97519143966618738</v>
      </c>
      <c r="D129" s="1378">
        <v>0.92516620030756469</v>
      </c>
      <c r="E129" s="1378">
        <v>0.88042652018470946</v>
      </c>
      <c r="F129" s="1378">
        <v>0.84158993048662845</v>
      </c>
      <c r="G129" s="1378"/>
      <c r="H129" s="1378"/>
      <c r="N129" s="532"/>
      <c r="O129" s="532"/>
      <c r="P129" s="532"/>
      <c r="R129" s="2000"/>
      <c r="S129" s="2000"/>
      <c r="T129" s="2000"/>
    </row>
    <row r="130" spans="1:20">
      <c r="A130" s="2185" t="s">
        <v>3914</v>
      </c>
      <c r="B130" s="2184">
        <v>1.053202799481062</v>
      </c>
      <c r="C130" s="2184">
        <v>0.99816953159604915</v>
      </c>
      <c r="D130" s="1378">
        <v>0.94666918732783567</v>
      </c>
      <c r="E130" s="1378">
        <v>0.9005490983433011</v>
      </c>
      <c r="F130" s="1378">
        <v>0.86042071671027753</v>
      </c>
      <c r="G130" s="1378"/>
      <c r="H130" s="1378"/>
      <c r="N130" s="532"/>
      <c r="O130" s="532"/>
      <c r="P130" s="532"/>
      <c r="R130" s="2000"/>
      <c r="S130" s="2000"/>
      <c r="T130" s="2000"/>
    </row>
    <row r="131" spans="1:20">
      <c r="A131" s="2185" t="s">
        <v>3915</v>
      </c>
      <c r="B131" s="2184">
        <v>1.0761808914109234</v>
      </c>
      <c r="C131" s="2184">
        <v>1.01967251861632</v>
      </c>
      <c r="D131" s="1378">
        <v>0.96679176548642742</v>
      </c>
      <c r="E131" s="1378">
        <v>0.91937988456695008</v>
      </c>
      <c r="F131" s="1378">
        <v>0.87804263906068858</v>
      </c>
      <c r="G131" s="1378"/>
      <c r="H131" s="1378"/>
      <c r="N131" s="532"/>
      <c r="O131" s="532"/>
      <c r="P131" s="532"/>
      <c r="R131" s="2000"/>
      <c r="S131" s="2000"/>
      <c r="T131" s="2000"/>
    </row>
    <row r="132" spans="1:20">
      <c r="A132" s="2185" t="s">
        <v>3916</v>
      </c>
      <c r="B132" s="2184">
        <v>0.21725735824648523</v>
      </c>
      <c r="C132" s="2184">
        <v>0.19820516628828327</v>
      </c>
      <c r="D132" s="1378">
        <v>0.18302844704751914</v>
      </c>
      <c r="E132" s="1378">
        <v>0.17412039722337971</v>
      </c>
      <c r="F132" s="1378">
        <v>0.17081406495308565</v>
      </c>
      <c r="G132" s="1378"/>
      <c r="H132" s="1378"/>
      <c r="N132" s="532"/>
      <c r="O132" s="532"/>
      <c r="P132" s="532"/>
      <c r="R132" s="2000"/>
      <c r="S132" s="2000"/>
      <c r="T132" s="2000"/>
    </row>
    <row r="133" spans="1:20">
      <c r="A133" s="2185" t="s">
        <v>3917</v>
      </c>
      <c r="B133" s="2184">
        <v>0.27621652610315767</v>
      </c>
      <c r="C133" s="2184">
        <v>0.2560317783360036</v>
      </c>
      <c r="D133" s="1378">
        <v>0.24036306436650609</v>
      </c>
      <c r="E133" s="1378">
        <v>0.22977323280975814</v>
      </c>
      <c r="F133" s="1378">
        <v>0.22301243981694213</v>
      </c>
      <c r="G133" s="1378"/>
      <c r="H133" s="1378"/>
      <c r="N133" s="532"/>
      <c r="O133" s="532"/>
      <c r="P133" s="532"/>
      <c r="R133" s="2000"/>
      <c r="S133" s="2000"/>
      <c r="T133" s="2000"/>
    </row>
    <row r="134" spans="1:20">
      <c r="A134" s="2185" t="s">
        <v>3918</v>
      </c>
      <c r="B134" s="2184">
        <v>0.33404313815087799</v>
      </c>
      <c r="C134" s="2184">
        <v>0.31336639565499053</v>
      </c>
      <c r="D134" s="1378">
        <v>0.29601589995288452</v>
      </c>
      <c r="E134" s="1378">
        <v>0.28197160767361457</v>
      </c>
      <c r="F134" s="1378">
        <v>0.27186112942349389</v>
      </c>
      <c r="G134" s="1378"/>
      <c r="H134" s="1378"/>
      <c r="N134" s="532"/>
      <c r="O134" s="532"/>
      <c r="P134" s="532"/>
      <c r="R134" s="2000"/>
      <c r="S134" s="2000"/>
      <c r="T134" s="2000"/>
    </row>
    <row r="135" spans="1:20">
      <c r="A135" s="2185" t="s">
        <v>3919</v>
      </c>
      <c r="B135" s="2184">
        <v>0.39137775546986492</v>
      </c>
      <c r="C135" s="2184">
        <v>0.36901923124136887</v>
      </c>
      <c r="D135" s="1378">
        <v>0.348214274816741</v>
      </c>
      <c r="E135" s="1378">
        <v>0.33082029728016649</v>
      </c>
      <c r="F135" s="1378">
        <v>0.31788847013073618</v>
      </c>
      <c r="G135" s="1378"/>
      <c r="H135" s="1378"/>
      <c r="N135" s="532"/>
      <c r="O135" s="532"/>
      <c r="P135" s="532"/>
      <c r="R135" s="2000"/>
      <c r="S135" s="2000"/>
      <c r="T135" s="2000"/>
    </row>
    <row r="136" spans="1:20">
      <c r="A136" s="2185" t="s">
        <v>3920</v>
      </c>
      <c r="B136" s="2184">
        <v>0.44703059105624343</v>
      </c>
      <c r="C136" s="2184">
        <v>0.42121760610522535</v>
      </c>
      <c r="D136" s="1378">
        <v>0.39706296442329281</v>
      </c>
      <c r="E136" s="1378">
        <v>0.37684763798740878</v>
      </c>
      <c r="F136" s="1378">
        <v>0.36175610772490902</v>
      </c>
      <c r="G136" s="1378"/>
      <c r="H136" s="1378"/>
      <c r="N136" s="532"/>
      <c r="O136" s="532"/>
      <c r="P136" s="532"/>
      <c r="R136" s="2000"/>
      <c r="S136" s="2000"/>
      <c r="T136" s="2000"/>
    </row>
    <row r="137" spans="1:20">
      <c r="A137" s="2185" t="s">
        <v>3921</v>
      </c>
      <c r="B137" s="2184">
        <v>0.4992289659200998</v>
      </c>
      <c r="C137" s="2184">
        <v>0.47006629571177727</v>
      </c>
      <c r="D137" s="1378">
        <v>0.44309030513053493</v>
      </c>
      <c r="E137" s="1378">
        <v>0.4207152755815815</v>
      </c>
      <c r="F137" s="1378">
        <v>0.40316961278778352</v>
      </c>
      <c r="G137" s="1378"/>
      <c r="H137" s="1378"/>
      <c r="N137" s="532"/>
      <c r="O137" s="532"/>
      <c r="P137" s="532"/>
      <c r="R137" s="2000"/>
      <c r="S137" s="2000"/>
      <c r="T137" s="2000"/>
    </row>
    <row r="138" spans="1:20">
      <c r="A138" s="2185" t="s">
        <v>3922</v>
      </c>
      <c r="B138" s="2184">
        <v>0.54807765552665177</v>
      </c>
      <c r="C138" s="2184">
        <v>0.51609363641901951</v>
      </c>
      <c r="D138" s="1378">
        <v>0.48695794272470788</v>
      </c>
      <c r="E138" s="1378">
        <v>0.46212878064445589</v>
      </c>
      <c r="F138" s="1378">
        <v>0.44277642048404714</v>
      </c>
      <c r="G138" s="1378"/>
      <c r="H138" s="1378"/>
      <c r="N138" s="532"/>
      <c r="O138" s="532"/>
      <c r="P138" s="532"/>
      <c r="R138" s="2000"/>
      <c r="S138" s="2000"/>
      <c r="T138" s="2000"/>
    </row>
    <row r="139" spans="1:20">
      <c r="A139" s="2185" t="s">
        <v>3923</v>
      </c>
      <c r="B139" s="2184">
        <v>7.4236944463054733E-2</v>
      </c>
      <c r="C139" s="2184">
        <v>6.9471218849948266E-2</v>
      </c>
      <c r="D139" s="1378">
        <v>6.2874424815599836E-2</v>
      </c>
      <c r="E139" s="1378">
        <v>5.5752154658685084E-2</v>
      </c>
      <c r="F139" s="1378">
        <v>5.4771120800961998E-2</v>
      </c>
      <c r="G139" s="1378"/>
      <c r="H139" s="1378"/>
      <c r="N139" s="532"/>
      <c r="O139" s="532"/>
      <c r="P139" s="532"/>
      <c r="R139" s="2000"/>
      <c r="S139" s="2000"/>
      <c r="T139" s="2000"/>
    </row>
    <row r="140" spans="1:20">
      <c r="A140" s="2185" t="s">
        <v>3924</v>
      </c>
      <c r="B140" s="2184">
        <v>0.56387086941845532</v>
      </c>
      <c r="C140" s="2184">
        <v>0.53119941702981677</v>
      </c>
      <c r="D140" s="1378">
        <v>0.50094557962027941</v>
      </c>
      <c r="E140" s="1378">
        <v>0.47558149787684023</v>
      </c>
      <c r="F140" s="1378">
        <v>0.45569096770625822</v>
      </c>
      <c r="G140" s="1378"/>
      <c r="H140" s="1378"/>
      <c r="N140" s="532"/>
      <c r="O140" s="532"/>
      <c r="P140" s="532"/>
      <c r="R140" s="2000"/>
      <c r="S140" s="2000"/>
      <c r="T140" s="2000"/>
    </row>
    <row r="141" spans="1:20">
      <c r="A141" s="2185" t="s">
        <v>3925</v>
      </c>
      <c r="B141" s="2184">
        <v>0.60543636149287139</v>
      </c>
      <c r="C141" s="2184">
        <v>0.57041679847022753</v>
      </c>
      <c r="D141" s="1378">
        <v>0.53845592269244003</v>
      </c>
      <c r="E141" s="1378">
        <v>0.51144312236494327</v>
      </c>
      <c r="F141" s="1378">
        <v>0.48974022077228607</v>
      </c>
      <c r="G141" s="1378"/>
      <c r="H141" s="1378"/>
      <c r="N141" s="532"/>
      <c r="O141" s="532"/>
      <c r="P141" s="532"/>
      <c r="R141" s="2000"/>
      <c r="S141" s="2000"/>
      <c r="T141" s="2000"/>
    </row>
    <row r="142" spans="1:20">
      <c r="A142" s="2185" t="s">
        <v>3926</v>
      </c>
      <c r="B142" s="2184">
        <v>0.64465374293328237</v>
      </c>
      <c r="C142" s="2184">
        <v>0.60792714154238836</v>
      </c>
      <c r="D142" s="1378">
        <v>0.5743175471805434</v>
      </c>
      <c r="E142" s="1378">
        <v>0.54549237543097129</v>
      </c>
      <c r="F142" s="1378">
        <v>0.52229280389665222</v>
      </c>
      <c r="G142" s="1378"/>
      <c r="H142" s="1378"/>
      <c r="N142" s="532"/>
      <c r="O142" s="532"/>
      <c r="P142" s="532"/>
      <c r="R142" s="2000"/>
      <c r="S142" s="2000"/>
      <c r="T142" s="2000"/>
    </row>
    <row r="143" spans="1:20">
      <c r="A143" s="2185" t="s">
        <v>3927</v>
      </c>
      <c r="B143" s="2184">
        <v>0.6821640860054432</v>
      </c>
      <c r="C143" s="2184">
        <v>0.64378876603049151</v>
      </c>
      <c r="D143" s="1378">
        <v>0.60836680024657108</v>
      </c>
      <c r="E143" s="1378">
        <v>0.57804495855533722</v>
      </c>
      <c r="F143" s="1378">
        <v>0.55341453725110079</v>
      </c>
      <c r="G143" s="1378"/>
      <c r="H143" s="1378"/>
      <c r="N143" s="532"/>
      <c r="O143" s="532"/>
      <c r="P143" s="532"/>
      <c r="R143" s="2000"/>
      <c r="S143" s="2000"/>
      <c r="T143" s="2000"/>
    </row>
    <row r="144" spans="1:20">
      <c r="A144" s="2185" t="s">
        <v>3928</v>
      </c>
      <c r="B144" s="2184">
        <v>0.71802571049354624</v>
      </c>
      <c r="C144" s="2184">
        <v>0.67783801909651942</v>
      </c>
      <c r="D144" s="1378">
        <v>0.64091938337093712</v>
      </c>
      <c r="E144" s="1378">
        <v>0.60916669190978578</v>
      </c>
      <c r="F144" s="1378">
        <v>0.58316834492726721</v>
      </c>
      <c r="G144" s="1378"/>
      <c r="H144" s="1378"/>
      <c r="N144" s="532"/>
      <c r="O144" s="532"/>
      <c r="P144" s="532"/>
      <c r="R144" s="2000"/>
      <c r="S144" s="2000"/>
      <c r="T144" s="2000"/>
    </row>
    <row r="145" spans="1:20">
      <c r="A145" s="2185" t="s">
        <v>3929</v>
      </c>
      <c r="B145" s="2184">
        <v>0.75207496355957382</v>
      </c>
      <c r="C145" s="2184">
        <v>0.71039060222088535</v>
      </c>
      <c r="D145" s="1378">
        <v>0.67204111672538569</v>
      </c>
      <c r="E145" s="1378">
        <v>0.63892049958595221</v>
      </c>
      <c r="F145" s="1378">
        <v>0.61161438242917354</v>
      </c>
      <c r="G145" s="1378"/>
      <c r="H145" s="1378"/>
      <c r="N145" s="532"/>
      <c r="O145" s="532"/>
      <c r="P145" s="532"/>
      <c r="R145" s="2000"/>
      <c r="S145" s="2000"/>
      <c r="T145" s="2000"/>
    </row>
    <row r="146" spans="1:20">
      <c r="A146" s="2185" t="s">
        <v>3930</v>
      </c>
      <c r="B146" s="2184">
        <v>0.78462754668394019</v>
      </c>
      <c r="C146" s="2184">
        <v>0.74151233557533403</v>
      </c>
      <c r="D146" s="1378">
        <v>0.70179492440155222</v>
      </c>
      <c r="E146" s="1378">
        <v>0.66736653708785876</v>
      </c>
      <c r="F146" s="1378">
        <v>0.63881015855027212</v>
      </c>
      <c r="G146" s="1378"/>
      <c r="H146" s="1378"/>
      <c r="N146" s="532"/>
      <c r="O146" s="532"/>
      <c r="P146" s="532"/>
      <c r="R146" s="2000"/>
      <c r="S146" s="2000"/>
      <c r="T146" s="2000"/>
    </row>
    <row r="147" spans="1:20">
      <c r="A147" s="2185" t="s">
        <v>3931</v>
      </c>
      <c r="B147" s="2184">
        <v>0.81574928003838854</v>
      </c>
      <c r="C147" s="2184">
        <v>0.77126614325150034</v>
      </c>
      <c r="D147" s="1378">
        <v>0.73024096190345855</v>
      </c>
      <c r="E147" s="1378">
        <v>0.69456231320895723</v>
      </c>
      <c r="F147" s="1378">
        <v>0.6648672927063799</v>
      </c>
      <c r="G147" s="1378"/>
      <c r="H147" s="1378"/>
      <c r="N147" s="532"/>
      <c r="O147" s="532"/>
      <c r="P147" s="532"/>
      <c r="R147" s="2000"/>
      <c r="S147" s="2000"/>
      <c r="T147" s="2000"/>
    </row>
    <row r="148" spans="1:20">
      <c r="A148" s="2185" t="s">
        <v>3932</v>
      </c>
      <c r="B148" s="2184">
        <v>0.84550308771455507</v>
      </c>
      <c r="C148" s="2184">
        <v>0.79971218075340689</v>
      </c>
      <c r="D148" s="1378">
        <v>0.75743673802455713</v>
      </c>
      <c r="E148" s="1378">
        <v>0.72061944736506489</v>
      </c>
      <c r="F148" s="1378">
        <v>0.68977912781316253</v>
      </c>
      <c r="G148" s="1378"/>
      <c r="H148" s="1378"/>
      <c r="N148" s="532"/>
      <c r="O148" s="532"/>
      <c r="P148" s="532"/>
      <c r="R148" s="2000"/>
      <c r="S148" s="2000"/>
      <c r="T148" s="2000"/>
    </row>
    <row r="149" spans="1:20">
      <c r="A149" s="2185" t="s">
        <v>3933</v>
      </c>
      <c r="B149" s="2184">
        <v>0.87394912521646162</v>
      </c>
      <c r="C149" s="2184">
        <v>0.82690795687450558</v>
      </c>
      <c r="D149" s="1378">
        <v>0.7834938721806648</v>
      </c>
      <c r="E149" s="1378">
        <v>0.74553128247184752</v>
      </c>
      <c r="F149" s="1378">
        <v>0.71359602844501391</v>
      </c>
      <c r="G149" s="1378"/>
      <c r="H149" s="1378"/>
      <c r="N149" s="532"/>
      <c r="O149" s="532"/>
      <c r="P149" s="532"/>
      <c r="R149" s="2000"/>
      <c r="S149" s="2000"/>
      <c r="T149" s="2000"/>
    </row>
    <row r="150" spans="1:20">
      <c r="A150" s="2185" t="s">
        <v>3934</v>
      </c>
      <c r="B150" s="2184">
        <v>0.14370816331300298</v>
      </c>
      <c r="C150" s="2184">
        <v>0.13234564366554813</v>
      </c>
      <c r="D150" s="1378">
        <v>0.11862657947428493</v>
      </c>
      <c r="E150" s="1378">
        <v>0.11052327545964706</v>
      </c>
      <c r="F150" s="1378">
        <v>0.10918692650144518</v>
      </c>
      <c r="G150" s="1378"/>
      <c r="H150" s="1378"/>
      <c r="N150" s="532"/>
      <c r="O150" s="532"/>
      <c r="P150" s="532"/>
      <c r="R150" s="2000"/>
      <c r="S150" s="2000"/>
      <c r="T150" s="2000"/>
    </row>
    <row r="151" spans="1:20">
      <c r="A151" s="2185" t="s">
        <v>3935</v>
      </c>
      <c r="B151" s="2184">
        <v>0.90114490133756009</v>
      </c>
      <c r="C151" s="2184">
        <v>0.85296509103061313</v>
      </c>
      <c r="D151" s="1378">
        <v>0.80840570728744732</v>
      </c>
      <c r="E151" s="1378">
        <v>0.76934818310369912</v>
      </c>
      <c r="F151" s="1378">
        <v>0.73636614327953898</v>
      </c>
      <c r="G151" s="1378"/>
      <c r="H151" s="1378"/>
      <c r="N151" s="532"/>
      <c r="O151" s="532"/>
      <c r="P151" s="532"/>
      <c r="R151" s="2000"/>
      <c r="S151" s="2000"/>
      <c r="T151" s="2000"/>
    </row>
    <row r="152" spans="1:20">
      <c r="A152" s="2185" t="s">
        <v>3936</v>
      </c>
      <c r="B152" s="2184">
        <v>0.92720203549366809</v>
      </c>
      <c r="C152" s="2184">
        <v>0.87787692613739565</v>
      </c>
      <c r="D152" s="1378">
        <v>0.83222260791929903</v>
      </c>
      <c r="E152" s="1378">
        <v>0.79211829793822408</v>
      </c>
      <c r="F152" s="1378">
        <v>0.75813550264050833</v>
      </c>
      <c r="G152" s="1378"/>
      <c r="H152" s="1378"/>
      <c r="N152" s="532"/>
      <c r="O152" s="532"/>
      <c r="P152" s="532"/>
      <c r="R152" s="2000"/>
      <c r="S152" s="2000"/>
      <c r="T152" s="2000"/>
    </row>
    <row r="153" spans="1:20">
      <c r="A153" s="2185" t="s">
        <v>3937</v>
      </c>
      <c r="B153" s="2184">
        <v>0.9521138706004505</v>
      </c>
      <c r="C153" s="2184">
        <v>0.90169382676924748</v>
      </c>
      <c r="D153" s="1378">
        <v>0.85499272275382399</v>
      </c>
      <c r="E153" s="1378">
        <v>0.81388765729919355</v>
      </c>
      <c r="F153" s="1378">
        <v>0.77850735306252716</v>
      </c>
      <c r="G153" s="1378"/>
      <c r="H153" s="1378"/>
      <c r="N153" s="532"/>
      <c r="O153" s="532"/>
      <c r="P153" s="532"/>
      <c r="R153" s="2000"/>
      <c r="S153" s="2000"/>
      <c r="T153" s="2000"/>
    </row>
    <row r="154" spans="1:20">
      <c r="A154" s="2185" t="s">
        <v>3938</v>
      </c>
      <c r="B154" s="2184">
        <v>0.97593077123230199</v>
      </c>
      <c r="C154" s="2184">
        <v>0.92446394160377221</v>
      </c>
      <c r="D154" s="1378">
        <v>0.87676208211479334</v>
      </c>
      <c r="E154" s="1378">
        <v>0.83425950772121216</v>
      </c>
      <c r="F154" s="1378">
        <v>0.79757140923136394</v>
      </c>
      <c r="G154" s="1378"/>
      <c r="H154" s="1378"/>
      <c r="N154" s="532"/>
      <c r="O154" s="532"/>
      <c r="P154" s="532"/>
      <c r="R154" s="2000"/>
      <c r="S154" s="2000"/>
      <c r="T154" s="2000"/>
    </row>
    <row r="155" spans="1:20">
      <c r="A155" s="2185" t="s">
        <v>3939</v>
      </c>
      <c r="B155" s="2184">
        <v>0.99870088606682716</v>
      </c>
      <c r="C155" s="2184">
        <v>0.9462333009647419</v>
      </c>
      <c r="D155" s="1378">
        <v>0.89713393253681195</v>
      </c>
      <c r="E155" s="1378">
        <v>0.85332356389004871</v>
      </c>
      <c r="F155" s="1378">
        <v>0.8154116264958563</v>
      </c>
      <c r="G155" s="1378"/>
      <c r="H155" s="1378"/>
      <c r="N155" s="532"/>
      <c r="O155" s="532"/>
      <c r="P155" s="532"/>
      <c r="R155" s="2000"/>
      <c r="S155" s="2000"/>
      <c r="T155" s="2000"/>
    </row>
    <row r="156" spans="1:20">
      <c r="A156" s="2185" t="s">
        <v>3940</v>
      </c>
      <c r="B156" s="2184">
        <v>1.0204702454277965</v>
      </c>
      <c r="C156" s="2184">
        <v>0.96660515138676051</v>
      </c>
      <c r="D156" s="1378">
        <v>0.91619798870564872</v>
      </c>
      <c r="E156" s="1378">
        <v>0.87116378115454141</v>
      </c>
      <c r="F156" s="1378">
        <v>0.83210657059513804</v>
      </c>
      <c r="G156" s="1378"/>
      <c r="H156" s="1378"/>
      <c r="N156" s="532"/>
      <c r="O156" s="532"/>
      <c r="P156" s="532"/>
      <c r="R156" s="2000"/>
      <c r="S156" s="2000"/>
      <c r="T156" s="2000"/>
    </row>
    <row r="157" spans="1:20">
      <c r="A157" s="2185" t="s">
        <v>3941</v>
      </c>
      <c r="B157" s="2184">
        <v>0.20658258812860286</v>
      </c>
      <c r="C157" s="2184">
        <v>0.18809779832423318</v>
      </c>
      <c r="D157" s="1378">
        <v>0.1733977002752469</v>
      </c>
      <c r="E157" s="1378">
        <v>0.16493908116013026</v>
      </c>
      <c r="F157" s="1378">
        <v>0.16205472431214935</v>
      </c>
      <c r="G157" s="1378"/>
      <c r="H157" s="1378"/>
      <c r="N157" s="532"/>
      <c r="O157" s="532"/>
      <c r="P157" s="532"/>
      <c r="R157" s="2000"/>
      <c r="S157" s="2000"/>
      <c r="T157" s="2000"/>
    </row>
    <row r="158" spans="1:20">
      <c r="A158" s="2185" t="s">
        <v>3942</v>
      </c>
      <c r="B158" s="2184">
        <v>0.26233474278728797</v>
      </c>
      <c r="C158" s="2184">
        <v>0.24286891912519526</v>
      </c>
      <c r="D158" s="1378">
        <v>0.22781350597573014</v>
      </c>
      <c r="E158" s="1378">
        <v>0.21780687897083445</v>
      </c>
      <c r="F158" s="1378">
        <v>0.21160090162222633</v>
      </c>
      <c r="G158" s="1378"/>
      <c r="H158" s="1378"/>
      <c r="N158" s="532"/>
      <c r="O158" s="532"/>
      <c r="P158" s="532"/>
      <c r="R158" s="2000"/>
      <c r="S158" s="2000"/>
      <c r="T158" s="2000"/>
    </row>
    <row r="159" spans="1:20">
      <c r="A159" s="2185" t="s">
        <v>3943</v>
      </c>
      <c r="B159" s="2184">
        <v>0.31710586358824999</v>
      </c>
      <c r="C159" s="2184">
        <v>0.29728472482567836</v>
      </c>
      <c r="D159" s="1378">
        <v>0.2806813037864343</v>
      </c>
      <c r="E159" s="1378">
        <v>0.26735305628091138</v>
      </c>
      <c r="F159" s="1378">
        <v>0.2579208219007269</v>
      </c>
      <c r="G159" s="1378"/>
      <c r="H159" s="1378"/>
      <c r="N159" s="532"/>
      <c r="O159" s="532"/>
      <c r="P159" s="532"/>
      <c r="R159" s="2000"/>
      <c r="S159" s="2000"/>
      <c r="T159" s="2000"/>
    </row>
    <row r="160" spans="1:20">
      <c r="A160" s="2185" t="s">
        <v>3944</v>
      </c>
      <c r="B160" s="2184">
        <v>0.37152166928873304</v>
      </c>
      <c r="C160" s="2184">
        <v>0.35015252263638258</v>
      </c>
      <c r="D160" s="1378">
        <v>0.33022748109651118</v>
      </c>
      <c r="E160" s="1378">
        <v>0.31367297655941201</v>
      </c>
      <c r="F160" s="1378">
        <v>0.30153612663116747</v>
      </c>
      <c r="G160" s="1378"/>
      <c r="H160" s="1378"/>
      <c r="N160" s="532"/>
      <c r="O160" s="532"/>
      <c r="P160" s="532"/>
      <c r="R160" s="2000"/>
      <c r="S160" s="2000"/>
      <c r="T160" s="2000"/>
    </row>
    <row r="161" spans="1:20">
      <c r="A161" s="2185" t="s">
        <v>3945</v>
      </c>
      <c r="B161" s="2184">
        <v>0.42438946709943737</v>
      </c>
      <c r="C161" s="2184">
        <v>0.39969869994645951</v>
      </c>
      <c r="D161" s="1378">
        <v>0.37654740137501191</v>
      </c>
      <c r="E161" s="1378">
        <v>0.35728828128985257</v>
      </c>
      <c r="F161" s="1378">
        <v>0.34310161870558348</v>
      </c>
      <c r="G161" s="1378"/>
      <c r="H161" s="1378"/>
      <c r="N161" s="532"/>
      <c r="O161" s="532"/>
      <c r="P161" s="532"/>
      <c r="R161" s="2000"/>
      <c r="S161" s="2000"/>
      <c r="T161" s="2000"/>
    </row>
    <row r="162" spans="1:20">
      <c r="A162" s="2185" t="s">
        <v>3946</v>
      </c>
      <c r="B162" s="2184">
        <v>0.47393564440951436</v>
      </c>
      <c r="C162" s="2184">
        <v>0.44601862022496025</v>
      </c>
      <c r="D162" s="1378">
        <v>0.42016270610545242</v>
      </c>
      <c r="E162" s="1378">
        <v>0.39885377336426853</v>
      </c>
      <c r="F162" s="1378">
        <v>0.38231900014599429</v>
      </c>
      <c r="G162" s="1378"/>
      <c r="H162" s="1378"/>
      <c r="N162" s="532"/>
      <c r="O162" s="532"/>
      <c r="P162" s="532"/>
      <c r="R162" s="2000"/>
      <c r="S162" s="2000"/>
      <c r="T162" s="2000"/>
    </row>
    <row r="163" spans="1:20">
      <c r="A163" s="2185" t="s">
        <v>3947</v>
      </c>
      <c r="B163" s="2184">
        <v>0.52025556468801493</v>
      </c>
      <c r="C163" s="2184">
        <v>0.48963392495540065</v>
      </c>
      <c r="D163" s="1378">
        <v>0.46172819817986849</v>
      </c>
      <c r="E163" s="1378">
        <v>0.43807115480467934</v>
      </c>
      <c r="F163" s="1378">
        <v>0.41982934321815518</v>
      </c>
      <c r="G163" s="1378"/>
      <c r="H163" s="1378"/>
      <c r="N163" s="532"/>
      <c r="O163" s="532"/>
      <c r="P163" s="532"/>
      <c r="R163" s="2000"/>
      <c r="S163" s="2000"/>
      <c r="T163" s="2000"/>
    </row>
    <row r="164" spans="1:20">
      <c r="A164" s="2185" t="s">
        <v>3948</v>
      </c>
      <c r="B164" s="2184">
        <v>6.8173847036115662E-2</v>
      </c>
      <c r="C164" s="2184">
        <v>6.379734890147451E-2</v>
      </c>
      <c r="D164" s="1378">
        <v>5.7702319419803742E-2</v>
      </c>
      <c r="E164" s="1378">
        <v>5.1118396214027716E-2</v>
      </c>
      <c r="F164" s="1378">
        <v>5.0239416873718558E-2</v>
      </c>
      <c r="G164" s="1378"/>
      <c r="H164" s="1378"/>
      <c r="N164" s="532"/>
      <c r="O164" s="532"/>
      <c r="P164" s="532"/>
      <c r="R164" s="2000"/>
      <c r="S164" s="2000"/>
      <c r="T164" s="2000"/>
    </row>
    <row r="165" spans="1:20">
      <c r="A165" s="2185" t="s">
        <v>3949</v>
      </c>
      <c r="B165" s="2184">
        <v>0.51748052401153344</v>
      </c>
      <c r="C165" s="2184">
        <v>0.48743667710415822</v>
      </c>
      <c r="D165" s="1378">
        <v>0.45961010992909185</v>
      </c>
      <c r="E165" s="1378">
        <v>0.43631372807800806</v>
      </c>
      <c r="F165" s="1378">
        <v>0.41808965578964086</v>
      </c>
      <c r="G165" s="1378"/>
      <c r="H165" s="1378"/>
      <c r="N165" s="532"/>
      <c r="O165" s="532"/>
      <c r="P165" s="532"/>
      <c r="R165" s="2000"/>
      <c r="S165" s="2000"/>
      <c r="T165" s="2000"/>
    </row>
    <row r="166" spans="1:20">
      <c r="A166" s="2185" t="s">
        <v>3950</v>
      </c>
      <c r="B166" s="2184">
        <v>0.5556105241402739</v>
      </c>
      <c r="C166" s="2184">
        <v>0.52340745883056639</v>
      </c>
      <c r="D166" s="1378">
        <v>0.49401604749781169</v>
      </c>
      <c r="E166" s="1378">
        <v>0.46920805200366855</v>
      </c>
      <c r="F166" s="1378">
        <v>0.44931949830365447</v>
      </c>
      <c r="G166" s="1378"/>
      <c r="H166" s="1378"/>
      <c r="N166" s="532"/>
      <c r="O166" s="532"/>
      <c r="P166" s="532"/>
      <c r="R166" s="2000"/>
      <c r="S166" s="2000"/>
      <c r="T166" s="2000"/>
    </row>
    <row r="167" spans="1:20">
      <c r="A167" s="2185" t="s">
        <v>3951</v>
      </c>
      <c r="B167" s="2184">
        <v>0.59158130586668189</v>
      </c>
      <c r="C167" s="2184">
        <v>0.55781339639928629</v>
      </c>
      <c r="D167" s="1378">
        <v>0.52691037142347241</v>
      </c>
      <c r="E167" s="1378">
        <v>0.50043789451768239</v>
      </c>
      <c r="F167" s="1378">
        <v>0.47917719666616326</v>
      </c>
      <c r="G167" s="1378"/>
      <c r="H167" s="1378"/>
      <c r="N167" s="532"/>
      <c r="O167" s="532"/>
      <c r="P167" s="532"/>
      <c r="R167" s="2000"/>
      <c r="S167" s="2000"/>
      <c r="T167" s="2000"/>
    </row>
    <row r="168" spans="1:20">
      <c r="A168" s="2185" t="s">
        <v>3952</v>
      </c>
      <c r="B168" s="2184">
        <v>0.62598724343540191</v>
      </c>
      <c r="C168" s="2184">
        <v>0.59070772032494678</v>
      </c>
      <c r="D168" s="1378">
        <v>0.55814021393748603</v>
      </c>
      <c r="E168" s="1378">
        <v>0.53029559288019101</v>
      </c>
      <c r="F168" s="1378">
        <v>0.50772306797887634</v>
      </c>
      <c r="G168" s="1378"/>
      <c r="H168" s="1378"/>
      <c r="N168" s="532"/>
      <c r="O168" s="532"/>
      <c r="P168" s="532"/>
      <c r="R168" s="2000"/>
      <c r="S168" s="2000"/>
      <c r="T168" s="2000"/>
    </row>
    <row r="169" spans="1:20">
      <c r="A169" s="2185" t="s">
        <v>3953</v>
      </c>
      <c r="B169" s="2184">
        <v>0.65888156736106251</v>
      </c>
      <c r="C169" s="2184">
        <v>0.6219375628389604</v>
      </c>
      <c r="D169" s="1378">
        <v>0.58799791229999454</v>
      </c>
      <c r="E169" s="1378">
        <v>0.55884146419290404</v>
      </c>
      <c r="F169" s="1378">
        <v>0.53501477659455987</v>
      </c>
      <c r="G169" s="1378"/>
      <c r="H169" s="1378"/>
      <c r="N169" s="532"/>
      <c r="O169" s="532"/>
      <c r="P169" s="532"/>
      <c r="R169" s="2000"/>
      <c r="S169" s="2000"/>
      <c r="T169" s="2000"/>
    </row>
    <row r="170" spans="1:20">
      <c r="A170" s="2185" t="s">
        <v>3954</v>
      </c>
      <c r="B170" s="2184">
        <v>0.69011140987507613</v>
      </c>
      <c r="C170" s="2184">
        <v>0.65179526120146924</v>
      </c>
      <c r="D170" s="1378">
        <v>0.61654378361270779</v>
      </c>
      <c r="E170" s="1378">
        <v>0.58613317280858745</v>
      </c>
      <c r="F170" s="1378">
        <v>0.56110745084390623</v>
      </c>
      <c r="G170" s="1378"/>
      <c r="H170" s="1378"/>
      <c r="N170" s="532"/>
      <c r="O170" s="532"/>
      <c r="P170" s="532"/>
      <c r="R170" s="2000"/>
      <c r="S170" s="2000"/>
      <c r="T170" s="2000"/>
    </row>
    <row r="171" spans="1:20">
      <c r="A171" s="2185" t="s">
        <v>3955</v>
      </c>
      <c r="B171" s="2184">
        <v>0.71996910823758498</v>
      </c>
      <c r="C171" s="2184">
        <v>0.68034113251418227</v>
      </c>
      <c r="D171" s="1378">
        <v>0.64383549222839132</v>
      </c>
      <c r="E171" s="1378">
        <v>0.61222584705793393</v>
      </c>
      <c r="F171" s="1378">
        <v>0.58605379462352325</v>
      </c>
      <c r="G171" s="1378"/>
      <c r="H171" s="1378"/>
      <c r="N171" s="532"/>
      <c r="O171" s="532"/>
      <c r="P171" s="532"/>
      <c r="R171" s="2000"/>
      <c r="S171" s="2000"/>
      <c r="T171" s="2000"/>
    </row>
    <row r="172" spans="1:20">
      <c r="A172" s="2185" t="s">
        <v>3956</v>
      </c>
      <c r="B172" s="2184">
        <v>0.74851497955029789</v>
      </c>
      <c r="C172" s="2184">
        <v>0.7076328411298658</v>
      </c>
      <c r="D172" s="1378">
        <v>0.66992816647773767</v>
      </c>
      <c r="E172" s="1378">
        <v>0.63717219083755083</v>
      </c>
      <c r="F172" s="1378">
        <v>0.60995456282840321</v>
      </c>
      <c r="G172" s="1378"/>
      <c r="H172" s="1378"/>
      <c r="N172" s="532"/>
      <c r="O172" s="532"/>
      <c r="P172" s="532"/>
      <c r="R172" s="2000"/>
      <c r="S172" s="2000"/>
      <c r="T172" s="2000"/>
    </row>
    <row r="173" spans="1:20">
      <c r="A173" s="2185" t="s">
        <v>3957</v>
      </c>
      <c r="B173" s="2184">
        <v>0.77580668816598142</v>
      </c>
      <c r="C173" s="2184">
        <v>0.73372551537921205</v>
      </c>
      <c r="D173" s="1378">
        <v>0.69487451025735447</v>
      </c>
      <c r="E173" s="1378">
        <v>0.66107295904243102</v>
      </c>
      <c r="F173" s="1378">
        <v>0.63280526628578004</v>
      </c>
      <c r="G173" s="1378"/>
      <c r="H173" s="1378"/>
      <c r="N173" s="532"/>
      <c r="O173" s="532"/>
      <c r="P173" s="532"/>
      <c r="R173" s="2000"/>
      <c r="S173" s="2000"/>
      <c r="T173" s="2000"/>
    </row>
    <row r="174" spans="1:20">
      <c r="A174" s="2185" t="s">
        <v>3958</v>
      </c>
      <c r="B174" s="2184">
        <v>0.80189936241532767</v>
      </c>
      <c r="C174" s="2184">
        <v>0.75867185915882906</v>
      </c>
      <c r="D174" s="1378">
        <v>0.71877527846223455</v>
      </c>
      <c r="E174" s="1378">
        <v>0.68392366249980752</v>
      </c>
      <c r="F174" s="1378">
        <v>0.65465206124966102</v>
      </c>
      <c r="G174" s="1378"/>
      <c r="H174" s="1378"/>
      <c r="N174" s="532"/>
      <c r="O174" s="532"/>
      <c r="P174" s="532"/>
      <c r="R174" s="2000"/>
      <c r="S174" s="2000"/>
      <c r="T174" s="2000"/>
    </row>
    <row r="175" spans="1:20">
      <c r="A175" s="2185" t="s">
        <v>3959</v>
      </c>
      <c r="B175" s="2184">
        <v>0.13197119593759019</v>
      </c>
      <c r="C175" s="2184">
        <v>0.12149966832127829</v>
      </c>
      <c r="D175" s="1378">
        <v>0.10882071563383144</v>
      </c>
      <c r="E175" s="1378">
        <v>0.10135781308774626</v>
      </c>
      <c r="F175" s="1378">
        <v>0.10017813108869017</v>
      </c>
      <c r="G175" s="1378"/>
      <c r="H175" s="1378"/>
      <c r="N175" s="532"/>
      <c r="O175" s="532"/>
      <c r="P175" s="532"/>
      <c r="R175" s="2000"/>
      <c r="S175" s="2000"/>
      <c r="T175" s="2000"/>
    </row>
    <row r="176" spans="1:20">
      <c r="A176" s="2185" t="s">
        <v>3960</v>
      </c>
      <c r="B176" s="2184">
        <v>0.82684570619494469</v>
      </c>
      <c r="C176" s="2184">
        <v>0.78257262736370903</v>
      </c>
      <c r="D176" s="1378">
        <v>0.74162598191961127</v>
      </c>
      <c r="E176" s="1378">
        <v>0.70577045746368861</v>
      </c>
      <c r="F176" s="1378">
        <v>0.67553907414492465</v>
      </c>
      <c r="G176" s="1378"/>
      <c r="H176" s="1378"/>
      <c r="N176" s="532"/>
      <c r="O176" s="532"/>
      <c r="P176" s="532"/>
      <c r="R176" s="2000"/>
      <c r="S176" s="2000"/>
      <c r="T176" s="2000"/>
    </row>
    <row r="177" spans="1:20">
      <c r="A177" s="2185" t="s">
        <v>3961</v>
      </c>
      <c r="B177" s="2184">
        <v>0.85074647439982498</v>
      </c>
      <c r="C177" s="2184">
        <v>0.80542333082108586</v>
      </c>
      <c r="D177" s="1378">
        <v>0.76347277688349235</v>
      </c>
      <c r="E177" s="1378">
        <v>0.72665747035895234</v>
      </c>
      <c r="F177" s="1378">
        <v>0.69550849087872257</v>
      </c>
      <c r="G177" s="1378"/>
      <c r="H177" s="1378"/>
      <c r="N177" s="532"/>
      <c r="O177" s="532"/>
      <c r="P177" s="532"/>
      <c r="R177" s="2000"/>
      <c r="S177" s="2000"/>
      <c r="T177" s="2000"/>
    </row>
    <row r="178" spans="1:20">
      <c r="A178" s="2185" t="s">
        <v>3962</v>
      </c>
      <c r="B178" s="2184">
        <v>0.87359717785720126</v>
      </c>
      <c r="C178" s="2184">
        <v>0.82727012578496695</v>
      </c>
      <c r="D178" s="1378">
        <v>0.78435978977875609</v>
      </c>
      <c r="E178" s="1378">
        <v>0.74662688709275027</v>
      </c>
      <c r="F178" s="1378">
        <v>0.71419594805053421</v>
      </c>
      <c r="G178" s="1378"/>
      <c r="H178" s="1378"/>
      <c r="N178" s="532"/>
      <c r="O178" s="532"/>
      <c r="P178" s="532"/>
      <c r="R178" s="2000"/>
      <c r="S178" s="2000"/>
      <c r="T178" s="2000"/>
    </row>
    <row r="179" spans="1:20">
      <c r="A179" s="2185" t="s">
        <v>3963</v>
      </c>
      <c r="B179" s="2184">
        <v>0.89544397282108257</v>
      </c>
      <c r="C179" s="2184">
        <v>0.84815713868023068</v>
      </c>
      <c r="D179" s="1378">
        <v>0.80432920651255402</v>
      </c>
      <c r="E179" s="1378">
        <v>0.76531434426456202</v>
      </c>
      <c r="F179" s="1378">
        <v>0.73168374252162915</v>
      </c>
      <c r="G179" s="1378"/>
      <c r="H179" s="1378"/>
      <c r="N179" s="532"/>
      <c r="O179" s="532"/>
      <c r="P179" s="532"/>
      <c r="R179" s="2000"/>
      <c r="S179" s="2000"/>
      <c r="T179" s="2000"/>
    </row>
    <row r="180" spans="1:20">
      <c r="A180" s="2185" t="s">
        <v>3964</v>
      </c>
      <c r="B180" s="2184">
        <v>0.91633098571634597</v>
      </c>
      <c r="C180" s="2184">
        <v>0.8681265554140285</v>
      </c>
      <c r="D180" s="1378">
        <v>0.82301666368436588</v>
      </c>
      <c r="E180" s="1378">
        <v>0.78280213873565685</v>
      </c>
      <c r="F180" s="1378">
        <v>0.74804888801207903</v>
      </c>
      <c r="G180" s="1378"/>
      <c r="H180" s="1378"/>
      <c r="N180" s="532"/>
      <c r="O180" s="532"/>
      <c r="P180" s="532"/>
      <c r="R180" s="2000"/>
      <c r="S180" s="2000"/>
      <c r="T180" s="2000"/>
    </row>
    <row r="181" spans="1:20">
      <c r="A181" s="2185" t="s">
        <v>3965</v>
      </c>
      <c r="B181" s="2184">
        <v>0.93630040245014412</v>
      </c>
      <c r="C181" s="2184">
        <v>0.88681401258584047</v>
      </c>
      <c r="D181" s="1378">
        <v>0.84050445815546038</v>
      </c>
      <c r="E181" s="1378">
        <v>0.79916728422610661</v>
      </c>
      <c r="F181" s="1378">
        <v>0.76336345425805463</v>
      </c>
      <c r="G181" s="1378"/>
      <c r="H181" s="1378"/>
      <c r="N181" s="532"/>
      <c r="O181" s="532"/>
      <c r="P181" s="532"/>
      <c r="R181" s="2000"/>
      <c r="S181" s="2000"/>
      <c r="T181" s="2000"/>
    </row>
    <row r="182" spans="1:20">
      <c r="A182" s="2185" t="s">
        <v>3966</v>
      </c>
      <c r="B182" s="2184">
        <v>0.18967351535739391</v>
      </c>
      <c r="C182" s="2184">
        <v>0.17261806453530595</v>
      </c>
      <c r="D182" s="1378">
        <v>0.15906013250755008</v>
      </c>
      <c r="E182" s="1378">
        <v>0.15129652730271792</v>
      </c>
      <c r="F182" s="1378">
        <v>0.14870714869886487</v>
      </c>
      <c r="G182" s="1378"/>
      <c r="H182" s="1378"/>
      <c r="N182" s="532"/>
      <c r="O182" s="532"/>
      <c r="P182" s="532"/>
      <c r="R182" s="2000"/>
      <c r="S182" s="2000"/>
      <c r="T182" s="2000"/>
    </row>
    <row r="183" spans="1:20">
      <c r="A183" s="2185" t="s">
        <v>3967</v>
      </c>
      <c r="B183" s="2184">
        <v>0.24079191157142166</v>
      </c>
      <c r="C183" s="2184">
        <v>0.2228574814090245</v>
      </c>
      <c r="D183" s="1378">
        <v>0.20899884672252167</v>
      </c>
      <c r="E183" s="1378">
        <v>0.19982554491289259</v>
      </c>
      <c r="F183" s="1378">
        <v>0.19417805368200017</v>
      </c>
      <c r="G183" s="1378"/>
      <c r="H183" s="1378"/>
      <c r="N183" s="532"/>
      <c r="O183" s="532"/>
      <c r="P183" s="532"/>
      <c r="R183" s="2000"/>
      <c r="S183" s="2000"/>
      <c r="T183" s="2000"/>
    </row>
    <row r="184" spans="1:20">
      <c r="A184" s="2185" t="s">
        <v>3968</v>
      </c>
      <c r="B184" s="2184">
        <v>0.29103132844514024</v>
      </c>
      <c r="C184" s="2184">
        <v>0.27279619562399621</v>
      </c>
      <c r="D184" s="1378">
        <v>0.25752786433269637</v>
      </c>
      <c r="E184" s="1378">
        <v>0.24529644989602784</v>
      </c>
      <c r="F184" s="1378">
        <v>0.23667743631800195</v>
      </c>
      <c r="G184" s="1378"/>
      <c r="H184" s="1378"/>
      <c r="N184" s="532"/>
      <c r="O184" s="532"/>
      <c r="P184" s="532"/>
      <c r="R184" s="2000"/>
      <c r="S184" s="2000"/>
      <c r="T184" s="2000"/>
    </row>
    <row r="185" spans="1:20">
      <c r="A185" s="2185" t="s">
        <v>3969</v>
      </c>
      <c r="B185" s="2184">
        <v>0.34097004266011177</v>
      </c>
      <c r="C185" s="2184">
        <v>0.32132521323417085</v>
      </c>
      <c r="D185" s="1378">
        <v>0.30299876931583158</v>
      </c>
      <c r="E185" s="1378">
        <v>0.28779583253202973</v>
      </c>
      <c r="F185" s="1378">
        <v>0.27668861244011189</v>
      </c>
      <c r="G185" s="1378"/>
      <c r="H185" s="1378"/>
      <c r="N185" s="532"/>
      <c r="O185" s="532"/>
      <c r="P185" s="532"/>
      <c r="R185" s="2000"/>
      <c r="S185" s="2000"/>
      <c r="T185" s="2000"/>
    </row>
    <row r="186" spans="1:20">
      <c r="A186" s="2185" t="s">
        <v>3970</v>
      </c>
      <c r="B186" s="2184">
        <v>0.38949906027028652</v>
      </c>
      <c r="C186" s="2184">
        <v>0.36679611821730612</v>
      </c>
      <c r="D186" s="1378">
        <v>0.34549815195183348</v>
      </c>
      <c r="E186" s="1378">
        <v>0.32780700865413959</v>
      </c>
      <c r="F186" s="1378">
        <v>0.3148186125688523</v>
      </c>
      <c r="G186" s="1378"/>
      <c r="H186" s="1378"/>
      <c r="N186" s="532"/>
      <c r="O186" s="532"/>
      <c r="P186" s="532"/>
      <c r="R186" s="2000"/>
      <c r="S186" s="2000"/>
      <c r="T186" s="2000"/>
    </row>
    <row r="187" spans="1:20">
      <c r="A187" s="2185" t="s">
        <v>3971</v>
      </c>
      <c r="B187" s="2184">
        <v>0.4349699652534218</v>
      </c>
      <c r="C187" s="2184">
        <v>0.40929550085330796</v>
      </c>
      <c r="D187" s="1378">
        <v>0.38550932807394334</v>
      </c>
      <c r="E187" s="1378">
        <v>0.3659370087828801</v>
      </c>
      <c r="F187" s="1378">
        <v>0.3507893942952604</v>
      </c>
      <c r="G187" s="1378"/>
      <c r="H187" s="1378"/>
      <c r="N187" s="532"/>
      <c r="O187" s="532"/>
      <c r="P187" s="532"/>
      <c r="R187" s="2000"/>
      <c r="S187" s="2000"/>
      <c r="T187" s="2000"/>
    </row>
    <row r="188" spans="1:20">
      <c r="A188" s="2185" t="s">
        <v>3972</v>
      </c>
      <c r="B188" s="2184">
        <v>0.47746934788942352</v>
      </c>
      <c r="C188" s="2184">
        <v>0.44930667697541793</v>
      </c>
      <c r="D188" s="1378">
        <v>0.42363932820268385</v>
      </c>
      <c r="E188" s="1378">
        <v>0.4019077905092881</v>
      </c>
      <c r="F188" s="1378">
        <v>0.38519533186398025</v>
      </c>
      <c r="G188" s="1378"/>
      <c r="H188" s="1378"/>
      <c r="N188" s="532"/>
      <c r="O188" s="532"/>
      <c r="P188" s="532"/>
      <c r="R188" s="2000"/>
      <c r="S188" s="2000"/>
      <c r="T188" s="2000"/>
    </row>
    <row r="189" spans="1:20">
      <c r="A189" s="2185" t="s">
        <v>3973</v>
      </c>
      <c r="B189" s="2184">
        <v>8.0089093812004006E-2</v>
      </c>
      <c r="C189" s="2184">
        <v>7.2776954124957494E-2</v>
      </c>
      <c r="D189" s="1378">
        <v>6.4909155565011298E-2</v>
      </c>
      <c r="E189" s="1378">
        <v>6.3604618915221497E-2</v>
      </c>
      <c r="F189" s="1378">
        <v>6.29924558153344E-2</v>
      </c>
      <c r="G189" s="1378"/>
      <c r="H189" s="1378"/>
      <c r="N189" s="532"/>
      <c r="O189" s="532"/>
      <c r="P189" s="532"/>
      <c r="R189" s="2000"/>
      <c r="S189" s="2000"/>
      <c r="T189" s="2000"/>
    </row>
    <row r="190" spans="1:20">
      <c r="A190" s="2185" t="s">
        <v>3974</v>
      </c>
      <c r="B190" s="2184">
        <v>0.615382510487686</v>
      </c>
      <c r="C190" s="2184">
        <v>0.58084999560624195</v>
      </c>
      <c r="D190" s="1378">
        <v>0.55163970730626899</v>
      </c>
      <c r="E190" s="1378">
        <v>0.52837711898287998</v>
      </c>
      <c r="F190" s="1378">
        <v>0.50433072794839295</v>
      </c>
      <c r="G190" s="1378"/>
      <c r="H190" s="1378"/>
      <c r="N190" s="532"/>
      <c r="O190" s="532"/>
      <c r="P190" s="532"/>
      <c r="R190" s="2000"/>
      <c r="S190" s="2000"/>
      <c r="T190" s="2000"/>
    </row>
    <row r="191" spans="1:20">
      <c r="A191" s="2185" t="s">
        <v>3975</v>
      </c>
      <c r="B191" s="2184">
        <v>0.66093908941824597</v>
      </c>
      <c r="C191" s="2184">
        <v>0.62441666143122698</v>
      </c>
      <c r="D191" s="1378">
        <v>0.59328627454789196</v>
      </c>
      <c r="E191" s="1378">
        <v>0.56793534686361502</v>
      </c>
      <c r="F191" s="1378">
        <v>0.54214541889928003</v>
      </c>
      <c r="G191" s="1378"/>
      <c r="H191" s="1378"/>
      <c r="N191" s="532"/>
      <c r="O191" s="532"/>
      <c r="P191" s="532"/>
      <c r="R191" s="2000"/>
      <c r="S191" s="2000"/>
      <c r="T191" s="2000"/>
    </row>
    <row r="192" spans="1:20">
      <c r="A192" s="2185" t="s">
        <v>3976</v>
      </c>
      <c r="B192" s="2184">
        <v>0.704505755243231</v>
      </c>
      <c r="C192" s="2184">
        <v>0.66606322867284895</v>
      </c>
      <c r="D192" s="1378">
        <v>0.632844502428626</v>
      </c>
      <c r="E192" s="1378">
        <v>0.60575003781450198</v>
      </c>
      <c r="F192" s="1378">
        <v>0.57829346109877</v>
      </c>
      <c r="G192" s="1378"/>
      <c r="H192" s="1378"/>
      <c r="N192" s="532"/>
      <c r="O192" s="532"/>
      <c r="P192" s="532"/>
      <c r="R192" s="2000"/>
      <c r="S192" s="2000"/>
      <c r="T192" s="2000"/>
    </row>
    <row r="193" spans="1:20">
      <c r="A193" s="2185" t="s">
        <v>3977</v>
      </c>
      <c r="B193" s="2184">
        <v>0.74615232248485297</v>
      </c>
      <c r="C193" s="2184">
        <v>0.70562145655358299</v>
      </c>
      <c r="D193" s="1378">
        <v>0.67065919337951296</v>
      </c>
      <c r="E193" s="1378">
        <v>0.64189808001399196</v>
      </c>
      <c r="F193" s="1378">
        <v>0.61284835018348005</v>
      </c>
      <c r="G193" s="1378"/>
      <c r="H193" s="1378"/>
      <c r="N193" s="532"/>
      <c r="O193" s="532"/>
      <c r="P193" s="532"/>
      <c r="R193" s="2000"/>
      <c r="S193" s="2000"/>
      <c r="T193" s="2000"/>
    </row>
    <row r="194" spans="1:20">
      <c r="A194" s="2185" t="s">
        <v>3978</v>
      </c>
      <c r="B194" s="2184">
        <v>0.78571055036558701</v>
      </c>
      <c r="C194" s="2184">
        <v>0.74343614750447096</v>
      </c>
      <c r="D194" s="1378">
        <v>0.70680723557900305</v>
      </c>
      <c r="E194" s="1378">
        <v>0.67645296909870101</v>
      </c>
      <c r="F194" s="1378">
        <v>0.64588033902030895</v>
      </c>
      <c r="G194" s="1378"/>
      <c r="H194" s="1378"/>
      <c r="N194" s="532"/>
      <c r="O194" s="532"/>
      <c r="P194" s="532"/>
      <c r="R194" s="2000"/>
      <c r="S194" s="2000"/>
      <c r="T194" s="2000"/>
    </row>
    <row r="195" spans="1:20">
      <c r="A195" s="2185" t="s">
        <v>3979</v>
      </c>
      <c r="B195" s="2184">
        <v>0.82352524131647498</v>
      </c>
      <c r="C195" s="2184">
        <v>0.77958418970396104</v>
      </c>
      <c r="D195" s="1378">
        <v>0.74136212466371298</v>
      </c>
      <c r="E195" s="1378">
        <v>0.70948495793553101</v>
      </c>
      <c r="F195" s="1378">
        <v>0.67745658086280303</v>
      </c>
      <c r="G195" s="1378"/>
      <c r="H195" s="1378"/>
      <c r="N195" s="532"/>
      <c r="O195" s="532"/>
      <c r="P195" s="532"/>
      <c r="R195" s="2000"/>
      <c r="S195" s="2000"/>
      <c r="T195" s="2000"/>
    </row>
    <row r="196" spans="1:20">
      <c r="A196" s="2185" t="s">
        <v>3980</v>
      </c>
      <c r="B196" s="2184">
        <v>0.85967328351596395</v>
      </c>
      <c r="C196" s="2184">
        <v>0.81413907878866998</v>
      </c>
      <c r="D196" s="1378">
        <v>0.77439411350054199</v>
      </c>
      <c r="E196" s="1378">
        <v>0.74106119977802398</v>
      </c>
      <c r="F196" s="1378">
        <v>0.70771959092952297</v>
      </c>
      <c r="G196" s="1378"/>
      <c r="H196" s="1378"/>
      <c r="N196" s="532"/>
      <c r="O196" s="532"/>
      <c r="P196" s="532"/>
      <c r="R196" s="2000"/>
      <c r="S196" s="2000"/>
      <c r="T196" s="2000"/>
    </row>
    <row r="197" spans="1:20">
      <c r="A197" s="2185" t="s">
        <v>3981</v>
      </c>
      <c r="B197" s="2184">
        <v>0.894228172600674</v>
      </c>
      <c r="C197" s="2184">
        <v>0.84717106762549998</v>
      </c>
      <c r="D197" s="1378">
        <v>0.80597035534303596</v>
      </c>
      <c r="E197" s="1378">
        <v>0.77132420984474503</v>
      </c>
      <c r="F197" s="1378">
        <v>0.73664884074234105</v>
      </c>
      <c r="G197" s="1378"/>
      <c r="H197" s="1378"/>
      <c r="N197" s="532"/>
      <c r="O197" s="532"/>
      <c r="P197" s="532"/>
      <c r="R197" s="2000"/>
      <c r="S197" s="2000"/>
      <c r="T197" s="2000"/>
    </row>
    <row r="198" spans="1:20">
      <c r="A198" s="2185" t="s">
        <v>3982</v>
      </c>
      <c r="B198" s="2184">
        <v>0.927260161437504</v>
      </c>
      <c r="C198" s="2184">
        <v>0.87874730946799295</v>
      </c>
      <c r="D198" s="1378">
        <v>0.83623336540975601</v>
      </c>
      <c r="E198" s="1378">
        <v>0.800253459657563</v>
      </c>
      <c r="F198" s="1378">
        <v>0.76430314381403996</v>
      </c>
      <c r="G198" s="1378"/>
      <c r="H198" s="1378"/>
      <c r="N198" s="532"/>
      <c r="O198" s="532"/>
      <c r="P198" s="532"/>
      <c r="R198" s="2000"/>
      <c r="S198" s="2000"/>
      <c r="T198" s="2000"/>
    </row>
    <row r="199" spans="1:20">
      <c r="A199" s="2185" t="s">
        <v>3983</v>
      </c>
      <c r="B199" s="2184">
        <v>0.95883640327999697</v>
      </c>
      <c r="C199" s="2184">
        <v>0.90901031953471301</v>
      </c>
      <c r="D199" s="1378">
        <v>0.86516261522257398</v>
      </c>
      <c r="E199" s="1378">
        <v>0.82790776272926203</v>
      </c>
      <c r="F199" s="1378">
        <v>0.79073871880110402</v>
      </c>
      <c r="G199" s="1378"/>
      <c r="H199" s="1378"/>
      <c r="N199" s="532"/>
      <c r="O199" s="532"/>
      <c r="P199" s="532"/>
      <c r="R199" s="2000"/>
      <c r="S199" s="2000"/>
      <c r="T199" s="2000"/>
    </row>
    <row r="200" spans="1:20">
      <c r="A200" s="2185" t="s">
        <v>3984</v>
      </c>
      <c r="B200" s="2184">
        <v>0.15286604793696201</v>
      </c>
      <c r="C200" s="2184">
        <v>0.137686109689969</v>
      </c>
      <c r="D200" s="1378">
        <v>0.12851377448023299</v>
      </c>
      <c r="E200" s="1378">
        <v>0.12659707473055601</v>
      </c>
      <c r="F200" s="1378">
        <v>0.12410627491764201</v>
      </c>
      <c r="G200" s="1378"/>
      <c r="H200" s="1378"/>
      <c r="N200" s="532"/>
      <c r="O200" s="532"/>
      <c r="P200" s="532"/>
      <c r="R200" s="2000"/>
      <c r="S200" s="2000"/>
      <c r="T200" s="2000"/>
    </row>
    <row r="201" spans="1:20">
      <c r="A201" s="2185" t="s">
        <v>3985</v>
      </c>
      <c r="B201" s="2184">
        <v>0.98909941334671803</v>
      </c>
      <c r="C201" s="2184">
        <v>0.93793956934753098</v>
      </c>
      <c r="D201" s="1378">
        <v>0.89281691829427301</v>
      </c>
      <c r="E201" s="1378">
        <v>0.85434333771632598</v>
      </c>
      <c r="F201" s="1378">
        <v>0.81600930405218297</v>
      </c>
      <c r="G201" s="1378"/>
      <c r="H201" s="1378"/>
      <c r="N201" s="532"/>
      <c r="O201" s="532"/>
      <c r="P201" s="532"/>
      <c r="R201" s="2000"/>
      <c r="S201" s="2000"/>
      <c r="T201" s="2000"/>
    </row>
    <row r="202" spans="1:20">
      <c r="A202" s="2185" t="s">
        <v>3986</v>
      </c>
      <c r="B202" s="2184">
        <v>1.0180286631595401</v>
      </c>
      <c r="C202" s="2184">
        <v>0.96559387241923</v>
      </c>
      <c r="D202" s="1378">
        <v>0.91925249328133696</v>
      </c>
      <c r="E202" s="1378">
        <v>0.87961392296740504</v>
      </c>
      <c r="F202" s="1378">
        <v>0.840166267097055</v>
      </c>
      <c r="G202" s="1378"/>
      <c r="H202" s="1378"/>
      <c r="N202" s="532"/>
      <c r="O202" s="532"/>
      <c r="P202" s="532"/>
      <c r="R202" s="2000"/>
      <c r="S202" s="2000"/>
      <c r="T202" s="2000"/>
    </row>
    <row r="203" spans="1:20">
      <c r="A203" s="2185" t="s">
        <v>3987</v>
      </c>
      <c r="B203" s="2184">
        <v>1.0456829662312299</v>
      </c>
      <c r="C203" s="2184">
        <v>0.99202944740629495</v>
      </c>
      <c r="D203" s="1378">
        <v>0.94452307853241602</v>
      </c>
      <c r="E203" s="1378">
        <v>0.90377088601227695</v>
      </c>
      <c r="F203" s="1378">
        <v>0.86277244625190397</v>
      </c>
      <c r="G203" s="1378"/>
      <c r="H203" s="1378"/>
      <c r="N203" s="532"/>
      <c r="O203" s="532"/>
      <c r="P203" s="532"/>
      <c r="R203" s="2000"/>
      <c r="S203" s="2000"/>
      <c r="T203" s="2000"/>
    </row>
    <row r="204" spans="1:20">
      <c r="A204" s="2185" t="s">
        <v>3988</v>
      </c>
      <c r="B204" s="2184">
        <v>1.0721185412183001</v>
      </c>
      <c r="C204" s="2184">
        <v>1.01730003265737</v>
      </c>
      <c r="D204" s="1378">
        <v>0.96868004157728804</v>
      </c>
      <c r="E204" s="1378">
        <v>0.92637706516712603</v>
      </c>
      <c r="F204" s="1378">
        <v>0.88392739586340396</v>
      </c>
      <c r="G204" s="1378"/>
      <c r="H204" s="1378"/>
      <c r="N204" s="532"/>
      <c r="O204" s="532"/>
      <c r="P204" s="532"/>
      <c r="R204" s="2000"/>
      <c r="S204" s="2000"/>
      <c r="T204" s="2000"/>
    </row>
    <row r="205" spans="1:20">
      <c r="A205" s="2185" t="s">
        <v>3989</v>
      </c>
      <c r="B205" s="2184">
        <v>1.09738912646938</v>
      </c>
      <c r="C205" s="2184">
        <v>1.0414569957022499</v>
      </c>
      <c r="D205" s="1378">
        <v>0.99128622073213701</v>
      </c>
      <c r="E205" s="1378">
        <v>0.94753201477862603</v>
      </c>
      <c r="F205" s="1378">
        <v>0.90372427927300603</v>
      </c>
      <c r="G205" s="1378"/>
      <c r="H205" s="1378"/>
      <c r="N205" s="532"/>
      <c r="O205" s="532"/>
      <c r="P205" s="532"/>
      <c r="R205" s="2000"/>
      <c r="S205" s="2000"/>
      <c r="T205" s="2000"/>
    </row>
    <row r="206" spans="1:20">
      <c r="A206" s="2185" t="s">
        <v>3990</v>
      </c>
      <c r="B206" s="2184">
        <v>1.1215460895142499</v>
      </c>
      <c r="C206" s="2184">
        <v>1.0640631748570899</v>
      </c>
      <c r="D206" s="1378">
        <v>1.01244117034364</v>
      </c>
      <c r="E206" s="1378">
        <v>0.96732889818822798</v>
      </c>
      <c r="F206" s="1378">
        <v>0.92225027909483104</v>
      </c>
      <c r="G206" s="1378"/>
      <c r="H206" s="1378"/>
      <c r="N206" s="532"/>
      <c r="O206" s="532"/>
      <c r="P206" s="532"/>
      <c r="R206" s="2000"/>
      <c r="S206" s="2000"/>
      <c r="T206" s="2000"/>
    </row>
    <row r="207" spans="1:20">
      <c r="A207" s="2185" t="s">
        <v>3991</v>
      </c>
      <c r="B207" s="2184">
        <v>1.1441522686690999</v>
      </c>
      <c r="C207" s="2184">
        <v>1.0852181244685899</v>
      </c>
      <c r="D207" s="1378">
        <v>1.0322380537532401</v>
      </c>
      <c r="E207" s="1378">
        <v>0.98585489801005199</v>
      </c>
      <c r="F207" s="1378">
        <v>0.93958698115530703</v>
      </c>
      <c r="G207" s="1378"/>
      <c r="H207" s="1378"/>
      <c r="N207" s="532"/>
      <c r="O207" s="532"/>
      <c r="P207" s="532"/>
      <c r="R207" s="2000"/>
      <c r="S207" s="2000"/>
      <c r="T207" s="2000"/>
    </row>
    <row r="208" spans="1:20">
      <c r="A208" s="2185" t="s">
        <v>3992</v>
      </c>
      <c r="B208" s="2184">
        <v>1.1653072182805999</v>
      </c>
      <c r="C208" s="2184">
        <v>1.1050150078782</v>
      </c>
      <c r="D208" s="1378">
        <v>1.05076405357506</v>
      </c>
      <c r="E208" s="1378">
        <v>1.0031916000705301</v>
      </c>
      <c r="F208" s="1378">
        <v>0.95581073378536097</v>
      </c>
      <c r="G208" s="1378"/>
      <c r="H208" s="1378"/>
      <c r="N208" s="532"/>
      <c r="O208" s="532"/>
      <c r="P208" s="532"/>
      <c r="R208" s="2000"/>
      <c r="S208" s="2000"/>
      <c r="T208" s="2000"/>
    </row>
    <row r="209" spans="1:20">
      <c r="A209" s="2185" t="s">
        <v>3993</v>
      </c>
      <c r="B209" s="2184">
        <v>1.1851041016902</v>
      </c>
      <c r="C209" s="2184">
        <v>1.1235410077000201</v>
      </c>
      <c r="D209" s="1378">
        <v>1.06810075563554</v>
      </c>
      <c r="E209" s="1378">
        <v>1.01941535270058</v>
      </c>
      <c r="F209" s="1378">
        <v>0.97099298404743595</v>
      </c>
      <c r="G209" s="1378"/>
      <c r="H209" s="1378"/>
      <c r="N209" s="532"/>
      <c r="O209" s="532"/>
      <c r="P209" s="532"/>
      <c r="R209" s="2000"/>
      <c r="S209" s="2000"/>
      <c r="T209" s="2000"/>
    </row>
    <row r="210" spans="1:20">
      <c r="A210" s="2185" t="s">
        <v>3994</v>
      </c>
      <c r="B210" s="2184">
        <v>1.2036301015120301</v>
      </c>
      <c r="C210" s="2184">
        <v>1.1408777097605001</v>
      </c>
      <c r="D210" s="1378">
        <v>1.0843245082655899</v>
      </c>
      <c r="E210" s="1378">
        <v>1.03459760296266</v>
      </c>
      <c r="F210" s="1378">
        <v>0.98520059237803304</v>
      </c>
      <c r="G210" s="1378"/>
      <c r="H210" s="1378"/>
      <c r="N210" s="532"/>
      <c r="O210" s="532"/>
      <c r="P210" s="532"/>
      <c r="R210" s="2000"/>
      <c r="S210" s="2000"/>
      <c r="T210" s="2000"/>
    </row>
    <row r="211" spans="1:20">
      <c r="A211" s="2185" t="s">
        <v>3995</v>
      </c>
      <c r="B211" s="2184">
        <v>0.21777520350197299</v>
      </c>
      <c r="C211" s="2184">
        <v>0.20129072860519001</v>
      </c>
      <c r="D211" s="1378">
        <v>0.19150623029556699</v>
      </c>
      <c r="E211" s="1378">
        <v>0.18771089383286399</v>
      </c>
      <c r="F211" s="1378">
        <v>0.18145234341802799</v>
      </c>
      <c r="G211" s="1378"/>
      <c r="H211" s="1378"/>
      <c r="N211" s="532"/>
      <c r="O211" s="532"/>
      <c r="P211" s="532"/>
      <c r="R211" s="2000"/>
      <c r="S211" s="2000"/>
      <c r="T211" s="2000"/>
    </row>
    <row r="212" spans="1:20">
      <c r="A212" s="2185" t="s">
        <v>3996</v>
      </c>
      <c r="B212" s="2184">
        <v>1.2209668035725001</v>
      </c>
      <c r="C212" s="2184">
        <v>1.15710146239055</v>
      </c>
      <c r="D212" s="1378">
        <v>1.0995067585276701</v>
      </c>
      <c r="E212" s="1378">
        <v>1.04880521129325</v>
      </c>
      <c r="F212" s="1378">
        <v>0.998496127031408</v>
      </c>
      <c r="G212" s="1378"/>
      <c r="H212" s="1378"/>
      <c r="N212" s="532"/>
      <c r="O212" s="532"/>
      <c r="P212" s="532"/>
      <c r="R212" s="2000"/>
      <c r="S212" s="2000"/>
      <c r="T212" s="2000"/>
    </row>
    <row r="213" spans="1:20">
      <c r="A213" s="2185" t="s">
        <v>3997</v>
      </c>
      <c r="B213" s="2184">
        <v>0.281379822417194</v>
      </c>
      <c r="C213" s="2184">
        <v>0.26428318442052501</v>
      </c>
      <c r="D213" s="1378">
        <v>0.25262004939787502</v>
      </c>
      <c r="E213" s="1378">
        <v>0.245056962333249</v>
      </c>
      <c r="F213" s="1378">
        <v>0.23514839239219601</v>
      </c>
      <c r="G213" s="1378"/>
      <c r="H213" s="1378"/>
      <c r="N213" s="532"/>
      <c r="O213" s="532"/>
      <c r="P213" s="532"/>
      <c r="R213" s="2000"/>
      <c r="S213" s="2000"/>
      <c r="T213" s="2000"/>
    </row>
    <row r="214" spans="1:20">
      <c r="A214" s="2185" t="s">
        <v>3998</v>
      </c>
      <c r="B214" s="2184">
        <v>0.34437227823252903</v>
      </c>
      <c r="C214" s="2184">
        <v>0.32539700352283202</v>
      </c>
      <c r="D214" s="1378">
        <v>0.30996611789826101</v>
      </c>
      <c r="E214" s="1378">
        <v>0.29875301130741699</v>
      </c>
      <c r="F214" s="1378">
        <v>0.28576193451774501</v>
      </c>
      <c r="G214" s="1378"/>
      <c r="H214" s="1378"/>
      <c r="N214" s="532"/>
      <c r="O214" s="532"/>
      <c r="P214" s="532"/>
      <c r="R214" s="2000"/>
      <c r="S214" s="2000"/>
      <c r="T214" s="2000"/>
    </row>
    <row r="215" spans="1:20">
      <c r="A215" s="2185" t="s">
        <v>3999</v>
      </c>
      <c r="B215" s="2184">
        <v>0.40548609733483598</v>
      </c>
      <c r="C215" s="2184">
        <v>0.382743072023218</v>
      </c>
      <c r="D215" s="1378">
        <v>0.36366216687242803</v>
      </c>
      <c r="E215" s="1378">
        <v>0.34936655343296702</v>
      </c>
      <c r="F215" s="1378">
        <v>0.33400268807049099</v>
      </c>
      <c r="G215" s="1378"/>
      <c r="H215" s="1378"/>
      <c r="N215" s="532"/>
      <c r="O215" s="532"/>
      <c r="P215" s="532"/>
      <c r="R215" s="2000"/>
      <c r="S215" s="2000"/>
      <c r="T215" s="2000"/>
    </row>
    <row r="216" spans="1:20">
      <c r="A216" s="2185" t="s">
        <v>4000</v>
      </c>
      <c r="B216" s="2184">
        <v>0.46283216583522202</v>
      </c>
      <c r="C216" s="2184">
        <v>0.43643912099738602</v>
      </c>
      <c r="D216" s="1378">
        <v>0.414275708997978</v>
      </c>
      <c r="E216" s="1378">
        <v>0.397607306985713</v>
      </c>
      <c r="F216" s="1378">
        <v>0.37955926700105103</v>
      </c>
      <c r="G216" s="1378"/>
      <c r="H216" s="1378"/>
      <c r="N216" s="532"/>
      <c r="O216" s="532"/>
      <c r="P216" s="532"/>
      <c r="R216" s="2000"/>
      <c r="S216" s="2000"/>
      <c r="T216" s="2000"/>
    </row>
    <row r="217" spans="1:20">
      <c r="A217" s="2185" t="s">
        <v>4001</v>
      </c>
      <c r="B217" s="2184">
        <v>0.51652821480939004</v>
      </c>
      <c r="C217" s="2184">
        <v>0.48705266312293599</v>
      </c>
      <c r="D217" s="1378">
        <v>0.46251646255072398</v>
      </c>
      <c r="E217" s="1378">
        <v>0.44316388591627298</v>
      </c>
      <c r="F217" s="1378">
        <v>0.423125932826037</v>
      </c>
      <c r="G217" s="1378"/>
      <c r="H217" s="1378"/>
      <c r="N217" s="532"/>
      <c r="O217" s="532"/>
      <c r="P217" s="532"/>
      <c r="R217" s="2000"/>
      <c r="S217" s="2000"/>
      <c r="T217" s="2000"/>
    </row>
    <row r="218" spans="1:20">
      <c r="A218" s="2185" t="s">
        <v>4002</v>
      </c>
      <c r="B218" s="2184">
        <v>0.56714175693493996</v>
      </c>
      <c r="C218" s="2184">
        <v>0.53529341667568198</v>
      </c>
      <c r="D218" s="1378">
        <v>0.50807304148128396</v>
      </c>
      <c r="E218" s="1378">
        <v>0.48673055174125801</v>
      </c>
      <c r="F218" s="1378">
        <v>0.46477250006765902</v>
      </c>
      <c r="G218" s="1378"/>
      <c r="H218" s="1378"/>
      <c r="N218" s="532"/>
      <c r="O218" s="532"/>
      <c r="P218" s="532"/>
      <c r="R218" s="2000"/>
      <c r="S218" s="2000"/>
      <c r="T218" s="2000"/>
    </row>
    <row r="219" spans="1:20">
      <c r="A219" s="2185" t="s">
        <v>4003</v>
      </c>
      <c r="B219" s="2184">
        <v>7.6611274509476482E-2</v>
      </c>
      <c r="C219" s="2184">
        <v>7.1693126061647461E-2</v>
      </c>
      <c r="D219" s="1378">
        <v>6.5060886140863278E-2</v>
      </c>
      <c r="E219" s="1378">
        <v>5.7916407845878273E-2</v>
      </c>
      <c r="F219" s="1378">
        <v>5.6799977356007579E-2</v>
      </c>
      <c r="G219" s="1378"/>
      <c r="H219" s="1378"/>
      <c r="N219" s="532"/>
      <c r="O219" s="532"/>
      <c r="P219" s="532"/>
      <c r="R219" s="2000"/>
      <c r="S219" s="2000"/>
      <c r="T219" s="2000"/>
    </row>
    <row r="220" spans="1:20">
      <c r="A220" s="2185" t="s">
        <v>4004</v>
      </c>
      <c r="B220" s="2184">
        <v>0.58350717140584685</v>
      </c>
      <c r="C220" s="2184">
        <v>0.54998403795830875</v>
      </c>
      <c r="D220" s="1378">
        <v>0.51896951750295384</v>
      </c>
      <c r="E220" s="1378">
        <v>0.49281243291238341</v>
      </c>
      <c r="F220" s="1378">
        <v>0.47208675458199389</v>
      </c>
      <c r="G220" s="1378"/>
      <c r="H220" s="1378"/>
      <c r="N220" s="532"/>
      <c r="O220" s="532"/>
      <c r="P220" s="532"/>
      <c r="R220" s="2000"/>
      <c r="S220" s="2000"/>
      <c r="T220" s="2000"/>
    </row>
    <row r="221" spans="1:20">
      <c r="A221" s="2185" t="s">
        <v>4005</v>
      </c>
      <c r="B221" s="2184">
        <v>0.62659531246778533</v>
      </c>
      <c r="C221" s="2184">
        <v>0.5906626435646013</v>
      </c>
      <c r="D221" s="1378">
        <v>0.55787331905324677</v>
      </c>
      <c r="E221" s="1378">
        <v>0.53000316242787215</v>
      </c>
      <c r="F221" s="1378">
        <v>0.50740776594388581</v>
      </c>
      <c r="G221" s="1378"/>
      <c r="H221" s="1378"/>
      <c r="N221" s="532"/>
      <c r="O221" s="532"/>
      <c r="P221" s="532"/>
      <c r="R221" s="2000"/>
      <c r="S221" s="2000"/>
      <c r="T221" s="2000"/>
    </row>
    <row r="222" spans="1:20">
      <c r="A222" s="2185" t="s">
        <v>4006</v>
      </c>
      <c r="B222" s="2184">
        <v>0.66727391807407777</v>
      </c>
      <c r="C222" s="2184">
        <v>0.62956644511489412</v>
      </c>
      <c r="D222" s="1378">
        <v>0.59506404856873552</v>
      </c>
      <c r="E222" s="1378">
        <v>0.56532417378976429</v>
      </c>
      <c r="F222" s="1378">
        <v>0.54117338051821184</v>
      </c>
      <c r="G222" s="1378"/>
      <c r="H222" s="1378"/>
      <c r="N222" s="532"/>
      <c r="O222" s="532"/>
      <c r="P222" s="532"/>
      <c r="R222" s="2000"/>
      <c r="S222" s="2000"/>
      <c r="T222" s="2000"/>
    </row>
    <row r="223" spans="1:20">
      <c r="A223" s="2185" t="s">
        <v>4007</v>
      </c>
      <c r="B223" s="2184">
        <v>0.70617771962437081</v>
      </c>
      <c r="C223" s="2184">
        <v>0.66675717463038287</v>
      </c>
      <c r="D223" s="1378">
        <v>0.63038505993062743</v>
      </c>
      <c r="E223" s="1378">
        <v>0.59908978836409021</v>
      </c>
      <c r="F223" s="1378">
        <v>0.57345212781937172</v>
      </c>
      <c r="G223" s="1378"/>
      <c r="H223" s="1378"/>
      <c r="N223" s="532"/>
      <c r="O223" s="532"/>
      <c r="P223" s="532"/>
      <c r="R223" s="2000"/>
      <c r="S223" s="2000"/>
      <c r="T223" s="2000"/>
    </row>
    <row r="224" spans="1:20">
      <c r="A224" s="2185" t="s">
        <v>4008</v>
      </c>
      <c r="B224" s="2184">
        <v>0.74336844913985944</v>
      </c>
      <c r="C224" s="2184">
        <v>0.70207818599227501</v>
      </c>
      <c r="D224" s="1378">
        <v>0.66415067450495335</v>
      </c>
      <c r="E224" s="1378">
        <v>0.63136853566525009</v>
      </c>
      <c r="F224" s="1378">
        <v>0.60430951639490249</v>
      </c>
      <c r="G224" s="1378"/>
      <c r="H224" s="1378"/>
      <c r="N224" s="532"/>
      <c r="O224" s="532"/>
      <c r="P224" s="532"/>
      <c r="R224" s="2000"/>
      <c r="S224" s="2000"/>
      <c r="T224" s="2000"/>
    </row>
    <row r="225" spans="1:20">
      <c r="A225" s="2185" t="s">
        <v>4009</v>
      </c>
      <c r="B225" s="2184">
        <v>0.77868946050175125</v>
      </c>
      <c r="C225" s="2184">
        <v>0.73584380056660093</v>
      </c>
      <c r="D225" s="1378">
        <v>0.696429421806113</v>
      </c>
      <c r="E225" s="1378">
        <v>0.66222592424078053</v>
      </c>
      <c r="F225" s="1378">
        <v>0.63380816707000542</v>
      </c>
      <c r="G225" s="1378"/>
      <c r="H225" s="1378"/>
      <c r="N225" s="532"/>
      <c r="O225" s="532"/>
      <c r="P225" s="532"/>
      <c r="R225" s="2000"/>
      <c r="S225" s="2000"/>
      <c r="T225" s="2000"/>
    </row>
    <row r="226" spans="1:20">
      <c r="A226" s="2185" t="s">
        <v>4010</v>
      </c>
      <c r="B226" s="2184">
        <v>0.81245507507607739</v>
      </c>
      <c r="C226" s="2184">
        <v>0.76812254786776069</v>
      </c>
      <c r="D226" s="1378">
        <v>0.72728681038164389</v>
      </c>
      <c r="E226" s="1378">
        <v>0.69172457491588379</v>
      </c>
      <c r="F226" s="1378">
        <v>0.66200794031188992</v>
      </c>
      <c r="G226" s="1378"/>
      <c r="H226" s="1378"/>
      <c r="N226" s="532"/>
      <c r="O226" s="532"/>
      <c r="P226" s="532"/>
      <c r="R226" s="2000"/>
      <c r="S226" s="2000"/>
      <c r="T226" s="2000"/>
    </row>
    <row r="227" spans="1:20">
      <c r="A227" s="2185" t="s">
        <v>4011</v>
      </c>
      <c r="B227" s="2184">
        <v>0.84473382237723738</v>
      </c>
      <c r="C227" s="2184">
        <v>0.79897993644329146</v>
      </c>
      <c r="D227" s="1378">
        <v>0.75678546105674716</v>
      </c>
      <c r="E227" s="1378">
        <v>0.71992434815776818</v>
      </c>
      <c r="F227" s="1378">
        <v>0.68903231772528417</v>
      </c>
      <c r="G227" s="1378"/>
      <c r="H227" s="1378"/>
      <c r="N227" s="532"/>
      <c r="O227" s="532"/>
      <c r="P227" s="532"/>
      <c r="R227" s="2000"/>
      <c r="S227" s="2000"/>
      <c r="T227" s="2000"/>
    </row>
    <row r="228" spans="1:20">
      <c r="A228" s="2185" t="s">
        <v>4012</v>
      </c>
      <c r="B228" s="2184">
        <v>0.87559121095276793</v>
      </c>
      <c r="C228" s="2184">
        <v>0.82847858711839462</v>
      </c>
      <c r="D228" s="1378">
        <v>0.78498523429863154</v>
      </c>
      <c r="E228" s="1378">
        <v>0.74694872557116254</v>
      </c>
      <c r="F228" s="1378">
        <v>0.7148667256707516</v>
      </c>
      <c r="G228" s="1378"/>
      <c r="H228" s="1378"/>
      <c r="N228" s="532"/>
      <c r="O228" s="532"/>
      <c r="P228" s="532"/>
      <c r="R228" s="2000"/>
      <c r="S228" s="2000"/>
      <c r="T228" s="2000"/>
    </row>
    <row r="229" spans="1:20">
      <c r="A229" s="2185" t="s">
        <v>4013</v>
      </c>
      <c r="B229" s="2184">
        <v>0.90508986162787108</v>
      </c>
      <c r="C229" s="2184">
        <v>0.856678360360279</v>
      </c>
      <c r="D229" s="1378">
        <v>0.81200961171202568</v>
      </c>
      <c r="E229" s="1378">
        <v>0.77278313351662997</v>
      </c>
      <c r="F229" s="1378">
        <v>0.73956358980612347</v>
      </c>
      <c r="G229" s="1378"/>
      <c r="H229" s="1378"/>
      <c r="N229" s="532"/>
      <c r="O229" s="532"/>
      <c r="P229" s="532"/>
      <c r="R229" s="2000"/>
      <c r="S229" s="2000"/>
      <c r="T229" s="2000"/>
    </row>
    <row r="230" spans="1:20">
      <c r="A230" s="2185" t="s">
        <v>4014</v>
      </c>
      <c r="B230" s="2184">
        <v>0.14830440057112396</v>
      </c>
      <c r="C230" s="2184">
        <v>0.13675401220251074</v>
      </c>
      <c r="D230" s="1378">
        <v>0.12297729398674156</v>
      </c>
      <c r="E230" s="1378">
        <v>0.11471638520188587</v>
      </c>
      <c r="F230" s="1378">
        <v>0.11311188762178154</v>
      </c>
      <c r="G230" s="1378"/>
      <c r="H230" s="1378"/>
      <c r="N230" s="532"/>
      <c r="O230" s="532"/>
      <c r="P230" s="532"/>
      <c r="R230" s="2000"/>
      <c r="S230" s="2000"/>
      <c r="T230" s="2000"/>
    </row>
    <row r="231" spans="1:20">
      <c r="A231" s="2185" t="s">
        <v>4015</v>
      </c>
      <c r="B231" s="2184">
        <v>0.93328963486975525</v>
      </c>
      <c r="C231" s="2184">
        <v>0.88370273777367314</v>
      </c>
      <c r="D231" s="1378">
        <v>0.837844019657493</v>
      </c>
      <c r="E231" s="1378">
        <v>0.7974799976520015</v>
      </c>
      <c r="F231" s="1378">
        <v>0.76317302487731253</v>
      </c>
      <c r="G231" s="1378"/>
      <c r="H231" s="1378"/>
      <c r="N231" s="532"/>
      <c r="O231" s="532"/>
      <c r="P231" s="532"/>
      <c r="R231" s="2000"/>
      <c r="S231" s="2000"/>
      <c r="T231" s="2000"/>
    </row>
    <row r="232" spans="1:20">
      <c r="A232" s="2185" t="s">
        <v>4016</v>
      </c>
      <c r="B232" s="2184">
        <v>0.96031401228314972</v>
      </c>
      <c r="C232" s="2184">
        <v>0.90953714571914057</v>
      </c>
      <c r="D232" s="1378">
        <v>0.86254088379286487</v>
      </c>
      <c r="E232" s="1378">
        <v>0.8210894327231909</v>
      </c>
      <c r="F232" s="1378">
        <v>0.78574293663789241</v>
      </c>
      <c r="G232" s="1378"/>
      <c r="H232" s="1378"/>
      <c r="N232" s="532"/>
      <c r="O232" s="532"/>
      <c r="P232" s="532"/>
      <c r="R232" s="2000"/>
      <c r="S232" s="2000"/>
      <c r="T232" s="2000"/>
    </row>
    <row r="233" spans="1:20">
      <c r="A233" s="2185" t="s">
        <v>4017</v>
      </c>
      <c r="B233" s="2184">
        <v>0.98614842022861704</v>
      </c>
      <c r="C233" s="2184">
        <v>0.9342340098545121</v>
      </c>
      <c r="D233" s="1378">
        <v>0.88615031886405426</v>
      </c>
      <c r="E233" s="1378">
        <v>0.84365934448377067</v>
      </c>
      <c r="F233" s="1378">
        <v>0.80686394708200582</v>
      </c>
      <c r="G233" s="1378"/>
      <c r="H233" s="1378"/>
      <c r="N233" s="532"/>
      <c r="O233" s="532"/>
      <c r="P233" s="532"/>
      <c r="R233" s="2000"/>
      <c r="S233" s="2000"/>
      <c r="T233" s="2000"/>
    </row>
    <row r="234" spans="1:20">
      <c r="A234" s="2185" t="s">
        <v>4018</v>
      </c>
      <c r="B234" s="2184">
        <v>1.010845284363989</v>
      </c>
      <c r="C234" s="2184">
        <v>0.95784344492570173</v>
      </c>
      <c r="D234" s="1378">
        <v>0.90872023062463403</v>
      </c>
      <c r="E234" s="1378">
        <v>0.8647803549278843</v>
      </c>
      <c r="F234" s="1378">
        <v>0.8266290700879142</v>
      </c>
      <c r="G234" s="1378"/>
      <c r="H234" s="1378"/>
      <c r="N234" s="532"/>
      <c r="O234" s="532"/>
      <c r="P234" s="532"/>
      <c r="R234" s="2000"/>
      <c r="S234" s="2000"/>
      <c r="T234" s="2000"/>
    </row>
    <row r="235" spans="1:20">
      <c r="A235" s="2185" t="s">
        <v>4019</v>
      </c>
      <c r="B235" s="2184">
        <v>1.0344547194351779</v>
      </c>
      <c r="C235" s="2184">
        <v>0.98041335668628138</v>
      </c>
      <c r="D235" s="1378">
        <v>0.92984124106874755</v>
      </c>
      <c r="E235" s="1378">
        <v>0.88454547793379268</v>
      </c>
      <c r="F235" s="1378">
        <v>0.84512534840150966</v>
      </c>
      <c r="G235" s="1378"/>
      <c r="H235" s="1378"/>
      <c r="N235" s="532"/>
      <c r="O235" s="532"/>
      <c r="P235" s="532"/>
      <c r="R235" s="2000"/>
      <c r="S235" s="2000"/>
      <c r="T235" s="2000"/>
    </row>
    <row r="236" spans="1:20">
      <c r="A236" s="2185" t="s">
        <v>4020</v>
      </c>
      <c r="B236" s="2184">
        <v>1.0570246311957578</v>
      </c>
      <c r="C236" s="2184">
        <v>1.0015343671303949</v>
      </c>
      <c r="D236" s="1378">
        <v>0.94960636407465582</v>
      </c>
      <c r="E236" s="1378">
        <v>0.90304175624738814</v>
      </c>
      <c r="F236" s="1378">
        <v>0.86243423695999344</v>
      </c>
      <c r="G236" s="1378"/>
      <c r="H236" s="1378"/>
      <c r="N236" s="532"/>
      <c r="O236" s="532"/>
      <c r="P236" s="532"/>
      <c r="R236" s="2000"/>
      <c r="S236" s="2000"/>
      <c r="T236" s="2000"/>
    </row>
    <row r="237" spans="1:20">
      <c r="A237" s="2185" t="s">
        <v>4021</v>
      </c>
      <c r="B237" s="2184">
        <v>0.21336528671198721</v>
      </c>
      <c r="C237" s="2184">
        <v>0.194670420048389</v>
      </c>
      <c r="D237" s="1378">
        <v>0.17977727134274918</v>
      </c>
      <c r="E237" s="1378">
        <v>0.17102829546765985</v>
      </c>
      <c r="F237" s="1378">
        <v>0.16776992345345676</v>
      </c>
      <c r="G237" s="1378"/>
      <c r="H237" s="1378"/>
      <c r="N237" s="532"/>
      <c r="O237" s="532"/>
      <c r="P237" s="532"/>
      <c r="R237" s="2000"/>
      <c r="S237" s="2000"/>
      <c r="T237" s="2000"/>
    </row>
    <row r="238" spans="1:20">
      <c r="A238" s="2185" t="s">
        <v>4022</v>
      </c>
      <c r="B238" s="2184">
        <v>0.27128169455786549</v>
      </c>
      <c r="C238" s="2184">
        <v>0.25147039740439658</v>
      </c>
      <c r="D238" s="1378">
        <v>0.23608918160852313</v>
      </c>
      <c r="E238" s="1378">
        <v>0.22568633129933507</v>
      </c>
      <c r="F238" s="1378">
        <v>0.21903698598517091</v>
      </c>
      <c r="G238" s="1378"/>
      <c r="H238" s="1378"/>
      <c r="N238" s="532"/>
      <c r="O238" s="532"/>
      <c r="P238" s="532"/>
      <c r="R238" s="2000"/>
      <c r="S238" s="2000"/>
      <c r="T238" s="2000"/>
    </row>
    <row r="239" spans="1:20">
      <c r="A239" s="2185" t="s">
        <v>4023</v>
      </c>
      <c r="B239" s="2184">
        <v>0.32808167191387311</v>
      </c>
      <c r="C239" s="2184">
        <v>0.30778230767017056</v>
      </c>
      <c r="D239" s="1378">
        <v>0.29074721744019832</v>
      </c>
      <c r="E239" s="1378">
        <v>0.27695339383104911</v>
      </c>
      <c r="F239" s="1378">
        <v>0.26701615886173979</v>
      </c>
      <c r="G239" s="1378"/>
      <c r="H239" s="1378"/>
      <c r="N239" s="532"/>
      <c r="O239" s="532"/>
      <c r="P239" s="532"/>
      <c r="R239" s="2000"/>
      <c r="S239" s="2000"/>
      <c r="T239" s="2000"/>
    </row>
    <row r="240" spans="1:20">
      <c r="A240" s="2185" t="s">
        <v>4024</v>
      </c>
      <c r="B240" s="2184">
        <v>0.38439358217964698</v>
      </c>
      <c r="C240" s="2184">
        <v>0.36244034350184579</v>
      </c>
      <c r="D240" s="1378">
        <v>0.34201427997191247</v>
      </c>
      <c r="E240" s="1378">
        <v>0.32493256670761816</v>
      </c>
      <c r="F240" s="1378">
        <v>0.3122254768479813</v>
      </c>
      <c r="G240" s="1378"/>
      <c r="H240" s="1378"/>
      <c r="N240" s="532"/>
      <c r="O240" s="532"/>
      <c r="P240" s="532"/>
      <c r="R240" s="2000"/>
      <c r="S240" s="2000"/>
      <c r="T240" s="2000"/>
    </row>
    <row r="241" spans="1:20">
      <c r="A241" s="2185" t="s">
        <v>4025</v>
      </c>
      <c r="B241" s="2184">
        <v>0.43905161801132236</v>
      </c>
      <c r="C241" s="2184">
        <v>0.41370740603355982</v>
      </c>
      <c r="D241" s="1378">
        <v>0.3899934528484813</v>
      </c>
      <c r="E241" s="1378">
        <v>0.37014188469385961</v>
      </c>
      <c r="F241" s="1378">
        <v>0.35531361790991972</v>
      </c>
      <c r="G241" s="1378"/>
      <c r="H241" s="1378"/>
      <c r="N241" s="532"/>
      <c r="O241" s="532"/>
      <c r="P241" s="532"/>
      <c r="R241" s="2000"/>
      <c r="S241" s="2000"/>
      <c r="T241" s="2000"/>
    </row>
    <row r="242" spans="1:20">
      <c r="A242" s="2185" t="s">
        <v>4026</v>
      </c>
      <c r="B242" s="2184">
        <v>0.49031868054303634</v>
      </c>
      <c r="C242" s="2184">
        <v>0.46168657891012876</v>
      </c>
      <c r="D242" s="1378">
        <v>0.43520277083472281</v>
      </c>
      <c r="E242" s="1378">
        <v>0.41323002575579804</v>
      </c>
      <c r="F242" s="1378">
        <v>0.39599222351621222</v>
      </c>
      <c r="G242" s="1378"/>
      <c r="H242" s="1378"/>
      <c r="N242" s="532"/>
      <c r="O242" s="532"/>
      <c r="P242" s="532"/>
      <c r="R242" s="2000"/>
      <c r="S242" s="2000"/>
      <c r="T242" s="2000"/>
    </row>
    <row r="243" spans="1:20">
      <c r="A243" s="2185" t="s">
        <v>4027</v>
      </c>
      <c r="B243" s="2184">
        <v>0.53829785341960523</v>
      </c>
      <c r="C243" s="2184">
        <v>0.50689589689637027</v>
      </c>
      <c r="D243" s="1378">
        <v>0.4782909118966614</v>
      </c>
      <c r="E243" s="1378">
        <v>0.45390863136209059</v>
      </c>
      <c r="F243" s="1378">
        <v>0.43489602506650515</v>
      </c>
      <c r="G243" s="1378"/>
      <c r="H243" s="1378"/>
      <c r="N243" s="532"/>
      <c r="O243" s="532"/>
      <c r="P243" s="532"/>
      <c r="R243" s="2000"/>
      <c r="S243" s="2000"/>
      <c r="T243" s="2000"/>
    </row>
    <row r="244" spans="1:20">
      <c r="A244" s="2185" t="s">
        <v>4028</v>
      </c>
      <c r="B244" s="2184">
        <v>0.18100507251543599</v>
      </c>
      <c r="C244" s="2184">
        <v>0.16914887436097201</v>
      </c>
      <c r="D244" s="1378">
        <v>0.15683607030069899</v>
      </c>
      <c r="E244" s="1378">
        <v>0.151120699948011</v>
      </c>
      <c r="F244" s="1378">
        <v>0.14650812197367299</v>
      </c>
      <c r="G244" s="1378"/>
      <c r="H244" s="1378"/>
      <c r="N244" s="532"/>
      <c r="O244" s="532"/>
      <c r="P244" s="532"/>
      <c r="R244" s="2000"/>
      <c r="S244" s="2000"/>
      <c r="T244" s="2000"/>
    </row>
    <row r="245" spans="1:20">
      <c r="A245" s="2185" t="s">
        <v>4029</v>
      </c>
      <c r="B245" s="2184">
        <v>1.4385474790086299</v>
      </c>
      <c r="C245" s="2184">
        <v>1.36600695800589</v>
      </c>
      <c r="D245" s="1378">
        <v>1.30047502147455</v>
      </c>
      <c r="E245" s="1378">
        <v>1.2426072110739601</v>
      </c>
      <c r="F245" s="1378">
        <v>1.18575148212459</v>
      </c>
      <c r="G245" s="1378"/>
      <c r="H245" s="1378"/>
      <c r="N245" s="532"/>
      <c r="O245" s="532"/>
      <c r="P245" s="532"/>
      <c r="R245" s="2000"/>
      <c r="S245" s="2000"/>
      <c r="T245" s="2000"/>
    </row>
    <row r="246" spans="1:20">
      <c r="A246" s="2185" t="s">
        <v>4030</v>
      </c>
      <c r="B246" s="2184">
        <v>1.54701203052133</v>
      </c>
      <c r="C246" s="2184">
        <v>1.4696238958355199</v>
      </c>
      <c r="D246" s="1378">
        <v>1.39944328137466</v>
      </c>
      <c r="E246" s="1378">
        <v>1.3368721820725999</v>
      </c>
      <c r="F246" s="1378">
        <v>1.2757871257351201</v>
      </c>
      <c r="G246" s="1378"/>
      <c r="H246" s="1378"/>
      <c r="N246" s="532"/>
      <c r="O246" s="532"/>
      <c r="P246" s="532"/>
      <c r="R246" s="2000"/>
      <c r="S246" s="2000"/>
      <c r="T246" s="2000"/>
    </row>
    <row r="247" spans="1:20">
      <c r="A247" s="2185" t="s">
        <v>4031</v>
      </c>
      <c r="B247" s="2184">
        <v>1.6506289683509601</v>
      </c>
      <c r="C247" s="2184">
        <v>1.5685921557356299</v>
      </c>
      <c r="D247" s="1378">
        <v>1.4937082523733001</v>
      </c>
      <c r="E247" s="1378">
        <v>1.42690782568313</v>
      </c>
      <c r="F247" s="1378">
        <v>1.3617832854393701</v>
      </c>
      <c r="G247" s="1378"/>
      <c r="H247" s="1378"/>
      <c r="N247" s="532"/>
      <c r="O247" s="532"/>
      <c r="P247" s="532"/>
      <c r="R247" s="2000"/>
      <c r="S247" s="2000"/>
      <c r="T247" s="2000"/>
    </row>
    <row r="248" spans="1:20">
      <c r="A248" s="2185" t="s">
        <v>4032</v>
      </c>
      <c r="B248" s="2184">
        <v>1.7495972282510699</v>
      </c>
      <c r="C248" s="2184">
        <v>1.66285712673428</v>
      </c>
      <c r="D248" s="1378">
        <v>1.5837438959838299</v>
      </c>
      <c r="E248" s="1378">
        <v>1.51290398538738</v>
      </c>
      <c r="F248" s="1378">
        <v>1.4439212792354801</v>
      </c>
      <c r="G248" s="1378"/>
      <c r="H248" s="1378"/>
      <c r="N248" s="532"/>
      <c r="O248" s="532"/>
      <c r="P248" s="532"/>
      <c r="R248" s="2000"/>
      <c r="S248" s="2000"/>
      <c r="T248" s="2000"/>
    </row>
    <row r="249" spans="1:20">
      <c r="A249" s="2185" t="s">
        <v>4033</v>
      </c>
      <c r="B249" s="2184">
        <v>1.84386219924971</v>
      </c>
      <c r="C249" s="2184">
        <v>1.7528927703448001</v>
      </c>
      <c r="D249" s="1378">
        <v>1.6697400556880799</v>
      </c>
      <c r="E249" s="1378">
        <v>1.59504197918349</v>
      </c>
      <c r="F249" s="1378">
        <v>1.52237428267137</v>
      </c>
      <c r="G249" s="1378"/>
      <c r="H249" s="1378"/>
      <c r="N249" s="532"/>
      <c r="O249" s="532"/>
      <c r="P249" s="532"/>
      <c r="R249" s="2000"/>
      <c r="S249" s="2000"/>
      <c r="T249" s="2000"/>
    </row>
    <row r="250" spans="1:20">
      <c r="A250" s="2185" t="s">
        <v>4034</v>
      </c>
      <c r="B250" s="2184">
        <v>1.93389784286023</v>
      </c>
      <c r="C250" s="2184">
        <v>1.8388889300490501</v>
      </c>
      <c r="D250" s="1378">
        <v>1.7518780494841899</v>
      </c>
      <c r="E250" s="1378">
        <v>1.6734949826193799</v>
      </c>
      <c r="F250" s="1378">
        <v>1.5973076946617599</v>
      </c>
      <c r="G250" s="1378"/>
      <c r="H250" s="1378"/>
      <c r="N250" s="532"/>
      <c r="O250" s="532"/>
      <c r="P250" s="532"/>
      <c r="R250" s="2000"/>
      <c r="S250" s="2000"/>
      <c r="T250" s="2000"/>
    </row>
    <row r="251" spans="1:20">
      <c r="A251" s="2185" t="s">
        <v>4035</v>
      </c>
      <c r="B251" s="2184">
        <v>2.0198940025644898</v>
      </c>
      <c r="C251" s="2184">
        <v>1.9210269238451601</v>
      </c>
      <c r="D251" s="1378">
        <v>1.83033105292008</v>
      </c>
      <c r="E251" s="1378">
        <v>1.7484283946097701</v>
      </c>
      <c r="F251" s="1378">
        <v>1.66926418983446</v>
      </c>
      <c r="G251" s="1378"/>
      <c r="H251" s="1378"/>
      <c r="N251" s="532"/>
      <c r="O251" s="532"/>
      <c r="P251" s="532"/>
      <c r="R251" s="2000"/>
      <c r="S251" s="2000"/>
      <c r="T251" s="2000"/>
    </row>
    <row r="252" spans="1:20">
      <c r="A252" s="2185" t="s">
        <v>4036</v>
      </c>
      <c r="B252" s="2184">
        <v>2.1020319963606</v>
      </c>
      <c r="C252" s="2184">
        <v>1.99947992728105</v>
      </c>
      <c r="D252" s="1378">
        <v>1.90526446491047</v>
      </c>
      <c r="E252" s="1378">
        <v>1.8203848897824799</v>
      </c>
      <c r="F252" s="1378">
        <v>1.7379924469705299</v>
      </c>
      <c r="G252" s="1378"/>
      <c r="H252" s="1378"/>
      <c r="N252" s="532"/>
      <c r="O252" s="532"/>
      <c r="P252" s="532"/>
      <c r="R252" s="2000"/>
      <c r="S252" s="2000"/>
      <c r="T252" s="2000"/>
    </row>
    <row r="253" spans="1:20">
      <c r="A253" s="2185" t="s">
        <v>4037</v>
      </c>
      <c r="B253" s="2184">
        <v>2.1804849997964801</v>
      </c>
      <c r="C253" s="2184">
        <v>2.0744133392714401</v>
      </c>
      <c r="D253" s="1378">
        <v>1.9772209600831701</v>
      </c>
      <c r="E253" s="1378">
        <v>1.88911314691854</v>
      </c>
      <c r="F253" s="1378">
        <v>1.8036373649614601</v>
      </c>
      <c r="G253" s="1378"/>
      <c r="H253" s="1378"/>
      <c r="N253" s="532"/>
      <c r="O253" s="532"/>
      <c r="P253" s="532"/>
      <c r="R253" s="2000"/>
      <c r="S253" s="2000"/>
      <c r="T253" s="2000"/>
    </row>
    <row r="254" spans="1:20">
      <c r="A254" s="2185" t="s">
        <v>4038</v>
      </c>
      <c r="B254" s="2184">
        <v>2.2554184117868701</v>
      </c>
      <c r="C254" s="2184">
        <v>2.1463698344441502</v>
      </c>
      <c r="D254" s="1378">
        <v>2.0459492172192402</v>
      </c>
      <c r="E254" s="1378">
        <v>1.95475806490947</v>
      </c>
      <c r="F254" s="1378">
        <v>1.8663373359493001</v>
      </c>
      <c r="G254" s="1378"/>
      <c r="H254" s="1378"/>
      <c r="N254" s="532"/>
      <c r="O254" s="532"/>
      <c r="P254" s="532"/>
      <c r="R254" s="2000"/>
      <c r="S254" s="2000"/>
      <c r="T254" s="2000"/>
    </row>
    <row r="255" spans="1:20">
      <c r="A255" s="2185" t="s">
        <v>4039</v>
      </c>
      <c r="B255" s="2184">
        <v>0.350153946876408</v>
      </c>
      <c r="C255" s="2184">
        <v>0.32598494466167099</v>
      </c>
      <c r="D255" s="1378">
        <v>0.30795677024870999</v>
      </c>
      <c r="E255" s="1378">
        <v>0.29762882192168399</v>
      </c>
      <c r="F255" s="1378">
        <v>0.28727129110062</v>
      </c>
      <c r="G255" s="1378"/>
      <c r="H255" s="1378"/>
      <c r="N255" s="532"/>
      <c r="O255" s="532"/>
      <c r="P255" s="532"/>
      <c r="R255" s="2000"/>
      <c r="S255" s="2000"/>
      <c r="T255" s="2000"/>
    </row>
    <row r="256" spans="1:20">
      <c r="A256" s="2185" t="s">
        <v>4040</v>
      </c>
      <c r="B256" s="2184">
        <v>2.3273749069595802</v>
      </c>
      <c r="C256" s="2184">
        <v>2.2150980915802099</v>
      </c>
      <c r="D256" s="1378">
        <v>2.1115941352101699</v>
      </c>
      <c r="E256" s="1378">
        <v>2.01745803589731</v>
      </c>
      <c r="F256" s="1378">
        <v>1.9262245376463201</v>
      </c>
      <c r="G256" s="1378"/>
      <c r="H256" s="1378"/>
      <c r="N256" s="532"/>
      <c r="O256" s="532"/>
      <c r="P256" s="532"/>
      <c r="R256" s="2000"/>
      <c r="S256" s="2000"/>
      <c r="T256" s="2000"/>
    </row>
    <row r="257" spans="1:20">
      <c r="A257" s="2185" t="s">
        <v>4041</v>
      </c>
      <c r="B257" s="2184">
        <v>2.3961031640956398</v>
      </c>
      <c r="C257" s="2184">
        <v>2.2807430095711401</v>
      </c>
      <c r="D257" s="1378">
        <v>2.1742941061980101</v>
      </c>
      <c r="E257" s="1378">
        <v>2.0773452375943302</v>
      </c>
      <c r="F257" s="1378">
        <v>1.9834252125163001</v>
      </c>
      <c r="G257" s="1378"/>
      <c r="H257" s="1378"/>
      <c r="N257" s="532"/>
      <c r="O257" s="532"/>
      <c r="P257" s="532"/>
      <c r="R257" s="2000"/>
      <c r="S257" s="2000"/>
      <c r="T257" s="2000"/>
    </row>
    <row r="258" spans="1:20">
      <c r="A258" s="2185" t="s">
        <v>4042</v>
      </c>
      <c r="B258" s="2184">
        <v>2.4617480820865798</v>
      </c>
      <c r="C258" s="2184">
        <v>2.3434429805589798</v>
      </c>
      <c r="D258" s="1378">
        <v>2.2341813078950299</v>
      </c>
      <c r="E258" s="1378">
        <v>2.1345459124643198</v>
      </c>
      <c r="F258" s="1378">
        <v>2.0369538245975201</v>
      </c>
      <c r="G258" s="1378"/>
      <c r="H258" s="1378"/>
      <c r="N258" s="532"/>
      <c r="O258" s="532"/>
      <c r="P258" s="532"/>
      <c r="R258" s="2000"/>
      <c r="S258" s="2000"/>
      <c r="T258" s="2000"/>
    </row>
    <row r="259" spans="1:20">
      <c r="A259" s="2185" t="s">
        <v>4043</v>
      </c>
      <c r="B259" s="2184">
        <v>2.52444805307442</v>
      </c>
      <c r="C259" s="2184">
        <v>2.403330182256</v>
      </c>
      <c r="D259" s="1378">
        <v>2.2913819827650102</v>
      </c>
      <c r="E259" s="1378">
        <v>2.18807452454553</v>
      </c>
      <c r="F259" s="1378">
        <v>2.0870461061633301</v>
      </c>
      <c r="G259" s="1378"/>
      <c r="H259" s="1378"/>
      <c r="N259" s="532"/>
      <c r="O259" s="532"/>
      <c r="P259" s="532"/>
      <c r="R259" s="2000"/>
      <c r="S259" s="2000"/>
      <c r="T259" s="2000"/>
    </row>
    <row r="260" spans="1:20">
      <c r="A260" s="2185" t="s">
        <v>4044</v>
      </c>
      <c r="B260" s="2184">
        <v>2.58433525477143</v>
      </c>
      <c r="C260" s="2184">
        <v>2.4605308571259901</v>
      </c>
      <c r="D260" s="1378">
        <v>2.3449105948462301</v>
      </c>
      <c r="E260" s="1378">
        <v>2.23816680611134</v>
      </c>
      <c r="F260" s="1378">
        <v>2.1339226563839899</v>
      </c>
      <c r="G260" s="1378"/>
      <c r="H260" s="1378"/>
      <c r="N260" s="532"/>
      <c r="O260" s="532"/>
      <c r="P260" s="532"/>
      <c r="R260" s="2000"/>
      <c r="S260" s="2000"/>
      <c r="T260" s="2000"/>
    </row>
    <row r="261" spans="1:20">
      <c r="A261" s="2185" t="s">
        <v>4045</v>
      </c>
      <c r="B261" s="2184">
        <v>2.64153592964142</v>
      </c>
      <c r="C261" s="2184">
        <v>2.5140594692071998</v>
      </c>
      <c r="D261" s="1378">
        <v>2.3950028764120401</v>
      </c>
      <c r="E261" s="1378">
        <v>2.2850433563319998</v>
      </c>
      <c r="F261" s="1378">
        <v>2.1777899128135898</v>
      </c>
      <c r="G261" s="1378"/>
      <c r="H261" s="1378"/>
      <c r="N261" s="532"/>
      <c r="O261" s="532"/>
      <c r="P261" s="532"/>
      <c r="R261" s="2000"/>
      <c r="S261" s="2000"/>
      <c r="T261" s="2000"/>
    </row>
    <row r="262" spans="1:20">
      <c r="A262" s="2185" t="s">
        <v>4046</v>
      </c>
      <c r="B262" s="2184">
        <v>2.69506454172264</v>
      </c>
      <c r="C262" s="2184">
        <v>2.5641517507730098</v>
      </c>
      <c r="D262" s="1378">
        <v>2.4418794266327</v>
      </c>
      <c r="E262" s="1378">
        <v>2.3289106127616002</v>
      </c>
      <c r="F262" s="1378">
        <v>2.2188410605111302</v>
      </c>
      <c r="G262" s="1378"/>
      <c r="H262" s="1378"/>
      <c r="N262" s="532"/>
      <c r="O262" s="532"/>
      <c r="P262" s="532"/>
      <c r="R262" s="2000"/>
      <c r="S262" s="2000"/>
      <c r="T262" s="2000"/>
    </row>
    <row r="263" spans="1:20">
      <c r="A263" s="2185" t="s">
        <v>4047</v>
      </c>
      <c r="B263" s="2184">
        <v>2.7451568232884398</v>
      </c>
      <c r="C263" s="2184">
        <v>2.6110283009936701</v>
      </c>
      <c r="D263" s="1378">
        <v>2.4857466830622998</v>
      </c>
      <c r="E263" s="1378">
        <v>2.3699617604591401</v>
      </c>
      <c r="F263" s="1378">
        <v>2.25725688279968</v>
      </c>
      <c r="G263" s="1378"/>
      <c r="H263" s="1378"/>
      <c r="N263" s="532"/>
      <c r="O263" s="532"/>
      <c r="P263" s="532"/>
      <c r="R263" s="2000"/>
      <c r="S263" s="2000"/>
      <c r="T263" s="2000"/>
    </row>
    <row r="264" spans="1:20">
      <c r="A264" s="2185" t="s">
        <v>4048</v>
      </c>
      <c r="B264" s="2184">
        <v>2.7920333735091099</v>
      </c>
      <c r="C264" s="2184">
        <v>2.65489555742327</v>
      </c>
      <c r="D264" s="1378">
        <v>2.5267978307598402</v>
      </c>
      <c r="E264" s="1378">
        <v>2.4083775827476899</v>
      </c>
      <c r="F264" s="1378">
        <v>2.29320655740996</v>
      </c>
      <c r="G264" s="1378"/>
      <c r="H264" s="1378"/>
      <c r="N264" s="532"/>
      <c r="O264" s="532"/>
      <c r="P264" s="532"/>
      <c r="R264" s="2000"/>
      <c r="S264" s="2000"/>
      <c r="T264" s="2000"/>
    </row>
    <row r="265" spans="1:20">
      <c r="A265" s="2185" t="s">
        <v>4049</v>
      </c>
      <c r="B265" s="2184">
        <v>2.8359006299387</v>
      </c>
      <c r="C265" s="2184">
        <v>2.6959467051208099</v>
      </c>
      <c r="D265" s="1378">
        <v>2.56521365304839</v>
      </c>
      <c r="E265" s="1378">
        <v>2.44432725735797</v>
      </c>
      <c r="F265" s="1378">
        <v>2.3268484015146602</v>
      </c>
      <c r="G265" s="1378"/>
      <c r="H265" s="1378"/>
      <c r="N265" s="532"/>
      <c r="O265" s="532"/>
      <c r="P265" s="532"/>
      <c r="R265" s="2000"/>
      <c r="S265" s="2000"/>
      <c r="T265" s="2000"/>
    </row>
    <row r="266" spans="1:20">
      <c r="A266" s="2185" t="s">
        <v>4050</v>
      </c>
      <c r="B266" s="2184">
        <v>0.50699001717710701</v>
      </c>
      <c r="C266" s="2184">
        <v>0.47710564460968202</v>
      </c>
      <c r="D266" s="1378">
        <v>0.45446489222238301</v>
      </c>
      <c r="E266" s="1378">
        <v>0.43839199104863102</v>
      </c>
      <c r="F266" s="1378">
        <v>0.42050030082272999</v>
      </c>
      <c r="G266" s="1378"/>
      <c r="H266" s="1378"/>
      <c r="N266" s="532"/>
      <c r="O266" s="532"/>
      <c r="P266" s="532"/>
      <c r="R266" s="2000"/>
      <c r="S266" s="2000"/>
      <c r="T266" s="2000"/>
    </row>
    <row r="267" spans="1:20">
      <c r="A267" s="2185" t="s">
        <v>4051</v>
      </c>
      <c r="B267" s="2184">
        <v>2.8769517776362501</v>
      </c>
      <c r="C267" s="2184">
        <v>2.7343625274093601</v>
      </c>
      <c r="D267" s="1378">
        <v>2.6011633276586701</v>
      </c>
      <c r="E267" s="1378">
        <v>2.4779691014626799</v>
      </c>
      <c r="F267" s="1378">
        <v>2.3583305689343699</v>
      </c>
      <c r="G267" s="1378"/>
      <c r="H267" s="1378"/>
      <c r="N267" s="532"/>
      <c r="O267" s="532"/>
      <c r="P267" s="532"/>
      <c r="R267" s="2000"/>
      <c r="S267" s="2000"/>
      <c r="T267" s="2000"/>
    </row>
    <row r="268" spans="1:20">
      <c r="A268" s="2185" t="s">
        <v>4052</v>
      </c>
      <c r="B268" s="2184">
        <v>0.65811071712511804</v>
      </c>
      <c r="C268" s="2184">
        <v>0.62361376658335499</v>
      </c>
      <c r="D268" s="1378">
        <v>0.59522806134933004</v>
      </c>
      <c r="E268" s="1378">
        <v>0.57162100077074096</v>
      </c>
      <c r="F268" s="1378">
        <v>0.54658546041130696</v>
      </c>
      <c r="G268" s="1378"/>
      <c r="H268" s="1378"/>
      <c r="N268" s="532"/>
      <c r="O268" s="532"/>
      <c r="P268" s="532"/>
      <c r="R268" s="2000"/>
      <c r="S268" s="2000"/>
      <c r="T268" s="2000"/>
    </row>
    <row r="269" spans="1:20">
      <c r="A269" s="2185" t="s">
        <v>4053</v>
      </c>
      <c r="B269" s="2184">
        <v>0.80461883909879095</v>
      </c>
      <c r="C269" s="2184">
        <v>0.76437693571030196</v>
      </c>
      <c r="D269" s="1378">
        <v>0.72845707107143998</v>
      </c>
      <c r="E269" s="1378">
        <v>0.69770616035931798</v>
      </c>
      <c r="F269" s="1378">
        <v>0.66626962510883903</v>
      </c>
      <c r="G269" s="1378"/>
      <c r="H269" s="1378"/>
      <c r="N269" s="532"/>
      <c r="O269" s="532"/>
      <c r="P269" s="532"/>
      <c r="R269" s="2000"/>
      <c r="S269" s="2000"/>
      <c r="T269" s="2000"/>
    </row>
    <row r="270" spans="1:20">
      <c r="A270" s="2185" t="s">
        <v>4054</v>
      </c>
      <c r="B270" s="2184">
        <v>0.94538200822573804</v>
      </c>
      <c r="C270" s="2184">
        <v>0.89760594543241201</v>
      </c>
      <c r="D270" s="1378">
        <v>0.854542230660017</v>
      </c>
      <c r="E270" s="1378">
        <v>0.81739032505685005</v>
      </c>
      <c r="F270" s="1378">
        <v>0.78043676188351396</v>
      </c>
      <c r="G270" s="1378"/>
      <c r="H270" s="1378"/>
      <c r="N270" s="532"/>
      <c r="O270" s="532"/>
      <c r="P270" s="532"/>
      <c r="R270" s="2000"/>
      <c r="S270" s="2000"/>
      <c r="T270" s="2000"/>
    </row>
    <row r="271" spans="1:20">
      <c r="A271" s="2185" t="s">
        <v>4055</v>
      </c>
      <c r="B271" s="2184">
        <v>1.0786110179478501</v>
      </c>
      <c r="C271" s="2184">
        <v>1.02369110502099</v>
      </c>
      <c r="D271" s="1378">
        <v>0.97422639535754896</v>
      </c>
      <c r="E271" s="1378">
        <v>0.93155746183152499</v>
      </c>
      <c r="F271" s="1378">
        <v>0.88890131339621303</v>
      </c>
      <c r="G271" s="1378"/>
      <c r="H271" s="1378"/>
      <c r="N271" s="532"/>
      <c r="O271" s="532"/>
      <c r="P271" s="532"/>
      <c r="R271" s="2000"/>
      <c r="S271" s="2000"/>
      <c r="T271" s="2000"/>
    </row>
    <row r="272" spans="1:20">
      <c r="A272" s="2185" t="s">
        <v>4056</v>
      </c>
      <c r="B272" s="2184">
        <v>1.20469617753643</v>
      </c>
      <c r="C272" s="2184">
        <v>1.14337526971852</v>
      </c>
      <c r="D272" s="1378">
        <v>1.08839353213222</v>
      </c>
      <c r="E272" s="1378">
        <v>1.04002201334422</v>
      </c>
      <c r="F272" s="1378">
        <v>0.99251825122583903</v>
      </c>
      <c r="G272" s="1378"/>
      <c r="H272" s="1378"/>
      <c r="N272" s="532"/>
      <c r="O272" s="532"/>
      <c r="P272" s="532"/>
      <c r="R272" s="2000"/>
      <c r="S272" s="2000"/>
      <c r="T272" s="2000"/>
    </row>
    <row r="273" spans="1:20">
      <c r="A273" s="2185" t="s">
        <v>4057</v>
      </c>
      <c r="B273" s="2184">
        <v>1.32438034223396</v>
      </c>
      <c r="C273" s="2184">
        <v>1.2575424064931999</v>
      </c>
      <c r="D273" s="1378">
        <v>1.1968580836449201</v>
      </c>
      <c r="E273" s="1378">
        <v>1.1436389511738501</v>
      </c>
      <c r="F273" s="1378">
        <v>1.09148651112595</v>
      </c>
      <c r="G273" s="1378"/>
      <c r="H273" s="1378"/>
      <c r="N273" s="532"/>
      <c r="O273" s="532"/>
      <c r="P273" s="532"/>
      <c r="R273" s="2000"/>
      <c r="S273" s="2000"/>
      <c r="T273" s="2000"/>
    </row>
    <row r="274" spans="1:20">
      <c r="A274" s="2185" t="s">
        <v>4058</v>
      </c>
      <c r="B274" s="2184">
        <v>0.19315680364299076</v>
      </c>
      <c r="C274" s="2184">
        <v>0.18075688156746281</v>
      </c>
      <c r="D274" s="1378">
        <v>0.16877071105329161</v>
      </c>
      <c r="E274" s="1378">
        <v>0.1563035332280287</v>
      </c>
      <c r="F274" s="1378">
        <v>0.1506826510005696</v>
      </c>
      <c r="G274" s="1378"/>
      <c r="H274" s="1378"/>
      <c r="N274" s="532"/>
      <c r="O274" s="532"/>
      <c r="P274" s="532"/>
      <c r="R274" s="2000"/>
      <c r="S274" s="2000"/>
      <c r="T274" s="2000"/>
    </row>
    <row r="275" spans="1:20">
      <c r="A275" s="2185" t="s">
        <v>4059</v>
      </c>
      <c r="B275" s="2184">
        <v>1.5143867191281133</v>
      </c>
      <c r="C275" s="2184">
        <v>1.4350795226650532</v>
      </c>
      <c r="D275" s="1378">
        <v>1.3624660905928456</v>
      </c>
      <c r="E275" s="1378">
        <v>1.2970088326269875</v>
      </c>
      <c r="F275" s="1378">
        <v>1.2393861303760394</v>
      </c>
      <c r="G275" s="1378"/>
      <c r="H275" s="1378"/>
      <c r="N275" s="532"/>
      <c r="O275" s="532"/>
      <c r="P275" s="532"/>
      <c r="R275" s="2000"/>
      <c r="S275" s="2000"/>
      <c r="T275" s="2000"/>
    </row>
    <row r="276" spans="1:20">
      <c r="A276" s="2185" t="s">
        <v>4060</v>
      </c>
      <c r="B276" s="2184">
        <v>1.6282363263080439</v>
      </c>
      <c r="C276" s="2184">
        <v>1.5432229721603086</v>
      </c>
      <c r="D276" s="1378">
        <v>1.4657795436802792</v>
      </c>
      <c r="E276" s="1378">
        <v>1.3956896636040681</v>
      </c>
      <c r="F276" s="1378">
        <v>1.333369606222143</v>
      </c>
      <c r="G276" s="1378"/>
      <c r="H276" s="1378"/>
      <c r="N276" s="532"/>
      <c r="O276" s="532"/>
      <c r="P276" s="532"/>
      <c r="R276" s="2000"/>
      <c r="S276" s="2000"/>
      <c r="T276" s="2000"/>
    </row>
    <row r="277" spans="1:20">
      <c r="A277" s="2185" t="s">
        <v>4061</v>
      </c>
      <c r="B277" s="2184">
        <v>1.7363797758032993</v>
      </c>
      <c r="C277" s="2184">
        <v>1.6465364252477421</v>
      </c>
      <c r="D277" s="1378">
        <v>1.5644603746573598</v>
      </c>
      <c r="E277" s="1378">
        <v>1.4896731394501719</v>
      </c>
      <c r="F277" s="1378">
        <v>1.423138599384812</v>
      </c>
      <c r="G277" s="1378"/>
      <c r="H277" s="1378"/>
      <c r="N277" s="532"/>
      <c r="O277" s="532"/>
      <c r="P277" s="532"/>
      <c r="R277" s="2000"/>
      <c r="S277" s="2000"/>
      <c r="T277" s="2000"/>
    </row>
    <row r="278" spans="1:20">
      <c r="A278" s="2185" t="s">
        <v>4062</v>
      </c>
      <c r="B278" s="2184">
        <v>1.8396932288907328</v>
      </c>
      <c r="C278" s="2184">
        <v>1.7452172562248225</v>
      </c>
      <c r="D278" s="1378">
        <v>1.6584438505034635</v>
      </c>
      <c r="E278" s="1378">
        <v>1.5794421326128407</v>
      </c>
      <c r="F278" s="1378">
        <v>1.5088821897162121</v>
      </c>
      <c r="G278" s="1378"/>
      <c r="H278" s="1378"/>
      <c r="N278" s="532"/>
      <c r="O278" s="532"/>
      <c r="P278" s="532"/>
      <c r="R278" s="2000"/>
      <c r="S278" s="2000"/>
      <c r="T278" s="2000"/>
    </row>
    <row r="279" spans="1:20">
      <c r="A279" s="2185" t="s">
        <v>4063</v>
      </c>
      <c r="B279" s="2184">
        <v>1.9383740598678132</v>
      </c>
      <c r="C279" s="2184">
        <v>1.8392007320709263</v>
      </c>
      <c r="D279" s="1378">
        <v>1.7482128436661322</v>
      </c>
      <c r="E279" s="1378">
        <v>1.6651857229442406</v>
      </c>
      <c r="F279" s="1378">
        <v>1.5907809701490174</v>
      </c>
      <c r="G279" s="1378"/>
      <c r="H279" s="1378"/>
      <c r="N279" s="532"/>
      <c r="O279" s="532"/>
      <c r="P279" s="532"/>
      <c r="R279" s="2000"/>
      <c r="S279" s="2000"/>
      <c r="T279" s="2000"/>
    </row>
    <row r="280" spans="1:20">
      <c r="A280" s="2185" t="s">
        <v>4064</v>
      </c>
      <c r="B280" s="2184">
        <v>2.032357535713917</v>
      </c>
      <c r="C280" s="2184">
        <v>1.9289697252335953</v>
      </c>
      <c r="D280" s="1378">
        <v>1.8339564339975325</v>
      </c>
      <c r="E280" s="1378">
        <v>1.7470845033770459</v>
      </c>
      <c r="F280" s="1378">
        <v>1.6690074278098805</v>
      </c>
      <c r="G280" s="1378"/>
      <c r="H280" s="1378"/>
      <c r="N280" s="532"/>
      <c r="O280" s="532"/>
      <c r="P280" s="532"/>
      <c r="R280" s="2000"/>
      <c r="S280" s="2000"/>
      <c r="T280" s="2000"/>
    </row>
    <row r="281" spans="1:20">
      <c r="A281" s="2185" t="s">
        <v>4065</v>
      </c>
      <c r="B281" s="2184">
        <v>2.1221265288765858</v>
      </c>
      <c r="C281" s="2184">
        <v>2.0147133155649954</v>
      </c>
      <c r="D281" s="1378">
        <v>1.9158552144303376</v>
      </c>
      <c r="E281" s="1378">
        <v>1.825310961037909</v>
      </c>
      <c r="F281" s="1378">
        <v>1.7437263080109511</v>
      </c>
      <c r="G281" s="1378"/>
      <c r="H281" s="1378"/>
      <c r="N281" s="532"/>
      <c r="O281" s="532"/>
      <c r="P281" s="532"/>
      <c r="R281" s="2000"/>
      <c r="S281" s="2000"/>
      <c r="T281" s="2000"/>
    </row>
    <row r="282" spans="1:20">
      <c r="A282" s="2185" t="s">
        <v>4066</v>
      </c>
      <c r="B282" s="2184">
        <v>2.2078701192079859</v>
      </c>
      <c r="C282" s="2184">
        <v>2.0966120959978007</v>
      </c>
      <c r="D282" s="1378">
        <v>1.9940816720912007</v>
      </c>
      <c r="E282" s="1378">
        <v>1.9000298412389796</v>
      </c>
      <c r="F282" s="1378">
        <v>1.8154726336247564</v>
      </c>
      <c r="G282" s="1378"/>
      <c r="H282" s="1378"/>
      <c r="N282" s="532"/>
      <c r="O282" s="532"/>
      <c r="P282" s="532"/>
      <c r="R282" s="2000"/>
      <c r="S282" s="2000"/>
      <c r="T282" s="2000"/>
    </row>
    <row r="283" spans="1:20">
      <c r="A283" s="2185" t="s">
        <v>4067</v>
      </c>
      <c r="B283" s="2184">
        <v>2.2897688996407912</v>
      </c>
      <c r="C283" s="2184">
        <v>2.1748385536586636</v>
      </c>
      <c r="D283" s="1378">
        <v>2.0688005522922714</v>
      </c>
      <c r="E283" s="1378">
        <v>1.9717761668527853</v>
      </c>
      <c r="F283" s="1378">
        <v>1.8840018453626157</v>
      </c>
      <c r="G283" s="1378"/>
      <c r="H283" s="1378"/>
      <c r="N283" s="532"/>
      <c r="O283" s="532"/>
      <c r="P283" s="532"/>
      <c r="R283" s="2000"/>
      <c r="S283" s="2000"/>
      <c r="T283" s="2000"/>
    </row>
    <row r="284" spans="1:20">
      <c r="A284" s="2185" t="s">
        <v>4068</v>
      </c>
      <c r="B284" s="2184">
        <v>2.3679953573016546</v>
      </c>
      <c r="C284" s="2184">
        <v>2.2495574338597342</v>
      </c>
      <c r="D284" s="1378">
        <v>2.1405468779060772</v>
      </c>
      <c r="E284" s="1378">
        <v>2.0403053785906446</v>
      </c>
      <c r="F284" s="1378">
        <v>1.9494582683500667</v>
      </c>
      <c r="G284" s="1378"/>
      <c r="H284" s="1378"/>
      <c r="N284" s="532"/>
      <c r="O284" s="532"/>
      <c r="P284" s="532"/>
      <c r="R284" s="2000"/>
      <c r="S284" s="2000"/>
      <c r="T284" s="2000"/>
    </row>
    <row r="285" spans="1:20">
      <c r="A285" s="2185" t="s">
        <v>4069</v>
      </c>
      <c r="B285" s="2184">
        <v>0.37391368521045359</v>
      </c>
      <c r="C285" s="2184">
        <v>0.34952759262075445</v>
      </c>
      <c r="D285" s="1378">
        <v>0.32507424428132031</v>
      </c>
      <c r="E285" s="1378">
        <v>0.30698618422859825</v>
      </c>
      <c r="F285" s="1378">
        <v>0.29686016783231706</v>
      </c>
      <c r="G285" s="1378"/>
      <c r="H285" s="1378"/>
      <c r="N285" s="532"/>
      <c r="O285" s="532"/>
      <c r="P285" s="532"/>
      <c r="R285" s="2000"/>
      <c r="S285" s="2000"/>
      <c r="T285" s="2000"/>
    </row>
    <row r="286" spans="1:20">
      <c r="A286" s="2185" t="s">
        <v>4070</v>
      </c>
      <c r="B286" s="2184">
        <v>2.4427142375027251</v>
      </c>
      <c r="C286" s="2184">
        <v>2.32130375947354</v>
      </c>
      <c r="D286" s="1378">
        <v>2.2090760896439363</v>
      </c>
      <c r="E286" s="1378">
        <v>2.1057618015780952</v>
      </c>
      <c r="F286" s="1378">
        <v>2.0119797499975056</v>
      </c>
      <c r="G286" s="1378"/>
      <c r="H286" s="1378"/>
      <c r="N286" s="532"/>
      <c r="O286" s="532"/>
      <c r="P286" s="532"/>
      <c r="R286" s="2000"/>
      <c r="S286" s="2000"/>
      <c r="T286" s="2000"/>
    </row>
    <row r="287" spans="1:20">
      <c r="A287" s="2185" t="s">
        <v>4071</v>
      </c>
      <c r="B287" s="2184">
        <v>2.5144605631165309</v>
      </c>
      <c r="C287" s="2184">
        <v>2.3898329712113995</v>
      </c>
      <c r="D287" s="1378">
        <v>2.2745325126313873</v>
      </c>
      <c r="E287" s="1378">
        <v>2.1682832832255343</v>
      </c>
      <c r="F287" s="1378">
        <v>2.0716979508720361</v>
      </c>
      <c r="G287" s="1378"/>
      <c r="H287" s="1378"/>
      <c r="N287" s="532"/>
      <c r="O287" s="532"/>
      <c r="P287" s="532"/>
      <c r="R287" s="2000"/>
      <c r="S287" s="2000"/>
      <c r="T287" s="2000"/>
    </row>
    <row r="288" spans="1:20">
      <c r="A288" s="2185" t="s">
        <v>4072</v>
      </c>
      <c r="B288" s="2184">
        <v>2.58298977485439</v>
      </c>
      <c r="C288" s="2184">
        <v>2.4552893941988501</v>
      </c>
      <c r="D288" s="1378">
        <v>2.3370539942788264</v>
      </c>
      <c r="E288" s="1378">
        <v>2.2280014841000648</v>
      </c>
      <c r="F288" s="1378">
        <v>2.1275824734946553</v>
      </c>
      <c r="G288" s="1378"/>
      <c r="H288" s="1378"/>
      <c r="N288" s="532"/>
      <c r="O288" s="532"/>
      <c r="P288" s="532"/>
      <c r="R288" s="2000"/>
      <c r="S288" s="2000"/>
      <c r="T288" s="2000"/>
    </row>
    <row r="289" spans="1:20">
      <c r="A289" s="2185" t="s">
        <v>4073</v>
      </c>
      <c r="B289" s="2184">
        <v>2.648446197841841</v>
      </c>
      <c r="C289" s="2184">
        <v>2.5178108758462892</v>
      </c>
      <c r="D289" s="1378">
        <v>2.3967721951533569</v>
      </c>
      <c r="E289" s="1378">
        <v>2.2838860067226836</v>
      </c>
      <c r="F289" s="1378">
        <v>2.1798794252283433</v>
      </c>
      <c r="G289" s="1378"/>
      <c r="H289" s="1378"/>
      <c r="N289" s="532"/>
      <c r="O289" s="532"/>
      <c r="P289" s="532"/>
      <c r="R289" s="2000"/>
      <c r="S289" s="2000"/>
      <c r="T289" s="2000"/>
    </row>
    <row r="290" spans="1:20">
      <c r="A290" s="2185" t="s">
        <v>4074</v>
      </c>
      <c r="B290" s="2184">
        <v>2.7109676794892801</v>
      </c>
      <c r="C290" s="2184">
        <v>2.5775290767208197</v>
      </c>
      <c r="D290" s="1378">
        <v>2.4526567177759757</v>
      </c>
      <c r="E290" s="1378">
        <v>2.3361829584563725</v>
      </c>
      <c r="F290" s="1378">
        <v>2.2288191142922473</v>
      </c>
      <c r="G290" s="1378"/>
      <c r="H290" s="1378"/>
      <c r="N290" s="532"/>
      <c r="O290" s="532"/>
      <c r="P290" s="532"/>
      <c r="R290" s="2000"/>
      <c r="S290" s="2000"/>
      <c r="T290" s="2000"/>
    </row>
    <row r="291" spans="1:20">
      <c r="A291" s="2185" t="s">
        <v>4075</v>
      </c>
      <c r="B291" s="2184">
        <v>2.7706858803638101</v>
      </c>
      <c r="C291" s="2184">
        <v>2.6334135993434389</v>
      </c>
      <c r="D291" s="1378">
        <v>2.5049536695096637</v>
      </c>
      <c r="E291" s="1378">
        <v>2.385122647520276</v>
      </c>
      <c r="F291" s="1378">
        <v>2.2746170640058021</v>
      </c>
      <c r="G291" s="1378"/>
      <c r="H291" s="1378"/>
      <c r="N291" s="532"/>
      <c r="O291" s="532"/>
      <c r="P291" s="532"/>
      <c r="R291" s="2000"/>
      <c r="S291" s="2000"/>
      <c r="T291" s="2000"/>
    </row>
    <row r="292" spans="1:20">
      <c r="A292" s="2185" t="s">
        <v>4076</v>
      </c>
      <c r="B292" s="2184">
        <v>0.54268439626374521</v>
      </c>
      <c r="C292" s="2184">
        <v>0.50583112584878309</v>
      </c>
      <c r="D292" s="1378">
        <v>0.47575689528188997</v>
      </c>
      <c r="E292" s="1378">
        <v>0.45316370106034581</v>
      </c>
      <c r="F292" s="1378">
        <v>0.4373475554709349</v>
      </c>
      <c r="G292" s="1378"/>
      <c r="H292" s="1378"/>
      <c r="N292" s="532"/>
      <c r="O292" s="532"/>
      <c r="P292" s="532"/>
      <c r="R292" s="2000"/>
      <c r="S292" s="2000"/>
      <c r="T292" s="2000"/>
    </row>
    <row r="293" spans="1:20">
      <c r="A293" s="2185" t="s">
        <v>4077</v>
      </c>
      <c r="B293" s="2184">
        <v>0.69898792949177391</v>
      </c>
      <c r="C293" s="2184">
        <v>0.65651377684935264</v>
      </c>
      <c r="D293" s="1378">
        <v>0.62193441211363742</v>
      </c>
      <c r="E293" s="1378">
        <v>0.59365108869896366</v>
      </c>
      <c r="F293" s="1378">
        <v>0.5702803899351615</v>
      </c>
      <c r="G293" s="1378"/>
      <c r="H293" s="1378"/>
      <c r="N293" s="532"/>
      <c r="O293" s="532"/>
      <c r="P293" s="532"/>
      <c r="R293" s="2000"/>
      <c r="S293" s="2000"/>
      <c r="T293" s="2000"/>
    </row>
    <row r="294" spans="1:20">
      <c r="A294" s="2185" t="s">
        <v>4078</v>
      </c>
      <c r="B294" s="2184">
        <v>0.84967058049234345</v>
      </c>
      <c r="C294" s="2184">
        <v>0.80269129368110015</v>
      </c>
      <c r="D294" s="1378">
        <v>0.76242179975225521</v>
      </c>
      <c r="E294" s="1378">
        <v>0.7265839231631902</v>
      </c>
      <c r="F294" s="1378">
        <v>0.6960445549580504</v>
      </c>
      <c r="G294" s="1378"/>
      <c r="H294" s="1378"/>
      <c r="N294" s="532"/>
      <c r="O294" s="532"/>
      <c r="P294" s="532"/>
      <c r="R294" s="2000"/>
      <c r="S294" s="2000"/>
      <c r="T294" s="2000"/>
    </row>
    <row r="295" spans="1:20">
      <c r="A295" s="2185" t="s">
        <v>4079</v>
      </c>
      <c r="B295" s="2184">
        <v>0.99584809732409096</v>
      </c>
      <c r="C295" s="2184">
        <v>0.94317868131971816</v>
      </c>
      <c r="D295" s="1378">
        <v>0.89535463421648187</v>
      </c>
      <c r="E295" s="1378">
        <v>0.85234808818607921</v>
      </c>
      <c r="F295" s="1378">
        <v>0.81539878963633905</v>
      </c>
      <c r="G295" s="1378"/>
      <c r="H295" s="1378"/>
      <c r="N295" s="532"/>
      <c r="O295" s="532"/>
      <c r="P295" s="532"/>
      <c r="R295" s="2000"/>
      <c r="S295" s="2000"/>
      <c r="T295" s="2000"/>
    </row>
    <row r="296" spans="1:20">
      <c r="A296" s="2185" t="s">
        <v>4080</v>
      </c>
      <c r="B296" s="2184">
        <v>0.99584809732409096</v>
      </c>
      <c r="C296" s="2184">
        <v>0.94317868131971816</v>
      </c>
      <c r="D296" s="1378">
        <v>0.89535463421648187</v>
      </c>
      <c r="E296" s="1378">
        <v>0.85234808818607921</v>
      </c>
      <c r="F296" s="1378">
        <v>0.81539878963633905</v>
      </c>
      <c r="G296" s="1378"/>
      <c r="H296" s="1378"/>
      <c r="N296" s="532"/>
      <c r="O296" s="532"/>
      <c r="P296" s="532"/>
      <c r="R296" s="2000"/>
      <c r="S296" s="2000"/>
      <c r="T296" s="2000"/>
    </row>
    <row r="297" spans="1:20">
      <c r="A297" s="2185" t="s">
        <v>4081</v>
      </c>
      <c r="B297" s="2184">
        <v>1.1363354849627088</v>
      </c>
      <c r="C297" s="2184">
        <v>1.0761115157839447</v>
      </c>
      <c r="D297" s="1378">
        <v>1.0211187992393707</v>
      </c>
      <c r="E297" s="1378">
        <v>0.97170232286436775</v>
      </c>
      <c r="F297" s="1378">
        <v>0.92924839681627003</v>
      </c>
      <c r="G297" s="1378"/>
      <c r="H297" s="1378"/>
      <c r="N297" s="532"/>
      <c r="O297" s="532"/>
      <c r="P297" s="532"/>
      <c r="R297" s="2000"/>
      <c r="S297" s="2000"/>
      <c r="T297" s="2000"/>
    </row>
    <row r="298" spans="1:20">
      <c r="A298" s="2185" t="s">
        <v>4082</v>
      </c>
      <c r="B298" s="2184">
        <v>1.2692683194269354</v>
      </c>
      <c r="C298" s="2184">
        <v>1.2018756808068338</v>
      </c>
      <c r="D298" s="1378">
        <v>1.1404730339176594</v>
      </c>
      <c r="E298" s="1378">
        <v>1.0855519300442988</v>
      </c>
      <c r="F298" s="1378">
        <v>1.0373918463115253</v>
      </c>
      <c r="G298" s="1378"/>
      <c r="H298" s="1378"/>
      <c r="N298" s="532"/>
      <c r="O298" s="532"/>
      <c r="P298" s="532"/>
      <c r="R298" s="2000"/>
      <c r="S298" s="2000"/>
      <c r="T298" s="2000"/>
    </row>
    <row r="299" spans="1:20">
      <c r="A299" s="2185" t="s">
        <v>4083</v>
      </c>
      <c r="B299" s="2184">
        <v>1.3950324844498243</v>
      </c>
      <c r="C299" s="2184">
        <v>1.3212299154851226</v>
      </c>
      <c r="D299" s="1378">
        <v>1.2543226410975905</v>
      </c>
      <c r="E299" s="1378">
        <v>1.193695379539554</v>
      </c>
      <c r="F299" s="1378">
        <v>1.1407052993989586</v>
      </c>
      <c r="G299" s="1378"/>
      <c r="H299" s="1378"/>
      <c r="N299" s="532"/>
      <c r="O299" s="532"/>
      <c r="P299" s="532"/>
      <c r="R299" s="2000"/>
      <c r="S299" s="2000"/>
      <c r="T299" s="2000"/>
    </row>
    <row r="300" spans="1:20">
      <c r="A300" s="2185" t="s">
        <v>4084</v>
      </c>
      <c r="B300" s="2184">
        <v>1.2939208023167001</v>
      </c>
      <c r="C300" s="2184">
        <v>1.2316598723389451</v>
      </c>
      <c r="D300" s="1378">
        <v>1.1734459180757892</v>
      </c>
      <c r="E300" s="1378">
        <v>1.1194280786667059</v>
      </c>
      <c r="F300" s="1378">
        <v>1.0686030557262765</v>
      </c>
      <c r="G300" s="1378"/>
      <c r="H300" s="1378"/>
      <c r="I300" s="52" t="s">
        <v>4085</v>
      </c>
      <c r="N300" s="532"/>
      <c r="O300" s="532"/>
      <c r="P300" s="532"/>
      <c r="R300" s="2000"/>
      <c r="S300" s="2000"/>
      <c r="T300" s="2000"/>
    </row>
    <row r="301" spans="1:20">
      <c r="A301" s="2185" t="s">
        <v>4086</v>
      </c>
      <c r="B301" s="2184">
        <v>6.5806458771008033E-2</v>
      </c>
      <c r="C301" s="2184">
        <v>6.1581937835493199E-2</v>
      </c>
      <c r="D301" s="1378">
        <v>5.5440170655037584E-2</v>
      </c>
      <c r="E301" s="1378">
        <v>4.878226253096684E-2</v>
      </c>
      <c r="F301" s="1378">
        <v>4.8086922181543611E-2</v>
      </c>
      <c r="G301" s="1378"/>
      <c r="H301" s="1378"/>
      <c r="N301" s="532"/>
      <c r="O301" s="532"/>
      <c r="P301" s="532"/>
      <c r="R301" s="2000"/>
      <c r="S301" s="2000"/>
      <c r="T301" s="2000"/>
    </row>
    <row r="302" spans="1:20">
      <c r="A302" s="2185" t="s">
        <v>4087</v>
      </c>
      <c r="B302" s="2184">
        <v>0.49715258709923615</v>
      </c>
      <c r="C302" s="2184">
        <v>0.4678675684178582</v>
      </c>
      <c r="D302" s="1378">
        <v>0.44070270323018229</v>
      </c>
      <c r="E302" s="1378">
        <v>0.41818848637032224</v>
      </c>
      <c r="F302" s="1378">
        <v>0.4008901636879274</v>
      </c>
      <c r="G302" s="1378"/>
      <c r="H302" s="1378"/>
      <c r="N302" s="532"/>
      <c r="O302" s="532"/>
      <c r="P302" s="532"/>
      <c r="R302" s="2000"/>
      <c r="S302" s="2000"/>
      <c r="T302" s="2000"/>
    </row>
    <row r="303" spans="1:20">
      <c r="A303" s="2185" t="s">
        <v>4088</v>
      </c>
      <c r="B303" s="2184">
        <v>0.53367402718886625</v>
      </c>
      <c r="C303" s="2184">
        <v>0.50228464106567539</v>
      </c>
      <c r="D303" s="1378">
        <v>0.47362865702535972</v>
      </c>
      <c r="E303" s="1378">
        <v>0.44967242621889431</v>
      </c>
      <c r="F303" s="1378">
        <v>0.43076651195232391</v>
      </c>
      <c r="G303" s="1378"/>
      <c r="H303" s="1378"/>
      <c r="N303" s="532"/>
      <c r="O303" s="532"/>
      <c r="P303" s="532"/>
      <c r="R303" s="2000"/>
      <c r="S303" s="2000"/>
      <c r="T303" s="2000"/>
    </row>
    <row r="304" spans="1:20">
      <c r="A304" s="2185" t="s">
        <v>4089</v>
      </c>
      <c r="B304" s="2184">
        <v>0.56809109983668338</v>
      </c>
      <c r="C304" s="2184">
        <v>0.53521059486085298</v>
      </c>
      <c r="D304" s="1378">
        <v>0.50511259687393184</v>
      </c>
      <c r="E304" s="1378">
        <v>0.47954877448329064</v>
      </c>
      <c r="F304" s="1378">
        <v>0.45933434855342231</v>
      </c>
      <c r="G304" s="1378"/>
      <c r="H304" s="1378"/>
      <c r="N304" s="532"/>
      <c r="O304" s="532"/>
      <c r="P304" s="532"/>
      <c r="R304" s="2000"/>
      <c r="S304" s="2000"/>
      <c r="T304" s="2000"/>
    </row>
    <row r="305" spans="1:20">
      <c r="A305" s="2185" t="s">
        <v>4090</v>
      </c>
      <c r="B305" s="2184">
        <v>0.60101705363186098</v>
      </c>
      <c r="C305" s="2184">
        <v>0.56669453470942499</v>
      </c>
      <c r="D305" s="1378">
        <v>0.53498894513832829</v>
      </c>
      <c r="E305" s="1378">
        <v>0.5081166110843891</v>
      </c>
      <c r="F305" s="1378">
        <v>0.48665100665335059</v>
      </c>
      <c r="G305" s="1378"/>
      <c r="H305" s="1378"/>
      <c r="N305" s="532"/>
      <c r="O305" s="532"/>
      <c r="P305" s="532"/>
      <c r="R305" s="2000"/>
      <c r="S305" s="2000"/>
      <c r="T305" s="2000"/>
    </row>
    <row r="306" spans="1:20">
      <c r="A306" s="2185" t="s">
        <v>4091</v>
      </c>
      <c r="B306" s="2184">
        <v>0.63250099348043309</v>
      </c>
      <c r="C306" s="2184">
        <v>0.59657088297382155</v>
      </c>
      <c r="D306" s="1378">
        <v>0.56355678173942658</v>
      </c>
      <c r="E306" s="1378">
        <v>0.53543326918431744</v>
      </c>
      <c r="F306" s="1378">
        <v>0.5127713062716891</v>
      </c>
      <c r="G306" s="1378"/>
      <c r="H306" s="1378"/>
      <c r="N306" s="532"/>
      <c r="O306" s="532"/>
      <c r="P306" s="532"/>
      <c r="R306" s="2000"/>
      <c r="S306" s="2000"/>
      <c r="T306" s="2000"/>
    </row>
    <row r="307" spans="1:20">
      <c r="A307" s="2185" t="s">
        <v>4092</v>
      </c>
      <c r="B307" s="2184">
        <v>0.66237734174482943</v>
      </c>
      <c r="C307" s="2184">
        <v>0.62513871957491984</v>
      </c>
      <c r="D307" s="1378">
        <v>0.59087343983935503</v>
      </c>
      <c r="E307" s="1378">
        <v>0.56155356880265594</v>
      </c>
      <c r="F307" s="1378">
        <v>0.53774766449419242</v>
      </c>
      <c r="G307" s="1378"/>
      <c r="H307" s="1378"/>
      <c r="N307" s="532"/>
      <c r="O307" s="532"/>
      <c r="P307" s="532"/>
      <c r="R307" s="2000"/>
      <c r="S307" s="2000"/>
      <c r="T307" s="2000"/>
    </row>
    <row r="308" spans="1:20">
      <c r="A308" s="2185" t="s">
        <v>4093</v>
      </c>
      <c r="B308" s="2184">
        <v>0.69094517834592806</v>
      </c>
      <c r="C308" s="2184">
        <v>0.65245537767484818</v>
      </c>
      <c r="D308" s="1378">
        <v>0.61699373945769354</v>
      </c>
      <c r="E308" s="1378">
        <v>0.58652992702515938</v>
      </c>
      <c r="F308" s="1378">
        <v>0.56163020084639304</v>
      </c>
      <c r="G308" s="1378"/>
      <c r="H308" s="1378"/>
      <c r="N308" s="532"/>
      <c r="O308" s="532"/>
      <c r="P308" s="532"/>
      <c r="R308" s="2000"/>
      <c r="S308" s="2000"/>
      <c r="T308" s="2000"/>
    </row>
    <row r="309" spans="1:20">
      <c r="A309" s="2185" t="s">
        <v>4094</v>
      </c>
      <c r="B309" s="2184">
        <v>0.71826183644585617</v>
      </c>
      <c r="C309" s="2184">
        <v>0.67857567729318669</v>
      </c>
      <c r="D309" s="1378">
        <v>0.64197009768019697</v>
      </c>
      <c r="E309" s="1378">
        <v>0.61041246337735988</v>
      </c>
      <c r="F309" s="1378">
        <v>0.58450396538546046</v>
      </c>
      <c r="G309" s="1378"/>
      <c r="H309" s="1378"/>
      <c r="N309" s="532"/>
      <c r="O309" s="532"/>
      <c r="P309" s="532"/>
      <c r="R309" s="2000"/>
      <c r="S309" s="2000"/>
      <c r="T309" s="2000"/>
    </row>
    <row r="310" spans="1:20">
      <c r="A310" s="2185" t="s">
        <v>4095</v>
      </c>
      <c r="B310" s="2184">
        <v>0.7443821360641949</v>
      </c>
      <c r="C310" s="2184">
        <v>0.70355203551569001</v>
      </c>
      <c r="D310" s="1378">
        <v>0.66585263403239747</v>
      </c>
      <c r="E310" s="1378">
        <v>0.63328622791642697</v>
      </c>
      <c r="F310" s="1378">
        <v>0.60637596445349951</v>
      </c>
      <c r="G310" s="1378"/>
      <c r="H310" s="1378"/>
      <c r="N310" s="532"/>
      <c r="O310" s="532"/>
      <c r="P310" s="532"/>
      <c r="R310" s="2000"/>
      <c r="S310" s="2000"/>
      <c r="T310" s="2000"/>
    </row>
    <row r="311" spans="1:20">
      <c r="A311" s="2185" t="s">
        <v>4096</v>
      </c>
      <c r="B311" s="2184">
        <v>0.76935849428669822</v>
      </c>
      <c r="C311" s="2184">
        <v>0.72743457186789062</v>
      </c>
      <c r="D311" s="1378">
        <v>0.68872639857146478</v>
      </c>
      <c r="E311" s="1378">
        <v>0.65515822698446646</v>
      </c>
      <c r="F311" s="1378">
        <v>0.62729008870922798</v>
      </c>
      <c r="G311" s="1378"/>
      <c r="H311" s="1378"/>
      <c r="N311" s="532"/>
      <c r="O311" s="532"/>
      <c r="P311" s="532"/>
      <c r="R311" s="2000"/>
      <c r="S311" s="2000"/>
      <c r="T311" s="2000"/>
    </row>
    <row r="312" spans="1:20">
      <c r="A312" s="2185" t="s">
        <v>4097</v>
      </c>
      <c r="B312" s="2184">
        <v>0.1273883966065012</v>
      </c>
      <c r="C312" s="2184">
        <v>0.11702210849053077</v>
      </c>
      <c r="D312" s="1378">
        <v>0.10422243318600444</v>
      </c>
      <c r="E312" s="1378">
        <v>9.6869184712510464E-2</v>
      </c>
      <c r="F312" s="1378">
        <v>9.6062264705810793E-2</v>
      </c>
      <c r="G312" s="1378"/>
      <c r="H312" s="1378"/>
      <c r="N312" s="532"/>
      <c r="O312" s="532"/>
      <c r="P312" s="532"/>
      <c r="R312" s="2000"/>
      <c r="S312" s="2000"/>
      <c r="T312" s="2000"/>
    </row>
    <row r="313" spans="1:20">
      <c r="A313" s="2185" t="s">
        <v>4098</v>
      </c>
      <c r="B313" s="2184">
        <v>0.79324103063889861</v>
      </c>
      <c r="C313" s="2184">
        <v>0.75030833640695782</v>
      </c>
      <c r="D313" s="1378">
        <v>0.71059839763950394</v>
      </c>
      <c r="E313" s="1378">
        <v>0.67607235124019482</v>
      </c>
      <c r="F313" s="1378">
        <v>0.6472883050088456</v>
      </c>
      <c r="G313" s="1378"/>
      <c r="H313" s="1378"/>
      <c r="N313" s="532"/>
      <c r="O313" s="532"/>
      <c r="P313" s="532"/>
      <c r="R313" s="2000"/>
      <c r="S313" s="2000"/>
      <c r="T313" s="2000"/>
    </row>
    <row r="314" spans="1:20">
      <c r="A314" s="2185" t="s">
        <v>4099</v>
      </c>
      <c r="B314" s="2184">
        <v>0.81611479517796581</v>
      </c>
      <c r="C314" s="2184">
        <v>0.77218033547499709</v>
      </c>
      <c r="D314" s="1378">
        <v>0.7315125218952323</v>
      </c>
      <c r="E314" s="1378">
        <v>0.69607056753981256</v>
      </c>
      <c r="F314" s="1378">
        <v>0.66641074076590756</v>
      </c>
      <c r="G314" s="1378"/>
      <c r="H314" s="1378"/>
      <c r="N314" s="532"/>
      <c r="O314" s="532"/>
      <c r="P314" s="532"/>
      <c r="R314" s="2000"/>
      <c r="S314" s="2000"/>
      <c r="T314" s="2000"/>
    </row>
    <row r="315" spans="1:20">
      <c r="A315" s="2185" t="s">
        <v>4100</v>
      </c>
      <c r="B315" s="2184">
        <v>0.83798679424600531</v>
      </c>
      <c r="C315" s="2184">
        <v>0.79309445973072545</v>
      </c>
      <c r="D315" s="1378">
        <v>0.75151073819484993</v>
      </c>
      <c r="E315" s="1378">
        <v>0.71519300329687452</v>
      </c>
      <c r="F315" s="1378">
        <v>0.68430558987414447</v>
      </c>
      <c r="G315" s="1378"/>
      <c r="H315" s="1378"/>
      <c r="N315" s="532"/>
      <c r="O315" s="532"/>
      <c r="P315" s="532"/>
      <c r="R315" s="2000"/>
      <c r="S315" s="2000"/>
      <c r="T315" s="2000"/>
    </row>
    <row r="316" spans="1:20">
      <c r="A316" s="2185" t="s">
        <v>4101</v>
      </c>
      <c r="B316" s="2184">
        <v>0.85890091850173378</v>
      </c>
      <c r="C316" s="2184">
        <v>0.81309267603034308</v>
      </c>
      <c r="D316" s="1378">
        <v>0.77063317395191189</v>
      </c>
      <c r="E316" s="1378">
        <v>0.73308785240511132</v>
      </c>
      <c r="F316" s="1378">
        <v>0.70105165866343599</v>
      </c>
      <c r="G316" s="1378"/>
      <c r="H316" s="1378"/>
      <c r="N316" s="532"/>
      <c r="O316" s="532"/>
      <c r="P316" s="532"/>
      <c r="R316" s="2000"/>
      <c r="S316" s="2000"/>
      <c r="T316" s="2000"/>
    </row>
    <row r="317" spans="1:20">
      <c r="A317" s="2185" t="s">
        <v>4102</v>
      </c>
      <c r="B317" s="2184">
        <v>0.87889913480135129</v>
      </c>
      <c r="C317" s="2184">
        <v>0.83221511178740515</v>
      </c>
      <c r="D317" s="1378">
        <v>0.78852802306014902</v>
      </c>
      <c r="E317" s="1378">
        <v>0.74983392119440295</v>
      </c>
      <c r="F317" s="1378">
        <v>0.71672269440112235</v>
      </c>
      <c r="G317" s="1378"/>
      <c r="H317" s="1378"/>
      <c r="N317" s="532"/>
      <c r="O317" s="532"/>
      <c r="P317" s="532"/>
      <c r="R317" s="2000"/>
      <c r="S317" s="2000"/>
      <c r="T317" s="2000"/>
    </row>
    <row r="318" spans="1:20">
      <c r="A318" s="2185" t="s">
        <v>4103</v>
      </c>
      <c r="B318" s="2184">
        <v>0.89802157055841325</v>
      </c>
      <c r="C318" s="2184">
        <v>0.85010996089564206</v>
      </c>
      <c r="D318" s="1378">
        <v>0.80527409184944032</v>
      </c>
      <c r="E318" s="1378">
        <v>0.7655049569320892</v>
      </c>
      <c r="F318" s="1378">
        <v>0.73138771006431358</v>
      </c>
      <c r="G318" s="1378"/>
      <c r="H318" s="1378"/>
      <c r="N318" s="532"/>
      <c r="O318" s="532"/>
      <c r="P318" s="532"/>
      <c r="R318" s="2000"/>
      <c r="S318" s="2000"/>
      <c r="T318" s="2000"/>
    </row>
    <row r="319" spans="1:20">
      <c r="A319" s="2185" t="s">
        <v>4104</v>
      </c>
      <c r="B319" s="2184">
        <v>0.18282856726153876</v>
      </c>
      <c r="C319" s="2184">
        <v>0.16580437102149759</v>
      </c>
      <c r="D319" s="1378">
        <v>0.15230935536754805</v>
      </c>
      <c r="E319" s="1378">
        <v>0.14484452723677763</v>
      </c>
      <c r="F319" s="1378">
        <v>0.14275981904655938</v>
      </c>
      <c r="G319" s="1378"/>
      <c r="H319" s="1378"/>
      <c r="N319" s="532"/>
      <c r="O319" s="532"/>
      <c r="P319" s="532"/>
      <c r="R319" s="2000"/>
      <c r="S319" s="2000"/>
      <c r="T319" s="2000"/>
    </row>
    <row r="320" spans="1:20">
      <c r="A320" s="2185" t="s">
        <v>4105</v>
      </c>
      <c r="B320" s="2184">
        <v>0.23161082979250566</v>
      </c>
      <c r="C320" s="2184">
        <v>0.21389129320304126</v>
      </c>
      <c r="D320" s="1378">
        <v>0.20028469789181516</v>
      </c>
      <c r="E320" s="1378">
        <v>0.19154208157752625</v>
      </c>
      <c r="F320" s="1378">
        <v>0.18645116485026669</v>
      </c>
      <c r="G320" s="1378"/>
      <c r="H320" s="1378"/>
      <c r="N320" s="532"/>
      <c r="O320" s="532"/>
      <c r="P320" s="532"/>
      <c r="R320" s="2000"/>
      <c r="S320" s="2000"/>
      <c r="T320" s="2000"/>
    </row>
    <row r="321" spans="1:20">
      <c r="A321" s="2185" t="s">
        <v>4106</v>
      </c>
      <c r="B321" s="2184">
        <v>0.27969775197404922</v>
      </c>
      <c r="C321" s="2184">
        <v>0.26186663572730845</v>
      </c>
      <c r="D321" s="1378">
        <v>0.2469822522325639</v>
      </c>
      <c r="E321" s="1378">
        <v>0.23523342738123343</v>
      </c>
      <c r="F321" s="1378">
        <v>0.22721301109973979</v>
      </c>
      <c r="G321" s="1378"/>
      <c r="H321" s="1378"/>
      <c r="N321" s="532"/>
      <c r="O321" s="532"/>
      <c r="P321" s="532"/>
      <c r="R321" s="2000"/>
      <c r="S321" s="2000"/>
      <c r="T321" s="2000"/>
    </row>
    <row r="322" spans="1:20">
      <c r="A322" s="2185" t="s">
        <v>4107</v>
      </c>
      <c r="B322" s="2184">
        <v>0.3276730944983165</v>
      </c>
      <c r="C322" s="2184">
        <v>0.30856419006805702</v>
      </c>
      <c r="D322" s="1378">
        <v>0.29067359803627107</v>
      </c>
      <c r="E322" s="1378">
        <v>0.27599527363070664</v>
      </c>
      <c r="F322" s="1378">
        <v>0.26554175730673063</v>
      </c>
      <c r="G322" s="1378"/>
      <c r="H322" s="1378"/>
      <c r="N322" s="532"/>
      <c r="O322" s="532"/>
      <c r="P322" s="532"/>
      <c r="R322" s="2000"/>
      <c r="S322" s="2000"/>
      <c r="T322" s="2000"/>
    </row>
    <row r="323" spans="1:20">
      <c r="A323" s="2185" t="s">
        <v>4108</v>
      </c>
      <c r="B323" s="2184">
        <v>0.37437064883906507</v>
      </c>
      <c r="C323" s="2184">
        <v>0.35225553587176417</v>
      </c>
      <c r="D323" s="1378">
        <v>0.33143544428574412</v>
      </c>
      <c r="E323" s="1378">
        <v>0.31432401983769742</v>
      </c>
      <c r="F323" s="1378">
        <v>0.30206319739636073</v>
      </c>
      <c r="G323" s="1378"/>
      <c r="H323" s="1378"/>
      <c r="N323" s="532"/>
      <c r="O323" s="532"/>
      <c r="P323" s="532"/>
      <c r="R323" s="2000"/>
      <c r="S323" s="2000"/>
      <c r="T323" s="2000"/>
    </row>
    <row r="324" spans="1:20">
      <c r="A324" s="2185" t="s">
        <v>4109</v>
      </c>
      <c r="B324" s="2184">
        <v>0.41806199464277233</v>
      </c>
      <c r="C324" s="2184">
        <v>0.39301738212123749</v>
      </c>
      <c r="D324" s="1378">
        <v>0.36976419049273512</v>
      </c>
      <c r="E324" s="1378">
        <v>0.35084545992732746</v>
      </c>
      <c r="F324" s="1378">
        <v>0.3364802700441778</v>
      </c>
      <c r="G324" s="1378"/>
      <c r="H324" s="1378"/>
      <c r="N324" s="532"/>
      <c r="O324" s="532"/>
      <c r="P324" s="532"/>
      <c r="R324" s="2000"/>
      <c r="S324" s="2000"/>
      <c r="T324" s="2000"/>
    </row>
    <row r="325" spans="1:20">
      <c r="A325" s="2185" t="s">
        <v>4110</v>
      </c>
      <c r="B325" s="2184">
        <v>0.45882384089224548</v>
      </c>
      <c r="C325" s="2184">
        <v>0.43134612832822816</v>
      </c>
      <c r="D325" s="1378">
        <v>0.40628563058236505</v>
      </c>
      <c r="E325" s="1378">
        <v>0.3852625325751447</v>
      </c>
      <c r="F325" s="1378">
        <v>0.36940622383935529</v>
      </c>
      <c r="G325" s="1378"/>
      <c r="H325" s="1378"/>
      <c r="N325" s="532"/>
      <c r="O325" s="532"/>
      <c r="P325" s="532"/>
      <c r="R325" s="2000"/>
      <c r="S325" s="2000"/>
      <c r="T325" s="2000"/>
    </row>
    <row r="326" spans="1:20">
      <c r="A326" s="2185" t="s">
        <v>4111</v>
      </c>
      <c r="B326" s="2184">
        <v>4.4564911431382498E-2</v>
      </c>
      <c r="C326" s="2184">
        <v>3.9539894861179099E-2</v>
      </c>
      <c r="D326" s="1378">
        <v>3.4042024321826798E-2</v>
      </c>
      <c r="E326" s="1378">
        <v>3.3882764310127697E-2</v>
      </c>
      <c r="F326" s="1378">
        <v>3.4203379104143797E-2</v>
      </c>
      <c r="G326" s="1378"/>
      <c r="H326" s="1378"/>
      <c r="N326" s="532"/>
      <c r="O326" s="532"/>
      <c r="P326" s="532"/>
      <c r="R326" s="2000"/>
      <c r="S326" s="2000"/>
      <c r="T326" s="2000"/>
    </row>
    <row r="327" spans="1:20">
      <c r="A327" s="2185" t="s">
        <v>4112</v>
      </c>
      <c r="B327" s="2184">
        <v>0.33264532852883699</v>
      </c>
      <c r="C327" s="2184">
        <v>0.31230277076828999</v>
      </c>
      <c r="D327" s="1378">
        <v>0.29594969707543201</v>
      </c>
      <c r="E327" s="1378">
        <v>0.28408938207781698</v>
      </c>
      <c r="F327" s="1378">
        <v>0.27122291831731699</v>
      </c>
      <c r="G327" s="1378"/>
      <c r="H327" s="1378"/>
      <c r="N327" s="532"/>
      <c r="O327" s="532"/>
      <c r="P327" s="532"/>
      <c r="R327" s="2000"/>
      <c r="S327" s="2000"/>
      <c r="T327" s="2000"/>
    </row>
    <row r="328" spans="1:20">
      <c r="A328" s="2185" t="s">
        <v>4113</v>
      </c>
      <c r="B328" s="2184">
        <v>0.35686768219967202</v>
      </c>
      <c r="C328" s="2184">
        <v>0.33548959193661099</v>
      </c>
      <c r="D328" s="1378">
        <v>0.31813140639964399</v>
      </c>
      <c r="E328" s="1378">
        <v>0.30510568262744497</v>
      </c>
      <c r="F328" s="1378">
        <v>0.29132819358781498</v>
      </c>
      <c r="G328" s="1378"/>
      <c r="H328" s="1378"/>
      <c r="N328" s="532"/>
      <c r="O328" s="532"/>
      <c r="P328" s="532"/>
      <c r="R328" s="2000"/>
      <c r="S328" s="2000"/>
      <c r="T328" s="2000"/>
    </row>
    <row r="329" spans="1:20">
      <c r="A329" s="2185" t="s">
        <v>4114</v>
      </c>
      <c r="B329" s="2184">
        <v>0.38005450336799401</v>
      </c>
      <c r="C329" s="2184">
        <v>0.35767130126082303</v>
      </c>
      <c r="D329" s="1378">
        <v>0.33914770694927199</v>
      </c>
      <c r="E329" s="1378">
        <v>0.32521095789794302</v>
      </c>
      <c r="F329" s="1378">
        <v>0.31056193601148202</v>
      </c>
      <c r="G329" s="1378"/>
      <c r="H329" s="1378"/>
      <c r="N329" s="532"/>
      <c r="O329" s="532"/>
      <c r="P329" s="532"/>
      <c r="R329" s="2000"/>
      <c r="S329" s="2000"/>
      <c r="T329" s="2000"/>
    </row>
    <row r="330" spans="1:20">
      <c r="A330" s="2185" t="s">
        <v>4115</v>
      </c>
      <c r="B330" s="2184">
        <v>0.402236212692206</v>
      </c>
      <c r="C330" s="2184">
        <v>0.37868760181045102</v>
      </c>
      <c r="D330" s="1378">
        <v>0.35925298221976898</v>
      </c>
      <c r="E330" s="1378">
        <v>0.34444470032161001</v>
      </c>
      <c r="F330" s="1378">
        <v>0.32896192600750801</v>
      </c>
      <c r="G330" s="1378"/>
      <c r="H330" s="1378"/>
      <c r="N330" s="532"/>
      <c r="O330" s="532"/>
      <c r="P330" s="532"/>
      <c r="R330" s="2000"/>
      <c r="S330" s="2000"/>
      <c r="T330" s="2000"/>
    </row>
    <row r="331" spans="1:20">
      <c r="A331" s="2185" t="s">
        <v>4116</v>
      </c>
      <c r="B331" s="2184">
        <v>0.42325251324183299</v>
      </c>
      <c r="C331" s="2184">
        <v>0.39879287708094902</v>
      </c>
      <c r="D331" s="1378">
        <v>0.37848672464343702</v>
      </c>
      <c r="E331" s="1378">
        <v>0.362844690317636</v>
      </c>
      <c r="F331" s="1378">
        <v>0.34656430620018702</v>
      </c>
      <c r="G331" s="1378"/>
      <c r="H331" s="1378"/>
      <c r="N331" s="532"/>
      <c r="O331" s="532"/>
      <c r="P331" s="532"/>
      <c r="R331" s="2000"/>
      <c r="S331" s="2000"/>
      <c r="T331" s="2000"/>
    </row>
    <row r="332" spans="1:20">
      <c r="A332" s="2185" t="s">
        <v>4117</v>
      </c>
      <c r="B332" s="2184">
        <v>0.44335778851233099</v>
      </c>
      <c r="C332" s="2184">
        <v>0.418026619504616</v>
      </c>
      <c r="D332" s="1378">
        <v>0.39688671463946301</v>
      </c>
      <c r="E332" s="1378">
        <v>0.38044707051031501</v>
      </c>
      <c r="F332" s="1378">
        <v>0.36340365241959099</v>
      </c>
      <c r="G332" s="1378"/>
      <c r="H332" s="1378"/>
      <c r="N332" s="532"/>
      <c r="O332" s="532"/>
      <c r="P332" s="532"/>
      <c r="R332" s="2000"/>
      <c r="S332" s="2000"/>
      <c r="T332" s="2000"/>
    </row>
    <row r="333" spans="1:20">
      <c r="A333" s="2185" t="s">
        <v>4118</v>
      </c>
      <c r="B333" s="2184">
        <v>0.46259153093599797</v>
      </c>
      <c r="C333" s="2184">
        <v>0.43642660950064199</v>
      </c>
      <c r="D333" s="1378">
        <v>0.41448909483214202</v>
      </c>
      <c r="E333" s="1378">
        <v>0.39728641672971898</v>
      </c>
      <c r="F333" s="1378">
        <v>0.37951409491098698</v>
      </c>
      <c r="G333" s="1378"/>
      <c r="H333" s="1378"/>
      <c r="N333" s="532"/>
      <c r="O333" s="532"/>
      <c r="P333" s="532"/>
      <c r="R333" s="2000"/>
      <c r="S333" s="2000"/>
      <c r="T333" s="2000"/>
    </row>
    <row r="334" spans="1:20">
      <c r="A334" s="2185" t="s">
        <v>4119</v>
      </c>
      <c r="B334" s="2184">
        <v>0.48099152093202402</v>
      </c>
      <c r="C334" s="2184">
        <v>0.45402898969332101</v>
      </c>
      <c r="D334" s="1378">
        <v>0.431328441051546</v>
      </c>
      <c r="E334" s="1378">
        <v>0.41339685922111502</v>
      </c>
      <c r="F334" s="1378">
        <v>0.39492617554889298</v>
      </c>
      <c r="G334" s="1378"/>
      <c r="H334" s="1378"/>
      <c r="N334" s="532"/>
      <c r="O334" s="532"/>
      <c r="P334" s="532"/>
      <c r="R334" s="2000"/>
      <c r="S334" s="2000"/>
      <c r="T334" s="2000"/>
    </row>
    <row r="335" spans="1:20">
      <c r="A335" s="2185" t="s">
        <v>4120</v>
      </c>
      <c r="B335" s="2184">
        <v>0.49859390112470298</v>
      </c>
      <c r="C335" s="2184">
        <v>0.47086833591272498</v>
      </c>
      <c r="D335" s="1378">
        <v>0.44743888354294198</v>
      </c>
      <c r="E335" s="1378">
        <v>0.42880893985902002</v>
      </c>
      <c r="F335" s="1378">
        <v>0.40967016784430099</v>
      </c>
      <c r="G335" s="1378"/>
      <c r="H335" s="1378"/>
      <c r="N335" s="532"/>
      <c r="O335" s="532"/>
      <c r="P335" s="532"/>
      <c r="R335" s="2000"/>
      <c r="S335" s="2000"/>
      <c r="T335" s="2000"/>
    </row>
    <row r="336" spans="1:20">
      <c r="A336" s="2185" t="s">
        <v>4121</v>
      </c>
      <c r="B336" s="2184">
        <v>0.515433247344107</v>
      </c>
      <c r="C336" s="2184">
        <v>0.48697877840412102</v>
      </c>
      <c r="D336" s="1378">
        <v>0.46285096418084698</v>
      </c>
      <c r="E336" s="1378">
        <v>0.44355293215442898</v>
      </c>
      <c r="F336" s="1378">
        <v>0.42377503294282298</v>
      </c>
      <c r="G336" s="1378"/>
      <c r="H336" s="1378"/>
      <c r="N336" s="532"/>
      <c r="O336" s="532"/>
      <c r="P336" s="532"/>
      <c r="R336" s="2000"/>
      <c r="S336" s="2000"/>
      <c r="T336" s="2000"/>
    </row>
    <row r="337" spans="1:20">
      <c r="A337" s="2185" t="s">
        <v>4122</v>
      </c>
      <c r="B337" s="2184">
        <v>8.4104806292561701E-2</v>
      </c>
      <c r="C337" s="2184">
        <v>7.3581919183005898E-2</v>
      </c>
      <c r="D337" s="1378">
        <v>6.7924788631954502E-2</v>
      </c>
      <c r="E337" s="1378">
        <v>6.8086143414271494E-2</v>
      </c>
      <c r="F337" s="1378">
        <v>6.7668402003890904E-2</v>
      </c>
      <c r="G337" s="1378"/>
      <c r="H337" s="1378"/>
      <c r="N337" s="532"/>
      <c r="O337" s="532"/>
      <c r="P337" s="532"/>
      <c r="R337" s="2000"/>
      <c r="S337" s="2000"/>
      <c r="T337" s="2000"/>
    </row>
    <row r="338" spans="1:20">
      <c r="A338" s="2185" t="s">
        <v>4123</v>
      </c>
      <c r="B338" s="2184">
        <v>0.53154368983550304</v>
      </c>
      <c r="C338" s="2184">
        <v>0.50239085904202596</v>
      </c>
      <c r="D338" s="1378">
        <v>0.47759495647625599</v>
      </c>
      <c r="E338" s="1378">
        <v>0.45765779725295103</v>
      </c>
      <c r="F338" s="1378">
        <v>0.437268476517433</v>
      </c>
      <c r="G338" s="1378"/>
      <c r="H338" s="1378"/>
      <c r="N338" s="532"/>
      <c r="O338" s="532"/>
      <c r="P338" s="532"/>
      <c r="R338" s="2000"/>
      <c r="S338" s="2000"/>
      <c r="T338" s="2000"/>
    </row>
    <row r="339" spans="1:20">
      <c r="A339" s="2185" t="s">
        <v>4124</v>
      </c>
      <c r="B339" s="2184">
        <v>0.54695577047340904</v>
      </c>
      <c r="C339" s="2184">
        <v>0.51713485133743498</v>
      </c>
      <c r="D339" s="1378">
        <v>0.49169982157477798</v>
      </c>
      <c r="E339" s="1378">
        <v>0.47115124082756099</v>
      </c>
      <c r="F339" s="1378">
        <v>0.45017700319477899</v>
      </c>
      <c r="G339" s="1378"/>
      <c r="H339" s="1378"/>
      <c r="N339" s="532"/>
      <c r="O339" s="532"/>
      <c r="P339" s="532"/>
      <c r="R339" s="2000"/>
      <c r="S339" s="2000"/>
      <c r="T339" s="2000"/>
    </row>
    <row r="340" spans="1:20">
      <c r="A340" s="2185" t="s">
        <v>4125</v>
      </c>
      <c r="B340" s="2184">
        <v>0.56169976276881695</v>
      </c>
      <c r="C340" s="2184">
        <v>0.53123971643595702</v>
      </c>
      <c r="D340" s="1378">
        <v>0.505193265149388</v>
      </c>
      <c r="E340" s="1378">
        <v>0.48405976750490698</v>
      </c>
      <c r="F340" s="1378">
        <v>0.462256852228417</v>
      </c>
      <c r="G340" s="1378"/>
      <c r="H340" s="1378"/>
      <c r="N340" s="532"/>
      <c r="O340" s="532"/>
      <c r="P340" s="532"/>
      <c r="R340" s="2000"/>
      <c r="S340" s="2000"/>
      <c r="T340" s="2000"/>
    </row>
    <row r="341" spans="1:20">
      <c r="A341" s="2185" t="s">
        <v>4126</v>
      </c>
      <c r="B341" s="2184">
        <v>0.57580462786733999</v>
      </c>
      <c r="C341" s="2184">
        <v>0.54473316001056704</v>
      </c>
      <c r="D341" s="1378">
        <v>0.51810179182673399</v>
      </c>
      <c r="E341" s="1378">
        <v>0.49613961653854499</v>
      </c>
      <c r="F341" s="1378">
        <v>0.47356122152809699</v>
      </c>
      <c r="G341" s="1378"/>
      <c r="H341" s="1378"/>
      <c r="N341" s="532"/>
      <c r="O341" s="532"/>
      <c r="P341" s="532"/>
      <c r="R341" s="2000"/>
      <c r="S341" s="2000"/>
      <c r="T341" s="2000"/>
    </row>
    <row r="342" spans="1:20">
      <c r="A342" s="2185" t="s">
        <v>4127</v>
      </c>
      <c r="B342" s="2184">
        <v>0.58929807144195001</v>
      </c>
      <c r="C342" s="2184">
        <v>0.55764168668791303</v>
      </c>
      <c r="D342" s="1378">
        <v>0.53018164086037201</v>
      </c>
      <c r="E342" s="1378">
        <v>0.50744398583822503</v>
      </c>
      <c r="F342" s="1378">
        <v>0.48413989390286799</v>
      </c>
      <c r="G342" s="1378"/>
      <c r="H342" s="1378"/>
      <c r="N342" s="532"/>
      <c r="O342" s="532"/>
      <c r="P342" s="532"/>
      <c r="R342" s="2000"/>
      <c r="S342" s="2000"/>
      <c r="T342" s="2000"/>
    </row>
    <row r="343" spans="1:20">
      <c r="A343" s="2185" t="s">
        <v>4128</v>
      </c>
      <c r="B343" s="2184">
        <v>0.602206598119295</v>
      </c>
      <c r="C343" s="2184">
        <v>0.56972153572155104</v>
      </c>
      <c r="D343" s="1378">
        <v>0.54148601016005204</v>
      </c>
      <c r="E343" s="1378">
        <v>0.51802265821299598</v>
      </c>
      <c r="F343" s="1378">
        <v>0.494039456297376</v>
      </c>
      <c r="G343" s="1378"/>
      <c r="H343" s="1378"/>
      <c r="N343" s="532"/>
      <c r="O343" s="532"/>
      <c r="P343" s="532"/>
      <c r="R343" s="2000"/>
      <c r="S343" s="2000"/>
      <c r="T343" s="2000"/>
    </row>
    <row r="344" spans="1:20">
      <c r="A344" s="2185" t="s">
        <v>4129</v>
      </c>
      <c r="B344" s="2184">
        <v>0.61428644715293301</v>
      </c>
      <c r="C344" s="2184">
        <v>0.58102590502123097</v>
      </c>
      <c r="D344" s="1378">
        <v>0.55206468253482299</v>
      </c>
      <c r="E344" s="1378">
        <v>0.52792222060750404</v>
      </c>
      <c r="F344" s="1378">
        <v>0.50330350495403697</v>
      </c>
      <c r="G344" s="1378"/>
      <c r="H344" s="1378"/>
      <c r="N344" s="532"/>
      <c r="O344" s="532"/>
      <c r="P344" s="532"/>
      <c r="R344" s="2000"/>
      <c r="S344" s="2000"/>
      <c r="T344" s="2000"/>
    </row>
    <row r="345" spans="1:20">
      <c r="A345" s="2185" t="s">
        <v>4130</v>
      </c>
      <c r="B345" s="2184">
        <v>0.62559081645261405</v>
      </c>
      <c r="C345" s="2184">
        <v>0.59160457739600203</v>
      </c>
      <c r="D345" s="1378">
        <v>0.56196424492932995</v>
      </c>
      <c r="E345" s="1378">
        <v>0.53718626926416402</v>
      </c>
      <c r="F345" s="1378">
        <v>0.51197283740458899</v>
      </c>
      <c r="G345" s="1378"/>
      <c r="H345" s="1378"/>
      <c r="N345" s="532"/>
      <c r="O345" s="532"/>
      <c r="P345" s="532"/>
      <c r="R345" s="2000"/>
      <c r="S345" s="2000"/>
      <c r="T345" s="2000"/>
    </row>
    <row r="346" spans="1:20">
      <c r="A346" s="2185" t="s">
        <v>4131</v>
      </c>
      <c r="B346" s="2184">
        <v>0.636169488827384</v>
      </c>
      <c r="C346" s="2184">
        <v>0.60150413979050998</v>
      </c>
      <c r="D346" s="1378">
        <v>0.57122829358599103</v>
      </c>
      <c r="E346" s="1378">
        <v>0.54585560171471703</v>
      </c>
      <c r="F346" s="1378">
        <v>0.52008563213653103</v>
      </c>
      <c r="G346" s="1378"/>
      <c r="H346" s="1378"/>
      <c r="N346" s="532"/>
      <c r="O346" s="532"/>
      <c r="P346" s="532"/>
      <c r="R346" s="2000"/>
      <c r="S346" s="2000"/>
      <c r="T346" s="2000"/>
    </row>
    <row r="347" spans="1:20">
      <c r="A347" s="2185" t="s">
        <v>4132</v>
      </c>
      <c r="B347" s="2184">
        <v>0.64606905122189195</v>
      </c>
      <c r="C347" s="2184">
        <v>0.61076818844716996</v>
      </c>
      <c r="D347" s="1378">
        <v>0.57989762603654404</v>
      </c>
      <c r="E347" s="1378">
        <v>0.55396839644665896</v>
      </c>
      <c r="F347" s="1378">
        <v>0.52767761672565805</v>
      </c>
      <c r="G347" s="1378"/>
      <c r="H347" s="1378"/>
      <c r="N347" s="532"/>
      <c r="O347" s="532"/>
      <c r="P347" s="532"/>
      <c r="R347" s="2000"/>
      <c r="S347" s="2000"/>
      <c r="T347" s="2000"/>
    </row>
    <row r="348" spans="1:20">
      <c r="A348" s="2185" t="s">
        <v>4133</v>
      </c>
      <c r="B348" s="2184">
        <v>0.11814683061438799</v>
      </c>
      <c r="C348" s="2184">
        <v>0.107464683493134</v>
      </c>
      <c r="D348" s="1378">
        <v>0.10212816773609799</v>
      </c>
      <c r="E348" s="1378">
        <v>0.101551166314019</v>
      </c>
      <c r="F348" s="1378">
        <v>9.8835974914980501E-2</v>
      </c>
      <c r="G348" s="1378"/>
      <c r="H348" s="1378"/>
      <c r="N348" s="532"/>
      <c r="O348" s="532"/>
      <c r="P348" s="532"/>
      <c r="R348" s="2000"/>
      <c r="S348" s="2000"/>
      <c r="T348" s="2000"/>
    </row>
    <row r="349" spans="1:20">
      <c r="A349" s="2185" t="s">
        <v>4134</v>
      </c>
      <c r="B349" s="2184">
        <v>0.65533309987855304</v>
      </c>
      <c r="C349" s="2184">
        <v>0.61943752089772297</v>
      </c>
      <c r="D349" s="1378">
        <v>0.58801042076848498</v>
      </c>
      <c r="E349" s="1378">
        <v>0.56156038103578598</v>
      </c>
      <c r="F349" s="1378">
        <v>0.53478222517515095</v>
      </c>
      <c r="G349" s="1378"/>
      <c r="H349" s="1378"/>
      <c r="N349" s="532"/>
      <c r="O349" s="532"/>
      <c r="P349" s="532"/>
      <c r="R349" s="2000"/>
      <c r="S349" s="2000"/>
      <c r="T349" s="2000"/>
    </row>
    <row r="350" spans="1:20">
      <c r="A350" s="2185" t="s">
        <v>4135</v>
      </c>
      <c r="B350" s="2184">
        <v>0.15202959492451601</v>
      </c>
      <c r="C350" s="2184">
        <v>0.14166806259727699</v>
      </c>
      <c r="D350" s="1378">
        <v>0.13559319063584499</v>
      </c>
      <c r="E350" s="1378">
        <v>0.13271873922510799</v>
      </c>
      <c r="F350" s="1378">
        <v>0.12774616814637799</v>
      </c>
      <c r="G350" s="1378"/>
      <c r="H350" s="1378"/>
      <c r="N350" s="532"/>
      <c r="O350" s="532"/>
      <c r="P350" s="532"/>
      <c r="R350" s="2000"/>
      <c r="S350" s="2000"/>
      <c r="T350" s="2000"/>
    </row>
    <row r="351" spans="1:20">
      <c r="A351" s="2185" t="s">
        <v>4136</v>
      </c>
      <c r="B351" s="2184">
        <v>0.18623297402865999</v>
      </c>
      <c r="C351" s="2184">
        <v>0.175133085497025</v>
      </c>
      <c r="D351" s="1378">
        <v>0.166760763546935</v>
      </c>
      <c r="E351" s="1378">
        <v>0.161628932456506</v>
      </c>
      <c r="F351" s="1378">
        <v>0.15482529950403601</v>
      </c>
      <c r="G351" s="1378"/>
      <c r="H351" s="1378"/>
      <c r="N351" s="532"/>
      <c r="O351" s="532"/>
      <c r="P351" s="532"/>
      <c r="R351" s="2000"/>
      <c r="S351" s="2000"/>
      <c r="T351" s="2000"/>
    </row>
    <row r="352" spans="1:20">
      <c r="A352" s="2185" t="s">
        <v>4137</v>
      </c>
      <c r="B352" s="2184">
        <v>0.219697996928407</v>
      </c>
      <c r="C352" s="2184">
        <v>0.20630065840811401</v>
      </c>
      <c r="D352" s="1378">
        <v>0.19567095677833199</v>
      </c>
      <c r="E352" s="1378">
        <v>0.188708063814164</v>
      </c>
      <c r="F352" s="1378">
        <v>0.18061573360432001</v>
      </c>
      <c r="G352" s="1378"/>
      <c r="H352" s="1378"/>
      <c r="N352" s="532"/>
      <c r="O352" s="532"/>
      <c r="P352" s="532"/>
      <c r="R352" s="2000"/>
      <c r="S352" s="2000"/>
      <c r="T352" s="2000"/>
    </row>
    <row r="353" spans="1:20">
      <c r="A353" s="2185" t="s">
        <v>4138</v>
      </c>
      <c r="B353" s="2184">
        <v>0.25086556983949698</v>
      </c>
      <c r="C353" s="2184">
        <v>0.235210851639512</v>
      </c>
      <c r="D353" s="1378">
        <v>0.22275008813599101</v>
      </c>
      <c r="E353" s="1378">
        <v>0.214498497914448</v>
      </c>
      <c r="F353" s="1378">
        <v>0.20483808727515601</v>
      </c>
      <c r="G353" s="1378"/>
      <c r="H353" s="1378"/>
      <c r="N353" s="532"/>
      <c r="O353" s="532"/>
      <c r="P353" s="532"/>
      <c r="R353" s="2000"/>
      <c r="S353" s="2000"/>
      <c r="T353" s="2000"/>
    </row>
    <row r="354" spans="1:20">
      <c r="A354" s="2185" t="s">
        <v>4139</v>
      </c>
      <c r="B354" s="2184">
        <v>0.27977576307089402</v>
      </c>
      <c r="C354" s="2184">
        <v>0.26228998299716999</v>
      </c>
      <c r="D354" s="1378">
        <v>0.24854052223627501</v>
      </c>
      <c r="E354" s="1378">
        <v>0.238720851585284</v>
      </c>
      <c r="F354" s="1378">
        <v>0.228024908443477</v>
      </c>
      <c r="G354" s="1378"/>
      <c r="H354" s="1378"/>
      <c r="N354" s="532"/>
      <c r="O354" s="532"/>
      <c r="P354" s="532"/>
      <c r="R354" s="2000"/>
      <c r="S354" s="2000"/>
      <c r="T354" s="2000"/>
    </row>
    <row r="355" spans="1:20">
      <c r="A355" s="2185" t="s">
        <v>4140</v>
      </c>
      <c r="B355" s="2184">
        <v>0.30685489442855302</v>
      </c>
      <c r="C355" s="2184">
        <v>0.28808041709745402</v>
      </c>
      <c r="D355" s="1378">
        <v>0.27276287590711101</v>
      </c>
      <c r="E355" s="1378">
        <v>0.26190767275360499</v>
      </c>
      <c r="F355" s="1378">
        <v>0.25020661776768899</v>
      </c>
      <c r="G355" s="1378"/>
      <c r="H355" s="1378"/>
      <c r="N355" s="532"/>
      <c r="O355" s="532"/>
      <c r="P355" s="532"/>
      <c r="R355" s="2000"/>
      <c r="S355" s="2000"/>
      <c r="T355" s="2000"/>
    </row>
    <row r="356" spans="1:20">
      <c r="A356" s="2185" t="s">
        <v>4141</v>
      </c>
      <c r="B356" s="2184">
        <v>7.2138214284916596E-2</v>
      </c>
      <c r="C356" s="2184">
        <v>6.7507219057567472E-2</v>
      </c>
      <c r="D356" s="1378">
        <v>6.120204054935674E-2</v>
      </c>
      <c r="E356" s="1378">
        <v>5.4404232951077165E-2</v>
      </c>
      <c r="F356" s="1378">
        <v>5.3388642782205252E-2</v>
      </c>
      <c r="G356" s="1378"/>
      <c r="H356" s="1378"/>
      <c r="N356" s="532"/>
      <c r="O356" s="532"/>
      <c r="P356" s="532"/>
      <c r="R356" s="2000"/>
      <c r="S356" s="2000"/>
      <c r="T356" s="2000"/>
    </row>
    <row r="357" spans="1:20">
      <c r="A357" s="2185" t="s">
        <v>4142</v>
      </c>
      <c r="B357" s="2184">
        <v>0.54888914682689161</v>
      </c>
      <c r="C357" s="2184">
        <v>0.5172570665411812</v>
      </c>
      <c r="D357" s="1378">
        <v>0.48798244270263469</v>
      </c>
      <c r="E357" s="1378">
        <v>0.46334633196577735</v>
      </c>
      <c r="F357" s="1378">
        <v>0.44389896085346059</v>
      </c>
      <c r="G357" s="1378"/>
      <c r="H357" s="1378"/>
      <c r="N357" s="532"/>
      <c r="O357" s="532"/>
      <c r="P357" s="532"/>
      <c r="R357" s="2000"/>
      <c r="S357" s="2000"/>
      <c r="T357" s="2000"/>
    </row>
    <row r="358" spans="1:20">
      <c r="A358" s="2185" t="s">
        <v>4143</v>
      </c>
      <c r="B358" s="2184">
        <v>0.58939528082609782</v>
      </c>
      <c r="C358" s="2184">
        <v>0.55548966176020231</v>
      </c>
      <c r="D358" s="1378">
        <v>0.52454837251513409</v>
      </c>
      <c r="E358" s="1378">
        <v>0.4983031938045378</v>
      </c>
      <c r="F358" s="1378">
        <v>0.47709505870338764</v>
      </c>
      <c r="G358" s="1378"/>
      <c r="H358" s="1378"/>
      <c r="N358" s="532"/>
      <c r="O358" s="532"/>
      <c r="P358" s="532"/>
      <c r="R358" s="2000"/>
      <c r="S358" s="2000"/>
      <c r="T358" s="2000"/>
    </row>
    <row r="359" spans="1:20">
      <c r="A359" s="2185" t="s">
        <v>4144</v>
      </c>
      <c r="B359" s="2184">
        <v>0.62762787604511894</v>
      </c>
      <c r="C359" s="2184">
        <v>0.59205559157270149</v>
      </c>
      <c r="D359" s="1378">
        <v>0.55950523435389454</v>
      </c>
      <c r="E359" s="1378">
        <v>0.53149929165446474</v>
      </c>
      <c r="F359" s="1378">
        <v>0.50883029597861285</v>
      </c>
      <c r="G359" s="1378"/>
      <c r="H359" s="1378"/>
      <c r="N359" s="532"/>
      <c r="O359" s="532"/>
      <c r="P359" s="532"/>
      <c r="R359" s="2000"/>
      <c r="S359" s="2000"/>
      <c r="T359" s="2000"/>
    </row>
    <row r="360" spans="1:20">
      <c r="A360" s="2185" t="s">
        <v>4145</v>
      </c>
      <c r="B360" s="2184">
        <v>0.66419380585761811</v>
      </c>
      <c r="C360" s="2184">
        <v>0.62701245341146206</v>
      </c>
      <c r="D360" s="1378">
        <v>0.59270133220382148</v>
      </c>
      <c r="E360" s="1378">
        <v>0.56323452892968995</v>
      </c>
      <c r="F360" s="1378">
        <v>0.5391689938889529</v>
      </c>
      <c r="G360" s="1378"/>
      <c r="H360" s="1378"/>
      <c r="N360" s="532"/>
      <c r="O360" s="532"/>
      <c r="P360" s="532"/>
      <c r="R360" s="2000"/>
      <c r="S360" s="2000"/>
      <c r="T360" s="2000"/>
    </row>
    <row r="361" spans="1:20">
      <c r="A361" s="2185" t="s">
        <v>4146</v>
      </c>
      <c r="B361" s="2184">
        <v>0.69915066769637857</v>
      </c>
      <c r="C361" s="2184">
        <v>0.66020855126138889</v>
      </c>
      <c r="D361" s="1378">
        <v>0.62443656947904669</v>
      </c>
      <c r="E361" s="1378">
        <v>0.59357322684003</v>
      </c>
      <c r="F361" s="1378">
        <v>0.5681726401192958</v>
      </c>
      <c r="G361" s="1378"/>
      <c r="H361" s="1378"/>
      <c r="N361" s="532"/>
      <c r="O361" s="532"/>
      <c r="P361" s="532"/>
      <c r="R361" s="2000"/>
      <c r="S361" s="2000"/>
      <c r="T361" s="2000"/>
    </row>
    <row r="362" spans="1:20">
      <c r="A362" s="2185" t="s">
        <v>4147</v>
      </c>
      <c r="B362" s="2184">
        <v>0.73234676554630562</v>
      </c>
      <c r="C362" s="2184">
        <v>0.6919437885366142</v>
      </c>
      <c r="D362" s="1378">
        <v>0.65477526738938663</v>
      </c>
      <c r="E362" s="1378">
        <v>0.62257687307037279</v>
      </c>
      <c r="F362" s="1378">
        <v>0.59590001372049661</v>
      </c>
      <c r="G362" s="1378"/>
      <c r="H362" s="1378"/>
      <c r="N362" s="532"/>
      <c r="O362" s="532"/>
      <c r="P362" s="532"/>
      <c r="R362" s="2000"/>
      <c r="S362" s="2000"/>
      <c r="T362" s="2000"/>
    </row>
    <row r="363" spans="1:20">
      <c r="A363" s="2185" t="s">
        <v>4148</v>
      </c>
      <c r="B363" s="2184">
        <v>0.7640820028215306</v>
      </c>
      <c r="C363" s="2184">
        <v>0.72228248644695414</v>
      </c>
      <c r="D363" s="1378">
        <v>0.68377891361972964</v>
      </c>
      <c r="E363" s="1378">
        <v>0.65030424667157394</v>
      </c>
      <c r="F363" s="1378">
        <v>0.62240730449259396</v>
      </c>
      <c r="G363" s="1378"/>
      <c r="H363" s="1378"/>
      <c r="N363" s="532"/>
      <c r="O363" s="532"/>
      <c r="P363" s="532"/>
      <c r="R363" s="2000"/>
      <c r="S363" s="2000"/>
      <c r="T363" s="2000"/>
    </row>
    <row r="364" spans="1:20">
      <c r="A364" s="2185" t="s">
        <v>4149</v>
      </c>
      <c r="B364" s="2184">
        <v>0.79442070073187065</v>
      </c>
      <c r="C364" s="2184">
        <v>0.75128613267729694</v>
      </c>
      <c r="D364" s="1378">
        <v>0.71150628722093046</v>
      </c>
      <c r="E364" s="1378">
        <v>0.67681153744367106</v>
      </c>
      <c r="F364" s="1378">
        <v>0.64780794197827851</v>
      </c>
      <c r="G364" s="1378"/>
      <c r="H364" s="1378"/>
      <c r="N364" s="532"/>
      <c r="O364" s="532"/>
      <c r="P364" s="532"/>
      <c r="R364" s="2000"/>
      <c r="S364" s="2000"/>
      <c r="T364" s="2000"/>
    </row>
    <row r="365" spans="1:20">
      <c r="A365" s="2185" t="s">
        <v>4150</v>
      </c>
      <c r="B365" s="2184">
        <v>0.82342434696221356</v>
      </c>
      <c r="C365" s="2184">
        <v>0.77901350627849797</v>
      </c>
      <c r="D365" s="1378">
        <v>0.73801357799302758</v>
      </c>
      <c r="E365" s="1378">
        <v>0.70221217492935539</v>
      </c>
      <c r="F365" s="1378">
        <v>0.67209084408780628</v>
      </c>
      <c r="G365" s="1378"/>
      <c r="H365" s="1378"/>
      <c r="N365" s="532"/>
      <c r="O365" s="532"/>
      <c r="P365" s="532"/>
      <c r="R365" s="2000"/>
      <c r="S365" s="2000"/>
      <c r="T365" s="2000"/>
    </row>
    <row r="366" spans="1:20">
      <c r="A366" s="2185" t="s">
        <v>4151</v>
      </c>
      <c r="B366" s="2184">
        <v>0.8511517205634147</v>
      </c>
      <c r="C366" s="2184">
        <v>0.80552079705059532</v>
      </c>
      <c r="D366" s="1378">
        <v>0.76341421547871224</v>
      </c>
      <c r="E366" s="1378">
        <v>0.72649507703888339</v>
      </c>
      <c r="F366" s="1378">
        <v>0.69530522118909577</v>
      </c>
      <c r="G366" s="1378"/>
      <c r="H366" s="1378"/>
      <c r="N366" s="532"/>
      <c r="O366" s="532"/>
      <c r="P366" s="532"/>
      <c r="R366" s="2000"/>
      <c r="S366" s="2000"/>
      <c r="T366" s="2000"/>
    </row>
    <row r="367" spans="1:20">
      <c r="A367" s="2185" t="s">
        <v>4152</v>
      </c>
      <c r="B367" s="2184">
        <v>0.13964543334248405</v>
      </c>
      <c r="C367" s="2184">
        <v>0.12870925960692423</v>
      </c>
      <c r="D367" s="1378">
        <v>0.11560627350043388</v>
      </c>
      <c r="E367" s="1378">
        <v>0.10779287573328242</v>
      </c>
      <c r="F367" s="1378">
        <v>0.106359324207235</v>
      </c>
      <c r="G367" s="1378"/>
      <c r="H367" s="1378"/>
      <c r="N367" s="532"/>
      <c r="O367" s="532"/>
      <c r="P367" s="532"/>
      <c r="R367" s="2000"/>
      <c r="S367" s="2000"/>
      <c r="T367" s="2000"/>
    </row>
    <row r="368" spans="1:20">
      <c r="A368" s="2185" t="s">
        <v>4153</v>
      </c>
      <c r="B368" s="2184">
        <v>0.87765901133551172</v>
      </c>
      <c r="C368" s="2184">
        <v>0.83092143453627987</v>
      </c>
      <c r="D368" s="1378">
        <v>0.78769711758824024</v>
      </c>
      <c r="E368" s="1378">
        <v>0.74970945414017276</v>
      </c>
      <c r="F368" s="1378">
        <v>0.71749811594007828</v>
      </c>
      <c r="G368" s="1378"/>
      <c r="H368" s="1378"/>
      <c r="N368" s="532"/>
      <c r="O368" s="532"/>
      <c r="P368" s="532"/>
      <c r="R368" s="2000"/>
      <c r="S368" s="2000"/>
      <c r="T368" s="2000"/>
    </row>
    <row r="369" spans="1:20">
      <c r="A369" s="2185" t="s">
        <v>4154</v>
      </c>
      <c r="B369" s="2184">
        <v>0.9030596488211966</v>
      </c>
      <c r="C369" s="2184">
        <v>0.85520433664580753</v>
      </c>
      <c r="D369" s="1378">
        <v>0.81091149468952972</v>
      </c>
      <c r="E369" s="1378">
        <v>0.77190234889115572</v>
      </c>
      <c r="F369" s="1378">
        <v>0.73871449882671758</v>
      </c>
      <c r="G369" s="1378"/>
      <c r="H369" s="1378"/>
      <c r="N369" s="532"/>
      <c r="O369" s="532"/>
      <c r="P369" s="532"/>
      <c r="R369" s="2000"/>
      <c r="S369" s="2000"/>
      <c r="T369" s="2000"/>
    </row>
    <row r="370" spans="1:20">
      <c r="A370" s="2185" t="s">
        <v>4155</v>
      </c>
      <c r="B370" s="2184">
        <v>0.92734255093072415</v>
      </c>
      <c r="C370" s="2184">
        <v>0.87841871374709724</v>
      </c>
      <c r="D370" s="1378">
        <v>0.83310438944051257</v>
      </c>
      <c r="E370" s="1378">
        <v>0.79311873177779457</v>
      </c>
      <c r="F370" s="1378">
        <v>0.7585688717320509</v>
      </c>
      <c r="G370" s="1378"/>
      <c r="H370" s="1378"/>
      <c r="N370" s="532"/>
      <c r="O370" s="532"/>
      <c r="P370" s="532"/>
      <c r="R370" s="2000"/>
      <c r="S370" s="2000"/>
      <c r="T370" s="2000"/>
    </row>
    <row r="371" spans="1:20">
      <c r="A371" s="2185" t="s">
        <v>4156</v>
      </c>
      <c r="B371" s="2184">
        <v>0.95055692803201364</v>
      </c>
      <c r="C371" s="2184">
        <v>0.90061160849807975</v>
      </c>
      <c r="D371" s="1378">
        <v>0.85432077232715153</v>
      </c>
      <c r="E371" s="1378">
        <v>0.812973104683128</v>
      </c>
      <c r="F371" s="1378">
        <v>0.77714867044563274</v>
      </c>
      <c r="G371" s="1378"/>
      <c r="H371" s="1378"/>
      <c r="N371" s="532"/>
      <c r="O371" s="532"/>
      <c r="P371" s="532"/>
      <c r="R371" s="2000"/>
      <c r="S371" s="2000"/>
      <c r="T371" s="2000"/>
    </row>
    <row r="372" spans="1:20">
      <c r="A372" s="2185" t="s">
        <v>4157</v>
      </c>
      <c r="B372" s="2184">
        <v>0.97274982278299627</v>
      </c>
      <c r="C372" s="2184">
        <v>0.92182799138471894</v>
      </c>
      <c r="D372" s="1378">
        <v>0.87417514523248485</v>
      </c>
      <c r="E372" s="1378">
        <v>0.83155290339670973</v>
      </c>
      <c r="F372" s="1378">
        <v>0.79453571771643672</v>
      </c>
      <c r="G372" s="1378"/>
      <c r="H372" s="1378"/>
      <c r="N372" s="532"/>
      <c r="O372" s="532"/>
      <c r="P372" s="532"/>
      <c r="R372" s="2000"/>
      <c r="S372" s="2000"/>
      <c r="T372" s="2000"/>
    </row>
    <row r="373" spans="1:20">
      <c r="A373" s="2185" t="s">
        <v>4158</v>
      </c>
      <c r="B373" s="2184">
        <v>0.99396620566963578</v>
      </c>
      <c r="C373" s="2184">
        <v>0.94168236429005203</v>
      </c>
      <c r="D373" s="1378">
        <v>0.89275494394606625</v>
      </c>
      <c r="E373" s="1378">
        <v>0.84893995066751393</v>
      </c>
      <c r="F373" s="1378">
        <v>0.81080658358842306</v>
      </c>
      <c r="G373" s="1378"/>
      <c r="H373" s="1378"/>
      <c r="N373" s="532"/>
      <c r="O373" s="532"/>
      <c r="P373" s="532"/>
      <c r="R373" s="2000"/>
      <c r="S373" s="2000"/>
      <c r="T373" s="2000"/>
    </row>
    <row r="374" spans="1:20">
      <c r="A374" s="2185" t="s">
        <v>4159</v>
      </c>
      <c r="B374" s="2184">
        <v>0.20084747389184082</v>
      </c>
      <c r="C374" s="2184">
        <v>0.18311349255800136</v>
      </c>
      <c r="D374" s="1378">
        <v>0.16899491628263913</v>
      </c>
      <c r="E374" s="1378">
        <v>0.16076355715831214</v>
      </c>
      <c r="F374" s="1378">
        <v>0.15779201284663077</v>
      </c>
      <c r="G374" s="1378"/>
      <c r="H374" s="1378"/>
      <c r="N374" s="532"/>
      <c r="O374" s="532"/>
      <c r="P374" s="532"/>
      <c r="R374" s="2000"/>
      <c r="S374" s="2000"/>
      <c r="T374" s="2000"/>
    </row>
    <row r="375" spans="1:20">
      <c r="A375" s="2185" t="s">
        <v>4160</v>
      </c>
      <c r="B375" s="2184">
        <v>0.25525170684291792</v>
      </c>
      <c r="C375" s="2184">
        <v>0.23650213534020664</v>
      </c>
      <c r="D375" s="1378">
        <v>0.22196559770766888</v>
      </c>
      <c r="E375" s="1378">
        <v>0.21219624579770791</v>
      </c>
      <c r="F375" s="1378">
        <v>0.20601907234360284</v>
      </c>
      <c r="G375" s="1378"/>
      <c r="H375" s="1378"/>
      <c r="N375" s="532"/>
      <c r="O375" s="532"/>
      <c r="P375" s="532"/>
      <c r="R375" s="2000"/>
      <c r="S375" s="2000"/>
      <c r="T375" s="2000"/>
    </row>
    <row r="376" spans="1:20">
      <c r="A376" s="2185" t="s">
        <v>4161</v>
      </c>
      <c r="B376" s="2184">
        <v>0.30864034962512327</v>
      </c>
      <c r="C376" s="2184">
        <v>0.28947281676523634</v>
      </c>
      <c r="D376" s="1378">
        <v>0.27339828634706465</v>
      </c>
      <c r="E376" s="1378">
        <v>0.26042330529468</v>
      </c>
      <c r="F376" s="1378">
        <v>0.25113596682435069</v>
      </c>
      <c r="G376" s="1378"/>
      <c r="H376" s="1378"/>
      <c r="N376" s="532"/>
      <c r="O376" s="532"/>
      <c r="P376" s="532"/>
      <c r="R376" s="2000"/>
      <c r="S376" s="2000"/>
      <c r="T376" s="2000"/>
    </row>
    <row r="377" spans="1:20">
      <c r="A377" s="2185" t="s">
        <v>4162</v>
      </c>
      <c r="B377" s="2184">
        <v>0.36161103105015302</v>
      </c>
      <c r="C377" s="2184">
        <v>0.34090550540463205</v>
      </c>
      <c r="D377" s="1378">
        <v>0.32162534584403668</v>
      </c>
      <c r="E377" s="1378">
        <v>0.30554019977542801</v>
      </c>
      <c r="F377" s="1378">
        <v>0.29363743998397362</v>
      </c>
      <c r="G377" s="1378"/>
      <c r="H377" s="1378"/>
      <c r="N377" s="532"/>
      <c r="O377" s="532"/>
      <c r="P377" s="532"/>
      <c r="R377" s="2000"/>
      <c r="S377" s="2000"/>
      <c r="T377" s="2000"/>
    </row>
    <row r="378" spans="1:20">
      <c r="A378" s="2185" t="s">
        <v>4163</v>
      </c>
      <c r="B378" s="2184">
        <v>0.41304371968954873</v>
      </c>
      <c r="C378" s="2184">
        <v>0.38913256490160414</v>
      </c>
      <c r="D378" s="1378">
        <v>0.36674224032478464</v>
      </c>
      <c r="E378" s="1378">
        <v>0.34804167293505067</v>
      </c>
      <c r="F378" s="1378">
        <v>0.33414357398318001</v>
      </c>
      <c r="G378" s="1378"/>
      <c r="H378" s="1378"/>
      <c r="N378" s="532"/>
      <c r="O378" s="532"/>
      <c r="P378" s="532"/>
      <c r="R378" s="2000"/>
      <c r="S378" s="2000"/>
      <c r="T378" s="2000"/>
    </row>
    <row r="379" spans="1:20">
      <c r="A379" s="2185" t="s">
        <v>4164</v>
      </c>
      <c r="B379" s="2184">
        <v>0.46127077918652071</v>
      </c>
      <c r="C379" s="2184">
        <v>0.43424945938235215</v>
      </c>
      <c r="D379" s="1378">
        <v>0.40924371348440758</v>
      </c>
      <c r="E379" s="1378">
        <v>0.38854780693425706</v>
      </c>
      <c r="F379" s="1378">
        <v>0.3723761692022009</v>
      </c>
      <c r="G379" s="1378"/>
      <c r="H379" s="1378"/>
      <c r="N379" s="532"/>
      <c r="O379" s="532"/>
      <c r="P379" s="532"/>
      <c r="R379" s="2000"/>
      <c r="S379" s="2000"/>
      <c r="T379" s="2000"/>
    </row>
    <row r="380" spans="1:20">
      <c r="A380" s="2185" t="s">
        <v>4165</v>
      </c>
      <c r="B380" s="2184">
        <v>0.50638767366726878</v>
      </c>
      <c r="C380" s="2184">
        <v>0.47675093254197498</v>
      </c>
      <c r="D380" s="1378">
        <v>0.44974984748361391</v>
      </c>
      <c r="E380" s="1378">
        <v>0.42678040215327817</v>
      </c>
      <c r="F380" s="1378">
        <v>0.4089420990147003</v>
      </c>
      <c r="G380" s="1378"/>
      <c r="H380" s="1378"/>
      <c r="N380" s="532"/>
      <c r="O380" s="532"/>
      <c r="P380" s="532"/>
      <c r="R380" s="2000"/>
      <c r="S380" s="2000"/>
      <c r="T380" s="2000"/>
    </row>
    <row r="381" spans="1:20">
      <c r="A381" s="2185" t="s">
        <v>4166</v>
      </c>
      <c r="B381" s="2184">
        <v>5.2467220237808899E-2</v>
      </c>
      <c r="C381" s="2184">
        <v>4.65232797959566E-2</v>
      </c>
      <c r="D381" s="1378">
        <v>4.0017866344826701E-2</v>
      </c>
      <c r="E381" s="1378">
        <v>3.9846887800983798E-2</v>
      </c>
      <c r="F381" s="1378">
        <v>4.0243634649090303E-2</v>
      </c>
      <c r="G381" s="1378"/>
      <c r="H381" s="1378"/>
      <c r="N381" s="532"/>
      <c r="O381" s="532"/>
      <c r="P381" s="532"/>
      <c r="R381" s="2000"/>
      <c r="S381" s="2000"/>
      <c r="T381" s="2000"/>
    </row>
    <row r="382" spans="1:20">
      <c r="A382" s="2185" t="s">
        <v>4167</v>
      </c>
      <c r="B382" s="2184">
        <v>0.39134530228154202</v>
      </c>
      <c r="C382" s="2184">
        <v>0.367362708473638</v>
      </c>
      <c r="D382" s="1378">
        <v>0.34810699230907199</v>
      </c>
      <c r="E382" s="1378">
        <v>0.334175195976466</v>
      </c>
      <c r="F382" s="1378">
        <v>0.31904221934323401</v>
      </c>
      <c r="G382" s="1378"/>
      <c r="H382" s="1378"/>
      <c r="N382" s="532"/>
      <c r="O382" s="532"/>
      <c r="P382" s="532"/>
      <c r="R382" s="2000"/>
      <c r="S382" s="2000"/>
      <c r="T382" s="2000"/>
    </row>
    <row r="383" spans="1:20">
      <c r="A383" s="2185" t="s">
        <v>4168</v>
      </c>
      <c r="B383" s="2184">
        <v>0.41982992871144598</v>
      </c>
      <c r="C383" s="2184">
        <v>0.39463027210502899</v>
      </c>
      <c r="D383" s="1378">
        <v>0.37419306232129301</v>
      </c>
      <c r="E383" s="1378">
        <v>0.35888910714421801</v>
      </c>
      <c r="F383" s="1378">
        <v>0.34268528572469897</v>
      </c>
      <c r="G383" s="1378"/>
      <c r="H383" s="1378"/>
      <c r="N383" s="532"/>
      <c r="O383" s="532"/>
      <c r="P383" s="532"/>
      <c r="R383" s="2000"/>
      <c r="S383" s="2000"/>
      <c r="T383" s="2000"/>
    </row>
    <row r="384" spans="1:20">
      <c r="A384" s="2185" t="s">
        <v>4169</v>
      </c>
      <c r="B384" s="2184">
        <v>0.44709749234283802</v>
      </c>
      <c r="C384" s="2184">
        <v>0.42071634211725001</v>
      </c>
      <c r="D384" s="1378">
        <v>0.39890697348904502</v>
      </c>
      <c r="E384" s="1378">
        <v>0.38253217352568297</v>
      </c>
      <c r="F384" s="1378">
        <v>0.36530390663516499</v>
      </c>
      <c r="G384" s="1378"/>
      <c r="H384" s="1378"/>
      <c r="N384" s="532"/>
      <c r="O384" s="532"/>
      <c r="P384" s="532"/>
      <c r="R384" s="2000"/>
      <c r="S384" s="2000"/>
      <c r="T384" s="2000"/>
    </row>
    <row r="385" spans="1:20">
      <c r="A385" s="2185" t="s">
        <v>4170</v>
      </c>
      <c r="B385" s="2184">
        <v>0.47318356235505799</v>
      </c>
      <c r="C385" s="2184">
        <v>0.44543025328500102</v>
      </c>
      <c r="D385" s="1378">
        <v>0.42255003987050899</v>
      </c>
      <c r="E385" s="1378">
        <v>0.40515079443614899</v>
      </c>
      <c r="F385" s="1378">
        <v>0.38694247092446099</v>
      </c>
      <c r="G385" s="1378"/>
      <c r="H385" s="1378"/>
      <c r="N385" s="532"/>
      <c r="O385" s="532"/>
      <c r="P385" s="532"/>
      <c r="R385" s="2000"/>
      <c r="S385" s="2000"/>
      <c r="T385" s="2000"/>
    </row>
    <row r="386" spans="1:20">
      <c r="A386" s="2185" t="s">
        <v>4171</v>
      </c>
      <c r="B386" s="2184">
        <v>0.49789747352281</v>
      </c>
      <c r="C386" s="2184">
        <v>0.46907331966646598</v>
      </c>
      <c r="D386" s="1378">
        <v>0.445168660780976</v>
      </c>
      <c r="E386" s="1378">
        <v>0.42678935872544499</v>
      </c>
      <c r="F386" s="1378">
        <v>0.407643444089686</v>
      </c>
      <c r="G386" s="1378"/>
      <c r="H386" s="1378"/>
      <c r="N386" s="532"/>
      <c r="O386" s="532"/>
      <c r="P386" s="532"/>
      <c r="R386" s="2000"/>
      <c r="S386" s="2000"/>
      <c r="T386" s="2000"/>
    </row>
    <row r="387" spans="1:20">
      <c r="A387" s="2185" t="s">
        <v>4172</v>
      </c>
      <c r="B387" s="2184">
        <v>0.52154053990427496</v>
      </c>
      <c r="C387" s="2184">
        <v>0.491691940576932</v>
      </c>
      <c r="D387" s="1378">
        <v>0.466807225070271</v>
      </c>
      <c r="E387" s="1378">
        <v>0.44749033189067</v>
      </c>
      <c r="F387" s="1378">
        <v>0.42744745161339198</v>
      </c>
      <c r="G387" s="1378"/>
      <c r="H387" s="1378"/>
      <c r="N387" s="532"/>
      <c r="O387" s="532"/>
      <c r="P387" s="532"/>
      <c r="R387" s="2000"/>
      <c r="S387" s="2000"/>
      <c r="T387" s="2000"/>
    </row>
    <row r="388" spans="1:20">
      <c r="A388" s="2185" t="s">
        <v>4173</v>
      </c>
      <c r="B388" s="2184">
        <v>0.54415916081474103</v>
      </c>
      <c r="C388" s="2184">
        <v>0.513330504866228</v>
      </c>
      <c r="D388" s="1378">
        <v>0.48750819823549701</v>
      </c>
      <c r="E388" s="1378">
        <v>0.46729433941437498</v>
      </c>
      <c r="F388" s="1378">
        <v>0.44639335869073599</v>
      </c>
      <c r="G388" s="1378"/>
      <c r="H388" s="1378"/>
      <c r="N388" s="532"/>
      <c r="O388" s="532"/>
      <c r="P388" s="532"/>
      <c r="R388" s="2000"/>
      <c r="S388" s="2000"/>
      <c r="T388" s="2000"/>
    </row>
    <row r="389" spans="1:20">
      <c r="A389" s="2185" t="s">
        <v>4174</v>
      </c>
      <c r="B389" s="2184">
        <v>0.56579772510403703</v>
      </c>
      <c r="C389" s="2184">
        <v>0.53403147803145301</v>
      </c>
      <c r="D389" s="1378">
        <v>0.507312205759202</v>
      </c>
      <c r="E389" s="1378">
        <v>0.48624024649171999</v>
      </c>
      <c r="F389" s="1378">
        <v>0.464518346502103</v>
      </c>
      <c r="G389" s="1378"/>
      <c r="H389" s="1378"/>
      <c r="N389" s="532"/>
      <c r="O389" s="532"/>
      <c r="P389" s="532"/>
      <c r="R389" s="2000"/>
      <c r="S389" s="2000"/>
      <c r="T389" s="2000"/>
    </row>
    <row r="390" spans="1:20">
      <c r="A390" s="2185" t="s">
        <v>4175</v>
      </c>
      <c r="B390" s="2184">
        <v>0.58649869826926204</v>
      </c>
      <c r="C390" s="2184">
        <v>0.55383548555515805</v>
      </c>
      <c r="D390" s="1378">
        <v>0.526258112836546</v>
      </c>
      <c r="E390" s="1378">
        <v>0.504365234303087</v>
      </c>
      <c r="F390" s="1378">
        <v>0.48185798518084699</v>
      </c>
      <c r="G390" s="1378"/>
      <c r="H390" s="1378"/>
      <c r="N390" s="532"/>
      <c r="O390" s="532"/>
      <c r="P390" s="532"/>
      <c r="R390" s="2000"/>
      <c r="S390" s="2000"/>
      <c r="T390" s="2000"/>
    </row>
    <row r="391" spans="1:20">
      <c r="A391" s="2185" t="s">
        <v>4176</v>
      </c>
      <c r="B391" s="2184">
        <v>0.60630270579296697</v>
      </c>
      <c r="C391" s="2184">
        <v>0.57278139263250305</v>
      </c>
      <c r="D391" s="1378">
        <v>0.54438310064791395</v>
      </c>
      <c r="E391" s="1378">
        <v>0.52170487298183099</v>
      </c>
      <c r="F391" s="1378">
        <v>0.49844630361937398</v>
      </c>
      <c r="G391" s="1378"/>
      <c r="H391" s="1378"/>
      <c r="N391" s="532"/>
      <c r="O391" s="532"/>
      <c r="P391" s="532"/>
      <c r="R391" s="2000"/>
      <c r="S391" s="2000"/>
      <c r="T391" s="2000"/>
    </row>
    <row r="392" spans="1:20">
      <c r="A392" s="2185" t="s">
        <v>4177</v>
      </c>
      <c r="B392" s="2184">
        <v>9.8990500033765402E-2</v>
      </c>
      <c r="C392" s="2184">
        <v>8.6541146140783204E-2</v>
      </c>
      <c r="D392" s="1378">
        <v>7.9864754145810402E-2</v>
      </c>
      <c r="E392" s="1378">
        <v>8.0090522450074003E-2</v>
      </c>
      <c r="F392" s="1378">
        <v>7.9626937968155495E-2</v>
      </c>
      <c r="G392" s="1378"/>
      <c r="H392" s="1378"/>
      <c r="N392" s="532"/>
      <c r="O392" s="532"/>
      <c r="P392" s="532"/>
      <c r="R392" s="2000"/>
      <c r="S392" s="2000"/>
      <c r="T392" s="2000"/>
    </row>
    <row r="393" spans="1:20">
      <c r="A393" s="2185" t="s">
        <v>4178</v>
      </c>
      <c r="B393" s="2184">
        <v>0.62524861287031197</v>
      </c>
      <c r="C393" s="2184">
        <v>0.59090638044387001</v>
      </c>
      <c r="D393" s="1378">
        <v>0.56172273932665695</v>
      </c>
      <c r="E393" s="1378">
        <v>0.53829319142035803</v>
      </c>
      <c r="F393" s="1378">
        <v>0.51431585625055498</v>
      </c>
      <c r="G393" s="1378"/>
      <c r="H393" s="1378"/>
      <c r="N393" s="532"/>
      <c r="O393" s="532"/>
      <c r="P393" s="532"/>
      <c r="R393" s="2000"/>
      <c r="S393" s="2000"/>
      <c r="T393" s="2000"/>
    </row>
    <row r="394" spans="1:20">
      <c r="A394" s="2185" t="s">
        <v>4179</v>
      </c>
      <c r="B394" s="2184">
        <v>0.64337360068167904</v>
      </c>
      <c r="C394" s="2184">
        <v>0.608246019122614</v>
      </c>
      <c r="D394" s="1378">
        <v>0.57831105776518499</v>
      </c>
      <c r="E394" s="1378">
        <v>0.55416274405153898</v>
      </c>
      <c r="F394" s="1378">
        <v>0.52949778693551897</v>
      </c>
      <c r="G394" s="1378"/>
      <c r="H394" s="1378"/>
      <c r="N394" s="532"/>
      <c r="O394" s="532"/>
      <c r="P394" s="532"/>
      <c r="R394" s="2000"/>
      <c r="S394" s="2000"/>
      <c r="T394" s="2000"/>
    </row>
    <row r="395" spans="1:20">
      <c r="A395" s="2185" t="s">
        <v>4180</v>
      </c>
      <c r="B395" s="2184">
        <v>0.66071323936042303</v>
      </c>
      <c r="C395" s="2184">
        <v>0.62483433756114104</v>
      </c>
      <c r="D395" s="1378">
        <v>0.59418061039636605</v>
      </c>
      <c r="E395" s="1378">
        <v>0.56934467473650197</v>
      </c>
      <c r="F395" s="1378">
        <v>0.54370509620462204</v>
      </c>
      <c r="G395" s="1378"/>
      <c r="H395" s="1378"/>
      <c r="N395" s="532"/>
      <c r="O395" s="532"/>
      <c r="P395" s="532"/>
      <c r="R395" s="2000"/>
      <c r="S395" s="2000"/>
      <c r="T395" s="2000"/>
    </row>
    <row r="396" spans="1:20">
      <c r="A396" s="2185" t="s">
        <v>4181</v>
      </c>
      <c r="B396" s="2184">
        <v>0.67730155779894996</v>
      </c>
      <c r="C396" s="2184">
        <v>0.64070389019232199</v>
      </c>
      <c r="D396" s="1378">
        <v>0.60936254108132903</v>
      </c>
      <c r="E396" s="1378">
        <v>0.58355198400560504</v>
      </c>
      <c r="F396" s="1378">
        <v>0.55700035099509804</v>
      </c>
      <c r="G396" s="1378"/>
      <c r="H396" s="1378"/>
      <c r="N396" s="532"/>
      <c r="O396" s="532"/>
      <c r="P396" s="532"/>
      <c r="R396" s="2000"/>
      <c r="S396" s="2000"/>
      <c r="T396" s="2000"/>
    </row>
    <row r="397" spans="1:20">
      <c r="A397" s="2185" t="s">
        <v>4182</v>
      </c>
      <c r="B397" s="2184">
        <v>0.69317111043013102</v>
      </c>
      <c r="C397" s="2184">
        <v>0.65588582087728597</v>
      </c>
      <c r="D397" s="1378">
        <v>0.623569850350432</v>
      </c>
      <c r="E397" s="1378">
        <v>0.59684723879608204</v>
      </c>
      <c r="F397" s="1378">
        <v>0.56944210168803799</v>
      </c>
      <c r="G397" s="1378"/>
      <c r="H397" s="1378"/>
      <c r="N397" s="532"/>
      <c r="O397" s="532"/>
      <c r="P397" s="532"/>
      <c r="R397" s="2000"/>
      <c r="S397" s="2000"/>
      <c r="T397" s="2000"/>
    </row>
    <row r="398" spans="1:20">
      <c r="A398" s="2185" t="s">
        <v>4183</v>
      </c>
      <c r="B398" s="2184">
        <v>0.70835304111509401</v>
      </c>
      <c r="C398" s="2184">
        <v>0.67009313014638905</v>
      </c>
      <c r="D398" s="1378">
        <v>0.63686510514090799</v>
      </c>
      <c r="E398" s="1378">
        <v>0.60928898948902199</v>
      </c>
      <c r="F398" s="1378">
        <v>0.58108513995581001</v>
      </c>
      <c r="G398" s="1378"/>
      <c r="H398" s="1378"/>
      <c r="N398" s="532"/>
      <c r="O398" s="532"/>
      <c r="P398" s="532"/>
      <c r="R398" s="2000"/>
      <c r="S398" s="2000"/>
      <c r="T398" s="2000"/>
    </row>
    <row r="399" spans="1:20">
      <c r="A399" s="2185" t="s">
        <v>4184</v>
      </c>
      <c r="B399" s="2184">
        <v>0.72256035038419797</v>
      </c>
      <c r="C399" s="2184">
        <v>0.68338838493686505</v>
      </c>
      <c r="D399" s="1378">
        <v>0.64930685583384895</v>
      </c>
      <c r="E399" s="1378">
        <v>0.62093202775679401</v>
      </c>
      <c r="F399" s="1378">
        <v>0.59198074005666301</v>
      </c>
      <c r="G399" s="1378"/>
      <c r="H399" s="1378"/>
      <c r="N399" s="532"/>
      <c r="O399" s="532"/>
      <c r="P399" s="532"/>
      <c r="R399" s="2000"/>
      <c r="S399" s="2000"/>
      <c r="T399" s="2000"/>
    </row>
    <row r="400" spans="1:20">
      <c r="A400" s="2185" t="s">
        <v>4185</v>
      </c>
      <c r="B400" s="2184">
        <v>0.73585560517467397</v>
      </c>
      <c r="C400" s="2184">
        <v>0.695830135629805</v>
      </c>
      <c r="D400" s="1378">
        <v>0.66094989410161997</v>
      </c>
      <c r="E400" s="1378">
        <v>0.63182762785764701</v>
      </c>
      <c r="F400" s="1378">
        <v>0.60217688463915697</v>
      </c>
      <c r="G400" s="1378"/>
      <c r="H400" s="1378"/>
      <c r="N400" s="532"/>
      <c r="O400" s="532"/>
      <c r="P400" s="532"/>
      <c r="R400" s="2000"/>
      <c r="S400" s="2000"/>
      <c r="T400" s="2000"/>
    </row>
    <row r="401" spans="1:20">
      <c r="A401" s="2185" t="s">
        <v>4186</v>
      </c>
      <c r="B401" s="2184">
        <v>0.74829735586761403</v>
      </c>
      <c r="C401" s="2184">
        <v>0.70747317389757702</v>
      </c>
      <c r="D401" s="1378">
        <v>0.67184549420247297</v>
      </c>
      <c r="E401" s="1378">
        <v>0.64202377244013997</v>
      </c>
      <c r="F401" s="1378">
        <v>0.61171847605081098</v>
      </c>
      <c r="G401" s="1378"/>
      <c r="H401" s="1378"/>
      <c r="N401" s="532"/>
      <c r="O401" s="532"/>
      <c r="P401" s="532"/>
      <c r="R401" s="2000"/>
      <c r="S401" s="2000"/>
      <c r="T401" s="2000"/>
    </row>
    <row r="402" spans="1:20">
      <c r="A402" s="2185" t="s">
        <v>4187</v>
      </c>
      <c r="B402" s="2184">
        <v>0.75994039413538605</v>
      </c>
      <c r="C402" s="2184">
        <v>0.71836877399843002</v>
      </c>
      <c r="D402" s="1378">
        <v>0.68204163878496704</v>
      </c>
      <c r="E402" s="1378">
        <v>0.65156536385179498</v>
      </c>
      <c r="F402" s="1378">
        <v>0.62064753408155604</v>
      </c>
      <c r="G402" s="1378"/>
      <c r="H402" s="1378"/>
      <c r="N402" s="532"/>
      <c r="O402" s="532"/>
      <c r="P402" s="532"/>
      <c r="R402" s="2000"/>
      <c r="S402" s="2000"/>
      <c r="T402" s="2000"/>
    </row>
    <row r="403" spans="1:20">
      <c r="A403" s="2185" t="s">
        <v>4188</v>
      </c>
      <c r="B403" s="2184">
        <v>0.13900836637859201</v>
      </c>
      <c r="C403" s="2184">
        <v>0.12638803394176701</v>
      </c>
      <c r="D403" s="1378">
        <v>0.120108388794901</v>
      </c>
      <c r="E403" s="1378">
        <v>0.11947382576913899</v>
      </c>
      <c r="F403" s="1378">
        <v>0.116299546254616</v>
      </c>
      <c r="G403" s="1378"/>
      <c r="H403" s="1378"/>
      <c r="N403" s="532"/>
      <c r="O403" s="532"/>
      <c r="P403" s="532"/>
      <c r="R403" s="2000"/>
      <c r="S403" s="2000"/>
      <c r="T403" s="2000"/>
    </row>
    <row r="404" spans="1:20">
      <c r="A404" s="2185" t="s">
        <v>4189</v>
      </c>
      <c r="B404" s="2184">
        <v>0.77083599423623805</v>
      </c>
      <c r="C404" s="2184">
        <v>0.72856491858092398</v>
      </c>
      <c r="D404" s="1378">
        <v>0.69158323019662105</v>
      </c>
      <c r="E404" s="1378">
        <v>0.66049442188254004</v>
      </c>
      <c r="F404" s="1378">
        <v>0.62900338101281705</v>
      </c>
      <c r="G404" s="1378"/>
      <c r="H404" s="1378"/>
      <c r="N404" s="532"/>
      <c r="O404" s="532"/>
      <c r="P404" s="532"/>
      <c r="R404" s="2000"/>
      <c r="S404" s="2000"/>
      <c r="T404" s="2000"/>
    </row>
    <row r="405" spans="1:20">
      <c r="A405" s="2185" t="s">
        <v>4190</v>
      </c>
      <c r="B405" s="2184">
        <v>0.17885525417957601</v>
      </c>
      <c r="C405" s="2184">
        <v>0.16663166859085701</v>
      </c>
      <c r="D405" s="1378">
        <v>0.15949169211396599</v>
      </c>
      <c r="E405" s="1378">
        <v>0.1561464340556</v>
      </c>
      <c r="F405" s="1378">
        <v>0.15030789337018399</v>
      </c>
      <c r="G405" s="1378"/>
      <c r="H405" s="1378"/>
      <c r="N405" s="532"/>
      <c r="O405" s="532"/>
      <c r="P405" s="532"/>
      <c r="R405" s="2000"/>
      <c r="S405" s="2000"/>
      <c r="T405" s="2000"/>
    </row>
    <row r="406" spans="1:20">
      <c r="A406" s="2185" t="s">
        <v>4191</v>
      </c>
      <c r="B406" s="2184">
        <v>0.21909888882866599</v>
      </c>
      <c r="C406" s="2184">
        <v>0.20601497190992199</v>
      </c>
      <c r="D406" s="1378">
        <v>0.19616430040042601</v>
      </c>
      <c r="E406" s="1378">
        <v>0.19015478117116799</v>
      </c>
      <c r="F406" s="1378">
        <v>0.18215711511705801</v>
      </c>
      <c r="G406" s="1378"/>
      <c r="H406" s="1378"/>
      <c r="N406" s="532"/>
      <c r="O406" s="532"/>
      <c r="P406" s="532"/>
      <c r="R406" s="2000"/>
      <c r="S406" s="2000"/>
      <c r="T406" s="2000"/>
    </row>
    <row r="407" spans="1:20">
      <c r="A407" s="1378" t="s">
        <v>4192</v>
      </c>
      <c r="B407" s="2184">
        <v>0.25848219214773099</v>
      </c>
      <c r="C407" s="2184">
        <v>0.24268758019638301</v>
      </c>
      <c r="D407" s="1378">
        <v>0.230172647515995</v>
      </c>
      <c r="E407" s="1378">
        <v>0.22200400291804101</v>
      </c>
      <c r="F407" s="1378">
        <v>0.21249004810196601</v>
      </c>
      <c r="G407" s="1378"/>
      <c r="H407" s="1378"/>
      <c r="N407" s="532"/>
      <c r="O407" s="532"/>
      <c r="P407" s="532"/>
      <c r="R407" s="2000"/>
      <c r="S407" s="2000"/>
      <c r="T407" s="2000"/>
    </row>
    <row r="408" spans="1:20">
      <c r="A408" s="1378" t="s">
        <v>4193</v>
      </c>
      <c r="B408" s="2184">
        <v>0.29515480043419201</v>
      </c>
      <c r="C408" s="2184">
        <v>0.27669592731195097</v>
      </c>
      <c r="D408" s="1378">
        <v>0.26202186926286802</v>
      </c>
      <c r="E408" s="1378">
        <v>0.25233693590294998</v>
      </c>
      <c r="F408" s="1378">
        <v>0.24097467453186999</v>
      </c>
      <c r="G408" s="1378"/>
      <c r="H408" s="1378"/>
      <c r="N408" s="532"/>
      <c r="O408" s="532"/>
      <c r="P408" s="532"/>
      <c r="R408" s="2000"/>
      <c r="S408" s="2000"/>
      <c r="T408" s="2000"/>
    </row>
    <row r="409" spans="1:20">
      <c r="A409" s="1378" t="s">
        <v>4194</v>
      </c>
      <c r="B409" s="2184">
        <v>0.32916314754976</v>
      </c>
      <c r="C409" s="2184">
        <v>0.30854514905882502</v>
      </c>
      <c r="D409" s="1378">
        <v>0.29235480224777699</v>
      </c>
      <c r="E409" s="1378">
        <v>0.28082156233285399</v>
      </c>
      <c r="F409" s="1378">
        <v>0.26824223816326198</v>
      </c>
      <c r="G409" s="1378"/>
      <c r="H409" s="1378"/>
      <c r="N409" s="532"/>
      <c r="O409" s="532"/>
      <c r="P409" s="532"/>
      <c r="R409" s="2000"/>
      <c r="S409" s="2000"/>
      <c r="T409" s="2000"/>
    </row>
    <row r="410" spans="1:20">
      <c r="A410" s="1378" t="s">
        <v>4195</v>
      </c>
      <c r="B410" s="2184">
        <v>0.361012369296633</v>
      </c>
      <c r="C410" s="2184">
        <v>0.33887808204373299</v>
      </c>
      <c r="D410" s="1378">
        <v>0.320839428677681</v>
      </c>
      <c r="E410" s="1378">
        <v>0.30808912596424598</v>
      </c>
      <c r="F410" s="1378">
        <v>0.294328308175483</v>
      </c>
      <c r="G410" s="1378"/>
      <c r="H410" s="1378"/>
      <c r="N410" s="532"/>
      <c r="O410" s="532"/>
      <c r="P410" s="532"/>
      <c r="R410" s="2000"/>
      <c r="S410" s="2000"/>
      <c r="T410" s="2000"/>
    </row>
    <row r="411" spans="1:20">
      <c r="A411" s="1378" t="s">
        <v>4196</v>
      </c>
      <c r="B411" s="2184">
        <v>5.46429232060133E-2</v>
      </c>
      <c r="C411" s="2184">
        <v>5.1135058212627073E-2</v>
      </c>
      <c r="D411" s="1378">
        <v>4.5342036605443128E-2</v>
      </c>
      <c r="E411" s="1378">
        <v>3.9001797995260067E-2</v>
      </c>
      <c r="F411" s="1378">
        <v>3.8835160659550443E-2</v>
      </c>
      <c r="G411" s="1378"/>
      <c r="H411" s="1378"/>
      <c r="N411" s="532"/>
      <c r="O411" s="532"/>
      <c r="P411" s="532"/>
      <c r="R411" s="2000"/>
      <c r="S411" s="2000"/>
      <c r="T411" s="2000"/>
    </row>
    <row r="412" spans="1:20">
      <c r="A412" s="2185" t="s">
        <v>4197</v>
      </c>
      <c r="B412" s="2184">
        <v>0.406489055625258</v>
      </c>
      <c r="C412" s="2184">
        <v>0.38140890107580272</v>
      </c>
      <c r="D412" s="1378">
        <v>0.35803523414817578</v>
      </c>
      <c r="E412" s="1378">
        <v>0.33926842770144661</v>
      </c>
      <c r="F412" s="1378">
        <v>0.32569036480340707</v>
      </c>
      <c r="G412" s="1378"/>
      <c r="H412" s="1378"/>
      <c r="N412" s="532"/>
      <c r="O412" s="532"/>
      <c r="P412" s="532"/>
      <c r="R412" s="2000"/>
      <c r="S412" s="2000"/>
      <c r="T412" s="2000"/>
    </row>
    <row r="413" spans="1:20">
      <c r="A413" s="2185" t="s">
        <v>4198</v>
      </c>
      <c r="B413" s="2184">
        <v>0.4360518242818161</v>
      </c>
      <c r="C413" s="2184">
        <v>0.40917029236080271</v>
      </c>
      <c r="D413" s="1378">
        <v>0.38461046430688972</v>
      </c>
      <c r="E413" s="1378">
        <v>0.36469216279866717</v>
      </c>
      <c r="F413" s="1378">
        <v>0.34977678067405393</v>
      </c>
      <c r="G413" s="1378"/>
      <c r="H413" s="1378"/>
      <c r="N413" s="532"/>
      <c r="O413" s="532"/>
      <c r="P413" s="532"/>
      <c r="R413" s="2000"/>
      <c r="S413" s="2000"/>
      <c r="T413" s="2000"/>
    </row>
    <row r="414" spans="1:20">
      <c r="A414" s="2185" t="s">
        <v>4199</v>
      </c>
      <c r="B414" s="2184">
        <v>0.46381321556681609</v>
      </c>
      <c r="C414" s="2184">
        <v>0.43574552251951687</v>
      </c>
      <c r="D414" s="1378">
        <v>0.41003419940411023</v>
      </c>
      <c r="E414" s="1378">
        <v>0.38877857866931398</v>
      </c>
      <c r="F414" s="1378">
        <v>0.3728195409015142</v>
      </c>
      <c r="G414" s="1378"/>
      <c r="H414" s="1378"/>
      <c r="N414" s="532"/>
      <c r="O414" s="532"/>
      <c r="P414" s="532"/>
      <c r="R414" s="2000"/>
      <c r="S414" s="2000"/>
      <c r="T414" s="2000"/>
    </row>
    <row r="415" spans="1:20">
      <c r="A415" s="2185" t="s">
        <v>4200</v>
      </c>
      <c r="B415" s="2184">
        <v>0.49038844572553025</v>
      </c>
      <c r="C415" s="2184">
        <v>0.46116925761673738</v>
      </c>
      <c r="D415" s="1378">
        <v>0.4341206152747572</v>
      </c>
      <c r="E415" s="1378">
        <v>0.41182133889677436</v>
      </c>
      <c r="F415" s="1378">
        <v>0.39486386670539175</v>
      </c>
      <c r="G415" s="1378"/>
      <c r="H415" s="1378"/>
      <c r="N415" s="532"/>
      <c r="O415" s="532"/>
      <c r="P415" s="532"/>
      <c r="R415" s="2000"/>
      <c r="S415" s="2000"/>
      <c r="T415" s="2000"/>
    </row>
    <row r="416" spans="1:20">
      <c r="A416" s="2185" t="s">
        <v>4201</v>
      </c>
      <c r="B416" s="2184">
        <v>0.5158121808227506</v>
      </c>
      <c r="C416" s="2184">
        <v>0.4852556734873843</v>
      </c>
      <c r="D416" s="1378">
        <v>0.45716337550221742</v>
      </c>
      <c r="E416" s="1378">
        <v>0.4338656647006518</v>
      </c>
      <c r="F416" s="1378">
        <v>0.41595301988628475</v>
      </c>
      <c r="G416" s="1378"/>
      <c r="H416" s="1378"/>
      <c r="N416" s="532"/>
      <c r="O416" s="532"/>
      <c r="P416" s="532"/>
      <c r="R416" s="2000"/>
      <c r="S416" s="2000"/>
      <c r="T416" s="2000"/>
    </row>
    <row r="417" spans="1:20">
      <c r="A417" s="2185" t="s">
        <v>4202</v>
      </c>
      <c r="B417" s="2184">
        <v>0.53989859669339768</v>
      </c>
      <c r="C417" s="2184">
        <v>0.50829843371484429</v>
      </c>
      <c r="D417" s="1378">
        <v>0.4792077013060948</v>
      </c>
      <c r="E417" s="1378">
        <v>0.45495481788154474</v>
      </c>
      <c r="F417" s="1378">
        <v>0.43612838772669921</v>
      </c>
      <c r="G417" s="1378"/>
      <c r="H417" s="1378"/>
      <c r="N417" s="532"/>
      <c r="O417" s="532"/>
      <c r="P417" s="532"/>
      <c r="R417" s="2000"/>
      <c r="S417" s="2000"/>
      <c r="T417" s="2000"/>
    </row>
    <row r="418" spans="1:20">
      <c r="A418" s="2185" t="s">
        <v>4203</v>
      </c>
      <c r="B418" s="2184">
        <v>0.56294135692085778</v>
      </c>
      <c r="C418" s="2184">
        <v>0.5303427595187219</v>
      </c>
      <c r="D418" s="1378">
        <v>0.50029685448698802</v>
      </c>
      <c r="E418" s="1378">
        <v>0.47513018572195925</v>
      </c>
      <c r="F418" s="1378">
        <v>0.45542956421323638</v>
      </c>
      <c r="G418" s="1378"/>
      <c r="H418" s="1378"/>
      <c r="N418" s="532"/>
      <c r="O418" s="532"/>
      <c r="P418" s="532"/>
      <c r="R418" s="2000"/>
      <c r="S418" s="2000"/>
      <c r="T418" s="2000"/>
    </row>
    <row r="419" spans="1:20">
      <c r="A419" s="1378" t="s">
        <v>4204</v>
      </c>
      <c r="B419" s="2184">
        <v>0.58498568272473517</v>
      </c>
      <c r="C419" s="2184">
        <v>0.55143191269961478</v>
      </c>
      <c r="D419" s="1378">
        <v>0.52047222232740242</v>
      </c>
      <c r="E419" s="1378">
        <v>0.49443136220849654</v>
      </c>
      <c r="F419" s="1378">
        <v>0.47389442773945217</v>
      </c>
      <c r="G419" s="1378"/>
      <c r="H419" s="1378"/>
      <c r="N419" s="532"/>
      <c r="O419" s="532"/>
      <c r="P419" s="532"/>
      <c r="R419" s="2000"/>
      <c r="S419" s="2000"/>
      <c r="T419" s="2000"/>
    </row>
    <row r="420" spans="1:20">
      <c r="A420" s="1378" t="s">
        <v>4205</v>
      </c>
      <c r="B420" s="2184">
        <v>0.60607483590562827</v>
      </c>
      <c r="C420" s="2184">
        <v>0.57160728054002963</v>
      </c>
      <c r="D420" s="1378">
        <v>0.53977339881393971</v>
      </c>
      <c r="E420" s="1378">
        <v>0.51289622573471227</v>
      </c>
      <c r="F420" s="1378">
        <v>0.49155921544188003</v>
      </c>
      <c r="G420" s="1378"/>
      <c r="H420" s="1378"/>
      <c r="N420" s="532"/>
      <c r="O420" s="532"/>
      <c r="P420" s="532"/>
      <c r="R420" s="2000"/>
      <c r="S420" s="2000"/>
      <c r="T420" s="2000"/>
    </row>
    <row r="421" spans="1:20">
      <c r="A421" s="1378" t="s">
        <v>4206</v>
      </c>
      <c r="B421" s="2184">
        <v>0.62625020374604257</v>
      </c>
      <c r="C421" s="2184">
        <v>0.59090845702656658</v>
      </c>
      <c r="D421" s="1378">
        <v>0.55823826234015517</v>
      </c>
      <c r="E421" s="1378">
        <v>0.53056101343713979</v>
      </c>
      <c r="F421" s="1378">
        <v>0.50845859431510132</v>
      </c>
      <c r="G421" s="1378"/>
      <c r="H421" s="1378"/>
      <c r="N421" s="532"/>
      <c r="O421" s="532"/>
      <c r="P421" s="532"/>
      <c r="R421" s="2000"/>
      <c r="S421" s="2000"/>
      <c r="T421" s="2000"/>
    </row>
    <row r="422" spans="1:20">
      <c r="A422" s="1378" t="s">
        <v>4207</v>
      </c>
      <c r="B422" s="2184">
        <v>0.10577798141864038</v>
      </c>
      <c r="C422" s="2184">
        <v>9.6477094818070236E-2</v>
      </c>
      <c r="D422" s="1378">
        <v>8.4343834600703202E-2</v>
      </c>
      <c r="E422" s="1378">
        <v>7.7836958654810495E-2</v>
      </c>
      <c r="F422" s="1378">
        <v>7.805699461876589E-2</v>
      </c>
      <c r="G422" s="1378"/>
      <c r="H422" s="1378"/>
      <c r="N422" s="532"/>
      <c r="O422" s="532"/>
      <c r="P422" s="532"/>
      <c r="R422" s="2000"/>
      <c r="S422" s="2000"/>
      <c r="T422" s="2000"/>
    </row>
    <row r="423" spans="1:20">
      <c r="A423" s="1378" t="s">
        <v>4208</v>
      </c>
      <c r="B423" s="2184">
        <v>0.64555138023258007</v>
      </c>
      <c r="C423" s="2184">
        <v>0.60937332055278226</v>
      </c>
      <c r="D423" s="1378">
        <v>0.57590305004258313</v>
      </c>
      <c r="E423" s="1378">
        <v>0.54746039231036148</v>
      </c>
      <c r="F423" s="1378">
        <v>0.52462572924542528</v>
      </c>
      <c r="G423" s="1378"/>
      <c r="H423" s="1378"/>
      <c r="N423" s="532"/>
      <c r="O423" s="532"/>
      <c r="P423" s="532"/>
      <c r="R423" s="2000"/>
      <c r="S423" s="2000"/>
      <c r="T423" s="2000"/>
    </row>
    <row r="424" spans="1:20">
      <c r="A424" s="1378" t="s">
        <v>4209</v>
      </c>
      <c r="B424" s="2184">
        <v>0.66401624375879575</v>
      </c>
      <c r="C424" s="2184">
        <v>0.62703810825521022</v>
      </c>
      <c r="D424" s="1378">
        <v>0.5928024289158047</v>
      </c>
      <c r="E424" s="1378">
        <v>0.56362752724068543</v>
      </c>
      <c r="F424" s="1378">
        <v>0.5400923480966946</v>
      </c>
      <c r="G424" s="1378"/>
      <c r="H424" s="1378"/>
      <c r="N424" s="532"/>
      <c r="O424" s="532"/>
      <c r="P424" s="532"/>
      <c r="R424" s="2000"/>
      <c r="S424" s="2000"/>
      <c r="T424" s="2000"/>
    </row>
    <row r="425" spans="1:20">
      <c r="A425" s="1378" t="s">
        <v>4210</v>
      </c>
      <c r="B425" s="2184">
        <v>0.68168103146122327</v>
      </c>
      <c r="C425" s="2184">
        <v>0.64393748712843135</v>
      </c>
      <c r="D425" s="1378">
        <v>0.60896956384612866</v>
      </c>
      <c r="E425" s="1378">
        <v>0.57909414609195453</v>
      </c>
      <c r="F425" s="1378">
        <v>0.55456606964944499</v>
      </c>
      <c r="G425" s="1378"/>
      <c r="H425" s="1378"/>
      <c r="N425" s="532"/>
      <c r="O425" s="532"/>
      <c r="P425" s="532"/>
      <c r="R425" s="2000"/>
      <c r="S425" s="2000"/>
      <c r="T425" s="2000"/>
    </row>
    <row r="426" spans="1:20">
      <c r="A426" s="1378" t="s">
        <v>4211</v>
      </c>
      <c r="B426" s="2184">
        <v>0.69858041033444496</v>
      </c>
      <c r="C426" s="2184">
        <v>0.66010462205875553</v>
      </c>
      <c r="D426" s="1378">
        <v>0.62443618269739765</v>
      </c>
      <c r="E426" s="1378">
        <v>0.59356786764470504</v>
      </c>
      <c r="F426" s="1378">
        <v>0.56811063408211449</v>
      </c>
      <c r="G426" s="1378"/>
      <c r="H426" s="1378"/>
      <c r="N426" s="532"/>
      <c r="O426" s="532"/>
      <c r="P426" s="532"/>
      <c r="R426" s="2000"/>
      <c r="S426" s="2000"/>
      <c r="T426" s="2000"/>
    </row>
    <row r="427" spans="1:20">
      <c r="A427" s="1378" t="s">
        <v>4212</v>
      </c>
      <c r="B427" s="2184">
        <v>0.71474754526476891</v>
      </c>
      <c r="C427" s="2184">
        <v>0.67557124091002485</v>
      </c>
      <c r="D427" s="1378">
        <v>0.63890990425014826</v>
      </c>
      <c r="E427" s="1378">
        <v>0.60711243207737431</v>
      </c>
      <c r="F427" s="1378">
        <v>0.58078568969943534</v>
      </c>
      <c r="G427" s="1378"/>
      <c r="H427" s="1378"/>
      <c r="N427" s="532"/>
      <c r="O427" s="532"/>
      <c r="P427" s="532"/>
      <c r="R427" s="2000"/>
      <c r="S427" s="2000"/>
      <c r="T427" s="2000"/>
    </row>
    <row r="428" spans="1:20">
      <c r="A428" s="1378" t="s">
        <v>4213</v>
      </c>
      <c r="B428" s="2184">
        <v>0.73021416411603834</v>
      </c>
      <c r="C428" s="2184">
        <v>0.69004496246277558</v>
      </c>
      <c r="D428" s="1378">
        <v>0.65245446868281742</v>
      </c>
      <c r="E428" s="1378">
        <v>0.61978748769469549</v>
      </c>
      <c r="F428" s="1378">
        <v>0.59264705561495212</v>
      </c>
      <c r="G428" s="1378"/>
      <c r="H428" s="1378"/>
      <c r="N428" s="532"/>
      <c r="O428" s="532"/>
      <c r="P428" s="532"/>
      <c r="R428" s="2000"/>
      <c r="S428" s="2000"/>
      <c r="T428" s="2000"/>
    </row>
    <row r="429" spans="1:20">
      <c r="A429" s="1378" t="s">
        <v>4214</v>
      </c>
      <c r="B429" s="2184">
        <v>0.15112001802408354</v>
      </c>
      <c r="C429" s="2184">
        <v>0.13547889281333028</v>
      </c>
      <c r="D429" s="1378">
        <v>0.12317899526025368</v>
      </c>
      <c r="E429" s="1378">
        <v>0.11705879261402594</v>
      </c>
      <c r="F429" s="1378">
        <v>0.11644034137695219</v>
      </c>
      <c r="G429" s="1378"/>
      <c r="H429" s="1378"/>
      <c r="N429" s="532"/>
      <c r="O429" s="532"/>
      <c r="P429" s="532"/>
      <c r="R429" s="2000"/>
      <c r="S429" s="2000"/>
      <c r="T429" s="2000"/>
    </row>
    <row r="430" spans="1:20">
      <c r="A430" s="1378" t="s">
        <v>4215</v>
      </c>
      <c r="B430" s="2184">
        <v>0.19012181601934358</v>
      </c>
      <c r="C430" s="2184">
        <v>0.17431405347288076</v>
      </c>
      <c r="D430" s="1378">
        <v>0.16240082921946913</v>
      </c>
      <c r="E430" s="1378">
        <v>0.15544213937221224</v>
      </c>
      <c r="F430" s="1378">
        <v>0.15218181864670996</v>
      </c>
      <c r="G430" s="1378"/>
      <c r="H430" s="1378"/>
      <c r="N430" s="532"/>
      <c r="O430" s="532"/>
      <c r="P430" s="532"/>
      <c r="R430" s="2000"/>
      <c r="S430" s="2000"/>
      <c r="T430" s="2000"/>
    </row>
    <row r="431" spans="1:20">
      <c r="A431" s="1378" t="s">
        <v>4216</v>
      </c>
      <c r="B431" s="2184">
        <v>0.22895697667889403</v>
      </c>
      <c r="C431" s="2184">
        <v>0.21353588743209617</v>
      </c>
      <c r="D431" s="1378">
        <v>0.20078417597765541</v>
      </c>
      <c r="E431" s="1378">
        <v>0.19118361664197012</v>
      </c>
      <c r="F431" s="1378">
        <v>0.18532668131691962</v>
      </c>
      <c r="G431" s="1378"/>
      <c r="H431" s="1378"/>
      <c r="N431" s="532"/>
      <c r="O431" s="532"/>
      <c r="P431" s="532"/>
      <c r="R431" s="2000"/>
      <c r="S431" s="2000"/>
      <c r="T431" s="2000"/>
    </row>
    <row r="432" spans="1:20">
      <c r="A432" s="1378" t="s">
        <v>4217</v>
      </c>
      <c r="B432" s="2184">
        <v>0.26817881063810944</v>
      </c>
      <c r="C432" s="2184">
        <v>0.25191923419028245</v>
      </c>
      <c r="D432" s="1378">
        <v>0.23652565324741312</v>
      </c>
      <c r="E432" s="1378">
        <v>0.22432847931217964</v>
      </c>
      <c r="F432" s="1378">
        <v>0.2163672396059145</v>
      </c>
      <c r="G432" s="1378"/>
      <c r="H432" s="1378"/>
      <c r="N432" s="532"/>
      <c r="O432" s="532"/>
      <c r="P432" s="532"/>
      <c r="R432" s="2000"/>
      <c r="S432" s="2000"/>
      <c r="T432" s="2000"/>
    </row>
    <row r="433" spans="1:20">
      <c r="A433" s="1378" t="s">
        <v>4218</v>
      </c>
      <c r="B433" s="2184">
        <v>0.26817881063810944</v>
      </c>
      <c r="C433" s="2184">
        <v>0.25191923419028245</v>
      </c>
      <c r="D433" s="1378">
        <v>0.23652565324741312</v>
      </c>
      <c r="E433" s="1378">
        <v>0.22432847931217964</v>
      </c>
      <c r="F433" s="1378">
        <v>0.2163672396059145</v>
      </c>
      <c r="G433" s="1378"/>
      <c r="H433" s="1378"/>
      <c r="N433" s="532"/>
      <c r="O433" s="532"/>
      <c r="P433" s="532"/>
      <c r="R433" s="2000"/>
      <c r="S433" s="2000"/>
      <c r="T433" s="2000"/>
    </row>
    <row r="434" spans="1:20">
      <c r="A434" s="1378" t="s">
        <v>4219</v>
      </c>
      <c r="B434" s="2184">
        <v>0.30656215739629572</v>
      </c>
      <c r="C434" s="2184">
        <v>0.2876607114600403</v>
      </c>
      <c r="D434" s="1378">
        <v>0.26967051591762287</v>
      </c>
      <c r="E434" s="1378">
        <v>0.25536903760117458</v>
      </c>
      <c r="F434" s="1378">
        <v>0.24593000826247233</v>
      </c>
      <c r="G434" s="1378"/>
      <c r="H434" s="1378"/>
      <c r="N434" s="532"/>
      <c r="O434" s="532"/>
      <c r="P434" s="532"/>
      <c r="R434" s="2000"/>
      <c r="S434" s="2000"/>
      <c r="T434" s="2000"/>
    </row>
    <row r="435" spans="1:20">
      <c r="A435" s="1378" t="s">
        <v>4220</v>
      </c>
      <c r="B435" s="2184">
        <v>0.3423036346660534</v>
      </c>
      <c r="C435" s="2184">
        <v>0.32080557413024985</v>
      </c>
      <c r="D435" s="1378">
        <v>0.30071107420661769</v>
      </c>
      <c r="E435" s="1378">
        <v>0.28493180625773235</v>
      </c>
      <c r="F435" s="1378">
        <v>0.27369139954747251</v>
      </c>
      <c r="G435" s="1378"/>
      <c r="H435" s="1378"/>
      <c r="N435" s="532"/>
      <c r="O435" s="532"/>
      <c r="P435" s="532"/>
      <c r="R435" s="2000"/>
      <c r="S435" s="2000"/>
      <c r="T435" s="2000"/>
    </row>
    <row r="436" spans="1:20">
      <c r="A436" s="1378" t="s">
        <v>4221</v>
      </c>
      <c r="B436" s="2184">
        <v>0.37544849733626323</v>
      </c>
      <c r="C436" s="2184">
        <v>0.35184613241924467</v>
      </c>
      <c r="D436" s="1378">
        <v>0.33027384286317563</v>
      </c>
      <c r="E436" s="1378">
        <v>0.31269319754273261</v>
      </c>
      <c r="F436" s="1378">
        <v>0.30026662970618656</v>
      </c>
      <c r="G436" s="1378"/>
      <c r="H436" s="1378"/>
      <c r="N436" s="532"/>
      <c r="O436" s="532"/>
      <c r="P436" s="532"/>
      <c r="R436" s="2000"/>
      <c r="S436" s="2000"/>
      <c r="T436" s="2000"/>
    </row>
    <row r="437" spans="1:20">
      <c r="A437" s="1378" t="s">
        <v>4222</v>
      </c>
      <c r="B437" s="2184">
        <v>0.33789602526751877</v>
      </c>
      <c r="C437" s="2184">
        <v>0.31968804634974701</v>
      </c>
      <c r="D437" s="1378">
        <v>0.30324774556652645</v>
      </c>
      <c r="E437" s="1378">
        <v>0.28856774642253247</v>
      </c>
      <c r="F437" s="1378">
        <v>0.27519197583596555</v>
      </c>
      <c r="G437" s="1378"/>
      <c r="H437" s="1378"/>
      <c r="I437" s="52" t="s">
        <v>4085</v>
      </c>
      <c r="N437" s="532"/>
      <c r="O437" s="532"/>
      <c r="P437" s="532"/>
      <c r="R437" s="2000"/>
      <c r="S437" s="2000"/>
      <c r="T437" s="2000"/>
    </row>
    <row r="438" spans="1:20">
      <c r="A438" s="1378" t="s">
        <v>4223</v>
      </c>
      <c r="B438" s="2184">
        <v>0.11606278234226</v>
      </c>
      <c r="C438" s="2184">
        <v>0.107131110447286</v>
      </c>
      <c r="D438" s="1378">
        <v>9.7679139909727805E-2</v>
      </c>
      <c r="E438" s="1378">
        <v>9.4802090584990201E-2</v>
      </c>
      <c r="F438" s="1378">
        <v>9.2763688218569895E-2</v>
      </c>
      <c r="G438" s="1378"/>
      <c r="H438" s="1378"/>
      <c r="N438" s="532"/>
      <c r="O438" s="532"/>
      <c r="P438" s="532"/>
      <c r="R438" s="2000"/>
      <c r="S438" s="2000"/>
      <c r="T438" s="2000"/>
    </row>
    <row r="439" spans="1:20">
      <c r="A439" s="2185" t="s">
        <v>4224</v>
      </c>
      <c r="B439" s="2184">
        <v>0.90882053685083897</v>
      </c>
      <c r="C439" s="2184">
        <v>0.86073959302135605</v>
      </c>
      <c r="D439" s="1378">
        <v>0.81858169645108603</v>
      </c>
      <c r="E439" s="1378">
        <v>0.782982990975297</v>
      </c>
      <c r="F439" s="1378">
        <v>0.74724084104877897</v>
      </c>
      <c r="G439" s="1378"/>
      <c r="H439" s="1378"/>
      <c r="N439" s="532"/>
      <c r="O439" s="532"/>
      <c r="P439" s="532"/>
      <c r="R439" s="2000"/>
      <c r="S439" s="2000"/>
      <c r="T439" s="2000"/>
    </row>
    <row r="440" spans="1:20">
      <c r="A440" s="1378" t="s">
        <v>4225</v>
      </c>
      <c r="B440" s="2184">
        <v>0.97680237536361703</v>
      </c>
      <c r="C440" s="2184">
        <v>0.92571280689837199</v>
      </c>
      <c r="D440" s="1378">
        <v>0.88066213088502499</v>
      </c>
      <c r="E440" s="1378">
        <v>0.84204293163376898</v>
      </c>
      <c r="F440" s="1378">
        <v>0.80367111256799695</v>
      </c>
      <c r="G440" s="1378"/>
      <c r="H440" s="1378"/>
      <c r="N440" s="532"/>
      <c r="O440" s="532"/>
      <c r="P440" s="532"/>
      <c r="R440" s="2000"/>
      <c r="S440" s="2000"/>
      <c r="T440" s="2000"/>
    </row>
    <row r="441" spans="1:20">
      <c r="A441" s="1378" t="s">
        <v>4226</v>
      </c>
      <c r="B441" s="2184">
        <v>1.04177558924063</v>
      </c>
      <c r="C441" s="2184">
        <v>0.98779324133231095</v>
      </c>
      <c r="D441" s="1378">
        <v>0.93972207154349696</v>
      </c>
      <c r="E441" s="1378">
        <v>0.89847320315298695</v>
      </c>
      <c r="F441" s="1378">
        <v>0.85758886951190805</v>
      </c>
      <c r="G441" s="1378"/>
      <c r="H441" s="1378"/>
      <c r="N441" s="532"/>
      <c r="O441" s="532"/>
      <c r="P441" s="532"/>
      <c r="R441" s="2000"/>
      <c r="S441" s="2000"/>
      <c r="T441" s="2000"/>
    </row>
    <row r="442" spans="1:20">
      <c r="A442" s="1378" t="s">
        <v>4227</v>
      </c>
      <c r="B442" s="2184">
        <v>1.10385602367457</v>
      </c>
      <c r="C442" s="2184">
        <v>1.04685318199078</v>
      </c>
      <c r="D442" s="1378">
        <v>0.99615234306271405</v>
      </c>
      <c r="E442" s="1378">
        <v>0.95239096009689805</v>
      </c>
      <c r="F442" s="1378">
        <v>0.90910604409981599</v>
      </c>
      <c r="G442" s="1378"/>
      <c r="H442" s="1378"/>
      <c r="N442" s="532"/>
      <c r="O442" s="532"/>
      <c r="P442" s="532"/>
      <c r="R442" s="2000"/>
      <c r="S442" s="2000"/>
      <c r="T442" s="2000"/>
    </row>
    <row r="443" spans="1:20">
      <c r="A443" s="1378" t="s">
        <v>4228</v>
      </c>
      <c r="B443" s="2184">
        <v>1.16291596433304</v>
      </c>
      <c r="C443" s="2184">
        <v>1.10328345351</v>
      </c>
      <c r="D443" s="1378">
        <v>1.0500701000066299</v>
      </c>
      <c r="E443" s="1378">
        <v>1.00390813468481</v>
      </c>
      <c r="F443" s="1378">
        <v>0.95832957913239702</v>
      </c>
      <c r="G443" s="1378"/>
      <c r="H443" s="1378"/>
      <c r="N443" s="532"/>
      <c r="O443" s="532"/>
      <c r="P443" s="532"/>
      <c r="R443" s="2000"/>
      <c r="S443" s="2000"/>
      <c r="T443" s="2000"/>
    </row>
    <row r="444" spans="1:20">
      <c r="A444" s="1378" t="s">
        <v>4229</v>
      </c>
      <c r="B444" s="2184">
        <v>1.21934623585226</v>
      </c>
      <c r="C444" s="2184">
        <v>1.15720121045391</v>
      </c>
      <c r="D444" s="1378">
        <v>1.1015872745945301</v>
      </c>
      <c r="E444" s="1378">
        <v>1.05313166971739</v>
      </c>
      <c r="F444" s="1378">
        <v>1.0053616505229701</v>
      </c>
      <c r="G444" s="1378"/>
      <c r="H444" s="1378"/>
      <c r="N444" s="532"/>
      <c r="O444" s="532"/>
      <c r="P444" s="532"/>
      <c r="R444" s="2000"/>
      <c r="S444" s="2000"/>
      <c r="T444" s="2000"/>
    </row>
    <row r="445" spans="1:20">
      <c r="A445" s="1378" t="s">
        <v>4230</v>
      </c>
      <c r="B445" s="2184">
        <v>1.27326399279617</v>
      </c>
      <c r="C445" s="2184">
        <v>1.2087183850418199</v>
      </c>
      <c r="D445" s="1378">
        <v>1.1508108096271199</v>
      </c>
      <c r="E445" s="1378">
        <v>1.1001637411079599</v>
      </c>
      <c r="F445" s="1378">
        <v>1.05048743296748</v>
      </c>
      <c r="G445" s="1378"/>
      <c r="H445" s="1378"/>
      <c r="N445" s="532"/>
      <c r="O445" s="532"/>
      <c r="P445" s="532"/>
      <c r="R445" s="2000"/>
      <c r="S445" s="2000"/>
      <c r="T445" s="2000"/>
    </row>
    <row r="446" spans="1:20">
      <c r="A446" s="1378" t="s">
        <v>4231</v>
      </c>
      <c r="B446" s="2184">
        <v>1.3247811673840799</v>
      </c>
      <c r="C446" s="2184">
        <v>1.2579419200744</v>
      </c>
      <c r="D446" s="1378">
        <v>1.19784288101769</v>
      </c>
      <c r="E446" s="1378">
        <v>1.14528952355247</v>
      </c>
      <c r="F446" s="1378">
        <v>1.09360411392371</v>
      </c>
      <c r="G446" s="1378"/>
      <c r="H446" s="1378"/>
      <c r="N446" s="532"/>
      <c r="O446" s="532"/>
      <c r="P446" s="532"/>
      <c r="R446" s="2000"/>
      <c r="S446" s="2000"/>
      <c r="T446" s="2000"/>
    </row>
    <row r="447" spans="1:20">
      <c r="A447" s="1378" t="s">
        <v>4232</v>
      </c>
      <c r="B447" s="2184">
        <v>1.37400470241666</v>
      </c>
      <c r="C447" s="2184">
        <v>1.3049739914649701</v>
      </c>
      <c r="D447" s="1378">
        <v>1.2429686634621999</v>
      </c>
      <c r="E447" s="1378">
        <v>1.1884062045087</v>
      </c>
      <c r="F447" s="1378">
        <v>1.1348011946632</v>
      </c>
      <c r="G447" s="1378"/>
      <c r="H447" s="1378"/>
      <c r="N447" s="532"/>
      <c r="O447" s="532"/>
      <c r="P447" s="532"/>
      <c r="R447" s="2000"/>
      <c r="S447" s="2000"/>
      <c r="T447" s="2000"/>
    </row>
    <row r="448" spans="1:20">
      <c r="A448" s="1378" t="s">
        <v>4233</v>
      </c>
      <c r="B448" s="2184">
        <v>1.42103677380723</v>
      </c>
      <c r="C448" s="2184">
        <v>1.35009977390949</v>
      </c>
      <c r="D448" s="1378">
        <v>1.2860853444184299</v>
      </c>
      <c r="E448" s="1378">
        <v>1.22960328524819</v>
      </c>
      <c r="F448" s="1378">
        <v>1.17416418708135</v>
      </c>
      <c r="G448" s="1378"/>
      <c r="H448" s="1378"/>
      <c r="N448" s="532"/>
      <c r="O448" s="532"/>
      <c r="P448" s="532"/>
      <c r="R448" s="2000"/>
      <c r="S448" s="2000"/>
      <c r="T448" s="2000"/>
    </row>
    <row r="449" spans="1:20">
      <c r="A449" s="1378" t="s">
        <v>4234</v>
      </c>
      <c r="B449" s="2184">
        <v>0.22319389278954599</v>
      </c>
      <c r="C449" s="2184">
        <v>0.204810250357014</v>
      </c>
      <c r="D449" s="1378">
        <v>0.19248123049471799</v>
      </c>
      <c r="E449" s="1378">
        <v>0.18756577880356001</v>
      </c>
      <c r="F449" s="1378">
        <v>0.18227041250044301</v>
      </c>
      <c r="G449" s="1378"/>
      <c r="H449" s="1378"/>
      <c r="N449" s="532"/>
      <c r="O449" s="532"/>
      <c r="P449" s="532"/>
      <c r="R449" s="2000"/>
      <c r="S449" s="2000"/>
      <c r="T449" s="2000"/>
    </row>
    <row r="450" spans="1:20">
      <c r="A450" s="1378" t="s">
        <v>4235</v>
      </c>
      <c r="B450" s="2184">
        <v>1.46616255625175</v>
      </c>
      <c r="C450" s="2184">
        <v>1.39321645486572</v>
      </c>
      <c r="D450" s="1378">
        <v>1.3272824251579201</v>
      </c>
      <c r="E450" s="1378">
        <v>1.26896627766634</v>
      </c>
      <c r="F450" s="1378">
        <v>1.2117747916184101</v>
      </c>
      <c r="G450" s="1378"/>
      <c r="H450" s="1378"/>
      <c r="N450" s="532"/>
      <c r="O450" s="532"/>
      <c r="P450" s="532"/>
      <c r="R450" s="2000"/>
      <c r="S450" s="2000"/>
      <c r="T450" s="2000"/>
    </row>
    <row r="451" spans="1:20">
      <c r="A451" s="1378" t="s">
        <v>4236</v>
      </c>
      <c r="B451" s="2184">
        <v>1.50927923720798</v>
      </c>
      <c r="C451" s="2184">
        <v>1.4344135356052099</v>
      </c>
      <c r="D451" s="1378">
        <v>1.3666454175760701</v>
      </c>
      <c r="E451" s="1378">
        <v>1.3065768822034001</v>
      </c>
      <c r="F451" s="1378">
        <v>1.2477110672409999</v>
      </c>
      <c r="G451" s="1378"/>
      <c r="H451" s="1378"/>
      <c r="N451" s="532"/>
      <c r="O451" s="532"/>
      <c r="P451" s="532"/>
      <c r="R451" s="2000"/>
      <c r="S451" s="2000"/>
      <c r="T451" s="2000"/>
    </row>
    <row r="452" spans="1:20">
      <c r="A452" s="1378" t="s">
        <v>4237</v>
      </c>
      <c r="B452" s="2184">
        <v>1.5504763179474701</v>
      </c>
      <c r="C452" s="2184">
        <v>1.4737765280233499</v>
      </c>
      <c r="D452" s="1378">
        <v>1.4042560221131299</v>
      </c>
      <c r="E452" s="1378">
        <v>1.3425131578259899</v>
      </c>
      <c r="F452" s="1378">
        <v>1.2813403725213499</v>
      </c>
      <c r="G452" s="1378"/>
      <c r="H452" s="1378"/>
      <c r="N452" s="532"/>
      <c r="O452" s="532"/>
      <c r="P452" s="532"/>
      <c r="R452" s="2000"/>
      <c r="S452" s="2000"/>
      <c r="T452" s="2000"/>
    </row>
    <row r="453" spans="1:20">
      <c r="A453" s="1378" t="s">
        <v>4238</v>
      </c>
      <c r="B453" s="2184">
        <v>1.5898393103656101</v>
      </c>
      <c r="C453" s="2184">
        <v>1.51138713256042</v>
      </c>
      <c r="D453" s="1378">
        <v>1.44019229773572</v>
      </c>
      <c r="E453" s="1378">
        <v>1.3761424631063399</v>
      </c>
      <c r="F453" s="1378">
        <v>1.3128108060608901</v>
      </c>
      <c r="G453" s="1378"/>
      <c r="H453" s="1378"/>
      <c r="N453" s="532"/>
      <c r="O453" s="532"/>
      <c r="P453" s="532"/>
      <c r="R453" s="2000"/>
      <c r="S453" s="2000"/>
      <c r="T453" s="2000"/>
    </row>
    <row r="454" spans="1:20">
      <c r="A454" s="1378" t="s">
        <v>4239</v>
      </c>
      <c r="B454" s="2184">
        <v>1.62744991490268</v>
      </c>
      <c r="C454" s="2184">
        <v>1.5473234081830001</v>
      </c>
      <c r="D454" s="1378">
        <v>1.47382160301607</v>
      </c>
      <c r="E454" s="1378">
        <v>1.4076128966458801</v>
      </c>
      <c r="F454" s="1378">
        <v>1.34226095910182</v>
      </c>
      <c r="G454" s="1378"/>
      <c r="H454" s="1378"/>
      <c r="N454" s="532"/>
      <c r="O454" s="532"/>
      <c r="P454" s="532"/>
      <c r="R454" s="2000"/>
      <c r="S454" s="2000"/>
      <c r="T454" s="2000"/>
    </row>
    <row r="455" spans="1:20">
      <c r="A455" s="1378" t="s">
        <v>4240</v>
      </c>
      <c r="B455" s="2184">
        <v>1.66338619052526</v>
      </c>
      <c r="C455" s="2184">
        <v>1.5809527134633501</v>
      </c>
      <c r="D455" s="1378">
        <v>1.5052920365556</v>
      </c>
      <c r="E455" s="1378">
        <v>1.43706304968681</v>
      </c>
      <c r="F455" s="1378">
        <v>1.3698205258629299</v>
      </c>
      <c r="G455" s="1378"/>
      <c r="H455" s="1378"/>
      <c r="N455" s="532"/>
      <c r="O455" s="532"/>
      <c r="P455" s="532"/>
      <c r="R455" s="2000"/>
      <c r="S455" s="2000"/>
      <c r="T455" s="2000"/>
    </row>
    <row r="456" spans="1:20">
      <c r="A456" s="1378" t="s">
        <v>4241</v>
      </c>
      <c r="B456" s="2184">
        <v>1.6970154958056101</v>
      </c>
      <c r="C456" s="2184">
        <v>1.61242314700289</v>
      </c>
      <c r="D456" s="1378">
        <v>1.5347421895965301</v>
      </c>
      <c r="E456" s="1378">
        <v>1.4646226164479199</v>
      </c>
      <c r="F456" s="1378">
        <v>1.39561087469423</v>
      </c>
      <c r="G456" s="1378"/>
      <c r="H456" s="1378"/>
      <c r="N456" s="532"/>
      <c r="O456" s="532"/>
      <c r="P456" s="532"/>
      <c r="R456" s="2000"/>
      <c r="S456" s="2000"/>
      <c r="T456" s="2000"/>
    </row>
    <row r="457" spans="1:20">
      <c r="A457" s="1378" t="s">
        <v>4242</v>
      </c>
      <c r="B457" s="2184">
        <v>1.72848592934515</v>
      </c>
      <c r="C457" s="2184">
        <v>1.6418733000438199</v>
      </c>
      <c r="D457" s="1378">
        <v>1.56230175635765</v>
      </c>
      <c r="E457" s="1378">
        <v>1.49041296527922</v>
      </c>
      <c r="F457" s="1378">
        <v>1.4197455825655401</v>
      </c>
      <c r="G457" s="1378"/>
      <c r="H457" s="1378"/>
      <c r="N457" s="532"/>
      <c r="O457" s="532"/>
      <c r="P457" s="532"/>
      <c r="R457" s="2000"/>
      <c r="S457" s="2000"/>
      <c r="T457" s="2000"/>
    </row>
    <row r="458" spans="1:20">
      <c r="A458" s="1378" t="s">
        <v>4243</v>
      </c>
      <c r="B458" s="2184">
        <v>1.7579360823860799</v>
      </c>
      <c r="C458" s="2184">
        <v>1.6694328668049401</v>
      </c>
      <c r="D458" s="1378">
        <v>1.5880921051889401</v>
      </c>
      <c r="E458" s="1378">
        <v>1.5145476731505301</v>
      </c>
      <c r="F458" s="1378">
        <v>1.4423309352431799</v>
      </c>
      <c r="G458" s="1378"/>
      <c r="H458" s="1378"/>
      <c r="N458" s="532"/>
      <c r="O458" s="532"/>
      <c r="P458" s="532"/>
      <c r="R458" s="2000"/>
      <c r="S458" s="2000"/>
      <c r="T458" s="2000"/>
    </row>
    <row r="459" spans="1:20">
      <c r="A459" s="1378" t="s">
        <v>4244</v>
      </c>
      <c r="B459" s="2184">
        <v>1.7854956491472</v>
      </c>
      <c r="C459" s="2184">
        <v>1.6952232156362299</v>
      </c>
      <c r="D459" s="1378">
        <v>1.6122268130602599</v>
      </c>
      <c r="E459" s="1378">
        <v>1.5371330258281699</v>
      </c>
      <c r="F459" s="1378">
        <v>1.463466395357</v>
      </c>
      <c r="G459" s="1378"/>
      <c r="H459" s="1378"/>
      <c r="N459" s="532"/>
      <c r="O459" s="532"/>
      <c r="P459" s="532"/>
      <c r="R459" s="2000"/>
      <c r="S459" s="2000"/>
      <c r="T459" s="2000"/>
    </row>
    <row r="460" spans="1:20">
      <c r="A460" s="1378" t="s">
        <v>4245</v>
      </c>
      <c r="B460" s="2184">
        <v>0.32087303269927397</v>
      </c>
      <c r="C460" s="2184">
        <v>0.29961234094200401</v>
      </c>
      <c r="D460" s="1378">
        <v>0.285244918713288</v>
      </c>
      <c r="E460" s="1378">
        <v>0.27707250308543302</v>
      </c>
      <c r="F460" s="1378">
        <v>0.26666683028717603</v>
      </c>
      <c r="G460" s="1378"/>
      <c r="H460" s="1378"/>
      <c r="N460" s="532"/>
      <c r="O460" s="532"/>
      <c r="P460" s="532"/>
      <c r="R460" s="2000"/>
      <c r="S460" s="2000"/>
      <c r="T460" s="2000"/>
    </row>
    <row r="461" spans="1:20">
      <c r="A461" s="1378" t="s">
        <v>4246</v>
      </c>
      <c r="B461" s="2184">
        <v>1.8112859979784901</v>
      </c>
      <c r="C461" s="2184">
        <v>1.71935792350755</v>
      </c>
      <c r="D461" s="1378">
        <v>1.6348121657379</v>
      </c>
      <c r="E461" s="1378">
        <v>1.55826848594199</v>
      </c>
      <c r="F461" s="1378">
        <v>1.4832450404195401</v>
      </c>
      <c r="G461" s="1378"/>
      <c r="H461" s="1378"/>
      <c r="N461" s="532"/>
      <c r="O461" s="532"/>
      <c r="P461" s="532"/>
      <c r="R461" s="2000"/>
      <c r="S461" s="2000"/>
      <c r="T461" s="2000"/>
    </row>
    <row r="462" spans="1:20">
      <c r="A462" s="1378" t="s">
        <v>4247</v>
      </c>
      <c r="B462" s="2184">
        <v>0.41567512328426498</v>
      </c>
      <c r="C462" s="2184">
        <v>0.39237602916057401</v>
      </c>
      <c r="D462" s="1378">
        <v>0.37475164299516101</v>
      </c>
      <c r="E462" s="1378">
        <v>0.36146892087216598</v>
      </c>
      <c r="F462" s="1378">
        <v>0.34616784693557001</v>
      </c>
      <c r="G462" s="1378"/>
      <c r="H462" s="1378"/>
      <c r="N462" s="532"/>
      <c r="O462" s="532"/>
      <c r="P462" s="532"/>
      <c r="R462" s="2000"/>
      <c r="S462" s="2000"/>
      <c r="T462" s="2000"/>
    </row>
    <row r="463" spans="1:20">
      <c r="A463" s="1378" t="s">
        <v>4248</v>
      </c>
      <c r="B463" s="2184">
        <v>0.50843881150283399</v>
      </c>
      <c r="C463" s="2184">
        <v>0.48188275344244702</v>
      </c>
      <c r="D463" s="1378">
        <v>0.45914806078189402</v>
      </c>
      <c r="E463" s="1378">
        <v>0.44096993752056102</v>
      </c>
      <c r="F463" s="1378">
        <v>0.42140344557348602</v>
      </c>
      <c r="G463" s="1378"/>
      <c r="H463" s="1378"/>
      <c r="N463" s="532"/>
      <c r="O463" s="532"/>
      <c r="P463" s="532"/>
      <c r="R463" s="2000"/>
      <c r="S463" s="2000"/>
      <c r="T463" s="2000"/>
    </row>
    <row r="464" spans="1:20">
      <c r="A464" s="1378" t="s">
        <v>4249</v>
      </c>
      <c r="B464" s="2184">
        <v>0.59794553578470699</v>
      </c>
      <c r="C464" s="2184">
        <v>0.56627917122918003</v>
      </c>
      <c r="D464" s="1378">
        <v>0.538649077430289</v>
      </c>
      <c r="E464" s="1378">
        <v>0.51620553615847597</v>
      </c>
      <c r="F464" s="1378">
        <v>0.49314541356657399</v>
      </c>
      <c r="G464" s="1378"/>
      <c r="H464" s="1378"/>
      <c r="N464" s="532"/>
      <c r="O464" s="532"/>
      <c r="P464" s="532"/>
      <c r="R464" s="2000"/>
      <c r="S464" s="2000"/>
      <c r="T464" s="2000"/>
    </row>
    <row r="465" spans="1:20">
      <c r="A465" s="1378" t="s">
        <v>4250</v>
      </c>
      <c r="B465" s="2184">
        <v>0.68234195357144001</v>
      </c>
      <c r="C465" s="2184">
        <v>0.64578018787757496</v>
      </c>
      <c r="D465" s="1378">
        <v>0.61388467606820396</v>
      </c>
      <c r="E465" s="1378">
        <v>0.58794750415156405</v>
      </c>
      <c r="F465" s="1378">
        <v>0.56112725207935299</v>
      </c>
      <c r="G465" s="1378"/>
      <c r="H465" s="1378"/>
      <c r="N465" s="532"/>
      <c r="O465" s="532"/>
      <c r="P465" s="532"/>
      <c r="R465" s="2000"/>
      <c r="S465" s="2000"/>
      <c r="T465" s="2000"/>
    </row>
    <row r="466" spans="1:20">
      <c r="A466" s="1378" t="s">
        <v>4251</v>
      </c>
      <c r="B466" s="2184">
        <v>0.76184297021983505</v>
      </c>
      <c r="C466" s="2184">
        <v>0.72101578651549003</v>
      </c>
      <c r="D466" s="1378">
        <v>0.68562664406129203</v>
      </c>
      <c r="E466" s="1378">
        <v>0.655929342664343</v>
      </c>
      <c r="F466" s="1378">
        <v>0.62610046595636804</v>
      </c>
      <c r="G466" s="1378"/>
      <c r="H466" s="1378"/>
      <c r="N466" s="532"/>
      <c r="O466" s="532"/>
      <c r="P466" s="532"/>
      <c r="R466" s="2000"/>
      <c r="S466" s="2000"/>
      <c r="T466" s="2000"/>
    </row>
    <row r="467" spans="1:20">
      <c r="A467" s="1378" t="s">
        <v>4252</v>
      </c>
      <c r="B467" s="2184">
        <v>0.83707856885775</v>
      </c>
      <c r="C467" s="2184">
        <v>0.79275775450857799</v>
      </c>
      <c r="D467" s="1378">
        <v>0.75360848257407098</v>
      </c>
      <c r="E467" s="1378">
        <v>0.72090255654135904</v>
      </c>
      <c r="F467" s="1378">
        <v>0.68818090039030699</v>
      </c>
      <c r="G467" s="1378"/>
      <c r="H467" s="1378"/>
      <c r="N467" s="532"/>
      <c r="O467" s="532"/>
      <c r="P467" s="532"/>
      <c r="R467" s="2000"/>
      <c r="S467" s="2000"/>
      <c r="T467" s="2000"/>
    </row>
    <row r="468" spans="1:20">
      <c r="A468" s="1378" t="s">
        <v>4253</v>
      </c>
      <c r="B468" s="2184">
        <v>0.12218265722831925</v>
      </c>
      <c r="C468" s="2184">
        <v>0.11433900171094821</v>
      </c>
      <c r="D468" s="1378">
        <v>0.10556308362787219</v>
      </c>
      <c r="E468" s="1378">
        <v>9.6278547961797079E-2</v>
      </c>
      <c r="F468" s="1378">
        <v>9.3430540950719926E-2</v>
      </c>
      <c r="G468" s="1378"/>
      <c r="H468" s="1378"/>
      <c r="N468" s="532"/>
      <c r="O468" s="532"/>
      <c r="P468" s="532"/>
      <c r="R468" s="2000"/>
      <c r="S468" s="2000"/>
      <c r="T468" s="2000"/>
    </row>
    <row r="469" spans="1:20">
      <c r="A469" s="1378" t="s">
        <v>4254</v>
      </c>
      <c r="B469" s="2184">
        <v>0.94703961869439535</v>
      </c>
      <c r="C469" s="2184">
        <v>0.89555883811934534</v>
      </c>
      <c r="D469" s="1378">
        <v>0.848219229059478</v>
      </c>
      <c r="E469" s="1378">
        <v>0.80668986501513207</v>
      </c>
      <c r="F469" s="1378">
        <v>0.77159369178142578</v>
      </c>
      <c r="G469" s="1378"/>
      <c r="H469" s="1378"/>
      <c r="N469" s="532"/>
      <c r="O469" s="532"/>
      <c r="P469" s="532"/>
      <c r="R469" s="2000"/>
      <c r="S469" s="2000"/>
      <c r="T469" s="2000"/>
    </row>
    <row r="470" spans="1:20">
      <c r="A470" s="1378" t="s">
        <v>4255</v>
      </c>
      <c r="B470" s="2184">
        <v>1.0177414953476644</v>
      </c>
      <c r="C470" s="2184">
        <v>0.96255823077042613</v>
      </c>
      <c r="D470" s="1378">
        <v>0.91225294864300444</v>
      </c>
      <c r="E470" s="1378">
        <v>0.86787223974322292</v>
      </c>
      <c r="F470" s="1378">
        <v>0.8298005149284986</v>
      </c>
      <c r="G470" s="1378"/>
      <c r="H470" s="1378"/>
      <c r="N470" s="532"/>
      <c r="O470" s="532"/>
      <c r="P470" s="532"/>
      <c r="R470" s="2000"/>
      <c r="S470" s="2000"/>
      <c r="T470" s="2000"/>
    </row>
    <row r="471" spans="1:20">
      <c r="A471" s="1378" t="s">
        <v>4256</v>
      </c>
      <c r="B471" s="2184">
        <v>1.0847408879987457</v>
      </c>
      <c r="C471" s="2184">
        <v>1.0265919503539525</v>
      </c>
      <c r="D471" s="1378">
        <v>0.97343532337109495</v>
      </c>
      <c r="E471" s="1378">
        <v>0.92607906289029573</v>
      </c>
      <c r="F471" s="1378">
        <v>0.88541529625699977</v>
      </c>
      <c r="G471" s="1378"/>
      <c r="H471" s="1378"/>
      <c r="N471" s="532"/>
      <c r="O471" s="532"/>
      <c r="P471" s="532"/>
      <c r="R471" s="2000"/>
      <c r="S471" s="2000"/>
      <c r="T471" s="2000"/>
    </row>
    <row r="472" spans="1:20">
      <c r="A472" s="1378" t="s">
        <v>4257</v>
      </c>
      <c r="B472" s="2184">
        <v>1.1487746075822718</v>
      </c>
      <c r="C472" s="2184">
        <v>1.0877743250820431</v>
      </c>
      <c r="D472" s="1378">
        <v>1.031642146518168</v>
      </c>
      <c r="E472" s="1378">
        <v>0.98169384421879702</v>
      </c>
      <c r="F472" s="1378">
        <v>0.93855352984271578</v>
      </c>
      <c r="G472" s="1378"/>
      <c r="H472" s="1378"/>
      <c r="N472" s="532"/>
      <c r="O472" s="532"/>
      <c r="P472" s="532"/>
      <c r="R472" s="2000"/>
      <c r="S472" s="2000"/>
      <c r="T472" s="2000"/>
    </row>
    <row r="473" spans="1:20">
      <c r="A473" s="1378" t="s">
        <v>4258</v>
      </c>
      <c r="B473" s="2184">
        <v>1.2099569823103624</v>
      </c>
      <c r="C473" s="2184">
        <v>1.1459811482291162</v>
      </c>
      <c r="D473" s="1378">
        <v>1.0872569278466691</v>
      </c>
      <c r="E473" s="1378">
        <v>1.0348320778045128</v>
      </c>
      <c r="F473" s="1378">
        <v>0.98932556073454136</v>
      </c>
      <c r="G473" s="1378"/>
      <c r="H473" s="1378"/>
      <c r="N473" s="532"/>
      <c r="O473" s="532"/>
      <c r="P473" s="532"/>
      <c r="R473" s="2000"/>
      <c r="S473" s="2000"/>
      <c r="T473" s="2000"/>
    </row>
    <row r="474" spans="1:20">
      <c r="A474" s="1378" t="s">
        <v>4259</v>
      </c>
      <c r="B474" s="2184">
        <v>1.2681638054574353</v>
      </c>
      <c r="C474" s="2184">
        <v>1.2015959295576175</v>
      </c>
      <c r="D474" s="1378">
        <v>1.1403951614323851</v>
      </c>
      <c r="E474" s="1378">
        <v>1.0856041086963384</v>
      </c>
      <c r="F474" s="1378">
        <v>1.037836814641389</v>
      </c>
      <c r="G474" s="1378"/>
      <c r="H474" s="1378"/>
      <c r="N474" s="532"/>
      <c r="O474" s="532"/>
      <c r="P474" s="532"/>
      <c r="R474" s="2000"/>
      <c r="S474" s="2000"/>
      <c r="T474" s="2000"/>
    </row>
    <row r="475" spans="1:20">
      <c r="A475" s="1378" t="s">
        <v>4260</v>
      </c>
      <c r="B475" s="2184">
        <v>1.3237785867859366</v>
      </c>
      <c r="C475" s="2184">
        <v>1.2547341631433331</v>
      </c>
      <c r="D475" s="1378">
        <v>1.1911671923242109</v>
      </c>
      <c r="E475" s="1378">
        <v>1.1341153626031861</v>
      </c>
      <c r="F475" s="1378">
        <v>1.0841880173675242</v>
      </c>
      <c r="G475" s="1378"/>
      <c r="H475" s="1378"/>
      <c r="N475" s="532"/>
      <c r="O475" s="532"/>
      <c r="P475" s="532"/>
      <c r="R475" s="2000"/>
      <c r="S475" s="2000"/>
      <c r="T475" s="2000"/>
    </row>
    <row r="476" spans="1:20">
      <c r="A476" s="1378" t="s">
        <v>4261</v>
      </c>
      <c r="B476" s="2184">
        <v>1.3769168203716526</v>
      </c>
      <c r="C476" s="2184">
        <v>1.3055061940351593</v>
      </c>
      <c r="D476" s="1378">
        <v>1.2396784462310584</v>
      </c>
      <c r="E476" s="1378">
        <v>1.1804665653293211</v>
      </c>
      <c r="F476" s="1378">
        <v>1.1286611993333333</v>
      </c>
      <c r="G476" s="1378"/>
      <c r="H476" s="1378"/>
      <c r="N476" s="532"/>
      <c r="O476" s="532"/>
      <c r="P476" s="532"/>
      <c r="R476" s="2000"/>
      <c r="S476" s="2000"/>
      <c r="T476" s="2000"/>
    </row>
    <row r="477" spans="1:20">
      <c r="A477" s="1378" t="s">
        <v>4262</v>
      </c>
      <c r="B477" s="2184">
        <v>1.4276888512634784</v>
      </c>
      <c r="C477" s="2184">
        <v>1.3540174479420068</v>
      </c>
      <c r="D477" s="1378">
        <v>1.2860296489571936</v>
      </c>
      <c r="E477" s="1378">
        <v>1.2249397472951309</v>
      </c>
      <c r="F477" s="1378">
        <v>1.1711540612592681</v>
      </c>
      <c r="G477" s="1378"/>
      <c r="H477" s="1378"/>
      <c r="N477" s="532"/>
      <c r="O477" s="532"/>
      <c r="P477" s="532"/>
      <c r="R477" s="2000"/>
      <c r="S477" s="2000"/>
      <c r="T477" s="2000"/>
    </row>
    <row r="478" spans="1:20">
      <c r="A478" s="1378" t="s">
        <v>4263</v>
      </c>
      <c r="B478" s="2184">
        <v>1.476200105170326</v>
      </c>
      <c r="C478" s="2184">
        <v>1.4003686506681416</v>
      </c>
      <c r="D478" s="1378">
        <v>1.3305028309230029</v>
      </c>
      <c r="E478" s="1378">
        <v>1.2674326092210655</v>
      </c>
      <c r="F478" s="1378">
        <v>1.2117548343821629</v>
      </c>
      <c r="G478" s="1378"/>
      <c r="H478" s="1378"/>
      <c r="N478" s="532"/>
      <c r="O478" s="532"/>
      <c r="P478" s="532"/>
      <c r="R478" s="2000"/>
      <c r="S478" s="2000"/>
      <c r="T478" s="2000"/>
    </row>
    <row r="479" spans="1:20">
      <c r="A479" s="1378" t="s">
        <v>4264</v>
      </c>
      <c r="B479" s="2184">
        <v>0.23652165893926744</v>
      </c>
      <c r="C479" s="2184">
        <v>0.21990208533882039</v>
      </c>
      <c r="D479" s="1378">
        <v>0.20184163158966925</v>
      </c>
      <c r="E479" s="1378">
        <v>0.189709088912517</v>
      </c>
      <c r="F479" s="1378">
        <v>0.184836980714504</v>
      </c>
      <c r="G479" s="1378"/>
      <c r="H479" s="1378"/>
      <c r="N479" s="532"/>
      <c r="O479" s="532"/>
      <c r="P479" s="532"/>
      <c r="R479" s="2000"/>
      <c r="S479" s="2000"/>
      <c r="T479" s="2000"/>
    </row>
    <row r="480" spans="1:20">
      <c r="A480" s="1378" t="s">
        <v>4265</v>
      </c>
      <c r="B480" s="2184">
        <v>1.5225513078964612</v>
      </c>
      <c r="C480" s="2184">
        <v>1.4448418326339514</v>
      </c>
      <c r="D480" s="1378">
        <v>1.3729956928489373</v>
      </c>
      <c r="E480" s="1378">
        <v>1.3080333823439603</v>
      </c>
      <c r="F480" s="1378">
        <v>1.2505478166363977</v>
      </c>
      <c r="G480" s="1378"/>
      <c r="H480" s="1378"/>
      <c r="N480" s="532"/>
      <c r="O480" s="532"/>
      <c r="P480" s="532"/>
      <c r="R480" s="2000"/>
      <c r="S480" s="2000"/>
      <c r="T480" s="2000"/>
    </row>
    <row r="481" spans="1:20">
      <c r="A481" s="1378" t="s">
        <v>4266</v>
      </c>
      <c r="B481" s="2184">
        <v>1.5670244898622705</v>
      </c>
      <c r="C481" s="2184">
        <v>1.4873346945598858</v>
      </c>
      <c r="D481" s="1378">
        <v>1.4135964659718323</v>
      </c>
      <c r="E481" s="1378">
        <v>1.3468263645981948</v>
      </c>
      <c r="F481" s="1378">
        <v>1.2876135480977782</v>
      </c>
      <c r="G481" s="1378"/>
      <c r="H481" s="1378"/>
      <c r="N481" s="532"/>
      <c r="O481" s="532"/>
      <c r="P481" s="532"/>
      <c r="R481" s="2000"/>
      <c r="S481" s="2000"/>
      <c r="T481" s="2000"/>
    </row>
    <row r="482" spans="1:20">
      <c r="A482" s="1378" t="s">
        <v>4267</v>
      </c>
      <c r="B482" s="2184">
        <v>1.6095173517882051</v>
      </c>
      <c r="C482" s="2184">
        <v>1.5279354676827805</v>
      </c>
      <c r="D482" s="1378">
        <v>1.4523894482260669</v>
      </c>
      <c r="E482" s="1378">
        <v>1.3838920960595753</v>
      </c>
      <c r="F482" s="1378">
        <v>1.3222998025067063</v>
      </c>
      <c r="G482" s="1378"/>
      <c r="H482" s="1378"/>
      <c r="N482" s="532"/>
      <c r="O482" s="532"/>
      <c r="P482" s="532"/>
      <c r="R482" s="2000"/>
      <c r="S482" s="2000"/>
      <c r="T482" s="2000"/>
    </row>
    <row r="483" spans="1:20">
      <c r="A483" s="1378" t="s">
        <v>4268</v>
      </c>
      <c r="B483" s="2184">
        <v>1.6501181249110999</v>
      </c>
      <c r="C483" s="2184">
        <v>1.5667284499370151</v>
      </c>
      <c r="D483" s="1378">
        <v>1.4894551796874473</v>
      </c>
      <c r="E483" s="1378">
        <v>1.4185783504685032</v>
      </c>
      <c r="F483" s="1378">
        <v>1.3547593331158472</v>
      </c>
      <c r="G483" s="1378"/>
      <c r="H483" s="1378"/>
      <c r="N483" s="532"/>
      <c r="O483" s="532"/>
      <c r="P483" s="532"/>
      <c r="R483" s="2000"/>
      <c r="S483" s="2000"/>
      <c r="T483" s="2000"/>
    </row>
    <row r="484" spans="1:20">
      <c r="A484" s="1378" t="s">
        <v>4269</v>
      </c>
      <c r="B484" s="2184">
        <v>1.6889111071653344</v>
      </c>
      <c r="C484" s="2184">
        <v>1.6037941813983958</v>
      </c>
      <c r="D484" s="1378">
        <v>1.5241414340963757</v>
      </c>
      <c r="E484" s="1378">
        <v>1.4510378810776443</v>
      </c>
      <c r="F484" s="1378">
        <v>1.3851350870079877</v>
      </c>
      <c r="G484" s="1378"/>
      <c r="H484" s="1378"/>
      <c r="N484" s="532"/>
      <c r="O484" s="532"/>
      <c r="P484" s="532"/>
      <c r="R484" s="2000"/>
      <c r="S484" s="2000"/>
      <c r="T484" s="2000"/>
    </row>
    <row r="485" spans="1:20">
      <c r="A485" s="1378" t="s">
        <v>4270</v>
      </c>
      <c r="B485" s="2184">
        <v>1.7259768386267149</v>
      </c>
      <c r="C485" s="2184">
        <v>1.6384804358073239</v>
      </c>
      <c r="D485" s="1378">
        <v>1.5566009647055168</v>
      </c>
      <c r="E485" s="1378">
        <v>1.4814136349697848</v>
      </c>
      <c r="F485" s="1378">
        <v>1.4135608346143329</v>
      </c>
      <c r="G485" s="1378"/>
      <c r="H485" s="1378"/>
      <c r="N485" s="532"/>
      <c r="O485" s="532"/>
      <c r="P485" s="532"/>
      <c r="R485" s="2000"/>
      <c r="S485" s="2000"/>
      <c r="T485" s="2000"/>
    </row>
    <row r="486" spans="1:20">
      <c r="A486" s="1378" t="s">
        <v>4271</v>
      </c>
      <c r="B486" s="2184">
        <v>0.34208474256713955</v>
      </c>
      <c r="C486" s="2184">
        <v>0.31618063330061752</v>
      </c>
      <c r="D486" s="1378">
        <v>0.29527217254038923</v>
      </c>
      <c r="E486" s="1378">
        <v>0.28111552867630107</v>
      </c>
      <c r="F486" s="1378">
        <v>0.27302741347453752</v>
      </c>
      <c r="G486" s="1378"/>
      <c r="H486" s="1378"/>
      <c r="N486" s="532"/>
      <c r="O486" s="532"/>
      <c r="P486" s="532"/>
      <c r="R486" s="2000"/>
      <c r="S486" s="2000"/>
      <c r="T486" s="2000"/>
    </row>
    <row r="487" spans="1:20">
      <c r="A487" s="1378" t="s">
        <v>4272</v>
      </c>
      <c r="B487" s="2184">
        <v>0.43836329052893674</v>
      </c>
      <c r="C487" s="2184">
        <v>0.40961117425133742</v>
      </c>
      <c r="D487" s="1378">
        <v>0.38667861230417327</v>
      </c>
      <c r="E487" s="1378">
        <v>0.3693059614363346</v>
      </c>
      <c r="F487" s="1378">
        <v>0.35618829216917203</v>
      </c>
      <c r="G487" s="1378"/>
      <c r="H487" s="1378"/>
      <c r="N487" s="532"/>
      <c r="O487" s="532"/>
      <c r="P487" s="532"/>
      <c r="R487" s="2000"/>
      <c r="S487" s="2000"/>
      <c r="T487" s="2000"/>
    </row>
    <row r="488" spans="1:20">
      <c r="A488" s="1378" t="s">
        <v>4273</v>
      </c>
      <c r="B488" s="2184">
        <v>0.53179383147965675</v>
      </c>
      <c r="C488" s="2184">
        <v>0.50101761401512157</v>
      </c>
      <c r="D488" s="1378">
        <v>0.4748690450642068</v>
      </c>
      <c r="E488" s="1378">
        <v>0.45246684013096905</v>
      </c>
      <c r="F488" s="1378">
        <v>0.43453194489723268</v>
      </c>
      <c r="G488" s="1378"/>
      <c r="H488" s="1378"/>
      <c r="N488" s="532"/>
      <c r="O488" s="532"/>
      <c r="P488" s="532"/>
      <c r="R488" s="2000"/>
      <c r="S488" s="2000"/>
      <c r="T488" s="2000"/>
    </row>
    <row r="489" spans="1:20">
      <c r="A489" s="1378" t="s">
        <v>4274</v>
      </c>
      <c r="B489" s="2184">
        <v>0.6232002712434408</v>
      </c>
      <c r="C489" s="2184">
        <v>0.58920804677515504</v>
      </c>
      <c r="D489" s="1378">
        <v>0.5580299237588412</v>
      </c>
      <c r="E489" s="1378">
        <v>0.53081049285902981</v>
      </c>
      <c r="F489" s="1378">
        <v>0.50867632816545871</v>
      </c>
      <c r="G489" s="1378"/>
      <c r="H489" s="1378"/>
      <c r="N489" s="532"/>
      <c r="O489" s="532"/>
      <c r="P489" s="532"/>
      <c r="R489" s="2000"/>
      <c r="S489" s="2000"/>
      <c r="T489" s="2000"/>
    </row>
    <row r="490" spans="1:20">
      <c r="A490" s="1378" t="s">
        <v>4275</v>
      </c>
      <c r="B490" s="2184">
        <v>0.6232002712434408</v>
      </c>
      <c r="C490" s="2184">
        <v>0.58920804677515504</v>
      </c>
      <c r="D490" s="1378">
        <v>0.5580299237588412</v>
      </c>
      <c r="E490" s="1378">
        <v>0.53081049285902981</v>
      </c>
      <c r="F490" s="1378">
        <v>0.50867632816545871</v>
      </c>
      <c r="G490" s="1378"/>
      <c r="H490" s="1378"/>
      <c r="N490" s="532"/>
      <c r="O490" s="532"/>
      <c r="P490" s="532"/>
      <c r="R490" s="2000"/>
      <c r="S490" s="2000"/>
      <c r="T490" s="2000"/>
    </row>
    <row r="491" spans="1:20">
      <c r="A491" s="1378" t="s">
        <v>4276</v>
      </c>
      <c r="B491" s="2184">
        <v>0.71139070400347426</v>
      </c>
      <c r="C491" s="2184">
        <v>0.67236892546978944</v>
      </c>
      <c r="D491" s="1378">
        <v>0.63637357648690207</v>
      </c>
      <c r="E491" s="1378">
        <v>0.60495487612725563</v>
      </c>
      <c r="F491" s="1378">
        <v>0.57937820481872793</v>
      </c>
      <c r="G491" s="1378"/>
      <c r="H491" s="1378"/>
      <c r="N491" s="532"/>
      <c r="O491" s="532"/>
      <c r="P491" s="532"/>
      <c r="R491" s="2000"/>
      <c r="S491" s="2000"/>
      <c r="T491" s="2000"/>
    </row>
    <row r="492" spans="1:20">
      <c r="A492" s="1378" t="s">
        <v>4277</v>
      </c>
      <c r="B492" s="2184">
        <v>0.79455158269810888</v>
      </c>
      <c r="C492" s="2184">
        <v>0.75071257819785031</v>
      </c>
      <c r="D492" s="1378">
        <v>0.71051795975512799</v>
      </c>
      <c r="E492" s="1378">
        <v>0.67565675278052484</v>
      </c>
      <c r="F492" s="1378">
        <v>0.64637759746980872</v>
      </c>
      <c r="G492" s="1378"/>
      <c r="H492" s="1378"/>
      <c r="N492" s="532"/>
      <c r="O492" s="532"/>
      <c r="P492" s="532"/>
      <c r="R492" s="2000"/>
      <c r="S492" s="2000"/>
      <c r="T492" s="2000"/>
    </row>
    <row r="493" spans="1:20">
      <c r="A493" s="1378" t="s">
        <v>4278</v>
      </c>
      <c r="B493" s="2184">
        <v>0.87289523542616954</v>
      </c>
      <c r="C493" s="2184">
        <v>0.82485696146607612</v>
      </c>
      <c r="D493" s="1378">
        <v>0.78121983640839709</v>
      </c>
      <c r="E493" s="1378">
        <v>0.74265614543160563</v>
      </c>
      <c r="F493" s="1378">
        <v>0.71041131705333505</v>
      </c>
      <c r="G493" s="1378"/>
      <c r="H493" s="1378"/>
      <c r="N493" s="532"/>
      <c r="O493" s="532"/>
      <c r="P493" s="532"/>
      <c r="R493" s="2000"/>
      <c r="S493" s="2000"/>
      <c r="T493" s="2000"/>
    </row>
    <row r="494" spans="1:20">
      <c r="A494" s="1378" t="s">
        <v>4279</v>
      </c>
      <c r="B494" s="2184">
        <v>0.80448858002003742</v>
      </c>
      <c r="C494" s="2184">
        <v>0.76480940116685148</v>
      </c>
      <c r="D494" s="1378">
        <v>0.72799972519835232</v>
      </c>
      <c r="E494" s="1378">
        <v>0.69412925443610085</v>
      </c>
      <c r="F494" s="1378">
        <v>0.66247773309380964</v>
      </c>
      <c r="G494" s="1378"/>
      <c r="H494" s="1378"/>
      <c r="I494" s="52" t="s">
        <v>4085</v>
      </c>
      <c r="N494" s="532"/>
      <c r="O494" s="532"/>
      <c r="P494" s="532"/>
      <c r="R494" s="2000"/>
      <c r="S494" s="2000"/>
      <c r="T494" s="2000"/>
    </row>
    <row r="495" spans="1:20">
      <c r="A495" s="1378" t="s">
        <v>4280</v>
      </c>
      <c r="B495" s="2184">
        <v>7.4942947869214099E-2</v>
      </c>
      <c r="C495" s="2184">
        <v>6.7980816380858997E-2</v>
      </c>
      <c r="D495" s="1378">
        <v>6.0478219942876499E-2</v>
      </c>
      <c r="E495" s="1378">
        <v>5.9328517572048003E-2</v>
      </c>
      <c r="F495" s="1378">
        <v>5.8838556505590299E-2</v>
      </c>
      <c r="G495" s="1378"/>
      <c r="H495" s="1378"/>
      <c r="N495" s="532"/>
      <c r="O495" s="532"/>
      <c r="P495" s="532"/>
      <c r="R495" s="2000"/>
      <c r="S495" s="2000"/>
      <c r="T495" s="2000"/>
    </row>
    <row r="496" spans="1:20">
      <c r="A496" s="1378" t="s">
        <v>4281</v>
      </c>
      <c r="B496" s="2184">
        <v>0.57461542347781702</v>
      </c>
      <c r="C496" s="2184">
        <v>0.54216054089256505</v>
      </c>
      <c r="D496" s="1378">
        <v>0.514814729278667</v>
      </c>
      <c r="E496" s="1378">
        <v>0.49318272608227098</v>
      </c>
      <c r="F496" s="1378">
        <v>0.470745850408682</v>
      </c>
      <c r="G496" s="1378"/>
      <c r="H496" s="1378"/>
      <c r="N496" s="532"/>
      <c r="O496" s="532"/>
      <c r="P496" s="532"/>
      <c r="R496" s="2000"/>
      <c r="S496" s="2000"/>
      <c r="T496" s="2000"/>
    </row>
    <row r="497" spans="1:20">
      <c r="A497" s="1378" t="s">
        <v>4282</v>
      </c>
      <c r="B497" s="2184">
        <v>0.61710348876177901</v>
      </c>
      <c r="C497" s="2184">
        <v>0.58279554565952596</v>
      </c>
      <c r="D497" s="1378">
        <v>0.55366094602514804</v>
      </c>
      <c r="E497" s="1378">
        <v>0.53007436798073004</v>
      </c>
      <c r="F497" s="1378">
        <v>0.50601339963214498</v>
      </c>
      <c r="G497" s="1378"/>
      <c r="H497" s="1378"/>
      <c r="N497" s="532"/>
      <c r="O497" s="532"/>
      <c r="P497" s="532"/>
      <c r="R497" s="2000"/>
      <c r="S497" s="2000"/>
      <c r="T497" s="2000"/>
    </row>
    <row r="498" spans="1:20">
      <c r="A498" s="1378" t="s">
        <v>4283</v>
      </c>
      <c r="B498" s="2184">
        <v>0.65773849352874003</v>
      </c>
      <c r="C498" s="2184">
        <v>0.62164176240600599</v>
      </c>
      <c r="D498" s="1378">
        <v>0.59055258792360699</v>
      </c>
      <c r="E498" s="1378">
        <v>0.56534191720419302</v>
      </c>
      <c r="F498" s="1378">
        <v>0.53972839141725704</v>
      </c>
      <c r="G498" s="1378"/>
      <c r="H498" s="1378"/>
      <c r="N498" s="532"/>
      <c r="O498" s="532"/>
      <c r="P498" s="532"/>
      <c r="R498" s="2000"/>
      <c r="S498" s="2000"/>
      <c r="T498" s="2000"/>
    </row>
    <row r="499" spans="1:20">
      <c r="A499" s="1378" t="s">
        <v>4284</v>
      </c>
      <c r="B499" s="2184">
        <v>0.69658471027522095</v>
      </c>
      <c r="C499" s="2184">
        <v>0.65853340430446605</v>
      </c>
      <c r="D499" s="1378">
        <v>0.62582013714706897</v>
      </c>
      <c r="E499" s="1378">
        <v>0.59905690898930497</v>
      </c>
      <c r="F499" s="1378">
        <v>0.57195920847100501</v>
      </c>
      <c r="G499" s="1378"/>
      <c r="H499" s="1378"/>
      <c r="N499" s="532"/>
      <c r="O499" s="532"/>
      <c r="P499" s="532"/>
      <c r="R499" s="2000"/>
      <c r="S499" s="2000"/>
      <c r="T499" s="2000"/>
    </row>
    <row r="500" spans="1:20">
      <c r="A500" s="1378" t="s">
        <v>4285</v>
      </c>
      <c r="B500" s="2184">
        <v>0.73347635217368001</v>
      </c>
      <c r="C500" s="2184">
        <v>0.69380095352792803</v>
      </c>
      <c r="D500" s="1378">
        <v>0.65953512893218103</v>
      </c>
      <c r="E500" s="1378">
        <v>0.63128772604305305</v>
      </c>
      <c r="F500" s="1378">
        <v>0.60277121997611605</v>
      </c>
      <c r="G500" s="1378"/>
      <c r="H500" s="1378"/>
      <c r="N500" s="532"/>
      <c r="O500" s="532"/>
      <c r="P500" s="532"/>
      <c r="R500" s="2000"/>
      <c r="S500" s="2000"/>
      <c r="T500" s="2000"/>
    </row>
    <row r="501" spans="1:20">
      <c r="A501" s="1378" t="s">
        <v>4286</v>
      </c>
      <c r="B501" s="2184">
        <v>0.76874390139714199</v>
      </c>
      <c r="C501" s="2184">
        <v>0.72751594531303998</v>
      </c>
      <c r="D501" s="1378">
        <v>0.691765945985929</v>
      </c>
      <c r="E501" s="1378">
        <v>0.66209973754816398</v>
      </c>
      <c r="F501" s="1378">
        <v>0.63222691446391199</v>
      </c>
      <c r="G501" s="1378"/>
      <c r="H501" s="1378"/>
      <c r="N501" s="532"/>
      <c r="O501" s="532"/>
      <c r="P501" s="532"/>
      <c r="R501" s="2000"/>
      <c r="S501" s="2000"/>
      <c r="T501" s="2000"/>
    </row>
    <row r="502" spans="1:20">
      <c r="A502" s="1378" t="s">
        <v>4287</v>
      </c>
      <c r="B502" s="2184">
        <v>0.80245889318225405</v>
      </c>
      <c r="C502" s="2184">
        <v>0.75974676236678795</v>
      </c>
      <c r="D502" s="1378">
        <v>0.72257795749104103</v>
      </c>
      <c r="E502" s="1378">
        <v>0.69155543203596004</v>
      </c>
      <c r="F502" s="1378">
        <v>0.660453988966615</v>
      </c>
      <c r="G502" s="1378"/>
      <c r="H502" s="1378"/>
      <c r="N502" s="532"/>
      <c r="O502" s="532"/>
      <c r="P502" s="532"/>
      <c r="R502" s="2000"/>
      <c r="S502" s="2000"/>
      <c r="T502" s="2000"/>
    </row>
    <row r="503" spans="1:20">
      <c r="A503" s="1378" t="s">
        <v>4288</v>
      </c>
      <c r="B503" s="2184">
        <v>0.83468971023600302</v>
      </c>
      <c r="C503" s="2184">
        <v>0.79055877387189999</v>
      </c>
      <c r="D503" s="1378">
        <v>0.75203365197883698</v>
      </c>
      <c r="E503" s="1378">
        <v>0.71978250653866305</v>
      </c>
      <c r="F503" s="1378">
        <v>0.68743849307862004</v>
      </c>
      <c r="G503" s="1378"/>
      <c r="H503" s="1378"/>
      <c r="N503" s="532"/>
      <c r="O503" s="532"/>
      <c r="P503" s="532"/>
      <c r="R503" s="2000"/>
      <c r="S503" s="2000"/>
      <c r="T503" s="2000"/>
    </row>
    <row r="504" spans="1:20">
      <c r="A504" s="1378" t="s">
        <v>4289</v>
      </c>
      <c r="B504" s="2184">
        <v>0.86550172174111395</v>
      </c>
      <c r="C504" s="2184">
        <v>0.82001446835969505</v>
      </c>
      <c r="D504" s="1378">
        <v>0.78026072648153999</v>
      </c>
      <c r="E504" s="1378">
        <v>0.74676701065066797</v>
      </c>
      <c r="F504" s="1378">
        <v>0.71323515385341096</v>
      </c>
      <c r="G504" s="1378"/>
      <c r="H504" s="1378"/>
      <c r="N504" s="532"/>
      <c r="O504" s="532"/>
      <c r="P504" s="532"/>
      <c r="R504" s="2000"/>
      <c r="S504" s="2000"/>
      <c r="T504" s="2000"/>
    </row>
    <row r="505" spans="1:20">
      <c r="A505" s="1378" t="s">
        <v>4290</v>
      </c>
      <c r="B505" s="2184">
        <v>0.89495741622891001</v>
      </c>
      <c r="C505" s="2184">
        <v>0.84824154286239895</v>
      </c>
      <c r="D505" s="1378">
        <v>0.80724523059354503</v>
      </c>
      <c r="E505" s="1378">
        <v>0.77256367142545901</v>
      </c>
      <c r="F505" s="1378">
        <v>0.73789628670349405</v>
      </c>
      <c r="G505" s="1378"/>
      <c r="H505" s="1378"/>
      <c r="N505" s="532"/>
      <c r="O505" s="532"/>
      <c r="P505" s="532"/>
      <c r="R505" s="2000"/>
      <c r="S505" s="2000"/>
      <c r="T505" s="2000"/>
    </row>
    <row r="506" spans="1:20">
      <c r="A506" s="1378" t="s">
        <v>4291</v>
      </c>
      <c r="B506" s="2184">
        <v>0.142923764250073</v>
      </c>
      <c r="C506" s="2184">
        <v>0.12845903632373501</v>
      </c>
      <c r="D506" s="1378">
        <v>0.119806737514924</v>
      </c>
      <c r="E506" s="1378">
        <v>0.118167074077638</v>
      </c>
      <c r="F506" s="1378">
        <v>0.115957661169617</v>
      </c>
      <c r="G506" s="1378"/>
      <c r="H506" s="1378"/>
      <c r="N506" s="532"/>
      <c r="O506" s="532"/>
      <c r="P506" s="532"/>
      <c r="R506" s="2000"/>
      <c r="S506" s="2000"/>
      <c r="T506" s="2000"/>
    </row>
    <row r="507" spans="1:20">
      <c r="A507" s="1378" t="s">
        <v>4292</v>
      </c>
      <c r="B507" s="2184">
        <v>0.92318449073161302</v>
      </c>
      <c r="C507" s="2184">
        <v>0.87522604697440398</v>
      </c>
      <c r="D507" s="1378">
        <v>0.83304189136833595</v>
      </c>
      <c r="E507" s="1378">
        <v>0.79722480427554199</v>
      </c>
      <c r="F507" s="1378">
        <v>0.76147190173048696</v>
      </c>
      <c r="G507" s="1378"/>
      <c r="H507" s="1378"/>
      <c r="N507" s="532"/>
      <c r="O507" s="532"/>
      <c r="P507" s="532"/>
      <c r="R507" s="2000"/>
      <c r="S507" s="2000"/>
      <c r="T507" s="2000"/>
    </row>
    <row r="508" spans="1:20">
      <c r="A508" s="1378" t="s">
        <v>4293</v>
      </c>
      <c r="B508" s="2184">
        <v>0.95016899484361805</v>
      </c>
      <c r="C508" s="2184">
        <v>0.90102270774919402</v>
      </c>
      <c r="D508" s="1378">
        <v>0.85770302421841904</v>
      </c>
      <c r="E508" s="1378">
        <v>0.820800419302535</v>
      </c>
      <c r="F508" s="1378">
        <v>0.78400980536452003</v>
      </c>
      <c r="G508" s="1378"/>
      <c r="H508" s="1378"/>
      <c r="N508" s="532"/>
      <c r="O508" s="532"/>
      <c r="P508" s="532"/>
      <c r="R508" s="2000"/>
      <c r="S508" s="2000"/>
      <c r="T508" s="2000"/>
    </row>
    <row r="509" spans="1:20">
      <c r="A509" s="1378" t="s">
        <v>4294</v>
      </c>
      <c r="B509" s="2184">
        <v>0.97596565561840898</v>
      </c>
      <c r="C509" s="2184">
        <v>0.925683840599278</v>
      </c>
      <c r="D509" s="1378">
        <v>0.88127863924541106</v>
      </c>
      <c r="E509" s="1378">
        <v>0.84333832293656796</v>
      </c>
      <c r="F509" s="1378">
        <v>0.80510086248040302</v>
      </c>
      <c r="G509" s="1378"/>
      <c r="H509" s="1378"/>
      <c r="N509" s="532"/>
      <c r="O509" s="532"/>
      <c r="P509" s="532"/>
      <c r="R509" s="2000"/>
      <c r="S509" s="2000"/>
      <c r="T509" s="2000"/>
    </row>
    <row r="510" spans="1:20">
      <c r="A510" s="1378" t="s">
        <v>4295</v>
      </c>
      <c r="B510" s="2184">
        <v>1.0006267884684901</v>
      </c>
      <c r="C510" s="2184">
        <v>0.94925945562627001</v>
      </c>
      <c r="D510" s="1378">
        <v>0.90381654287944402</v>
      </c>
      <c r="E510" s="1378">
        <v>0.86442938005245096</v>
      </c>
      <c r="F510" s="1378">
        <v>0.824837955046268</v>
      </c>
      <c r="G510" s="1378"/>
      <c r="H510" s="1378"/>
      <c r="N510" s="532"/>
      <c r="O510" s="532"/>
      <c r="P510" s="532"/>
      <c r="R510" s="2000"/>
      <c r="S510" s="2000"/>
      <c r="T510" s="2000"/>
    </row>
    <row r="511" spans="1:20">
      <c r="A511" s="1378" t="s">
        <v>4296</v>
      </c>
      <c r="B511" s="2184">
        <v>1.02420240349548</v>
      </c>
      <c r="C511" s="2184">
        <v>0.97179735926030297</v>
      </c>
      <c r="D511" s="1378">
        <v>0.92490759999532801</v>
      </c>
      <c r="E511" s="1378">
        <v>0.88416647261831605</v>
      </c>
      <c r="F511" s="1378">
        <v>0.84330800236600001</v>
      </c>
      <c r="G511" s="1378"/>
      <c r="H511" s="1378"/>
      <c r="N511" s="532"/>
      <c r="O511" s="532"/>
      <c r="P511" s="532"/>
      <c r="R511" s="2000"/>
      <c r="S511" s="2000"/>
      <c r="T511" s="2000"/>
    </row>
    <row r="512" spans="1:20">
      <c r="A512" s="1378" t="s">
        <v>4297</v>
      </c>
      <c r="B512" s="2184">
        <v>1.04674030712952</v>
      </c>
      <c r="C512" s="2184">
        <v>0.99288841637618697</v>
      </c>
      <c r="D512" s="1378">
        <v>0.94464469256119299</v>
      </c>
      <c r="E512" s="1378">
        <v>0.90263651993804705</v>
      </c>
      <c r="F512" s="1378">
        <v>0.86059234385929095</v>
      </c>
      <c r="G512" s="1378"/>
      <c r="H512" s="1378"/>
      <c r="N512" s="532"/>
      <c r="O512" s="532"/>
      <c r="P512" s="532"/>
      <c r="R512" s="2000"/>
      <c r="S512" s="2000"/>
      <c r="T512" s="2000"/>
    </row>
    <row r="513" spans="1:20">
      <c r="A513" s="1378" t="s">
        <v>4298</v>
      </c>
      <c r="B513" s="2184">
        <v>1.0678313642454</v>
      </c>
      <c r="C513" s="2184">
        <v>1.0126255089420499</v>
      </c>
      <c r="D513" s="1378">
        <v>0.963114739880924</v>
      </c>
      <c r="E513" s="1378">
        <v>0.919920861431339</v>
      </c>
      <c r="F513" s="1378">
        <v>0.87676709726869795</v>
      </c>
      <c r="G513" s="1378"/>
      <c r="H513" s="1378"/>
      <c r="N513" s="532"/>
      <c r="O513" s="532"/>
      <c r="P513" s="532"/>
      <c r="R513" s="2000"/>
      <c r="S513" s="2000"/>
      <c r="T513" s="2000"/>
    </row>
    <row r="514" spans="1:20">
      <c r="A514" s="1378" t="s">
        <v>4299</v>
      </c>
      <c r="B514" s="2184">
        <v>1.08756845681127</v>
      </c>
      <c r="C514" s="2184">
        <v>1.0310955562617801</v>
      </c>
      <c r="D514" s="1378">
        <v>0.98039908137421605</v>
      </c>
      <c r="E514" s="1378">
        <v>0.93609561484074599</v>
      </c>
      <c r="F514" s="1378">
        <v>0.89190349387117396</v>
      </c>
      <c r="G514" s="1378"/>
      <c r="H514" s="1378"/>
      <c r="N514" s="532"/>
      <c r="O514" s="532"/>
      <c r="P514" s="532"/>
      <c r="R514" s="2000"/>
      <c r="S514" s="2000"/>
      <c r="T514" s="2000"/>
    </row>
    <row r="515" spans="1:20">
      <c r="A515" s="1378" t="s">
        <v>4300</v>
      </c>
      <c r="B515" s="2184">
        <v>1.1060385041309999</v>
      </c>
      <c r="C515" s="2184">
        <v>1.04837989775507</v>
      </c>
      <c r="D515" s="1378">
        <v>0.99657383478362205</v>
      </c>
      <c r="E515" s="1378">
        <v>0.951232011443222</v>
      </c>
      <c r="F515" s="1378">
        <v>0.90606819217032897</v>
      </c>
      <c r="G515" s="1378"/>
      <c r="H515" s="1378"/>
      <c r="N515" s="532"/>
      <c r="O515" s="532"/>
      <c r="P515" s="532"/>
      <c r="R515" s="2000"/>
      <c r="S515" s="2000"/>
      <c r="T515" s="2000"/>
    </row>
    <row r="516" spans="1:20">
      <c r="A516" s="1378" t="s">
        <v>4301</v>
      </c>
      <c r="B516" s="2184">
        <v>1.1233228456242901</v>
      </c>
      <c r="C516" s="2184">
        <v>1.0645546511644799</v>
      </c>
      <c r="D516" s="1378">
        <v>1.0117102313860999</v>
      </c>
      <c r="E516" s="1378">
        <v>0.96539670974237601</v>
      </c>
      <c r="F516" s="1378">
        <v>0.91932357145083998</v>
      </c>
      <c r="G516" s="1378"/>
      <c r="H516" s="1378"/>
      <c r="N516" s="532"/>
      <c r="O516" s="532"/>
      <c r="P516" s="532"/>
      <c r="R516" s="2000"/>
      <c r="S516" s="2000"/>
      <c r="T516" s="2000"/>
    </row>
    <row r="517" spans="1:20">
      <c r="A517" s="1378" t="s">
        <v>4302</v>
      </c>
      <c r="B517" s="2184">
        <v>0.20340198419295</v>
      </c>
      <c r="C517" s="2184">
        <v>0.187787553895783</v>
      </c>
      <c r="D517" s="1378">
        <v>0.17864529402051499</v>
      </c>
      <c r="E517" s="1378">
        <v>0.17528617874166499</v>
      </c>
      <c r="F517" s="1378">
        <v>0.169525934272862</v>
      </c>
      <c r="G517" s="1378"/>
      <c r="H517" s="1378"/>
      <c r="N517" s="532"/>
      <c r="O517" s="532"/>
      <c r="P517" s="532"/>
      <c r="R517" s="2000"/>
      <c r="S517" s="2000"/>
      <c r="T517" s="2000"/>
    </row>
    <row r="518" spans="1:20">
      <c r="A518" s="1378" t="s">
        <v>4303</v>
      </c>
      <c r="B518" s="2184">
        <v>1.1394975990337</v>
      </c>
      <c r="C518" s="2184">
        <v>1.0796910477669599</v>
      </c>
      <c r="D518" s="1378">
        <v>1.0258749296852501</v>
      </c>
      <c r="E518" s="1378">
        <v>0.97865208902288803</v>
      </c>
      <c r="F518" s="1378">
        <v>0.93172800648781495</v>
      </c>
      <c r="G518" s="1378"/>
      <c r="H518" s="1378"/>
      <c r="N518" s="532"/>
      <c r="O518" s="532"/>
      <c r="P518" s="532"/>
      <c r="R518" s="2000"/>
      <c r="S518" s="2000"/>
      <c r="T518" s="2000"/>
    </row>
    <row r="519" spans="1:20">
      <c r="A519" s="1378" t="s">
        <v>4304</v>
      </c>
      <c r="B519" s="2184">
        <v>0.26273050176499801</v>
      </c>
      <c r="C519" s="2184">
        <v>0.246626110401374</v>
      </c>
      <c r="D519" s="1378">
        <v>0.23576439868454199</v>
      </c>
      <c r="E519" s="1378">
        <v>0.22885445184490999</v>
      </c>
      <c r="F519" s="1378">
        <v>0.21965035389704399</v>
      </c>
      <c r="G519" s="1378"/>
      <c r="H519" s="1378"/>
      <c r="N519" s="532"/>
      <c r="O519" s="532"/>
      <c r="P519" s="532"/>
      <c r="R519" s="2000"/>
      <c r="S519" s="2000"/>
      <c r="T519" s="2000"/>
    </row>
    <row r="520" spans="1:20">
      <c r="A520" s="1378" t="s">
        <v>4305</v>
      </c>
      <c r="B520" s="2184">
        <v>0.32156905827058802</v>
      </c>
      <c r="C520" s="2184">
        <v>0.30374521506540098</v>
      </c>
      <c r="D520" s="1378">
        <v>0.28933267178778699</v>
      </c>
      <c r="E520" s="1378">
        <v>0.278978871469093</v>
      </c>
      <c r="F520" s="1378">
        <v>0.26687581863077697</v>
      </c>
      <c r="G520" s="1378"/>
      <c r="H520" s="1378"/>
      <c r="N520" s="532"/>
      <c r="O520" s="532"/>
      <c r="P520" s="532"/>
      <c r="R520" s="2000"/>
      <c r="S520" s="2000"/>
      <c r="T520" s="2000"/>
    </row>
    <row r="521" spans="1:20">
      <c r="A521" s="1378" t="s">
        <v>4306</v>
      </c>
      <c r="B521" s="2184">
        <v>0.37868816293461499</v>
      </c>
      <c r="C521" s="2184">
        <v>0.357313488168646</v>
      </c>
      <c r="D521" s="1378">
        <v>0.339457091411969</v>
      </c>
      <c r="E521" s="1378">
        <v>0.32620433620282502</v>
      </c>
      <c r="F521" s="1378">
        <v>0.31188492171281901</v>
      </c>
      <c r="G521" s="1378"/>
      <c r="H521" s="1378"/>
      <c r="N521" s="532"/>
      <c r="O521" s="532"/>
      <c r="P521" s="532"/>
      <c r="R521" s="2000"/>
      <c r="S521" s="2000"/>
      <c r="T521" s="2000"/>
    </row>
    <row r="522" spans="1:20">
      <c r="A522" s="1378" t="s">
        <v>4307</v>
      </c>
      <c r="B522" s="2184">
        <v>0.43225643603786001</v>
      </c>
      <c r="C522" s="2184">
        <v>0.40743790779282801</v>
      </c>
      <c r="D522" s="1378">
        <v>0.38668255614570202</v>
      </c>
      <c r="E522" s="1378">
        <v>0.371213439284867</v>
      </c>
      <c r="F522" s="1378">
        <v>0.35437298699678199</v>
      </c>
      <c r="G522" s="1378"/>
      <c r="H522" s="1378"/>
      <c r="N522" s="532"/>
      <c r="O522" s="532"/>
      <c r="P522" s="532"/>
      <c r="R522" s="2000"/>
      <c r="S522" s="2000"/>
      <c r="T522" s="2000"/>
    </row>
    <row r="523" spans="1:20">
      <c r="A523" s="1378" t="s">
        <v>4308</v>
      </c>
      <c r="B523" s="2184">
        <v>0.48238085566204197</v>
      </c>
      <c r="C523" s="2184">
        <v>0.45466337252656103</v>
      </c>
      <c r="D523" s="1378">
        <v>0.431691659227744</v>
      </c>
      <c r="E523" s="1378">
        <v>0.41370150456882998</v>
      </c>
      <c r="F523" s="1378">
        <v>0.39500799176374302</v>
      </c>
      <c r="G523" s="1378"/>
      <c r="H523" s="1378"/>
      <c r="N523" s="532"/>
      <c r="O523" s="532"/>
      <c r="P523" s="532"/>
      <c r="R523" s="2000"/>
      <c r="S523" s="2000"/>
      <c r="T523" s="2000"/>
    </row>
    <row r="524" spans="1:20">
      <c r="A524" s="1378" t="s">
        <v>4309</v>
      </c>
      <c r="B524" s="2184">
        <v>0.52960632039577504</v>
      </c>
      <c r="C524" s="2184">
        <v>0.49967247560860301</v>
      </c>
      <c r="D524" s="1378">
        <v>0.47417972451170598</v>
      </c>
      <c r="E524" s="1378">
        <v>0.45433650933579101</v>
      </c>
      <c r="F524" s="1378">
        <v>0.43385420851022299</v>
      </c>
      <c r="G524" s="1378"/>
      <c r="H524" s="1378"/>
      <c r="N524" s="532"/>
      <c r="O524" s="532"/>
      <c r="P524" s="532"/>
      <c r="R524" s="2000"/>
      <c r="S524" s="2000"/>
      <c r="T524" s="2000"/>
    </row>
    <row r="525" spans="1:20">
      <c r="A525" s="1378" t="s">
        <v>4310</v>
      </c>
      <c r="B525" s="2184">
        <v>6.2939947776107591E-2</v>
      </c>
      <c r="C525" s="2184">
        <v>5.889944579459816E-2</v>
      </c>
      <c r="D525" s="1378">
        <v>5.292414624354011E-2</v>
      </c>
      <c r="E525" s="1378">
        <v>4.6437891018163598E-2</v>
      </c>
      <c r="F525" s="1378">
        <v>4.5832728321793498E-2</v>
      </c>
      <c r="G525" s="1378"/>
      <c r="H525" s="1378"/>
      <c r="N525" s="532"/>
      <c r="O525" s="532"/>
      <c r="P525" s="532"/>
      <c r="R525" s="2000"/>
      <c r="S525" s="2000"/>
      <c r="T525" s="2000"/>
    </row>
    <row r="526" spans="1:20">
      <c r="A526" s="1378" t="s">
        <v>4311</v>
      </c>
      <c r="B526" s="2184">
        <v>0.47457445064834375</v>
      </c>
      <c r="C526" s="2184">
        <v>0.44645381442116189</v>
      </c>
      <c r="D526" s="1378">
        <v>0.4203531050451893</v>
      </c>
      <c r="E526" s="1378">
        <v>0.39880911119171675</v>
      </c>
      <c r="F526" s="1378">
        <v>0.38237886377810698</v>
      </c>
      <c r="G526" s="1378"/>
      <c r="H526" s="1378"/>
      <c r="N526" s="532"/>
      <c r="O526" s="532"/>
      <c r="P526" s="532"/>
      <c r="R526" s="2000"/>
      <c r="S526" s="2000"/>
      <c r="T526" s="2000"/>
    </row>
    <row r="527" spans="1:20">
      <c r="A527" s="1378" t="s">
        <v>4312</v>
      </c>
      <c r="B527" s="2184">
        <v>0.5093937621972694</v>
      </c>
      <c r="C527" s="2184">
        <v>0.47925255083978752</v>
      </c>
      <c r="D527" s="1378">
        <v>0.45173325743525683</v>
      </c>
      <c r="E527" s="1378">
        <v>0.42881675479627057</v>
      </c>
      <c r="F527" s="1378">
        <v>0.41084858589424939</v>
      </c>
      <c r="G527" s="1378"/>
      <c r="H527" s="1378"/>
      <c r="N527" s="532"/>
      <c r="O527" s="532"/>
      <c r="P527" s="532"/>
      <c r="R527" s="2000"/>
      <c r="S527" s="2000"/>
      <c r="T527" s="2000"/>
    </row>
    <row r="528" spans="1:20">
      <c r="A528" s="1378" t="s">
        <v>4313</v>
      </c>
      <c r="B528" s="2184">
        <v>0.54219249861589514</v>
      </c>
      <c r="C528" s="2184">
        <v>0.51063270322985488</v>
      </c>
      <c r="D528" s="1378">
        <v>0.48174090103981071</v>
      </c>
      <c r="E528" s="1378">
        <v>0.45728647691241309</v>
      </c>
      <c r="F528" s="1378">
        <v>0.43807304654130136</v>
      </c>
      <c r="G528" s="1378"/>
      <c r="H528" s="1378"/>
      <c r="N528" s="532"/>
      <c r="O528" s="532"/>
      <c r="P528" s="532"/>
      <c r="R528" s="2000"/>
      <c r="S528" s="2000"/>
      <c r="T528" s="2000"/>
    </row>
    <row r="529" spans="1:20">
      <c r="A529" s="1378" t="s">
        <v>4314</v>
      </c>
      <c r="B529" s="2184">
        <v>0.57357265100596266</v>
      </c>
      <c r="C529" s="2184">
        <v>0.54064034683440876</v>
      </c>
      <c r="D529" s="1378">
        <v>0.51021062315595322</v>
      </c>
      <c r="E529" s="1378">
        <v>0.48451093755946495</v>
      </c>
      <c r="F529" s="1378">
        <v>0.46410673359679344</v>
      </c>
      <c r="G529" s="1378"/>
      <c r="H529" s="1378"/>
      <c r="N529" s="532"/>
      <c r="O529" s="532"/>
      <c r="P529" s="532"/>
      <c r="R529" s="2000"/>
      <c r="S529" s="2000"/>
      <c r="T529" s="2000"/>
    </row>
    <row r="530" spans="1:20">
      <c r="A530" s="1378" t="s">
        <v>4315</v>
      </c>
      <c r="B530" s="2184">
        <v>0.60358029461051643</v>
      </c>
      <c r="C530" s="2184">
        <v>0.56911006895055138</v>
      </c>
      <c r="D530" s="1378">
        <v>0.53743508380300509</v>
      </c>
      <c r="E530" s="1378">
        <v>0.51054462461495709</v>
      </c>
      <c r="F530" s="1378">
        <v>0.48900174984155836</v>
      </c>
      <c r="G530" s="1378"/>
      <c r="H530" s="1378"/>
      <c r="N530" s="532"/>
      <c r="O530" s="532"/>
      <c r="P530" s="532"/>
      <c r="R530" s="2000"/>
      <c r="S530" s="2000"/>
      <c r="T530" s="2000"/>
    </row>
    <row r="531" spans="1:20">
      <c r="A531" s="1378" t="s">
        <v>4316</v>
      </c>
      <c r="B531" s="2184">
        <v>0.63205001672665895</v>
      </c>
      <c r="C531" s="2184">
        <v>0.59633452959760347</v>
      </c>
      <c r="D531" s="1378">
        <v>0.56346877085849723</v>
      </c>
      <c r="E531" s="1378">
        <v>0.53543964085972195</v>
      </c>
      <c r="F531" s="1378">
        <v>0.51280791740375542</v>
      </c>
      <c r="G531" s="1378"/>
      <c r="H531" s="1378"/>
      <c r="N531" s="532"/>
      <c r="O531" s="532"/>
      <c r="P531" s="532"/>
      <c r="R531" s="2000"/>
      <c r="S531" s="2000"/>
      <c r="T531" s="2000"/>
    </row>
    <row r="532" spans="1:20">
      <c r="A532" s="1378" t="s">
        <v>4317</v>
      </c>
      <c r="B532" s="2184">
        <v>0.65927447737371103</v>
      </c>
      <c r="C532" s="2184">
        <v>0.62236821665309527</v>
      </c>
      <c r="D532" s="1378">
        <v>0.58836378710326198</v>
      </c>
      <c r="E532" s="1378">
        <v>0.55924580842191907</v>
      </c>
      <c r="F532" s="1378">
        <v>0.53557287762740635</v>
      </c>
      <c r="G532" s="1378"/>
      <c r="H532" s="1378"/>
      <c r="N532" s="532"/>
      <c r="O532" s="532"/>
      <c r="P532" s="532"/>
      <c r="R532" s="2000"/>
      <c r="S532" s="2000"/>
      <c r="T532" s="2000"/>
    </row>
    <row r="533" spans="1:20">
      <c r="A533" s="1378" t="s">
        <v>4318</v>
      </c>
      <c r="B533" s="2184">
        <v>0.68530816442920295</v>
      </c>
      <c r="C533" s="2184">
        <v>0.64726323289786036</v>
      </c>
      <c r="D533" s="1378">
        <v>0.61216995466545931</v>
      </c>
      <c r="E533" s="1378">
        <v>0.58201076864557</v>
      </c>
      <c r="F533" s="1378">
        <v>0.55737320160949133</v>
      </c>
      <c r="G533" s="1378"/>
      <c r="H533" s="1378"/>
      <c r="N533" s="532"/>
      <c r="O533" s="532"/>
      <c r="P533" s="532"/>
      <c r="R533" s="2000"/>
      <c r="S533" s="2000"/>
      <c r="T533" s="2000"/>
    </row>
    <row r="534" spans="1:20">
      <c r="A534" s="1378" t="s">
        <v>4319</v>
      </c>
      <c r="B534" s="2184">
        <v>0.71020318067396793</v>
      </c>
      <c r="C534" s="2184">
        <v>0.67106940046005725</v>
      </c>
      <c r="D534" s="1378">
        <v>0.63493491488911014</v>
      </c>
      <c r="E534" s="1378">
        <v>0.60381109262765498</v>
      </c>
      <c r="F534" s="1378">
        <v>0.57822002581346399</v>
      </c>
      <c r="G534" s="1378"/>
      <c r="H534" s="1378"/>
      <c r="N534" s="532"/>
      <c r="O534" s="532"/>
      <c r="P534" s="532"/>
      <c r="R534" s="2000"/>
      <c r="S534" s="2000"/>
      <c r="T534" s="2000"/>
    </row>
    <row r="535" spans="1:20">
      <c r="A535" s="1378" t="s">
        <v>4320</v>
      </c>
      <c r="B535" s="2184">
        <v>0.7340093482361647</v>
      </c>
      <c r="C535" s="2184">
        <v>0.69383436068370818</v>
      </c>
      <c r="D535" s="1378">
        <v>0.65673523887119511</v>
      </c>
      <c r="E535" s="1378">
        <v>0.62465791683162741</v>
      </c>
      <c r="F535" s="1378">
        <v>0.59815506979544986</v>
      </c>
      <c r="G535" s="1378"/>
      <c r="H535" s="1378"/>
      <c r="N535" s="532"/>
      <c r="O535" s="532"/>
      <c r="P535" s="532"/>
      <c r="R535" s="2000"/>
      <c r="S535" s="2000"/>
      <c r="T535" s="2000"/>
    </row>
    <row r="536" spans="1:20">
      <c r="A536" s="1378" t="s">
        <v>4321</v>
      </c>
      <c r="B536" s="2184">
        <v>0.12183939357070575</v>
      </c>
      <c r="C536" s="2184">
        <v>0.11182359203813828</v>
      </c>
      <c r="D536" s="1378">
        <v>9.9362037261703715E-2</v>
      </c>
      <c r="E536" s="1378">
        <v>9.2270619339957116E-2</v>
      </c>
      <c r="F536" s="1378">
        <v>9.1628625574283945E-2</v>
      </c>
      <c r="G536" s="1378"/>
      <c r="H536" s="1378"/>
      <c r="N536" s="532"/>
      <c r="O536" s="532"/>
      <c r="P536" s="532"/>
      <c r="R536" s="2000"/>
      <c r="S536" s="2000"/>
      <c r="T536" s="2000"/>
    </row>
    <row r="537" spans="1:20">
      <c r="A537" s="1378" t="s">
        <v>4322</v>
      </c>
      <c r="B537" s="2184">
        <v>0.75677430845981597</v>
      </c>
      <c r="C537" s="2184">
        <v>0.71563468466579327</v>
      </c>
      <c r="D537" s="1378">
        <v>0.67758206307516766</v>
      </c>
      <c r="E537" s="1378">
        <v>0.6445929608136135</v>
      </c>
      <c r="F537" s="1378">
        <v>0.61721822700998263</v>
      </c>
      <c r="G537" s="1378"/>
      <c r="H537" s="1378"/>
      <c r="N537" s="532"/>
      <c r="O537" s="532"/>
      <c r="P537" s="532"/>
      <c r="R537" s="2000"/>
      <c r="S537" s="2000"/>
      <c r="T537" s="2000"/>
    </row>
    <row r="538" spans="1:20">
      <c r="A538" s="1378" t="s">
        <v>4323</v>
      </c>
      <c r="B538" s="2184">
        <v>0.77857463244190084</v>
      </c>
      <c r="C538" s="2184">
        <v>0.73648150886976593</v>
      </c>
      <c r="D538" s="1378">
        <v>0.69751710705715353</v>
      </c>
      <c r="E538" s="1378">
        <v>0.66365611802814628</v>
      </c>
      <c r="F538" s="1378">
        <v>0.63544764477153526</v>
      </c>
      <c r="G538" s="1378"/>
      <c r="H538" s="1378"/>
      <c r="N538" s="532"/>
      <c r="O538" s="532"/>
      <c r="P538" s="532"/>
      <c r="R538" s="2000"/>
      <c r="S538" s="2000"/>
      <c r="T538" s="2000"/>
    </row>
    <row r="539" spans="1:20">
      <c r="A539" s="1378" t="s">
        <v>4324</v>
      </c>
      <c r="B539" s="2184">
        <v>0.79942145664587316</v>
      </c>
      <c r="C539" s="2184">
        <v>0.75641655285175169</v>
      </c>
      <c r="D539" s="1378">
        <v>0.71658026427168631</v>
      </c>
      <c r="E539" s="1378">
        <v>0.6818855357896989</v>
      </c>
      <c r="F539" s="1378">
        <v>0.6525068041965334</v>
      </c>
      <c r="G539" s="1378"/>
      <c r="H539" s="1378"/>
      <c r="N539" s="532"/>
      <c r="O539" s="532"/>
      <c r="P539" s="532"/>
      <c r="R539" s="2000"/>
      <c r="S539" s="2000"/>
      <c r="T539" s="2000"/>
    </row>
    <row r="540" spans="1:20">
      <c r="A540" s="1378" t="s">
        <v>4325</v>
      </c>
      <c r="B540" s="2184">
        <v>0.81935650062785936</v>
      </c>
      <c r="C540" s="2184">
        <v>0.77547971006628458</v>
      </c>
      <c r="D540" s="1378">
        <v>0.73480968203323904</v>
      </c>
      <c r="E540" s="1378">
        <v>0.69894469521469671</v>
      </c>
      <c r="F540" s="1378">
        <v>0.66847083135823826</v>
      </c>
      <c r="G540" s="1378"/>
      <c r="H540" s="1378"/>
      <c r="N540" s="532"/>
      <c r="O540" s="532"/>
      <c r="P540" s="532"/>
      <c r="R540" s="2000"/>
      <c r="S540" s="2000"/>
      <c r="T540" s="2000"/>
    </row>
    <row r="541" spans="1:20">
      <c r="A541" s="1378" t="s">
        <v>4326</v>
      </c>
      <c r="B541" s="2184">
        <v>0.83841965784239214</v>
      </c>
      <c r="C541" s="2184">
        <v>0.79370912782783709</v>
      </c>
      <c r="D541" s="1378">
        <v>0.75186884145823696</v>
      </c>
      <c r="E541" s="1378">
        <v>0.7149087223764018</v>
      </c>
      <c r="F541" s="1378">
        <v>0.6834100295256581</v>
      </c>
      <c r="G541" s="1378"/>
      <c r="H541" s="1378"/>
      <c r="N541" s="532"/>
      <c r="O541" s="532"/>
      <c r="P541" s="532"/>
      <c r="R541" s="2000"/>
      <c r="S541" s="2000"/>
      <c r="T541" s="2000"/>
    </row>
    <row r="542" spans="1:20">
      <c r="A542" s="1378" t="s">
        <v>4327</v>
      </c>
      <c r="B542" s="2184">
        <v>0.85664907560394499</v>
      </c>
      <c r="C542" s="2184">
        <v>0.81076828725283512</v>
      </c>
      <c r="D542" s="1378">
        <v>0.76783286861994182</v>
      </c>
      <c r="E542" s="1378">
        <v>0.72984792054382164</v>
      </c>
      <c r="F542" s="1378">
        <v>0.69739018876898595</v>
      </c>
      <c r="G542" s="1378"/>
      <c r="H542" s="1378"/>
      <c r="N542" s="532"/>
      <c r="O542" s="532"/>
      <c r="P542" s="532"/>
      <c r="R542" s="2000"/>
      <c r="S542" s="2000"/>
      <c r="T542" s="2000"/>
    </row>
    <row r="543" spans="1:20">
      <c r="A543" s="1378" t="s">
        <v>4328</v>
      </c>
      <c r="B543" s="2184">
        <v>0.17476353981424586</v>
      </c>
      <c r="C543" s="2184">
        <v>0.15826148305630189</v>
      </c>
      <c r="D543" s="1378">
        <v>0.14519476558349717</v>
      </c>
      <c r="E543" s="1378">
        <v>0.13806651659244751</v>
      </c>
      <c r="F543" s="1378">
        <v>0.13623484153320792</v>
      </c>
      <c r="G543" s="1378"/>
      <c r="H543" s="1378"/>
      <c r="N543" s="532"/>
      <c r="O543" s="532"/>
      <c r="P543" s="532"/>
      <c r="R543" s="2000"/>
      <c r="S543" s="2000"/>
      <c r="T543" s="2000"/>
    </row>
    <row r="544" spans="1:20">
      <c r="A544" s="1378" t="s">
        <v>4329</v>
      </c>
      <c r="B544" s="2184">
        <v>0.22120143083240948</v>
      </c>
      <c r="C544" s="2184">
        <v>0.20409421137809541</v>
      </c>
      <c r="D544" s="1378">
        <v>0.19099066283598767</v>
      </c>
      <c r="E544" s="1378">
        <v>0.18267273255137148</v>
      </c>
      <c r="F544" s="1378">
        <v>0.17794456342182069</v>
      </c>
      <c r="G544" s="1378"/>
      <c r="H544" s="1378"/>
      <c r="N544" s="532"/>
      <c r="O544" s="532"/>
      <c r="P544" s="532"/>
      <c r="R544" s="2000"/>
      <c r="S544" s="2000"/>
      <c r="T544" s="2000"/>
    </row>
    <row r="545" spans="1:20">
      <c r="A545" s="1378" t="s">
        <v>4330</v>
      </c>
      <c r="B545" s="2184">
        <v>0.26703415915420303</v>
      </c>
      <c r="C545" s="2184">
        <v>0.24989010863058583</v>
      </c>
      <c r="D545" s="1378">
        <v>0.23559687879491167</v>
      </c>
      <c r="E545" s="1378">
        <v>0.22438245443998431</v>
      </c>
      <c r="F545" s="1378">
        <v>0.21682846999390507</v>
      </c>
      <c r="G545" s="1378"/>
      <c r="H545" s="1378"/>
      <c r="N545" s="532"/>
      <c r="O545" s="532"/>
      <c r="P545" s="532"/>
      <c r="R545" s="2000"/>
      <c r="S545" s="2000"/>
      <c r="T545" s="2000"/>
    </row>
    <row r="546" spans="1:20">
      <c r="A546" s="1378" t="s">
        <v>4331</v>
      </c>
      <c r="B546" s="2184">
        <v>0.31283005640669348</v>
      </c>
      <c r="C546" s="2184">
        <v>0.29449632458950981</v>
      </c>
      <c r="D546" s="1378">
        <v>0.27730660068352442</v>
      </c>
      <c r="E546" s="1378">
        <v>0.26326636101206863</v>
      </c>
      <c r="F546" s="1378">
        <v>0.2533730198159343</v>
      </c>
      <c r="G546" s="1378"/>
      <c r="H546" s="1378"/>
      <c r="N546" s="532"/>
      <c r="O546" s="532"/>
      <c r="P546" s="532"/>
      <c r="R546" s="2000"/>
      <c r="S546" s="2000"/>
      <c r="T546" s="2000"/>
    </row>
    <row r="547" spans="1:20">
      <c r="A547" s="1378" t="s">
        <v>4332</v>
      </c>
      <c r="B547" s="2184">
        <v>0.35743627236561748</v>
      </c>
      <c r="C547" s="2184">
        <v>0.33620604647812263</v>
      </c>
      <c r="D547" s="1378">
        <v>0.31619050725560877</v>
      </c>
      <c r="E547" s="1378">
        <v>0.29981091083409783</v>
      </c>
      <c r="F547" s="1378">
        <v>0.28819233136486</v>
      </c>
      <c r="G547" s="1378"/>
      <c r="H547" s="1378"/>
      <c r="N547" s="532"/>
      <c r="O547" s="532"/>
      <c r="P547" s="532"/>
      <c r="R547" s="2000"/>
      <c r="S547" s="2000"/>
      <c r="T547" s="2000"/>
    </row>
    <row r="548" spans="1:20">
      <c r="A548" s="1378" t="s">
        <v>4333</v>
      </c>
      <c r="B548" s="2184">
        <v>0.3991459942542302</v>
      </c>
      <c r="C548" s="2184">
        <v>0.37508995305020698</v>
      </c>
      <c r="D548" s="1378">
        <v>0.35273505707763797</v>
      </c>
      <c r="E548" s="1378">
        <v>0.33463022238302353</v>
      </c>
      <c r="F548" s="1378">
        <v>0.32099106778348557</v>
      </c>
      <c r="G548" s="1378"/>
      <c r="H548" s="1378"/>
      <c r="N548" s="532"/>
      <c r="O548" s="532"/>
      <c r="P548" s="532"/>
      <c r="R548" s="2000"/>
      <c r="S548" s="2000"/>
      <c r="T548" s="2000"/>
    </row>
    <row r="549" spans="1:20">
      <c r="A549" s="1378" t="s">
        <v>4334</v>
      </c>
      <c r="B549" s="2184">
        <v>0.43802990082631449</v>
      </c>
      <c r="C549" s="2184">
        <v>0.41163450287223619</v>
      </c>
      <c r="D549" s="1378">
        <v>0.38755436862656378</v>
      </c>
      <c r="E549" s="1378">
        <v>0.36742895880164911</v>
      </c>
      <c r="F549" s="1378">
        <v>0.3523712201735531</v>
      </c>
      <c r="G549" s="1378"/>
      <c r="H549" s="1378"/>
      <c r="N549" s="532"/>
      <c r="O549" s="532"/>
      <c r="P549" s="532"/>
      <c r="R549" s="2000"/>
      <c r="S549" s="2000"/>
      <c r="T549" s="2000"/>
    </row>
    <row r="550" spans="1:20">
      <c r="A550" s="1378" t="s">
        <v>4335</v>
      </c>
      <c r="B550" s="2184">
        <v>6.9716271613440697E-2</v>
      </c>
      <c r="C550" s="2184">
        <v>6.3109478788013804E-2</v>
      </c>
      <c r="D550" s="1378">
        <v>5.59776275933562E-2</v>
      </c>
      <c r="E550" s="1378">
        <v>5.4985269379490498E-2</v>
      </c>
      <c r="F550" s="1378">
        <v>5.4619524087442903E-2</v>
      </c>
      <c r="G550" s="1378"/>
      <c r="H550" s="1378"/>
      <c r="N550" s="532"/>
      <c r="O550" s="532"/>
      <c r="P550" s="532"/>
      <c r="R550" s="2000"/>
      <c r="S550" s="2000"/>
      <c r="T550" s="2000"/>
    </row>
    <row r="551" spans="1:20">
      <c r="A551" s="1378" t="s">
        <v>4336</v>
      </c>
      <c r="B551" s="2184">
        <v>0.533208885762264</v>
      </c>
      <c r="C551" s="2184">
        <v>0.50286397471632904</v>
      </c>
      <c r="D551" s="1378">
        <v>0.47741180113305798</v>
      </c>
      <c r="E551" s="1378">
        <v>0.45743606583441199</v>
      </c>
      <c r="F551" s="1378">
        <v>0.436633971133562</v>
      </c>
      <c r="G551" s="1378"/>
      <c r="H551" s="1378"/>
      <c r="N551" s="532"/>
      <c r="O551" s="532"/>
      <c r="P551" s="532"/>
      <c r="R551" s="2000"/>
      <c r="S551" s="2000"/>
      <c r="T551" s="2000"/>
    </row>
    <row r="552" spans="1:20">
      <c r="A552" s="1378" t="s">
        <v>4337</v>
      </c>
      <c r="B552" s="2184">
        <v>0.57258024632977</v>
      </c>
      <c r="C552" s="2184">
        <v>0.54052127992107202</v>
      </c>
      <c r="D552" s="1378">
        <v>0.51341369342776799</v>
      </c>
      <c r="E552" s="1378">
        <v>0.491619240513052</v>
      </c>
      <c r="F552" s="1378">
        <v>0.46931437560960099</v>
      </c>
      <c r="G552" s="1378"/>
      <c r="H552" s="1378"/>
      <c r="N552" s="532"/>
      <c r="O552" s="532"/>
      <c r="P552" s="532"/>
      <c r="R552" s="2000"/>
      <c r="S552" s="2000"/>
      <c r="T552" s="2000"/>
    </row>
    <row r="553" spans="1:20">
      <c r="A553" s="1378" t="s">
        <v>4338</v>
      </c>
      <c r="B553" s="2184">
        <v>0.61023755153451198</v>
      </c>
      <c r="C553" s="2184">
        <v>0.57652317221578198</v>
      </c>
      <c r="D553" s="1378">
        <v>0.54759686810640795</v>
      </c>
      <c r="E553" s="1378">
        <v>0.52429964498909098</v>
      </c>
      <c r="F553" s="1378">
        <v>0.50055810790656297</v>
      </c>
      <c r="G553" s="1378"/>
      <c r="H553" s="1378"/>
      <c r="N553" s="532"/>
      <c r="O553" s="532"/>
      <c r="P553" s="532"/>
      <c r="R553" s="2000"/>
      <c r="S553" s="2000"/>
      <c r="T553" s="2000"/>
    </row>
    <row r="554" spans="1:20">
      <c r="A554" s="1378" t="s">
        <v>4339</v>
      </c>
      <c r="B554" s="2184">
        <v>0.64623944382922305</v>
      </c>
      <c r="C554" s="2184">
        <v>0.61070634689442205</v>
      </c>
      <c r="D554" s="1378">
        <v>0.58027727258244699</v>
      </c>
      <c r="E554" s="1378">
        <v>0.55554337728605296</v>
      </c>
      <c r="F554" s="1378">
        <v>0.53042835731331395</v>
      </c>
      <c r="G554" s="1378"/>
      <c r="H554" s="1378"/>
      <c r="N554" s="532"/>
      <c r="O554" s="532"/>
      <c r="P554" s="532"/>
      <c r="R554" s="2000"/>
      <c r="S554" s="2000"/>
      <c r="T554" s="2000"/>
    </row>
    <row r="555" spans="1:20">
      <c r="A555" s="1378" t="s">
        <v>4340</v>
      </c>
      <c r="B555" s="2184">
        <v>0.68042261850786301</v>
      </c>
      <c r="C555" s="2184">
        <v>0.64338675137046097</v>
      </c>
      <c r="D555" s="1378">
        <v>0.61152100487940897</v>
      </c>
      <c r="E555" s="1378">
        <v>0.58541362669280395</v>
      </c>
      <c r="F555" s="1378">
        <v>0.55898553245286198</v>
      </c>
      <c r="G555" s="1378"/>
      <c r="H555" s="1378"/>
      <c r="N555" s="532"/>
      <c r="O555" s="532"/>
      <c r="P555" s="532"/>
      <c r="R555" s="2000"/>
      <c r="S555" s="2000"/>
      <c r="T555" s="2000"/>
    </row>
    <row r="556" spans="1:20">
      <c r="A556" s="1378" t="s">
        <v>4341</v>
      </c>
      <c r="B556" s="2184">
        <v>0.71310302298390205</v>
      </c>
      <c r="C556" s="2184">
        <v>0.67463048366742295</v>
      </c>
      <c r="D556" s="1378">
        <v>0.64139125428615995</v>
      </c>
      <c r="E556" s="1378">
        <v>0.61397080183235198</v>
      </c>
      <c r="F556" s="1378">
        <v>0.58628738370945699</v>
      </c>
      <c r="G556" s="1378"/>
      <c r="H556" s="1378"/>
      <c r="N556" s="532"/>
      <c r="O556" s="532"/>
      <c r="P556" s="532"/>
      <c r="R556" s="2000"/>
      <c r="S556" s="2000"/>
      <c r="T556" s="2000"/>
    </row>
    <row r="557" spans="1:20">
      <c r="A557" s="1378" t="s">
        <v>4342</v>
      </c>
      <c r="B557" s="2184">
        <v>0.74434675528086403</v>
      </c>
      <c r="C557" s="2184">
        <v>0.70450073307417405</v>
      </c>
      <c r="D557" s="1378">
        <v>0.66994842942570798</v>
      </c>
      <c r="E557" s="1378">
        <v>0.64127265308894699</v>
      </c>
      <c r="F557" s="1378">
        <v>0.61244655111442303</v>
      </c>
      <c r="G557" s="1378"/>
      <c r="H557" s="1378"/>
      <c r="N557" s="532"/>
      <c r="O557" s="532"/>
      <c r="P557" s="532"/>
      <c r="R557" s="2000"/>
      <c r="S557" s="2000"/>
      <c r="T557" s="2000"/>
    </row>
    <row r="558" spans="1:20">
      <c r="A558" s="1378" t="s">
        <v>4343</v>
      </c>
      <c r="B558" s="2184">
        <v>0.77421700468761501</v>
      </c>
      <c r="C558" s="2184">
        <v>0.73305790821372196</v>
      </c>
      <c r="D558" s="1378">
        <v>0.69725028068230299</v>
      </c>
      <c r="E558" s="1378">
        <v>0.66743182049391403</v>
      </c>
      <c r="F558" s="1378">
        <v>0.637455771710566</v>
      </c>
      <c r="G558" s="1378"/>
      <c r="H558" s="1378"/>
      <c r="N558" s="532"/>
      <c r="O558" s="532"/>
      <c r="P558" s="532"/>
      <c r="R558" s="2000"/>
      <c r="S558" s="2000"/>
      <c r="T558" s="2000"/>
    </row>
    <row r="559" spans="1:20">
      <c r="A559" s="1378" t="s">
        <v>4344</v>
      </c>
      <c r="B559" s="2184">
        <v>0.80277417982716304</v>
      </c>
      <c r="C559" s="2184">
        <v>0.76035975947031798</v>
      </c>
      <c r="D559" s="1378">
        <v>0.72340944808727004</v>
      </c>
      <c r="E559" s="1378">
        <v>0.692441041090057</v>
      </c>
      <c r="F559" s="1378">
        <v>0.66136562176815406</v>
      </c>
      <c r="G559" s="1378"/>
      <c r="H559" s="1378"/>
      <c r="N559" s="532"/>
      <c r="O559" s="532"/>
      <c r="P559" s="532"/>
      <c r="R559" s="2000"/>
      <c r="S559" s="2000"/>
      <c r="T559" s="2000"/>
    </row>
    <row r="560" spans="1:20">
      <c r="A560" s="1378" t="s">
        <v>4345</v>
      </c>
      <c r="B560" s="2184">
        <v>0.83007603108375805</v>
      </c>
      <c r="C560" s="2184">
        <v>0.78651892687528402</v>
      </c>
      <c r="D560" s="1378">
        <v>0.748418668683413</v>
      </c>
      <c r="E560" s="1378">
        <v>0.71635089114764505</v>
      </c>
      <c r="F560" s="1378">
        <v>0.68422445201905602</v>
      </c>
      <c r="G560" s="1378"/>
      <c r="H560" s="1378"/>
      <c r="N560" s="532"/>
      <c r="O560" s="532"/>
      <c r="P560" s="532"/>
      <c r="R560" s="2000"/>
      <c r="S560" s="2000"/>
      <c r="T560" s="2000"/>
    </row>
    <row r="561" spans="1:20">
      <c r="A561" s="1378" t="s">
        <v>4346</v>
      </c>
      <c r="B561" s="2184">
        <v>0.132825750401454</v>
      </c>
      <c r="C561" s="2184">
        <v>0.11908710638137</v>
      </c>
      <c r="D561" s="1378">
        <v>0.110962896972847</v>
      </c>
      <c r="E561" s="1378">
        <v>0.109604793466933</v>
      </c>
      <c r="F561" s="1378">
        <v>0.10768131933181101</v>
      </c>
      <c r="G561" s="1378"/>
      <c r="H561" s="1378"/>
      <c r="N561" s="532"/>
      <c r="O561" s="532"/>
      <c r="P561" s="532"/>
      <c r="R561" s="2000"/>
      <c r="S561" s="2000"/>
      <c r="T561" s="2000"/>
    </row>
    <row r="562" spans="1:20">
      <c r="A562" s="1378" t="s">
        <v>4347</v>
      </c>
      <c r="B562" s="2184">
        <v>0.85623519848872498</v>
      </c>
      <c r="C562" s="2184">
        <v>0.81152814747142699</v>
      </c>
      <c r="D562" s="1378">
        <v>0.77232851874100095</v>
      </c>
      <c r="E562" s="1378">
        <v>0.73920972139854602</v>
      </c>
      <c r="F562" s="1378">
        <v>0.70607848563878794</v>
      </c>
      <c r="G562" s="1378"/>
      <c r="H562" s="1378"/>
      <c r="N562" s="532"/>
      <c r="O562" s="532"/>
      <c r="P562" s="532"/>
      <c r="R562" s="2000"/>
      <c r="S562" s="2000"/>
      <c r="T562" s="2000"/>
    </row>
    <row r="563" spans="1:20">
      <c r="A563" s="1378" t="s">
        <v>4348</v>
      </c>
      <c r="B563" s="2184">
        <v>0.88124441908486695</v>
      </c>
      <c r="C563" s="2184">
        <v>0.83543799752901504</v>
      </c>
      <c r="D563" s="1378">
        <v>0.79518734899190302</v>
      </c>
      <c r="E563" s="1378">
        <v>0.76106375501827805</v>
      </c>
      <c r="F563" s="1378">
        <v>0.72697191191252897</v>
      </c>
      <c r="G563" s="1378"/>
      <c r="H563" s="1378"/>
      <c r="N563" s="532"/>
      <c r="O563" s="532"/>
      <c r="P563" s="532"/>
      <c r="R563" s="2000"/>
      <c r="S563" s="2000"/>
      <c r="T563" s="2000"/>
    </row>
    <row r="564" spans="1:20">
      <c r="A564" s="1378" t="s">
        <v>4349</v>
      </c>
      <c r="B564" s="2184">
        <v>0.905154269142456</v>
      </c>
      <c r="C564" s="2184">
        <v>0.858296827779917</v>
      </c>
      <c r="D564" s="1378">
        <v>0.81704138261163495</v>
      </c>
      <c r="E564" s="1378">
        <v>0.78195718129201996</v>
      </c>
      <c r="F564" s="1378">
        <v>0.74652406077434996</v>
      </c>
      <c r="G564" s="1378"/>
      <c r="H564" s="1378"/>
      <c r="N564" s="532"/>
      <c r="O564" s="532"/>
      <c r="P564" s="532"/>
      <c r="R564" s="2000"/>
      <c r="S564" s="2000"/>
      <c r="T564" s="2000"/>
    </row>
    <row r="565" spans="1:20">
      <c r="A565" s="1378" t="s">
        <v>4350</v>
      </c>
      <c r="B565" s="2184">
        <v>0.92801309939335697</v>
      </c>
      <c r="C565" s="2184">
        <v>0.88015086139964804</v>
      </c>
      <c r="D565" s="1378">
        <v>0.83793480888537597</v>
      </c>
      <c r="E565" s="1378">
        <v>0.80150933015383996</v>
      </c>
      <c r="F565" s="1378">
        <v>0.76482103706278404</v>
      </c>
      <c r="G565" s="1378"/>
      <c r="H565" s="1378"/>
      <c r="N565" s="532"/>
      <c r="O565" s="532"/>
      <c r="P565" s="532"/>
      <c r="R565" s="2000"/>
      <c r="S565" s="2000"/>
      <c r="T565" s="2000"/>
    </row>
    <row r="566" spans="1:20">
      <c r="A566" s="1378" t="s">
        <v>4351</v>
      </c>
      <c r="B566" s="2184">
        <v>0.949867133013089</v>
      </c>
      <c r="C566" s="2184">
        <v>0.90104428767338995</v>
      </c>
      <c r="D566" s="1378">
        <v>0.85748695774719697</v>
      </c>
      <c r="E566" s="1378">
        <v>0.81980630644227404</v>
      </c>
      <c r="F566" s="1378">
        <v>0.78194341801770995</v>
      </c>
      <c r="G566" s="1378"/>
      <c r="H566" s="1378"/>
      <c r="N566" s="532"/>
      <c r="O566" s="532"/>
      <c r="P566" s="532"/>
      <c r="R566" s="2000"/>
      <c r="S566" s="2000"/>
      <c r="T566" s="2000"/>
    </row>
    <row r="567" spans="1:20">
      <c r="A567" s="1378" t="s">
        <v>4352</v>
      </c>
      <c r="B567" s="2184">
        <v>0.97076055928683003</v>
      </c>
      <c r="C567" s="2184">
        <v>0.92059643653520995</v>
      </c>
      <c r="D567" s="1378">
        <v>0.87578393403563004</v>
      </c>
      <c r="E567" s="1378">
        <v>0.83692868739720006</v>
      </c>
      <c r="F567" s="1378">
        <v>0.79796660813087295</v>
      </c>
      <c r="G567" s="1378"/>
      <c r="H567" s="1378"/>
      <c r="N567" s="532"/>
      <c r="O567" s="532"/>
      <c r="P567" s="532"/>
      <c r="R567" s="2000"/>
      <c r="S567" s="2000"/>
      <c r="T567" s="2000"/>
    </row>
    <row r="568" spans="1:20">
      <c r="A568" s="1378" t="s">
        <v>4353</v>
      </c>
      <c r="B568" s="2184">
        <v>0.99031270814865102</v>
      </c>
      <c r="C568" s="2184">
        <v>0.93889341282364402</v>
      </c>
      <c r="D568" s="1378">
        <v>0.89290631499055595</v>
      </c>
      <c r="E568" s="1378">
        <v>0.85295187751036305</v>
      </c>
      <c r="F568" s="1378">
        <v>0.81296117121637101</v>
      </c>
      <c r="G568" s="1378"/>
      <c r="H568" s="1378"/>
      <c r="N568" s="532"/>
      <c r="O568" s="532"/>
      <c r="P568" s="532"/>
      <c r="R568" s="2000"/>
      <c r="S568" s="2000"/>
      <c r="T568" s="2000"/>
    </row>
    <row r="569" spans="1:20">
      <c r="A569" s="1378" t="s">
        <v>4354</v>
      </c>
      <c r="B569" s="2184">
        <v>1.00860968443708</v>
      </c>
      <c r="C569" s="2184">
        <v>0.95601579377857004</v>
      </c>
      <c r="D569" s="1378">
        <v>0.90892950510371995</v>
      </c>
      <c r="E569" s="1378">
        <v>0.86794644059586101</v>
      </c>
      <c r="F569" s="1378">
        <v>0.82699314116349598</v>
      </c>
      <c r="G569" s="1378"/>
      <c r="H569" s="1378"/>
      <c r="N569" s="532"/>
      <c r="O569" s="532"/>
      <c r="P569" s="532"/>
      <c r="R569" s="2000"/>
      <c r="S569" s="2000"/>
      <c r="T569" s="2000"/>
    </row>
    <row r="570" spans="1:20">
      <c r="A570" s="1378" t="s">
        <v>4355</v>
      </c>
      <c r="B570" s="2184">
        <v>1.0257320653920099</v>
      </c>
      <c r="C570" s="2184">
        <v>0.97203898389173304</v>
      </c>
      <c r="D570" s="1378">
        <v>0.92392406818921702</v>
      </c>
      <c r="E570" s="1378">
        <v>0.88197841054298598</v>
      </c>
      <c r="F570" s="1378">
        <v>0.84012431274044197</v>
      </c>
      <c r="G570" s="1378"/>
      <c r="H570" s="1378"/>
      <c r="N570" s="532"/>
      <c r="O570" s="532"/>
      <c r="P570" s="532"/>
      <c r="R570" s="2000"/>
      <c r="S570" s="2000"/>
      <c r="T570" s="2000"/>
    </row>
    <row r="571" spans="1:20">
      <c r="A571" s="1378" t="s">
        <v>4356</v>
      </c>
      <c r="B571" s="2184">
        <v>1.0417552555051699</v>
      </c>
      <c r="C571" s="2184">
        <v>0.987033546977231</v>
      </c>
      <c r="D571" s="1378">
        <v>0.93795603813634199</v>
      </c>
      <c r="E571" s="1378">
        <v>0.89510958211993297</v>
      </c>
      <c r="F571" s="1378">
        <v>0.85241251372953697</v>
      </c>
      <c r="G571" s="1378"/>
      <c r="H571" s="1378"/>
      <c r="N571" s="532"/>
      <c r="O571" s="532"/>
      <c r="P571" s="532"/>
      <c r="R571" s="2000"/>
      <c r="S571" s="2000"/>
      <c r="T571" s="2000"/>
    </row>
    <row r="572" spans="1:20">
      <c r="A572" s="1378" t="s">
        <v>4357</v>
      </c>
      <c r="B572" s="2184">
        <v>0.18880337799481101</v>
      </c>
      <c r="C572" s="2184">
        <v>0.17407237576085999</v>
      </c>
      <c r="D572" s="1378">
        <v>0.16558242106029</v>
      </c>
      <c r="E572" s="1378">
        <v>0.16266658871130099</v>
      </c>
      <c r="F572" s="1378">
        <v>0.15741256572722701</v>
      </c>
      <c r="G572" s="1378"/>
      <c r="H572" s="1378"/>
      <c r="N572" s="532"/>
      <c r="O572" s="532"/>
      <c r="P572" s="532"/>
      <c r="R572" s="2000"/>
      <c r="S572" s="2000"/>
      <c r="T572" s="2000"/>
    </row>
    <row r="573" spans="1:20">
      <c r="A573" s="1378" t="s">
        <v>4358</v>
      </c>
      <c r="B573" s="2184">
        <v>1.0567498185906701</v>
      </c>
      <c r="C573" s="2184">
        <v>1.0010655169243601</v>
      </c>
      <c r="D573" s="1378">
        <v>0.95108720971328897</v>
      </c>
      <c r="E573" s="1378">
        <v>0.90739778310902697</v>
      </c>
      <c r="F573" s="1378">
        <v>0.86391185959243699</v>
      </c>
      <c r="G573" s="1378"/>
      <c r="H573" s="1378"/>
      <c r="N573" s="532"/>
      <c r="O573" s="532"/>
      <c r="P573" s="532"/>
      <c r="R573" s="2000"/>
      <c r="S573" s="2000"/>
      <c r="T573" s="2000"/>
    </row>
    <row r="574" spans="1:20">
      <c r="A574" s="1378" t="s">
        <v>4359</v>
      </c>
      <c r="B574" s="2184">
        <v>0.243788647374301</v>
      </c>
      <c r="C574" s="2184">
        <v>0.22869189984830299</v>
      </c>
      <c r="D574" s="1378">
        <v>0.218644216304657</v>
      </c>
      <c r="E574" s="1378">
        <v>0.212397835106718</v>
      </c>
      <c r="F574" s="1378">
        <v>0.20390931618864</v>
      </c>
      <c r="G574" s="1378"/>
      <c r="H574" s="1378"/>
      <c r="N574" s="532"/>
      <c r="O574" s="532"/>
      <c r="P574" s="532"/>
      <c r="R574" s="2000"/>
      <c r="S574" s="2000"/>
      <c r="T574" s="2000"/>
    </row>
    <row r="575" spans="1:20">
      <c r="A575" s="1378" t="s">
        <v>4360</v>
      </c>
      <c r="B575" s="2184">
        <v>0.29840817146174398</v>
      </c>
      <c r="C575" s="2184">
        <v>0.28175369509267101</v>
      </c>
      <c r="D575" s="1378">
        <v>0.26837546270007401</v>
      </c>
      <c r="E575" s="1378">
        <v>0.258894585568131</v>
      </c>
      <c r="F575" s="1378">
        <v>0.24769351829184699</v>
      </c>
      <c r="G575" s="1378"/>
      <c r="H575" s="1378"/>
      <c r="N575" s="532"/>
      <c r="O575" s="532"/>
      <c r="P575" s="532"/>
      <c r="R575" s="2000"/>
      <c r="S575" s="2000"/>
      <c r="T575" s="2000"/>
    </row>
    <row r="576" spans="1:20">
      <c r="A576" s="1378" t="s">
        <v>4361</v>
      </c>
      <c r="B576" s="2184">
        <v>0.35146996670611202</v>
      </c>
      <c r="C576" s="2184">
        <v>0.33148494148808799</v>
      </c>
      <c r="D576" s="1378">
        <v>0.314872213161487</v>
      </c>
      <c r="E576" s="1378">
        <v>0.30267878767133699</v>
      </c>
      <c r="F576" s="1378">
        <v>0.28942023838796199</v>
      </c>
      <c r="G576" s="1378"/>
      <c r="H576" s="1378"/>
      <c r="N576" s="532"/>
      <c r="O576" s="532"/>
      <c r="P576" s="532"/>
      <c r="R576" s="2000"/>
      <c r="S576" s="2000"/>
      <c r="T576" s="2000"/>
    </row>
    <row r="577" spans="1:20">
      <c r="A577" s="1378" t="s">
        <v>4362</v>
      </c>
      <c r="B577" s="2184">
        <v>0.40120121310152801</v>
      </c>
      <c r="C577" s="2184">
        <v>0.37798169194950099</v>
      </c>
      <c r="D577" s="1378">
        <v>0.358656415264693</v>
      </c>
      <c r="E577" s="1378">
        <v>0.34440550776745299</v>
      </c>
      <c r="F577" s="1378">
        <v>0.328791598955469</v>
      </c>
      <c r="G577" s="1378"/>
      <c r="H577" s="1378"/>
      <c r="N577" s="532"/>
      <c r="O577" s="532"/>
      <c r="P577" s="532"/>
      <c r="R577" s="2000"/>
      <c r="S577" s="2000"/>
      <c r="T577" s="2000"/>
    </row>
    <row r="578" spans="1:20">
      <c r="A578" s="1378" t="s">
        <v>4363</v>
      </c>
      <c r="B578" s="2184">
        <v>0.447697963562941</v>
      </c>
      <c r="C578" s="2184">
        <v>0.42176589405270698</v>
      </c>
      <c r="D578" s="1378">
        <v>0.40038313536080899</v>
      </c>
      <c r="E578" s="1378">
        <v>0.383776868334959</v>
      </c>
      <c r="F578" s="1378">
        <v>0.36644890416021098</v>
      </c>
      <c r="G578" s="1378"/>
      <c r="H578" s="1378"/>
      <c r="N578" s="532"/>
      <c r="O578" s="532"/>
      <c r="P578" s="532"/>
      <c r="R578" s="2000"/>
      <c r="S578" s="2000"/>
      <c r="T578" s="2000"/>
    </row>
    <row r="579" spans="1:20">
      <c r="A579" s="1378" t="s">
        <v>4364</v>
      </c>
      <c r="B579" s="2184">
        <v>0.491482165666148</v>
      </c>
      <c r="C579" s="2184">
        <v>0.46349261414882298</v>
      </c>
      <c r="D579" s="1378">
        <v>0.439754495928316</v>
      </c>
      <c r="E579" s="1378">
        <v>0.42143417353970197</v>
      </c>
      <c r="F579" s="1378">
        <v>0.40245079645492099</v>
      </c>
      <c r="G579" s="1378"/>
      <c r="H579" s="1378"/>
      <c r="N579" s="532"/>
      <c r="O579" s="532"/>
      <c r="P579" s="532"/>
      <c r="R579" s="2000"/>
      <c r="S579" s="2000"/>
      <c r="T579" s="2000"/>
    </row>
    <row r="580" spans="1:20">
      <c r="A580" s="1378" t="s">
        <v>4365</v>
      </c>
      <c r="B580" s="2184">
        <v>6.6098903215431201E-2</v>
      </c>
      <c r="C580" s="2184">
        <v>6.185560847410744E-2</v>
      </c>
      <c r="D580" s="1378">
        <v>5.5872641343812285E-2</v>
      </c>
      <c r="E580" s="1378">
        <v>4.9403089974068823E-2</v>
      </c>
      <c r="F580" s="1378">
        <v>4.8594385516091347E-2</v>
      </c>
      <c r="G580" s="1378"/>
      <c r="H580" s="1378"/>
      <c r="N580" s="532"/>
      <c r="O580" s="532"/>
      <c r="P580" s="532"/>
      <c r="R580" s="2000"/>
      <c r="S580" s="2000"/>
      <c r="T580" s="2000"/>
    </row>
    <row r="581" spans="1:20">
      <c r="A581" s="1378" t="s">
        <v>4366</v>
      </c>
      <c r="B581" s="2184">
        <v>0.50106019485349695</v>
      </c>
      <c r="C581" s="2184">
        <v>0.47184990651739783</v>
      </c>
      <c r="D581" s="1378">
        <v>0.44478369094442571</v>
      </c>
      <c r="E581" s="1378">
        <v>0.42218873608745633</v>
      </c>
      <c r="F581" s="1378">
        <v>0.4046025893104408</v>
      </c>
      <c r="G581" s="1378"/>
      <c r="H581" s="1378"/>
      <c r="N581" s="532"/>
      <c r="O581" s="532"/>
      <c r="P581" s="532"/>
      <c r="R581" s="2000"/>
      <c r="S581" s="2000"/>
      <c r="T581" s="2000"/>
    </row>
    <row r="582" spans="1:20">
      <c r="A582" s="1378" t="s">
        <v>4367</v>
      </c>
      <c r="B582" s="2184">
        <v>0.53794880973282921</v>
      </c>
      <c r="C582" s="2184">
        <v>0.50663929941853325</v>
      </c>
      <c r="D582" s="1378">
        <v>0.47806137743126853</v>
      </c>
      <c r="E582" s="1378">
        <v>0.45400567928450963</v>
      </c>
      <c r="F582" s="1378">
        <v>0.43480545254789443</v>
      </c>
      <c r="G582" s="1378"/>
      <c r="H582" s="1378"/>
      <c r="N582" s="532"/>
      <c r="O582" s="532"/>
      <c r="P582" s="532"/>
      <c r="R582" s="2000"/>
      <c r="S582" s="2000"/>
      <c r="T582" s="2000"/>
    </row>
    <row r="583" spans="1:20">
      <c r="A583" s="1378" t="s">
        <v>4368</v>
      </c>
      <c r="B583" s="2184">
        <v>0.57273820263396447</v>
      </c>
      <c r="C583" s="2184">
        <v>0.53991698590537596</v>
      </c>
      <c r="D583" s="1378">
        <v>0.50987832062832195</v>
      </c>
      <c r="E583" s="1378">
        <v>0.48420854252196316</v>
      </c>
      <c r="F583" s="1378">
        <v>0.46368247758711628</v>
      </c>
      <c r="G583" s="1378"/>
      <c r="H583" s="1378"/>
      <c r="N583" s="532"/>
      <c r="O583" s="532"/>
      <c r="P583" s="532"/>
      <c r="R583" s="2000"/>
      <c r="S583" s="2000"/>
      <c r="T583" s="2000"/>
    </row>
    <row r="584" spans="1:20">
      <c r="A584" s="1378" t="s">
        <v>4369</v>
      </c>
      <c r="B584" s="2184">
        <v>0.60601588912080717</v>
      </c>
      <c r="C584" s="2184">
        <v>0.57173392910242937</v>
      </c>
      <c r="D584" s="1378">
        <v>0.54008118386577553</v>
      </c>
      <c r="E584" s="1378">
        <v>0.51308556756118517</v>
      </c>
      <c r="F584" s="1378">
        <v>0.49129189291290604</v>
      </c>
      <c r="G584" s="1378"/>
      <c r="H584" s="1378"/>
      <c r="N584" s="532"/>
      <c r="O584" s="532"/>
      <c r="P584" s="532"/>
      <c r="R584" s="2000"/>
      <c r="S584" s="2000"/>
      <c r="T584" s="2000"/>
    </row>
    <row r="585" spans="1:20">
      <c r="A585" s="1378" t="s">
        <v>4370</v>
      </c>
      <c r="B585" s="2184">
        <v>0.6378328323178607</v>
      </c>
      <c r="C585" s="2184">
        <v>0.60193679233988284</v>
      </c>
      <c r="D585" s="1378">
        <v>0.56895820890499738</v>
      </c>
      <c r="E585" s="1378">
        <v>0.54069498288697482</v>
      </c>
      <c r="F585" s="1378">
        <v>0.51768936849844716</v>
      </c>
      <c r="G585" s="1378"/>
      <c r="H585" s="1378"/>
      <c r="N585" s="532"/>
      <c r="O585" s="532"/>
      <c r="P585" s="532"/>
      <c r="R585" s="2000"/>
      <c r="S585" s="2000"/>
      <c r="T585" s="2000"/>
    </row>
    <row r="586" spans="1:20">
      <c r="A586" s="1378" t="s">
        <v>4371</v>
      </c>
      <c r="B586" s="2184">
        <v>0.66803569555531417</v>
      </c>
      <c r="C586" s="2184">
        <v>0.6308138173791048</v>
      </c>
      <c r="D586" s="1378">
        <v>0.59656762423078713</v>
      </c>
      <c r="E586" s="1378">
        <v>0.5670924584725161</v>
      </c>
      <c r="F586" s="1378">
        <v>0.54292812827888848</v>
      </c>
      <c r="G586" s="1378"/>
      <c r="H586" s="1378"/>
      <c r="N586" s="532"/>
      <c r="O586" s="532"/>
      <c r="P586" s="532"/>
      <c r="R586" s="2000"/>
      <c r="S586" s="2000"/>
      <c r="T586" s="2000"/>
    </row>
    <row r="587" spans="1:20">
      <c r="A587" s="1378" t="s">
        <v>4372</v>
      </c>
      <c r="B587" s="2184">
        <v>0.69691272059453602</v>
      </c>
      <c r="C587" s="2184">
        <v>0.65842323270489456</v>
      </c>
      <c r="D587" s="1378">
        <v>0.62296509981632842</v>
      </c>
      <c r="E587" s="1378">
        <v>0.59233121825295698</v>
      </c>
      <c r="F587" s="1378">
        <v>0.56705905767807019</v>
      </c>
      <c r="G587" s="1378"/>
      <c r="H587" s="1378"/>
      <c r="N587" s="532"/>
      <c r="O587" s="532"/>
      <c r="P587" s="532"/>
      <c r="R587" s="2000"/>
      <c r="S587" s="2000"/>
      <c r="T587" s="2000"/>
    </row>
    <row r="588" spans="1:20">
      <c r="A588" s="1378" t="s">
        <v>4373</v>
      </c>
      <c r="B588" s="2184">
        <v>0.72452213592032566</v>
      </c>
      <c r="C588" s="2184">
        <v>0.68482070829043573</v>
      </c>
      <c r="D588" s="1378">
        <v>0.64820385959676952</v>
      </c>
      <c r="E588" s="1378">
        <v>0.61646214765213891</v>
      </c>
      <c r="F588" s="1378">
        <v>0.59017637551474922</v>
      </c>
      <c r="G588" s="1378"/>
      <c r="H588" s="1378"/>
      <c r="N588" s="532"/>
      <c r="O588" s="532"/>
      <c r="P588" s="532"/>
      <c r="R588" s="2000"/>
      <c r="S588" s="2000"/>
      <c r="T588" s="2000"/>
    </row>
    <row r="589" spans="1:20">
      <c r="A589" s="1378" t="s">
        <v>4374</v>
      </c>
      <c r="B589" s="2184">
        <v>0.75091961150586695</v>
      </c>
      <c r="C589" s="2184">
        <v>0.71005946807087694</v>
      </c>
      <c r="D589" s="1378">
        <v>0.67233478899595123</v>
      </c>
      <c r="E589" s="1378">
        <v>0.63957946548881817</v>
      </c>
      <c r="F589" s="1378">
        <v>0.61227895246696207</v>
      </c>
      <c r="G589" s="1378"/>
      <c r="H589" s="1378"/>
      <c r="N589" s="532"/>
      <c r="O589" s="532"/>
      <c r="P589" s="532"/>
      <c r="R589" s="2000"/>
      <c r="S589" s="2000"/>
      <c r="T589" s="2000"/>
    </row>
    <row r="590" spans="1:20">
      <c r="A590" s="1378" t="s">
        <v>4375</v>
      </c>
      <c r="B590" s="2184">
        <v>0.77615837128630794</v>
      </c>
      <c r="C590" s="2184">
        <v>0.73419039747005888</v>
      </c>
      <c r="D590" s="1378">
        <v>0.69545210683263037</v>
      </c>
      <c r="E590" s="1378">
        <v>0.66168204244103079</v>
      </c>
      <c r="F590" s="1378">
        <v>0.63341135158144957</v>
      </c>
      <c r="G590" s="1378"/>
      <c r="H590" s="1378"/>
      <c r="N590" s="532"/>
      <c r="O590" s="532"/>
      <c r="P590" s="532"/>
      <c r="R590" s="2000"/>
      <c r="S590" s="2000"/>
      <c r="T590" s="2000"/>
    </row>
    <row r="591" spans="1:20">
      <c r="A591" s="1378" t="s">
        <v>4376</v>
      </c>
      <c r="B591" s="2184">
        <v>0.12795451168953864</v>
      </c>
      <c r="C591" s="2184">
        <v>0.11772824981791973</v>
      </c>
      <c r="D591" s="1378">
        <v>0.10527573131788111</v>
      </c>
      <c r="E591" s="1378">
        <v>9.7997475490160177E-2</v>
      </c>
      <c r="F591" s="1378">
        <v>9.6948009509917082E-2</v>
      </c>
      <c r="G591" s="1378"/>
      <c r="H591" s="1378"/>
      <c r="N591" s="532"/>
      <c r="O591" s="532"/>
      <c r="P591" s="532"/>
      <c r="R591" s="2000"/>
      <c r="S591" s="2000"/>
      <c r="T591" s="2000"/>
    </row>
    <row r="592" spans="1:20">
      <c r="A592" s="1378" t="s">
        <v>4377</v>
      </c>
      <c r="B592" s="2184">
        <v>0.80028930068548987</v>
      </c>
      <c r="C592" s="2184">
        <v>0.75730771530673802</v>
      </c>
      <c r="D592" s="1378">
        <v>0.71755468378484288</v>
      </c>
      <c r="E592" s="1378">
        <v>0.6828144415555184</v>
      </c>
      <c r="F592" s="1378">
        <v>0.6536161779576567</v>
      </c>
      <c r="G592" s="1378"/>
      <c r="H592" s="1378"/>
      <c r="N592" s="532"/>
      <c r="O592" s="532"/>
      <c r="P592" s="532"/>
      <c r="R592" s="2000"/>
      <c r="S592" s="2000"/>
      <c r="T592" s="2000"/>
    </row>
    <row r="593" spans="1:20">
      <c r="A593" s="1378" t="s">
        <v>4378</v>
      </c>
      <c r="B593" s="2184">
        <v>0.82340661852216901</v>
      </c>
      <c r="C593" s="2184">
        <v>0.77941029225895053</v>
      </c>
      <c r="D593" s="1378">
        <v>0.73868708289933094</v>
      </c>
      <c r="E593" s="1378">
        <v>0.70301926793172542</v>
      </c>
      <c r="F593" s="1378">
        <v>0.67293416481495794</v>
      </c>
      <c r="G593" s="1378"/>
      <c r="H593" s="1378"/>
      <c r="N593" s="532"/>
      <c r="O593" s="532"/>
      <c r="P593" s="532"/>
      <c r="R593" s="2000"/>
      <c r="S593" s="2000"/>
      <c r="T593" s="2000"/>
    </row>
    <row r="594" spans="1:20">
      <c r="A594" s="1378" t="s">
        <v>4379</v>
      </c>
      <c r="B594" s="2184">
        <v>0.84550919547438164</v>
      </c>
      <c r="C594" s="2184">
        <v>0.80054269137343814</v>
      </c>
      <c r="D594" s="1378">
        <v>0.75889190927553762</v>
      </c>
      <c r="E594" s="1378">
        <v>0.72233725478902699</v>
      </c>
      <c r="F594" s="1378">
        <v>0.69101201139674873</v>
      </c>
      <c r="G594" s="1378"/>
      <c r="H594" s="1378"/>
      <c r="N594" s="532"/>
      <c r="O594" s="532"/>
      <c r="P594" s="532"/>
      <c r="R594" s="2000"/>
      <c r="S594" s="2000"/>
      <c r="T594" s="2000"/>
    </row>
    <row r="595" spans="1:20">
      <c r="A595" s="1378" t="s">
        <v>4380</v>
      </c>
      <c r="B595" s="2184">
        <v>0.86664159458886958</v>
      </c>
      <c r="C595" s="2184">
        <v>0.82074751774964538</v>
      </c>
      <c r="D595" s="1378">
        <v>0.7782098961328392</v>
      </c>
      <c r="E595" s="1378">
        <v>0.74041510137081756</v>
      </c>
      <c r="F595" s="1378">
        <v>0.7079293299273407</v>
      </c>
      <c r="G595" s="1378"/>
      <c r="H595" s="1378"/>
      <c r="N595" s="532"/>
      <c r="O595" s="532"/>
      <c r="P595" s="532"/>
      <c r="R595" s="2000"/>
      <c r="S595" s="2000"/>
      <c r="T595" s="2000"/>
    </row>
    <row r="596" spans="1:20">
      <c r="A596" s="1378" t="s">
        <v>4381</v>
      </c>
      <c r="B596" s="2184">
        <v>0.88684642096507638</v>
      </c>
      <c r="C596" s="2184">
        <v>0.84006550460694662</v>
      </c>
      <c r="D596" s="1378">
        <v>0.79628774271462999</v>
      </c>
      <c r="E596" s="1378">
        <v>0.75733241990140954</v>
      </c>
      <c r="F596" s="1378">
        <v>0.72376062183319123</v>
      </c>
      <c r="G596" s="1378"/>
      <c r="H596" s="1378"/>
      <c r="N596" s="532"/>
      <c r="O596" s="532"/>
      <c r="P596" s="532"/>
      <c r="R596" s="2000"/>
      <c r="S596" s="2000"/>
      <c r="T596" s="2000"/>
    </row>
    <row r="597" spans="1:20">
      <c r="A597" s="1378" t="s">
        <v>4382</v>
      </c>
      <c r="B597" s="2184">
        <v>0.90616440782237795</v>
      </c>
      <c r="C597" s="2184">
        <v>0.85814335118873741</v>
      </c>
      <c r="D597" s="1378">
        <v>0.81320506124522207</v>
      </c>
      <c r="E597" s="1378">
        <v>0.77316371180726007</v>
      </c>
      <c r="F597" s="1378">
        <v>0.73857560583642068</v>
      </c>
      <c r="G597" s="1378"/>
      <c r="H597" s="1378"/>
      <c r="N597" s="532"/>
      <c r="O597" s="532"/>
      <c r="P597" s="532"/>
      <c r="R597" s="2000"/>
      <c r="S597" s="2000"/>
      <c r="T597" s="2000"/>
    </row>
    <row r="598" spans="1:20">
      <c r="A598" s="1378" t="s">
        <v>4383</v>
      </c>
      <c r="B598" s="2184">
        <v>0.18382715303335095</v>
      </c>
      <c r="C598" s="2184">
        <v>0.16713133979198855</v>
      </c>
      <c r="D598" s="1378">
        <v>0.15387011683397245</v>
      </c>
      <c r="E598" s="1378">
        <v>0.14635109948398586</v>
      </c>
      <c r="F598" s="1378">
        <v>0.14395842214707397</v>
      </c>
      <c r="G598" s="1378"/>
      <c r="H598" s="1378"/>
      <c r="N598" s="532"/>
      <c r="O598" s="532"/>
      <c r="P598" s="532"/>
      <c r="R598" s="2000"/>
      <c r="S598" s="2000"/>
      <c r="T598" s="2000"/>
    </row>
    <row r="599" spans="1:20">
      <c r="A599" s="1378" t="s">
        <v>4384</v>
      </c>
      <c r="B599" s="2184">
        <v>0.23323024300741971</v>
      </c>
      <c r="C599" s="2184">
        <v>0.2157257253080799</v>
      </c>
      <c r="D599" s="1378">
        <v>0.20222374082779818</v>
      </c>
      <c r="E599" s="1378">
        <v>0.19336151212114283</v>
      </c>
      <c r="F599" s="1378">
        <v>0.18798836714955569</v>
      </c>
      <c r="G599" s="1378"/>
      <c r="H599" s="1378"/>
      <c r="N599" s="532"/>
      <c r="O599" s="532"/>
      <c r="P599" s="532"/>
      <c r="R599" s="2000"/>
      <c r="S599" s="2000"/>
      <c r="T599" s="2000"/>
    </row>
    <row r="600" spans="1:20">
      <c r="A600" s="1378" t="s">
        <v>4385</v>
      </c>
      <c r="B600" s="2184">
        <v>0.28182462852351109</v>
      </c>
      <c r="C600" s="2184">
        <v>0.26407934930190557</v>
      </c>
      <c r="D600" s="1378">
        <v>0.24923415346495512</v>
      </c>
      <c r="E600" s="1378">
        <v>0.23739145712362444</v>
      </c>
      <c r="F600" s="1378">
        <v>0.2291198453285635</v>
      </c>
      <c r="G600" s="1378"/>
      <c r="H600" s="1378"/>
      <c r="N600" s="532"/>
      <c r="O600" s="532"/>
      <c r="P600" s="532"/>
      <c r="R600" s="2000"/>
      <c r="S600" s="2000"/>
      <c r="T600" s="2000"/>
    </row>
    <row r="601" spans="1:20">
      <c r="A601" s="1378" t="s">
        <v>4386</v>
      </c>
      <c r="B601" s="2184">
        <v>0.33017825251733685</v>
      </c>
      <c r="C601" s="2184">
        <v>0.31108976193906246</v>
      </c>
      <c r="D601" s="1378">
        <v>0.29326409846743678</v>
      </c>
      <c r="E601" s="1378">
        <v>0.27852293530263234</v>
      </c>
      <c r="F601" s="1378">
        <v>0.26782995184607711</v>
      </c>
      <c r="G601" s="1378"/>
      <c r="H601" s="1378"/>
      <c r="N601" s="532"/>
      <c r="O601" s="532"/>
      <c r="P601" s="532"/>
      <c r="R601" s="2000"/>
      <c r="S601" s="2000"/>
      <c r="T601" s="2000"/>
    </row>
    <row r="602" spans="1:20">
      <c r="A602" s="1378" t="s">
        <v>4387</v>
      </c>
      <c r="B602" s="2184">
        <v>0.37718866515449362</v>
      </c>
      <c r="C602" s="2184">
        <v>0.35511970694154416</v>
      </c>
      <c r="D602" s="1378">
        <v>0.33439557664644465</v>
      </c>
      <c r="E602" s="1378">
        <v>0.31723304182014589</v>
      </c>
      <c r="F602" s="1378">
        <v>0.30471856672540937</v>
      </c>
      <c r="G602" s="1378"/>
      <c r="H602" s="1378"/>
      <c r="N602" s="532"/>
      <c r="O602" s="532"/>
      <c r="P602" s="532"/>
      <c r="R602" s="2000"/>
      <c r="S602" s="2000"/>
      <c r="T602" s="2000"/>
    </row>
    <row r="603" spans="1:20">
      <c r="A603" s="1378" t="s">
        <v>4388</v>
      </c>
      <c r="B603" s="2184">
        <v>0.42121861015697543</v>
      </c>
      <c r="C603" s="2184">
        <v>0.39625118512055213</v>
      </c>
      <c r="D603" s="1378">
        <v>0.3731056831639582</v>
      </c>
      <c r="E603" s="1378">
        <v>0.35412165669947809</v>
      </c>
      <c r="F603" s="1378">
        <v>0.33950795962654468</v>
      </c>
      <c r="G603" s="1378"/>
      <c r="H603" s="1378"/>
      <c r="N603" s="532"/>
      <c r="O603" s="532"/>
      <c r="P603" s="532"/>
      <c r="R603" s="2000"/>
      <c r="S603" s="2000"/>
      <c r="T603" s="2000"/>
    </row>
    <row r="604" spans="1:20">
      <c r="A604" s="1378" t="s">
        <v>4389</v>
      </c>
      <c r="B604" s="2184">
        <v>0.46235008833598312</v>
      </c>
      <c r="C604" s="2184">
        <v>0.43496129163806563</v>
      </c>
      <c r="D604" s="1378">
        <v>0.40999429804329035</v>
      </c>
      <c r="E604" s="1378">
        <v>0.38891104960061351</v>
      </c>
      <c r="F604" s="1378">
        <v>0.37278564611338744</v>
      </c>
      <c r="G604" s="1378"/>
      <c r="H604" s="1378"/>
      <c r="N604" s="532"/>
      <c r="O604" s="532"/>
      <c r="P604" s="532"/>
      <c r="R604" s="2000"/>
      <c r="S604" s="2000"/>
      <c r="T604" s="2000"/>
    </row>
    <row r="605" spans="1:20">
      <c r="A605" s="1378" t="s">
        <v>4390</v>
      </c>
      <c r="B605" s="2184">
        <v>6.9716271613440697E-2</v>
      </c>
      <c r="C605" s="2184">
        <v>6.3109478788013804E-2</v>
      </c>
      <c r="D605" s="1378">
        <v>5.59776275933562E-2</v>
      </c>
      <c r="E605" s="1378">
        <v>5.4985269379490498E-2</v>
      </c>
      <c r="F605" s="1378">
        <v>5.4619524087442903E-2</v>
      </c>
      <c r="G605" s="1378"/>
      <c r="H605" s="1378"/>
      <c r="N605" s="532"/>
      <c r="O605" s="532"/>
      <c r="P605" s="532"/>
      <c r="R605" s="2000"/>
      <c r="S605" s="2000"/>
      <c r="T605" s="2000"/>
    </row>
    <row r="606" spans="1:20">
      <c r="A606" s="1378" t="s">
        <v>4391</v>
      </c>
      <c r="B606" s="2184">
        <v>0.533208885762264</v>
      </c>
      <c r="C606" s="2184">
        <v>0.50286397471632904</v>
      </c>
      <c r="D606" s="1378">
        <v>0.47741180113305798</v>
      </c>
      <c r="E606" s="1378">
        <v>0.45743606583441199</v>
      </c>
      <c r="F606" s="1378">
        <v>0.436633971133562</v>
      </c>
      <c r="G606" s="1378"/>
      <c r="H606" s="1378"/>
      <c r="N606" s="532"/>
      <c r="O606" s="532"/>
      <c r="P606" s="532"/>
      <c r="R606" s="2000"/>
      <c r="S606" s="2000"/>
      <c r="T606" s="2000"/>
    </row>
    <row r="607" spans="1:20">
      <c r="A607" s="1378" t="s">
        <v>4392</v>
      </c>
      <c r="B607" s="2184">
        <v>0.57258024632977</v>
      </c>
      <c r="C607" s="2184">
        <v>0.54052127992107202</v>
      </c>
      <c r="D607" s="1378">
        <v>0.51341369342776799</v>
      </c>
      <c r="E607" s="1378">
        <v>0.491619240513052</v>
      </c>
      <c r="F607" s="1378">
        <v>0.46931437560960099</v>
      </c>
      <c r="G607" s="1378"/>
      <c r="H607" s="1378"/>
      <c r="N607" s="532"/>
      <c r="O607" s="532"/>
      <c r="P607" s="532"/>
      <c r="R607" s="2000"/>
      <c r="S607" s="2000"/>
      <c r="T607" s="2000"/>
    </row>
    <row r="608" spans="1:20">
      <c r="A608" s="1378" t="s">
        <v>4393</v>
      </c>
      <c r="B608" s="2184">
        <v>0.61023755153451198</v>
      </c>
      <c r="C608" s="2184">
        <v>0.57652317221578198</v>
      </c>
      <c r="D608" s="1378">
        <v>0.54759686810640795</v>
      </c>
      <c r="E608" s="1378">
        <v>0.52429964498909098</v>
      </c>
      <c r="F608" s="1378">
        <v>0.50055810790656297</v>
      </c>
      <c r="G608" s="1378"/>
      <c r="H608" s="1378"/>
      <c r="N608" s="532"/>
      <c r="O608" s="532"/>
      <c r="P608" s="532"/>
      <c r="R608" s="2000"/>
      <c r="S608" s="2000"/>
      <c r="T608" s="2000"/>
    </row>
    <row r="609" spans="1:20">
      <c r="A609" s="1378" t="s">
        <v>4394</v>
      </c>
      <c r="B609" s="2184">
        <v>0.64623944382922305</v>
      </c>
      <c r="C609" s="2184">
        <v>0.61070634689442205</v>
      </c>
      <c r="D609" s="1378">
        <v>0.58027727258244699</v>
      </c>
      <c r="E609" s="1378">
        <v>0.55554337728605296</v>
      </c>
      <c r="F609" s="1378">
        <v>0.53042835731331395</v>
      </c>
      <c r="G609" s="1378"/>
      <c r="H609" s="1378"/>
      <c r="N609" s="532"/>
      <c r="O609" s="532"/>
      <c r="P609" s="532"/>
      <c r="R609" s="2000"/>
      <c r="S609" s="2000"/>
      <c r="T609" s="2000"/>
    </row>
    <row r="610" spans="1:20">
      <c r="A610" s="1378" t="s">
        <v>4395</v>
      </c>
      <c r="B610" s="2184">
        <v>0.68042261850786301</v>
      </c>
      <c r="C610" s="2184">
        <v>0.64338675137046097</v>
      </c>
      <c r="D610" s="1378">
        <v>0.61152100487940897</v>
      </c>
      <c r="E610" s="1378">
        <v>0.58541362669280395</v>
      </c>
      <c r="F610" s="1378">
        <v>0.55898553245286198</v>
      </c>
      <c r="G610" s="1378"/>
      <c r="H610" s="1378"/>
      <c r="N610" s="532"/>
      <c r="O610" s="532"/>
      <c r="P610" s="532"/>
      <c r="R610" s="2000"/>
      <c r="S610" s="2000"/>
      <c r="T610" s="2000"/>
    </row>
    <row r="611" spans="1:20">
      <c r="A611" s="1378" t="s">
        <v>4396</v>
      </c>
      <c r="B611" s="2184">
        <v>0.71310302298390205</v>
      </c>
      <c r="C611" s="2184">
        <v>0.67463048366742295</v>
      </c>
      <c r="D611" s="1378">
        <v>0.64139125428615995</v>
      </c>
      <c r="E611" s="1378">
        <v>0.61397080183235198</v>
      </c>
      <c r="F611" s="1378">
        <v>0.58628738370945699</v>
      </c>
      <c r="G611" s="1378"/>
      <c r="H611" s="1378"/>
      <c r="N611" s="532"/>
      <c r="O611" s="532"/>
      <c r="P611" s="532"/>
      <c r="R611" s="2000"/>
      <c r="S611" s="2000"/>
      <c r="T611" s="2000"/>
    </row>
    <row r="612" spans="1:20">
      <c r="A612" s="1378" t="s">
        <v>4397</v>
      </c>
      <c r="B612" s="2184">
        <v>0.74434675528086403</v>
      </c>
      <c r="C612" s="2184">
        <v>0.70450073307417405</v>
      </c>
      <c r="D612" s="1378">
        <v>0.66994842942570798</v>
      </c>
      <c r="E612" s="1378">
        <v>0.64127265308894699</v>
      </c>
      <c r="F612" s="1378">
        <v>0.61244655111442303</v>
      </c>
      <c r="G612" s="1378"/>
      <c r="H612" s="1378"/>
      <c r="N612" s="532"/>
      <c r="O612" s="532"/>
      <c r="P612" s="532"/>
      <c r="R612" s="2000"/>
      <c r="S612" s="2000"/>
      <c r="T612" s="2000"/>
    </row>
    <row r="613" spans="1:20">
      <c r="A613" s="1378" t="s">
        <v>4398</v>
      </c>
      <c r="B613" s="2184">
        <v>0.77421700468761501</v>
      </c>
      <c r="C613" s="2184">
        <v>0.73305790821372196</v>
      </c>
      <c r="D613" s="1378">
        <v>0.69725028068230299</v>
      </c>
      <c r="E613" s="1378">
        <v>0.66743182049391403</v>
      </c>
      <c r="F613" s="1378">
        <v>0.637455771710566</v>
      </c>
      <c r="G613" s="1378"/>
      <c r="H613" s="1378"/>
      <c r="N613" s="532"/>
      <c r="O613" s="532"/>
      <c r="P613" s="532"/>
      <c r="R613" s="2000"/>
      <c r="S613" s="2000"/>
      <c r="T613" s="2000"/>
    </row>
    <row r="614" spans="1:20">
      <c r="A614" s="1378" t="s">
        <v>4399</v>
      </c>
      <c r="B614" s="2184">
        <v>0.80277417982716304</v>
      </c>
      <c r="C614" s="2184">
        <v>0.76035975947031798</v>
      </c>
      <c r="D614" s="1378">
        <v>0.72340944808727004</v>
      </c>
      <c r="E614" s="1378">
        <v>0.692441041090057</v>
      </c>
      <c r="F614" s="1378">
        <v>0.66136562176815406</v>
      </c>
      <c r="G614" s="1378"/>
      <c r="H614" s="1378"/>
      <c r="N614" s="532"/>
      <c r="O614" s="532"/>
      <c r="P614" s="532"/>
      <c r="R614" s="2000"/>
      <c r="S614" s="2000"/>
      <c r="T614" s="2000"/>
    </row>
    <row r="615" spans="1:20">
      <c r="A615" s="1378" t="s">
        <v>4400</v>
      </c>
      <c r="B615" s="2184">
        <v>0.83007603108375805</v>
      </c>
      <c r="C615" s="2184">
        <v>0.78651892687528402</v>
      </c>
      <c r="D615" s="1378">
        <v>0.748418668683413</v>
      </c>
      <c r="E615" s="1378">
        <v>0.71635089114764505</v>
      </c>
      <c r="F615" s="1378">
        <v>0.68422445201905602</v>
      </c>
      <c r="G615" s="1378"/>
      <c r="H615" s="1378"/>
      <c r="N615" s="532"/>
      <c r="O615" s="532"/>
      <c r="P615" s="532"/>
      <c r="R615" s="2000"/>
      <c r="S615" s="2000"/>
      <c r="T615" s="2000"/>
    </row>
    <row r="616" spans="1:20">
      <c r="A616" s="1378" t="s">
        <v>4401</v>
      </c>
      <c r="B616" s="2184">
        <v>0.132825750401454</v>
      </c>
      <c r="C616" s="2184">
        <v>0.11908710638137</v>
      </c>
      <c r="D616" s="1378">
        <v>0.110962896972847</v>
      </c>
      <c r="E616" s="1378">
        <v>0.109604793466933</v>
      </c>
      <c r="F616" s="1378">
        <v>0.10768131933181101</v>
      </c>
      <c r="G616" s="1378"/>
      <c r="H616" s="1378"/>
      <c r="N616" s="532"/>
      <c r="O616" s="532"/>
      <c r="P616" s="532"/>
      <c r="R616" s="2000"/>
      <c r="S616" s="2000"/>
      <c r="T616" s="2000"/>
    </row>
    <row r="617" spans="1:20">
      <c r="A617" s="1378" t="s">
        <v>4402</v>
      </c>
      <c r="B617" s="2184">
        <v>0.85623519848872498</v>
      </c>
      <c r="C617" s="2184">
        <v>0.81152814747142699</v>
      </c>
      <c r="D617" s="1378">
        <v>0.77232851874100095</v>
      </c>
      <c r="E617" s="1378">
        <v>0.73920972139854602</v>
      </c>
      <c r="F617" s="1378">
        <v>0.70607848563878794</v>
      </c>
      <c r="G617" s="1378"/>
      <c r="H617" s="1378"/>
      <c r="N617" s="532"/>
      <c r="O617" s="532"/>
      <c r="P617" s="532"/>
      <c r="R617" s="2000"/>
      <c r="S617" s="2000"/>
      <c r="T617" s="2000"/>
    </row>
    <row r="618" spans="1:20">
      <c r="A618" s="1378" t="s">
        <v>4403</v>
      </c>
      <c r="B618" s="2184">
        <v>0.88124441908486695</v>
      </c>
      <c r="C618" s="2184">
        <v>0.83543799752901504</v>
      </c>
      <c r="D618" s="1378">
        <v>0.79518734899190302</v>
      </c>
      <c r="E618" s="1378">
        <v>0.76106375501827805</v>
      </c>
      <c r="F618" s="1378">
        <v>0.72697191191252897</v>
      </c>
      <c r="G618" s="1378"/>
      <c r="H618" s="1378"/>
      <c r="N618" s="532"/>
      <c r="O618" s="532"/>
      <c r="P618" s="532"/>
      <c r="R618" s="2000"/>
      <c r="S618" s="2000"/>
      <c r="T618" s="2000"/>
    </row>
    <row r="619" spans="1:20">
      <c r="A619" s="1378" t="s">
        <v>4404</v>
      </c>
      <c r="B619" s="2184">
        <v>0.905154269142456</v>
      </c>
      <c r="C619" s="2184">
        <v>0.858296827779917</v>
      </c>
      <c r="D619" s="1378">
        <v>0.81704138261163495</v>
      </c>
      <c r="E619" s="1378">
        <v>0.78195718129201996</v>
      </c>
      <c r="F619" s="1378">
        <v>0.74652406077434996</v>
      </c>
      <c r="G619" s="1378"/>
      <c r="H619" s="1378"/>
      <c r="N619" s="532"/>
      <c r="O619" s="532"/>
      <c r="P619" s="532"/>
      <c r="R619" s="2000"/>
      <c r="S619" s="2000"/>
      <c r="T619" s="2000"/>
    </row>
    <row r="620" spans="1:20">
      <c r="A620" s="1378" t="s">
        <v>4405</v>
      </c>
      <c r="B620" s="2184">
        <v>0.92801309939335697</v>
      </c>
      <c r="C620" s="2184">
        <v>0.88015086139964804</v>
      </c>
      <c r="D620" s="1378">
        <v>0.83793480888537597</v>
      </c>
      <c r="E620" s="1378">
        <v>0.80150933015383996</v>
      </c>
      <c r="F620" s="1378">
        <v>0.76482103706278404</v>
      </c>
      <c r="G620" s="1378"/>
      <c r="H620" s="1378"/>
      <c r="N620" s="532"/>
      <c r="O620" s="532"/>
      <c r="P620" s="532"/>
      <c r="R620" s="2000"/>
      <c r="S620" s="2000"/>
      <c r="T620" s="2000"/>
    </row>
    <row r="621" spans="1:20">
      <c r="A621" s="1378" t="s">
        <v>4406</v>
      </c>
      <c r="B621" s="2184">
        <v>0.949867133013089</v>
      </c>
      <c r="C621" s="2184">
        <v>0.90104428767338995</v>
      </c>
      <c r="D621" s="1378">
        <v>0.85748695774719697</v>
      </c>
      <c r="E621" s="1378">
        <v>0.81980630644227404</v>
      </c>
      <c r="F621" s="1378">
        <v>0.78194341801770995</v>
      </c>
      <c r="G621" s="1378"/>
      <c r="H621" s="1378"/>
      <c r="N621" s="532"/>
      <c r="O621" s="532"/>
      <c r="P621" s="532"/>
      <c r="R621" s="2000"/>
      <c r="S621" s="2000"/>
      <c r="T621" s="2000"/>
    </row>
    <row r="622" spans="1:20">
      <c r="A622" s="1378" t="s">
        <v>4407</v>
      </c>
      <c r="B622" s="2184">
        <v>0.97076055928683003</v>
      </c>
      <c r="C622" s="2184">
        <v>0.92059643653520995</v>
      </c>
      <c r="D622" s="1378">
        <v>0.87578393403563004</v>
      </c>
      <c r="E622" s="1378">
        <v>0.83692868739720006</v>
      </c>
      <c r="F622" s="1378">
        <v>0.79796660813087295</v>
      </c>
      <c r="G622" s="1378"/>
      <c r="H622" s="1378"/>
      <c r="N622" s="532"/>
      <c r="O622" s="532"/>
      <c r="P622" s="532"/>
      <c r="R622" s="2000"/>
      <c r="S622" s="2000"/>
      <c r="T622" s="2000"/>
    </row>
    <row r="623" spans="1:20">
      <c r="A623" s="1378" t="s">
        <v>4408</v>
      </c>
      <c r="B623" s="2184">
        <v>0.99031270814865102</v>
      </c>
      <c r="C623" s="2184">
        <v>0.93889341282364402</v>
      </c>
      <c r="D623" s="1378">
        <v>0.89290631499055595</v>
      </c>
      <c r="E623" s="1378">
        <v>0.85295187751036305</v>
      </c>
      <c r="F623" s="1378">
        <v>0.81296117121637101</v>
      </c>
      <c r="G623" s="1378"/>
      <c r="H623" s="1378"/>
      <c r="N623" s="532"/>
      <c r="O623" s="532"/>
      <c r="P623" s="532"/>
      <c r="R623" s="2000"/>
      <c r="S623" s="2000"/>
      <c r="T623" s="2000"/>
    </row>
    <row r="624" spans="1:20">
      <c r="A624" s="1378" t="s">
        <v>4409</v>
      </c>
      <c r="B624" s="2184">
        <v>1.00860968443708</v>
      </c>
      <c r="C624" s="2184">
        <v>0.95601579377857004</v>
      </c>
      <c r="D624" s="1378">
        <v>0.90892950510371995</v>
      </c>
      <c r="E624" s="1378">
        <v>0.86794644059586101</v>
      </c>
      <c r="F624" s="1378">
        <v>0.82699314116349598</v>
      </c>
      <c r="G624" s="1378"/>
      <c r="H624" s="1378"/>
      <c r="N624" s="532"/>
      <c r="O624" s="532"/>
      <c r="P624" s="532"/>
      <c r="R624" s="2000"/>
      <c r="S624" s="2000"/>
      <c r="T624" s="2000"/>
    </row>
    <row r="625" spans="1:20">
      <c r="A625" s="1378" t="s">
        <v>4410</v>
      </c>
      <c r="B625" s="2184">
        <v>1.0257320653920099</v>
      </c>
      <c r="C625" s="2184">
        <v>0.97203898389173304</v>
      </c>
      <c r="D625" s="1378">
        <v>0.92392406818921702</v>
      </c>
      <c r="E625" s="1378">
        <v>0.88197841054298598</v>
      </c>
      <c r="F625" s="1378">
        <v>0.84012431274044197</v>
      </c>
      <c r="G625" s="1378"/>
      <c r="H625" s="1378"/>
      <c r="N625" s="532"/>
      <c r="O625" s="532"/>
      <c r="P625" s="532"/>
      <c r="R625" s="2000"/>
      <c r="S625" s="2000"/>
      <c r="T625" s="2000"/>
    </row>
    <row r="626" spans="1:20">
      <c r="A626" s="1378" t="s">
        <v>4411</v>
      </c>
      <c r="B626" s="2184">
        <v>1.0417552555051699</v>
      </c>
      <c r="C626" s="2184">
        <v>0.987033546977231</v>
      </c>
      <c r="D626" s="1378">
        <v>0.93795603813634199</v>
      </c>
      <c r="E626" s="1378">
        <v>0.89510958211993297</v>
      </c>
      <c r="F626" s="1378">
        <v>0.85241251372953697</v>
      </c>
      <c r="G626" s="1378"/>
      <c r="H626" s="1378"/>
      <c r="N626" s="532"/>
      <c r="O626" s="532"/>
      <c r="P626" s="532"/>
      <c r="R626" s="2000"/>
      <c r="S626" s="2000"/>
      <c r="T626" s="2000"/>
    </row>
    <row r="627" spans="1:20">
      <c r="A627" s="1378" t="s">
        <v>4412</v>
      </c>
      <c r="B627" s="2184">
        <v>0.18880337799481101</v>
      </c>
      <c r="C627" s="2184">
        <v>0.17407237576085999</v>
      </c>
      <c r="D627" s="1378">
        <v>0.16558242106029</v>
      </c>
      <c r="E627" s="1378">
        <v>0.16266658871130099</v>
      </c>
      <c r="F627" s="1378">
        <v>0.15741256572722701</v>
      </c>
      <c r="G627" s="1378"/>
      <c r="H627" s="1378"/>
      <c r="N627" s="532"/>
      <c r="O627" s="532"/>
      <c r="P627" s="532"/>
      <c r="R627" s="2000"/>
      <c r="S627" s="2000"/>
      <c r="T627" s="2000"/>
    </row>
    <row r="628" spans="1:20">
      <c r="A628" s="1378" t="s">
        <v>4413</v>
      </c>
      <c r="B628" s="2184">
        <v>1.0567498185906701</v>
      </c>
      <c r="C628" s="2184">
        <v>1.0010655169243601</v>
      </c>
      <c r="D628" s="1378">
        <v>0.95108720971328897</v>
      </c>
      <c r="E628" s="1378">
        <v>0.90739778310902697</v>
      </c>
      <c r="F628" s="1378">
        <v>0.86391185959243699</v>
      </c>
      <c r="G628" s="1378"/>
      <c r="H628" s="1378"/>
      <c r="N628" s="532"/>
      <c r="O628" s="532"/>
      <c r="P628" s="532"/>
      <c r="R628" s="2000"/>
      <c r="S628" s="2000"/>
      <c r="T628" s="2000"/>
    </row>
    <row r="629" spans="1:20">
      <c r="A629" s="1378" t="s">
        <v>4414</v>
      </c>
      <c r="B629" s="2184">
        <v>0.243788647374301</v>
      </c>
      <c r="C629" s="2184">
        <v>0.22869189984830299</v>
      </c>
      <c r="D629" s="1378">
        <v>0.218644216304657</v>
      </c>
      <c r="E629" s="1378">
        <v>0.212397835106718</v>
      </c>
      <c r="F629" s="1378">
        <v>0.20390931618864</v>
      </c>
      <c r="G629" s="1378"/>
      <c r="H629" s="1378"/>
      <c r="N629" s="532"/>
      <c r="O629" s="532"/>
      <c r="P629" s="532"/>
      <c r="R629" s="2000"/>
      <c r="S629" s="2000"/>
      <c r="T629" s="2000"/>
    </row>
    <row r="630" spans="1:20">
      <c r="A630" s="1378" t="s">
        <v>4415</v>
      </c>
      <c r="B630" s="2184">
        <v>0.29840817146174398</v>
      </c>
      <c r="C630" s="2184">
        <v>0.28175369509267101</v>
      </c>
      <c r="D630" s="1378">
        <v>0.26837546270007401</v>
      </c>
      <c r="E630" s="1378">
        <v>0.258894585568131</v>
      </c>
      <c r="F630" s="1378">
        <v>0.24769351829184699</v>
      </c>
      <c r="G630" s="1378"/>
      <c r="H630" s="1378"/>
      <c r="N630" s="532"/>
      <c r="O630" s="532"/>
      <c r="P630" s="532"/>
      <c r="R630" s="2000"/>
      <c r="S630" s="2000"/>
      <c r="T630" s="2000"/>
    </row>
    <row r="631" spans="1:20">
      <c r="A631" s="1378" t="s">
        <v>4416</v>
      </c>
      <c r="B631" s="2184">
        <v>0.35146996670611202</v>
      </c>
      <c r="C631" s="2184">
        <v>0.33148494148808799</v>
      </c>
      <c r="D631" s="1378">
        <v>0.314872213161487</v>
      </c>
      <c r="E631" s="1378">
        <v>0.30267878767133699</v>
      </c>
      <c r="F631" s="1378">
        <v>0.28942023838796199</v>
      </c>
      <c r="G631" s="1378"/>
      <c r="H631" s="1378"/>
      <c r="N631" s="532"/>
      <c r="O631" s="532"/>
      <c r="P631" s="532"/>
      <c r="R631" s="2000"/>
      <c r="S631" s="2000"/>
      <c r="T631" s="2000"/>
    </row>
    <row r="632" spans="1:20">
      <c r="A632" s="1378" t="s">
        <v>4417</v>
      </c>
      <c r="B632" s="2184">
        <v>0.40120121310152801</v>
      </c>
      <c r="C632" s="2184">
        <v>0.37798169194950099</v>
      </c>
      <c r="D632" s="1378">
        <v>0.358656415264693</v>
      </c>
      <c r="E632" s="1378">
        <v>0.34440550776745299</v>
      </c>
      <c r="F632" s="1378">
        <v>0.328791598955469</v>
      </c>
      <c r="G632" s="1378"/>
      <c r="H632" s="1378"/>
      <c r="N632" s="532"/>
      <c r="O632" s="532"/>
      <c r="P632" s="532"/>
      <c r="R632" s="2000"/>
      <c r="S632" s="2000"/>
      <c r="T632" s="2000"/>
    </row>
    <row r="633" spans="1:20">
      <c r="A633" s="1378" t="s">
        <v>4418</v>
      </c>
      <c r="B633" s="2184">
        <v>0.447697963562941</v>
      </c>
      <c r="C633" s="2184">
        <v>0.42176589405270698</v>
      </c>
      <c r="D633" s="1378">
        <v>0.40038313536080899</v>
      </c>
      <c r="E633" s="1378">
        <v>0.383776868334959</v>
      </c>
      <c r="F633" s="1378">
        <v>0.36644890416021098</v>
      </c>
      <c r="G633" s="1378"/>
      <c r="H633" s="1378"/>
      <c r="N633" s="532"/>
      <c r="O633" s="532"/>
      <c r="P633" s="532"/>
      <c r="R633" s="2000"/>
      <c r="S633" s="2000"/>
      <c r="T633" s="2000"/>
    </row>
    <row r="634" spans="1:20">
      <c r="A634" s="1378" t="s">
        <v>4419</v>
      </c>
      <c r="B634" s="2184">
        <v>0.491482165666148</v>
      </c>
      <c r="C634" s="2184">
        <v>0.46349261414882298</v>
      </c>
      <c r="D634" s="1378">
        <v>0.439754495928316</v>
      </c>
      <c r="E634" s="1378">
        <v>0.42143417353970197</v>
      </c>
      <c r="F634" s="1378">
        <v>0.40245079645492099</v>
      </c>
      <c r="G634" s="1378"/>
      <c r="H634" s="1378"/>
      <c r="N634" s="532"/>
      <c r="O634" s="532"/>
      <c r="P634" s="532"/>
      <c r="R634" s="2000"/>
      <c r="S634" s="2000"/>
      <c r="T634" s="2000"/>
    </row>
    <row r="635" spans="1:20">
      <c r="A635" s="1378" t="s">
        <v>4420</v>
      </c>
      <c r="B635" s="2184">
        <v>6.7832021901144096E-2</v>
      </c>
      <c r="C635" s="2184">
        <v>6.1344380120237303E-2</v>
      </c>
      <c r="D635" s="1378">
        <v>5.43357021923523E-2</v>
      </c>
      <c r="E635" s="1378">
        <v>5.3405371513505003E-2</v>
      </c>
      <c r="F635" s="1378">
        <v>5.3090596348641099E-2</v>
      </c>
      <c r="G635" s="1378"/>
      <c r="H635" s="1378"/>
      <c r="N635" s="532"/>
      <c r="O635" s="532"/>
      <c r="P635" s="532"/>
      <c r="R635" s="2000"/>
      <c r="S635" s="2000"/>
      <c r="T635" s="2000"/>
    </row>
    <row r="636" spans="1:20">
      <c r="A636" s="1378" t="s">
        <v>4421</v>
      </c>
      <c r="B636" s="2184">
        <v>0.51819003104185102</v>
      </c>
      <c r="C636" s="2184">
        <v>0.48859522671215899</v>
      </c>
      <c r="D636" s="1378">
        <v>0.46382479253331599</v>
      </c>
      <c r="E636" s="1378">
        <v>0.44445629855802599</v>
      </c>
      <c r="F636" s="1378">
        <v>0.42424836349182399</v>
      </c>
      <c r="G636" s="1378"/>
      <c r="H636" s="1378"/>
      <c r="N636" s="532"/>
      <c r="O636" s="532"/>
      <c r="P636" s="532"/>
      <c r="R636" s="2000"/>
      <c r="S636" s="2000"/>
      <c r="T636" s="2000"/>
    </row>
    <row r="637" spans="1:20">
      <c r="A637" s="1378" t="s">
        <v>4422</v>
      </c>
      <c r="B637" s="2184">
        <v>0.55642724861330295</v>
      </c>
      <c r="C637" s="2184">
        <v>0.52516917265355401</v>
      </c>
      <c r="D637" s="1378">
        <v>0.498792000750378</v>
      </c>
      <c r="E637" s="1378">
        <v>0.47765373500532898</v>
      </c>
      <c r="F637" s="1378">
        <v>0.45598732093373501</v>
      </c>
      <c r="G637" s="1378"/>
      <c r="H637" s="1378"/>
      <c r="N637" s="532"/>
      <c r="O637" s="532"/>
      <c r="P637" s="532"/>
      <c r="R637" s="2000"/>
      <c r="S637" s="2000"/>
      <c r="T637" s="2000"/>
    </row>
    <row r="638" spans="1:20">
      <c r="A638" s="1378" t="s">
        <v>4423</v>
      </c>
      <c r="B638" s="2184">
        <v>0.59300119455469802</v>
      </c>
      <c r="C638" s="2184">
        <v>0.56013638087061501</v>
      </c>
      <c r="D638" s="1378">
        <v>0.53198943719768099</v>
      </c>
      <c r="E638" s="1378">
        <v>0.50939269244723995</v>
      </c>
      <c r="F638" s="1378">
        <v>0.486331906435719</v>
      </c>
      <c r="G638" s="1378"/>
      <c r="H638" s="1378"/>
      <c r="N638" s="532"/>
      <c r="O638" s="532"/>
      <c r="P638" s="532"/>
      <c r="R638" s="2000"/>
      <c r="S638" s="2000"/>
      <c r="T638" s="2000"/>
    </row>
    <row r="639" spans="1:20">
      <c r="A639" s="1378" t="s">
        <v>4424</v>
      </c>
      <c r="B639" s="2184">
        <v>0.62796840277176003</v>
      </c>
      <c r="C639" s="2184">
        <v>0.59333381731791901</v>
      </c>
      <c r="D639" s="1378">
        <v>0.56372839463959201</v>
      </c>
      <c r="E639" s="1378">
        <v>0.53973727794922399</v>
      </c>
      <c r="F639" s="1378">
        <v>0.51534340786320498</v>
      </c>
      <c r="G639" s="1378"/>
      <c r="H639" s="1378"/>
      <c r="N639" s="532"/>
      <c r="O639" s="532"/>
      <c r="P639" s="532"/>
      <c r="R639" s="2000"/>
      <c r="S639" s="2000"/>
      <c r="T639" s="2000"/>
    </row>
    <row r="640" spans="1:20">
      <c r="A640" s="1378" t="s">
        <v>4425</v>
      </c>
      <c r="B640" s="2184">
        <v>0.66116583921906302</v>
      </c>
      <c r="C640" s="2184">
        <v>0.62507277475983003</v>
      </c>
      <c r="D640" s="1378">
        <v>0.59407298014157595</v>
      </c>
      <c r="E640" s="1378">
        <v>0.56874877937670998</v>
      </c>
      <c r="F640" s="1378">
        <v>0.543080417922294</v>
      </c>
      <c r="G640" s="1378"/>
      <c r="H640" s="1378"/>
      <c r="N640" s="532"/>
      <c r="O640" s="532"/>
      <c r="P640" s="532"/>
      <c r="R640" s="2000"/>
      <c r="S640" s="2000"/>
      <c r="T640" s="2000"/>
    </row>
    <row r="641" spans="1:20">
      <c r="A641" s="1378" t="s">
        <v>4426</v>
      </c>
      <c r="B641" s="2184">
        <v>0.69290479666097404</v>
      </c>
      <c r="C641" s="2184">
        <v>0.65541736026181396</v>
      </c>
      <c r="D641" s="1378">
        <v>0.62308448156906204</v>
      </c>
      <c r="E641" s="1378">
        <v>0.596485789435798</v>
      </c>
      <c r="F641" s="1378">
        <v>0.56959895274005901</v>
      </c>
      <c r="G641" s="1378"/>
      <c r="H641" s="1378"/>
      <c r="N641" s="532"/>
      <c r="O641" s="532"/>
      <c r="P641" s="532"/>
      <c r="R641" s="2000"/>
      <c r="S641" s="2000"/>
      <c r="T641" s="2000"/>
    </row>
    <row r="642" spans="1:20">
      <c r="A642" s="1378" t="s">
        <v>4427</v>
      </c>
      <c r="B642" s="2184">
        <v>0.72324938216295798</v>
      </c>
      <c r="C642" s="2184">
        <v>0.68442886168929895</v>
      </c>
      <c r="D642" s="1378">
        <v>0.65082149162815095</v>
      </c>
      <c r="E642" s="1378">
        <v>0.623004324253564</v>
      </c>
      <c r="F642" s="1378">
        <v>0.59500580138306203</v>
      </c>
      <c r="G642" s="1378"/>
      <c r="H642" s="1378"/>
      <c r="N642" s="532"/>
      <c r="O642" s="532"/>
      <c r="P642" s="532"/>
      <c r="R642" s="2000"/>
      <c r="S642" s="2000"/>
      <c r="T642" s="2000"/>
    </row>
    <row r="643" spans="1:20">
      <c r="A643" s="1378" t="s">
        <v>4428</v>
      </c>
      <c r="B643" s="2184">
        <v>0.75226088359044296</v>
      </c>
      <c r="C643" s="2184">
        <v>0.71216587174838797</v>
      </c>
      <c r="D643" s="1378">
        <v>0.67734002644591695</v>
      </c>
      <c r="E643" s="1378">
        <v>0.64841117289656702</v>
      </c>
      <c r="F643" s="1378">
        <v>0.61929650456932706</v>
      </c>
      <c r="G643" s="1378"/>
      <c r="H643" s="1378"/>
      <c r="N643" s="532"/>
      <c r="O643" s="532"/>
      <c r="P643" s="532"/>
      <c r="R643" s="2000"/>
      <c r="S643" s="2000"/>
      <c r="T643" s="2000"/>
    </row>
    <row r="644" spans="1:20">
      <c r="A644" s="1378" t="s">
        <v>4429</v>
      </c>
      <c r="B644" s="2184">
        <v>0.77999789364953198</v>
      </c>
      <c r="C644" s="2184">
        <v>0.73868440656615397</v>
      </c>
      <c r="D644" s="1378">
        <v>0.70274687508891898</v>
      </c>
      <c r="E644" s="1378">
        <v>0.67270187608283205</v>
      </c>
      <c r="F644" s="1378">
        <v>0.64252011922657903</v>
      </c>
      <c r="G644" s="1378"/>
      <c r="H644" s="1378"/>
      <c r="N644" s="532"/>
      <c r="O644" s="532"/>
      <c r="P644" s="532"/>
      <c r="R644" s="2000"/>
      <c r="S644" s="2000"/>
      <c r="T644" s="2000"/>
    </row>
    <row r="645" spans="1:20">
      <c r="A645" s="1378" t="s">
        <v>4430</v>
      </c>
      <c r="B645" s="2184">
        <v>0.80651642846729799</v>
      </c>
      <c r="C645" s="2184">
        <v>0.76409125520915699</v>
      </c>
      <c r="D645" s="1378">
        <v>0.727037578275184</v>
      </c>
      <c r="E645" s="1378">
        <v>0.69592549074008403</v>
      </c>
      <c r="F645" s="1378">
        <v>0.66472354506637998</v>
      </c>
      <c r="G645" s="1378"/>
      <c r="H645" s="1378"/>
      <c r="N645" s="532"/>
      <c r="O645" s="532"/>
      <c r="P645" s="532"/>
      <c r="R645" s="2000"/>
      <c r="S645" s="2000"/>
      <c r="T645" s="2000"/>
    </row>
    <row r="646" spans="1:20">
      <c r="A646" s="1378" t="s">
        <v>4431</v>
      </c>
      <c r="B646" s="2184">
        <v>0.129176402021381</v>
      </c>
      <c r="C646" s="2184">
        <v>0.11568008231259</v>
      </c>
      <c r="D646" s="1378">
        <v>0.107741073705857</v>
      </c>
      <c r="E646" s="1378">
        <v>0.106495967862146</v>
      </c>
      <c r="F646" s="1378">
        <v>0.10468463962173</v>
      </c>
      <c r="G646" s="1378"/>
      <c r="H646" s="1378"/>
      <c r="N646" s="532"/>
      <c r="O646" s="532"/>
      <c r="P646" s="532"/>
      <c r="R646" s="2000"/>
      <c r="S646" s="2000"/>
      <c r="T646" s="2000"/>
    </row>
    <row r="647" spans="1:20">
      <c r="A647" s="1378" t="s">
        <v>4432</v>
      </c>
      <c r="B647" s="2184">
        <v>0.83192327711030001</v>
      </c>
      <c r="C647" s="2184">
        <v>0.78838195839542202</v>
      </c>
      <c r="D647" s="1378">
        <v>0.75026119293243598</v>
      </c>
      <c r="E647" s="1378">
        <v>0.71812891657988598</v>
      </c>
      <c r="F647" s="1378">
        <v>0.68595161949257599</v>
      </c>
      <c r="G647" s="1378"/>
      <c r="H647" s="1378"/>
      <c r="N647" s="532"/>
      <c r="O647" s="532"/>
      <c r="P647" s="532"/>
      <c r="R647" s="2000"/>
      <c r="S647" s="2000"/>
      <c r="T647" s="2000"/>
    </row>
    <row r="648" spans="1:20">
      <c r="A648" s="1378" t="s">
        <v>4433</v>
      </c>
      <c r="B648" s="2184">
        <v>0.85621398029656604</v>
      </c>
      <c r="C648" s="2184">
        <v>0.811605573052674</v>
      </c>
      <c r="D648" s="1378">
        <v>0.77246461877223804</v>
      </c>
      <c r="E648" s="1378">
        <v>0.73935699100608099</v>
      </c>
      <c r="F648" s="1378">
        <v>0.70624720833202603</v>
      </c>
      <c r="G648" s="1378"/>
      <c r="H648" s="1378"/>
      <c r="N648" s="532"/>
      <c r="O648" s="532"/>
      <c r="P648" s="532"/>
      <c r="R648" s="2000"/>
      <c r="S648" s="2000"/>
      <c r="T648" s="2000"/>
    </row>
    <row r="649" spans="1:20">
      <c r="A649" s="1378" t="s">
        <v>4434</v>
      </c>
      <c r="B649" s="2184">
        <v>0.87943759495381801</v>
      </c>
      <c r="C649" s="2184">
        <v>0.83380899889247495</v>
      </c>
      <c r="D649" s="1378">
        <v>0.79369269319843305</v>
      </c>
      <c r="E649" s="1378">
        <v>0.75965257984553103</v>
      </c>
      <c r="F649" s="1378">
        <v>0.72523989861786597</v>
      </c>
      <c r="G649" s="1378"/>
      <c r="H649" s="1378"/>
      <c r="N649" s="532"/>
      <c r="O649" s="532"/>
      <c r="P649" s="532"/>
      <c r="R649" s="2000"/>
      <c r="S649" s="2000"/>
      <c r="T649" s="2000"/>
    </row>
    <row r="650" spans="1:20">
      <c r="A650" s="1378" t="s">
        <v>4435</v>
      </c>
      <c r="B650" s="2184">
        <v>0.90164102079361996</v>
      </c>
      <c r="C650" s="2184">
        <v>0.85503707331867096</v>
      </c>
      <c r="D650" s="1378">
        <v>0.81398828203788298</v>
      </c>
      <c r="E650" s="1378">
        <v>0.77864527013137097</v>
      </c>
      <c r="F650" s="1378">
        <v>0.74301333141389903</v>
      </c>
      <c r="G650" s="1378"/>
      <c r="H650" s="1378"/>
      <c r="N650" s="532"/>
      <c r="O650" s="532"/>
      <c r="P650" s="532"/>
      <c r="R650" s="2000"/>
      <c r="S650" s="2000"/>
      <c r="T650" s="2000"/>
    </row>
    <row r="651" spans="1:20">
      <c r="A651" s="1378" t="s">
        <v>4436</v>
      </c>
      <c r="B651" s="2184">
        <v>0.92286909521981497</v>
      </c>
      <c r="C651" s="2184">
        <v>0.87533266215812</v>
      </c>
      <c r="D651" s="1378">
        <v>0.83298097232372403</v>
      </c>
      <c r="E651" s="1378">
        <v>0.79641870292740402</v>
      </c>
      <c r="F651" s="1378">
        <v>0.75964577835010805</v>
      </c>
      <c r="G651" s="1378"/>
      <c r="H651" s="1378"/>
      <c r="N651" s="532"/>
      <c r="O651" s="532"/>
      <c r="P651" s="532"/>
      <c r="R651" s="2000"/>
      <c r="S651" s="2000"/>
      <c r="T651" s="2000"/>
    </row>
    <row r="652" spans="1:20">
      <c r="A652" s="1378" t="s">
        <v>4437</v>
      </c>
      <c r="B652" s="2184">
        <v>0.94316468405926401</v>
      </c>
      <c r="C652" s="2184">
        <v>0.89432535244396105</v>
      </c>
      <c r="D652" s="1378">
        <v>0.85075440511975697</v>
      </c>
      <c r="E652" s="1378">
        <v>0.81305114986361304</v>
      </c>
      <c r="F652" s="1378">
        <v>0.77521048631960998</v>
      </c>
      <c r="G652" s="1378"/>
      <c r="H652" s="1378"/>
      <c r="N652" s="532"/>
      <c r="O652" s="532"/>
      <c r="P652" s="532"/>
      <c r="R652" s="2000"/>
      <c r="S652" s="2000"/>
      <c r="T652" s="2000"/>
    </row>
    <row r="653" spans="1:20">
      <c r="A653" s="1378" t="s">
        <v>4438</v>
      </c>
      <c r="B653" s="2184">
        <v>0.96215737434510495</v>
      </c>
      <c r="C653" s="2184">
        <v>0.91209878523999399</v>
      </c>
      <c r="D653" s="1378">
        <v>0.867386852055966</v>
      </c>
      <c r="E653" s="1378">
        <v>0.82861585783311498</v>
      </c>
      <c r="F653" s="1378">
        <v>0.78977600004738502</v>
      </c>
      <c r="G653" s="1378"/>
      <c r="H653" s="1378"/>
      <c r="N653" s="532"/>
      <c r="O653" s="532"/>
      <c r="P653" s="532"/>
      <c r="R653" s="2000"/>
      <c r="S653" s="2000"/>
      <c r="T653" s="2000"/>
    </row>
    <row r="654" spans="1:20">
      <c r="A654" s="1378" t="s">
        <v>4439</v>
      </c>
      <c r="B654" s="2184">
        <v>0.97993080714113801</v>
      </c>
      <c r="C654" s="2184">
        <v>0.92873123217620301</v>
      </c>
      <c r="D654" s="1378">
        <v>0.88295156002546704</v>
      </c>
      <c r="E654" s="1378">
        <v>0.84318137156089001</v>
      </c>
      <c r="F654" s="1378">
        <v>0.80340646395134896</v>
      </c>
      <c r="G654" s="1378"/>
      <c r="H654" s="1378"/>
      <c r="N654" s="532"/>
      <c r="O654" s="532"/>
      <c r="P654" s="532"/>
      <c r="R654" s="2000"/>
      <c r="S654" s="2000"/>
      <c r="T654" s="2000"/>
    </row>
    <row r="655" spans="1:20">
      <c r="A655" s="1378" t="s">
        <v>4440</v>
      </c>
      <c r="B655" s="2184">
        <v>0.99656325407734703</v>
      </c>
      <c r="C655" s="2184">
        <v>0.94429594014570395</v>
      </c>
      <c r="D655" s="1378">
        <v>0.89751707375324297</v>
      </c>
      <c r="E655" s="1378">
        <v>0.85681183546485395</v>
      </c>
      <c r="F655" s="1378">
        <v>0.81616190462509397</v>
      </c>
      <c r="G655" s="1378"/>
      <c r="H655" s="1378"/>
      <c r="N655" s="532"/>
      <c r="O655" s="532"/>
      <c r="P655" s="532"/>
      <c r="R655" s="2000"/>
      <c r="S655" s="2000"/>
      <c r="T655" s="2000"/>
    </row>
    <row r="656" spans="1:20">
      <c r="A656" s="1378" t="s">
        <v>4441</v>
      </c>
      <c r="B656" s="2184">
        <v>1.01212796204685</v>
      </c>
      <c r="C656" s="2184">
        <v>0.95886145387347999</v>
      </c>
      <c r="D656" s="1378">
        <v>0.91114753765720702</v>
      </c>
      <c r="E656" s="1378">
        <v>0.86956727613859897</v>
      </c>
      <c r="F656" s="1378">
        <v>0.82809849518633805</v>
      </c>
      <c r="G656" s="1378"/>
      <c r="H656" s="1378"/>
      <c r="N656" s="532"/>
      <c r="O656" s="532"/>
      <c r="P656" s="532"/>
      <c r="R656" s="2000"/>
      <c r="S656" s="2000"/>
      <c r="T656" s="2000"/>
    </row>
    <row r="657" spans="1:20">
      <c r="A657" s="1378" t="s">
        <v>4442</v>
      </c>
      <c r="B657" s="2184">
        <v>0.18351210421373401</v>
      </c>
      <c r="C657" s="2184">
        <v>0.16908545382609499</v>
      </c>
      <c r="D657" s="1378">
        <v>0.160831670054498</v>
      </c>
      <c r="E657" s="1378">
        <v>0.15809001113523499</v>
      </c>
      <c r="F657" s="1378">
        <v>0.15302566668863299</v>
      </c>
      <c r="G657" s="1378"/>
      <c r="H657" s="1378"/>
      <c r="N657" s="532"/>
      <c r="O657" s="532"/>
      <c r="P657" s="532"/>
      <c r="R657" s="2000"/>
      <c r="S657" s="2000"/>
      <c r="T657" s="2000"/>
    </row>
    <row r="658" spans="1:20">
      <c r="A658" s="1378" t="s">
        <v>4443</v>
      </c>
      <c r="B658" s="2184">
        <v>1.02669347577462</v>
      </c>
      <c r="C658" s="2184">
        <v>0.97249191777744404</v>
      </c>
      <c r="D658" s="1378">
        <v>0.92390297833095103</v>
      </c>
      <c r="E658" s="1378">
        <v>0.88150386669984304</v>
      </c>
      <c r="F658" s="1378">
        <v>0.83926880265521597</v>
      </c>
      <c r="G658" s="1378"/>
      <c r="H658" s="1378"/>
      <c r="N658" s="532"/>
      <c r="O658" s="532"/>
      <c r="P658" s="532"/>
      <c r="R658" s="2000"/>
      <c r="S658" s="2000"/>
      <c r="T658" s="2000"/>
    </row>
    <row r="659" spans="1:20">
      <c r="A659" s="1378" t="s">
        <v>4444</v>
      </c>
      <c r="B659" s="2184">
        <v>0.23691747572723901</v>
      </c>
      <c r="C659" s="2184">
        <v>0.22217605017473599</v>
      </c>
      <c r="D659" s="1378">
        <v>0.212425713327588</v>
      </c>
      <c r="E659" s="1378">
        <v>0.20643103820213801</v>
      </c>
      <c r="F659" s="1378">
        <v>0.198205553742164</v>
      </c>
      <c r="G659" s="1378"/>
      <c r="H659" s="1378"/>
      <c r="N659" s="532"/>
      <c r="O659" s="532"/>
      <c r="P659" s="532"/>
      <c r="R659" s="2000"/>
      <c r="S659" s="2000"/>
      <c r="T659" s="2000"/>
    </row>
    <row r="660" spans="1:20">
      <c r="A660" s="1378" t="s">
        <v>4445</v>
      </c>
      <c r="B660" s="2184">
        <v>0.29000807207587997</v>
      </c>
      <c r="C660" s="2184">
        <v>0.27377009344782499</v>
      </c>
      <c r="D660" s="1378">
        <v>0.26076674039448999</v>
      </c>
      <c r="E660" s="1378">
        <v>0.25161092525566903</v>
      </c>
      <c r="F660" s="1378">
        <v>0.240739008981529</v>
      </c>
      <c r="G660" s="1378"/>
      <c r="H660" s="1378"/>
      <c r="N660" s="532"/>
      <c r="O660" s="532"/>
      <c r="P660" s="532"/>
      <c r="R660" s="2000"/>
      <c r="S660" s="2000"/>
      <c r="T660" s="2000"/>
    </row>
    <row r="661" spans="1:20">
      <c r="A661" s="1378" t="s">
        <v>4446</v>
      </c>
      <c r="B661" s="2184">
        <v>0.341602115348969</v>
      </c>
      <c r="C661" s="2184">
        <v>0.32211112051472801</v>
      </c>
      <c r="D661" s="1378">
        <v>0.30594662744802198</v>
      </c>
      <c r="E661" s="1378">
        <v>0.294144380495033</v>
      </c>
      <c r="F661" s="1378">
        <v>0.28127255531461198</v>
      </c>
      <c r="G661" s="1378"/>
      <c r="H661" s="1378"/>
      <c r="N661" s="532"/>
      <c r="O661" s="532"/>
      <c r="P661" s="532"/>
      <c r="R661" s="2000"/>
      <c r="S661" s="2000"/>
      <c r="T661" s="2000"/>
    </row>
    <row r="662" spans="1:20">
      <c r="A662" s="1378" t="s">
        <v>4447</v>
      </c>
      <c r="B662" s="2184">
        <v>0.38994314241587202</v>
      </c>
      <c r="C662" s="2184">
        <v>0.367291007568259</v>
      </c>
      <c r="D662" s="1378">
        <v>0.34848008268738601</v>
      </c>
      <c r="E662" s="1378">
        <v>0.33467792682811698</v>
      </c>
      <c r="F662" s="1378">
        <v>0.31950977288606403</v>
      </c>
      <c r="G662" s="1378"/>
      <c r="H662" s="1378"/>
      <c r="N662" s="532"/>
      <c r="O662" s="532"/>
      <c r="P662" s="532"/>
      <c r="R662" s="2000"/>
      <c r="S662" s="2000"/>
      <c r="T662" s="2000"/>
    </row>
    <row r="663" spans="1:20">
      <c r="A663" s="1378" t="s">
        <v>4448</v>
      </c>
      <c r="B663" s="2184">
        <v>0.43512302946940301</v>
      </c>
      <c r="C663" s="2184">
        <v>0.40982446280762302</v>
      </c>
      <c r="D663" s="1378">
        <v>0.38901362902046999</v>
      </c>
      <c r="E663" s="1378">
        <v>0.37291514439956902</v>
      </c>
      <c r="F663" s="1378">
        <v>0.35608371882745898</v>
      </c>
      <c r="G663" s="1378"/>
      <c r="H663" s="1378"/>
      <c r="N663" s="532"/>
      <c r="O663" s="532"/>
      <c r="P663" s="532"/>
      <c r="R663" s="2000"/>
      <c r="S663" s="2000"/>
      <c r="T663" s="2000"/>
    </row>
    <row r="664" spans="1:20">
      <c r="A664" s="1378" t="s">
        <v>4449</v>
      </c>
      <c r="B664" s="2184">
        <v>0.47765648470876698</v>
      </c>
      <c r="C664" s="2184">
        <v>0.45035800914070701</v>
      </c>
      <c r="D664" s="1378">
        <v>0.42725084659192197</v>
      </c>
      <c r="E664" s="1378">
        <v>0.40948909034096398</v>
      </c>
      <c r="F664" s="1378">
        <v>0.39105092704452099</v>
      </c>
      <c r="G664" s="1378"/>
      <c r="H664" s="1378"/>
      <c r="N664" s="532"/>
      <c r="O664" s="532"/>
      <c r="P664" s="532"/>
      <c r="R664" s="2000"/>
      <c r="S664" s="2000"/>
      <c r="T664" s="2000"/>
    </row>
    <row r="665" spans="1:20">
      <c r="A665" s="1378" t="s">
        <v>4450</v>
      </c>
      <c r="B665" s="2184">
        <v>7.8889619878687978E-2</v>
      </c>
      <c r="C665" s="2184">
        <v>7.3825210442343234E-2</v>
      </c>
      <c r="D665" s="1378">
        <v>6.7140152743308201E-2</v>
      </c>
      <c r="E665" s="1378">
        <v>5.9952340779388935E-2</v>
      </c>
      <c r="F665" s="1378">
        <v>5.8717130401143049E-2</v>
      </c>
      <c r="G665" s="1378"/>
      <c r="H665" s="1378"/>
      <c r="N665" s="532"/>
      <c r="O665" s="532"/>
      <c r="P665" s="532"/>
      <c r="R665" s="2000"/>
      <c r="S665" s="2000"/>
      <c r="T665" s="2000"/>
    </row>
    <row r="666" spans="1:20">
      <c r="A666" s="1378" t="s">
        <v>4451</v>
      </c>
      <c r="B666" s="2184">
        <v>0.60217804707664857</v>
      </c>
      <c r="C666" s="2184">
        <v>0.56781696017586603</v>
      </c>
      <c r="D666" s="1378">
        <v>0.53605034064178392</v>
      </c>
      <c r="E666" s="1378">
        <v>0.50913035932106232</v>
      </c>
      <c r="F666" s="1378">
        <v>0.4876246110719426</v>
      </c>
      <c r="G666" s="1378"/>
      <c r="H666" s="1378"/>
      <c r="N666" s="532"/>
      <c r="O666" s="532"/>
      <c r="P666" s="532"/>
      <c r="R666" s="2000"/>
      <c r="S666" s="2000"/>
      <c r="T666" s="2000"/>
    </row>
    <row r="667" spans="1:20">
      <c r="A667" s="1378" t="s">
        <v>4452</v>
      </c>
      <c r="B667" s="2184">
        <v>0.64670658005455417</v>
      </c>
      <c r="C667" s="2184">
        <v>0.60987555108412728</v>
      </c>
      <c r="D667" s="1378">
        <v>0.57627051206437052</v>
      </c>
      <c r="E667" s="1378">
        <v>0.54757695185133148</v>
      </c>
      <c r="F667" s="1378">
        <v>0.52414639075021685</v>
      </c>
      <c r="G667" s="1378"/>
      <c r="H667" s="1378"/>
      <c r="N667" s="532"/>
      <c r="O667" s="532"/>
      <c r="P667" s="532"/>
      <c r="R667" s="2000"/>
      <c r="S667" s="2000"/>
      <c r="T667" s="2000"/>
    </row>
    <row r="668" spans="1:20">
      <c r="A668" s="1378" t="s">
        <v>4453</v>
      </c>
      <c r="B668" s="2184">
        <v>0.68876517096281509</v>
      </c>
      <c r="C668" s="2184">
        <v>0.65009572250671388</v>
      </c>
      <c r="D668" s="1378">
        <v>0.6147171045946398</v>
      </c>
      <c r="E668" s="1378">
        <v>0.58409873152960601</v>
      </c>
      <c r="F668" s="1378">
        <v>0.55905758412472728</v>
      </c>
      <c r="G668" s="1378"/>
      <c r="H668" s="1378"/>
      <c r="N668" s="532"/>
      <c r="O668" s="532"/>
      <c r="P668" s="532"/>
      <c r="R668" s="2000"/>
      <c r="S668" s="2000"/>
      <c r="T668" s="2000"/>
    </row>
    <row r="669" spans="1:20">
      <c r="A669" s="1378" t="s">
        <v>4454</v>
      </c>
      <c r="B669" s="2184">
        <v>0.7289853423854018</v>
      </c>
      <c r="C669" s="2184">
        <v>0.68854231503698293</v>
      </c>
      <c r="D669" s="1378">
        <v>0.6512388842729141</v>
      </c>
      <c r="E669" s="1378">
        <v>0.61900992490411622</v>
      </c>
      <c r="F669" s="1378">
        <v>0.59242925579864814</v>
      </c>
      <c r="G669" s="1378"/>
      <c r="H669" s="1378"/>
      <c r="N669" s="532"/>
      <c r="O669" s="532"/>
      <c r="P669" s="532"/>
      <c r="R669" s="2000"/>
      <c r="S669" s="2000"/>
      <c r="T669" s="2000"/>
    </row>
    <row r="670" spans="1:20">
      <c r="A670" s="1378" t="s">
        <v>4455</v>
      </c>
      <c r="B670" s="2184">
        <v>0.76743193491567085</v>
      </c>
      <c r="C670" s="2184">
        <v>0.72506409471525723</v>
      </c>
      <c r="D670" s="1378">
        <v>0.68615007764742442</v>
      </c>
      <c r="E670" s="1378">
        <v>0.65238159657803707</v>
      </c>
      <c r="F670" s="1378">
        <v>0.62432933302618832</v>
      </c>
      <c r="G670" s="1378"/>
      <c r="H670" s="1378"/>
      <c r="N670" s="532"/>
      <c r="O670" s="532"/>
      <c r="P670" s="532"/>
      <c r="R670" s="2000"/>
      <c r="S670" s="2000"/>
      <c r="T670" s="2000"/>
    </row>
    <row r="671" spans="1:20">
      <c r="A671" s="1378" t="s">
        <v>4456</v>
      </c>
      <c r="B671" s="2184">
        <v>0.80395371459394527</v>
      </c>
      <c r="C671" s="2184">
        <v>0.75997528808976744</v>
      </c>
      <c r="D671" s="1378">
        <v>0.71952174932134538</v>
      </c>
      <c r="E671" s="1378">
        <v>0.68428167380557747</v>
      </c>
      <c r="F671" s="1378">
        <v>0.65482274429724474</v>
      </c>
      <c r="G671" s="1378"/>
      <c r="H671" s="1378"/>
      <c r="N671" s="532"/>
      <c r="O671" s="532"/>
      <c r="P671" s="532"/>
      <c r="R671" s="2000"/>
      <c r="S671" s="2000"/>
      <c r="T671" s="2000"/>
    </row>
    <row r="672" spans="1:20">
      <c r="A672" s="1378" t="s">
        <v>4457</v>
      </c>
      <c r="B672" s="2184">
        <v>0.83886490796845559</v>
      </c>
      <c r="C672" s="2184">
        <v>0.79334695976368841</v>
      </c>
      <c r="D672" s="1378">
        <v>0.75142182654888579</v>
      </c>
      <c r="E672" s="1378">
        <v>0.71477508507663379</v>
      </c>
      <c r="F672" s="1378">
        <v>0.68397155179696156</v>
      </c>
      <c r="G672" s="1378"/>
      <c r="H672" s="1378"/>
      <c r="N672" s="532"/>
      <c r="O672" s="532"/>
      <c r="P672" s="532"/>
      <c r="R672" s="2000"/>
      <c r="S672" s="2000"/>
      <c r="T672" s="2000"/>
    </row>
    <row r="673" spans="1:20">
      <c r="A673" s="1378" t="s">
        <v>4458</v>
      </c>
      <c r="B673" s="2184">
        <v>0.87223657964237644</v>
      </c>
      <c r="C673" s="2184">
        <v>0.82524703699122881</v>
      </c>
      <c r="D673" s="1378">
        <v>0.78191523781994199</v>
      </c>
      <c r="E673" s="1378">
        <v>0.74392389257635072</v>
      </c>
      <c r="F673" s="1378">
        <v>0.71190973146708425</v>
      </c>
      <c r="G673" s="1378"/>
      <c r="H673" s="1378"/>
      <c r="N673" s="532"/>
      <c r="O673" s="532"/>
      <c r="P673" s="532"/>
      <c r="R673" s="2000"/>
      <c r="S673" s="2000"/>
      <c r="T673" s="2000"/>
    </row>
    <row r="674" spans="1:20">
      <c r="A674" s="1378" t="s">
        <v>4459</v>
      </c>
      <c r="B674" s="2184">
        <v>0.90413665686991662</v>
      </c>
      <c r="C674" s="2184">
        <v>0.8557404482622849</v>
      </c>
      <c r="D674" s="1378">
        <v>0.8110640453196587</v>
      </c>
      <c r="E674" s="1378">
        <v>0.77186207224647307</v>
      </c>
      <c r="F674" s="1378">
        <v>0.73861593840368978</v>
      </c>
      <c r="G674" s="1378"/>
      <c r="H674" s="1378"/>
      <c r="N674" s="532"/>
      <c r="O674" s="532"/>
      <c r="P674" s="532"/>
      <c r="R674" s="2000"/>
      <c r="S674" s="2000"/>
      <c r="T674" s="2000"/>
    </row>
    <row r="675" spans="1:20">
      <c r="A675" s="1378" t="s">
        <v>4460</v>
      </c>
      <c r="B675" s="2184">
        <v>0.93463006814097316</v>
      </c>
      <c r="C675" s="2184">
        <v>0.88488925576200195</v>
      </c>
      <c r="D675" s="1378">
        <v>0.83900222498978139</v>
      </c>
      <c r="E675" s="1378">
        <v>0.79856827918307882</v>
      </c>
      <c r="F675" s="1378">
        <v>0.76414452779167263</v>
      </c>
      <c r="G675" s="1378"/>
      <c r="H675" s="1378"/>
      <c r="N675" s="532"/>
      <c r="O675" s="532"/>
      <c r="P675" s="532"/>
      <c r="R675" s="2000"/>
      <c r="S675" s="2000"/>
      <c r="T675" s="2000"/>
    </row>
    <row r="676" spans="1:20">
      <c r="A676" s="1378" t="s">
        <v>4461</v>
      </c>
      <c r="B676" s="2184">
        <v>0.15271483032103125</v>
      </c>
      <c r="C676" s="2184">
        <v>0.14096536318565142</v>
      </c>
      <c r="D676" s="1378">
        <v>0.12709249352269714</v>
      </c>
      <c r="E676" s="1378">
        <v>0.118669471180532</v>
      </c>
      <c r="F676" s="1378">
        <v>0.116831812087411</v>
      </c>
      <c r="G676" s="1378"/>
      <c r="H676" s="1378"/>
      <c r="N676" s="532"/>
      <c r="O676" s="532"/>
      <c r="P676" s="532"/>
      <c r="R676" s="2000"/>
      <c r="S676" s="2000"/>
      <c r="T676" s="2000"/>
    </row>
    <row r="677" spans="1:20">
      <c r="A677" s="1378" t="s">
        <v>4462</v>
      </c>
      <c r="B677" s="2184">
        <v>0.96377887564068987</v>
      </c>
      <c r="C677" s="2184">
        <v>0.91282743543212441</v>
      </c>
      <c r="D677" s="1378">
        <v>0.8657084319263868</v>
      </c>
      <c r="E677" s="1378">
        <v>0.82409686857106168</v>
      </c>
      <c r="F677" s="1378">
        <v>0.78854745531637827</v>
      </c>
      <c r="G677" s="1378"/>
      <c r="H677" s="1378"/>
      <c r="N677" s="532"/>
      <c r="O677" s="532"/>
      <c r="P677" s="532"/>
      <c r="R677" s="2000"/>
      <c r="S677" s="2000"/>
      <c r="T677" s="2000"/>
    </row>
    <row r="678" spans="1:20">
      <c r="A678" s="1378" t="s">
        <v>4463</v>
      </c>
      <c r="B678" s="2184">
        <v>0.99171705531081245</v>
      </c>
      <c r="C678" s="2184">
        <v>0.93953364236873005</v>
      </c>
      <c r="D678" s="1378">
        <v>0.89123702131436977</v>
      </c>
      <c r="E678" s="1378">
        <v>0.84849979609576731</v>
      </c>
      <c r="F678" s="1378">
        <v>0.8118743831482288</v>
      </c>
      <c r="G678" s="1378"/>
      <c r="H678" s="1378"/>
      <c r="N678" s="532"/>
      <c r="O678" s="532"/>
      <c r="P678" s="532"/>
      <c r="R678" s="2000"/>
      <c r="S678" s="2000"/>
      <c r="T678" s="2000"/>
    </row>
    <row r="679" spans="1:20">
      <c r="A679" s="1378" t="s">
        <v>4464</v>
      </c>
      <c r="B679" s="2184">
        <v>1.0184232622474181</v>
      </c>
      <c r="C679" s="2184">
        <v>0.96506223175671302</v>
      </c>
      <c r="D679" s="1378">
        <v>0.91563994883907507</v>
      </c>
      <c r="E679" s="1378">
        <v>0.87182672392761784</v>
      </c>
      <c r="F679" s="1378">
        <v>0.83370381215052258</v>
      </c>
      <c r="G679" s="1378"/>
      <c r="H679" s="1378"/>
      <c r="N679" s="532"/>
      <c r="O679" s="532"/>
      <c r="P679" s="532"/>
      <c r="R679" s="2000"/>
      <c r="S679" s="2000"/>
      <c r="T679" s="2000"/>
    </row>
    <row r="680" spans="1:20">
      <c r="A680" s="1378" t="s">
        <v>4465</v>
      </c>
      <c r="B680" s="2184">
        <v>1.0439518516354009</v>
      </c>
      <c r="C680" s="2184">
        <v>0.98946515928141843</v>
      </c>
      <c r="D680" s="1378">
        <v>0.93896687667092604</v>
      </c>
      <c r="E680" s="1378">
        <v>0.89365615292991141</v>
      </c>
      <c r="F680" s="1378">
        <v>0.85413187597449158</v>
      </c>
      <c r="G680" s="1378"/>
      <c r="H680" s="1378"/>
      <c r="N680" s="532"/>
      <c r="O680" s="532"/>
      <c r="P680" s="532"/>
      <c r="R680" s="2000"/>
      <c r="S680" s="2000"/>
      <c r="T680" s="2000"/>
    </row>
    <row r="681" spans="1:20">
      <c r="A681" s="1378" t="s">
        <v>4466</v>
      </c>
      <c r="B681" s="2184">
        <v>1.0683547791601062</v>
      </c>
      <c r="C681" s="2184">
        <v>1.0127920871132692</v>
      </c>
      <c r="D681" s="1378">
        <v>0.9607963056732195</v>
      </c>
      <c r="E681" s="1378">
        <v>0.91408421675388063</v>
      </c>
      <c r="F681" s="1378">
        <v>0.87324853686160497</v>
      </c>
      <c r="G681" s="1378"/>
      <c r="H681" s="1378"/>
      <c r="N681" s="532"/>
      <c r="O681" s="532"/>
      <c r="P681" s="532"/>
      <c r="R681" s="2000"/>
      <c r="S681" s="2000"/>
      <c r="T681" s="2000"/>
    </row>
    <row r="682" spans="1:20">
      <c r="A682" s="1378" t="s">
        <v>4467</v>
      </c>
      <c r="B682" s="2184">
        <v>1.0916817069919575</v>
      </c>
      <c r="C682" s="2184">
        <v>1.0346215161155627</v>
      </c>
      <c r="D682" s="1378">
        <v>0.98122436949718861</v>
      </c>
      <c r="E682" s="1378">
        <v>0.93320087764099391</v>
      </c>
      <c r="F682" s="1378">
        <v>0.89113798182427828</v>
      </c>
      <c r="G682" s="1378"/>
      <c r="H682" s="1378"/>
      <c r="N682" s="532"/>
      <c r="O682" s="532"/>
      <c r="P682" s="532"/>
      <c r="R682" s="2000"/>
      <c r="S682" s="2000"/>
      <c r="T682" s="2000"/>
    </row>
    <row r="683" spans="1:20">
      <c r="A683" s="1378" t="s">
        <v>4468</v>
      </c>
      <c r="B683" s="2184">
        <v>0.2198549830643394</v>
      </c>
      <c r="C683" s="2184">
        <v>0.20091770396504038</v>
      </c>
      <c r="D683" s="1378">
        <v>0.18580962392384021</v>
      </c>
      <c r="E683" s="1378">
        <v>0.17678415286679994</v>
      </c>
      <c r="F683" s="1378">
        <v>0.17319706976126817</v>
      </c>
      <c r="G683" s="1378"/>
      <c r="H683" s="1378"/>
      <c r="N683" s="532"/>
      <c r="O683" s="532"/>
      <c r="P683" s="532"/>
      <c r="R683" s="2000"/>
      <c r="S683" s="2000"/>
      <c r="T683" s="2000"/>
    </row>
    <row r="684" spans="1:20">
      <c r="A684" s="1378" t="s">
        <v>4469</v>
      </c>
      <c r="B684" s="2184">
        <v>0.27980732384372842</v>
      </c>
      <c r="C684" s="2184">
        <v>0.25963483436618345</v>
      </c>
      <c r="D684" s="1378">
        <v>0.24392430561010817</v>
      </c>
      <c r="E684" s="1378">
        <v>0.23314941054065702</v>
      </c>
      <c r="F684" s="1378">
        <v>0.2261008538814773</v>
      </c>
      <c r="G684" s="1378"/>
      <c r="H684" s="1378"/>
      <c r="N684" s="532"/>
      <c r="O684" s="532"/>
      <c r="P684" s="532"/>
      <c r="R684" s="2000"/>
      <c r="S684" s="2000"/>
      <c r="T684" s="2000"/>
    </row>
    <row r="685" spans="1:20">
      <c r="A685" s="1378" t="s">
        <v>4470</v>
      </c>
      <c r="B685" s="2184">
        <v>0.33852445424487143</v>
      </c>
      <c r="C685" s="2184">
        <v>0.31774951605245139</v>
      </c>
      <c r="D685" s="1378">
        <v>0.30028956328396533</v>
      </c>
      <c r="E685" s="1378">
        <v>0.28605319466086632</v>
      </c>
      <c r="F685" s="1378">
        <v>0.27565315588051847</v>
      </c>
      <c r="G685" s="1378"/>
      <c r="H685" s="1378"/>
      <c r="N685" s="532"/>
      <c r="O685" s="532"/>
      <c r="P685" s="532"/>
      <c r="R685" s="2000"/>
      <c r="S685" s="2000"/>
      <c r="T685" s="2000"/>
    </row>
    <row r="686" spans="1:20">
      <c r="A686" s="1378" t="s">
        <v>4471</v>
      </c>
      <c r="B686" s="2184">
        <v>0.39663913593113925</v>
      </c>
      <c r="C686" s="2184">
        <v>0.37411477372630852</v>
      </c>
      <c r="D686" s="1378">
        <v>0.35319334740417457</v>
      </c>
      <c r="E686" s="1378">
        <v>0.33560549665990752</v>
      </c>
      <c r="F686" s="1378">
        <v>0.32237072323292021</v>
      </c>
      <c r="G686" s="1378"/>
      <c r="H686" s="1378"/>
      <c r="N686" s="532"/>
      <c r="O686" s="532"/>
      <c r="P686" s="532"/>
      <c r="R686" s="2000"/>
      <c r="S686" s="2000"/>
      <c r="T686" s="2000"/>
    </row>
    <row r="687" spans="1:20">
      <c r="A687" s="1378" t="s">
        <v>4472</v>
      </c>
      <c r="B687" s="2184">
        <v>0.4530043936049965</v>
      </c>
      <c r="C687" s="2184">
        <v>0.42701855784651777</v>
      </c>
      <c r="D687" s="1378">
        <v>0.40274564940321567</v>
      </c>
      <c r="E687" s="1378">
        <v>0.38232306401230914</v>
      </c>
      <c r="F687" s="1378">
        <v>0.36689925621082581</v>
      </c>
      <c r="G687" s="1378"/>
      <c r="H687" s="1378"/>
      <c r="N687" s="532"/>
      <c r="O687" s="532"/>
      <c r="P687" s="532"/>
      <c r="R687" s="2000"/>
      <c r="S687" s="2000"/>
      <c r="T687" s="2000"/>
    </row>
    <row r="688" spans="1:20">
      <c r="A688" s="1378" t="s">
        <v>4473</v>
      </c>
      <c r="B688" s="2184">
        <v>0.50590817772520569</v>
      </c>
      <c r="C688" s="2184">
        <v>0.47657085984555891</v>
      </c>
      <c r="D688" s="1378">
        <v>0.44946321675561729</v>
      </c>
      <c r="E688" s="1378">
        <v>0.42685159699021469</v>
      </c>
      <c r="F688" s="1378">
        <v>0.40895784711908678</v>
      </c>
      <c r="G688" s="1378"/>
      <c r="H688" s="1378"/>
      <c r="N688" s="532"/>
      <c r="O688" s="532"/>
      <c r="P688" s="532"/>
      <c r="R688" s="2000"/>
      <c r="S688" s="2000"/>
      <c r="T688" s="2000"/>
    </row>
    <row r="689" spans="1:20">
      <c r="A689" s="1378" t="s">
        <v>4474</v>
      </c>
      <c r="B689" s="2184">
        <v>0.55546047972424695</v>
      </c>
      <c r="C689" s="2184">
        <v>0.52328842719796054</v>
      </c>
      <c r="D689" s="1378">
        <v>0.49399174973352289</v>
      </c>
      <c r="E689" s="1378">
        <v>0.46891018789847583</v>
      </c>
      <c r="F689" s="1378">
        <v>0.44917801854167339</v>
      </c>
      <c r="G689" s="1378"/>
      <c r="H689" s="1378"/>
      <c r="N689" s="532"/>
      <c r="O689" s="532"/>
      <c r="P689" s="532"/>
      <c r="R689" s="2000"/>
      <c r="S689" s="2000"/>
      <c r="T689" s="2000"/>
    </row>
    <row r="690" spans="1:20">
      <c r="A690" s="1378" t="s">
        <v>4475</v>
      </c>
      <c r="B690" s="2184">
        <v>6.9716271613440697E-2</v>
      </c>
      <c r="C690" s="2184">
        <v>6.3109478788013804E-2</v>
      </c>
      <c r="D690" s="1378">
        <v>5.59776275933562E-2</v>
      </c>
      <c r="E690" s="1378">
        <v>5.4985269379490498E-2</v>
      </c>
      <c r="F690" s="1378">
        <v>5.4619524087442903E-2</v>
      </c>
      <c r="G690" s="1378"/>
      <c r="H690" s="1378"/>
      <c r="N690" s="532"/>
      <c r="O690" s="532"/>
      <c r="P690" s="532"/>
      <c r="R690" s="2000"/>
      <c r="S690" s="2000"/>
      <c r="T690" s="2000"/>
    </row>
    <row r="691" spans="1:20">
      <c r="A691" s="1378" t="s">
        <v>4476</v>
      </c>
      <c r="B691" s="2184">
        <v>0.533208885762264</v>
      </c>
      <c r="C691" s="2184">
        <v>0.50286397471632904</v>
      </c>
      <c r="D691" s="1378">
        <v>0.47741180113305798</v>
      </c>
      <c r="E691" s="1378">
        <v>0.45743606583441199</v>
      </c>
      <c r="F691" s="1378">
        <v>0.436633971133562</v>
      </c>
      <c r="G691" s="1378"/>
      <c r="H691" s="1378"/>
      <c r="N691" s="532"/>
      <c r="O691" s="532"/>
      <c r="P691" s="532"/>
      <c r="R691" s="2000"/>
      <c r="S691" s="2000"/>
      <c r="T691" s="2000"/>
    </row>
    <row r="692" spans="1:20">
      <c r="A692" s="1378" t="s">
        <v>4477</v>
      </c>
      <c r="B692" s="2184">
        <v>0.57258024632977</v>
      </c>
      <c r="C692" s="2184">
        <v>0.54052127992107202</v>
      </c>
      <c r="D692" s="1378">
        <v>0.51341369342776799</v>
      </c>
      <c r="E692" s="1378">
        <v>0.491619240513052</v>
      </c>
      <c r="F692" s="1378">
        <v>0.46931437560960099</v>
      </c>
      <c r="G692" s="1378"/>
      <c r="H692" s="1378"/>
      <c r="N692" s="532"/>
      <c r="O692" s="532"/>
      <c r="P692" s="532"/>
      <c r="R692" s="2000"/>
      <c r="S692" s="2000"/>
      <c r="T692" s="2000"/>
    </row>
    <row r="693" spans="1:20">
      <c r="A693" s="1378" t="s">
        <v>4478</v>
      </c>
      <c r="B693" s="2184">
        <v>0.61023755153451198</v>
      </c>
      <c r="C693" s="2184">
        <v>0.57652317221578198</v>
      </c>
      <c r="D693" s="1378">
        <v>0.54759686810640795</v>
      </c>
      <c r="E693" s="1378">
        <v>0.52429964498909098</v>
      </c>
      <c r="F693" s="1378">
        <v>0.50055810790656297</v>
      </c>
      <c r="G693" s="1378"/>
      <c r="H693" s="1378"/>
      <c r="N693" s="532"/>
      <c r="O693" s="532"/>
      <c r="P693" s="532"/>
      <c r="R693" s="2000"/>
      <c r="S693" s="2000"/>
      <c r="T693" s="2000"/>
    </row>
    <row r="694" spans="1:20">
      <c r="A694" s="1378" t="s">
        <v>4479</v>
      </c>
      <c r="B694" s="2184">
        <v>0.64623944382922305</v>
      </c>
      <c r="C694" s="2184">
        <v>0.61070634689442205</v>
      </c>
      <c r="D694" s="1378">
        <v>0.58027727258244699</v>
      </c>
      <c r="E694" s="1378">
        <v>0.55554337728605296</v>
      </c>
      <c r="F694" s="1378">
        <v>0.53042835731331395</v>
      </c>
      <c r="G694" s="1378"/>
      <c r="H694" s="1378"/>
      <c r="N694" s="532"/>
      <c r="O694" s="532"/>
      <c r="P694" s="532"/>
      <c r="R694" s="2000"/>
      <c r="S694" s="2000"/>
      <c r="T694" s="2000"/>
    </row>
    <row r="695" spans="1:20">
      <c r="A695" s="1378" t="s">
        <v>4480</v>
      </c>
      <c r="B695" s="2184">
        <v>0.68042261850786301</v>
      </c>
      <c r="C695" s="2184">
        <v>0.64338675137046097</v>
      </c>
      <c r="D695" s="1378">
        <v>0.61152100487940897</v>
      </c>
      <c r="E695" s="1378">
        <v>0.58541362669280395</v>
      </c>
      <c r="F695" s="1378">
        <v>0.55898553245286198</v>
      </c>
      <c r="G695" s="1378"/>
      <c r="H695" s="1378"/>
      <c r="N695" s="532"/>
      <c r="O695" s="532"/>
      <c r="P695" s="532"/>
      <c r="R695" s="2000"/>
      <c r="S695" s="2000"/>
      <c r="T695" s="2000"/>
    </row>
    <row r="696" spans="1:20">
      <c r="A696" s="1378" t="s">
        <v>4481</v>
      </c>
      <c r="B696" s="2184">
        <v>0.71310302298390205</v>
      </c>
      <c r="C696" s="2184">
        <v>0.67463048366742295</v>
      </c>
      <c r="D696" s="1378">
        <v>0.64139125428615995</v>
      </c>
      <c r="E696" s="1378">
        <v>0.61397080183235198</v>
      </c>
      <c r="F696" s="1378">
        <v>0.58628738370945699</v>
      </c>
      <c r="G696" s="1378"/>
      <c r="H696" s="1378"/>
      <c r="N696" s="532"/>
      <c r="O696" s="532"/>
      <c r="P696" s="532"/>
      <c r="R696" s="2000"/>
      <c r="S696" s="2000"/>
      <c r="T696" s="2000"/>
    </row>
    <row r="697" spans="1:20">
      <c r="A697" s="1378" t="s">
        <v>4482</v>
      </c>
      <c r="B697" s="2184">
        <v>0.74434675528086403</v>
      </c>
      <c r="C697" s="2184">
        <v>0.70450073307417405</v>
      </c>
      <c r="D697" s="1378">
        <v>0.66994842942570798</v>
      </c>
      <c r="E697" s="1378">
        <v>0.64127265308894699</v>
      </c>
      <c r="F697" s="1378">
        <v>0.61244655111442303</v>
      </c>
      <c r="G697" s="1378"/>
      <c r="H697" s="1378"/>
      <c r="N697" s="532"/>
      <c r="O697" s="532"/>
      <c r="P697" s="532"/>
      <c r="R697" s="2000"/>
      <c r="S697" s="2000"/>
      <c r="T697" s="2000"/>
    </row>
    <row r="698" spans="1:20">
      <c r="A698" s="1378" t="s">
        <v>4483</v>
      </c>
      <c r="B698" s="2184">
        <v>0.77421700468761501</v>
      </c>
      <c r="C698" s="2184">
        <v>0.73305790821372196</v>
      </c>
      <c r="D698" s="1378">
        <v>0.69725028068230299</v>
      </c>
      <c r="E698" s="1378">
        <v>0.66743182049391403</v>
      </c>
      <c r="F698" s="1378">
        <v>0.637455771710566</v>
      </c>
      <c r="G698" s="1378"/>
      <c r="H698" s="1378"/>
      <c r="N698" s="532"/>
      <c r="O698" s="532"/>
      <c r="P698" s="532"/>
      <c r="R698" s="2000"/>
      <c r="S698" s="2000"/>
      <c r="T698" s="2000"/>
    </row>
    <row r="699" spans="1:20">
      <c r="A699" s="1378" t="s">
        <v>4484</v>
      </c>
      <c r="B699" s="2184">
        <v>0.80277417982716304</v>
      </c>
      <c r="C699" s="2184">
        <v>0.76035975947031798</v>
      </c>
      <c r="D699" s="1378">
        <v>0.72340944808727004</v>
      </c>
      <c r="E699" s="1378">
        <v>0.692441041090057</v>
      </c>
      <c r="F699" s="1378">
        <v>0.66136562176815406</v>
      </c>
      <c r="G699" s="1378"/>
      <c r="H699" s="1378"/>
      <c r="N699" s="532"/>
      <c r="O699" s="532"/>
      <c r="P699" s="532"/>
      <c r="R699" s="2000"/>
      <c r="S699" s="2000"/>
      <c r="T699" s="2000"/>
    </row>
    <row r="700" spans="1:20">
      <c r="A700" s="1378" t="s">
        <v>4485</v>
      </c>
      <c r="B700" s="2184">
        <v>0.83007603108375805</v>
      </c>
      <c r="C700" s="2184">
        <v>0.78651892687528402</v>
      </c>
      <c r="D700" s="1378">
        <v>0.748418668683413</v>
      </c>
      <c r="E700" s="1378">
        <v>0.71635089114764505</v>
      </c>
      <c r="F700" s="1378">
        <v>0.68422445201905602</v>
      </c>
      <c r="G700" s="1378"/>
      <c r="H700" s="1378"/>
      <c r="N700" s="532"/>
      <c r="O700" s="532"/>
      <c r="P700" s="532"/>
      <c r="R700" s="2000"/>
      <c r="S700" s="2000"/>
      <c r="T700" s="2000"/>
    </row>
    <row r="701" spans="1:20">
      <c r="A701" s="1378" t="s">
        <v>4486</v>
      </c>
      <c r="B701" s="2184">
        <v>0.132825750401454</v>
      </c>
      <c r="C701" s="2184">
        <v>0.11908710638137</v>
      </c>
      <c r="D701" s="1378">
        <v>0.110962896972847</v>
      </c>
      <c r="E701" s="1378">
        <v>0.109604793466933</v>
      </c>
      <c r="F701" s="1378">
        <v>0.10768131933181101</v>
      </c>
      <c r="G701" s="1378"/>
      <c r="H701" s="1378"/>
      <c r="N701" s="532"/>
      <c r="O701" s="532"/>
      <c r="P701" s="532"/>
      <c r="R701" s="2000"/>
      <c r="S701" s="2000"/>
      <c r="T701" s="2000"/>
    </row>
    <row r="702" spans="1:20">
      <c r="A702" s="1378" t="s">
        <v>4487</v>
      </c>
      <c r="B702" s="2184">
        <v>0.85623519848872498</v>
      </c>
      <c r="C702" s="2184">
        <v>0.81152814747142699</v>
      </c>
      <c r="D702" s="1378">
        <v>0.77232851874100095</v>
      </c>
      <c r="E702" s="1378">
        <v>0.73920972139854602</v>
      </c>
      <c r="F702" s="1378">
        <v>0.70607848563878794</v>
      </c>
      <c r="G702" s="1378"/>
      <c r="H702" s="1378"/>
      <c r="N702" s="532"/>
      <c r="O702" s="532"/>
      <c r="P702" s="532"/>
      <c r="R702" s="2000"/>
      <c r="S702" s="2000"/>
      <c r="T702" s="2000"/>
    </row>
    <row r="703" spans="1:20">
      <c r="A703" s="1378" t="s">
        <v>4488</v>
      </c>
      <c r="B703" s="2184">
        <v>0.88124441908486695</v>
      </c>
      <c r="C703" s="2184">
        <v>0.83543799752901504</v>
      </c>
      <c r="D703" s="1378">
        <v>0.79518734899190302</v>
      </c>
      <c r="E703" s="1378">
        <v>0.76106375501827805</v>
      </c>
      <c r="F703" s="1378">
        <v>0.72697191191252897</v>
      </c>
      <c r="G703" s="1378"/>
      <c r="H703" s="1378"/>
      <c r="N703" s="532"/>
      <c r="O703" s="532"/>
      <c r="P703" s="532"/>
      <c r="R703" s="2000"/>
      <c r="S703" s="2000"/>
      <c r="T703" s="2000"/>
    </row>
    <row r="704" spans="1:20">
      <c r="A704" s="1378" t="s">
        <v>4489</v>
      </c>
      <c r="B704" s="2184">
        <v>0.905154269142456</v>
      </c>
      <c r="C704" s="2184">
        <v>0.858296827779917</v>
      </c>
      <c r="D704" s="1378">
        <v>0.81704138261163495</v>
      </c>
      <c r="E704" s="1378">
        <v>0.78195718129201996</v>
      </c>
      <c r="F704" s="1378">
        <v>0.74652406077434996</v>
      </c>
      <c r="G704" s="1378"/>
      <c r="H704" s="1378"/>
      <c r="N704" s="532"/>
      <c r="O704" s="532"/>
      <c r="P704" s="532"/>
      <c r="R704" s="2000"/>
      <c r="S704" s="2000"/>
      <c r="T704" s="2000"/>
    </row>
    <row r="705" spans="1:20">
      <c r="A705" s="1378" t="s">
        <v>4490</v>
      </c>
      <c r="B705" s="2184">
        <v>0.92801309939335697</v>
      </c>
      <c r="C705" s="2184">
        <v>0.88015086139964804</v>
      </c>
      <c r="D705" s="1378">
        <v>0.83793480888537597</v>
      </c>
      <c r="E705" s="1378">
        <v>0.80150933015383996</v>
      </c>
      <c r="F705" s="1378">
        <v>0.76482103706278404</v>
      </c>
      <c r="G705" s="1378"/>
      <c r="H705" s="1378"/>
      <c r="N705" s="532"/>
      <c r="O705" s="532"/>
      <c r="P705" s="532"/>
      <c r="R705" s="2000"/>
      <c r="S705" s="2000"/>
      <c r="T705" s="2000"/>
    </row>
    <row r="706" spans="1:20">
      <c r="A706" s="1378" t="s">
        <v>4491</v>
      </c>
      <c r="B706" s="2184">
        <v>0.949867133013089</v>
      </c>
      <c r="C706" s="2184">
        <v>0.90104428767338995</v>
      </c>
      <c r="D706" s="1378">
        <v>0.85748695774719697</v>
      </c>
      <c r="E706" s="1378">
        <v>0.81980630644227404</v>
      </c>
      <c r="F706" s="1378">
        <v>0.78194341801770995</v>
      </c>
      <c r="G706" s="1378"/>
      <c r="H706" s="1378"/>
      <c r="N706" s="532"/>
      <c r="O706" s="532"/>
      <c r="P706" s="532"/>
      <c r="R706" s="2000"/>
      <c r="S706" s="2000"/>
      <c r="T706" s="2000"/>
    </row>
    <row r="707" spans="1:20">
      <c r="A707" s="1378" t="s">
        <v>4492</v>
      </c>
      <c r="B707" s="2184">
        <v>0.97076055928683003</v>
      </c>
      <c r="C707" s="2184">
        <v>0.92059643653520995</v>
      </c>
      <c r="D707" s="1378">
        <v>0.87578393403563004</v>
      </c>
      <c r="E707" s="1378">
        <v>0.83692868739720006</v>
      </c>
      <c r="F707" s="1378">
        <v>0.79796660813087295</v>
      </c>
      <c r="G707" s="1378"/>
      <c r="H707" s="1378"/>
      <c r="N707" s="532"/>
      <c r="O707" s="532"/>
      <c r="P707" s="532"/>
      <c r="R707" s="2000"/>
      <c r="S707" s="2000"/>
      <c r="T707" s="2000"/>
    </row>
    <row r="708" spans="1:20">
      <c r="A708" s="1378" t="s">
        <v>4493</v>
      </c>
      <c r="B708" s="2184">
        <v>0.99031270814865102</v>
      </c>
      <c r="C708" s="2184">
        <v>0.93889341282364402</v>
      </c>
      <c r="D708" s="1378">
        <v>0.89290631499055595</v>
      </c>
      <c r="E708" s="1378">
        <v>0.85295187751036305</v>
      </c>
      <c r="F708" s="1378">
        <v>0.81296117121637101</v>
      </c>
      <c r="G708" s="1378"/>
      <c r="H708" s="1378"/>
      <c r="N708" s="532"/>
      <c r="O708" s="532"/>
      <c r="P708" s="532"/>
      <c r="R708" s="2000"/>
      <c r="S708" s="2000"/>
      <c r="T708" s="2000"/>
    </row>
    <row r="709" spans="1:20">
      <c r="A709" s="1378" t="s">
        <v>4494</v>
      </c>
      <c r="B709" s="2184">
        <v>1.00860968443708</v>
      </c>
      <c r="C709" s="2184">
        <v>0.95601579377857004</v>
      </c>
      <c r="D709" s="1378">
        <v>0.90892950510371995</v>
      </c>
      <c r="E709" s="1378">
        <v>0.86794644059586101</v>
      </c>
      <c r="F709" s="1378">
        <v>0.82699314116349598</v>
      </c>
      <c r="G709" s="1378"/>
      <c r="H709" s="1378"/>
      <c r="N709" s="532"/>
      <c r="O709" s="532"/>
      <c r="P709" s="532"/>
      <c r="R709" s="2000"/>
      <c r="S709" s="2000"/>
      <c r="T709" s="2000"/>
    </row>
    <row r="710" spans="1:20">
      <c r="A710" s="1378" t="s">
        <v>4495</v>
      </c>
      <c r="B710" s="2184">
        <v>1.0257320653920099</v>
      </c>
      <c r="C710" s="2184">
        <v>0.97203898389173304</v>
      </c>
      <c r="D710" s="1378">
        <v>0.92392406818921702</v>
      </c>
      <c r="E710" s="1378">
        <v>0.88197841054298598</v>
      </c>
      <c r="F710" s="1378">
        <v>0.84012431274044197</v>
      </c>
      <c r="G710" s="1378"/>
      <c r="H710" s="1378"/>
      <c r="N710" s="532"/>
      <c r="O710" s="532"/>
      <c r="P710" s="532"/>
      <c r="R710" s="2000"/>
      <c r="S710" s="2000"/>
      <c r="T710" s="2000"/>
    </row>
    <row r="711" spans="1:20">
      <c r="A711" s="1378" t="s">
        <v>4496</v>
      </c>
      <c r="B711" s="2184">
        <v>1.0417552555051699</v>
      </c>
      <c r="C711" s="2184">
        <v>0.987033546977231</v>
      </c>
      <c r="D711" s="1378">
        <v>0.93795603813634199</v>
      </c>
      <c r="E711" s="1378">
        <v>0.89510958211993297</v>
      </c>
      <c r="F711" s="1378">
        <v>0.85241251372953697</v>
      </c>
      <c r="G711" s="1378"/>
      <c r="H711" s="1378"/>
      <c r="N711" s="532"/>
      <c r="O711" s="532"/>
      <c r="P711" s="532"/>
      <c r="R711" s="2000"/>
      <c r="S711" s="2000"/>
      <c r="T711" s="2000"/>
    </row>
    <row r="712" spans="1:20">
      <c r="A712" s="1378" t="s">
        <v>4497</v>
      </c>
      <c r="B712" s="2184">
        <v>0.18880337799481101</v>
      </c>
      <c r="C712" s="2184">
        <v>0.17407237576085999</v>
      </c>
      <c r="D712" s="1378">
        <v>0.16558242106029</v>
      </c>
      <c r="E712" s="1378">
        <v>0.16266658871130099</v>
      </c>
      <c r="F712" s="1378">
        <v>0.15741256572722701</v>
      </c>
      <c r="G712" s="1378"/>
      <c r="H712" s="1378"/>
      <c r="N712" s="532"/>
      <c r="O712" s="532"/>
      <c r="P712" s="532"/>
      <c r="R712" s="2000"/>
      <c r="S712" s="2000"/>
      <c r="T712" s="2000"/>
    </row>
    <row r="713" spans="1:20">
      <c r="A713" s="1378" t="s">
        <v>4498</v>
      </c>
      <c r="B713" s="2184">
        <v>1.0567498185906701</v>
      </c>
      <c r="C713" s="2184">
        <v>1.0010655169243601</v>
      </c>
      <c r="D713" s="1378">
        <v>0.95108720971328897</v>
      </c>
      <c r="E713" s="1378">
        <v>0.90739778310902697</v>
      </c>
      <c r="F713" s="1378">
        <v>0.86391185959243699</v>
      </c>
      <c r="G713" s="1378"/>
      <c r="H713" s="1378"/>
      <c r="N713" s="532"/>
      <c r="O713" s="532"/>
      <c r="P713" s="532"/>
      <c r="R713" s="2000"/>
      <c r="S713" s="2000"/>
      <c r="T713" s="2000"/>
    </row>
    <row r="714" spans="1:20">
      <c r="A714" s="1378" t="s">
        <v>4499</v>
      </c>
      <c r="B714" s="2184">
        <v>0.243788647374301</v>
      </c>
      <c r="C714" s="2184">
        <v>0.22869189984830299</v>
      </c>
      <c r="D714" s="1378">
        <v>0.218644216304657</v>
      </c>
      <c r="E714" s="1378">
        <v>0.212397835106718</v>
      </c>
      <c r="F714" s="1378">
        <v>0.20390931618864</v>
      </c>
      <c r="G714" s="1378"/>
      <c r="H714" s="1378"/>
      <c r="N714" s="532"/>
      <c r="O714" s="532"/>
      <c r="P714" s="532"/>
      <c r="R714" s="2000"/>
      <c r="S714" s="2000"/>
      <c r="T714" s="2000"/>
    </row>
    <row r="715" spans="1:20">
      <c r="A715" s="1378" t="s">
        <v>4500</v>
      </c>
      <c r="B715" s="2184">
        <v>0.29840817146174398</v>
      </c>
      <c r="C715" s="2184">
        <v>0.28175369509267101</v>
      </c>
      <c r="D715" s="1378">
        <v>0.26837546270007401</v>
      </c>
      <c r="E715" s="1378">
        <v>0.258894585568131</v>
      </c>
      <c r="F715" s="1378">
        <v>0.24769351829184699</v>
      </c>
      <c r="G715" s="1378"/>
      <c r="H715" s="1378"/>
      <c r="N715" s="532"/>
      <c r="O715" s="532"/>
      <c r="P715" s="532"/>
      <c r="R715" s="2000"/>
      <c r="S715" s="2000"/>
      <c r="T715" s="2000"/>
    </row>
    <row r="716" spans="1:20">
      <c r="A716" s="1378" t="s">
        <v>4501</v>
      </c>
      <c r="B716" s="2184">
        <v>0.35146996670611202</v>
      </c>
      <c r="C716" s="2184">
        <v>0.33148494148808799</v>
      </c>
      <c r="D716" s="1378">
        <v>0.314872213161487</v>
      </c>
      <c r="E716" s="1378">
        <v>0.30267878767133699</v>
      </c>
      <c r="F716" s="1378">
        <v>0.28942023838796199</v>
      </c>
      <c r="G716" s="1378"/>
      <c r="H716" s="1378"/>
      <c r="N716" s="532"/>
      <c r="O716" s="532"/>
      <c r="P716" s="532"/>
      <c r="R716" s="2000"/>
      <c r="S716" s="2000"/>
      <c r="T716" s="2000"/>
    </row>
    <row r="717" spans="1:20">
      <c r="A717" s="1378" t="s">
        <v>4502</v>
      </c>
      <c r="B717" s="2184">
        <v>0.40120121310152801</v>
      </c>
      <c r="C717" s="2184">
        <v>0.37798169194950099</v>
      </c>
      <c r="D717" s="1378">
        <v>0.358656415264693</v>
      </c>
      <c r="E717" s="1378">
        <v>0.34440550776745299</v>
      </c>
      <c r="F717" s="1378">
        <v>0.328791598955469</v>
      </c>
      <c r="G717" s="1378"/>
      <c r="H717" s="1378"/>
      <c r="N717" s="532"/>
      <c r="O717" s="532"/>
      <c r="P717" s="532"/>
      <c r="R717" s="2000"/>
      <c r="S717" s="2000"/>
      <c r="T717" s="2000"/>
    </row>
    <row r="718" spans="1:20">
      <c r="A718" s="1378" t="s">
        <v>4503</v>
      </c>
      <c r="B718" s="2184">
        <v>0.447697963562941</v>
      </c>
      <c r="C718" s="2184">
        <v>0.42176589405270698</v>
      </c>
      <c r="D718" s="1378">
        <v>0.40038313536080899</v>
      </c>
      <c r="E718" s="1378">
        <v>0.383776868334959</v>
      </c>
      <c r="F718" s="1378">
        <v>0.36644890416021098</v>
      </c>
      <c r="G718" s="1378"/>
      <c r="H718" s="1378"/>
      <c r="N718" s="532"/>
      <c r="O718" s="532"/>
      <c r="P718" s="532"/>
      <c r="R718" s="2000"/>
      <c r="S718" s="2000"/>
      <c r="T718" s="2000"/>
    </row>
    <row r="719" spans="1:20">
      <c r="A719" s="1378" t="s">
        <v>4504</v>
      </c>
      <c r="B719" s="2184">
        <v>0.491482165666148</v>
      </c>
      <c r="C719" s="2184">
        <v>0.46349261414882298</v>
      </c>
      <c r="D719" s="1378">
        <v>0.439754495928316</v>
      </c>
      <c r="E719" s="1378">
        <v>0.42143417353970197</v>
      </c>
      <c r="F719" s="1378">
        <v>0.40245079645492099</v>
      </c>
      <c r="G719" s="1378"/>
      <c r="H719" s="1378"/>
      <c r="N719" s="532"/>
      <c r="O719" s="532"/>
      <c r="P719" s="532"/>
      <c r="R719" s="2000"/>
      <c r="S719" s="2000"/>
      <c r="T719" s="2000"/>
    </row>
    <row r="720" spans="1:20">
      <c r="A720" s="1378" t="s">
        <v>4505</v>
      </c>
      <c r="B720" s="2184">
        <v>6.9239766266191605E-2</v>
      </c>
      <c r="C720" s="2184">
        <v>6.2670217057251107E-2</v>
      </c>
      <c r="D720" s="1378">
        <v>5.5577843832342502E-2</v>
      </c>
      <c r="E720" s="1378">
        <v>5.4596957506189703E-2</v>
      </c>
      <c r="F720" s="1378">
        <v>5.42391841863425E-2</v>
      </c>
      <c r="G720" s="1378"/>
      <c r="H720" s="1378"/>
      <c r="N720" s="532"/>
      <c r="O720" s="532"/>
      <c r="P720" s="532"/>
      <c r="R720" s="2000"/>
      <c r="S720" s="2000"/>
      <c r="T720" s="2000"/>
    </row>
    <row r="721" spans="1:20">
      <c r="A721" s="1378" t="s">
        <v>4506</v>
      </c>
      <c r="B721" s="2184">
        <v>0.52948351702172602</v>
      </c>
      <c r="C721" s="2184">
        <v>0.499336682786162</v>
      </c>
      <c r="D721" s="1378">
        <v>0.47405765149927798</v>
      </c>
      <c r="E721" s="1378">
        <v>0.45422741907537401</v>
      </c>
      <c r="F721" s="1378">
        <v>0.43357175827079297</v>
      </c>
      <c r="G721" s="1378"/>
      <c r="H721" s="1378"/>
      <c r="N721" s="532"/>
      <c r="O721" s="532"/>
      <c r="P721" s="532"/>
      <c r="R721" s="2000"/>
      <c r="S721" s="2000"/>
      <c r="T721" s="2000"/>
    </row>
    <row r="722" spans="1:20">
      <c r="A722" s="1378" t="s">
        <v>4507</v>
      </c>
      <c r="B722" s="2184">
        <v>0.56857644905235405</v>
      </c>
      <c r="C722" s="2184">
        <v>0.53672786855652899</v>
      </c>
      <c r="D722" s="1378">
        <v>0.50980526290771699</v>
      </c>
      <c r="E722" s="1378">
        <v>0.48816871577698301</v>
      </c>
      <c r="F722" s="1378">
        <v>0.46602104559330598</v>
      </c>
      <c r="G722" s="1378"/>
      <c r="H722" s="1378"/>
      <c r="N722" s="532"/>
      <c r="O722" s="532"/>
      <c r="P722" s="532"/>
      <c r="R722" s="2000"/>
      <c r="S722" s="2000"/>
      <c r="T722" s="2000"/>
    </row>
    <row r="723" spans="1:20">
      <c r="A723" s="1378" t="s">
        <v>4508</v>
      </c>
      <c r="B723" s="2184">
        <v>0.60596763482272098</v>
      </c>
      <c r="C723" s="2184">
        <v>0.57247547996496795</v>
      </c>
      <c r="D723" s="1378">
        <v>0.54374655960932605</v>
      </c>
      <c r="E723" s="1378">
        <v>0.52061800309949502</v>
      </c>
      <c r="F723" s="1378">
        <v>0.497043942547852</v>
      </c>
      <c r="G723" s="1378"/>
      <c r="H723" s="1378"/>
      <c r="N723" s="532"/>
      <c r="O723" s="532"/>
      <c r="P723" s="532"/>
      <c r="R723" s="2000"/>
      <c r="S723" s="2000"/>
      <c r="T723" s="2000"/>
    </row>
    <row r="724" spans="1:20">
      <c r="A724" s="1378" t="s">
        <v>4509</v>
      </c>
      <c r="B724" s="2184">
        <v>0.64171524623115905</v>
      </c>
      <c r="C724" s="2184">
        <v>0.60641677666657701</v>
      </c>
      <c r="D724" s="1378">
        <v>0.57619584693183801</v>
      </c>
      <c r="E724" s="1378">
        <v>0.55164090005404098</v>
      </c>
      <c r="F724" s="1378">
        <v>0.52670318074620104</v>
      </c>
      <c r="G724" s="1378"/>
      <c r="H724" s="1378"/>
      <c r="N724" s="532"/>
      <c r="O724" s="532"/>
      <c r="P724" s="532"/>
      <c r="R724" s="2000"/>
      <c r="S724" s="2000"/>
      <c r="T724" s="2000"/>
    </row>
    <row r="725" spans="1:20">
      <c r="A725" s="1378" t="s">
        <v>4510</v>
      </c>
      <c r="B725" s="2184">
        <v>0.675656542932768</v>
      </c>
      <c r="C725" s="2184">
        <v>0.63886606398908896</v>
      </c>
      <c r="D725" s="1378">
        <v>0.60721874388638397</v>
      </c>
      <c r="E725" s="1378">
        <v>0.58130013825239002</v>
      </c>
      <c r="F725" s="1378">
        <v>0.55505873151873597</v>
      </c>
      <c r="G725" s="1378"/>
      <c r="H725" s="1378"/>
      <c r="N725" s="532"/>
      <c r="O725" s="532"/>
      <c r="P725" s="532"/>
      <c r="R725" s="2000"/>
      <c r="S725" s="2000"/>
      <c r="T725" s="2000"/>
    </row>
    <row r="726" spans="1:20">
      <c r="A726" s="1378" t="s">
        <v>4511</v>
      </c>
      <c r="B726" s="2184">
        <v>0.70810583025528095</v>
      </c>
      <c r="C726" s="2184">
        <v>0.66988896094363504</v>
      </c>
      <c r="D726" s="1378">
        <v>0.63687798208473301</v>
      </c>
      <c r="E726" s="1378">
        <v>0.60965568902492495</v>
      </c>
      <c r="F726" s="1378">
        <v>0.58216792743313095</v>
      </c>
      <c r="G726" s="1378"/>
      <c r="H726" s="1378"/>
      <c r="N726" s="532"/>
      <c r="O726" s="532"/>
      <c r="P726" s="532"/>
      <c r="R726" s="2000"/>
      <c r="S726" s="2000"/>
      <c r="T726" s="2000"/>
    </row>
    <row r="727" spans="1:20">
      <c r="A727" s="1378" t="s">
        <v>4512</v>
      </c>
      <c r="B727" s="2184">
        <v>0.73912872720982703</v>
      </c>
      <c r="C727" s="2184">
        <v>0.69954819914198396</v>
      </c>
      <c r="D727" s="1378">
        <v>0.66523353285726805</v>
      </c>
      <c r="E727" s="1378">
        <v>0.63676488493932004</v>
      </c>
      <c r="F727" s="1378">
        <v>0.60814226482253197</v>
      </c>
      <c r="G727" s="1378"/>
      <c r="H727" s="1378"/>
      <c r="N727" s="532"/>
      <c r="O727" s="532"/>
      <c r="P727" s="532"/>
      <c r="R727" s="2000"/>
      <c r="S727" s="2000"/>
      <c r="T727" s="2000"/>
    </row>
    <row r="728" spans="1:20">
      <c r="A728" s="1378" t="s">
        <v>4513</v>
      </c>
      <c r="B728" s="2184">
        <v>0.76878796540817496</v>
      </c>
      <c r="C728" s="2184">
        <v>0.727903749914519</v>
      </c>
      <c r="D728" s="1378">
        <v>0.69234272877166303</v>
      </c>
      <c r="E728" s="1378">
        <v>0.66273922232872196</v>
      </c>
      <c r="F728" s="1378">
        <v>0.63297487764938598</v>
      </c>
      <c r="G728" s="1378"/>
      <c r="H728" s="1378"/>
      <c r="N728" s="532"/>
      <c r="O728" s="532"/>
      <c r="P728" s="532"/>
      <c r="R728" s="2000"/>
      <c r="S728" s="2000"/>
      <c r="T728" s="2000"/>
    </row>
    <row r="729" spans="1:20">
      <c r="A729" s="1378" t="s">
        <v>4514</v>
      </c>
      <c r="B729" s="2184">
        <v>0.79714351618071</v>
      </c>
      <c r="C729" s="2184">
        <v>0.75501294582891398</v>
      </c>
      <c r="D729" s="1378">
        <v>0.71831706616106406</v>
      </c>
      <c r="E729" s="1378">
        <v>0.68757183515557496</v>
      </c>
      <c r="F729" s="1378">
        <v>0.65671597620116096</v>
      </c>
      <c r="G729" s="1378"/>
      <c r="H729" s="1378"/>
      <c r="N729" s="532"/>
      <c r="O729" s="532"/>
      <c r="P729" s="532"/>
      <c r="R729" s="2000"/>
      <c r="S729" s="2000"/>
      <c r="T729" s="2000"/>
    </row>
    <row r="730" spans="1:20">
      <c r="A730" s="1378" t="s">
        <v>4515</v>
      </c>
      <c r="B730" s="2184">
        <v>0.82425271209510598</v>
      </c>
      <c r="C730" s="2184">
        <v>0.78098728321831601</v>
      </c>
      <c r="D730" s="1378">
        <v>0.74314967898791795</v>
      </c>
      <c r="E730" s="1378">
        <v>0.71131293370735105</v>
      </c>
      <c r="F730" s="1378">
        <v>0.67941356152670795</v>
      </c>
      <c r="G730" s="1378"/>
      <c r="H730" s="1378"/>
      <c r="N730" s="532"/>
      <c r="O730" s="532"/>
      <c r="P730" s="532"/>
      <c r="R730" s="2000"/>
      <c r="S730" s="2000"/>
      <c r="T730" s="2000"/>
    </row>
    <row r="731" spans="1:20">
      <c r="A731" s="1378" t="s">
        <v>4516</v>
      </c>
      <c r="B731" s="2184">
        <v>0.131909983323443</v>
      </c>
      <c r="C731" s="2184">
        <v>0.118248060889594</v>
      </c>
      <c r="D731" s="1378">
        <v>0.110174801338532</v>
      </c>
      <c r="E731" s="1378">
        <v>0.108836141692532</v>
      </c>
      <c r="F731" s="1378">
        <v>0.106933827016557</v>
      </c>
      <c r="G731" s="1378"/>
      <c r="H731" s="1378"/>
      <c r="N731" s="532"/>
      <c r="O731" s="532"/>
      <c r="P731" s="532"/>
      <c r="R731" s="2000"/>
      <c r="S731" s="2000"/>
      <c r="T731" s="2000"/>
    </row>
    <row r="732" spans="1:20">
      <c r="A732" s="1378" t="s">
        <v>4517</v>
      </c>
      <c r="B732" s="2184">
        <v>0.850227049484507</v>
      </c>
      <c r="C732" s="2184">
        <v>0.80581989604516902</v>
      </c>
      <c r="D732" s="1378">
        <v>0.76689077753969304</v>
      </c>
      <c r="E732" s="1378">
        <v>0.73401051903289805</v>
      </c>
      <c r="F732" s="1378">
        <v>0.70111352269194305</v>
      </c>
      <c r="G732" s="1378"/>
      <c r="H732" s="1378"/>
      <c r="N732" s="532"/>
      <c r="O732" s="532"/>
      <c r="P732" s="532"/>
      <c r="R732" s="2000"/>
      <c r="S732" s="2000"/>
      <c r="T732" s="2000"/>
    </row>
    <row r="733" spans="1:20">
      <c r="A733" s="1378" t="s">
        <v>4518</v>
      </c>
      <c r="B733" s="2184">
        <v>0.87505966231136101</v>
      </c>
      <c r="C733" s="2184">
        <v>0.82956099459694399</v>
      </c>
      <c r="D733" s="1378">
        <v>0.78958836286524003</v>
      </c>
      <c r="E733" s="1378">
        <v>0.75571048019813303</v>
      </c>
      <c r="F733" s="1378">
        <v>0.72185972975189205</v>
      </c>
      <c r="G733" s="1378"/>
      <c r="H733" s="1378"/>
      <c r="N733" s="532"/>
      <c r="O733" s="532"/>
      <c r="P733" s="532"/>
      <c r="R733" s="2000"/>
      <c r="S733" s="2000"/>
      <c r="T733" s="2000"/>
    </row>
    <row r="734" spans="1:20">
      <c r="A734" s="1378" t="s">
        <v>4519</v>
      </c>
      <c r="B734" s="2184">
        <v>0.89880076086313598</v>
      </c>
      <c r="C734" s="2184">
        <v>0.85225857992249199</v>
      </c>
      <c r="D734" s="1378">
        <v>0.81128832403047502</v>
      </c>
      <c r="E734" s="1378">
        <v>0.77645668725808104</v>
      </c>
      <c r="F734" s="1378">
        <v>0.74127411030584001</v>
      </c>
      <c r="G734" s="1378"/>
      <c r="H734" s="1378"/>
      <c r="N734" s="532"/>
      <c r="O734" s="532"/>
      <c r="P734" s="532"/>
      <c r="R734" s="2000"/>
      <c r="S734" s="2000"/>
      <c r="T734" s="2000"/>
    </row>
    <row r="735" spans="1:20">
      <c r="A735" s="1378" t="s">
        <v>4520</v>
      </c>
      <c r="B735" s="2184">
        <v>0.92149834618868298</v>
      </c>
      <c r="C735" s="2184">
        <v>0.87395854108772597</v>
      </c>
      <c r="D735" s="1378">
        <v>0.83203453109042402</v>
      </c>
      <c r="E735" s="1378">
        <v>0.79587106781202999</v>
      </c>
      <c r="F735" s="1378">
        <v>0.75944216248060004</v>
      </c>
      <c r="G735" s="1378"/>
      <c r="H735" s="1378"/>
      <c r="N735" s="532"/>
      <c r="O735" s="532"/>
      <c r="P735" s="532"/>
      <c r="R735" s="2000"/>
      <c r="S735" s="2000"/>
      <c r="T735" s="2000"/>
    </row>
    <row r="736" spans="1:20">
      <c r="A736" s="1378" t="s">
        <v>4521</v>
      </c>
      <c r="B736" s="2184">
        <v>0.94319830735391796</v>
      </c>
      <c r="C736" s="2184">
        <v>0.89470474814767498</v>
      </c>
      <c r="D736" s="1378">
        <v>0.85144891164437198</v>
      </c>
      <c r="E736" s="1378">
        <v>0.81403911998678902</v>
      </c>
      <c r="F736" s="1378">
        <v>0.77644389575287998</v>
      </c>
      <c r="G736" s="1378"/>
      <c r="H736" s="1378"/>
      <c r="N736" s="532"/>
      <c r="O736" s="532"/>
      <c r="P736" s="532"/>
      <c r="R736" s="2000"/>
      <c r="S736" s="2000"/>
      <c r="T736" s="2000"/>
    </row>
    <row r="737" spans="1:20">
      <c r="A737" s="1378" t="s">
        <v>4522</v>
      </c>
      <c r="B737" s="2184">
        <v>0.96394451441386697</v>
      </c>
      <c r="C737" s="2184">
        <v>0.91411912870162304</v>
      </c>
      <c r="D737" s="1378">
        <v>0.86961696381913201</v>
      </c>
      <c r="E737" s="1378">
        <v>0.83104085325906996</v>
      </c>
      <c r="F737" s="1378">
        <v>0.79235418329946605</v>
      </c>
      <c r="G737" s="1378"/>
      <c r="H737" s="1378"/>
      <c r="N737" s="532"/>
      <c r="O737" s="532"/>
      <c r="P737" s="532"/>
      <c r="R737" s="2000"/>
      <c r="S737" s="2000"/>
      <c r="T737" s="2000"/>
    </row>
    <row r="738" spans="1:20">
      <c r="A738" s="1378" t="s">
        <v>4523</v>
      </c>
      <c r="B738" s="2184">
        <v>0.98335889496781503</v>
      </c>
      <c r="C738" s="2184">
        <v>0.93228718087638296</v>
      </c>
      <c r="D738" s="1378">
        <v>0.88661869709141305</v>
      </c>
      <c r="E738" s="1378">
        <v>0.84695114080565503</v>
      </c>
      <c r="F738" s="1378">
        <v>0.80724309172786302</v>
      </c>
      <c r="G738" s="1378"/>
      <c r="H738" s="1378"/>
      <c r="N738" s="532"/>
      <c r="O738" s="532"/>
      <c r="P738" s="532"/>
      <c r="R738" s="2000"/>
      <c r="S738" s="2000"/>
      <c r="T738" s="2000"/>
    </row>
    <row r="739" spans="1:20">
      <c r="A739" s="1378" t="s">
        <v>4524</v>
      </c>
      <c r="B739" s="2184">
        <v>1.0015269471425701</v>
      </c>
      <c r="C739" s="2184">
        <v>0.94928891414866401</v>
      </c>
      <c r="D739" s="1378">
        <v>0.90252898463799802</v>
      </c>
      <c r="E739" s="1378">
        <v>0.861840049234053</v>
      </c>
      <c r="F739" s="1378">
        <v>0.82117618963952099</v>
      </c>
      <c r="G739" s="1378"/>
      <c r="H739" s="1378"/>
      <c r="N739" s="532"/>
      <c r="O739" s="532"/>
      <c r="P739" s="532"/>
      <c r="R739" s="2000"/>
      <c r="S739" s="2000"/>
      <c r="T739" s="2000"/>
    </row>
    <row r="740" spans="1:20">
      <c r="A740" s="1378" t="s">
        <v>4525</v>
      </c>
      <c r="B740" s="2184">
        <v>1.0185286804148601</v>
      </c>
      <c r="C740" s="2184">
        <v>0.96519920169524898</v>
      </c>
      <c r="D740" s="1378">
        <v>0.91741789306639498</v>
      </c>
      <c r="E740" s="1378">
        <v>0.87577314714570997</v>
      </c>
      <c r="F740" s="1378">
        <v>0.83421483638447402</v>
      </c>
      <c r="G740" s="1378"/>
      <c r="H740" s="1378"/>
      <c r="N740" s="532"/>
      <c r="O740" s="532"/>
      <c r="P740" s="532"/>
      <c r="R740" s="2000"/>
      <c r="S740" s="2000"/>
      <c r="T740" s="2000"/>
    </row>
    <row r="741" spans="1:20">
      <c r="A741" s="1378" t="s">
        <v>4526</v>
      </c>
      <c r="B741" s="2184">
        <v>1.0344389679614401</v>
      </c>
      <c r="C741" s="2184">
        <v>0.98008811012364705</v>
      </c>
      <c r="D741" s="1378">
        <v>0.93135099097805296</v>
      </c>
      <c r="E741" s="1378">
        <v>0.888811793890664</v>
      </c>
      <c r="F741" s="1378">
        <v>0.84641645227906004</v>
      </c>
      <c r="G741" s="1378"/>
      <c r="H741" s="1378"/>
      <c r="N741" s="532"/>
      <c r="O741" s="532"/>
      <c r="P741" s="532"/>
      <c r="R741" s="2000"/>
      <c r="S741" s="2000"/>
      <c r="T741" s="2000"/>
    </row>
    <row r="742" spans="1:20">
      <c r="A742" s="1378" t="s">
        <v>4527</v>
      </c>
      <c r="B742" s="2184">
        <v>0.18748782715578499</v>
      </c>
      <c r="C742" s="2184">
        <v>0.17284501839578301</v>
      </c>
      <c r="D742" s="1378">
        <v>0.16441398552487499</v>
      </c>
      <c r="E742" s="1378">
        <v>0.161530784522747</v>
      </c>
      <c r="F742" s="1378">
        <v>0.15631902236641201</v>
      </c>
      <c r="G742" s="1378"/>
      <c r="H742" s="1378"/>
      <c r="N742" s="532"/>
      <c r="O742" s="532"/>
      <c r="P742" s="532"/>
      <c r="R742" s="2000"/>
      <c r="S742" s="2000"/>
      <c r="T742" s="2000"/>
    </row>
    <row r="743" spans="1:20">
      <c r="A743" s="1378" t="s">
        <v>4528</v>
      </c>
      <c r="B743" s="2184">
        <v>1.0493278763898399</v>
      </c>
      <c r="C743" s="2184">
        <v>0.99402120803530403</v>
      </c>
      <c r="D743" s="1378">
        <v>0.94438963772300699</v>
      </c>
      <c r="E743" s="1378">
        <v>0.90101340978524902</v>
      </c>
      <c r="F743" s="1378">
        <v>0.85783477147668796</v>
      </c>
      <c r="G743" s="1378"/>
      <c r="H743" s="1378"/>
      <c r="N743" s="532"/>
      <c r="O743" s="532"/>
      <c r="P743" s="532"/>
      <c r="R743" s="2000"/>
      <c r="S743" s="2000"/>
      <c r="T743" s="2000"/>
    </row>
    <row r="744" spans="1:20">
      <c r="A744" s="1378" t="s">
        <v>4529</v>
      </c>
      <c r="B744" s="2184">
        <v>0.242084784661975</v>
      </c>
      <c r="C744" s="2184">
        <v>0.227084202582126</v>
      </c>
      <c r="D744" s="1378">
        <v>0.21710862835508901</v>
      </c>
      <c r="E744" s="1378">
        <v>0.21091597987260199</v>
      </c>
      <c r="F744" s="1378">
        <v>0.20248995610742501</v>
      </c>
      <c r="G744" s="1378"/>
      <c r="H744" s="1378"/>
      <c r="N744" s="532"/>
      <c r="O744" s="532"/>
      <c r="P744" s="532"/>
      <c r="R744" s="2000"/>
      <c r="S744" s="2000"/>
      <c r="T744" s="2000"/>
    </row>
    <row r="745" spans="1:20">
      <c r="A745" s="1378" t="s">
        <v>4530</v>
      </c>
      <c r="B745" s="2184">
        <v>0.29632396884831702</v>
      </c>
      <c r="C745" s="2184">
        <v>0.27977884541234099</v>
      </c>
      <c r="D745" s="1378">
        <v>0.26649382370494501</v>
      </c>
      <c r="E745" s="1378">
        <v>0.25708691361361502</v>
      </c>
      <c r="F745" s="1378">
        <v>0.245965923031395</v>
      </c>
      <c r="G745" s="1378"/>
      <c r="H745" s="1378"/>
      <c r="N745" s="532"/>
      <c r="O745" s="532"/>
      <c r="P745" s="532"/>
      <c r="R745" s="2000"/>
      <c r="S745" s="2000"/>
      <c r="T745" s="2000"/>
    </row>
    <row r="746" spans="1:20">
      <c r="A746" s="1378" t="s">
        <v>4531</v>
      </c>
      <c r="B746" s="2184">
        <v>0.34901861167853199</v>
      </c>
      <c r="C746" s="2184">
        <v>0.32916404076219602</v>
      </c>
      <c r="D746" s="1378">
        <v>0.31266475744595701</v>
      </c>
      <c r="E746" s="1378">
        <v>0.30056288053758501</v>
      </c>
      <c r="F746" s="1378">
        <v>0.287398732359751</v>
      </c>
      <c r="G746" s="1378"/>
      <c r="H746" s="1378"/>
      <c r="N746" s="532"/>
      <c r="O746" s="532"/>
      <c r="P746" s="532"/>
      <c r="R746" s="2000"/>
      <c r="S746" s="2000"/>
      <c r="T746" s="2000"/>
    </row>
    <row r="747" spans="1:20">
      <c r="A747" s="1378" t="s">
        <v>4532</v>
      </c>
      <c r="B747" s="2184">
        <v>0.39840380702838701</v>
      </c>
      <c r="C747" s="2184">
        <v>0.37533497450320802</v>
      </c>
      <c r="D747" s="1378">
        <v>0.356140724369927</v>
      </c>
      <c r="E747" s="1378">
        <v>0.34199568986594098</v>
      </c>
      <c r="F747" s="1378">
        <v>0.32649166439037902</v>
      </c>
      <c r="G747" s="1378"/>
      <c r="H747" s="1378"/>
      <c r="N747" s="532"/>
      <c r="O747" s="532"/>
      <c r="P747" s="532"/>
      <c r="R747" s="2000"/>
      <c r="S747" s="2000"/>
      <c r="T747" s="2000"/>
    </row>
    <row r="748" spans="1:20">
      <c r="A748" s="1378" t="s">
        <v>4533</v>
      </c>
      <c r="B748" s="2184">
        <v>0.44457474076940001</v>
      </c>
      <c r="C748" s="2184">
        <v>0.41881094142717801</v>
      </c>
      <c r="D748" s="1378">
        <v>0.39757353369828302</v>
      </c>
      <c r="E748" s="1378">
        <v>0.381088621896568</v>
      </c>
      <c r="F748" s="1378">
        <v>0.36388285016074601</v>
      </c>
      <c r="G748" s="1378"/>
      <c r="H748" s="1378"/>
      <c r="N748" s="532"/>
      <c r="O748" s="532"/>
      <c r="P748" s="532"/>
      <c r="R748" s="2000"/>
      <c r="S748" s="2000"/>
      <c r="T748" s="2000"/>
    </row>
    <row r="749" spans="1:20">
      <c r="A749" s="1378" t="s">
        <v>4534</v>
      </c>
      <c r="B749" s="2184">
        <v>0.48805070769337</v>
      </c>
      <c r="C749" s="2184">
        <v>0.46024375075553398</v>
      </c>
      <c r="D749" s="1378">
        <v>0.43666646572891099</v>
      </c>
      <c r="E749" s="1378">
        <v>0.41847980766693499</v>
      </c>
      <c r="F749" s="1378">
        <v>0.39963046156918403</v>
      </c>
      <c r="G749" s="1378"/>
      <c r="H749" s="1378"/>
      <c r="N749" s="532"/>
      <c r="O749" s="532"/>
      <c r="P749" s="532"/>
      <c r="R749" s="2000"/>
      <c r="S749" s="2000"/>
      <c r="T749" s="2000"/>
    </row>
    <row r="750" spans="1:20">
      <c r="A750" s="1378" t="s">
        <v>4535</v>
      </c>
      <c r="B750" s="2184">
        <v>6.6631665194838832E-2</v>
      </c>
      <c r="C750" s="2184">
        <v>6.2354169188507225E-2</v>
      </c>
      <c r="D750" s="1378">
        <v>5.634557542581746E-2</v>
      </c>
      <c r="E750" s="1378">
        <v>4.9850342965795096E-2</v>
      </c>
      <c r="F750" s="1378">
        <v>4.9021730244855399E-2</v>
      </c>
      <c r="G750" s="1378"/>
      <c r="H750" s="1378"/>
      <c r="N750" s="532"/>
      <c r="O750" s="532"/>
      <c r="P750" s="532"/>
      <c r="R750" s="2000"/>
      <c r="S750" s="2000"/>
      <c r="T750" s="2000"/>
    </row>
    <row r="751" spans="1:20">
      <c r="A751" s="1378" t="s">
        <v>4536</v>
      </c>
      <c r="B751" s="2184">
        <v>0.5053049878580318</v>
      </c>
      <c r="C751" s="2184">
        <v>0.47588413924283096</v>
      </c>
      <c r="D751" s="1378">
        <v>0.44862640511018198</v>
      </c>
      <c r="E751" s="1378">
        <v>0.4258516786424098</v>
      </c>
      <c r="F751" s="1378">
        <v>0.4080981715647094</v>
      </c>
      <c r="G751" s="1378"/>
      <c r="H751" s="1378"/>
      <c r="N751" s="532"/>
      <c r="O751" s="532"/>
      <c r="P751" s="532"/>
      <c r="R751" s="2000"/>
      <c r="S751" s="2000"/>
      <c r="T751" s="2000"/>
    </row>
    <row r="752" spans="1:20">
      <c r="A752" s="1378" t="s">
        <v>4537</v>
      </c>
      <c r="B752" s="2184">
        <v>0.54251580443766967</v>
      </c>
      <c r="C752" s="2184">
        <v>0.51098057429868926</v>
      </c>
      <c r="D752" s="1378">
        <v>0.48219725406822711</v>
      </c>
      <c r="E752" s="1378">
        <v>0.45794851453050434</v>
      </c>
      <c r="F752" s="1378">
        <v>0.43856799751864295</v>
      </c>
      <c r="G752" s="1378"/>
      <c r="H752" s="1378"/>
      <c r="N752" s="532"/>
      <c r="O752" s="532"/>
      <c r="P752" s="532"/>
      <c r="R752" s="2000"/>
      <c r="S752" s="2000"/>
      <c r="T752" s="2000"/>
    </row>
    <row r="753" spans="1:20">
      <c r="A753" s="1378" t="s">
        <v>4538</v>
      </c>
      <c r="B753" s="2184">
        <v>0.57761223949352802</v>
      </c>
      <c r="C753" s="2184">
        <v>0.54455142325673433</v>
      </c>
      <c r="D753" s="1378">
        <v>0.51429408995632198</v>
      </c>
      <c r="E753" s="1378">
        <v>0.488418340484438</v>
      </c>
      <c r="F753" s="1378">
        <v>0.46769990113556725</v>
      </c>
      <c r="G753" s="1378"/>
      <c r="H753" s="1378"/>
      <c r="N753" s="532"/>
      <c r="O753" s="532"/>
      <c r="P753" s="532"/>
      <c r="R753" s="2000"/>
      <c r="S753" s="2000"/>
      <c r="T753" s="2000"/>
    </row>
    <row r="754" spans="1:20">
      <c r="A754" s="1378" t="s">
        <v>4539</v>
      </c>
      <c r="B754" s="2184">
        <v>0.61118308845157332</v>
      </c>
      <c r="C754" s="2184">
        <v>0.57664825914482909</v>
      </c>
      <c r="D754" s="1378">
        <v>0.5447639159102553</v>
      </c>
      <c r="E754" s="1378">
        <v>0.51755024410136241</v>
      </c>
      <c r="F754" s="1378">
        <v>0.49555265800305293</v>
      </c>
      <c r="G754" s="1378"/>
      <c r="H754" s="1378"/>
      <c r="N754" s="532"/>
      <c r="O754" s="532"/>
      <c r="P754" s="532"/>
      <c r="R754" s="2000"/>
      <c r="S754" s="2000"/>
      <c r="T754" s="2000"/>
    </row>
    <row r="755" spans="1:20">
      <c r="A755" s="1378" t="s">
        <v>4540</v>
      </c>
      <c r="B755" s="2184">
        <v>0.64327992433966796</v>
      </c>
      <c r="C755" s="2184">
        <v>0.60711808509876264</v>
      </c>
      <c r="D755" s="1378">
        <v>0.57389581952717994</v>
      </c>
      <c r="E755" s="1378">
        <v>0.54540300096884797</v>
      </c>
      <c r="F755" s="1378">
        <v>0.52218246042244287</v>
      </c>
      <c r="G755" s="1378"/>
      <c r="H755" s="1378"/>
      <c r="N755" s="532"/>
      <c r="O755" s="532"/>
      <c r="P755" s="532"/>
      <c r="R755" s="2000"/>
      <c r="S755" s="2000"/>
      <c r="T755" s="2000"/>
    </row>
    <row r="756" spans="1:20">
      <c r="A756" s="1378" t="s">
        <v>4541</v>
      </c>
      <c r="B756" s="2184">
        <v>0.67374975029360162</v>
      </c>
      <c r="C756" s="2184">
        <v>0.63624998871568716</v>
      </c>
      <c r="D756" s="1378">
        <v>0.6017485763946655</v>
      </c>
      <c r="E756" s="1378">
        <v>0.57203280338823781</v>
      </c>
      <c r="F756" s="1378">
        <v>0.54764303100452016</v>
      </c>
      <c r="G756" s="1378"/>
      <c r="H756" s="1378"/>
      <c r="N756" s="532"/>
      <c r="O756" s="532"/>
      <c r="P756" s="532"/>
      <c r="R756" s="2000"/>
      <c r="S756" s="2000"/>
      <c r="T756" s="2000"/>
    </row>
    <row r="757" spans="1:20">
      <c r="A757" s="1378" t="s">
        <v>4542</v>
      </c>
      <c r="B757" s="2184">
        <v>0.70288165391052593</v>
      </c>
      <c r="C757" s="2184">
        <v>0.66410274558317273</v>
      </c>
      <c r="D757" s="1378">
        <v>0.62837837881405534</v>
      </c>
      <c r="E757" s="1378">
        <v>0.59749337397031532</v>
      </c>
      <c r="F757" s="1378">
        <v>0.57198573126749186</v>
      </c>
      <c r="G757" s="1378"/>
      <c r="H757" s="1378"/>
      <c r="N757" s="532"/>
      <c r="O757" s="532"/>
      <c r="P757" s="532"/>
      <c r="R757" s="2000"/>
      <c r="S757" s="2000"/>
      <c r="T757" s="2000"/>
    </row>
    <row r="758" spans="1:20">
      <c r="A758" s="1378" t="s">
        <v>4543</v>
      </c>
      <c r="B758" s="2184">
        <v>0.7307344107780116</v>
      </c>
      <c r="C758" s="2184">
        <v>0.69073254800256256</v>
      </c>
      <c r="D758" s="1378">
        <v>0.65383894939613263</v>
      </c>
      <c r="E758" s="1378">
        <v>0.62183607423328691</v>
      </c>
      <c r="F758" s="1378">
        <v>0.59530660686530512</v>
      </c>
      <c r="G758" s="1378"/>
      <c r="H758" s="1378"/>
      <c r="N758" s="532"/>
      <c r="O758" s="532"/>
      <c r="P758" s="532"/>
      <c r="R758" s="2000"/>
      <c r="S758" s="2000"/>
      <c r="T758" s="2000"/>
    </row>
    <row r="759" spans="1:20">
      <c r="A759" s="1378" t="s">
        <v>4544</v>
      </c>
      <c r="B759" s="2184">
        <v>0.75736421319740144</v>
      </c>
      <c r="C759" s="2184">
        <v>0.71619311858463985</v>
      </c>
      <c r="D759" s="1378">
        <v>0.67818164965910432</v>
      </c>
      <c r="E759" s="1378">
        <v>0.64515694983110039</v>
      </c>
      <c r="F759" s="1378">
        <v>0.61760352771804705</v>
      </c>
      <c r="G759" s="1378"/>
      <c r="H759" s="1378"/>
      <c r="N759" s="532"/>
      <c r="O759" s="532"/>
      <c r="P759" s="532"/>
      <c r="R759" s="2000"/>
      <c r="S759" s="2000"/>
      <c r="T759" s="2000"/>
    </row>
    <row r="760" spans="1:20">
      <c r="A760" s="1378" t="s">
        <v>4545</v>
      </c>
      <c r="B760" s="2184">
        <v>0.78282478377947917</v>
      </c>
      <c r="C760" s="2184">
        <v>0.74053581884761155</v>
      </c>
      <c r="D760" s="1378">
        <v>0.70150252525691748</v>
      </c>
      <c r="E760" s="1378">
        <v>0.66745387068384188</v>
      </c>
      <c r="F760" s="1378">
        <v>0.63892147401468535</v>
      </c>
      <c r="G760" s="1378"/>
      <c r="H760" s="1378"/>
      <c r="N760" s="532"/>
      <c r="O760" s="532"/>
      <c r="P760" s="532"/>
      <c r="R760" s="2000"/>
      <c r="S760" s="2000"/>
      <c r="T760" s="2000"/>
    </row>
    <row r="761" spans="1:20">
      <c r="A761" s="1378" t="s">
        <v>4546</v>
      </c>
      <c r="B761" s="2184">
        <v>0.12898583438334604</v>
      </c>
      <c r="C761" s="2184">
        <v>0.1186997446143247</v>
      </c>
      <c r="D761" s="1378">
        <v>0.10619591839161256</v>
      </c>
      <c r="E761" s="1378">
        <v>9.8872073210650474E-2</v>
      </c>
      <c r="F761" s="1378">
        <v>9.7785132685545825E-2</v>
      </c>
      <c r="G761" s="1378"/>
      <c r="H761" s="1378"/>
      <c r="N761" s="532"/>
      <c r="O761" s="532"/>
      <c r="P761" s="532"/>
      <c r="R761" s="2000"/>
      <c r="S761" s="2000"/>
      <c r="T761" s="2000"/>
    </row>
    <row r="762" spans="1:20">
      <c r="A762" s="1378" t="s">
        <v>4547</v>
      </c>
      <c r="B762" s="2184">
        <v>0.80716748404245053</v>
      </c>
      <c r="C762" s="2184">
        <v>0.76385669444542492</v>
      </c>
      <c r="D762" s="1378">
        <v>0.72379944610965941</v>
      </c>
      <c r="E762" s="1378">
        <v>0.68877181698048062</v>
      </c>
      <c r="F762" s="1378">
        <v>0.65930344910776795</v>
      </c>
      <c r="G762" s="1378"/>
      <c r="H762" s="1378"/>
      <c r="N762" s="532"/>
      <c r="O762" s="532"/>
      <c r="P762" s="532"/>
      <c r="R762" s="2000"/>
      <c r="S762" s="2000"/>
      <c r="T762" s="2000"/>
    </row>
    <row r="763" spans="1:20">
      <c r="A763" s="1378" t="s">
        <v>4548</v>
      </c>
      <c r="B763" s="2184">
        <v>0.8304883596402638</v>
      </c>
      <c r="C763" s="2184">
        <v>0.78615361529816652</v>
      </c>
      <c r="D763" s="1378">
        <v>0.74511739240629793</v>
      </c>
      <c r="E763" s="1378">
        <v>0.70915379207356299</v>
      </c>
      <c r="F763" s="1378">
        <v>0.67879056643615177</v>
      </c>
      <c r="G763" s="1378"/>
      <c r="H763" s="1378"/>
      <c r="N763" s="532"/>
      <c r="O763" s="532"/>
      <c r="P763" s="532"/>
      <c r="R763" s="2000"/>
      <c r="S763" s="2000"/>
      <c r="T763" s="2000"/>
    </row>
    <row r="764" spans="1:20">
      <c r="A764" s="1378" t="s">
        <v>4549</v>
      </c>
      <c r="B764" s="2184">
        <v>0.85278528049300562</v>
      </c>
      <c r="C764" s="2184">
        <v>0.80747156159480504</v>
      </c>
      <c r="D764" s="1378">
        <v>0.76549936749938041</v>
      </c>
      <c r="E764" s="1378">
        <v>0.72864090940194681</v>
      </c>
      <c r="F764" s="1378">
        <v>0.69702668596486594</v>
      </c>
      <c r="G764" s="1378"/>
      <c r="H764" s="1378"/>
      <c r="N764" s="532"/>
      <c r="O764" s="532"/>
      <c r="P764" s="532"/>
      <c r="R764" s="2000"/>
      <c r="S764" s="2000"/>
      <c r="T764" s="2000"/>
    </row>
    <row r="765" spans="1:20">
      <c r="A765" s="1378" t="s">
        <v>4550</v>
      </c>
      <c r="B765" s="2184">
        <v>0.87410322678964425</v>
      </c>
      <c r="C765" s="2184">
        <v>0.82785353668788775</v>
      </c>
      <c r="D765" s="1378">
        <v>0.78498648482776412</v>
      </c>
      <c r="E765" s="1378">
        <v>0.7468770289306611</v>
      </c>
      <c r="F765" s="1378">
        <v>0.71409211692941232</v>
      </c>
      <c r="G765" s="1378"/>
      <c r="H765" s="1378"/>
      <c r="N765" s="532"/>
      <c r="O765" s="532"/>
      <c r="P765" s="532"/>
      <c r="R765" s="2000"/>
      <c r="S765" s="2000"/>
      <c r="T765" s="2000"/>
    </row>
    <row r="766" spans="1:20">
      <c r="A766" s="1378" t="s">
        <v>4551</v>
      </c>
      <c r="B766" s="2184">
        <v>0.89448520188272651</v>
      </c>
      <c r="C766" s="2184">
        <v>0.84734065401627157</v>
      </c>
      <c r="D766" s="1378">
        <v>0.80322260435647841</v>
      </c>
      <c r="E766" s="1378">
        <v>0.76394245989520726</v>
      </c>
      <c r="F766" s="1378">
        <v>0.73006201302200657</v>
      </c>
      <c r="G766" s="1378"/>
      <c r="H766" s="1378"/>
      <c r="N766" s="532"/>
      <c r="O766" s="532"/>
      <c r="P766" s="532"/>
      <c r="R766" s="2000"/>
      <c r="S766" s="2000"/>
      <c r="T766" s="2000"/>
    </row>
    <row r="767" spans="1:20">
      <c r="A767" s="1378" t="s">
        <v>4552</v>
      </c>
      <c r="B767" s="2184">
        <v>0.91397231921111055</v>
      </c>
      <c r="C767" s="2184">
        <v>0.86557677354498552</v>
      </c>
      <c r="D767" s="1378">
        <v>0.82028803532102479</v>
      </c>
      <c r="E767" s="1378">
        <v>0.77991235598780162</v>
      </c>
      <c r="F767" s="1378">
        <v>0.74500670335758057</v>
      </c>
      <c r="G767" s="1378"/>
      <c r="H767" s="1378"/>
      <c r="N767" s="532"/>
      <c r="O767" s="532"/>
      <c r="P767" s="532"/>
      <c r="R767" s="2000"/>
      <c r="S767" s="2000"/>
      <c r="T767" s="2000"/>
    </row>
    <row r="768" spans="1:20">
      <c r="A768" s="1378" t="s">
        <v>4553</v>
      </c>
      <c r="B768" s="2184">
        <v>0.18533140980916346</v>
      </c>
      <c r="C768" s="2184">
        <v>0.16855008758011975</v>
      </c>
      <c r="D768" s="1378">
        <v>0.15521764863646798</v>
      </c>
      <c r="E768" s="1378">
        <v>0.14763547565134091</v>
      </c>
      <c r="F768" s="1378">
        <v>0.14518724287810439</v>
      </c>
      <c r="G768" s="1378"/>
      <c r="H768" s="1378"/>
      <c r="N768" s="532"/>
      <c r="O768" s="532"/>
      <c r="P768" s="532"/>
      <c r="R768" s="2000"/>
      <c r="S768" s="2000"/>
      <c r="T768" s="2000"/>
    </row>
    <row r="769" spans="1:20">
      <c r="A769" s="1378" t="s">
        <v>4554</v>
      </c>
      <c r="B769" s="2184">
        <v>0.23518175277495865</v>
      </c>
      <c r="C769" s="2184">
        <v>0.21757181782497517</v>
      </c>
      <c r="D769" s="1378">
        <v>0.20398105107715847</v>
      </c>
      <c r="E769" s="1378">
        <v>0.19503758584389952</v>
      </c>
      <c r="F769" s="1378">
        <v>0.1895896104385546</v>
      </c>
      <c r="G769" s="1378"/>
      <c r="H769" s="1378"/>
      <c r="N769" s="532"/>
      <c r="O769" s="532"/>
      <c r="P769" s="532"/>
      <c r="R769" s="2000"/>
      <c r="S769" s="2000"/>
      <c r="T769" s="2000"/>
    </row>
    <row r="770" spans="1:20">
      <c r="A770" s="1378" t="s">
        <v>4555</v>
      </c>
      <c r="B770" s="2184">
        <v>0.28420348301981402</v>
      </c>
      <c r="C770" s="2184">
        <v>0.26633522026566564</v>
      </c>
      <c r="D770" s="1378">
        <v>0.25138316126971699</v>
      </c>
      <c r="E770" s="1378">
        <v>0.23943995340434968</v>
      </c>
      <c r="F770" s="1378">
        <v>0.23107549827875368</v>
      </c>
      <c r="G770" s="1378"/>
      <c r="H770" s="1378"/>
      <c r="N770" s="532"/>
      <c r="O770" s="532"/>
      <c r="P770" s="532"/>
      <c r="R770" s="2000"/>
      <c r="S770" s="2000"/>
      <c r="T770" s="2000"/>
    </row>
    <row r="771" spans="1:20">
      <c r="A771" s="1378" t="s">
        <v>4556</v>
      </c>
      <c r="B771" s="2184">
        <v>0.3329668854605044</v>
      </c>
      <c r="C771" s="2184">
        <v>0.31373733045822422</v>
      </c>
      <c r="D771" s="1378">
        <v>0.29578552883016718</v>
      </c>
      <c r="E771" s="1378">
        <v>0.28092584124454878</v>
      </c>
      <c r="F771" s="1378">
        <v>0.27012323508307312</v>
      </c>
      <c r="G771" s="1378"/>
      <c r="H771" s="1378"/>
      <c r="N771" s="532"/>
      <c r="O771" s="532"/>
      <c r="P771" s="532"/>
      <c r="R771" s="2000"/>
      <c r="S771" s="2000"/>
      <c r="T771" s="2000"/>
    </row>
    <row r="772" spans="1:20">
      <c r="A772" s="1378" t="s">
        <v>4557</v>
      </c>
      <c r="B772" s="2184">
        <v>0.3329668854605044</v>
      </c>
      <c r="C772" s="2184">
        <v>0.31373733045822422</v>
      </c>
      <c r="D772" s="1378">
        <v>0.29578552883016718</v>
      </c>
      <c r="E772" s="1378">
        <v>0.28092584124454878</v>
      </c>
      <c r="F772" s="1378">
        <v>0.27012323508307312</v>
      </c>
      <c r="G772" s="1378"/>
      <c r="H772" s="1378"/>
      <c r="N772" s="532"/>
      <c r="O772" s="532"/>
      <c r="P772" s="532"/>
      <c r="R772" s="2000"/>
      <c r="S772" s="2000"/>
      <c r="T772" s="2000"/>
    </row>
    <row r="773" spans="1:20">
      <c r="A773" s="1378" t="s">
        <v>4558</v>
      </c>
      <c r="B773" s="2184">
        <v>0.38036899565306298</v>
      </c>
      <c r="C773" s="2184">
        <v>0.35813969801867451</v>
      </c>
      <c r="D773" s="1378">
        <v>0.33727141667036625</v>
      </c>
      <c r="E773" s="1378">
        <v>0.31997357804886822</v>
      </c>
      <c r="F773" s="1378">
        <v>0.30733405166271116</v>
      </c>
      <c r="G773" s="1378"/>
      <c r="H773" s="1378"/>
      <c r="N773" s="532"/>
      <c r="O773" s="532"/>
      <c r="P773" s="532"/>
      <c r="R773" s="2000"/>
      <c r="S773" s="2000"/>
      <c r="T773" s="2000"/>
    </row>
    <row r="774" spans="1:20">
      <c r="A774" s="1378" t="s">
        <v>4559</v>
      </c>
      <c r="B774" s="2184">
        <v>0.42477136321351316</v>
      </c>
      <c r="C774" s="2184">
        <v>0.39962558585887342</v>
      </c>
      <c r="D774" s="1378">
        <v>0.37631915347468559</v>
      </c>
      <c r="E774" s="1378">
        <v>0.35718439462850626</v>
      </c>
      <c r="F774" s="1378">
        <v>0.34243048671856946</v>
      </c>
      <c r="G774" s="1378"/>
      <c r="H774" s="1378"/>
      <c r="N774" s="532"/>
      <c r="O774" s="532"/>
      <c r="P774" s="532"/>
      <c r="R774" s="2000"/>
      <c r="S774" s="2000"/>
      <c r="T774" s="2000"/>
    </row>
    <row r="775" spans="1:20">
      <c r="A775" s="1378" t="s">
        <v>4560</v>
      </c>
      <c r="B775" s="2184">
        <v>0.46625725105371235</v>
      </c>
      <c r="C775" s="2184">
        <v>0.43867332266319281</v>
      </c>
      <c r="D775" s="1378">
        <v>0.41352997005432374</v>
      </c>
      <c r="E775" s="1378">
        <v>0.39228082968436473</v>
      </c>
      <c r="F775" s="1378">
        <v>0.37600133567661465</v>
      </c>
      <c r="G775" s="1378"/>
      <c r="H775" s="1378"/>
      <c r="N775" s="532"/>
      <c r="O775" s="532"/>
      <c r="P775" s="532"/>
      <c r="R775" s="2000"/>
      <c r="S775" s="2000"/>
      <c r="T775" s="2000"/>
    </row>
    <row r="776" spans="1:20">
      <c r="A776" s="1378" t="s">
        <v>4561</v>
      </c>
      <c r="B776" s="2184">
        <v>0.39776752531750725</v>
      </c>
      <c r="C776" s="2184">
        <v>0.37699521754433846</v>
      </c>
      <c r="D776" s="1378">
        <v>0.35805342056596556</v>
      </c>
      <c r="E776" s="1378">
        <v>0.34091023298873813</v>
      </c>
      <c r="F776" s="1378">
        <v>0.325183371782232</v>
      </c>
      <c r="G776" s="1378"/>
      <c r="H776" s="1378"/>
      <c r="I776" s="52" t="s">
        <v>4085</v>
      </c>
      <c r="N776" s="532"/>
      <c r="O776" s="532"/>
      <c r="P776" s="532"/>
      <c r="R776" s="2000"/>
      <c r="S776" s="2000"/>
      <c r="T776" s="2000"/>
    </row>
    <row r="777" spans="1:20">
      <c r="A777" s="1378" t="s">
        <v>4562</v>
      </c>
      <c r="B777" s="2184">
        <v>6.6686149604661099E-2</v>
      </c>
      <c r="C777" s="2184">
        <v>6.0279168813870299E-2</v>
      </c>
      <c r="D777" s="1378">
        <v>5.33550016135836E-2</v>
      </c>
      <c r="E777" s="1378">
        <v>5.2457531916686902E-2</v>
      </c>
      <c r="F777" s="1378">
        <v>5.2168081927895599E-2</v>
      </c>
      <c r="G777" s="1378"/>
      <c r="H777" s="1378"/>
      <c r="N777" s="532"/>
      <c r="O777" s="532"/>
      <c r="P777" s="532"/>
      <c r="R777" s="2000"/>
      <c r="S777" s="2000"/>
      <c r="T777" s="2000"/>
    </row>
    <row r="778" spans="1:20">
      <c r="A778" s="1378" t="s">
        <v>4563</v>
      </c>
      <c r="B778" s="2184">
        <v>0.509140460660639</v>
      </c>
      <c r="C778" s="2184">
        <v>0.48001148811157002</v>
      </c>
      <c r="D778" s="1378">
        <v>0.455656492646768</v>
      </c>
      <c r="E778" s="1378">
        <v>0.436647984583865</v>
      </c>
      <c r="F778" s="1378">
        <v>0.416796968877994</v>
      </c>
      <c r="G778" s="1378"/>
      <c r="H778" s="1378"/>
      <c r="N778" s="532"/>
      <c r="O778" s="532"/>
      <c r="P778" s="532"/>
      <c r="R778" s="2000"/>
      <c r="S778" s="2000"/>
      <c r="T778" s="2000"/>
    </row>
    <row r="779" spans="1:20">
      <c r="A779" s="1378" t="s">
        <v>4564</v>
      </c>
      <c r="B779" s="2184">
        <v>0.54669763771623103</v>
      </c>
      <c r="C779" s="2184">
        <v>0.51593566146063796</v>
      </c>
      <c r="D779" s="1378">
        <v>0.49000298619744898</v>
      </c>
      <c r="E779" s="1378">
        <v>0.46925450079468101</v>
      </c>
      <c r="F779" s="1378">
        <v>0.44797143364313102</v>
      </c>
      <c r="G779" s="1378"/>
      <c r="H779" s="1378"/>
      <c r="N779" s="532"/>
      <c r="O779" s="532"/>
      <c r="P779" s="532"/>
      <c r="R779" s="2000"/>
      <c r="S779" s="2000"/>
      <c r="T779" s="2000"/>
    </row>
    <row r="780" spans="1:20">
      <c r="A780" s="1378" t="s">
        <v>4565</v>
      </c>
      <c r="B780" s="2184">
        <v>0.58262181106529898</v>
      </c>
      <c r="C780" s="2184">
        <v>0.55028215501131905</v>
      </c>
      <c r="D780" s="1378">
        <v>0.52260950240826398</v>
      </c>
      <c r="E780" s="1378">
        <v>0.50042896555981797</v>
      </c>
      <c r="F780" s="1378">
        <v>0.47777677149227799</v>
      </c>
      <c r="G780" s="1378"/>
      <c r="H780" s="1378"/>
      <c r="N780" s="532"/>
      <c r="O780" s="532"/>
      <c r="P780" s="532"/>
      <c r="R780" s="2000"/>
      <c r="S780" s="2000"/>
      <c r="T780" s="2000"/>
    </row>
    <row r="781" spans="1:20">
      <c r="A781" s="1378" t="s">
        <v>4566</v>
      </c>
      <c r="B781" s="2184">
        <v>0.61696830461597996</v>
      </c>
      <c r="C781" s="2184">
        <v>0.58288867122213395</v>
      </c>
      <c r="D781" s="1378">
        <v>0.55378396717340195</v>
      </c>
      <c r="E781" s="1378">
        <v>0.53023430340896505</v>
      </c>
      <c r="F781" s="1378">
        <v>0.50627314069666995</v>
      </c>
      <c r="G781" s="1378"/>
      <c r="H781" s="1378"/>
      <c r="N781" s="532"/>
      <c r="O781" s="532"/>
      <c r="P781" s="532"/>
      <c r="R781" s="2000"/>
      <c r="S781" s="2000"/>
      <c r="T781" s="2000"/>
    </row>
    <row r="782" spans="1:20">
      <c r="A782" s="1378" t="s">
        <v>4567</v>
      </c>
      <c r="B782" s="2184">
        <v>0.64957482082679596</v>
      </c>
      <c r="C782" s="2184">
        <v>0.61406313598727202</v>
      </c>
      <c r="D782" s="1378">
        <v>0.58358930502254902</v>
      </c>
      <c r="E782" s="1378">
        <v>0.55873067261335696</v>
      </c>
      <c r="F782" s="1378">
        <v>0.53351805493841697</v>
      </c>
      <c r="G782" s="1378"/>
      <c r="H782" s="1378"/>
      <c r="N782" s="532"/>
      <c r="O782" s="532"/>
      <c r="P782" s="532"/>
      <c r="R782" s="2000"/>
      <c r="S782" s="2000"/>
      <c r="T782" s="2000"/>
    </row>
    <row r="783" spans="1:20">
      <c r="A783" s="1378" t="s">
        <v>4568</v>
      </c>
      <c r="B783" s="2184">
        <v>0.68074928559193304</v>
      </c>
      <c r="C783" s="2184">
        <v>0.64386847383641899</v>
      </c>
      <c r="D783" s="1378">
        <v>0.61208567422694105</v>
      </c>
      <c r="E783" s="1378">
        <v>0.58597558685510398</v>
      </c>
      <c r="F783" s="1378">
        <v>0.55956649962569904</v>
      </c>
      <c r="G783" s="1378"/>
      <c r="H783" s="1378"/>
      <c r="N783" s="532"/>
      <c r="O783" s="532"/>
      <c r="P783" s="532"/>
      <c r="R783" s="2000"/>
      <c r="S783" s="2000"/>
      <c r="T783" s="2000"/>
    </row>
    <row r="784" spans="1:20">
      <c r="A784" s="1378" t="s">
        <v>4569</v>
      </c>
      <c r="B784" s="2184">
        <v>0.71055462344108</v>
      </c>
      <c r="C784" s="2184">
        <v>0.67236484304081101</v>
      </c>
      <c r="D784" s="1378">
        <v>0.63933058846868795</v>
      </c>
      <c r="E784" s="1378">
        <v>0.61202403154238605</v>
      </c>
      <c r="F784" s="1378">
        <v>0.58452209309043701</v>
      </c>
      <c r="G784" s="1378"/>
      <c r="H784" s="1378"/>
      <c r="N784" s="532"/>
      <c r="O784" s="532"/>
      <c r="P784" s="532"/>
      <c r="R784" s="2000"/>
      <c r="S784" s="2000"/>
      <c r="T784" s="2000"/>
    </row>
    <row r="785" spans="1:20">
      <c r="A785" s="1378" t="s">
        <v>4570</v>
      </c>
      <c r="B785" s="2184">
        <v>0.73905099264547203</v>
      </c>
      <c r="C785" s="2184">
        <v>0.69960975728255803</v>
      </c>
      <c r="D785" s="1378">
        <v>0.66537903315596902</v>
      </c>
      <c r="E785" s="1378">
        <v>0.63697962500712402</v>
      </c>
      <c r="F785" s="1378">
        <v>0.608381721131935</v>
      </c>
      <c r="G785" s="1378"/>
      <c r="H785" s="1378"/>
      <c r="N785" s="532"/>
      <c r="O785" s="532"/>
      <c r="P785" s="532"/>
      <c r="R785" s="2000"/>
      <c r="S785" s="2000"/>
      <c r="T785" s="2000"/>
    </row>
    <row r="786" spans="1:20">
      <c r="A786" s="1378" t="s">
        <v>4571</v>
      </c>
      <c r="B786" s="2184">
        <v>0.76629590688721905</v>
      </c>
      <c r="C786" s="2184">
        <v>0.72565820196983899</v>
      </c>
      <c r="D786" s="1378">
        <v>0.69033462662070699</v>
      </c>
      <c r="E786" s="1378">
        <v>0.66083925304862201</v>
      </c>
      <c r="F786" s="1378">
        <v>0.63119353775427001</v>
      </c>
      <c r="G786" s="1378"/>
      <c r="H786" s="1378"/>
      <c r="N786" s="532"/>
      <c r="O786" s="532"/>
      <c r="P786" s="532"/>
      <c r="R786" s="2000"/>
      <c r="S786" s="2000"/>
      <c r="T786" s="2000"/>
    </row>
    <row r="787" spans="1:20">
      <c r="A787" s="1378" t="s">
        <v>4572</v>
      </c>
      <c r="B787" s="2184">
        <v>0.792344351574501</v>
      </c>
      <c r="C787" s="2184">
        <v>0.75061379543457696</v>
      </c>
      <c r="D787" s="1378">
        <v>0.71419425466220599</v>
      </c>
      <c r="E787" s="1378">
        <v>0.68365106967095701</v>
      </c>
      <c r="F787" s="1378">
        <v>0.65300358016626403</v>
      </c>
      <c r="G787" s="1378"/>
      <c r="H787" s="1378"/>
      <c r="N787" s="532"/>
      <c r="O787" s="532"/>
      <c r="P787" s="532"/>
      <c r="R787" s="2000"/>
      <c r="S787" s="2000"/>
      <c r="T787" s="2000"/>
    </row>
    <row r="788" spans="1:20">
      <c r="A788" s="1378" t="s">
        <v>4573</v>
      </c>
      <c r="B788" s="2184">
        <v>0.12696531841853101</v>
      </c>
      <c r="C788" s="2184">
        <v>0.113634170427454</v>
      </c>
      <c r="D788" s="1378">
        <v>0.10581253353026999</v>
      </c>
      <c r="E788" s="1378">
        <v>0.10462561384458199</v>
      </c>
      <c r="F788" s="1378">
        <v>0.10287418067792101</v>
      </c>
      <c r="G788" s="1378"/>
      <c r="H788" s="1378"/>
      <c r="N788" s="532"/>
      <c r="O788" s="532"/>
      <c r="P788" s="532"/>
      <c r="R788" s="2000"/>
      <c r="S788" s="2000"/>
      <c r="T788" s="2000"/>
    </row>
    <row r="789" spans="1:20">
      <c r="A789" s="1378" t="s">
        <v>4574</v>
      </c>
      <c r="B789" s="2184">
        <v>0.81729994503923797</v>
      </c>
      <c r="C789" s="2184">
        <v>0.77447342347607595</v>
      </c>
      <c r="D789" s="1378">
        <v>0.73700607128453999</v>
      </c>
      <c r="E789" s="1378">
        <v>0.70546111208295104</v>
      </c>
      <c r="F789" s="1378">
        <v>0.67385586187948998</v>
      </c>
      <c r="G789" s="1378"/>
      <c r="H789" s="1378"/>
      <c r="N789" s="532"/>
      <c r="O789" s="532"/>
      <c r="P789" s="532"/>
      <c r="R789" s="2000"/>
      <c r="S789" s="2000"/>
      <c r="T789" s="2000"/>
    </row>
    <row r="790" spans="1:20">
      <c r="A790" s="1378" t="s">
        <v>4575</v>
      </c>
      <c r="B790" s="2184">
        <v>0.84115957308073697</v>
      </c>
      <c r="C790" s="2184">
        <v>0.79728524009841095</v>
      </c>
      <c r="D790" s="1378">
        <v>0.75881611369653401</v>
      </c>
      <c r="E790" s="1378">
        <v>0.72631339379617699</v>
      </c>
      <c r="F790" s="1378">
        <v>0.69379246170969999</v>
      </c>
      <c r="G790" s="1378"/>
      <c r="H790" s="1378"/>
      <c r="N790" s="532"/>
      <c r="O790" s="532"/>
      <c r="P790" s="532"/>
      <c r="R790" s="2000"/>
      <c r="S790" s="2000"/>
      <c r="T790" s="2000"/>
    </row>
    <row r="791" spans="1:20">
      <c r="A791" s="1378" t="s">
        <v>4576</v>
      </c>
      <c r="B791" s="2184">
        <v>0.86397138970307097</v>
      </c>
      <c r="C791" s="2184">
        <v>0.81909528251040498</v>
      </c>
      <c r="D791" s="1378">
        <v>0.77966839540975996</v>
      </c>
      <c r="E791" s="1378">
        <v>0.746249993626387</v>
      </c>
      <c r="F791" s="1378">
        <v>0.71244920869660799</v>
      </c>
      <c r="G791" s="1378"/>
      <c r="H791" s="1378"/>
      <c r="N791" s="532"/>
      <c r="O791" s="532"/>
      <c r="P791" s="532"/>
      <c r="R791" s="2000"/>
      <c r="S791" s="2000"/>
      <c r="T791" s="2000"/>
    </row>
    <row r="792" spans="1:20">
      <c r="A792" s="1378" t="s">
        <v>4577</v>
      </c>
      <c r="B792" s="2184">
        <v>0.88578143211506599</v>
      </c>
      <c r="C792" s="2184">
        <v>0.83994756422363104</v>
      </c>
      <c r="D792" s="1378">
        <v>0.79960499523996997</v>
      </c>
      <c r="E792" s="1378">
        <v>0.764906740613295</v>
      </c>
      <c r="F792" s="1378">
        <v>0.72990826445826595</v>
      </c>
      <c r="G792" s="1378"/>
      <c r="H792" s="1378"/>
      <c r="N792" s="532"/>
      <c r="O792" s="532"/>
      <c r="P792" s="532"/>
      <c r="R792" s="2000"/>
      <c r="S792" s="2000"/>
      <c r="T792" s="2000"/>
    </row>
    <row r="793" spans="1:20">
      <c r="A793" s="1378" t="s">
        <v>4578</v>
      </c>
      <c r="B793" s="2184">
        <v>0.90663371382829205</v>
      </c>
      <c r="C793" s="2184">
        <v>0.85988416405384005</v>
      </c>
      <c r="D793" s="1378">
        <v>0.81826174222687797</v>
      </c>
      <c r="E793" s="1378">
        <v>0.78236579637495296</v>
      </c>
      <c r="F793" s="1378">
        <v>0.74624651615362203</v>
      </c>
      <c r="G793" s="1378"/>
      <c r="H793" s="1378"/>
      <c r="N793" s="532"/>
      <c r="O793" s="532"/>
      <c r="P793" s="532"/>
      <c r="R793" s="2000"/>
      <c r="S793" s="2000"/>
      <c r="T793" s="2000"/>
    </row>
    <row r="794" spans="1:20">
      <c r="A794" s="1378" t="s">
        <v>4579</v>
      </c>
      <c r="B794" s="2184">
        <v>0.92657031365850195</v>
      </c>
      <c r="C794" s="2184">
        <v>0.87854091104074805</v>
      </c>
      <c r="D794" s="1378">
        <v>0.83572079798853605</v>
      </c>
      <c r="E794" s="1378">
        <v>0.79870404807030904</v>
      </c>
      <c r="F794" s="1378">
        <v>0.76153591508246099</v>
      </c>
      <c r="G794" s="1378"/>
      <c r="H794" s="1378"/>
      <c r="N794" s="532"/>
      <c r="O794" s="532"/>
      <c r="P794" s="532"/>
      <c r="R794" s="2000"/>
      <c r="S794" s="2000"/>
      <c r="T794" s="2000"/>
    </row>
    <row r="795" spans="1:20">
      <c r="A795" s="1378" t="s">
        <v>4580</v>
      </c>
      <c r="B795" s="2184">
        <v>0.94522706064540896</v>
      </c>
      <c r="C795" s="2184">
        <v>0.89599996680240601</v>
      </c>
      <c r="D795" s="1378">
        <v>0.85205904968389301</v>
      </c>
      <c r="E795" s="1378">
        <v>0.813993446999148</v>
      </c>
      <c r="F795" s="1378">
        <v>0.77584379354852695</v>
      </c>
      <c r="G795" s="1378"/>
      <c r="H795" s="1378"/>
      <c r="N795" s="532"/>
      <c r="O795" s="532"/>
      <c r="P795" s="532"/>
      <c r="R795" s="2000"/>
      <c r="S795" s="2000"/>
      <c r="T795" s="2000"/>
    </row>
    <row r="796" spans="1:20">
      <c r="A796" s="1378" t="s">
        <v>4581</v>
      </c>
      <c r="B796" s="2184">
        <v>0.96268611640706703</v>
      </c>
      <c r="C796" s="2184">
        <v>0.91233821849776298</v>
      </c>
      <c r="D796" s="1378">
        <v>0.86734844861273097</v>
      </c>
      <c r="E796" s="1378">
        <v>0.82830132546521396</v>
      </c>
      <c r="F796" s="1378">
        <v>0.78923316138126698</v>
      </c>
      <c r="G796" s="1378"/>
      <c r="H796" s="1378"/>
      <c r="N796" s="532"/>
      <c r="O796" s="532"/>
      <c r="P796" s="532"/>
      <c r="R796" s="2000"/>
      <c r="S796" s="2000"/>
      <c r="T796" s="2000"/>
    </row>
    <row r="797" spans="1:20">
      <c r="A797" s="1378" t="s">
        <v>4582</v>
      </c>
      <c r="B797" s="2184">
        <v>0.97902436810242399</v>
      </c>
      <c r="C797" s="2184">
        <v>0.92762761742660105</v>
      </c>
      <c r="D797" s="1378">
        <v>0.88165632707879704</v>
      </c>
      <c r="E797" s="1378">
        <v>0.84169069329795398</v>
      </c>
      <c r="F797" s="1378">
        <v>0.80176298342201202</v>
      </c>
      <c r="G797" s="1378"/>
      <c r="H797" s="1378"/>
      <c r="N797" s="532"/>
      <c r="O797" s="532"/>
      <c r="P797" s="532"/>
      <c r="R797" s="2000"/>
      <c r="S797" s="2000"/>
      <c r="T797" s="2000"/>
    </row>
    <row r="798" spans="1:20">
      <c r="A798" s="1378" t="s">
        <v>4583</v>
      </c>
      <c r="B798" s="2184">
        <v>0.99431376703126195</v>
      </c>
      <c r="C798" s="2184">
        <v>0.94193549589266801</v>
      </c>
      <c r="D798" s="1378">
        <v>0.89504569491153696</v>
      </c>
      <c r="E798" s="1378">
        <v>0.85422051533869903</v>
      </c>
      <c r="F798" s="1378">
        <v>0.81348843919661895</v>
      </c>
      <c r="G798" s="1378"/>
      <c r="H798" s="1378"/>
      <c r="N798" s="532"/>
      <c r="O798" s="532"/>
      <c r="P798" s="532"/>
      <c r="R798" s="2000"/>
      <c r="S798" s="2000"/>
      <c r="T798" s="2000"/>
    </row>
    <row r="799" spans="1:20">
      <c r="A799" s="1378" t="s">
        <v>4584</v>
      </c>
      <c r="B799" s="2184">
        <v>0.18032032003211501</v>
      </c>
      <c r="C799" s="2184">
        <v>0.166091702344141</v>
      </c>
      <c r="D799" s="1378">
        <v>0.157980615458166</v>
      </c>
      <c r="E799" s="1378">
        <v>0.15533171259460801</v>
      </c>
      <c r="F799" s="1378">
        <v>0.15037613651026299</v>
      </c>
      <c r="G799" s="1378"/>
      <c r="H799" s="1378"/>
      <c r="N799" s="532"/>
      <c r="O799" s="532"/>
      <c r="P799" s="532"/>
      <c r="R799" s="2000"/>
      <c r="S799" s="2000"/>
      <c r="T799" s="2000"/>
    </row>
    <row r="800" spans="1:20">
      <c r="A800" s="1378" t="s">
        <v>4585</v>
      </c>
      <c r="B800" s="2184">
        <v>1.00862164549733</v>
      </c>
      <c r="C800" s="2184">
        <v>0.95532486372540804</v>
      </c>
      <c r="D800" s="1378">
        <v>0.907575516952283</v>
      </c>
      <c r="E800" s="1378">
        <v>0.86594597111330596</v>
      </c>
      <c r="F800" s="1378">
        <v>0.82446116591813101</v>
      </c>
      <c r="G800" s="1378"/>
      <c r="H800" s="1378"/>
      <c r="N800" s="532"/>
      <c r="O800" s="532"/>
      <c r="P800" s="532"/>
      <c r="R800" s="2000"/>
      <c r="S800" s="2000"/>
      <c r="T800" s="2000"/>
    </row>
    <row r="801" spans="1:20">
      <c r="A801" s="1378" t="s">
        <v>4586</v>
      </c>
      <c r="B801" s="2184">
        <v>0.23277785194880199</v>
      </c>
      <c r="C801" s="2184">
        <v>0.21825978427203599</v>
      </c>
      <c r="D801" s="1378">
        <v>0.20868671420819099</v>
      </c>
      <c r="E801" s="1378">
        <v>0.20283366842695</v>
      </c>
      <c r="F801" s="1378">
        <v>0.194763503814849</v>
      </c>
      <c r="G801" s="1378"/>
      <c r="H801" s="1378"/>
      <c r="N801" s="532"/>
      <c r="O801" s="532"/>
      <c r="P801" s="532"/>
      <c r="R801" s="2000"/>
      <c r="S801" s="2000"/>
      <c r="T801" s="2000"/>
    </row>
    <row r="802" spans="1:20">
      <c r="A802" s="1378" t="s">
        <v>4587</v>
      </c>
      <c r="B802" s="2184">
        <v>0.28494593387669698</v>
      </c>
      <c r="C802" s="2184">
        <v>0.26896588302206198</v>
      </c>
      <c r="D802" s="1378">
        <v>0.25618867004053397</v>
      </c>
      <c r="E802" s="1378">
        <v>0.247221035731536</v>
      </c>
      <c r="F802" s="1378">
        <v>0.236545640302187</v>
      </c>
      <c r="G802" s="1378"/>
      <c r="H802" s="1378"/>
      <c r="N802" s="532"/>
      <c r="O802" s="532"/>
      <c r="P802" s="532"/>
      <c r="R802" s="2000"/>
      <c r="S802" s="2000"/>
      <c r="T802" s="2000"/>
    </row>
    <row r="803" spans="1:20">
      <c r="A803" s="1378" t="s">
        <v>4588</v>
      </c>
      <c r="B803" s="2184">
        <v>0.335652032626723</v>
      </c>
      <c r="C803" s="2184">
        <v>0.31646783885440399</v>
      </c>
      <c r="D803" s="1378">
        <v>0.30057603734512001</v>
      </c>
      <c r="E803" s="1378">
        <v>0.289003172218874</v>
      </c>
      <c r="F803" s="1378">
        <v>0.27636260871183699</v>
      </c>
      <c r="G803" s="1378"/>
      <c r="H803" s="1378"/>
      <c r="N803" s="532"/>
      <c r="O803" s="532"/>
      <c r="P803" s="532"/>
      <c r="R803" s="2000"/>
      <c r="S803" s="2000"/>
      <c r="T803" s="2000"/>
    </row>
    <row r="804" spans="1:20">
      <c r="A804" s="1378" t="s">
        <v>4589</v>
      </c>
      <c r="B804" s="2184">
        <v>0.38315398845906501</v>
      </c>
      <c r="C804" s="2184">
        <v>0.36085520615899003</v>
      </c>
      <c r="D804" s="1378">
        <v>0.34235817383245798</v>
      </c>
      <c r="E804" s="1378">
        <v>0.32882014062852399</v>
      </c>
      <c r="F804" s="1378">
        <v>0.31391978576742902</v>
      </c>
      <c r="G804" s="1378"/>
      <c r="H804" s="1378"/>
      <c r="N804" s="532"/>
      <c r="O804" s="532"/>
      <c r="P804" s="532"/>
      <c r="R804" s="2000"/>
      <c r="S804" s="2000"/>
      <c r="T804" s="2000"/>
    </row>
    <row r="805" spans="1:20">
      <c r="A805" s="1378" t="s">
        <v>4590</v>
      </c>
      <c r="B805" s="2184">
        <v>0.42754135576365099</v>
      </c>
      <c r="C805" s="2184">
        <v>0.402637342646328</v>
      </c>
      <c r="D805" s="1378">
        <v>0.38217514224210702</v>
      </c>
      <c r="E805" s="1378">
        <v>0.36637731768411602</v>
      </c>
      <c r="F805" s="1378">
        <v>0.34984395911649702</v>
      </c>
      <c r="G805" s="1378"/>
      <c r="H805" s="1378"/>
      <c r="N805" s="532"/>
      <c r="O805" s="532"/>
      <c r="P805" s="532"/>
      <c r="R805" s="2000"/>
      <c r="S805" s="2000"/>
      <c r="T805" s="2000"/>
    </row>
    <row r="806" spans="1:20">
      <c r="A806" s="1378" t="s">
        <v>4591</v>
      </c>
      <c r="B806" s="2184">
        <v>0.46932349225098902</v>
      </c>
      <c r="C806" s="2184">
        <v>0.44245431105597799</v>
      </c>
      <c r="D806" s="1378">
        <v>0.4197323192977</v>
      </c>
      <c r="E806" s="1378">
        <v>0.40230149103318402</v>
      </c>
      <c r="F806" s="1378">
        <v>0.384190452667178</v>
      </c>
      <c r="G806" s="1378"/>
      <c r="H806" s="1378"/>
      <c r="N806" s="532"/>
      <c r="O806" s="532"/>
      <c r="P806" s="532"/>
      <c r="R806" s="2000"/>
      <c r="S806" s="2000"/>
      <c r="T806" s="2000"/>
    </row>
    <row r="807" spans="1:20">
      <c r="A807" s="1378" t="s">
        <v>4592</v>
      </c>
      <c r="B807" s="2184">
        <v>8.1110673742368702E-2</v>
      </c>
      <c r="C807" s="2184">
        <v>7.3762287376644406E-2</v>
      </c>
      <c r="D807" s="1378">
        <v>6.5860914134802606E-2</v>
      </c>
      <c r="E807" s="1378">
        <v>6.45059468458513E-2</v>
      </c>
      <c r="F807" s="1378">
        <v>6.3846542837451406E-2</v>
      </c>
      <c r="G807" s="1378"/>
      <c r="H807" s="1378"/>
      <c r="N807" s="532"/>
      <c r="O807" s="532"/>
      <c r="P807" s="532"/>
      <c r="R807" s="2000"/>
      <c r="S807" s="2000"/>
      <c r="T807" s="2000"/>
    </row>
    <row r="808" spans="1:20">
      <c r="A808" s="1378" t="s">
        <v>4593</v>
      </c>
      <c r="B808" s="2184">
        <v>0.62381521323199896</v>
      </c>
      <c r="C808" s="2184">
        <v>0.58890943765994297</v>
      </c>
      <c r="D808" s="1378">
        <v>0.55933247493871896</v>
      </c>
      <c r="E808" s="1378">
        <v>0.53570851952236198</v>
      </c>
      <c r="F808" s="1378">
        <v>0.51132475507514796</v>
      </c>
      <c r="G808" s="1378"/>
      <c r="H808" s="1378"/>
      <c r="N808" s="532"/>
      <c r="O808" s="532"/>
      <c r="P808" s="532"/>
      <c r="R808" s="2000"/>
      <c r="S808" s="2000"/>
      <c r="T808" s="2000"/>
    </row>
    <row r="809" spans="1:20">
      <c r="A809" s="1378" t="s">
        <v>4594</v>
      </c>
      <c r="B809" s="2184">
        <v>0.67002011140231199</v>
      </c>
      <c r="C809" s="2184">
        <v>0.63309476231536399</v>
      </c>
      <c r="D809" s="1378">
        <v>0.60156943365716398</v>
      </c>
      <c r="E809" s="1378">
        <v>0.57583070192099906</v>
      </c>
      <c r="F809" s="1378">
        <v>0.549677633387197</v>
      </c>
      <c r="G809" s="1378"/>
      <c r="H809" s="1378"/>
      <c r="N809" s="532"/>
      <c r="O809" s="532"/>
      <c r="P809" s="532"/>
      <c r="R809" s="2000"/>
      <c r="S809" s="2000"/>
      <c r="T809" s="2000"/>
    </row>
    <row r="810" spans="1:20">
      <c r="A810" s="1378" t="s">
        <v>4595</v>
      </c>
      <c r="B810" s="2184">
        <v>0.71420543605773201</v>
      </c>
      <c r="C810" s="2184">
        <v>0.67533172103380801</v>
      </c>
      <c r="D810" s="1378">
        <v>0.64169161605580205</v>
      </c>
      <c r="E810" s="1378">
        <v>0.61418358023304798</v>
      </c>
      <c r="F810" s="1378">
        <v>0.58633927281627496</v>
      </c>
      <c r="G810" s="1378"/>
      <c r="H810" s="1378"/>
      <c r="N810" s="532"/>
      <c r="O810" s="532"/>
      <c r="P810" s="532"/>
      <c r="R810" s="2000"/>
      <c r="S810" s="2000"/>
      <c r="T810" s="2000"/>
    </row>
    <row r="811" spans="1:20">
      <c r="A811" s="1378" t="s">
        <v>4596</v>
      </c>
      <c r="B811" s="2184">
        <v>0.75644239477617703</v>
      </c>
      <c r="C811" s="2184">
        <v>0.71545390343244597</v>
      </c>
      <c r="D811" s="1378">
        <v>0.68004449436785097</v>
      </c>
      <c r="E811" s="1378">
        <v>0.65084521966212605</v>
      </c>
      <c r="F811" s="1378">
        <v>0.62138429227056502</v>
      </c>
      <c r="G811" s="1378"/>
      <c r="H811" s="1378"/>
      <c r="N811" s="532"/>
      <c r="O811" s="532"/>
      <c r="P811" s="532"/>
      <c r="R811" s="2000"/>
      <c r="S811" s="2000"/>
      <c r="T811" s="2000"/>
    </row>
    <row r="812" spans="1:20">
      <c r="A812" s="1378" t="s">
        <v>4597</v>
      </c>
      <c r="B812" s="2184">
        <v>0.79656457717481499</v>
      </c>
      <c r="C812" s="2184">
        <v>0.753806781744495</v>
      </c>
      <c r="D812" s="1378">
        <v>0.71670613379692805</v>
      </c>
      <c r="E812" s="1378">
        <v>0.685890239116417</v>
      </c>
      <c r="F812" s="1378">
        <v>0.65488401658929096</v>
      </c>
      <c r="G812" s="1378"/>
      <c r="H812" s="1378"/>
      <c r="N812" s="532"/>
      <c r="O812" s="532"/>
      <c r="P812" s="532"/>
      <c r="R812" s="2000"/>
      <c r="S812" s="2000"/>
      <c r="T812" s="2000"/>
    </row>
    <row r="813" spans="1:20">
      <c r="A813" s="1378" t="s">
        <v>4598</v>
      </c>
      <c r="B813" s="2184">
        <v>0.83491745548686402</v>
      </c>
      <c r="C813" s="2184">
        <v>0.79046842117357297</v>
      </c>
      <c r="D813" s="1378">
        <v>0.75175115325121999</v>
      </c>
      <c r="E813" s="1378">
        <v>0.71938996343514205</v>
      </c>
      <c r="F813" s="1378">
        <v>0.68690662204138198</v>
      </c>
      <c r="G813" s="1378"/>
      <c r="H813" s="1378"/>
      <c r="N813" s="532"/>
      <c r="O813" s="532"/>
      <c r="P813" s="532"/>
      <c r="R813" s="2000"/>
      <c r="S813" s="2000"/>
      <c r="T813" s="2000"/>
    </row>
    <row r="814" spans="1:20">
      <c r="A814" s="1378" t="s">
        <v>4599</v>
      </c>
      <c r="B814" s="2184">
        <v>0.87157909491594099</v>
      </c>
      <c r="C814" s="2184">
        <v>0.82551344062786403</v>
      </c>
      <c r="D814" s="1378">
        <v>0.78525087756994505</v>
      </c>
      <c r="E814" s="1378">
        <v>0.75141256888723396</v>
      </c>
      <c r="F814" s="1378">
        <v>0.71759913541305298</v>
      </c>
      <c r="G814" s="1378"/>
      <c r="H814" s="1378"/>
      <c r="N814" s="532"/>
      <c r="O814" s="532"/>
      <c r="P814" s="532"/>
      <c r="R814" s="2000"/>
      <c r="S814" s="2000"/>
      <c r="T814" s="2000"/>
    </row>
    <row r="815" spans="1:20">
      <c r="A815" s="1378" t="s">
        <v>4600</v>
      </c>
      <c r="B815" s="2184">
        <v>0.90662411437023205</v>
      </c>
      <c r="C815" s="2184">
        <v>0.85901316494658997</v>
      </c>
      <c r="D815" s="1378">
        <v>0.81727348302203595</v>
      </c>
      <c r="E815" s="1378">
        <v>0.78210508225890496</v>
      </c>
      <c r="F815" s="1378">
        <v>0.74693826387349704</v>
      </c>
      <c r="G815" s="1378"/>
      <c r="H815" s="1378"/>
      <c r="N815" s="532"/>
      <c r="O815" s="532"/>
      <c r="P815" s="532"/>
      <c r="R815" s="2000"/>
      <c r="S815" s="2000"/>
      <c r="T815" s="2000"/>
    </row>
    <row r="816" spans="1:20">
      <c r="A816" s="1378" t="s">
        <v>4601</v>
      </c>
      <c r="B816" s="2184">
        <v>0.94012383868895799</v>
      </c>
      <c r="C816" s="2184">
        <v>0.89103577039868098</v>
      </c>
      <c r="D816" s="1378">
        <v>0.84796599639370696</v>
      </c>
      <c r="E816" s="1378">
        <v>0.81144421071934802</v>
      </c>
      <c r="F816" s="1378">
        <v>0.77498371740134797</v>
      </c>
      <c r="G816" s="1378"/>
      <c r="H816" s="1378"/>
      <c r="N816" s="532"/>
      <c r="O816" s="532"/>
      <c r="P816" s="532"/>
      <c r="R816" s="2000"/>
      <c r="S816" s="2000"/>
      <c r="T816" s="2000"/>
    </row>
    <row r="817" spans="1:20">
      <c r="A817" s="1378" t="s">
        <v>4602</v>
      </c>
      <c r="B817" s="2184">
        <v>0.972146444141049</v>
      </c>
      <c r="C817" s="2184">
        <v>0.92172828377035199</v>
      </c>
      <c r="D817" s="1378">
        <v>0.87730512485415102</v>
      </c>
      <c r="E817" s="1378">
        <v>0.83948966424719995</v>
      </c>
      <c r="F817" s="1378">
        <v>0.80179257017710903</v>
      </c>
      <c r="G817" s="1378"/>
      <c r="H817" s="1378"/>
      <c r="N817" s="532"/>
      <c r="O817" s="532"/>
      <c r="P817" s="532"/>
      <c r="R817" s="2000"/>
      <c r="S817" s="2000"/>
      <c r="T817" s="2000"/>
    </row>
    <row r="818" spans="1:20">
      <c r="A818" s="1378" t="s">
        <v>4603</v>
      </c>
      <c r="B818" s="2184">
        <v>0.154872961119013</v>
      </c>
      <c r="C818" s="2184">
        <v>0.139623201511447</v>
      </c>
      <c r="D818" s="1378">
        <v>0.130366860980654</v>
      </c>
      <c r="E818" s="1378">
        <v>0.12835248968330301</v>
      </c>
      <c r="F818" s="1378">
        <v>0.12577217874872901</v>
      </c>
      <c r="G818" s="1378"/>
      <c r="H818" s="1378"/>
      <c r="N818" s="532"/>
      <c r="O818" s="532"/>
      <c r="P818" s="532"/>
      <c r="R818" s="2000"/>
      <c r="S818" s="2000"/>
      <c r="T818" s="2000"/>
    </row>
    <row r="819" spans="1:20">
      <c r="A819" s="1378" t="s">
        <v>4604</v>
      </c>
      <c r="B819" s="2184">
        <v>1.0028389575127199</v>
      </c>
      <c r="C819" s="2184">
        <v>0.95106741223079505</v>
      </c>
      <c r="D819" s="1378">
        <v>0.90535057838200195</v>
      </c>
      <c r="E819" s="1378">
        <v>0.86629851702296001</v>
      </c>
      <c r="F819" s="1378">
        <v>0.82741937700103596</v>
      </c>
      <c r="G819" s="1378"/>
      <c r="H819" s="1378"/>
      <c r="N819" s="532"/>
      <c r="O819" s="532"/>
      <c r="P819" s="532"/>
      <c r="R819" s="2000"/>
      <c r="S819" s="2000"/>
      <c r="T819" s="2000"/>
    </row>
    <row r="820" spans="1:20">
      <c r="A820" s="1378" t="s">
        <v>4605</v>
      </c>
      <c r="B820" s="2184">
        <v>1.03217808597316</v>
      </c>
      <c r="C820" s="2184">
        <v>0.97911286575864598</v>
      </c>
      <c r="D820" s="1378">
        <v>0.93215943115776301</v>
      </c>
      <c r="E820" s="1378">
        <v>0.89192532384688705</v>
      </c>
      <c r="F820" s="1378">
        <v>0.85191628456619095</v>
      </c>
      <c r="G820" s="1378"/>
      <c r="H820" s="1378"/>
      <c r="N820" s="532"/>
      <c r="O820" s="532"/>
      <c r="P820" s="532"/>
      <c r="R820" s="2000"/>
      <c r="S820" s="2000"/>
      <c r="T820" s="2000"/>
    </row>
    <row r="821" spans="1:20">
      <c r="A821" s="1378" t="s">
        <v>4606</v>
      </c>
      <c r="B821" s="2184">
        <v>1.06022353950102</v>
      </c>
      <c r="C821" s="2184">
        <v>1.00592171853441</v>
      </c>
      <c r="D821" s="1378">
        <v>0.95778623798168905</v>
      </c>
      <c r="E821" s="1378">
        <v>0.91642223141204204</v>
      </c>
      <c r="F821" s="1378">
        <v>0.87484058511378104</v>
      </c>
      <c r="G821" s="1378"/>
      <c r="H821" s="1378"/>
      <c r="N821" s="532"/>
      <c r="O821" s="532"/>
      <c r="P821" s="532"/>
      <c r="R821" s="2000"/>
      <c r="S821" s="2000"/>
      <c r="T821" s="2000"/>
    </row>
    <row r="822" spans="1:20">
      <c r="A822" s="1378" t="s">
        <v>4607</v>
      </c>
      <c r="B822" s="2184">
        <v>1.0870323922767799</v>
      </c>
      <c r="C822" s="2184">
        <v>1.0315485253583301</v>
      </c>
      <c r="D822" s="1378">
        <v>0.98228314554684504</v>
      </c>
      <c r="E822" s="1378">
        <v>0.93934653195963302</v>
      </c>
      <c r="F822" s="1378">
        <v>0.89629323395113003</v>
      </c>
      <c r="G822" s="1378"/>
      <c r="H822" s="1378"/>
      <c r="N822" s="532"/>
      <c r="O822" s="532"/>
      <c r="P822" s="532"/>
      <c r="R822" s="2000"/>
      <c r="S822" s="2000"/>
      <c r="T822" s="2000"/>
    </row>
    <row r="823" spans="1:20">
      <c r="A823" s="1378" t="s">
        <v>4608</v>
      </c>
      <c r="B823" s="2184">
        <v>1.1126591991007</v>
      </c>
      <c r="C823" s="2184">
        <v>1.0560454329234901</v>
      </c>
      <c r="D823" s="1378">
        <v>1.00520744609444</v>
      </c>
      <c r="E823" s="1378">
        <v>0.96079918079698101</v>
      </c>
      <c r="F823" s="1378">
        <v>0.91636870544406401</v>
      </c>
      <c r="G823" s="1378"/>
      <c r="H823" s="1378"/>
      <c r="N823" s="532"/>
      <c r="O823" s="532"/>
      <c r="P823" s="532"/>
      <c r="R823" s="2000"/>
      <c r="S823" s="2000"/>
      <c r="T823" s="2000"/>
    </row>
    <row r="824" spans="1:20">
      <c r="A824" s="1378" t="s">
        <v>4609</v>
      </c>
      <c r="B824" s="2184">
        <v>1.13715610666586</v>
      </c>
      <c r="C824" s="2184">
        <v>1.0789697334710799</v>
      </c>
      <c r="D824" s="1378">
        <v>1.0266600949317799</v>
      </c>
      <c r="E824" s="1378">
        <v>0.98087465228991499</v>
      </c>
      <c r="F824" s="1378">
        <v>0.93515540906836903</v>
      </c>
      <c r="G824" s="1378"/>
      <c r="H824" s="1378"/>
      <c r="N824" s="532"/>
      <c r="O824" s="532"/>
      <c r="P824" s="532"/>
      <c r="R824" s="2000"/>
      <c r="S824" s="2000"/>
      <c r="T824" s="2000"/>
    </row>
    <row r="825" spans="1:20">
      <c r="A825" s="1378" t="s">
        <v>4610</v>
      </c>
      <c r="B825" s="2184">
        <v>1.1600804072134501</v>
      </c>
      <c r="C825" s="2184">
        <v>1.10042238230843</v>
      </c>
      <c r="D825" s="1378">
        <v>1.04673556642472</v>
      </c>
      <c r="E825" s="1378">
        <v>0.99966135591422001</v>
      </c>
      <c r="F825" s="1378">
        <v>0.952736078752354</v>
      </c>
      <c r="G825" s="1378"/>
      <c r="H825" s="1378"/>
      <c r="N825" s="532"/>
      <c r="O825" s="532"/>
      <c r="P825" s="532"/>
      <c r="R825" s="2000"/>
      <c r="S825" s="2000"/>
      <c r="T825" s="2000"/>
    </row>
    <row r="826" spans="1:20">
      <c r="A826" s="1378" t="s">
        <v>4611</v>
      </c>
      <c r="B826" s="2184">
        <v>1.1815330560507999</v>
      </c>
      <c r="C826" s="2184">
        <v>1.1204978538013599</v>
      </c>
      <c r="D826" s="1378">
        <v>1.0655222700490199</v>
      </c>
      <c r="E826" s="1378">
        <v>1.01724202559821</v>
      </c>
      <c r="F826" s="1378">
        <v>0.96918813722510699</v>
      </c>
      <c r="G826" s="1378"/>
      <c r="H826" s="1378"/>
      <c r="N826" s="532"/>
      <c r="O826" s="532"/>
      <c r="P826" s="532"/>
      <c r="R826" s="2000"/>
      <c r="S826" s="2000"/>
      <c r="T826" s="2000"/>
    </row>
    <row r="827" spans="1:20">
      <c r="A827" s="1378" t="s">
        <v>4612</v>
      </c>
      <c r="B827" s="2184">
        <v>1.20160852754373</v>
      </c>
      <c r="C827" s="2184">
        <v>1.13928455742567</v>
      </c>
      <c r="D827" s="1378">
        <v>1.0831029397330101</v>
      </c>
      <c r="E827" s="1378">
        <v>1.0336940840709601</v>
      </c>
      <c r="F827" s="1378">
        <v>0.98458403697501695</v>
      </c>
      <c r="G827" s="1378"/>
      <c r="H827" s="1378"/>
      <c r="N827" s="532"/>
      <c r="O827" s="532"/>
      <c r="P827" s="532"/>
      <c r="R827" s="2000"/>
      <c r="S827" s="2000"/>
      <c r="T827" s="2000"/>
    </row>
    <row r="828" spans="1:20">
      <c r="A828" s="1378" t="s">
        <v>4613</v>
      </c>
      <c r="B828" s="2184">
        <v>1.2203952311680399</v>
      </c>
      <c r="C828" s="2184">
        <v>1.15686522710965</v>
      </c>
      <c r="D828" s="1378">
        <v>1.09955499820576</v>
      </c>
      <c r="E828" s="1378">
        <v>1.04908998382087</v>
      </c>
      <c r="F828" s="1378">
        <v>0.998991579320057</v>
      </c>
      <c r="G828" s="1378"/>
      <c r="H828" s="1378"/>
      <c r="N828" s="532"/>
      <c r="O828" s="532"/>
      <c r="P828" s="532"/>
      <c r="R828" s="2000"/>
      <c r="S828" s="2000"/>
      <c r="T828" s="2000"/>
    </row>
    <row r="829" spans="1:20">
      <c r="A829" s="1378" t="s">
        <v>4614</v>
      </c>
      <c r="B829" s="2184">
        <v>0.22073387525381599</v>
      </c>
      <c r="C829" s="2184">
        <v>0.20412914835729801</v>
      </c>
      <c r="D829" s="1378">
        <v>0.19421340381810501</v>
      </c>
      <c r="E829" s="1378">
        <v>0.19027812559457999</v>
      </c>
      <c r="F829" s="1378">
        <v>0.183893985674387</v>
      </c>
      <c r="G829" s="1378"/>
      <c r="H829" s="1378"/>
      <c r="N829" s="532"/>
      <c r="O829" s="532"/>
      <c r="P829" s="532"/>
      <c r="R829" s="2000"/>
      <c r="S829" s="2000"/>
      <c r="T829" s="2000"/>
    </row>
    <row r="830" spans="1:20">
      <c r="A830" s="1378" t="s">
        <v>4615</v>
      </c>
      <c r="B830" s="2184">
        <v>1.2379759008520199</v>
      </c>
      <c r="C830" s="2184">
        <v>1.1733172855824101</v>
      </c>
      <c r="D830" s="1378">
        <v>1.1149508979556699</v>
      </c>
      <c r="E830" s="1378">
        <v>1.0634975261659101</v>
      </c>
      <c r="F830" s="1378">
        <v>1.012474212995</v>
      </c>
      <c r="G830" s="1378"/>
      <c r="H830" s="1378"/>
      <c r="N830" s="532"/>
      <c r="O830" s="532"/>
      <c r="P830" s="532"/>
      <c r="R830" s="2000"/>
      <c r="S830" s="2000"/>
      <c r="T830" s="2000"/>
    </row>
    <row r="831" spans="1:20">
      <c r="A831" s="1378" t="s">
        <v>4616</v>
      </c>
      <c r="B831" s="2184">
        <v>0.28523982209966697</v>
      </c>
      <c r="C831" s="2184">
        <v>0.26797569119475001</v>
      </c>
      <c r="D831" s="1378">
        <v>0.25613903972938301</v>
      </c>
      <c r="E831" s="1378">
        <v>0.24839993252023901</v>
      </c>
      <c r="F831" s="1378">
        <v>0.23833271349699001</v>
      </c>
      <c r="G831" s="1378"/>
      <c r="H831" s="1378"/>
      <c r="N831" s="532"/>
      <c r="O831" s="532"/>
      <c r="P831" s="532"/>
      <c r="R831" s="2000"/>
      <c r="S831" s="2000"/>
      <c r="T831" s="2000"/>
    </row>
    <row r="832" spans="1:20">
      <c r="A832" s="1378" t="s">
        <v>4617</v>
      </c>
      <c r="B832" s="2184">
        <v>0.34908636493711798</v>
      </c>
      <c r="C832" s="2184">
        <v>0.32990132710602699</v>
      </c>
      <c r="D832" s="1378">
        <v>0.314260846655041</v>
      </c>
      <c r="E832" s="1378">
        <v>0.30283866034284102</v>
      </c>
      <c r="F832" s="1378">
        <v>0.28965652254583502</v>
      </c>
      <c r="G832" s="1378"/>
      <c r="H832" s="1378"/>
      <c r="N832" s="532"/>
      <c r="O832" s="532"/>
      <c r="P832" s="532"/>
      <c r="R832" s="2000"/>
      <c r="S832" s="2000"/>
      <c r="T832" s="2000"/>
    </row>
    <row r="833" spans="1:20">
      <c r="A833" s="1378" t="s">
        <v>4618</v>
      </c>
      <c r="B833" s="2184">
        <v>0.41101200084839601</v>
      </c>
      <c r="C833" s="2184">
        <v>0.38802313403168598</v>
      </c>
      <c r="D833" s="1378">
        <v>0.36869957447764401</v>
      </c>
      <c r="E833" s="1378">
        <v>0.354162469391686</v>
      </c>
      <c r="F833" s="1378">
        <v>0.33857539113233198</v>
      </c>
      <c r="G833" s="1378"/>
      <c r="H833" s="1378"/>
      <c r="N833" s="532"/>
      <c r="O833" s="532"/>
      <c r="P833" s="532"/>
      <c r="R833" s="2000"/>
      <c r="S833" s="2000"/>
      <c r="T833" s="2000"/>
    </row>
    <row r="834" spans="1:20">
      <c r="A834" s="1378" t="s">
        <v>4619</v>
      </c>
      <c r="B834" s="2184">
        <v>0.469133807774054</v>
      </c>
      <c r="C834" s="2184">
        <v>0.44246186185428799</v>
      </c>
      <c r="D834" s="1378">
        <v>0.42002338352648899</v>
      </c>
      <c r="E834" s="1378">
        <v>0.40308133797818302</v>
      </c>
      <c r="F834" s="1378">
        <v>0.38478028930264502</v>
      </c>
      <c r="G834" s="1378"/>
      <c r="H834" s="1378"/>
      <c r="N834" s="532"/>
      <c r="O834" s="532"/>
      <c r="P834" s="532"/>
      <c r="R834" s="2000"/>
      <c r="S834" s="2000"/>
      <c r="T834" s="2000"/>
    </row>
    <row r="835" spans="1:20">
      <c r="A835" s="1378" t="s">
        <v>4620</v>
      </c>
      <c r="B835" s="2184">
        <v>0.52357253559665695</v>
      </c>
      <c r="C835" s="2184">
        <v>0.49378567090313302</v>
      </c>
      <c r="D835" s="1378">
        <v>0.46894225211298601</v>
      </c>
      <c r="E835" s="1378">
        <v>0.449286236148496</v>
      </c>
      <c r="F835" s="1378">
        <v>0.42896561395806498</v>
      </c>
      <c r="G835" s="1378"/>
      <c r="H835" s="1378"/>
      <c r="N835" s="532"/>
      <c r="O835" s="532"/>
      <c r="P835" s="532"/>
      <c r="R835" s="2000"/>
      <c r="S835" s="2000"/>
      <c r="T835" s="2000"/>
    </row>
    <row r="836" spans="1:20">
      <c r="A836" s="1378" t="s">
        <v>4621</v>
      </c>
      <c r="B836" s="2184">
        <v>0.57489634464550199</v>
      </c>
      <c r="C836" s="2184">
        <v>0.54270453948963004</v>
      </c>
      <c r="D836" s="1378">
        <v>0.51514715028329905</v>
      </c>
      <c r="E836" s="1378">
        <v>0.49347156080391702</v>
      </c>
      <c r="F836" s="1378">
        <v>0.47120257267651</v>
      </c>
      <c r="G836" s="1378"/>
      <c r="H836" s="1378"/>
      <c r="N836" s="532"/>
      <c r="O836" s="532"/>
      <c r="P836" s="532"/>
      <c r="R836" s="2000"/>
      <c r="S836" s="2000"/>
      <c r="T836" s="2000"/>
    </row>
    <row r="837" spans="1:20">
      <c r="A837" s="1378" t="s">
        <v>4622</v>
      </c>
      <c r="B837" s="2184">
        <v>6.4962245082860637E-2</v>
      </c>
      <c r="C837" s="2184">
        <v>6.0791919411248951E-2</v>
      </c>
      <c r="D837" s="1378">
        <v>5.4785939919542198E-2</v>
      </c>
      <c r="E837" s="1378">
        <v>4.8280196016662391E-2</v>
      </c>
      <c r="F837" s="1378">
        <v>4.7560001474548363E-2</v>
      </c>
      <c r="G837" s="1378"/>
      <c r="H837" s="1378"/>
      <c r="N837" s="532"/>
      <c r="O837" s="532"/>
      <c r="P837" s="532"/>
      <c r="R837" s="2000"/>
      <c r="S837" s="2000"/>
      <c r="T837" s="2000"/>
    </row>
    <row r="838" spans="1:20">
      <c r="A838" s="1378" t="s">
        <v>4623</v>
      </c>
      <c r="B838" s="2184">
        <v>0.49129488714507408</v>
      </c>
      <c r="C838" s="2184">
        <v>0.46244830644501866</v>
      </c>
      <c r="D838" s="1378">
        <v>0.43569912055367643</v>
      </c>
      <c r="E838" s="1378">
        <v>0.41347964851567742</v>
      </c>
      <c r="F838" s="1378">
        <v>0.39633863198940866</v>
      </c>
      <c r="G838" s="1378"/>
      <c r="H838" s="1378"/>
      <c r="N838" s="532"/>
      <c r="O838" s="532"/>
      <c r="P838" s="532"/>
      <c r="R838" s="2000"/>
      <c r="S838" s="2000"/>
      <c r="T838" s="2000"/>
    </row>
    <row r="839" spans="1:20">
      <c r="A839" s="1378" t="s">
        <v>4624</v>
      </c>
      <c r="B839" s="2184">
        <v>0.5274105515278793</v>
      </c>
      <c r="C839" s="2184">
        <v>0.4964910399649255</v>
      </c>
      <c r="D839" s="1378">
        <v>0.46826558843521987</v>
      </c>
      <c r="E839" s="1378">
        <v>0.44461882800607094</v>
      </c>
      <c r="F839" s="1378">
        <v>0.42589104411324991</v>
      </c>
      <c r="G839" s="1378"/>
      <c r="H839" s="1378"/>
      <c r="N839" s="532"/>
      <c r="O839" s="532"/>
      <c r="P839" s="532"/>
      <c r="R839" s="2000"/>
      <c r="S839" s="2000"/>
      <c r="T839" s="2000"/>
    </row>
    <row r="840" spans="1:20">
      <c r="A840" s="1378" t="s">
        <v>4625</v>
      </c>
      <c r="B840" s="2184">
        <v>0.56145328504778591</v>
      </c>
      <c r="C840" s="2184">
        <v>0.52905750784646866</v>
      </c>
      <c r="D840" s="1378">
        <v>0.49940476792561339</v>
      </c>
      <c r="E840" s="1378">
        <v>0.47417124012991219</v>
      </c>
      <c r="F840" s="1378">
        <v>0.45414820540298412</v>
      </c>
      <c r="G840" s="1378"/>
      <c r="H840" s="1378"/>
      <c r="N840" s="532"/>
      <c r="O840" s="532"/>
      <c r="P840" s="532"/>
      <c r="R840" s="2000"/>
      <c r="S840" s="2000"/>
      <c r="T840" s="2000"/>
    </row>
    <row r="841" spans="1:20">
      <c r="A841" s="1378" t="s">
        <v>4626</v>
      </c>
      <c r="B841" s="2184">
        <v>0.59401975292932918</v>
      </c>
      <c r="C841" s="2184">
        <v>0.56019668733686212</v>
      </c>
      <c r="D841" s="1378">
        <v>0.52895718004945458</v>
      </c>
      <c r="E841" s="1378">
        <v>0.5024284014196464</v>
      </c>
      <c r="F841" s="1378">
        <v>0.48116690969025266</v>
      </c>
      <c r="G841" s="1378"/>
      <c r="H841" s="1378"/>
      <c r="N841" s="532"/>
      <c r="O841" s="532"/>
      <c r="P841" s="532"/>
      <c r="R841" s="2000"/>
      <c r="S841" s="2000"/>
      <c r="T841" s="2000"/>
    </row>
    <row r="842" spans="1:20">
      <c r="A842" s="1378" t="s">
        <v>4627</v>
      </c>
      <c r="B842" s="2184">
        <v>0.62515893241972287</v>
      </c>
      <c r="C842" s="2184">
        <v>0.58974909946070342</v>
      </c>
      <c r="D842" s="1378">
        <v>0.55721434133918868</v>
      </c>
      <c r="E842" s="1378">
        <v>0.52944710570691511</v>
      </c>
      <c r="F842" s="1378">
        <v>0.50700145942967911</v>
      </c>
      <c r="G842" s="1378"/>
      <c r="H842" s="1378"/>
      <c r="N842" s="532"/>
      <c r="O842" s="532"/>
      <c r="P842" s="532"/>
      <c r="R842" s="2000"/>
      <c r="S842" s="2000"/>
      <c r="T842" s="2000"/>
    </row>
    <row r="843" spans="1:20">
      <c r="A843" s="1378" t="s">
        <v>4628</v>
      </c>
      <c r="B843" s="2184">
        <v>0.65471134454356417</v>
      </c>
      <c r="C843" s="2184">
        <v>0.61800626075043752</v>
      </c>
      <c r="D843" s="1378">
        <v>0.58423304562645739</v>
      </c>
      <c r="E843" s="1378">
        <v>0.55528165544634167</v>
      </c>
      <c r="F843" s="1378">
        <v>0.53170377503742439</v>
      </c>
      <c r="G843" s="1378"/>
      <c r="H843" s="1378"/>
      <c r="N843" s="532"/>
      <c r="O843" s="532"/>
      <c r="P843" s="532"/>
      <c r="R843" s="2000"/>
      <c r="S843" s="2000"/>
      <c r="T843" s="2000"/>
    </row>
    <row r="844" spans="1:20">
      <c r="A844" s="1378" t="s">
        <v>4629</v>
      </c>
      <c r="B844" s="2184">
        <v>0.68296850583329827</v>
      </c>
      <c r="C844" s="2184">
        <v>0.64502496503770634</v>
      </c>
      <c r="D844" s="1378">
        <v>0.61006759536588395</v>
      </c>
      <c r="E844" s="1378">
        <v>0.57998397105408694</v>
      </c>
      <c r="F844" s="1378">
        <v>0.55532349942900971</v>
      </c>
      <c r="G844" s="1378"/>
      <c r="H844" s="1378"/>
      <c r="N844" s="532"/>
      <c r="O844" s="532"/>
      <c r="P844" s="532"/>
      <c r="R844" s="2000"/>
      <c r="S844" s="2000"/>
      <c r="T844" s="2000"/>
    </row>
    <row r="845" spans="1:20">
      <c r="A845" s="1378" t="s">
        <v>4630</v>
      </c>
      <c r="B845" s="2184">
        <v>0.70998721012056676</v>
      </c>
      <c r="C845" s="2184">
        <v>0.67085951477713268</v>
      </c>
      <c r="D845" s="1378">
        <v>0.63476991097362911</v>
      </c>
      <c r="E845" s="1378">
        <v>0.60360369544567205</v>
      </c>
      <c r="F845" s="1378">
        <v>0.57794728400719919</v>
      </c>
      <c r="G845" s="1378"/>
      <c r="H845" s="1378"/>
      <c r="N845" s="532"/>
      <c r="O845" s="532"/>
      <c r="P845" s="532"/>
      <c r="R845" s="2000"/>
      <c r="S845" s="2000"/>
      <c r="T845" s="2000"/>
    </row>
    <row r="846" spans="1:20">
      <c r="A846" s="1378" t="s">
        <v>4631</v>
      </c>
      <c r="B846" s="2184">
        <v>0.73582175985999332</v>
      </c>
      <c r="C846" s="2184">
        <v>0.69556183038487795</v>
      </c>
      <c r="D846" s="1378">
        <v>0.65838963536521411</v>
      </c>
      <c r="E846" s="1378">
        <v>0.62622748002386164</v>
      </c>
      <c r="F846" s="1378">
        <v>0.59957954391830837</v>
      </c>
      <c r="G846" s="1378"/>
      <c r="H846" s="1378"/>
      <c r="N846" s="532"/>
      <c r="O846" s="532"/>
      <c r="P846" s="532"/>
      <c r="R846" s="2000"/>
      <c r="S846" s="2000"/>
      <c r="T846" s="2000"/>
    </row>
    <row r="847" spans="1:20">
      <c r="A847" s="1378" t="s">
        <v>4632</v>
      </c>
      <c r="B847" s="2184">
        <v>0.7605240754677387</v>
      </c>
      <c r="C847" s="2184">
        <v>0.71918155477646328</v>
      </c>
      <c r="D847" s="1378">
        <v>0.68101341994340381</v>
      </c>
      <c r="E847" s="1378">
        <v>0.64785973993497081</v>
      </c>
      <c r="F847" s="1378">
        <v>0.62026375295749547</v>
      </c>
      <c r="G847" s="1378"/>
      <c r="H847" s="1378"/>
      <c r="N847" s="532"/>
      <c r="O847" s="532"/>
      <c r="P847" s="532"/>
      <c r="R847" s="2000"/>
      <c r="S847" s="2000"/>
      <c r="T847" s="2000"/>
    </row>
    <row r="848" spans="1:20">
      <c r="A848" s="1378" t="s">
        <v>4633</v>
      </c>
      <c r="B848" s="2184">
        <v>0.12575416449410959</v>
      </c>
      <c r="C848" s="2184">
        <v>0.11557785933079115</v>
      </c>
      <c r="D848" s="1378">
        <v>0.1030661359362046</v>
      </c>
      <c r="E848" s="1378">
        <v>9.5840197491210768E-2</v>
      </c>
      <c r="F848" s="1378">
        <v>9.4970440994153471E-2</v>
      </c>
      <c r="G848" s="1378"/>
      <c r="H848" s="1378"/>
      <c r="N848" s="532"/>
      <c r="O848" s="532"/>
      <c r="P848" s="532"/>
      <c r="R848" s="2000"/>
      <c r="S848" s="2000"/>
      <c r="T848" s="2000"/>
    </row>
    <row r="849" spans="1:20">
      <c r="A849" s="1378" t="s">
        <v>4634</v>
      </c>
      <c r="B849" s="2184">
        <v>0.78414379985932381</v>
      </c>
      <c r="C849" s="2184">
        <v>0.74180533935465287</v>
      </c>
      <c r="D849" s="1378">
        <v>0.70264567985451287</v>
      </c>
      <c r="E849" s="1378">
        <v>0.66854394897415803</v>
      </c>
      <c r="F849" s="1378">
        <v>0.64004147795804633</v>
      </c>
      <c r="G849" s="1378"/>
      <c r="H849" s="1378"/>
      <c r="N849" s="532"/>
      <c r="O849" s="532"/>
      <c r="P849" s="532"/>
      <c r="R849" s="2000"/>
      <c r="S849" s="2000"/>
      <c r="T849" s="2000"/>
    </row>
    <row r="850" spans="1:20">
      <c r="A850" s="1378" t="s">
        <v>4635</v>
      </c>
      <c r="B850" s="2184">
        <v>0.80676758443751329</v>
      </c>
      <c r="C850" s="2184">
        <v>0.76343759926576193</v>
      </c>
      <c r="D850" s="1378">
        <v>0.72332988889370009</v>
      </c>
      <c r="E850" s="1378">
        <v>0.68832167397470878</v>
      </c>
      <c r="F850" s="1378">
        <v>0.6589524624771198</v>
      </c>
      <c r="G850" s="1378"/>
      <c r="H850" s="1378"/>
      <c r="N850" s="532"/>
      <c r="O850" s="532"/>
      <c r="P850" s="532"/>
      <c r="R850" s="2000"/>
      <c r="S850" s="2000"/>
      <c r="T850" s="2000"/>
    </row>
    <row r="851" spans="1:20">
      <c r="A851" s="1378" t="s">
        <v>4636</v>
      </c>
      <c r="B851" s="2184">
        <v>0.82839984434862246</v>
      </c>
      <c r="C851" s="2184">
        <v>0.78412180830494926</v>
      </c>
      <c r="D851" s="1378">
        <v>0.74310761389425095</v>
      </c>
      <c r="E851" s="1378">
        <v>0.70723265849378214</v>
      </c>
      <c r="F851" s="1378">
        <v>0.676649434701594</v>
      </c>
      <c r="G851" s="1378"/>
      <c r="H851" s="1378"/>
      <c r="N851" s="532"/>
      <c r="O851" s="532"/>
      <c r="P851" s="532"/>
      <c r="R851" s="2000"/>
      <c r="S851" s="2000"/>
      <c r="T851" s="2000"/>
    </row>
    <row r="852" spans="1:20">
      <c r="A852" s="1378" t="s">
        <v>4637</v>
      </c>
      <c r="B852" s="2184">
        <v>0.84908405338780979</v>
      </c>
      <c r="C852" s="2184">
        <v>0.80389953330550001</v>
      </c>
      <c r="D852" s="1378">
        <v>0.76201859841332442</v>
      </c>
      <c r="E852" s="1378">
        <v>0.72492963071825667</v>
      </c>
      <c r="F852" s="1378">
        <v>0.69321032954014394</v>
      </c>
      <c r="G852" s="1378"/>
      <c r="H852" s="1378"/>
      <c r="N852" s="532"/>
      <c r="O852" s="532"/>
      <c r="P852" s="532"/>
      <c r="R852" s="2000"/>
      <c r="S852" s="2000"/>
      <c r="T852" s="2000"/>
    </row>
    <row r="853" spans="1:20">
      <c r="A853" s="1378" t="s">
        <v>4638</v>
      </c>
      <c r="B853" s="2184">
        <v>0.86886177838836065</v>
      </c>
      <c r="C853" s="2184">
        <v>0.82281051782457326</v>
      </c>
      <c r="D853" s="1378">
        <v>0.77971557063779884</v>
      </c>
      <c r="E853" s="1378">
        <v>0.7414905255568065</v>
      </c>
      <c r="F853" s="1378">
        <v>0.7087080787807859</v>
      </c>
      <c r="G853" s="1378"/>
      <c r="H853" s="1378"/>
      <c r="N853" s="532"/>
      <c r="O853" s="532"/>
      <c r="P853" s="532"/>
      <c r="R853" s="2000"/>
      <c r="S853" s="2000"/>
      <c r="T853" s="2000"/>
    </row>
    <row r="854" spans="1:20">
      <c r="A854" s="1378" t="s">
        <v>4639</v>
      </c>
      <c r="B854" s="2184">
        <v>0.88777276290743379</v>
      </c>
      <c r="C854" s="2184">
        <v>0.84050749004904779</v>
      </c>
      <c r="D854" s="1378">
        <v>0.79627646547634867</v>
      </c>
      <c r="E854" s="1378">
        <v>0.75698827479744812</v>
      </c>
      <c r="F854" s="1378">
        <v>0.72321093227193478</v>
      </c>
      <c r="G854" s="1378"/>
      <c r="H854" s="1378"/>
      <c r="N854" s="532"/>
      <c r="O854" s="532"/>
      <c r="P854" s="532"/>
      <c r="R854" s="2000"/>
      <c r="S854" s="2000"/>
      <c r="T854" s="2000"/>
    </row>
    <row r="855" spans="1:20">
      <c r="A855" s="1378" t="s">
        <v>4640</v>
      </c>
      <c r="B855" s="2184">
        <v>0.18054010441365184</v>
      </c>
      <c r="C855" s="2184">
        <v>0.16385805534745354</v>
      </c>
      <c r="D855" s="1378">
        <v>0.15062613741075301</v>
      </c>
      <c r="E855" s="1378">
        <v>0.14325063701081589</v>
      </c>
      <c r="F855" s="1378">
        <v>0.14110118624419701</v>
      </c>
      <c r="G855" s="1378"/>
      <c r="H855" s="1378"/>
      <c r="N855" s="532"/>
      <c r="O855" s="532"/>
      <c r="P855" s="532"/>
      <c r="R855" s="2000"/>
      <c r="S855" s="2000"/>
      <c r="T855" s="2000"/>
    </row>
    <row r="856" spans="1:20">
      <c r="A856" s="1378" t="s">
        <v>4641</v>
      </c>
      <c r="B856" s="2184">
        <v>0.22882030043031415</v>
      </c>
      <c r="C856" s="2184">
        <v>0.2114180568220019</v>
      </c>
      <c r="D856" s="1378">
        <v>0.19803657693035803</v>
      </c>
      <c r="E856" s="1378">
        <v>0.18938138226085943</v>
      </c>
      <c r="F856" s="1378">
        <v>0.1842762644509808</v>
      </c>
      <c r="G856" s="1378"/>
      <c r="H856" s="1378"/>
      <c r="N856" s="532"/>
      <c r="O856" s="532"/>
      <c r="P856" s="532"/>
      <c r="R856" s="2000"/>
      <c r="S856" s="2000"/>
      <c r="T856" s="2000"/>
    </row>
    <row r="857" spans="1:20">
      <c r="A857" s="1378" t="s">
        <v>4642</v>
      </c>
      <c r="B857" s="2184">
        <v>0.27638030190486257</v>
      </c>
      <c r="C857" s="2184">
        <v>0.25882849634160704</v>
      </c>
      <c r="D857" s="1378">
        <v>0.2441673221804016</v>
      </c>
      <c r="E857" s="1378">
        <v>0.23255646046764319</v>
      </c>
      <c r="F857" s="1378">
        <v>0.22457291688111039</v>
      </c>
      <c r="G857" s="1378"/>
      <c r="H857" s="1378"/>
      <c r="N857" s="532"/>
      <c r="O857" s="532"/>
      <c r="P857" s="532"/>
      <c r="R857" s="2000"/>
      <c r="S857" s="2000"/>
      <c r="T857" s="2000"/>
    </row>
    <row r="858" spans="1:20">
      <c r="A858" s="1378" t="s">
        <v>4643</v>
      </c>
      <c r="B858" s="2184">
        <v>0.32379074142446768</v>
      </c>
      <c r="C858" s="2184">
        <v>0.30495924159165061</v>
      </c>
      <c r="D858" s="1378">
        <v>0.28734240038718545</v>
      </c>
      <c r="E858" s="1378">
        <v>0.27285311289777281</v>
      </c>
      <c r="F858" s="1378">
        <v>0.26247458671475993</v>
      </c>
      <c r="G858" s="1378"/>
      <c r="H858" s="1378"/>
      <c r="N858" s="532"/>
      <c r="O858" s="532"/>
      <c r="P858" s="532"/>
      <c r="R858" s="2000"/>
      <c r="S858" s="2000"/>
      <c r="T858" s="2000"/>
    </row>
    <row r="859" spans="1:20">
      <c r="A859" s="1378" t="s">
        <v>4644</v>
      </c>
      <c r="B859" s="2184">
        <v>0.36992148667451119</v>
      </c>
      <c r="C859" s="2184">
        <v>0.34813431979843429</v>
      </c>
      <c r="D859" s="1378">
        <v>0.32763905281731504</v>
      </c>
      <c r="E859" s="1378">
        <v>0.31075478273142243</v>
      </c>
      <c r="F859" s="1378">
        <v>0.29859025109756515</v>
      </c>
      <c r="G859" s="1378"/>
      <c r="H859" s="1378"/>
      <c r="N859" s="532"/>
      <c r="O859" s="532"/>
      <c r="P859" s="532"/>
      <c r="R859" s="2000"/>
      <c r="S859" s="2000"/>
      <c r="T859" s="2000"/>
    </row>
    <row r="860" spans="1:20">
      <c r="A860" s="1378" t="s">
        <v>4645</v>
      </c>
      <c r="B860" s="2184">
        <v>0.41309656488129504</v>
      </c>
      <c r="C860" s="2184">
        <v>0.38843097222856393</v>
      </c>
      <c r="D860" s="1378">
        <v>0.36554072265096449</v>
      </c>
      <c r="E860" s="1378">
        <v>0.3468704471142276</v>
      </c>
      <c r="F860" s="1378">
        <v>0.33263298461747182</v>
      </c>
      <c r="G860" s="1378"/>
      <c r="H860" s="1378"/>
      <c r="N860" s="532"/>
      <c r="O860" s="532"/>
      <c r="P860" s="532"/>
      <c r="R860" s="2000"/>
      <c r="S860" s="2000"/>
      <c r="T860" s="2000"/>
    </row>
    <row r="861" spans="1:20">
      <c r="A861" s="1378" t="s">
        <v>4646</v>
      </c>
      <c r="B861" s="2184">
        <v>0.45339321731142468</v>
      </c>
      <c r="C861" s="2184">
        <v>0.4263326420622135</v>
      </c>
      <c r="D861" s="1378">
        <v>0.40165638703376982</v>
      </c>
      <c r="E861" s="1378">
        <v>0.38091318063413426</v>
      </c>
      <c r="F861" s="1378">
        <v>0.36519945249901514</v>
      </c>
      <c r="G861" s="1378"/>
      <c r="H861" s="1378"/>
      <c r="N861" s="532"/>
      <c r="O861" s="532"/>
      <c r="P861" s="532"/>
      <c r="R861" s="2000"/>
      <c r="S861" s="2000"/>
      <c r="T861" s="2000"/>
    </row>
    <row r="862" spans="1:20">
      <c r="A862" s="1378" t="s">
        <v>4647</v>
      </c>
      <c r="B862" s="2184">
        <v>1.8785250490000001</v>
      </c>
      <c r="C862" s="2184">
        <v>1.781236</v>
      </c>
      <c r="D862" s="1378">
        <v>1.6901919999999999</v>
      </c>
      <c r="E862" s="1378">
        <v>1.606428</v>
      </c>
      <c r="F862" s="1378">
        <v>1.5305500000000001</v>
      </c>
      <c r="G862" s="1378"/>
      <c r="H862" s="1378"/>
      <c r="J862" s="52" t="s">
        <v>4648</v>
      </c>
      <c r="N862" s="532"/>
      <c r="O862" s="532"/>
      <c r="P862" s="532"/>
      <c r="R862" s="2000"/>
      <c r="S862" s="2000"/>
      <c r="T862" s="2000"/>
    </row>
    <row r="863" spans="1:20">
      <c r="A863" s="1378" t="s">
        <v>4649</v>
      </c>
      <c r="B863" s="2184">
        <v>0.28420348301981402</v>
      </c>
      <c r="C863" s="2184">
        <v>0.26633522026566564</v>
      </c>
      <c r="D863" s="1378">
        <v>0.25138316126971699</v>
      </c>
      <c r="E863" s="1378">
        <v>0.23943995340434968</v>
      </c>
      <c r="F863" s="1378">
        <v>0.23107549827875368</v>
      </c>
      <c r="G863" s="1378"/>
      <c r="H863" s="1378"/>
      <c r="J863" s="52" t="s">
        <v>4650</v>
      </c>
      <c r="N863" s="532"/>
      <c r="O863" s="532"/>
      <c r="P863" s="532"/>
      <c r="R863" s="2000"/>
      <c r="S863" s="2000"/>
      <c r="T863" s="2000"/>
    </row>
    <row r="864" spans="1:20">
      <c r="A864" s="1378" t="s">
        <v>4651</v>
      </c>
      <c r="B864" s="2184">
        <v>0.36991476845002147</v>
      </c>
      <c r="C864" s="2184">
        <v>0.35036541512494856</v>
      </c>
      <c r="D864" s="1378">
        <v>0.33259284998388822</v>
      </c>
      <c r="E864" s="1378">
        <v>0.31656753272576654</v>
      </c>
      <c r="F864" s="1378">
        <v>0.30186249618441874</v>
      </c>
      <c r="G864" s="1378"/>
      <c r="H864" s="1378"/>
      <c r="J864" s="52" t="s">
        <v>4650</v>
      </c>
      <c r="N864" s="532"/>
      <c r="O864" s="532"/>
      <c r="P864" s="532"/>
      <c r="R864" s="2000"/>
      <c r="S864" s="2000"/>
      <c r="T864" s="2000"/>
    </row>
    <row r="865" spans="1:20">
      <c r="A865" s="1378" t="s">
        <v>4652</v>
      </c>
      <c r="B865" s="2184">
        <v>1.1826869552215735</v>
      </c>
      <c r="C865" s="2184">
        <v>1.1262784315524945</v>
      </c>
      <c r="D865" s="1378">
        <v>1.071534634245277</v>
      </c>
      <c r="E865" s="1378">
        <v>1.0205005802138556</v>
      </c>
      <c r="F865" s="1378">
        <v>0.97296287285182959</v>
      </c>
      <c r="G865" s="1378"/>
      <c r="H865" s="1378"/>
      <c r="J865" s="52" t="s">
        <v>4650</v>
      </c>
      <c r="N865" s="532"/>
      <c r="O865" s="532"/>
      <c r="P865" s="532"/>
      <c r="R865" s="2000"/>
      <c r="S865" s="2000"/>
      <c r="T865" s="2000"/>
    </row>
    <row r="866" spans="1:20">
      <c r="A866" s="1378" t="s">
        <v>4653</v>
      </c>
      <c r="B866" s="2184">
        <v>0.31094162001450337</v>
      </c>
      <c r="C866" s="2184">
        <v>0.29476254628274834</v>
      </c>
      <c r="D866" s="1378">
        <v>0.2784235253284395</v>
      </c>
      <c r="E866" s="1378">
        <v>0.26377120123957465</v>
      </c>
      <c r="F866" s="1378">
        <v>0.25080170640977967</v>
      </c>
      <c r="G866" s="1378"/>
      <c r="H866" s="1378"/>
      <c r="J866" s="52" t="s">
        <v>4650</v>
      </c>
      <c r="N866" s="532"/>
      <c r="O866" s="532"/>
      <c r="P866" s="532"/>
      <c r="R866" s="2000"/>
      <c r="S866" s="2000"/>
      <c r="T866" s="2000"/>
    </row>
  </sheetData>
  <autoFilter ref="A3:G865" xr:uid="{00000000-0009-0000-0000-00000D000000}"/>
  <conditionalFormatting sqref="A2:A863">
    <cfRule type="containsText" dxfId="0" priority="3" operator="containsText" text="ER2">
      <formula>NOT(ISERROR(SEARCH("ER2",A2)))</formula>
    </cfRule>
  </conditionalFormatting>
  <conditionalFormatting sqref="N301:P301">
    <cfRule type="colorScale" priority="4">
      <colorScale>
        <cfvo type="min"/>
        <cfvo type="percentile" val="50"/>
        <cfvo type="max"/>
        <color rgb="FF63BE7B"/>
        <color rgb="FFFCFCFF"/>
        <color rgb="FFF8696B"/>
      </colorScale>
    </cfRule>
  </conditionalFormatting>
  <conditionalFormatting sqref="N302:P438 N4:P300 N440:P866">
    <cfRule type="colorScale" priority="8">
      <colorScale>
        <cfvo type="min"/>
        <cfvo type="percentile" val="50"/>
        <cfvo type="max"/>
        <color rgb="FF63BE7B"/>
        <color rgb="FFFCFCFF"/>
        <color rgb="FFF8696B"/>
      </colorScale>
    </cfRule>
  </conditionalFormatting>
  <conditionalFormatting sqref="N439:P439">
    <cfRule type="colorScale" priority="1">
      <colorScale>
        <cfvo type="min"/>
        <cfvo type="percentile" val="50"/>
        <cfvo type="max"/>
        <color rgb="FF63BE7B"/>
        <color rgb="FFFCFCFF"/>
        <color rgb="FFF8696B"/>
      </colorScale>
    </cfRule>
  </conditionalFormatting>
  <conditionalFormatting sqref="R2:T300 R302:T438 R440:T866">
    <cfRule type="colorScale" priority="9">
      <colorScale>
        <cfvo type="min"/>
        <cfvo type="max"/>
        <color rgb="FFFCFCFF"/>
        <color rgb="FFF8696B"/>
      </colorScale>
    </cfRule>
  </conditionalFormatting>
  <conditionalFormatting sqref="R301:T301">
    <cfRule type="colorScale" priority="5">
      <colorScale>
        <cfvo type="min"/>
        <cfvo type="max"/>
        <color rgb="FFFCFCFF"/>
        <color rgb="FFF8696B"/>
      </colorScale>
    </cfRule>
  </conditionalFormatting>
  <conditionalFormatting sqref="R439:T439">
    <cfRule type="colorScale" priority="2">
      <colorScale>
        <cfvo type="min"/>
        <cfvo type="max"/>
        <color rgb="FFFCFCFF"/>
        <color rgb="FFF8696B"/>
      </colorScale>
    </cfRule>
  </conditionalFormatting>
  <pageMargins left="0.7" right="0.7" top="0.75" bottom="0.75" header="0.3" footer="0.3"/>
  <pageSetup scale="27" fitToHeight="0"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tabColor theme="1"/>
    <pageSetUpPr fitToPage="1"/>
  </sheetPr>
  <dimension ref="A1:AF38"/>
  <sheetViews>
    <sheetView zoomScale="70" zoomScaleNormal="70" workbookViewId="0">
      <selection sqref="A1:H1"/>
    </sheetView>
  </sheetViews>
  <sheetFormatPr defaultRowHeight="15"/>
  <cols>
    <col min="1" max="1" width="20.28515625" bestFit="1" customWidth="1"/>
    <col min="2" max="2" width="27.28515625" style="452" customWidth="1"/>
    <col min="7" max="7" width="15.42578125" customWidth="1"/>
    <col min="8" max="8" width="15" bestFit="1" customWidth="1"/>
    <col min="9" max="9" width="21" customWidth="1"/>
    <col min="15" max="15" width="15.28515625" bestFit="1" customWidth="1"/>
  </cols>
  <sheetData>
    <row r="1" spans="1:32">
      <c r="A1" s="3978"/>
      <c r="B1" s="3978"/>
      <c r="C1" s="3978"/>
      <c r="D1" s="3978"/>
      <c r="E1" s="3978"/>
      <c r="F1" s="3978"/>
      <c r="G1" s="3978"/>
      <c r="H1" s="3978"/>
      <c r="J1" s="43"/>
      <c r="AF1" s="447"/>
    </row>
    <row r="2" spans="1:32">
      <c r="A2" s="448" t="s">
        <v>4654</v>
      </c>
      <c r="B2" s="449"/>
    </row>
    <row r="3" spans="1:32">
      <c r="A3" s="450" t="s">
        <v>4655</v>
      </c>
      <c r="B3" s="1244">
        <v>1.148238E-4</v>
      </c>
    </row>
    <row r="4" spans="1:32">
      <c r="A4" s="450" t="s">
        <v>1380</v>
      </c>
      <c r="B4" s="1244">
        <v>4.6608050000000002E-4</v>
      </c>
    </row>
    <row r="5" spans="1:32">
      <c r="A5" s="450" t="s">
        <v>4656</v>
      </c>
      <c r="B5" s="1244">
        <v>1.3539039999999999E-4</v>
      </c>
    </row>
    <row r="6" spans="1:32">
      <c r="A6" s="450" t="s">
        <v>4657</v>
      </c>
      <c r="B6" s="1244">
        <v>1.1954749999999999E-4</v>
      </c>
    </row>
    <row r="7" spans="1:32">
      <c r="A7" s="450" t="s">
        <v>4658</v>
      </c>
      <c r="B7" s="1244">
        <v>1.4008870000000001E-4</v>
      </c>
    </row>
    <row r="8" spans="1:32">
      <c r="A8" s="450" t="s">
        <v>4659</v>
      </c>
      <c r="B8" s="1244">
        <v>2.053256E-4</v>
      </c>
    </row>
    <row r="9" spans="1:32">
      <c r="A9" s="450" t="s">
        <v>1045</v>
      </c>
      <c r="B9" s="1244">
        <v>9.4741810000000004E-4</v>
      </c>
    </row>
    <row r="10" spans="1:32">
      <c r="A10" s="450" t="s">
        <v>1786</v>
      </c>
      <c r="B10" s="1244">
        <v>9.4741810000000004E-4</v>
      </c>
    </row>
    <row r="11" spans="1:32">
      <c r="A11" s="450" t="s">
        <v>4660</v>
      </c>
      <c r="B11" s="1244">
        <v>8.4921199999999996E-5</v>
      </c>
    </row>
    <row r="12" spans="1:32">
      <c r="A12" s="450" t="s">
        <v>4661</v>
      </c>
      <c r="B12" s="1244">
        <v>1.6857220000000001E-4</v>
      </c>
    </row>
    <row r="13" spans="1:32">
      <c r="A13" s="450" t="s">
        <v>4662</v>
      </c>
      <c r="B13" s="1244">
        <v>1.6857220000000001E-4</v>
      </c>
    </row>
    <row r="14" spans="1:32">
      <c r="A14" s="450" t="s">
        <v>1046</v>
      </c>
      <c r="B14" s="1244">
        <v>0</v>
      </c>
    </row>
    <row r="15" spans="1:32">
      <c r="A15" s="450" t="s">
        <v>1967</v>
      </c>
      <c r="B15" s="1244">
        <v>0</v>
      </c>
    </row>
    <row r="16" spans="1:32">
      <c r="A16" s="450" t="s">
        <v>1205</v>
      </c>
      <c r="B16" s="1244">
        <v>4.6608050000000002E-4</v>
      </c>
    </row>
    <row r="17" spans="1:2">
      <c r="A17" s="450" t="s">
        <v>4663</v>
      </c>
      <c r="B17" s="1244">
        <v>4.6608050000000002E-4</v>
      </c>
    </row>
    <row r="18" spans="1:2">
      <c r="A18" s="450" t="s">
        <v>1414</v>
      </c>
      <c r="B18" s="1287">
        <v>1.4925290000000001E-4</v>
      </c>
    </row>
    <row r="19" spans="1:2">
      <c r="A19" s="450" t="s">
        <v>1172</v>
      </c>
      <c r="B19" s="1287">
        <v>1.148238E-4</v>
      </c>
    </row>
    <row r="20" spans="1:2">
      <c r="A20" s="450" t="s">
        <v>1141</v>
      </c>
      <c r="B20" s="1287">
        <v>2.3544589999999999E-4</v>
      </c>
    </row>
    <row r="21" spans="1:2">
      <c r="A21" s="450" t="s">
        <v>3332</v>
      </c>
      <c r="B21" s="1287">
        <f>'End-Use Shapes Factors  2025+'!K21</f>
        <v>1.2852529999999999E-4</v>
      </c>
    </row>
    <row r="22" spans="1:2">
      <c r="A22" s="450" t="s">
        <v>3334</v>
      </c>
      <c r="B22" s="1287">
        <v>1.2852529999999999E-4</v>
      </c>
    </row>
    <row r="23" spans="1:2">
      <c r="A23" s="450" t="s">
        <v>961</v>
      </c>
      <c r="B23" s="1287">
        <v>8.8731800000000003E-5</v>
      </c>
    </row>
    <row r="24" spans="1:2">
      <c r="B24" s="1245"/>
    </row>
    <row r="25" spans="1:2">
      <c r="A25" s="451" t="s">
        <v>4664</v>
      </c>
      <c r="B25" s="1246"/>
    </row>
    <row r="26" spans="1:2">
      <c r="A26" s="71" t="s">
        <v>682</v>
      </c>
      <c r="B26" s="1247">
        <v>1.379439E-4</v>
      </c>
    </row>
    <row r="27" spans="1:2">
      <c r="A27" s="71" t="s">
        <v>4665</v>
      </c>
      <c r="B27" s="1247">
        <v>4.4398300000000001E-4</v>
      </c>
    </row>
    <row r="28" spans="1:2">
      <c r="A28" s="71" t="s">
        <v>407</v>
      </c>
      <c r="B28" s="1247">
        <v>1.998949E-4</v>
      </c>
    </row>
    <row r="29" spans="1:2">
      <c r="A29" s="71" t="s">
        <v>459</v>
      </c>
      <c r="B29" s="1247">
        <v>9.1068400000000004E-4</v>
      </c>
    </row>
    <row r="30" spans="1:2">
      <c r="A30" s="71" t="s">
        <v>80</v>
      </c>
      <c r="B30" s="1247">
        <v>5.6160000000000001E-6</v>
      </c>
    </row>
    <row r="31" spans="1:2">
      <c r="A31" s="71" t="s">
        <v>460</v>
      </c>
      <c r="B31" s="1247">
        <v>0</v>
      </c>
    </row>
    <row r="32" spans="1:2">
      <c r="A32" s="71" t="s">
        <v>488</v>
      </c>
      <c r="B32" s="1247">
        <v>4.4398300000000001E-4</v>
      </c>
    </row>
    <row r="33" spans="1:2">
      <c r="A33" s="71" t="s">
        <v>61</v>
      </c>
      <c r="B33" s="1247">
        <v>1.899635E-4</v>
      </c>
    </row>
    <row r="34" spans="1:2">
      <c r="A34" s="71" t="s">
        <v>87</v>
      </c>
      <c r="B34" s="1247">
        <v>1.379439E-4</v>
      </c>
    </row>
    <row r="35" spans="1:2">
      <c r="A35" s="71" t="s">
        <v>385</v>
      </c>
      <c r="B35" s="1247">
        <v>1.379439E-4</v>
      </c>
    </row>
    <row r="36" spans="1:2">
      <c r="A36" s="71" t="s">
        <v>4666</v>
      </c>
      <c r="B36" s="1247">
        <v>1.379439E-4</v>
      </c>
    </row>
    <row r="37" spans="1:2">
      <c r="A37" s="71" t="s">
        <v>235</v>
      </c>
      <c r="B37" s="1247">
        <v>1.3573829999999999E-4</v>
      </c>
    </row>
    <row r="38" spans="1:2">
      <c r="A38" s="71" t="s">
        <v>326</v>
      </c>
      <c r="B38" s="1247">
        <v>1.811545E-4</v>
      </c>
    </row>
  </sheetData>
  <autoFilter ref="A1:A38" xr:uid="{00000000-0001-0000-0E00-000000000000}"/>
  <mergeCells count="1">
    <mergeCell ref="A1:H1"/>
  </mergeCells>
  <pageMargins left="0.7" right="0.7" top="0.75" bottom="0.75" header="0.3" footer="0.3"/>
  <pageSetup scale="79" fitToHeight="0"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9A099-CCDA-4074-BCA0-4A3F37E65AB5}">
  <sheetPr codeName="Sheet2">
    <tabColor theme="1"/>
  </sheetPr>
  <dimension ref="A1:AT22"/>
  <sheetViews>
    <sheetView zoomScaleNormal="100" workbookViewId="0">
      <selection activeCell="G19" sqref="G19"/>
    </sheetView>
  </sheetViews>
  <sheetFormatPr defaultColWidth="0" defaultRowHeight="15" customHeight="1" zeroHeight="1"/>
  <cols>
    <col min="1" max="1" width="3.7109375" customWidth="1"/>
    <col min="2" max="2" width="10.7109375" bestFit="1" customWidth="1"/>
    <col min="3" max="7" width="13.28515625" style="1237" customWidth="1"/>
    <col min="8" max="28" width="13.28515625" style="1238" customWidth="1"/>
    <col min="29" max="29" width="3.7109375" customWidth="1"/>
    <col min="30" max="46" width="0" hidden="1" customWidth="1"/>
    <col min="47" max="16384" width="9.28515625" hidden="1"/>
  </cols>
  <sheetData>
    <row r="1" spans="1:29">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row>
    <row r="2" spans="1:29">
      <c r="A2" s="14"/>
      <c r="B2" s="1202" t="s">
        <v>4667</v>
      </c>
      <c r="C2" s="1202"/>
      <c r="D2" s="1202"/>
      <c r="E2" s="1202"/>
      <c r="F2" s="1202"/>
      <c r="G2" s="1202"/>
      <c r="H2" s="1202"/>
      <c r="I2" s="1202"/>
      <c r="J2" s="1202"/>
      <c r="K2" s="1202"/>
      <c r="L2" s="1202"/>
      <c r="M2" s="14"/>
      <c r="N2" s="14"/>
      <c r="O2" s="1202" t="s">
        <v>4667</v>
      </c>
      <c r="P2" s="1202"/>
      <c r="Q2" s="1202"/>
      <c r="R2" s="1202"/>
      <c r="S2" s="1202"/>
      <c r="T2" s="1202"/>
      <c r="U2" s="1202"/>
      <c r="V2" s="1202"/>
      <c r="W2" s="1202"/>
      <c r="X2" s="1202"/>
      <c r="Y2" s="1202"/>
      <c r="Z2" s="1202"/>
      <c r="AA2" s="1202"/>
      <c r="AB2" s="1202"/>
      <c r="AC2" s="14"/>
    </row>
    <row r="3" spans="1:29" ht="15.75" thickBot="1">
      <c r="A3" s="14"/>
      <c r="B3" s="129"/>
      <c r="C3" s="1203" t="s">
        <v>4668</v>
      </c>
      <c r="D3" s="1203"/>
      <c r="E3" s="1203"/>
      <c r="F3" s="1203"/>
      <c r="G3" s="1203"/>
      <c r="H3" s="1203"/>
      <c r="I3" s="1203"/>
      <c r="J3" s="1203"/>
      <c r="K3" s="1203"/>
      <c r="L3" s="1204"/>
      <c r="M3" s="14"/>
      <c r="N3" s="14"/>
      <c r="O3" s="129"/>
      <c r="P3" s="129"/>
      <c r="Q3" s="1203" t="s">
        <v>4668</v>
      </c>
      <c r="R3" s="1203"/>
      <c r="S3" s="1203"/>
      <c r="T3" s="1203"/>
      <c r="U3" s="1203"/>
      <c r="V3" s="1203"/>
      <c r="W3" s="1203"/>
      <c r="X3" s="1203"/>
      <c r="Y3" s="1203"/>
      <c r="Z3" s="1203"/>
      <c r="AA3" s="1203"/>
      <c r="AB3" s="1203"/>
      <c r="AC3" s="14"/>
    </row>
    <row r="4" spans="1:29" ht="15.75" thickTop="1">
      <c r="A4" s="14"/>
      <c r="B4" s="1205">
        <f>F4</f>
        <v>0</v>
      </c>
      <c r="C4" s="4807" t="s">
        <v>4669</v>
      </c>
      <c r="D4" s="4808"/>
      <c r="E4" s="4808"/>
      <c r="F4" s="4808"/>
      <c r="G4" s="4808"/>
      <c r="H4" s="4808"/>
      <c r="I4" s="4808"/>
      <c r="J4" s="4808"/>
      <c r="K4" s="4808"/>
      <c r="L4" s="4809"/>
      <c r="M4" s="14"/>
      <c r="N4" s="14"/>
      <c r="O4" s="1205"/>
      <c r="P4" s="4810" t="s">
        <v>4670</v>
      </c>
      <c r="Q4" s="4810"/>
      <c r="R4" s="4810"/>
      <c r="S4" s="4810"/>
      <c r="T4" s="4810"/>
      <c r="U4" s="4810"/>
      <c r="V4" s="4810"/>
      <c r="W4" s="4810"/>
      <c r="X4" s="4810"/>
      <c r="Y4" s="4810"/>
      <c r="Z4" s="4810"/>
      <c r="AA4" s="4810"/>
      <c r="AB4" s="4811"/>
      <c r="AC4" s="14"/>
    </row>
    <row r="5" spans="1:29" ht="38.25" customHeight="1" thickBot="1">
      <c r="A5" s="14"/>
      <c r="B5" s="1206" t="s">
        <v>4671</v>
      </c>
      <c r="C5" s="1207" t="s">
        <v>1380</v>
      </c>
      <c r="D5" s="1207" t="s">
        <v>1045</v>
      </c>
      <c r="E5" s="1207" t="s">
        <v>4661</v>
      </c>
      <c r="F5" s="1207" t="s">
        <v>1046</v>
      </c>
      <c r="G5" s="1207" t="s">
        <v>1205</v>
      </c>
      <c r="H5" s="1207" t="s">
        <v>1414</v>
      </c>
      <c r="I5" s="1207" t="s">
        <v>1172</v>
      </c>
      <c r="J5" s="1207" t="s">
        <v>1141</v>
      </c>
      <c r="K5" s="1207" t="s">
        <v>3332</v>
      </c>
      <c r="L5" s="1208" t="s">
        <v>961</v>
      </c>
      <c r="M5" s="14"/>
      <c r="N5" s="14"/>
      <c r="O5" s="1206" t="s">
        <v>4671</v>
      </c>
      <c r="P5" s="1209" t="s">
        <v>682</v>
      </c>
      <c r="Q5" s="1209" t="s">
        <v>4665</v>
      </c>
      <c r="R5" s="1209" t="s">
        <v>407</v>
      </c>
      <c r="S5" s="1209" t="s">
        <v>459</v>
      </c>
      <c r="T5" s="1209" t="s">
        <v>80</v>
      </c>
      <c r="U5" s="1209" t="s">
        <v>460</v>
      </c>
      <c r="V5" s="1209" t="s">
        <v>488</v>
      </c>
      <c r="W5" s="1209" t="s">
        <v>61</v>
      </c>
      <c r="X5" s="1209" t="s">
        <v>87</v>
      </c>
      <c r="Y5" s="1209" t="s">
        <v>385</v>
      </c>
      <c r="Z5" s="1209" t="s">
        <v>4666</v>
      </c>
      <c r="AA5" s="1209" t="s">
        <v>235</v>
      </c>
      <c r="AB5" s="1210" t="s">
        <v>326</v>
      </c>
      <c r="AC5" s="14"/>
    </row>
    <row r="6" spans="1:29">
      <c r="A6" s="14"/>
      <c r="B6" s="1211" t="s">
        <v>4672</v>
      </c>
      <c r="C6" s="1212">
        <v>0.11129699999999999</v>
      </c>
      <c r="D6" s="1212">
        <v>1.1999999999999999E-3</v>
      </c>
      <c r="E6" s="1212">
        <v>7.9578999999999997E-2</v>
      </c>
      <c r="F6" s="1212">
        <v>0.21790499999999999</v>
      </c>
      <c r="G6" s="1212">
        <v>0.11129699999999999</v>
      </c>
      <c r="H6" s="1212">
        <v>0.10118199999999999</v>
      </c>
      <c r="I6" s="1212">
        <v>8.4892999999999996E-2</v>
      </c>
      <c r="J6" s="1212">
        <v>8.6451E-2</v>
      </c>
      <c r="K6" s="1212">
        <v>7.7052999999999996E-2</v>
      </c>
      <c r="L6" s="1213">
        <v>0.10352699999999999</v>
      </c>
      <c r="M6" s="14"/>
      <c r="N6" s="14"/>
      <c r="O6" s="1214" t="s">
        <v>4672</v>
      </c>
      <c r="P6" s="1215">
        <v>8.5109000000000004E-2</v>
      </c>
      <c r="Q6" s="1215">
        <v>0.107824</v>
      </c>
      <c r="R6" s="1215">
        <v>8.6096000000000006E-2</v>
      </c>
      <c r="S6" s="1215">
        <v>6.0000000000000002E-6</v>
      </c>
      <c r="T6" s="1215">
        <v>0.106265</v>
      </c>
      <c r="U6" s="1215">
        <v>0.210397</v>
      </c>
      <c r="V6" s="1215">
        <v>0.107824</v>
      </c>
      <c r="W6" s="1215">
        <v>9.3563999999999994E-2</v>
      </c>
      <c r="X6" s="1215">
        <v>8.5109000000000004E-2</v>
      </c>
      <c r="Y6" s="1215">
        <v>8.5109000000000004E-2</v>
      </c>
      <c r="Z6" s="1215">
        <v>8.5109000000000004E-2</v>
      </c>
      <c r="AA6" s="1215">
        <v>8.3486000000000005E-2</v>
      </c>
      <c r="AB6" s="1216">
        <v>0.108255</v>
      </c>
      <c r="AC6" s="14"/>
    </row>
    <row r="7" spans="1:29">
      <c r="A7" s="14"/>
      <c r="B7" s="1217" t="s">
        <v>4673</v>
      </c>
      <c r="C7" s="1218">
        <v>9.3076999999999993E-2</v>
      </c>
      <c r="D7" s="1218">
        <v>1.1000000000000001E-3</v>
      </c>
      <c r="E7" s="1218">
        <v>7.2517999999999999E-2</v>
      </c>
      <c r="F7" s="1218">
        <v>0.18213499999999999</v>
      </c>
      <c r="G7" s="1218">
        <v>9.3076999999999993E-2</v>
      </c>
      <c r="H7" s="1218">
        <v>8.8441000000000006E-2</v>
      </c>
      <c r="I7" s="1218">
        <v>7.7366000000000004E-2</v>
      </c>
      <c r="J7" s="1218">
        <v>7.1145E-2</v>
      </c>
      <c r="K7" s="1218">
        <v>7.2168999999999997E-2</v>
      </c>
      <c r="L7" s="1219">
        <v>9.0719999999999995E-2</v>
      </c>
      <c r="M7" s="14"/>
      <c r="N7" s="14"/>
      <c r="O7" s="1220" t="s">
        <v>4673</v>
      </c>
      <c r="P7" s="1221">
        <v>7.7715000000000006E-2</v>
      </c>
      <c r="Q7" s="1221">
        <v>9.1051999999999994E-2</v>
      </c>
      <c r="R7" s="1221">
        <v>7.8608999999999998E-2</v>
      </c>
      <c r="S7" s="1221">
        <v>2.4699999999999999E-4</v>
      </c>
      <c r="T7" s="1221">
        <v>8.2161999999999999E-2</v>
      </c>
      <c r="U7" s="1221">
        <v>0.17743600000000001</v>
      </c>
      <c r="V7" s="1221">
        <v>9.1051999999999994E-2</v>
      </c>
      <c r="W7" s="1221">
        <v>7.2162000000000004E-2</v>
      </c>
      <c r="X7" s="1221">
        <v>7.7715000000000006E-2</v>
      </c>
      <c r="Y7" s="1221">
        <v>7.7715000000000006E-2</v>
      </c>
      <c r="Z7" s="1221">
        <v>7.7715000000000006E-2</v>
      </c>
      <c r="AA7" s="1221">
        <v>7.6158000000000003E-2</v>
      </c>
      <c r="AB7" s="1222">
        <v>9.1078000000000006E-2</v>
      </c>
      <c r="AC7" s="14"/>
    </row>
    <row r="8" spans="1:29">
      <c r="A8" s="14"/>
      <c r="B8" s="1217" t="s">
        <v>4674</v>
      </c>
      <c r="C8" s="1218">
        <v>7.0041999999999993E-2</v>
      </c>
      <c r="D8" s="1218">
        <v>3.13E-3</v>
      </c>
      <c r="E8" s="1218">
        <v>8.1079999999999999E-2</v>
      </c>
      <c r="F8" s="1218">
        <v>0.13483300000000001</v>
      </c>
      <c r="G8" s="1218">
        <v>7.0041999999999993E-2</v>
      </c>
      <c r="H8" s="1218">
        <v>9.2879000000000003E-2</v>
      </c>
      <c r="I8" s="1218">
        <v>8.4862999999999994E-2</v>
      </c>
      <c r="J8" s="1218">
        <v>8.6052000000000003E-2</v>
      </c>
      <c r="K8" s="1218">
        <v>8.0271999999999996E-2</v>
      </c>
      <c r="L8" s="1219">
        <v>9.5543000000000003E-2</v>
      </c>
      <c r="M8" s="14"/>
      <c r="N8" s="14"/>
      <c r="O8" s="1220" t="s">
        <v>4674</v>
      </c>
      <c r="P8" s="1221">
        <v>8.6136000000000004E-2</v>
      </c>
      <c r="Q8" s="1221">
        <v>7.1135000000000004E-2</v>
      </c>
      <c r="R8" s="1221">
        <v>8.1547999999999995E-2</v>
      </c>
      <c r="S8" s="1221">
        <v>7.2360000000000002E-3</v>
      </c>
      <c r="T8" s="1221">
        <v>7.0887000000000006E-2</v>
      </c>
      <c r="U8" s="1221">
        <v>0.13192400000000001</v>
      </c>
      <c r="V8" s="1221">
        <v>7.1135000000000004E-2</v>
      </c>
      <c r="W8" s="1221">
        <v>7.8372999999999998E-2</v>
      </c>
      <c r="X8" s="1221">
        <v>8.6136000000000004E-2</v>
      </c>
      <c r="Y8" s="1221">
        <v>8.6136000000000004E-2</v>
      </c>
      <c r="Z8" s="1221">
        <v>8.6136000000000004E-2</v>
      </c>
      <c r="AA8" s="1221">
        <v>8.3346000000000003E-2</v>
      </c>
      <c r="AB8" s="1222">
        <v>8.5239999999999996E-2</v>
      </c>
      <c r="AC8" s="14"/>
    </row>
    <row r="9" spans="1:29">
      <c r="A9" s="14"/>
      <c r="B9" s="1217" t="s">
        <v>4675</v>
      </c>
      <c r="C9" s="1218">
        <v>3.7116000000000003E-2</v>
      </c>
      <c r="D9" s="1218">
        <v>1.5047E-2</v>
      </c>
      <c r="E9" s="1218">
        <v>7.9918000000000003E-2</v>
      </c>
      <c r="F9" s="1218">
        <v>5.8486000000000003E-2</v>
      </c>
      <c r="G9" s="1218">
        <v>3.7116000000000003E-2</v>
      </c>
      <c r="H9" s="1218">
        <v>8.4644999999999998E-2</v>
      </c>
      <c r="I9" s="1218">
        <v>8.2143999999999995E-2</v>
      </c>
      <c r="J9" s="1218">
        <v>8.0701999999999996E-2</v>
      </c>
      <c r="K9" s="1218">
        <v>7.8752000000000003E-2</v>
      </c>
      <c r="L9" s="1219">
        <v>8.4798999999999999E-2</v>
      </c>
      <c r="M9" s="14"/>
      <c r="N9" s="14"/>
      <c r="O9" s="1220" t="s">
        <v>4675</v>
      </c>
      <c r="P9" s="1221">
        <v>7.9796000000000006E-2</v>
      </c>
      <c r="Q9" s="1221">
        <v>4.1179E-2</v>
      </c>
      <c r="R9" s="1221">
        <v>7.2947999999999999E-2</v>
      </c>
      <c r="S9" s="1221">
        <v>2.1690999999999998E-2</v>
      </c>
      <c r="T9" s="1221">
        <v>6.8145999999999998E-2</v>
      </c>
      <c r="U9" s="1221">
        <v>5.9718E-2</v>
      </c>
      <c r="V9" s="1221">
        <v>4.1179E-2</v>
      </c>
      <c r="W9" s="1221">
        <v>7.6534000000000005E-2</v>
      </c>
      <c r="X9" s="1221">
        <v>7.9796000000000006E-2</v>
      </c>
      <c r="Y9" s="1221">
        <v>7.9796000000000006E-2</v>
      </c>
      <c r="Z9" s="1221">
        <v>7.9796000000000006E-2</v>
      </c>
      <c r="AA9" s="1221">
        <v>8.0782999999999994E-2</v>
      </c>
      <c r="AB9" s="1222">
        <v>7.2980000000000003E-2</v>
      </c>
      <c r="AC9" s="14"/>
    </row>
    <row r="10" spans="1:29">
      <c r="A10" s="14"/>
      <c r="B10" s="1217" t="s">
        <v>4676</v>
      </c>
      <c r="C10" s="1218">
        <v>4.0888000000000001E-2</v>
      </c>
      <c r="D10" s="1218">
        <v>6.5409999999999996E-2</v>
      </c>
      <c r="E10" s="1218">
        <v>8.4083000000000005E-2</v>
      </c>
      <c r="F10" s="1218">
        <v>1.7144E-2</v>
      </c>
      <c r="G10" s="1218">
        <v>4.0888000000000001E-2</v>
      </c>
      <c r="H10" s="1218">
        <v>7.9393000000000005E-2</v>
      </c>
      <c r="I10" s="1218">
        <v>8.4847000000000006E-2</v>
      </c>
      <c r="J10" s="1218">
        <v>8.6052000000000003E-2</v>
      </c>
      <c r="K10" s="1218">
        <v>8.5646E-2</v>
      </c>
      <c r="L10" s="1219">
        <v>8.3599999999999994E-2</v>
      </c>
      <c r="M10" s="14"/>
      <c r="N10" s="14"/>
      <c r="O10" s="1220" t="s">
        <v>4676</v>
      </c>
      <c r="P10" s="1221">
        <v>8.5334999999999994E-2</v>
      </c>
      <c r="Q10" s="1221">
        <v>4.4423999999999998E-2</v>
      </c>
      <c r="R10" s="1221">
        <v>8.6277000000000006E-2</v>
      </c>
      <c r="S10" s="1221">
        <v>6.2979999999999994E-2</v>
      </c>
      <c r="T10" s="1221">
        <v>8.1852999999999995E-2</v>
      </c>
      <c r="U10" s="1221">
        <v>2.6769000000000001E-2</v>
      </c>
      <c r="V10" s="1221">
        <v>4.4423999999999998E-2</v>
      </c>
      <c r="W10" s="1221">
        <v>9.4246999999999997E-2</v>
      </c>
      <c r="X10" s="1221">
        <v>8.5334999999999994E-2</v>
      </c>
      <c r="Y10" s="1221">
        <v>8.5334999999999994E-2</v>
      </c>
      <c r="Z10" s="1221">
        <v>8.5334999999999994E-2</v>
      </c>
      <c r="AA10" s="1221">
        <v>8.5133E-2</v>
      </c>
      <c r="AB10" s="1222">
        <v>7.9849000000000003E-2</v>
      </c>
      <c r="AC10" s="14"/>
    </row>
    <row r="11" spans="1:29">
      <c r="A11" s="14"/>
      <c r="B11" s="1217" t="s">
        <v>4677</v>
      </c>
      <c r="C11" s="1218">
        <v>0.103973</v>
      </c>
      <c r="D11" s="1218">
        <v>0.21082300000000001</v>
      </c>
      <c r="E11" s="1218">
        <v>8.5730000000000001E-2</v>
      </c>
      <c r="F11" s="1218">
        <v>5.1000000000000004E-4</v>
      </c>
      <c r="G11" s="1218">
        <v>0.103973</v>
      </c>
      <c r="H11" s="1218">
        <v>6.8507999999999999E-2</v>
      </c>
      <c r="I11" s="1218">
        <v>8.2122000000000001E-2</v>
      </c>
      <c r="J11" s="1218">
        <v>8.0701999999999996E-2</v>
      </c>
      <c r="K11" s="1218">
        <v>8.9111999999999997E-2</v>
      </c>
      <c r="L11" s="1219">
        <v>7.7064999999999995E-2</v>
      </c>
      <c r="M11" s="14"/>
      <c r="N11" s="14"/>
      <c r="O11" s="1220" t="s">
        <v>4677</v>
      </c>
      <c r="P11" s="1221">
        <v>8.1994999999999998E-2</v>
      </c>
      <c r="Q11" s="1221">
        <v>0.106128</v>
      </c>
      <c r="R11" s="1221">
        <v>8.3294000000000007E-2</v>
      </c>
      <c r="S11" s="1221">
        <v>0.21317</v>
      </c>
      <c r="T11" s="1221">
        <v>6.7163E-2</v>
      </c>
      <c r="U11" s="1221">
        <v>4.2950000000000002E-3</v>
      </c>
      <c r="V11" s="1221">
        <v>0.106128</v>
      </c>
      <c r="W11" s="1221">
        <v>7.5599E-2</v>
      </c>
      <c r="X11" s="1221">
        <v>8.1994999999999998E-2</v>
      </c>
      <c r="Y11" s="1221">
        <v>8.1994999999999998E-2</v>
      </c>
      <c r="Z11" s="1221">
        <v>8.1994999999999998E-2</v>
      </c>
      <c r="AA11" s="1221">
        <v>8.4294999999999995E-2</v>
      </c>
      <c r="AB11" s="1222">
        <v>7.2720999999999994E-2</v>
      </c>
      <c r="AC11" s="14"/>
    </row>
    <row r="12" spans="1:29">
      <c r="A12" s="14"/>
      <c r="B12" s="1217" t="s">
        <v>4678</v>
      </c>
      <c r="C12" s="1218">
        <v>0.1401</v>
      </c>
      <c r="D12" s="1218">
        <v>0.28477999999999998</v>
      </c>
      <c r="E12" s="1218">
        <v>9.6095E-2</v>
      </c>
      <c r="F12" s="1218">
        <v>6.0000000000000002E-6</v>
      </c>
      <c r="G12" s="1218">
        <v>0.1401</v>
      </c>
      <c r="H12" s="1218">
        <v>6.7863999999999994E-2</v>
      </c>
      <c r="I12" s="1218">
        <v>8.4883E-2</v>
      </c>
      <c r="J12" s="1218">
        <v>8.6451E-2</v>
      </c>
      <c r="K12" s="1218">
        <v>9.4239000000000003E-2</v>
      </c>
      <c r="L12" s="1219">
        <v>6.7711999999999994E-2</v>
      </c>
      <c r="M12" s="14"/>
      <c r="N12" s="14"/>
      <c r="O12" s="1220" t="s">
        <v>4678</v>
      </c>
      <c r="P12" s="1221">
        <v>8.4098999999999993E-2</v>
      </c>
      <c r="Q12" s="1221">
        <v>0.14288100000000001</v>
      </c>
      <c r="R12" s="1221">
        <v>8.5859000000000005E-2</v>
      </c>
      <c r="S12" s="1221">
        <v>0.29002899999999998</v>
      </c>
      <c r="T12" s="1221">
        <v>8.6751999999999996E-2</v>
      </c>
      <c r="U12" s="1221">
        <v>2.895E-3</v>
      </c>
      <c r="V12" s="1221">
        <v>0.14288100000000001</v>
      </c>
      <c r="W12" s="1221">
        <v>9.6199999999999994E-2</v>
      </c>
      <c r="X12" s="1221">
        <v>8.4098999999999993E-2</v>
      </c>
      <c r="Y12" s="1221">
        <v>8.4098999999999993E-2</v>
      </c>
      <c r="Z12" s="1221">
        <v>8.4098999999999993E-2</v>
      </c>
      <c r="AA12" s="1221">
        <v>8.7456999999999993E-2</v>
      </c>
      <c r="AB12" s="1222">
        <v>7.4929999999999997E-2</v>
      </c>
      <c r="AC12" s="14"/>
    </row>
    <row r="13" spans="1:29">
      <c r="A13" s="14"/>
      <c r="B13" s="1217" t="s">
        <v>4679</v>
      </c>
      <c r="C13" s="1218">
        <v>0.13320699999999999</v>
      </c>
      <c r="D13" s="1218">
        <v>0.27076600000000001</v>
      </c>
      <c r="E13" s="1218">
        <v>9.6095E-2</v>
      </c>
      <c r="F13" s="1218">
        <v>9.0000000000000002E-6</v>
      </c>
      <c r="G13" s="1218">
        <v>0.13320699999999999</v>
      </c>
      <c r="H13" s="1218">
        <v>7.0565000000000003E-2</v>
      </c>
      <c r="I13" s="1218">
        <v>8.4839999999999999E-2</v>
      </c>
      <c r="J13" s="1218">
        <v>8.5653000000000007E-2</v>
      </c>
      <c r="K13" s="1218">
        <v>9.4212000000000004E-2</v>
      </c>
      <c r="L13" s="1219">
        <v>6.3687999999999995E-2</v>
      </c>
      <c r="M13" s="14"/>
      <c r="N13" s="14"/>
      <c r="O13" s="1220" t="s">
        <v>4679</v>
      </c>
      <c r="P13" s="1221">
        <v>8.4198999999999996E-2</v>
      </c>
      <c r="Q13" s="1221">
        <v>0.133494</v>
      </c>
      <c r="R13" s="1221">
        <v>8.5885000000000003E-2</v>
      </c>
      <c r="S13" s="1221">
        <v>0.270206</v>
      </c>
      <c r="T13" s="1221">
        <v>6.9401000000000004E-2</v>
      </c>
      <c r="U13" s="1221">
        <v>3.4320000000000002E-3</v>
      </c>
      <c r="V13" s="1221">
        <v>0.133494</v>
      </c>
      <c r="W13" s="1221">
        <v>7.7077999999999994E-2</v>
      </c>
      <c r="X13" s="1221">
        <v>8.4198999999999996E-2</v>
      </c>
      <c r="Y13" s="1221">
        <v>8.4198999999999996E-2</v>
      </c>
      <c r="Z13" s="1221">
        <v>8.4198999999999996E-2</v>
      </c>
      <c r="AA13" s="1221">
        <v>8.7230000000000002E-2</v>
      </c>
      <c r="AB13" s="1222">
        <v>7.5861999999999999E-2</v>
      </c>
      <c r="AC13" s="14"/>
    </row>
    <row r="14" spans="1:29">
      <c r="A14" s="14"/>
      <c r="B14" s="1217" t="s">
        <v>4680</v>
      </c>
      <c r="C14" s="1218">
        <v>6.6758999999999999E-2</v>
      </c>
      <c r="D14" s="1218">
        <v>0.126605</v>
      </c>
      <c r="E14" s="1218">
        <v>8.4277000000000005E-2</v>
      </c>
      <c r="F14" s="1218">
        <v>8.8090000000000009E-3</v>
      </c>
      <c r="G14" s="1218">
        <v>6.6758999999999999E-2</v>
      </c>
      <c r="H14" s="1218">
        <v>7.3791999999999996E-2</v>
      </c>
      <c r="I14" s="1218">
        <v>8.2136000000000001E-2</v>
      </c>
      <c r="J14" s="1218">
        <v>8.3031999999999995E-2</v>
      </c>
      <c r="K14" s="1218">
        <v>8.4971000000000005E-2</v>
      </c>
      <c r="L14" s="1219">
        <v>6.9373000000000004E-2</v>
      </c>
      <c r="M14" s="14"/>
      <c r="N14" s="14"/>
      <c r="O14" s="1220" t="s">
        <v>4680</v>
      </c>
      <c r="P14" s="1221">
        <v>8.2512000000000002E-2</v>
      </c>
      <c r="Q14" s="1221">
        <v>5.781E-2</v>
      </c>
      <c r="R14" s="1221">
        <v>8.3474999999999994E-2</v>
      </c>
      <c r="S14" s="1221">
        <v>0.108695</v>
      </c>
      <c r="T14" s="1221">
        <v>8.2907999999999996E-2</v>
      </c>
      <c r="U14" s="1221">
        <v>9.4020000000000006E-3</v>
      </c>
      <c r="V14" s="1221">
        <v>5.781E-2</v>
      </c>
      <c r="W14" s="1221">
        <v>8.1374000000000002E-2</v>
      </c>
      <c r="X14" s="1221">
        <v>8.2512000000000002E-2</v>
      </c>
      <c r="Y14" s="1221">
        <v>8.2512000000000002E-2</v>
      </c>
      <c r="Z14" s="1221">
        <v>8.2512000000000002E-2</v>
      </c>
      <c r="AA14" s="1221">
        <v>8.3319000000000004E-2</v>
      </c>
      <c r="AB14" s="1222">
        <v>7.5733999999999996E-2</v>
      </c>
      <c r="AC14" s="14"/>
    </row>
    <row r="15" spans="1:29">
      <c r="A15" s="14"/>
      <c r="B15" s="1217" t="s">
        <v>4681</v>
      </c>
      <c r="C15" s="1218">
        <v>3.7011000000000002E-2</v>
      </c>
      <c r="D15" s="1218">
        <v>1.8471999999999999E-2</v>
      </c>
      <c r="E15" s="1218">
        <v>8.2582000000000003E-2</v>
      </c>
      <c r="F15" s="1218">
        <v>5.4961999999999997E-2</v>
      </c>
      <c r="G15" s="1218">
        <v>3.7011000000000002E-2</v>
      </c>
      <c r="H15" s="1218">
        <v>8.4539000000000003E-2</v>
      </c>
      <c r="I15" s="1218">
        <v>8.4869E-2</v>
      </c>
      <c r="J15" s="1218">
        <v>8.6052000000000003E-2</v>
      </c>
      <c r="K15" s="1218">
        <v>8.5653000000000007E-2</v>
      </c>
      <c r="L15" s="1219">
        <v>7.9644000000000006E-2</v>
      </c>
      <c r="M15" s="14"/>
      <c r="N15" s="14"/>
      <c r="O15" s="1220" t="s">
        <v>4681</v>
      </c>
      <c r="P15" s="1221">
        <v>8.5277000000000006E-2</v>
      </c>
      <c r="Q15" s="1221">
        <v>3.8018000000000003E-2</v>
      </c>
      <c r="R15" s="1221">
        <v>8.6262000000000005E-2</v>
      </c>
      <c r="S15" s="1221">
        <v>1.9643000000000001E-2</v>
      </c>
      <c r="T15" s="1221">
        <v>0.100507</v>
      </c>
      <c r="U15" s="1221">
        <v>5.5496999999999998E-2</v>
      </c>
      <c r="V15" s="1221">
        <v>3.8018000000000003E-2</v>
      </c>
      <c r="W15" s="1221">
        <v>9.4072000000000003E-2</v>
      </c>
      <c r="X15" s="1221">
        <v>8.5277000000000006E-2</v>
      </c>
      <c r="Y15" s="1221">
        <v>8.5277000000000006E-2</v>
      </c>
      <c r="Z15" s="1221">
        <v>8.5277000000000006E-2</v>
      </c>
      <c r="AA15" s="1221">
        <v>8.4562999999999999E-2</v>
      </c>
      <c r="AB15" s="1222">
        <v>8.2808000000000007E-2</v>
      </c>
      <c r="AC15" s="14"/>
    </row>
    <row r="16" spans="1:29">
      <c r="A16" s="14"/>
      <c r="B16" s="1217" t="s">
        <v>4682</v>
      </c>
      <c r="C16" s="1218">
        <v>5.9593E-2</v>
      </c>
      <c r="D16" s="1218">
        <v>1.444E-3</v>
      </c>
      <c r="E16" s="1218">
        <v>7.8464999999999993E-2</v>
      </c>
      <c r="F16" s="1218">
        <v>0.115899</v>
      </c>
      <c r="G16" s="1218">
        <v>5.9593E-2</v>
      </c>
      <c r="H16" s="1218">
        <v>8.9880000000000002E-2</v>
      </c>
      <c r="I16" s="1218">
        <v>8.2122000000000001E-2</v>
      </c>
      <c r="J16" s="1218">
        <v>8.1087999999999993E-2</v>
      </c>
      <c r="K16" s="1218">
        <v>7.8716999999999995E-2</v>
      </c>
      <c r="L16" s="1219">
        <v>8.4751999999999994E-2</v>
      </c>
      <c r="M16" s="14"/>
      <c r="N16" s="14"/>
      <c r="O16" s="1220" t="s">
        <v>4682</v>
      </c>
      <c r="P16" s="1221">
        <v>8.2588999999999996E-2</v>
      </c>
      <c r="Q16" s="1221">
        <v>6.2103999999999999E-2</v>
      </c>
      <c r="R16" s="1221">
        <v>8.3496000000000001E-2</v>
      </c>
      <c r="S16" s="1221">
        <v>6.0299999999999998E-3</v>
      </c>
      <c r="T16" s="1221">
        <v>8.7251999999999996E-2</v>
      </c>
      <c r="U16" s="1221">
        <v>0.115452</v>
      </c>
      <c r="V16" s="1221">
        <v>6.2103999999999999E-2</v>
      </c>
      <c r="W16" s="1221">
        <v>7.6706999999999997E-2</v>
      </c>
      <c r="X16" s="1221">
        <v>8.2588999999999996E-2</v>
      </c>
      <c r="Y16" s="1221">
        <v>8.2588999999999996E-2</v>
      </c>
      <c r="Z16" s="1221">
        <v>8.2588999999999996E-2</v>
      </c>
      <c r="AA16" s="1221">
        <v>8.1112000000000004E-2</v>
      </c>
      <c r="AB16" s="1222">
        <v>8.6345000000000005E-2</v>
      </c>
      <c r="AC16" s="14"/>
    </row>
    <row r="17" spans="1:29" ht="15.75" thickBot="1">
      <c r="A17" s="14"/>
      <c r="B17" s="1223" t="s">
        <v>4683</v>
      </c>
      <c r="C17" s="1224">
        <v>0.106937</v>
      </c>
      <c r="D17" s="1224">
        <v>1.2229999999999999E-3</v>
      </c>
      <c r="E17" s="1224">
        <v>7.9577999999999996E-2</v>
      </c>
      <c r="F17" s="1224">
        <v>0.2093020000000001</v>
      </c>
      <c r="G17" s="1224">
        <v>0.106937</v>
      </c>
      <c r="H17" s="1224">
        <v>9.8311999999999997E-2</v>
      </c>
      <c r="I17" s="1224">
        <v>8.4915000000000004E-2</v>
      </c>
      <c r="J17" s="1224">
        <v>8.6620000000000003E-2</v>
      </c>
      <c r="K17" s="1224">
        <v>7.9203999999999997E-2</v>
      </c>
      <c r="L17" s="1225">
        <v>9.9576999999999999E-2</v>
      </c>
      <c r="M17" s="14"/>
      <c r="N17" s="14"/>
      <c r="O17" s="1226" t="s">
        <v>4683</v>
      </c>
      <c r="P17" s="1227">
        <v>8.5237999999999994E-2</v>
      </c>
      <c r="Q17" s="1227">
        <v>0.103951</v>
      </c>
      <c r="R17" s="1227">
        <v>8.6250999999999994E-2</v>
      </c>
      <c r="S17" s="1227">
        <v>6.7000000000000002E-5</v>
      </c>
      <c r="T17" s="1227">
        <v>9.6703999999999998E-2</v>
      </c>
      <c r="U17" s="1227">
        <v>0.20278299999999999</v>
      </c>
      <c r="V17" s="1227">
        <v>0.103951</v>
      </c>
      <c r="W17" s="1227">
        <v>8.4089999999999998E-2</v>
      </c>
      <c r="X17" s="1227">
        <v>8.5237999999999994E-2</v>
      </c>
      <c r="Y17" s="1227">
        <v>8.5237999999999994E-2</v>
      </c>
      <c r="Z17" s="1227">
        <v>8.5237999999999994E-2</v>
      </c>
      <c r="AA17" s="1227">
        <v>8.3117999999999997E-2</v>
      </c>
      <c r="AB17" s="1228">
        <v>9.4198000000000004E-2</v>
      </c>
      <c r="AC17" s="14"/>
    </row>
    <row r="18" spans="1:29" ht="15.75" thickTop="1">
      <c r="A18" s="14"/>
      <c r="B18" s="14"/>
      <c r="C18" s="800"/>
      <c r="D18" s="800"/>
      <c r="E18" s="800"/>
      <c r="F18" s="800"/>
      <c r="G18" s="800"/>
      <c r="H18" s="800"/>
      <c r="I18" s="800"/>
      <c r="J18" s="800"/>
      <c r="K18" s="800"/>
      <c r="L18" s="800"/>
      <c r="M18" s="14"/>
      <c r="N18" s="14"/>
      <c r="O18" s="14"/>
      <c r="P18" s="800"/>
      <c r="Q18" s="800"/>
      <c r="R18" s="800"/>
      <c r="S18" s="800"/>
      <c r="T18" s="800"/>
      <c r="U18" s="800"/>
      <c r="V18" s="800"/>
      <c r="W18" s="800"/>
      <c r="X18" s="800"/>
      <c r="Y18" s="800"/>
      <c r="Z18" s="800"/>
      <c r="AA18" s="800"/>
      <c r="AB18" s="800"/>
      <c r="AC18" s="14"/>
    </row>
    <row r="19" spans="1:29" ht="15.75" thickBot="1">
      <c r="A19" s="14"/>
      <c r="B19" s="1229" t="s">
        <v>4684</v>
      </c>
      <c r="C19" s="1230"/>
      <c r="D19" s="1230"/>
      <c r="E19" s="1230"/>
      <c r="F19" s="1230"/>
      <c r="G19" s="1230"/>
      <c r="H19" s="1230"/>
      <c r="I19" s="1230"/>
      <c r="J19" s="1230"/>
      <c r="K19" s="1230"/>
      <c r="L19" s="1230"/>
      <c r="M19" s="14"/>
      <c r="N19" s="14"/>
      <c r="O19" s="1229" t="s">
        <v>4684</v>
      </c>
      <c r="P19" s="1230"/>
      <c r="Q19" s="1230"/>
      <c r="R19" s="1230"/>
      <c r="S19" s="1230"/>
      <c r="T19" s="1230"/>
      <c r="U19" s="1230"/>
      <c r="V19" s="1230"/>
      <c r="W19" s="1230"/>
      <c r="X19" s="1230"/>
      <c r="Y19" s="1230"/>
      <c r="Z19" s="1230"/>
      <c r="AA19" s="1230"/>
      <c r="AB19" s="1230"/>
      <c r="AC19" s="14"/>
    </row>
    <row r="20" spans="1:29" ht="38.25" customHeight="1" thickTop="1" thickBot="1">
      <c r="A20" s="14"/>
      <c r="B20" s="1231"/>
      <c r="C20" s="1232" t="s">
        <v>1380</v>
      </c>
      <c r="D20" s="1232" t="s">
        <v>1045</v>
      </c>
      <c r="E20" s="1232" t="s">
        <v>4661</v>
      </c>
      <c r="F20" s="1232" t="s">
        <v>1046</v>
      </c>
      <c r="G20" s="1232" t="s">
        <v>1205</v>
      </c>
      <c r="H20" s="1232" t="s">
        <v>1414</v>
      </c>
      <c r="I20" s="1232" t="s">
        <v>1172</v>
      </c>
      <c r="J20" s="1232" t="s">
        <v>1141</v>
      </c>
      <c r="K20" s="1232" t="s">
        <v>3332</v>
      </c>
      <c r="L20" s="1233" t="s">
        <v>961</v>
      </c>
      <c r="M20" s="14"/>
      <c r="N20" s="14"/>
      <c r="O20" s="1231"/>
      <c r="P20" s="1232" t="s">
        <v>682</v>
      </c>
      <c r="Q20" s="1232" t="s">
        <v>4665</v>
      </c>
      <c r="R20" s="1232" t="s">
        <v>407</v>
      </c>
      <c r="S20" s="1232" t="s">
        <v>459</v>
      </c>
      <c r="T20" s="1232" t="s">
        <v>80</v>
      </c>
      <c r="U20" s="1232" t="s">
        <v>460</v>
      </c>
      <c r="V20" s="1232" t="s">
        <v>488</v>
      </c>
      <c r="W20" s="1232" t="s">
        <v>61</v>
      </c>
      <c r="X20" s="1232" t="s">
        <v>87</v>
      </c>
      <c r="Y20" s="1232" t="s">
        <v>385</v>
      </c>
      <c r="Z20" s="1232" t="s">
        <v>4666</v>
      </c>
      <c r="AA20" s="1232" t="s">
        <v>235</v>
      </c>
      <c r="AB20" s="1233" t="s">
        <v>326</v>
      </c>
      <c r="AC20" s="14"/>
    </row>
    <row r="21" spans="1:29" ht="15.75" thickBot="1">
      <c r="A21" s="14"/>
      <c r="B21" s="1234"/>
      <c r="C21" s="1235">
        <v>4.6608050000000002E-4</v>
      </c>
      <c r="D21" s="1235">
        <v>9.4741810000000004E-4</v>
      </c>
      <c r="E21" s="1235">
        <v>1.6857220000000001E-4</v>
      </c>
      <c r="F21" s="1235">
        <v>0</v>
      </c>
      <c r="G21" s="1235">
        <v>4.6608050000000002E-4</v>
      </c>
      <c r="H21" s="1235">
        <v>1.4925290000000001E-4</v>
      </c>
      <c r="I21" s="1235">
        <v>1.148238E-4</v>
      </c>
      <c r="J21" s="1235">
        <v>2.3544589999999999E-4</v>
      </c>
      <c r="K21" s="1235">
        <v>1.2852529999999999E-4</v>
      </c>
      <c r="L21" s="1235">
        <v>8.8731800000000003E-5</v>
      </c>
      <c r="M21" s="14"/>
      <c r="N21" s="14"/>
      <c r="O21" s="1234"/>
      <c r="P21" s="1235">
        <v>1.379439E-4</v>
      </c>
      <c r="Q21" s="1235">
        <v>4.4398300000000001E-4</v>
      </c>
      <c r="R21" s="1235">
        <v>1.998949E-4</v>
      </c>
      <c r="S21" s="1235">
        <v>9.1068400000000004E-4</v>
      </c>
      <c r="T21" s="1235">
        <v>5.6160000000000001E-6</v>
      </c>
      <c r="U21" s="1235">
        <v>0</v>
      </c>
      <c r="V21" s="1235">
        <v>4.4398300000000001E-4</v>
      </c>
      <c r="W21" s="1235">
        <v>1.899635E-4</v>
      </c>
      <c r="X21" s="1235">
        <v>1.379439E-4</v>
      </c>
      <c r="Y21" s="1235">
        <v>1.379439E-4</v>
      </c>
      <c r="Z21" s="1235">
        <v>1.379439E-4</v>
      </c>
      <c r="AA21" s="1235">
        <v>1.3573829999999999E-4</v>
      </c>
      <c r="AB21" s="1235">
        <v>1.811545E-4</v>
      </c>
      <c r="AC21" s="14"/>
    </row>
    <row r="22" spans="1:29" ht="15.75" thickTop="1">
      <c r="A22" s="14"/>
      <c r="B22" s="14"/>
      <c r="C22" s="1236">
        <f>SUM(C6:C17)</f>
        <v>1</v>
      </c>
      <c r="D22" s="1236">
        <f t="shared" ref="D22:AB22" si="0">SUM(D6:D17)</f>
        <v>1.0000000000000002</v>
      </c>
      <c r="E22" s="1236">
        <f t="shared" si="0"/>
        <v>1.0000000000000002</v>
      </c>
      <c r="F22" s="1236">
        <f t="shared" si="0"/>
        <v>1</v>
      </c>
      <c r="G22" s="1236">
        <f t="shared" si="0"/>
        <v>1</v>
      </c>
      <c r="H22" s="1236">
        <f t="shared" si="0"/>
        <v>0.99999999999999989</v>
      </c>
      <c r="I22" s="1236">
        <f t="shared" si="0"/>
        <v>1</v>
      </c>
      <c r="J22" s="1236">
        <f t="shared" si="0"/>
        <v>1</v>
      </c>
      <c r="K22" s="1236">
        <f t="shared" si="0"/>
        <v>1</v>
      </c>
      <c r="L22" s="1236">
        <f t="shared" si="0"/>
        <v>1</v>
      </c>
      <c r="M22" s="1236"/>
      <c r="N22" s="1236"/>
      <c r="O22" s="1236"/>
      <c r="P22" s="1236">
        <f t="shared" si="0"/>
        <v>1.0000000000000002</v>
      </c>
      <c r="Q22" s="1236">
        <f t="shared" si="0"/>
        <v>1</v>
      </c>
      <c r="R22" s="1236">
        <f t="shared" si="0"/>
        <v>0.99999999999999989</v>
      </c>
      <c r="S22" s="1236">
        <f t="shared" si="0"/>
        <v>0.99999999999999989</v>
      </c>
      <c r="T22" s="1236">
        <f t="shared" si="0"/>
        <v>1</v>
      </c>
      <c r="U22" s="1236">
        <f t="shared" si="0"/>
        <v>1.0000000000000002</v>
      </c>
      <c r="V22" s="1236">
        <f t="shared" si="0"/>
        <v>1</v>
      </c>
      <c r="W22" s="1236">
        <f t="shared" si="0"/>
        <v>1</v>
      </c>
      <c r="X22" s="1236">
        <f t="shared" si="0"/>
        <v>1.0000000000000002</v>
      </c>
      <c r="Y22" s="1236">
        <f t="shared" si="0"/>
        <v>1.0000000000000002</v>
      </c>
      <c r="Z22" s="1236">
        <f t="shared" si="0"/>
        <v>1.0000000000000002</v>
      </c>
      <c r="AA22" s="1236">
        <f t="shared" si="0"/>
        <v>1</v>
      </c>
      <c r="AB22" s="1236">
        <f t="shared" si="0"/>
        <v>1</v>
      </c>
      <c r="AC22" s="14"/>
    </row>
  </sheetData>
  <mergeCells count="2">
    <mergeCell ref="C4:L4"/>
    <mergeCell ref="P4:AB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theme="1"/>
    <pageSetUpPr fitToPage="1"/>
  </sheetPr>
  <dimension ref="B1:N38"/>
  <sheetViews>
    <sheetView tabSelected="1" zoomScale="70" zoomScaleNormal="70" workbookViewId="0">
      <selection activeCell="B1" sqref="B1"/>
    </sheetView>
  </sheetViews>
  <sheetFormatPr defaultRowHeight="15"/>
  <cols>
    <col min="1" max="1" width="3.42578125" customWidth="1"/>
    <col min="2" max="2" width="20.7109375" style="52" customWidth="1"/>
    <col min="3" max="3" width="14.28515625" style="52" customWidth="1"/>
    <col min="4" max="6" width="20.7109375" style="52" customWidth="1"/>
    <col min="7" max="7" width="96.7109375" style="52" customWidth="1"/>
    <col min="8" max="8" width="3" customWidth="1"/>
  </cols>
  <sheetData>
    <row r="1" spans="2:14">
      <c r="E1" s="3978"/>
      <c r="F1" s="3978"/>
      <c r="G1" s="4812"/>
      <c r="H1" s="4812"/>
    </row>
    <row r="3" spans="2:14" ht="46.5">
      <c r="B3" s="3979" t="s">
        <v>17</v>
      </c>
      <c r="C3" s="3979"/>
      <c r="D3" s="3979"/>
      <c r="E3" s="3979"/>
      <c r="F3" s="3979"/>
      <c r="G3" s="3979"/>
      <c r="H3" s="1"/>
      <c r="I3" s="1"/>
      <c r="J3" s="1"/>
      <c r="K3" s="1"/>
      <c r="L3" s="1"/>
      <c r="M3" s="1"/>
      <c r="N3" s="1"/>
    </row>
    <row r="4" spans="2:14" ht="18.75" customHeight="1" thickBot="1">
      <c r="B4" s="1455"/>
      <c r="E4" s="3980"/>
      <c r="F4" s="3980"/>
      <c r="G4" s="3981"/>
      <c r="H4" s="3981"/>
    </row>
    <row r="5" spans="2:14" ht="18.75">
      <c r="B5" s="3982" t="s">
        <v>18</v>
      </c>
      <c r="C5" s="3982" t="s">
        <v>19</v>
      </c>
      <c r="D5" s="3986" t="s">
        <v>20</v>
      </c>
      <c r="E5" s="3987"/>
      <c r="F5" s="3988"/>
      <c r="G5" s="3982" t="s">
        <v>21</v>
      </c>
    </row>
    <row r="6" spans="2:14" ht="77.25" customHeight="1">
      <c r="B6" s="3983"/>
      <c r="C6" s="3984"/>
      <c r="D6" s="1248" t="s">
        <v>22</v>
      </c>
      <c r="E6" s="1249" t="s">
        <v>23</v>
      </c>
      <c r="F6" s="1250" t="s">
        <v>24</v>
      </c>
      <c r="G6" s="3984"/>
    </row>
    <row r="7" spans="2:14" ht="15.75" thickBot="1">
      <c r="B7" s="1251" t="s">
        <v>25</v>
      </c>
      <c r="C7" s="3985"/>
      <c r="D7" s="1252" t="s">
        <v>25</v>
      </c>
      <c r="E7" s="1253" t="s">
        <v>25</v>
      </c>
      <c r="F7" s="1254" t="s">
        <v>25</v>
      </c>
      <c r="G7" s="3985"/>
    </row>
    <row r="8" spans="2:14" ht="35.1" customHeight="1">
      <c r="B8" s="1255">
        <v>1</v>
      </c>
      <c r="C8" s="1256">
        <v>43250</v>
      </c>
      <c r="D8" s="1257">
        <v>1</v>
      </c>
      <c r="E8" s="1257">
        <v>1</v>
      </c>
      <c r="F8" s="1257">
        <v>1</v>
      </c>
      <c r="G8" s="1258" t="s">
        <v>26</v>
      </c>
    </row>
    <row r="9" spans="2:14" ht="47.25" customHeight="1">
      <c r="B9" s="815">
        <v>2</v>
      </c>
      <c r="C9" s="819">
        <v>43465</v>
      </c>
      <c r="D9" s="816">
        <v>1</v>
      </c>
      <c r="E9" s="816">
        <v>1</v>
      </c>
      <c r="F9" s="816">
        <v>2</v>
      </c>
      <c r="G9" s="817" t="s">
        <v>27</v>
      </c>
    </row>
    <row r="10" spans="2:14" ht="41.25" customHeight="1">
      <c r="B10" s="815">
        <v>3</v>
      </c>
      <c r="C10" s="819">
        <v>43831</v>
      </c>
      <c r="D10" s="816">
        <v>1</v>
      </c>
      <c r="E10" s="816">
        <v>1</v>
      </c>
      <c r="F10" s="816">
        <v>3</v>
      </c>
      <c r="G10" s="817" t="s">
        <v>28</v>
      </c>
    </row>
    <row r="11" spans="2:14" ht="35.1" customHeight="1">
      <c r="B11" s="815">
        <v>3.1</v>
      </c>
      <c r="C11" s="819">
        <v>43867</v>
      </c>
      <c r="D11" s="816">
        <v>1</v>
      </c>
      <c r="E11" s="816">
        <v>1</v>
      </c>
      <c r="F11" s="816">
        <v>3</v>
      </c>
      <c r="G11" s="817" t="s">
        <v>29</v>
      </c>
    </row>
    <row r="12" spans="2:14" ht="35.1" customHeight="1">
      <c r="B12" s="815">
        <v>3.2</v>
      </c>
      <c r="C12" s="819">
        <v>44000</v>
      </c>
      <c r="D12" s="816">
        <v>1</v>
      </c>
      <c r="E12" s="816">
        <v>1.1000000000000001</v>
      </c>
      <c r="F12" s="816">
        <v>3</v>
      </c>
      <c r="G12" s="817" t="s">
        <v>30</v>
      </c>
    </row>
    <row r="13" spans="2:14" ht="40.5" customHeight="1">
      <c r="B13" s="815">
        <v>4</v>
      </c>
      <c r="C13" s="819">
        <v>44197</v>
      </c>
      <c r="D13" s="816">
        <v>1</v>
      </c>
      <c r="E13" s="816">
        <v>2</v>
      </c>
      <c r="F13" s="816">
        <v>4</v>
      </c>
      <c r="G13" s="817" t="s">
        <v>31</v>
      </c>
    </row>
    <row r="14" spans="2:14" ht="44.25" customHeight="1">
      <c r="B14" s="815">
        <v>5</v>
      </c>
      <c r="C14" s="819">
        <v>44454</v>
      </c>
      <c r="D14" s="816">
        <v>2</v>
      </c>
      <c r="E14" s="816">
        <v>3</v>
      </c>
      <c r="F14" s="816">
        <v>5</v>
      </c>
      <c r="G14" s="817" t="s">
        <v>32</v>
      </c>
    </row>
    <row r="15" spans="2:14" ht="63" customHeight="1">
      <c r="B15" s="815">
        <v>6</v>
      </c>
      <c r="C15" s="819">
        <v>44830</v>
      </c>
      <c r="D15" s="816">
        <v>2</v>
      </c>
      <c r="E15" s="816">
        <v>4</v>
      </c>
      <c r="F15" s="816">
        <v>6</v>
      </c>
      <c r="G15" s="817" t="s">
        <v>33</v>
      </c>
    </row>
    <row r="16" spans="2:14" ht="78" customHeight="1">
      <c r="B16" s="815">
        <v>7</v>
      </c>
      <c r="C16" s="819">
        <v>45204</v>
      </c>
      <c r="D16" s="816">
        <v>3</v>
      </c>
      <c r="E16" s="816">
        <v>5</v>
      </c>
      <c r="F16" s="816">
        <v>7</v>
      </c>
      <c r="G16" s="817" t="s">
        <v>34</v>
      </c>
    </row>
    <row r="17" spans="2:7" ht="123" customHeight="1">
      <c r="B17" s="1908">
        <v>8</v>
      </c>
      <c r="C17" s="1909">
        <v>45672</v>
      </c>
      <c r="D17" s="1910">
        <v>4</v>
      </c>
      <c r="E17" s="1910">
        <v>6</v>
      </c>
      <c r="F17" s="1910">
        <v>8</v>
      </c>
      <c r="G17" s="2088" t="s">
        <v>35</v>
      </c>
    </row>
    <row r="18" spans="2:7" ht="35.1" customHeight="1">
      <c r="B18" s="815"/>
      <c r="C18" s="1259"/>
      <c r="D18" s="816"/>
      <c r="E18" s="816"/>
      <c r="F18" s="816"/>
      <c r="G18" s="817"/>
    </row>
    <row r="19" spans="2:7" ht="35.1" customHeight="1">
      <c r="B19" s="815"/>
      <c r="C19" s="1259"/>
      <c r="D19" s="816"/>
      <c r="E19" s="816"/>
      <c r="F19" s="816"/>
      <c r="G19" s="817"/>
    </row>
    <row r="20" spans="2:7" ht="35.1" customHeight="1">
      <c r="B20" s="815"/>
      <c r="C20" s="1259"/>
      <c r="D20" s="816"/>
      <c r="E20" s="816"/>
      <c r="F20" s="816"/>
      <c r="G20" s="817"/>
    </row>
    <row r="21" spans="2:7" ht="35.1" customHeight="1">
      <c r="B21" s="815"/>
      <c r="C21" s="1259"/>
      <c r="D21" s="816"/>
      <c r="E21" s="816"/>
      <c r="F21" s="816"/>
      <c r="G21" s="817"/>
    </row>
    <row r="22" spans="2:7" ht="35.1" customHeight="1">
      <c r="B22" s="815"/>
      <c r="C22" s="1259"/>
      <c r="D22" s="816"/>
      <c r="E22" s="816"/>
      <c r="F22" s="816"/>
      <c r="G22" s="817"/>
    </row>
    <row r="23" spans="2:7" ht="35.1" customHeight="1">
      <c r="B23" s="815"/>
      <c r="C23" s="1259"/>
      <c r="D23" s="816"/>
      <c r="E23" s="816"/>
      <c r="F23" s="816"/>
      <c r="G23" s="817"/>
    </row>
    <row r="24" spans="2:7" ht="35.1" customHeight="1">
      <c r="B24" s="815"/>
      <c r="C24" s="1259"/>
      <c r="D24" s="816"/>
      <c r="E24" s="816"/>
      <c r="F24" s="816"/>
      <c r="G24" s="817"/>
    </row>
    <row r="25" spans="2:7" ht="35.1" customHeight="1">
      <c r="B25" s="815"/>
      <c r="C25" s="1259"/>
      <c r="D25" s="816"/>
      <c r="E25" s="816"/>
      <c r="F25" s="816"/>
      <c r="G25" s="817"/>
    </row>
    <row r="26" spans="2:7" ht="35.1" customHeight="1">
      <c r="B26" s="815"/>
      <c r="C26" s="1259"/>
      <c r="D26" s="816"/>
      <c r="E26" s="816"/>
      <c r="F26" s="816"/>
      <c r="G26" s="817"/>
    </row>
    <row r="27" spans="2:7" ht="35.1" customHeight="1">
      <c r="B27" s="815"/>
      <c r="C27" s="1259"/>
      <c r="D27" s="816"/>
      <c r="E27" s="816"/>
      <c r="F27" s="816"/>
      <c r="G27" s="817"/>
    </row>
    <row r="28" spans="2:7" ht="35.1" customHeight="1">
      <c r="B28" s="815"/>
      <c r="C28" s="1259"/>
      <c r="D28" s="816"/>
      <c r="E28" s="816"/>
      <c r="F28" s="816"/>
      <c r="G28" s="817"/>
    </row>
    <row r="29" spans="2:7" ht="35.1" customHeight="1">
      <c r="B29" s="815"/>
      <c r="C29" s="1259"/>
      <c r="D29" s="816"/>
      <c r="E29" s="816"/>
      <c r="F29" s="816"/>
      <c r="G29" s="817"/>
    </row>
    <row r="30" spans="2:7" ht="35.1" customHeight="1">
      <c r="B30" s="815"/>
      <c r="C30" s="1259"/>
      <c r="D30" s="816"/>
      <c r="E30" s="816"/>
      <c r="F30" s="816"/>
      <c r="G30" s="817"/>
    </row>
    <row r="31" spans="2:7" ht="35.1" customHeight="1">
      <c r="B31" s="815"/>
      <c r="C31" s="1259"/>
      <c r="D31" s="816"/>
      <c r="E31" s="816"/>
      <c r="F31" s="816"/>
      <c r="G31" s="817"/>
    </row>
    <row r="32" spans="2:7" ht="35.1" customHeight="1">
      <c r="B32" s="815"/>
      <c r="C32" s="1259"/>
      <c r="D32" s="816"/>
      <c r="E32" s="816"/>
      <c r="F32" s="816"/>
      <c r="G32" s="817"/>
    </row>
    <row r="33" spans="2:7" ht="35.1" customHeight="1">
      <c r="B33" s="815"/>
      <c r="C33" s="1259"/>
      <c r="D33" s="816"/>
      <c r="E33" s="816"/>
      <c r="F33" s="816"/>
      <c r="G33" s="817"/>
    </row>
    <row r="34" spans="2:7" ht="35.1" customHeight="1">
      <c r="B34" s="815"/>
      <c r="C34" s="1259"/>
      <c r="D34" s="816"/>
      <c r="E34" s="816"/>
      <c r="F34" s="816"/>
      <c r="G34" s="817"/>
    </row>
    <row r="35" spans="2:7" ht="35.1" customHeight="1">
      <c r="B35" s="815"/>
      <c r="C35" s="1259"/>
      <c r="D35" s="816"/>
      <c r="E35" s="816"/>
      <c r="F35" s="816"/>
      <c r="G35" s="817"/>
    </row>
    <row r="36" spans="2:7" ht="35.1" customHeight="1">
      <c r="B36" s="815"/>
      <c r="C36" s="1259"/>
      <c r="D36" s="816"/>
      <c r="E36" s="816"/>
      <c r="F36" s="816"/>
      <c r="G36" s="817"/>
    </row>
    <row r="37" spans="2:7" ht="35.1" customHeight="1">
      <c r="B37" s="815"/>
      <c r="C37" s="1259"/>
      <c r="D37" s="816"/>
      <c r="E37" s="816"/>
      <c r="F37" s="816"/>
      <c r="G37" s="817"/>
    </row>
    <row r="38" spans="2:7" ht="35.1" customHeight="1" thickBot="1">
      <c r="B38" s="1260"/>
      <c r="C38" s="1261"/>
      <c r="D38" s="1262"/>
      <c r="E38" s="1262"/>
      <c r="F38" s="1262"/>
      <c r="G38" s="1263"/>
    </row>
  </sheetData>
  <mergeCells count="7">
    <mergeCell ref="E1:H1"/>
    <mergeCell ref="B3:G3"/>
    <mergeCell ref="E4:H4"/>
    <mergeCell ref="B5:B6"/>
    <mergeCell ref="C5:C7"/>
    <mergeCell ref="D5:F5"/>
    <mergeCell ref="G5:G7"/>
  </mergeCells>
  <printOptions horizontalCentered="1"/>
  <pageMargins left="0.7" right="0.7" top="0.75" bottom="0.75" header="0.3" footer="0.3"/>
  <pageSetup scale="62" fitToHeight="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rgb="FF99FFCC"/>
  </sheetPr>
  <dimension ref="A1:EB936"/>
  <sheetViews>
    <sheetView topLeftCell="A180" zoomScaleNormal="100" workbookViewId="0">
      <selection activeCell="E938" sqref="E938"/>
    </sheetView>
  </sheetViews>
  <sheetFormatPr defaultColWidth="9.28515625" defaultRowHeight="15" outlineLevelRow="1"/>
  <cols>
    <col min="1" max="1" width="4.5703125" style="2" customWidth="1"/>
    <col min="2" max="2" width="10.5703125" style="2" customWidth="1"/>
    <col min="3" max="3" width="20.5703125" style="8" customWidth="1"/>
    <col min="4" max="4" width="24.5703125" style="8" customWidth="1"/>
    <col min="5" max="5" width="104.7109375" style="265" customWidth="1"/>
    <col min="6" max="6" width="25.5703125" style="265" customWidth="1"/>
    <col min="7" max="7" width="20.5703125" style="489" customWidth="1"/>
    <col min="8" max="8" width="21.28515625" style="496" customWidth="1"/>
    <col min="9" max="9" width="18.42578125" style="265" customWidth="1"/>
    <col min="10" max="10" width="15.5703125" style="265" customWidth="1"/>
    <col min="11" max="11" width="27.7109375" style="265" customWidth="1"/>
    <col min="12" max="12" width="17.42578125" style="265" customWidth="1"/>
    <col min="13" max="13" width="16.5703125" style="265" customWidth="1"/>
    <col min="14" max="14" width="18.42578125" style="265" customWidth="1"/>
    <col min="15" max="15" width="17.5703125" style="265" customWidth="1"/>
    <col min="16" max="16" width="13.42578125" style="265" customWidth="1"/>
    <col min="17" max="17" width="29.7109375" style="265" customWidth="1"/>
    <col min="18" max="18" width="14.28515625" style="265" customWidth="1"/>
    <col min="19" max="19" width="16.42578125" style="265" customWidth="1"/>
    <col min="20" max="20" width="14.28515625" style="265" customWidth="1"/>
    <col min="21" max="21" width="17.28515625" style="265" customWidth="1"/>
    <col min="22" max="22" width="63.7109375" style="2" customWidth="1"/>
    <col min="23" max="23" width="13.7109375" style="2" customWidth="1"/>
    <col min="24" max="24" width="18.28515625" style="2" customWidth="1"/>
    <col min="25" max="25" width="17.28515625" style="2" customWidth="1"/>
    <col min="26" max="26" width="15.7109375" style="2" customWidth="1"/>
    <col min="27" max="27" width="13.7109375" style="2" customWidth="1"/>
    <col min="28" max="28" width="17.42578125" style="2" customWidth="1"/>
    <col min="29" max="29" width="17.28515625" style="2" customWidth="1"/>
    <col min="30" max="30" width="13.7109375" style="2" customWidth="1"/>
    <col min="31" max="31" width="17.28515625" style="2" customWidth="1"/>
    <col min="32" max="32" width="18.7109375" style="2" customWidth="1"/>
    <col min="33" max="33" width="13.7109375" style="2" customWidth="1"/>
    <col min="34" max="34" width="9.28515625" style="2" customWidth="1"/>
    <col min="35" max="35" width="41.42578125" style="2" customWidth="1"/>
    <col min="36" max="42" width="18.28515625" style="2" customWidth="1"/>
    <col min="43" max="44" width="13.7109375" style="2" customWidth="1"/>
    <col min="45" max="45" width="18.5703125" style="2" customWidth="1"/>
    <col min="46" max="46" width="9.28515625" style="2" customWidth="1"/>
    <col min="47" max="47" width="38.5703125" style="2" customWidth="1"/>
    <col min="48" max="48" width="17.28515625" style="2" customWidth="1"/>
    <col min="49" max="50" width="16.5703125" style="2" customWidth="1"/>
    <col min="51" max="51" width="15.7109375" style="2" customWidth="1"/>
    <col min="52" max="53" width="17.42578125" style="2" customWidth="1"/>
    <col min="54" max="54" width="17.28515625" style="2" customWidth="1"/>
    <col min="55" max="56" width="13.7109375" style="2" customWidth="1"/>
    <col min="57" max="57" width="17.7109375" style="2" customWidth="1"/>
    <col min="58" max="58" width="14.28515625" style="2" customWidth="1"/>
    <col min="59" max="59" width="29.42578125" style="2" customWidth="1"/>
    <col min="60" max="60" width="17.28515625" style="2" customWidth="1"/>
    <col min="61" max="61" width="18" style="2" customWidth="1"/>
    <col min="62" max="62" width="17.28515625" style="2" customWidth="1"/>
    <col min="63" max="63" width="16.28515625" style="2" customWidth="1"/>
    <col min="64" max="65" width="17.42578125" style="2" customWidth="1"/>
    <col min="66" max="66" width="17.28515625" style="2" customWidth="1"/>
    <col min="67" max="69" width="13.7109375" style="2" customWidth="1"/>
    <col min="70" max="70" width="9.28515625" style="2" customWidth="1"/>
    <col min="71" max="71" width="20.28515625" style="2" customWidth="1"/>
    <col min="72" max="73" width="20" style="2" customWidth="1"/>
    <col min="74" max="74" width="18.28515625" style="2" customWidth="1"/>
    <col min="75" max="75" width="17.28515625" style="2" customWidth="1"/>
    <col min="76" max="76" width="15.7109375" style="2" customWidth="1"/>
    <col min="77" max="78" width="17.42578125" style="2" customWidth="1"/>
    <col min="79" max="79" width="17.28515625" style="2" customWidth="1"/>
    <col min="80" max="80" width="15.28515625" style="2" customWidth="1"/>
    <col min="81" max="81" width="13.7109375" style="2" customWidth="1"/>
    <col min="82" max="82" width="13.5703125" style="2" customWidth="1"/>
    <col min="83" max="83" width="9.28515625" style="2" customWidth="1"/>
    <col min="84" max="84" width="21.28515625" style="2" customWidth="1"/>
    <col min="85" max="85" width="11" customWidth="1"/>
    <col min="86" max="87" width="17.28515625" customWidth="1"/>
    <col min="88" max="88" width="16.28515625" customWidth="1"/>
    <col min="89" max="89" width="10.7109375" style="2" customWidth="1"/>
    <col min="90" max="91" width="17.42578125" style="2" customWidth="1"/>
    <col min="92" max="92" width="17.28515625" style="2" customWidth="1"/>
    <col min="93" max="93" width="16.5703125" style="2" customWidth="1"/>
    <col min="94" max="94" width="13.7109375" style="2" customWidth="1"/>
    <col min="95" max="95" width="9.28515625" style="2" customWidth="1"/>
    <col min="96" max="96" width="23.42578125" style="2" customWidth="1"/>
    <col min="97" max="97" width="16.42578125" style="2" customWidth="1"/>
    <col min="98" max="98" width="10.7109375" style="2" customWidth="1"/>
    <col min="99" max="100" width="16.7109375" style="2" customWidth="1"/>
    <col min="101" max="101" width="15.42578125" customWidth="1"/>
    <col min="102" max="102" width="10" customWidth="1"/>
    <col min="103" max="104" width="16.7109375" customWidth="1"/>
    <col min="105" max="105" width="13.42578125" style="2" customWidth="1"/>
    <col min="106" max="106" width="13.7109375" style="2" customWidth="1"/>
    <col min="107" max="107" width="9.28515625" style="2" customWidth="1"/>
    <col min="108" max="108" width="22.28515625" style="2" customWidth="1"/>
    <col min="109" max="110" width="9.28515625" style="2" customWidth="1"/>
    <col min="111" max="111" width="13.42578125" style="809" bestFit="1" customWidth="1"/>
    <col min="112" max="112" width="32.5703125" style="265" bestFit="1" customWidth="1"/>
    <col min="113" max="113" width="21.28515625" style="265" customWidth="1"/>
    <col min="114" max="114" width="25.28515625" style="1168" bestFit="1" customWidth="1"/>
    <col min="115" max="115" width="18.7109375" style="2" customWidth="1"/>
    <col min="116" max="116" width="15.7109375" style="2" bestFit="1" customWidth="1"/>
    <col min="117" max="117" width="9.28515625" style="2"/>
    <col min="118" max="118" width="16.28515625" style="2" customWidth="1"/>
    <col min="119" max="16384" width="9.28515625" style="2"/>
  </cols>
  <sheetData>
    <row r="1" spans="1:114" ht="15.75">
      <c r="A1" s="4006" t="s">
        <v>36</v>
      </c>
      <c r="B1" s="4006"/>
      <c r="C1" s="4006"/>
      <c r="D1" s="4006"/>
      <c r="E1" s="4006"/>
      <c r="F1" s="4006"/>
      <c r="G1" s="4006"/>
      <c r="H1" s="4006"/>
      <c r="I1" s="4006"/>
      <c r="J1" s="4006"/>
      <c r="K1" s="4006"/>
      <c r="L1" s="4006"/>
      <c r="M1" s="4006"/>
      <c r="N1" s="4006"/>
      <c r="O1" s="4006"/>
      <c r="P1" s="4006"/>
      <c r="Q1" s="4006"/>
      <c r="V1" s="265"/>
      <c r="W1" s="265"/>
      <c r="X1" s="265"/>
      <c r="Y1" s="265"/>
      <c r="Z1" s="265"/>
      <c r="AA1" s="265"/>
      <c r="AB1" s="265"/>
      <c r="AC1" s="265"/>
      <c r="AD1" s="265"/>
      <c r="AE1" s="265"/>
      <c r="AF1" s="265"/>
      <c r="AG1" s="265"/>
      <c r="AH1" s="265"/>
      <c r="DG1" s="2"/>
      <c r="DH1" s="2"/>
      <c r="DI1" s="2"/>
      <c r="DJ1" s="2"/>
    </row>
    <row r="2" spans="1:114" ht="8.25" customHeight="1">
      <c r="A2" s="1483"/>
      <c r="C2" s="61"/>
      <c r="D2" s="61"/>
      <c r="E2" s="61"/>
      <c r="F2" s="52"/>
      <c r="G2" s="52"/>
      <c r="H2" s="52"/>
      <c r="I2" s="52"/>
      <c r="J2" s="52"/>
      <c r="K2" s="52"/>
      <c r="L2" s="52"/>
      <c r="M2" s="52"/>
      <c r="N2" s="52"/>
      <c r="O2" s="52"/>
      <c r="P2" s="52"/>
      <c r="Q2" s="52"/>
      <c r="V2" s="265"/>
      <c r="W2" s="265"/>
      <c r="X2" s="265"/>
      <c r="Y2" s="265"/>
      <c r="Z2" s="265"/>
      <c r="AA2" s="265"/>
      <c r="AB2" s="265"/>
      <c r="AC2" s="265"/>
      <c r="AD2" s="265"/>
      <c r="AE2" s="265"/>
      <c r="AF2" s="265"/>
      <c r="AG2" s="265"/>
      <c r="AH2" s="265"/>
      <c r="CG2" s="2"/>
      <c r="CH2" s="2"/>
      <c r="CI2" s="2"/>
      <c r="CJ2" s="2"/>
      <c r="CW2" s="2"/>
      <c r="CX2" s="2"/>
      <c r="CY2" s="2"/>
      <c r="CZ2" s="2"/>
      <c r="DG2" s="2"/>
      <c r="DH2" s="2"/>
      <c r="DI2" s="2"/>
      <c r="DJ2" s="2"/>
    </row>
    <row r="3" spans="1:114" ht="75" customHeight="1">
      <c r="B3" s="3"/>
      <c r="C3" s="472"/>
      <c r="E3" s="4000" t="s">
        <v>37</v>
      </c>
      <c r="F3" s="4001"/>
      <c r="G3" s="4001"/>
      <c r="H3" s="4002" t="s">
        <v>38</v>
      </c>
      <c r="I3" s="4002"/>
      <c r="J3" s="4002"/>
      <c r="K3" s="264"/>
      <c r="L3" s="264"/>
      <c r="V3" s="265"/>
      <c r="W3" s="265"/>
      <c r="X3" s="265"/>
      <c r="Y3" s="265"/>
      <c r="Z3" s="265"/>
      <c r="AA3" s="265"/>
      <c r="AB3" s="265"/>
      <c r="AC3" s="265"/>
      <c r="AD3" s="265"/>
      <c r="AE3" s="265"/>
      <c r="AF3" s="265"/>
      <c r="AG3" s="265"/>
      <c r="AH3" s="265"/>
      <c r="DG3" s="2"/>
      <c r="DH3" s="2"/>
      <c r="DI3" s="2"/>
      <c r="DJ3" s="2"/>
    </row>
    <row r="4" spans="1:114" ht="21" outlineLevel="1">
      <c r="B4" s="3"/>
      <c r="C4" s="792"/>
      <c r="D4" s="4003" t="s">
        <v>39</v>
      </c>
      <c r="E4" s="4003"/>
      <c r="F4" s="4003"/>
      <c r="G4" s="4003"/>
      <c r="H4" s="4003"/>
      <c r="I4" s="4003"/>
      <c r="J4" s="4003"/>
      <c r="K4" s="264"/>
      <c r="L4" s="264"/>
      <c r="V4" s="265"/>
      <c r="W4" s="265"/>
      <c r="X4" s="265"/>
      <c r="Y4" s="265"/>
      <c r="Z4" s="265"/>
      <c r="AA4" s="265"/>
      <c r="AB4" s="265"/>
      <c r="AC4" s="265"/>
      <c r="AD4" s="265"/>
      <c r="AE4" s="265"/>
      <c r="AF4" s="265"/>
      <c r="AG4" s="265"/>
      <c r="AH4" s="265"/>
      <c r="DG4" s="2"/>
      <c r="DH4" s="2"/>
      <c r="DI4" s="2"/>
      <c r="DJ4" s="2"/>
    </row>
    <row r="5" spans="1:114" s="7" customFormat="1" ht="23.25" customHeight="1">
      <c r="B5" s="3" t="s">
        <v>40</v>
      </c>
      <c r="C5" s="472"/>
      <c r="D5" s="458"/>
      <c r="E5" s="459"/>
      <c r="F5" s="459"/>
      <c r="G5" s="459"/>
      <c r="H5" s="460"/>
      <c r="I5" s="112"/>
      <c r="J5" s="112"/>
      <c r="K5" s="112"/>
      <c r="L5" s="66"/>
      <c r="M5" s="66"/>
      <c r="N5" s="66"/>
      <c r="O5" s="66"/>
      <c r="P5" s="66"/>
      <c r="Q5" s="66"/>
      <c r="R5" s="66"/>
      <c r="S5" s="66"/>
      <c r="T5" s="66"/>
      <c r="U5" s="66"/>
      <c r="V5" s="2"/>
      <c r="W5" s="2"/>
      <c r="X5" s="2"/>
      <c r="Y5" s="2"/>
      <c r="Z5" s="2"/>
      <c r="AA5" s="2"/>
      <c r="AB5" s="2"/>
      <c r="AC5" s="2"/>
      <c r="AD5" s="2"/>
      <c r="AE5" s="2"/>
      <c r="AF5" s="2"/>
      <c r="AG5" s="2"/>
      <c r="AH5" s="2"/>
      <c r="AI5" s="2"/>
      <c r="AJ5" s="2"/>
      <c r="AK5" s="2"/>
      <c r="AL5" s="2"/>
      <c r="AM5" s="2"/>
      <c r="AN5" s="2"/>
      <c r="AO5" s="2"/>
      <c r="AP5" s="2"/>
      <c r="AQ5" s="2"/>
      <c r="AR5" s="2"/>
      <c r="AS5" s="2"/>
      <c r="AT5" s="2"/>
      <c r="AU5" s="2"/>
      <c r="DE5" s="2"/>
      <c r="DF5" s="2"/>
      <c r="DG5" s="2"/>
      <c r="DH5" s="2"/>
      <c r="DI5" s="2"/>
      <c r="DJ5" s="2"/>
    </row>
    <row r="6" spans="1:114" s="8" customFormat="1">
      <c r="B6" s="4004" t="s">
        <v>41</v>
      </c>
      <c r="C6" s="4005"/>
      <c r="D6" s="4005"/>
      <c r="E6" s="4005"/>
      <c r="F6" s="4005"/>
      <c r="G6" s="4005"/>
      <c r="H6" s="4005"/>
      <c r="I6" s="4813"/>
      <c r="J6" s="4813"/>
      <c r="K6" s="4813"/>
      <c r="L6" s="4813"/>
      <c r="M6" s="4814"/>
      <c r="N6" s="4814"/>
      <c r="O6" s="4815"/>
      <c r="V6" s="1363" t="str">
        <f>B6</f>
        <v>Lighting</v>
      </c>
      <c r="W6" s="1364"/>
      <c r="X6" s="1364"/>
      <c r="Y6" s="1364"/>
      <c r="Z6" s="1364"/>
      <c r="AA6" s="1364"/>
      <c r="AB6" s="1364"/>
      <c r="AC6" s="1364"/>
      <c r="AD6" s="1364"/>
      <c r="AE6" s="1364"/>
      <c r="AF6" s="1364"/>
      <c r="AG6" s="1364"/>
      <c r="AH6" s="1364"/>
      <c r="AI6" s="1397"/>
      <c r="AJ6" s="2"/>
      <c r="AK6" s="2"/>
      <c r="AL6" s="2"/>
      <c r="AM6" s="2"/>
      <c r="AN6" s="2"/>
      <c r="AO6" s="2"/>
      <c r="AP6" s="2"/>
      <c r="AQ6" s="2"/>
      <c r="AR6" s="2"/>
      <c r="AS6" s="2"/>
      <c r="AT6" s="2"/>
      <c r="AU6" s="2"/>
      <c r="CK6" s="7"/>
      <c r="DE6" s="2"/>
      <c r="DF6" s="2"/>
      <c r="DG6" s="1059"/>
      <c r="DH6" s="66"/>
      <c r="DI6" s="66"/>
      <c r="DJ6" s="1102"/>
    </row>
    <row r="7" spans="1:114">
      <c r="D7" s="461"/>
      <c r="E7" s="8"/>
      <c r="F7" s="8"/>
      <c r="G7" s="8"/>
      <c r="H7" s="462"/>
      <c r="I7" s="8"/>
      <c r="J7" s="8"/>
      <c r="K7" s="8"/>
      <c r="L7" s="8"/>
      <c r="P7" s="8"/>
      <c r="Q7" s="8"/>
      <c r="R7" s="8"/>
      <c r="S7" s="8"/>
      <c r="T7" s="8"/>
      <c r="U7" s="8"/>
      <c r="V7"/>
      <c r="W7"/>
      <c r="X7"/>
      <c r="Y7"/>
      <c r="Z7"/>
      <c r="AA7"/>
      <c r="AB7"/>
      <c r="AC7"/>
      <c r="AD7"/>
      <c r="AE7"/>
      <c r="AF7"/>
      <c r="AG7"/>
      <c r="AH7"/>
      <c r="AI7"/>
      <c r="AJ7" s="7"/>
      <c r="AK7" s="7"/>
      <c r="AL7" s="7"/>
      <c r="AM7" s="7"/>
      <c r="AN7" s="7"/>
      <c r="AO7" s="7"/>
      <c r="AP7" s="7"/>
      <c r="AQ7" s="7"/>
      <c r="AR7" s="7"/>
      <c r="AS7" s="7"/>
      <c r="AT7" s="7"/>
      <c r="AU7" s="7"/>
      <c r="CA7" s="8"/>
      <c r="CG7" s="2"/>
      <c r="CH7" s="2"/>
      <c r="CI7" s="2"/>
      <c r="CJ7" s="2"/>
      <c r="CW7" s="2"/>
      <c r="CX7" s="2"/>
      <c r="CY7" s="2"/>
      <c r="CZ7" s="2"/>
      <c r="DG7" s="1059"/>
      <c r="DH7" s="66"/>
      <c r="DI7" s="66"/>
      <c r="DJ7" s="1102"/>
    </row>
    <row r="8" spans="1:114" s="9" customFormat="1" ht="30">
      <c r="B8" s="7"/>
      <c r="C8" s="10" t="s">
        <v>42</v>
      </c>
      <c r="D8" s="1432" t="s">
        <v>43</v>
      </c>
      <c r="E8" s="1432" t="s">
        <v>44</v>
      </c>
      <c r="F8" s="1432" t="s">
        <v>45</v>
      </c>
      <c r="G8" s="1432" t="s">
        <v>46</v>
      </c>
      <c r="H8" s="11" t="s">
        <v>47</v>
      </c>
      <c r="I8" s="1432" t="s">
        <v>48</v>
      </c>
      <c r="J8" s="707" t="s">
        <v>49</v>
      </c>
      <c r="K8" s="12" t="s">
        <v>50</v>
      </c>
      <c r="L8" s="10" t="s">
        <v>51</v>
      </c>
      <c r="M8" s="265"/>
      <c r="N8" s="265"/>
      <c r="O8" s="265"/>
      <c r="P8" s="122"/>
      <c r="Q8" s="122"/>
      <c r="R8" s="122"/>
      <c r="S8" s="122"/>
      <c r="T8" s="122"/>
      <c r="U8" s="122"/>
      <c r="V8" s="668" t="s">
        <v>52</v>
      </c>
      <c r="W8" s="669">
        <v>43252</v>
      </c>
      <c r="X8" s="669">
        <v>43465</v>
      </c>
      <c r="Y8" s="669">
        <v>43800</v>
      </c>
      <c r="Z8" s="669">
        <v>43862</v>
      </c>
      <c r="AA8" s="669">
        <v>44013</v>
      </c>
      <c r="AB8" s="669">
        <v>44166</v>
      </c>
      <c r="AC8" s="669">
        <v>44531</v>
      </c>
      <c r="AD8" s="669">
        <v>44774</v>
      </c>
      <c r="AE8" s="669">
        <v>45142</v>
      </c>
      <c r="AF8" s="669">
        <f>'Deemed Savings Tbl Revision Log'!C17</f>
        <v>45672</v>
      </c>
      <c r="AG8" s="669" t="s">
        <v>53</v>
      </c>
      <c r="AH8"/>
      <c r="AI8" s="668" t="s">
        <v>52</v>
      </c>
      <c r="AJ8" s="669">
        <f>W8</f>
        <v>43252</v>
      </c>
      <c r="AK8" s="669">
        <f t="shared" ref="AK8:AS8" si="0">X8</f>
        <v>43465</v>
      </c>
      <c r="AL8" s="669">
        <f t="shared" si="0"/>
        <v>43800</v>
      </c>
      <c r="AM8" s="669">
        <f t="shared" si="0"/>
        <v>43862</v>
      </c>
      <c r="AN8" s="669">
        <f t="shared" si="0"/>
        <v>44013</v>
      </c>
      <c r="AO8" s="669">
        <f t="shared" si="0"/>
        <v>44166</v>
      </c>
      <c r="AP8" s="669">
        <f t="shared" si="0"/>
        <v>44531</v>
      </c>
      <c r="AQ8" s="669">
        <f t="shared" si="0"/>
        <v>44774</v>
      </c>
      <c r="AR8" s="669">
        <f t="shared" si="0"/>
        <v>45142</v>
      </c>
      <c r="AS8" s="669">
        <f t="shared" si="0"/>
        <v>45672</v>
      </c>
      <c r="AT8" s="2"/>
      <c r="AU8" s="668" t="s">
        <v>52</v>
      </c>
      <c r="AV8" s="669">
        <f>W8</f>
        <v>43252</v>
      </c>
      <c r="AW8" s="669">
        <f t="shared" ref="AW8:BE8" si="1">X8</f>
        <v>43465</v>
      </c>
      <c r="AX8" s="669">
        <f t="shared" si="1"/>
        <v>43800</v>
      </c>
      <c r="AY8" s="669">
        <f t="shared" si="1"/>
        <v>43862</v>
      </c>
      <c r="AZ8" s="669">
        <f t="shared" si="1"/>
        <v>44013</v>
      </c>
      <c r="BA8" s="669">
        <f t="shared" si="1"/>
        <v>44166</v>
      </c>
      <c r="BB8" s="669">
        <f t="shared" si="1"/>
        <v>44531</v>
      </c>
      <c r="BC8" s="669">
        <f t="shared" si="1"/>
        <v>44774</v>
      </c>
      <c r="BD8" s="669">
        <f t="shared" si="1"/>
        <v>45142</v>
      </c>
      <c r="BE8" s="669">
        <f t="shared" si="1"/>
        <v>45672</v>
      </c>
      <c r="BG8" s="2"/>
      <c r="BH8" s="2"/>
      <c r="BI8" s="2"/>
      <c r="BJ8" s="2"/>
      <c r="BK8" s="2"/>
      <c r="BL8" s="2"/>
      <c r="BM8" s="2"/>
      <c r="BN8" s="2"/>
      <c r="BO8" s="2"/>
      <c r="BP8" s="2"/>
      <c r="BQ8" s="2"/>
      <c r="BR8" s="2"/>
      <c r="BS8" s="2"/>
      <c r="BT8" s="2"/>
      <c r="BU8" s="2"/>
      <c r="BV8" s="2"/>
      <c r="BW8" s="2"/>
      <c r="BX8" s="2"/>
      <c r="BY8" s="2"/>
      <c r="BZ8" s="2"/>
      <c r="CA8" s="8"/>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1060" t="s">
        <v>54</v>
      </c>
      <c r="DH8" s="13" t="s">
        <v>55</v>
      </c>
      <c r="DI8" s="1061" t="s">
        <v>56</v>
      </c>
      <c r="DJ8" s="1103" t="s">
        <v>57</v>
      </c>
    </row>
    <row r="9" spans="1:114">
      <c r="B9" s="1454">
        <f>VALUE(LEFT(C9,6))</f>
        <v>800050</v>
      </c>
      <c r="C9" s="1637" t="s">
        <v>58</v>
      </c>
      <c r="D9" s="2160" t="s">
        <v>59</v>
      </c>
      <c r="E9" s="2161" t="s">
        <v>60</v>
      </c>
      <c r="F9" s="57">
        <f>ROUND((F49-G49)/1000*H49*I49*K49*M49,2)</f>
        <v>20.75</v>
      </c>
      <c r="G9" s="463" t="s">
        <v>61</v>
      </c>
      <c r="H9" s="464">
        <f>VLOOKUP(G9,'CP FACTORS'!$A$26:$B$38,2,FALSE)</f>
        <v>1.899635E-4</v>
      </c>
      <c r="I9" s="508">
        <f>ROUND(H9*F9*J49,6)</f>
        <v>4.0679999999999996E-3</v>
      </c>
      <c r="J9" s="20">
        <f t="shared" ref="J9:J34" si="2">L49</f>
        <v>10</v>
      </c>
      <c r="K9" s="705">
        <v>3.26</v>
      </c>
      <c r="L9" s="706" t="s">
        <v>62</v>
      </c>
      <c r="M9" s="466"/>
      <c r="P9" s="467"/>
      <c r="Q9" s="468"/>
      <c r="R9" s="469"/>
      <c r="S9" s="469"/>
      <c r="T9" s="470"/>
      <c r="V9" s="1445" t="s">
        <v>45</v>
      </c>
      <c r="W9" s="54">
        <v>87.483200000000011</v>
      </c>
      <c r="X9" s="670">
        <v>88.562211839999989</v>
      </c>
      <c r="Y9" s="54">
        <v>88.56</v>
      </c>
      <c r="Z9" s="55">
        <v>88.56</v>
      </c>
      <c r="AA9" s="55">
        <v>88.56</v>
      </c>
      <c r="AB9" s="54">
        <v>173.16</v>
      </c>
      <c r="AC9" s="826">
        <v>127.59</v>
      </c>
      <c r="AD9" s="1004">
        <v>81.459999999999994</v>
      </c>
      <c r="AE9" s="58">
        <v>21.94</v>
      </c>
      <c r="AF9" s="271">
        <f t="shared" ref="AF9:AF34" si="3">IF(F9&lt;&gt;"",F9,"")</f>
        <v>20.75</v>
      </c>
      <c r="AG9" s="71"/>
      <c r="AH9"/>
      <c r="AI9" s="1445" t="s">
        <v>49</v>
      </c>
      <c r="AJ9" s="20">
        <v>21</v>
      </c>
      <c r="AK9" s="20">
        <v>21</v>
      </c>
      <c r="AL9" s="20">
        <v>21</v>
      </c>
      <c r="AM9" s="20">
        <v>21</v>
      </c>
      <c r="AN9" s="20">
        <v>21</v>
      </c>
      <c r="AO9" s="709">
        <v>17</v>
      </c>
      <c r="AP9" s="247">
        <v>10</v>
      </c>
      <c r="AQ9" s="732">
        <v>10</v>
      </c>
      <c r="AR9" s="20">
        <v>10</v>
      </c>
      <c r="AS9" s="20">
        <v>10</v>
      </c>
      <c r="AU9" s="1445" t="s">
        <v>50</v>
      </c>
      <c r="AV9" s="710">
        <v>15.64</v>
      </c>
      <c r="AW9" s="710">
        <v>15.64</v>
      </c>
      <c r="AX9" s="710">
        <v>15.64</v>
      </c>
      <c r="AY9" s="710">
        <v>15.64</v>
      </c>
      <c r="AZ9" s="710">
        <v>15.64</v>
      </c>
      <c r="BA9" s="689">
        <v>15.64</v>
      </c>
      <c r="BB9" s="689">
        <v>15.64</v>
      </c>
      <c r="BC9" s="575">
        <v>15.64</v>
      </c>
      <c r="BD9" s="705">
        <v>15.64</v>
      </c>
      <c r="BE9" s="705">
        <v>15.64</v>
      </c>
      <c r="CG9" s="2"/>
      <c r="CH9" s="2"/>
      <c r="CI9" s="2"/>
      <c r="CJ9" s="2"/>
      <c r="CW9" s="2"/>
      <c r="CX9" s="2"/>
      <c r="CY9" s="2"/>
      <c r="CZ9" s="2"/>
      <c r="DG9" s="1062">
        <f>(DI9)/(DJ9)</f>
        <v>3.6574447966762897</v>
      </c>
      <c r="DH9" s="1400" t="str">
        <f t="shared" ref="DH9:DH33" si="4">CONCATENATE(G9," ",J9," Year EUL")</f>
        <v>Lighting BUS 10 Year EUL</v>
      </c>
      <c r="DI9" s="994">
        <f>(INDEX('Avoided Cost Benefits'!$B$4:$B$865,MATCH(DH9,'Avoided Cost Benefits'!$A$4:$A$865,0)))*F9</f>
        <v>11.923270037164704</v>
      </c>
      <c r="DJ9" s="2182">
        <f t="shared" ref="DJ9:DJ34" si="5">IFERROR(K9/((1+DiscountRate)^(CurrentYear-DiscountYear)),0)</f>
        <v>3.26</v>
      </c>
    </row>
    <row r="10" spans="1:114">
      <c r="B10" s="1454">
        <f t="shared" ref="B10:B34" si="6">VALUE(LEFT(C10,6))</f>
        <v>800100</v>
      </c>
      <c r="C10" s="1637" t="s">
        <v>63</v>
      </c>
      <c r="D10" s="2160" t="s">
        <v>59</v>
      </c>
      <c r="E10" s="2161" t="s">
        <v>64</v>
      </c>
      <c r="F10" s="57">
        <f>ROUND((F50-G50)/1000*H50*I50*K50*M50,2)</f>
        <v>77.77</v>
      </c>
      <c r="G10" s="463" t="s">
        <v>61</v>
      </c>
      <c r="H10" s="464">
        <f>VLOOKUP(G10,'CP FACTORS'!$A$26:$B$38,2,FALSE)</f>
        <v>1.899635E-4</v>
      </c>
      <c r="I10" s="508">
        <f t="shared" ref="I10:I34" si="7">ROUND(H10*F10*J50,6)</f>
        <v>1.5245999999999999E-2</v>
      </c>
      <c r="J10" s="20">
        <f t="shared" si="2"/>
        <v>10</v>
      </c>
      <c r="K10" s="705">
        <v>3.26</v>
      </c>
      <c r="L10" s="706" t="s">
        <v>62</v>
      </c>
      <c r="M10" s="466"/>
      <c r="P10" s="467"/>
      <c r="Q10" s="468"/>
      <c r="R10" s="469"/>
      <c r="S10" s="469"/>
      <c r="T10" s="470"/>
      <c r="V10" s="1445" t="s">
        <v>45</v>
      </c>
      <c r="W10" s="54">
        <v>153.09560000000002</v>
      </c>
      <c r="X10" s="55">
        <v>153.09560000000002</v>
      </c>
      <c r="Y10" s="54">
        <v>153.09560000000002</v>
      </c>
      <c r="Z10" s="55">
        <v>153.09560000000002</v>
      </c>
      <c r="AA10" s="55">
        <v>153.09560000000002</v>
      </c>
      <c r="AB10" s="54">
        <v>132.04</v>
      </c>
      <c r="AC10" s="1005">
        <v>122.43</v>
      </c>
      <c r="AD10" s="1004">
        <v>131.63</v>
      </c>
      <c r="AE10" s="58">
        <v>63.06</v>
      </c>
      <c r="AF10" s="271">
        <f t="shared" si="3"/>
        <v>77.77</v>
      </c>
      <c r="AG10" s="71"/>
      <c r="AH10"/>
      <c r="AI10" s="1445" t="s">
        <v>49</v>
      </c>
      <c r="AJ10" s="20">
        <v>17</v>
      </c>
      <c r="AK10" s="20">
        <v>17</v>
      </c>
      <c r="AL10" s="20">
        <v>17</v>
      </c>
      <c r="AM10" s="20">
        <v>17</v>
      </c>
      <c r="AN10" s="20">
        <v>17</v>
      </c>
      <c r="AO10" s="709">
        <v>17</v>
      </c>
      <c r="AP10" s="247">
        <v>10</v>
      </c>
      <c r="AQ10" s="732">
        <v>10</v>
      </c>
      <c r="AR10" s="20">
        <v>10</v>
      </c>
      <c r="AS10" s="20">
        <v>10</v>
      </c>
      <c r="AU10" s="1445" t="s">
        <v>50</v>
      </c>
      <c r="AV10" s="710">
        <v>19.64</v>
      </c>
      <c r="AW10" s="710">
        <v>19.64</v>
      </c>
      <c r="AX10" s="710">
        <v>19.64</v>
      </c>
      <c r="AY10" s="710">
        <v>19.64</v>
      </c>
      <c r="AZ10" s="710">
        <v>19.64</v>
      </c>
      <c r="BA10" s="689">
        <v>19.64</v>
      </c>
      <c r="BB10" s="689">
        <v>19.64</v>
      </c>
      <c r="BC10" s="575">
        <v>19.64</v>
      </c>
      <c r="BD10" s="705">
        <v>19.64</v>
      </c>
      <c r="BE10" s="705">
        <v>19.64</v>
      </c>
      <c r="DG10" s="1063">
        <f t="shared" ref="DG10:DG33" si="8">(DI10)/(DJ10)</f>
        <v>13.707926835542892</v>
      </c>
      <c r="DH10" s="673" t="str">
        <f t="shared" si="4"/>
        <v>Lighting BUS 10 Year EUL</v>
      </c>
      <c r="DI10" s="814">
        <f>(INDEX('Avoided Cost Benefits'!$B$4:$B$865,MATCH(DH10,'Avoided Cost Benefits'!$A$4:$A$865,0)))*F10</f>
        <v>44.687841483869825</v>
      </c>
      <c r="DJ10" s="2183">
        <f t="shared" si="5"/>
        <v>3.26</v>
      </c>
    </row>
    <row r="11" spans="1:114" ht="15.75" customHeight="1">
      <c r="B11" s="1454">
        <f t="shared" si="6"/>
        <v>800150</v>
      </c>
      <c r="C11" s="1637" t="s">
        <v>65</v>
      </c>
      <c r="D11" s="2160" t="s">
        <v>59</v>
      </c>
      <c r="E11" s="2161" t="s">
        <v>66</v>
      </c>
      <c r="F11" s="57">
        <f>ROUND((F51-G51)/1000*H51*I51*K51*M51,2)</f>
        <v>27.67</v>
      </c>
      <c r="G11" s="463" t="s">
        <v>61</v>
      </c>
      <c r="H11" s="464">
        <f>VLOOKUP(G11,'CP FACTORS'!$A$26:$B$38,2,FALSE)</f>
        <v>1.899635E-4</v>
      </c>
      <c r="I11" s="508">
        <f t="shared" si="7"/>
        <v>5.424E-3</v>
      </c>
      <c r="J11" s="20">
        <f t="shared" si="2"/>
        <v>10</v>
      </c>
      <c r="K11" s="705">
        <v>3.26</v>
      </c>
      <c r="L11" s="706" t="s">
        <v>62</v>
      </c>
      <c r="M11" s="466"/>
      <c r="P11" s="467"/>
      <c r="Q11" s="468"/>
      <c r="R11" s="469"/>
      <c r="S11" s="469"/>
      <c r="T11" s="470"/>
      <c r="V11" s="1445" t="s">
        <v>45</v>
      </c>
      <c r="W11" s="54">
        <v>201.52379999999999</v>
      </c>
      <c r="X11" s="670">
        <v>203.76008631000005</v>
      </c>
      <c r="Y11" s="54">
        <v>203.76008631000005</v>
      </c>
      <c r="Z11" s="55">
        <v>203.76008631000005</v>
      </c>
      <c r="AA11" s="55">
        <v>203.76008631000005</v>
      </c>
      <c r="AB11" s="54">
        <v>161.96</v>
      </c>
      <c r="AC11" s="1005">
        <v>149.49</v>
      </c>
      <c r="AD11" s="1004">
        <v>232.49</v>
      </c>
      <c r="AE11" s="58">
        <v>28.31</v>
      </c>
      <c r="AF11" s="271">
        <f t="shared" si="3"/>
        <v>27.67</v>
      </c>
      <c r="AG11" s="71"/>
      <c r="AH11"/>
      <c r="AI11" s="1445" t="s">
        <v>49</v>
      </c>
      <c r="AJ11" s="20">
        <v>14</v>
      </c>
      <c r="AK11" s="20">
        <v>14</v>
      </c>
      <c r="AL11" s="20">
        <v>14</v>
      </c>
      <c r="AM11" s="20">
        <v>14</v>
      </c>
      <c r="AN11" s="20">
        <v>14</v>
      </c>
      <c r="AO11" s="709">
        <v>11</v>
      </c>
      <c r="AP11" s="247">
        <v>10</v>
      </c>
      <c r="AQ11" s="732">
        <v>10</v>
      </c>
      <c r="AR11" s="20">
        <v>10</v>
      </c>
      <c r="AS11" s="20">
        <v>10</v>
      </c>
      <c r="AU11" s="1445" t="s">
        <v>50</v>
      </c>
      <c r="AV11" s="710">
        <v>48.27</v>
      </c>
      <c r="AW11" s="710">
        <v>48.27</v>
      </c>
      <c r="AX11" s="710">
        <v>48.27</v>
      </c>
      <c r="AY11" s="710">
        <v>48.27</v>
      </c>
      <c r="AZ11" s="710">
        <v>48.27</v>
      </c>
      <c r="BA11" s="689">
        <v>48.27</v>
      </c>
      <c r="BB11" s="689">
        <v>48.27</v>
      </c>
      <c r="BC11" s="575">
        <v>48.27</v>
      </c>
      <c r="BD11" s="705">
        <v>48.27</v>
      </c>
      <c r="BE11" s="705">
        <v>48.27</v>
      </c>
      <c r="DG11" s="1063">
        <f t="shared" si="8"/>
        <v>4.8771806035678527</v>
      </c>
      <c r="DH11" s="673" t="str">
        <f t="shared" si="4"/>
        <v>Lighting BUS 10 Year EUL</v>
      </c>
      <c r="DI11" s="814">
        <f>(INDEX('Avoided Cost Benefits'!$B$4:$B$865,MATCH(DH11,'Avoided Cost Benefits'!$A$4:$A$865,0)))*F11</f>
        <v>15.899608767631198</v>
      </c>
      <c r="DJ11" s="2183">
        <f t="shared" si="5"/>
        <v>3.26</v>
      </c>
    </row>
    <row r="12" spans="1:114">
      <c r="B12" s="1454">
        <f t="shared" si="6"/>
        <v>800200</v>
      </c>
      <c r="C12" s="1637" t="s">
        <v>67</v>
      </c>
      <c r="D12" s="2160" t="s">
        <v>59</v>
      </c>
      <c r="E12" s="2161" t="s">
        <v>68</v>
      </c>
      <c r="F12" s="57">
        <f>ROUND((F52-G52)/1000*H52*I52*K52*M52,2)</f>
        <v>175.07</v>
      </c>
      <c r="G12" s="463" t="s">
        <v>61</v>
      </c>
      <c r="H12" s="464">
        <f>VLOOKUP(G12,'CP FACTORS'!$A$26:$B$38,2,FALSE)</f>
        <v>1.899635E-4</v>
      </c>
      <c r="I12" s="508">
        <f t="shared" si="7"/>
        <v>3.4320999999999997E-2</v>
      </c>
      <c r="J12" s="20">
        <f t="shared" si="2"/>
        <v>10</v>
      </c>
      <c r="K12" s="705">
        <v>3.26</v>
      </c>
      <c r="L12" s="706" t="s">
        <v>62</v>
      </c>
      <c r="M12" s="466"/>
      <c r="P12" s="467"/>
      <c r="Q12" s="468"/>
      <c r="R12" s="469"/>
      <c r="S12" s="469"/>
      <c r="T12" s="470"/>
      <c r="V12" s="1445" t="s">
        <v>45</v>
      </c>
      <c r="W12" s="54">
        <v>178.0908</v>
      </c>
      <c r="X12" s="670">
        <v>164.59091000000001</v>
      </c>
      <c r="Y12" s="54">
        <v>164.59091000000001</v>
      </c>
      <c r="Z12" s="55">
        <v>164.59091000000001</v>
      </c>
      <c r="AA12" s="55">
        <v>164.59091000000001</v>
      </c>
      <c r="AB12" s="54">
        <v>154.05000000000001</v>
      </c>
      <c r="AC12" s="1005">
        <v>102.31</v>
      </c>
      <c r="AD12" s="1004">
        <v>79.69</v>
      </c>
      <c r="AE12" s="58">
        <v>120.73</v>
      </c>
      <c r="AF12" s="271">
        <f t="shared" si="3"/>
        <v>175.07</v>
      </c>
      <c r="AG12" s="71"/>
      <c r="AH12"/>
      <c r="AI12" s="1445" t="s">
        <v>49</v>
      </c>
      <c r="AJ12" s="20">
        <v>12</v>
      </c>
      <c r="AK12" s="20">
        <v>12</v>
      </c>
      <c r="AL12" s="20">
        <v>12</v>
      </c>
      <c r="AM12" s="20">
        <v>12</v>
      </c>
      <c r="AN12" s="20">
        <v>12</v>
      </c>
      <c r="AO12" s="709">
        <v>11</v>
      </c>
      <c r="AP12" s="247">
        <v>10</v>
      </c>
      <c r="AQ12" s="732">
        <v>10</v>
      </c>
      <c r="AR12" s="20">
        <v>10</v>
      </c>
      <c r="AS12" s="20">
        <v>10</v>
      </c>
      <c r="AU12" s="1445" t="s">
        <v>50</v>
      </c>
      <c r="AV12" s="710">
        <v>36.64</v>
      </c>
      <c r="AW12" s="710">
        <v>36.64</v>
      </c>
      <c r="AX12" s="710">
        <v>36.64</v>
      </c>
      <c r="AY12" s="710">
        <v>36.64</v>
      </c>
      <c r="AZ12" s="710">
        <v>36.64</v>
      </c>
      <c r="BA12" s="689">
        <v>36.64</v>
      </c>
      <c r="BB12" s="689">
        <v>36.64</v>
      </c>
      <c r="BC12" s="575">
        <v>36.64</v>
      </c>
      <c r="BD12" s="705">
        <v>36.64</v>
      </c>
      <c r="BE12" s="705">
        <v>36.64</v>
      </c>
      <c r="DG12" s="1063">
        <f t="shared" si="8"/>
        <v>30.858258339957494</v>
      </c>
      <c r="DH12" s="673" t="str">
        <f t="shared" si="4"/>
        <v>Lighting BUS 10 Year EUL</v>
      </c>
      <c r="DI12" s="814">
        <f>(INDEX('Avoided Cost Benefits'!$B$4:$B$865,MATCH(DH12,'Avoided Cost Benefits'!$A$4:$A$865,0)))*F12</f>
        <v>100.59792218826142</v>
      </c>
      <c r="DJ12" s="2183">
        <f t="shared" si="5"/>
        <v>3.26</v>
      </c>
    </row>
    <row r="13" spans="1:114">
      <c r="B13" s="1454">
        <f t="shared" si="6"/>
        <v>800250</v>
      </c>
      <c r="C13" s="1637" t="s">
        <v>69</v>
      </c>
      <c r="D13" s="2160" t="s">
        <v>59</v>
      </c>
      <c r="E13" s="2161" t="s">
        <v>70</v>
      </c>
      <c r="F13" s="57">
        <f>ROUND((F53-G53)/1000*H53*I53*K53*M53,2)</f>
        <v>40.340000000000003</v>
      </c>
      <c r="G13" s="463" t="s">
        <v>61</v>
      </c>
      <c r="H13" s="464">
        <f>VLOOKUP(G13,'CP FACTORS'!$A$26:$B$38,2,FALSE)</f>
        <v>1.899635E-4</v>
      </c>
      <c r="I13" s="508">
        <f t="shared" si="7"/>
        <v>7.9080000000000001E-3</v>
      </c>
      <c r="J13" s="20">
        <f t="shared" si="2"/>
        <v>10</v>
      </c>
      <c r="K13" s="705">
        <v>3.26</v>
      </c>
      <c r="L13" s="706" t="s">
        <v>62</v>
      </c>
      <c r="M13" s="466"/>
      <c r="P13" s="467"/>
      <c r="Q13" s="468"/>
      <c r="R13" s="469"/>
      <c r="S13" s="469"/>
      <c r="T13" s="470"/>
      <c r="V13" s="1445" t="s">
        <v>45</v>
      </c>
      <c r="W13" s="54">
        <v>257.76300000000003</v>
      </c>
      <c r="X13" s="670">
        <v>255.72252816000005</v>
      </c>
      <c r="Y13" s="54">
        <v>255.72252816000005</v>
      </c>
      <c r="Z13" s="55">
        <v>255.72252816000005</v>
      </c>
      <c r="AA13" s="55">
        <v>255.72252816000005</v>
      </c>
      <c r="AB13" s="54">
        <v>227.11</v>
      </c>
      <c r="AC13" s="1006">
        <v>194.18</v>
      </c>
      <c r="AD13" s="1004">
        <v>187.8</v>
      </c>
      <c r="AE13" s="58">
        <v>40.6</v>
      </c>
      <c r="AF13" s="271">
        <f t="shared" si="3"/>
        <v>40.340000000000003</v>
      </c>
      <c r="AG13" s="54"/>
      <c r="AH13"/>
      <c r="AI13" s="1445" t="s">
        <v>49</v>
      </c>
      <c r="AJ13" s="20">
        <v>12</v>
      </c>
      <c r="AK13" s="20">
        <v>12</v>
      </c>
      <c r="AL13" s="20">
        <v>12</v>
      </c>
      <c r="AM13" s="20">
        <v>12</v>
      </c>
      <c r="AN13" s="20">
        <v>12</v>
      </c>
      <c r="AO13" s="709">
        <v>11</v>
      </c>
      <c r="AP13" s="247">
        <v>10</v>
      </c>
      <c r="AQ13" s="732">
        <v>10</v>
      </c>
      <c r="AR13" s="20">
        <v>10</v>
      </c>
      <c r="AS13" s="20">
        <v>10</v>
      </c>
      <c r="AU13" s="1445" t="s">
        <v>50</v>
      </c>
      <c r="AV13" s="710">
        <v>74.64</v>
      </c>
      <c r="AW13" s="710">
        <v>74.64</v>
      </c>
      <c r="AX13" s="710">
        <v>74.64</v>
      </c>
      <c r="AY13" s="710">
        <v>74.64</v>
      </c>
      <c r="AZ13" s="710">
        <v>74.64</v>
      </c>
      <c r="BA13" s="689">
        <v>74.64</v>
      </c>
      <c r="BB13" s="689">
        <v>74.64</v>
      </c>
      <c r="BC13" s="575">
        <v>74.64</v>
      </c>
      <c r="BD13" s="705">
        <v>74.64</v>
      </c>
      <c r="BE13" s="705">
        <v>74.64</v>
      </c>
      <c r="DG13" s="1063">
        <f t="shared" si="8"/>
        <v>7.1104252095383877</v>
      </c>
      <c r="DH13" s="673" t="str">
        <f t="shared" si="4"/>
        <v>Lighting BUS 10 Year EUL</v>
      </c>
      <c r="DI13" s="814">
        <f>(INDEX('Avoided Cost Benefits'!$B$4:$B$865,MATCH(DH13,'Avoided Cost Benefits'!$A$4:$A$865,0)))*F13</f>
        <v>23.179986183095142</v>
      </c>
      <c r="DJ13" s="2183">
        <f t="shared" si="5"/>
        <v>3.26</v>
      </c>
    </row>
    <row r="14" spans="1:114">
      <c r="B14" s="1454">
        <f t="shared" si="6"/>
        <v>800300</v>
      </c>
      <c r="C14" s="1637" t="s">
        <v>71</v>
      </c>
      <c r="D14" s="2160" t="s">
        <v>59</v>
      </c>
      <c r="E14" s="2161" t="s">
        <v>72</v>
      </c>
      <c r="F14" s="1848">
        <f t="shared" ref="F14:F32" si="9">ROUND((F54-G54)/1000*H54*I54*K54*M54,2)</f>
        <v>716.61</v>
      </c>
      <c r="G14" s="463" t="s">
        <v>61</v>
      </c>
      <c r="H14" s="464">
        <f>VLOOKUP(G14,'CP FACTORS'!$A$26:$B$38,2,FALSE)</f>
        <v>1.899635E-4</v>
      </c>
      <c r="I14" s="1480">
        <f t="shared" si="7"/>
        <v>0.140486</v>
      </c>
      <c r="J14" s="20">
        <f t="shared" si="2"/>
        <v>15</v>
      </c>
      <c r="K14" s="1921">
        <v>68</v>
      </c>
      <c r="L14" s="706" t="s">
        <v>62</v>
      </c>
      <c r="M14" s="466"/>
      <c r="V14" s="1445" t="s">
        <v>45</v>
      </c>
      <c r="W14" s="54">
        <v>576.45180000000005</v>
      </c>
      <c r="X14" s="670">
        <v>369.51600000000002</v>
      </c>
      <c r="Y14" s="54">
        <v>369.51600000000002</v>
      </c>
      <c r="Z14" s="55">
        <v>369.51600000000002</v>
      </c>
      <c r="AA14" s="55">
        <v>369.51600000000002</v>
      </c>
      <c r="AB14" s="54">
        <v>1198.19</v>
      </c>
      <c r="AC14" s="1006">
        <v>675.33</v>
      </c>
      <c r="AD14" s="1004">
        <v>1128.8699999999999</v>
      </c>
      <c r="AE14" s="418">
        <v>1129.0999999999999</v>
      </c>
      <c r="AF14" s="271">
        <f t="shared" si="3"/>
        <v>716.61</v>
      </c>
      <c r="AG14" s="54"/>
      <c r="AI14" s="1445" t="s">
        <v>49</v>
      </c>
      <c r="AJ14" s="20">
        <v>11</v>
      </c>
      <c r="AK14" s="20">
        <v>11</v>
      </c>
      <c r="AL14" s="20">
        <v>11</v>
      </c>
      <c r="AM14" s="20">
        <v>11</v>
      </c>
      <c r="AN14" s="20">
        <v>11</v>
      </c>
      <c r="AO14" s="709">
        <v>11</v>
      </c>
      <c r="AP14" s="247">
        <v>15</v>
      </c>
      <c r="AQ14" s="732">
        <v>15</v>
      </c>
      <c r="AR14" s="20">
        <v>15</v>
      </c>
      <c r="AS14" s="20">
        <v>15</v>
      </c>
      <c r="AU14" s="1445" t="s">
        <v>50</v>
      </c>
      <c r="AV14" s="710">
        <v>191.39</v>
      </c>
      <c r="AW14" s="710">
        <v>191.39</v>
      </c>
      <c r="AX14" s="710">
        <v>191.39</v>
      </c>
      <c r="AY14" s="710">
        <v>191.39</v>
      </c>
      <c r="AZ14" s="710">
        <v>191.39</v>
      </c>
      <c r="BA14" s="689">
        <v>191.39</v>
      </c>
      <c r="BB14" s="689">
        <v>191.39</v>
      </c>
      <c r="BC14" s="575">
        <v>191.39</v>
      </c>
      <c r="BD14" s="705">
        <v>191.39</v>
      </c>
      <c r="BE14" s="705">
        <v>191.39</v>
      </c>
      <c r="DG14" s="1063">
        <f t="shared" si="8"/>
        <v>8.1013171644147945</v>
      </c>
      <c r="DH14" s="673" t="str">
        <f t="shared" si="4"/>
        <v>Lighting BUS 15 Year EUL</v>
      </c>
      <c r="DI14" s="814">
        <f>(INDEX('Avoided Cost Benefits'!$B$4:$B$865,MATCH(DH14,'Avoided Cost Benefits'!$A$4:$A$865,0)))*F14</f>
        <v>550.88956718020597</v>
      </c>
      <c r="DJ14" s="2183">
        <f t="shared" si="5"/>
        <v>68</v>
      </c>
    </row>
    <row r="15" spans="1:114">
      <c r="B15" s="1454">
        <f t="shared" si="6"/>
        <v>800350</v>
      </c>
      <c r="C15" s="1637" t="s">
        <v>73</v>
      </c>
      <c r="D15" s="2160" t="s">
        <v>59</v>
      </c>
      <c r="E15" s="2161" t="s">
        <v>74</v>
      </c>
      <c r="F15" s="1848">
        <f t="shared" si="9"/>
        <v>798.17</v>
      </c>
      <c r="G15" s="463" t="s">
        <v>61</v>
      </c>
      <c r="H15" s="464">
        <f>VLOOKUP(G15,'CP FACTORS'!$A$26:$B$38,2,FALSE)</f>
        <v>1.899635E-4</v>
      </c>
      <c r="I15" s="1480">
        <f t="shared" si="7"/>
        <v>0.156475</v>
      </c>
      <c r="J15" s="20">
        <f t="shared" si="2"/>
        <v>15</v>
      </c>
      <c r="K15" s="1921">
        <v>60</v>
      </c>
      <c r="L15" s="706" t="s">
        <v>62</v>
      </c>
      <c r="M15" s="466"/>
      <c r="V15" s="1445" t="s">
        <v>45</v>
      </c>
      <c r="W15" s="54">
        <v>702.99</v>
      </c>
      <c r="X15" s="670">
        <v>884.37428794386449</v>
      </c>
      <c r="Y15" s="54">
        <v>884.37428794386449</v>
      </c>
      <c r="Z15" s="55">
        <v>884.37428794386449</v>
      </c>
      <c r="AA15" s="55">
        <v>884.37428794386449</v>
      </c>
      <c r="AB15" s="54">
        <v>902.06</v>
      </c>
      <c r="AC15" s="1006">
        <v>837.22</v>
      </c>
      <c r="AD15" s="1004">
        <v>843.63</v>
      </c>
      <c r="AE15" s="418">
        <v>843.88</v>
      </c>
      <c r="AF15" s="271">
        <f t="shared" si="3"/>
        <v>798.17</v>
      </c>
      <c r="AG15" s="54"/>
      <c r="AI15" s="1445" t="s">
        <v>49</v>
      </c>
      <c r="AJ15" s="20">
        <v>10</v>
      </c>
      <c r="AK15" s="20">
        <v>10</v>
      </c>
      <c r="AL15" s="20">
        <v>10</v>
      </c>
      <c r="AM15" s="20">
        <v>10</v>
      </c>
      <c r="AN15" s="20">
        <v>10</v>
      </c>
      <c r="AO15" s="709">
        <v>11</v>
      </c>
      <c r="AP15" s="247">
        <v>15</v>
      </c>
      <c r="AQ15" s="732">
        <v>15</v>
      </c>
      <c r="AR15" s="20">
        <v>15</v>
      </c>
      <c r="AS15" s="20">
        <v>15</v>
      </c>
      <c r="AU15" s="1445" t="s">
        <v>50</v>
      </c>
      <c r="AV15" s="710">
        <v>233.64</v>
      </c>
      <c r="AW15" s="710">
        <v>233.64</v>
      </c>
      <c r="AX15" s="710">
        <v>233.64</v>
      </c>
      <c r="AY15" s="710">
        <v>233.64</v>
      </c>
      <c r="AZ15" s="710">
        <v>233.64</v>
      </c>
      <c r="BA15" s="689">
        <v>233.64</v>
      </c>
      <c r="BB15" s="689">
        <v>233.64</v>
      </c>
      <c r="BC15" s="575">
        <v>233.64</v>
      </c>
      <c r="BD15" s="705">
        <v>233.64</v>
      </c>
      <c r="BE15" s="705">
        <v>233.64</v>
      </c>
      <c r="DG15" s="1063">
        <f t="shared" si="8"/>
        <v>10.226471996302614</v>
      </c>
      <c r="DH15" s="673" t="str">
        <f t="shared" si="4"/>
        <v>Lighting BUS 15 Year EUL</v>
      </c>
      <c r="DI15" s="814">
        <f>(INDEX('Avoided Cost Benefits'!$B$4:$B$865,MATCH(DH15,'Avoided Cost Benefits'!$A$4:$A$865,0)))*F15</f>
        <v>613.5883197781568</v>
      </c>
      <c r="DJ15" s="2183">
        <f t="shared" si="5"/>
        <v>60</v>
      </c>
    </row>
    <row r="16" spans="1:114">
      <c r="B16" s="1454">
        <f t="shared" si="6"/>
        <v>800400</v>
      </c>
      <c r="C16" s="1637" t="s">
        <v>75</v>
      </c>
      <c r="D16" s="2160" t="s">
        <v>59</v>
      </c>
      <c r="E16" s="2161" t="s">
        <v>76</v>
      </c>
      <c r="F16" s="1848">
        <f t="shared" si="9"/>
        <v>983.73</v>
      </c>
      <c r="G16" s="463" t="s">
        <v>61</v>
      </c>
      <c r="H16" s="464">
        <f>VLOOKUP(G16,'CP FACTORS'!$A$26:$B$38,2,FALSE)</f>
        <v>1.899635E-4</v>
      </c>
      <c r="I16" s="1480">
        <f t="shared" si="7"/>
        <v>0.192853</v>
      </c>
      <c r="J16" s="20">
        <f t="shared" si="2"/>
        <v>15</v>
      </c>
      <c r="K16" s="1921">
        <v>156</v>
      </c>
      <c r="L16" s="706" t="s">
        <v>62</v>
      </c>
      <c r="M16" s="466"/>
      <c r="V16" s="1445" t="s">
        <v>45</v>
      </c>
      <c r="W16" s="54">
        <v>1209.1428000000001</v>
      </c>
      <c r="X16" s="670">
        <v>1471.9795478952801</v>
      </c>
      <c r="Y16" s="54">
        <v>1471.9795478952801</v>
      </c>
      <c r="Z16" s="55">
        <v>1471.9795478952801</v>
      </c>
      <c r="AA16" s="55">
        <v>1471.9795478952801</v>
      </c>
      <c r="AB16" s="54">
        <v>1459.71</v>
      </c>
      <c r="AC16" s="1006">
        <v>1031.8599999999999</v>
      </c>
      <c r="AD16" s="1004">
        <v>1039.67</v>
      </c>
      <c r="AE16" s="418">
        <v>1040.07</v>
      </c>
      <c r="AF16" s="271">
        <f t="shared" si="3"/>
        <v>983.73</v>
      </c>
      <c r="AG16" s="54"/>
      <c r="AI16" s="1445" t="s">
        <v>49</v>
      </c>
      <c r="AJ16" s="20">
        <v>11</v>
      </c>
      <c r="AK16" s="20">
        <v>11</v>
      </c>
      <c r="AL16" s="20">
        <v>11</v>
      </c>
      <c r="AM16" s="20">
        <v>11</v>
      </c>
      <c r="AN16" s="20">
        <v>11</v>
      </c>
      <c r="AO16" s="709">
        <v>11</v>
      </c>
      <c r="AP16" s="247">
        <v>15</v>
      </c>
      <c r="AQ16" s="732">
        <v>15</v>
      </c>
      <c r="AR16" s="20">
        <v>15</v>
      </c>
      <c r="AS16" s="20">
        <v>15</v>
      </c>
      <c r="AU16" s="1445" t="s">
        <v>50</v>
      </c>
      <c r="AV16" s="710">
        <v>361.64</v>
      </c>
      <c r="AW16" s="710">
        <v>361.64</v>
      </c>
      <c r="AX16" s="710">
        <v>361.64</v>
      </c>
      <c r="AY16" s="710">
        <v>361.64</v>
      </c>
      <c r="AZ16" s="710">
        <v>361.64</v>
      </c>
      <c r="BA16" s="689">
        <v>361.64</v>
      </c>
      <c r="BB16" s="689">
        <v>361.64</v>
      </c>
      <c r="BC16" s="575">
        <v>361.64</v>
      </c>
      <c r="BD16" s="705">
        <v>361.64</v>
      </c>
      <c r="BE16" s="705">
        <v>361.64</v>
      </c>
      <c r="DG16" s="1063">
        <f t="shared" si="8"/>
        <v>4.8476694751372467</v>
      </c>
      <c r="DH16" s="673" t="str">
        <f t="shared" si="4"/>
        <v>Lighting BUS 15 Year EUL</v>
      </c>
      <c r="DI16" s="814">
        <f>(INDEX('Avoided Cost Benefits'!$B$4:$B$865,MATCH(DH16,'Avoided Cost Benefits'!$A$4:$A$865,0)))*F16</f>
        <v>756.23643812141052</v>
      </c>
      <c r="DJ16" s="2183">
        <f t="shared" si="5"/>
        <v>156</v>
      </c>
    </row>
    <row r="17" spans="2:114">
      <c r="B17" s="1454">
        <f t="shared" si="6"/>
        <v>800450</v>
      </c>
      <c r="C17" s="3499" t="s">
        <v>77</v>
      </c>
      <c r="D17" s="3500" t="s">
        <v>78</v>
      </c>
      <c r="E17" s="3501" t="s">
        <v>79</v>
      </c>
      <c r="F17" s="3502">
        <f t="shared" si="9"/>
        <v>418.23</v>
      </c>
      <c r="G17" s="3503" t="s">
        <v>80</v>
      </c>
      <c r="H17" s="3504">
        <f>VLOOKUP(G17,'CP FACTORS'!$A$26:$B$38,2,FALSE)</f>
        <v>5.6160000000000001E-6</v>
      </c>
      <c r="I17" s="3505">
        <f t="shared" si="7"/>
        <v>2.349E-3</v>
      </c>
      <c r="J17" s="3506">
        <f t="shared" si="2"/>
        <v>15</v>
      </c>
      <c r="K17" s="3507">
        <v>60</v>
      </c>
      <c r="L17" s="3508" t="s">
        <v>62</v>
      </c>
      <c r="M17" s="466"/>
      <c r="V17" s="2244" t="s">
        <v>45</v>
      </c>
      <c r="W17" s="3223">
        <v>439.45</v>
      </c>
      <c r="X17" s="2709">
        <v>455.12400000000002</v>
      </c>
      <c r="Y17" s="2709">
        <v>446.2</v>
      </c>
      <c r="Z17" s="3224">
        <v>446.2</v>
      </c>
      <c r="AA17" s="3224">
        <v>446.2</v>
      </c>
      <c r="AB17" s="3223">
        <v>446.2</v>
      </c>
      <c r="AC17" s="3514">
        <v>432.55</v>
      </c>
      <c r="AD17" s="3515">
        <v>442.06</v>
      </c>
      <c r="AE17" s="3516">
        <v>442.18</v>
      </c>
      <c r="AF17" s="2236">
        <f t="shared" si="3"/>
        <v>418.23</v>
      </c>
      <c r="AG17" s="3223"/>
      <c r="AH17" s="3517"/>
      <c r="AI17" s="2244" t="s">
        <v>49</v>
      </c>
      <c r="AJ17" s="3506">
        <v>11</v>
      </c>
      <c r="AK17" s="3506">
        <v>11</v>
      </c>
      <c r="AL17" s="3506">
        <v>11</v>
      </c>
      <c r="AM17" s="3506">
        <v>11</v>
      </c>
      <c r="AN17" s="3506">
        <v>11</v>
      </c>
      <c r="AO17" s="3518">
        <v>12</v>
      </c>
      <c r="AP17" s="3519">
        <v>15</v>
      </c>
      <c r="AQ17" s="3520">
        <v>15</v>
      </c>
      <c r="AR17" s="3506">
        <v>15</v>
      </c>
      <c r="AS17" s="3506">
        <v>15</v>
      </c>
      <c r="AT17" s="3517"/>
      <c r="AU17" s="2244" t="s">
        <v>50</v>
      </c>
      <c r="AV17" s="3521">
        <v>191.39</v>
      </c>
      <c r="AW17" s="3521">
        <v>191.39</v>
      </c>
      <c r="AX17" s="3521">
        <v>191.39</v>
      </c>
      <c r="AY17" s="3521">
        <v>191.39</v>
      </c>
      <c r="AZ17" s="3521">
        <v>191.39</v>
      </c>
      <c r="BA17" s="3522">
        <v>191.39</v>
      </c>
      <c r="BB17" s="3522">
        <v>191.39</v>
      </c>
      <c r="BC17" s="3523">
        <v>191.39</v>
      </c>
      <c r="BD17" s="3524">
        <v>191.39</v>
      </c>
      <c r="BE17" s="3524">
        <v>191.39</v>
      </c>
      <c r="BF17" s="3517"/>
      <c r="BG17" s="3517"/>
      <c r="BH17" s="3517"/>
      <c r="BI17" s="3517"/>
      <c r="BJ17" s="3517"/>
      <c r="BK17" s="3517"/>
      <c r="BL17" s="3517"/>
      <c r="BM17" s="3517"/>
      <c r="BN17" s="3517"/>
      <c r="BO17" s="3517"/>
      <c r="BP17" s="3517"/>
      <c r="BQ17" s="3517"/>
      <c r="BR17" s="3517"/>
      <c r="BS17" s="3517"/>
      <c r="BT17" s="3517"/>
      <c r="BU17" s="3517"/>
      <c r="BV17" s="3517"/>
      <c r="DG17" s="2422">
        <f t="shared" si="8"/>
        <v>3.0904254648252034</v>
      </c>
      <c r="DH17" s="2423" t="str">
        <f t="shared" si="4"/>
        <v>Ext Lighting BUS 15 Year EUL</v>
      </c>
      <c r="DI17" s="3525">
        <f>(INDEX('Avoided Cost Benefits'!$B$4:$B$865,MATCH(DH17,'Avoided Cost Benefits'!$A$4:$A$865,0)))*F17</f>
        <v>185.42552788951221</v>
      </c>
      <c r="DJ17" s="3526">
        <f t="shared" si="5"/>
        <v>60</v>
      </c>
    </row>
    <row r="18" spans="2:114">
      <c r="B18" s="1454">
        <f t="shared" si="6"/>
        <v>800500</v>
      </c>
      <c r="C18" s="3499" t="s">
        <v>81</v>
      </c>
      <c r="D18" s="3500" t="s">
        <v>78</v>
      </c>
      <c r="E18" s="3501" t="s">
        <v>82</v>
      </c>
      <c r="F18" s="3502">
        <f t="shared" si="9"/>
        <v>796.46</v>
      </c>
      <c r="G18" s="3503" t="s">
        <v>80</v>
      </c>
      <c r="H18" s="3504">
        <f>VLOOKUP(G18,'CP FACTORS'!$A$26:$B$38,2,FALSE)</f>
        <v>5.6160000000000001E-6</v>
      </c>
      <c r="I18" s="3505">
        <f t="shared" si="7"/>
        <v>4.4730000000000004E-3</v>
      </c>
      <c r="J18" s="3506">
        <f t="shared" si="2"/>
        <v>15</v>
      </c>
      <c r="K18" s="3507">
        <v>129</v>
      </c>
      <c r="L18" s="3508" t="s">
        <v>62</v>
      </c>
      <c r="M18" s="466"/>
      <c r="V18" s="2244" t="s">
        <v>45</v>
      </c>
      <c r="W18" s="3223">
        <v>1047.5333333333335</v>
      </c>
      <c r="X18" s="2709">
        <v>763.45076985983769</v>
      </c>
      <c r="Y18" s="2709">
        <v>713.50539239237162</v>
      </c>
      <c r="Z18" s="3224">
        <v>713.50539239237162</v>
      </c>
      <c r="AA18" s="3224">
        <v>713.50539239237162</v>
      </c>
      <c r="AB18" s="3223">
        <v>713.51</v>
      </c>
      <c r="AC18" s="3514">
        <v>823.73</v>
      </c>
      <c r="AD18" s="3515">
        <v>841.83</v>
      </c>
      <c r="AE18" s="3516">
        <v>842.07</v>
      </c>
      <c r="AF18" s="2236">
        <f t="shared" si="3"/>
        <v>796.46</v>
      </c>
      <c r="AG18" s="3223"/>
      <c r="AH18" s="3517"/>
      <c r="AI18" s="2244" t="s">
        <v>49</v>
      </c>
      <c r="AJ18" s="3506">
        <v>12</v>
      </c>
      <c r="AK18" s="3506">
        <v>12</v>
      </c>
      <c r="AL18" s="3506">
        <v>12</v>
      </c>
      <c r="AM18" s="3506">
        <v>12</v>
      </c>
      <c r="AN18" s="3506">
        <v>12</v>
      </c>
      <c r="AO18" s="3518">
        <v>12</v>
      </c>
      <c r="AP18" s="3519">
        <v>15</v>
      </c>
      <c r="AQ18" s="3520">
        <v>15</v>
      </c>
      <c r="AR18" s="3506">
        <v>15</v>
      </c>
      <c r="AS18" s="3506">
        <v>15</v>
      </c>
      <c r="AT18" s="3517"/>
      <c r="AU18" s="2244" t="s">
        <v>50</v>
      </c>
      <c r="AV18" s="3521">
        <v>233.64</v>
      </c>
      <c r="AW18" s="3521">
        <v>233.64</v>
      </c>
      <c r="AX18" s="3521">
        <v>233.64</v>
      </c>
      <c r="AY18" s="3521">
        <v>233.64</v>
      </c>
      <c r="AZ18" s="3521">
        <v>233.64</v>
      </c>
      <c r="BA18" s="3522">
        <v>233.64</v>
      </c>
      <c r="BB18" s="3522">
        <v>233.64</v>
      </c>
      <c r="BC18" s="3523">
        <v>233.64</v>
      </c>
      <c r="BD18" s="3524">
        <v>233.64</v>
      </c>
      <c r="BE18" s="3524">
        <v>233.64</v>
      </c>
      <c r="BF18" s="3517"/>
      <c r="BG18" s="3517"/>
      <c r="BH18" s="3517"/>
      <c r="BI18" s="3517"/>
      <c r="BJ18" s="3517"/>
      <c r="BK18" s="3517"/>
      <c r="BL18" s="3517"/>
      <c r="BM18" s="3517"/>
      <c r="BN18" s="3517"/>
      <c r="BO18" s="3517"/>
      <c r="BP18" s="3517"/>
      <c r="BQ18" s="3517"/>
      <c r="BR18" s="3517"/>
      <c r="BS18" s="3517"/>
      <c r="BT18" s="3517"/>
      <c r="BU18" s="3517"/>
      <c r="BV18" s="3517"/>
      <c r="DG18" s="2422">
        <f t="shared" si="8"/>
        <v>2.7373391026242726</v>
      </c>
      <c r="DH18" s="2423" t="str">
        <f t="shared" si="4"/>
        <v>Ext Lighting BUS 15 Year EUL</v>
      </c>
      <c r="DI18" s="3525">
        <f>(INDEX('Avoided Cost Benefits'!$B$4:$B$865,MATCH(DH18,'Avoided Cost Benefits'!$A$4:$A$865,0)))*F18</f>
        <v>353.11674423853117</v>
      </c>
      <c r="DJ18" s="3526">
        <f t="shared" si="5"/>
        <v>129</v>
      </c>
    </row>
    <row r="19" spans="2:114">
      <c r="B19" s="1454">
        <f t="shared" si="6"/>
        <v>800550</v>
      </c>
      <c r="C19" s="3499" t="s">
        <v>83</v>
      </c>
      <c r="D19" s="3500" t="s">
        <v>78</v>
      </c>
      <c r="E19" s="3501" t="s">
        <v>84</v>
      </c>
      <c r="F19" s="3502">
        <f t="shared" si="9"/>
        <v>1457.44</v>
      </c>
      <c r="G19" s="3503" t="s">
        <v>80</v>
      </c>
      <c r="H19" s="3504">
        <f>VLOOKUP(G19,'CP FACTORS'!$A$26:$B$38,2,FALSE)</f>
        <v>5.6160000000000001E-6</v>
      </c>
      <c r="I19" s="3505">
        <f t="shared" si="7"/>
        <v>8.1849999999999996E-3</v>
      </c>
      <c r="J19" s="3506">
        <f t="shared" si="2"/>
        <v>15</v>
      </c>
      <c r="K19" s="3507">
        <v>156</v>
      </c>
      <c r="L19" s="3508" t="s">
        <v>62</v>
      </c>
      <c r="M19" s="466"/>
      <c r="V19" s="2244" t="s">
        <v>45</v>
      </c>
      <c r="W19" s="3223">
        <v>956.14999999999975</v>
      </c>
      <c r="X19" s="2709">
        <v>1074.2028039281829</v>
      </c>
      <c r="Y19" s="2709">
        <v>1003.9278541384887</v>
      </c>
      <c r="Z19" s="3224">
        <v>1003.9278541384887</v>
      </c>
      <c r="AA19" s="3224">
        <v>1003.9278541384887</v>
      </c>
      <c r="AB19" s="3223">
        <v>1003.93</v>
      </c>
      <c r="AC19" s="3514">
        <v>1507.33</v>
      </c>
      <c r="AD19" s="3515">
        <v>1540.46</v>
      </c>
      <c r="AE19" s="3516">
        <v>1540.91</v>
      </c>
      <c r="AF19" s="2236">
        <f t="shared" si="3"/>
        <v>1457.44</v>
      </c>
      <c r="AG19" s="3223"/>
      <c r="AH19" s="3517"/>
      <c r="AI19" s="2244" t="s">
        <v>49</v>
      </c>
      <c r="AJ19" s="3506">
        <v>12</v>
      </c>
      <c r="AK19" s="3506">
        <v>12</v>
      </c>
      <c r="AL19" s="3506">
        <v>12</v>
      </c>
      <c r="AM19" s="3506">
        <v>12</v>
      </c>
      <c r="AN19" s="3506">
        <v>12</v>
      </c>
      <c r="AO19" s="3518">
        <v>12</v>
      </c>
      <c r="AP19" s="3519">
        <v>15</v>
      </c>
      <c r="AQ19" s="3520">
        <v>15</v>
      </c>
      <c r="AR19" s="3506">
        <v>15</v>
      </c>
      <c r="AS19" s="3506">
        <v>15</v>
      </c>
      <c r="AT19" s="3517"/>
      <c r="AU19" s="2244" t="s">
        <v>50</v>
      </c>
      <c r="AV19" s="3521">
        <v>361.64</v>
      </c>
      <c r="AW19" s="3521">
        <v>361.64</v>
      </c>
      <c r="AX19" s="3521">
        <v>361.64</v>
      </c>
      <c r="AY19" s="3521">
        <v>361.64</v>
      </c>
      <c r="AZ19" s="3521">
        <v>361.64</v>
      </c>
      <c r="BA19" s="3522">
        <v>361.64</v>
      </c>
      <c r="BB19" s="3522">
        <v>361.64</v>
      </c>
      <c r="BC19" s="3523">
        <v>361.64</v>
      </c>
      <c r="BD19" s="3524">
        <v>361.64</v>
      </c>
      <c r="BE19" s="3524">
        <v>361.64</v>
      </c>
      <c r="BF19" s="3517"/>
      <c r="BG19" s="3517"/>
      <c r="BH19" s="3517"/>
      <c r="BI19" s="3517"/>
      <c r="BJ19" s="3517"/>
      <c r="BK19" s="3517"/>
      <c r="BL19" s="3517"/>
      <c r="BM19" s="3517"/>
      <c r="BN19" s="3517"/>
      <c r="BO19" s="3517"/>
      <c r="BP19" s="3517"/>
      <c r="BQ19" s="3517"/>
      <c r="BR19" s="3517"/>
      <c r="BS19" s="3517"/>
      <c r="BT19" s="3517"/>
      <c r="BU19" s="3517"/>
      <c r="BV19" s="3517"/>
      <c r="DG19" s="2422">
        <f t="shared" si="8"/>
        <v>4.1420985595475104</v>
      </c>
      <c r="DH19" s="2423" t="str">
        <f t="shared" si="4"/>
        <v>Ext Lighting BUS 15 Year EUL</v>
      </c>
      <c r="DI19" s="3525">
        <f>(INDEX('Avoided Cost Benefits'!$B$4:$B$865,MATCH(DH19,'Avoided Cost Benefits'!$A$4:$A$865,0)))*F19</f>
        <v>646.16737528941167</v>
      </c>
      <c r="DJ19" s="3526">
        <f t="shared" si="5"/>
        <v>156</v>
      </c>
    </row>
    <row r="20" spans="2:114">
      <c r="B20" s="1454">
        <f t="shared" si="6"/>
        <v>800600</v>
      </c>
      <c r="C20" s="3499" t="s">
        <v>85</v>
      </c>
      <c r="D20" s="3500" t="s">
        <v>78</v>
      </c>
      <c r="E20" s="3501" t="s">
        <v>86</v>
      </c>
      <c r="F20" s="3502">
        <f t="shared" si="9"/>
        <v>656.8</v>
      </c>
      <c r="G20" s="3503" t="s">
        <v>87</v>
      </c>
      <c r="H20" s="3504">
        <f>VLOOKUP(G20,'CP FACTORS'!$A$26:$B$38,2,FALSE)</f>
        <v>1.379439E-4</v>
      </c>
      <c r="I20" s="3505">
        <f t="shared" si="7"/>
        <v>9.0602000000000002E-2</v>
      </c>
      <c r="J20" s="3506">
        <f t="shared" si="2"/>
        <v>15</v>
      </c>
      <c r="K20" s="3507">
        <v>60</v>
      </c>
      <c r="L20" s="3508" t="s">
        <v>62</v>
      </c>
      <c r="M20" s="466"/>
      <c r="V20" s="2244" t="s">
        <v>45</v>
      </c>
      <c r="W20" s="3223">
        <v>1077.48</v>
      </c>
      <c r="X20" s="2709">
        <v>700.72</v>
      </c>
      <c r="Y20" s="3223">
        <v>700.72</v>
      </c>
      <c r="Z20" s="3224">
        <v>700.72</v>
      </c>
      <c r="AA20" s="3224">
        <v>700.72</v>
      </c>
      <c r="AB20" s="3223">
        <v>700.72</v>
      </c>
      <c r="AC20" s="3514">
        <v>679.28</v>
      </c>
      <c r="AD20" s="3515">
        <v>694.21</v>
      </c>
      <c r="AE20" s="3516">
        <v>694.41</v>
      </c>
      <c r="AF20" s="2236">
        <f t="shared" si="3"/>
        <v>656.8</v>
      </c>
      <c r="AG20" s="3223"/>
      <c r="AH20" s="3517"/>
      <c r="AI20" s="2244" t="s">
        <v>49</v>
      </c>
      <c r="AJ20" s="3506">
        <v>6</v>
      </c>
      <c r="AK20" s="3506">
        <v>6</v>
      </c>
      <c r="AL20" s="3506">
        <v>6</v>
      </c>
      <c r="AM20" s="3506">
        <v>6</v>
      </c>
      <c r="AN20" s="3506">
        <v>6</v>
      </c>
      <c r="AO20" s="3518">
        <v>6</v>
      </c>
      <c r="AP20" s="3519">
        <v>15</v>
      </c>
      <c r="AQ20" s="3520">
        <v>15</v>
      </c>
      <c r="AR20" s="3506">
        <v>15</v>
      </c>
      <c r="AS20" s="3506">
        <v>15</v>
      </c>
      <c r="AT20" s="3517"/>
      <c r="AU20" s="2244" t="s">
        <v>50</v>
      </c>
      <c r="AV20" s="3521">
        <v>191.39</v>
      </c>
      <c r="AW20" s="3521">
        <v>191.39</v>
      </c>
      <c r="AX20" s="3521">
        <v>191.39</v>
      </c>
      <c r="AY20" s="3521">
        <v>191.39</v>
      </c>
      <c r="AZ20" s="3521">
        <v>191.39</v>
      </c>
      <c r="BA20" s="3522">
        <v>191.39</v>
      </c>
      <c r="BB20" s="3522">
        <v>191.39</v>
      </c>
      <c r="BC20" s="3523">
        <v>191.39</v>
      </c>
      <c r="BD20" s="3524">
        <v>191.39</v>
      </c>
      <c r="BE20" s="3524">
        <v>191.39</v>
      </c>
      <c r="BF20" s="3517"/>
      <c r="BG20" s="3517"/>
      <c r="BH20" s="3517"/>
      <c r="BI20" s="3517"/>
      <c r="BJ20" s="3517"/>
      <c r="BK20" s="3517"/>
      <c r="BL20" s="3517"/>
      <c r="BM20" s="3517"/>
      <c r="BN20" s="3517"/>
      <c r="BO20" s="3517"/>
      <c r="BP20" s="3517"/>
      <c r="BQ20" s="3517"/>
      <c r="BR20" s="3517"/>
      <c r="BS20" s="3517"/>
      <c r="BT20" s="3517"/>
      <c r="BU20" s="3517"/>
      <c r="BV20" s="3517"/>
      <c r="DG20" s="2422">
        <f t="shared" si="8"/>
        <v>7.8061010915971139</v>
      </c>
      <c r="DH20" s="2423" t="str">
        <f t="shared" si="4"/>
        <v>Miscellaneous BUS 15 Year EUL</v>
      </c>
      <c r="DI20" s="3525">
        <f>(INDEX('Avoided Cost Benefits'!$B$4:$B$865,MATCH(DH20,'Avoided Cost Benefits'!$A$4:$A$865,0)))*F20</f>
        <v>468.36606549582683</v>
      </c>
      <c r="DJ20" s="3526">
        <f t="shared" si="5"/>
        <v>60</v>
      </c>
    </row>
    <row r="21" spans="2:114">
      <c r="B21" s="1454">
        <f t="shared" si="6"/>
        <v>800650</v>
      </c>
      <c r="C21" s="3499" t="s">
        <v>88</v>
      </c>
      <c r="D21" s="3500" t="s">
        <v>78</v>
      </c>
      <c r="E21" s="3501" t="s">
        <v>89</v>
      </c>
      <c r="F21" s="3502">
        <f t="shared" si="9"/>
        <v>1389.33</v>
      </c>
      <c r="G21" s="3503" t="s">
        <v>87</v>
      </c>
      <c r="H21" s="3504">
        <f>VLOOKUP(G21,'CP FACTORS'!$A$26:$B$38,2,FALSE)</f>
        <v>1.379439E-4</v>
      </c>
      <c r="I21" s="3505">
        <f t="shared" si="7"/>
        <v>0.19164999999999999</v>
      </c>
      <c r="J21" s="3506">
        <f t="shared" si="2"/>
        <v>15</v>
      </c>
      <c r="K21" s="3507">
        <v>129</v>
      </c>
      <c r="L21" s="3508" t="s">
        <v>62</v>
      </c>
      <c r="M21" s="466"/>
      <c r="V21" s="2244" t="s">
        <v>45</v>
      </c>
      <c r="W21" s="3223">
        <v>1314</v>
      </c>
      <c r="X21" s="2709">
        <v>1556.3830153584765</v>
      </c>
      <c r="Y21" s="2709">
        <v>1482.2695384366443</v>
      </c>
      <c r="Z21" s="3224">
        <v>1482.2695384366443</v>
      </c>
      <c r="AA21" s="3224">
        <v>1482.2695384366443</v>
      </c>
      <c r="AB21" s="3223">
        <v>1482.27</v>
      </c>
      <c r="AC21" s="3514">
        <v>1436.92</v>
      </c>
      <c r="AD21" s="3515">
        <v>1468.46</v>
      </c>
      <c r="AE21" s="3516">
        <v>1468.89</v>
      </c>
      <c r="AF21" s="2236">
        <f t="shared" si="3"/>
        <v>1389.33</v>
      </c>
      <c r="AG21" s="3223"/>
      <c r="AH21" s="3517"/>
      <c r="AI21" s="2244" t="s">
        <v>49</v>
      </c>
      <c r="AJ21" s="3506">
        <v>6</v>
      </c>
      <c r="AK21" s="3506">
        <v>6</v>
      </c>
      <c r="AL21" s="3506">
        <v>6</v>
      </c>
      <c r="AM21" s="3506">
        <v>6</v>
      </c>
      <c r="AN21" s="3506">
        <v>6</v>
      </c>
      <c r="AO21" s="3518">
        <v>6</v>
      </c>
      <c r="AP21" s="3519">
        <v>15</v>
      </c>
      <c r="AQ21" s="3520">
        <v>15</v>
      </c>
      <c r="AR21" s="3506">
        <v>15</v>
      </c>
      <c r="AS21" s="3506">
        <v>15</v>
      </c>
      <c r="AT21" s="3517"/>
      <c r="AU21" s="2244" t="s">
        <v>50</v>
      </c>
      <c r="AV21" s="3521">
        <v>233.64</v>
      </c>
      <c r="AW21" s="3521">
        <v>233.64</v>
      </c>
      <c r="AX21" s="3521">
        <v>233.64</v>
      </c>
      <c r="AY21" s="3521">
        <v>233.64</v>
      </c>
      <c r="AZ21" s="3521">
        <v>233.64</v>
      </c>
      <c r="BA21" s="3522">
        <v>233.64</v>
      </c>
      <c r="BB21" s="3522">
        <v>233.64</v>
      </c>
      <c r="BC21" s="3523">
        <v>233.64</v>
      </c>
      <c r="BD21" s="3524">
        <v>233.64</v>
      </c>
      <c r="BE21" s="3524">
        <v>233.64</v>
      </c>
      <c r="BF21" s="3517"/>
      <c r="BG21" s="3517"/>
      <c r="BH21" s="3517"/>
      <c r="BI21" s="3517"/>
      <c r="BJ21" s="3517"/>
      <c r="BK21" s="3517"/>
      <c r="BL21" s="3517"/>
      <c r="BM21" s="3517"/>
      <c r="BN21" s="3517"/>
      <c r="BO21" s="3517"/>
      <c r="BP21" s="3517"/>
      <c r="BQ21" s="3517"/>
      <c r="BR21" s="3517"/>
      <c r="BS21" s="3517"/>
      <c r="BT21" s="3517"/>
      <c r="BU21" s="3517"/>
      <c r="BV21" s="3517"/>
      <c r="DG21" s="2422">
        <f t="shared" si="8"/>
        <v>7.6801195575366243</v>
      </c>
      <c r="DH21" s="2423" t="str">
        <f t="shared" si="4"/>
        <v>Miscellaneous BUS 15 Year EUL</v>
      </c>
      <c r="DI21" s="3525">
        <f>(INDEX('Avoided Cost Benefits'!$B$4:$B$865,MATCH(DH21,'Avoided Cost Benefits'!$A$4:$A$865,0)))*F21</f>
        <v>990.73542292222453</v>
      </c>
      <c r="DJ21" s="3526">
        <f t="shared" si="5"/>
        <v>129</v>
      </c>
    </row>
    <row r="22" spans="2:114">
      <c r="B22" s="1454">
        <f t="shared" si="6"/>
        <v>800700</v>
      </c>
      <c r="C22" s="3499" t="s">
        <v>90</v>
      </c>
      <c r="D22" s="3500" t="s">
        <v>78</v>
      </c>
      <c r="E22" s="3501" t="s">
        <v>91</v>
      </c>
      <c r="F22" s="3502">
        <f t="shared" si="9"/>
        <v>2490.86</v>
      </c>
      <c r="G22" s="3503" t="s">
        <v>87</v>
      </c>
      <c r="H22" s="3504">
        <f>VLOOKUP(G22,'CP FACTORS'!$A$26:$B$38,2,FALSE)</f>
        <v>1.379439E-4</v>
      </c>
      <c r="I22" s="3505">
        <f t="shared" si="7"/>
        <v>0.34359899999999999</v>
      </c>
      <c r="J22" s="3506">
        <f t="shared" si="2"/>
        <v>15</v>
      </c>
      <c r="K22" s="3507">
        <v>156</v>
      </c>
      <c r="L22" s="3508" t="s">
        <v>62</v>
      </c>
      <c r="M22" s="466"/>
      <c r="V22" s="2244" t="s">
        <v>45</v>
      </c>
      <c r="W22" s="3223">
        <v>2452.8000000000002</v>
      </c>
      <c r="X22" s="2709">
        <v>2870.1497349058618</v>
      </c>
      <c r="Y22" s="2709">
        <v>2657.5460508387609</v>
      </c>
      <c r="Z22" s="3224">
        <v>2657.5460508387609</v>
      </c>
      <c r="AA22" s="3224">
        <v>2657.5460508387609</v>
      </c>
      <c r="AB22" s="3223">
        <v>2657.55</v>
      </c>
      <c r="AC22" s="3514">
        <v>2576.25</v>
      </c>
      <c r="AD22" s="3515">
        <v>2632.74</v>
      </c>
      <c r="AE22" s="3516">
        <v>2633.51</v>
      </c>
      <c r="AF22" s="2236">
        <f t="shared" si="3"/>
        <v>2490.86</v>
      </c>
      <c r="AG22" s="3223"/>
      <c r="AH22" s="3517"/>
      <c r="AI22" s="2244" t="s">
        <v>49</v>
      </c>
      <c r="AJ22" s="3506">
        <v>6</v>
      </c>
      <c r="AK22" s="3506">
        <v>6</v>
      </c>
      <c r="AL22" s="3506">
        <v>6</v>
      </c>
      <c r="AM22" s="3506">
        <v>6</v>
      </c>
      <c r="AN22" s="3506">
        <v>6</v>
      </c>
      <c r="AO22" s="3518">
        <v>6</v>
      </c>
      <c r="AP22" s="3519">
        <v>15</v>
      </c>
      <c r="AQ22" s="3520">
        <v>15</v>
      </c>
      <c r="AR22" s="3506">
        <v>15</v>
      </c>
      <c r="AS22" s="3506">
        <v>15</v>
      </c>
      <c r="AT22" s="3517"/>
      <c r="AU22" s="2244" t="s">
        <v>50</v>
      </c>
      <c r="AV22" s="3521">
        <v>361.64</v>
      </c>
      <c r="AW22" s="3521">
        <v>361.64</v>
      </c>
      <c r="AX22" s="3521">
        <v>361.64</v>
      </c>
      <c r="AY22" s="3521">
        <v>361.64</v>
      </c>
      <c r="AZ22" s="3521">
        <v>361.64</v>
      </c>
      <c r="BA22" s="3522">
        <v>361.64</v>
      </c>
      <c r="BB22" s="3522">
        <v>361.64</v>
      </c>
      <c r="BC22" s="3523">
        <v>361.64</v>
      </c>
      <c r="BD22" s="3524">
        <v>361.64</v>
      </c>
      <c r="BE22" s="3524">
        <v>361.64</v>
      </c>
      <c r="BF22" s="3517"/>
      <c r="BG22" s="3517"/>
      <c r="BH22" s="3517"/>
      <c r="BI22" s="3517"/>
      <c r="BJ22" s="3517"/>
      <c r="BK22" s="3517"/>
      <c r="BL22" s="3517"/>
      <c r="BM22" s="3517"/>
      <c r="BN22" s="3517"/>
      <c r="BO22" s="3517"/>
      <c r="BP22" s="3517"/>
      <c r="BQ22" s="3517"/>
      <c r="BR22" s="3517"/>
      <c r="BS22" s="3517"/>
      <c r="BT22" s="3517"/>
      <c r="BU22" s="3517"/>
      <c r="BV22" s="3517"/>
      <c r="DG22" s="2422">
        <f t="shared" si="8"/>
        <v>11.386152537369759</v>
      </c>
      <c r="DH22" s="2423" t="str">
        <f t="shared" si="4"/>
        <v>Miscellaneous BUS 15 Year EUL</v>
      </c>
      <c r="DI22" s="3525">
        <f>(INDEX('Avoided Cost Benefits'!$B$4:$B$865,MATCH(DH22,'Avoided Cost Benefits'!$A$4:$A$865,0)))*F22</f>
        <v>1776.2397958296824</v>
      </c>
      <c r="DJ22" s="3526">
        <f t="shared" si="5"/>
        <v>156</v>
      </c>
    </row>
    <row r="23" spans="2:114">
      <c r="B23" s="1454">
        <f t="shared" si="6"/>
        <v>800750</v>
      </c>
      <c r="C23" s="1637" t="s">
        <v>92</v>
      </c>
      <c r="D23" s="2160" t="s">
        <v>59</v>
      </c>
      <c r="E23" s="2161" t="s">
        <v>93</v>
      </c>
      <c r="F23" s="1848">
        <f t="shared" si="9"/>
        <v>243.01</v>
      </c>
      <c r="G23" s="463" t="s">
        <v>61</v>
      </c>
      <c r="H23" s="464">
        <f>VLOOKUP(G23,'CP FACTORS'!$A$26:$B$38,2,FALSE)</f>
        <v>1.899635E-4</v>
      </c>
      <c r="I23" s="1480">
        <f t="shared" si="7"/>
        <v>4.7640000000000002E-2</v>
      </c>
      <c r="J23" s="20">
        <f t="shared" si="2"/>
        <v>7</v>
      </c>
      <c r="K23" s="705">
        <v>45.25</v>
      </c>
      <c r="L23" s="706" t="s">
        <v>62</v>
      </c>
      <c r="M23" s="466"/>
      <c r="V23" s="1445" t="s">
        <v>45</v>
      </c>
      <c r="W23" s="54">
        <v>253.07640000000004</v>
      </c>
      <c r="X23" s="55">
        <v>253.07640000000004</v>
      </c>
      <c r="Y23" s="54">
        <v>253.07640000000004</v>
      </c>
      <c r="Z23" s="55">
        <v>253.07640000000004</v>
      </c>
      <c r="AA23" s="55">
        <v>253.07640000000004</v>
      </c>
      <c r="AB23" s="54">
        <v>248.43</v>
      </c>
      <c r="AC23" s="1006">
        <v>231.65</v>
      </c>
      <c r="AD23" s="1004">
        <v>309.14</v>
      </c>
      <c r="AE23" s="58">
        <v>261.05</v>
      </c>
      <c r="AF23" s="271">
        <f t="shared" si="3"/>
        <v>243.01</v>
      </c>
      <c r="AG23" s="54"/>
      <c r="AI23" s="1445" t="s">
        <v>49</v>
      </c>
      <c r="AJ23" s="20">
        <v>16</v>
      </c>
      <c r="AK23" s="20">
        <v>16</v>
      </c>
      <c r="AL23" s="20">
        <v>16</v>
      </c>
      <c r="AM23" s="20">
        <v>16</v>
      </c>
      <c r="AN23" s="20">
        <v>16</v>
      </c>
      <c r="AO23" s="709">
        <v>16</v>
      </c>
      <c r="AP23" s="247">
        <v>7</v>
      </c>
      <c r="AQ23" s="732">
        <v>7</v>
      </c>
      <c r="AR23" s="20">
        <v>7</v>
      </c>
      <c r="AS23" s="20">
        <v>7</v>
      </c>
      <c r="AU23" s="1445" t="s">
        <v>50</v>
      </c>
      <c r="AV23" s="710">
        <v>45.25</v>
      </c>
      <c r="AW23" s="710">
        <v>45.25</v>
      </c>
      <c r="AX23" s="710">
        <v>45.25</v>
      </c>
      <c r="AY23" s="710">
        <v>45.25</v>
      </c>
      <c r="AZ23" s="710">
        <v>45.25</v>
      </c>
      <c r="BA23" s="689">
        <v>45.25</v>
      </c>
      <c r="BB23" s="689">
        <v>45.25</v>
      </c>
      <c r="BC23" s="575">
        <v>45.25</v>
      </c>
      <c r="BD23" s="705">
        <v>45.25</v>
      </c>
      <c r="BE23" s="705">
        <v>45.25</v>
      </c>
      <c r="DG23" s="1063">
        <f t="shared" si="8"/>
        <v>2.3213842325206708</v>
      </c>
      <c r="DH23" s="673" t="str">
        <f t="shared" si="4"/>
        <v>Lighting BUS 7 Year EUL</v>
      </c>
      <c r="DI23" s="814">
        <f>(INDEX('Avoided Cost Benefits'!$B$4:$B$865,MATCH(DH23,'Avoided Cost Benefits'!$A$4:$A$865,0)))*F23</f>
        <v>105.04263652156035</v>
      </c>
      <c r="DJ23" s="2183">
        <f t="shared" si="5"/>
        <v>45.25</v>
      </c>
    </row>
    <row r="24" spans="2:114">
      <c r="B24" s="1454">
        <f t="shared" si="6"/>
        <v>800800</v>
      </c>
      <c r="C24" s="1637" t="s">
        <v>94</v>
      </c>
      <c r="D24" s="2160" t="s">
        <v>95</v>
      </c>
      <c r="E24" s="2161" t="s">
        <v>96</v>
      </c>
      <c r="F24" s="1848">
        <f t="shared" si="9"/>
        <v>290.27999999999997</v>
      </c>
      <c r="G24" s="463" t="s">
        <v>61</v>
      </c>
      <c r="H24" s="464">
        <f>VLOOKUP(G24,'CP FACTORS'!$A$26:$B$38,2,FALSE)</f>
        <v>1.899635E-4</v>
      </c>
      <c r="I24" s="1480">
        <f t="shared" si="7"/>
        <v>5.6906999999999999E-2</v>
      </c>
      <c r="J24" s="20">
        <f t="shared" si="2"/>
        <v>10</v>
      </c>
      <c r="K24" s="1921">
        <v>13</v>
      </c>
      <c r="L24" s="706" t="s">
        <v>62</v>
      </c>
      <c r="M24" s="466"/>
      <c r="V24" s="1445" t="s">
        <v>45</v>
      </c>
      <c r="W24" s="949">
        <v>222.56</v>
      </c>
      <c r="X24" s="55">
        <v>222.56</v>
      </c>
      <c r="Y24" s="949">
        <v>222.56</v>
      </c>
      <c r="Z24" s="55">
        <v>222.56</v>
      </c>
      <c r="AA24" s="55">
        <v>222.56</v>
      </c>
      <c r="AB24" s="949">
        <v>156.94</v>
      </c>
      <c r="AC24" s="1006">
        <v>350.49</v>
      </c>
      <c r="AD24" s="1004">
        <v>301.75</v>
      </c>
      <c r="AE24" s="58">
        <v>347.98</v>
      </c>
      <c r="AF24" s="271">
        <f t="shared" si="3"/>
        <v>290.27999999999997</v>
      </c>
      <c r="AG24" s="949"/>
      <c r="AI24" s="1445" t="s">
        <v>49</v>
      </c>
      <c r="AJ24" s="20">
        <v>8</v>
      </c>
      <c r="AK24" s="20">
        <v>8</v>
      </c>
      <c r="AL24" s="20">
        <v>8</v>
      </c>
      <c r="AM24" s="20">
        <v>8</v>
      </c>
      <c r="AN24" s="20">
        <v>8</v>
      </c>
      <c r="AO24" s="3971">
        <v>10</v>
      </c>
      <c r="AP24" s="247">
        <v>10</v>
      </c>
      <c r="AQ24" s="732">
        <v>10</v>
      </c>
      <c r="AR24" s="20">
        <v>10</v>
      </c>
      <c r="AS24" s="20">
        <v>10</v>
      </c>
      <c r="AU24" s="1445" t="s">
        <v>50</v>
      </c>
      <c r="AV24" s="710">
        <v>29.64</v>
      </c>
      <c r="AW24" s="710">
        <v>29.64</v>
      </c>
      <c r="AX24" s="710">
        <v>29.64</v>
      </c>
      <c r="AY24" s="710">
        <v>29.64</v>
      </c>
      <c r="AZ24" s="710">
        <v>29.64</v>
      </c>
      <c r="BA24" s="3972">
        <v>29.64</v>
      </c>
      <c r="BB24" s="3972">
        <v>29.64</v>
      </c>
      <c r="BC24" s="575">
        <v>29.64</v>
      </c>
      <c r="BD24" s="705">
        <v>29.64</v>
      </c>
      <c r="BE24" s="705">
        <v>29.64</v>
      </c>
      <c r="CG24" s="76"/>
      <c r="CH24" s="76"/>
      <c r="CI24" s="76"/>
      <c r="CJ24" s="76"/>
      <c r="CW24" s="76"/>
      <c r="CX24" s="76"/>
      <c r="CY24" s="76"/>
      <c r="CZ24" s="76"/>
      <c r="DG24" s="1063">
        <f t="shared" si="8"/>
        <v>12.830720394395438</v>
      </c>
      <c r="DH24" s="673" t="str">
        <f t="shared" si="4"/>
        <v>Lighting BUS 10 Year EUL</v>
      </c>
      <c r="DI24" s="814">
        <f>(INDEX('Avoided Cost Benefits'!$B$4:$B$865,MATCH(DH24,'Avoided Cost Benefits'!$A$4:$A$865,0)))*F24</f>
        <v>166.7993651271407</v>
      </c>
      <c r="DJ24" s="2183">
        <f t="shared" si="5"/>
        <v>13</v>
      </c>
    </row>
    <row r="25" spans="2:114">
      <c r="B25" s="1454">
        <f t="shared" si="6"/>
        <v>800801</v>
      </c>
      <c r="C25" s="1637" t="s">
        <v>97</v>
      </c>
      <c r="D25" s="2160" t="s">
        <v>95</v>
      </c>
      <c r="E25" s="2161" t="s">
        <v>98</v>
      </c>
      <c r="F25" s="1848">
        <f t="shared" si="9"/>
        <v>473.41</v>
      </c>
      <c r="G25" s="463" t="s">
        <v>61</v>
      </c>
      <c r="H25" s="464">
        <f>VLOOKUP(G25,'CP FACTORS'!$A$26:$B$38,2,FALSE)</f>
        <v>1.899635E-4</v>
      </c>
      <c r="I25" s="1480">
        <f t="shared" si="7"/>
        <v>9.2808000000000002E-2</v>
      </c>
      <c r="J25" s="20">
        <f t="shared" si="2"/>
        <v>15</v>
      </c>
      <c r="K25" s="1921">
        <v>13</v>
      </c>
      <c r="L25" s="706" t="s">
        <v>62</v>
      </c>
      <c r="M25" s="466"/>
      <c r="V25" s="1445" t="s">
        <v>45</v>
      </c>
      <c r="W25" s="838"/>
      <c r="X25" s="839"/>
      <c r="Y25" s="838"/>
      <c r="Z25" s="839"/>
      <c r="AA25" s="839"/>
      <c r="AB25" s="54">
        <v>365.22</v>
      </c>
      <c r="AC25" s="1006">
        <v>476.96</v>
      </c>
      <c r="AD25" s="1004">
        <v>545.25</v>
      </c>
      <c r="AE25" s="58">
        <v>449.25</v>
      </c>
      <c r="AF25" s="271">
        <f t="shared" si="3"/>
        <v>473.41</v>
      </c>
      <c r="AG25" s="54"/>
      <c r="AI25" s="105" t="s">
        <v>49</v>
      </c>
      <c r="AJ25" s="840"/>
      <c r="AK25" s="840"/>
      <c r="AL25" s="840"/>
      <c r="AM25" s="840"/>
      <c r="AN25" s="840"/>
      <c r="AO25" s="709">
        <v>15</v>
      </c>
      <c r="AP25" s="247">
        <v>15</v>
      </c>
      <c r="AQ25" s="732">
        <v>15</v>
      </c>
      <c r="AR25" s="20">
        <v>15</v>
      </c>
      <c r="AS25" s="20">
        <v>15</v>
      </c>
      <c r="AU25" s="105" t="s">
        <v>50</v>
      </c>
      <c r="AV25" s="841"/>
      <c r="AW25" s="841"/>
      <c r="AX25" s="841"/>
      <c r="AY25" s="841"/>
      <c r="AZ25" s="841"/>
      <c r="BA25" s="689">
        <v>29.64</v>
      </c>
      <c r="BB25" s="689">
        <v>29.64</v>
      </c>
      <c r="BC25" s="575">
        <v>29.64</v>
      </c>
      <c r="BD25" s="705">
        <v>29.64</v>
      </c>
      <c r="BE25" s="705">
        <v>29.64</v>
      </c>
      <c r="DG25" s="1063">
        <f t="shared" si="8"/>
        <v>27.994696181570848</v>
      </c>
      <c r="DH25" s="673" t="str">
        <f t="shared" si="4"/>
        <v>Lighting BUS 15 Year EUL</v>
      </c>
      <c r="DI25" s="814">
        <f>(INDEX('Avoided Cost Benefits'!$B$4:$B$865,MATCH(DH25,'Avoided Cost Benefits'!$A$4:$A$865,0)))*F25</f>
        <v>363.93105036042101</v>
      </c>
      <c r="DJ25" s="2183">
        <f t="shared" si="5"/>
        <v>13</v>
      </c>
    </row>
    <row r="26" spans="2:114" s="3517" customFormat="1">
      <c r="B26" s="2208">
        <f t="shared" si="6"/>
        <v>800802</v>
      </c>
      <c r="C26" s="3499" t="s">
        <v>99</v>
      </c>
      <c r="D26" s="3500" t="s">
        <v>78</v>
      </c>
      <c r="E26" s="3501" t="s">
        <v>100</v>
      </c>
      <c r="F26" s="3502">
        <f t="shared" si="9"/>
        <v>286.79000000000002</v>
      </c>
      <c r="G26" s="3503" t="s">
        <v>61</v>
      </c>
      <c r="H26" s="3504">
        <v>1.899635E-4</v>
      </c>
      <c r="I26" s="3505">
        <f t="shared" si="7"/>
        <v>5.6223000000000002E-2</v>
      </c>
      <c r="J26" s="3506">
        <f t="shared" si="2"/>
        <v>11</v>
      </c>
      <c r="K26" s="3507">
        <v>13</v>
      </c>
      <c r="L26" s="3508" t="s">
        <v>62</v>
      </c>
      <c r="M26" s="3527"/>
      <c r="N26" s="3528"/>
      <c r="O26" s="3528"/>
      <c r="P26" s="3528"/>
      <c r="Q26" s="3528"/>
      <c r="R26" s="3528"/>
      <c r="S26" s="3528"/>
      <c r="T26" s="3528"/>
      <c r="U26" s="3528"/>
      <c r="V26" s="2244" t="s">
        <v>45</v>
      </c>
      <c r="W26" s="3529"/>
      <c r="X26" s="3530"/>
      <c r="Y26" s="3529"/>
      <c r="Z26" s="3530"/>
      <c r="AA26" s="3530"/>
      <c r="AB26" s="3530"/>
      <c r="AC26" s="3514">
        <v>0</v>
      </c>
      <c r="AD26" s="3515">
        <v>303.08999999999997</v>
      </c>
      <c r="AE26" s="3516">
        <v>303.22000000000003</v>
      </c>
      <c r="AF26" s="2236">
        <f t="shared" si="3"/>
        <v>286.79000000000002</v>
      </c>
      <c r="AG26" s="3223"/>
      <c r="AI26" s="2409" t="s">
        <v>49</v>
      </c>
      <c r="AJ26" s="3531"/>
      <c r="AK26" s="3531"/>
      <c r="AL26" s="3531"/>
      <c r="AM26" s="3531"/>
      <c r="AN26" s="3531"/>
      <c r="AO26" s="3532"/>
      <c r="AP26" s="3519">
        <v>11</v>
      </c>
      <c r="AQ26" s="3520">
        <v>11</v>
      </c>
      <c r="AR26" s="3506">
        <v>11</v>
      </c>
      <c r="AS26" s="3506">
        <v>11</v>
      </c>
      <c r="AU26" s="2409" t="s">
        <v>50</v>
      </c>
      <c r="AV26" s="3533"/>
      <c r="AW26" s="3533"/>
      <c r="AX26" s="3533"/>
      <c r="AY26" s="3533"/>
      <c r="AZ26" s="3533"/>
      <c r="BA26" s="3534"/>
      <c r="BB26" s="3522">
        <v>29.64</v>
      </c>
      <c r="BC26" s="3523">
        <v>29.64</v>
      </c>
      <c r="BD26" s="3524">
        <v>29.64</v>
      </c>
      <c r="BE26" s="3524">
        <v>29.64</v>
      </c>
      <c r="CG26" s="2237"/>
      <c r="CH26" s="2237"/>
      <c r="CI26" s="2237"/>
      <c r="CJ26" s="2237"/>
      <c r="CW26" s="2237"/>
      <c r="CX26" s="2237"/>
      <c r="CY26" s="2237"/>
      <c r="CZ26" s="2237"/>
      <c r="DG26" s="2422">
        <f>(DI26)/(DJ26)</f>
        <v>13.613777657076202</v>
      </c>
      <c r="DH26" s="2423" t="str">
        <f>CONCATENATE(G26," ",J26," Year EUL")</f>
        <v>Lighting BUS 11 Year EUL</v>
      </c>
      <c r="DI26" s="3525">
        <f>(INDEX('Avoided Cost Benefits'!$B$4:$B$865,MATCH(DH26,'Avoided Cost Benefits'!$A$4:$A$865,0)))*F26</f>
        <v>176.97910954199062</v>
      </c>
      <c r="DJ26" s="3526">
        <f t="shared" si="5"/>
        <v>13</v>
      </c>
    </row>
    <row r="27" spans="2:114">
      <c r="B27" s="1454">
        <f t="shared" si="6"/>
        <v>800850</v>
      </c>
      <c r="C27" s="1637" t="s">
        <v>101</v>
      </c>
      <c r="D27" s="2160" t="s">
        <v>95</v>
      </c>
      <c r="E27" s="2161" t="s">
        <v>102</v>
      </c>
      <c r="F27" s="1848">
        <f t="shared" si="9"/>
        <v>220.32</v>
      </c>
      <c r="G27" s="463" t="s">
        <v>61</v>
      </c>
      <c r="H27" s="464">
        <f>VLOOKUP(G27,'CP FACTORS'!$A$26:$B$38,2,FALSE)</f>
        <v>1.899635E-4</v>
      </c>
      <c r="I27" s="1480">
        <f t="shared" si="7"/>
        <v>4.3192000000000001E-2</v>
      </c>
      <c r="J27" s="20">
        <f t="shared" si="2"/>
        <v>10</v>
      </c>
      <c r="K27" s="1921">
        <v>13</v>
      </c>
      <c r="L27" s="706" t="s">
        <v>62</v>
      </c>
      <c r="M27" s="466"/>
      <c r="V27" s="1445" t="s">
        <v>45</v>
      </c>
      <c r="W27" s="949">
        <v>82.39</v>
      </c>
      <c r="X27" s="670">
        <v>84.819074273197472</v>
      </c>
      <c r="Y27" s="949">
        <v>84.819074273197472</v>
      </c>
      <c r="Z27" s="55">
        <v>84.819074273197472</v>
      </c>
      <c r="AA27" s="55">
        <v>84.819074273197472</v>
      </c>
      <c r="AB27" s="949">
        <v>86.01</v>
      </c>
      <c r="AC27" s="1006">
        <v>207.73</v>
      </c>
      <c r="AD27" s="1004">
        <v>234.37</v>
      </c>
      <c r="AE27" s="58">
        <v>186.98</v>
      </c>
      <c r="AF27" s="271">
        <f t="shared" si="3"/>
        <v>220.32</v>
      </c>
      <c r="AG27" s="949"/>
      <c r="AI27" s="1445" t="s">
        <v>49</v>
      </c>
      <c r="AJ27" s="20">
        <v>9</v>
      </c>
      <c r="AK27" s="20">
        <v>9</v>
      </c>
      <c r="AL27" s="20">
        <v>9</v>
      </c>
      <c r="AM27" s="20">
        <v>9</v>
      </c>
      <c r="AN27" s="20">
        <v>9</v>
      </c>
      <c r="AO27" s="3971">
        <v>10</v>
      </c>
      <c r="AP27" s="247">
        <v>10</v>
      </c>
      <c r="AQ27" s="732">
        <v>10</v>
      </c>
      <c r="AR27" s="20">
        <v>10</v>
      </c>
      <c r="AS27" s="20">
        <v>10</v>
      </c>
      <c r="AU27" s="1445" t="s">
        <v>50</v>
      </c>
      <c r="AV27" s="710">
        <v>29.64</v>
      </c>
      <c r="AW27" s="710">
        <v>29.64</v>
      </c>
      <c r="AX27" s="710">
        <v>29.64</v>
      </c>
      <c r="AY27" s="710">
        <v>29.64</v>
      </c>
      <c r="AZ27" s="710">
        <v>29.64</v>
      </c>
      <c r="BA27" s="3972">
        <v>29.64</v>
      </c>
      <c r="BB27" s="3972">
        <v>29.64</v>
      </c>
      <c r="BC27" s="575">
        <v>29.64</v>
      </c>
      <c r="BD27" s="705">
        <v>29.64</v>
      </c>
      <c r="BE27" s="705">
        <v>29.64</v>
      </c>
      <c r="CG27" s="76"/>
      <c r="CH27" s="76"/>
      <c r="CI27" s="76"/>
      <c r="CJ27" s="76"/>
      <c r="CW27" s="76"/>
      <c r="CX27" s="76"/>
      <c r="CY27" s="76"/>
      <c r="CZ27" s="76"/>
      <c r="DG27" s="1063">
        <f t="shared" si="8"/>
        <v>9.7384053923563574</v>
      </c>
      <c r="DH27" s="673" t="str">
        <f t="shared" si="4"/>
        <v>Lighting BUS 10 Year EUL</v>
      </c>
      <c r="DI27" s="814">
        <f>(INDEX('Avoided Cost Benefits'!$B$4:$B$865,MATCH(DH27,'Avoided Cost Benefits'!$A$4:$A$865,0)))*F27</f>
        <v>126.59927010063264</v>
      </c>
      <c r="DJ27" s="2183">
        <f t="shared" si="5"/>
        <v>13</v>
      </c>
    </row>
    <row r="28" spans="2:114">
      <c r="B28" s="1454">
        <f t="shared" si="6"/>
        <v>800851</v>
      </c>
      <c r="C28" s="1637" t="s">
        <v>103</v>
      </c>
      <c r="D28" s="2160" t="s">
        <v>59</v>
      </c>
      <c r="E28" s="2161" t="s">
        <v>104</v>
      </c>
      <c r="F28" s="1848">
        <f t="shared" si="9"/>
        <v>200.02</v>
      </c>
      <c r="G28" s="463" t="s">
        <v>61</v>
      </c>
      <c r="H28" s="464">
        <f>VLOOKUP(G28,'CP FACTORS'!$A$26:$B$38,2,FALSE)</f>
        <v>1.899635E-4</v>
      </c>
      <c r="I28" s="1480">
        <f t="shared" si="7"/>
        <v>3.9211999999999997E-2</v>
      </c>
      <c r="J28" s="20">
        <f t="shared" si="2"/>
        <v>15</v>
      </c>
      <c r="K28" s="1921">
        <v>13</v>
      </c>
      <c r="L28" s="706" t="s">
        <v>62</v>
      </c>
      <c r="M28" s="466"/>
      <c r="V28" s="1445" t="s">
        <v>45</v>
      </c>
      <c r="W28" s="838"/>
      <c r="X28" s="839"/>
      <c r="Y28" s="838"/>
      <c r="Z28" s="839"/>
      <c r="AA28" s="839"/>
      <c r="AB28" s="54">
        <v>161.24</v>
      </c>
      <c r="AC28" s="1006">
        <v>212.23</v>
      </c>
      <c r="AD28" s="1004">
        <v>198.78</v>
      </c>
      <c r="AE28" s="58">
        <v>192.42</v>
      </c>
      <c r="AF28" s="271">
        <f t="shared" si="3"/>
        <v>200.02</v>
      </c>
      <c r="AG28" s="54"/>
      <c r="AI28" s="105" t="s">
        <v>49</v>
      </c>
      <c r="AJ28" s="840"/>
      <c r="AK28" s="840"/>
      <c r="AL28" s="840"/>
      <c r="AM28" s="840"/>
      <c r="AN28" s="840"/>
      <c r="AO28" s="709">
        <v>15</v>
      </c>
      <c r="AP28" s="247">
        <v>15</v>
      </c>
      <c r="AQ28" s="732">
        <v>15</v>
      </c>
      <c r="AR28" s="20">
        <v>15</v>
      </c>
      <c r="AS28" s="20">
        <v>15</v>
      </c>
      <c r="AU28" s="105" t="s">
        <v>50</v>
      </c>
      <c r="AV28" s="841"/>
      <c r="AW28" s="841"/>
      <c r="AX28" s="841"/>
      <c r="AY28" s="841"/>
      <c r="AZ28" s="841"/>
      <c r="BA28" s="689">
        <v>29.64</v>
      </c>
      <c r="BB28" s="689">
        <v>29.64</v>
      </c>
      <c r="BC28" s="575">
        <v>29.64</v>
      </c>
      <c r="BD28" s="705">
        <v>29.64</v>
      </c>
      <c r="BE28" s="705">
        <v>29.64</v>
      </c>
      <c r="DG28" s="1063">
        <f t="shared" si="8"/>
        <v>11.82801193518895</v>
      </c>
      <c r="DH28" s="673" t="str">
        <f t="shared" si="4"/>
        <v>Lighting BUS 15 Year EUL</v>
      </c>
      <c r="DI28" s="814">
        <f>(INDEX('Avoided Cost Benefits'!$B$4:$B$865,MATCH(DH28,'Avoided Cost Benefits'!$A$4:$A$865,0)))*F28</f>
        <v>153.76415515745634</v>
      </c>
      <c r="DJ28" s="2183">
        <f t="shared" si="5"/>
        <v>13</v>
      </c>
    </row>
    <row r="29" spans="2:114" s="3517" customFormat="1">
      <c r="B29" s="2208">
        <f t="shared" si="6"/>
        <v>800852</v>
      </c>
      <c r="C29" s="3499" t="s">
        <v>105</v>
      </c>
      <c r="D29" s="3500" t="s">
        <v>78</v>
      </c>
      <c r="E29" s="3501" t="s">
        <v>106</v>
      </c>
      <c r="F29" s="3502">
        <f t="shared" si="9"/>
        <v>169.72</v>
      </c>
      <c r="G29" s="3503" t="s">
        <v>61</v>
      </c>
      <c r="H29" s="3504">
        <v>1.899635E-4</v>
      </c>
      <c r="I29" s="3505">
        <f t="shared" si="7"/>
        <v>3.3272000000000003E-2</v>
      </c>
      <c r="J29" s="3506">
        <f t="shared" si="2"/>
        <v>11</v>
      </c>
      <c r="K29" s="3507">
        <v>13</v>
      </c>
      <c r="L29" s="3508" t="s">
        <v>62</v>
      </c>
      <c r="M29" s="3527"/>
      <c r="N29" s="3528"/>
      <c r="O29" s="3528"/>
      <c r="P29" s="3528"/>
      <c r="Q29" s="3528"/>
      <c r="R29" s="3528"/>
      <c r="S29" s="3528"/>
      <c r="T29" s="3528"/>
      <c r="U29" s="3528"/>
      <c r="V29" s="2244" t="s">
        <v>45</v>
      </c>
      <c r="W29" s="3529"/>
      <c r="X29" s="3530"/>
      <c r="Y29" s="3529"/>
      <c r="Z29" s="3530"/>
      <c r="AA29" s="3530"/>
      <c r="AB29" s="3530"/>
      <c r="AC29" s="3514">
        <v>0</v>
      </c>
      <c r="AD29" s="3515">
        <v>176.37</v>
      </c>
      <c r="AE29" s="3510">
        <v>179.44</v>
      </c>
      <c r="AF29" s="2236">
        <f t="shared" si="3"/>
        <v>169.72</v>
      </c>
      <c r="AG29" s="3223"/>
      <c r="AI29" s="2409" t="s">
        <v>49</v>
      </c>
      <c r="AJ29" s="3531"/>
      <c r="AK29" s="3531"/>
      <c r="AL29" s="3531"/>
      <c r="AM29" s="3531"/>
      <c r="AN29" s="3531"/>
      <c r="AO29" s="3532"/>
      <c r="AP29" s="3519">
        <v>11</v>
      </c>
      <c r="AQ29" s="3520">
        <v>11</v>
      </c>
      <c r="AR29" s="3506">
        <v>11</v>
      </c>
      <c r="AS29" s="3506">
        <v>11</v>
      </c>
      <c r="AU29" s="2409" t="s">
        <v>50</v>
      </c>
      <c r="AV29" s="3533"/>
      <c r="AW29" s="3533"/>
      <c r="AX29" s="3533"/>
      <c r="AY29" s="3533"/>
      <c r="AZ29" s="3533"/>
      <c r="BA29" s="3533"/>
      <c r="BB29" s="3522">
        <v>29.64</v>
      </c>
      <c r="BC29" s="3523">
        <v>29.64</v>
      </c>
      <c r="BD29" s="3524">
        <v>29.64</v>
      </c>
      <c r="BE29" s="3524">
        <v>29.64</v>
      </c>
      <c r="CG29" s="2237"/>
      <c r="CH29" s="2237"/>
      <c r="CI29" s="2237"/>
      <c r="CJ29" s="2237"/>
      <c r="CW29" s="2237"/>
      <c r="CX29" s="2237"/>
      <c r="CY29" s="2237"/>
      <c r="CZ29" s="2237"/>
      <c r="DG29" s="2422">
        <f>(DI29)/(DJ29)</f>
        <v>8.0565233932807025</v>
      </c>
      <c r="DH29" s="2423" t="str">
        <f>CONCATENATE(G29," ",J29," Year EUL")</f>
        <v>Lighting BUS 11 Year EUL</v>
      </c>
      <c r="DI29" s="3525">
        <f>(INDEX('Avoided Cost Benefits'!$B$4:$B$865,MATCH(DH29,'Avoided Cost Benefits'!$A$4:$A$865,0)))*F29</f>
        <v>104.73480411264913</v>
      </c>
      <c r="DJ29" s="3526">
        <f t="shared" si="5"/>
        <v>13</v>
      </c>
    </row>
    <row r="30" spans="2:114">
      <c r="B30" s="1454">
        <f t="shared" si="6"/>
        <v>800900</v>
      </c>
      <c r="C30" s="1637" t="s">
        <v>107</v>
      </c>
      <c r="D30" s="2160" t="s">
        <v>95</v>
      </c>
      <c r="E30" s="2161" t="s">
        <v>108</v>
      </c>
      <c r="F30" s="1848">
        <f t="shared" si="9"/>
        <v>186.88</v>
      </c>
      <c r="G30" s="463" t="s">
        <v>61</v>
      </c>
      <c r="H30" s="464">
        <f>VLOOKUP(G30,'CP FACTORS'!$A$26:$B$38,2,FALSE)</f>
        <v>1.899635E-4</v>
      </c>
      <c r="I30" s="1480">
        <f t="shared" si="7"/>
        <v>3.6636000000000002E-2</v>
      </c>
      <c r="J30" s="20">
        <f t="shared" si="2"/>
        <v>10</v>
      </c>
      <c r="K30" s="1921">
        <v>13</v>
      </c>
      <c r="L30" s="706" t="s">
        <v>62</v>
      </c>
      <c r="M30" s="466"/>
      <c r="V30" s="1445" t="s">
        <v>45</v>
      </c>
      <c r="W30" s="949">
        <v>124.6336</v>
      </c>
      <c r="X30" s="670">
        <v>92.556746382707516</v>
      </c>
      <c r="Y30" s="949">
        <v>92.556746382707516</v>
      </c>
      <c r="Z30" s="55">
        <v>92.556746382707516</v>
      </c>
      <c r="AA30" s="55">
        <v>92.556746382707516</v>
      </c>
      <c r="AB30" s="949">
        <v>150</v>
      </c>
      <c r="AC30" s="1006">
        <v>224.43</v>
      </c>
      <c r="AD30" s="1004">
        <v>197.52</v>
      </c>
      <c r="AE30" s="418">
        <v>197.58</v>
      </c>
      <c r="AF30" s="271">
        <f t="shared" si="3"/>
        <v>186.88</v>
      </c>
      <c r="AG30" s="949"/>
      <c r="AI30" s="1445" t="s">
        <v>49</v>
      </c>
      <c r="AJ30" s="20">
        <v>14</v>
      </c>
      <c r="AK30" s="20">
        <v>14</v>
      </c>
      <c r="AL30" s="20">
        <v>14</v>
      </c>
      <c r="AM30" s="20">
        <v>14</v>
      </c>
      <c r="AN30" s="20">
        <v>14</v>
      </c>
      <c r="AO30" s="3971">
        <v>10</v>
      </c>
      <c r="AP30" s="247">
        <v>10</v>
      </c>
      <c r="AQ30" s="732">
        <v>10</v>
      </c>
      <c r="AR30" s="20">
        <v>10</v>
      </c>
      <c r="AS30" s="20">
        <v>10</v>
      </c>
      <c r="AU30" s="1445" t="s">
        <v>50</v>
      </c>
      <c r="AV30" s="710">
        <v>29.64</v>
      </c>
      <c r="AW30" s="710">
        <v>29.64</v>
      </c>
      <c r="AX30" s="710">
        <v>29.64</v>
      </c>
      <c r="AY30" s="710">
        <v>29.64</v>
      </c>
      <c r="AZ30" s="710">
        <v>29.64</v>
      </c>
      <c r="BA30" s="3972">
        <v>29.64</v>
      </c>
      <c r="BB30" s="3972">
        <v>29.64</v>
      </c>
      <c r="BC30" s="575">
        <v>29.64</v>
      </c>
      <c r="BD30" s="705">
        <v>29.64</v>
      </c>
      <c r="BE30" s="705">
        <v>29.64</v>
      </c>
      <c r="CG30" s="76"/>
      <c r="CH30" s="76"/>
      <c r="CI30" s="76"/>
      <c r="CJ30" s="76"/>
      <c r="CW30" s="76"/>
      <c r="CX30" s="76"/>
      <c r="CY30" s="76"/>
      <c r="CZ30" s="76"/>
      <c r="DG30" s="1063">
        <f t="shared" si="8"/>
        <v>8.2603177184257266</v>
      </c>
      <c r="DH30" s="673" t="str">
        <f t="shared" si="4"/>
        <v>Lighting BUS 10 Year EUL</v>
      </c>
      <c r="DI30" s="814">
        <f>(INDEX('Avoided Cost Benefits'!$B$4:$B$865,MATCH(DH30,'Avoided Cost Benefits'!$A$4:$A$865,0)))*F30</f>
        <v>107.38413033953444</v>
      </c>
      <c r="DJ30" s="2183">
        <f t="shared" si="5"/>
        <v>13</v>
      </c>
    </row>
    <row r="31" spans="2:114">
      <c r="B31" s="1454">
        <f t="shared" si="6"/>
        <v>800901</v>
      </c>
      <c r="C31" s="1637" t="s">
        <v>109</v>
      </c>
      <c r="D31" s="2160" t="s">
        <v>95</v>
      </c>
      <c r="E31" s="2161" t="s">
        <v>110</v>
      </c>
      <c r="F31" s="1848">
        <f t="shared" si="9"/>
        <v>254.96</v>
      </c>
      <c r="G31" s="463" t="s">
        <v>61</v>
      </c>
      <c r="H31" s="464">
        <f>VLOOKUP(G31,'CP FACTORS'!$A$26:$B$38,2,FALSE)</f>
        <v>1.899635E-4</v>
      </c>
      <c r="I31" s="1480">
        <f t="shared" si="7"/>
        <v>4.9983E-2</v>
      </c>
      <c r="J31" s="20">
        <f t="shared" si="2"/>
        <v>15</v>
      </c>
      <c r="K31" s="1921">
        <v>13</v>
      </c>
      <c r="L31" s="706" t="s">
        <v>62</v>
      </c>
      <c r="M31" s="466"/>
      <c r="V31" s="1445" t="s">
        <v>45</v>
      </c>
      <c r="W31" s="838"/>
      <c r="X31" s="839"/>
      <c r="Y31" s="838"/>
      <c r="Z31" s="839"/>
      <c r="AA31" s="839"/>
      <c r="AB31" s="54">
        <v>181.13</v>
      </c>
      <c r="AC31" s="1006">
        <v>273.45999999999998</v>
      </c>
      <c r="AD31" s="1004">
        <v>315.35000000000002</v>
      </c>
      <c r="AE31" s="58">
        <v>319.38</v>
      </c>
      <c r="AF31" s="271">
        <f t="shared" si="3"/>
        <v>254.96</v>
      </c>
      <c r="AG31" s="54"/>
      <c r="AI31" s="105" t="s">
        <v>49</v>
      </c>
      <c r="AJ31" s="840"/>
      <c r="AK31" s="840"/>
      <c r="AL31" s="840"/>
      <c r="AM31" s="840"/>
      <c r="AN31" s="840"/>
      <c r="AO31" s="709">
        <v>15</v>
      </c>
      <c r="AP31" s="247">
        <v>15</v>
      </c>
      <c r="AQ31" s="732">
        <v>15</v>
      </c>
      <c r="AR31" s="20">
        <v>15</v>
      </c>
      <c r="AS31" s="20">
        <v>15</v>
      </c>
      <c r="AU31" s="105" t="s">
        <v>50</v>
      </c>
      <c r="AV31" s="841"/>
      <c r="AW31" s="841"/>
      <c r="AX31" s="841"/>
      <c r="AY31" s="841"/>
      <c r="AZ31" s="841"/>
      <c r="BA31" s="689">
        <v>29.64</v>
      </c>
      <c r="BB31" s="689">
        <v>29.64</v>
      </c>
      <c r="BC31" s="575">
        <v>29.64</v>
      </c>
      <c r="BD31" s="705">
        <v>29.64</v>
      </c>
      <c r="BE31" s="705">
        <v>29.64</v>
      </c>
      <c r="DG31" s="1063">
        <f t="shared" si="8"/>
        <v>15.076841930785795</v>
      </c>
      <c r="DH31" s="673" t="str">
        <f t="shared" si="4"/>
        <v>Lighting BUS 15 Year EUL</v>
      </c>
      <c r="DI31" s="814">
        <f>(INDEX('Avoided Cost Benefits'!$B$4:$B$865,MATCH(DH31,'Avoided Cost Benefits'!$A$4:$A$865,0)))*F31</f>
        <v>195.99894510021534</v>
      </c>
      <c r="DJ31" s="2183">
        <f t="shared" si="5"/>
        <v>13</v>
      </c>
    </row>
    <row r="32" spans="2:114" s="3517" customFormat="1">
      <c r="B32" s="2208">
        <f t="shared" si="6"/>
        <v>800902</v>
      </c>
      <c r="C32" s="3499" t="s">
        <v>111</v>
      </c>
      <c r="D32" s="3500" t="s">
        <v>78</v>
      </c>
      <c r="E32" s="3501" t="s">
        <v>112</v>
      </c>
      <c r="F32" s="3502">
        <f t="shared" si="9"/>
        <v>266.5</v>
      </c>
      <c r="G32" s="3503" t="s">
        <v>61</v>
      </c>
      <c r="H32" s="3504">
        <v>1.899635E-4</v>
      </c>
      <c r="I32" s="3505">
        <f t="shared" si="7"/>
        <v>5.2245E-2</v>
      </c>
      <c r="J32" s="3506">
        <f t="shared" si="2"/>
        <v>11</v>
      </c>
      <c r="K32" s="3507">
        <v>13</v>
      </c>
      <c r="L32" s="3508" t="s">
        <v>62</v>
      </c>
      <c r="M32" s="3527"/>
      <c r="N32" s="3528"/>
      <c r="O32" s="3528"/>
      <c r="P32" s="3528"/>
      <c r="Q32" s="3528"/>
      <c r="R32" s="3528"/>
      <c r="S32" s="3528"/>
      <c r="T32" s="3528"/>
      <c r="U32" s="3528"/>
      <c r="V32" s="2244" t="s">
        <v>45</v>
      </c>
      <c r="W32" s="3529"/>
      <c r="X32" s="3530"/>
      <c r="Y32" s="3529"/>
      <c r="Z32" s="3530"/>
      <c r="AA32" s="3530"/>
      <c r="AB32" s="3530"/>
      <c r="AC32" s="3514">
        <v>0</v>
      </c>
      <c r="AD32" s="3515">
        <v>426.56</v>
      </c>
      <c r="AE32" s="3510">
        <v>281.76</v>
      </c>
      <c r="AF32" s="2236">
        <f t="shared" si="3"/>
        <v>266.5</v>
      </c>
      <c r="AG32" s="3223"/>
      <c r="AI32" s="2409" t="s">
        <v>49</v>
      </c>
      <c r="AJ32" s="3531"/>
      <c r="AK32" s="3531"/>
      <c r="AL32" s="3531"/>
      <c r="AM32" s="3531"/>
      <c r="AN32" s="3531"/>
      <c r="AO32" s="3532"/>
      <c r="AP32" s="3519">
        <v>11</v>
      </c>
      <c r="AQ32" s="3520">
        <v>11</v>
      </c>
      <c r="AR32" s="3506">
        <v>11</v>
      </c>
      <c r="AS32" s="3506">
        <v>11</v>
      </c>
      <c r="AU32" s="2409" t="s">
        <v>50</v>
      </c>
      <c r="AV32" s="3533"/>
      <c r="AW32" s="3533"/>
      <c r="AX32" s="3533"/>
      <c r="AY32" s="3533"/>
      <c r="AZ32" s="3533"/>
      <c r="BA32" s="3533"/>
      <c r="BB32" s="3522">
        <v>29.64</v>
      </c>
      <c r="BC32" s="3523">
        <v>29.64</v>
      </c>
      <c r="BD32" s="3524">
        <v>29.64</v>
      </c>
      <c r="BE32" s="3524">
        <v>29.64</v>
      </c>
      <c r="CG32" s="2237"/>
      <c r="CH32" s="2237"/>
      <c r="CI32" s="2237"/>
      <c r="CJ32" s="2237"/>
      <c r="CW32" s="2237"/>
      <c r="CX32" s="2237"/>
      <c r="CY32" s="2237"/>
      <c r="CZ32" s="2237"/>
      <c r="DG32" s="2422">
        <f>(DI32)/(DJ32)</f>
        <v>12.650621519616468</v>
      </c>
      <c r="DH32" s="2423" t="str">
        <f>CONCATENATE(G32," ",J32," Year EUL")</f>
        <v>Lighting BUS 11 Year EUL</v>
      </c>
      <c r="DI32" s="3525">
        <f>(INDEX('Avoided Cost Benefits'!$B$4:$B$865,MATCH(DH32,'Avoided Cost Benefits'!$A$4:$A$865,0)))*F32</f>
        <v>164.4580797550141</v>
      </c>
      <c r="DJ32" s="3526">
        <f t="shared" si="5"/>
        <v>13</v>
      </c>
    </row>
    <row r="33" spans="1:114">
      <c r="B33" s="1454">
        <f t="shared" si="6"/>
        <v>800950</v>
      </c>
      <c r="C33" s="1637" t="s">
        <v>113</v>
      </c>
      <c r="D33" s="2160" t="s">
        <v>59</v>
      </c>
      <c r="E33" s="3973" t="s">
        <v>114</v>
      </c>
      <c r="F33" s="1848">
        <f>ROUND((F73-G73)/1000*H73*I73*K73*M73,2)</f>
        <v>94.51</v>
      </c>
      <c r="G33" s="1639" t="s">
        <v>61</v>
      </c>
      <c r="H33" s="464">
        <f>VLOOKUP(G33,'CP FACTORS'!$A$26:$B$38,2,FALSE)</f>
        <v>1.899635E-4</v>
      </c>
      <c r="I33" s="1480">
        <f t="shared" si="7"/>
        <v>1.8527999999999999E-2</v>
      </c>
      <c r="J33" s="20">
        <f t="shared" si="2"/>
        <v>10</v>
      </c>
      <c r="K33" s="1921">
        <v>11.94</v>
      </c>
      <c r="L33" s="706" t="s">
        <v>62</v>
      </c>
      <c r="M33" s="466"/>
      <c r="V33" s="1445" t="s">
        <v>45</v>
      </c>
      <c r="W33" s="949">
        <v>102.16788</v>
      </c>
      <c r="X33" s="55">
        <v>102.16788</v>
      </c>
      <c r="Y33" s="949">
        <v>102.16788</v>
      </c>
      <c r="Z33" s="55">
        <v>102.16788</v>
      </c>
      <c r="AA33" s="55">
        <v>102.16788</v>
      </c>
      <c r="AB33" s="949">
        <v>102.26</v>
      </c>
      <c r="AC33" s="1006">
        <v>99.13</v>
      </c>
      <c r="AD33" s="1004">
        <v>99.89</v>
      </c>
      <c r="AE33" s="58">
        <v>99.92</v>
      </c>
      <c r="AF33" s="271">
        <f t="shared" si="3"/>
        <v>94.51</v>
      </c>
      <c r="AG33" s="949"/>
      <c r="AI33" s="1445" t="s">
        <v>49</v>
      </c>
      <c r="AJ33" s="20">
        <v>11</v>
      </c>
      <c r="AK33" s="20">
        <v>11</v>
      </c>
      <c r="AL33" s="20">
        <v>11</v>
      </c>
      <c r="AM33" s="20">
        <v>11</v>
      </c>
      <c r="AN33" s="20">
        <v>11</v>
      </c>
      <c r="AO33" s="3971">
        <v>11</v>
      </c>
      <c r="AP33" s="247">
        <v>10</v>
      </c>
      <c r="AQ33" s="732">
        <v>10</v>
      </c>
      <c r="AR33" s="20">
        <v>10</v>
      </c>
      <c r="AS33" s="20">
        <v>10</v>
      </c>
      <c r="AU33" s="1445" t="s">
        <v>50</v>
      </c>
      <c r="AV33" s="710">
        <v>11.94</v>
      </c>
      <c r="AW33" s="710">
        <v>11.94</v>
      </c>
      <c r="AX33" s="710">
        <v>11.94</v>
      </c>
      <c r="AY33" s="710">
        <v>11.94</v>
      </c>
      <c r="AZ33" s="710">
        <v>11.94</v>
      </c>
      <c r="BA33" s="3972">
        <v>11.94</v>
      </c>
      <c r="BB33" s="3972">
        <v>11.94</v>
      </c>
      <c r="BC33" s="575">
        <v>11.94</v>
      </c>
      <c r="BD33" s="705">
        <v>11.94</v>
      </c>
      <c r="BE33" s="705">
        <v>11.94</v>
      </c>
      <c r="CG33" s="76"/>
      <c r="CH33" s="76"/>
      <c r="CI33" s="76"/>
      <c r="CJ33" s="76"/>
      <c r="CW33" s="76"/>
      <c r="CX33" s="76"/>
      <c r="CY33" s="76"/>
      <c r="CZ33" s="76"/>
      <c r="DG33" s="1063">
        <f t="shared" si="8"/>
        <v>4.5483168905266744</v>
      </c>
      <c r="DH33" s="673" t="str">
        <f t="shared" si="4"/>
        <v>Lighting BUS 10 Year EUL</v>
      </c>
      <c r="DI33" s="814">
        <f>(INDEX('Avoided Cost Benefits'!$B$4:$B$865,MATCH(DH33,'Avoided Cost Benefits'!$A$4:$A$865,0)))*F33</f>
        <v>54.306903672888488</v>
      </c>
      <c r="DJ33" s="2183">
        <f t="shared" si="5"/>
        <v>11.94</v>
      </c>
    </row>
    <row r="34" spans="1:114" s="3517" customFormat="1">
      <c r="B34" s="2208">
        <f t="shared" si="6"/>
        <v>800980</v>
      </c>
      <c r="C34" s="3499" t="s">
        <v>115</v>
      </c>
      <c r="D34" s="3500" t="s">
        <v>78</v>
      </c>
      <c r="E34" s="3475" t="s">
        <v>116</v>
      </c>
      <c r="F34" s="3510">
        <f>ROUND((F74-G74)/1000*H74*I74*K74*M74,2)</f>
        <v>73003.89</v>
      </c>
      <c r="G34" s="3509" t="s">
        <v>61</v>
      </c>
      <c r="H34" s="3511">
        <v>1.899635E-4</v>
      </c>
      <c r="I34" s="3505">
        <f t="shared" si="7"/>
        <v>14.311852999999999</v>
      </c>
      <c r="J34" s="3512">
        <f t="shared" si="2"/>
        <v>15</v>
      </c>
      <c r="K34" s="3513">
        <v>10000</v>
      </c>
      <c r="L34" s="3508" t="s">
        <v>117</v>
      </c>
      <c r="M34" s="3527"/>
      <c r="N34" s="3528"/>
      <c r="O34" s="3528"/>
      <c r="P34" s="3528"/>
      <c r="Q34" s="3528"/>
      <c r="R34" s="3528"/>
      <c r="S34" s="3528"/>
      <c r="T34" s="3528"/>
      <c r="U34" s="3528"/>
      <c r="V34" s="2244" t="s">
        <v>45</v>
      </c>
      <c r="W34" s="3529"/>
      <c r="X34" s="3530"/>
      <c r="Y34" s="3529"/>
      <c r="Z34" s="3530"/>
      <c r="AA34" s="3530"/>
      <c r="AB34" s="3530"/>
      <c r="AC34" s="3515">
        <v>77808.3</v>
      </c>
      <c r="AD34" s="3515">
        <v>46757.36</v>
      </c>
      <c r="AE34" s="3510">
        <v>44626.91</v>
      </c>
      <c r="AF34" s="2236">
        <f t="shared" si="3"/>
        <v>73003.89</v>
      </c>
      <c r="AG34" s="3223"/>
      <c r="AI34" s="2244" t="s">
        <v>49</v>
      </c>
      <c r="AJ34" s="3533"/>
      <c r="AK34" s="3533"/>
      <c r="AL34" s="3533"/>
      <c r="AM34" s="3533"/>
      <c r="AN34" s="3533"/>
      <c r="AO34" s="3533"/>
      <c r="AP34" s="3519">
        <v>15</v>
      </c>
      <c r="AQ34" s="3520">
        <v>15</v>
      </c>
      <c r="AR34" s="3506">
        <v>15</v>
      </c>
      <c r="AS34" s="3506">
        <v>15</v>
      </c>
      <c r="AU34" s="2244" t="s">
        <v>50</v>
      </c>
      <c r="AV34" s="3533"/>
      <c r="AW34" s="3533"/>
      <c r="AX34" s="3533"/>
      <c r="AY34" s="3533"/>
      <c r="AZ34" s="3533"/>
      <c r="BA34" s="3533"/>
      <c r="BB34" s="3522">
        <v>10000</v>
      </c>
      <c r="BC34" s="3523">
        <v>10000</v>
      </c>
      <c r="BD34" s="3535">
        <v>10000</v>
      </c>
      <c r="BE34" s="3535">
        <v>10000</v>
      </c>
      <c r="CG34" s="2237"/>
      <c r="CH34" s="2237"/>
      <c r="CI34" s="2237"/>
      <c r="CJ34" s="2237"/>
      <c r="CW34" s="2237"/>
      <c r="CX34" s="2237"/>
      <c r="CY34" s="2237"/>
      <c r="CZ34" s="2237"/>
      <c r="DG34" s="2429">
        <f>(DI34)/(DJ34)</f>
        <v>5.6121295215767804</v>
      </c>
      <c r="DH34" s="2423" t="str">
        <f>CONCATENATE(G34," ",J34," Year EUL")</f>
        <v>Lighting BUS 15 Year EUL</v>
      </c>
      <c r="DI34" s="3536">
        <f>(INDEX('Avoided Cost Benefits'!$B$4:$B$865,MATCH(DH34,'Avoided Cost Benefits'!$A$4:$A$865,0)))*F34</f>
        <v>56121.295215767801</v>
      </c>
      <c r="DJ34" s="3537">
        <f t="shared" si="5"/>
        <v>10000</v>
      </c>
    </row>
    <row r="35" spans="1:114" ht="15" customHeight="1" outlineLevel="1">
      <c r="D35" s="77" t="s">
        <v>118</v>
      </c>
      <c r="E35" s="1591" t="s">
        <v>119</v>
      </c>
      <c r="F35" s="8"/>
      <c r="G35" s="8"/>
      <c r="H35" s="471"/>
      <c r="I35" s="8"/>
      <c r="J35" s="8"/>
      <c r="K35" s="8"/>
      <c r="L35" s="8"/>
      <c r="V35" s="265"/>
      <c r="CG35" s="2"/>
      <c r="CK35"/>
      <c r="CW35" s="2"/>
      <c r="DA35"/>
      <c r="DG35" s="265"/>
      <c r="DH35" s="809"/>
    </row>
    <row r="36" spans="1:114" ht="15" customHeight="1" outlineLevel="1">
      <c r="E36" s="8"/>
      <c r="F36" s="8"/>
      <c r="G36" s="8"/>
      <c r="H36" s="471"/>
      <c r="I36" s="8"/>
      <c r="J36" s="8"/>
      <c r="K36" s="8"/>
      <c r="L36" s="8"/>
      <c r="V36" s="265"/>
      <c r="CG36" s="2"/>
      <c r="CK36"/>
      <c r="CW36" s="2"/>
      <c r="DA36"/>
      <c r="DG36" s="265"/>
      <c r="DH36" s="809"/>
    </row>
    <row r="37" spans="1:114" ht="15" customHeight="1" outlineLevel="1">
      <c r="D37" s="8" t="s">
        <v>120</v>
      </c>
      <c r="E37" s="8"/>
      <c r="F37" s="8"/>
      <c r="G37" s="8"/>
      <c r="H37" s="471"/>
      <c r="I37" s="8"/>
      <c r="J37" s="8"/>
      <c r="K37" s="8"/>
      <c r="L37" s="8"/>
      <c r="M37" s="8"/>
      <c r="N37" s="8"/>
      <c r="O37" s="8"/>
      <c r="P37" s="8"/>
      <c r="Q37" s="8"/>
      <c r="R37" s="8"/>
      <c r="V37" s="265"/>
      <c r="CG37" s="2"/>
      <c r="CK37"/>
      <c r="CW37" s="2"/>
      <c r="DA37"/>
      <c r="DG37" s="265"/>
      <c r="DH37" s="809"/>
    </row>
    <row r="38" spans="1:114" ht="15" customHeight="1" outlineLevel="1">
      <c r="D38" s="472"/>
      <c r="G38" s="265"/>
      <c r="H38" s="473"/>
      <c r="V38" s="265"/>
      <c r="CG38" s="2"/>
      <c r="CK38"/>
      <c r="CW38" s="2"/>
      <c r="DA38"/>
      <c r="DG38" s="265"/>
      <c r="DH38" s="809"/>
    </row>
    <row r="39" spans="1:114" ht="15" customHeight="1" outlineLevel="1">
      <c r="D39" s="472"/>
      <c r="G39" s="265"/>
      <c r="H39" s="473"/>
      <c r="V39" s="265"/>
      <c r="CG39" s="2"/>
      <c r="CK39"/>
      <c r="CW39" s="2"/>
      <c r="DA39"/>
      <c r="DG39" s="265"/>
      <c r="DH39" s="809"/>
    </row>
    <row r="40" spans="1:114" ht="15" customHeight="1" outlineLevel="1">
      <c r="D40" s="472"/>
      <c r="G40" s="265"/>
      <c r="H40" s="473"/>
      <c r="V40" s="265"/>
      <c r="CG40" s="2"/>
      <c r="CK40"/>
      <c r="CW40" s="2"/>
      <c r="DA40"/>
      <c r="DG40" s="265"/>
      <c r="DH40" s="809"/>
    </row>
    <row r="41" spans="1:114" ht="15" customHeight="1" outlineLevel="1">
      <c r="D41" s="472"/>
      <c r="G41" s="265"/>
      <c r="H41" s="473"/>
      <c r="V41" s="265"/>
      <c r="CG41" s="2"/>
      <c r="CK41"/>
      <c r="CW41" s="2"/>
      <c r="DA41"/>
      <c r="DG41" s="265"/>
      <c r="DH41" s="809"/>
    </row>
    <row r="42" spans="1:114" ht="15" customHeight="1" outlineLevel="1">
      <c r="D42" s="472"/>
      <c r="G42" s="265"/>
      <c r="H42" s="473"/>
      <c r="V42" s="265"/>
      <c r="CG42" s="2"/>
      <c r="CK42"/>
      <c r="CW42" s="2"/>
      <c r="DA42"/>
      <c r="DG42" s="265"/>
      <c r="DH42" s="809"/>
    </row>
    <row r="43" spans="1:114" ht="15" customHeight="1" outlineLevel="1">
      <c r="D43" s="472"/>
      <c r="G43" s="265"/>
      <c r="H43" s="473"/>
      <c r="V43" s="265"/>
      <c r="CG43" s="2"/>
      <c r="CK43"/>
      <c r="CW43" s="2"/>
      <c r="DA43"/>
      <c r="DG43" s="265"/>
      <c r="DH43" s="809"/>
    </row>
    <row r="44" spans="1:114" ht="15" customHeight="1" outlineLevel="1">
      <c r="D44" s="472"/>
      <c r="G44" s="265"/>
      <c r="H44" s="473"/>
      <c r="V44" s="265"/>
      <c r="CG44" s="2"/>
      <c r="CK44"/>
      <c r="CW44" s="2"/>
      <c r="DA44"/>
      <c r="DG44" s="265"/>
      <c r="DH44" s="809"/>
    </row>
    <row r="45" spans="1:114" ht="15" customHeight="1" outlineLevel="1">
      <c r="D45" s="472"/>
      <c r="G45" s="265"/>
      <c r="H45" s="473"/>
    </row>
    <row r="46" spans="1:114" ht="15" customHeight="1" outlineLevel="1">
      <c r="D46" s="472"/>
      <c r="G46" s="265"/>
      <c r="H46" s="473"/>
      <c r="CG46" s="2"/>
      <c r="CH46" s="2"/>
      <c r="CI46" s="2"/>
      <c r="CJ46" s="2"/>
      <c r="CT46"/>
      <c r="CU46"/>
      <c r="CV46"/>
      <c r="CX46" s="2"/>
      <c r="CY46" s="2"/>
      <c r="CZ46" s="2"/>
    </row>
    <row r="47" spans="1:114" ht="15" customHeight="1" outlineLevel="1">
      <c r="D47" s="472"/>
      <c r="G47" s="265"/>
      <c r="H47" s="473"/>
      <c r="O47" s="265" t="s">
        <v>121</v>
      </c>
      <c r="V47" s="668" t="s">
        <v>52</v>
      </c>
      <c r="W47" s="669">
        <f>$W$8</f>
        <v>43252</v>
      </c>
      <c r="X47" s="669">
        <f>$X$8</f>
        <v>43465</v>
      </c>
      <c r="Y47" s="669">
        <f>$Y$8</f>
        <v>43800</v>
      </c>
      <c r="Z47" s="669">
        <f>$Z$8</f>
        <v>43862</v>
      </c>
      <c r="AA47" s="669">
        <f>$AA$8</f>
        <v>44013</v>
      </c>
      <c r="AB47" s="669">
        <v>44166</v>
      </c>
      <c r="AC47" s="669">
        <f>$AC$8</f>
        <v>44531</v>
      </c>
      <c r="AD47" s="669">
        <f>$AD$8</f>
        <v>44774</v>
      </c>
      <c r="AE47" s="669">
        <f>$AE$8</f>
        <v>45142</v>
      </c>
      <c r="AF47" s="669">
        <f>$AF$8</f>
        <v>45672</v>
      </c>
      <c r="AG47" s="669" t="str">
        <f>$AG$8</f>
        <v>-</v>
      </c>
      <c r="AI47" s="668" t="s">
        <v>52</v>
      </c>
      <c r="AJ47" s="669">
        <f>$W$8</f>
        <v>43252</v>
      </c>
      <c r="AK47" s="669">
        <f>$X$8</f>
        <v>43465</v>
      </c>
      <c r="AL47" s="669">
        <f>$Y$8</f>
        <v>43800</v>
      </c>
      <c r="AM47" s="669">
        <f>$Z$8</f>
        <v>43862</v>
      </c>
      <c r="AN47" s="669">
        <f>$AA$8</f>
        <v>44013</v>
      </c>
      <c r="AO47" s="669">
        <v>44166</v>
      </c>
      <c r="AP47" s="669">
        <f>$AC$8</f>
        <v>44531</v>
      </c>
      <c r="AQ47" s="669">
        <f>$AD$8</f>
        <v>44774</v>
      </c>
      <c r="AR47" s="669">
        <f>$AE$8</f>
        <v>45142</v>
      </c>
      <c r="AS47" s="669">
        <f>$AF$8</f>
        <v>45672</v>
      </c>
      <c r="AU47" s="668" t="s">
        <v>52</v>
      </c>
      <c r="AV47" s="669">
        <f>$W$8</f>
        <v>43252</v>
      </c>
      <c r="AW47" s="669">
        <f>$X$8</f>
        <v>43465</v>
      </c>
      <c r="AX47" s="669">
        <f>$Y$8</f>
        <v>43800</v>
      </c>
      <c r="AY47" s="669">
        <f>$Z$8</f>
        <v>43862</v>
      </c>
      <c r="AZ47" s="669">
        <f>$AA$8</f>
        <v>44013</v>
      </c>
      <c r="BA47" s="669">
        <v>44166</v>
      </c>
      <c r="BB47" s="669">
        <f>$AC$8</f>
        <v>44531</v>
      </c>
      <c r="BC47" s="669">
        <f>$AD$8</f>
        <v>44774</v>
      </c>
      <c r="BD47" s="669">
        <f>$AE$8</f>
        <v>45142</v>
      </c>
      <c r="BE47" s="669">
        <f>$AF$8</f>
        <v>45672</v>
      </c>
      <c r="BG47" s="668" t="s">
        <v>52</v>
      </c>
      <c r="BH47" s="669">
        <f>$W$8</f>
        <v>43252</v>
      </c>
      <c r="BI47" s="669">
        <f>$X$8</f>
        <v>43465</v>
      </c>
      <c r="BJ47" s="669">
        <f>$Y$8</f>
        <v>43800</v>
      </c>
      <c r="BK47" s="669">
        <f>$Z$8</f>
        <v>43862</v>
      </c>
      <c r="BL47" s="669">
        <f>$AA$8</f>
        <v>44013</v>
      </c>
      <c r="BM47" s="669">
        <v>44166</v>
      </c>
      <c r="BN47" s="669">
        <f>$AC$8</f>
        <v>44531</v>
      </c>
      <c r="BO47" s="669">
        <f>$AD$8</f>
        <v>44774</v>
      </c>
      <c r="BP47" s="669">
        <f>$AE$8</f>
        <v>45142</v>
      </c>
      <c r="BQ47" s="669">
        <f>$AF$8</f>
        <v>45672</v>
      </c>
      <c r="BS47" s="177" t="s">
        <v>52</v>
      </c>
      <c r="BT47" s="178">
        <f>$W$8</f>
        <v>43252</v>
      </c>
      <c r="BU47" s="178">
        <f>$X$8</f>
        <v>43465</v>
      </c>
      <c r="BV47" s="178">
        <f>$Y$8</f>
        <v>43800</v>
      </c>
      <c r="BW47" s="178">
        <f>$Z$8</f>
        <v>43862</v>
      </c>
      <c r="BX47" s="178">
        <f>$AA$8</f>
        <v>44013</v>
      </c>
      <c r="BY47" s="178">
        <v>44166</v>
      </c>
      <c r="BZ47" s="178">
        <f>$AC$8</f>
        <v>44531</v>
      </c>
      <c r="CA47" s="178">
        <f>$AD$8</f>
        <v>44774</v>
      </c>
      <c r="CB47" s="178">
        <f>$AE$8</f>
        <v>45142</v>
      </c>
      <c r="CC47" s="178">
        <f>$AF$8</f>
        <v>45672</v>
      </c>
      <c r="CD47" s="178" t="str">
        <f>$AG$8</f>
        <v>-</v>
      </c>
      <c r="CF47" s="178" t="s">
        <v>52</v>
      </c>
      <c r="CG47" s="669">
        <f>$W$8</f>
        <v>43252</v>
      </c>
      <c r="CH47" s="669">
        <f>$X$8</f>
        <v>43465</v>
      </c>
      <c r="CI47" s="669">
        <f>$Y$8</f>
        <v>43800</v>
      </c>
      <c r="CJ47" s="669">
        <f>$Z$8</f>
        <v>43862</v>
      </c>
      <c r="CK47" s="669">
        <f>$AA$8</f>
        <v>44013</v>
      </c>
      <c r="CL47" s="669">
        <v>44166</v>
      </c>
      <c r="CM47" s="669">
        <f>$AC$8</f>
        <v>44531</v>
      </c>
      <c r="CN47" s="669">
        <f>$AD$8</f>
        <v>44774</v>
      </c>
      <c r="CO47" s="669">
        <f>$AE$8</f>
        <v>45142</v>
      </c>
      <c r="CP47" s="669">
        <f>$AF$8</f>
        <v>45672</v>
      </c>
      <c r="CQ47" s="669" t="str">
        <f>$AG$8</f>
        <v>-</v>
      </c>
      <c r="CS47" s="178" t="s">
        <v>52</v>
      </c>
      <c r="CT47" s="669">
        <f>$W$8</f>
        <v>43252</v>
      </c>
      <c r="CU47" s="669">
        <f>$X$8</f>
        <v>43465</v>
      </c>
      <c r="CV47" s="669">
        <f>$Y$8</f>
        <v>43800</v>
      </c>
      <c r="CW47" s="669">
        <f>$Z$8</f>
        <v>43862</v>
      </c>
      <c r="CX47" s="669">
        <f>$AA$8</f>
        <v>44013</v>
      </c>
      <c r="CY47" s="669">
        <v>44166</v>
      </c>
      <c r="CZ47" s="669">
        <f>$AC$8</f>
        <v>44531</v>
      </c>
      <c r="DA47" s="669">
        <f>$AD$8</f>
        <v>44774</v>
      </c>
      <c r="DB47" s="669">
        <f>$AE$8</f>
        <v>45142</v>
      </c>
      <c r="DC47" s="669">
        <f>$AF$8</f>
        <v>45672</v>
      </c>
      <c r="DD47" s="669" t="str">
        <f>$AG$8</f>
        <v>-</v>
      </c>
    </row>
    <row r="48" spans="1:114" s="9" customFormat="1" ht="30" customHeight="1" outlineLevel="1">
      <c r="A48" s="2"/>
      <c r="C48" s="66"/>
      <c r="D48" s="10" t="s">
        <v>42</v>
      </c>
      <c r="E48" s="1432" t="s">
        <v>122</v>
      </c>
      <c r="F48" s="1432" t="s">
        <v>123</v>
      </c>
      <c r="G48" s="1432" t="s">
        <v>124</v>
      </c>
      <c r="H48" s="11" t="s">
        <v>125</v>
      </c>
      <c r="I48" s="707" t="s">
        <v>126</v>
      </c>
      <c r="J48" s="707" t="s">
        <v>127</v>
      </c>
      <c r="K48" s="1432" t="s">
        <v>128</v>
      </c>
      <c r="L48" s="1432" t="s">
        <v>49</v>
      </c>
      <c r="M48" s="1432" t="s">
        <v>129</v>
      </c>
      <c r="N48" s="122"/>
      <c r="O48" s="936" t="s">
        <v>130</v>
      </c>
      <c r="P48" s="936" t="s">
        <v>131</v>
      </c>
      <c r="Q48" s="936" t="s">
        <v>132</v>
      </c>
      <c r="R48" s="936" t="s">
        <v>133</v>
      </c>
      <c r="S48" s="936" t="s">
        <v>134</v>
      </c>
      <c r="T48" s="122"/>
      <c r="U48" s="122"/>
      <c r="V48" s="856" t="s">
        <v>42</v>
      </c>
      <c r="W48" s="15" t="str">
        <f>$F$48</f>
        <v>Watts Base</v>
      </c>
      <c r="X48" s="15" t="str">
        <f t="shared" ref="X48:AG48" si="10">$F$48</f>
        <v>Watts Base</v>
      </c>
      <c r="Y48" s="15" t="str">
        <f t="shared" si="10"/>
        <v>Watts Base</v>
      </c>
      <c r="Z48" s="15" t="str">
        <f t="shared" si="10"/>
        <v>Watts Base</v>
      </c>
      <c r="AA48" s="15" t="str">
        <f t="shared" si="10"/>
        <v>Watts Base</v>
      </c>
      <c r="AB48" s="15" t="s">
        <v>123</v>
      </c>
      <c r="AC48" s="15" t="str">
        <f t="shared" si="10"/>
        <v>Watts Base</v>
      </c>
      <c r="AD48" s="15" t="str">
        <f t="shared" si="10"/>
        <v>Watts Base</v>
      </c>
      <c r="AE48" s="15" t="str">
        <f t="shared" si="10"/>
        <v>Watts Base</v>
      </c>
      <c r="AF48" s="15" t="str">
        <f t="shared" si="10"/>
        <v>Watts Base</v>
      </c>
      <c r="AG48" s="15" t="str">
        <f t="shared" si="10"/>
        <v>Watts Base</v>
      </c>
      <c r="AI48" s="856" t="s">
        <v>42</v>
      </c>
      <c r="AJ48" s="15" t="str">
        <f>$G$48</f>
        <v>Watts EE</v>
      </c>
      <c r="AK48" s="15" t="str">
        <f t="shared" ref="AK48:AS48" si="11">$G$48</f>
        <v>Watts EE</v>
      </c>
      <c r="AL48" s="15" t="str">
        <f t="shared" si="11"/>
        <v>Watts EE</v>
      </c>
      <c r="AM48" s="15" t="str">
        <f t="shared" si="11"/>
        <v>Watts EE</v>
      </c>
      <c r="AN48" s="15" t="str">
        <f t="shared" si="11"/>
        <v>Watts EE</v>
      </c>
      <c r="AO48" s="15" t="str">
        <f t="shared" si="11"/>
        <v>Watts EE</v>
      </c>
      <c r="AP48" s="15" t="str">
        <f t="shared" si="11"/>
        <v>Watts EE</v>
      </c>
      <c r="AQ48" s="15" t="str">
        <f t="shared" si="11"/>
        <v>Watts EE</v>
      </c>
      <c r="AR48" s="15" t="str">
        <f t="shared" si="11"/>
        <v>Watts EE</v>
      </c>
      <c r="AS48" s="15" t="str">
        <f t="shared" si="11"/>
        <v>Watts EE</v>
      </c>
      <c r="AU48" s="856" t="s">
        <v>42</v>
      </c>
      <c r="AV48" s="16" t="str">
        <f>$H$48</f>
        <v>HOU</v>
      </c>
      <c r="AW48" s="16" t="str">
        <f t="shared" ref="AW48:BE48" si="12">$H$48</f>
        <v>HOU</v>
      </c>
      <c r="AX48" s="16" t="str">
        <f t="shared" si="12"/>
        <v>HOU</v>
      </c>
      <c r="AY48" s="16" t="str">
        <f t="shared" si="12"/>
        <v>HOU</v>
      </c>
      <c r="AZ48" s="16" t="str">
        <f t="shared" si="12"/>
        <v>HOU</v>
      </c>
      <c r="BA48" s="16" t="s">
        <v>125</v>
      </c>
      <c r="BB48" s="16" t="str">
        <f t="shared" si="12"/>
        <v>HOU</v>
      </c>
      <c r="BC48" s="16" t="str">
        <f t="shared" si="12"/>
        <v>HOU</v>
      </c>
      <c r="BD48" s="16" t="str">
        <f t="shared" si="12"/>
        <v>HOU</v>
      </c>
      <c r="BE48" s="16" t="str">
        <f t="shared" si="12"/>
        <v>HOU</v>
      </c>
      <c r="BG48" s="856" t="s">
        <v>42</v>
      </c>
      <c r="BH48" s="16" t="str">
        <f>$I$48</f>
        <v>WHFe + -IFkWh</v>
      </c>
      <c r="BI48" s="16" t="str">
        <f t="shared" ref="BI48:BQ48" si="13">$I$48</f>
        <v>WHFe + -IFkWh</v>
      </c>
      <c r="BJ48" s="16" t="str">
        <f t="shared" si="13"/>
        <v>WHFe + -IFkWh</v>
      </c>
      <c r="BK48" s="16" t="str">
        <f t="shared" si="13"/>
        <v>WHFe + -IFkWh</v>
      </c>
      <c r="BL48" s="16" t="str">
        <f t="shared" si="13"/>
        <v>WHFe + -IFkWh</v>
      </c>
      <c r="BM48" s="16" t="s">
        <v>126</v>
      </c>
      <c r="BN48" s="16" t="str">
        <f t="shared" si="13"/>
        <v>WHFe + -IFkWh</v>
      </c>
      <c r="BO48" s="16" t="str">
        <f t="shared" si="13"/>
        <v>WHFe + -IFkWh</v>
      </c>
      <c r="BP48" s="16" t="str">
        <f t="shared" si="13"/>
        <v>WHFe + -IFkWh</v>
      </c>
      <c r="BQ48" s="16" t="str">
        <f t="shared" si="13"/>
        <v>WHFe + -IFkWh</v>
      </c>
      <c r="BS48" s="1040" t="s">
        <v>42</v>
      </c>
      <c r="BT48" s="1040" t="s">
        <v>42</v>
      </c>
      <c r="BU48" s="16" t="s">
        <v>127</v>
      </c>
      <c r="BV48" s="16" t="s">
        <v>127</v>
      </c>
      <c r="BW48" s="16" t="s">
        <v>127</v>
      </c>
      <c r="BX48" s="16" t="s">
        <v>127</v>
      </c>
      <c r="BY48" s="16" t="s">
        <v>127</v>
      </c>
      <c r="BZ48" s="16" t="s">
        <v>127</v>
      </c>
      <c r="CA48" s="16" t="s">
        <v>127</v>
      </c>
      <c r="CB48" s="16" t="s">
        <v>127</v>
      </c>
      <c r="CC48" s="16" t="s">
        <v>127</v>
      </c>
      <c r="CD48" s="16" t="s">
        <v>127</v>
      </c>
      <c r="CF48" s="1040" t="s">
        <v>42</v>
      </c>
      <c r="CG48" s="16" t="str">
        <f t="shared" ref="CG48:CQ48" si="14">$K$48</f>
        <v>ISR</v>
      </c>
      <c r="CH48" s="16" t="str">
        <f t="shared" si="14"/>
        <v>ISR</v>
      </c>
      <c r="CI48" s="16" t="str">
        <f t="shared" si="14"/>
        <v>ISR</v>
      </c>
      <c r="CJ48" s="16" t="str">
        <f t="shared" si="14"/>
        <v>ISR</v>
      </c>
      <c r="CK48" s="16" t="str">
        <f t="shared" si="14"/>
        <v>ISR</v>
      </c>
      <c r="CL48" s="16" t="str">
        <f t="shared" si="14"/>
        <v>ISR</v>
      </c>
      <c r="CM48" s="16" t="str">
        <f t="shared" si="14"/>
        <v>ISR</v>
      </c>
      <c r="CN48" s="16" t="str">
        <f t="shared" si="14"/>
        <v>ISR</v>
      </c>
      <c r="CO48" s="16" t="str">
        <f t="shared" si="14"/>
        <v>ISR</v>
      </c>
      <c r="CP48" s="16" t="str">
        <f t="shared" si="14"/>
        <v>ISR</v>
      </c>
      <c r="CQ48" s="16" t="str">
        <f t="shared" si="14"/>
        <v>ISR</v>
      </c>
      <c r="CS48" s="1040" t="s">
        <v>42</v>
      </c>
      <c r="CT48" s="16" t="str">
        <f t="shared" ref="CT48:DD48" si="15">$L$48</f>
        <v>EUL</v>
      </c>
      <c r="CU48" s="16" t="str">
        <f t="shared" si="15"/>
        <v>EUL</v>
      </c>
      <c r="CV48" s="16" t="str">
        <f t="shared" si="15"/>
        <v>EUL</v>
      </c>
      <c r="CW48" s="16" t="str">
        <f t="shared" si="15"/>
        <v>EUL</v>
      </c>
      <c r="CX48" s="16" t="str">
        <f t="shared" si="15"/>
        <v>EUL</v>
      </c>
      <c r="CY48" s="16" t="str">
        <f t="shared" si="15"/>
        <v>EUL</v>
      </c>
      <c r="CZ48" s="16" t="str">
        <f t="shared" si="15"/>
        <v>EUL</v>
      </c>
      <c r="DA48" s="16" t="str">
        <f t="shared" si="15"/>
        <v>EUL</v>
      </c>
      <c r="DB48" s="16" t="str">
        <f t="shared" si="15"/>
        <v>EUL</v>
      </c>
      <c r="DC48" s="16" t="str">
        <f t="shared" si="15"/>
        <v>EUL</v>
      </c>
      <c r="DD48" s="16" t="str">
        <f t="shared" si="15"/>
        <v>EUL</v>
      </c>
      <c r="DE48" s="2"/>
      <c r="DF48" s="2"/>
      <c r="DG48" s="809"/>
      <c r="DH48" s="265"/>
      <c r="DI48" s="265"/>
      <c r="DJ48" s="1168"/>
    </row>
    <row r="49" spans="1:114" s="9" customFormat="1" ht="15" customHeight="1" outlineLevel="1">
      <c r="A49" s="2"/>
      <c r="C49" s="66"/>
      <c r="D49" s="413" t="str">
        <f t="shared" ref="D49:D72" si="16">C9</f>
        <v>800050_2024_12_</v>
      </c>
      <c r="E49" s="413" t="str">
        <f>E9</f>
        <v>LED &lt;=11 Watt Lamp Replacing Interior Halogen A 28-52 Watt Lamp</v>
      </c>
      <c r="F49" s="2036">
        <v>20</v>
      </c>
      <c r="G49" s="2036">
        <v>9.9700000000000006</v>
      </c>
      <c r="H49" s="2037">
        <v>2090</v>
      </c>
      <c r="I49" s="2012">
        <v>1.056</v>
      </c>
      <c r="J49" s="2012">
        <v>1.032</v>
      </c>
      <c r="K49" s="2036">
        <v>1</v>
      </c>
      <c r="L49" s="743">
        <v>10</v>
      </c>
      <c r="M49" s="2015">
        <f t="shared" ref="M49:M74" si="17">$S$52</f>
        <v>0.93732108169668527</v>
      </c>
      <c r="N49" s="122"/>
      <c r="O49" s="837" t="s">
        <v>135</v>
      </c>
      <c r="P49" s="1479">
        <v>1.0029999999999999</v>
      </c>
      <c r="Q49" s="1479">
        <v>0.92300000000000004</v>
      </c>
      <c r="R49" s="1479">
        <f>P49*Q49</f>
        <v>0.92576899999999995</v>
      </c>
      <c r="S49" s="1148">
        <v>0.84419243153511514</v>
      </c>
      <c r="T49" s="122"/>
      <c r="U49" s="475"/>
      <c r="V49" s="690" t="s">
        <v>136</v>
      </c>
      <c r="W49" s="17">
        <v>36</v>
      </c>
      <c r="X49" s="117">
        <v>45</v>
      </c>
      <c r="Y49" s="18">
        <v>45</v>
      </c>
      <c r="Z49" s="18">
        <v>45</v>
      </c>
      <c r="AA49" s="18">
        <v>45</v>
      </c>
      <c r="AB49" s="17">
        <v>60.524073707152766</v>
      </c>
      <c r="AC49" s="737">
        <v>55.17</v>
      </c>
      <c r="AD49" s="175">
        <v>47.219512195121951</v>
      </c>
      <c r="AE49" s="117">
        <v>20</v>
      </c>
      <c r="AF49" s="18">
        <v>20</v>
      </c>
      <c r="AG49" s="176"/>
      <c r="AH49" s="708"/>
      <c r="AI49" s="778" t="s">
        <v>136</v>
      </c>
      <c r="AJ49" s="17">
        <v>8</v>
      </c>
      <c r="AK49" s="117">
        <v>9.1999999999999993</v>
      </c>
      <c r="AL49" s="18">
        <v>9.1999999999999993</v>
      </c>
      <c r="AM49" s="17">
        <v>9.1999999999999993</v>
      </c>
      <c r="AN49" s="17">
        <v>9.1999999999999993</v>
      </c>
      <c r="AO49" s="17">
        <v>9.2734297602536166</v>
      </c>
      <c r="AP49" s="737">
        <v>9.6199999999999992</v>
      </c>
      <c r="AQ49" s="175">
        <v>9.967265725288831</v>
      </c>
      <c r="AR49" s="18">
        <v>9.9700000000000006</v>
      </c>
      <c r="AS49" s="18">
        <v>9.9700000000000006</v>
      </c>
      <c r="AT49" s="708"/>
      <c r="AU49" s="778" t="s">
        <v>136</v>
      </c>
      <c r="AV49" s="857">
        <v>2920</v>
      </c>
      <c r="AW49" s="858">
        <v>2386</v>
      </c>
      <c r="AX49" s="857">
        <v>2386</v>
      </c>
      <c r="AY49" s="857">
        <v>2386</v>
      </c>
      <c r="AZ49" s="857">
        <v>2386</v>
      </c>
      <c r="BA49" s="857">
        <v>3286.2179512581733</v>
      </c>
      <c r="BB49" s="857">
        <v>2698</v>
      </c>
      <c r="BC49" s="999">
        <v>2090.2888318356868</v>
      </c>
      <c r="BD49" s="1115">
        <v>2090</v>
      </c>
      <c r="BE49" s="1115">
        <v>2090</v>
      </c>
      <c r="BF49" s="708"/>
      <c r="BG49" s="778" t="s">
        <v>136</v>
      </c>
      <c r="BH49" s="17">
        <v>1.07</v>
      </c>
      <c r="BI49" s="117">
        <v>1.08</v>
      </c>
      <c r="BJ49" s="176">
        <v>1.08</v>
      </c>
      <c r="BK49" s="19">
        <v>1.08</v>
      </c>
      <c r="BL49" s="18">
        <f>I49</f>
        <v>1.056</v>
      </c>
      <c r="BM49" s="18">
        <v>1.071</v>
      </c>
      <c r="BN49" s="737">
        <v>1.071</v>
      </c>
      <c r="BO49" s="727">
        <v>1.056</v>
      </c>
      <c r="BP49" s="1114">
        <v>1.056</v>
      </c>
      <c r="BQ49" s="1114">
        <v>1.056</v>
      </c>
      <c r="BR49" s="708"/>
      <c r="BS49" s="1039" t="s">
        <v>136</v>
      </c>
      <c r="BT49" s="1039"/>
      <c r="BU49" s="840"/>
      <c r="BV49" s="840"/>
      <c r="BW49" s="840"/>
      <c r="BX49" s="840"/>
      <c r="BY49" s="840"/>
      <c r="BZ49" s="840"/>
      <c r="CA49" s="727">
        <v>1.032</v>
      </c>
      <c r="CB49" s="1114">
        <v>1.032</v>
      </c>
      <c r="CC49" s="1114">
        <v>1.032</v>
      </c>
      <c r="CD49" s="676"/>
      <c r="CF49" s="1039" t="s">
        <v>136</v>
      </c>
      <c r="CG49" s="17">
        <v>1</v>
      </c>
      <c r="CH49" s="117">
        <v>0.96</v>
      </c>
      <c r="CI49" s="17">
        <v>0.96</v>
      </c>
      <c r="CJ49" s="17">
        <v>0.96</v>
      </c>
      <c r="CK49" s="17">
        <v>0.96</v>
      </c>
      <c r="CL49" s="17">
        <v>0.96</v>
      </c>
      <c r="CM49" s="737">
        <v>1</v>
      </c>
      <c r="CN49" s="723">
        <v>1</v>
      </c>
      <c r="CO49" s="18">
        <v>1</v>
      </c>
      <c r="CP49" s="18">
        <v>1</v>
      </c>
      <c r="CQ49" s="176"/>
      <c r="CR49" s="708"/>
      <c r="CS49" s="1039" t="s">
        <v>136</v>
      </c>
      <c r="CT49" s="20">
        <v>17</v>
      </c>
      <c r="CU49" s="674">
        <v>21</v>
      </c>
      <c r="CV49" s="650">
        <v>21</v>
      </c>
      <c r="CW49" s="650">
        <v>21</v>
      </c>
      <c r="CX49" s="650">
        <v>21</v>
      </c>
      <c r="CY49" s="650">
        <v>17</v>
      </c>
      <c r="CZ49" s="770">
        <v>10</v>
      </c>
      <c r="DA49" s="1001">
        <v>10</v>
      </c>
      <c r="DB49" s="20">
        <v>10</v>
      </c>
      <c r="DC49" s="20">
        <v>10</v>
      </c>
      <c r="DD49" s="176"/>
      <c r="DE49" s="2"/>
      <c r="DF49" s="2"/>
      <c r="DG49" s="809"/>
      <c r="DH49" s="265"/>
      <c r="DI49" s="265"/>
      <c r="DJ49" s="1168"/>
    </row>
    <row r="50" spans="1:114" s="9" customFormat="1" ht="15" customHeight="1" outlineLevel="1">
      <c r="A50" s="2"/>
      <c r="C50" s="66"/>
      <c r="D50" s="413" t="str">
        <f t="shared" si="16"/>
        <v>800100_2024_12_</v>
      </c>
      <c r="E50" s="413" t="str">
        <f t="shared" ref="E50:E73" si="18">E10</f>
        <v>LED 7-20 Watt Lamp Replacing Interior Halogen 53-70 Watt Lamp</v>
      </c>
      <c r="F50" s="2036">
        <v>45</v>
      </c>
      <c r="G50" s="2013">
        <v>9.2186132511556238</v>
      </c>
      <c r="H50" s="2014">
        <v>2195.9533127889058</v>
      </c>
      <c r="I50" s="2012">
        <v>1.056</v>
      </c>
      <c r="J50" s="2012">
        <v>1.032</v>
      </c>
      <c r="K50" s="2036">
        <v>1</v>
      </c>
      <c r="L50" s="743">
        <v>10</v>
      </c>
      <c r="M50" s="2015">
        <f t="shared" si="17"/>
        <v>0.93732108169668527</v>
      </c>
      <c r="N50" s="122"/>
      <c r="O50" s="837" t="s">
        <v>137</v>
      </c>
      <c r="P50" s="988">
        <v>0.99199999999999999</v>
      </c>
      <c r="Q50" s="988">
        <v>1.0069999999999999</v>
      </c>
      <c r="R50" s="988">
        <v>0.99894399999999994</v>
      </c>
      <c r="S50" s="1148">
        <v>8.2430684093554515E-2</v>
      </c>
      <c r="T50" s="122"/>
      <c r="U50" s="475"/>
      <c r="V50" s="690" t="s">
        <v>138</v>
      </c>
      <c r="W50" s="17">
        <v>63</v>
      </c>
      <c r="X50" s="21">
        <v>63</v>
      </c>
      <c r="Y50" s="21">
        <v>63</v>
      </c>
      <c r="Z50" s="18">
        <v>63</v>
      </c>
      <c r="AA50" s="18">
        <v>63</v>
      </c>
      <c r="AB50" s="17">
        <v>65.553668950451794</v>
      </c>
      <c r="AC50" s="737">
        <v>65.27</v>
      </c>
      <c r="AD50" s="175">
        <v>64.832124352331604</v>
      </c>
      <c r="AE50" s="117">
        <v>45</v>
      </c>
      <c r="AF50" s="18">
        <v>45</v>
      </c>
      <c r="AG50" s="176"/>
      <c r="AH50" s="708"/>
      <c r="AI50" s="778" t="s">
        <v>138</v>
      </c>
      <c r="AJ50" s="17">
        <v>14</v>
      </c>
      <c r="AK50" s="18">
        <v>14</v>
      </c>
      <c r="AL50" s="18">
        <v>14</v>
      </c>
      <c r="AM50" s="17">
        <v>14</v>
      </c>
      <c r="AN50" s="17">
        <v>14</v>
      </c>
      <c r="AO50" s="17">
        <v>9.6557442160659317</v>
      </c>
      <c r="AP50" s="737">
        <v>9.6999999999999993</v>
      </c>
      <c r="AQ50" s="175">
        <v>9.8848680780060487</v>
      </c>
      <c r="AR50" s="117">
        <v>9.5451461988304089</v>
      </c>
      <c r="AS50" s="117">
        <v>9.2186132511556238</v>
      </c>
      <c r="AT50" s="708"/>
      <c r="AU50" s="778" t="s">
        <v>138</v>
      </c>
      <c r="AV50" s="857">
        <v>2920</v>
      </c>
      <c r="AW50" s="859">
        <v>2920</v>
      </c>
      <c r="AX50" s="857">
        <v>2920</v>
      </c>
      <c r="AY50" s="857">
        <v>2920</v>
      </c>
      <c r="AZ50" s="857">
        <v>2920</v>
      </c>
      <c r="BA50" s="857">
        <v>2205.5545129579982</v>
      </c>
      <c r="BB50" s="857">
        <v>2122</v>
      </c>
      <c r="BC50" s="999">
        <v>2289.824590676817</v>
      </c>
      <c r="BD50" s="1007">
        <v>1699.6226900584795</v>
      </c>
      <c r="BE50" s="1007">
        <v>2195.9533127889058</v>
      </c>
      <c r="BF50" s="708"/>
      <c r="BG50" s="778" t="s">
        <v>138</v>
      </c>
      <c r="BH50" s="17">
        <v>1.07</v>
      </c>
      <c r="BI50" s="17">
        <v>1.07</v>
      </c>
      <c r="BJ50" s="176">
        <v>1.07</v>
      </c>
      <c r="BK50" s="19">
        <v>1.07</v>
      </c>
      <c r="BL50" s="19">
        <v>1.07</v>
      </c>
      <c r="BM50" s="18">
        <v>1.071</v>
      </c>
      <c r="BN50" s="737">
        <v>1.071</v>
      </c>
      <c r="BO50" s="727">
        <v>1.056</v>
      </c>
      <c r="BP50" s="1114">
        <v>1.056</v>
      </c>
      <c r="BQ50" s="1114">
        <v>1.056</v>
      </c>
      <c r="BR50" s="708"/>
      <c r="BS50" s="1039" t="s">
        <v>138</v>
      </c>
      <c r="BT50" s="1039"/>
      <c r="BU50" s="840"/>
      <c r="BV50" s="840"/>
      <c r="BW50" s="840"/>
      <c r="BX50" s="840"/>
      <c r="BY50" s="840"/>
      <c r="BZ50" s="840"/>
      <c r="CA50" s="727">
        <v>1.032</v>
      </c>
      <c r="CB50" s="1114">
        <v>1.032</v>
      </c>
      <c r="CC50" s="1114">
        <v>1.032</v>
      </c>
      <c r="CD50" s="676"/>
      <c r="CF50" s="1039" t="s">
        <v>138</v>
      </c>
      <c r="CG50" s="17">
        <v>1</v>
      </c>
      <c r="CH50" s="18">
        <v>1</v>
      </c>
      <c r="CI50" s="17">
        <v>1</v>
      </c>
      <c r="CJ50" s="17">
        <v>1</v>
      </c>
      <c r="CK50" s="17">
        <v>1</v>
      </c>
      <c r="CL50" s="17">
        <v>1</v>
      </c>
      <c r="CM50" s="737">
        <v>1</v>
      </c>
      <c r="CN50" s="723">
        <v>1</v>
      </c>
      <c r="CO50" s="18">
        <v>1</v>
      </c>
      <c r="CP50" s="18">
        <v>1</v>
      </c>
      <c r="CQ50" s="176"/>
      <c r="CR50" s="708"/>
      <c r="CS50" s="1039" t="s">
        <v>138</v>
      </c>
      <c r="CT50" s="20">
        <v>17</v>
      </c>
      <c r="CU50" s="23">
        <v>17</v>
      </c>
      <c r="CV50" s="650">
        <v>17</v>
      </c>
      <c r="CW50" s="650">
        <v>17</v>
      </c>
      <c r="CX50" s="650">
        <v>17</v>
      </c>
      <c r="CY50" s="650">
        <v>17</v>
      </c>
      <c r="CZ50" s="770">
        <v>10</v>
      </c>
      <c r="DA50" s="1001">
        <v>10</v>
      </c>
      <c r="DB50" s="20">
        <v>10</v>
      </c>
      <c r="DC50" s="20">
        <v>10</v>
      </c>
      <c r="DD50" s="176"/>
      <c r="DE50" s="2"/>
      <c r="DF50" s="2"/>
      <c r="DG50" s="809"/>
      <c r="DH50" s="265"/>
      <c r="DI50" s="265"/>
      <c r="DJ50" s="1168"/>
    </row>
    <row r="51" spans="1:114" s="9" customFormat="1" ht="15" customHeight="1" outlineLevel="1">
      <c r="A51" s="2"/>
      <c r="C51" s="66"/>
      <c r="D51" s="413" t="str">
        <f t="shared" si="16"/>
        <v>800150_2024_12_</v>
      </c>
      <c r="E51" s="413" t="str">
        <f t="shared" si="18"/>
        <v>LED &lt;=14 Watt Lamp Replacing Interior Halogen BR/R 45-65 Watt Lamp</v>
      </c>
      <c r="F51" s="2036">
        <v>20</v>
      </c>
      <c r="G51" s="2013">
        <v>9.5890410958904102</v>
      </c>
      <c r="H51" s="2014">
        <v>2685.0199252801995</v>
      </c>
      <c r="I51" s="2012">
        <v>1.056</v>
      </c>
      <c r="J51" s="2012">
        <v>1.032</v>
      </c>
      <c r="K51" s="2036">
        <v>1</v>
      </c>
      <c r="L51" s="743">
        <v>10</v>
      </c>
      <c r="M51" s="2015">
        <f t="shared" si="17"/>
        <v>0.93732108169668527</v>
      </c>
      <c r="N51" s="122"/>
      <c r="O51" s="837" t="s">
        <v>95</v>
      </c>
      <c r="P51" s="988">
        <v>1.0009999999999999</v>
      </c>
      <c r="Q51" s="988">
        <v>1</v>
      </c>
      <c r="R51" s="988">
        <v>1.0009999999999999</v>
      </c>
      <c r="S51" s="1148">
        <v>7.3376884371330345E-2</v>
      </c>
      <c r="T51" s="122"/>
      <c r="U51" s="475"/>
      <c r="V51" s="690" t="s">
        <v>139</v>
      </c>
      <c r="W51" s="17">
        <v>55</v>
      </c>
      <c r="X51" s="117">
        <v>62</v>
      </c>
      <c r="Y51" s="18">
        <v>62</v>
      </c>
      <c r="Z51" s="18">
        <v>62</v>
      </c>
      <c r="AA51" s="18">
        <v>62</v>
      </c>
      <c r="AB51" s="17">
        <v>66.525768731052409</v>
      </c>
      <c r="AC51" s="737">
        <v>66.88</v>
      </c>
      <c r="AD51" s="175">
        <v>65.846788045345235</v>
      </c>
      <c r="AE51" s="117">
        <v>20</v>
      </c>
      <c r="AF51" s="18">
        <v>20</v>
      </c>
      <c r="AG51" s="176"/>
      <c r="AH51" s="708"/>
      <c r="AI51" s="778" t="s">
        <v>139</v>
      </c>
      <c r="AJ51" s="17">
        <v>12</v>
      </c>
      <c r="AK51" s="117">
        <v>9.3000000000000007</v>
      </c>
      <c r="AL51" s="18">
        <v>9.3000000000000007</v>
      </c>
      <c r="AM51" s="17">
        <v>9.3000000000000007</v>
      </c>
      <c r="AN51" s="17">
        <v>9.3000000000000007</v>
      </c>
      <c r="AO51" s="17">
        <v>10.191857947163275</v>
      </c>
      <c r="AP51" s="737">
        <v>10.48</v>
      </c>
      <c r="AQ51" s="175">
        <v>10.311877789220734</v>
      </c>
      <c r="AR51" s="117">
        <v>9.9006479481641474</v>
      </c>
      <c r="AS51" s="117">
        <v>9.5890410958904102</v>
      </c>
      <c r="AT51" s="708"/>
      <c r="AU51" s="778" t="s">
        <v>139</v>
      </c>
      <c r="AV51" s="857">
        <v>4380</v>
      </c>
      <c r="AW51" s="860">
        <v>3583</v>
      </c>
      <c r="AX51" s="857">
        <v>3583</v>
      </c>
      <c r="AY51" s="857">
        <v>3583</v>
      </c>
      <c r="AZ51" s="857">
        <v>3583</v>
      </c>
      <c r="BA51" s="857">
        <v>2711.439800779558</v>
      </c>
      <c r="BB51" s="857">
        <v>2553</v>
      </c>
      <c r="BC51" s="999">
        <v>4001.6227257123242</v>
      </c>
      <c r="BD51" s="1007">
        <v>2678.7803147176796</v>
      </c>
      <c r="BE51" s="1007">
        <v>2685.0199252801995</v>
      </c>
      <c r="BF51" s="708"/>
      <c r="BG51" s="778" t="s">
        <v>139</v>
      </c>
      <c r="BH51" s="17">
        <v>1.07</v>
      </c>
      <c r="BI51" s="117">
        <v>1.0900000000000001</v>
      </c>
      <c r="BJ51" s="176">
        <v>1.0900000000000001</v>
      </c>
      <c r="BK51" s="19">
        <v>1.0900000000000001</v>
      </c>
      <c r="BL51" s="19">
        <v>1.0900000000000001</v>
      </c>
      <c r="BM51" s="18">
        <v>1.071</v>
      </c>
      <c r="BN51" s="737">
        <v>1.071</v>
      </c>
      <c r="BO51" s="727">
        <v>1.056</v>
      </c>
      <c r="BP51" s="1114">
        <v>1.056</v>
      </c>
      <c r="BQ51" s="1114">
        <v>1.056</v>
      </c>
      <c r="BR51" s="708"/>
      <c r="BS51" s="1039" t="s">
        <v>139</v>
      </c>
      <c r="BT51" s="1039"/>
      <c r="BU51" s="840"/>
      <c r="BV51" s="840"/>
      <c r="BW51" s="840"/>
      <c r="BX51" s="840"/>
      <c r="BY51" s="840"/>
      <c r="BZ51" s="840"/>
      <c r="CA51" s="727">
        <v>1.032</v>
      </c>
      <c r="CB51" s="1114">
        <v>1.032</v>
      </c>
      <c r="CC51" s="1114">
        <v>1.032</v>
      </c>
      <c r="CD51" s="676"/>
      <c r="CF51" s="1039" t="s">
        <v>139</v>
      </c>
      <c r="CG51" s="17">
        <v>1</v>
      </c>
      <c r="CH51" s="117">
        <v>0.99</v>
      </c>
      <c r="CI51" s="17">
        <v>0.99</v>
      </c>
      <c r="CJ51" s="17">
        <v>0.99</v>
      </c>
      <c r="CK51" s="17">
        <v>0.99</v>
      </c>
      <c r="CL51" s="17">
        <v>0.99</v>
      </c>
      <c r="CM51" s="737">
        <v>1</v>
      </c>
      <c r="CN51" s="723">
        <v>1</v>
      </c>
      <c r="CO51" s="18">
        <v>1</v>
      </c>
      <c r="CP51" s="18">
        <v>1</v>
      </c>
      <c r="CQ51" s="176"/>
      <c r="CR51" s="708"/>
      <c r="CS51" s="1039" t="s">
        <v>139</v>
      </c>
      <c r="CT51" s="20">
        <v>11</v>
      </c>
      <c r="CU51" s="674">
        <v>14</v>
      </c>
      <c r="CV51" s="650">
        <v>14</v>
      </c>
      <c r="CW51" s="650">
        <v>14</v>
      </c>
      <c r="CX51" s="650">
        <v>14</v>
      </c>
      <c r="CY51" s="650">
        <v>11</v>
      </c>
      <c r="CZ51" s="770">
        <v>10</v>
      </c>
      <c r="DA51" s="1001">
        <v>10</v>
      </c>
      <c r="DB51" s="20">
        <v>10</v>
      </c>
      <c r="DC51" s="20">
        <v>10</v>
      </c>
      <c r="DD51" s="176"/>
      <c r="DE51" s="2"/>
      <c r="DF51" s="2"/>
      <c r="DG51" s="809"/>
      <c r="DH51" s="265"/>
      <c r="DI51" s="265"/>
      <c r="DJ51" s="1168"/>
    </row>
    <row r="52" spans="1:114" s="9" customFormat="1" ht="15" customHeight="1" outlineLevel="1">
      <c r="A52" s="2"/>
      <c r="C52" s="66"/>
      <c r="D52" s="413" t="str">
        <f t="shared" si="16"/>
        <v>800200_2024_12_</v>
      </c>
      <c r="E52" s="413" t="str">
        <f t="shared" si="18"/>
        <v>LED &lt;=13 Watt Lamp Replacing Interior Halogen MR-16 35-50 Watt Lamp</v>
      </c>
      <c r="F52" s="2036">
        <v>47.521739130434781</v>
      </c>
      <c r="G52" s="2013">
        <v>7.1699029126213594</v>
      </c>
      <c r="H52" s="2014">
        <v>4383.2038834951454</v>
      </c>
      <c r="I52" s="2012">
        <v>1.056</v>
      </c>
      <c r="J52" s="2012">
        <v>1.032</v>
      </c>
      <c r="K52" s="2036">
        <v>1</v>
      </c>
      <c r="L52" s="743">
        <v>10</v>
      </c>
      <c r="M52" s="2015">
        <f t="shared" si="17"/>
        <v>0.93732108169668527</v>
      </c>
      <c r="N52" s="122"/>
      <c r="O52" s="122"/>
      <c r="P52" s="122"/>
      <c r="Q52" s="837"/>
      <c r="R52" s="937" t="s">
        <v>140</v>
      </c>
      <c r="S52" s="1149">
        <f>SUMPRODUCT(R49:R51,S49:S51)</f>
        <v>0.93732108169668527</v>
      </c>
      <c r="T52" s="122"/>
      <c r="U52" s="476"/>
      <c r="V52" s="690" t="s">
        <v>141</v>
      </c>
      <c r="W52" s="17">
        <v>50</v>
      </c>
      <c r="X52" s="117">
        <v>45</v>
      </c>
      <c r="Y52" s="18">
        <v>45</v>
      </c>
      <c r="Z52" s="18">
        <v>45</v>
      </c>
      <c r="AA52" s="18">
        <v>45</v>
      </c>
      <c r="AB52" s="17">
        <v>46.867785939139559</v>
      </c>
      <c r="AC52" s="737">
        <v>41.62</v>
      </c>
      <c r="AD52" s="175">
        <v>49.004160166406656</v>
      </c>
      <c r="AE52" s="117">
        <v>47.521739130434781</v>
      </c>
      <c r="AF52" s="18">
        <v>47.521739130434781</v>
      </c>
      <c r="AG52" s="176"/>
      <c r="AH52" s="708"/>
      <c r="AI52" s="778" t="s">
        <v>141</v>
      </c>
      <c r="AJ52" s="17">
        <v>12</v>
      </c>
      <c r="AK52" s="117">
        <v>8.5</v>
      </c>
      <c r="AL52" s="18">
        <v>8.5</v>
      </c>
      <c r="AM52" s="17">
        <v>8.5</v>
      </c>
      <c r="AN52" s="17">
        <v>8.5</v>
      </c>
      <c r="AO52" s="17">
        <v>6.5456453305351525</v>
      </c>
      <c r="AP52" s="737">
        <v>6.35</v>
      </c>
      <c r="AQ52" s="175">
        <v>7.2600104004160171</v>
      </c>
      <c r="AR52" s="117">
        <v>5.8208695652173912</v>
      </c>
      <c r="AS52" s="117">
        <v>7.1699029126213594</v>
      </c>
      <c r="AT52" s="708"/>
      <c r="AU52" s="778" t="s">
        <v>141</v>
      </c>
      <c r="AV52" s="857">
        <v>4380</v>
      </c>
      <c r="AW52" s="858">
        <v>4120</v>
      </c>
      <c r="AX52" s="857">
        <v>4120</v>
      </c>
      <c r="AY52" s="857">
        <v>4120</v>
      </c>
      <c r="AZ52" s="857">
        <v>4120</v>
      </c>
      <c r="BA52" s="857">
        <v>3585.087093389297</v>
      </c>
      <c r="BB52" s="857">
        <v>2808</v>
      </c>
      <c r="BC52" s="999">
        <v>1824.646905876235</v>
      </c>
      <c r="BD52" s="1007">
        <v>2766.4156521739133</v>
      </c>
      <c r="BE52" s="1007">
        <v>4383.2038834951454</v>
      </c>
      <c r="BF52" s="708"/>
      <c r="BG52" s="778" t="s">
        <v>141</v>
      </c>
      <c r="BH52" s="17">
        <v>1.07</v>
      </c>
      <c r="BI52" s="117">
        <v>1.1000000000000001</v>
      </c>
      <c r="BJ52" s="176">
        <v>1.1000000000000001</v>
      </c>
      <c r="BK52" s="19">
        <v>1.1000000000000001</v>
      </c>
      <c r="BL52" s="19">
        <v>1.1000000000000001</v>
      </c>
      <c r="BM52" s="18">
        <v>1.071</v>
      </c>
      <c r="BN52" s="737">
        <v>1.071</v>
      </c>
      <c r="BO52" s="727">
        <v>1.056</v>
      </c>
      <c r="BP52" s="1114">
        <v>1.056</v>
      </c>
      <c r="BQ52" s="1114">
        <v>1.056</v>
      </c>
      <c r="BR52" s="708"/>
      <c r="BS52" s="1039" t="s">
        <v>141</v>
      </c>
      <c r="BT52" s="1039"/>
      <c r="BU52" s="840"/>
      <c r="BV52" s="840"/>
      <c r="BW52" s="840"/>
      <c r="BX52" s="840"/>
      <c r="BY52" s="840"/>
      <c r="BZ52" s="840"/>
      <c r="CA52" s="727">
        <v>1.032</v>
      </c>
      <c r="CB52" s="1114">
        <v>1.032</v>
      </c>
      <c r="CC52" s="1114">
        <v>1.032</v>
      </c>
      <c r="CD52" s="676"/>
      <c r="CF52" s="1039" t="s">
        <v>141</v>
      </c>
      <c r="CG52" s="17">
        <v>1</v>
      </c>
      <c r="CH52" s="117">
        <v>0.995</v>
      </c>
      <c r="CI52" s="17">
        <v>0.995</v>
      </c>
      <c r="CJ52" s="17">
        <v>0.995</v>
      </c>
      <c r="CK52" s="17">
        <v>0.995</v>
      </c>
      <c r="CL52" s="17">
        <v>0.995</v>
      </c>
      <c r="CM52" s="737">
        <v>0.995</v>
      </c>
      <c r="CN52" s="723">
        <v>0.995</v>
      </c>
      <c r="CO52" s="18">
        <v>1</v>
      </c>
      <c r="CP52" s="18">
        <v>1</v>
      </c>
      <c r="CQ52" s="176"/>
      <c r="CR52" s="708"/>
      <c r="CS52" s="1039" t="s">
        <v>141</v>
      </c>
      <c r="CT52" s="20">
        <v>11</v>
      </c>
      <c r="CU52" s="674">
        <v>12</v>
      </c>
      <c r="CV52" s="650">
        <v>12</v>
      </c>
      <c r="CW52" s="650">
        <v>12</v>
      </c>
      <c r="CX52" s="650">
        <v>12</v>
      </c>
      <c r="CY52" s="650">
        <v>11</v>
      </c>
      <c r="CZ52" s="770">
        <v>10</v>
      </c>
      <c r="DA52" s="1001">
        <v>10</v>
      </c>
      <c r="DB52" s="20">
        <v>10</v>
      </c>
      <c r="DC52" s="20">
        <v>10</v>
      </c>
      <c r="DD52" s="176"/>
      <c r="DE52" s="2"/>
      <c r="DF52" s="2"/>
      <c r="DG52" s="809"/>
      <c r="DH52" s="265"/>
      <c r="DI52" s="265"/>
      <c r="DJ52" s="1168"/>
    </row>
    <row r="53" spans="1:114" ht="15" customHeight="1" outlineLevel="1">
      <c r="C53" s="66"/>
      <c r="D53" s="413" t="str">
        <f t="shared" si="16"/>
        <v>800250_2024_12_</v>
      </c>
      <c r="E53" s="413" t="str">
        <f t="shared" si="18"/>
        <v xml:space="preserve">LED &lt;=20 Watt Lamp Replacing Interior Halogen PAR 48-90 Watt Lamp  </v>
      </c>
      <c r="F53" s="2036">
        <v>25</v>
      </c>
      <c r="G53" s="2013">
        <v>12.976816074188562</v>
      </c>
      <c r="H53" s="2014">
        <v>3389.9768160741887</v>
      </c>
      <c r="I53" s="2012">
        <v>1.056</v>
      </c>
      <c r="J53" s="2012">
        <v>1.032</v>
      </c>
      <c r="K53" s="2036">
        <v>1</v>
      </c>
      <c r="L53" s="743">
        <v>10</v>
      </c>
      <c r="M53" s="2015">
        <f t="shared" si="17"/>
        <v>0.93732108169668527</v>
      </c>
      <c r="O53" s="4007" t="s">
        <v>142</v>
      </c>
      <c r="P53" s="4007"/>
      <c r="Q53" s="4007"/>
      <c r="R53" s="4007"/>
      <c r="S53" s="4007"/>
      <c r="U53" s="477"/>
      <c r="V53" s="690" t="s">
        <v>143</v>
      </c>
      <c r="W53" s="17">
        <v>70</v>
      </c>
      <c r="X53" s="117">
        <v>72</v>
      </c>
      <c r="Y53" s="18">
        <v>72</v>
      </c>
      <c r="Z53" s="18">
        <v>72</v>
      </c>
      <c r="AA53" s="18">
        <v>72</v>
      </c>
      <c r="AB53" s="17">
        <v>75.836453954910198</v>
      </c>
      <c r="AC53" s="737">
        <v>75.62</v>
      </c>
      <c r="AD53" s="175">
        <v>76.371454711802386</v>
      </c>
      <c r="AE53" s="117">
        <v>25</v>
      </c>
      <c r="AF53" s="18">
        <v>25</v>
      </c>
      <c r="AG53" s="176"/>
      <c r="AH53" s="22"/>
      <c r="AI53" s="778" t="s">
        <v>143</v>
      </c>
      <c r="AJ53" s="17">
        <v>15</v>
      </c>
      <c r="AK53" s="117">
        <v>12.8</v>
      </c>
      <c r="AL53" s="18">
        <v>12.8</v>
      </c>
      <c r="AM53" s="17">
        <v>12.8</v>
      </c>
      <c r="AN53" s="17">
        <v>12.8</v>
      </c>
      <c r="AO53" s="17">
        <v>12.790026748184944</v>
      </c>
      <c r="AP53" s="737">
        <v>12.35</v>
      </c>
      <c r="AQ53" s="175">
        <v>13.429835265405735</v>
      </c>
      <c r="AR53" s="117">
        <v>13.587975730832873</v>
      </c>
      <c r="AS53" s="117">
        <v>12.976816074188562</v>
      </c>
      <c r="AT53" s="22"/>
      <c r="AU53" s="778" t="s">
        <v>143</v>
      </c>
      <c r="AV53" s="857">
        <v>4380</v>
      </c>
      <c r="AW53" s="858">
        <v>4003</v>
      </c>
      <c r="AX53" s="857">
        <v>4003</v>
      </c>
      <c r="AY53" s="857">
        <v>4003</v>
      </c>
      <c r="AZ53" s="857">
        <v>4003</v>
      </c>
      <c r="BA53" s="857">
        <v>3397.4975162399696</v>
      </c>
      <c r="BB53" s="857">
        <v>2956</v>
      </c>
      <c r="BC53" s="999">
        <v>2851.9417327638803</v>
      </c>
      <c r="BD53" s="1007">
        <v>3399.2360728075014</v>
      </c>
      <c r="BE53" s="1007">
        <v>3389.9768160741887</v>
      </c>
      <c r="BF53" s="22"/>
      <c r="BG53" s="778" t="s">
        <v>143</v>
      </c>
      <c r="BH53" s="17">
        <v>1.07</v>
      </c>
      <c r="BI53" s="117">
        <v>1.0900000000000001</v>
      </c>
      <c r="BJ53" s="176">
        <v>1.0900000000000001</v>
      </c>
      <c r="BK53" s="19">
        <v>1.0900000000000001</v>
      </c>
      <c r="BL53" s="19">
        <v>1.0900000000000001</v>
      </c>
      <c r="BM53" s="18">
        <v>1.071</v>
      </c>
      <c r="BN53" s="737">
        <v>1.071</v>
      </c>
      <c r="BO53" s="727">
        <v>1.056</v>
      </c>
      <c r="BP53" s="1114">
        <v>1.056</v>
      </c>
      <c r="BQ53" s="1114">
        <v>1.056</v>
      </c>
      <c r="BR53" s="22"/>
      <c r="BS53" s="1039" t="s">
        <v>143</v>
      </c>
      <c r="BT53" s="1039"/>
      <c r="BU53" s="840"/>
      <c r="BV53" s="840"/>
      <c r="BW53" s="840"/>
      <c r="BX53" s="840"/>
      <c r="BY53" s="840"/>
      <c r="BZ53" s="840"/>
      <c r="CA53" s="727">
        <v>1.032</v>
      </c>
      <c r="CB53" s="1114">
        <v>1.032</v>
      </c>
      <c r="CC53" s="1114">
        <v>1.032</v>
      </c>
      <c r="CD53" s="676"/>
      <c r="CF53" s="1039" t="s">
        <v>143</v>
      </c>
      <c r="CG53" s="17">
        <v>1</v>
      </c>
      <c r="CH53" s="117">
        <v>0.99</v>
      </c>
      <c r="CI53" s="17">
        <v>0.99</v>
      </c>
      <c r="CJ53" s="17">
        <v>0.99</v>
      </c>
      <c r="CK53" s="17">
        <v>0.99</v>
      </c>
      <c r="CL53" s="17">
        <v>0.99</v>
      </c>
      <c r="CM53" s="737">
        <v>1</v>
      </c>
      <c r="CN53" s="723">
        <v>1</v>
      </c>
      <c r="CO53" s="18">
        <v>1</v>
      </c>
      <c r="CP53" s="18">
        <v>1</v>
      </c>
      <c r="CQ53" s="176"/>
      <c r="CR53" s="22"/>
      <c r="CS53" s="1039" t="s">
        <v>143</v>
      </c>
      <c r="CT53" s="20">
        <v>11</v>
      </c>
      <c r="CU53" s="674">
        <v>12</v>
      </c>
      <c r="CV53" s="650">
        <v>12</v>
      </c>
      <c r="CW53" s="650">
        <v>12</v>
      </c>
      <c r="CX53" s="650">
        <v>12</v>
      </c>
      <c r="CY53" s="650">
        <v>11</v>
      </c>
      <c r="CZ53" s="770">
        <v>10</v>
      </c>
      <c r="DA53" s="1001">
        <v>10</v>
      </c>
      <c r="DB53" s="20">
        <v>10</v>
      </c>
      <c r="DC53" s="20">
        <v>10</v>
      </c>
      <c r="DD53" s="176"/>
    </row>
    <row r="54" spans="1:114" ht="15" customHeight="1" outlineLevel="1">
      <c r="C54" s="66"/>
      <c r="D54" s="413" t="str">
        <f t="shared" si="16"/>
        <v>800300_2024_12_</v>
      </c>
      <c r="E54" s="413" t="str">
        <f t="shared" si="18"/>
        <v>LED &lt;=80 Watt Lamp or Fixture Replacing Interior HID 100-175 Watt Lamp or Fixture</v>
      </c>
      <c r="F54" s="2013">
        <v>322.75925221799747</v>
      </c>
      <c r="G54" s="2013">
        <v>95.206478765463586</v>
      </c>
      <c r="H54" s="2014">
        <v>3181.6099987246525</v>
      </c>
      <c r="I54" s="2012">
        <v>1.056</v>
      </c>
      <c r="J54" s="2012">
        <v>1.032</v>
      </c>
      <c r="K54" s="2036">
        <v>1</v>
      </c>
      <c r="L54" s="743">
        <v>15</v>
      </c>
      <c r="M54" s="2015">
        <f t="shared" si="17"/>
        <v>0.93732108169668527</v>
      </c>
      <c r="O54" s="4007"/>
      <c r="P54" s="4007"/>
      <c r="Q54" s="4007"/>
      <c r="R54" s="4007"/>
      <c r="S54" s="4007"/>
      <c r="U54" s="477"/>
      <c r="V54" s="690" t="s">
        <v>144</v>
      </c>
      <c r="W54" s="17">
        <v>175</v>
      </c>
      <c r="X54" s="117">
        <v>132</v>
      </c>
      <c r="Y54" s="18">
        <v>132</v>
      </c>
      <c r="Z54" s="18">
        <v>132</v>
      </c>
      <c r="AA54" s="18">
        <v>132</v>
      </c>
      <c r="AB54" s="17">
        <v>459.93313010766639</v>
      </c>
      <c r="AC54" s="737">
        <v>114.81</v>
      </c>
      <c r="AD54" s="175">
        <v>414.83622207804245</v>
      </c>
      <c r="AE54" s="18">
        <v>414.84</v>
      </c>
      <c r="AF54" s="117">
        <v>322.75925221799747</v>
      </c>
      <c r="AG54" s="176"/>
      <c r="AH54" s="22"/>
      <c r="AI54" s="778" t="s">
        <v>144</v>
      </c>
      <c r="AJ54" s="17">
        <v>52</v>
      </c>
      <c r="AK54" s="117">
        <v>48</v>
      </c>
      <c r="AL54" s="18">
        <v>48</v>
      </c>
      <c r="AM54" s="17">
        <v>48</v>
      </c>
      <c r="AN54" s="17">
        <v>48</v>
      </c>
      <c r="AO54" s="17">
        <v>141.88500454014789</v>
      </c>
      <c r="AP54" s="737">
        <v>20.54</v>
      </c>
      <c r="AQ54" s="175">
        <v>123.0018049544157</v>
      </c>
      <c r="AR54" s="18">
        <v>123</v>
      </c>
      <c r="AS54" s="117">
        <v>95.206478765463586</v>
      </c>
      <c r="AT54" s="22"/>
      <c r="AU54" s="778" t="s">
        <v>144</v>
      </c>
      <c r="AV54" s="857">
        <v>4380</v>
      </c>
      <c r="AW54" s="858">
        <v>4399</v>
      </c>
      <c r="AX54" s="857">
        <v>4399</v>
      </c>
      <c r="AY54" s="857">
        <v>4399</v>
      </c>
      <c r="AZ54" s="857">
        <v>4399</v>
      </c>
      <c r="BA54" s="857">
        <v>3517.5659618627578</v>
      </c>
      <c r="BB54" s="857">
        <v>6900</v>
      </c>
      <c r="BC54" s="999">
        <v>3697.4137581729442</v>
      </c>
      <c r="BD54" s="1115">
        <v>3697</v>
      </c>
      <c r="BE54" s="1007">
        <v>3181.6099987246525</v>
      </c>
      <c r="BF54" s="22"/>
      <c r="BG54" s="778" t="s">
        <v>144</v>
      </c>
      <c r="BH54" s="17">
        <v>1.07</v>
      </c>
      <c r="BI54" s="117">
        <v>1</v>
      </c>
      <c r="BJ54" s="176">
        <v>1</v>
      </c>
      <c r="BK54" s="19">
        <v>1</v>
      </c>
      <c r="BL54" s="19">
        <v>1</v>
      </c>
      <c r="BM54" s="18">
        <v>1.071</v>
      </c>
      <c r="BN54" s="737">
        <v>1.071</v>
      </c>
      <c r="BO54" s="727">
        <v>1.056</v>
      </c>
      <c r="BP54" s="1114">
        <v>1.056</v>
      </c>
      <c r="BQ54" s="1114">
        <v>1.056</v>
      </c>
      <c r="BR54" s="22"/>
      <c r="BS54" s="1039" t="s">
        <v>144</v>
      </c>
      <c r="BT54" s="1039"/>
      <c r="BU54" s="840"/>
      <c r="BV54" s="840"/>
      <c r="BW54" s="840"/>
      <c r="BX54" s="840"/>
      <c r="BY54" s="840"/>
      <c r="BZ54" s="840"/>
      <c r="CA54" s="727">
        <v>1.032</v>
      </c>
      <c r="CB54" s="1114">
        <v>1.032</v>
      </c>
      <c r="CC54" s="1114">
        <v>1.032</v>
      </c>
      <c r="CD54" s="676"/>
      <c r="CF54" s="1039" t="s">
        <v>144</v>
      </c>
      <c r="CG54" s="17">
        <v>1</v>
      </c>
      <c r="CH54" s="18">
        <v>1</v>
      </c>
      <c r="CI54" s="17">
        <v>1</v>
      </c>
      <c r="CJ54" s="17">
        <v>1</v>
      </c>
      <c r="CK54" s="17">
        <v>1</v>
      </c>
      <c r="CL54" s="17">
        <v>1</v>
      </c>
      <c r="CM54" s="737">
        <v>1</v>
      </c>
      <c r="CN54" s="723">
        <v>1</v>
      </c>
      <c r="CO54" s="18">
        <v>1</v>
      </c>
      <c r="CP54" s="18">
        <v>1</v>
      </c>
      <c r="CQ54" s="176"/>
      <c r="CR54" s="22"/>
      <c r="CS54" s="1039" t="s">
        <v>144</v>
      </c>
      <c r="CT54" s="20">
        <v>11</v>
      </c>
      <c r="CU54" s="23">
        <v>11</v>
      </c>
      <c r="CV54" s="650">
        <v>11</v>
      </c>
      <c r="CW54" s="650">
        <v>11</v>
      </c>
      <c r="CX54" s="650">
        <v>11</v>
      </c>
      <c r="CY54" s="650">
        <v>11</v>
      </c>
      <c r="CZ54" s="770">
        <v>15</v>
      </c>
      <c r="DA54" s="1001">
        <v>15</v>
      </c>
      <c r="DB54" s="20">
        <v>15</v>
      </c>
      <c r="DC54" s="20">
        <v>15</v>
      </c>
      <c r="DD54" s="176"/>
    </row>
    <row r="55" spans="1:114" ht="15" customHeight="1" outlineLevel="1">
      <c r="C55" s="66"/>
      <c r="D55" s="413" t="str">
        <f t="shared" si="16"/>
        <v>800350_2024_12_</v>
      </c>
      <c r="E55" s="413" t="str">
        <f t="shared" si="18"/>
        <v>LED 62 - 130 Watt Lamp or Fixture Replacing Interior HID 176-300 Watt Lamp or Fixture</v>
      </c>
      <c r="F55" s="2036">
        <v>281.02</v>
      </c>
      <c r="G55" s="2036">
        <v>111.93</v>
      </c>
      <c r="H55" s="2037">
        <v>4769</v>
      </c>
      <c r="I55" s="2012">
        <v>1.056</v>
      </c>
      <c r="J55" s="2012">
        <v>1.032</v>
      </c>
      <c r="K55" s="2036">
        <v>1</v>
      </c>
      <c r="L55" s="743">
        <v>15</v>
      </c>
      <c r="M55" s="2015">
        <f t="shared" si="17"/>
        <v>0.93732108169668527</v>
      </c>
      <c r="O55" s="4007"/>
      <c r="P55" s="4007"/>
      <c r="Q55" s="4007"/>
      <c r="R55" s="4007"/>
      <c r="S55" s="4007"/>
      <c r="U55" s="477"/>
      <c r="V55" s="690" t="s">
        <v>145</v>
      </c>
      <c r="W55" s="17">
        <v>250</v>
      </c>
      <c r="X55" s="117">
        <v>262</v>
      </c>
      <c r="Y55" s="18">
        <v>262</v>
      </c>
      <c r="Z55" s="18">
        <v>262</v>
      </c>
      <c r="AA55" s="18">
        <v>262</v>
      </c>
      <c r="AB55" s="17">
        <v>262</v>
      </c>
      <c r="AC55" s="737">
        <v>281.02</v>
      </c>
      <c r="AD55" s="21">
        <v>281.02314814814815</v>
      </c>
      <c r="AE55" s="18">
        <v>281.02</v>
      </c>
      <c r="AF55" s="18">
        <v>281.02</v>
      </c>
      <c r="AG55" s="176"/>
      <c r="AH55" s="22"/>
      <c r="AI55" s="778" t="s">
        <v>145</v>
      </c>
      <c r="AJ55" s="17">
        <v>100</v>
      </c>
      <c r="AK55" s="117">
        <v>92</v>
      </c>
      <c r="AL55" s="18">
        <v>92</v>
      </c>
      <c r="AM55" s="17">
        <v>92</v>
      </c>
      <c r="AN55" s="17">
        <v>92</v>
      </c>
      <c r="AO55" s="17">
        <v>92</v>
      </c>
      <c r="AP55" s="737">
        <v>111.93</v>
      </c>
      <c r="AQ55" s="21">
        <v>111.92592592592592</v>
      </c>
      <c r="AR55" s="18">
        <v>111.93</v>
      </c>
      <c r="AS55" s="18">
        <v>111.93</v>
      </c>
      <c r="AT55" s="22"/>
      <c r="AU55" s="778" t="s">
        <v>145</v>
      </c>
      <c r="AV55" s="857">
        <v>4380</v>
      </c>
      <c r="AW55" s="858">
        <v>4954.4778036070838</v>
      </c>
      <c r="AX55" s="857">
        <v>4954.4778036070838</v>
      </c>
      <c r="AY55" s="857">
        <v>4954.4778036070838</v>
      </c>
      <c r="AZ55" s="857">
        <v>4954.4778036070838</v>
      </c>
      <c r="BA55" s="857">
        <v>4954.4778036070838</v>
      </c>
      <c r="BB55" s="857">
        <v>4769</v>
      </c>
      <c r="BC55" s="1000">
        <v>4768.7638888888887</v>
      </c>
      <c r="BD55" s="1115">
        <v>4769</v>
      </c>
      <c r="BE55" s="1115">
        <v>4769</v>
      </c>
      <c r="BF55" s="22"/>
      <c r="BG55" s="778" t="s">
        <v>145</v>
      </c>
      <c r="BH55" s="17">
        <v>1.07</v>
      </c>
      <c r="BI55" s="117">
        <v>1.05</v>
      </c>
      <c r="BJ55" s="176">
        <v>1.05</v>
      </c>
      <c r="BK55" s="19">
        <v>1.05</v>
      </c>
      <c r="BL55" s="19">
        <v>1.05</v>
      </c>
      <c r="BM55" s="18">
        <v>1.071</v>
      </c>
      <c r="BN55" s="737">
        <v>1.071</v>
      </c>
      <c r="BO55" s="727">
        <v>1.056</v>
      </c>
      <c r="BP55" s="1114">
        <v>1.056</v>
      </c>
      <c r="BQ55" s="1114">
        <v>1.056</v>
      </c>
      <c r="BR55" s="22"/>
      <c r="BS55" s="1039" t="s">
        <v>145</v>
      </c>
      <c r="BT55" s="1039"/>
      <c r="BU55" s="840"/>
      <c r="BV55" s="840"/>
      <c r="BW55" s="840"/>
      <c r="BX55" s="840"/>
      <c r="BY55" s="840"/>
      <c r="BZ55" s="840"/>
      <c r="CA55" s="727">
        <v>1.032</v>
      </c>
      <c r="CB55" s="1114">
        <v>1.032</v>
      </c>
      <c r="CC55" s="1114">
        <v>1.032</v>
      </c>
      <c r="CD55" s="676"/>
      <c r="CF55" s="1039" t="s">
        <v>145</v>
      </c>
      <c r="CG55" s="17">
        <v>1</v>
      </c>
      <c r="CH55" s="18">
        <v>1</v>
      </c>
      <c r="CI55" s="17">
        <v>1</v>
      </c>
      <c r="CJ55" s="17">
        <v>1</v>
      </c>
      <c r="CK55" s="17">
        <v>1</v>
      </c>
      <c r="CL55" s="17">
        <v>1</v>
      </c>
      <c r="CM55" s="737">
        <v>1</v>
      </c>
      <c r="CN55" s="723">
        <v>1</v>
      </c>
      <c r="CO55" s="18">
        <v>1</v>
      </c>
      <c r="CP55" s="18">
        <v>1</v>
      </c>
      <c r="CQ55" s="176"/>
      <c r="CR55" s="22"/>
      <c r="CS55" s="1039" t="s">
        <v>145</v>
      </c>
      <c r="CT55" s="20">
        <v>11</v>
      </c>
      <c r="CU55" s="674">
        <v>10</v>
      </c>
      <c r="CV55" s="650">
        <v>10</v>
      </c>
      <c r="CW55" s="650">
        <v>10</v>
      </c>
      <c r="CX55" s="650">
        <v>10</v>
      </c>
      <c r="CY55" s="650">
        <v>11</v>
      </c>
      <c r="CZ55" s="770">
        <v>15</v>
      </c>
      <c r="DA55" s="1001">
        <v>15</v>
      </c>
      <c r="DB55" s="20">
        <v>15</v>
      </c>
      <c r="DC55" s="20">
        <v>15</v>
      </c>
      <c r="DD55" s="176"/>
    </row>
    <row r="56" spans="1:114" ht="15" customHeight="1" outlineLevel="1">
      <c r="C56" s="66"/>
      <c r="D56" s="413" t="str">
        <f t="shared" si="16"/>
        <v>800400_2024_12_</v>
      </c>
      <c r="E56" s="413" t="str">
        <f t="shared" si="18"/>
        <v>LED 85 - 225 Watt Lamp or Fixture Replacing Interior HID 301-500 Watt Lamp or Fixture</v>
      </c>
      <c r="F56" s="2036">
        <v>454.6</v>
      </c>
      <c r="G56" s="2036">
        <v>147.38</v>
      </c>
      <c r="H56" s="2037">
        <v>3235</v>
      </c>
      <c r="I56" s="2012">
        <v>1.056</v>
      </c>
      <c r="J56" s="2012">
        <v>1.032</v>
      </c>
      <c r="K56" s="2036">
        <v>1</v>
      </c>
      <c r="L56" s="743">
        <v>15</v>
      </c>
      <c r="M56" s="2015">
        <f t="shared" si="17"/>
        <v>0.93732108169668527</v>
      </c>
      <c r="O56" s="4007"/>
      <c r="P56" s="4007"/>
      <c r="Q56" s="4007"/>
      <c r="R56" s="4007"/>
      <c r="S56" s="4007"/>
      <c r="U56" s="477"/>
      <c r="V56" s="690" t="s">
        <v>146</v>
      </c>
      <c r="W56" s="17">
        <v>400</v>
      </c>
      <c r="X56" s="117">
        <v>444</v>
      </c>
      <c r="Y56" s="18">
        <v>444</v>
      </c>
      <c r="Z56" s="18">
        <v>444</v>
      </c>
      <c r="AA56" s="18">
        <v>444</v>
      </c>
      <c r="AB56" s="17">
        <v>444</v>
      </c>
      <c r="AC56" s="737">
        <v>454.6</v>
      </c>
      <c r="AD56" s="21">
        <v>454.59849024355503</v>
      </c>
      <c r="AE56" s="18">
        <v>454.6</v>
      </c>
      <c r="AF56" s="18">
        <v>454.6</v>
      </c>
      <c r="AG56" s="176"/>
      <c r="AH56" s="22"/>
      <c r="AI56" s="778" t="s">
        <v>146</v>
      </c>
      <c r="AJ56" s="17">
        <v>142</v>
      </c>
      <c r="AK56" s="117">
        <v>136</v>
      </c>
      <c r="AL56" s="18">
        <v>136</v>
      </c>
      <c r="AM56" s="17">
        <v>136</v>
      </c>
      <c r="AN56" s="17">
        <v>136</v>
      </c>
      <c r="AO56" s="17">
        <v>136</v>
      </c>
      <c r="AP56" s="737">
        <v>147.38</v>
      </c>
      <c r="AQ56" s="21">
        <v>147.38142714713004</v>
      </c>
      <c r="AR56" s="18">
        <v>147.38</v>
      </c>
      <c r="AS56" s="18">
        <v>147.38</v>
      </c>
      <c r="AT56" s="22"/>
      <c r="AU56" s="778" t="s">
        <v>146</v>
      </c>
      <c r="AV56" s="857">
        <v>4380</v>
      </c>
      <c r="AW56" s="858">
        <v>4425.1429410031269</v>
      </c>
      <c r="AX56" s="857">
        <v>4425.1429410031269</v>
      </c>
      <c r="AY56" s="857">
        <v>4425.1429410031269</v>
      </c>
      <c r="AZ56" s="857">
        <v>4425.1429410031269</v>
      </c>
      <c r="BA56" s="857">
        <v>4425.1429410031269</v>
      </c>
      <c r="BB56" s="857">
        <v>3235</v>
      </c>
      <c r="BC56" s="1000">
        <v>3234.7262498219625</v>
      </c>
      <c r="BD56" s="1115">
        <v>3235</v>
      </c>
      <c r="BE56" s="1115">
        <v>3235</v>
      </c>
      <c r="BF56" s="22"/>
      <c r="BG56" s="778" t="s">
        <v>146</v>
      </c>
      <c r="BH56" s="17">
        <v>1.07</v>
      </c>
      <c r="BI56" s="117">
        <v>1.08</v>
      </c>
      <c r="BJ56" s="176">
        <v>1.08</v>
      </c>
      <c r="BK56" s="19">
        <v>1.08</v>
      </c>
      <c r="BL56" s="19">
        <v>1.08</v>
      </c>
      <c r="BM56" s="18">
        <v>1.071</v>
      </c>
      <c r="BN56" s="737">
        <v>1.071</v>
      </c>
      <c r="BO56" s="727">
        <v>1.056</v>
      </c>
      <c r="BP56" s="1114">
        <v>1.056</v>
      </c>
      <c r="BQ56" s="1114">
        <v>1.056</v>
      </c>
      <c r="BR56" s="22"/>
      <c r="BS56" s="1039" t="s">
        <v>146</v>
      </c>
      <c r="BT56" s="1039"/>
      <c r="BU56" s="840"/>
      <c r="BV56" s="840"/>
      <c r="BW56" s="840"/>
      <c r="BX56" s="840"/>
      <c r="BY56" s="840"/>
      <c r="BZ56" s="840"/>
      <c r="CA56" s="727">
        <v>1.032</v>
      </c>
      <c r="CB56" s="1114">
        <v>1.032</v>
      </c>
      <c r="CC56" s="1114">
        <v>1.032</v>
      </c>
      <c r="CD56" s="676"/>
      <c r="CF56" s="1039" t="s">
        <v>146</v>
      </c>
      <c r="CG56" s="17">
        <v>1</v>
      </c>
      <c r="CH56" s="18">
        <v>1</v>
      </c>
      <c r="CI56" s="17">
        <v>1</v>
      </c>
      <c r="CJ56" s="17">
        <v>1</v>
      </c>
      <c r="CK56" s="17">
        <v>1</v>
      </c>
      <c r="CL56" s="17">
        <v>1</v>
      </c>
      <c r="CM56" s="737">
        <v>1</v>
      </c>
      <c r="CN56" s="723">
        <v>1</v>
      </c>
      <c r="CO56" s="18">
        <v>1</v>
      </c>
      <c r="CP56" s="18">
        <v>1</v>
      </c>
      <c r="CQ56" s="176"/>
      <c r="CR56" s="22"/>
      <c r="CS56" s="1039" t="s">
        <v>146</v>
      </c>
      <c r="CT56" s="20">
        <v>11</v>
      </c>
      <c r="CU56" s="23">
        <v>11</v>
      </c>
      <c r="CV56" s="650">
        <v>11</v>
      </c>
      <c r="CW56" s="650">
        <v>11</v>
      </c>
      <c r="CX56" s="650">
        <v>11</v>
      </c>
      <c r="CY56" s="650">
        <v>11</v>
      </c>
      <c r="CZ56" s="770">
        <v>15</v>
      </c>
      <c r="DA56" s="1001">
        <v>15</v>
      </c>
      <c r="DB56" s="20">
        <v>15</v>
      </c>
      <c r="DC56" s="20">
        <v>15</v>
      </c>
      <c r="DD56" s="176"/>
    </row>
    <row r="57" spans="1:114" s="3517" customFormat="1" ht="15" customHeight="1" outlineLevel="1">
      <c r="C57" s="2086"/>
      <c r="D57" s="3538" t="str">
        <f t="shared" si="16"/>
        <v>800450_2024_12_</v>
      </c>
      <c r="E57" s="3538" t="str">
        <f t="shared" si="18"/>
        <v>LED &lt;=80 Watt Lamp or Fixture Replacing Exterior &lt;24/7 HID 100-175 Watt Lamp or Fixture</v>
      </c>
      <c r="F57" s="3539">
        <v>147</v>
      </c>
      <c r="G57" s="3539">
        <v>50</v>
      </c>
      <c r="H57" s="3540">
        <v>4600</v>
      </c>
      <c r="I57" s="3539">
        <v>1</v>
      </c>
      <c r="J57" s="3539">
        <v>1</v>
      </c>
      <c r="K57" s="3539">
        <v>1</v>
      </c>
      <c r="L57" s="3541">
        <v>15</v>
      </c>
      <c r="M57" s="3542">
        <f t="shared" si="17"/>
        <v>0.93732108169668527</v>
      </c>
      <c r="N57" s="3528"/>
      <c r="O57" s="4007"/>
      <c r="P57" s="4007"/>
      <c r="Q57" s="4007"/>
      <c r="R57" s="4007"/>
      <c r="S57" s="4007"/>
      <c r="T57" s="3528"/>
      <c r="U57" s="3543"/>
      <c r="V57" s="3544" t="s">
        <v>147</v>
      </c>
      <c r="W57" s="2847">
        <v>175</v>
      </c>
      <c r="X57" s="2529">
        <v>147</v>
      </c>
      <c r="Y57" s="2528">
        <v>147</v>
      </c>
      <c r="Z57" s="2528">
        <v>147</v>
      </c>
      <c r="AA57" s="2528">
        <v>147</v>
      </c>
      <c r="AB57" s="2847">
        <v>147</v>
      </c>
      <c r="AC57" s="3374">
        <v>147</v>
      </c>
      <c r="AD57" s="2573">
        <v>147</v>
      </c>
      <c r="AE57" s="2528">
        <v>147</v>
      </c>
      <c r="AF57" s="2528">
        <v>147</v>
      </c>
      <c r="AG57" s="2555"/>
      <c r="AH57" s="3545"/>
      <c r="AI57" s="1841" t="s">
        <v>147</v>
      </c>
      <c r="AJ57" s="2847">
        <v>52</v>
      </c>
      <c r="AK57" s="2529">
        <v>50</v>
      </c>
      <c r="AL57" s="2528">
        <v>50</v>
      </c>
      <c r="AM57" s="2847">
        <v>50</v>
      </c>
      <c r="AN57" s="2847">
        <v>50</v>
      </c>
      <c r="AO57" s="2847">
        <v>50</v>
      </c>
      <c r="AP57" s="3374">
        <v>50</v>
      </c>
      <c r="AQ57" s="2573">
        <v>50</v>
      </c>
      <c r="AR57" s="2528">
        <v>50</v>
      </c>
      <c r="AS57" s="2528">
        <v>50</v>
      </c>
      <c r="AT57" s="3545"/>
      <c r="AU57" s="1841" t="s">
        <v>147</v>
      </c>
      <c r="AV57" s="3546">
        <v>3572.7642276422762</v>
      </c>
      <c r="AW57" s="3547">
        <v>4600</v>
      </c>
      <c r="AX57" s="3546">
        <v>4600</v>
      </c>
      <c r="AY57" s="3546">
        <v>4600</v>
      </c>
      <c r="AZ57" s="3546">
        <v>4600</v>
      </c>
      <c r="BA57" s="3546">
        <v>4600</v>
      </c>
      <c r="BB57" s="3546">
        <v>4600</v>
      </c>
      <c r="BC57" s="2810">
        <v>4600</v>
      </c>
      <c r="BD57" s="2808">
        <v>4600</v>
      </c>
      <c r="BE57" s="2808">
        <v>4600</v>
      </c>
      <c r="BF57" s="3545"/>
      <c r="BG57" s="1841" t="s">
        <v>147</v>
      </c>
      <c r="BH57" s="2847">
        <v>1</v>
      </c>
      <c r="BI57" s="2529">
        <v>1.02</v>
      </c>
      <c r="BJ57" s="2846">
        <v>1</v>
      </c>
      <c r="BK57" s="2930">
        <v>1</v>
      </c>
      <c r="BL57" s="2930">
        <v>1</v>
      </c>
      <c r="BM57" s="2528">
        <v>1</v>
      </c>
      <c r="BN57" s="3374">
        <v>1</v>
      </c>
      <c r="BO57" s="2528">
        <v>1</v>
      </c>
      <c r="BP57" s="2528">
        <v>1</v>
      </c>
      <c r="BQ57" s="2528">
        <v>1</v>
      </c>
      <c r="BR57" s="3545"/>
      <c r="BS57" s="3548" t="s">
        <v>147</v>
      </c>
      <c r="BT57" s="3548"/>
      <c r="BU57" s="3531"/>
      <c r="BV57" s="3531"/>
      <c r="BW57" s="3531"/>
      <c r="BX57" s="3531"/>
      <c r="BY57" s="3531"/>
      <c r="BZ57" s="3531"/>
      <c r="CA57" s="2529">
        <v>1</v>
      </c>
      <c r="CB57" s="2528">
        <v>1</v>
      </c>
      <c r="CC57" s="2528">
        <v>1</v>
      </c>
      <c r="CD57" s="2724"/>
      <c r="CF57" s="3548" t="s">
        <v>147</v>
      </c>
      <c r="CG57" s="2847">
        <v>1</v>
      </c>
      <c r="CH57" s="2528">
        <v>1</v>
      </c>
      <c r="CI57" s="2847">
        <v>1</v>
      </c>
      <c r="CJ57" s="2847">
        <v>1</v>
      </c>
      <c r="CK57" s="2847">
        <v>1</v>
      </c>
      <c r="CL57" s="2847">
        <v>1</v>
      </c>
      <c r="CM57" s="3374">
        <v>1</v>
      </c>
      <c r="CN57" s="2553">
        <v>1</v>
      </c>
      <c r="CO57" s="2528">
        <v>1</v>
      </c>
      <c r="CP57" s="2528">
        <v>1</v>
      </c>
      <c r="CQ57" s="2555"/>
      <c r="CR57" s="3545"/>
      <c r="CS57" s="3548" t="s">
        <v>147</v>
      </c>
      <c r="CT57" s="3506">
        <v>14</v>
      </c>
      <c r="CU57" s="2846">
        <v>11</v>
      </c>
      <c r="CV57" s="2845">
        <v>11</v>
      </c>
      <c r="CW57" s="2845">
        <v>11</v>
      </c>
      <c r="CX57" s="2845">
        <v>11</v>
      </c>
      <c r="CY57" s="2845">
        <v>12</v>
      </c>
      <c r="CZ57" s="3549">
        <v>15</v>
      </c>
      <c r="DA57" s="3550">
        <v>15</v>
      </c>
      <c r="DB57" s="3506">
        <v>15</v>
      </c>
      <c r="DC57" s="3506">
        <v>15</v>
      </c>
      <c r="DD57" s="2555"/>
      <c r="DG57" s="3551"/>
      <c r="DH57" s="3528"/>
      <c r="DI57" s="3528"/>
      <c r="DJ57" s="3552"/>
    </row>
    <row r="58" spans="1:114" s="3517" customFormat="1" ht="15" customHeight="1" outlineLevel="1">
      <c r="C58" s="2086"/>
      <c r="D58" s="3538" t="str">
        <f t="shared" si="16"/>
        <v>800500_2024_12_</v>
      </c>
      <c r="E58" s="3538" t="str">
        <f t="shared" si="18"/>
        <v>LED 62 - 130 Watt Lamp or Fixture Replacing Exterior &lt;24/7 HID 176-300 Watt Lamp or Fixture</v>
      </c>
      <c r="F58" s="3539">
        <v>284</v>
      </c>
      <c r="G58" s="3539">
        <v>90</v>
      </c>
      <c r="H58" s="3540">
        <v>4380</v>
      </c>
      <c r="I58" s="3539">
        <v>1</v>
      </c>
      <c r="J58" s="3539">
        <v>1</v>
      </c>
      <c r="K58" s="3539">
        <v>1</v>
      </c>
      <c r="L58" s="3541">
        <v>15</v>
      </c>
      <c r="M58" s="3542">
        <f t="shared" si="17"/>
        <v>0.93732108169668527</v>
      </c>
      <c r="N58" s="3528"/>
      <c r="O58" s="4007"/>
      <c r="P58" s="4007"/>
      <c r="Q58" s="4007"/>
      <c r="R58" s="4007"/>
      <c r="S58" s="4007"/>
      <c r="T58" s="3528"/>
      <c r="U58" s="3543"/>
      <c r="V58" s="3544" t="s">
        <v>148</v>
      </c>
      <c r="W58" s="2847">
        <v>280</v>
      </c>
      <c r="X58" s="2529">
        <v>262</v>
      </c>
      <c r="Y58" s="2528">
        <v>262</v>
      </c>
      <c r="Z58" s="2528">
        <v>262</v>
      </c>
      <c r="AA58" s="2528">
        <v>262</v>
      </c>
      <c r="AB58" s="2847">
        <v>262</v>
      </c>
      <c r="AC58" s="3374">
        <v>284</v>
      </c>
      <c r="AD58" s="2573">
        <v>284</v>
      </c>
      <c r="AE58" s="2528">
        <v>284</v>
      </c>
      <c r="AF58" s="2528">
        <v>284</v>
      </c>
      <c r="AG58" s="2555"/>
      <c r="AH58" s="3545"/>
      <c r="AI58" s="1841" t="s">
        <v>148</v>
      </c>
      <c r="AJ58" s="2847">
        <v>90</v>
      </c>
      <c r="AK58" s="2529">
        <v>95</v>
      </c>
      <c r="AL58" s="2528">
        <v>95</v>
      </c>
      <c r="AM58" s="2847">
        <v>95</v>
      </c>
      <c r="AN58" s="2847">
        <v>95</v>
      </c>
      <c r="AO58" s="2847">
        <v>95</v>
      </c>
      <c r="AP58" s="3374">
        <v>90</v>
      </c>
      <c r="AQ58" s="2573">
        <v>90</v>
      </c>
      <c r="AR58" s="2528">
        <v>90</v>
      </c>
      <c r="AS58" s="2528">
        <v>90</v>
      </c>
      <c r="AT58" s="3545"/>
      <c r="AU58" s="1841" t="s">
        <v>148</v>
      </c>
      <c r="AV58" s="3546">
        <v>5513.3333333333339</v>
      </c>
      <c r="AW58" s="3547">
        <v>4315.6438177727669</v>
      </c>
      <c r="AX58" s="3546">
        <v>4315.6438177727669</v>
      </c>
      <c r="AY58" s="3546">
        <v>4315.6438177727669</v>
      </c>
      <c r="AZ58" s="3546">
        <v>4315.6438177727669</v>
      </c>
      <c r="BA58" s="3546">
        <v>4315.6438177727669</v>
      </c>
      <c r="BB58" s="3546">
        <v>4380</v>
      </c>
      <c r="BC58" s="2810">
        <v>4380</v>
      </c>
      <c r="BD58" s="2808">
        <v>4380</v>
      </c>
      <c r="BE58" s="2808">
        <v>4380</v>
      </c>
      <c r="BF58" s="3545"/>
      <c r="BG58" s="1841" t="s">
        <v>148</v>
      </c>
      <c r="BH58" s="2847">
        <v>1</v>
      </c>
      <c r="BI58" s="2529">
        <v>1.07</v>
      </c>
      <c r="BJ58" s="2846">
        <v>1</v>
      </c>
      <c r="BK58" s="2930">
        <v>1</v>
      </c>
      <c r="BL58" s="2930">
        <v>1</v>
      </c>
      <c r="BM58" s="2528">
        <v>1</v>
      </c>
      <c r="BN58" s="3374">
        <v>1</v>
      </c>
      <c r="BO58" s="2528">
        <v>1</v>
      </c>
      <c r="BP58" s="2528">
        <v>1</v>
      </c>
      <c r="BQ58" s="2528">
        <v>1</v>
      </c>
      <c r="BR58" s="3545"/>
      <c r="BS58" s="3548" t="s">
        <v>148</v>
      </c>
      <c r="BT58" s="3548"/>
      <c r="BU58" s="3531"/>
      <c r="BV58" s="3531"/>
      <c r="BW58" s="3531"/>
      <c r="BX58" s="3531"/>
      <c r="BY58" s="3531"/>
      <c r="BZ58" s="3531"/>
      <c r="CA58" s="2529">
        <v>1</v>
      </c>
      <c r="CB58" s="2528">
        <v>1</v>
      </c>
      <c r="CC58" s="2528">
        <v>1</v>
      </c>
      <c r="CD58" s="2724"/>
      <c r="CF58" s="3548" t="s">
        <v>148</v>
      </c>
      <c r="CG58" s="2847">
        <v>1</v>
      </c>
      <c r="CH58" s="2529">
        <v>0.99</v>
      </c>
      <c r="CI58" s="2847">
        <v>0.99</v>
      </c>
      <c r="CJ58" s="2847">
        <v>0.99</v>
      </c>
      <c r="CK58" s="2847">
        <v>0.99</v>
      </c>
      <c r="CL58" s="2847">
        <v>0.99</v>
      </c>
      <c r="CM58" s="3374">
        <v>1</v>
      </c>
      <c r="CN58" s="2553">
        <v>1</v>
      </c>
      <c r="CO58" s="2528">
        <v>1</v>
      </c>
      <c r="CP58" s="2528">
        <v>1</v>
      </c>
      <c r="CQ58" s="2555"/>
      <c r="CR58" s="3545"/>
      <c r="CS58" s="3548" t="s">
        <v>148</v>
      </c>
      <c r="CT58" s="3506">
        <v>9</v>
      </c>
      <c r="CU58" s="2846">
        <v>12</v>
      </c>
      <c r="CV58" s="2845">
        <v>12</v>
      </c>
      <c r="CW58" s="2845">
        <v>12</v>
      </c>
      <c r="CX58" s="2845">
        <v>12</v>
      </c>
      <c r="CY58" s="2845">
        <v>12</v>
      </c>
      <c r="CZ58" s="3549">
        <v>15</v>
      </c>
      <c r="DA58" s="3550">
        <v>15</v>
      </c>
      <c r="DB58" s="3506">
        <v>15</v>
      </c>
      <c r="DC58" s="3506">
        <v>15</v>
      </c>
      <c r="DD58" s="2555"/>
      <c r="DG58" s="3551"/>
      <c r="DH58" s="3528"/>
      <c r="DI58" s="3528"/>
      <c r="DJ58" s="3552"/>
    </row>
    <row r="59" spans="1:114" s="3517" customFormat="1" ht="15" customHeight="1" outlineLevel="1">
      <c r="C59" s="2086"/>
      <c r="D59" s="3538" t="str">
        <f t="shared" si="16"/>
        <v>800550_2024_12_</v>
      </c>
      <c r="E59" s="3538" t="str">
        <f t="shared" si="18"/>
        <v>LED 85 - 225 Watt Lamp or Fixture Replacing Exterior &lt;24/7 HID 301-500 Watt Lamp or Fixture</v>
      </c>
      <c r="F59" s="3539">
        <v>455</v>
      </c>
      <c r="G59" s="3539">
        <v>100</v>
      </c>
      <c r="H59" s="3540">
        <v>4380</v>
      </c>
      <c r="I59" s="3539">
        <v>1</v>
      </c>
      <c r="J59" s="3539">
        <v>1</v>
      </c>
      <c r="K59" s="3539">
        <v>1</v>
      </c>
      <c r="L59" s="3541">
        <v>15</v>
      </c>
      <c r="M59" s="3542">
        <f t="shared" si="17"/>
        <v>0.93732108169668527</v>
      </c>
      <c r="N59" s="3528"/>
      <c r="O59" s="3528"/>
      <c r="P59" s="3528"/>
      <c r="Q59" s="3528"/>
      <c r="R59" s="3528"/>
      <c r="S59" s="3528"/>
      <c r="T59" s="3528"/>
      <c r="U59" s="3543"/>
      <c r="V59" s="3544" t="s">
        <v>149</v>
      </c>
      <c r="W59" s="2847">
        <v>400</v>
      </c>
      <c r="X59" s="2529">
        <v>410</v>
      </c>
      <c r="Y59" s="2528">
        <v>410</v>
      </c>
      <c r="Z59" s="2528">
        <v>410</v>
      </c>
      <c r="AA59" s="2528">
        <v>410</v>
      </c>
      <c r="AB59" s="2847">
        <v>410</v>
      </c>
      <c r="AC59" s="3374">
        <v>455</v>
      </c>
      <c r="AD59" s="2573">
        <v>455</v>
      </c>
      <c r="AE59" s="2528">
        <v>455</v>
      </c>
      <c r="AF59" s="2528">
        <v>455</v>
      </c>
      <c r="AG59" s="2555"/>
      <c r="AH59" s="3545"/>
      <c r="AI59" s="1841" t="s">
        <v>149</v>
      </c>
      <c r="AJ59" s="2847">
        <v>120</v>
      </c>
      <c r="AK59" s="2529">
        <v>178</v>
      </c>
      <c r="AL59" s="2528">
        <v>178</v>
      </c>
      <c r="AM59" s="2847">
        <v>178</v>
      </c>
      <c r="AN59" s="2847">
        <v>178</v>
      </c>
      <c r="AO59" s="2847">
        <v>178</v>
      </c>
      <c r="AP59" s="3374">
        <v>100</v>
      </c>
      <c r="AQ59" s="2573">
        <v>100</v>
      </c>
      <c r="AR59" s="2528">
        <v>100</v>
      </c>
      <c r="AS59" s="2528">
        <v>100</v>
      </c>
      <c r="AT59" s="3545"/>
      <c r="AU59" s="1841" t="s">
        <v>149</v>
      </c>
      <c r="AV59" s="3546">
        <v>3414.8214285714275</v>
      </c>
      <c r="AW59" s="3547">
        <v>4327.2752333555545</v>
      </c>
      <c r="AX59" s="3546">
        <v>4327.2752333555545</v>
      </c>
      <c r="AY59" s="3546">
        <v>4327.2752333555545</v>
      </c>
      <c r="AZ59" s="3546">
        <v>4327.2752333555545</v>
      </c>
      <c r="BA59" s="3546">
        <v>4327.2752333555545</v>
      </c>
      <c r="BB59" s="3546">
        <v>4380</v>
      </c>
      <c r="BC59" s="2810">
        <v>4380</v>
      </c>
      <c r="BD59" s="2808">
        <v>4380</v>
      </c>
      <c r="BE59" s="2808">
        <v>4380</v>
      </c>
      <c r="BF59" s="3545"/>
      <c r="BG59" s="1841" t="s">
        <v>149</v>
      </c>
      <c r="BH59" s="2847">
        <v>1</v>
      </c>
      <c r="BI59" s="2529">
        <v>1.07</v>
      </c>
      <c r="BJ59" s="2846">
        <v>1</v>
      </c>
      <c r="BK59" s="2930">
        <v>1</v>
      </c>
      <c r="BL59" s="2930">
        <v>1</v>
      </c>
      <c r="BM59" s="2528">
        <v>1</v>
      </c>
      <c r="BN59" s="3374">
        <v>1</v>
      </c>
      <c r="BO59" s="2528">
        <v>1</v>
      </c>
      <c r="BP59" s="2528">
        <v>1</v>
      </c>
      <c r="BQ59" s="2528">
        <v>1</v>
      </c>
      <c r="BR59" s="3545"/>
      <c r="BS59" s="3548" t="s">
        <v>149</v>
      </c>
      <c r="BT59" s="3548"/>
      <c r="BU59" s="3531"/>
      <c r="BV59" s="3531"/>
      <c r="BW59" s="3531"/>
      <c r="BX59" s="3531"/>
      <c r="BY59" s="3531"/>
      <c r="BZ59" s="3531"/>
      <c r="CA59" s="2529">
        <v>1</v>
      </c>
      <c r="CB59" s="2528">
        <v>1</v>
      </c>
      <c r="CC59" s="2528">
        <v>1</v>
      </c>
      <c r="CD59" s="2724"/>
      <c r="CF59" s="3548" t="s">
        <v>149</v>
      </c>
      <c r="CG59" s="2847">
        <v>1</v>
      </c>
      <c r="CH59" s="2528">
        <v>1</v>
      </c>
      <c r="CI59" s="2847">
        <v>1</v>
      </c>
      <c r="CJ59" s="2847">
        <v>1</v>
      </c>
      <c r="CK59" s="2847">
        <v>1</v>
      </c>
      <c r="CL59" s="2847">
        <v>1</v>
      </c>
      <c r="CM59" s="3374">
        <v>1</v>
      </c>
      <c r="CN59" s="2553">
        <v>1</v>
      </c>
      <c r="CO59" s="2528">
        <v>1</v>
      </c>
      <c r="CP59" s="2528">
        <v>1</v>
      </c>
      <c r="CQ59" s="2555"/>
      <c r="CR59" s="3545"/>
      <c r="CS59" s="3548" t="s">
        <v>149</v>
      </c>
      <c r="CT59" s="3506">
        <v>15</v>
      </c>
      <c r="CU59" s="2846">
        <v>12</v>
      </c>
      <c r="CV59" s="2845">
        <v>12</v>
      </c>
      <c r="CW59" s="2845">
        <v>12</v>
      </c>
      <c r="CX59" s="2845">
        <v>12</v>
      </c>
      <c r="CY59" s="2845">
        <v>12</v>
      </c>
      <c r="CZ59" s="3549">
        <v>15</v>
      </c>
      <c r="DA59" s="3550">
        <v>15</v>
      </c>
      <c r="DB59" s="3506">
        <v>15</v>
      </c>
      <c r="DC59" s="3506">
        <v>15</v>
      </c>
      <c r="DD59" s="2555"/>
      <c r="DG59" s="3551"/>
      <c r="DH59" s="3528"/>
      <c r="DI59" s="3528"/>
      <c r="DJ59" s="3552"/>
    </row>
    <row r="60" spans="1:114" s="3517" customFormat="1" ht="15" customHeight="1" outlineLevel="1">
      <c r="C60" s="2086"/>
      <c r="D60" s="3538" t="str">
        <f t="shared" si="16"/>
        <v>800600_2024_12_</v>
      </c>
      <c r="E60" s="3538" t="str">
        <f t="shared" si="18"/>
        <v>LED &lt;=80 Watt Lamp or Fixture Replacing Exterior 24/7 HID 100-175 Watt Lamp or Fixture Misc.</v>
      </c>
      <c r="F60" s="3539">
        <v>125</v>
      </c>
      <c r="G60" s="3539">
        <v>45</v>
      </c>
      <c r="H60" s="3540">
        <v>8759</v>
      </c>
      <c r="I60" s="3539">
        <v>1</v>
      </c>
      <c r="J60" s="3539">
        <v>1</v>
      </c>
      <c r="K60" s="3539">
        <v>1</v>
      </c>
      <c r="L60" s="3541">
        <v>15</v>
      </c>
      <c r="M60" s="3542">
        <f t="shared" si="17"/>
        <v>0.93732108169668527</v>
      </c>
      <c r="N60" s="3528"/>
      <c r="O60" s="3528"/>
      <c r="P60" s="3528"/>
      <c r="Q60" s="3528"/>
      <c r="R60" s="3528"/>
      <c r="S60" s="3528"/>
      <c r="T60" s="3528"/>
      <c r="U60" s="3543"/>
      <c r="V60" s="3544" t="s">
        <v>150</v>
      </c>
      <c r="W60" s="2847">
        <v>175</v>
      </c>
      <c r="X60" s="2529">
        <v>125</v>
      </c>
      <c r="Y60" s="2528">
        <v>125</v>
      </c>
      <c r="Z60" s="2528">
        <v>125</v>
      </c>
      <c r="AA60" s="2528">
        <v>125</v>
      </c>
      <c r="AB60" s="2847">
        <v>125</v>
      </c>
      <c r="AC60" s="3374">
        <v>125</v>
      </c>
      <c r="AD60" s="2573">
        <v>125</v>
      </c>
      <c r="AE60" s="2528">
        <v>125</v>
      </c>
      <c r="AF60" s="2528">
        <v>125</v>
      </c>
      <c r="AG60" s="2555"/>
      <c r="AH60" s="3545"/>
      <c r="AI60" s="1841" t="s">
        <v>150</v>
      </c>
      <c r="AJ60" s="2847">
        <v>52</v>
      </c>
      <c r="AK60" s="2529">
        <v>45</v>
      </c>
      <c r="AL60" s="2528">
        <v>45</v>
      </c>
      <c r="AM60" s="2847">
        <v>45</v>
      </c>
      <c r="AN60" s="2847">
        <v>45</v>
      </c>
      <c r="AO60" s="2847">
        <v>45</v>
      </c>
      <c r="AP60" s="3374">
        <v>45</v>
      </c>
      <c r="AQ60" s="2573">
        <v>45</v>
      </c>
      <c r="AR60" s="2528">
        <v>45</v>
      </c>
      <c r="AS60" s="2528">
        <v>45</v>
      </c>
      <c r="AT60" s="3545"/>
      <c r="AU60" s="1841" t="s">
        <v>150</v>
      </c>
      <c r="AV60" s="3546">
        <v>8760</v>
      </c>
      <c r="AW60" s="3547">
        <v>8759</v>
      </c>
      <c r="AX60" s="3546">
        <v>8759</v>
      </c>
      <c r="AY60" s="3546">
        <v>8759</v>
      </c>
      <c r="AZ60" s="3546">
        <v>8759</v>
      </c>
      <c r="BA60" s="3546">
        <v>8759</v>
      </c>
      <c r="BB60" s="3546">
        <v>8759</v>
      </c>
      <c r="BC60" s="2810">
        <v>8759</v>
      </c>
      <c r="BD60" s="2808">
        <v>8759</v>
      </c>
      <c r="BE60" s="2808">
        <v>8759</v>
      </c>
      <c r="BF60" s="3545"/>
      <c r="BG60" s="1841" t="s">
        <v>150</v>
      </c>
      <c r="BH60" s="2847">
        <v>1</v>
      </c>
      <c r="BI60" s="2528">
        <v>1</v>
      </c>
      <c r="BJ60" s="2846">
        <v>1</v>
      </c>
      <c r="BK60" s="2930">
        <v>1</v>
      </c>
      <c r="BL60" s="2930">
        <v>1</v>
      </c>
      <c r="BM60" s="2528">
        <v>1</v>
      </c>
      <c r="BN60" s="3374">
        <v>1</v>
      </c>
      <c r="BO60" s="2528">
        <v>1</v>
      </c>
      <c r="BP60" s="2528">
        <v>1</v>
      </c>
      <c r="BQ60" s="2528">
        <v>1</v>
      </c>
      <c r="BR60" s="3545"/>
      <c r="BS60" s="3548" t="s">
        <v>150</v>
      </c>
      <c r="BT60" s="3548"/>
      <c r="BU60" s="3531"/>
      <c r="BV60" s="3531"/>
      <c r="BW60" s="3531"/>
      <c r="BX60" s="3531"/>
      <c r="BY60" s="3531"/>
      <c r="BZ60" s="3531"/>
      <c r="CA60" s="2529">
        <v>1</v>
      </c>
      <c r="CB60" s="2528">
        <v>1</v>
      </c>
      <c r="CC60" s="2528">
        <v>1</v>
      </c>
      <c r="CD60" s="2724"/>
      <c r="CF60" s="3548" t="s">
        <v>150</v>
      </c>
      <c r="CG60" s="2847">
        <v>1</v>
      </c>
      <c r="CH60" s="2528">
        <v>1</v>
      </c>
      <c r="CI60" s="2847">
        <v>1</v>
      </c>
      <c r="CJ60" s="2847">
        <v>1</v>
      </c>
      <c r="CK60" s="2847">
        <v>1</v>
      </c>
      <c r="CL60" s="2847">
        <v>1</v>
      </c>
      <c r="CM60" s="3374">
        <v>1</v>
      </c>
      <c r="CN60" s="2553">
        <v>1</v>
      </c>
      <c r="CO60" s="2528">
        <v>1</v>
      </c>
      <c r="CP60" s="2528">
        <v>1</v>
      </c>
      <c r="CQ60" s="2555"/>
      <c r="CR60" s="3545"/>
      <c r="CS60" s="3548" t="s">
        <v>150</v>
      </c>
      <c r="CT60" s="3506">
        <v>6</v>
      </c>
      <c r="CU60" s="2930">
        <v>6</v>
      </c>
      <c r="CV60" s="2845">
        <v>6</v>
      </c>
      <c r="CW60" s="2845">
        <v>6</v>
      </c>
      <c r="CX60" s="2845">
        <v>6</v>
      </c>
      <c r="CY60" s="2845">
        <v>6</v>
      </c>
      <c r="CZ60" s="3549">
        <v>15</v>
      </c>
      <c r="DA60" s="3550">
        <v>15</v>
      </c>
      <c r="DB60" s="3506">
        <v>15</v>
      </c>
      <c r="DC60" s="3506">
        <v>15</v>
      </c>
      <c r="DD60" s="2555"/>
      <c r="DG60" s="3551"/>
      <c r="DH60" s="3528"/>
      <c r="DI60" s="3528"/>
      <c r="DJ60" s="3552"/>
    </row>
    <row r="61" spans="1:114" s="3517" customFormat="1" ht="15" customHeight="1" outlineLevel="1">
      <c r="C61" s="2086"/>
      <c r="D61" s="3538" t="str">
        <f t="shared" si="16"/>
        <v>800650_2024_12_</v>
      </c>
      <c r="E61" s="3538" t="str">
        <f t="shared" si="18"/>
        <v>LED 62 - 130 Watt Lamp or Fixture Replacing Exterior 24/7 HID 176-300 Watt Lamp or Fixture Misc.</v>
      </c>
      <c r="F61" s="3539">
        <v>262</v>
      </c>
      <c r="G61" s="3539">
        <v>92</v>
      </c>
      <c r="H61" s="3540">
        <v>8719</v>
      </c>
      <c r="I61" s="3539">
        <v>1</v>
      </c>
      <c r="J61" s="3539">
        <v>1</v>
      </c>
      <c r="K61" s="3539">
        <v>1</v>
      </c>
      <c r="L61" s="3541">
        <v>15</v>
      </c>
      <c r="M61" s="3542">
        <f t="shared" si="17"/>
        <v>0.93732108169668527</v>
      </c>
      <c r="N61" s="3528"/>
      <c r="O61" s="3528"/>
      <c r="P61" s="3528"/>
      <c r="Q61" s="3528"/>
      <c r="R61" s="3528"/>
      <c r="S61" s="3528"/>
      <c r="T61" s="3528"/>
      <c r="U61" s="3543"/>
      <c r="V61" s="3544" t="s">
        <v>151</v>
      </c>
      <c r="W61" s="2847">
        <v>250</v>
      </c>
      <c r="X61" s="2529">
        <v>262</v>
      </c>
      <c r="Y61" s="2528">
        <v>262</v>
      </c>
      <c r="Z61" s="2528">
        <v>262</v>
      </c>
      <c r="AA61" s="2528">
        <v>262</v>
      </c>
      <c r="AB61" s="2847">
        <v>262</v>
      </c>
      <c r="AC61" s="3374">
        <v>262</v>
      </c>
      <c r="AD61" s="2573">
        <v>262</v>
      </c>
      <c r="AE61" s="2528">
        <v>262</v>
      </c>
      <c r="AF61" s="2528">
        <v>262</v>
      </c>
      <c r="AG61" s="2555"/>
      <c r="AH61" s="3545"/>
      <c r="AI61" s="1841" t="s">
        <v>151</v>
      </c>
      <c r="AJ61" s="2847">
        <v>100</v>
      </c>
      <c r="AK61" s="2529">
        <v>92</v>
      </c>
      <c r="AL61" s="2528">
        <v>92</v>
      </c>
      <c r="AM61" s="2847">
        <v>92</v>
      </c>
      <c r="AN61" s="2847">
        <v>92</v>
      </c>
      <c r="AO61" s="2847">
        <v>92</v>
      </c>
      <c r="AP61" s="3374">
        <v>92</v>
      </c>
      <c r="AQ61" s="2573">
        <v>92</v>
      </c>
      <c r="AR61" s="2528">
        <v>92</v>
      </c>
      <c r="AS61" s="2528">
        <v>92</v>
      </c>
      <c r="AT61" s="3545"/>
      <c r="AU61" s="1841" t="s">
        <v>151</v>
      </c>
      <c r="AV61" s="3546">
        <v>8760</v>
      </c>
      <c r="AW61" s="3547">
        <v>8719.2325790390842</v>
      </c>
      <c r="AX61" s="3546">
        <v>8719.2325790390842</v>
      </c>
      <c r="AY61" s="3546">
        <v>8719.2325790390842</v>
      </c>
      <c r="AZ61" s="3546">
        <v>8719.2325790390842</v>
      </c>
      <c r="BA61" s="3546">
        <v>8719.2325790390842</v>
      </c>
      <c r="BB61" s="3546">
        <v>8719.2325790390842</v>
      </c>
      <c r="BC61" s="2810">
        <v>8719</v>
      </c>
      <c r="BD61" s="2808">
        <v>8719</v>
      </c>
      <c r="BE61" s="2808">
        <v>8719</v>
      </c>
      <c r="BF61" s="3545"/>
      <c r="BG61" s="1841" t="s">
        <v>151</v>
      </c>
      <c r="BH61" s="2847">
        <v>1</v>
      </c>
      <c r="BI61" s="2529">
        <v>1.05</v>
      </c>
      <c r="BJ61" s="2846">
        <v>1</v>
      </c>
      <c r="BK61" s="2930">
        <v>1</v>
      </c>
      <c r="BL61" s="2930">
        <v>1</v>
      </c>
      <c r="BM61" s="2528">
        <v>1</v>
      </c>
      <c r="BN61" s="3374">
        <v>1</v>
      </c>
      <c r="BO61" s="2528">
        <v>1</v>
      </c>
      <c r="BP61" s="2528">
        <v>1</v>
      </c>
      <c r="BQ61" s="2528">
        <v>1</v>
      </c>
      <c r="BR61" s="3545"/>
      <c r="BS61" s="3548" t="s">
        <v>151</v>
      </c>
      <c r="BT61" s="3548"/>
      <c r="BU61" s="3531"/>
      <c r="BV61" s="3531"/>
      <c r="BW61" s="3531"/>
      <c r="BX61" s="3531"/>
      <c r="BY61" s="3531"/>
      <c r="BZ61" s="3531"/>
      <c r="CA61" s="2529">
        <v>1</v>
      </c>
      <c r="CB61" s="2528">
        <v>1</v>
      </c>
      <c r="CC61" s="2528">
        <v>1</v>
      </c>
      <c r="CD61" s="2724"/>
      <c r="CF61" s="3548" t="s">
        <v>151</v>
      </c>
      <c r="CG61" s="2847">
        <v>1</v>
      </c>
      <c r="CH61" s="2528">
        <v>1</v>
      </c>
      <c r="CI61" s="2847">
        <v>1</v>
      </c>
      <c r="CJ61" s="2847">
        <v>1</v>
      </c>
      <c r="CK61" s="2847">
        <v>1</v>
      </c>
      <c r="CL61" s="2847">
        <v>1</v>
      </c>
      <c r="CM61" s="3374">
        <v>1</v>
      </c>
      <c r="CN61" s="2553">
        <v>1</v>
      </c>
      <c r="CO61" s="2528">
        <v>1</v>
      </c>
      <c r="CP61" s="2528">
        <v>1</v>
      </c>
      <c r="CQ61" s="2555"/>
      <c r="CR61" s="3545"/>
      <c r="CS61" s="3548" t="s">
        <v>151</v>
      </c>
      <c r="CT61" s="3506">
        <v>6</v>
      </c>
      <c r="CU61" s="2930">
        <v>6</v>
      </c>
      <c r="CV61" s="2845">
        <v>6</v>
      </c>
      <c r="CW61" s="2845">
        <v>6</v>
      </c>
      <c r="CX61" s="2845">
        <v>6</v>
      </c>
      <c r="CY61" s="2845">
        <v>6</v>
      </c>
      <c r="CZ61" s="3549">
        <v>15</v>
      </c>
      <c r="DA61" s="3550">
        <v>15</v>
      </c>
      <c r="DB61" s="3506">
        <v>15</v>
      </c>
      <c r="DC61" s="3506">
        <v>15</v>
      </c>
      <c r="DD61" s="2555"/>
      <c r="DG61" s="3551"/>
      <c r="DH61" s="3528"/>
      <c r="DI61" s="3528"/>
      <c r="DJ61" s="3552"/>
    </row>
    <row r="62" spans="1:114" s="3517" customFormat="1" ht="15" customHeight="1" outlineLevel="1">
      <c r="C62" s="2086"/>
      <c r="D62" s="3538" t="str">
        <f t="shared" si="16"/>
        <v>800700_2024_12_</v>
      </c>
      <c r="E62" s="3538" t="str">
        <f t="shared" si="18"/>
        <v xml:space="preserve">LED 85 - 225 Watt Lamp or Fixture Replacing Exterior 24/7 HID 301-500 Watt Lamp or Fixture Misc. </v>
      </c>
      <c r="F62" s="3539">
        <v>444</v>
      </c>
      <c r="G62" s="3539">
        <v>136</v>
      </c>
      <c r="H62" s="3540">
        <v>8628</v>
      </c>
      <c r="I62" s="3539">
        <v>1</v>
      </c>
      <c r="J62" s="3539">
        <v>1</v>
      </c>
      <c r="K62" s="3539">
        <v>1</v>
      </c>
      <c r="L62" s="3541">
        <v>15</v>
      </c>
      <c r="M62" s="3542">
        <f t="shared" si="17"/>
        <v>0.93732108169668527</v>
      </c>
      <c r="N62" s="3528"/>
      <c r="O62" s="3528"/>
      <c r="P62" s="3528"/>
      <c r="Q62" s="3528"/>
      <c r="R62" s="3528"/>
      <c r="S62" s="3528"/>
      <c r="T62" s="3528"/>
      <c r="U62" s="3543"/>
      <c r="V62" s="3544" t="s">
        <v>152</v>
      </c>
      <c r="W62" s="2847">
        <v>400</v>
      </c>
      <c r="X62" s="2529">
        <v>444</v>
      </c>
      <c r="Y62" s="2528">
        <v>444</v>
      </c>
      <c r="Z62" s="2528">
        <v>444</v>
      </c>
      <c r="AA62" s="2528">
        <v>444</v>
      </c>
      <c r="AB62" s="2847">
        <v>444</v>
      </c>
      <c r="AC62" s="3374">
        <v>444</v>
      </c>
      <c r="AD62" s="2573">
        <v>444</v>
      </c>
      <c r="AE62" s="2528">
        <v>444</v>
      </c>
      <c r="AF62" s="2528">
        <v>444</v>
      </c>
      <c r="AG62" s="2555"/>
      <c r="AH62" s="3545"/>
      <c r="AI62" s="1841" t="s">
        <v>152</v>
      </c>
      <c r="AJ62" s="2847">
        <v>120</v>
      </c>
      <c r="AK62" s="2529">
        <v>136</v>
      </c>
      <c r="AL62" s="2528">
        <v>136</v>
      </c>
      <c r="AM62" s="2847">
        <v>136</v>
      </c>
      <c r="AN62" s="2847">
        <v>136</v>
      </c>
      <c r="AO62" s="2847">
        <v>136</v>
      </c>
      <c r="AP62" s="3374">
        <v>136</v>
      </c>
      <c r="AQ62" s="2573">
        <v>136</v>
      </c>
      <c r="AR62" s="2528">
        <v>136</v>
      </c>
      <c r="AS62" s="2528">
        <v>136</v>
      </c>
      <c r="AT62" s="3545"/>
      <c r="AU62" s="1841" t="s">
        <v>152</v>
      </c>
      <c r="AV62" s="3546">
        <v>8760</v>
      </c>
      <c r="AW62" s="3547">
        <v>8628.3962689570162</v>
      </c>
      <c r="AX62" s="3546">
        <v>8628.3962689570162</v>
      </c>
      <c r="AY62" s="3546">
        <v>8628.3962689570162</v>
      </c>
      <c r="AZ62" s="3546">
        <v>8628.3962689570162</v>
      </c>
      <c r="BA62" s="3546">
        <v>8628.3962689570162</v>
      </c>
      <c r="BB62" s="3546">
        <v>8628.3962689570162</v>
      </c>
      <c r="BC62" s="2810">
        <v>8628</v>
      </c>
      <c r="BD62" s="2808">
        <v>8628</v>
      </c>
      <c r="BE62" s="2808">
        <v>8628</v>
      </c>
      <c r="BF62" s="3545"/>
      <c r="BG62" s="1841" t="s">
        <v>152</v>
      </c>
      <c r="BH62" s="2847">
        <v>1</v>
      </c>
      <c r="BI62" s="2529">
        <v>1.08</v>
      </c>
      <c r="BJ62" s="2846">
        <v>1</v>
      </c>
      <c r="BK62" s="2930">
        <v>1</v>
      </c>
      <c r="BL62" s="2930">
        <v>1</v>
      </c>
      <c r="BM62" s="2528">
        <v>1</v>
      </c>
      <c r="BN62" s="3374">
        <v>1</v>
      </c>
      <c r="BO62" s="2528">
        <v>1</v>
      </c>
      <c r="BP62" s="2528">
        <v>1</v>
      </c>
      <c r="BQ62" s="2528">
        <v>1</v>
      </c>
      <c r="BR62" s="3545"/>
      <c r="BS62" s="3548" t="s">
        <v>152</v>
      </c>
      <c r="BT62" s="3548"/>
      <c r="BU62" s="3531"/>
      <c r="BV62" s="3531"/>
      <c r="BW62" s="3531"/>
      <c r="BX62" s="3531"/>
      <c r="BY62" s="3531"/>
      <c r="BZ62" s="3531"/>
      <c r="CA62" s="2529">
        <v>1</v>
      </c>
      <c r="CB62" s="2528">
        <v>1</v>
      </c>
      <c r="CC62" s="2528">
        <v>1</v>
      </c>
      <c r="CD62" s="2724"/>
      <c r="CF62" s="3548" t="s">
        <v>152</v>
      </c>
      <c r="CG62" s="2847">
        <v>1</v>
      </c>
      <c r="CH62" s="2528">
        <v>1</v>
      </c>
      <c r="CI62" s="2847">
        <v>1</v>
      </c>
      <c r="CJ62" s="2847">
        <v>1</v>
      </c>
      <c r="CK62" s="2847">
        <v>1</v>
      </c>
      <c r="CL62" s="2847">
        <v>1</v>
      </c>
      <c r="CM62" s="3374">
        <v>1</v>
      </c>
      <c r="CN62" s="2553">
        <v>1</v>
      </c>
      <c r="CO62" s="2528">
        <v>1</v>
      </c>
      <c r="CP62" s="2528">
        <v>1</v>
      </c>
      <c r="CQ62" s="2555"/>
      <c r="CR62" s="3545"/>
      <c r="CS62" s="3548" t="s">
        <v>152</v>
      </c>
      <c r="CT62" s="3506">
        <v>6</v>
      </c>
      <c r="CU62" s="2930">
        <v>6</v>
      </c>
      <c r="CV62" s="2845">
        <v>6</v>
      </c>
      <c r="CW62" s="2845">
        <v>6</v>
      </c>
      <c r="CX62" s="2845">
        <v>6</v>
      </c>
      <c r="CY62" s="2845">
        <v>6</v>
      </c>
      <c r="CZ62" s="3549">
        <v>15</v>
      </c>
      <c r="DA62" s="3550">
        <v>15</v>
      </c>
      <c r="DB62" s="3506">
        <v>15</v>
      </c>
      <c r="DC62" s="3506">
        <v>15</v>
      </c>
      <c r="DD62" s="2555"/>
      <c r="DG62" s="3551"/>
      <c r="DH62" s="3528"/>
      <c r="DI62" s="3528"/>
      <c r="DJ62" s="3552"/>
    </row>
    <row r="63" spans="1:114" ht="15" customHeight="1" outlineLevel="1">
      <c r="C63" s="66"/>
      <c r="D63" s="413" t="str">
        <f t="shared" si="16"/>
        <v>800750_2024_12_</v>
      </c>
      <c r="E63" s="413" t="str">
        <f t="shared" si="18"/>
        <v>LED or Electroluminescent Replacing Interior Incandescent/CFL Exit Sign</v>
      </c>
      <c r="F63" s="2013">
        <v>30.904993909866018</v>
      </c>
      <c r="G63" s="2013">
        <v>2.873838630806846</v>
      </c>
      <c r="H63" s="2014">
        <v>8758.4621026894874</v>
      </c>
      <c r="I63" s="2012">
        <v>1.056</v>
      </c>
      <c r="J63" s="2012">
        <v>1.032</v>
      </c>
      <c r="K63" s="2036">
        <v>1</v>
      </c>
      <c r="L63" s="743">
        <v>7</v>
      </c>
      <c r="M63" s="2015">
        <f t="shared" si="17"/>
        <v>0.93732108169668527</v>
      </c>
      <c r="U63" s="477"/>
      <c r="V63" s="690" t="s">
        <v>153</v>
      </c>
      <c r="W63" s="17">
        <v>30</v>
      </c>
      <c r="X63" s="17">
        <v>30</v>
      </c>
      <c r="Y63" s="18">
        <v>30</v>
      </c>
      <c r="Z63" s="18">
        <v>30</v>
      </c>
      <c r="AA63" s="18">
        <v>30</v>
      </c>
      <c r="AB63" s="17">
        <v>29.015364916773368</v>
      </c>
      <c r="AC63" s="737">
        <v>28.08</v>
      </c>
      <c r="AD63" s="175">
        <v>36.249311294765839</v>
      </c>
      <c r="AE63" s="117">
        <v>31.138461538461538</v>
      </c>
      <c r="AF63" s="117">
        <v>30.904993909866018</v>
      </c>
      <c r="AG63" s="176"/>
      <c r="AH63" s="22"/>
      <c r="AI63" s="778" t="s">
        <v>153</v>
      </c>
      <c r="AJ63" s="17">
        <v>3</v>
      </c>
      <c r="AK63" s="18">
        <v>3</v>
      </c>
      <c r="AL63" s="18">
        <v>3</v>
      </c>
      <c r="AM63" s="17">
        <v>3</v>
      </c>
      <c r="AN63" s="17">
        <v>3</v>
      </c>
      <c r="AO63" s="17">
        <v>2.5345710627400768</v>
      </c>
      <c r="AP63" s="737">
        <v>2.61</v>
      </c>
      <c r="AQ63" s="175">
        <v>2.5016062413951352</v>
      </c>
      <c r="AR63" s="117">
        <v>2.6626242544731609</v>
      </c>
      <c r="AS63" s="117">
        <v>2.873838630806846</v>
      </c>
      <c r="AT63" s="22"/>
      <c r="AU63" s="778" t="s">
        <v>153</v>
      </c>
      <c r="AV63" s="857">
        <v>8760</v>
      </c>
      <c r="AW63" s="859">
        <v>8760</v>
      </c>
      <c r="AX63" s="857">
        <v>8760</v>
      </c>
      <c r="AY63" s="857">
        <v>8760</v>
      </c>
      <c r="AZ63" s="857">
        <v>8760</v>
      </c>
      <c r="BA63" s="857">
        <v>8760</v>
      </c>
      <c r="BB63" s="857">
        <v>8760</v>
      </c>
      <c r="BC63" s="999">
        <v>8755.8696649839385</v>
      </c>
      <c r="BD63" s="1007">
        <v>8760</v>
      </c>
      <c r="BE63" s="1007">
        <v>8758.4621026894874</v>
      </c>
      <c r="BF63" s="22"/>
      <c r="BG63" s="778" t="s">
        <v>153</v>
      </c>
      <c r="BH63" s="17">
        <v>1.07</v>
      </c>
      <c r="BI63" s="17">
        <v>1.07</v>
      </c>
      <c r="BJ63" s="176">
        <v>1.07</v>
      </c>
      <c r="BK63" s="19">
        <v>1.07</v>
      </c>
      <c r="BL63" s="19">
        <v>1.07</v>
      </c>
      <c r="BM63" s="18">
        <v>1.071</v>
      </c>
      <c r="BN63" s="737">
        <v>1.071</v>
      </c>
      <c r="BO63" s="727">
        <v>1.056</v>
      </c>
      <c r="BP63" s="1114">
        <v>1.056</v>
      </c>
      <c r="BQ63" s="1114">
        <v>1.056</v>
      </c>
      <c r="BR63" s="22"/>
      <c r="BS63" s="1039" t="s">
        <v>153</v>
      </c>
      <c r="BT63" s="1039"/>
      <c r="BU63" s="840"/>
      <c r="BV63" s="840"/>
      <c r="BW63" s="840"/>
      <c r="BX63" s="840"/>
      <c r="BY63" s="840"/>
      <c r="BZ63" s="840"/>
      <c r="CA63" s="727">
        <v>1.032</v>
      </c>
      <c r="CB63" s="1114">
        <v>1.032</v>
      </c>
      <c r="CC63" s="1114">
        <v>1.032</v>
      </c>
      <c r="CD63" s="676"/>
      <c r="CF63" s="1039" t="s">
        <v>153</v>
      </c>
      <c r="CG63" s="17">
        <v>1</v>
      </c>
      <c r="CH63" s="18">
        <v>1</v>
      </c>
      <c r="CI63" s="17">
        <v>1</v>
      </c>
      <c r="CJ63" s="17">
        <v>1</v>
      </c>
      <c r="CK63" s="17">
        <v>1</v>
      </c>
      <c r="CL63" s="17">
        <v>1</v>
      </c>
      <c r="CM63" s="737">
        <v>1</v>
      </c>
      <c r="CN63" s="723">
        <v>1</v>
      </c>
      <c r="CO63" s="18">
        <v>1</v>
      </c>
      <c r="CP63" s="18">
        <v>1</v>
      </c>
      <c r="CQ63" s="176"/>
      <c r="CR63" s="22"/>
      <c r="CS63" s="1039" t="s">
        <v>153</v>
      </c>
      <c r="CT63" s="20">
        <v>16</v>
      </c>
      <c r="CU63" s="23">
        <v>16</v>
      </c>
      <c r="CV63" s="650">
        <v>16</v>
      </c>
      <c r="CW63" s="650">
        <v>16</v>
      </c>
      <c r="CX63" s="650">
        <v>16</v>
      </c>
      <c r="CY63" s="650">
        <v>16</v>
      </c>
      <c r="CZ63" s="770">
        <v>7</v>
      </c>
      <c r="DA63" s="1001">
        <v>7</v>
      </c>
      <c r="DB63" s="20">
        <v>7</v>
      </c>
      <c r="DC63" s="20">
        <v>7</v>
      </c>
      <c r="DD63" s="176"/>
    </row>
    <row r="64" spans="1:114" ht="15" customHeight="1" outlineLevel="1">
      <c r="C64" s="66"/>
      <c r="D64" s="413" t="str">
        <f t="shared" si="16"/>
        <v>800800_2024_12_</v>
      </c>
      <c r="E64" s="413" t="str">
        <f t="shared" si="18"/>
        <v xml:space="preserve">LED Replacing Interior T5 Fluorescent (Type A / Hybrid) </v>
      </c>
      <c r="F64" s="2013">
        <v>114.37444756930495</v>
      </c>
      <c r="G64" s="2013">
        <v>48.07088199758357</v>
      </c>
      <c r="H64" s="2014">
        <v>4423.1816351188081</v>
      </c>
      <c r="I64" s="2012">
        <v>1.056</v>
      </c>
      <c r="J64" s="2012">
        <v>1.032</v>
      </c>
      <c r="K64" s="2036">
        <v>1</v>
      </c>
      <c r="L64" s="743">
        <v>10</v>
      </c>
      <c r="M64" s="2015">
        <f t="shared" si="17"/>
        <v>0.93732108169668527</v>
      </c>
      <c r="U64" s="477"/>
      <c r="V64" s="690" t="s">
        <v>154</v>
      </c>
      <c r="W64" s="414">
        <v>60</v>
      </c>
      <c r="X64" s="414">
        <v>60</v>
      </c>
      <c r="Y64" s="18">
        <v>60</v>
      </c>
      <c r="Z64" s="18">
        <v>60</v>
      </c>
      <c r="AA64" s="18">
        <v>60</v>
      </c>
      <c r="AB64" s="414">
        <v>57.151731160896134</v>
      </c>
      <c r="AC64" s="961">
        <v>127.07</v>
      </c>
      <c r="AD64" s="175">
        <v>128.79302832244008</v>
      </c>
      <c r="AE64" s="117">
        <v>126.14844649021865</v>
      </c>
      <c r="AF64" s="117">
        <v>114.37444756930495</v>
      </c>
      <c r="AG64" s="392"/>
      <c r="AH64" s="22"/>
      <c r="AI64" s="778" t="s">
        <v>154</v>
      </c>
      <c r="AJ64" s="414">
        <v>28</v>
      </c>
      <c r="AK64" s="18">
        <v>28</v>
      </c>
      <c r="AL64" s="18">
        <v>28</v>
      </c>
      <c r="AM64" s="414">
        <v>28</v>
      </c>
      <c r="AN64" s="414">
        <v>28</v>
      </c>
      <c r="AO64" s="414">
        <v>26.891378139850644</v>
      </c>
      <c r="AP64" s="961">
        <v>62.35</v>
      </c>
      <c r="AQ64" s="175">
        <v>61.414459556191836</v>
      </c>
      <c r="AR64" s="117">
        <v>56.754890678941315</v>
      </c>
      <c r="AS64" s="117">
        <v>48.07088199758357</v>
      </c>
      <c r="AT64" s="22"/>
      <c r="AU64" s="778" t="s">
        <v>154</v>
      </c>
      <c r="AV64" s="3974">
        <v>6500</v>
      </c>
      <c r="AW64" s="859">
        <v>6500</v>
      </c>
      <c r="AX64" s="3974">
        <v>6500</v>
      </c>
      <c r="AY64" s="3974">
        <v>6500</v>
      </c>
      <c r="AZ64" s="3974">
        <v>6500</v>
      </c>
      <c r="BA64" s="3974">
        <v>4842.3896809232856</v>
      </c>
      <c r="BB64" s="3974">
        <v>5216</v>
      </c>
      <c r="BC64" s="999">
        <v>4280.6456692913389</v>
      </c>
      <c r="BD64" s="1007">
        <v>4791.7514384349824</v>
      </c>
      <c r="BE64" s="1007">
        <v>4423.1816351188081</v>
      </c>
      <c r="BF64" s="22"/>
      <c r="BG64" s="778" t="s">
        <v>154</v>
      </c>
      <c r="BH64" s="414">
        <v>1.07</v>
      </c>
      <c r="BI64" s="414">
        <v>1.07</v>
      </c>
      <c r="BJ64" s="392">
        <v>1.07</v>
      </c>
      <c r="BK64" s="19">
        <v>1.07</v>
      </c>
      <c r="BL64" s="19">
        <v>1.07</v>
      </c>
      <c r="BM64" s="18">
        <v>1.071</v>
      </c>
      <c r="BN64" s="961">
        <v>1.071</v>
      </c>
      <c r="BO64" s="727">
        <v>1.056</v>
      </c>
      <c r="BP64" s="1114">
        <v>1.056</v>
      </c>
      <c r="BQ64" s="1114">
        <v>1.056</v>
      </c>
      <c r="BR64" s="22"/>
      <c r="BS64" s="1039" t="s">
        <v>154</v>
      </c>
      <c r="BT64" s="1039"/>
      <c r="BU64" s="840"/>
      <c r="BV64" s="840"/>
      <c r="BW64" s="840"/>
      <c r="BX64" s="840"/>
      <c r="BY64" s="840"/>
      <c r="BZ64" s="840"/>
      <c r="CA64" s="727">
        <v>1.032</v>
      </c>
      <c r="CB64" s="1114">
        <v>1.032</v>
      </c>
      <c r="CC64" s="1114">
        <v>1.032</v>
      </c>
      <c r="CD64" s="676"/>
      <c r="CF64" s="1039" t="s">
        <v>154</v>
      </c>
      <c r="CG64" s="414">
        <v>1</v>
      </c>
      <c r="CH64" s="18">
        <v>1</v>
      </c>
      <c r="CI64" s="414">
        <v>1</v>
      </c>
      <c r="CJ64" s="414">
        <v>1</v>
      </c>
      <c r="CK64" s="414">
        <v>1</v>
      </c>
      <c r="CL64" s="414">
        <v>1</v>
      </c>
      <c r="CM64" s="961">
        <v>1</v>
      </c>
      <c r="CN64" s="723">
        <v>1</v>
      </c>
      <c r="CO64" s="18">
        <v>1</v>
      </c>
      <c r="CP64" s="18">
        <v>1</v>
      </c>
      <c r="CQ64" s="392"/>
      <c r="CR64" s="22"/>
      <c r="CS64" s="1039" t="s">
        <v>154</v>
      </c>
      <c r="CT64" s="20">
        <v>8</v>
      </c>
      <c r="CU64" s="23">
        <v>8</v>
      </c>
      <c r="CV64" s="3975">
        <v>8</v>
      </c>
      <c r="CW64" s="3975">
        <v>8</v>
      </c>
      <c r="CX64" s="3975">
        <v>8</v>
      </c>
      <c r="CY64" s="3975">
        <v>10</v>
      </c>
      <c r="CZ64" s="3976">
        <v>10</v>
      </c>
      <c r="DA64" s="1001">
        <v>10</v>
      </c>
      <c r="DB64" s="20">
        <v>10</v>
      </c>
      <c r="DC64" s="20">
        <v>10</v>
      </c>
      <c r="DD64" s="392"/>
    </row>
    <row r="65" spans="1:114" ht="15" customHeight="1" outlineLevel="1">
      <c r="C65" s="66"/>
      <c r="D65" s="413" t="str">
        <f t="shared" si="16"/>
        <v>800801_2024_12_</v>
      </c>
      <c r="E65" s="413" t="str">
        <f t="shared" si="18"/>
        <v>LED Replacing Interior T5 Fluorescent (Type B, Kits, and Fixtures)</v>
      </c>
      <c r="F65" s="2013">
        <v>203.86267483527917</v>
      </c>
      <c r="G65" s="2013">
        <v>89.107963779893197</v>
      </c>
      <c r="H65" s="2014">
        <v>4167.8307406547483</v>
      </c>
      <c r="I65" s="2012">
        <v>1.056</v>
      </c>
      <c r="J65" s="2012">
        <v>1.032</v>
      </c>
      <c r="K65" s="2036">
        <v>1</v>
      </c>
      <c r="L65" s="743">
        <v>15</v>
      </c>
      <c r="M65" s="2015">
        <f t="shared" si="17"/>
        <v>0.93732108169668527</v>
      </c>
      <c r="U65" s="477"/>
      <c r="V65" s="690" t="s">
        <v>155</v>
      </c>
      <c r="W65" s="844"/>
      <c r="X65" s="844"/>
      <c r="Y65" s="845"/>
      <c r="Z65" s="845"/>
      <c r="AA65" s="845"/>
      <c r="AB65" s="17">
        <v>129.47809753575737</v>
      </c>
      <c r="AC65" s="737">
        <v>187.49</v>
      </c>
      <c r="AD65" s="175">
        <v>239.12037825864712</v>
      </c>
      <c r="AE65" s="117">
        <v>198.4882416938656</v>
      </c>
      <c r="AF65" s="117">
        <v>203.86267483527917</v>
      </c>
      <c r="AG65" s="176"/>
      <c r="AH65" s="22"/>
      <c r="AI65" s="778" t="s">
        <v>155</v>
      </c>
      <c r="AJ65" s="844"/>
      <c r="AK65" s="844"/>
      <c r="AL65" s="845"/>
      <c r="AM65" s="844"/>
      <c r="AN65" s="844"/>
      <c r="AO65" s="17">
        <v>54.55328661420338</v>
      </c>
      <c r="AP65" s="737">
        <v>80.180000000000007</v>
      </c>
      <c r="AQ65" s="175">
        <v>103.90829394069617</v>
      </c>
      <c r="AR65" s="117">
        <v>82.2269471290506</v>
      </c>
      <c r="AS65" s="117">
        <v>89.107963779893197</v>
      </c>
      <c r="AT65" s="22"/>
      <c r="AU65" s="778" t="s">
        <v>155</v>
      </c>
      <c r="AV65" s="861"/>
      <c r="AW65" s="862"/>
      <c r="AX65" s="861"/>
      <c r="AY65" s="861"/>
      <c r="AZ65" s="861"/>
      <c r="BA65" s="857">
        <v>4551.3067953357458</v>
      </c>
      <c r="BB65" s="857">
        <v>4282.6269361672566</v>
      </c>
      <c r="BC65" s="999">
        <v>3854.5204125483456</v>
      </c>
      <c r="BD65" s="1007">
        <v>3692.4735645252986</v>
      </c>
      <c r="BE65" s="1007">
        <v>4167.8307406547483</v>
      </c>
      <c r="BF65" s="22"/>
      <c r="BG65" s="778" t="s">
        <v>155</v>
      </c>
      <c r="BH65" s="840"/>
      <c r="BI65" s="842"/>
      <c r="BJ65" s="843"/>
      <c r="BK65" s="843"/>
      <c r="BL65" s="843"/>
      <c r="BM65" s="18">
        <v>1.071</v>
      </c>
      <c r="BN65" s="737">
        <v>1.071</v>
      </c>
      <c r="BO65" s="727">
        <v>1.056</v>
      </c>
      <c r="BP65" s="1114">
        <v>1.056</v>
      </c>
      <c r="BQ65" s="1114">
        <v>1.056</v>
      </c>
      <c r="BR65" s="22"/>
      <c r="BS65" s="1039" t="s">
        <v>155</v>
      </c>
      <c r="BT65" s="1039"/>
      <c r="BU65" s="840"/>
      <c r="BV65" s="840"/>
      <c r="BW65" s="840"/>
      <c r="BX65" s="840"/>
      <c r="BY65" s="840"/>
      <c r="BZ65" s="840"/>
      <c r="CA65" s="727">
        <v>1.032</v>
      </c>
      <c r="CB65" s="1114">
        <v>1.032</v>
      </c>
      <c r="CC65" s="1114">
        <v>1.032</v>
      </c>
      <c r="CD65" s="676"/>
      <c r="CF65" s="1039" t="s">
        <v>155</v>
      </c>
      <c r="CG65" s="840"/>
      <c r="CH65" s="842"/>
      <c r="CI65" s="843"/>
      <c r="CJ65" s="843"/>
      <c r="CK65" s="843"/>
      <c r="CL65" s="17">
        <v>1</v>
      </c>
      <c r="CM65" s="737">
        <v>1</v>
      </c>
      <c r="CN65" s="723">
        <v>1</v>
      </c>
      <c r="CO65" s="18">
        <v>1</v>
      </c>
      <c r="CP65" s="18">
        <v>1</v>
      </c>
      <c r="CQ65" s="176"/>
      <c r="CR65" s="22"/>
      <c r="CS65" s="1039" t="s">
        <v>155</v>
      </c>
      <c r="CT65" s="840"/>
      <c r="CU65" s="842"/>
      <c r="CV65" s="843"/>
      <c r="CW65" s="843"/>
      <c r="CX65" s="843"/>
      <c r="CY65" s="650">
        <v>15</v>
      </c>
      <c r="CZ65" s="770">
        <v>15</v>
      </c>
      <c r="DA65" s="1001">
        <v>15</v>
      </c>
      <c r="DB65" s="20">
        <v>15</v>
      </c>
      <c r="DC65" s="20">
        <v>15</v>
      </c>
      <c r="DD65" s="176"/>
    </row>
    <row r="66" spans="1:114" s="3517" customFormat="1" ht="15" customHeight="1" outlineLevel="1">
      <c r="C66" s="2086"/>
      <c r="D66" s="3538" t="str">
        <f t="shared" si="16"/>
        <v>800802_2024_12_</v>
      </c>
      <c r="E66" s="3538" t="str">
        <f t="shared" si="18"/>
        <v>LED Replacing Interior T5 Fluorescent (Type C)</v>
      </c>
      <c r="F66" s="3539">
        <v>138.71</v>
      </c>
      <c r="G66" s="3539">
        <v>40.79</v>
      </c>
      <c r="H66" s="3540">
        <v>2959</v>
      </c>
      <c r="I66" s="3555">
        <v>1.056</v>
      </c>
      <c r="J66" s="3555">
        <v>1.032</v>
      </c>
      <c r="K66" s="3539">
        <v>1</v>
      </c>
      <c r="L66" s="3541">
        <v>11</v>
      </c>
      <c r="M66" s="3542">
        <f t="shared" si="17"/>
        <v>0.93732108169668527</v>
      </c>
      <c r="N66" s="3528"/>
      <c r="O66" s="3528"/>
      <c r="P66" s="3528"/>
      <c r="Q66" s="3528"/>
      <c r="R66" s="3528"/>
      <c r="S66" s="3528"/>
      <c r="T66" s="3528"/>
      <c r="U66" s="3543"/>
      <c r="V66" s="3544" t="s">
        <v>156</v>
      </c>
      <c r="W66" s="3557"/>
      <c r="X66" s="3557"/>
      <c r="Y66" s="3558"/>
      <c r="Z66" s="3558"/>
      <c r="AA66" s="3558"/>
      <c r="AB66" s="3558"/>
      <c r="AC66" s="3374">
        <v>120</v>
      </c>
      <c r="AD66" s="2572">
        <v>138.70503597122303</v>
      </c>
      <c r="AE66" s="2528">
        <v>138.71</v>
      </c>
      <c r="AF66" s="2528">
        <v>138.71</v>
      </c>
      <c r="AG66" s="2555"/>
      <c r="AH66" s="3545"/>
      <c r="AI66" s="1841" t="s">
        <v>156</v>
      </c>
      <c r="AJ66" s="3557"/>
      <c r="AK66" s="3557"/>
      <c r="AL66" s="3558"/>
      <c r="AM66" s="3557"/>
      <c r="AN66" s="3557"/>
      <c r="AO66" s="3557"/>
      <c r="AP66" s="3374">
        <v>26</v>
      </c>
      <c r="AQ66" s="2572">
        <v>40.791366906474821</v>
      </c>
      <c r="AR66" s="2528">
        <v>40.79</v>
      </c>
      <c r="AS66" s="2528">
        <v>40.79</v>
      </c>
      <c r="AT66" s="3545"/>
      <c r="AU66" s="1841" t="s">
        <v>156</v>
      </c>
      <c r="AV66" s="3559"/>
      <c r="AW66" s="3560"/>
      <c r="AX66" s="3559"/>
      <c r="AY66" s="3559"/>
      <c r="AZ66" s="3559"/>
      <c r="BA66" s="3559"/>
      <c r="BB66" s="3546">
        <v>3800</v>
      </c>
      <c r="BC66" s="2809">
        <v>2958.8489208633096</v>
      </c>
      <c r="BD66" s="2808">
        <v>2959</v>
      </c>
      <c r="BE66" s="2808">
        <v>2959</v>
      </c>
      <c r="BF66" s="3545"/>
      <c r="BG66" s="1841" t="s">
        <v>156</v>
      </c>
      <c r="BH66" s="3531"/>
      <c r="BI66" s="3561"/>
      <c r="BJ66" s="3562"/>
      <c r="BK66" s="3562"/>
      <c r="BL66" s="3562"/>
      <c r="BM66" s="3562"/>
      <c r="BN66" s="3374">
        <v>1.07</v>
      </c>
      <c r="BO66" s="2959">
        <v>1.056</v>
      </c>
      <c r="BP66" s="3556">
        <v>1.056</v>
      </c>
      <c r="BQ66" s="3556">
        <v>1.056</v>
      </c>
      <c r="BR66" s="3545"/>
      <c r="BS66" s="3548" t="s">
        <v>156</v>
      </c>
      <c r="BT66" s="3548"/>
      <c r="BU66" s="3531"/>
      <c r="BV66" s="3531"/>
      <c r="BW66" s="3531"/>
      <c r="BX66" s="3531"/>
      <c r="BY66" s="3531"/>
      <c r="BZ66" s="3531"/>
      <c r="CA66" s="2959">
        <v>1.032</v>
      </c>
      <c r="CB66" s="3556">
        <v>1.032</v>
      </c>
      <c r="CC66" s="3556">
        <v>1.032</v>
      </c>
      <c r="CD66" s="2724"/>
      <c r="CF66" s="3548" t="s">
        <v>156</v>
      </c>
      <c r="CG66" s="3531"/>
      <c r="CH66" s="3561"/>
      <c r="CI66" s="3562"/>
      <c r="CJ66" s="3562"/>
      <c r="CK66" s="3562"/>
      <c r="CL66" s="3562"/>
      <c r="CM66" s="3374">
        <v>1</v>
      </c>
      <c r="CN66" s="2553">
        <v>1</v>
      </c>
      <c r="CO66" s="2528">
        <v>1</v>
      </c>
      <c r="CP66" s="2528">
        <v>1</v>
      </c>
      <c r="CQ66" s="2555"/>
      <c r="CR66" s="3545"/>
      <c r="CS66" s="3548" t="s">
        <v>156</v>
      </c>
      <c r="CT66" s="3531"/>
      <c r="CU66" s="3561"/>
      <c r="CV66" s="3562"/>
      <c r="CW66" s="3562"/>
      <c r="CX66" s="3562"/>
      <c r="CY66" s="3562"/>
      <c r="CZ66" s="3549">
        <v>11</v>
      </c>
      <c r="DA66" s="3550">
        <v>11</v>
      </c>
      <c r="DB66" s="3506">
        <v>11</v>
      </c>
      <c r="DC66" s="3506">
        <v>11</v>
      </c>
      <c r="DD66" s="2555"/>
      <c r="DG66" s="3551"/>
      <c r="DH66" s="3528"/>
      <c r="DI66" s="3528"/>
      <c r="DJ66" s="3552"/>
    </row>
    <row r="67" spans="1:114" ht="15" customHeight="1" outlineLevel="1">
      <c r="C67" s="66"/>
      <c r="D67" s="413" t="str">
        <f t="shared" si="16"/>
        <v>800850_2024_12_</v>
      </c>
      <c r="E67" s="413" t="str">
        <f t="shared" si="18"/>
        <v xml:space="preserve">LED Replacing Interior T8 Fluorescent (Type A / Hybrid) </v>
      </c>
      <c r="F67" s="2013">
        <v>79.353748870822045</v>
      </c>
      <c r="G67" s="2013">
        <v>34.882952108649036</v>
      </c>
      <c r="H67" s="2014">
        <v>5005.2332022873479</v>
      </c>
      <c r="I67" s="2012">
        <v>1.056</v>
      </c>
      <c r="J67" s="2012">
        <v>1.032</v>
      </c>
      <c r="K67" s="2036">
        <v>1</v>
      </c>
      <c r="L67" s="743">
        <v>10</v>
      </c>
      <c r="M67" s="2015">
        <f t="shared" si="17"/>
        <v>0.93732108169668527</v>
      </c>
      <c r="U67" s="478"/>
      <c r="V67" s="690" t="s">
        <v>157</v>
      </c>
      <c r="W67" s="414">
        <v>28</v>
      </c>
      <c r="X67" s="117">
        <v>28.3</v>
      </c>
      <c r="Y67" s="18">
        <v>28.3</v>
      </c>
      <c r="Z67" s="18">
        <v>28.3</v>
      </c>
      <c r="AA67" s="18">
        <v>28.3</v>
      </c>
      <c r="AB67" s="414">
        <v>34.696581538376684</v>
      </c>
      <c r="AC67" s="961">
        <v>85.48</v>
      </c>
      <c r="AD67" s="175">
        <v>85.624728473368663</v>
      </c>
      <c r="AE67" s="117">
        <v>68.807005171603194</v>
      </c>
      <c r="AF67" s="117">
        <v>79.353748870822045</v>
      </c>
      <c r="AG67" s="392"/>
      <c r="AH67" s="22"/>
      <c r="AI67" s="778" t="s">
        <v>157</v>
      </c>
      <c r="AJ67" s="414">
        <v>14</v>
      </c>
      <c r="AK67" s="117">
        <v>13.7</v>
      </c>
      <c r="AL67" s="18">
        <v>13.7</v>
      </c>
      <c r="AM67" s="414">
        <v>13.7</v>
      </c>
      <c r="AN67" s="414">
        <v>13.7</v>
      </c>
      <c r="AO67" s="414">
        <v>15.651019976649476</v>
      </c>
      <c r="AP67" s="961">
        <v>38.909999999999997</v>
      </c>
      <c r="AQ67" s="175">
        <v>41.195387293298523</v>
      </c>
      <c r="AR67" s="117">
        <v>31.73883403855195</v>
      </c>
      <c r="AS67" s="117">
        <v>34.882952108649036</v>
      </c>
      <c r="AT67" s="22"/>
      <c r="AU67" s="778" t="s">
        <v>157</v>
      </c>
      <c r="AV67" s="3974">
        <v>5500</v>
      </c>
      <c r="AW67" s="858">
        <v>5400</v>
      </c>
      <c r="AX67" s="3974">
        <v>5400</v>
      </c>
      <c r="AY67" s="3974">
        <v>5400</v>
      </c>
      <c r="AZ67" s="3974">
        <v>5400</v>
      </c>
      <c r="BA67" s="3974">
        <v>4232.7285363633855</v>
      </c>
      <c r="BB67" s="3974">
        <v>4312.5738874058725</v>
      </c>
      <c r="BC67" s="999">
        <v>5042.2161009573538</v>
      </c>
      <c r="BD67" s="1007">
        <v>4820.145275035261</v>
      </c>
      <c r="BE67" s="1007">
        <v>5005.2332022873479</v>
      </c>
      <c r="BF67" s="22"/>
      <c r="BG67" s="778" t="s">
        <v>157</v>
      </c>
      <c r="BH67" s="414">
        <v>1.07</v>
      </c>
      <c r="BI67" s="117">
        <v>1.08</v>
      </c>
      <c r="BJ67" s="392">
        <v>1.08</v>
      </c>
      <c r="BK67" s="19">
        <v>1.08</v>
      </c>
      <c r="BL67" s="19">
        <v>1.08</v>
      </c>
      <c r="BM67" s="18">
        <v>1.071</v>
      </c>
      <c r="BN67" s="961">
        <v>1.071</v>
      </c>
      <c r="BO67" s="727">
        <v>1.056</v>
      </c>
      <c r="BP67" s="1114">
        <v>1.056</v>
      </c>
      <c r="BQ67" s="1114">
        <v>1.056</v>
      </c>
      <c r="BR67" s="22"/>
      <c r="BS67" s="1039" t="s">
        <v>157</v>
      </c>
      <c r="BT67" s="1039"/>
      <c r="BU67" s="840"/>
      <c r="BV67" s="840"/>
      <c r="BW67" s="840"/>
      <c r="BX67" s="840"/>
      <c r="BY67" s="840"/>
      <c r="BZ67" s="840"/>
      <c r="CA67" s="727">
        <v>1.032</v>
      </c>
      <c r="CB67" s="1114">
        <v>1.032</v>
      </c>
      <c r="CC67" s="1114">
        <v>1.032</v>
      </c>
      <c r="CD67" s="676"/>
      <c r="CF67" s="1039" t="s">
        <v>157</v>
      </c>
      <c r="CG67" s="414">
        <v>1</v>
      </c>
      <c r="CH67" s="117">
        <v>0.99614637091058145</v>
      </c>
      <c r="CI67" s="414">
        <v>0.99614637091058145</v>
      </c>
      <c r="CJ67" s="414">
        <v>0.99614637091058145</v>
      </c>
      <c r="CK67" s="414">
        <v>0.99614637091058145</v>
      </c>
      <c r="CL67" s="414">
        <v>0.99614637091058145</v>
      </c>
      <c r="CM67" s="961">
        <v>0.99614637091058145</v>
      </c>
      <c r="CN67" s="723">
        <v>0.99614637091058145</v>
      </c>
      <c r="CO67" s="18">
        <v>1</v>
      </c>
      <c r="CP67" s="18">
        <v>1</v>
      </c>
      <c r="CQ67" s="392"/>
      <c r="CR67" s="22"/>
      <c r="CS67" s="1039" t="s">
        <v>157</v>
      </c>
      <c r="CT67" s="20">
        <v>9</v>
      </c>
      <c r="CU67" s="23">
        <v>9</v>
      </c>
      <c r="CV67" s="3975">
        <v>9</v>
      </c>
      <c r="CW67" s="3975">
        <v>9</v>
      </c>
      <c r="CX67" s="3975">
        <v>9</v>
      </c>
      <c r="CY67" s="3975">
        <v>10</v>
      </c>
      <c r="CZ67" s="3976">
        <v>10</v>
      </c>
      <c r="DA67" s="1001">
        <v>10</v>
      </c>
      <c r="DB67" s="20">
        <v>10</v>
      </c>
      <c r="DC67" s="20">
        <v>10</v>
      </c>
      <c r="DD67" s="392"/>
    </row>
    <row r="68" spans="1:114" ht="15" customHeight="1" outlineLevel="1">
      <c r="C68" s="66"/>
      <c r="D68" s="413" t="str">
        <f t="shared" si="16"/>
        <v>800851_2024_12_</v>
      </c>
      <c r="E68" s="413" t="str">
        <f t="shared" si="18"/>
        <v>LED Replacting Interior T8 Fluorescent (Type B, Kits, and Fixtures)</v>
      </c>
      <c r="F68" s="2013">
        <v>89.692345424668289</v>
      </c>
      <c r="G68" s="2013">
        <v>34.961974509010169</v>
      </c>
      <c r="H68" s="2014">
        <v>3692.2508494952099</v>
      </c>
      <c r="I68" s="2012">
        <v>1.056</v>
      </c>
      <c r="J68" s="2012">
        <v>1.032</v>
      </c>
      <c r="K68" s="2036">
        <v>1</v>
      </c>
      <c r="L68" s="743">
        <v>15</v>
      </c>
      <c r="M68" s="2015">
        <f t="shared" si="17"/>
        <v>0.93732108169668527</v>
      </c>
      <c r="U68" s="478"/>
      <c r="V68" s="690" t="s">
        <v>158</v>
      </c>
      <c r="W68" s="844"/>
      <c r="X68" s="844"/>
      <c r="Y68" s="845"/>
      <c r="Z68" s="845"/>
      <c r="AA68" s="845"/>
      <c r="AB68" s="17">
        <v>59.772720625328752</v>
      </c>
      <c r="AC68" s="737">
        <v>92.55</v>
      </c>
      <c r="AD68" s="175">
        <v>90.02361561617623</v>
      </c>
      <c r="AE68" s="117">
        <v>87.706374705635369</v>
      </c>
      <c r="AF68" s="117">
        <v>89.692345424668289</v>
      </c>
      <c r="AG68" s="176"/>
      <c r="AH68" s="22"/>
      <c r="AI68" s="778" t="s">
        <v>158</v>
      </c>
      <c r="AJ68" s="844"/>
      <c r="AK68" s="844"/>
      <c r="AL68" s="845"/>
      <c r="AM68" s="844"/>
      <c r="AN68" s="844"/>
      <c r="AO68" s="17">
        <v>24.753815057906763</v>
      </c>
      <c r="AP68" s="737">
        <v>37.119999999999997</v>
      </c>
      <c r="AQ68" s="175">
        <v>37.874579052232683</v>
      </c>
      <c r="AR68" s="117">
        <v>35.751255085101334</v>
      </c>
      <c r="AS68" s="117">
        <v>34.961974509010169</v>
      </c>
      <c r="AT68" s="22"/>
      <c r="AU68" s="778" t="s">
        <v>158</v>
      </c>
      <c r="AV68" s="861"/>
      <c r="AW68" s="862"/>
      <c r="AX68" s="861"/>
      <c r="AY68" s="861"/>
      <c r="AZ68" s="861"/>
      <c r="BA68" s="857">
        <v>4315.6299709124478</v>
      </c>
      <c r="BB68" s="857">
        <v>3612.4490433014971</v>
      </c>
      <c r="BC68" s="999">
        <v>3643.5084423955932</v>
      </c>
      <c r="BD68" s="1007">
        <v>3539.0464180819818</v>
      </c>
      <c r="BE68" s="1007">
        <v>3692.2508494952099</v>
      </c>
      <c r="BF68" s="22"/>
      <c r="BG68" s="778" t="s">
        <v>158</v>
      </c>
      <c r="BH68" s="840"/>
      <c r="BI68" s="842"/>
      <c r="BJ68" s="843"/>
      <c r="BK68" s="843"/>
      <c r="BL68" s="843"/>
      <c r="BM68" s="18">
        <v>1.071</v>
      </c>
      <c r="BN68" s="737">
        <v>1.071</v>
      </c>
      <c r="BO68" s="727">
        <v>1.056</v>
      </c>
      <c r="BP68" s="1114">
        <v>1.056</v>
      </c>
      <c r="BQ68" s="1114">
        <v>1.056</v>
      </c>
      <c r="BR68" s="22"/>
      <c r="BS68" s="1039" t="s">
        <v>158</v>
      </c>
      <c r="BT68" s="1039"/>
      <c r="BU68" s="840"/>
      <c r="BV68" s="840"/>
      <c r="BW68" s="840"/>
      <c r="BX68" s="840"/>
      <c r="BY68" s="840"/>
      <c r="BZ68" s="840"/>
      <c r="CA68" s="727">
        <v>1.032</v>
      </c>
      <c r="CB68" s="1114">
        <v>1.032</v>
      </c>
      <c r="CC68" s="1114">
        <v>1.032</v>
      </c>
      <c r="CD68" s="676"/>
      <c r="CF68" s="1039" t="s">
        <v>158</v>
      </c>
      <c r="CG68" s="840"/>
      <c r="CH68" s="842"/>
      <c r="CI68" s="843"/>
      <c r="CJ68" s="843"/>
      <c r="CK68" s="843"/>
      <c r="CL68" s="17">
        <v>0.99614637091058145</v>
      </c>
      <c r="CM68" s="737">
        <v>0.99614637091058145</v>
      </c>
      <c r="CN68" s="723">
        <v>0.99614637091058145</v>
      </c>
      <c r="CO68" s="18">
        <v>1</v>
      </c>
      <c r="CP68" s="18">
        <v>1</v>
      </c>
      <c r="CQ68" s="176"/>
      <c r="CR68" s="22"/>
      <c r="CS68" s="1039" t="s">
        <v>158</v>
      </c>
      <c r="CT68" s="840"/>
      <c r="CU68" s="842"/>
      <c r="CV68" s="843"/>
      <c r="CW68" s="843"/>
      <c r="CX68" s="843"/>
      <c r="CY68" s="650">
        <v>15</v>
      </c>
      <c r="CZ68" s="770">
        <v>15</v>
      </c>
      <c r="DA68" s="1001">
        <v>15</v>
      </c>
      <c r="DB68" s="20">
        <v>15</v>
      </c>
      <c r="DC68" s="20">
        <v>15</v>
      </c>
      <c r="DD68" s="176"/>
    </row>
    <row r="69" spans="1:114" s="3517" customFormat="1" ht="15" customHeight="1" outlineLevel="1">
      <c r="C69" s="2086"/>
      <c r="D69" s="3538" t="str">
        <f t="shared" si="16"/>
        <v>800852_2024_12_</v>
      </c>
      <c r="E69" s="3538" t="str">
        <f t="shared" si="18"/>
        <v>LED Replacting Interior T8 Fluorescent (Type C)</v>
      </c>
      <c r="F69" s="3539">
        <v>71.037669217186576</v>
      </c>
      <c r="G69" s="3539">
        <v>31.965068087625813</v>
      </c>
      <c r="H69" s="3540">
        <v>4388.4168146832444</v>
      </c>
      <c r="I69" s="3555">
        <v>1.056</v>
      </c>
      <c r="J69" s="3555">
        <v>1.032</v>
      </c>
      <c r="K69" s="3539">
        <v>1</v>
      </c>
      <c r="L69" s="3541">
        <v>11</v>
      </c>
      <c r="M69" s="3542">
        <f t="shared" si="17"/>
        <v>0.93732108169668527</v>
      </c>
      <c r="N69" s="3528"/>
      <c r="O69" s="3528"/>
      <c r="P69" s="3528"/>
      <c r="Q69" s="3528"/>
      <c r="R69" s="3528"/>
      <c r="S69" s="3528"/>
      <c r="T69" s="3528"/>
      <c r="U69" s="3563"/>
      <c r="V69" s="3544" t="s">
        <v>159</v>
      </c>
      <c r="W69" s="3557"/>
      <c r="X69" s="3557"/>
      <c r="Y69" s="3558"/>
      <c r="Z69" s="3558"/>
      <c r="AA69" s="3558"/>
      <c r="AB69" s="3558"/>
      <c r="AC69" s="3374">
        <v>81.634859457469005</v>
      </c>
      <c r="AD69" s="2572">
        <v>71.936236391912914</v>
      </c>
      <c r="AE69" s="2529">
        <v>71.037669217186576</v>
      </c>
      <c r="AF69" s="2528">
        <v>71.037669217186576</v>
      </c>
      <c r="AG69" s="2555"/>
      <c r="AH69" s="3545"/>
      <c r="AI69" s="1841" t="s">
        <v>159</v>
      </c>
      <c r="AJ69" s="3557"/>
      <c r="AK69" s="3557"/>
      <c r="AL69" s="3558"/>
      <c r="AM69" s="3557"/>
      <c r="AN69" s="3557"/>
      <c r="AO69" s="3557"/>
      <c r="AP69" s="3374">
        <v>31.539953357063951</v>
      </c>
      <c r="AQ69" s="2572">
        <v>30.78071539657854</v>
      </c>
      <c r="AR69" s="2529">
        <v>31.965068087625813</v>
      </c>
      <c r="AS69" s="2528">
        <v>31.965068087625813</v>
      </c>
      <c r="AT69" s="3545"/>
      <c r="AU69" s="1841" t="s">
        <v>159</v>
      </c>
      <c r="AV69" s="3559"/>
      <c r="AW69" s="3560"/>
      <c r="AX69" s="3559"/>
      <c r="AY69" s="3559"/>
      <c r="AZ69" s="3559"/>
      <c r="BA69" s="3559"/>
      <c r="BB69" s="3546">
        <v>5068.9456241561311</v>
      </c>
      <c r="BC69" s="2809">
        <v>4096.167185069984</v>
      </c>
      <c r="BD69" s="2812">
        <v>4388.4168146832444</v>
      </c>
      <c r="BE69" s="2808">
        <v>4388.4168146832444</v>
      </c>
      <c r="BF69" s="3545"/>
      <c r="BG69" s="1841" t="s">
        <v>159</v>
      </c>
      <c r="BH69" s="3531"/>
      <c r="BI69" s="3561"/>
      <c r="BJ69" s="3562"/>
      <c r="BK69" s="3562"/>
      <c r="BL69" s="3562"/>
      <c r="BM69" s="3562"/>
      <c r="BN69" s="3374">
        <v>1.07</v>
      </c>
      <c r="BO69" s="2959">
        <v>1.056</v>
      </c>
      <c r="BP69" s="3556">
        <v>1.056</v>
      </c>
      <c r="BQ69" s="3556">
        <v>1.056</v>
      </c>
      <c r="BR69" s="3545"/>
      <c r="BS69" s="3548" t="s">
        <v>159</v>
      </c>
      <c r="BT69" s="3548"/>
      <c r="BU69" s="3531"/>
      <c r="BV69" s="3531"/>
      <c r="BW69" s="3531"/>
      <c r="BX69" s="3531"/>
      <c r="BY69" s="3531"/>
      <c r="BZ69" s="3531"/>
      <c r="CA69" s="2959">
        <v>1.032</v>
      </c>
      <c r="CB69" s="3556">
        <v>1.032</v>
      </c>
      <c r="CC69" s="3556">
        <v>1.032</v>
      </c>
      <c r="CD69" s="2724"/>
      <c r="CF69" s="3548" t="s">
        <v>159</v>
      </c>
      <c r="CG69" s="3531"/>
      <c r="CH69" s="3561"/>
      <c r="CI69" s="3562"/>
      <c r="CJ69" s="3562"/>
      <c r="CK69" s="3562"/>
      <c r="CL69" s="3562"/>
      <c r="CM69" s="3374">
        <v>1</v>
      </c>
      <c r="CN69" s="2553">
        <v>1</v>
      </c>
      <c r="CO69" s="2528">
        <v>1</v>
      </c>
      <c r="CP69" s="2528">
        <v>1</v>
      </c>
      <c r="CQ69" s="2555"/>
      <c r="CR69" s="3545"/>
      <c r="CS69" s="3548" t="s">
        <v>159</v>
      </c>
      <c r="CT69" s="3531"/>
      <c r="CU69" s="3561"/>
      <c r="CV69" s="3562"/>
      <c r="CW69" s="3562"/>
      <c r="CX69" s="3562"/>
      <c r="CY69" s="3562"/>
      <c r="CZ69" s="3549">
        <v>11</v>
      </c>
      <c r="DA69" s="3550">
        <v>11</v>
      </c>
      <c r="DB69" s="3506">
        <v>11</v>
      </c>
      <c r="DC69" s="3506">
        <v>11</v>
      </c>
      <c r="DD69" s="2555"/>
      <c r="DG69" s="3551"/>
      <c r="DH69" s="3528"/>
      <c r="DI69" s="3528"/>
      <c r="DJ69" s="3552"/>
    </row>
    <row r="70" spans="1:114" ht="15" customHeight="1" outlineLevel="1">
      <c r="C70" s="66"/>
      <c r="D70" s="413" t="str">
        <f t="shared" si="16"/>
        <v>800900_2024_12_</v>
      </c>
      <c r="E70" s="413" t="str">
        <f t="shared" si="18"/>
        <v xml:space="preserve">LED Replacing Interior T12 Fluorescent (Type A / Hybrid) </v>
      </c>
      <c r="F70" s="2036">
        <v>98.3</v>
      </c>
      <c r="G70" s="2036">
        <v>38.19</v>
      </c>
      <c r="H70" s="2037">
        <v>3141</v>
      </c>
      <c r="I70" s="2012">
        <v>1.056</v>
      </c>
      <c r="J70" s="2012">
        <v>1.032</v>
      </c>
      <c r="K70" s="2036">
        <v>1</v>
      </c>
      <c r="L70" s="743">
        <v>10</v>
      </c>
      <c r="M70" s="2015">
        <f t="shared" si="17"/>
        <v>0.93732108169668527</v>
      </c>
      <c r="U70" s="477"/>
      <c r="V70" s="690" t="s">
        <v>160</v>
      </c>
      <c r="W70" s="414">
        <v>40</v>
      </c>
      <c r="X70" s="117">
        <v>39.659124009019756</v>
      </c>
      <c r="Y70" s="18">
        <v>39.659124009019756</v>
      </c>
      <c r="Z70" s="18">
        <v>39.659124009019756</v>
      </c>
      <c r="AA70" s="18">
        <v>39.659124009019756</v>
      </c>
      <c r="AB70" s="414">
        <v>51.948940020682521</v>
      </c>
      <c r="AC70" s="961">
        <v>89.4</v>
      </c>
      <c r="AD70" s="175">
        <v>98.297069450020075</v>
      </c>
      <c r="AE70" s="18">
        <v>98.3</v>
      </c>
      <c r="AF70" s="18">
        <v>98.3</v>
      </c>
      <c r="AG70" s="392"/>
      <c r="AH70" s="22"/>
      <c r="AI70" s="778" t="s">
        <v>160</v>
      </c>
      <c r="AJ70" s="414">
        <v>14</v>
      </c>
      <c r="AK70" s="117">
        <v>16.024798289519346</v>
      </c>
      <c r="AL70" s="18">
        <v>16.024798289519346</v>
      </c>
      <c r="AM70" s="414">
        <v>16.024798289519346</v>
      </c>
      <c r="AN70" s="414">
        <v>16.024798289519346</v>
      </c>
      <c r="AO70" s="414">
        <v>16.49767321613237</v>
      </c>
      <c r="AP70" s="961">
        <v>33.47</v>
      </c>
      <c r="AQ70" s="175">
        <v>38.190028606456885</v>
      </c>
      <c r="AR70" s="18">
        <v>38.19</v>
      </c>
      <c r="AS70" s="18">
        <v>38.19</v>
      </c>
      <c r="AT70" s="22"/>
      <c r="AU70" s="778" t="s">
        <v>160</v>
      </c>
      <c r="AV70" s="3974">
        <v>4480</v>
      </c>
      <c r="AW70" s="858">
        <v>3660</v>
      </c>
      <c r="AX70" s="3974">
        <v>3660</v>
      </c>
      <c r="AY70" s="3974">
        <v>3660</v>
      </c>
      <c r="AZ70" s="3974">
        <v>3660</v>
      </c>
      <c r="BA70" s="3974">
        <v>3950.5788521199588</v>
      </c>
      <c r="BB70" s="3974">
        <v>3864.8374040474528</v>
      </c>
      <c r="BC70" s="999">
        <v>3141.0069472823866</v>
      </c>
      <c r="BD70" s="1115">
        <v>3141</v>
      </c>
      <c r="BE70" s="1115">
        <v>3141</v>
      </c>
      <c r="BF70" s="22"/>
      <c r="BG70" s="778" t="s">
        <v>160</v>
      </c>
      <c r="BH70" s="414">
        <v>1.07</v>
      </c>
      <c r="BI70" s="18">
        <v>1.07</v>
      </c>
      <c r="BJ70" s="392">
        <v>1.07</v>
      </c>
      <c r="BK70" s="19">
        <v>1.07</v>
      </c>
      <c r="BL70" s="19">
        <v>1.07</v>
      </c>
      <c r="BM70" s="18">
        <v>1.071</v>
      </c>
      <c r="BN70" s="961">
        <v>1.071</v>
      </c>
      <c r="BO70" s="727">
        <v>1.056</v>
      </c>
      <c r="BP70" s="1114">
        <v>1.056</v>
      </c>
      <c r="BQ70" s="1114">
        <v>1.056</v>
      </c>
      <c r="BR70" s="22"/>
      <c r="BS70" s="1039" t="s">
        <v>160</v>
      </c>
      <c r="BT70" s="1039"/>
      <c r="BU70" s="840"/>
      <c r="BV70" s="840"/>
      <c r="BW70" s="840"/>
      <c r="BX70" s="840"/>
      <c r="BY70" s="840"/>
      <c r="BZ70" s="840"/>
      <c r="CA70" s="727">
        <v>1.032</v>
      </c>
      <c r="CB70" s="1114">
        <v>1.032</v>
      </c>
      <c r="CC70" s="1114">
        <v>1.032</v>
      </c>
      <c r="CD70" s="676"/>
      <c r="CF70" s="1039" t="s">
        <v>160</v>
      </c>
      <c r="CG70" s="414">
        <v>1</v>
      </c>
      <c r="CH70" s="18">
        <v>1</v>
      </c>
      <c r="CI70" s="414">
        <v>1</v>
      </c>
      <c r="CJ70" s="414">
        <v>1</v>
      </c>
      <c r="CK70" s="414">
        <v>1</v>
      </c>
      <c r="CL70" s="414">
        <v>1</v>
      </c>
      <c r="CM70" s="961">
        <v>1</v>
      </c>
      <c r="CN70" s="723">
        <v>1</v>
      </c>
      <c r="CO70" s="18">
        <v>1</v>
      </c>
      <c r="CP70" s="18">
        <v>1</v>
      </c>
      <c r="CQ70" s="392"/>
      <c r="CR70" s="22"/>
      <c r="CS70" s="1039" t="s">
        <v>160</v>
      </c>
      <c r="CT70" s="20">
        <v>11</v>
      </c>
      <c r="CU70" s="674">
        <v>14</v>
      </c>
      <c r="CV70" s="3975">
        <v>14</v>
      </c>
      <c r="CW70" s="3975">
        <v>14</v>
      </c>
      <c r="CX70" s="3975">
        <v>14</v>
      </c>
      <c r="CY70" s="3975">
        <v>10</v>
      </c>
      <c r="CZ70" s="3976">
        <v>10</v>
      </c>
      <c r="DA70" s="1001">
        <v>10</v>
      </c>
      <c r="DB70" s="20">
        <v>10</v>
      </c>
      <c r="DC70" s="20">
        <v>10</v>
      </c>
      <c r="DD70" s="392"/>
    </row>
    <row r="71" spans="1:114" ht="15" customHeight="1" outlineLevel="1">
      <c r="C71" s="66"/>
      <c r="D71" s="413" t="str">
        <f t="shared" si="16"/>
        <v>800901_2024_12_</v>
      </c>
      <c r="E71" s="413" t="str">
        <f t="shared" si="18"/>
        <v xml:space="preserve">LED Replacing Interior T12 Fluorescent (Type B, Kits, and Fixtures) </v>
      </c>
      <c r="F71" s="2013">
        <v>136.81711165552466</v>
      </c>
      <c r="G71" s="2013">
        <v>37.065798708444945</v>
      </c>
      <c r="H71" s="2014">
        <v>2582.2919495836709</v>
      </c>
      <c r="I71" s="2012">
        <v>1.056</v>
      </c>
      <c r="J71" s="2012">
        <v>1.032</v>
      </c>
      <c r="K71" s="2036">
        <v>1</v>
      </c>
      <c r="L71" s="743">
        <v>15</v>
      </c>
      <c r="M71" s="2015">
        <f t="shared" si="17"/>
        <v>0.93732108169668527</v>
      </c>
      <c r="U71" s="477"/>
      <c r="V71" s="690" t="s">
        <v>161</v>
      </c>
      <c r="W71" s="844"/>
      <c r="X71" s="844"/>
      <c r="Y71" s="845"/>
      <c r="Z71" s="845"/>
      <c r="AA71" s="845"/>
      <c r="AB71" s="17">
        <v>84.520773254863471</v>
      </c>
      <c r="AC71" s="737">
        <v>136.32</v>
      </c>
      <c r="AD71" s="175">
        <v>146.26370318609995</v>
      </c>
      <c r="AE71" s="117">
        <v>146.10196257737761</v>
      </c>
      <c r="AF71" s="117">
        <v>136.81711165552466</v>
      </c>
      <c r="AG71" s="176"/>
      <c r="AH71" s="22"/>
      <c r="AI71" s="778" t="s">
        <v>161</v>
      </c>
      <c r="AJ71" s="844"/>
      <c r="AK71" s="844"/>
      <c r="AL71" s="845"/>
      <c r="AM71" s="844"/>
      <c r="AN71" s="844"/>
      <c r="AO71" s="17">
        <v>23.731453326794188</v>
      </c>
      <c r="AP71" s="737">
        <v>39.130000000000003</v>
      </c>
      <c r="AQ71" s="175">
        <v>43.421946826527595</v>
      </c>
      <c r="AR71" s="117">
        <v>39.297260080002829</v>
      </c>
      <c r="AS71" s="117">
        <v>37.065798708444945</v>
      </c>
      <c r="AT71" s="22"/>
      <c r="AU71" s="778" t="s">
        <v>161</v>
      </c>
      <c r="AV71" s="861"/>
      <c r="AW71" s="862"/>
      <c r="AX71" s="861"/>
      <c r="AY71" s="861"/>
      <c r="AZ71" s="861"/>
      <c r="BA71" s="857">
        <v>2782.143658656204</v>
      </c>
      <c r="BB71" s="857">
        <v>2711.4667506965634</v>
      </c>
      <c r="BC71" s="999">
        <v>2930.951450307804</v>
      </c>
      <c r="BD71" s="1007">
        <v>2857.4279797514955</v>
      </c>
      <c r="BE71" s="1007">
        <v>2582.2919495836709</v>
      </c>
      <c r="BF71" s="22"/>
      <c r="BG71" s="778" t="s">
        <v>161</v>
      </c>
      <c r="BH71" s="840"/>
      <c r="BI71" s="842"/>
      <c r="BJ71" s="843"/>
      <c r="BK71" s="843"/>
      <c r="BL71" s="843"/>
      <c r="BM71" s="18">
        <v>1.071</v>
      </c>
      <c r="BN71" s="737">
        <v>1.071</v>
      </c>
      <c r="BO71" s="727">
        <v>1.056</v>
      </c>
      <c r="BP71" s="1114">
        <v>1.056</v>
      </c>
      <c r="BQ71" s="1114">
        <v>1.056</v>
      </c>
      <c r="BR71" s="22"/>
      <c r="BS71" s="1039" t="s">
        <v>161</v>
      </c>
      <c r="BT71" s="1039"/>
      <c r="BU71" s="840"/>
      <c r="BV71" s="840"/>
      <c r="BW71" s="840"/>
      <c r="BX71" s="840"/>
      <c r="BY71" s="840"/>
      <c r="BZ71" s="840"/>
      <c r="CA71" s="727">
        <v>1.032</v>
      </c>
      <c r="CB71" s="1114">
        <v>1.032</v>
      </c>
      <c r="CC71" s="1114">
        <v>1.032</v>
      </c>
      <c r="CD71" s="676"/>
      <c r="CF71" s="1039" t="s">
        <v>161</v>
      </c>
      <c r="CG71" s="840"/>
      <c r="CH71" s="842"/>
      <c r="CI71" s="843"/>
      <c r="CJ71" s="843"/>
      <c r="CK71" s="843"/>
      <c r="CL71" s="17">
        <v>1</v>
      </c>
      <c r="CM71" s="737">
        <v>1</v>
      </c>
      <c r="CN71" s="723">
        <v>1</v>
      </c>
      <c r="CO71" s="18">
        <v>1</v>
      </c>
      <c r="CP71" s="18">
        <v>1</v>
      </c>
      <c r="CQ71" s="176"/>
      <c r="CR71" s="22"/>
      <c r="CS71" s="1039" t="s">
        <v>161</v>
      </c>
      <c r="CT71" s="840"/>
      <c r="CU71" s="842"/>
      <c r="CV71" s="843"/>
      <c r="CW71" s="843"/>
      <c r="CX71" s="843"/>
      <c r="CY71" s="650">
        <v>15</v>
      </c>
      <c r="CZ71" s="770">
        <v>15</v>
      </c>
      <c r="DA71" s="1001">
        <v>15</v>
      </c>
      <c r="DB71" s="20">
        <v>15</v>
      </c>
      <c r="DC71" s="20">
        <v>15</v>
      </c>
      <c r="DD71" s="176"/>
    </row>
    <row r="72" spans="1:114" s="3517" customFormat="1" ht="15" customHeight="1" outlineLevel="1">
      <c r="C72" s="2086"/>
      <c r="D72" s="3538" t="str">
        <f t="shared" si="16"/>
        <v>800902_2024_12_</v>
      </c>
      <c r="E72" s="3538" t="str">
        <f t="shared" si="18"/>
        <v>LED Replacing Interior T12 Fluorescent (Type C)</v>
      </c>
      <c r="F72" s="3539">
        <v>93.270833333333329</v>
      </c>
      <c r="G72" s="3539">
        <v>28.645833333333332</v>
      </c>
      <c r="H72" s="3540">
        <v>4166.270833333333</v>
      </c>
      <c r="I72" s="3555">
        <v>1.056</v>
      </c>
      <c r="J72" s="3555">
        <v>1.032</v>
      </c>
      <c r="K72" s="3539">
        <v>1</v>
      </c>
      <c r="L72" s="3541">
        <v>11</v>
      </c>
      <c r="M72" s="3542">
        <f t="shared" si="17"/>
        <v>0.93732108169668527</v>
      </c>
      <c r="N72" s="3528"/>
      <c r="O72" s="3528"/>
      <c r="P72" s="3528"/>
      <c r="Q72" s="3528"/>
      <c r="R72" s="3528"/>
      <c r="S72" s="3528"/>
      <c r="T72" s="3528"/>
      <c r="U72" s="3543"/>
      <c r="V72" s="3544" t="s">
        <v>162</v>
      </c>
      <c r="W72" s="3557"/>
      <c r="X72" s="3557"/>
      <c r="Y72" s="3558"/>
      <c r="Z72" s="3558"/>
      <c r="AA72" s="3558"/>
      <c r="AB72" s="3558"/>
      <c r="AC72" s="3374">
        <v>101.18625277161863</v>
      </c>
      <c r="AD72" s="2572">
        <v>147.25993883792049</v>
      </c>
      <c r="AE72" s="2529">
        <v>93.270833333333329</v>
      </c>
      <c r="AF72" s="2528">
        <v>93.270833333333329</v>
      </c>
      <c r="AG72" s="2555"/>
      <c r="AH72" s="3545"/>
      <c r="AI72" s="1841" t="s">
        <v>162</v>
      </c>
      <c r="AJ72" s="3557"/>
      <c r="AK72" s="3557"/>
      <c r="AL72" s="3558"/>
      <c r="AM72" s="3557"/>
      <c r="AN72" s="3557"/>
      <c r="AO72" s="3557"/>
      <c r="AP72" s="3374">
        <v>32.257206208425721</v>
      </c>
      <c r="AQ72" s="2572">
        <v>31.152905198776757</v>
      </c>
      <c r="AR72" s="2529">
        <v>28.645833333333332</v>
      </c>
      <c r="AS72" s="2528">
        <v>28.645833333333332</v>
      </c>
      <c r="AT72" s="3545"/>
      <c r="AU72" s="1841" t="s">
        <v>162</v>
      </c>
      <c r="AV72" s="3559"/>
      <c r="AW72" s="3560"/>
      <c r="AX72" s="3559"/>
      <c r="AY72" s="3559"/>
      <c r="AZ72" s="3559"/>
      <c r="BA72" s="3559"/>
      <c r="BB72" s="3546">
        <v>2447.2283813747226</v>
      </c>
      <c r="BC72" s="2809">
        <v>3511.6819571865444</v>
      </c>
      <c r="BD72" s="2812">
        <v>4166.270833333333</v>
      </c>
      <c r="BE72" s="2808">
        <v>4166.270833333333</v>
      </c>
      <c r="BF72" s="3545"/>
      <c r="BG72" s="1841" t="s">
        <v>162</v>
      </c>
      <c r="BH72" s="3531"/>
      <c r="BI72" s="3561"/>
      <c r="BJ72" s="3562"/>
      <c r="BK72" s="3562"/>
      <c r="BL72" s="3562"/>
      <c r="BM72" s="3562"/>
      <c r="BN72" s="3374">
        <v>1.07</v>
      </c>
      <c r="BO72" s="2959">
        <v>1.056</v>
      </c>
      <c r="BP72" s="3556">
        <v>1.056</v>
      </c>
      <c r="BQ72" s="3556">
        <v>1.056</v>
      </c>
      <c r="BR72" s="3545"/>
      <c r="BS72" s="3548" t="s">
        <v>162</v>
      </c>
      <c r="BT72" s="3548"/>
      <c r="BU72" s="3531"/>
      <c r="BV72" s="3531"/>
      <c r="BW72" s="3531"/>
      <c r="BX72" s="3531"/>
      <c r="BY72" s="3531"/>
      <c r="BZ72" s="3531"/>
      <c r="CA72" s="2959">
        <v>1.032</v>
      </c>
      <c r="CB72" s="3556">
        <v>1.032</v>
      </c>
      <c r="CC72" s="3556">
        <v>1.032</v>
      </c>
      <c r="CD72" s="2724"/>
      <c r="CF72" s="3548" t="s">
        <v>162</v>
      </c>
      <c r="CG72" s="3531"/>
      <c r="CH72" s="3561"/>
      <c r="CI72" s="3562"/>
      <c r="CJ72" s="3562"/>
      <c r="CK72" s="3562"/>
      <c r="CL72" s="3562"/>
      <c r="CM72" s="3374">
        <v>1</v>
      </c>
      <c r="CN72" s="2553">
        <v>1</v>
      </c>
      <c r="CO72" s="2528">
        <v>1</v>
      </c>
      <c r="CP72" s="2528">
        <v>1</v>
      </c>
      <c r="CQ72" s="2555"/>
      <c r="CR72" s="3545"/>
      <c r="CS72" s="3548" t="s">
        <v>162</v>
      </c>
      <c r="CT72" s="3531"/>
      <c r="CU72" s="3561"/>
      <c r="CV72" s="3562"/>
      <c r="CW72" s="3562"/>
      <c r="CX72" s="3562"/>
      <c r="CY72" s="3562"/>
      <c r="CZ72" s="3549">
        <v>11</v>
      </c>
      <c r="DA72" s="3550">
        <v>11</v>
      </c>
      <c r="DB72" s="3506">
        <v>11</v>
      </c>
      <c r="DC72" s="3506">
        <v>11</v>
      </c>
      <c r="DD72" s="2555"/>
      <c r="DG72" s="3551"/>
      <c r="DH72" s="3528"/>
      <c r="DI72" s="3528"/>
      <c r="DJ72" s="3552"/>
    </row>
    <row r="73" spans="1:114" ht="15" customHeight="1" outlineLevel="1">
      <c r="D73" s="413" t="str">
        <f>C33</f>
        <v>800950_2024_12_</v>
      </c>
      <c r="E73" s="413" t="str">
        <f t="shared" si="18"/>
        <v xml:space="preserve">LED Specialty Lamp </v>
      </c>
      <c r="F73" s="2036">
        <v>25</v>
      </c>
      <c r="G73" s="2036">
        <v>3.2</v>
      </c>
      <c r="H73" s="2037">
        <v>4380</v>
      </c>
      <c r="I73" s="2012">
        <v>1.056</v>
      </c>
      <c r="J73" s="2012">
        <v>1.032</v>
      </c>
      <c r="K73" s="2036">
        <v>1</v>
      </c>
      <c r="L73" s="743">
        <v>10</v>
      </c>
      <c r="M73" s="2015">
        <f t="shared" si="17"/>
        <v>0.93732108169668527</v>
      </c>
      <c r="U73" s="477"/>
      <c r="V73" s="690" t="s">
        <v>163</v>
      </c>
      <c r="W73" s="414">
        <v>25</v>
      </c>
      <c r="X73" s="414">
        <v>25</v>
      </c>
      <c r="Y73" s="18">
        <v>25</v>
      </c>
      <c r="Z73" s="18">
        <v>25</v>
      </c>
      <c r="AA73" s="18">
        <v>25</v>
      </c>
      <c r="AB73" s="414">
        <v>25</v>
      </c>
      <c r="AC73" s="961">
        <v>25</v>
      </c>
      <c r="AD73" s="21">
        <v>25</v>
      </c>
      <c r="AE73" s="117">
        <v>25</v>
      </c>
      <c r="AF73" s="18">
        <v>25</v>
      </c>
      <c r="AG73" s="392"/>
      <c r="AH73" s="22"/>
      <c r="AI73" s="778" t="s">
        <v>163</v>
      </c>
      <c r="AJ73" s="414">
        <v>3.2</v>
      </c>
      <c r="AK73" s="414">
        <v>3.2</v>
      </c>
      <c r="AL73" s="18">
        <v>3.2</v>
      </c>
      <c r="AM73" s="414">
        <v>3.2</v>
      </c>
      <c r="AN73" s="414">
        <v>3.2</v>
      </c>
      <c r="AO73" s="414">
        <v>3.2</v>
      </c>
      <c r="AP73" s="961">
        <v>3.2</v>
      </c>
      <c r="AQ73" s="21">
        <v>3.2</v>
      </c>
      <c r="AR73" s="18">
        <v>3.2</v>
      </c>
      <c r="AS73" s="18">
        <v>3.2</v>
      </c>
      <c r="AT73" s="22"/>
      <c r="AU73" s="778" t="s">
        <v>163</v>
      </c>
      <c r="AV73" s="3974">
        <v>4380</v>
      </c>
      <c r="AW73" s="859">
        <v>4380</v>
      </c>
      <c r="AX73" s="3974">
        <v>4380</v>
      </c>
      <c r="AY73" s="3974">
        <v>4380</v>
      </c>
      <c r="AZ73" s="3974">
        <v>4380</v>
      </c>
      <c r="BA73" s="3974">
        <v>4380</v>
      </c>
      <c r="BB73" s="3974">
        <v>4380</v>
      </c>
      <c r="BC73" s="1000">
        <v>4380</v>
      </c>
      <c r="BD73" s="1115">
        <v>4380</v>
      </c>
      <c r="BE73" s="1115">
        <v>4380</v>
      </c>
      <c r="BF73" s="22"/>
      <c r="BG73" s="778" t="s">
        <v>163</v>
      </c>
      <c r="BH73" s="414">
        <v>1.07</v>
      </c>
      <c r="BI73" s="414">
        <v>1.07</v>
      </c>
      <c r="BJ73" s="392">
        <v>1.07</v>
      </c>
      <c r="BK73" s="19">
        <v>1.07</v>
      </c>
      <c r="BL73" s="19">
        <v>1.07</v>
      </c>
      <c r="BM73" s="18">
        <v>1.071</v>
      </c>
      <c r="BN73" s="961">
        <v>1.071</v>
      </c>
      <c r="BO73" s="727">
        <v>1.056</v>
      </c>
      <c r="BP73" s="1114">
        <v>1.056</v>
      </c>
      <c r="BQ73" s="1114">
        <v>1.056</v>
      </c>
      <c r="BR73" s="22"/>
      <c r="BS73" s="1039" t="s">
        <v>163</v>
      </c>
      <c r="BT73" s="1039"/>
      <c r="BU73" s="840"/>
      <c r="BV73" s="840"/>
      <c r="BW73" s="840"/>
      <c r="BX73" s="840"/>
      <c r="BY73" s="840"/>
      <c r="BZ73" s="840"/>
      <c r="CA73" s="727">
        <v>1.032</v>
      </c>
      <c r="CB73" s="1114">
        <v>1.032</v>
      </c>
      <c r="CC73" s="1114">
        <v>1.032</v>
      </c>
      <c r="CD73" s="676"/>
      <c r="CF73" s="1039" t="s">
        <v>163</v>
      </c>
      <c r="CG73" s="414">
        <v>1</v>
      </c>
      <c r="CH73" s="18">
        <v>1</v>
      </c>
      <c r="CI73" s="414">
        <v>1</v>
      </c>
      <c r="CJ73" s="414">
        <v>1</v>
      </c>
      <c r="CK73" s="414">
        <v>1</v>
      </c>
      <c r="CL73" s="414">
        <v>1</v>
      </c>
      <c r="CM73" s="961">
        <v>1</v>
      </c>
      <c r="CN73" s="723">
        <v>1</v>
      </c>
      <c r="CO73" s="18">
        <v>1</v>
      </c>
      <c r="CP73" s="18">
        <v>1</v>
      </c>
      <c r="CQ73" s="392"/>
      <c r="CR73" s="22"/>
      <c r="CS73" s="1039" t="s">
        <v>163</v>
      </c>
      <c r="CT73" s="20">
        <v>11</v>
      </c>
      <c r="CU73" s="23">
        <v>11</v>
      </c>
      <c r="CV73" s="3975">
        <v>11</v>
      </c>
      <c r="CW73" s="3975">
        <v>11</v>
      </c>
      <c r="CX73" s="3975">
        <v>11</v>
      </c>
      <c r="CY73" s="3975">
        <v>11</v>
      </c>
      <c r="CZ73" s="3976">
        <v>10</v>
      </c>
      <c r="DA73" s="1001">
        <v>10</v>
      </c>
      <c r="DB73" s="20">
        <v>10</v>
      </c>
      <c r="DC73" s="20">
        <v>10</v>
      </c>
      <c r="DD73" s="392"/>
    </row>
    <row r="74" spans="1:114" s="3517" customFormat="1" ht="15" customHeight="1" outlineLevel="1">
      <c r="C74" s="3564"/>
      <c r="D74" s="3538" t="str">
        <f>C34</f>
        <v>800980_2024_12_</v>
      </c>
      <c r="E74" s="3538" t="str">
        <f>E34</f>
        <v xml:space="preserve">LED Lighting Redesign </v>
      </c>
      <c r="F74" s="3553">
        <v>33354.715686274511</v>
      </c>
      <c r="G74" s="3553">
        <v>12118.643137254903</v>
      </c>
      <c r="H74" s="3554">
        <v>3473.1176470588234</v>
      </c>
      <c r="I74" s="3555">
        <v>1.056</v>
      </c>
      <c r="J74" s="3555">
        <v>1.032</v>
      </c>
      <c r="K74" s="3539">
        <v>1</v>
      </c>
      <c r="L74" s="3541">
        <v>15</v>
      </c>
      <c r="M74" s="3542">
        <f t="shared" si="17"/>
        <v>0.93732108169668527</v>
      </c>
      <c r="N74" s="3528"/>
      <c r="O74" s="3528"/>
      <c r="P74" s="3528"/>
      <c r="Q74" s="3528"/>
      <c r="R74" s="3528"/>
      <c r="S74" s="3528"/>
      <c r="T74" s="3528"/>
      <c r="U74" s="3543"/>
      <c r="V74" s="3544" t="s">
        <v>164</v>
      </c>
      <c r="W74" s="3557"/>
      <c r="X74" s="3557"/>
      <c r="Y74" s="3558"/>
      <c r="Z74" s="3558"/>
      <c r="AA74" s="3558"/>
      <c r="AB74" s="3558"/>
      <c r="AC74" s="3374">
        <v>30881.184615384616</v>
      </c>
      <c r="AD74" s="2572">
        <v>17713.968965517241</v>
      </c>
      <c r="AE74" s="2529">
        <v>19372.01923076923</v>
      </c>
      <c r="AF74" s="2529">
        <v>33354.715686274511</v>
      </c>
      <c r="AG74" s="2555"/>
      <c r="AH74" s="3545"/>
      <c r="AI74" s="1841" t="s">
        <v>164</v>
      </c>
      <c r="AJ74" s="3557"/>
      <c r="AK74" s="3557"/>
      <c r="AL74" s="3558"/>
      <c r="AM74" s="3557"/>
      <c r="AN74" s="3557"/>
      <c r="AO74" s="3557"/>
      <c r="AP74" s="3374">
        <v>11889.092307692308</v>
      </c>
      <c r="AQ74" s="2572">
        <v>5964.5517241379312</v>
      </c>
      <c r="AR74" s="2529">
        <v>7973.5384615384619</v>
      </c>
      <c r="AS74" s="3374">
        <v>12118.643137254903</v>
      </c>
      <c r="AT74" s="2238"/>
      <c r="AU74" s="1841" t="s">
        <v>164</v>
      </c>
      <c r="AV74" s="3559"/>
      <c r="AW74" s="3560"/>
      <c r="AX74" s="3559"/>
      <c r="AY74" s="3559"/>
      <c r="AZ74" s="3559"/>
      <c r="BA74" s="3559"/>
      <c r="BB74" s="3546">
        <v>3946.0615384615385</v>
      </c>
      <c r="BC74" s="2809">
        <v>3803.844827586207</v>
      </c>
      <c r="BD74" s="2812">
        <v>3741.2115384615386</v>
      </c>
      <c r="BE74" s="2812">
        <v>3473.1176470588234</v>
      </c>
      <c r="BF74" s="2238"/>
      <c r="BG74" s="1841" t="s">
        <v>164</v>
      </c>
      <c r="BH74" s="3531"/>
      <c r="BI74" s="3561"/>
      <c r="BJ74" s="3562"/>
      <c r="BK74" s="3562"/>
      <c r="BL74" s="3562"/>
      <c r="BM74" s="3562"/>
      <c r="BN74" s="3374">
        <v>1.071</v>
      </c>
      <c r="BO74" s="2959">
        <v>1.056</v>
      </c>
      <c r="BP74" s="3556">
        <v>1.056</v>
      </c>
      <c r="BQ74" s="3556">
        <v>1.056</v>
      </c>
      <c r="BR74" s="2238"/>
      <c r="BS74" s="3548" t="s">
        <v>164</v>
      </c>
      <c r="BT74" s="3565"/>
      <c r="BU74" s="3531"/>
      <c r="BV74" s="3531"/>
      <c r="BW74" s="3531"/>
      <c r="BX74" s="3531"/>
      <c r="BY74" s="3531"/>
      <c r="BZ74" s="3531"/>
      <c r="CA74" s="2959">
        <v>1.032</v>
      </c>
      <c r="CB74" s="3556">
        <v>1.032</v>
      </c>
      <c r="CC74" s="3556">
        <v>1.032</v>
      </c>
      <c r="CD74" s="2724"/>
      <c r="CF74" s="3548" t="s">
        <v>164</v>
      </c>
      <c r="CG74" s="3531"/>
      <c r="CH74" s="3561"/>
      <c r="CI74" s="3562"/>
      <c r="CJ74" s="3562"/>
      <c r="CK74" s="3562"/>
      <c r="CL74" s="3562"/>
      <c r="CM74" s="3374">
        <v>1</v>
      </c>
      <c r="CN74" s="2553">
        <v>1</v>
      </c>
      <c r="CO74" s="2528">
        <v>1</v>
      </c>
      <c r="CP74" s="2528">
        <v>1</v>
      </c>
      <c r="CQ74" s="2555"/>
      <c r="CR74" s="2238"/>
      <c r="CS74" s="3548" t="s">
        <v>164</v>
      </c>
      <c r="CT74" s="3531"/>
      <c r="CU74" s="3561"/>
      <c r="CV74" s="3562"/>
      <c r="CW74" s="3562"/>
      <c r="CX74" s="3562"/>
      <c r="CY74" s="3562"/>
      <c r="CZ74" s="3549">
        <v>15</v>
      </c>
      <c r="DA74" s="3550">
        <v>15</v>
      </c>
      <c r="DB74" s="3506">
        <v>15</v>
      </c>
      <c r="DC74" s="3506">
        <v>15</v>
      </c>
      <c r="DD74" s="2555"/>
      <c r="DG74" s="3528"/>
      <c r="DH74" s="3551"/>
      <c r="DI74" s="3528"/>
      <c r="DJ74" s="3552"/>
    </row>
    <row r="75" spans="1:114" ht="18.75" customHeight="1">
      <c r="D75" s="479"/>
      <c r="G75" s="265"/>
      <c r="H75" s="473"/>
      <c r="V75" s="9"/>
    </row>
    <row r="76" spans="1:114" ht="18.75" customHeight="1">
      <c r="D76" s="479"/>
      <c r="G76" s="265"/>
      <c r="H76" s="473"/>
      <c r="V76" s="265"/>
      <c r="W76" s="9"/>
      <c r="CG76" s="2"/>
      <c r="CK76"/>
      <c r="CW76" s="2"/>
      <c r="DA76"/>
      <c r="DG76" s="265"/>
      <c r="DH76" s="809"/>
    </row>
    <row r="77" spans="1:114" s="3564" customFormat="1">
      <c r="A77" s="3517"/>
      <c r="B77" s="3992" t="s">
        <v>165</v>
      </c>
      <c r="C77" s="3993"/>
      <c r="D77" s="3993"/>
      <c r="E77" s="3993"/>
      <c r="F77" s="3993"/>
      <c r="G77" s="3993"/>
      <c r="H77" s="3993"/>
      <c r="I77" s="4816"/>
      <c r="J77" s="4816"/>
      <c r="K77" s="4816"/>
      <c r="L77" s="4816"/>
      <c r="M77" s="4817"/>
      <c r="N77" s="4817"/>
      <c r="O77" s="4818"/>
      <c r="V77" s="2203" t="str">
        <f>B77</f>
        <v>Lighting - Lighting Power Density (LPD)</v>
      </c>
      <c r="W77" s="2204"/>
      <c r="X77" s="2204"/>
      <c r="Y77" s="2204"/>
      <c r="Z77" s="2204"/>
      <c r="AA77" s="2204"/>
      <c r="AB77" s="2204"/>
      <c r="AC77" s="2204"/>
      <c r="AD77" s="2204"/>
      <c r="AE77" s="2204"/>
      <c r="AF77" s="2204"/>
      <c r="AG77" s="2204"/>
      <c r="AH77" s="2204"/>
      <c r="AI77" s="3474"/>
      <c r="AJ77" s="3517"/>
      <c r="AK77" s="3517"/>
      <c r="AL77" s="3517"/>
      <c r="AM77" s="3517"/>
      <c r="AN77" s="3517"/>
      <c r="AO77" s="3517"/>
      <c r="AP77" s="3517"/>
      <c r="AQ77" s="3517"/>
      <c r="AR77" s="3517"/>
      <c r="AS77" s="3517"/>
      <c r="AT77" s="3517"/>
      <c r="AU77" s="3517"/>
      <c r="CK77" s="2723"/>
      <c r="DE77" s="3517"/>
      <c r="DF77" s="3517"/>
      <c r="DG77" s="3566"/>
      <c r="DH77" s="2086"/>
      <c r="DI77" s="2086"/>
      <c r="DJ77" s="3567"/>
    </row>
    <row r="78" spans="1:114" s="3517" customFormat="1" ht="18.75" customHeight="1">
      <c r="B78" s="3528"/>
      <c r="C78" s="3564"/>
      <c r="D78" s="3568"/>
      <c r="E78" s="3528"/>
      <c r="F78" s="3528"/>
      <c r="G78" s="3528"/>
      <c r="H78" s="3569"/>
      <c r="I78" s="3528"/>
      <c r="J78" s="3528"/>
      <c r="K78" s="3528"/>
      <c r="L78" s="3528"/>
      <c r="M78" s="3528"/>
      <c r="N78" s="3528"/>
      <c r="O78" s="3528"/>
      <c r="P78" s="3528"/>
      <c r="Q78" s="3528"/>
      <c r="R78" s="3528"/>
      <c r="S78" s="3528"/>
      <c r="T78" s="3528"/>
      <c r="U78" s="3528"/>
      <c r="V78" s="3044"/>
      <c r="CG78" s="2237"/>
      <c r="CH78" s="2237"/>
      <c r="CI78" s="2237"/>
      <c r="CJ78" s="2237"/>
      <c r="CW78" s="2237"/>
      <c r="CX78" s="2237"/>
      <c r="CY78" s="2237"/>
      <c r="CZ78" s="2237"/>
      <c r="DG78" s="3551"/>
      <c r="DH78" s="3528"/>
      <c r="DI78" s="3528"/>
      <c r="DJ78" s="3552"/>
    </row>
    <row r="79" spans="1:114" s="3044" customFormat="1" ht="30">
      <c r="A79" s="3517"/>
      <c r="B79" s="2086"/>
      <c r="C79" s="3570" t="s">
        <v>42</v>
      </c>
      <c r="D79" s="2280" t="s">
        <v>43</v>
      </c>
      <c r="E79" s="2280" t="s">
        <v>44</v>
      </c>
      <c r="F79" s="2280" t="s">
        <v>45</v>
      </c>
      <c r="G79" s="2280" t="s">
        <v>46</v>
      </c>
      <c r="H79" s="3571" t="s">
        <v>47</v>
      </c>
      <c r="I79" s="2280" t="s">
        <v>48</v>
      </c>
      <c r="J79" s="2280" t="s">
        <v>49</v>
      </c>
      <c r="K79" s="3570" t="s">
        <v>50</v>
      </c>
      <c r="L79" s="3570" t="s">
        <v>51</v>
      </c>
      <c r="M79" s="3528"/>
      <c r="N79" s="3528"/>
      <c r="O79" s="3528"/>
      <c r="P79" s="2697"/>
      <c r="Q79" s="2697"/>
      <c r="R79" s="2697"/>
      <c r="S79" s="2697"/>
      <c r="T79" s="2697"/>
      <c r="U79" s="2697"/>
      <c r="V79" s="2640" t="s">
        <v>52</v>
      </c>
      <c r="W79" s="2641">
        <f>$W$8</f>
        <v>43252</v>
      </c>
      <c r="X79" s="2641">
        <f>$X$8</f>
        <v>43465</v>
      </c>
      <c r="Y79" s="2641">
        <f>$Y$8</f>
        <v>43800</v>
      </c>
      <c r="Z79" s="2641">
        <f>$Z$8</f>
        <v>43862</v>
      </c>
      <c r="AA79" s="2641">
        <f>$AA$8</f>
        <v>44013</v>
      </c>
      <c r="AB79" s="2641">
        <v>44166</v>
      </c>
      <c r="AC79" s="2641">
        <f>$AC$8</f>
        <v>44531</v>
      </c>
      <c r="AD79" s="2641">
        <f>$AD$8</f>
        <v>44774</v>
      </c>
      <c r="AE79" s="2641">
        <f>$AE$8</f>
        <v>45142</v>
      </c>
      <c r="AF79" s="2641">
        <f>$AF$8</f>
        <v>45672</v>
      </c>
      <c r="AG79" s="2641" t="str">
        <f>$AG$8</f>
        <v>-</v>
      </c>
      <c r="AI79" s="2640" t="s">
        <v>52</v>
      </c>
      <c r="AJ79" s="2641">
        <f t="shared" ref="AJ79:AS79" si="19">W79</f>
        <v>43252</v>
      </c>
      <c r="AK79" s="2641">
        <f t="shared" si="19"/>
        <v>43465</v>
      </c>
      <c r="AL79" s="2641">
        <f t="shared" si="19"/>
        <v>43800</v>
      </c>
      <c r="AM79" s="2641">
        <f t="shared" si="19"/>
        <v>43862</v>
      </c>
      <c r="AN79" s="2641">
        <f t="shared" si="19"/>
        <v>44013</v>
      </c>
      <c r="AO79" s="2641">
        <f t="shared" si="19"/>
        <v>44166</v>
      </c>
      <c r="AP79" s="2641">
        <f t="shared" si="19"/>
        <v>44531</v>
      </c>
      <c r="AQ79" s="2641">
        <f t="shared" si="19"/>
        <v>44774</v>
      </c>
      <c r="AR79" s="2641">
        <f t="shared" si="19"/>
        <v>45142</v>
      </c>
      <c r="AS79" s="2641">
        <f t="shared" si="19"/>
        <v>45672</v>
      </c>
      <c r="AT79" s="3517"/>
      <c r="AU79" s="2640" t="s">
        <v>52</v>
      </c>
      <c r="AV79" s="2641">
        <f>W79</f>
        <v>43252</v>
      </c>
      <c r="AW79" s="2641">
        <f>X79</f>
        <v>43465</v>
      </c>
      <c r="AX79" s="2641">
        <f>Y79</f>
        <v>43800</v>
      </c>
      <c r="AY79" s="2641">
        <f>Z79</f>
        <v>43862</v>
      </c>
      <c r="AZ79" s="2641">
        <f>AA79</f>
        <v>44013</v>
      </c>
      <c r="BA79" s="2641">
        <v>44166</v>
      </c>
      <c r="BB79" s="2641">
        <f>AC79</f>
        <v>44531</v>
      </c>
      <c r="BC79" s="2641">
        <f>AD79</f>
        <v>44774</v>
      </c>
      <c r="BD79" s="2641">
        <f>AE79</f>
        <v>45142</v>
      </c>
      <c r="BE79" s="2641">
        <f>AF79</f>
        <v>45672</v>
      </c>
      <c r="DE79" s="3517"/>
      <c r="DF79" s="3517"/>
      <c r="DG79" s="2749" t="str">
        <f>$DG$8</f>
        <v>TRC (2025)</v>
      </c>
      <c r="DH79" s="2750" t="str">
        <f>$DH$8</f>
        <v>Benefit Lookup</v>
      </c>
      <c r="DI79" s="2750" t="str">
        <f>$DI$8</f>
        <v>Benefits (2025 $)</v>
      </c>
      <c r="DJ79" s="3572" t="str">
        <f>$DJ$8</f>
        <v>Incremental Cost (2025 $)</v>
      </c>
    </row>
    <row r="80" spans="1:114" s="3517" customFormat="1">
      <c r="B80" s="2208">
        <f t="shared" ref="B80" si="20">VALUE(LEFT(C80,6))</f>
        <v>800990</v>
      </c>
      <c r="C80" s="3573" t="s">
        <v>166</v>
      </c>
      <c r="D80" s="3509" t="str">
        <f>D9</f>
        <v>BSS/MFIE</v>
      </c>
      <c r="E80" s="3574" t="s">
        <v>167</v>
      </c>
      <c r="F80" s="3510">
        <f>ROUND((G92-H92)/1000*F92*I92*J92,2)</f>
        <v>0.67</v>
      </c>
      <c r="G80" s="3503" t="s">
        <v>61</v>
      </c>
      <c r="H80" s="3504">
        <v>1.899635E-4</v>
      </c>
      <c r="I80" s="3575">
        <f>ROUND(H80*F80*K92,6)</f>
        <v>1.3100000000000001E-4</v>
      </c>
      <c r="J80" s="3506">
        <v>15</v>
      </c>
      <c r="K80" s="3576">
        <v>0.22</v>
      </c>
      <c r="L80" s="3577" t="s">
        <v>168</v>
      </c>
      <c r="M80" s="3528"/>
      <c r="N80" s="3528"/>
      <c r="O80" s="3528"/>
      <c r="P80" s="3578"/>
      <c r="Q80" s="3579"/>
      <c r="R80" s="3580"/>
      <c r="S80" s="3580"/>
      <c r="T80" s="3581"/>
      <c r="U80" s="3528"/>
      <c r="V80" s="2460" t="s">
        <v>45</v>
      </c>
      <c r="W80" s="3557"/>
      <c r="X80" s="3557"/>
      <c r="Y80" s="3558"/>
      <c r="Z80" s="3558"/>
      <c r="AA80" s="3558"/>
      <c r="AB80" s="3558"/>
      <c r="AC80" s="3582">
        <v>0.71778419999999976</v>
      </c>
      <c r="AD80" s="3583">
        <v>0.70799999999999996</v>
      </c>
      <c r="AE80" s="3583">
        <v>0.70799999999999996</v>
      </c>
      <c r="AF80" s="2236">
        <f>IF(F80&lt;&gt;"",F80,"")</f>
        <v>0.67</v>
      </c>
      <c r="AG80" s="2413"/>
      <c r="AI80" s="2460" t="s">
        <v>49</v>
      </c>
      <c r="AJ80" s="3531"/>
      <c r="AK80" s="3531"/>
      <c r="AL80" s="3531"/>
      <c r="AM80" s="3584"/>
      <c r="AN80" s="3585"/>
      <c r="AO80" s="3586"/>
      <c r="AP80" s="3519">
        <v>15</v>
      </c>
      <c r="AQ80" s="3518">
        <v>15</v>
      </c>
      <c r="AR80" s="3518">
        <v>15</v>
      </c>
      <c r="AS80" s="3518">
        <v>15</v>
      </c>
      <c r="AU80" s="2460" t="s">
        <v>50</v>
      </c>
      <c r="AV80" s="3587"/>
      <c r="AW80" s="3588"/>
      <c r="AX80" s="3587"/>
      <c r="AY80" s="3587"/>
      <c r="AZ80" s="3587"/>
      <c r="BA80" s="3587"/>
      <c r="BB80" s="3589">
        <v>0.22</v>
      </c>
      <c r="BC80" s="3523">
        <v>0.22</v>
      </c>
      <c r="BD80" s="3523">
        <v>0.22</v>
      </c>
      <c r="BE80" s="3523">
        <v>0.22</v>
      </c>
      <c r="CG80" s="2237"/>
      <c r="CH80" s="2237"/>
      <c r="CI80" s="2237"/>
      <c r="CJ80" s="2237"/>
      <c r="CW80" s="2237"/>
      <c r="CX80" s="2237"/>
      <c r="CY80" s="2237"/>
      <c r="CZ80" s="2237"/>
      <c r="DG80" s="2501">
        <f>(DI80)/(DJ80)</f>
        <v>2.3411746088003871</v>
      </c>
      <c r="DH80" s="2419" t="str">
        <f>CONCATENATE(G80," ",J80," Year EUL")</f>
        <v>Lighting BUS 15 Year EUL</v>
      </c>
      <c r="DI80" s="3590">
        <f>(INDEX('Avoided Cost Benefits'!$B$4:$B$865,MATCH(DH80,'Avoided Cost Benefits'!$A$4:$A$865,0)))*F80</f>
        <v>0.5150584139360852</v>
      </c>
      <c r="DJ80" s="3591">
        <f>K80/(1.0686^(2025-2025))</f>
        <v>0.22</v>
      </c>
    </row>
    <row r="81" spans="1:114" s="3517" customFormat="1" ht="15" customHeight="1" outlineLevel="1">
      <c r="B81" s="2109"/>
      <c r="C81" s="2110"/>
      <c r="D81" s="2219" t="s">
        <v>118</v>
      </c>
      <c r="E81" s="2993" t="s">
        <v>169</v>
      </c>
      <c r="F81" s="2110"/>
      <c r="G81" s="2110"/>
      <c r="H81" s="2113"/>
      <c r="I81" s="2110"/>
      <c r="J81" s="2110"/>
      <c r="K81" s="2110"/>
      <c r="L81" s="2109"/>
      <c r="M81" s="2109"/>
      <c r="N81" s="2109"/>
      <c r="O81" s="2109"/>
      <c r="P81" s="3528"/>
      <c r="Q81" s="3528"/>
      <c r="R81" s="3528"/>
      <c r="S81" s="3528"/>
      <c r="T81" s="3528"/>
      <c r="U81" s="3528"/>
      <c r="CG81" s="2237"/>
      <c r="CH81" s="2237"/>
      <c r="CI81" s="2237"/>
      <c r="CJ81" s="2237"/>
      <c r="CW81" s="2237"/>
      <c r="CX81" s="2237"/>
      <c r="CY81" s="2237"/>
      <c r="CZ81" s="2237"/>
      <c r="DG81" s="3551"/>
      <c r="DH81" s="3528"/>
      <c r="DI81" s="3528"/>
      <c r="DJ81" s="3552"/>
    </row>
    <row r="82" spans="1:114" s="3517" customFormat="1" ht="15" customHeight="1" outlineLevel="1">
      <c r="B82" s="2109"/>
      <c r="C82" s="2110"/>
      <c r="D82" s="2110" t="s">
        <v>120</v>
      </c>
      <c r="E82" s="2110"/>
      <c r="F82" s="2110"/>
      <c r="G82" s="2110"/>
      <c r="H82" s="2113"/>
      <c r="I82" s="2110"/>
      <c r="J82" s="2110"/>
      <c r="K82" s="2110"/>
      <c r="L82" s="2109"/>
      <c r="M82" s="2109"/>
      <c r="N82" s="2109"/>
      <c r="O82" s="2109"/>
      <c r="P82" s="3528"/>
      <c r="Q82" s="3528"/>
      <c r="R82" s="3528"/>
      <c r="S82" s="3528"/>
      <c r="T82" s="3528"/>
      <c r="U82" s="3528"/>
      <c r="CG82" s="2237"/>
      <c r="CH82" s="2237"/>
      <c r="CI82" s="2237"/>
      <c r="CJ82" s="2237"/>
      <c r="CW82" s="2237"/>
      <c r="CX82" s="2237"/>
      <c r="CY82" s="2237"/>
      <c r="CZ82" s="2237"/>
      <c r="DG82" s="3551"/>
      <c r="DH82" s="3528"/>
      <c r="DI82" s="3528"/>
      <c r="DJ82" s="3552"/>
    </row>
    <row r="83" spans="1:114" s="3517" customFormat="1" ht="15" customHeight="1" outlineLevel="1">
      <c r="B83" s="2109"/>
      <c r="C83" s="2110"/>
      <c r="D83" s="2114"/>
      <c r="E83" s="2109"/>
      <c r="F83" s="2109"/>
      <c r="G83" s="2109"/>
      <c r="H83" s="2111"/>
      <c r="I83" s="2109"/>
      <c r="J83" s="2109"/>
      <c r="K83" s="2109"/>
      <c r="L83" s="2109"/>
      <c r="M83" s="2110"/>
      <c r="N83" s="2109"/>
      <c r="O83" s="2109"/>
      <c r="P83" s="3528"/>
      <c r="Q83" s="3528"/>
      <c r="R83" s="3528"/>
      <c r="S83" s="3528"/>
      <c r="T83" s="3528"/>
      <c r="U83" s="3528"/>
      <c r="CG83" s="2237"/>
      <c r="CH83" s="2237"/>
      <c r="CI83" s="2237"/>
      <c r="CJ83" s="2237"/>
      <c r="CW83" s="2237"/>
      <c r="CX83" s="2237"/>
      <c r="CY83" s="2237"/>
      <c r="CZ83" s="2237"/>
      <c r="DG83" s="3551"/>
      <c r="DH83" s="3528"/>
      <c r="DI83" s="3528"/>
      <c r="DJ83" s="3552"/>
    </row>
    <row r="84" spans="1:114" s="3517" customFormat="1" ht="15" customHeight="1" outlineLevel="1">
      <c r="B84" s="2109"/>
      <c r="C84" s="2110"/>
      <c r="D84" s="2114"/>
      <c r="E84" s="2109"/>
      <c r="F84" s="2109"/>
      <c r="G84" s="2109"/>
      <c r="H84" s="2111"/>
      <c r="I84" s="2109"/>
      <c r="J84" s="2109"/>
      <c r="K84" s="2109"/>
      <c r="L84" s="2109"/>
      <c r="M84" s="2110"/>
      <c r="N84" s="2109"/>
      <c r="O84" s="2109"/>
      <c r="P84" s="3528"/>
      <c r="Q84" s="3528"/>
      <c r="R84" s="3528"/>
      <c r="S84" s="3528"/>
      <c r="T84" s="3528"/>
      <c r="U84" s="3528"/>
      <c r="CG84" s="2237"/>
      <c r="CH84" s="2237"/>
      <c r="CI84" s="2237"/>
      <c r="CJ84" s="2237"/>
      <c r="CW84" s="2237"/>
      <c r="CX84" s="2237"/>
      <c r="CY84" s="2237"/>
      <c r="CZ84" s="2237"/>
      <c r="DG84" s="3551"/>
      <c r="DH84" s="3528"/>
      <c r="DI84" s="3528"/>
      <c r="DJ84" s="3552"/>
    </row>
    <row r="85" spans="1:114" s="3517" customFormat="1" ht="15" customHeight="1" outlineLevel="1">
      <c r="B85" s="2109"/>
      <c r="C85" s="2110"/>
      <c r="D85" s="2114"/>
      <c r="E85" s="2109"/>
      <c r="F85" s="2109"/>
      <c r="G85" s="2109"/>
      <c r="H85" s="2111"/>
      <c r="I85" s="2109"/>
      <c r="J85" s="2109"/>
      <c r="K85" s="2109"/>
      <c r="L85" s="2109"/>
      <c r="M85" s="2110"/>
      <c r="N85" s="2109"/>
      <c r="O85" s="2109"/>
      <c r="P85" s="3528"/>
      <c r="Q85" s="3528"/>
      <c r="R85" s="3528"/>
      <c r="S85" s="3528"/>
      <c r="T85" s="3528"/>
      <c r="U85" s="3528"/>
      <c r="CG85" s="2237"/>
      <c r="CH85" s="2237"/>
      <c r="CI85" s="2237"/>
      <c r="CJ85" s="2237"/>
      <c r="CW85" s="2237"/>
      <c r="CX85" s="2237"/>
      <c r="CY85" s="2237"/>
      <c r="CZ85" s="2237"/>
      <c r="DG85" s="3551"/>
      <c r="DH85" s="3528"/>
      <c r="DI85" s="3528"/>
      <c r="DJ85" s="3552"/>
    </row>
    <row r="86" spans="1:114" s="3517" customFormat="1" ht="15" customHeight="1" outlineLevel="1">
      <c r="B86" s="2109"/>
      <c r="C86" s="2110"/>
      <c r="D86" s="2114"/>
      <c r="E86" s="2109"/>
      <c r="F86" s="2109"/>
      <c r="G86" s="2109"/>
      <c r="H86" s="2111"/>
      <c r="I86" s="2109"/>
      <c r="J86" s="2109"/>
      <c r="K86" s="2109"/>
      <c r="L86" s="2109"/>
      <c r="M86" s="2110"/>
      <c r="N86" s="2109"/>
      <c r="O86" s="2109"/>
      <c r="P86" s="3528"/>
      <c r="Q86" s="3528"/>
      <c r="R86" s="3528"/>
      <c r="S86" s="3528"/>
      <c r="T86" s="3528"/>
      <c r="U86" s="3528"/>
      <c r="CG86" s="2237"/>
      <c r="CH86" s="2237"/>
      <c r="CI86" s="2237"/>
      <c r="CJ86" s="2237"/>
      <c r="CW86" s="2237"/>
      <c r="CX86" s="2237"/>
      <c r="CY86" s="2237"/>
      <c r="CZ86" s="2237"/>
      <c r="DG86" s="3551"/>
      <c r="DH86" s="3528"/>
      <c r="DI86" s="3528"/>
      <c r="DJ86" s="3552"/>
    </row>
    <row r="87" spans="1:114" s="3517" customFormat="1" ht="15" customHeight="1" outlineLevel="1">
      <c r="B87" s="2109"/>
      <c r="C87" s="2110"/>
      <c r="D87" s="2114"/>
      <c r="E87" s="2109"/>
      <c r="F87" s="2109"/>
      <c r="G87" s="2109"/>
      <c r="H87" s="2111"/>
      <c r="I87" s="2109"/>
      <c r="J87" s="2109"/>
      <c r="K87" s="2109"/>
      <c r="L87" s="2109"/>
      <c r="M87" s="2110"/>
      <c r="N87" s="2109"/>
      <c r="O87" s="2109"/>
      <c r="P87" s="3528"/>
      <c r="Q87" s="3528"/>
      <c r="R87" s="3528"/>
      <c r="S87" s="3528"/>
      <c r="T87" s="3528"/>
      <c r="U87" s="3528"/>
      <c r="CG87" s="2237"/>
      <c r="CH87" s="2237"/>
      <c r="CI87" s="2237"/>
      <c r="CJ87" s="2237"/>
      <c r="CW87" s="2237"/>
      <c r="CX87" s="2237"/>
      <c r="CY87" s="2237"/>
      <c r="CZ87" s="2237"/>
      <c r="DG87" s="3551"/>
      <c r="DH87" s="3528"/>
      <c r="DI87" s="3528"/>
      <c r="DJ87" s="3552"/>
    </row>
    <row r="88" spans="1:114" s="3517" customFormat="1" ht="15" customHeight="1" outlineLevel="1">
      <c r="B88" s="2109"/>
      <c r="C88" s="2110"/>
      <c r="D88" s="2114"/>
      <c r="E88" s="2109"/>
      <c r="F88" s="2109"/>
      <c r="G88" s="2109"/>
      <c r="H88" s="2111"/>
      <c r="I88" s="2109"/>
      <c r="J88" s="2109"/>
      <c r="K88" s="2109"/>
      <c r="L88" s="2109"/>
      <c r="M88" s="2110"/>
      <c r="N88" s="2109"/>
      <c r="O88" s="2109"/>
      <c r="P88" s="3528"/>
      <c r="Q88" s="3528"/>
      <c r="R88" s="3528"/>
      <c r="S88" s="3528"/>
      <c r="T88" s="3528"/>
      <c r="U88" s="3528"/>
      <c r="CG88" s="2237"/>
      <c r="CH88" s="2237"/>
      <c r="CI88" s="2237"/>
      <c r="CJ88" s="2237"/>
      <c r="CW88" s="2237"/>
      <c r="CX88" s="2237"/>
      <c r="CY88" s="2237"/>
      <c r="CZ88" s="2237"/>
      <c r="DG88" s="3551"/>
      <c r="DH88" s="3528"/>
      <c r="DI88" s="3528"/>
      <c r="DJ88" s="3552"/>
    </row>
    <row r="89" spans="1:114" s="3517" customFormat="1" ht="15" customHeight="1" outlineLevel="1">
      <c r="B89" s="2109"/>
      <c r="C89" s="2110"/>
      <c r="D89" s="2114"/>
      <c r="E89" s="2109"/>
      <c r="F89" s="2109"/>
      <c r="G89" s="2109"/>
      <c r="H89" s="2111"/>
      <c r="I89" s="2109"/>
      <c r="J89" s="2109"/>
      <c r="K89" s="2109"/>
      <c r="L89" s="2109"/>
      <c r="M89" s="2110"/>
      <c r="N89" s="2109"/>
      <c r="O89" s="2109"/>
      <c r="P89" s="3528"/>
      <c r="Q89" s="3528"/>
      <c r="R89" s="3528"/>
      <c r="S89" s="3528"/>
      <c r="T89" s="3528"/>
      <c r="U89" s="3528"/>
      <c r="CG89" s="2237"/>
      <c r="CH89" s="2237"/>
      <c r="CI89" s="2237"/>
      <c r="CJ89" s="2237"/>
      <c r="CW89" s="2237"/>
      <c r="CX89" s="2237"/>
      <c r="CY89" s="2237"/>
      <c r="CZ89" s="2237"/>
      <c r="DG89" s="3551"/>
      <c r="DH89" s="3528"/>
      <c r="DI89" s="3528"/>
      <c r="DJ89" s="3552"/>
    </row>
    <row r="90" spans="1:114" s="3517" customFormat="1" ht="15" customHeight="1" outlineLevel="1">
      <c r="B90" s="2109"/>
      <c r="C90" s="2110"/>
      <c r="D90" s="2114"/>
      <c r="E90" s="2109"/>
      <c r="F90" s="2109"/>
      <c r="G90" s="2109"/>
      <c r="H90" s="2111"/>
      <c r="I90" s="2109"/>
      <c r="J90" s="2109"/>
      <c r="K90" s="2109"/>
      <c r="L90" s="2109"/>
      <c r="M90" s="2109"/>
      <c r="N90" s="2109"/>
      <c r="O90" s="2109"/>
      <c r="P90" s="3528"/>
      <c r="Q90" s="3528"/>
      <c r="R90" s="3528"/>
      <c r="S90" s="3528"/>
      <c r="T90" s="3528"/>
      <c r="U90" s="3528"/>
      <c r="V90" s="3592" t="s">
        <v>52</v>
      </c>
      <c r="W90" s="2641">
        <f>$W$8</f>
        <v>43252</v>
      </c>
      <c r="X90" s="2641">
        <f>$X$8</f>
        <v>43465</v>
      </c>
      <c r="Y90" s="2641">
        <f>$Y$8</f>
        <v>43800</v>
      </c>
      <c r="Z90" s="2641">
        <f>$Z$8</f>
        <v>43862</v>
      </c>
      <c r="AA90" s="2641">
        <f>$AA$8</f>
        <v>44013</v>
      </c>
      <c r="AB90" s="2641">
        <v>44166</v>
      </c>
      <c r="AC90" s="2641">
        <f>$AC$8</f>
        <v>44531</v>
      </c>
      <c r="AD90" s="2641">
        <f>$AD$8</f>
        <v>44774</v>
      </c>
      <c r="AE90" s="2641">
        <f>$AE$8</f>
        <v>45142</v>
      </c>
      <c r="AF90" s="2641">
        <f>$AF$8</f>
        <v>45672</v>
      </c>
      <c r="AG90" s="2641" t="str">
        <f>$AG$8</f>
        <v>-</v>
      </c>
      <c r="AI90" s="3592" t="s">
        <v>52</v>
      </c>
      <c r="AJ90" s="2641">
        <f t="shared" ref="AJ90:AS90" si="21">W90</f>
        <v>43252</v>
      </c>
      <c r="AK90" s="2641">
        <f t="shared" si="21"/>
        <v>43465</v>
      </c>
      <c r="AL90" s="2641">
        <f t="shared" si="21"/>
        <v>43800</v>
      </c>
      <c r="AM90" s="2641">
        <f t="shared" si="21"/>
        <v>43862</v>
      </c>
      <c r="AN90" s="2641">
        <f t="shared" si="21"/>
        <v>44013</v>
      </c>
      <c r="AO90" s="2641">
        <f t="shared" si="21"/>
        <v>44166</v>
      </c>
      <c r="AP90" s="2641">
        <f t="shared" si="21"/>
        <v>44531</v>
      </c>
      <c r="AQ90" s="2641">
        <f t="shared" si="21"/>
        <v>44774</v>
      </c>
      <c r="AR90" s="2641">
        <f t="shared" si="21"/>
        <v>45142</v>
      </c>
      <c r="AS90" s="2641">
        <f t="shared" si="21"/>
        <v>45672</v>
      </c>
      <c r="AU90" s="3592" t="s">
        <v>52</v>
      </c>
      <c r="AV90" s="2641">
        <f>W90</f>
        <v>43252</v>
      </c>
      <c r="AW90" s="2641">
        <f>X90</f>
        <v>43465</v>
      </c>
      <c r="AX90" s="2641">
        <f>Y90</f>
        <v>43800</v>
      </c>
      <c r="AY90" s="2641">
        <f>Z90</f>
        <v>43862</v>
      </c>
      <c r="AZ90" s="2641">
        <f>AA90</f>
        <v>44013</v>
      </c>
      <c r="BA90" s="2641">
        <v>44166</v>
      </c>
      <c r="BB90" s="2641">
        <f>AC90</f>
        <v>44531</v>
      </c>
      <c r="BC90" s="2641">
        <f>AD90</f>
        <v>44774</v>
      </c>
      <c r="BD90" s="2641">
        <f>AE90</f>
        <v>45142</v>
      </c>
      <c r="BE90" s="2641">
        <f>AF90</f>
        <v>45672</v>
      </c>
      <c r="BG90" s="3592" t="s">
        <v>52</v>
      </c>
      <c r="BH90" s="2641">
        <f>$W$8</f>
        <v>43252</v>
      </c>
      <c r="BI90" s="2641">
        <f>$X$8</f>
        <v>43465</v>
      </c>
      <c r="BJ90" s="2641">
        <f>$Y$8</f>
        <v>43800</v>
      </c>
      <c r="BK90" s="2641">
        <f>$Z$8</f>
        <v>43862</v>
      </c>
      <c r="BL90" s="2641">
        <f>$AA$8</f>
        <v>44013</v>
      </c>
      <c r="BM90" s="2641">
        <v>44166</v>
      </c>
      <c r="BN90" s="2641">
        <f>$AC$8</f>
        <v>44531</v>
      </c>
      <c r="BO90" s="2641">
        <f>$AD$8</f>
        <v>44774</v>
      </c>
      <c r="BP90" s="2641">
        <f>$AE$8</f>
        <v>45142</v>
      </c>
      <c r="BQ90" s="2641">
        <f>$AF$8</f>
        <v>45672</v>
      </c>
      <c r="BS90" s="2231" t="s">
        <v>52</v>
      </c>
      <c r="BT90" s="2232">
        <f>$W$8</f>
        <v>43252</v>
      </c>
      <c r="BU90" s="2232">
        <f>$X$8</f>
        <v>43465</v>
      </c>
      <c r="BV90" s="2232">
        <f>$Y$8</f>
        <v>43800</v>
      </c>
      <c r="BW90" s="2232">
        <f>$Z$8</f>
        <v>43862</v>
      </c>
      <c r="BX90" s="2232">
        <f>$AA$8</f>
        <v>44013</v>
      </c>
      <c r="BY90" s="2232">
        <v>44166</v>
      </c>
      <c r="BZ90" s="2232">
        <f>$AC$8</f>
        <v>44531</v>
      </c>
      <c r="CA90" s="2232">
        <f>$AD$8</f>
        <v>44774</v>
      </c>
      <c r="CB90" s="2232">
        <f>$AE$8</f>
        <v>45142</v>
      </c>
      <c r="CC90" s="2232">
        <f>$AF$8</f>
        <v>45672</v>
      </c>
      <c r="CD90" s="2232" t="str">
        <f>$AG$8</f>
        <v>-</v>
      </c>
      <c r="CH90" s="2237"/>
      <c r="CI90" s="2237"/>
      <c r="CJ90" s="2237"/>
      <c r="CK90" s="2237"/>
      <c r="CX90" s="2237"/>
      <c r="CY90" s="2237"/>
      <c r="CZ90" s="2237"/>
      <c r="DA90" s="2237"/>
      <c r="DG90" s="3528"/>
      <c r="DH90" s="3551"/>
      <c r="DI90" s="3528"/>
      <c r="DJ90" s="3552"/>
    </row>
    <row r="91" spans="1:114" s="3044" customFormat="1" ht="30" customHeight="1" outlineLevel="1">
      <c r="A91" s="3517"/>
      <c r="B91" s="2115"/>
      <c r="C91" s="2112"/>
      <c r="D91" s="3570" t="s">
        <v>42</v>
      </c>
      <c r="E91" s="2280" t="s">
        <v>122</v>
      </c>
      <c r="F91" s="2280" t="s">
        <v>170</v>
      </c>
      <c r="G91" s="2280" t="s">
        <v>171</v>
      </c>
      <c r="H91" s="3571" t="s">
        <v>172</v>
      </c>
      <c r="I91" s="3593" t="s">
        <v>173</v>
      </c>
      <c r="J91" s="3593" t="s">
        <v>126</v>
      </c>
      <c r="K91" s="3593" t="s">
        <v>127</v>
      </c>
      <c r="L91" s="2112"/>
      <c r="M91" s="2115"/>
      <c r="N91" s="2115"/>
      <c r="O91" s="2115"/>
      <c r="P91" s="2697"/>
      <c r="Q91" s="2697"/>
      <c r="R91" s="2697"/>
      <c r="S91" s="2697"/>
      <c r="T91" s="2697"/>
      <c r="U91" s="2697"/>
      <c r="V91" s="3592" t="s">
        <v>42</v>
      </c>
      <c r="W91" s="3594" t="s">
        <v>174</v>
      </c>
      <c r="X91" s="3063" t="s">
        <v>174</v>
      </c>
      <c r="Y91" s="3063" t="s">
        <v>174</v>
      </c>
      <c r="Z91" s="3063" t="s">
        <v>174</v>
      </c>
      <c r="AA91" s="3063" t="s">
        <v>174</v>
      </c>
      <c r="AB91" s="3063" t="s">
        <v>174</v>
      </c>
      <c r="AC91" s="3063" t="s">
        <v>174</v>
      </c>
      <c r="AD91" s="3063" t="s">
        <v>174</v>
      </c>
      <c r="AE91" s="3063" t="s">
        <v>174</v>
      </c>
      <c r="AF91" s="3063" t="s">
        <v>174</v>
      </c>
      <c r="AG91" s="3063" t="s">
        <v>174</v>
      </c>
      <c r="AI91" s="3592" t="s">
        <v>42</v>
      </c>
      <c r="AJ91" s="3063" t="s">
        <v>175</v>
      </c>
      <c r="AK91" s="3063" t="s">
        <v>175</v>
      </c>
      <c r="AL91" s="3063" t="s">
        <v>175</v>
      </c>
      <c r="AM91" s="3063" t="s">
        <v>175</v>
      </c>
      <c r="AN91" s="3063" t="s">
        <v>175</v>
      </c>
      <c r="AO91" s="3063" t="s">
        <v>175</v>
      </c>
      <c r="AP91" s="3063" t="s">
        <v>175</v>
      </c>
      <c r="AQ91" s="3063" t="s">
        <v>175</v>
      </c>
      <c r="AR91" s="3063" t="s">
        <v>175</v>
      </c>
      <c r="AS91" s="3063" t="s">
        <v>175</v>
      </c>
      <c r="AU91" s="3592" t="s">
        <v>42</v>
      </c>
      <c r="AV91" s="3063" t="str">
        <f t="shared" ref="AV91:BE91" si="22">$G$114</f>
        <v>Hours</v>
      </c>
      <c r="AW91" s="3063" t="str">
        <f t="shared" si="22"/>
        <v>Hours</v>
      </c>
      <c r="AX91" s="3063" t="str">
        <f t="shared" si="22"/>
        <v>Hours</v>
      </c>
      <c r="AY91" s="3063" t="str">
        <f t="shared" si="22"/>
        <v>Hours</v>
      </c>
      <c r="AZ91" s="3063" t="str">
        <f t="shared" si="22"/>
        <v>Hours</v>
      </c>
      <c r="BA91" s="3063" t="str">
        <f t="shared" si="22"/>
        <v>Hours</v>
      </c>
      <c r="BB91" s="3063" t="str">
        <f t="shared" si="22"/>
        <v>Hours</v>
      </c>
      <c r="BC91" s="3063" t="str">
        <f t="shared" si="22"/>
        <v>Hours</v>
      </c>
      <c r="BD91" s="3063" t="str">
        <f t="shared" si="22"/>
        <v>Hours</v>
      </c>
      <c r="BE91" s="3063" t="str">
        <f t="shared" si="22"/>
        <v>Hours</v>
      </c>
      <c r="BG91" s="3592" t="s">
        <v>42</v>
      </c>
      <c r="BH91" s="3595" t="str">
        <f>$I$114</f>
        <v>WHFe + -IFkWh</v>
      </c>
      <c r="BI91" s="3595" t="str">
        <f t="shared" ref="BI91:BQ91" si="23">$I$114</f>
        <v>WHFe + -IFkWh</v>
      </c>
      <c r="BJ91" s="3595" t="str">
        <f t="shared" si="23"/>
        <v>WHFe + -IFkWh</v>
      </c>
      <c r="BK91" s="3595" t="str">
        <f t="shared" si="23"/>
        <v>WHFe + -IFkWh</v>
      </c>
      <c r="BL91" s="3595" t="str">
        <f t="shared" si="23"/>
        <v>WHFe + -IFkWh</v>
      </c>
      <c r="BM91" s="3595" t="s">
        <v>126</v>
      </c>
      <c r="BN91" s="3595" t="str">
        <f t="shared" si="23"/>
        <v>WHFe + -IFkWh</v>
      </c>
      <c r="BO91" s="3595" t="str">
        <f t="shared" si="23"/>
        <v>WHFe + -IFkWh</v>
      </c>
      <c r="BP91" s="3595" t="str">
        <f t="shared" si="23"/>
        <v>WHFe + -IFkWh</v>
      </c>
      <c r="BQ91" s="3595" t="str">
        <f t="shared" si="23"/>
        <v>WHFe + -IFkWh</v>
      </c>
      <c r="BR91" s="3517"/>
      <c r="BS91" s="3596" t="s">
        <v>42</v>
      </c>
      <c r="BT91" s="3596" t="s">
        <v>127</v>
      </c>
      <c r="BU91" s="3596" t="s">
        <v>127</v>
      </c>
      <c r="BV91" s="3596" t="s">
        <v>127</v>
      </c>
      <c r="BW91" s="3596" t="s">
        <v>127</v>
      </c>
      <c r="BX91" s="3596" t="s">
        <v>127</v>
      </c>
      <c r="BY91" s="3596" t="s">
        <v>127</v>
      </c>
      <c r="BZ91" s="3596" t="s">
        <v>127</v>
      </c>
      <c r="CA91" s="3596" t="s">
        <v>127</v>
      </c>
      <c r="CB91" s="3596" t="s">
        <v>127</v>
      </c>
      <c r="CC91" s="3596" t="s">
        <v>127</v>
      </c>
      <c r="CD91" s="3596" t="s">
        <v>127</v>
      </c>
      <c r="CF91" s="3517"/>
      <c r="DE91" s="3517"/>
      <c r="DF91" s="3517"/>
      <c r="DG91" s="2697"/>
      <c r="DH91" s="3597"/>
      <c r="DI91" s="2697"/>
      <c r="DJ91" s="3552"/>
    </row>
    <row r="92" spans="1:114" s="3044" customFormat="1" ht="15" customHeight="1" outlineLevel="1">
      <c r="A92" s="3517"/>
      <c r="B92" s="2115"/>
      <c r="C92" s="2112"/>
      <c r="D92" s="3598" t="str">
        <f>C80</f>
        <v>800990_2024_12_</v>
      </c>
      <c r="E92" s="3599" t="str">
        <f>E80</f>
        <v>Lighting Power Density</v>
      </c>
      <c r="F92" s="3600">
        <v>1</v>
      </c>
      <c r="G92" s="3601">
        <v>0.79</v>
      </c>
      <c r="H92" s="3601">
        <v>0.62</v>
      </c>
      <c r="I92" s="3602">
        <v>3724</v>
      </c>
      <c r="J92" s="3555">
        <v>1.056</v>
      </c>
      <c r="K92" s="3555">
        <v>1.032</v>
      </c>
      <c r="L92" s="2112"/>
      <c r="M92" s="2115"/>
      <c r="N92" s="2115"/>
      <c r="O92" s="2115"/>
      <c r="P92" s="2697"/>
      <c r="Q92" s="2697"/>
      <c r="R92" s="2697"/>
      <c r="S92" s="2697"/>
      <c r="T92" s="2697"/>
      <c r="U92" s="2697"/>
      <c r="V92" s="3603" t="s">
        <v>176</v>
      </c>
      <c r="W92" s="3557"/>
      <c r="X92" s="3557"/>
      <c r="Y92" s="3558"/>
      <c r="Z92" s="3558"/>
      <c r="AA92" s="3558"/>
      <c r="AB92" s="3558"/>
      <c r="AC92" s="3604">
        <v>1</v>
      </c>
      <c r="AD92" s="3605">
        <v>1</v>
      </c>
      <c r="AE92" s="3605">
        <v>1</v>
      </c>
      <c r="AF92" s="3605">
        <v>1</v>
      </c>
      <c r="AG92" s="2413">
        <v>0.79</v>
      </c>
      <c r="AH92" s="3517"/>
      <c r="AI92" s="3603" t="s">
        <v>176</v>
      </c>
      <c r="AJ92" s="3531"/>
      <c r="AK92" s="3531"/>
      <c r="AL92" s="3531"/>
      <c r="AM92" s="3584"/>
      <c r="AN92" s="3585"/>
      <c r="AO92" s="3586"/>
      <c r="AP92" s="3606">
        <v>0.8</v>
      </c>
      <c r="AQ92" s="3607">
        <v>0.8</v>
      </c>
      <c r="AR92" s="3607">
        <v>0.8</v>
      </c>
      <c r="AS92" s="3607">
        <v>0.62</v>
      </c>
      <c r="AT92" s="3517"/>
      <c r="AU92" s="3603" t="s">
        <v>176</v>
      </c>
      <c r="AV92" s="3587"/>
      <c r="AW92" s="3588"/>
      <c r="AX92" s="3587"/>
      <c r="AY92" s="3587"/>
      <c r="AZ92" s="3587"/>
      <c r="BA92" s="3587"/>
      <c r="BB92" s="3608">
        <v>3351</v>
      </c>
      <c r="BC92" s="3609">
        <v>3351</v>
      </c>
      <c r="BD92" s="3609">
        <v>3351</v>
      </c>
      <c r="BE92" s="3609">
        <v>3724</v>
      </c>
      <c r="BF92" s="3517"/>
      <c r="BG92" s="3603" t="s">
        <v>176</v>
      </c>
      <c r="BH92" s="3531"/>
      <c r="BI92" s="3561"/>
      <c r="BJ92" s="3562"/>
      <c r="BK92" s="3562"/>
      <c r="BL92" s="3562"/>
      <c r="BM92" s="3562"/>
      <c r="BN92" s="2709">
        <v>1.071</v>
      </c>
      <c r="BO92" s="2959">
        <v>1.056</v>
      </c>
      <c r="BP92" s="3556">
        <v>1.056</v>
      </c>
      <c r="BQ92" s="3556">
        <v>1.056</v>
      </c>
      <c r="BR92" s="3517"/>
      <c r="BS92" s="2709" t="s">
        <v>176</v>
      </c>
      <c r="BT92" s="3531"/>
      <c r="BU92" s="3531"/>
      <c r="BV92" s="3531"/>
      <c r="BW92" s="3531"/>
      <c r="BX92" s="3531"/>
      <c r="BY92" s="3531"/>
      <c r="BZ92" s="3531"/>
      <c r="CA92" s="2959">
        <v>1.032</v>
      </c>
      <c r="CB92" s="3556">
        <v>1.032</v>
      </c>
      <c r="CC92" s="3556">
        <v>1.032</v>
      </c>
      <c r="CD92" s="2724"/>
      <c r="CF92" s="3517"/>
      <c r="DE92" s="3517"/>
      <c r="DF92" s="3517"/>
      <c r="DG92" s="2697"/>
      <c r="DH92" s="3597"/>
      <c r="DI92" s="2697"/>
      <c r="DJ92" s="3552"/>
    </row>
    <row r="93" spans="1:114" s="3044" customFormat="1">
      <c r="A93" s="3517"/>
      <c r="B93" s="2697"/>
      <c r="C93" s="2086"/>
      <c r="D93" s="2086"/>
      <c r="E93" s="3610"/>
      <c r="F93" s="3610"/>
      <c r="G93" s="3611" t="s">
        <v>177</v>
      </c>
      <c r="H93" s="3612" t="s">
        <v>178</v>
      </c>
      <c r="I93" s="3611" t="s">
        <v>179</v>
      </c>
      <c r="J93" s="3611"/>
      <c r="K93" s="3610"/>
      <c r="L93" s="3610"/>
      <c r="M93" s="3610"/>
      <c r="N93" s="3610"/>
      <c r="O93" s="2697"/>
      <c r="P93" s="2697"/>
      <c r="Q93" s="2697"/>
      <c r="R93" s="2697"/>
      <c r="S93" s="2697"/>
      <c r="T93" s="2697"/>
      <c r="U93" s="2697"/>
      <c r="AG93" s="3044" t="s">
        <v>177</v>
      </c>
      <c r="AS93" s="3044" t="s">
        <v>178</v>
      </c>
      <c r="BE93" s="3044" t="s">
        <v>179</v>
      </c>
      <c r="BS93" s="3517"/>
      <c r="DE93" s="3517"/>
      <c r="DF93" s="3517"/>
      <c r="DG93" s="3597"/>
      <c r="DH93" s="2697"/>
      <c r="DI93" s="2697"/>
      <c r="DJ93" s="3552"/>
    </row>
    <row r="94" spans="1:114" s="3044" customFormat="1">
      <c r="A94" s="3517"/>
      <c r="B94" s="2697"/>
      <c r="C94" s="2086"/>
      <c r="D94" s="2086"/>
      <c r="E94" s="3610"/>
      <c r="F94" s="3610"/>
      <c r="G94" s="3611"/>
      <c r="H94" s="3612"/>
      <c r="I94" s="3611"/>
      <c r="J94" s="3611"/>
      <c r="K94" s="3610"/>
      <c r="L94" s="3610"/>
      <c r="M94" s="3610"/>
      <c r="N94" s="3610"/>
      <c r="O94" s="2697"/>
      <c r="P94" s="2697"/>
      <c r="Q94" s="2697"/>
      <c r="R94" s="2697"/>
      <c r="S94" s="2697"/>
      <c r="T94" s="2697"/>
      <c r="U94" s="2697"/>
      <c r="BS94" s="3517"/>
      <c r="DE94" s="3517"/>
      <c r="DF94" s="3517"/>
      <c r="DG94" s="3597"/>
      <c r="DH94" s="2697"/>
      <c r="DI94" s="2697"/>
      <c r="DJ94" s="3552"/>
    </row>
    <row r="95" spans="1:114" s="8" customFormat="1">
      <c r="A95" s="2"/>
      <c r="B95" s="3994" t="s">
        <v>180</v>
      </c>
      <c r="C95" s="3995"/>
      <c r="D95" s="3995"/>
      <c r="E95" s="3995"/>
      <c r="F95" s="3995"/>
      <c r="G95" s="3995"/>
      <c r="H95" s="3995"/>
      <c r="I95" s="4819"/>
      <c r="J95" s="4819"/>
      <c r="K95" s="4819"/>
      <c r="L95" s="4819"/>
      <c r="M95" s="4820"/>
      <c r="N95" s="4820"/>
      <c r="O95" s="4821"/>
      <c r="V95" s="1363" t="str">
        <f>B95</f>
        <v>Lighting - Occupancy Sensor Lighting Controls</v>
      </c>
      <c r="W95" s="1364"/>
      <c r="X95" s="1364"/>
      <c r="Y95" s="1364"/>
      <c r="Z95" s="1364"/>
      <c r="AA95" s="1364"/>
      <c r="AB95" s="1364"/>
      <c r="AC95" s="1364"/>
      <c r="AD95" s="1364"/>
      <c r="AE95" s="1364"/>
      <c r="AF95" s="1364"/>
      <c r="AG95" s="1364"/>
      <c r="AH95" s="1364"/>
      <c r="AI95" s="1397"/>
      <c r="AJ95" s="2"/>
      <c r="AK95" s="2"/>
      <c r="AL95" s="2"/>
      <c r="AM95" s="2"/>
      <c r="AN95" s="2"/>
      <c r="AO95" s="2"/>
      <c r="AP95" s="2"/>
      <c r="AQ95" s="2"/>
      <c r="AR95" s="2"/>
      <c r="AS95" s="2"/>
      <c r="AT95" s="2"/>
      <c r="AU95" s="2"/>
      <c r="BS95" s="2"/>
      <c r="CK95" s="7"/>
      <c r="DE95" s="2"/>
      <c r="DF95" s="2"/>
      <c r="DG95" s="1059"/>
      <c r="DH95" s="66"/>
      <c r="DI95" s="66"/>
      <c r="DJ95" s="1102"/>
    </row>
    <row r="96" spans="1:114" ht="18.75" customHeight="1">
      <c r="B96" s="265"/>
      <c r="D96" s="479"/>
      <c r="G96" s="265"/>
      <c r="H96" s="473"/>
      <c r="V96" s="9"/>
    </row>
    <row r="97" spans="1:114" s="9" customFormat="1" ht="30">
      <c r="A97" s="2"/>
      <c r="B97" s="66"/>
      <c r="C97" s="10" t="s">
        <v>42</v>
      </c>
      <c r="D97" s="1432" t="s">
        <v>43</v>
      </c>
      <c r="E97" s="1432" t="s">
        <v>44</v>
      </c>
      <c r="F97" s="1432" t="s">
        <v>181</v>
      </c>
      <c r="G97" s="1432" t="s">
        <v>46</v>
      </c>
      <c r="H97" s="11" t="s">
        <v>47</v>
      </c>
      <c r="I97" s="1432" t="s">
        <v>182</v>
      </c>
      <c r="J97" s="1432" t="s">
        <v>49</v>
      </c>
      <c r="K97" s="10" t="s">
        <v>50</v>
      </c>
      <c r="L97" s="10" t="s">
        <v>51</v>
      </c>
      <c r="M97" s="1970" t="s">
        <v>183</v>
      </c>
      <c r="N97" s="1970" t="s">
        <v>184</v>
      </c>
      <c r="O97" s="1970" t="s">
        <v>185</v>
      </c>
      <c r="P97" s="1970" t="s">
        <v>186</v>
      </c>
      <c r="Q97" s="265"/>
      <c r="R97" s="265"/>
      <c r="S97" s="122"/>
      <c r="T97" s="122"/>
      <c r="U97" s="122"/>
      <c r="V97" s="668" t="s">
        <v>52</v>
      </c>
      <c r="W97" s="669">
        <f>$W$8</f>
        <v>43252</v>
      </c>
      <c r="X97" s="669">
        <f>$X$8</f>
        <v>43465</v>
      </c>
      <c r="Y97" s="669">
        <f>$Y$8</f>
        <v>43800</v>
      </c>
      <c r="Z97" s="669">
        <f>$Z$8</f>
        <v>43862</v>
      </c>
      <c r="AA97" s="669">
        <f>$AA$8</f>
        <v>44013</v>
      </c>
      <c r="AB97" s="669">
        <v>44166</v>
      </c>
      <c r="AC97" s="669">
        <f>$AC$8</f>
        <v>44531</v>
      </c>
      <c r="AD97" s="669">
        <f>$AD$8</f>
        <v>44774</v>
      </c>
      <c r="AE97" s="669">
        <f>$AE$8</f>
        <v>45142</v>
      </c>
      <c r="AF97" s="669">
        <f>$AF$8</f>
        <v>45672</v>
      </c>
      <c r="AG97" s="669" t="str">
        <f>$AG$8</f>
        <v>-</v>
      </c>
      <c r="AI97" s="668" t="s">
        <v>52</v>
      </c>
      <c r="AJ97" s="669">
        <f t="shared" ref="AJ97:AS97" si="24">W97</f>
        <v>43252</v>
      </c>
      <c r="AK97" s="669">
        <f t="shared" si="24"/>
        <v>43465</v>
      </c>
      <c r="AL97" s="669">
        <f t="shared" si="24"/>
        <v>43800</v>
      </c>
      <c r="AM97" s="669">
        <f t="shared" si="24"/>
        <v>43862</v>
      </c>
      <c r="AN97" s="669">
        <f t="shared" si="24"/>
        <v>44013</v>
      </c>
      <c r="AO97" s="669">
        <f t="shared" si="24"/>
        <v>44166</v>
      </c>
      <c r="AP97" s="669">
        <f t="shared" si="24"/>
        <v>44531</v>
      </c>
      <c r="AQ97" s="669">
        <f t="shared" si="24"/>
        <v>44774</v>
      </c>
      <c r="AR97" s="669">
        <f t="shared" si="24"/>
        <v>45142</v>
      </c>
      <c r="AS97" s="669">
        <f t="shared" si="24"/>
        <v>45672</v>
      </c>
      <c r="AT97" s="2"/>
      <c r="AU97" s="668" t="s">
        <v>52</v>
      </c>
      <c r="AV97" s="669">
        <f>W97</f>
        <v>43252</v>
      </c>
      <c r="AW97" s="669">
        <f>X97</f>
        <v>43465</v>
      </c>
      <c r="AX97" s="669">
        <f>Y97</f>
        <v>43800</v>
      </c>
      <c r="AY97" s="669">
        <f>Z97</f>
        <v>43862</v>
      </c>
      <c r="AZ97" s="669">
        <f>AA97</f>
        <v>44013</v>
      </c>
      <c r="BA97" s="669">
        <v>44166</v>
      </c>
      <c r="BB97" s="669">
        <f>AC97</f>
        <v>44531</v>
      </c>
      <c r="BC97" s="669">
        <f>AD97</f>
        <v>44774</v>
      </c>
      <c r="BD97" s="669">
        <f>AE97</f>
        <v>45142</v>
      </c>
      <c r="BE97" s="669">
        <f>AF97</f>
        <v>45672</v>
      </c>
      <c r="BS97" s="2"/>
      <c r="DE97" s="2"/>
      <c r="DF97" s="2"/>
      <c r="DG97" s="1060" t="str">
        <f>$DG$8</f>
        <v>TRC (2025)</v>
      </c>
      <c r="DH97" s="811" t="str">
        <f>$DH$8</f>
        <v>Benefit Lookup</v>
      </c>
      <c r="DI97" s="811" t="str">
        <f>$DI$8</f>
        <v>Benefits (2025 $)</v>
      </c>
      <c r="DJ97" s="1172" t="str">
        <f>$DJ$8</f>
        <v>Incremental Cost (2025 $)</v>
      </c>
    </row>
    <row r="98" spans="1:114">
      <c r="B98" s="1454">
        <f t="shared" ref="B98:B102" si="25">VALUE(LEFT(C98,6))</f>
        <v>801010</v>
      </c>
      <c r="C98" s="1637" t="s">
        <v>187</v>
      </c>
      <c r="D98" s="1639" t="s">
        <v>95</v>
      </c>
      <c r="E98" s="480" t="s">
        <v>188</v>
      </c>
      <c r="F98" s="1965">
        <f>ROUND(F115*G115*H115*I115,2)</f>
        <v>150.15</v>
      </c>
      <c r="G98" s="463" t="s">
        <v>61</v>
      </c>
      <c r="H98" s="464">
        <f>VLOOKUP(G98,'CP FACTORS'!$A$26:$B$38,2,FALSE)</f>
        <v>1.899635E-4</v>
      </c>
      <c r="I98" s="1481">
        <f>ROUND(H98*F98*J115,6)</f>
        <v>2.9436E-2</v>
      </c>
      <c r="J98" s="20">
        <v>10</v>
      </c>
      <c r="K98" s="2016">
        <v>65</v>
      </c>
      <c r="L98" s="465" t="s">
        <v>62</v>
      </c>
      <c r="M98" s="2016"/>
      <c r="N98" s="1971"/>
      <c r="O98" s="2016"/>
      <c r="P98" s="1971"/>
      <c r="S98" s="469"/>
      <c r="T98" s="470"/>
      <c r="V98" s="1414" t="s">
        <v>45</v>
      </c>
      <c r="W98" s="54"/>
      <c r="X98" s="54"/>
      <c r="Y98" s="54"/>
      <c r="Z98" s="71"/>
      <c r="AA98" s="1922">
        <v>111.87</v>
      </c>
      <c r="AB98" s="847">
        <v>118.87</v>
      </c>
      <c r="AC98" s="1946">
        <v>118.87</v>
      </c>
      <c r="AD98" s="1922">
        <v>117.2</v>
      </c>
      <c r="AE98" s="1922">
        <v>164.85</v>
      </c>
      <c r="AF98" s="271">
        <f>IF(F98&lt;&gt;"",F98,"")</f>
        <v>150.15</v>
      </c>
      <c r="AG98" s="71"/>
      <c r="AI98" s="1414" t="s">
        <v>49</v>
      </c>
      <c r="AJ98" s="671"/>
      <c r="AK98" s="671"/>
      <c r="AL98" s="671"/>
      <c r="AM98" s="71"/>
      <c r="AN98" s="665">
        <v>15</v>
      </c>
      <c r="AO98" s="770">
        <v>10</v>
      </c>
      <c r="AP98" s="848">
        <v>10</v>
      </c>
      <c r="AQ98" s="848">
        <v>10</v>
      </c>
      <c r="AR98" s="20">
        <v>10</v>
      </c>
      <c r="AS98" s="20">
        <v>10</v>
      </c>
      <c r="AU98" s="1414" t="s">
        <v>50</v>
      </c>
      <c r="AV98" s="672"/>
      <c r="AW98" s="672"/>
      <c r="AX98" s="672"/>
      <c r="AY98" s="667"/>
      <c r="AZ98" s="667">
        <v>45</v>
      </c>
      <c r="BA98" s="689">
        <v>45</v>
      </c>
      <c r="BB98" s="689">
        <v>45</v>
      </c>
      <c r="BC98" s="689">
        <v>45</v>
      </c>
      <c r="BD98" s="1116">
        <v>45</v>
      </c>
      <c r="BE98" s="1949">
        <f>K98</f>
        <v>65</v>
      </c>
      <c r="DG98" s="608">
        <f>(DI98)/(DJ98)</f>
        <v>1.3273616282337573</v>
      </c>
      <c r="DH98" s="1400" t="str">
        <f>CONCATENATE(G98," ",J98," Year EUL")</f>
        <v>Lighting BUS 10 Year EUL</v>
      </c>
      <c r="DI98" s="445">
        <f>(INDEX('Avoided Cost Benefits'!$B$4:$B$865,MATCH(DH98,'Avoided Cost Benefits'!$A$4:$A$865,0)))*F98</f>
        <v>86.278505835194224</v>
      </c>
      <c r="DJ98" s="2180">
        <f>K98/(1.0686^(2025-2025))</f>
        <v>65</v>
      </c>
    </row>
    <row r="99" spans="1:114">
      <c r="B99" s="1454">
        <f t="shared" si="25"/>
        <v>801020</v>
      </c>
      <c r="C99" s="1637" t="s">
        <v>189</v>
      </c>
      <c r="D99" s="1639" t="s">
        <v>95</v>
      </c>
      <c r="E99" s="480" t="s">
        <v>190</v>
      </c>
      <c r="F99" s="1965">
        <f>ROUND(F116*G116*H116*I116,2)</f>
        <v>545.92999999999995</v>
      </c>
      <c r="G99" s="463" t="s">
        <v>61</v>
      </c>
      <c r="H99" s="464">
        <f>VLOOKUP(G99,'CP FACTORS'!$A$26:$B$38,2,FALSE)</f>
        <v>1.899635E-4</v>
      </c>
      <c r="I99" s="1481">
        <f>ROUND(H99*F99*J116,6)</f>
        <v>0.107025</v>
      </c>
      <c r="J99" s="20">
        <v>10</v>
      </c>
      <c r="K99" s="2035">
        <v>105</v>
      </c>
      <c r="L99" s="465" t="s">
        <v>62</v>
      </c>
      <c r="M99" s="2016"/>
      <c r="N99" s="1971"/>
      <c r="O99" s="2016"/>
      <c r="P99" s="1971"/>
      <c r="S99" s="469"/>
      <c r="T99" s="470"/>
      <c r="V99" s="1414" t="s">
        <v>45</v>
      </c>
      <c r="W99" s="54"/>
      <c r="X99" s="54"/>
      <c r="Y99" s="54"/>
      <c r="Z99" s="54"/>
      <c r="AA99" s="1922">
        <v>290.86</v>
      </c>
      <c r="AB99" s="847">
        <v>291.13</v>
      </c>
      <c r="AC99" s="1946">
        <v>291.13</v>
      </c>
      <c r="AD99" s="1922">
        <v>287.06</v>
      </c>
      <c r="AE99" s="1922">
        <v>241.34</v>
      </c>
      <c r="AF99" s="271">
        <f>IF(F99&lt;&gt;"",F99,"")</f>
        <v>545.92999999999995</v>
      </c>
      <c r="AG99" s="54"/>
      <c r="AI99" s="1414" t="s">
        <v>49</v>
      </c>
      <c r="AJ99" s="671"/>
      <c r="AK99" s="671"/>
      <c r="AL99" s="671"/>
      <c r="AM99" s="54"/>
      <c r="AN99" s="665">
        <v>15</v>
      </c>
      <c r="AO99" s="770">
        <v>10</v>
      </c>
      <c r="AP99" s="848">
        <v>10</v>
      </c>
      <c r="AQ99" s="848">
        <v>10</v>
      </c>
      <c r="AR99" s="20">
        <v>10</v>
      </c>
      <c r="AS99" s="20">
        <v>10</v>
      </c>
      <c r="AU99" s="1414" t="s">
        <v>50</v>
      </c>
      <c r="AV99" s="672"/>
      <c r="AW99" s="672"/>
      <c r="AX99" s="672"/>
      <c r="AY99" s="667"/>
      <c r="AZ99" s="667">
        <v>105</v>
      </c>
      <c r="BA99" s="689">
        <v>105</v>
      </c>
      <c r="BB99" s="689">
        <v>105</v>
      </c>
      <c r="BC99" s="689">
        <v>105</v>
      </c>
      <c r="BD99" s="1116">
        <v>105</v>
      </c>
      <c r="BE99" s="1949">
        <f>K99</f>
        <v>105</v>
      </c>
      <c r="DG99" s="608">
        <f>(DI99)/(DJ99)</f>
        <v>2.9876171251356629</v>
      </c>
      <c r="DH99" s="1400" t="str">
        <f>CONCATENATE(G99," ",J99," Year EUL")</f>
        <v>Lighting BUS 10 Year EUL</v>
      </c>
      <c r="DI99" s="445">
        <f>(INDEX('Avoided Cost Benefits'!$B$4:$B$865,MATCH(DH99,'Avoided Cost Benefits'!$A$4:$A$865,0)))*F99</f>
        <v>313.69979813924459</v>
      </c>
      <c r="DJ99" s="1173">
        <f>K99/(1.0686^(2025-2025))</f>
        <v>105</v>
      </c>
    </row>
    <row r="100" spans="1:114" s="3517" customFormat="1" ht="30">
      <c r="B100" s="2208">
        <f t="shared" si="25"/>
        <v>801025</v>
      </c>
      <c r="C100" s="3499" t="s">
        <v>191</v>
      </c>
      <c r="D100" s="3509" t="s">
        <v>192</v>
      </c>
      <c r="E100" s="3574" t="s">
        <v>193</v>
      </c>
      <c r="F100" s="3613">
        <f>ROUND(F117*G117*H117*I117,2)</f>
        <v>422.36</v>
      </c>
      <c r="G100" s="3503" t="s">
        <v>61</v>
      </c>
      <c r="H100" s="3504">
        <f>VLOOKUP(G100,'CP FACTORS'!$A$26:$B$38,2,FALSE)</f>
        <v>1.899635E-4</v>
      </c>
      <c r="I100" s="3575">
        <f t="shared" ref="I100:I102" si="26">ROUND(H100*F100*J117,6)</f>
        <v>8.2799999999999999E-2</v>
      </c>
      <c r="J100" s="3506">
        <v>15</v>
      </c>
      <c r="K100" s="3614">
        <f>M100/O100*1000</f>
        <v>746.83544303797453</v>
      </c>
      <c r="L100" s="3577" t="s">
        <v>194</v>
      </c>
      <c r="M100" s="3513">
        <v>0.59</v>
      </c>
      <c r="N100" s="3615" t="s">
        <v>195</v>
      </c>
      <c r="O100" s="3616">
        <v>0.79</v>
      </c>
      <c r="P100" s="3615" t="s">
        <v>196</v>
      </c>
      <c r="Q100" s="3528"/>
      <c r="R100" s="3528"/>
      <c r="S100" s="3580"/>
      <c r="T100" s="3581"/>
      <c r="U100" s="3581"/>
      <c r="V100" s="2460" t="s">
        <v>45</v>
      </c>
      <c r="W100" s="3223"/>
      <c r="X100" s="3223"/>
      <c r="Y100" s="3223"/>
      <c r="Z100" s="3223"/>
      <c r="AA100" s="3617"/>
      <c r="AB100" s="3618"/>
      <c r="AC100" s="3619"/>
      <c r="AD100" s="3617"/>
      <c r="AE100" s="3617"/>
      <c r="AF100" s="2236">
        <f>IF(F100&lt;&gt;"",F100,"")</f>
        <v>422.36</v>
      </c>
      <c r="AG100" s="3223"/>
      <c r="AI100" s="2460" t="s">
        <v>49</v>
      </c>
      <c r="AJ100" s="3620"/>
      <c r="AK100" s="3620"/>
      <c r="AL100" s="3620"/>
      <c r="AM100" s="3223"/>
      <c r="AN100" s="3512"/>
      <c r="AO100" s="3549"/>
      <c r="AP100" s="3621"/>
      <c r="AQ100" s="3621"/>
      <c r="AR100" s="3506"/>
      <c r="AS100" s="3506">
        <v>10</v>
      </c>
      <c r="AU100" s="2460" t="s">
        <v>50</v>
      </c>
      <c r="AV100" s="3622"/>
      <c r="AW100" s="3622"/>
      <c r="AX100" s="3622"/>
      <c r="AY100" s="3623"/>
      <c r="AZ100" s="3623"/>
      <c r="BA100" s="3522"/>
      <c r="BB100" s="3522"/>
      <c r="BC100" s="3522"/>
      <c r="BD100" s="3624"/>
      <c r="BE100" s="3625">
        <f>K100</f>
        <v>746.83544303797453</v>
      </c>
      <c r="CG100" s="2237"/>
      <c r="CH100" s="2237"/>
      <c r="CI100" s="2237"/>
      <c r="CJ100" s="2237"/>
      <c r="CW100" s="2237"/>
      <c r="CX100" s="2237"/>
      <c r="CY100" s="2237"/>
      <c r="CZ100" s="2237"/>
      <c r="DG100" s="2501">
        <f>(DI100)/(DJ100)</f>
        <v>0.43474995358192642</v>
      </c>
      <c r="DH100" s="2419" t="str">
        <f>CONCATENATE(G100," ",J100," Year EUL")</f>
        <v>Lighting BUS 15 Year EUL</v>
      </c>
      <c r="DI100" s="3590">
        <f>(INDEX('Avoided Cost Benefits'!$B$4:$B$865,MATCH(DH100,'Avoided Cost Benefits'!$A$4:$A$865,0)))*F100</f>
        <v>324.6866741940969</v>
      </c>
      <c r="DJ100" s="3591">
        <f>K100/(1.0686^(2025-2025))</f>
        <v>746.83544303797453</v>
      </c>
    </row>
    <row r="101" spans="1:114" s="3517" customFormat="1" ht="30">
      <c r="B101" s="2208">
        <f t="shared" si="25"/>
        <v>801030</v>
      </c>
      <c r="C101" s="3499" t="s">
        <v>197</v>
      </c>
      <c r="D101" s="3509" t="s">
        <v>192</v>
      </c>
      <c r="E101" s="3574" t="s">
        <v>198</v>
      </c>
      <c r="F101" s="3613">
        <f t="shared" ref="F101:F102" si="27">ROUND(F118*G118*H118*I118,2)</f>
        <v>1075.0899999999999</v>
      </c>
      <c r="G101" s="3503" t="s">
        <v>61</v>
      </c>
      <c r="H101" s="3504">
        <f>VLOOKUP(G101,'CP FACTORS'!$A$26:$B$38,2,FALSE)</f>
        <v>1.899635E-4</v>
      </c>
      <c r="I101" s="3575">
        <f t="shared" si="26"/>
        <v>0.21076300000000001</v>
      </c>
      <c r="J101" s="3506">
        <v>15</v>
      </c>
      <c r="K101" s="3614">
        <f>M101/O101*1000</f>
        <v>662.5</v>
      </c>
      <c r="L101" s="3577" t="s">
        <v>194</v>
      </c>
      <c r="M101" s="3513">
        <v>53</v>
      </c>
      <c r="N101" s="3615" t="s">
        <v>199</v>
      </c>
      <c r="O101" s="3616">
        <v>80</v>
      </c>
      <c r="P101" s="3615" t="s">
        <v>200</v>
      </c>
      <c r="Q101" s="3528"/>
      <c r="R101" s="3528"/>
      <c r="S101" s="3580"/>
      <c r="T101" s="3581"/>
      <c r="U101" s="3581"/>
      <c r="V101" s="2460" t="s">
        <v>45</v>
      </c>
      <c r="W101" s="3223"/>
      <c r="X101" s="3223"/>
      <c r="Y101" s="3223"/>
      <c r="Z101" s="3223"/>
      <c r="AA101" s="3617"/>
      <c r="AB101" s="3618"/>
      <c r="AC101" s="3619"/>
      <c r="AD101" s="3617"/>
      <c r="AE101" s="3617"/>
      <c r="AF101" s="2236">
        <f>IF(F101&lt;&gt;"",F101,"")</f>
        <v>1075.0899999999999</v>
      </c>
      <c r="AG101" s="3223"/>
      <c r="AI101" s="2460" t="s">
        <v>49</v>
      </c>
      <c r="AJ101" s="3620"/>
      <c r="AK101" s="3620"/>
      <c r="AL101" s="3620"/>
      <c r="AM101" s="3223"/>
      <c r="AN101" s="3512"/>
      <c r="AO101" s="3549"/>
      <c r="AP101" s="3621"/>
      <c r="AQ101" s="3621"/>
      <c r="AR101" s="3506"/>
      <c r="AS101" s="3506">
        <v>10</v>
      </c>
      <c r="AU101" s="2460" t="s">
        <v>50</v>
      </c>
      <c r="AV101" s="3622"/>
      <c r="AW101" s="3622"/>
      <c r="AX101" s="3622"/>
      <c r="AY101" s="3623"/>
      <c r="AZ101" s="3623"/>
      <c r="BA101" s="3522"/>
      <c r="BB101" s="3522"/>
      <c r="BC101" s="3522"/>
      <c r="BD101" s="3624"/>
      <c r="BE101" s="3625">
        <f>K101</f>
        <v>662.5</v>
      </c>
      <c r="CG101" s="2237"/>
      <c r="CH101" s="2237"/>
      <c r="CI101" s="2237"/>
      <c r="CJ101" s="2237"/>
      <c r="CW101" s="2237"/>
      <c r="CX101" s="2237"/>
      <c r="CY101" s="2237"/>
      <c r="CZ101" s="2237"/>
      <c r="DG101" s="2501">
        <f>(DI101)/(DJ101)</f>
        <v>1.2475001976649862</v>
      </c>
      <c r="DH101" s="2419" t="str">
        <f>CONCATENATE(G101," ",J101," Year EUL")</f>
        <v>Lighting BUS 15 Year EUL</v>
      </c>
      <c r="DI101" s="3590">
        <f>(INDEX('Avoided Cost Benefits'!$B$4:$B$865,MATCH(DH101,'Avoided Cost Benefits'!$A$4:$A$865,0)))*F101</f>
        <v>826.46888095305337</v>
      </c>
      <c r="DJ101" s="3591">
        <f>K101/(1.0686^(2025-2025))</f>
        <v>662.5</v>
      </c>
    </row>
    <row r="102" spans="1:114" s="3517" customFormat="1" ht="30">
      <c r="B102" s="2208">
        <f t="shared" si="25"/>
        <v>801035</v>
      </c>
      <c r="C102" s="3499" t="s">
        <v>201</v>
      </c>
      <c r="D102" s="3509" t="s">
        <v>192</v>
      </c>
      <c r="E102" s="3574" t="s">
        <v>202</v>
      </c>
      <c r="F102" s="3613">
        <f t="shared" si="27"/>
        <v>383.96</v>
      </c>
      <c r="G102" s="3503" t="s">
        <v>61</v>
      </c>
      <c r="H102" s="3504">
        <f>VLOOKUP(G102,'CP FACTORS'!$A$26:$B$38,2,FALSE)</f>
        <v>1.899635E-4</v>
      </c>
      <c r="I102" s="3575">
        <f t="shared" si="26"/>
        <v>7.5272000000000006E-2</v>
      </c>
      <c r="J102" s="3506">
        <v>15</v>
      </c>
      <c r="K102" s="3614">
        <f>M102</f>
        <v>100</v>
      </c>
      <c r="L102" s="3577" t="s">
        <v>194</v>
      </c>
      <c r="M102" s="3513">
        <v>100</v>
      </c>
      <c r="N102" s="3615" t="s">
        <v>203</v>
      </c>
      <c r="O102" s="3626" t="s">
        <v>204</v>
      </c>
      <c r="P102" s="3615" t="s">
        <v>204</v>
      </c>
      <c r="Q102" s="3528"/>
      <c r="R102" s="3528"/>
      <c r="S102" s="3580"/>
      <c r="T102" s="3581"/>
      <c r="U102" s="3581"/>
      <c r="V102" s="2460" t="s">
        <v>45</v>
      </c>
      <c r="W102" s="3223"/>
      <c r="X102" s="3223"/>
      <c r="Y102" s="3223"/>
      <c r="Z102" s="3223"/>
      <c r="AA102" s="3617"/>
      <c r="AB102" s="3618"/>
      <c r="AC102" s="3619"/>
      <c r="AD102" s="3617"/>
      <c r="AE102" s="3617"/>
      <c r="AF102" s="2236">
        <f>IF(F102&lt;&gt;"",F102,"")</f>
        <v>383.96</v>
      </c>
      <c r="AG102" s="3223"/>
      <c r="AI102" s="2460" t="s">
        <v>49</v>
      </c>
      <c r="AJ102" s="3620"/>
      <c r="AK102" s="3620"/>
      <c r="AL102" s="3620"/>
      <c r="AM102" s="3223"/>
      <c r="AN102" s="3512"/>
      <c r="AO102" s="3549"/>
      <c r="AP102" s="3621"/>
      <c r="AQ102" s="3621"/>
      <c r="AR102" s="3506"/>
      <c r="AS102" s="3506">
        <v>10</v>
      </c>
      <c r="AU102" s="2460" t="s">
        <v>50</v>
      </c>
      <c r="AV102" s="3622"/>
      <c r="AW102" s="3622"/>
      <c r="AX102" s="3622"/>
      <c r="AY102" s="3623"/>
      <c r="AZ102" s="3623"/>
      <c r="BA102" s="3522"/>
      <c r="BB102" s="3522"/>
      <c r="BC102" s="3522"/>
      <c r="BD102" s="3624"/>
      <c r="BE102" s="3625">
        <f>K102</f>
        <v>100</v>
      </c>
      <c r="CG102" s="2237"/>
      <c r="CH102" s="2237"/>
      <c r="CI102" s="2237"/>
      <c r="CJ102" s="2237"/>
      <c r="CW102" s="2237"/>
      <c r="CX102" s="2237"/>
      <c r="CY102" s="2237"/>
      <c r="CZ102" s="2237"/>
      <c r="DG102" s="2501">
        <f>(DI102)/(DJ102)</f>
        <v>2.9516690838044664</v>
      </c>
      <c r="DH102" s="2419" t="str">
        <f>CONCATENATE(G102," ",J102," Year EUL")</f>
        <v>Lighting BUS 15 Year EUL</v>
      </c>
      <c r="DI102" s="3590">
        <f>(INDEX('Avoided Cost Benefits'!$B$4:$B$865,MATCH(DH102,'Avoided Cost Benefits'!$A$4:$A$865,0)))*F102</f>
        <v>295.16690838044661</v>
      </c>
      <c r="DJ102" s="3591">
        <f>K102/(1.0686^(2025-2025))</f>
        <v>100</v>
      </c>
    </row>
    <row r="103" spans="1:114">
      <c r="B103" s="1454"/>
      <c r="D103" s="1873"/>
      <c r="E103" s="479"/>
      <c r="F103" s="1875"/>
      <c r="G103" s="1873"/>
      <c r="H103" s="462"/>
      <c r="I103" s="1876"/>
      <c r="J103" s="1876"/>
      <c r="K103" s="1876"/>
      <c r="L103" s="1877"/>
      <c r="P103" s="467"/>
      <c r="S103" s="469"/>
      <c r="T103" s="470"/>
      <c r="U103" s="470"/>
      <c r="V103" s="470"/>
      <c r="W103" s="470"/>
      <c r="X103" s="470"/>
      <c r="Y103" s="470"/>
      <c r="Z103" s="470"/>
      <c r="AA103" s="1963"/>
      <c r="AB103" s="1963"/>
      <c r="AC103" s="1963"/>
      <c r="AD103" s="1963"/>
      <c r="AE103" s="1963"/>
      <c r="AF103" s="1963"/>
      <c r="AG103" s="470"/>
      <c r="AH103" s="470"/>
      <c r="AI103" s="470"/>
      <c r="AJ103" s="470"/>
      <c r="AK103" s="470"/>
      <c r="AL103" s="470"/>
      <c r="AM103" s="470"/>
      <c r="AN103" s="470"/>
      <c r="AO103" s="470"/>
      <c r="AP103" s="470"/>
      <c r="AQ103" s="470"/>
      <c r="AR103" s="470"/>
      <c r="AS103" s="470"/>
      <c r="AT103" s="470"/>
      <c r="AU103" s="470"/>
      <c r="AV103" s="470"/>
      <c r="AW103" s="470"/>
      <c r="AX103" s="470"/>
      <c r="AY103" s="470"/>
      <c r="AZ103" s="470"/>
      <c r="BA103" s="470"/>
      <c r="BB103" s="470"/>
      <c r="BC103" s="470"/>
      <c r="BD103" s="470"/>
      <c r="BE103" s="470"/>
      <c r="BF103" s="470"/>
      <c r="BG103" s="470"/>
      <c r="BH103" s="470"/>
      <c r="DG103" s="1065"/>
      <c r="DH103" s="1065"/>
      <c r="DI103" s="1065"/>
      <c r="DJ103" s="1065"/>
    </row>
    <row r="104" spans="1:114" ht="15" customHeight="1" outlineLevel="1">
      <c r="B104" s="265"/>
      <c r="D104" s="77" t="s">
        <v>118</v>
      </c>
      <c r="E104" s="1591" t="s">
        <v>205</v>
      </c>
      <c r="F104" s="8"/>
      <c r="G104" s="8"/>
      <c r="H104" s="471"/>
      <c r="I104" s="8"/>
      <c r="J104" s="8"/>
      <c r="K104" s="8"/>
      <c r="V104" s="265"/>
      <c r="W104" s="265"/>
      <c r="X104" s="265"/>
      <c r="Y104" s="265"/>
      <c r="Z104" s="265"/>
      <c r="AA104" s="1964"/>
      <c r="AB104" s="1964"/>
      <c r="AC104" s="1964"/>
      <c r="AD104" s="1964"/>
      <c r="AE104" s="1964"/>
      <c r="AF104" s="1964"/>
      <c r="AG104" s="265"/>
      <c r="AH104" s="265"/>
      <c r="AI104" s="265"/>
      <c r="AJ104" s="265"/>
      <c r="AK104" s="265"/>
      <c r="AL104" s="265"/>
      <c r="AM104" s="265"/>
      <c r="AN104" s="265"/>
      <c r="AO104" s="265"/>
      <c r="AP104" s="265"/>
      <c r="AQ104" s="265"/>
      <c r="AR104" s="265"/>
      <c r="AS104" s="265"/>
      <c r="AT104" s="265"/>
      <c r="AU104" s="265"/>
      <c r="AV104" s="265"/>
      <c r="AW104" s="265"/>
      <c r="AX104" s="265"/>
      <c r="AY104" s="265"/>
      <c r="AZ104" s="265"/>
      <c r="BA104" s="265"/>
      <c r="BB104" s="265"/>
      <c r="BC104" s="265"/>
      <c r="BD104" s="265"/>
      <c r="BE104" s="265"/>
      <c r="BF104" s="265"/>
      <c r="BG104" s="265"/>
      <c r="BH104" s="265"/>
      <c r="DG104" s="1065"/>
      <c r="DH104" s="1065"/>
      <c r="DI104" s="1065"/>
      <c r="DJ104" s="1065"/>
    </row>
    <row r="105" spans="1:114" ht="15" customHeight="1" outlineLevel="1">
      <c r="B105" s="265"/>
      <c r="D105" s="8" t="s">
        <v>120</v>
      </c>
      <c r="E105" s="8"/>
      <c r="F105" s="8"/>
      <c r="G105" s="8"/>
      <c r="H105" s="471"/>
      <c r="I105" s="8"/>
      <c r="J105" s="8"/>
      <c r="K105" s="8"/>
      <c r="V105" s="265"/>
      <c r="W105" s="265"/>
      <c r="X105" s="265"/>
      <c r="Y105" s="265"/>
      <c r="Z105" s="265"/>
      <c r="AA105" s="1964"/>
      <c r="AB105" s="1964"/>
      <c r="AC105" s="1964"/>
      <c r="AD105" s="1964"/>
      <c r="AE105" s="1964"/>
      <c r="AF105" s="1964"/>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DG105" s="1065"/>
      <c r="DH105" s="1065"/>
      <c r="DI105" s="1065"/>
      <c r="DJ105" s="1065"/>
    </row>
    <row r="106" spans="1:114" ht="15" customHeight="1" outlineLevel="1">
      <c r="B106" s="265"/>
      <c r="D106" s="472"/>
      <c r="G106" s="265"/>
      <c r="H106" s="473"/>
      <c r="M106" s="8"/>
      <c r="AA106" s="1958"/>
      <c r="AB106" s="1958"/>
      <c r="AC106" s="1958"/>
      <c r="AD106" s="1958"/>
      <c r="AE106" s="1958"/>
      <c r="AF106" s="1958"/>
      <c r="DG106" s="1065"/>
      <c r="DH106" s="1065"/>
      <c r="DI106" s="1065"/>
      <c r="DJ106" s="1065"/>
    </row>
    <row r="107" spans="1:114" ht="15" customHeight="1" outlineLevel="1">
      <c r="B107" s="265"/>
      <c r="D107" s="472"/>
      <c r="G107" s="265"/>
      <c r="H107" s="473"/>
      <c r="M107" s="8"/>
      <c r="DG107" s="1065"/>
      <c r="DH107" s="1065"/>
      <c r="DI107" s="1065"/>
      <c r="DJ107" s="1065"/>
    </row>
    <row r="108" spans="1:114" ht="15" customHeight="1" outlineLevel="1">
      <c r="B108" s="265"/>
      <c r="D108" s="472"/>
      <c r="G108" s="265"/>
      <c r="H108" s="473"/>
      <c r="M108" s="8"/>
    </row>
    <row r="109" spans="1:114" ht="15" customHeight="1" outlineLevel="1">
      <c r="B109" s="265"/>
      <c r="D109" s="472"/>
      <c r="G109" s="265"/>
      <c r="H109" s="473"/>
      <c r="M109" s="8"/>
    </row>
    <row r="110" spans="1:114" ht="15" customHeight="1" outlineLevel="1">
      <c r="B110" s="265"/>
      <c r="D110" s="472"/>
      <c r="G110" s="265"/>
      <c r="H110" s="473"/>
      <c r="M110" s="8"/>
    </row>
    <row r="111" spans="1:114" ht="15" customHeight="1" outlineLevel="1">
      <c r="B111" s="265"/>
      <c r="D111" s="472"/>
      <c r="G111" s="265"/>
      <c r="H111" s="473"/>
      <c r="M111" s="8"/>
    </row>
    <row r="112" spans="1:114" ht="15" customHeight="1" outlineLevel="1">
      <c r="B112" s="265"/>
      <c r="D112" s="472"/>
      <c r="G112" s="265"/>
      <c r="H112" s="473"/>
      <c r="M112" s="8"/>
    </row>
    <row r="113" spans="1:114" ht="15" customHeight="1" outlineLevel="1">
      <c r="B113" s="265"/>
      <c r="D113" s="472"/>
      <c r="G113" s="265"/>
      <c r="H113" s="473"/>
      <c r="V113" s="856" t="s">
        <v>52</v>
      </c>
      <c r="W113" s="669">
        <f>$W$8</f>
        <v>43252</v>
      </c>
      <c r="X113" s="669">
        <f>$X$8</f>
        <v>43465</v>
      </c>
      <c r="Y113" s="669">
        <f>$Y$8</f>
        <v>43800</v>
      </c>
      <c r="Z113" s="669">
        <f>$Z$8</f>
        <v>43862</v>
      </c>
      <c r="AA113" s="669">
        <f>$AA$8</f>
        <v>44013</v>
      </c>
      <c r="AB113" s="669">
        <v>44166</v>
      </c>
      <c r="AC113" s="669">
        <f>$AC$8</f>
        <v>44531</v>
      </c>
      <c r="AD113" s="669">
        <f>$AD$8</f>
        <v>44774</v>
      </c>
      <c r="AE113" s="669">
        <f>$AE$8</f>
        <v>45142</v>
      </c>
      <c r="AF113" s="669">
        <f>$AF$8</f>
        <v>45672</v>
      </c>
      <c r="AG113" s="669" t="str">
        <f>$AG$8</f>
        <v>-</v>
      </c>
      <c r="AI113" s="856" t="s">
        <v>52</v>
      </c>
      <c r="AJ113" s="669">
        <f t="shared" ref="AJ113:AS113" si="28">W113</f>
        <v>43252</v>
      </c>
      <c r="AK113" s="669">
        <f t="shared" si="28"/>
        <v>43465</v>
      </c>
      <c r="AL113" s="669">
        <f t="shared" si="28"/>
        <v>43800</v>
      </c>
      <c r="AM113" s="669">
        <f t="shared" si="28"/>
        <v>43862</v>
      </c>
      <c r="AN113" s="669">
        <f t="shared" si="28"/>
        <v>44013</v>
      </c>
      <c r="AO113" s="669">
        <f t="shared" si="28"/>
        <v>44166</v>
      </c>
      <c r="AP113" s="669">
        <f t="shared" si="28"/>
        <v>44531</v>
      </c>
      <c r="AQ113" s="669">
        <f t="shared" si="28"/>
        <v>44774</v>
      </c>
      <c r="AR113" s="669">
        <f t="shared" si="28"/>
        <v>45142</v>
      </c>
      <c r="AS113" s="669">
        <f t="shared" si="28"/>
        <v>45672</v>
      </c>
      <c r="AU113" s="856" t="s">
        <v>52</v>
      </c>
      <c r="AV113" s="669">
        <f>W113</f>
        <v>43252</v>
      </c>
      <c r="AW113" s="669">
        <f>X113</f>
        <v>43465</v>
      </c>
      <c r="AX113" s="669">
        <f>Y113</f>
        <v>43800</v>
      </c>
      <c r="AY113" s="669">
        <f>Z113</f>
        <v>43862</v>
      </c>
      <c r="AZ113" s="669">
        <f>AA113</f>
        <v>44013</v>
      </c>
      <c r="BA113" s="669">
        <v>44166</v>
      </c>
      <c r="BB113" s="669">
        <f>AC113</f>
        <v>44531</v>
      </c>
      <c r="BC113" s="669">
        <f>AD113</f>
        <v>44774</v>
      </c>
      <c r="BD113" s="669">
        <f>AE113</f>
        <v>45142</v>
      </c>
      <c r="BE113" s="669">
        <f>AF113</f>
        <v>45672</v>
      </c>
      <c r="BG113" s="856" t="s">
        <v>52</v>
      </c>
      <c r="BH113" s="669">
        <f>$W$8</f>
        <v>43252</v>
      </c>
      <c r="BI113" s="669">
        <f>$X$8</f>
        <v>43465</v>
      </c>
      <c r="BJ113" s="669">
        <f>$Y$8</f>
        <v>43800</v>
      </c>
      <c r="BK113" s="669">
        <f>$Z$8</f>
        <v>43862</v>
      </c>
      <c r="BL113" s="669">
        <f>$AA$8</f>
        <v>44013</v>
      </c>
      <c r="BM113" s="669">
        <v>44166</v>
      </c>
      <c r="BN113" s="669">
        <f>$AC$8</f>
        <v>44531</v>
      </c>
      <c r="BO113" s="669">
        <f>$AD$8</f>
        <v>44774</v>
      </c>
      <c r="BP113" s="669">
        <f>$AE$8</f>
        <v>45142</v>
      </c>
      <c r="BQ113" s="669">
        <f>$AF$8</f>
        <v>45672</v>
      </c>
      <c r="BS113" s="1008" t="s">
        <v>52</v>
      </c>
      <c r="BT113" s="1002">
        <f>$W$8</f>
        <v>43252</v>
      </c>
      <c r="BU113" s="1002">
        <f>$X$8</f>
        <v>43465</v>
      </c>
      <c r="BV113" s="1002">
        <f>$Y$8</f>
        <v>43800</v>
      </c>
      <c r="BW113" s="1002">
        <f>$Z$8</f>
        <v>43862</v>
      </c>
      <c r="BX113" s="1002">
        <f>$AA$8</f>
        <v>44013</v>
      </c>
      <c r="BY113" s="1002">
        <v>44166</v>
      </c>
      <c r="BZ113" s="1002">
        <f>$AC$8</f>
        <v>44531</v>
      </c>
      <c r="CA113" s="1002">
        <f>$AD$8</f>
        <v>44774</v>
      </c>
      <c r="CB113" s="1002">
        <f>$AE$8</f>
        <v>45142</v>
      </c>
      <c r="CC113" s="1002">
        <f>$AF$8</f>
        <v>45672</v>
      </c>
      <c r="CD113" s="1002" t="str">
        <f>$AG$8</f>
        <v>-</v>
      </c>
      <c r="CG113" s="2"/>
      <c r="CK113"/>
      <c r="CW113" s="2"/>
      <c r="DA113"/>
      <c r="DG113" s="265"/>
      <c r="DH113" s="809"/>
    </row>
    <row r="114" spans="1:114" s="9" customFormat="1" ht="30" customHeight="1" outlineLevel="1">
      <c r="A114" s="2"/>
      <c r="B114" s="122"/>
      <c r="C114" s="66"/>
      <c r="D114" s="10" t="s">
        <v>42</v>
      </c>
      <c r="E114" s="1432" t="s">
        <v>122</v>
      </c>
      <c r="F114" s="1432" t="s">
        <v>206</v>
      </c>
      <c r="G114" s="1432" t="s">
        <v>173</v>
      </c>
      <c r="H114" s="11" t="s">
        <v>207</v>
      </c>
      <c r="I114" s="707" t="s">
        <v>126</v>
      </c>
      <c r="J114" s="707" t="s">
        <v>127</v>
      </c>
      <c r="K114" s="52"/>
      <c r="L114" s="66"/>
      <c r="M114" s="122"/>
      <c r="N114" s="122"/>
      <c r="O114" s="122"/>
      <c r="P114" s="122"/>
      <c r="Q114" s="122"/>
      <c r="R114" s="122"/>
      <c r="S114" s="122"/>
      <c r="T114" s="122"/>
      <c r="U114" s="122"/>
      <c r="V114" s="856" t="s">
        <v>42</v>
      </c>
      <c r="W114" s="1038" t="str">
        <f>$F$114</f>
        <v>kWControlled</v>
      </c>
      <c r="X114" s="15" t="str">
        <f t="shared" ref="X114:AG114" si="29">$F$114</f>
        <v>kWControlled</v>
      </c>
      <c r="Y114" s="15" t="str">
        <f t="shared" si="29"/>
        <v>kWControlled</v>
      </c>
      <c r="Z114" s="15" t="str">
        <f t="shared" si="29"/>
        <v>kWControlled</v>
      </c>
      <c r="AA114" s="15" t="str">
        <f t="shared" si="29"/>
        <v>kWControlled</v>
      </c>
      <c r="AB114" s="15" t="s">
        <v>206</v>
      </c>
      <c r="AC114" s="15" t="str">
        <f t="shared" si="29"/>
        <v>kWControlled</v>
      </c>
      <c r="AD114" s="15" t="str">
        <f t="shared" si="29"/>
        <v>kWControlled</v>
      </c>
      <c r="AE114" s="15" t="str">
        <f t="shared" si="29"/>
        <v>kWControlled</v>
      </c>
      <c r="AF114" s="15" t="str">
        <f t="shared" si="29"/>
        <v>kWControlled</v>
      </c>
      <c r="AG114" s="15" t="str">
        <f t="shared" si="29"/>
        <v>kWControlled</v>
      </c>
      <c r="AI114" s="856" t="s">
        <v>42</v>
      </c>
      <c r="AJ114" s="15" t="str">
        <f t="shared" ref="AJ114:AS114" si="30">$G$114</f>
        <v>Hours</v>
      </c>
      <c r="AK114" s="15" t="str">
        <f t="shared" si="30"/>
        <v>Hours</v>
      </c>
      <c r="AL114" s="15" t="str">
        <f t="shared" si="30"/>
        <v>Hours</v>
      </c>
      <c r="AM114" s="15" t="str">
        <f t="shared" si="30"/>
        <v>Hours</v>
      </c>
      <c r="AN114" s="15" t="str">
        <f t="shared" si="30"/>
        <v>Hours</v>
      </c>
      <c r="AO114" s="15" t="str">
        <f t="shared" si="30"/>
        <v>Hours</v>
      </c>
      <c r="AP114" s="15" t="str">
        <f t="shared" si="30"/>
        <v>Hours</v>
      </c>
      <c r="AQ114" s="15" t="str">
        <f t="shared" si="30"/>
        <v>Hours</v>
      </c>
      <c r="AR114" s="15" t="str">
        <f t="shared" si="30"/>
        <v>Hours</v>
      </c>
      <c r="AS114" s="15" t="str">
        <f t="shared" si="30"/>
        <v>Hours</v>
      </c>
      <c r="AU114" s="856" t="s">
        <v>42</v>
      </c>
      <c r="AV114" s="16" t="str">
        <f t="shared" ref="AV114:BE114" si="31">$H$114</f>
        <v>ESF</v>
      </c>
      <c r="AW114" s="16" t="str">
        <f t="shared" si="31"/>
        <v>ESF</v>
      </c>
      <c r="AX114" s="16" t="str">
        <f t="shared" si="31"/>
        <v>ESF</v>
      </c>
      <c r="AY114" s="16" t="str">
        <f t="shared" si="31"/>
        <v>ESF</v>
      </c>
      <c r="AZ114" s="16" t="str">
        <f t="shared" si="31"/>
        <v>ESF</v>
      </c>
      <c r="BA114" s="16" t="s">
        <v>207</v>
      </c>
      <c r="BB114" s="16" t="str">
        <f t="shared" si="31"/>
        <v>ESF</v>
      </c>
      <c r="BC114" s="16" t="str">
        <f t="shared" si="31"/>
        <v>ESF</v>
      </c>
      <c r="BD114" s="16" t="str">
        <f t="shared" si="31"/>
        <v>ESF</v>
      </c>
      <c r="BE114" s="16" t="str">
        <f t="shared" si="31"/>
        <v>ESF</v>
      </c>
      <c r="BG114" s="856" t="s">
        <v>42</v>
      </c>
      <c r="BH114" s="16" t="str">
        <f>$I$114</f>
        <v>WHFe + -IFkWh</v>
      </c>
      <c r="BI114" s="16" t="str">
        <f t="shared" ref="BI114:BQ114" si="32">$I$114</f>
        <v>WHFe + -IFkWh</v>
      </c>
      <c r="BJ114" s="16" t="str">
        <f t="shared" si="32"/>
        <v>WHFe + -IFkWh</v>
      </c>
      <c r="BK114" s="16" t="str">
        <f t="shared" si="32"/>
        <v>WHFe + -IFkWh</v>
      </c>
      <c r="BL114" s="16" t="str">
        <f t="shared" si="32"/>
        <v>WHFe + -IFkWh</v>
      </c>
      <c r="BM114" s="16" t="s">
        <v>126</v>
      </c>
      <c r="BN114" s="16" t="str">
        <f t="shared" si="32"/>
        <v>WHFe + -IFkWh</v>
      </c>
      <c r="BO114" s="16" t="str">
        <f t="shared" si="32"/>
        <v>WHFe + -IFkWh</v>
      </c>
      <c r="BP114" s="16" t="str">
        <f t="shared" si="32"/>
        <v>WHFe + -IFkWh</v>
      </c>
      <c r="BQ114" s="16" t="str">
        <f t="shared" si="32"/>
        <v>WHFe + -IFkWh</v>
      </c>
      <c r="BR114" s="2"/>
      <c r="BS114" s="1003" t="s">
        <v>42</v>
      </c>
      <c r="BT114" s="1003" t="s">
        <v>127</v>
      </c>
      <c r="BU114" s="1003" t="s">
        <v>127</v>
      </c>
      <c r="BV114" s="1003" t="s">
        <v>127</v>
      </c>
      <c r="BW114" s="1003" t="s">
        <v>127</v>
      </c>
      <c r="BX114" s="1003" t="s">
        <v>127</v>
      </c>
      <c r="BY114" s="1003" t="s">
        <v>127</v>
      </c>
      <c r="BZ114" s="1003" t="s">
        <v>127</v>
      </c>
      <c r="CA114" s="1003" t="s">
        <v>127</v>
      </c>
      <c r="CB114" s="1003" t="s">
        <v>127</v>
      </c>
      <c r="CC114" s="1003" t="s">
        <v>127</v>
      </c>
      <c r="CD114" s="1003" t="s">
        <v>127</v>
      </c>
      <c r="CF114" s="2"/>
      <c r="DE114" s="2"/>
      <c r="DF114" s="2"/>
      <c r="DG114" s="122"/>
      <c r="DH114" s="1065"/>
      <c r="DI114" s="122"/>
      <c r="DJ114" s="1168"/>
    </row>
    <row r="115" spans="1:114" s="9" customFormat="1" ht="15" customHeight="1" outlineLevel="1">
      <c r="A115" s="2"/>
      <c r="B115" s="122"/>
      <c r="C115" s="66"/>
      <c r="D115" s="679" t="str">
        <f>C98</f>
        <v>801010_2024_12_</v>
      </c>
      <c r="E115" s="474" t="str">
        <f>E98</f>
        <v>Fixture Mounted Occupancy Sensor Controlling &gt; 60 Watts, &lt;200 Watts</v>
      </c>
      <c r="F115" s="2009">
        <v>0.13800000000000001</v>
      </c>
      <c r="G115" s="2010">
        <v>4293.1629845769066</v>
      </c>
      <c r="H115" s="2011">
        <v>0.24</v>
      </c>
      <c r="I115" s="2012">
        <v>1.056</v>
      </c>
      <c r="J115" s="2012">
        <v>1.032</v>
      </c>
      <c r="K115" s="52"/>
      <c r="L115" s="66"/>
      <c r="M115" s="122"/>
      <c r="N115" s="122"/>
      <c r="O115" s="122"/>
      <c r="P115" s="122"/>
      <c r="Q115" s="122"/>
      <c r="R115" s="122"/>
      <c r="S115" s="122"/>
      <c r="T115" s="122"/>
      <c r="U115" s="122"/>
      <c r="V115" s="679" t="s">
        <v>208</v>
      </c>
      <c r="W115" s="54"/>
      <c r="X115" s="54"/>
      <c r="Y115" s="54"/>
      <c r="Z115" s="71"/>
      <c r="AA115" s="768">
        <v>0.13</v>
      </c>
      <c r="AB115" s="767">
        <v>0.13800000000000001</v>
      </c>
      <c r="AC115" s="846">
        <v>0.13800000000000001</v>
      </c>
      <c r="AD115" s="1035">
        <v>0.13800000000000001</v>
      </c>
      <c r="AE115" s="71">
        <v>0.13800000000000001</v>
      </c>
      <c r="AF115" s="71">
        <v>0.13800000000000001</v>
      </c>
      <c r="AG115" s="71"/>
      <c r="AH115" s="2"/>
      <c r="AI115" s="679" t="s">
        <v>208</v>
      </c>
      <c r="AJ115" s="54"/>
      <c r="AK115" s="54"/>
      <c r="AL115" s="71"/>
      <c r="AM115" s="71"/>
      <c r="AN115" s="311">
        <v>3351</v>
      </c>
      <c r="AO115" s="769">
        <v>3351</v>
      </c>
      <c r="AP115" s="847">
        <v>3351</v>
      </c>
      <c r="AQ115" s="1036">
        <v>3351</v>
      </c>
      <c r="AR115" s="1036">
        <v>4713.4677103718195</v>
      </c>
      <c r="AS115" s="278">
        <v>4293.1629845769066</v>
      </c>
      <c r="AT115" s="2"/>
      <c r="AU115" s="679" t="s">
        <v>208</v>
      </c>
      <c r="AV115" s="54"/>
      <c r="AW115" s="54"/>
      <c r="AX115" s="71"/>
      <c r="AY115" s="71"/>
      <c r="AZ115" s="676">
        <v>0.24</v>
      </c>
      <c r="BA115" s="771">
        <v>0.24</v>
      </c>
      <c r="BB115" s="771">
        <v>0.24</v>
      </c>
      <c r="BC115" s="1037">
        <v>0.24</v>
      </c>
      <c r="BD115" s="1037">
        <v>0.24</v>
      </c>
      <c r="BE115" s="1037">
        <v>0.24</v>
      </c>
      <c r="BF115" s="2"/>
      <c r="BG115" s="679" t="s">
        <v>208</v>
      </c>
      <c r="BH115" s="54"/>
      <c r="BI115" s="54"/>
      <c r="BJ115" s="54"/>
      <c r="BK115" s="71"/>
      <c r="BL115" s="676">
        <v>1.07</v>
      </c>
      <c r="BM115" s="648">
        <v>1.071</v>
      </c>
      <c r="BN115" s="648">
        <v>1.071</v>
      </c>
      <c r="BO115" s="727">
        <v>1.056</v>
      </c>
      <c r="BP115" s="1114">
        <v>1.056</v>
      </c>
      <c r="BQ115" s="1114">
        <v>1.056</v>
      </c>
      <c r="BR115" s="2"/>
      <c r="BS115" s="670" t="s">
        <v>208</v>
      </c>
      <c r="BT115" s="840"/>
      <c r="BU115" s="840"/>
      <c r="BV115" s="840"/>
      <c r="BW115" s="840"/>
      <c r="BX115" s="840"/>
      <c r="BY115" s="840"/>
      <c r="BZ115" s="840"/>
      <c r="CA115" s="727">
        <v>1.032</v>
      </c>
      <c r="CB115" s="1114">
        <v>1.032</v>
      </c>
      <c r="CC115" s="1114">
        <v>1.032</v>
      </c>
      <c r="CD115" s="676"/>
      <c r="CF115" s="2"/>
      <c r="DE115" s="2"/>
      <c r="DF115" s="2"/>
      <c r="DG115" s="122"/>
      <c r="DH115" s="1065"/>
      <c r="DI115" s="122"/>
      <c r="DJ115" s="1168"/>
    </row>
    <row r="116" spans="1:114" s="9" customFormat="1" ht="15" customHeight="1" outlineLevel="1">
      <c r="A116" s="2"/>
      <c r="B116" s="122"/>
      <c r="C116" s="66"/>
      <c r="D116" s="679" t="str">
        <f>C99</f>
        <v>801020_2024_12_</v>
      </c>
      <c r="E116" s="474" t="str">
        <f>E99</f>
        <v>Remote Mounted Occupancy Sensor Controlling &gt; 150 Watts</v>
      </c>
      <c r="F116" s="2009">
        <v>0.33800000000000002</v>
      </c>
      <c r="G116" s="2010">
        <v>6373.0262361251262</v>
      </c>
      <c r="H116" s="2011">
        <v>0.24</v>
      </c>
      <c r="I116" s="2012">
        <v>1.056</v>
      </c>
      <c r="J116" s="2012">
        <v>1.032</v>
      </c>
      <c r="K116" s="52"/>
      <c r="L116" s="66"/>
      <c r="M116" s="122"/>
      <c r="N116" s="122"/>
      <c r="O116" s="122"/>
      <c r="P116" s="122"/>
      <c r="Q116" s="122"/>
      <c r="R116" s="122"/>
      <c r="S116" s="122"/>
      <c r="T116" s="122"/>
      <c r="U116" s="122"/>
      <c r="V116" s="679" t="s">
        <v>209</v>
      </c>
      <c r="W116" s="54"/>
      <c r="X116" s="54"/>
      <c r="Y116" s="54"/>
      <c r="Z116" s="71"/>
      <c r="AA116" s="768">
        <v>0.33800000000000002</v>
      </c>
      <c r="AB116" s="767">
        <v>0.33800000000000002</v>
      </c>
      <c r="AC116" s="846">
        <v>0.33800000000000002</v>
      </c>
      <c r="AD116" s="1035">
        <v>0.33800000000000002</v>
      </c>
      <c r="AE116" s="71">
        <v>0.33800000000000002</v>
      </c>
      <c r="AF116" s="71">
        <v>0.33800000000000002</v>
      </c>
      <c r="AG116" s="71"/>
      <c r="AH116" s="2"/>
      <c r="AI116" s="679" t="s">
        <v>209</v>
      </c>
      <c r="AJ116" s="54"/>
      <c r="AK116" s="54"/>
      <c r="AL116" s="71"/>
      <c r="AM116" s="71"/>
      <c r="AN116" s="311">
        <v>3351</v>
      </c>
      <c r="AO116" s="769">
        <v>3351</v>
      </c>
      <c r="AP116" s="847">
        <v>3351</v>
      </c>
      <c r="AQ116" s="1036">
        <v>3351</v>
      </c>
      <c r="AR116" s="1036">
        <v>2817.3612774451099</v>
      </c>
      <c r="AS116" s="278">
        <v>6373.0262361251262</v>
      </c>
      <c r="AT116" s="2"/>
      <c r="AU116" s="679" t="s">
        <v>209</v>
      </c>
      <c r="AV116" s="54"/>
      <c r="AW116" s="54"/>
      <c r="AX116" s="71"/>
      <c r="AY116" s="71"/>
      <c r="AZ116" s="676">
        <v>0.24</v>
      </c>
      <c r="BA116" s="771">
        <v>0.24</v>
      </c>
      <c r="BB116" s="771">
        <v>0.24</v>
      </c>
      <c r="BC116" s="1037">
        <v>0.24</v>
      </c>
      <c r="BD116" s="1037">
        <v>0.24</v>
      </c>
      <c r="BE116" s="1037">
        <v>0.24</v>
      </c>
      <c r="BF116" s="2"/>
      <c r="BG116" s="679" t="s">
        <v>209</v>
      </c>
      <c r="BH116" s="54"/>
      <c r="BI116" s="54"/>
      <c r="BJ116" s="54"/>
      <c r="BK116" s="71"/>
      <c r="BL116" s="676">
        <v>1.07</v>
      </c>
      <c r="BM116" s="648">
        <v>1.071</v>
      </c>
      <c r="BN116" s="648">
        <v>1.071</v>
      </c>
      <c r="BO116" s="727">
        <v>1.056</v>
      </c>
      <c r="BP116" s="1114">
        <v>1.056</v>
      </c>
      <c r="BQ116" s="1114">
        <v>1.056</v>
      </c>
      <c r="BR116" s="2"/>
      <c r="BS116" s="670" t="s">
        <v>209</v>
      </c>
      <c r="BT116" s="840"/>
      <c r="BU116" s="840"/>
      <c r="BV116" s="840"/>
      <c r="BW116" s="840"/>
      <c r="BX116" s="840"/>
      <c r="BY116" s="840"/>
      <c r="BZ116" s="840"/>
      <c r="CA116" s="727">
        <v>1.032</v>
      </c>
      <c r="CB116" s="1114">
        <v>1.032</v>
      </c>
      <c r="CC116" s="1114">
        <v>1.032</v>
      </c>
      <c r="CD116" s="676"/>
      <c r="CF116" s="2"/>
      <c r="DE116" s="2"/>
      <c r="DF116" s="2"/>
      <c r="DG116" s="122"/>
      <c r="DH116" s="1065"/>
      <c r="DI116" s="122"/>
      <c r="DJ116" s="1168"/>
    </row>
    <row r="117" spans="1:114" s="3044" customFormat="1" ht="15" customHeight="1" outlineLevel="1">
      <c r="A117" s="3517"/>
      <c r="B117" s="2697"/>
      <c r="C117" s="2086"/>
      <c r="D117" s="3598" t="str">
        <f t="shared" ref="D117:D119" si="33">C100</f>
        <v>801025_2024_12_</v>
      </c>
      <c r="E117" s="3599" t="str">
        <f t="shared" ref="E117:E119" si="34">E100</f>
        <v>High End TRIM with Network Lighting Controls</v>
      </c>
      <c r="F117" s="3600">
        <v>1</v>
      </c>
      <c r="G117" s="3627">
        <v>3636</v>
      </c>
      <c r="H117" s="3628">
        <v>0.11</v>
      </c>
      <c r="I117" s="3555">
        <v>1.056</v>
      </c>
      <c r="J117" s="3555">
        <v>1.032</v>
      </c>
      <c r="K117" s="635"/>
      <c r="L117" s="2086"/>
      <c r="M117" s="2697"/>
      <c r="N117" s="2697"/>
      <c r="O117" s="2697"/>
      <c r="P117" s="2697"/>
      <c r="Q117" s="2697"/>
      <c r="R117" s="2697"/>
      <c r="S117" s="2697"/>
      <c r="T117" s="2697"/>
      <c r="U117" s="2697"/>
      <c r="V117" s="3598"/>
      <c r="W117" s="3223"/>
      <c r="X117" s="3223"/>
      <c r="Y117" s="3223"/>
      <c r="Z117" s="2413"/>
      <c r="AA117" s="3629">
        <v>0.33800000000000002</v>
      </c>
      <c r="AB117" s="3630">
        <v>0.33800000000000002</v>
      </c>
      <c r="AC117" s="3582">
        <v>0.33800000000000002</v>
      </c>
      <c r="AD117" s="3631">
        <v>0.33800000000000002</v>
      </c>
      <c r="AE117" s="2413">
        <v>0.33800000000000002</v>
      </c>
      <c r="AF117" s="2413">
        <v>0.33800000000000002</v>
      </c>
      <c r="AG117" s="2413"/>
      <c r="AH117" s="3517"/>
      <c r="AI117" s="3598" t="s">
        <v>209</v>
      </c>
      <c r="AJ117" s="3223"/>
      <c r="AK117" s="3223"/>
      <c r="AL117" s="2413"/>
      <c r="AM117" s="2413"/>
      <c r="AN117" s="2494">
        <v>3351</v>
      </c>
      <c r="AO117" s="3632">
        <v>3351</v>
      </c>
      <c r="AP117" s="3618">
        <v>3351</v>
      </c>
      <c r="AQ117" s="3633">
        <v>3351</v>
      </c>
      <c r="AR117" s="3633">
        <v>2817.3612774451099</v>
      </c>
      <c r="AS117" s="3634">
        <v>6373.0262361251262</v>
      </c>
      <c r="AT117" s="3517"/>
      <c r="AU117" s="3598" t="s">
        <v>209</v>
      </c>
      <c r="AV117" s="3223"/>
      <c r="AW117" s="3223"/>
      <c r="AX117" s="2413"/>
      <c r="AY117" s="2413"/>
      <c r="AZ117" s="2724">
        <v>0.24</v>
      </c>
      <c r="BA117" s="3635">
        <v>0.24</v>
      </c>
      <c r="BB117" s="3635">
        <v>0.24</v>
      </c>
      <c r="BC117" s="3636">
        <v>0.24</v>
      </c>
      <c r="BD117" s="3636">
        <v>0.24</v>
      </c>
      <c r="BE117" s="3636">
        <v>0.24</v>
      </c>
      <c r="BF117" s="3517"/>
      <c r="BG117" s="3598" t="s">
        <v>209</v>
      </c>
      <c r="BH117" s="3223"/>
      <c r="BI117" s="3223"/>
      <c r="BJ117" s="3223"/>
      <c r="BK117" s="2413"/>
      <c r="BL117" s="2724">
        <v>1.07</v>
      </c>
      <c r="BM117" s="3222">
        <v>1.071</v>
      </c>
      <c r="BN117" s="3222">
        <v>1.071</v>
      </c>
      <c r="BO117" s="2959">
        <v>1.056</v>
      </c>
      <c r="BP117" s="3556">
        <v>1.056</v>
      </c>
      <c r="BQ117" s="3556">
        <v>1.056</v>
      </c>
      <c r="BR117" s="3517"/>
      <c r="BS117" s="2709" t="s">
        <v>209</v>
      </c>
      <c r="BT117" s="3531"/>
      <c r="BU117" s="3531"/>
      <c r="BV117" s="3531"/>
      <c r="BW117" s="3531"/>
      <c r="BX117" s="3531"/>
      <c r="BY117" s="3531"/>
      <c r="BZ117" s="3531"/>
      <c r="CA117" s="2959">
        <v>1.032</v>
      </c>
      <c r="CB117" s="3556">
        <v>1.032</v>
      </c>
      <c r="CC117" s="3556">
        <v>1.032</v>
      </c>
      <c r="CD117" s="2724"/>
      <c r="CF117" s="3517"/>
      <c r="DE117" s="3517"/>
      <c r="DF117" s="3517"/>
      <c r="DG117" s="2697"/>
      <c r="DH117" s="3597"/>
      <c r="DI117" s="2697"/>
      <c r="DJ117" s="3552"/>
    </row>
    <row r="118" spans="1:114" s="3044" customFormat="1" ht="15" customHeight="1" outlineLevel="1">
      <c r="A118" s="3517"/>
      <c r="B118" s="2697"/>
      <c r="C118" s="2086"/>
      <c r="D118" s="3598" t="str">
        <f t="shared" si="33"/>
        <v>801030_2024_12_</v>
      </c>
      <c r="E118" s="3599" t="str">
        <f t="shared" si="34"/>
        <v>High End TRIM with Network Lighting Controls installed with Luminaire Level Lighting Control LED Fixtures</v>
      </c>
      <c r="F118" s="3600">
        <v>1</v>
      </c>
      <c r="G118" s="3627">
        <v>3636</v>
      </c>
      <c r="H118" s="3628">
        <v>0.28000000000000003</v>
      </c>
      <c r="I118" s="3555">
        <v>1.056</v>
      </c>
      <c r="J118" s="3555">
        <v>1.032</v>
      </c>
      <c r="K118" s="635"/>
      <c r="L118" s="2086"/>
      <c r="M118" s="2697"/>
      <c r="N118" s="2697"/>
      <c r="O118" s="2697"/>
      <c r="P118" s="2697"/>
      <c r="Q118" s="2697"/>
      <c r="R118" s="2697"/>
      <c r="S118" s="2697"/>
      <c r="T118" s="2697"/>
      <c r="U118" s="2697"/>
      <c r="V118" s="3598"/>
      <c r="W118" s="3223"/>
      <c r="X118" s="3223"/>
      <c r="Y118" s="3223"/>
      <c r="Z118" s="2413"/>
      <c r="AA118" s="3629">
        <v>0.33800000000000002</v>
      </c>
      <c r="AB118" s="3630">
        <v>0.33800000000000002</v>
      </c>
      <c r="AC118" s="3582">
        <v>0.33800000000000002</v>
      </c>
      <c r="AD118" s="3631">
        <v>0.33800000000000002</v>
      </c>
      <c r="AE118" s="2413">
        <v>0.33800000000000002</v>
      </c>
      <c r="AF118" s="2413">
        <v>0.33800000000000002</v>
      </c>
      <c r="AG118" s="2413"/>
      <c r="AH118" s="3517"/>
      <c r="AI118" s="3598" t="s">
        <v>209</v>
      </c>
      <c r="AJ118" s="3223"/>
      <c r="AK118" s="3223"/>
      <c r="AL118" s="2413"/>
      <c r="AM118" s="2413"/>
      <c r="AN118" s="2494">
        <v>3351</v>
      </c>
      <c r="AO118" s="3632">
        <v>3351</v>
      </c>
      <c r="AP118" s="3618">
        <v>3351</v>
      </c>
      <c r="AQ118" s="3633">
        <v>3351</v>
      </c>
      <c r="AR118" s="3633">
        <v>2817.3612774451099</v>
      </c>
      <c r="AS118" s="3634">
        <v>6373.0262361251262</v>
      </c>
      <c r="AT118" s="3517"/>
      <c r="AU118" s="3598" t="s">
        <v>209</v>
      </c>
      <c r="AV118" s="3223"/>
      <c r="AW118" s="3223"/>
      <c r="AX118" s="2413"/>
      <c r="AY118" s="2413"/>
      <c r="AZ118" s="2724">
        <v>0.24</v>
      </c>
      <c r="BA118" s="3635">
        <v>0.24</v>
      </c>
      <c r="BB118" s="3635">
        <v>0.24</v>
      </c>
      <c r="BC118" s="3636">
        <v>0.24</v>
      </c>
      <c r="BD118" s="3636">
        <v>0.24</v>
      </c>
      <c r="BE118" s="3636">
        <v>0.24</v>
      </c>
      <c r="BF118" s="3517"/>
      <c r="BG118" s="3598" t="s">
        <v>209</v>
      </c>
      <c r="BH118" s="3223"/>
      <c r="BI118" s="3223"/>
      <c r="BJ118" s="3223"/>
      <c r="BK118" s="2413"/>
      <c r="BL118" s="2724">
        <v>1.07</v>
      </c>
      <c r="BM118" s="3222">
        <v>1.071</v>
      </c>
      <c r="BN118" s="3222">
        <v>1.071</v>
      </c>
      <c r="BO118" s="2959">
        <v>1.056</v>
      </c>
      <c r="BP118" s="3556">
        <v>1.056</v>
      </c>
      <c r="BQ118" s="3556">
        <v>1.056</v>
      </c>
      <c r="BR118" s="3517"/>
      <c r="BS118" s="2709" t="s">
        <v>209</v>
      </c>
      <c r="BT118" s="3531"/>
      <c r="BU118" s="3531"/>
      <c r="BV118" s="3531"/>
      <c r="BW118" s="3531"/>
      <c r="BX118" s="3531"/>
      <c r="BY118" s="3531"/>
      <c r="BZ118" s="3531"/>
      <c r="CA118" s="2959">
        <v>1.032</v>
      </c>
      <c r="CB118" s="3556">
        <v>1.032</v>
      </c>
      <c r="CC118" s="3556">
        <v>1.032</v>
      </c>
      <c r="CD118" s="2724"/>
      <c r="CF118" s="3517"/>
      <c r="DE118" s="3517"/>
      <c r="DF118" s="3517"/>
      <c r="DG118" s="2697"/>
      <c r="DH118" s="3597"/>
      <c r="DI118" s="2697"/>
      <c r="DJ118" s="3552"/>
    </row>
    <row r="119" spans="1:114" s="3044" customFormat="1" ht="15" customHeight="1" outlineLevel="1">
      <c r="A119" s="3517"/>
      <c r="B119" s="2697"/>
      <c r="C119" s="2086"/>
      <c r="D119" s="3598" t="str">
        <f t="shared" si="33"/>
        <v>801035_2024_12_</v>
      </c>
      <c r="E119" s="3599" t="str">
        <f t="shared" si="34"/>
        <v>NLC, LLLC Additional Control Strategy (Daylighting,dimming,personal level control)</v>
      </c>
      <c r="F119" s="3600">
        <v>1</v>
      </c>
      <c r="G119" s="3627">
        <v>3636</v>
      </c>
      <c r="H119" s="3628">
        <v>0.1</v>
      </c>
      <c r="I119" s="3555">
        <v>1.056</v>
      </c>
      <c r="J119" s="3555">
        <v>1.032</v>
      </c>
      <c r="K119" s="635"/>
      <c r="L119" s="2086"/>
      <c r="M119" s="2697"/>
      <c r="N119" s="2697"/>
      <c r="O119" s="2697"/>
      <c r="P119" s="2697"/>
      <c r="Q119" s="2697"/>
      <c r="R119" s="2697"/>
      <c r="S119" s="2697"/>
      <c r="T119" s="2697"/>
      <c r="U119" s="2697"/>
      <c r="V119" s="3598"/>
      <c r="W119" s="3223"/>
      <c r="X119" s="3223"/>
      <c r="Y119" s="3223"/>
      <c r="Z119" s="2413"/>
      <c r="AA119" s="3629">
        <v>0.33800000000000002</v>
      </c>
      <c r="AB119" s="3630">
        <v>0.33800000000000002</v>
      </c>
      <c r="AC119" s="3582">
        <v>0.33800000000000002</v>
      </c>
      <c r="AD119" s="3631">
        <v>0.33800000000000002</v>
      </c>
      <c r="AE119" s="2413">
        <v>0.33800000000000002</v>
      </c>
      <c r="AF119" s="2413">
        <v>0.33800000000000002</v>
      </c>
      <c r="AG119" s="2413"/>
      <c r="AH119" s="3517"/>
      <c r="AI119" s="3598" t="s">
        <v>209</v>
      </c>
      <c r="AJ119" s="3223"/>
      <c r="AK119" s="3223"/>
      <c r="AL119" s="2413"/>
      <c r="AM119" s="2413"/>
      <c r="AN119" s="2494">
        <v>3351</v>
      </c>
      <c r="AO119" s="3632">
        <v>3351</v>
      </c>
      <c r="AP119" s="3618">
        <v>3351</v>
      </c>
      <c r="AQ119" s="3633">
        <v>3351</v>
      </c>
      <c r="AR119" s="3633">
        <v>2817.3612774451099</v>
      </c>
      <c r="AS119" s="3634">
        <v>6373.0262361251262</v>
      </c>
      <c r="AT119" s="3517"/>
      <c r="AU119" s="3598" t="s">
        <v>209</v>
      </c>
      <c r="AV119" s="3223"/>
      <c r="AW119" s="3223"/>
      <c r="AX119" s="2413"/>
      <c r="AY119" s="2413"/>
      <c r="AZ119" s="2724">
        <v>0.24</v>
      </c>
      <c r="BA119" s="3635">
        <v>0.24</v>
      </c>
      <c r="BB119" s="3635">
        <v>0.24</v>
      </c>
      <c r="BC119" s="3636">
        <v>0.24</v>
      </c>
      <c r="BD119" s="3636">
        <v>0.24</v>
      </c>
      <c r="BE119" s="3636">
        <v>0.24</v>
      </c>
      <c r="BF119" s="3517"/>
      <c r="BG119" s="3598" t="s">
        <v>209</v>
      </c>
      <c r="BH119" s="3223"/>
      <c r="BI119" s="3223"/>
      <c r="BJ119" s="3223"/>
      <c r="BK119" s="2413"/>
      <c r="BL119" s="2724">
        <v>1.07</v>
      </c>
      <c r="BM119" s="3222">
        <v>1.071</v>
      </c>
      <c r="BN119" s="3222">
        <v>1.071</v>
      </c>
      <c r="BO119" s="2959">
        <v>1.056</v>
      </c>
      <c r="BP119" s="3556">
        <v>1.056</v>
      </c>
      <c r="BQ119" s="3556">
        <v>1.056</v>
      </c>
      <c r="BR119" s="3517"/>
      <c r="BS119" s="2709" t="s">
        <v>209</v>
      </c>
      <c r="BT119" s="3531"/>
      <c r="BU119" s="3531"/>
      <c r="BV119" s="3531"/>
      <c r="BW119" s="3531"/>
      <c r="BX119" s="3531"/>
      <c r="BY119" s="3531"/>
      <c r="BZ119" s="3531"/>
      <c r="CA119" s="2959">
        <v>1.032</v>
      </c>
      <c r="CB119" s="3556">
        <v>1.032</v>
      </c>
      <c r="CC119" s="3556">
        <v>1.032</v>
      </c>
      <c r="CD119" s="2724"/>
      <c r="CF119" s="3517"/>
      <c r="DE119" s="3517"/>
      <c r="DF119" s="3517"/>
      <c r="DG119" s="2697"/>
      <c r="DH119" s="3597"/>
      <c r="DI119" s="2697"/>
      <c r="DJ119" s="3552"/>
    </row>
    <row r="120" spans="1:114" s="9" customFormat="1">
      <c r="A120" s="2"/>
      <c r="B120" s="122"/>
      <c r="C120" s="66"/>
      <c r="D120" s="483" t="s">
        <v>210</v>
      </c>
      <c r="E120" s="483"/>
      <c r="F120" s="484"/>
      <c r="G120" s="484"/>
      <c r="H120" s="485"/>
      <c r="I120" s="484"/>
      <c r="J120" s="484"/>
      <c r="K120" s="122"/>
      <c r="L120" s="66"/>
      <c r="M120" s="122"/>
      <c r="N120" s="122"/>
      <c r="O120" s="122"/>
      <c r="P120" s="122"/>
      <c r="Q120" s="122"/>
      <c r="R120" s="122"/>
      <c r="S120" s="122"/>
      <c r="T120" s="122"/>
      <c r="U120" s="122"/>
      <c r="BR120" s="2"/>
      <c r="BS120" s="2"/>
      <c r="DE120" s="2"/>
      <c r="DF120" s="2"/>
      <c r="DG120" s="1065"/>
      <c r="DH120" s="122"/>
      <c r="DI120" s="122"/>
      <c r="DJ120" s="1168"/>
    </row>
    <row r="121" spans="1:114" s="9" customFormat="1">
      <c r="A121" s="2"/>
      <c r="B121" s="122"/>
      <c r="C121" s="66"/>
      <c r="D121" s="66"/>
      <c r="E121" s="66"/>
      <c r="F121" s="66"/>
      <c r="G121" s="484"/>
      <c r="H121" s="485"/>
      <c r="I121" s="484"/>
      <c r="J121" s="484"/>
      <c r="K121" s="122"/>
      <c r="L121" s="66"/>
      <c r="M121" s="122"/>
      <c r="N121" s="122"/>
      <c r="O121" s="122"/>
      <c r="P121" s="122"/>
      <c r="Q121" s="122"/>
      <c r="R121" s="122"/>
      <c r="S121" s="122"/>
      <c r="T121" s="122"/>
      <c r="U121" s="122"/>
      <c r="BR121" s="2"/>
      <c r="BS121" s="2"/>
      <c r="DE121" s="2"/>
      <c r="DF121" s="2"/>
      <c r="DG121" s="1065"/>
      <c r="DH121" s="122"/>
      <c r="DI121" s="122"/>
      <c r="DJ121" s="1168"/>
    </row>
    <row r="122" spans="1:114" s="9" customFormat="1">
      <c r="A122" s="2"/>
      <c r="C122" s="66"/>
      <c r="D122" s="66"/>
      <c r="E122" s="66"/>
      <c r="F122" s="66"/>
      <c r="G122" s="484"/>
      <c r="H122" s="485"/>
      <c r="I122" s="484"/>
      <c r="J122" s="484"/>
      <c r="K122" s="122"/>
      <c r="L122" s="66"/>
      <c r="M122" s="122"/>
      <c r="N122" s="122"/>
      <c r="O122" s="122"/>
      <c r="P122" s="122"/>
      <c r="Q122" s="122"/>
      <c r="R122" s="122"/>
      <c r="S122" s="122"/>
      <c r="T122" s="122"/>
      <c r="U122" s="122"/>
      <c r="DE122" s="2"/>
      <c r="DF122" s="2"/>
      <c r="DG122" s="1065"/>
      <c r="DH122" s="122"/>
      <c r="DI122" s="122"/>
      <c r="DJ122" s="1168"/>
    </row>
    <row r="123" spans="1:114" s="3564" customFormat="1">
      <c r="A123" s="3517"/>
      <c r="B123" s="3992" t="s">
        <v>211</v>
      </c>
      <c r="C123" s="3993"/>
      <c r="D123" s="3993"/>
      <c r="E123" s="3993"/>
      <c r="F123" s="3993"/>
      <c r="G123" s="3993"/>
      <c r="H123" s="3993"/>
      <c r="I123" s="4822"/>
      <c r="J123" s="4822"/>
      <c r="K123" s="4822"/>
      <c r="L123" s="4822"/>
      <c r="M123" s="4823"/>
      <c r="N123" s="4823"/>
      <c r="O123" s="4824"/>
      <c r="V123" s="2203" t="str">
        <f>B123</f>
        <v>Lighting - LED with `Luminaire Level Lighting Controls (LLLC)</v>
      </c>
      <c r="W123" s="2204"/>
      <c r="X123" s="2204"/>
      <c r="Y123" s="2204"/>
      <c r="Z123" s="2204"/>
      <c r="AA123" s="2204"/>
      <c r="AB123" s="2204"/>
      <c r="AC123" s="2204"/>
      <c r="AD123" s="2204"/>
      <c r="AE123" s="2204"/>
      <c r="AF123" s="2204"/>
      <c r="AG123" s="2204"/>
      <c r="AH123" s="2204"/>
      <c r="AI123" s="3474"/>
      <c r="AJ123" s="3517"/>
      <c r="AK123" s="3517"/>
      <c r="AL123" s="3517"/>
      <c r="AM123" s="3517"/>
      <c r="AN123" s="3517"/>
      <c r="AO123" s="3517"/>
      <c r="AP123" s="3517"/>
      <c r="AQ123" s="3517"/>
      <c r="AR123" s="3517"/>
      <c r="AS123" s="3517"/>
      <c r="AT123" s="3517"/>
      <c r="AU123" s="3517"/>
      <c r="CK123" s="2723"/>
      <c r="DE123" s="3517"/>
      <c r="DF123" s="3517"/>
      <c r="DG123" s="3566"/>
      <c r="DH123" s="2086"/>
      <c r="DI123" s="2086"/>
      <c r="DJ123" s="3567"/>
    </row>
    <row r="124" spans="1:114" s="3044" customFormat="1">
      <c r="A124" s="3517"/>
      <c r="C124" s="2086"/>
      <c r="D124" s="2086"/>
      <c r="E124" s="2086"/>
      <c r="F124" s="2086"/>
      <c r="G124" s="2086"/>
      <c r="H124" s="2086"/>
      <c r="I124" s="3637"/>
      <c r="J124" s="3637"/>
      <c r="K124" s="2697"/>
      <c r="L124" s="2086"/>
      <c r="M124" s="2697"/>
      <c r="N124" s="2697"/>
      <c r="O124" s="2697"/>
      <c r="P124" s="2697"/>
      <c r="Q124" s="2697"/>
      <c r="R124" s="2697"/>
      <c r="S124" s="2697"/>
      <c r="T124" s="2697"/>
      <c r="U124" s="2697"/>
      <c r="DE124" s="3517"/>
      <c r="DF124" s="3517"/>
      <c r="DG124" s="3597"/>
      <c r="DH124" s="2697"/>
      <c r="DI124" s="2697"/>
      <c r="DJ124" s="3552"/>
    </row>
    <row r="125" spans="1:114" s="3044" customFormat="1" ht="30">
      <c r="A125" s="3517"/>
      <c r="C125" s="3570" t="s">
        <v>42</v>
      </c>
      <c r="D125" s="2280" t="s">
        <v>43</v>
      </c>
      <c r="E125" s="2280" t="s">
        <v>44</v>
      </c>
      <c r="F125" s="2280" t="s">
        <v>45</v>
      </c>
      <c r="G125" s="2280" t="s">
        <v>46</v>
      </c>
      <c r="H125" s="3571" t="s">
        <v>47</v>
      </c>
      <c r="I125" s="2280" t="s">
        <v>48</v>
      </c>
      <c r="J125" s="2280" t="s">
        <v>49</v>
      </c>
      <c r="K125" s="3570" t="s">
        <v>50</v>
      </c>
      <c r="L125" s="3570" t="s">
        <v>51</v>
      </c>
      <c r="M125" s="2697"/>
      <c r="N125" s="2697"/>
      <c r="O125" s="2697"/>
      <c r="P125" s="2697"/>
      <c r="Q125" s="2697"/>
      <c r="R125" s="2697"/>
      <c r="S125" s="2697"/>
      <c r="T125" s="2697"/>
      <c r="U125" s="2697"/>
      <c r="V125" s="2640" t="s">
        <v>52</v>
      </c>
      <c r="W125" s="2641">
        <f>$W$8</f>
        <v>43252</v>
      </c>
      <c r="X125" s="2641">
        <f>$X$8</f>
        <v>43465</v>
      </c>
      <c r="Y125" s="2641">
        <f>$Y$8</f>
        <v>43800</v>
      </c>
      <c r="Z125" s="2641">
        <f>$Z$8</f>
        <v>43862</v>
      </c>
      <c r="AA125" s="2641">
        <f>$AA$8</f>
        <v>44013</v>
      </c>
      <c r="AB125" s="2641">
        <v>44166</v>
      </c>
      <c r="AC125" s="2641">
        <f>$AC$8</f>
        <v>44531</v>
      </c>
      <c r="AD125" s="2641">
        <f>$AD$8</f>
        <v>44774</v>
      </c>
      <c r="AE125" s="2641">
        <f>$AE$8</f>
        <v>45142</v>
      </c>
      <c r="AF125" s="2641">
        <f>$AF$8</f>
        <v>45672</v>
      </c>
      <c r="AG125" s="2641" t="str">
        <f>$AG$8</f>
        <v>-</v>
      </c>
      <c r="AI125" s="2640" t="s">
        <v>52</v>
      </c>
      <c r="AJ125" s="2641">
        <f t="shared" ref="AJ125:AS125" si="35">W125</f>
        <v>43252</v>
      </c>
      <c r="AK125" s="2641">
        <f t="shared" si="35"/>
        <v>43465</v>
      </c>
      <c r="AL125" s="2641">
        <f t="shared" si="35"/>
        <v>43800</v>
      </c>
      <c r="AM125" s="2641">
        <f t="shared" si="35"/>
        <v>43862</v>
      </c>
      <c r="AN125" s="2641">
        <f t="shared" si="35"/>
        <v>44013</v>
      </c>
      <c r="AO125" s="2641">
        <f t="shared" si="35"/>
        <v>44166</v>
      </c>
      <c r="AP125" s="2641">
        <f t="shared" si="35"/>
        <v>44531</v>
      </c>
      <c r="AQ125" s="2641">
        <f t="shared" si="35"/>
        <v>44774</v>
      </c>
      <c r="AR125" s="2641">
        <f t="shared" si="35"/>
        <v>45142</v>
      </c>
      <c r="AS125" s="2641">
        <f t="shared" si="35"/>
        <v>45672</v>
      </c>
      <c r="AT125" s="3517"/>
      <c r="AU125" s="2640" t="s">
        <v>52</v>
      </c>
      <c r="AV125" s="2641">
        <f>W125</f>
        <v>43252</v>
      </c>
      <c r="AW125" s="2641">
        <f>X125</f>
        <v>43465</v>
      </c>
      <c r="AX125" s="2641">
        <f>Y125</f>
        <v>43800</v>
      </c>
      <c r="AY125" s="2641">
        <f>Z125</f>
        <v>43862</v>
      </c>
      <c r="AZ125" s="2641">
        <f>AA125</f>
        <v>44013</v>
      </c>
      <c r="BA125" s="2641">
        <v>44166</v>
      </c>
      <c r="BB125" s="2641">
        <f>AC125</f>
        <v>44531</v>
      </c>
      <c r="BC125" s="2641">
        <f>AD125</f>
        <v>44774</v>
      </c>
      <c r="BD125" s="2641">
        <f>AE125</f>
        <v>45142</v>
      </c>
      <c r="BE125" s="2641">
        <f>AF125</f>
        <v>45672</v>
      </c>
      <c r="DE125" s="3517"/>
      <c r="DF125" s="3517"/>
      <c r="DG125" s="2749" t="str">
        <f>$DG$8</f>
        <v>TRC (2025)</v>
      </c>
      <c r="DH125" s="2750" t="str">
        <f>$DH$8</f>
        <v>Benefit Lookup</v>
      </c>
      <c r="DI125" s="2750" t="str">
        <f>$DI$8</f>
        <v>Benefits (2025 $)</v>
      </c>
      <c r="DJ125" s="3572" t="str">
        <f>$DJ$8</f>
        <v>Incremental Cost (2025 $)</v>
      </c>
    </row>
    <row r="126" spans="1:114" s="3044" customFormat="1">
      <c r="A126" s="3517"/>
      <c r="B126" s="2208">
        <f t="shared" ref="B126:B130" si="36">VALUE(LEFT(C126,6))</f>
        <v>801243</v>
      </c>
      <c r="C126" s="3638" t="s">
        <v>212</v>
      </c>
      <c r="D126" s="3509" t="str">
        <f t="shared" ref="D126:D130" si="37">$D$98</f>
        <v>BSS</v>
      </c>
      <c r="E126" s="3639" t="str">
        <f>E141</f>
        <v>LED Fixture or Kit with LLLC controls replacing interior T5 (per watt reduced)</v>
      </c>
      <c r="F126" s="3510">
        <f>ROUND(((F141-G141)/1000)*H141*J141*L141,2)+(G141/1000)*H141*J141*L141*I141</f>
        <v>4.3520896000000002</v>
      </c>
      <c r="G126" s="3509" t="s">
        <v>61</v>
      </c>
      <c r="H126" s="3511">
        <f>VLOOKUP(G126,'CP FACTORS'!$A$26:$B$38,2,FALSE)</f>
        <v>1.899635E-4</v>
      </c>
      <c r="I126" s="3575">
        <f>ROUND(F126*H126*K141,6)</f>
        <v>8.5300000000000003E-4</v>
      </c>
      <c r="J126" s="3512">
        <v>15</v>
      </c>
      <c r="K126" s="3513">
        <f>(M141+P141)/(N141-O141)</f>
        <v>2.5695581014729951</v>
      </c>
      <c r="L126" s="3615" t="s">
        <v>213</v>
      </c>
      <c r="M126" s="2697"/>
      <c r="N126" s="2697"/>
      <c r="O126" s="2697"/>
      <c r="P126" s="2697"/>
      <c r="Q126" s="2697"/>
      <c r="R126" s="2697"/>
      <c r="S126" s="2697"/>
      <c r="T126" s="2697"/>
      <c r="U126" s="2697"/>
      <c r="V126" s="2460" t="s">
        <v>45</v>
      </c>
      <c r="W126" s="3223"/>
      <c r="X126" s="3223"/>
      <c r="Y126" s="3223"/>
      <c r="Z126" s="3223"/>
      <c r="AA126" s="3510"/>
      <c r="AB126" s="3223"/>
      <c r="AC126" s="3374"/>
      <c r="AD126" s="3510"/>
      <c r="AE126" s="3516"/>
      <c r="AF126" s="2236">
        <f t="shared" ref="AF126:AF130" si="38">IF(F126&lt;&gt;"",F126,"")</f>
        <v>4.3520896000000002</v>
      </c>
      <c r="AG126" s="3223"/>
      <c r="AH126" s="3517"/>
      <c r="AI126" s="2460" t="s">
        <v>49</v>
      </c>
      <c r="AJ126" s="3620"/>
      <c r="AK126" s="3620"/>
      <c r="AL126" s="3620"/>
      <c r="AM126" s="3223"/>
      <c r="AN126" s="3512"/>
      <c r="AO126" s="3640"/>
      <c r="AP126" s="3258"/>
      <c r="AQ126" s="3223"/>
      <c r="AR126" s="3224"/>
      <c r="AS126" s="3520">
        <v>15</v>
      </c>
      <c r="AT126" s="3517"/>
      <c r="AU126" s="2460"/>
      <c r="AV126" s="3622"/>
      <c r="AW126" s="3622"/>
      <c r="AX126" s="3622"/>
      <c r="AY126" s="3623"/>
      <c r="AZ126" s="3623"/>
      <c r="BA126" s="3589"/>
      <c r="BB126" s="3523"/>
      <c r="BC126" s="3523"/>
      <c r="BD126" s="3523"/>
      <c r="BE126" s="3589">
        <v>2.5695581014729951</v>
      </c>
      <c r="DE126" s="3517"/>
      <c r="DF126" s="3517"/>
      <c r="DG126" s="2429">
        <f>(DI126)/(DJ126)</f>
        <v>1.3020302348547959</v>
      </c>
      <c r="DH126" s="2423" t="str">
        <f t="shared" ref="DH126:DH130" si="39">CONCATENATE(G126," ",J126," Year EUL")</f>
        <v>Lighting BUS 15 Year EUL</v>
      </c>
      <c r="DI126" s="3536">
        <f>(INDEX('Avoided Cost Benefits'!$B$4:$B$865,MATCH(DH126,'Avoided Cost Benefits'!$A$4:$A$865,0)))*F126</f>
        <v>3.3456423383339273</v>
      </c>
      <c r="DJ126" s="2431">
        <f t="shared" ref="DJ126:DJ131" si="40">K126/(1.0686^(2025-2025))</f>
        <v>2.5695581014729951</v>
      </c>
    </row>
    <row r="127" spans="1:114" s="3044" customFormat="1">
      <c r="A127" s="3517"/>
      <c r="B127" s="2208">
        <f t="shared" si="36"/>
        <v>801245</v>
      </c>
      <c r="C127" s="3638" t="s">
        <v>214</v>
      </c>
      <c r="D127" s="3509" t="str">
        <f t="shared" si="37"/>
        <v>BSS</v>
      </c>
      <c r="E127" s="3639" t="str">
        <f>E142</f>
        <v>LED Fixture or Kit with LLLC controls replacing interior T8 (per watt reduced)</v>
      </c>
      <c r="F127" s="3510">
        <f>ROUND(((F142-G142)/1000)*H142*J142*L142,2)+(G142/1000)*H142*J142*L142*I142</f>
        <v>4.3520896000000002</v>
      </c>
      <c r="G127" s="3509" t="s">
        <v>61</v>
      </c>
      <c r="H127" s="3511">
        <f>VLOOKUP(G127,'CP FACTORS'!$A$26:$B$38,2,FALSE)</f>
        <v>1.899635E-4</v>
      </c>
      <c r="I127" s="3575">
        <f>ROUND(F127*H127*K142,6)</f>
        <v>8.5300000000000003E-4</v>
      </c>
      <c r="J127" s="3512">
        <v>15</v>
      </c>
      <c r="K127" s="3513">
        <f>(M142+P142)/(N142-O142)</f>
        <v>3.0424528301886795</v>
      </c>
      <c r="L127" s="3615" t="s">
        <v>213</v>
      </c>
      <c r="M127" s="2697"/>
      <c r="N127" s="2697"/>
      <c r="O127" s="2697"/>
      <c r="P127" s="2697"/>
      <c r="Q127" s="2697"/>
      <c r="R127" s="2697"/>
      <c r="S127" s="2697"/>
      <c r="T127" s="2697"/>
      <c r="U127" s="2697"/>
      <c r="V127" s="2460" t="s">
        <v>45</v>
      </c>
      <c r="W127" s="3223"/>
      <c r="X127" s="3223"/>
      <c r="Y127" s="3223"/>
      <c r="Z127" s="3223"/>
      <c r="AA127" s="3510"/>
      <c r="AB127" s="3223"/>
      <c r="AC127" s="3374"/>
      <c r="AD127" s="3510"/>
      <c r="AE127" s="3516"/>
      <c r="AF127" s="2236">
        <f t="shared" si="38"/>
        <v>4.3520896000000002</v>
      </c>
      <c r="AG127" s="3223"/>
      <c r="AH127" s="3517"/>
      <c r="AI127" s="2460" t="s">
        <v>49</v>
      </c>
      <c r="AJ127" s="3620"/>
      <c r="AK127" s="3620"/>
      <c r="AL127" s="3620"/>
      <c r="AM127" s="3223"/>
      <c r="AN127" s="3512"/>
      <c r="AO127" s="3640"/>
      <c r="AP127" s="3258"/>
      <c r="AQ127" s="3223"/>
      <c r="AR127" s="3224"/>
      <c r="AS127" s="3520">
        <v>15</v>
      </c>
      <c r="AT127" s="3517"/>
      <c r="AU127" s="2460"/>
      <c r="AV127" s="3622"/>
      <c r="AW127" s="3622"/>
      <c r="AX127" s="3622"/>
      <c r="AY127" s="3623"/>
      <c r="AZ127" s="3623"/>
      <c r="BA127" s="3589"/>
      <c r="BB127" s="3523"/>
      <c r="BC127" s="3523"/>
      <c r="BD127" s="3523"/>
      <c r="BE127" s="3589">
        <v>3.0424528301886795</v>
      </c>
      <c r="DE127" s="3517"/>
      <c r="DF127" s="3517"/>
      <c r="DG127" s="2429">
        <f>(DI127)/(DJ127)</f>
        <v>1.0996529856229342</v>
      </c>
      <c r="DH127" s="2423" t="str">
        <f t="shared" si="39"/>
        <v>Lighting BUS 15 Year EUL</v>
      </c>
      <c r="DI127" s="3536">
        <f>(INDEX('Avoided Cost Benefits'!$B$4:$B$865,MATCH(DH127,'Avoided Cost Benefits'!$A$4:$A$865,0)))*F127</f>
        <v>3.3456423383339273</v>
      </c>
      <c r="DJ127" s="2431">
        <f t="shared" si="40"/>
        <v>3.0424528301886795</v>
      </c>
    </row>
    <row r="128" spans="1:114" s="3044" customFormat="1">
      <c r="A128" s="3517"/>
      <c r="B128" s="2208">
        <f t="shared" si="36"/>
        <v>801247</v>
      </c>
      <c r="C128" s="3638" t="s">
        <v>215</v>
      </c>
      <c r="D128" s="3509" t="str">
        <f t="shared" si="37"/>
        <v>BSS</v>
      </c>
      <c r="E128" s="3639" t="str">
        <f>E143</f>
        <v>LED Fixture or Kit with LLLC controls replacing interior T12 (per watt reduced) - Before midlife baseline shift</v>
      </c>
      <c r="F128" s="3510">
        <f>ROUND(((F143-G143)/1000)*H143*J143*L143,2)+(G143/1000)*H143*J143*L143*I143</f>
        <v>4.3520896000000002</v>
      </c>
      <c r="G128" s="3509" t="s">
        <v>61</v>
      </c>
      <c r="H128" s="3511">
        <f>VLOOKUP(G128,'CP FACTORS'!$A$26:$B$38,2,FALSE)</f>
        <v>1.899635E-4</v>
      </c>
      <c r="I128" s="3575">
        <f>ROUND(F128*H128*K143,6)</f>
        <v>8.5300000000000003E-4</v>
      </c>
      <c r="J128" s="3512">
        <f>15/3</f>
        <v>5</v>
      </c>
      <c r="K128" s="3513">
        <f>(M143+P143)/(N143-O143)</f>
        <v>1.6559691912708601</v>
      </c>
      <c r="L128" s="3615" t="s">
        <v>213</v>
      </c>
      <c r="M128" s="2697"/>
      <c r="N128" s="2697"/>
      <c r="O128" s="2697"/>
      <c r="P128" s="2697"/>
      <c r="Q128" s="2697"/>
      <c r="R128" s="2697"/>
      <c r="S128" s="2697"/>
      <c r="T128" s="2697"/>
      <c r="U128" s="2697"/>
      <c r="V128" s="2460" t="s">
        <v>45</v>
      </c>
      <c r="W128" s="3223"/>
      <c r="X128" s="3223"/>
      <c r="Y128" s="3223"/>
      <c r="Z128" s="3223"/>
      <c r="AA128" s="3510"/>
      <c r="AB128" s="3223"/>
      <c r="AC128" s="3374"/>
      <c r="AD128" s="3510"/>
      <c r="AE128" s="3516"/>
      <c r="AF128" s="2236">
        <f t="shared" si="38"/>
        <v>4.3520896000000002</v>
      </c>
      <c r="AG128" s="3223"/>
      <c r="AH128" s="3517"/>
      <c r="AI128" s="2460" t="s">
        <v>49</v>
      </c>
      <c r="AJ128" s="3620"/>
      <c r="AK128" s="3620"/>
      <c r="AL128" s="3620"/>
      <c r="AM128" s="3223"/>
      <c r="AN128" s="3512"/>
      <c r="AO128" s="3640"/>
      <c r="AP128" s="3258"/>
      <c r="AQ128" s="3223"/>
      <c r="AR128" s="3224"/>
      <c r="AS128" s="3520">
        <v>15</v>
      </c>
      <c r="AT128" s="3517"/>
      <c r="AU128" s="2460"/>
      <c r="AV128" s="3622"/>
      <c r="AW128" s="3622"/>
      <c r="AX128" s="3622"/>
      <c r="AY128" s="3623"/>
      <c r="AZ128" s="3623"/>
      <c r="BA128" s="3589"/>
      <c r="BB128" s="3523"/>
      <c r="BC128" s="3523"/>
      <c r="BD128" s="3523"/>
      <c r="BE128" s="3589">
        <v>1.6559691912708601</v>
      </c>
      <c r="DE128" s="3517"/>
      <c r="DF128" s="3517"/>
      <c r="DG128" s="2429">
        <f>(DI128)/(DJ128)</f>
        <v>0.84512282085827173</v>
      </c>
      <c r="DH128" s="2423" t="str">
        <f t="shared" si="39"/>
        <v>Lighting BUS 5 Year EUL</v>
      </c>
      <c r="DI128" s="3536">
        <f>(INDEX('Avoided Cost Benefits'!$B$4:$B$865,MATCH(DH128,'Avoided Cost Benefits'!$A$4:$A$865,0)))*F128</f>
        <v>1.3994973541812201</v>
      </c>
      <c r="DJ128" s="2431">
        <f t="shared" si="40"/>
        <v>1.6559691912708601</v>
      </c>
    </row>
    <row r="129" spans="1:126" s="3044" customFormat="1">
      <c r="A129" s="3517"/>
      <c r="B129" s="2208">
        <f t="shared" si="36"/>
        <v>801249</v>
      </c>
      <c r="C129" s="3638" t="s">
        <v>216</v>
      </c>
      <c r="D129" s="3509" t="str">
        <f t="shared" si="37"/>
        <v>BSS</v>
      </c>
      <c r="E129" s="3639" t="str">
        <f>E144</f>
        <v>LED Fixture or Kit with LLLC controls replacing interior T12 (per watt reduced) - After midlife baseline shift</v>
      </c>
      <c r="F129" s="3510">
        <f>ROUND(((F144-G144)/1000)*H144*J144*L144,2)+(G144/1000)*H144*J144*L144*I144</f>
        <v>4.3520896000000002</v>
      </c>
      <c r="G129" s="3509" t="s">
        <v>61</v>
      </c>
      <c r="H129" s="3511">
        <f>VLOOKUP(G129,'CP FACTORS'!$A$26:$B$38,2,FALSE)</f>
        <v>1.899635E-4</v>
      </c>
      <c r="I129" s="3575">
        <f>ROUND(F129*H129*K144,6)</f>
        <v>8.5300000000000003E-4</v>
      </c>
      <c r="J129" s="3512">
        <f>15*2/3</f>
        <v>10</v>
      </c>
      <c r="K129" s="3513">
        <f>(M144+P144)/(N144-O144)</f>
        <v>0</v>
      </c>
      <c r="L129" s="3615" t="s">
        <v>213</v>
      </c>
      <c r="M129" s="2697"/>
      <c r="N129" s="2697"/>
      <c r="O129" s="2697"/>
      <c r="P129" s="2697"/>
      <c r="Q129" s="2697"/>
      <c r="R129" s="2697"/>
      <c r="S129" s="2697"/>
      <c r="T129" s="2697"/>
      <c r="U129" s="2697"/>
      <c r="V129" s="2460" t="s">
        <v>45</v>
      </c>
      <c r="W129" s="3223"/>
      <c r="X129" s="3223"/>
      <c r="Y129" s="3223"/>
      <c r="Z129" s="3223"/>
      <c r="AA129" s="3510"/>
      <c r="AB129" s="3223"/>
      <c r="AC129" s="3374"/>
      <c r="AD129" s="3510"/>
      <c r="AE129" s="3516"/>
      <c r="AF129" s="2236">
        <f t="shared" si="38"/>
        <v>4.3520896000000002</v>
      </c>
      <c r="AG129" s="3223"/>
      <c r="AH129" s="3517"/>
      <c r="AI129" s="2460" t="s">
        <v>49</v>
      </c>
      <c r="AJ129" s="3620"/>
      <c r="AK129" s="3620"/>
      <c r="AL129" s="3620"/>
      <c r="AM129" s="3223"/>
      <c r="AN129" s="3512"/>
      <c r="AO129" s="3640"/>
      <c r="AP129" s="3258"/>
      <c r="AQ129" s="3223"/>
      <c r="AR129" s="3224"/>
      <c r="AS129" s="3520">
        <v>15</v>
      </c>
      <c r="AT129" s="3517"/>
      <c r="AU129" s="2460"/>
      <c r="AV129" s="3622"/>
      <c r="AW129" s="3622"/>
      <c r="AX129" s="3622"/>
      <c r="AY129" s="3623"/>
      <c r="AZ129" s="3623"/>
      <c r="BA129" s="3589"/>
      <c r="BB129" s="3523"/>
      <c r="BC129" s="3523"/>
      <c r="BD129" s="3523"/>
      <c r="BE129" s="3589">
        <v>0</v>
      </c>
      <c r="DE129" s="3517"/>
      <c r="DF129" s="3517"/>
      <c r="DG129" s="2429" t="str">
        <f>IFERROR((DI129)/(DJ129),"n/a")</f>
        <v>n/a</v>
      </c>
      <c r="DH129" s="2423" t="str">
        <f t="shared" si="39"/>
        <v>Lighting BUS 10 Year EUL</v>
      </c>
      <c r="DI129" s="3536">
        <f>(INDEX('Avoided Cost Benefits'!$B$4:$B$865,MATCH(DH129,'Avoided Cost Benefits'!$A$4:$A$865,0)))*F129</f>
        <v>2.5007778085174035</v>
      </c>
      <c r="DJ129" s="2431">
        <f t="shared" si="40"/>
        <v>0</v>
      </c>
    </row>
    <row r="130" spans="1:126" s="3044" customFormat="1">
      <c r="A130" s="3517"/>
      <c r="B130" s="2208">
        <f t="shared" si="36"/>
        <v>801251</v>
      </c>
      <c r="C130" s="3638" t="s">
        <v>217</v>
      </c>
      <c r="D130" s="3509" t="str">
        <f t="shared" si="37"/>
        <v>BSS</v>
      </c>
      <c r="E130" s="3639" t="str">
        <f>E145</f>
        <v xml:space="preserve">LED Fixture or Kit with LLLC controls replacing interior high bay/low bay (per watt reduced) </v>
      </c>
      <c r="F130" s="3510">
        <f>ROUND(((F145-G145)/1000)*H145*J145*L145,2)+(G145/1000)*H145*J145*L145*I145</f>
        <v>5.1715673600000001</v>
      </c>
      <c r="G130" s="3509" t="s">
        <v>61</v>
      </c>
      <c r="H130" s="3511">
        <f>VLOOKUP(G130,'CP FACTORS'!$A$26:$B$38,2,FALSE)</f>
        <v>1.899635E-4</v>
      </c>
      <c r="I130" s="3575">
        <f>ROUND(F130*H130*K145,6)</f>
        <v>1.0139999999999999E-3</v>
      </c>
      <c r="J130" s="3512">
        <v>15</v>
      </c>
      <c r="K130" s="3513">
        <f>(M145+P145)/(N145-O145)</f>
        <v>0.65340909090909094</v>
      </c>
      <c r="L130" s="3615" t="s">
        <v>213</v>
      </c>
      <c r="M130" s="2697"/>
      <c r="N130" s="2697"/>
      <c r="O130" s="2697"/>
      <c r="P130" s="2697"/>
      <c r="Q130" s="2697"/>
      <c r="R130" s="2697"/>
      <c r="S130" s="2697"/>
      <c r="T130" s="2697"/>
      <c r="U130" s="2697"/>
      <c r="V130" s="2460" t="s">
        <v>45</v>
      </c>
      <c r="W130" s="3223"/>
      <c r="X130" s="3223"/>
      <c r="Y130" s="3223"/>
      <c r="Z130" s="3223"/>
      <c r="AA130" s="3510"/>
      <c r="AB130" s="3223"/>
      <c r="AC130" s="3374"/>
      <c r="AD130" s="3510"/>
      <c r="AE130" s="3516"/>
      <c r="AF130" s="2236">
        <f t="shared" si="38"/>
        <v>5.1715673600000001</v>
      </c>
      <c r="AG130" s="3223"/>
      <c r="AH130" s="3517"/>
      <c r="AI130" s="2460" t="s">
        <v>49</v>
      </c>
      <c r="AJ130" s="3620"/>
      <c r="AK130" s="3620"/>
      <c r="AL130" s="3620"/>
      <c r="AM130" s="3223"/>
      <c r="AN130" s="3512"/>
      <c r="AO130" s="3640"/>
      <c r="AP130" s="3258"/>
      <c r="AQ130" s="3223"/>
      <c r="AR130" s="3224"/>
      <c r="AS130" s="3520">
        <v>15</v>
      </c>
      <c r="AT130" s="3517"/>
      <c r="AU130" s="2460"/>
      <c r="AV130" s="3622"/>
      <c r="AW130" s="3622"/>
      <c r="AX130" s="3622"/>
      <c r="AY130" s="3623"/>
      <c r="AZ130" s="3623"/>
      <c r="BA130" s="3589"/>
      <c r="BB130" s="3523"/>
      <c r="BC130" s="3523"/>
      <c r="BD130" s="3523"/>
      <c r="BE130" s="3589">
        <v>0.65340909090909094</v>
      </c>
      <c r="DE130" s="3517"/>
      <c r="DF130" s="3517"/>
      <c r="DG130" s="2429">
        <f>(DI130)/(DJ130)</f>
        <v>6.0844131555213492</v>
      </c>
      <c r="DH130" s="2423" t="str">
        <f t="shared" si="39"/>
        <v>Lighting BUS 15 Year EUL</v>
      </c>
      <c r="DI130" s="3536">
        <f>(INDEX('Avoided Cost Benefits'!$B$4:$B$865,MATCH(DH130,'Avoided Cost Benefits'!$A$4:$A$865,0)))*F130</f>
        <v>3.9756108686645182</v>
      </c>
      <c r="DJ130" s="2431">
        <f t="shared" si="40"/>
        <v>0.65340909090909094</v>
      </c>
    </row>
    <row r="131" spans="1:126" s="3044" customFormat="1" ht="15" customHeight="1" outlineLevel="1">
      <c r="A131" s="3517"/>
      <c r="C131" s="635"/>
      <c r="D131" s="2624" t="s">
        <v>118</v>
      </c>
      <c r="E131" s="2993" t="s">
        <v>205</v>
      </c>
      <c r="F131" s="635"/>
      <c r="G131" s="3637"/>
      <c r="H131" s="3641"/>
      <c r="I131" s="3637"/>
      <c r="J131" s="3637"/>
      <c r="K131" s="2697"/>
      <c r="L131" s="2086"/>
      <c r="M131" s="2697"/>
      <c r="N131" s="2697"/>
      <c r="O131" s="2697"/>
      <c r="P131" s="2697"/>
      <c r="Q131" s="2697"/>
      <c r="R131" s="2697"/>
      <c r="S131" s="2697"/>
      <c r="T131" s="2697"/>
      <c r="U131" s="2697"/>
      <c r="DE131" s="3517"/>
      <c r="DF131" s="3517"/>
      <c r="DG131" s="2697"/>
      <c r="DH131" s="2697"/>
      <c r="DI131" s="2697"/>
      <c r="DJ131" s="3552">
        <f t="shared" si="40"/>
        <v>0</v>
      </c>
    </row>
    <row r="132" spans="1:126" s="3044" customFormat="1" ht="15" customHeight="1" outlineLevel="1">
      <c r="A132" s="3517"/>
      <c r="C132" s="635"/>
      <c r="D132" s="3564" t="s">
        <v>120</v>
      </c>
      <c r="E132" s="2697"/>
      <c r="F132" s="2697"/>
      <c r="G132" s="2697"/>
      <c r="H132" s="2697"/>
      <c r="I132" s="2697"/>
      <c r="J132" s="2697"/>
      <c r="K132" s="2697"/>
      <c r="L132" s="2086"/>
      <c r="M132" s="2697"/>
      <c r="N132" s="2697"/>
      <c r="O132" s="2697"/>
      <c r="P132" s="2697"/>
      <c r="Q132" s="2697"/>
      <c r="R132" s="2697"/>
      <c r="S132" s="2697"/>
      <c r="T132" s="2697"/>
      <c r="U132" s="2697"/>
      <c r="DE132" s="3517"/>
      <c r="DF132" s="3517"/>
      <c r="DG132" s="3597"/>
      <c r="DH132" s="2697"/>
      <c r="DI132" s="2697"/>
      <c r="DJ132" s="3552"/>
    </row>
    <row r="133" spans="1:126" s="3044" customFormat="1" ht="15" customHeight="1" outlineLevel="1">
      <c r="A133" s="3517"/>
      <c r="C133" s="635"/>
      <c r="D133" s="2697"/>
      <c r="E133" s="2697"/>
      <c r="F133" s="2697"/>
      <c r="G133" s="2697"/>
      <c r="H133" s="2697"/>
      <c r="I133" s="2697"/>
      <c r="J133" s="2697"/>
      <c r="K133" s="2697"/>
      <c r="L133" s="2697"/>
      <c r="N133" s="2697"/>
      <c r="O133" s="2697"/>
      <c r="P133" s="2697"/>
      <c r="Q133" s="2697"/>
      <c r="R133" s="2697"/>
      <c r="S133" s="2697"/>
      <c r="T133" s="2697"/>
      <c r="U133" s="2697"/>
      <c r="DE133" s="3517"/>
      <c r="DF133" s="3517"/>
      <c r="DG133" s="3597"/>
      <c r="DH133" s="2697"/>
      <c r="DI133" s="2697"/>
      <c r="DJ133" s="3552"/>
    </row>
    <row r="134" spans="1:126" s="3044" customFormat="1" ht="15" customHeight="1" outlineLevel="1">
      <c r="A134" s="3517"/>
      <c r="C134" s="635"/>
      <c r="D134" s="2697"/>
      <c r="E134" s="2697"/>
      <c r="F134" s="2697"/>
      <c r="G134" s="2697"/>
      <c r="H134" s="2697"/>
      <c r="I134" s="2697"/>
      <c r="J134" s="2697"/>
      <c r="K134" s="2697"/>
      <c r="L134" s="2697"/>
      <c r="N134" s="2697"/>
      <c r="O134" s="2697"/>
      <c r="P134" s="2697"/>
      <c r="Q134" s="2697"/>
      <c r="R134" s="2697"/>
      <c r="S134" s="2697"/>
      <c r="T134" s="2697"/>
      <c r="U134" s="2697"/>
      <c r="DE134" s="3517"/>
      <c r="DF134" s="3517"/>
      <c r="DG134" s="3597"/>
      <c r="DH134" s="2697"/>
      <c r="DI134" s="2697"/>
      <c r="DJ134" s="3552"/>
    </row>
    <row r="135" spans="1:126" s="3044" customFormat="1" ht="15" customHeight="1" outlineLevel="1">
      <c r="A135" s="3517"/>
      <c r="C135" s="635"/>
      <c r="D135" s="635"/>
      <c r="E135" s="635"/>
      <c r="F135" s="635"/>
      <c r="G135" s="3637"/>
      <c r="H135" s="3641"/>
      <c r="I135" s="3637"/>
      <c r="J135" s="3637"/>
      <c r="K135" s="2697"/>
      <c r="L135" s="2697"/>
      <c r="N135" s="2697"/>
      <c r="O135" s="2697"/>
      <c r="P135" s="2697"/>
      <c r="Q135" s="2697"/>
      <c r="R135" s="2697"/>
      <c r="S135" s="2697"/>
      <c r="T135" s="2697"/>
      <c r="U135" s="2697"/>
      <c r="DE135" s="3517"/>
      <c r="DF135" s="3517"/>
      <c r="DG135" s="3597"/>
      <c r="DH135" s="2697"/>
      <c r="DI135" s="2697"/>
      <c r="DJ135" s="3552"/>
    </row>
    <row r="136" spans="1:126" s="3044" customFormat="1" ht="15" customHeight="1" outlineLevel="1">
      <c r="A136" s="3517"/>
      <c r="C136" s="635"/>
      <c r="D136" s="635"/>
      <c r="E136" s="635"/>
      <c r="F136" s="635"/>
      <c r="G136" s="3637"/>
      <c r="H136" s="3641"/>
      <c r="I136" s="3637"/>
      <c r="J136" s="3637"/>
      <c r="K136" s="2697"/>
      <c r="L136" s="2086"/>
      <c r="M136" s="2697"/>
      <c r="N136" s="2697"/>
      <c r="O136" s="2697"/>
      <c r="P136" s="2697"/>
      <c r="Q136" s="2697"/>
      <c r="R136" s="2697"/>
      <c r="S136" s="2697"/>
      <c r="T136" s="2697"/>
      <c r="U136" s="2697"/>
      <c r="DE136" s="3517"/>
      <c r="DF136" s="3517"/>
      <c r="DG136" s="3597"/>
      <c r="DH136" s="2697"/>
      <c r="DI136" s="2697"/>
      <c r="DJ136" s="3552"/>
    </row>
    <row r="137" spans="1:126" s="3044" customFormat="1" ht="15" customHeight="1" outlineLevel="1">
      <c r="A137" s="3517"/>
      <c r="C137" s="635"/>
      <c r="D137" s="635"/>
      <c r="E137" s="635"/>
      <c r="F137" s="635"/>
      <c r="G137" s="3637"/>
      <c r="H137" s="3641"/>
      <c r="I137" s="3637"/>
      <c r="J137" s="3637"/>
      <c r="K137" s="3637"/>
      <c r="L137" s="2697"/>
      <c r="M137" s="2086"/>
      <c r="N137" s="2697"/>
      <c r="O137" s="2697"/>
      <c r="P137" s="2697"/>
      <c r="Q137" s="2697"/>
      <c r="R137" s="2697"/>
      <c r="S137" s="2697"/>
      <c r="T137" s="2697"/>
      <c r="U137" s="2697"/>
      <c r="DE137" s="3517"/>
      <c r="DF137" s="3517"/>
      <c r="DG137" s="2697"/>
      <c r="DH137" s="3597"/>
      <c r="DI137" s="2697"/>
      <c r="DJ137" s="3552"/>
    </row>
    <row r="138" spans="1:126" s="3044" customFormat="1" ht="15" customHeight="1" outlineLevel="1">
      <c r="A138" s="3517"/>
      <c r="C138" s="2086"/>
      <c r="D138" s="2697"/>
      <c r="E138" s="2697"/>
      <c r="F138" s="2697"/>
      <c r="G138" s="2697"/>
      <c r="H138" s="2697"/>
      <c r="I138" s="2697"/>
      <c r="J138" s="2697"/>
      <c r="K138" s="2697"/>
      <c r="L138" s="2697"/>
      <c r="M138" s="2237"/>
      <c r="P138" s="2697"/>
      <c r="Q138" s="2697"/>
      <c r="R138" s="2697"/>
      <c r="S138" s="2697"/>
      <c r="T138" s="2697"/>
      <c r="U138" s="2697"/>
      <c r="DE138" s="3517"/>
      <c r="DF138" s="3517"/>
      <c r="DG138" s="2697"/>
      <c r="DH138" s="3597"/>
      <c r="DI138" s="2697"/>
      <c r="DJ138" s="3552"/>
    </row>
    <row r="139" spans="1:126" s="3044" customFormat="1" ht="15" customHeight="1" outlineLevel="1">
      <c r="A139" s="3517"/>
      <c r="C139" s="2086"/>
      <c r="D139" s="2697"/>
      <c r="E139" s="2697"/>
      <c r="F139" s="2697"/>
      <c r="G139" s="2697"/>
      <c r="H139" s="2697"/>
      <c r="I139" s="2697"/>
      <c r="J139" s="2697"/>
      <c r="K139" s="2697"/>
      <c r="L139" s="2697"/>
      <c r="M139" s="2237"/>
      <c r="P139" s="2697"/>
      <c r="Q139" s="2697"/>
      <c r="R139" s="2697"/>
      <c r="S139" s="2697"/>
      <c r="T139" s="2697"/>
      <c r="U139" s="2697"/>
      <c r="V139" s="2640" t="s">
        <v>52</v>
      </c>
      <c r="W139" s="2641">
        <f>$W$8</f>
        <v>43252</v>
      </c>
      <c r="X139" s="2641">
        <f>$X$8</f>
        <v>43465</v>
      </c>
      <c r="Y139" s="2641">
        <f>$Y$8</f>
        <v>43800</v>
      </c>
      <c r="Z139" s="2641">
        <f>$Z$8</f>
        <v>43862</v>
      </c>
      <c r="AA139" s="2641">
        <f>$AA$8</f>
        <v>44013</v>
      </c>
      <c r="AB139" s="2641">
        <v>44166</v>
      </c>
      <c r="AC139" s="2641">
        <f>$AC$8</f>
        <v>44531</v>
      </c>
      <c r="AD139" s="2641">
        <f>$AD$8</f>
        <v>44774</v>
      </c>
      <c r="AE139" s="2641">
        <f>$AE$8</f>
        <v>45142</v>
      </c>
      <c r="AF139" s="2641">
        <f>$AF$8</f>
        <v>45672</v>
      </c>
      <c r="AG139" s="2641" t="str">
        <f>$AG$8</f>
        <v>-</v>
      </c>
      <c r="AH139" s="3517"/>
      <c r="AI139" s="2231" t="s">
        <v>52</v>
      </c>
      <c r="AJ139" s="2232">
        <f>$W$8</f>
        <v>43252</v>
      </c>
      <c r="AK139" s="2232">
        <f>$X$8</f>
        <v>43465</v>
      </c>
      <c r="AL139" s="2232">
        <f>$Y$8</f>
        <v>43800</v>
      </c>
      <c r="AM139" s="2232">
        <f>$Z$8</f>
        <v>43862</v>
      </c>
      <c r="AN139" s="2232">
        <f>$AA$8</f>
        <v>44013</v>
      </c>
      <c r="AO139" s="2232">
        <v>44166</v>
      </c>
      <c r="AP139" s="2232">
        <f>$AC$8</f>
        <v>44531</v>
      </c>
      <c r="AQ139" s="2232">
        <f>$AD$8</f>
        <v>44774</v>
      </c>
      <c r="AR139" s="2232">
        <f>$AE$8</f>
        <v>45142</v>
      </c>
      <c r="AS139" s="2232">
        <f>$AF$8</f>
        <v>45672</v>
      </c>
      <c r="AU139" s="2640" t="s">
        <v>52</v>
      </c>
      <c r="AV139" s="2641">
        <f t="shared" ref="AV139:BE139" si="41">W139</f>
        <v>43252</v>
      </c>
      <c r="AW139" s="2641">
        <f t="shared" si="41"/>
        <v>43465</v>
      </c>
      <c r="AX139" s="2641">
        <f t="shared" si="41"/>
        <v>43800</v>
      </c>
      <c r="AY139" s="2641">
        <f t="shared" si="41"/>
        <v>43862</v>
      </c>
      <c r="AZ139" s="2641">
        <f t="shared" si="41"/>
        <v>44013</v>
      </c>
      <c r="BA139" s="2641">
        <f t="shared" si="41"/>
        <v>44166</v>
      </c>
      <c r="BB139" s="2641">
        <f t="shared" si="41"/>
        <v>44531</v>
      </c>
      <c r="BC139" s="2641">
        <f t="shared" si="41"/>
        <v>44774</v>
      </c>
      <c r="BD139" s="2641">
        <f t="shared" si="41"/>
        <v>45142</v>
      </c>
      <c r="BE139" s="2641">
        <f t="shared" si="41"/>
        <v>45672</v>
      </c>
      <c r="BF139" s="3517"/>
      <c r="BG139" s="2640" t="s">
        <v>52</v>
      </c>
      <c r="BH139" s="2641">
        <f>W139</f>
        <v>43252</v>
      </c>
      <c r="BI139" s="2641">
        <f>X139</f>
        <v>43465</v>
      </c>
      <c r="BJ139" s="2641">
        <f>Y139</f>
        <v>43800</v>
      </c>
      <c r="BK139" s="2641">
        <f>Z139</f>
        <v>43862</v>
      </c>
      <c r="BL139" s="2641">
        <f>AA139</f>
        <v>44013</v>
      </c>
      <c r="BM139" s="2641">
        <v>44166</v>
      </c>
      <c r="BN139" s="2641">
        <f>AC139</f>
        <v>44531</v>
      </c>
      <c r="BO139" s="2641">
        <f>AD139</f>
        <v>44774</v>
      </c>
      <c r="BP139" s="2641">
        <f>AE139</f>
        <v>45142</v>
      </c>
      <c r="BQ139" s="2641">
        <f>AF139</f>
        <v>45672</v>
      </c>
      <c r="BR139" s="3517"/>
      <c r="BS139" s="2640" t="s">
        <v>52</v>
      </c>
      <c r="BT139" s="2641">
        <f>$W$8</f>
        <v>43252</v>
      </c>
      <c r="BU139" s="2641">
        <f>$X$8</f>
        <v>43465</v>
      </c>
      <c r="BV139" s="2641">
        <f>$Y$8</f>
        <v>43800</v>
      </c>
      <c r="BW139" s="2641">
        <f>$Z$8</f>
        <v>43862</v>
      </c>
      <c r="BX139" s="2641">
        <f>$AA$8</f>
        <v>44013</v>
      </c>
      <c r="BY139" s="2641">
        <v>44166</v>
      </c>
      <c r="BZ139" s="2641">
        <f>$AC$8</f>
        <v>44531</v>
      </c>
      <c r="CA139" s="2641">
        <f>$AD$8</f>
        <v>44774</v>
      </c>
      <c r="CB139" s="2641">
        <f>$AE$8</f>
        <v>45142</v>
      </c>
      <c r="CC139" s="2641">
        <f>$AF$8</f>
        <v>45672</v>
      </c>
      <c r="CE139" s="2231" t="s">
        <v>52</v>
      </c>
      <c r="CF139" s="2232">
        <f>$W$8</f>
        <v>43252</v>
      </c>
      <c r="CG139" s="2232">
        <f>$X$8</f>
        <v>43465</v>
      </c>
      <c r="CH139" s="2232">
        <f>$Y$8</f>
        <v>43800</v>
      </c>
      <c r="CI139" s="2232">
        <f>$Z$8</f>
        <v>43862</v>
      </c>
      <c r="CJ139" s="2232">
        <f>$AA$8</f>
        <v>44013</v>
      </c>
      <c r="CK139" s="2232">
        <v>44166</v>
      </c>
      <c r="CL139" s="2232">
        <f>$AC$8</f>
        <v>44531</v>
      </c>
      <c r="CM139" s="2232">
        <f>$AD$8</f>
        <v>44774</v>
      </c>
      <c r="CN139" s="2232">
        <f>$AE$8</f>
        <v>45142</v>
      </c>
      <c r="CO139" s="2232">
        <f>$AF$8</f>
        <v>45672</v>
      </c>
      <c r="CP139" s="2232" t="str">
        <f>$AG$8</f>
        <v>-</v>
      </c>
      <c r="DQ139" s="3517"/>
      <c r="DR139" s="3517"/>
      <c r="DS139" s="2697"/>
      <c r="DT139" s="3597"/>
      <c r="DU139" s="2697"/>
      <c r="DV139" s="3552"/>
    </row>
    <row r="140" spans="1:126" s="3044" customFormat="1" ht="60" customHeight="1" outlineLevel="1">
      <c r="A140" s="3517"/>
      <c r="B140" s="2697"/>
      <c r="C140" s="2086"/>
      <c r="D140" s="3570" t="s">
        <v>42</v>
      </c>
      <c r="E140" s="2280" t="s">
        <v>122</v>
      </c>
      <c r="F140" s="2280" t="s">
        <v>123</v>
      </c>
      <c r="G140" s="2280" t="s">
        <v>124</v>
      </c>
      <c r="H140" s="3571" t="s">
        <v>125</v>
      </c>
      <c r="I140" s="2280" t="s">
        <v>207</v>
      </c>
      <c r="J140" s="3593" t="s">
        <v>126</v>
      </c>
      <c r="K140" s="3593" t="s">
        <v>127</v>
      </c>
      <c r="L140" s="2280" t="s">
        <v>128</v>
      </c>
      <c r="M140" s="2280" t="s">
        <v>218</v>
      </c>
      <c r="N140" s="2280" t="s">
        <v>219</v>
      </c>
      <c r="O140" s="2280" t="s">
        <v>220</v>
      </c>
      <c r="P140" s="2280" t="s">
        <v>221</v>
      </c>
      <c r="Q140" s="2280" t="s">
        <v>222</v>
      </c>
      <c r="R140" s="2697"/>
      <c r="S140" s="2697"/>
      <c r="T140" s="2697"/>
      <c r="U140" s="2697"/>
      <c r="V140" s="3592" t="s">
        <v>42</v>
      </c>
      <c r="W140" s="3063" t="s">
        <v>123</v>
      </c>
      <c r="X140" s="3063" t="s">
        <v>123</v>
      </c>
      <c r="Y140" s="3063" t="s">
        <v>123</v>
      </c>
      <c r="Z140" s="3063" t="s">
        <v>123</v>
      </c>
      <c r="AA140" s="3063" t="s">
        <v>123</v>
      </c>
      <c r="AB140" s="3063" t="s">
        <v>123</v>
      </c>
      <c r="AC140" s="3063" t="s">
        <v>123</v>
      </c>
      <c r="AD140" s="3063" t="s">
        <v>123</v>
      </c>
      <c r="AE140" s="3063" t="s">
        <v>123</v>
      </c>
      <c r="AF140" s="3063" t="s">
        <v>123</v>
      </c>
      <c r="AG140" s="3063" t="s">
        <v>123</v>
      </c>
      <c r="AI140" s="3642" t="s">
        <v>42</v>
      </c>
      <c r="AJ140" s="724" t="s">
        <v>124</v>
      </c>
      <c r="AK140" s="724" t="s">
        <v>124</v>
      </c>
      <c r="AL140" s="724" t="s">
        <v>124</v>
      </c>
      <c r="AM140" s="724" t="s">
        <v>124</v>
      </c>
      <c r="AN140" s="724" t="s">
        <v>124</v>
      </c>
      <c r="AO140" s="724" t="s">
        <v>124</v>
      </c>
      <c r="AP140" s="724" t="s">
        <v>124</v>
      </c>
      <c r="AQ140" s="724" t="s">
        <v>124</v>
      </c>
      <c r="AR140" s="724" t="s">
        <v>124</v>
      </c>
      <c r="AS140" s="724" t="s">
        <v>124</v>
      </c>
      <c r="AU140" s="3592" t="s">
        <v>42</v>
      </c>
      <c r="AV140" s="3063" t="str">
        <f t="shared" ref="AV140:BE140" si="42">$G$114</f>
        <v>Hours</v>
      </c>
      <c r="AW140" s="3063" t="str">
        <f t="shared" si="42"/>
        <v>Hours</v>
      </c>
      <c r="AX140" s="3063" t="str">
        <f t="shared" si="42"/>
        <v>Hours</v>
      </c>
      <c r="AY140" s="3063" t="str">
        <f t="shared" si="42"/>
        <v>Hours</v>
      </c>
      <c r="AZ140" s="3063" t="str">
        <f t="shared" si="42"/>
        <v>Hours</v>
      </c>
      <c r="BA140" s="3063" t="str">
        <f t="shared" si="42"/>
        <v>Hours</v>
      </c>
      <c r="BB140" s="3063" t="str">
        <f t="shared" si="42"/>
        <v>Hours</v>
      </c>
      <c r="BC140" s="3063" t="str">
        <f t="shared" si="42"/>
        <v>Hours</v>
      </c>
      <c r="BD140" s="3063" t="str">
        <f t="shared" si="42"/>
        <v>Hours</v>
      </c>
      <c r="BE140" s="3063" t="str">
        <f t="shared" si="42"/>
        <v>Hours</v>
      </c>
      <c r="BG140" s="3592" t="s">
        <v>42</v>
      </c>
      <c r="BH140" s="3595" t="str">
        <f t="shared" ref="BH140:BQ140" si="43">$H$114</f>
        <v>ESF</v>
      </c>
      <c r="BI140" s="3595" t="str">
        <f t="shared" si="43"/>
        <v>ESF</v>
      </c>
      <c r="BJ140" s="3595" t="str">
        <f t="shared" si="43"/>
        <v>ESF</v>
      </c>
      <c r="BK140" s="3595" t="str">
        <f t="shared" si="43"/>
        <v>ESF</v>
      </c>
      <c r="BL140" s="3595" t="str">
        <f t="shared" si="43"/>
        <v>ESF</v>
      </c>
      <c r="BM140" s="3595" t="s">
        <v>207</v>
      </c>
      <c r="BN140" s="3595" t="str">
        <f t="shared" si="43"/>
        <v>ESF</v>
      </c>
      <c r="BO140" s="3595" t="str">
        <f t="shared" si="43"/>
        <v>ESF</v>
      </c>
      <c r="BP140" s="3595" t="str">
        <f t="shared" si="43"/>
        <v>ESF</v>
      </c>
      <c r="BQ140" s="3595" t="str">
        <f t="shared" si="43"/>
        <v>ESF</v>
      </c>
      <c r="BS140" s="3592" t="s">
        <v>42</v>
      </c>
      <c r="BT140" s="3595" t="str">
        <f>$I$114</f>
        <v>WHFe + -IFkWh</v>
      </c>
      <c r="BU140" s="3595" t="str">
        <f t="shared" ref="BU140:CC140" si="44">$I$114</f>
        <v>WHFe + -IFkWh</v>
      </c>
      <c r="BV140" s="3595" t="str">
        <f t="shared" si="44"/>
        <v>WHFe + -IFkWh</v>
      </c>
      <c r="BW140" s="3595" t="str">
        <f t="shared" si="44"/>
        <v>WHFe + -IFkWh</v>
      </c>
      <c r="BX140" s="3595" t="str">
        <f t="shared" si="44"/>
        <v>WHFe + -IFkWh</v>
      </c>
      <c r="BY140" s="3595" t="s">
        <v>126</v>
      </c>
      <c r="BZ140" s="3595" t="str">
        <f t="shared" si="44"/>
        <v>WHFe + -IFkWh</v>
      </c>
      <c r="CA140" s="3595" t="str">
        <f t="shared" si="44"/>
        <v>WHFe + -IFkWh</v>
      </c>
      <c r="CB140" s="3595" t="str">
        <f t="shared" si="44"/>
        <v>WHFe + -IFkWh</v>
      </c>
      <c r="CC140" s="3595" t="str">
        <f t="shared" si="44"/>
        <v>WHFe + -IFkWh</v>
      </c>
      <c r="CE140" s="3642" t="s">
        <v>42</v>
      </c>
      <c r="CF140" s="3596" t="s">
        <v>127</v>
      </c>
      <c r="CG140" s="3596" t="s">
        <v>127</v>
      </c>
      <c r="CH140" s="3596" t="s">
        <v>127</v>
      </c>
      <c r="CI140" s="3596" t="s">
        <v>127</v>
      </c>
      <c r="CJ140" s="3596" t="s">
        <v>127</v>
      </c>
      <c r="CK140" s="3596" t="s">
        <v>127</v>
      </c>
      <c r="CL140" s="3596" t="s">
        <v>127</v>
      </c>
      <c r="CM140" s="3596" t="s">
        <v>127</v>
      </c>
      <c r="CN140" s="3596" t="s">
        <v>127</v>
      </c>
      <c r="CO140" s="3596" t="s">
        <v>127</v>
      </c>
      <c r="CP140" s="3596" t="s">
        <v>127</v>
      </c>
      <c r="DQ140" s="3517"/>
      <c r="DR140" s="3517"/>
      <c r="DS140" s="2697"/>
      <c r="DT140" s="3597"/>
      <c r="DU140" s="2697"/>
      <c r="DV140" s="3552"/>
    </row>
    <row r="141" spans="1:126" s="3044" customFormat="1" ht="30" customHeight="1" outlineLevel="1">
      <c r="A141" s="3517"/>
      <c r="B141" s="2697"/>
      <c r="C141" s="635"/>
      <c r="D141" s="3643" t="str">
        <f>C126</f>
        <v>801243_2024_12_</v>
      </c>
      <c r="E141" s="3644" t="s">
        <v>223</v>
      </c>
      <c r="F141" s="3553">
        <v>2</v>
      </c>
      <c r="G141" s="3553">
        <v>1</v>
      </c>
      <c r="H141" s="3554">
        <v>3220</v>
      </c>
      <c r="I141" s="3645">
        <v>0.28000000000000003</v>
      </c>
      <c r="J141" s="3542">
        <v>1.056</v>
      </c>
      <c r="K141" s="3542">
        <v>1.032</v>
      </c>
      <c r="L141" s="3553">
        <v>1</v>
      </c>
      <c r="M141" s="3553">
        <v>104</v>
      </c>
      <c r="N141" s="3553">
        <v>112.6</v>
      </c>
      <c r="O141" s="3553">
        <v>51.5</v>
      </c>
      <c r="P141" s="3553">
        <v>53</v>
      </c>
      <c r="Q141" s="3646" t="s">
        <v>224</v>
      </c>
      <c r="R141" s="2697"/>
      <c r="S141" s="2697"/>
      <c r="T141" s="2697"/>
      <c r="U141" s="2697"/>
      <c r="V141" s="3598"/>
      <c r="W141" s="2413"/>
      <c r="X141" s="2413"/>
      <c r="Y141" s="2413"/>
      <c r="Z141" s="2413"/>
      <c r="AA141" s="2413"/>
      <c r="AB141" s="2709"/>
      <c r="AC141" s="3374"/>
      <c r="AD141" s="2528"/>
      <c r="AE141" s="2528"/>
      <c r="AF141" s="2529">
        <f>F141</f>
        <v>2</v>
      </c>
      <c r="AG141" s="2413"/>
      <c r="AI141" s="3643"/>
      <c r="AJ141" s="2413"/>
      <c r="AK141" s="2413"/>
      <c r="AL141" s="2413"/>
      <c r="AM141" s="2413"/>
      <c r="AN141" s="2413"/>
      <c r="AO141" s="2709"/>
      <c r="AP141" s="3374"/>
      <c r="AQ141" s="2528"/>
      <c r="AR141" s="3647"/>
      <c r="AS141" s="2528">
        <f>G141</f>
        <v>1</v>
      </c>
      <c r="AT141" s="2237"/>
      <c r="AU141" s="3598"/>
      <c r="AV141" s="2413"/>
      <c r="AW141" s="2413"/>
      <c r="AX141" s="2413"/>
      <c r="AY141" s="2413"/>
      <c r="AZ141" s="2494"/>
      <c r="BA141" s="3648"/>
      <c r="BB141" s="3648"/>
      <c r="BC141" s="2812"/>
      <c r="BD141" s="2808"/>
      <c r="BE141" s="2808">
        <f>H141</f>
        <v>3220</v>
      </c>
      <c r="BG141" s="3598"/>
      <c r="BH141" s="3223"/>
      <c r="BI141" s="3223"/>
      <c r="BJ141" s="2413"/>
      <c r="BK141" s="2413"/>
      <c r="BL141" s="2724"/>
      <c r="BM141" s="3649"/>
      <c r="BN141" s="3649"/>
      <c r="BO141" s="3649"/>
      <c r="BP141" s="2877"/>
      <c r="BQ141" s="3650">
        <f>I141</f>
        <v>0.28000000000000003</v>
      </c>
      <c r="BS141" s="3598"/>
      <c r="BT141" s="3223"/>
      <c r="BU141" s="3223"/>
      <c r="BV141" s="3223"/>
      <c r="BW141" s="2413"/>
      <c r="BX141" s="2724"/>
      <c r="BY141" s="3222"/>
      <c r="BZ141" s="3222"/>
      <c r="CA141" s="2959"/>
      <c r="CB141" s="3556"/>
      <c r="CC141" s="3556">
        <f>J141</f>
        <v>1.056</v>
      </c>
      <c r="CE141" s="3643"/>
      <c r="CF141" s="3531"/>
      <c r="CG141" s="3531"/>
      <c r="CH141" s="3531"/>
      <c r="CI141" s="3531"/>
      <c r="CJ141" s="3531"/>
      <c r="CK141" s="3531"/>
      <c r="CL141" s="3531"/>
      <c r="CM141" s="2959"/>
      <c r="CN141" s="3556"/>
      <c r="CO141" s="3556">
        <f>K141</f>
        <v>1.032</v>
      </c>
      <c r="CP141" s="2724"/>
      <c r="DQ141" s="3517"/>
      <c r="DR141" s="3517"/>
      <c r="DS141" s="2697"/>
      <c r="DT141" s="3597"/>
      <c r="DU141" s="2697"/>
      <c r="DV141" s="3552"/>
    </row>
    <row r="142" spans="1:126" s="3044" customFormat="1" ht="30" customHeight="1" outlineLevel="1">
      <c r="A142" s="3517"/>
      <c r="B142" s="2697"/>
      <c r="C142" s="635"/>
      <c r="D142" s="3643" t="str">
        <f>C127</f>
        <v>801245_2024_12_</v>
      </c>
      <c r="E142" s="3644" t="s">
        <v>225</v>
      </c>
      <c r="F142" s="3553">
        <v>2</v>
      </c>
      <c r="G142" s="3553">
        <v>1</v>
      </c>
      <c r="H142" s="3554">
        <v>3220</v>
      </c>
      <c r="I142" s="3645">
        <v>0.28000000000000003</v>
      </c>
      <c r="J142" s="3542">
        <v>1.056</v>
      </c>
      <c r="K142" s="3542">
        <v>1.032</v>
      </c>
      <c r="L142" s="3553">
        <v>1</v>
      </c>
      <c r="M142" s="3553">
        <v>76</v>
      </c>
      <c r="N142" s="3553">
        <v>84.5</v>
      </c>
      <c r="O142" s="3553">
        <v>42.1</v>
      </c>
      <c r="P142" s="3553">
        <v>53</v>
      </c>
      <c r="Q142" s="3646" t="s">
        <v>226</v>
      </c>
      <c r="R142" s="2697"/>
      <c r="S142" s="2697"/>
      <c r="T142" s="2697"/>
      <c r="U142" s="2697"/>
      <c r="V142" s="3598"/>
      <c r="W142" s="2413"/>
      <c r="X142" s="2413"/>
      <c r="Y142" s="2413"/>
      <c r="Z142" s="2413"/>
      <c r="AA142" s="2413"/>
      <c r="AB142" s="2709"/>
      <c r="AC142" s="3374"/>
      <c r="AD142" s="2528"/>
      <c r="AE142" s="2528"/>
      <c r="AF142" s="2529">
        <f t="shared" ref="AF142:AF145" si="45">F142</f>
        <v>2</v>
      </c>
      <c r="AG142" s="2413"/>
      <c r="AI142" s="3643"/>
      <c r="AJ142" s="2413"/>
      <c r="AK142" s="2413"/>
      <c r="AL142" s="2413"/>
      <c r="AM142" s="2413"/>
      <c r="AN142" s="2413"/>
      <c r="AO142" s="2709"/>
      <c r="AP142" s="3374"/>
      <c r="AQ142" s="2528"/>
      <c r="AR142" s="3647"/>
      <c r="AS142" s="2528">
        <f>G142</f>
        <v>1</v>
      </c>
      <c r="AT142" s="2237"/>
      <c r="AU142" s="3598"/>
      <c r="AV142" s="2413"/>
      <c r="AW142" s="2413"/>
      <c r="AX142" s="2413"/>
      <c r="AY142" s="2413"/>
      <c r="AZ142" s="2494"/>
      <c r="BA142" s="3648"/>
      <c r="BB142" s="3648"/>
      <c r="BC142" s="2812"/>
      <c r="BD142" s="2808"/>
      <c r="BE142" s="2808">
        <f t="shared" ref="BE142:BE145" si="46">H142</f>
        <v>3220</v>
      </c>
      <c r="BG142" s="3598"/>
      <c r="BH142" s="3223"/>
      <c r="BI142" s="3223"/>
      <c r="BJ142" s="2413"/>
      <c r="BK142" s="2413"/>
      <c r="BL142" s="2724"/>
      <c r="BM142" s="3649"/>
      <c r="BN142" s="3649"/>
      <c r="BO142" s="3649"/>
      <c r="BP142" s="2877"/>
      <c r="BQ142" s="3650">
        <f t="shared" ref="BQ142:BQ145" si="47">I142</f>
        <v>0.28000000000000003</v>
      </c>
      <c r="BS142" s="3598"/>
      <c r="BT142" s="3223"/>
      <c r="BU142" s="3223"/>
      <c r="BV142" s="3223"/>
      <c r="BW142" s="2413"/>
      <c r="BX142" s="2724"/>
      <c r="BY142" s="3222"/>
      <c r="BZ142" s="3222"/>
      <c r="CA142" s="2959"/>
      <c r="CB142" s="3556"/>
      <c r="CC142" s="3556">
        <f t="shared" ref="CC142:CC145" si="48">J142</f>
        <v>1.056</v>
      </c>
      <c r="CE142" s="3643"/>
      <c r="CF142" s="3531"/>
      <c r="CG142" s="3531"/>
      <c r="CH142" s="3531"/>
      <c r="CI142" s="3531"/>
      <c r="CJ142" s="3531"/>
      <c r="CK142" s="3531"/>
      <c r="CL142" s="3531"/>
      <c r="CM142" s="2959"/>
      <c r="CN142" s="3556"/>
      <c r="CO142" s="3556">
        <f t="shared" ref="CO142:CO145" si="49">K142</f>
        <v>1.032</v>
      </c>
      <c r="CP142" s="2724"/>
      <c r="DQ142" s="3517"/>
      <c r="DR142" s="3517"/>
      <c r="DS142" s="2697"/>
      <c r="DT142" s="3597"/>
      <c r="DU142" s="2697"/>
      <c r="DV142" s="3552"/>
    </row>
    <row r="143" spans="1:126" s="3044" customFormat="1" ht="30" customHeight="1" outlineLevel="1">
      <c r="A143" s="3517"/>
      <c r="B143" s="2697"/>
      <c r="C143" s="635"/>
      <c r="D143" s="3643" t="str">
        <f>C128</f>
        <v>801247_2024_12_</v>
      </c>
      <c r="E143" s="3644" t="s">
        <v>227</v>
      </c>
      <c r="F143" s="3553">
        <v>2</v>
      </c>
      <c r="G143" s="3553">
        <v>1</v>
      </c>
      <c r="H143" s="3554">
        <v>3220</v>
      </c>
      <c r="I143" s="3645">
        <v>0.28000000000000003</v>
      </c>
      <c r="J143" s="3542">
        <v>1.056</v>
      </c>
      <c r="K143" s="3542">
        <v>1.032</v>
      </c>
      <c r="L143" s="3553">
        <v>1</v>
      </c>
      <c r="M143" s="3553">
        <v>76</v>
      </c>
      <c r="N143" s="3553">
        <v>120</v>
      </c>
      <c r="O143" s="3553">
        <v>42.1</v>
      </c>
      <c r="P143" s="3553">
        <v>53</v>
      </c>
      <c r="Q143" s="3646" t="s">
        <v>226</v>
      </c>
      <c r="R143" s="2697"/>
      <c r="S143" s="2697"/>
      <c r="T143" s="2697"/>
      <c r="U143" s="2697"/>
      <c r="V143" s="3598"/>
      <c r="W143" s="2413"/>
      <c r="X143" s="2413"/>
      <c r="Y143" s="2413"/>
      <c r="Z143" s="2413"/>
      <c r="AA143" s="2413"/>
      <c r="AB143" s="2709"/>
      <c r="AC143" s="3374"/>
      <c r="AD143" s="2528"/>
      <c r="AE143" s="2528"/>
      <c r="AF143" s="2529">
        <f t="shared" si="45"/>
        <v>2</v>
      </c>
      <c r="AG143" s="2413"/>
      <c r="AI143" s="3643"/>
      <c r="AJ143" s="2413"/>
      <c r="AK143" s="2413"/>
      <c r="AL143" s="2413"/>
      <c r="AM143" s="2413"/>
      <c r="AN143" s="2413"/>
      <c r="AO143" s="2709"/>
      <c r="AP143" s="3374"/>
      <c r="AQ143" s="2528"/>
      <c r="AR143" s="3647"/>
      <c r="AS143" s="2528">
        <f>G143</f>
        <v>1</v>
      </c>
      <c r="AT143" s="2237"/>
      <c r="AU143" s="3598"/>
      <c r="AV143" s="2413"/>
      <c r="AW143" s="2413"/>
      <c r="AX143" s="2413"/>
      <c r="AY143" s="2413"/>
      <c r="AZ143" s="2494"/>
      <c r="BA143" s="3648"/>
      <c r="BB143" s="3648"/>
      <c r="BC143" s="2812"/>
      <c r="BD143" s="2808"/>
      <c r="BE143" s="2808">
        <f t="shared" si="46"/>
        <v>3220</v>
      </c>
      <c r="BG143" s="3598"/>
      <c r="BH143" s="3223"/>
      <c r="BI143" s="3223"/>
      <c r="BJ143" s="2413"/>
      <c r="BK143" s="2413"/>
      <c r="BL143" s="2724"/>
      <c r="BM143" s="3649"/>
      <c r="BN143" s="3649"/>
      <c r="BO143" s="3649"/>
      <c r="BP143" s="2877"/>
      <c r="BQ143" s="3650">
        <f t="shared" si="47"/>
        <v>0.28000000000000003</v>
      </c>
      <c r="BS143" s="3598"/>
      <c r="BT143" s="3223"/>
      <c r="BU143" s="3223"/>
      <c r="BV143" s="3223"/>
      <c r="BW143" s="2413"/>
      <c r="BX143" s="2724"/>
      <c r="BY143" s="3222"/>
      <c r="BZ143" s="3222"/>
      <c r="CA143" s="2959"/>
      <c r="CB143" s="3556"/>
      <c r="CC143" s="3556">
        <f t="shared" si="48"/>
        <v>1.056</v>
      </c>
      <c r="CE143" s="3643"/>
      <c r="CF143" s="3531"/>
      <c r="CG143" s="3531"/>
      <c r="CH143" s="3531"/>
      <c r="CI143" s="3531"/>
      <c r="CJ143" s="3531"/>
      <c r="CK143" s="3531"/>
      <c r="CL143" s="3531"/>
      <c r="CM143" s="2959"/>
      <c r="CN143" s="3556"/>
      <c r="CO143" s="3556">
        <f t="shared" si="49"/>
        <v>1.032</v>
      </c>
      <c r="CP143" s="2724"/>
      <c r="DQ143" s="3517"/>
      <c r="DR143" s="3517"/>
      <c r="DS143" s="2697"/>
      <c r="DT143" s="3597"/>
      <c r="DU143" s="2697"/>
      <c r="DV143" s="3552"/>
    </row>
    <row r="144" spans="1:126" s="3044" customFormat="1" ht="30" customHeight="1" outlineLevel="1">
      <c r="A144" s="3517"/>
      <c r="B144" s="2697"/>
      <c r="C144" s="635"/>
      <c r="D144" s="3643" t="str">
        <f>C129</f>
        <v>801249_2024_12_</v>
      </c>
      <c r="E144" s="3644" t="s">
        <v>228</v>
      </c>
      <c r="F144" s="3553">
        <v>2</v>
      </c>
      <c r="G144" s="3553">
        <v>1</v>
      </c>
      <c r="H144" s="3554">
        <v>3220</v>
      </c>
      <c r="I144" s="3645">
        <v>0.28000000000000003</v>
      </c>
      <c r="J144" s="3542">
        <v>1.056</v>
      </c>
      <c r="K144" s="3542">
        <v>1.032</v>
      </c>
      <c r="L144" s="3553">
        <v>1</v>
      </c>
      <c r="M144" s="3553">
        <v>0</v>
      </c>
      <c r="N144" s="3553">
        <v>84.5</v>
      </c>
      <c r="O144" s="3553">
        <v>42.1</v>
      </c>
      <c r="P144" s="3553">
        <v>0</v>
      </c>
      <c r="Q144" s="3646" t="s">
        <v>226</v>
      </c>
      <c r="R144" s="2697"/>
      <c r="S144" s="2697"/>
      <c r="T144" s="2697"/>
      <c r="U144" s="2697"/>
      <c r="V144" s="3598"/>
      <c r="W144" s="2413"/>
      <c r="X144" s="2413"/>
      <c r="Y144" s="2413"/>
      <c r="Z144" s="2413"/>
      <c r="AA144" s="2413"/>
      <c r="AB144" s="2709"/>
      <c r="AC144" s="3374"/>
      <c r="AD144" s="2528"/>
      <c r="AE144" s="2528"/>
      <c r="AF144" s="2529">
        <f t="shared" si="45"/>
        <v>2</v>
      </c>
      <c r="AG144" s="2413"/>
      <c r="AI144" s="3643"/>
      <c r="AJ144" s="2413"/>
      <c r="AK144" s="2413"/>
      <c r="AL144" s="2413"/>
      <c r="AM144" s="2413"/>
      <c r="AN144" s="2413"/>
      <c r="AO144" s="2709"/>
      <c r="AP144" s="3374"/>
      <c r="AQ144" s="2528"/>
      <c r="AR144" s="3647"/>
      <c r="AS144" s="2528">
        <f>G144</f>
        <v>1</v>
      </c>
      <c r="AT144" s="2237"/>
      <c r="AU144" s="3598"/>
      <c r="AV144" s="2413"/>
      <c r="AW144" s="2413"/>
      <c r="AX144" s="2413"/>
      <c r="AY144" s="2413"/>
      <c r="AZ144" s="2494"/>
      <c r="BA144" s="3648"/>
      <c r="BB144" s="3648"/>
      <c r="BC144" s="2812"/>
      <c r="BD144" s="2808"/>
      <c r="BE144" s="2808">
        <f t="shared" si="46"/>
        <v>3220</v>
      </c>
      <c r="BG144" s="3598"/>
      <c r="BH144" s="3223"/>
      <c r="BI144" s="3223"/>
      <c r="BJ144" s="2413"/>
      <c r="BK144" s="2413"/>
      <c r="BL144" s="2724"/>
      <c r="BM144" s="3649"/>
      <c r="BN144" s="3649"/>
      <c r="BO144" s="3649"/>
      <c r="BP144" s="2877"/>
      <c r="BQ144" s="3650">
        <f t="shared" si="47"/>
        <v>0.28000000000000003</v>
      </c>
      <c r="BS144" s="3598"/>
      <c r="BT144" s="3223"/>
      <c r="BU144" s="3223"/>
      <c r="BV144" s="3223"/>
      <c r="BW144" s="2413"/>
      <c r="BX144" s="2724"/>
      <c r="BY144" s="3222"/>
      <c r="BZ144" s="3222"/>
      <c r="CA144" s="2959"/>
      <c r="CB144" s="3556"/>
      <c r="CC144" s="3556">
        <f t="shared" si="48"/>
        <v>1.056</v>
      </c>
      <c r="CE144" s="3643"/>
      <c r="CF144" s="3531"/>
      <c r="CG144" s="3531"/>
      <c r="CH144" s="3531"/>
      <c r="CI144" s="3531"/>
      <c r="CJ144" s="3531"/>
      <c r="CK144" s="3531"/>
      <c r="CL144" s="3531"/>
      <c r="CM144" s="2959"/>
      <c r="CN144" s="3556"/>
      <c r="CO144" s="3556">
        <f t="shared" si="49"/>
        <v>1.032</v>
      </c>
      <c r="CP144" s="2724"/>
      <c r="DQ144" s="3517"/>
      <c r="DR144" s="3517"/>
      <c r="DS144" s="2697"/>
      <c r="DT144" s="3597"/>
      <c r="DU144" s="2697"/>
      <c r="DV144" s="3552"/>
    </row>
    <row r="145" spans="1:126" s="3044" customFormat="1" ht="30" customHeight="1" outlineLevel="1">
      <c r="A145" s="3517"/>
      <c r="B145" s="2697"/>
      <c r="C145" s="635"/>
      <c r="D145" s="3643" t="str">
        <f>C130</f>
        <v>801251_2024_12_</v>
      </c>
      <c r="E145" s="3644" t="s">
        <v>229</v>
      </c>
      <c r="F145" s="3553">
        <v>2</v>
      </c>
      <c r="G145" s="3553">
        <v>1</v>
      </c>
      <c r="H145" s="3554">
        <v>3827</v>
      </c>
      <c r="I145" s="3645">
        <v>0.28000000000000003</v>
      </c>
      <c r="J145" s="3542">
        <v>1.056</v>
      </c>
      <c r="K145" s="3542">
        <v>1.032</v>
      </c>
      <c r="L145" s="3553">
        <v>1</v>
      </c>
      <c r="M145" s="3553">
        <v>62</v>
      </c>
      <c r="N145" s="3553">
        <v>294</v>
      </c>
      <c r="O145" s="3553">
        <v>118</v>
      </c>
      <c r="P145" s="3553">
        <v>53</v>
      </c>
      <c r="Q145" s="3646" t="s">
        <v>230</v>
      </c>
      <c r="R145" s="2697"/>
      <c r="S145" s="2697"/>
      <c r="T145" s="2697"/>
      <c r="U145" s="2697"/>
      <c r="V145" s="3598"/>
      <c r="W145" s="2413"/>
      <c r="X145" s="2413"/>
      <c r="Y145" s="2413"/>
      <c r="Z145" s="2413"/>
      <c r="AA145" s="2413"/>
      <c r="AB145" s="2709"/>
      <c r="AC145" s="3374"/>
      <c r="AD145" s="2528"/>
      <c r="AE145" s="2528"/>
      <c r="AF145" s="2529">
        <f t="shared" si="45"/>
        <v>2</v>
      </c>
      <c r="AG145" s="2413"/>
      <c r="AI145" s="3643"/>
      <c r="AJ145" s="2413"/>
      <c r="AK145" s="2413"/>
      <c r="AL145" s="2413"/>
      <c r="AM145" s="2413"/>
      <c r="AN145" s="2413"/>
      <c r="AO145" s="2709"/>
      <c r="AP145" s="3374"/>
      <c r="AQ145" s="2528"/>
      <c r="AR145" s="3647"/>
      <c r="AS145" s="2528">
        <f>G145</f>
        <v>1</v>
      </c>
      <c r="AT145" s="2237"/>
      <c r="AU145" s="3598"/>
      <c r="AV145" s="2413"/>
      <c r="AW145" s="2413"/>
      <c r="AX145" s="2413"/>
      <c r="AY145" s="2413"/>
      <c r="AZ145" s="2494"/>
      <c r="BA145" s="3648"/>
      <c r="BB145" s="3648"/>
      <c r="BC145" s="2812"/>
      <c r="BD145" s="2808"/>
      <c r="BE145" s="2808">
        <f t="shared" si="46"/>
        <v>3827</v>
      </c>
      <c r="BG145" s="3598"/>
      <c r="BH145" s="3223"/>
      <c r="BI145" s="3223"/>
      <c r="BJ145" s="2413"/>
      <c r="BK145" s="2413"/>
      <c r="BL145" s="2724"/>
      <c r="BM145" s="3649"/>
      <c r="BN145" s="3649"/>
      <c r="BO145" s="3649"/>
      <c r="BP145" s="2877"/>
      <c r="BQ145" s="3650">
        <f t="shared" si="47"/>
        <v>0.28000000000000003</v>
      </c>
      <c r="BS145" s="3598"/>
      <c r="BT145" s="3223"/>
      <c r="BU145" s="3223"/>
      <c r="BV145" s="3223"/>
      <c r="BW145" s="2413"/>
      <c r="BX145" s="2724"/>
      <c r="BY145" s="3222"/>
      <c r="BZ145" s="3222"/>
      <c r="CA145" s="2959"/>
      <c r="CB145" s="3556"/>
      <c r="CC145" s="3556">
        <f t="shared" si="48"/>
        <v>1.056</v>
      </c>
      <c r="CE145" s="3643"/>
      <c r="CF145" s="3531"/>
      <c r="CG145" s="3531"/>
      <c r="CH145" s="3531"/>
      <c r="CI145" s="3531"/>
      <c r="CJ145" s="3531"/>
      <c r="CK145" s="3531"/>
      <c r="CL145" s="3531"/>
      <c r="CM145" s="2959"/>
      <c r="CN145" s="3556"/>
      <c r="CO145" s="3556">
        <f t="shared" si="49"/>
        <v>1.032</v>
      </c>
      <c r="CP145" s="2724"/>
      <c r="DQ145" s="3517"/>
      <c r="DR145" s="3517"/>
      <c r="DS145" s="2697"/>
      <c r="DT145" s="3597"/>
      <c r="DU145" s="2697"/>
      <c r="DV145" s="3552"/>
    </row>
    <row r="146" spans="1:126" s="3044" customFormat="1" ht="15" customHeight="1" outlineLevel="1">
      <c r="A146" s="3517"/>
      <c r="B146" s="2697"/>
      <c r="C146" s="635"/>
      <c r="D146" s="3651"/>
      <c r="E146" s="2697"/>
      <c r="F146" s="2697"/>
      <c r="G146" s="2697"/>
      <c r="H146" s="2697"/>
      <c r="I146" s="2697"/>
      <c r="J146" s="2697"/>
      <c r="K146" s="2697"/>
      <c r="L146" s="2697"/>
      <c r="M146" s="2086"/>
      <c r="N146" s="2697"/>
      <c r="O146" s="2697"/>
      <c r="P146" s="2697"/>
      <c r="Q146" s="2697"/>
      <c r="R146" s="2697"/>
      <c r="S146" s="2697"/>
      <c r="T146" s="2697"/>
      <c r="U146" s="2697"/>
      <c r="BQ146" s="3044" t="s">
        <v>231</v>
      </c>
      <c r="DE146" s="3517"/>
      <c r="DF146" s="3517"/>
      <c r="DG146" s="2697"/>
      <c r="DH146" s="3597"/>
      <c r="DI146" s="2697"/>
      <c r="DJ146" s="3552"/>
    </row>
    <row r="147" spans="1:126" s="3044" customFormat="1" ht="15" customHeight="1" outlineLevel="1">
      <c r="A147" s="3517"/>
      <c r="B147" s="2697"/>
      <c r="C147" s="2086"/>
      <c r="D147" s="2086"/>
      <c r="E147" s="2086"/>
      <c r="F147" s="2086"/>
      <c r="G147" s="2086"/>
      <c r="H147" s="2086"/>
      <c r="I147" s="2086"/>
      <c r="J147" s="2086"/>
      <c r="K147" s="2086"/>
      <c r="L147" s="2086"/>
      <c r="M147" s="2086"/>
      <c r="N147" s="2086"/>
      <c r="O147" s="2697"/>
      <c r="P147" s="2697"/>
      <c r="Q147" s="2697"/>
      <c r="R147" s="2697"/>
      <c r="S147" s="2697"/>
      <c r="T147" s="2697"/>
      <c r="U147" s="2697"/>
      <c r="V147" s="2697"/>
      <c r="DE147" s="3517"/>
      <c r="DF147" s="3517"/>
      <c r="DG147" s="2697"/>
      <c r="DH147" s="3597"/>
      <c r="DI147" s="2697"/>
      <c r="DJ147" s="3552"/>
    </row>
    <row r="148" spans="1:126" s="3044" customFormat="1">
      <c r="A148" s="3517"/>
      <c r="B148" s="2697"/>
      <c r="C148" s="2086"/>
      <c r="D148" s="2086"/>
      <c r="E148" s="2086"/>
      <c r="F148" s="2086"/>
      <c r="G148" s="3637"/>
      <c r="O148" s="2697"/>
      <c r="P148" s="2697"/>
      <c r="Q148" s="2697"/>
      <c r="R148" s="2697"/>
      <c r="S148" s="2697"/>
      <c r="T148" s="2697"/>
      <c r="U148" s="2697"/>
      <c r="DE148" s="3517"/>
      <c r="DF148" s="3517"/>
      <c r="DG148" s="3597"/>
      <c r="DH148" s="2697"/>
      <c r="DI148" s="2697"/>
      <c r="DJ148" s="3552"/>
    </row>
    <row r="149" spans="1:126" s="3517" customFormat="1" ht="15" customHeight="1">
      <c r="B149" s="3528"/>
      <c r="C149" s="3564"/>
      <c r="D149" s="3564"/>
      <c r="E149" s="3564"/>
      <c r="F149" s="3564"/>
      <c r="G149" s="3528"/>
      <c r="H149" s="3569"/>
      <c r="I149" s="3528"/>
      <c r="J149" s="3528"/>
      <c r="K149" s="3528"/>
      <c r="L149" s="3528"/>
      <c r="M149" s="3528"/>
      <c r="N149" s="3528"/>
      <c r="O149" s="3528"/>
      <c r="P149" s="3528"/>
      <c r="Q149" s="3528"/>
      <c r="R149" s="3528"/>
      <c r="S149" s="3528"/>
      <c r="T149" s="3528"/>
      <c r="U149" s="3528"/>
      <c r="CG149" s="2237"/>
      <c r="CH149" s="2237"/>
      <c r="CI149" s="2237"/>
      <c r="CJ149" s="2237"/>
      <c r="CW149" s="2237"/>
      <c r="CX149" s="2237"/>
      <c r="CY149" s="2237"/>
      <c r="CZ149" s="2237"/>
      <c r="DG149" s="3551"/>
      <c r="DH149" s="3528"/>
      <c r="DI149" s="3528"/>
      <c r="DJ149" s="3552"/>
    </row>
    <row r="150" spans="1:126" s="8" customFormat="1">
      <c r="A150" s="2"/>
      <c r="B150" s="3996" t="s">
        <v>232</v>
      </c>
      <c r="C150" s="3997"/>
      <c r="D150" s="3997"/>
      <c r="E150" s="3997"/>
      <c r="F150" s="3997"/>
      <c r="G150" s="3997"/>
      <c r="H150" s="3997"/>
      <c r="I150" s="4825"/>
      <c r="J150" s="4825"/>
      <c r="K150" s="4825"/>
      <c r="L150" s="4825"/>
      <c r="M150" s="4826"/>
      <c r="N150" s="4826"/>
      <c r="O150" s="4827"/>
      <c r="V150" s="1363" t="str">
        <f>B150</f>
        <v>Commercial Solid and Glass Door Refrigerators &amp; Freezers</v>
      </c>
      <c r="W150" s="1364"/>
      <c r="X150" s="1364"/>
      <c r="Y150" s="1364"/>
      <c r="Z150" s="1364"/>
      <c r="AA150" s="1364"/>
      <c r="AB150" s="1364"/>
      <c r="AC150" s="1364"/>
      <c r="AD150" s="1364"/>
      <c r="AE150" s="1364"/>
      <c r="AF150" s="1364"/>
      <c r="AG150" s="1364"/>
      <c r="AH150" s="1364"/>
      <c r="AI150" s="1364"/>
      <c r="AJ150" s="1364"/>
      <c r="AK150" s="1364"/>
      <c r="AL150" s="1364"/>
      <c r="AM150" s="1364"/>
      <c r="AN150" s="1364"/>
      <c r="AO150" s="1364"/>
      <c r="AP150" s="1364"/>
      <c r="AQ150" s="1364"/>
      <c r="AR150" s="1364"/>
      <c r="AS150" s="1364"/>
      <c r="AT150" s="1364"/>
      <c r="AU150" s="1364"/>
      <c r="AV150" s="1364"/>
      <c r="AW150" s="1364"/>
      <c r="AX150" s="1364"/>
      <c r="AY150" s="1364"/>
      <c r="AZ150" s="1364"/>
      <c r="BA150" s="1364"/>
      <c r="BB150" s="1364"/>
      <c r="BC150" s="1364"/>
      <c r="BD150" s="1364"/>
      <c r="BE150" s="1364"/>
      <c r="BF150" s="1364"/>
      <c r="BG150" s="1364"/>
      <c r="BH150" s="1364"/>
      <c r="BI150" s="1364"/>
      <c r="DE150" s="2"/>
      <c r="DF150" s="2"/>
      <c r="DG150" s="24"/>
      <c r="DJ150" s="1102"/>
    </row>
    <row r="151" spans="1:126">
      <c r="B151" s="265"/>
      <c r="D151" s="461"/>
      <c r="E151" s="8"/>
      <c r="F151" s="8"/>
      <c r="G151" s="8"/>
      <c r="H151" s="462"/>
      <c r="I151" s="8"/>
      <c r="J151" s="8"/>
      <c r="K151" s="8"/>
      <c r="L151" s="8"/>
      <c r="P151" s="8"/>
      <c r="Q151" s="8"/>
      <c r="R151" s="8"/>
      <c r="S151" s="8"/>
      <c r="T151" s="8"/>
      <c r="U151" s="8"/>
      <c r="V151"/>
      <c r="W151"/>
      <c r="X151"/>
      <c r="Y151"/>
      <c r="Z151"/>
      <c r="AA151"/>
      <c r="AB151"/>
      <c r="AC151"/>
      <c r="AD151"/>
      <c r="AE151"/>
      <c r="AF151"/>
      <c r="AG151"/>
      <c r="AH151"/>
      <c r="AI151"/>
      <c r="AJ151" s="7"/>
      <c r="AK151" s="7"/>
      <c r="AL151" s="7"/>
      <c r="AM151" s="7"/>
      <c r="AN151" s="7"/>
      <c r="AO151" s="7"/>
      <c r="AP151" s="7"/>
      <c r="AQ151" s="7"/>
      <c r="AR151" s="7"/>
      <c r="AS151" s="7"/>
      <c r="AU151" s="7"/>
    </row>
    <row r="152" spans="1:126" s="9" customFormat="1" ht="30">
      <c r="A152" s="2"/>
      <c r="B152" s="66"/>
      <c r="C152" s="10" t="s">
        <v>42</v>
      </c>
      <c r="D152" s="1432" t="s">
        <v>43</v>
      </c>
      <c r="E152" s="1432" t="s">
        <v>44</v>
      </c>
      <c r="F152" s="1432" t="s">
        <v>45</v>
      </c>
      <c r="G152" s="1432" t="s">
        <v>46</v>
      </c>
      <c r="H152" s="11" t="s">
        <v>47</v>
      </c>
      <c r="I152" s="1432" t="s">
        <v>48</v>
      </c>
      <c r="J152" s="1432" t="s">
        <v>49</v>
      </c>
      <c r="K152" s="10" t="s">
        <v>50</v>
      </c>
      <c r="L152" s="10" t="s">
        <v>51</v>
      </c>
      <c r="M152" s="265"/>
      <c r="N152" s="265"/>
      <c r="O152" s="265"/>
      <c r="P152" s="122"/>
      <c r="Q152" s="122"/>
      <c r="R152" s="122"/>
      <c r="S152" s="122"/>
      <c r="T152" s="122"/>
      <c r="U152" s="122"/>
      <c r="V152" s="668" t="s">
        <v>52</v>
      </c>
      <c r="W152" s="669">
        <f>$W$8</f>
        <v>43252</v>
      </c>
      <c r="X152" s="669">
        <f>$X$8</f>
        <v>43465</v>
      </c>
      <c r="Y152" s="669">
        <f>$Y$8</f>
        <v>43800</v>
      </c>
      <c r="Z152" s="669">
        <f>$Z$8</f>
        <v>43862</v>
      </c>
      <c r="AA152" s="669">
        <f>$AA$8</f>
        <v>44013</v>
      </c>
      <c r="AB152" s="669">
        <v>44166</v>
      </c>
      <c r="AC152" s="669">
        <f>$AC$8</f>
        <v>44531</v>
      </c>
      <c r="AD152" s="669">
        <f>$AD$8</f>
        <v>44774</v>
      </c>
      <c r="AE152" s="669">
        <f>$AE$8</f>
        <v>45142</v>
      </c>
      <c r="AF152" s="669">
        <f>$AF$8</f>
        <v>45672</v>
      </c>
      <c r="AG152" s="669" t="str">
        <f>$AG$8</f>
        <v>-</v>
      </c>
      <c r="AH152"/>
      <c r="AI152" s="668" t="s">
        <v>52</v>
      </c>
      <c r="AJ152" s="669">
        <v>43252</v>
      </c>
      <c r="AK152" s="669">
        <f>$X$8</f>
        <v>43465</v>
      </c>
      <c r="AL152" s="669">
        <f>$Y$8</f>
        <v>43800</v>
      </c>
      <c r="AM152" s="669">
        <f>$Z$8</f>
        <v>43862</v>
      </c>
      <c r="AN152" s="669">
        <f>$AA$8</f>
        <v>44013</v>
      </c>
      <c r="AO152" s="669">
        <f>$AB$8</f>
        <v>44166</v>
      </c>
      <c r="AP152" s="669">
        <f>$AC$8</f>
        <v>44531</v>
      </c>
      <c r="AQ152" s="669">
        <f>$AD$8</f>
        <v>44774</v>
      </c>
      <c r="AR152" s="669">
        <f>$AE$8</f>
        <v>45142</v>
      </c>
      <c r="AS152" s="669">
        <f>$AF$8</f>
        <v>45672</v>
      </c>
      <c r="AT152" s="2"/>
      <c r="AU152" s="668" t="s">
        <v>52</v>
      </c>
      <c r="AV152" s="669">
        <v>43252</v>
      </c>
      <c r="AW152" s="669">
        <f>$X$8</f>
        <v>43465</v>
      </c>
      <c r="AX152" s="669">
        <f>$Y$8</f>
        <v>43800</v>
      </c>
      <c r="AY152" s="669">
        <f>$Z$8</f>
        <v>43862</v>
      </c>
      <c r="AZ152" s="669">
        <f>$AA$8</f>
        <v>44013</v>
      </c>
      <c r="BA152" s="669">
        <v>44166</v>
      </c>
      <c r="BB152" s="669">
        <f>$AC$8</f>
        <v>44531</v>
      </c>
      <c r="BC152" s="669">
        <f>$AD$8</f>
        <v>44774</v>
      </c>
      <c r="BD152" s="669">
        <f>$AE$8</f>
        <v>45142</v>
      </c>
      <c r="BE152" s="669">
        <f>$AF$8</f>
        <v>45672</v>
      </c>
      <c r="BF152" s="1911"/>
      <c r="CE152" s="8"/>
      <c r="CF152" s="8"/>
      <c r="DE152" s="2"/>
      <c r="DF152" s="2"/>
      <c r="DG152" s="1060" t="str">
        <f>$DG$8</f>
        <v>TRC (2025)</v>
      </c>
      <c r="DH152" s="811" t="str">
        <f>$DH$8</f>
        <v>Benefit Lookup</v>
      </c>
      <c r="DI152" s="811" t="str">
        <f>$DI$8</f>
        <v>Benefits (2025 $)</v>
      </c>
      <c r="DJ152" s="1172" t="str">
        <f>$DJ$8</f>
        <v>Incremental Cost (2025 $)</v>
      </c>
    </row>
    <row r="153" spans="1:126">
      <c r="B153" s="1454">
        <f t="shared" ref="B153:B168" si="50">VALUE(LEFT(C153,6))</f>
        <v>801250</v>
      </c>
      <c r="C153" s="1637" t="s">
        <v>233</v>
      </c>
      <c r="D153" s="1639" t="s">
        <v>135</v>
      </c>
      <c r="E153" s="2068" t="s">
        <v>234</v>
      </c>
      <c r="F153" s="1922">
        <f t="shared" ref="F153:F160" si="51">ROUND(((G184*I184+J184)-(H184))*365.25,2)</f>
        <v>329.82</v>
      </c>
      <c r="G153" s="463" t="s">
        <v>235</v>
      </c>
      <c r="H153" s="464">
        <f>VLOOKUP(G153,'CP FACTORS'!$A$26:$B$38,2,FALSE)</f>
        <v>1.3573829999999999E-4</v>
      </c>
      <c r="I153" s="1924">
        <f t="shared" ref="I153:I171" si="52">ROUND(H153*F153,6)</f>
        <v>4.4769000000000003E-2</v>
      </c>
      <c r="J153" s="500">
        <v>12</v>
      </c>
      <c r="K153" s="2017">
        <v>150</v>
      </c>
      <c r="L153" s="465" t="s">
        <v>62</v>
      </c>
      <c r="V153" s="1414" t="s">
        <v>45</v>
      </c>
      <c r="W153" s="1740">
        <v>379.86</v>
      </c>
      <c r="X153" s="1740">
        <v>379.86</v>
      </c>
      <c r="Y153" s="1740">
        <v>379.86</v>
      </c>
      <c r="Z153" s="1740">
        <v>379.86</v>
      </c>
      <c r="AA153" s="1740">
        <v>379.86</v>
      </c>
      <c r="AB153" s="1916">
        <v>379.86</v>
      </c>
      <c r="AC153" s="769">
        <v>379.86</v>
      </c>
      <c r="AD153" s="769">
        <v>379.86</v>
      </c>
      <c r="AE153" s="769">
        <v>379.86</v>
      </c>
      <c r="AF153" s="271">
        <f t="shared" ref="AF153:AF171" si="53">IF(F153&lt;&gt;"",F153,"")</f>
        <v>329.82</v>
      </c>
      <c r="AG153" s="71"/>
      <c r="AH153"/>
      <c r="AI153" s="1445" t="s">
        <v>49</v>
      </c>
      <c r="AJ153" s="20">
        <v>12</v>
      </c>
      <c r="AK153" s="20">
        <v>12</v>
      </c>
      <c r="AL153" s="20">
        <v>12</v>
      </c>
      <c r="AM153" s="20">
        <v>12</v>
      </c>
      <c r="AN153" s="20">
        <v>12</v>
      </c>
      <c r="AO153" s="17">
        <v>12</v>
      </c>
      <c r="AP153" s="17">
        <v>12</v>
      </c>
      <c r="AQ153" s="17">
        <v>12</v>
      </c>
      <c r="AR153" s="17">
        <v>12</v>
      </c>
      <c r="AS153" s="17">
        <v>12</v>
      </c>
      <c r="AU153" s="1445" t="s">
        <v>50</v>
      </c>
      <c r="AV153" s="1917">
        <v>150</v>
      </c>
      <c r="AW153" s="1917">
        <v>150</v>
      </c>
      <c r="AX153" s="1917">
        <v>150</v>
      </c>
      <c r="AY153" s="1917">
        <v>150</v>
      </c>
      <c r="AZ153" s="1917">
        <v>150</v>
      </c>
      <c r="BA153" s="1918">
        <v>150</v>
      </c>
      <c r="BB153" s="1918">
        <v>150</v>
      </c>
      <c r="BC153" s="1918">
        <v>150</v>
      </c>
      <c r="BD153" s="1918">
        <v>150</v>
      </c>
      <c r="BE153" s="1918">
        <f>K153</f>
        <v>150</v>
      </c>
      <c r="BF153" s="1919"/>
      <c r="DG153" s="1062">
        <f>(DI153)/(DJ153)</f>
        <v>1.3324016354481989</v>
      </c>
      <c r="DH153" s="1400" t="str">
        <f t="shared" ref="DH153:DH170" si="54">CONCATENATE(G153," ",J153," Year EUL")</f>
        <v>Refrigeration BUS 12 Year EUL</v>
      </c>
      <c r="DI153" s="198">
        <f>(INDEX('Avoided Cost Benefits'!$B$4:$B$865,MATCH(DH153,'Avoided Cost Benefits'!$A$4:$A$865,0)))*F153</f>
        <v>199.86024531722984</v>
      </c>
      <c r="DJ153" s="1169">
        <f t="shared" ref="DJ153:DJ171" si="55">K153/(1.0686^(2025-2025))</f>
        <v>150</v>
      </c>
    </row>
    <row r="154" spans="1:126" s="3517" customFormat="1">
      <c r="B154" s="2208">
        <f t="shared" si="50"/>
        <v>801300</v>
      </c>
      <c r="C154" s="3499" t="s">
        <v>236</v>
      </c>
      <c r="D154" s="3509" t="s">
        <v>95</v>
      </c>
      <c r="E154" s="3652" t="s">
        <v>237</v>
      </c>
      <c r="F154" s="3617">
        <f t="shared" si="51"/>
        <v>394.84</v>
      </c>
      <c r="G154" s="3503" t="s">
        <v>235</v>
      </c>
      <c r="H154" s="3504">
        <f>VLOOKUP(G154,'CP FACTORS'!$A$26:$B$38,2,FALSE)</f>
        <v>1.3573829999999999E-4</v>
      </c>
      <c r="I154" s="3653">
        <f t="shared" si="52"/>
        <v>5.3594999999999997E-2</v>
      </c>
      <c r="J154" s="3654">
        <f t="shared" ref="J154:J160" si="56">$J$153</f>
        <v>12</v>
      </c>
      <c r="K154" s="3513">
        <v>200</v>
      </c>
      <c r="L154" s="3577" t="s">
        <v>62</v>
      </c>
      <c r="M154" s="3528"/>
      <c r="N154" s="3528"/>
      <c r="O154" s="3528"/>
      <c r="P154" s="3528"/>
      <c r="Q154" s="3528"/>
      <c r="R154" s="3528"/>
      <c r="S154" s="3528"/>
      <c r="T154" s="3528"/>
      <c r="U154" s="3528"/>
      <c r="V154" s="2460" t="s">
        <v>45</v>
      </c>
      <c r="W154" s="3293">
        <v>626.40374999999995</v>
      </c>
      <c r="X154" s="3293">
        <v>626.40374999999995</v>
      </c>
      <c r="Y154" s="3293">
        <v>626.40374999999995</v>
      </c>
      <c r="Z154" s="3293">
        <v>626.40374999999995</v>
      </c>
      <c r="AA154" s="3293">
        <v>626.40374999999995</v>
      </c>
      <c r="AB154" s="3655">
        <v>626.4</v>
      </c>
      <c r="AC154" s="3632">
        <v>626.4</v>
      </c>
      <c r="AD154" s="3632">
        <v>626.4</v>
      </c>
      <c r="AE154" s="3632">
        <v>626.4</v>
      </c>
      <c r="AF154" s="2236">
        <f t="shared" si="53"/>
        <v>394.84</v>
      </c>
      <c r="AG154" s="2413"/>
      <c r="AH154" s="2237"/>
      <c r="AI154" s="2244" t="s">
        <v>49</v>
      </c>
      <c r="AJ154" s="3506">
        <v>12</v>
      </c>
      <c r="AK154" s="3506">
        <v>12</v>
      </c>
      <c r="AL154" s="3506">
        <v>12</v>
      </c>
      <c r="AM154" s="3506">
        <v>12</v>
      </c>
      <c r="AN154" s="3506">
        <v>12</v>
      </c>
      <c r="AO154" s="2847">
        <v>12</v>
      </c>
      <c r="AP154" s="2847">
        <v>12</v>
      </c>
      <c r="AQ154" s="2847">
        <v>12</v>
      </c>
      <c r="AR154" s="2847">
        <v>12</v>
      </c>
      <c r="AS154" s="2847">
        <v>12</v>
      </c>
      <c r="AU154" s="2244" t="s">
        <v>50</v>
      </c>
      <c r="AV154" s="3656">
        <v>400</v>
      </c>
      <c r="AW154" s="3656">
        <v>400</v>
      </c>
      <c r="AX154" s="3656">
        <v>400</v>
      </c>
      <c r="AY154" s="3656">
        <v>400</v>
      </c>
      <c r="AZ154" s="3656">
        <v>400</v>
      </c>
      <c r="BA154" s="3657">
        <v>400</v>
      </c>
      <c r="BB154" s="3657">
        <v>400</v>
      </c>
      <c r="BC154" s="3657">
        <v>400</v>
      </c>
      <c r="BD154" s="3657">
        <v>400</v>
      </c>
      <c r="BE154" s="3658">
        <f t="shared" ref="BE154:BE170" si="57">K154</f>
        <v>200</v>
      </c>
      <c r="BF154" s="3659"/>
      <c r="CG154" s="2237"/>
      <c r="CH154" s="2237"/>
      <c r="CI154" s="2237"/>
      <c r="CJ154" s="2237"/>
      <c r="CW154" s="2237"/>
      <c r="CX154" s="2237"/>
      <c r="CY154" s="2237"/>
      <c r="CZ154" s="2237"/>
      <c r="DG154" s="2422">
        <f>(DI154)/(DJ154)</f>
        <v>1.1963013046670157</v>
      </c>
      <c r="DH154" s="2423" t="str">
        <f t="shared" si="54"/>
        <v>Refrigeration BUS 12 Year EUL</v>
      </c>
      <c r="DI154" s="3660">
        <f>(INDEX('Avoided Cost Benefits'!$B$4:$B$865,MATCH(DH154,'Avoided Cost Benefits'!$A$4:$A$865,0)))*F154</f>
        <v>239.26026093340315</v>
      </c>
      <c r="DJ154" s="2424">
        <f t="shared" si="55"/>
        <v>200</v>
      </c>
    </row>
    <row r="155" spans="1:126" s="3517" customFormat="1">
      <c r="B155" s="2208">
        <f t="shared" si="50"/>
        <v>801350</v>
      </c>
      <c r="C155" s="3499" t="s">
        <v>238</v>
      </c>
      <c r="D155" s="3509" t="s">
        <v>95</v>
      </c>
      <c r="E155" s="3652" t="s">
        <v>239</v>
      </c>
      <c r="F155" s="3617">
        <f t="shared" si="51"/>
        <v>454.01</v>
      </c>
      <c r="G155" s="3503" t="s">
        <v>235</v>
      </c>
      <c r="H155" s="3504">
        <f>VLOOKUP(G155,'CP FACTORS'!$A$26:$B$38,2,FALSE)</f>
        <v>1.3573829999999999E-4</v>
      </c>
      <c r="I155" s="3653">
        <f t="shared" si="52"/>
        <v>6.1627000000000001E-2</v>
      </c>
      <c r="J155" s="3654">
        <f t="shared" si="56"/>
        <v>12</v>
      </c>
      <c r="K155" s="3513">
        <v>250</v>
      </c>
      <c r="L155" s="3577" t="s">
        <v>62</v>
      </c>
      <c r="M155" s="3528"/>
      <c r="N155" s="3528"/>
      <c r="O155" s="3528"/>
      <c r="P155" s="3528"/>
      <c r="Q155" s="3528"/>
      <c r="R155" s="3528"/>
      <c r="S155" s="3528"/>
      <c r="T155" s="3528"/>
      <c r="U155" s="3528"/>
      <c r="V155" s="2460" t="s">
        <v>45</v>
      </c>
      <c r="W155" s="3293">
        <v>982.52250000000004</v>
      </c>
      <c r="X155" s="3293">
        <v>982.52250000000004</v>
      </c>
      <c r="Y155" s="3293">
        <v>982.52250000000004</v>
      </c>
      <c r="Z155" s="3293">
        <v>982.52250000000004</v>
      </c>
      <c r="AA155" s="3293">
        <v>982.52250000000004</v>
      </c>
      <c r="AB155" s="3655">
        <v>982.52</v>
      </c>
      <c r="AC155" s="3632">
        <v>982.52</v>
      </c>
      <c r="AD155" s="3632">
        <v>982.52</v>
      </c>
      <c r="AE155" s="3632">
        <v>982.52</v>
      </c>
      <c r="AF155" s="2236">
        <f t="shared" si="53"/>
        <v>454.01</v>
      </c>
      <c r="AG155" s="2413"/>
      <c r="AH155" s="2237"/>
      <c r="AI155" s="2244" t="s">
        <v>49</v>
      </c>
      <c r="AJ155" s="3506">
        <v>12</v>
      </c>
      <c r="AK155" s="3506">
        <v>12</v>
      </c>
      <c r="AL155" s="3506">
        <v>12</v>
      </c>
      <c r="AM155" s="3506">
        <v>12</v>
      </c>
      <c r="AN155" s="3506">
        <v>12</v>
      </c>
      <c r="AO155" s="2847">
        <v>12</v>
      </c>
      <c r="AP155" s="2847">
        <v>12</v>
      </c>
      <c r="AQ155" s="2847">
        <v>12</v>
      </c>
      <c r="AR155" s="2847">
        <v>12</v>
      </c>
      <c r="AS155" s="2847">
        <v>12</v>
      </c>
      <c r="AU155" s="2244" t="s">
        <v>50</v>
      </c>
      <c r="AV155" s="3656">
        <v>550</v>
      </c>
      <c r="AW155" s="3656">
        <v>550</v>
      </c>
      <c r="AX155" s="3656">
        <v>550</v>
      </c>
      <c r="AY155" s="3656">
        <v>550</v>
      </c>
      <c r="AZ155" s="3656">
        <v>550</v>
      </c>
      <c r="BA155" s="3657">
        <v>550</v>
      </c>
      <c r="BB155" s="3657">
        <v>550</v>
      </c>
      <c r="BC155" s="3657">
        <v>550</v>
      </c>
      <c r="BD155" s="3657">
        <v>550</v>
      </c>
      <c r="BE155" s="3658">
        <f t="shared" si="57"/>
        <v>250</v>
      </c>
      <c r="BF155" s="3659"/>
      <c r="CG155" s="2237"/>
      <c r="CH155" s="2237"/>
      <c r="CI155" s="2237"/>
      <c r="CJ155" s="2237"/>
      <c r="CW155" s="2237"/>
      <c r="CX155" s="2237"/>
      <c r="CY155" s="2237"/>
      <c r="CZ155" s="2237"/>
      <c r="DG155" s="2422">
        <f>(DI155)/(DJ155)</f>
        <v>1.1004614635434542</v>
      </c>
      <c r="DH155" s="2423" t="str">
        <f t="shared" si="54"/>
        <v>Refrigeration BUS 12 Year EUL</v>
      </c>
      <c r="DI155" s="3660">
        <f>(INDEX('Avoided Cost Benefits'!$B$4:$B$865,MATCH(DH155,'Avoided Cost Benefits'!$A$4:$A$865,0)))*F155</f>
        <v>275.11536588586353</v>
      </c>
      <c r="DJ155" s="2424">
        <f t="shared" si="55"/>
        <v>250</v>
      </c>
    </row>
    <row r="156" spans="1:126" s="3517" customFormat="1">
      <c r="B156" s="2208">
        <f t="shared" si="50"/>
        <v>801400</v>
      </c>
      <c r="C156" s="3499" t="s">
        <v>240</v>
      </c>
      <c r="D156" s="3509" t="s">
        <v>95</v>
      </c>
      <c r="E156" s="3652" t="s">
        <v>241</v>
      </c>
      <c r="F156" s="3617">
        <f t="shared" si="51"/>
        <v>639.19000000000005</v>
      </c>
      <c r="G156" s="3503" t="s">
        <v>235</v>
      </c>
      <c r="H156" s="3504">
        <f>VLOOKUP(G156,'CP FACTORS'!$A$26:$B$38,2,FALSE)</f>
        <v>1.3573829999999999E-4</v>
      </c>
      <c r="I156" s="3653">
        <f t="shared" si="52"/>
        <v>8.6763000000000007E-2</v>
      </c>
      <c r="J156" s="3654">
        <f t="shared" si="56"/>
        <v>12</v>
      </c>
      <c r="K156" s="3513">
        <v>350</v>
      </c>
      <c r="L156" s="3577" t="s">
        <v>62</v>
      </c>
      <c r="M156" s="3528"/>
      <c r="N156" s="3528"/>
      <c r="O156" s="3528"/>
      <c r="P156" s="3578"/>
      <c r="Q156" s="3579"/>
      <c r="R156" s="3580"/>
      <c r="S156" s="3580"/>
      <c r="T156" s="3581"/>
      <c r="U156" s="3528"/>
      <c r="V156" s="2460" t="s">
        <v>45</v>
      </c>
      <c r="W156" s="3293">
        <v>1311.2474999999999</v>
      </c>
      <c r="X156" s="3293">
        <v>1311.2474999999999</v>
      </c>
      <c r="Y156" s="3293">
        <v>1311.2474999999999</v>
      </c>
      <c r="Z156" s="3293">
        <v>1311.2474999999999</v>
      </c>
      <c r="AA156" s="3293">
        <v>1311.2474999999999</v>
      </c>
      <c r="AB156" s="3655">
        <v>1311.25</v>
      </c>
      <c r="AC156" s="3632">
        <v>1311.25</v>
      </c>
      <c r="AD156" s="3632">
        <v>1311.25</v>
      </c>
      <c r="AE156" s="3632">
        <v>1311.25</v>
      </c>
      <c r="AF156" s="2236">
        <f t="shared" si="53"/>
        <v>639.19000000000005</v>
      </c>
      <c r="AG156" s="2413"/>
      <c r="AH156" s="2237"/>
      <c r="AI156" s="2244" t="s">
        <v>49</v>
      </c>
      <c r="AJ156" s="3506">
        <v>12</v>
      </c>
      <c r="AK156" s="3506">
        <v>12</v>
      </c>
      <c r="AL156" s="3506">
        <v>12</v>
      </c>
      <c r="AM156" s="3506">
        <v>12</v>
      </c>
      <c r="AN156" s="3506">
        <v>12</v>
      </c>
      <c r="AO156" s="2847">
        <v>12</v>
      </c>
      <c r="AP156" s="2847">
        <v>12</v>
      </c>
      <c r="AQ156" s="2847">
        <v>12</v>
      </c>
      <c r="AR156" s="2847">
        <v>12</v>
      </c>
      <c r="AS156" s="2847">
        <v>12</v>
      </c>
      <c r="AU156" s="2244" t="s">
        <v>50</v>
      </c>
      <c r="AV156" s="3656">
        <v>700</v>
      </c>
      <c r="AW156" s="3656">
        <v>700</v>
      </c>
      <c r="AX156" s="3656">
        <v>700</v>
      </c>
      <c r="AY156" s="3656">
        <v>700</v>
      </c>
      <c r="AZ156" s="3656">
        <v>700</v>
      </c>
      <c r="BA156" s="3657">
        <v>700</v>
      </c>
      <c r="BB156" s="3657">
        <v>700</v>
      </c>
      <c r="BC156" s="3657">
        <v>700</v>
      </c>
      <c r="BD156" s="3657">
        <v>700</v>
      </c>
      <c r="BE156" s="3658">
        <f t="shared" si="57"/>
        <v>350</v>
      </c>
      <c r="BF156" s="3659"/>
      <c r="CG156" s="2237"/>
      <c r="CH156" s="2237"/>
      <c r="CI156" s="2237"/>
      <c r="CJ156" s="2237"/>
      <c r="CW156" s="2237"/>
      <c r="CX156" s="2237"/>
      <c r="CY156" s="2237"/>
      <c r="CZ156" s="2237"/>
      <c r="DG156" s="2422">
        <f>(DI156)/(DJ156)</f>
        <v>1.1066527214352431</v>
      </c>
      <c r="DH156" s="2423" t="str">
        <f t="shared" si="54"/>
        <v>Refrigeration BUS 12 Year EUL</v>
      </c>
      <c r="DI156" s="3660">
        <f>(INDEX('Avoided Cost Benefits'!$B$4:$B$865,MATCH(DH156,'Avoided Cost Benefits'!$A$4:$A$865,0)))*F156</f>
        <v>387.32845250233504</v>
      </c>
      <c r="DJ156" s="2424">
        <f t="shared" si="55"/>
        <v>350</v>
      </c>
    </row>
    <row r="157" spans="1:126" s="3517" customFormat="1">
      <c r="B157" s="2208">
        <f t="shared" si="50"/>
        <v>801450</v>
      </c>
      <c r="C157" s="3499" t="s">
        <v>242</v>
      </c>
      <c r="D157" s="3509" t="s">
        <v>95</v>
      </c>
      <c r="E157" s="3652" t="s">
        <v>243</v>
      </c>
      <c r="F157" s="3617">
        <f t="shared" si="51"/>
        <v>197.97</v>
      </c>
      <c r="G157" s="3503" t="s">
        <v>235</v>
      </c>
      <c r="H157" s="3504">
        <f>VLOOKUP(G157,'CP FACTORS'!$A$26:$B$38,2,FALSE)</f>
        <v>1.3573829999999999E-4</v>
      </c>
      <c r="I157" s="3653">
        <f t="shared" si="52"/>
        <v>2.6872E-2</v>
      </c>
      <c r="J157" s="3654">
        <f t="shared" si="56"/>
        <v>12</v>
      </c>
      <c r="K157" s="3513">
        <v>50</v>
      </c>
      <c r="L157" s="3577" t="s">
        <v>62</v>
      </c>
      <c r="M157" s="3661"/>
      <c r="N157" s="3528"/>
      <c r="O157" s="3528"/>
      <c r="P157" s="3578"/>
      <c r="Q157" s="3579"/>
      <c r="R157" s="3580"/>
      <c r="S157" s="3580"/>
      <c r="T157" s="3581"/>
      <c r="U157" s="3528"/>
      <c r="V157" s="2460" t="s">
        <v>45</v>
      </c>
      <c r="W157" s="3293">
        <v>354.29250000000002</v>
      </c>
      <c r="X157" s="3293">
        <v>354.29250000000002</v>
      </c>
      <c r="Y157" s="3293">
        <v>354.29250000000002</v>
      </c>
      <c r="Z157" s="3293">
        <v>354.29250000000002</v>
      </c>
      <c r="AA157" s="3293">
        <v>354.29250000000002</v>
      </c>
      <c r="AB157" s="3655">
        <v>354.29</v>
      </c>
      <c r="AC157" s="3632">
        <v>354.29</v>
      </c>
      <c r="AD157" s="3632">
        <v>354.29</v>
      </c>
      <c r="AE157" s="3632">
        <v>354.29</v>
      </c>
      <c r="AF157" s="2236">
        <f t="shared" si="53"/>
        <v>197.97</v>
      </c>
      <c r="AG157" s="3223"/>
      <c r="AI157" s="2244" t="s">
        <v>49</v>
      </c>
      <c r="AJ157" s="3506">
        <v>12</v>
      </c>
      <c r="AK157" s="3506">
        <v>12</v>
      </c>
      <c r="AL157" s="3506">
        <v>12</v>
      </c>
      <c r="AM157" s="3506">
        <v>12</v>
      </c>
      <c r="AN157" s="3506">
        <v>12</v>
      </c>
      <c r="AO157" s="2847">
        <v>12</v>
      </c>
      <c r="AP157" s="2847">
        <v>12</v>
      </c>
      <c r="AQ157" s="2847">
        <v>12</v>
      </c>
      <c r="AR157" s="2847">
        <v>12</v>
      </c>
      <c r="AS157" s="2847">
        <v>12</v>
      </c>
      <c r="AU157" s="2244" t="s">
        <v>50</v>
      </c>
      <c r="AV157" s="3656">
        <v>250</v>
      </c>
      <c r="AW157" s="3656">
        <v>250</v>
      </c>
      <c r="AX157" s="3656">
        <v>250</v>
      </c>
      <c r="AY157" s="3656">
        <v>250</v>
      </c>
      <c r="AZ157" s="3656">
        <v>250</v>
      </c>
      <c r="BA157" s="3657">
        <v>250</v>
      </c>
      <c r="BB157" s="3657">
        <v>250</v>
      </c>
      <c r="BC157" s="3657">
        <v>250</v>
      </c>
      <c r="BD157" s="3657">
        <v>250</v>
      </c>
      <c r="BE157" s="3658">
        <f t="shared" si="57"/>
        <v>50</v>
      </c>
      <c r="BF157" s="3659"/>
      <c r="CG157" s="2237"/>
      <c r="CH157" s="2237"/>
      <c r="CI157" s="2237"/>
      <c r="CJ157" s="2237"/>
      <c r="CW157" s="2237"/>
      <c r="CX157" s="2237"/>
      <c r="CY157" s="2237"/>
      <c r="CZ157" s="2237"/>
      <c r="DG157" s="2422">
        <f t="shared" ref="DG157:DG168" si="58">(DI157)/(DJ157)</f>
        <v>2.3992682533170813</v>
      </c>
      <c r="DH157" s="2423" t="str">
        <f t="shared" si="54"/>
        <v>Refrigeration BUS 12 Year EUL</v>
      </c>
      <c r="DI157" s="3660">
        <f>(INDEX('Avoided Cost Benefits'!$B$4:$B$865,MATCH(DH157,'Avoided Cost Benefits'!$A$4:$A$865,0)))*F157</f>
        <v>119.96341266585407</v>
      </c>
      <c r="DJ157" s="2424">
        <f t="shared" si="55"/>
        <v>50</v>
      </c>
    </row>
    <row r="158" spans="1:126" s="3517" customFormat="1" ht="15" customHeight="1">
      <c r="B158" s="2208">
        <f t="shared" si="50"/>
        <v>801500</v>
      </c>
      <c r="C158" s="3499" t="s">
        <v>244</v>
      </c>
      <c r="D158" s="3509" t="s">
        <v>95</v>
      </c>
      <c r="E158" s="3652" t="s">
        <v>245</v>
      </c>
      <c r="F158" s="3617">
        <f t="shared" si="51"/>
        <v>377.3</v>
      </c>
      <c r="G158" s="3503" t="s">
        <v>235</v>
      </c>
      <c r="H158" s="3504">
        <f>VLOOKUP(G158,'CP FACTORS'!$A$26:$B$38,2,FALSE)</f>
        <v>1.3573829999999999E-4</v>
      </c>
      <c r="I158" s="3653">
        <f t="shared" si="52"/>
        <v>5.1214000000000003E-2</v>
      </c>
      <c r="J158" s="3654">
        <f t="shared" si="56"/>
        <v>12</v>
      </c>
      <c r="K158" s="3513">
        <v>200</v>
      </c>
      <c r="L158" s="3577" t="s">
        <v>62</v>
      </c>
      <c r="M158" s="3661"/>
      <c r="N158" s="3528"/>
      <c r="O158" s="3528"/>
      <c r="P158" s="3578"/>
      <c r="Q158" s="3579"/>
      <c r="R158" s="3580"/>
      <c r="S158" s="3580"/>
      <c r="T158" s="3581"/>
      <c r="U158" s="3528"/>
      <c r="V158" s="2460" t="s">
        <v>45</v>
      </c>
      <c r="W158" s="3293">
        <v>217.32375000000008</v>
      </c>
      <c r="X158" s="3293">
        <v>217.32375000000008</v>
      </c>
      <c r="Y158" s="3293">
        <v>217.32375000000008</v>
      </c>
      <c r="Z158" s="3293">
        <v>217.32375000000008</v>
      </c>
      <c r="AA158" s="3293">
        <v>217.32375000000008</v>
      </c>
      <c r="AB158" s="3655">
        <v>217.32</v>
      </c>
      <c r="AC158" s="3632">
        <v>217.32</v>
      </c>
      <c r="AD158" s="3632">
        <v>217.32</v>
      </c>
      <c r="AE158" s="3632">
        <v>217.32</v>
      </c>
      <c r="AF158" s="2236">
        <f t="shared" si="53"/>
        <v>377.3</v>
      </c>
      <c r="AG158" s="3223"/>
      <c r="AI158" s="2244" t="s">
        <v>49</v>
      </c>
      <c r="AJ158" s="3506">
        <v>12</v>
      </c>
      <c r="AK158" s="3506">
        <v>12</v>
      </c>
      <c r="AL158" s="3506">
        <v>12</v>
      </c>
      <c r="AM158" s="3506">
        <v>12</v>
      </c>
      <c r="AN158" s="3506">
        <v>12</v>
      </c>
      <c r="AO158" s="2847">
        <v>12</v>
      </c>
      <c r="AP158" s="2847">
        <v>12</v>
      </c>
      <c r="AQ158" s="2847">
        <v>12</v>
      </c>
      <c r="AR158" s="2847">
        <v>12</v>
      </c>
      <c r="AS158" s="2847">
        <v>12</v>
      </c>
      <c r="AU158" s="2244" t="s">
        <v>50</v>
      </c>
      <c r="AV158" s="3656">
        <v>500</v>
      </c>
      <c r="AW158" s="3656">
        <v>500</v>
      </c>
      <c r="AX158" s="3656">
        <v>500</v>
      </c>
      <c r="AY158" s="3656">
        <v>500</v>
      </c>
      <c r="AZ158" s="3656">
        <v>500</v>
      </c>
      <c r="BA158" s="3657">
        <v>500</v>
      </c>
      <c r="BB158" s="3657">
        <v>500</v>
      </c>
      <c r="BC158" s="3657">
        <v>500</v>
      </c>
      <c r="BD158" s="3657">
        <v>500</v>
      </c>
      <c r="BE158" s="3658">
        <f t="shared" si="57"/>
        <v>200</v>
      </c>
      <c r="BF158" s="3659"/>
      <c r="CG158" s="2237"/>
      <c r="CH158" s="2237"/>
      <c r="CI158" s="2237"/>
      <c r="CJ158" s="2237"/>
      <c r="CW158" s="2237"/>
      <c r="CX158" s="2237"/>
      <c r="CY158" s="2237"/>
      <c r="CZ158" s="2237"/>
      <c r="DG158" s="2422">
        <f t="shared" si="58"/>
        <v>1.1431579430930632</v>
      </c>
      <c r="DH158" s="2423" t="str">
        <f t="shared" si="54"/>
        <v>Refrigeration BUS 12 Year EUL</v>
      </c>
      <c r="DI158" s="3660">
        <f>(INDEX('Avoided Cost Benefits'!$B$4:$B$865,MATCH(DH158,'Avoided Cost Benefits'!$A$4:$A$865,0)))*F158</f>
        <v>228.63158861861262</v>
      </c>
      <c r="DJ158" s="2424">
        <f t="shared" si="55"/>
        <v>200</v>
      </c>
    </row>
    <row r="159" spans="1:126" s="3517" customFormat="1">
      <c r="B159" s="2208">
        <f t="shared" si="50"/>
        <v>801550</v>
      </c>
      <c r="C159" s="3499" t="s">
        <v>246</v>
      </c>
      <c r="D159" s="3509" t="s">
        <v>95</v>
      </c>
      <c r="E159" s="3652" t="s">
        <v>247</v>
      </c>
      <c r="F159" s="3617">
        <f t="shared" si="51"/>
        <v>706.39</v>
      </c>
      <c r="G159" s="3503" t="s">
        <v>235</v>
      </c>
      <c r="H159" s="3504">
        <f>VLOOKUP(G159,'CP FACTORS'!$A$26:$B$38,2,FALSE)</f>
        <v>1.3573829999999999E-4</v>
      </c>
      <c r="I159" s="3653">
        <f t="shared" si="52"/>
        <v>9.5883999999999997E-2</v>
      </c>
      <c r="J159" s="3654">
        <f t="shared" si="56"/>
        <v>12</v>
      </c>
      <c r="K159" s="3513">
        <v>450</v>
      </c>
      <c r="L159" s="3577" t="s">
        <v>62</v>
      </c>
      <c r="M159" s="3661"/>
      <c r="N159" s="3528"/>
      <c r="O159" s="3528"/>
      <c r="P159" s="3578"/>
      <c r="Q159" s="3579"/>
      <c r="R159" s="3580"/>
      <c r="S159" s="3580"/>
      <c r="T159" s="3581"/>
      <c r="U159" s="3528"/>
      <c r="V159" s="2460" t="s">
        <v>45</v>
      </c>
      <c r="W159" s="3293">
        <v>226.45500000000004</v>
      </c>
      <c r="X159" s="3293">
        <v>226.45500000000004</v>
      </c>
      <c r="Y159" s="3293">
        <v>226.45500000000004</v>
      </c>
      <c r="Z159" s="3293">
        <v>226.45500000000004</v>
      </c>
      <c r="AA159" s="3293">
        <v>226.45500000000004</v>
      </c>
      <c r="AB159" s="3655">
        <v>226.46</v>
      </c>
      <c r="AC159" s="3632">
        <v>226.46</v>
      </c>
      <c r="AD159" s="3632">
        <v>226.46</v>
      </c>
      <c r="AE159" s="3632">
        <v>226.46</v>
      </c>
      <c r="AF159" s="2236">
        <f t="shared" si="53"/>
        <v>706.39</v>
      </c>
      <c r="AG159" s="3223"/>
      <c r="AI159" s="2244" t="s">
        <v>49</v>
      </c>
      <c r="AJ159" s="3506">
        <v>12</v>
      </c>
      <c r="AK159" s="3506">
        <v>12</v>
      </c>
      <c r="AL159" s="3506">
        <v>12</v>
      </c>
      <c r="AM159" s="3506">
        <v>12</v>
      </c>
      <c r="AN159" s="3506">
        <v>12</v>
      </c>
      <c r="AO159" s="2847">
        <v>12</v>
      </c>
      <c r="AP159" s="2847">
        <v>12</v>
      </c>
      <c r="AQ159" s="2847">
        <v>12</v>
      </c>
      <c r="AR159" s="2847">
        <v>12</v>
      </c>
      <c r="AS159" s="2847">
        <v>12</v>
      </c>
      <c r="AU159" s="2244" t="s">
        <v>50</v>
      </c>
      <c r="AV159" s="3656">
        <v>1307</v>
      </c>
      <c r="AW159" s="3656">
        <v>1307</v>
      </c>
      <c r="AX159" s="3656">
        <v>1307</v>
      </c>
      <c r="AY159" s="3656">
        <v>1307</v>
      </c>
      <c r="AZ159" s="3656">
        <v>1307</v>
      </c>
      <c r="BA159" s="3657">
        <v>1307</v>
      </c>
      <c r="BB159" s="3657">
        <v>1307</v>
      </c>
      <c r="BC159" s="3657">
        <v>1307</v>
      </c>
      <c r="BD159" s="3657">
        <v>1307</v>
      </c>
      <c r="BE159" s="3658">
        <f t="shared" si="57"/>
        <v>450</v>
      </c>
      <c r="BF159" s="3659"/>
      <c r="CG159" s="2237"/>
      <c r="CH159" s="2237"/>
      <c r="CI159" s="2237"/>
      <c r="CJ159" s="2237"/>
      <c r="CW159" s="2237"/>
      <c r="CX159" s="2237"/>
      <c r="CY159" s="2237"/>
      <c r="CZ159" s="2237"/>
      <c r="DG159" s="2422">
        <f t="shared" si="58"/>
        <v>0.95122106124982642</v>
      </c>
      <c r="DH159" s="2423" t="str">
        <f t="shared" si="54"/>
        <v>Refrigeration BUS 12 Year EUL</v>
      </c>
      <c r="DI159" s="3660">
        <f>(INDEX('Avoided Cost Benefits'!$B$4:$B$865,MATCH(DH159,'Avoided Cost Benefits'!$A$4:$A$865,0)))*F159</f>
        <v>428.04947756242188</v>
      </c>
      <c r="DJ159" s="2424">
        <f t="shared" si="55"/>
        <v>450</v>
      </c>
    </row>
    <row r="160" spans="1:126" s="3517" customFormat="1">
      <c r="B160" s="2208">
        <f t="shared" si="50"/>
        <v>801600</v>
      </c>
      <c r="C160" s="3499" t="s">
        <v>248</v>
      </c>
      <c r="D160" s="3509" t="s">
        <v>95</v>
      </c>
      <c r="E160" s="3652" t="s">
        <v>249</v>
      </c>
      <c r="F160" s="3617">
        <f t="shared" si="51"/>
        <v>1060.32</v>
      </c>
      <c r="G160" s="3503" t="s">
        <v>235</v>
      </c>
      <c r="H160" s="3504">
        <f>VLOOKUP(G160,'CP FACTORS'!$A$26:$B$38,2,FALSE)</f>
        <v>1.3573829999999999E-4</v>
      </c>
      <c r="I160" s="3653">
        <f t="shared" si="52"/>
        <v>0.143926</v>
      </c>
      <c r="J160" s="3654">
        <f t="shared" si="56"/>
        <v>12</v>
      </c>
      <c r="K160" s="3513">
        <v>700</v>
      </c>
      <c r="L160" s="3577" t="s">
        <v>62</v>
      </c>
      <c r="M160" s="3661"/>
      <c r="N160" s="3528"/>
      <c r="O160" s="3528"/>
      <c r="P160" s="3578"/>
      <c r="Q160" s="3579"/>
      <c r="R160" s="3580"/>
      <c r="S160" s="3580"/>
      <c r="T160" s="3581"/>
      <c r="U160" s="3528"/>
      <c r="V160" s="2460" t="s">
        <v>45</v>
      </c>
      <c r="W160" s="3293">
        <v>372.55500000000018</v>
      </c>
      <c r="X160" s="3293">
        <v>372.55500000000018</v>
      </c>
      <c r="Y160" s="3293">
        <v>372.55500000000018</v>
      </c>
      <c r="Z160" s="3293">
        <v>372.55500000000018</v>
      </c>
      <c r="AA160" s="3293">
        <v>372.55500000000018</v>
      </c>
      <c r="AB160" s="3655">
        <v>372.56</v>
      </c>
      <c r="AC160" s="3632">
        <v>372.56</v>
      </c>
      <c r="AD160" s="3632">
        <v>372.56</v>
      </c>
      <c r="AE160" s="3632">
        <v>372.56</v>
      </c>
      <c r="AF160" s="2236">
        <f t="shared" si="53"/>
        <v>1060.32</v>
      </c>
      <c r="AG160" s="3223"/>
      <c r="AI160" s="2244" t="s">
        <v>49</v>
      </c>
      <c r="AJ160" s="3506">
        <v>12</v>
      </c>
      <c r="AK160" s="3506">
        <v>12</v>
      </c>
      <c r="AL160" s="3506">
        <v>12</v>
      </c>
      <c r="AM160" s="3506">
        <v>12</v>
      </c>
      <c r="AN160" s="3506">
        <v>12</v>
      </c>
      <c r="AO160" s="2847">
        <v>12</v>
      </c>
      <c r="AP160" s="2847">
        <v>12</v>
      </c>
      <c r="AQ160" s="2847">
        <v>12</v>
      </c>
      <c r="AR160" s="2847">
        <v>12</v>
      </c>
      <c r="AS160" s="2847">
        <v>12</v>
      </c>
      <c r="AU160" s="2244" t="s">
        <v>50</v>
      </c>
      <c r="AV160" s="3656">
        <v>2300</v>
      </c>
      <c r="AW160" s="3656">
        <v>2300</v>
      </c>
      <c r="AX160" s="3656">
        <v>2300</v>
      </c>
      <c r="AY160" s="3656">
        <v>2300</v>
      </c>
      <c r="AZ160" s="3656">
        <v>2300</v>
      </c>
      <c r="BA160" s="3657">
        <v>2300</v>
      </c>
      <c r="BB160" s="3657">
        <v>2300</v>
      </c>
      <c r="BC160" s="3657">
        <v>2300</v>
      </c>
      <c r="BD160" s="3657">
        <v>2300</v>
      </c>
      <c r="BE160" s="3658">
        <f t="shared" si="57"/>
        <v>700</v>
      </c>
      <c r="BF160" s="3659"/>
      <c r="CG160" s="2237"/>
      <c r="CH160" s="2237"/>
      <c r="CI160" s="2237"/>
      <c r="CJ160" s="2237"/>
      <c r="CW160" s="2237"/>
      <c r="CX160" s="2237"/>
      <c r="CY160" s="2237"/>
      <c r="CZ160" s="2237"/>
      <c r="DG160" s="2422">
        <f t="shared" si="58"/>
        <v>0.91788514650746789</v>
      </c>
      <c r="DH160" s="2423" t="str">
        <f t="shared" si="54"/>
        <v>Refrigeration BUS 12 Year EUL</v>
      </c>
      <c r="DI160" s="3660">
        <f>(INDEX('Avoided Cost Benefits'!$B$4:$B$865,MATCH(DH160,'Avoided Cost Benefits'!$A$4:$A$865,0)))*F160</f>
        <v>642.51960255522749</v>
      </c>
      <c r="DJ160" s="2424">
        <f t="shared" si="55"/>
        <v>700</v>
      </c>
    </row>
    <row r="161" spans="2:114" s="3517" customFormat="1">
      <c r="B161" s="2208">
        <f t="shared" si="50"/>
        <v>801700</v>
      </c>
      <c r="C161" s="3499" t="s">
        <v>250</v>
      </c>
      <c r="D161" s="3509" t="s">
        <v>95</v>
      </c>
      <c r="E161" s="3662" t="s">
        <v>251</v>
      </c>
      <c r="F161" s="3617">
        <f>ROUND(((K184*M184+N184)-(L184))*365.25,2)</f>
        <v>284.16000000000003</v>
      </c>
      <c r="G161" s="3503" t="s">
        <v>235</v>
      </c>
      <c r="H161" s="3504">
        <f>VLOOKUP(G161,'CP FACTORS'!$A$26:$B$38,2,FALSE)</f>
        <v>1.3573829999999999E-4</v>
      </c>
      <c r="I161" s="3653">
        <f t="shared" si="52"/>
        <v>3.8571000000000001E-2</v>
      </c>
      <c r="J161" s="3654">
        <v>12</v>
      </c>
      <c r="K161" s="3513">
        <v>100</v>
      </c>
      <c r="L161" s="3577" t="s">
        <v>62</v>
      </c>
      <c r="M161" s="3661"/>
      <c r="N161" s="3663"/>
      <c r="O161" s="3663"/>
      <c r="P161" s="3578"/>
      <c r="Q161" s="3579"/>
      <c r="R161" s="3580"/>
      <c r="S161" s="3580"/>
      <c r="T161" s="3581"/>
      <c r="U161" s="3528"/>
      <c r="V161" s="2460" t="s">
        <v>45</v>
      </c>
      <c r="W161" s="3293">
        <v>348.81375000000003</v>
      </c>
      <c r="X161" s="3293">
        <v>348.81375000000003</v>
      </c>
      <c r="Y161" s="3293">
        <v>348.81375000000003</v>
      </c>
      <c r="Z161" s="3293">
        <v>348.81375000000003</v>
      </c>
      <c r="AA161" s="3293">
        <v>348.81375000000003</v>
      </c>
      <c r="AB161" s="3655">
        <v>348.81</v>
      </c>
      <c r="AC161" s="3632">
        <v>348.81</v>
      </c>
      <c r="AD161" s="3632">
        <v>348.81</v>
      </c>
      <c r="AE161" s="3632">
        <v>348.81</v>
      </c>
      <c r="AF161" s="2236">
        <f t="shared" si="53"/>
        <v>284.16000000000003</v>
      </c>
      <c r="AG161" s="3223"/>
      <c r="AI161" s="2244" t="s">
        <v>49</v>
      </c>
      <c r="AJ161" s="3506">
        <v>12</v>
      </c>
      <c r="AK161" s="3506">
        <v>12</v>
      </c>
      <c r="AL161" s="3506">
        <v>12</v>
      </c>
      <c r="AM161" s="3506">
        <v>12</v>
      </c>
      <c r="AN161" s="3506">
        <v>12</v>
      </c>
      <c r="AO161" s="2847">
        <v>12</v>
      </c>
      <c r="AP161" s="2847">
        <v>12</v>
      </c>
      <c r="AQ161" s="2847">
        <v>12</v>
      </c>
      <c r="AR161" s="2847">
        <v>12</v>
      </c>
      <c r="AS161" s="2847">
        <v>12</v>
      </c>
      <c r="AU161" s="2244" t="s">
        <v>50</v>
      </c>
      <c r="AV161" s="3656">
        <v>150</v>
      </c>
      <c r="AW161" s="3656">
        <v>150</v>
      </c>
      <c r="AX161" s="3656">
        <v>150</v>
      </c>
      <c r="AY161" s="3656">
        <v>150</v>
      </c>
      <c r="AZ161" s="3656">
        <v>150</v>
      </c>
      <c r="BA161" s="3657">
        <v>150</v>
      </c>
      <c r="BB161" s="3657">
        <v>150</v>
      </c>
      <c r="BC161" s="3657">
        <v>150</v>
      </c>
      <c r="BD161" s="3657">
        <v>150</v>
      </c>
      <c r="BE161" s="3658">
        <f t="shared" si="57"/>
        <v>100</v>
      </c>
      <c r="BF161" s="3659"/>
      <c r="CG161" s="2237"/>
      <c r="CH161" s="2237"/>
      <c r="CI161" s="2237"/>
      <c r="CJ161" s="2237"/>
      <c r="CW161" s="2237"/>
      <c r="CX161" s="2237"/>
      <c r="CY161" s="2237"/>
      <c r="CZ161" s="2237"/>
      <c r="DG161" s="2422">
        <f t="shared" si="58"/>
        <v>1.7219176311122442</v>
      </c>
      <c r="DH161" s="2423" t="str">
        <f t="shared" si="54"/>
        <v>Refrigeration BUS 12 Year EUL</v>
      </c>
      <c r="DI161" s="3660">
        <f>(INDEX('Avoided Cost Benefits'!$B$4:$B$865,MATCH(DH161,'Avoided Cost Benefits'!$A$4:$A$865,0)))*F161</f>
        <v>172.19176311122442</v>
      </c>
      <c r="DJ161" s="2424">
        <f t="shared" si="55"/>
        <v>100</v>
      </c>
    </row>
    <row r="162" spans="2:114">
      <c r="B162" s="1454">
        <f t="shared" si="50"/>
        <v>801750</v>
      </c>
      <c r="C162" s="1637" t="s">
        <v>252</v>
      </c>
      <c r="D162" s="1639" t="s">
        <v>135</v>
      </c>
      <c r="E162" s="2069" t="s">
        <v>253</v>
      </c>
      <c r="F162" s="1922">
        <f t="shared" ref="F162:F168" si="59">ROUND(((K185*M185+N185)-(L185))*365.25,2)</f>
        <v>575.27</v>
      </c>
      <c r="G162" s="463" t="s">
        <v>235</v>
      </c>
      <c r="H162" s="464">
        <f>VLOOKUP(G162,'CP FACTORS'!$A$26:$B$38,2,FALSE)</f>
        <v>1.3573829999999999E-4</v>
      </c>
      <c r="I162" s="1924">
        <f t="shared" si="52"/>
        <v>7.8086000000000003E-2</v>
      </c>
      <c r="J162" s="487">
        <v>12</v>
      </c>
      <c r="K162" s="2016">
        <v>350</v>
      </c>
      <c r="L162" s="465" t="s">
        <v>62</v>
      </c>
      <c r="M162" s="488"/>
      <c r="N162" s="489"/>
      <c r="O162" s="489"/>
      <c r="P162" s="467"/>
      <c r="Q162" s="468"/>
      <c r="R162" s="469"/>
      <c r="S162" s="469"/>
      <c r="T162" s="470"/>
      <c r="V162" s="1414" t="s">
        <v>45</v>
      </c>
      <c r="W162" s="1740">
        <v>1307.5949999999998</v>
      </c>
      <c r="X162" s="1740">
        <v>1307.5949999999998</v>
      </c>
      <c r="Y162" s="1740">
        <v>1307.5949999999998</v>
      </c>
      <c r="Z162" s="1740">
        <v>1307.5949999999998</v>
      </c>
      <c r="AA162" s="1740">
        <v>1307.5949999999998</v>
      </c>
      <c r="AB162" s="1916">
        <v>1307.5999999999999</v>
      </c>
      <c r="AC162" s="769">
        <v>1307.5999999999999</v>
      </c>
      <c r="AD162" s="769">
        <v>1307.5999999999999</v>
      </c>
      <c r="AE162" s="769">
        <v>1307.5999999999999</v>
      </c>
      <c r="AF162" s="271">
        <f t="shared" si="53"/>
        <v>575.27</v>
      </c>
      <c r="AG162" s="54"/>
      <c r="AI162" s="1445" t="s">
        <v>49</v>
      </c>
      <c r="AJ162" s="20">
        <v>12</v>
      </c>
      <c r="AK162" s="20">
        <v>12</v>
      </c>
      <c r="AL162" s="20">
        <v>12</v>
      </c>
      <c r="AM162" s="20">
        <v>12</v>
      </c>
      <c r="AN162" s="20">
        <v>12</v>
      </c>
      <c r="AO162" s="17">
        <v>12</v>
      </c>
      <c r="AP162" s="17">
        <v>12</v>
      </c>
      <c r="AQ162" s="17">
        <v>12</v>
      </c>
      <c r="AR162" s="17">
        <v>12</v>
      </c>
      <c r="AS162" s="17">
        <v>12</v>
      </c>
      <c r="AU162" s="1445" t="s">
        <v>50</v>
      </c>
      <c r="AV162" s="1917">
        <v>400</v>
      </c>
      <c r="AW162" s="1917">
        <v>400</v>
      </c>
      <c r="AX162" s="1917">
        <v>400</v>
      </c>
      <c r="AY162" s="1917">
        <v>400</v>
      </c>
      <c r="AZ162" s="1917">
        <v>400</v>
      </c>
      <c r="BA162" s="1918">
        <v>400</v>
      </c>
      <c r="BB162" s="1918">
        <v>400</v>
      </c>
      <c r="BC162" s="1918">
        <v>400</v>
      </c>
      <c r="BD162" s="1918">
        <v>400</v>
      </c>
      <c r="BE162" s="1974">
        <f t="shared" si="57"/>
        <v>350</v>
      </c>
      <c r="BF162" s="1919"/>
      <c r="DG162" s="1063">
        <f t="shared" si="58"/>
        <v>0.99598571795561908</v>
      </c>
      <c r="DH162" s="673" t="str">
        <f t="shared" si="54"/>
        <v>Refrigeration BUS 12 Year EUL</v>
      </c>
      <c r="DI162" s="655">
        <f>(INDEX('Avoided Cost Benefits'!$B$4:$B$865,MATCH(DH162,'Avoided Cost Benefits'!$A$4:$A$865,0)))*F162</f>
        <v>348.59500128446666</v>
      </c>
      <c r="DJ162" s="1170">
        <f t="shared" si="55"/>
        <v>350</v>
      </c>
    </row>
    <row r="163" spans="2:114">
      <c r="B163" s="1454">
        <f t="shared" si="50"/>
        <v>801800</v>
      </c>
      <c r="C163" s="1637" t="s">
        <v>254</v>
      </c>
      <c r="D163" s="1639" t="s">
        <v>135</v>
      </c>
      <c r="E163" s="2069" t="s">
        <v>255</v>
      </c>
      <c r="F163" s="1922">
        <f t="shared" si="59"/>
        <v>1117.67</v>
      </c>
      <c r="G163" s="463" t="s">
        <v>235</v>
      </c>
      <c r="H163" s="464">
        <f>VLOOKUP(G163,'CP FACTORS'!$A$26:$B$38,2,FALSE)</f>
        <v>1.3573829999999999E-4</v>
      </c>
      <c r="I163" s="1924">
        <f t="shared" si="52"/>
        <v>0.15171100000000001</v>
      </c>
      <c r="J163" s="487">
        <v>12</v>
      </c>
      <c r="K163" s="2016">
        <v>500</v>
      </c>
      <c r="L163" s="465" t="s">
        <v>62</v>
      </c>
      <c r="M163" s="488"/>
      <c r="N163" s="489"/>
      <c r="O163" s="489"/>
      <c r="P163" s="467"/>
      <c r="Q163" s="468"/>
      <c r="R163" s="469"/>
      <c r="S163" s="469"/>
      <c r="T163" s="470"/>
      <c r="V163" s="1414" t="s">
        <v>45</v>
      </c>
      <c r="W163" s="1740">
        <v>2403.3449999999993</v>
      </c>
      <c r="X163" s="1740">
        <v>2403.3449999999993</v>
      </c>
      <c r="Y163" s="1740">
        <v>2403.3449999999993</v>
      </c>
      <c r="Z163" s="1740">
        <v>2403.3449999999993</v>
      </c>
      <c r="AA163" s="1740">
        <v>2403.3449999999993</v>
      </c>
      <c r="AB163" s="1916">
        <v>2403.35</v>
      </c>
      <c r="AC163" s="769">
        <v>2403.35</v>
      </c>
      <c r="AD163" s="769">
        <v>2403.35</v>
      </c>
      <c r="AE163" s="769">
        <v>2403.35</v>
      </c>
      <c r="AF163" s="271">
        <f t="shared" si="53"/>
        <v>1117.67</v>
      </c>
      <c r="AG163" s="54"/>
      <c r="AI163" s="1445" t="s">
        <v>49</v>
      </c>
      <c r="AJ163" s="20">
        <v>12</v>
      </c>
      <c r="AK163" s="20">
        <v>12</v>
      </c>
      <c r="AL163" s="20">
        <v>12</v>
      </c>
      <c r="AM163" s="20">
        <v>12</v>
      </c>
      <c r="AN163" s="20">
        <v>12</v>
      </c>
      <c r="AO163" s="17">
        <v>12</v>
      </c>
      <c r="AP163" s="17">
        <v>12</v>
      </c>
      <c r="AQ163" s="17">
        <v>12</v>
      </c>
      <c r="AR163" s="17">
        <v>12</v>
      </c>
      <c r="AS163" s="17">
        <v>12</v>
      </c>
      <c r="AU163" s="1445" t="s">
        <v>50</v>
      </c>
      <c r="AV163" s="1917">
        <v>550</v>
      </c>
      <c r="AW163" s="1917">
        <v>550</v>
      </c>
      <c r="AX163" s="1917">
        <v>550</v>
      </c>
      <c r="AY163" s="1917">
        <v>550</v>
      </c>
      <c r="AZ163" s="1917">
        <v>550</v>
      </c>
      <c r="BA163" s="1918">
        <v>550</v>
      </c>
      <c r="BB163" s="1918">
        <v>550</v>
      </c>
      <c r="BC163" s="1918">
        <v>550</v>
      </c>
      <c r="BD163" s="1918">
        <v>550</v>
      </c>
      <c r="BE163" s="1974">
        <f t="shared" si="57"/>
        <v>500</v>
      </c>
      <c r="BF163" s="1919"/>
      <c r="DG163" s="1063">
        <f t="shared" si="58"/>
        <v>1.3545436928246213</v>
      </c>
      <c r="DH163" s="673" t="str">
        <f t="shared" si="54"/>
        <v>Refrigeration BUS 12 Year EUL</v>
      </c>
      <c r="DI163" s="655">
        <f>(INDEX('Avoided Cost Benefits'!$B$4:$B$865,MATCH(DH163,'Avoided Cost Benefits'!$A$4:$A$865,0)))*F163</f>
        <v>677.27184641231065</v>
      </c>
      <c r="DJ163" s="1170">
        <f t="shared" si="55"/>
        <v>500</v>
      </c>
    </row>
    <row r="164" spans="2:114" ht="15.75" customHeight="1">
      <c r="B164" s="1454">
        <f t="shared" si="50"/>
        <v>801850</v>
      </c>
      <c r="C164" s="1637" t="s">
        <v>256</v>
      </c>
      <c r="D164" s="1639" t="s">
        <v>135</v>
      </c>
      <c r="E164" s="2069" t="s">
        <v>257</v>
      </c>
      <c r="F164" s="1922">
        <f t="shared" si="59"/>
        <v>1504.46</v>
      </c>
      <c r="G164" s="463" t="s">
        <v>235</v>
      </c>
      <c r="H164" s="464">
        <f>VLOOKUP(G164,'CP FACTORS'!$A$26:$B$38,2,FALSE)</f>
        <v>1.3573829999999999E-4</v>
      </c>
      <c r="I164" s="1924">
        <f t="shared" si="52"/>
        <v>0.20421300000000001</v>
      </c>
      <c r="J164" s="487">
        <v>12</v>
      </c>
      <c r="K164" s="2016">
        <v>600</v>
      </c>
      <c r="L164" s="465" t="s">
        <v>62</v>
      </c>
      <c r="M164" s="488"/>
      <c r="P164" s="467"/>
      <c r="Q164" s="468"/>
      <c r="R164" s="469"/>
      <c r="S164" s="469"/>
      <c r="T164" s="470"/>
      <c r="V164" s="1414" t="s">
        <v>45</v>
      </c>
      <c r="W164" s="1740">
        <v>2951.2199999999993</v>
      </c>
      <c r="X164" s="1740">
        <v>2951.2199999999993</v>
      </c>
      <c r="Y164" s="1740">
        <v>2951.2199999999993</v>
      </c>
      <c r="Z164" s="1740">
        <v>2951.2199999999993</v>
      </c>
      <c r="AA164" s="1740">
        <v>2951.2199999999993</v>
      </c>
      <c r="AB164" s="1916">
        <v>2951.22</v>
      </c>
      <c r="AC164" s="769">
        <v>2951.22</v>
      </c>
      <c r="AD164" s="769">
        <v>2951.22</v>
      </c>
      <c r="AE164" s="769">
        <v>2951.22</v>
      </c>
      <c r="AF164" s="271">
        <f t="shared" si="53"/>
        <v>1504.46</v>
      </c>
      <c r="AG164" s="54"/>
      <c r="AI164" s="1445" t="s">
        <v>49</v>
      </c>
      <c r="AJ164" s="20">
        <v>12</v>
      </c>
      <c r="AK164" s="20">
        <v>12</v>
      </c>
      <c r="AL164" s="20">
        <v>12</v>
      </c>
      <c r="AM164" s="20">
        <v>12</v>
      </c>
      <c r="AN164" s="20">
        <v>12</v>
      </c>
      <c r="AO164" s="17">
        <v>12</v>
      </c>
      <c r="AP164" s="17">
        <v>12</v>
      </c>
      <c r="AQ164" s="17">
        <v>12</v>
      </c>
      <c r="AR164" s="17">
        <v>12</v>
      </c>
      <c r="AS164" s="17">
        <v>12</v>
      </c>
      <c r="AU164" s="1445" t="s">
        <v>50</v>
      </c>
      <c r="AV164" s="1917">
        <v>700</v>
      </c>
      <c r="AW164" s="1917">
        <v>700</v>
      </c>
      <c r="AX164" s="1917">
        <v>700</v>
      </c>
      <c r="AY164" s="1917">
        <v>700</v>
      </c>
      <c r="AZ164" s="1917">
        <v>700</v>
      </c>
      <c r="BA164" s="1918">
        <v>700</v>
      </c>
      <c r="BB164" s="1918">
        <v>700</v>
      </c>
      <c r="BC164" s="1918">
        <v>700</v>
      </c>
      <c r="BD164" s="1918">
        <v>700</v>
      </c>
      <c r="BE164" s="1974">
        <f t="shared" si="57"/>
        <v>600</v>
      </c>
      <c r="BF164" s="1919"/>
      <c r="DG164" s="1063">
        <f t="shared" si="58"/>
        <v>1.5194234464756515</v>
      </c>
      <c r="DH164" s="673" t="str">
        <f t="shared" si="54"/>
        <v>Refrigeration BUS 12 Year EUL</v>
      </c>
      <c r="DI164" s="655">
        <f>(INDEX('Avoided Cost Benefits'!$B$4:$B$865,MATCH(DH164,'Avoided Cost Benefits'!$A$4:$A$865,0)))*F164</f>
        <v>911.65406788539087</v>
      </c>
      <c r="DJ164" s="1170">
        <f t="shared" si="55"/>
        <v>600</v>
      </c>
    </row>
    <row r="165" spans="2:114">
      <c r="B165" s="1454">
        <f t="shared" si="50"/>
        <v>801900</v>
      </c>
      <c r="C165" s="1637" t="s">
        <v>258</v>
      </c>
      <c r="D165" s="1639" t="s">
        <v>135</v>
      </c>
      <c r="E165" s="2069" t="s">
        <v>259</v>
      </c>
      <c r="F165" s="1922">
        <f t="shared" si="59"/>
        <v>558.83000000000004</v>
      </c>
      <c r="G165" s="463" t="s">
        <v>235</v>
      </c>
      <c r="H165" s="464">
        <f>VLOOKUP(G165,'CP FACTORS'!$A$26:$B$38,2,FALSE)</f>
        <v>1.3573829999999999E-4</v>
      </c>
      <c r="I165" s="1924">
        <f t="shared" si="52"/>
        <v>7.5855000000000006E-2</v>
      </c>
      <c r="J165" s="487">
        <v>12</v>
      </c>
      <c r="K165" s="2016">
        <v>50</v>
      </c>
      <c r="L165" s="465" t="s">
        <v>62</v>
      </c>
      <c r="M165" s="488"/>
      <c r="P165" s="467"/>
      <c r="Q165" s="468"/>
      <c r="R165" s="469"/>
      <c r="S165" s="469"/>
      <c r="T165" s="470"/>
      <c r="V165" s="1414" t="s">
        <v>45</v>
      </c>
      <c r="W165" s="1740">
        <v>1429.9537499999997</v>
      </c>
      <c r="X165" s="1740">
        <v>1429.9537499999997</v>
      </c>
      <c r="Y165" s="1740">
        <v>1429.9537499999997</v>
      </c>
      <c r="Z165" s="1740">
        <v>1429.9537499999997</v>
      </c>
      <c r="AA165" s="1740">
        <v>1429.9537499999997</v>
      </c>
      <c r="AB165" s="1916">
        <v>1429.95</v>
      </c>
      <c r="AC165" s="769">
        <v>1429.95</v>
      </c>
      <c r="AD165" s="769">
        <v>1429.95</v>
      </c>
      <c r="AE165" s="769">
        <v>1429.95</v>
      </c>
      <c r="AF165" s="271">
        <f t="shared" si="53"/>
        <v>558.83000000000004</v>
      </c>
      <c r="AG165" s="54"/>
      <c r="AI165" s="1445" t="s">
        <v>49</v>
      </c>
      <c r="AJ165" s="20">
        <v>12</v>
      </c>
      <c r="AK165" s="20">
        <v>12</v>
      </c>
      <c r="AL165" s="20">
        <v>12</v>
      </c>
      <c r="AM165" s="20">
        <v>12</v>
      </c>
      <c r="AN165" s="20">
        <v>12</v>
      </c>
      <c r="AO165" s="17">
        <v>12</v>
      </c>
      <c r="AP165" s="17">
        <v>12</v>
      </c>
      <c r="AQ165" s="17">
        <v>12</v>
      </c>
      <c r="AR165" s="17">
        <v>12</v>
      </c>
      <c r="AS165" s="17">
        <v>12</v>
      </c>
      <c r="AU165" s="1445" t="s">
        <v>50</v>
      </c>
      <c r="AV165" s="1917">
        <v>220</v>
      </c>
      <c r="AW165" s="1917">
        <v>220</v>
      </c>
      <c r="AX165" s="1917">
        <v>220</v>
      </c>
      <c r="AY165" s="1917">
        <v>220</v>
      </c>
      <c r="AZ165" s="1917">
        <v>220</v>
      </c>
      <c r="BA165" s="1918">
        <v>220</v>
      </c>
      <c r="BB165" s="1918">
        <v>220</v>
      </c>
      <c r="BC165" s="1918">
        <v>220</v>
      </c>
      <c r="BD165" s="1918">
        <v>220</v>
      </c>
      <c r="BE165" s="1974">
        <f t="shared" si="57"/>
        <v>50</v>
      </c>
      <c r="BF165" s="1919"/>
      <c r="DG165" s="1063">
        <f t="shared" si="58"/>
        <v>6.7726578673596238</v>
      </c>
      <c r="DH165" s="673" t="str">
        <f t="shared" si="54"/>
        <v>Refrigeration BUS 12 Year EUL</v>
      </c>
      <c r="DI165" s="655">
        <f>(INDEX('Avoided Cost Benefits'!$B$4:$B$865,MATCH(DH165,'Avoided Cost Benefits'!$A$4:$A$865,0)))*F165</f>
        <v>338.63289336798118</v>
      </c>
      <c r="DJ165" s="1170">
        <f t="shared" si="55"/>
        <v>50</v>
      </c>
    </row>
    <row r="166" spans="2:114">
      <c r="B166" s="1454">
        <f t="shared" si="50"/>
        <v>801950</v>
      </c>
      <c r="C166" s="1637" t="s">
        <v>260</v>
      </c>
      <c r="D166" s="1639" t="s">
        <v>135</v>
      </c>
      <c r="E166" s="2069" t="s">
        <v>261</v>
      </c>
      <c r="F166" s="1922">
        <f t="shared" si="59"/>
        <v>974.85</v>
      </c>
      <c r="G166" s="463" t="s">
        <v>235</v>
      </c>
      <c r="H166" s="464">
        <f>VLOOKUP(G166,'CP FACTORS'!$A$26:$B$38,2,FALSE)</f>
        <v>1.3573829999999999E-4</v>
      </c>
      <c r="I166" s="1924">
        <f t="shared" si="52"/>
        <v>0.132324</v>
      </c>
      <c r="J166" s="487">
        <v>12</v>
      </c>
      <c r="K166" s="2016">
        <v>100</v>
      </c>
      <c r="L166" s="465" t="s">
        <v>62</v>
      </c>
      <c r="M166" s="488"/>
      <c r="P166" s="467"/>
      <c r="Q166" s="468"/>
      <c r="R166" s="469"/>
      <c r="S166" s="469"/>
      <c r="T166" s="470"/>
      <c r="V166" s="1414" t="s">
        <v>45</v>
      </c>
      <c r="W166" s="1740">
        <v>3186.8062500000005</v>
      </c>
      <c r="X166" s="1740">
        <v>3186.8062500000005</v>
      </c>
      <c r="Y166" s="1740">
        <v>3186.8062500000005</v>
      </c>
      <c r="Z166" s="1740">
        <v>3186.8062500000005</v>
      </c>
      <c r="AA166" s="1740">
        <v>3186.8062500000005</v>
      </c>
      <c r="AB166" s="1916">
        <v>3186.81</v>
      </c>
      <c r="AC166" s="769">
        <v>3186.81</v>
      </c>
      <c r="AD166" s="769">
        <v>3186.81</v>
      </c>
      <c r="AE166" s="769">
        <v>3186.81</v>
      </c>
      <c r="AF166" s="271">
        <f t="shared" si="53"/>
        <v>974.85</v>
      </c>
      <c r="AG166" s="54"/>
      <c r="AI166" s="1445" t="s">
        <v>49</v>
      </c>
      <c r="AJ166" s="20">
        <v>12</v>
      </c>
      <c r="AK166" s="20">
        <v>12</v>
      </c>
      <c r="AL166" s="20">
        <v>12</v>
      </c>
      <c r="AM166" s="20">
        <v>12</v>
      </c>
      <c r="AN166" s="20">
        <v>12</v>
      </c>
      <c r="AO166" s="17">
        <v>12</v>
      </c>
      <c r="AP166" s="17">
        <v>12</v>
      </c>
      <c r="AQ166" s="17">
        <v>12</v>
      </c>
      <c r="AR166" s="17">
        <v>12</v>
      </c>
      <c r="AS166" s="17">
        <v>12</v>
      </c>
      <c r="AU166" s="1445" t="s">
        <v>50</v>
      </c>
      <c r="AV166" s="1917">
        <v>950</v>
      </c>
      <c r="AW166" s="1917">
        <v>950</v>
      </c>
      <c r="AX166" s="1917">
        <v>950</v>
      </c>
      <c r="AY166" s="1917">
        <v>950</v>
      </c>
      <c r="AZ166" s="1917">
        <v>950</v>
      </c>
      <c r="BA166" s="1918">
        <v>950</v>
      </c>
      <c r="BB166" s="1918">
        <v>950</v>
      </c>
      <c r="BC166" s="1918">
        <v>950</v>
      </c>
      <c r="BD166" s="1918">
        <v>950</v>
      </c>
      <c r="BE166" s="1974">
        <f t="shared" si="57"/>
        <v>100</v>
      </c>
      <c r="BF166" s="1919"/>
      <c r="DG166" s="1063">
        <f t="shared" si="58"/>
        <v>5.9072754880692955</v>
      </c>
      <c r="DH166" s="673" t="str">
        <f t="shared" si="54"/>
        <v>Refrigeration BUS 12 Year EUL</v>
      </c>
      <c r="DI166" s="655">
        <f>(INDEX('Avoided Cost Benefits'!$B$4:$B$865,MATCH(DH166,'Avoided Cost Benefits'!$A$4:$A$865,0)))*F166</f>
        <v>590.72754880692958</v>
      </c>
      <c r="DJ166" s="1170">
        <f t="shared" si="55"/>
        <v>100</v>
      </c>
    </row>
    <row r="167" spans="2:114">
      <c r="B167" s="1454">
        <f t="shared" si="50"/>
        <v>802000</v>
      </c>
      <c r="C167" s="1637" t="s">
        <v>262</v>
      </c>
      <c r="D167" s="1639" t="s">
        <v>135</v>
      </c>
      <c r="E167" s="2069" t="s">
        <v>263</v>
      </c>
      <c r="F167" s="1922">
        <f t="shared" si="59"/>
        <v>1579.34</v>
      </c>
      <c r="G167" s="463" t="s">
        <v>235</v>
      </c>
      <c r="H167" s="464">
        <f>VLOOKUP(G167,'CP FACTORS'!$A$26:$B$38,2,FALSE)</f>
        <v>1.3573829999999999E-4</v>
      </c>
      <c r="I167" s="1924">
        <f t="shared" si="52"/>
        <v>0.21437700000000001</v>
      </c>
      <c r="J167" s="487">
        <v>12</v>
      </c>
      <c r="K167" s="2016">
        <v>300</v>
      </c>
      <c r="L167" s="465" t="s">
        <v>62</v>
      </c>
      <c r="M167" s="488"/>
      <c r="P167" s="467"/>
      <c r="Q167" s="468"/>
      <c r="R167" s="469"/>
      <c r="S167" s="469"/>
      <c r="T167" s="470"/>
      <c r="V167" s="1414" t="s">
        <v>45</v>
      </c>
      <c r="W167" s="1740">
        <v>5150.0250000000005</v>
      </c>
      <c r="X167" s="1740">
        <v>5150.0250000000005</v>
      </c>
      <c r="Y167" s="1740">
        <v>5150.0250000000005</v>
      </c>
      <c r="Z167" s="1740">
        <v>5150.0250000000005</v>
      </c>
      <c r="AA167" s="1740">
        <v>5150.0250000000005</v>
      </c>
      <c r="AB167" s="1916">
        <v>5150.03</v>
      </c>
      <c r="AC167" s="769">
        <v>5150.03</v>
      </c>
      <c r="AD167" s="769">
        <v>5150.03</v>
      </c>
      <c r="AE167" s="769">
        <v>5150.03</v>
      </c>
      <c r="AF167" s="271">
        <f t="shared" si="53"/>
        <v>1579.34</v>
      </c>
      <c r="AG167" s="54"/>
      <c r="AI167" s="1445" t="s">
        <v>49</v>
      </c>
      <c r="AJ167" s="20">
        <v>12</v>
      </c>
      <c r="AK167" s="20">
        <v>12</v>
      </c>
      <c r="AL167" s="20">
        <v>12</v>
      </c>
      <c r="AM167" s="20">
        <v>12</v>
      </c>
      <c r="AN167" s="20">
        <v>12</v>
      </c>
      <c r="AO167" s="17">
        <v>12</v>
      </c>
      <c r="AP167" s="17">
        <v>12</v>
      </c>
      <c r="AQ167" s="17">
        <v>12</v>
      </c>
      <c r="AR167" s="17">
        <v>12</v>
      </c>
      <c r="AS167" s="17">
        <v>12</v>
      </c>
      <c r="AU167" s="1445" t="s">
        <v>50</v>
      </c>
      <c r="AV167" s="1917">
        <v>1307</v>
      </c>
      <c r="AW167" s="1917">
        <v>1307</v>
      </c>
      <c r="AX167" s="1917">
        <v>1307</v>
      </c>
      <c r="AY167" s="1917">
        <v>1307</v>
      </c>
      <c r="AZ167" s="1917">
        <v>1307</v>
      </c>
      <c r="BA167" s="1918">
        <v>1307</v>
      </c>
      <c r="BB167" s="1918">
        <v>1307</v>
      </c>
      <c r="BC167" s="1918">
        <v>1307</v>
      </c>
      <c r="BD167" s="1918">
        <v>1307</v>
      </c>
      <c r="BE167" s="1974">
        <f t="shared" si="57"/>
        <v>300</v>
      </c>
      <c r="BF167" s="1919"/>
      <c r="DG167" s="1063">
        <f t="shared" si="58"/>
        <v>3.1900964146030537</v>
      </c>
      <c r="DH167" s="673" t="str">
        <f t="shared" si="54"/>
        <v>Refrigeration BUS 12 Year EUL</v>
      </c>
      <c r="DI167" s="655">
        <f>(INDEX('Avoided Cost Benefits'!$B$4:$B$865,MATCH(DH167,'Avoided Cost Benefits'!$A$4:$A$865,0)))*F167</f>
        <v>957.02892438091612</v>
      </c>
      <c r="DJ167" s="1170">
        <f t="shared" si="55"/>
        <v>300</v>
      </c>
    </row>
    <row r="168" spans="2:114">
      <c r="B168" s="1454">
        <f t="shared" si="50"/>
        <v>802050</v>
      </c>
      <c r="C168" s="1637" t="s">
        <v>264</v>
      </c>
      <c r="D168" s="1639" t="s">
        <v>135</v>
      </c>
      <c r="E168" s="2069" t="s">
        <v>265</v>
      </c>
      <c r="F168" s="1922">
        <f t="shared" si="59"/>
        <v>3149.19</v>
      </c>
      <c r="G168" s="463" t="s">
        <v>235</v>
      </c>
      <c r="H168" s="464">
        <f>VLOOKUP(G168,'CP FACTORS'!$A$26:$B$38,2,FALSE)</f>
        <v>1.3573829999999999E-4</v>
      </c>
      <c r="I168" s="1924">
        <f t="shared" si="52"/>
        <v>0.42746600000000001</v>
      </c>
      <c r="J168" s="487">
        <v>12</v>
      </c>
      <c r="K168" s="2016">
        <v>500</v>
      </c>
      <c r="L168" s="465" t="s">
        <v>62</v>
      </c>
      <c r="M168" s="488"/>
      <c r="V168" s="1414" t="s">
        <v>45</v>
      </c>
      <c r="W168" s="1740">
        <v>5884.1774999999998</v>
      </c>
      <c r="X168" s="1740">
        <v>5884.1774999999998</v>
      </c>
      <c r="Y168" s="1740">
        <v>5884.1774999999998</v>
      </c>
      <c r="Z168" s="1740">
        <v>5884.1774999999998</v>
      </c>
      <c r="AA168" s="1740">
        <v>5884.1774999999998</v>
      </c>
      <c r="AB168" s="1916">
        <v>5884.18</v>
      </c>
      <c r="AC168" s="769">
        <v>5884.18</v>
      </c>
      <c r="AD168" s="769">
        <v>5884.18</v>
      </c>
      <c r="AE168" s="769">
        <v>5884.18</v>
      </c>
      <c r="AF168" s="271">
        <f t="shared" si="53"/>
        <v>3149.19</v>
      </c>
      <c r="AG168" s="54"/>
      <c r="AI168" s="1445" t="s">
        <v>49</v>
      </c>
      <c r="AJ168" s="20">
        <v>12</v>
      </c>
      <c r="AK168" s="20">
        <v>12</v>
      </c>
      <c r="AL168" s="20">
        <v>12</v>
      </c>
      <c r="AM168" s="20">
        <v>12</v>
      </c>
      <c r="AN168" s="20">
        <v>12</v>
      </c>
      <c r="AO168" s="17">
        <v>12</v>
      </c>
      <c r="AP168" s="17">
        <v>12</v>
      </c>
      <c r="AQ168" s="17">
        <v>12</v>
      </c>
      <c r="AR168" s="17">
        <v>12</v>
      </c>
      <c r="AS168" s="17">
        <v>12</v>
      </c>
      <c r="AU168" s="1445" t="s">
        <v>50</v>
      </c>
      <c r="AV168" s="1917">
        <v>2300</v>
      </c>
      <c r="AW168" s="1917">
        <v>2300</v>
      </c>
      <c r="AX168" s="1917">
        <v>2300</v>
      </c>
      <c r="AY168" s="1917">
        <v>2300</v>
      </c>
      <c r="AZ168" s="1917">
        <v>2300</v>
      </c>
      <c r="BA168" s="1918">
        <v>2300</v>
      </c>
      <c r="BB168" s="1918">
        <v>2300</v>
      </c>
      <c r="BC168" s="1918">
        <v>2300</v>
      </c>
      <c r="BD168" s="1918">
        <v>2300</v>
      </c>
      <c r="BE168" s="1974">
        <f t="shared" si="57"/>
        <v>500</v>
      </c>
      <c r="BF168" s="1919"/>
      <c r="DG168" s="1063">
        <f t="shared" si="58"/>
        <v>3.8166144318147293</v>
      </c>
      <c r="DH168" s="673" t="str">
        <f t="shared" si="54"/>
        <v>Refrigeration BUS 12 Year EUL</v>
      </c>
      <c r="DI168" s="655">
        <f>(INDEX('Avoided Cost Benefits'!$B$4:$B$865,MATCH(DH168,'Avoided Cost Benefits'!$A$4:$A$865,0)))*F168</f>
        <v>1908.3072159073647</v>
      </c>
      <c r="DJ168" s="1170">
        <f t="shared" si="55"/>
        <v>500</v>
      </c>
    </row>
    <row r="169" spans="2:114">
      <c r="B169" s="1454">
        <f t="shared" ref="B169:B171" si="60">VALUE(LEFT(C169,6))</f>
        <v>801650</v>
      </c>
      <c r="C169" s="1972" t="s">
        <v>266</v>
      </c>
      <c r="D169" s="1639" t="s">
        <v>135</v>
      </c>
      <c r="E169" s="2069" t="s">
        <v>267</v>
      </c>
      <c r="F169" s="1922">
        <f>ROUND(((G192*I192+J192)-(H192))*365.25,2)</f>
        <v>290.01</v>
      </c>
      <c r="G169" s="463" t="s">
        <v>235</v>
      </c>
      <c r="H169" s="464">
        <f>VLOOKUP(G169,'CP FACTORS'!$A$26:$B$38,2,FALSE)</f>
        <v>1.3573829999999999E-4</v>
      </c>
      <c r="I169" s="1924">
        <f t="shared" si="52"/>
        <v>3.9364999999999997E-2</v>
      </c>
      <c r="J169" s="487">
        <v>12</v>
      </c>
      <c r="K169" s="2016">
        <v>0</v>
      </c>
      <c r="L169" s="465" t="s">
        <v>62</v>
      </c>
      <c r="M169" s="488"/>
      <c r="P169" s="467"/>
      <c r="Q169" s="468"/>
      <c r="R169" s="469"/>
      <c r="S169" s="469"/>
      <c r="T169" s="470"/>
      <c r="V169" s="1414" t="s">
        <v>45</v>
      </c>
      <c r="W169" s="1740">
        <v>1219.9349999999997</v>
      </c>
      <c r="X169" s="1740">
        <v>1219.9349999999997</v>
      </c>
      <c r="Y169" s="1740">
        <v>1219.9349999999997</v>
      </c>
      <c r="Z169" s="1740">
        <v>1219.9349999999997</v>
      </c>
      <c r="AA169" s="1740">
        <v>1219.9349999999997</v>
      </c>
      <c r="AB169" s="1916">
        <v>1219.94</v>
      </c>
      <c r="AC169" s="769">
        <v>1219.94</v>
      </c>
      <c r="AD169" s="769">
        <v>1219.94</v>
      </c>
      <c r="AE169" s="769">
        <v>1219.94</v>
      </c>
      <c r="AF169" s="271">
        <f t="shared" si="53"/>
        <v>290.01</v>
      </c>
      <c r="AG169" s="54"/>
      <c r="AI169" s="1445" t="s">
        <v>49</v>
      </c>
      <c r="AJ169" s="20">
        <v>12</v>
      </c>
      <c r="AK169" s="20">
        <v>12</v>
      </c>
      <c r="AL169" s="20">
        <v>12</v>
      </c>
      <c r="AM169" s="20">
        <v>12</v>
      </c>
      <c r="AN169" s="20">
        <v>12</v>
      </c>
      <c r="AO169" s="17">
        <v>12</v>
      </c>
      <c r="AP169" s="17">
        <v>12</v>
      </c>
      <c r="AQ169" s="17">
        <v>12</v>
      </c>
      <c r="AR169" s="17">
        <v>12</v>
      </c>
      <c r="AS169" s="17">
        <v>12</v>
      </c>
      <c r="AU169" s="1445" t="s">
        <v>50</v>
      </c>
      <c r="AV169" s="1917">
        <v>525</v>
      </c>
      <c r="AW169" s="1917">
        <v>525</v>
      </c>
      <c r="AX169" s="1917">
        <v>525</v>
      </c>
      <c r="AY169" s="1917">
        <v>525</v>
      </c>
      <c r="AZ169" s="1917">
        <v>525</v>
      </c>
      <c r="BA169" s="1918">
        <v>525</v>
      </c>
      <c r="BB169" s="1918">
        <v>525</v>
      </c>
      <c r="BC169" s="1918">
        <v>525</v>
      </c>
      <c r="BD169" s="1918">
        <v>525</v>
      </c>
      <c r="BE169" s="1974">
        <f t="shared" ref="BE169" si="61">K169</f>
        <v>0</v>
      </c>
      <c r="BF169" s="1919"/>
      <c r="DG169" s="1063" t="str">
        <f>IFERROR((DI169)/(DJ169),"n/a")</f>
        <v>n/a</v>
      </c>
      <c r="DH169" s="673" t="str">
        <f t="shared" ref="DH169" si="62">CONCATENATE(G169," ",J169," Year EUL")</f>
        <v>Refrigeration BUS 12 Year EUL</v>
      </c>
      <c r="DI169" s="655">
        <f>(INDEX('Avoided Cost Benefits'!$B$4:$B$865,MATCH(DH169,'Avoided Cost Benefits'!$A$4:$A$865,0)))*F169</f>
        <v>175.73667377493732</v>
      </c>
      <c r="DJ169" s="1170">
        <f t="shared" si="55"/>
        <v>0</v>
      </c>
    </row>
    <row r="170" spans="2:114">
      <c r="B170" s="1454">
        <f t="shared" si="60"/>
        <v>801655</v>
      </c>
      <c r="C170" s="1972" t="s">
        <v>268</v>
      </c>
      <c r="D170" s="1639" t="s">
        <v>135</v>
      </c>
      <c r="E170" s="2070" t="s">
        <v>269</v>
      </c>
      <c r="F170" s="1922">
        <f>ROUND(((G193*I193+J193)-(H193))*365.25,2)</f>
        <v>172.4</v>
      </c>
      <c r="G170" s="1639" t="s">
        <v>235</v>
      </c>
      <c r="H170" s="1640">
        <f>VLOOKUP(G170,'CP FACTORS'!$A$26:$B$38,2,FALSE)</f>
        <v>1.3573829999999999E-4</v>
      </c>
      <c r="I170" s="1924">
        <f t="shared" si="52"/>
        <v>2.3401000000000002E-2</v>
      </c>
      <c r="J170" s="1975">
        <v>12</v>
      </c>
      <c r="K170" s="2016">
        <v>0</v>
      </c>
      <c r="L170" s="1971" t="s">
        <v>62</v>
      </c>
      <c r="V170" s="1414" t="s">
        <v>45</v>
      </c>
      <c r="W170" s="1740"/>
      <c r="X170" s="1740"/>
      <c r="Y170" s="1740"/>
      <c r="Z170" s="1740"/>
      <c r="AA170" s="1740"/>
      <c r="AB170" s="1916"/>
      <c r="AC170" s="769"/>
      <c r="AD170" s="769"/>
      <c r="AE170" s="769"/>
      <c r="AF170" s="271">
        <f t="shared" si="53"/>
        <v>172.4</v>
      </c>
      <c r="AG170" s="54"/>
      <c r="AI170" s="1445" t="s">
        <v>49</v>
      </c>
      <c r="AJ170" s="20"/>
      <c r="AK170" s="20"/>
      <c r="AL170" s="20"/>
      <c r="AM170" s="20"/>
      <c r="AN170" s="20"/>
      <c r="AO170" s="17"/>
      <c r="AP170" s="17"/>
      <c r="AQ170" s="17"/>
      <c r="AR170" s="17"/>
      <c r="AS170" s="17">
        <v>12</v>
      </c>
      <c r="AU170" s="1445" t="s">
        <v>50</v>
      </c>
      <c r="AV170" s="1917"/>
      <c r="AW170" s="1917"/>
      <c r="AX170" s="1917"/>
      <c r="AY170" s="1917"/>
      <c r="AZ170" s="1917"/>
      <c r="BA170" s="1918"/>
      <c r="BB170" s="1918"/>
      <c r="BC170" s="1918"/>
      <c r="BD170" s="1918"/>
      <c r="BE170" s="1974">
        <f t="shared" si="57"/>
        <v>0</v>
      </c>
      <c r="BF170" s="1919"/>
      <c r="DG170" s="1063" t="str">
        <f>IFERROR((DI170)/(DJ170),"n/a")</f>
        <v>n/a</v>
      </c>
      <c r="DH170" s="673" t="str">
        <f t="shared" si="54"/>
        <v>Refrigeration BUS 12 Year EUL</v>
      </c>
      <c r="DI170" s="1066">
        <f>(INDEX('Avoided Cost Benefits'!$B$4:$B$865,MATCH(DH170,'Avoided Cost Benefits'!$A$4:$A$865,0)))*F170</f>
        <v>104.46882024343709</v>
      </c>
      <c r="DJ170" s="1171">
        <f t="shared" si="55"/>
        <v>0</v>
      </c>
    </row>
    <row r="171" spans="2:114">
      <c r="B171" s="1454">
        <f t="shared" si="60"/>
        <v>802100</v>
      </c>
      <c r="C171" s="1972" t="s">
        <v>270</v>
      </c>
      <c r="D171" s="1639" t="s">
        <v>135</v>
      </c>
      <c r="E171" s="2069" t="s">
        <v>271</v>
      </c>
      <c r="F171" s="1922">
        <f>ROUND(((K192*M192+N192)-(L192))*365.25,2)</f>
        <v>228.65</v>
      </c>
      <c r="G171" s="463" t="s">
        <v>235</v>
      </c>
      <c r="H171" s="464">
        <f>VLOOKUP(G171,'CP FACTORS'!$A$26:$B$38,2,FALSE)</f>
        <v>1.3573829999999999E-4</v>
      </c>
      <c r="I171" s="1924">
        <f t="shared" si="52"/>
        <v>3.1036999999999999E-2</v>
      </c>
      <c r="J171" s="487">
        <v>12</v>
      </c>
      <c r="K171" s="2016">
        <v>0</v>
      </c>
      <c r="L171" s="465" t="s">
        <v>62</v>
      </c>
      <c r="V171" s="1414" t="s">
        <v>45</v>
      </c>
      <c r="W171" s="1740">
        <v>5265.0787499999997</v>
      </c>
      <c r="X171" s="1740">
        <v>5265.0787499999997</v>
      </c>
      <c r="Y171" s="1740">
        <v>5265.0787499999997</v>
      </c>
      <c r="Z171" s="1740">
        <v>5265.0787499999997</v>
      </c>
      <c r="AA171" s="1740">
        <v>5265.0787499999997</v>
      </c>
      <c r="AB171" s="1740">
        <v>5265.08</v>
      </c>
      <c r="AC171" s="1973">
        <v>5265.08</v>
      </c>
      <c r="AD171" s="1973">
        <v>5265.08</v>
      </c>
      <c r="AE171" s="1973">
        <v>5265.08</v>
      </c>
      <c r="AF171" s="271">
        <f t="shared" si="53"/>
        <v>228.65</v>
      </c>
      <c r="AG171" s="54"/>
      <c r="AI171" s="1445" t="s">
        <v>49</v>
      </c>
      <c r="AJ171" s="20">
        <v>12</v>
      </c>
      <c r="AK171" s="20">
        <v>12</v>
      </c>
      <c r="AL171" s="20">
        <v>12</v>
      </c>
      <c r="AM171" s="20">
        <v>12</v>
      </c>
      <c r="AN171" s="20">
        <v>12</v>
      </c>
      <c r="AO171" s="17">
        <v>12</v>
      </c>
      <c r="AP171" s="17">
        <v>12</v>
      </c>
      <c r="AQ171" s="17">
        <v>12</v>
      </c>
      <c r="AR171" s="17">
        <v>12</v>
      </c>
      <c r="AS171" s="17">
        <v>12</v>
      </c>
      <c r="AU171" s="1445" t="s">
        <v>50</v>
      </c>
      <c r="AV171" s="710">
        <v>595</v>
      </c>
      <c r="AW171" s="710">
        <v>595</v>
      </c>
      <c r="AX171" s="710">
        <v>595</v>
      </c>
      <c r="AY171" s="710">
        <v>595</v>
      </c>
      <c r="AZ171" s="710">
        <v>595</v>
      </c>
      <c r="BA171" s="689">
        <v>595</v>
      </c>
      <c r="BB171" s="689">
        <v>595</v>
      </c>
      <c r="BC171" s="689">
        <v>595</v>
      </c>
      <c r="BD171" s="689">
        <v>595</v>
      </c>
      <c r="BE171" s="1974">
        <f t="shared" ref="BE171" si="63">K171</f>
        <v>0</v>
      </c>
      <c r="BF171" s="1920"/>
      <c r="DG171" s="1063" t="str">
        <f>IFERROR((DI171)/(DJ171),"n/a")</f>
        <v>n/a</v>
      </c>
      <c r="DH171" s="673" t="str">
        <f t="shared" ref="DH171" si="64">CONCATENATE(G171," ",J171," Year EUL")</f>
        <v>Refrigeration BUS 12 Year EUL</v>
      </c>
      <c r="DI171" s="1066">
        <f>(INDEX('Avoided Cost Benefits'!$B$4:$B$865,MATCH(DH171,'Avoided Cost Benefits'!$A$4:$A$865,0)))*F171</f>
        <v>138.55449970221517</v>
      </c>
      <c r="DJ171" s="1171">
        <f t="shared" si="55"/>
        <v>0</v>
      </c>
    </row>
    <row r="172" spans="2:114">
      <c r="B172" s="469"/>
      <c r="C172" s="469"/>
      <c r="D172" s="469"/>
      <c r="E172" s="469"/>
      <c r="F172" s="469"/>
      <c r="G172" s="469"/>
      <c r="H172" s="469"/>
      <c r="I172" s="469"/>
      <c r="J172" s="469"/>
      <c r="K172" s="469"/>
      <c r="L172" s="469"/>
      <c r="M172" s="469"/>
      <c r="N172" s="469"/>
      <c r="O172" s="469"/>
      <c r="P172" s="469"/>
      <c r="Q172" s="469"/>
      <c r="R172" s="469"/>
      <c r="S172" s="469"/>
      <c r="T172" s="469"/>
      <c r="U172" s="469"/>
      <c r="V172" s="469"/>
      <c r="W172" s="469"/>
      <c r="X172" s="469"/>
      <c r="Y172" s="469"/>
      <c r="Z172" s="469"/>
      <c r="AA172" s="469"/>
      <c r="AB172" s="469"/>
      <c r="AC172" s="469"/>
      <c r="AD172" s="469"/>
      <c r="AE172" s="469"/>
      <c r="AF172" s="469"/>
      <c r="AG172" s="469"/>
      <c r="AH172" s="469"/>
      <c r="AI172" s="469"/>
      <c r="AJ172" s="469"/>
      <c r="AK172" s="469"/>
      <c r="AL172" s="469"/>
      <c r="AM172" s="469"/>
      <c r="AN172" s="469"/>
      <c r="AO172" s="469"/>
      <c r="AP172" s="469"/>
      <c r="AQ172" s="469"/>
      <c r="AR172" s="469"/>
      <c r="AS172" s="469"/>
      <c r="AT172" s="469"/>
      <c r="AU172" s="469"/>
      <c r="AV172" s="469"/>
      <c r="AW172" s="469"/>
      <c r="AX172" s="469"/>
      <c r="AY172" s="469"/>
      <c r="AZ172" s="469"/>
      <c r="BA172" s="469"/>
      <c r="BB172" s="469"/>
      <c r="BC172" s="469"/>
      <c r="BD172" s="469"/>
      <c r="BE172" s="1912" t="s">
        <v>272</v>
      </c>
      <c r="BF172" s="469"/>
      <c r="BG172" s="469"/>
      <c r="BH172" s="469"/>
      <c r="BI172" s="469"/>
      <c r="BJ172" s="469"/>
      <c r="BK172" s="469"/>
      <c r="BL172" s="469"/>
      <c r="BM172" s="469"/>
      <c r="BN172" s="469"/>
      <c r="BO172" s="469"/>
      <c r="BP172" s="469"/>
      <c r="BQ172" s="469"/>
      <c r="BR172" s="469"/>
      <c r="BS172" s="469"/>
      <c r="BT172" s="469"/>
      <c r="BU172" s="469"/>
      <c r="BV172" s="469"/>
      <c r="BW172" s="469"/>
      <c r="BX172" s="469"/>
      <c r="BY172" s="469"/>
      <c r="BZ172" s="469"/>
      <c r="CA172" s="469"/>
      <c r="DG172" s="1063"/>
      <c r="DH172" s="673"/>
      <c r="DI172" s="1066"/>
      <c r="DJ172" s="1171"/>
    </row>
    <row r="173" spans="2:114" ht="15" customHeight="1" outlineLevel="1">
      <c r="B173" s="1454"/>
      <c r="D173" s="77" t="s">
        <v>118</v>
      </c>
      <c r="E173" s="113" t="s">
        <v>273</v>
      </c>
      <c r="F173" s="8"/>
      <c r="G173" s="8"/>
      <c r="H173" s="471"/>
      <c r="I173" s="8"/>
      <c r="J173" s="8"/>
      <c r="K173" s="8"/>
      <c r="BF173" s="1912"/>
    </row>
    <row r="174" spans="2:114" ht="15" customHeight="1" outlineLevel="1">
      <c r="B174" s="1454"/>
      <c r="D174" s="8" t="s">
        <v>120</v>
      </c>
      <c r="E174" s="8"/>
      <c r="F174" s="8"/>
      <c r="G174" s="8"/>
      <c r="H174" s="471"/>
      <c r="I174" s="8"/>
      <c r="J174" s="8"/>
      <c r="K174" s="8"/>
      <c r="BF174" s="1912"/>
    </row>
    <row r="175" spans="2:114" ht="15" customHeight="1" outlineLevel="1">
      <c r="B175" s="1454"/>
      <c r="D175" s="472"/>
      <c r="G175" s="265"/>
      <c r="H175" s="473"/>
      <c r="BF175" s="1912"/>
    </row>
    <row r="176" spans="2:114" ht="15" customHeight="1" outlineLevel="1">
      <c r="B176" s="1454"/>
      <c r="D176" s="472"/>
      <c r="G176" s="265"/>
      <c r="H176" s="473"/>
      <c r="BF176" s="1912"/>
    </row>
    <row r="177" spans="1:114" ht="15" customHeight="1" outlineLevel="1">
      <c r="B177" s="1454"/>
      <c r="D177" s="472"/>
      <c r="G177" s="265"/>
      <c r="H177" s="473"/>
      <c r="M177" s="8"/>
      <c r="BF177" s="1912"/>
    </row>
    <row r="178" spans="1:114" ht="15" customHeight="1" outlineLevel="1">
      <c r="B178" s="1454"/>
      <c r="D178" s="472"/>
      <c r="G178" s="265"/>
      <c r="H178" s="473"/>
      <c r="M178" s="8"/>
      <c r="BF178" s="1912"/>
    </row>
    <row r="179" spans="1:114" ht="15" customHeight="1" outlineLevel="1">
      <c r="B179" s="1454"/>
      <c r="D179" s="472"/>
      <c r="G179" s="265"/>
      <c r="H179" s="473"/>
      <c r="M179" s="8"/>
      <c r="BF179" s="1912"/>
    </row>
    <row r="180" spans="1:114" ht="15" customHeight="1" outlineLevel="1">
      <c r="B180" s="1454"/>
      <c r="D180" s="472"/>
      <c r="G180" s="265"/>
      <c r="H180" s="473"/>
      <c r="BF180" s="1912"/>
    </row>
    <row r="181" spans="1:114" s="9" customFormat="1" ht="60" customHeight="1" outlineLevel="1">
      <c r="A181" s="2"/>
      <c r="B181" s="1454"/>
      <c r="C181" s="66"/>
      <c r="D181" s="1365" t="s">
        <v>274</v>
      </c>
      <c r="E181" s="1365" t="s">
        <v>275</v>
      </c>
      <c r="F181" s="1365" t="s">
        <v>276</v>
      </c>
      <c r="G181" s="1365" t="s">
        <v>277</v>
      </c>
      <c r="H181" s="1365" t="s">
        <v>278</v>
      </c>
      <c r="I181" s="4009" t="s">
        <v>279</v>
      </c>
      <c r="J181" s="4010"/>
      <c r="K181" s="1365" t="s">
        <v>280</v>
      </c>
      <c r="L181" s="1365" t="s">
        <v>281</v>
      </c>
      <c r="M181" s="4009" t="s">
        <v>282</v>
      </c>
      <c r="N181" s="4010"/>
      <c r="O181" s="1913"/>
      <c r="P181" s="122"/>
      <c r="Q181" s="122"/>
      <c r="R181" s="122"/>
      <c r="S181" s="122"/>
      <c r="T181" s="122"/>
      <c r="U181" s="122"/>
      <c r="V181" s="2640" t="s">
        <v>52</v>
      </c>
      <c r="W181" s="2641">
        <f>$W$8</f>
        <v>43252</v>
      </c>
      <c r="X181" s="2641">
        <f>$X$8</f>
        <v>43465</v>
      </c>
      <c r="Y181" s="2641">
        <f>$Y$8</f>
        <v>43800</v>
      </c>
      <c r="Z181" s="2641">
        <f>$Z$8</f>
        <v>43862</v>
      </c>
      <c r="AA181" s="2641">
        <f>$AA$8</f>
        <v>44013</v>
      </c>
      <c r="AB181" s="2641">
        <v>44166</v>
      </c>
      <c r="AC181" s="2641">
        <f>$AC$8</f>
        <v>44531</v>
      </c>
      <c r="AD181" s="2641">
        <f>$AD$8</f>
        <v>44774</v>
      </c>
      <c r="AE181" s="2641">
        <f>$AE$8</f>
        <v>45142</v>
      </c>
      <c r="AF181" s="2641">
        <f>$AF$8</f>
        <v>45672</v>
      </c>
      <c r="AG181" s="2641" t="str">
        <f>$AG$8</f>
        <v>-</v>
      </c>
      <c r="BF181" s="1911"/>
      <c r="DE181" s="2"/>
      <c r="DF181" s="2"/>
      <c r="DG181" s="1065"/>
      <c r="DH181" s="122"/>
      <c r="DI181" s="122"/>
      <c r="DJ181" s="1168"/>
    </row>
    <row r="182" spans="1:114" s="9" customFormat="1" ht="15" customHeight="1" outlineLevel="1">
      <c r="A182" s="2"/>
      <c r="B182" s="1454"/>
      <c r="C182" s="66"/>
      <c r="D182" s="27"/>
      <c r="E182" s="27"/>
      <c r="F182" s="27"/>
      <c r="G182" s="27"/>
      <c r="H182" s="27"/>
      <c r="I182" s="1874" t="s">
        <v>283</v>
      </c>
      <c r="J182" s="1874"/>
      <c r="K182" s="27"/>
      <c r="L182" s="27"/>
      <c r="M182" s="1874" t="s">
        <v>284</v>
      </c>
      <c r="N182" s="1874"/>
      <c r="O182" s="1913"/>
      <c r="P182" s="122"/>
      <c r="Q182" s="122"/>
      <c r="R182" s="122"/>
      <c r="S182" s="122"/>
      <c r="T182" s="122"/>
      <c r="U182" s="122"/>
      <c r="V182" s="3044"/>
      <c r="W182" s="3044"/>
      <c r="X182" s="3044"/>
      <c r="Y182" s="3044"/>
      <c r="Z182" s="3044"/>
      <c r="AA182" s="3044"/>
      <c r="AB182" s="3044"/>
      <c r="AC182" s="3044"/>
      <c r="AD182" s="3044"/>
      <c r="AE182" s="3044"/>
      <c r="AF182" s="3044"/>
      <c r="AG182" s="3044"/>
      <c r="DE182" s="2"/>
      <c r="DF182" s="2"/>
      <c r="DG182" s="1065"/>
      <c r="DH182" s="122"/>
      <c r="DI182" s="122"/>
      <c r="DJ182" s="1168"/>
    </row>
    <row r="183" spans="1:114" s="9" customFormat="1" ht="15" customHeight="1" outlineLevel="1">
      <c r="A183" s="2"/>
      <c r="B183" s="1454"/>
      <c r="C183" s="66"/>
      <c r="D183" s="28"/>
      <c r="E183" s="28"/>
      <c r="F183" s="28"/>
      <c r="G183" s="1432" t="s">
        <v>285</v>
      </c>
      <c r="H183" s="1432" t="s">
        <v>286</v>
      </c>
      <c r="I183" s="1432" t="s">
        <v>287</v>
      </c>
      <c r="J183" s="1432" t="s">
        <v>288</v>
      </c>
      <c r="K183" s="1432" t="s">
        <v>285</v>
      </c>
      <c r="L183" s="1432" t="s">
        <v>286</v>
      </c>
      <c r="M183" s="1432" t="s">
        <v>289</v>
      </c>
      <c r="N183" s="1432" t="s">
        <v>290</v>
      </c>
      <c r="O183" s="1913"/>
      <c r="P183" s="122"/>
      <c r="Q183" s="122"/>
      <c r="R183" s="122"/>
      <c r="S183" s="122"/>
      <c r="T183" s="122"/>
      <c r="U183" s="122"/>
      <c r="V183" s="2697"/>
      <c r="W183" s="2697"/>
      <c r="X183" s="2697"/>
      <c r="Y183" s="2697"/>
      <c r="Z183" s="2697"/>
      <c r="AA183" s="2697"/>
      <c r="AB183" s="2697"/>
      <c r="AC183" s="2697"/>
      <c r="AD183" s="2697"/>
      <c r="AE183" s="2697"/>
      <c r="AF183" s="2697"/>
      <c r="AG183" s="2697"/>
      <c r="AH183" s="122"/>
      <c r="AI183" s="122"/>
      <c r="AJ183" s="122"/>
      <c r="AK183" s="122"/>
      <c r="DE183" s="2"/>
      <c r="DF183" s="2"/>
      <c r="DG183" s="1065"/>
      <c r="DH183" s="122"/>
      <c r="DI183" s="122"/>
      <c r="DJ183" s="1168"/>
    </row>
    <row r="184" spans="1:114" ht="15" customHeight="1" outlineLevel="1">
      <c r="B184" s="1454"/>
      <c r="D184" s="679" t="s">
        <v>291</v>
      </c>
      <c r="E184" s="679" t="s">
        <v>292</v>
      </c>
      <c r="F184" s="679" t="s">
        <v>293</v>
      </c>
      <c r="G184" s="2018">
        <v>9.1</v>
      </c>
      <c r="H184" s="2019">
        <v>0.91200000000000003</v>
      </c>
      <c r="I184" s="1878">
        <v>0.05</v>
      </c>
      <c r="J184" s="1879">
        <v>1.36</v>
      </c>
      <c r="K184" s="2018">
        <v>9.4</v>
      </c>
      <c r="L184" s="2019">
        <v>2.67</v>
      </c>
      <c r="M184" s="3667">
        <v>0.22</v>
      </c>
      <c r="N184" s="3668">
        <v>1.38</v>
      </c>
      <c r="O184" s="1914"/>
      <c r="V184" s="2460" t="s">
        <v>294</v>
      </c>
      <c r="W184" s="3224"/>
      <c r="X184" s="3224"/>
      <c r="Y184" s="3224"/>
      <c r="Z184" s="3224"/>
      <c r="AA184" s="3224"/>
      <c r="AB184" s="3223"/>
      <c r="AC184" s="3374"/>
      <c r="AD184" s="3374"/>
      <c r="AE184" s="3374"/>
      <c r="AF184" s="3374" t="str">
        <f>H184&amp;" and "&amp;L184</f>
        <v>0.912 and 2.67</v>
      </c>
      <c r="AG184" s="2413"/>
      <c r="AH184" s="9"/>
    </row>
    <row r="185" spans="1:114" ht="15" customHeight="1" outlineLevel="1">
      <c r="B185" s="1454"/>
      <c r="D185" s="679" t="s">
        <v>291</v>
      </c>
      <c r="E185" s="679" t="s">
        <v>292</v>
      </c>
      <c r="F185" s="679" t="s">
        <v>295</v>
      </c>
      <c r="G185" s="3664">
        <v>20.8</v>
      </c>
      <c r="H185" s="3665">
        <v>1.319</v>
      </c>
      <c r="I185" s="3666">
        <v>0.05</v>
      </c>
      <c r="J185" s="3667">
        <v>1.36</v>
      </c>
      <c r="K185" s="3664">
        <v>20.2</v>
      </c>
      <c r="L185" s="3665">
        <v>4.2489999999999997</v>
      </c>
      <c r="M185" s="1879">
        <v>0.22</v>
      </c>
      <c r="N185" s="1881">
        <v>1.38</v>
      </c>
      <c r="O185" s="1914"/>
      <c r="V185" s="2460" t="s">
        <v>294</v>
      </c>
      <c r="W185" s="3224"/>
      <c r="X185" s="3224"/>
      <c r="Y185" s="3224"/>
      <c r="Z185" s="3224"/>
      <c r="AA185" s="3224"/>
      <c r="AB185" s="3223"/>
      <c r="AC185" s="3374"/>
      <c r="AD185" s="3374"/>
      <c r="AE185" s="3374"/>
      <c r="AF185" s="3374" t="str">
        <f t="shared" ref="AF185:AF193" si="65">H185&amp;" and "&amp;L185</f>
        <v>1.319 and 4.249</v>
      </c>
      <c r="AG185" s="2413"/>
    </row>
    <row r="186" spans="1:114" ht="15" customHeight="1" outlineLevel="1">
      <c r="B186" s="1454"/>
      <c r="D186" s="679" t="s">
        <v>291</v>
      </c>
      <c r="E186" s="679" t="s">
        <v>292</v>
      </c>
      <c r="F186" s="679" t="s">
        <v>296</v>
      </c>
      <c r="G186" s="3664">
        <v>42</v>
      </c>
      <c r="H186" s="3665">
        <v>2.2170000000000001</v>
      </c>
      <c r="I186" s="3666">
        <v>0.05</v>
      </c>
      <c r="J186" s="3667">
        <v>1.36</v>
      </c>
      <c r="K186" s="3664">
        <v>42.5</v>
      </c>
      <c r="L186" s="3665">
        <v>7.67</v>
      </c>
      <c r="M186" s="1879">
        <v>0.22</v>
      </c>
      <c r="N186" s="1881">
        <v>1.38</v>
      </c>
      <c r="O186" s="1914"/>
      <c r="V186" s="2460" t="s">
        <v>294</v>
      </c>
      <c r="W186" s="3224"/>
      <c r="X186" s="3224"/>
      <c r="Y186" s="3224"/>
      <c r="Z186" s="3224"/>
      <c r="AA186" s="3224"/>
      <c r="AB186" s="3223"/>
      <c r="AC186" s="3374"/>
      <c r="AD186" s="3374"/>
      <c r="AE186" s="3374"/>
      <c r="AF186" s="3374" t="str">
        <f t="shared" si="65"/>
        <v>2.217 and 7.67</v>
      </c>
      <c r="AG186" s="2413"/>
    </row>
    <row r="187" spans="1:114" ht="15" customHeight="1" outlineLevel="1">
      <c r="B187" s="1454"/>
      <c r="D187" s="679" t="s">
        <v>291</v>
      </c>
      <c r="E187" s="679" t="s">
        <v>292</v>
      </c>
      <c r="F187" s="679" t="s">
        <v>297</v>
      </c>
      <c r="G187" s="3664">
        <v>67.2</v>
      </c>
      <c r="H187" s="3665">
        <v>2.97</v>
      </c>
      <c r="I187" s="3666">
        <v>0.05</v>
      </c>
      <c r="J187" s="3667">
        <v>1.36</v>
      </c>
      <c r="K187" s="3664">
        <v>68</v>
      </c>
      <c r="L187" s="3665">
        <v>12.221</v>
      </c>
      <c r="M187" s="1879">
        <v>0.22</v>
      </c>
      <c r="N187" s="1881">
        <v>1.38</v>
      </c>
      <c r="O187" s="1914"/>
      <c r="V187" s="2460" t="s">
        <v>294</v>
      </c>
      <c r="W187" s="3224"/>
      <c r="X187" s="3224"/>
      <c r="Y187" s="3224"/>
      <c r="Z187" s="3224"/>
      <c r="AA187" s="3224"/>
      <c r="AB187" s="3223"/>
      <c r="AC187" s="3374"/>
      <c r="AD187" s="3374"/>
      <c r="AE187" s="3374"/>
      <c r="AF187" s="3374" t="str">
        <f t="shared" si="65"/>
        <v>2.97 and 12.221</v>
      </c>
      <c r="AG187" s="2413"/>
    </row>
    <row r="188" spans="1:114" ht="15" customHeight="1" outlineLevel="1">
      <c r="B188" s="1454"/>
      <c r="D188" s="679" t="s">
        <v>291</v>
      </c>
      <c r="E188" s="679" t="s">
        <v>298</v>
      </c>
      <c r="F188" s="679" t="s">
        <v>293</v>
      </c>
      <c r="G188" s="3664">
        <v>7.6</v>
      </c>
      <c r="H188" s="3665">
        <v>1.0780000000000001</v>
      </c>
      <c r="I188" s="3666">
        <v>0.1</v>
      </c>
      <c r="J188" s="3667">
        <v>0.86</v>
      </c>
      <c r="K188" s="3664">
        <v>6.8</v>
      </c>
      <c r="L188" s="3665">
        <v>3.3919999999999999</v>
      </c>
      <c r="M188" s="1879">
        <v>0.28999999999999998</v>
      </c>
      <c r="N188" s="1881">
        <v>2.95</v>
      </c>
      <c r="O188" s="1914"/>
      <c r="V188" s="2460" t="s">
        <v>294</v>
      </c>
      <c r="W188" s="3224"/>
      <c r="X188" s="3224"/>
      <c r="Y188" s="3224"/>
      <c r="Z188" s="3224"/>
      <c r="AA188" s="3224"/>
      <c r="AB188" s="3223"/>
      <c r="AC188" s="3374"/>
      <c r="AD188" s="3374"/>
      <c r="AE188" s="3374"/>
      <c r="AF188" s="3374" t="str">
        <f t="shared" si="65"/>
        <v>1.078 and 3.392</v>
      </c>
      <c r="AG188" s="2413"/>
    </row>
    <row r="189" spans="1:114" ht="15" customHeight="1" outlineLevel="1">
      <c r="B189" s="1454"/>
      <c r="D189" s="679" t="s">
        <v>291</v>
      </c>
      <c r="E189" s="679" t="s">
        <v>298</v>
      </c>
      <c r="F189" s="679" t="s">
        <v>295</v>
      </c>
      <c r="G189" s="3664">
        <v>21.3</v>
      </c>
      <c r="H189" s="3665">
        <v>1.9570000000000001</v>
      </c>
      <c r="I189" s="3666">
        <v>0.1</v>
      </c>
      <c r="J189" s="3667">
        <v>0.86</v>
      </c>
      <c r="K189" s="3664">
        <v>21</v>
      </c>
      <c r="L189" s="3665">
        <v>6.3710000000000004</v>
      </c>
      <c r="M189" s="1879">
        <v>0.28999999999999998</v>
      </c>
      <c r="N189" s="1881">
        <v>2.95</v>
      </c>
      <c r="O189" s="1915"/>
      <c r="V189" s="2460" t="s">
        <v>294</v>
      </c>
      <c r="W189" s="3224"/>
      <c r="X189" s="3224"/>
      <c r="Y189" s="3224"/>
      <c r="Z189" s="3224"/>
      <c r="AA189" s="3224"/>
      <c r="AB189" s="3223"/>
      <c r="AC189" s="3374"/>
      <c r="AD189" s="3374"/>
      <c r="AE189" s="3374"/>
      <c r="AF189" s="3374" t="str">
        <f t="shared" si="65"/>
        <v>1.957 and 6.371</v>
      </c>
      <c r="AG189" s="2413"/>
    </row>
    <row r="190" spans="1:114" ht="15" customHeight="1" outlineLevel="1">
      <c r="B190" s="1454"/>
      <c r="D190" s="679" t="s">
        <v>291</v>
      </c>
      <c r="E190" s="679" t="s">
        <v>298</v>
      </c>
      <c r="F190" s="679" t="s">
        <v>296</v>
      </c>
      <c r="G190" s="3664">
        <v>42.5</v>
      </c>
      <c r="H190" s="3665">
        <v>3.1760000000000002</v>
      </c>
      <c r="I190" s="3666">
        <v>0.1</v>
      </c>
      <c r="J190" s="3667">
        <v>0.86</v>
      </c>
      <c r="K190" s="3664">
        <v>41.8</v>
      </c>
      <c r="L190" s="3665">
        <v>10.747999999999999</v>
      </c>
      <c r="M190" s="1879">
        <v>0.28999999999999998</v>
      </c>
      <c r="N190" s="1881">
        <v>2.95</v>
      </c>
      <c r="O190" s="1915"/>
      <c r="V190" s="2460" t="s">
        <v>294</v>
      </c>
      <c r="W190" s="3224"/>
      <c r="X190" s="3224"/>
      <c r="Y190" s="3224"/>
      <c r="Z190" s="3224"/>
      <c r="AA190" s="3224"/>
      <c r="AB190" s="3223"/>
      <c r="AC190" s="3374"/>
      <c r="AD190" s="3374"/>
      <c r="AE190" s="3374"/>
      <c r="AF190" s="3374" t="str">
        <f t="shared" si="65"/>
        <v>3.176 and 10.748</v>
      </c>
      <c r="AG190" s="2413"/>
    </row>
    <row r="191" spans="1:114" ht="15" customHeight="1" outlineLevel="1">
      <c r="B191" s="1454"/>
      <c r="D191" s="679" t="s">
        <v>291</v>
      </c>
      <c r="E191" s="679" t="s">
        <v>298</v>
      </c>
      <c r="F191" s="679" t="s">
        <v>297</v>
      </c>
      <c r="G191" s="3664">
        <v>72.099999999999994</v>
      </c>
      <c r="H191" s="3665">
        <v>5.1669999999999998</v>
      </c>
      <c r="I191" s="3666">
        <v>0.1</v>
      </c>
      <c r="J191" s="3667">
        <v>0.86</v>
      </c>
      <c r="K191" s="3664">
        <v>80.7</v>
      </c>
      <c r="L191" s="3665">
        <v>17.731000000000002</v>
      </c>
      <c r="M191" s="1879">
        <v>0.28999999999999998</v>
      </c>
      <c r="N191" s="1881">
        <v>2.95</v>
      </c>
      <c r="O191" s="1915"/>
      <c r="V191" s="2460" t="s">
        <v>294</v>
      </c>
      <c r="W191" s="3224"/>
      <c r="X191" s="3224"/>
      <c r="Y191" s="3224"/>
      <c r="Z191" s="3224"/>
      <c r="AA191" s="3224"/>
      <c r="AB191" s="3223"/>
      <c r="AC191" s="3374"/>
      <c r="AD191" s="3374"/>
      <c r="AE191" s="3374"/>
      <c r="AF191" s="3374" t="str">
        <f t="shared" si="65"/>
        <v>5.167 and 17.731</v>
      </c>
      <c r="AG191" s="2413"/>
    </row>
    <row r="192" spans="1:114" ht="15" customHeight="1" outlineLevel="1">
      <c r="B192" s="1454"/>
      <c r="D192" s="679" t="s">
        <v>291</v>
      </c>
      <c r="E192" s="679" t="s">
        <v>299</v>
      </c>
      <c r="F192" s="679" t="s">
        <v>300</v>
      </c>
      <c r="G192" s="2018">
        <v>18.600000000000001</v>
      </c>
      <c r="H192" s="2019">
        <v>1.046</v>
      </c>
      <c r="I192" s="1878">
        <v>0.05</v>
      </c>
      <c r="J192" s="1879">
        <v>0.91</v>
      </c>
      <c r="K192" s="2018">
        <v>19.100000000000001</v>
      </c>
      <c r="L192" s="2019">
        <v>1.64</v>
      </c>
      <c r="M192" s="1879">
        <v>0.06</v>
      </c>
      <c r="N192" s="1880">
        <v>1.1200000000000001</v>
      </c>
      <c r="O192" s="1915"/>
      <c r="V192" s="2460" t="s">
        <v>294</v>
      </c>
      <c r="W192" s="3224"/>
      <c r="X192" s="3224"/>
      <c r="Y192" s="3224"/>
      <c r="Z192" s="3224"/>
      <c r="AA192" s="3224"/>
      <c r="AB192" s="3223"/>
      <c r="AC192" s="3374"/>
      <c r="AD192" s="3374"/>
      <c r="AE192" s="3374"/>
      <c r="AF192" s="3374" t="str">
        <f t="shared" si="65"/>
        <v>1.046 and 1.64</v>
      </c>
      <c r="AG192" s="2413"/>
    </row>
    <row r="193" spans="1:114" ht="15" customHeight="1" outlineLevel="1">
      <c r="B193" s="1454"/>
      <c r="D193" s="679" t="s">
        <v>291</v>
      </c>
      <c r="E193" s="679" t="s">
        <v>301</v>
      </c>
      <c r="F193" s="679" t="s">
        <v>300</v>
      </c>
      <c r="G193" s="2018">
        <v>20.2</v>
      </c>
      <c r="H193" s="2019">
        <v>1.1100000000000001</v>
      </c>
      <c r="I193" s="1878">
        <v>0.06</v>
      </c>
      <c r="J193" s="1879">
        <v>0.37</v>
      </c>
      <c r="K193" s="2018"/>
      <c r="L193" s="2019"/>
      <c r="M193" s="1879">
        <v>0.08</v>
      </c>
      <c r="N193" s="1880" t="s">
        <v>302</v>
      </c>
      <c r="O193" s="1914" t="s">
        <v>303</v>
      </c>
      <c r="V193" s="2460" t="s">
        <v>294</v>
      </c>
      <c r="W193" s="3224"/>
      <c r="X193" s="3224"/>
      <c r="Y193" s="3224"/>
      <c r="Z193" s="3224"/>
      <c r="AA193" s="3224"/>
      <c r="AB193" s="3223"/>
      <c r="AC193" s="3374"/>
      <c r="AD193" s="3374"/>
      <c r="AE193" s="3374"/>
      <c r="AF193" s="3374" t="str">
        <f t="shared" si="65"/>
        <v xml:space="preserve">1.11 and </v>
      </c>
      <c r="AG193" s="2413"/>
    </row>
    <row r="194" spans="1:114" ht="15" customHeight="1" outlineLevel="1">
      <c r="B194" s="1454"/>
      <c r="G194" s="265"/>
      <c r="H194" s="1914"/>
      <c r="I194" s="1914" t="s">
        <v>304</v>
      </c>
      <c r="J194" s="1914"/>
      <c r="K194" s="1914"/>
      <c r="L194" s="1914"/>
      <c r="M194" s="1914" t="s">
        <v>304</v>
      </c>
      <c r="N194" s="1914"/>
      <c r="O194" s="1914"/>
      <c r="V194" s="265"/>
      <c r="W194" s="265"/>
      <c r="X194" s="265"/>
      <c r="Y194" s="265"/>
      <c r="Z194" s="265"/>
      <c r="AA194" s="265"/>
      <c r="AB194" s="265"/>
      <c r="AC194" s="265"/>
      <c r="AD194" s="265"/>
      <c r="AE194" s="265"/>
      <c r="AF194" s="265"/>
      <c r="AG194" s="265"/>
      <c r="AH194" s="265"/>
      <c r="AI194" s="265"/>
      <c r="AJ194" s="265"/>
    </row>
    <row r="196" spans="1:114" s="8" customFormat="1">
      <c r="A196" s="2"/>
      <c r="B196" s="3996" t="s">
        <v>305</v>
      </c>
      <c r="C196" s="3997"/>
      <c r="D196" s="3997"/>
      <c r="E196" s="3997"/>
      <c r="F196" s="3997"/>
      <c r="G196" s="3997"/>
      <c r="H196" s="3997"/>
      <c r="I196" s="4828"/>
      <c r="J196" s="4828"/>
      <c r="K196" s="4828"/>
      <c r="L196" s="4828"/>
      <c r="M196" s="4829"/>
      <c r="N196" s="4829"/>
      <c r="O196" s="4830"/>
      <c r="V196" s="1363" t="str">
        <f>B196</f>
        <v>Refrigerators &amp; Freezers Controls</v>
      </c>
      <c r="W196" s="1364"/>
      <c r="X196" s="1364"/>
      <c r="Y196" s="1364"/>
      <c r="Z196" s="1364"/>
      <c r="AA196" s="1364"/>
      <c r="AB196" s="1364"/>
      <c r="AC196" s="1364"/>
      <c r="AD196" s="1364"/>
      <c r="AE196" s="1364"/>
      <c r="AF196" s="1364"/>
      <c r="AG196" s="1364"/>
      <c r="AH196" s="1364"/>
      <c r="AI196" s="1397"/>
      <c r="AJ196" s="2"/>
      <c r="AK196" s="2"/>
      <c r="AL196" s="2"/>
      <c r="AM196" s="2"/>
      <c r="AN196" s="2"/>
      <c r="AO196" s="2"/>
      <c r="AP196" s="2"/>
      <c r="AQ196" s="2"/>
      <c r="AR196" s="2"/>
      <c r="AS196" s="2"/>
      <c r="AT196" s="2"/>
      <c r="AU196" s="2"/>
      <c r="DE196" s="2"/>
      <c r="DF196" s="2"/>
      <c r="DG196" s="24"/>
      <c r="DJ196" s="1102"/>
    </row>
    <row r="197" spans="1:114">
      <c r="D197" s="461"/>
      <c r="E197" s="8"/>
      <c r="F197" s="8"/>
      <c r="G197" s="8"/>
      <c r="H197" s="462"/>
      <c r="I197" s="8"/>
      <c r="J197" s="8"/>
      <c r="K197" s="8"/>
      <c r="L197" s="8"/>
      <c r="P197" s="8"/>
      <c r="Q197" s="8"/>
      <c r="R197" s="8"/>
      <c r="S197" s="8"/>
      <c r="T197" s="8"/>
      <c r="U197" s="8"/>
      <c r="V197"/>
      <c r="W197"/>
      <c r="X197"/>
      <c r="Y197"/>
      <c r="Z197"/>
      <c r="AA197"/>
      <c r="AB197"/>
      <c r="AC197"/>
      <c r="AD197"/>
      <c r="AE197"/>
      <c r="AF197"/>
      <c r="AG197"/>
      <c r="AH197"/>
      <c r="AI197"/>
      <c r="AJ197" s="7"/>
      <c r="AK197" s="7"/>
      <c r="AL197" s="7"/>
      <c r="AM197" s="7"/>
      <c r="AN197" s="7"/>
      <c r="AO197" s="7"/>
      <c r="AP197" s="7"/>
      <c r="AQ197" s="7"/>
      <c r="AR197" s="7"/>
      <c r="AS197" s="7"/>
      <c r="AT197" s="7"/>
      <c r="AU197" s="7"/>
    </row>
    <row r="198" spans="1:114" s="9" customFormat="1" ht="30">
      <c r="A198" s="2"/>
      <c r="B198" s="7"/>
      <c r="C198" s="10" t="s">
        <v>42</v>
      </c>
      <c r="D198" s="1432" t="s">
        <v>43</v>
      </c>
      <c r="E198" s="1432" t="s">
        <v>44</v>
      </c>
      <c r="F198" s="1432" t="s">
        <v>306</v>
      </c>
      <c r="G198" s="1432" t="s">
        <v>46</v>
      </c>
      <c r="H198" s="1432" t="s">
        <v>47</v>
      </c>
      <c r="I198" s="1432" t="s">
        <v>48</v>
      </c>
      <c r="J198" s="1432" t="s">
        <v>49</v>
      </c>
      <c r="K198" s="1432" t="s">
        <v>307</v>
      </c>
      <c r="L198" s="10" t="s">
        <v>51</v>
      </c>
      <c r="M198" s="265"/>
      <c r="N198" s="265"/>
      <c r="O198" s="265"/>
      <c r="P198" s="122"/>
      <c r="Q198" s="122"/>
      <c r="R198" s="122"/>
      <c r="S198" s="122"/>
      <c r="T198" s="122"/>
      <c r="U198" s="122"/>
      <c r="V198" s="668" t="s">
        <v>52</v>
      </c>
      <c r="W198" s="669">
        <f>$W$8</f>
        <v>43252</v>
      </c>
      <c r="X198" s="669">
        <f>$X$8</f>
        <v>43465</v>
      </c>
      <c r="Y198" s="669">
        <f>$Y$8</f>
        <v>43800</v>
      </c>
      <c r="Z198" s="669">
        <f>$Z$8</f>
        <v>43862</v>
      </c>
      <c r="AA198" s="669">
        <f>$AA$8</f>
        <v>44013</v>
      </c>
      <c r="AB198" s="669">
        <v>44166</v>
      </c>
      <c r="AC198" s="669">
        <f>$AC$8</f>
        <v>44531</v>
      </c>
      <c r="AD198" s="669">
        <f>$AD$8</f>
        <v>44774</v>
      </c>
      <c r="AE198" s="669">
        <f>$AE$8</f>
        <v>45142</v>
      </c>
      <c r="AF198" s="669">
        <f>$AF$8</f>
        <v>45672</v>
      </c>
      <c r="AG198" s="669" t="str">
        <f>$AG$8</f>
        <v>-</v>
      </c>
      <c r="AH198"/>
      <c r="AI198" s="668" t="s">
        <v>52</v>
      </c>
      <c r="AJ198" s="669">
        <v>43252</v>
      </c>
      <c r="AK198" s="669">
        <f>$X$8</f>
        <v>43465</v>
      </c>
      <c r="AL198" s="669">
        <f>$Y$8</f>
        <v>43800</v>
      </c>
      <c r="AM198" s="669">
        <f>$Z$8</f>
        <v>43862</v>
      </c>
      <c r="AN198" s="669">
        <f>$AA$8</f>
        <v>44013</v>
      </c>
      <c r="AO198" s="669">
        <f>$AB$8</f>
        <v>44166</v>
      </c>
      <c r="AP198" s="669">
        <f>$AC$8</f>
        <v>44531</v>
      </c>
      <c r="AQ198" s="669">
        <f>$AD$8</f>
        <v>44774</v>
      </c>
      <c r="AR198" s="669">
        <f>$AE$8</f>
        <v>45142</v>
      </c>
      <c r="AS198" s="669">
        <f>$AF$8</f>
        <v>45672</v>
      </c>
      <c r="AT198" s="2"/>
      <c r="AU198" s="668" t="s">
        <v>52</v>
      </c>
      <c r="AV198" s="669">
        <v>43252</v>
      </c>
      <c r="AW198" s="669">
        <f>$X$8</f>
        <v>43465</v>
      </c>
      <c r="AX198" s="669">
        <f>$Y$8</f>
        <v>43800</v>
      </c>
      <c r="AY198" s="669">
        <f>$Z$8</f>
        <v>43862</v>
      </c>
      <c r="AZ198" s="669">
        <f>$AA$8</f>
        <v>44013</v>
      </c>
      <c r="BA198" s="669">
        <v>44166</v>
      </c>
      <c r="BB198" s="669">
        <f>$AC$8</f>
        <v>44531</v>
      </c>
      <c r="BC198" s="669">
        <f>$AD$8</f>
        <v>44774</v>
      </c>
      <c r="BD198" s="669">
        <f>$AE$8</f>
        <v>45142</v>
      </c>
      <c r="BE198" s="669">
        <f>$AF$8</f>
        <v>45672</v>
      </c>
      <c r="DE198" s="2"/>
      <c r="DF198" s="2"/>
      <c r="DG198" s="1060" t="str">
        <f>$DG$8</f>
        <v>TRC (2025)</v>
      </c>
      <c r="DH198" s="811" t="str">
        <f>$DH$8</f>
        <v>Benefit Lookup</v>
      </c>
      <c r="DI198" s="811" t="str">
        <f>$DI$8</f>
        <v>Benefits (2025 $)</v>
      </c>
      <c r="DJ198" s="1172" t="str">
        <f>$DJ$8</f>
        <v>Incremental Cost (2025 $)</v>
      </c>
    </row>
    <row r="199" spans="1:114" ht="15" customHeight="1">
      <c r="B199" s="1454">
        <f t="shared" ref="B199:B200" si="66">VALUE(LEFT(C199,6))</f>
        <v>802150</v>
      </c>
      <c r="C199" s="1637" t="s">
        <v>308</v>
      </c>
      <c r="D199" s="1639" t="s">
        <v>135</v>
      </c>
      <c r="E199" s="480" t="s">
        <v>309</v>
      </c>
      <c r="F199" s="20">
        <f>ROUND(F$210*G$210*(H$210-H211)*I$210*J211,2)</f>
        <v>668.14</v>
      </c>
      <c r="G199" s="463" t="s">
        <v>235</v>
      </c>
      <c r="H199" s="464">
        <f>VLOOKUP(G199,'CP FACTORS'!$A$26:$B$38,2,FALSE)</f>
        <v>1.3573829999999999E-4</v>
      </c>
      <c r="I199" s="481">
        <f>ROUND(H199*F199,6)</f>
        <v>9.0691999999999995E-2</v>
      </c>
      <c r="J199" s="500">
        <v>12</v>
      </c>
      <c r="K199" s="2062">
        <v>150</v>
      </c>
      <c r="L199" s="438" t="s">
        <v>310</v>
      </c>
      <c r="M199" s="8"/>
      <c r="V199" s="1414" t="str">
        <f>F198</f>
        <v>kWh Annual Savings (per door)</v>
      </c>
      <c r="W199" s="55">
        <v>668.13575400000013</v>
      </c>
      <c r="X199" s="55">
        <v>668.13575400000013</v>
      </c>
      <c r="Y199" s="55">
        <v>668.13575400000013</v>
      </c>
      <c r="Z199" s="55">
        <v>668.13575400000013</v>
      </c>
      <c r="AA199" s="55">
        <v>668.13575400000013</v>
      </c>
      <c r="AB199" s="54">
        <v>668.14</v>
      </c>
      <c r="AC199" s="737">
        <v>668.14</v>
      </c>
      <c r="AD199" s="737">
        <v>668.14</v>
      </c>
      <c r="AE199" s="737">
        <v>668.14</v>
      </c>
      <c r="AF199" s="271">
        <f>IF(F199&lt;&gt;"",F199,"")</f>
        <v>668.14</v>
      </c>
      <c r="AG199" s="71"/>
      <c r="AH199"/>
      <c r="AI199" s="1445" t="s">
        <v>49</v>
      </c>
      <c r="AJ199" s="20">
        <v>12</v>
      </c>
      <c r="AK199" s="20">
        <v>12</v>
      </c>
      <c r="AL199" s="20">
        <v>12</v>
      </c>
      <c r="AM199" s="20">
        <v>12</v>
      </c>
      <c r="AN199" s="20">
        <v>12</v>
      </c>
      <c r="AO199" s="17">
        <v>12</v>
      </c>
      <c r="AP199" s="17">
        <v>12</v>
      </c>
      <c r="AQ199" s="17">
        <v>12</v>
      </c>
      <c r="AR199" s="17">
        <v>12</v>
      </c>
      <c r="AS199" s="17">
        <v>12</v>
      </c>
      <c r="AU199" s="1445" t="str">
        <f>K198</f>
        <v>Inc. Cost (per door)</v>
      </c>
      <c r="AV199" s="710">
        <v>151</v>
      </c>
      <c r="AW199" s="710">
        <v>151</v>
      </c>
      <c r="AX199" s="710">
        <v>151</v>
      </c>
      <c r="AY199" s="710">
        <v>151</v>
      </c>
      <c r="AZ199" s="710">
        <v>151</v>
      </c>
      <c r="BA199" s="710">
        <v>151</v>
      </c>
      <c r="BB199" s="710">
        <v>151</v>
      </c>
      <c r="BC199" s="710">
        <v>151</v>
      </c>
      <c r="BD199" s="710">
        <v>151</v>
      </c>
      <c r="BE199" s="1921">
        <v>150</v>
      </c>
      <c r="DG199" s="1062">
        <f>(DI199)/(DJ199)</f>
        <v>2.6991414368696853</v>
      </c>
      <c r="DH199" s="1400" t="str">
        <f>CONCATENATE(G199," ",J199," Year EUL")</f>
        <v>Refrigeration BUS 12 Year EUL</v>
      </c>
      <c r="DI199" s="198">
        <f>(INDEX('Avoided Cost Benefits'!$B$4:$B$865,MATCH(DH199,'Avoided Cost Benefits'!$A$4:$A$865,0)))*F199</f>
        <v>404.87121553045279</v>
      </c>
      <c r="DJ199" s="1174">
        <f>K199/(1.0686^(2025-2025))</f>
        <v>150</v>
      </c>
    </row>
    <row r="200" spans="1:114">
      <c r="B200" s="1454">
        <f t="shared" si="66"/>
        <v>802200</v>
      </c>
      <c r="C200" s="1637" t="s">
        <v>311</v>
      </c>
      <c r="D200" s="1639" t="s">
        <v>135</v>
      </c>
      <c r="E200" s="480" t="s">
        <v>312</v>
      </c>
      <c r="F200" s="20">
        <f>ROUND(F$210*G$210*(H$210-H212)*I$210*J212,2)</f>
        <v>770.93</v>
      </c>
      <c r="G200" s="463" t="s">
        <v>235</v>
      </c>
      <c r="H200" s="464">
        <f>VLOOKUP(G200,'CP FACTORS'!$A$26:$B$38,2,FALSE)</f>
        <v>1.3573829999999999E-4</v>
      </c>
      <c r="I200" s="481">
        <f>ROUND(H200*F200,6)</f>
        <v>0.104645</v>
      </c>
      <c r="J200" s="487">
        <v>12</v>
      </c>
      <c r="K200" s="2062">
        <v>150</v>
      </c>
      <c r="L200" s="438" t="s">
        <v>310</v>
      </c>
      <c r="V200" s="1414" t="str">
        <f>V199</f>
        <v>kWh Annual Savings (per door)</v>
      </c>
      <c r="W200" s="55">
        <v>770.92587000000003</v>
      </c>
      <c r="X200" s="55">
        <v>770.92587000000003</v>
      </c>
      <c r="Y200" s="55">
        <v>770.92587000000003</v>
      </c>
      <c r="Z200" s="55">
        <v>770.92587000000003</v>
      </c>
      <c r="AA200" s="55">
        <v>770.92587000000003</v>
      </c>
      <c r="AB200" s="54">
        <v>770.93</v>
      </c>
      <c r="AC200" s="737">
        <v>770.93</v>
      </c>
      <c r="AD200" s="737">
        <v>770.93</v>
      </c>
      <c r="AE200" s="737">
        <v>770.93</v>
      </c>
      <c r="AF200" s="271">
        <f>IF(F200&lt;&gt;"",F200,"")</f>
        <v>770.93</v>
      </c>
      <c r="AG200" s="71"/>
      <c r="AH200"/>
      <c r="AI200" s="1445" t="s">
        <v>49</v>
      </c>
      <c r="AJ200" s="20">
        <v>12</v>
      </c>
      <c r="AK200" s="20">
        <v>12</v>
      </c>
      <c r="AL200" s="20">
        <v>12</v>
      </c>
      <c r="AM200" s="20">
        <v>12</v>
      </c>
      <c r="AN200" s="20">
        <v>12</v>
      </c>
      <c r="AO200" s="17">
        <v>12</v>
      </c>
      <c r="AP200" s="17">
        <v>12</v>
      </c>
      <c r="AQ200" s="17">
        <v>12</v>
      </c>
      <c r="AR200" s="17">
        <v>12</v>
      </c>
      <c r="AS200" s="17">
        <v>12</v>
      </c>
      <c r="AU200" s="1445" t="str">
        <f>AU199</f>
        <v>Inc. Cost (per door)</v>
      </c>
      <c r="AV200" s="710">
        <v>151</v>
      </c>
      <c r="AW200" s="710">
        <v>151</v>
      </c>
      <c r="AX200" s="710">
        <v>151</v>
      </c>
      <c r="AY200" s="710">
        <v>151</v>
      </c>
      <c r="AZ200" s="710">
        <v>151</v>
      </c>
      <c r="BA200" s="710">
        <v>151</v>
      </c>
      <c r="BB200" s="710">
        <v>151</v>
      </c>
      <c r="BC200" s="710">
        <v>151</v>
      </c>
      <c r="BD200" s="710">
        <v>151</v>
      </c>
      <c r="BE200" s="1921">
        <v>150</v>
      </c>
      <c r="DG200" s="1064">
        <f>(DI200)/(DJ200)</f>
        <v>3.114390858092535</v>
      </c>
      <c r="DH200" s="673" t="str">
        <f>CONCATENATE(G200," ",J200," Year EUL")</f>
        <v>Refrigeration BUS 12 Year EUL</v>
      </c>
      <c r="DI200" s="1066">
        <f>(INDEX('Avoided Cost Benefits'!$B$4:$B$865,MATCH(DH200,'Avoided Cost Benefits'!$A$4:$A$865,0)))*F200</f>
        <v>467.15862871388026</v>
      </c>
      <c r="DJ200" s="1175">
        <f>K200/(1.0686^(2025-2025))</f>
        <v>150</v>
      </c>
    </row>
    <row r="201" spans="1:114" ht="15" customHeight="1" outlineLevel="1">
      <c r="D201" s="77" t="s">
        <v>118</v>
      </c>
      <c r="E201" s="113" t="s">
        <v>313</v>
      </c>
      <c r="F201" s="8"/>
      <c r="G201" s="8"/>
      <c r="H201" s="471"/>
      <c r="I201" s="8"/>
      <c r="J201" s="8"/>
      <c r="K201" s="8"/>
      <c r="M201" s="8"/>
      <c r="BE201" s="1912" t="s">
        <v>314</v>
      </c>
    </row>
    <row r="202" spans="1:114" ht="15" customHeight="1" outlineLevel="1">
      <c r="D202" s="8" t="s">
        <v>120</v>
      </c>
      <c r="E202" s="8"/>
      <c r="F202" s="8"/>
      <c r="G202" s="8"/>
      <c r="H202" s="471"/>
      <c r="I202" s="8"/>
      <c r="J202" s="8"/>
      <c r="K202" s="8"/>
    </row>
    <row r="203" spans="1:114" ht="15" customHeight="1" outlineLevel="1">
      <c r="D203" s="472"/>
      <c r="G203" s="265"/>
      <c r="H203" s="473"/>
      <c r="M203" s="8"/>
    </row>
    <row r="204" spans="1:114" ht="15" customHeight="1" outlineLevel="1">
      <c r="D204" s="472"/>
      <c r="G204" s="265"/>
      <c r="H204" s="473"/>
    </row>
    <row r="205" spans="1:114" ht="15" customHeight="1" outlineLevel="1">
      <c r="D205" s="472"/>
      <c r="G205" s="265"/>
      <c r="H205" s="473"/>
      <c r="M205" s="8"/>
    </row>
    <row r="206" spans="1:114" ht="15" customHeight="1" outlineLevel="1">
      <c r="D206" s="472"/>
      <c r="G206" s="265"/>
      <c r="H206" s="473"/>
      <c r="M206" s="8"/>
    </row>
    <row r="207" spans="1:114" ht="15" customHeight="1" outlineLevel="1">
      <c r="D207" s="472"/>
      <c r="G207" s="265"/>
      <c r="H207" s="473"/>
      <c r="M207" s="8"/>
    </row>
    <row r="208" spans="1:114" ht="15" customHeight="1" outlineLevel="1">
      <c r="D208" s="472"/>
      <c r="G208" s="265"/>
      <c r="H208" s="473"/>
    </row>
    <row r="209" spans="1:117" s="9" customFormat="1" ht="60" customHeight="1" outlineLevel="1">
      <c r="A209" s="2"/>
      <c r="C209" s="66"/>
      <c r="D209" s="1365"/>
      <c r="E209" s="1365" t="s">
        <v>275</v>
      </c>
      <c r="F209" s="1365" t="s">
        <v>315</v>
      </c>
      <c r="G209" s="1365" t="s">
        <v>316</v>
      </c>
      <c r="H209" s="29" t="s">
        <v>317</v>
      </c>
      <c r="I209" s="29" t="s">
        <v>173</v>
      </c>
      <c r="J209" s="1432" t="s">
        <v>318</v>
      </c>
      <c r="K209" s="122"/>
      <c r="L209" s="122"/>
      <c r="M209" s="66"/>
      <c r="N209" s="122"/>
      <c r="O209" s="122"/>
      <c r="P209" s="122"/>
      <c r="Q209" s="122"/>
      <c r="R209" s="122"/>
      <c r="S209" s="122"/>
      <c r="T209" s="122"/>
      <c r="U209" s="12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DE209" s="2"/>
      <c r="DF209" s="2"/>
      <c r="DG209" s="809"/>
      <c r="DH209" s="265"/>
      <c r="DI209" s="265"/>
      <c r="DJ209" s="1168"/>
      <c r="DK209" s="2"/>
      <c r="DL209" s="2"/>
      <c r="DM209" s="2"/>
    </row>
    <row r="210" spans="1:117" ht="15" customHeight="1" outlineLevel="1">
      <c r="D210" s="679" t="s">
        <v>319</v>
      </c>
      <c r="E210" s="679" t="s">
        <v>320</v>
      </c>
      <c r="F210" s="491">
        <v>0.13</v>
      </c>
      <c r="G210" s="2018">
        <v>1</v>
      </c>
      <c r="H210" s="2021">
        <v>0.90700000000000003</v>
      </c>
      <c r="I210" s="492">
        <v>8766</v>
      </c>
      <c r="J210" s="493"/>
      <c r="K210" s="489"/>
    </row>
    <row r="211" spans="1:117" ht="15" customHeight="1" outlineLevel="1">
      <c r="D211" s="679" t="s">
        <v>321</v>
      </c>
      <c r="E211" s="679" t="str">
        <f>E199</f>
        <v>Anti-Sweat Heater Controls Refrigerator</v>
      </c>
      <c r="F211" s="491">
        <v>0.13</v>
      </c>
      <c r="G211" s="2018">
        <v>1</v>
      </c>
      <c r="H211" s="2021">
        <v>0.45600000000000002</v>
      </c>
      <c r="I211" s="492">
        <v>8766</v>
      </c>
      <c r="J211" s="493">
        <v>1.3</v>
      </c>
      <c r="K211" s="489"/>
    </row>
    <row r="212" spans="1:117" ht="15" customHeight="1" outlineLevel="1">
      <c r="D212" s="679" t="s">
        <v>322</v>
      </c>
      <c r="E212" s="679" t="str">
        <f>E200</f>
        <v>Anti-Sweat Heater Controls Freezer</v>
      </c>
      <c r="F212" s="491">
        <v>0.13</v>
      </c>
      <c r="G212" s="2018">
        <v>1</v>
      </c>
      <c r="H212" s="2021">
        <v>0.45600000000000002</v>
      </c>
      <c r="I212" s="492">
        <v>8766</v>
      </c>
      <c r="J212" s="493">
        <v>1.5</v>
      </c>
      <c r="K212" s="489"/>
    </row>
    <row r="215" spans="1:117" s="8" customFormat="1">
      <c r="A215" s="2"/>
      <c r="B215" s="3996" t="s">
        <v>323</v>
      </c>
      <c r="C215" s="3997"/>
      <c r="D215" s="3997"/>
      <c r="E215" s="3997"/>
      <c r="F215" s="3997"/>
      <c r="G215" s="3997"/>
      <c r="H215" s="3997"/>
      <c r="I215" s="4828"/>
      <c r="J215" s="4828"/>
      <c r="K215" s="4828"/>
      <c r="L215" s="4828"/>
      <c r="M215" s="4829"/>
      <c r="N215" s="4829"/>
      <c r="O215" s="4830"/>
      <c r="V215" s="1363" t="str">
        <f>B215</f>
        <v>Heat Pump Water Heaters</v>
      </c>
      <c r="W215" s="1364"/>
      <c r="X215" s="1364"/>
      <c r="Y215" s="1364"/>
      <c r="Z215" s="1364"/>
      <c r="AA215" s="1364"/>
      <c r="AB215" s="1364"/>
      <c r="AC215" s="1364"/>
      <c r="AD215" s="1364"/>
      <c r="AE215" s="1364"/>
      <c r="AF215" s="1364"/>
      <c r="AG215" s="1364"/>
      <c r="AH215" s="1364"/>
      <c r="AI215" s="1397"/>
      <c r="AJ215" s="2"/>
      <c r="AK215" s="2"/>
      <c r="AL215" s="2"/>
      <c r="AM215" s="2"/>
      <c r="AN215" s="2"/>
      <c r="AO215" s="2"/>
      <c r="AP215" s="2"/>
      <c r="AQ215" s="2"/>
      <c r="AR215" s="2"/>
      <c r="AS215" s="2"/>
      <c r="AT215" s="2"/>
      <c r="AU215" s="2"/>
      <c r="DE215" s="2"/>
      <c r="DF215" s="2"/>
      <c r="DG215" s="24"/>
      <c r="DJ215" s="1102"/>
    </row>
    <row r="216" spans="1:117">
      <c r="D216" s="461"/>
      <c r="E216" s="8"/>
      <c r="F216" s="8"/>
      <c r="G216" s="8"/>
      <c r="H216" s="462"/>
      <c r="I216" s="8"/>
      <c r="J216" s="8"/>
      <c r="K216" s="8"/>
      <c r="L216" s="8"/>
      <c r="P216" s="8"/>
      <c r="Q216" s="8"/>
      <c r="R216" s="8"/>
      <c r="S216" s="8"/>
      <c r="T216" s="8"/>
      <c r="U216" s="8"/>
      <c r="V216"/>
      <c r="W216"/>
      <c r="X216"/>
      <c r="Y216"/>
      <c r="Z216"/>
      <c r="AA216"/>
      <c r="AB216"/>
      <c r="AC216"/>
      <c r="AD216"/>
      <c r="AE216"/>
      <c r="AF216"/>
      <c r="AG216"/>
      <c r="AH216"/>
      <c r="AI216"/>
      <c r="AJ216" s="7"/>
      <c r="AK216" s="7"/>
      <c r="AL216" s="7"/>
      <c r="AM216" s="7"/>
      <c r="AN216" s="7"/>
      <c r="AO216" s="7"/>
      <c r="AP216" s="7"/>
      <c r="AQ216" s="7"/>
      <c r="AR216" s="7"/>
      <c r="AS216" s="7"/>
      <c r="AT216" s="7"/>
      <c r="AU216" s="7"/>
    </row>
    <row r="217" spans="1:117" s="9" customFormat="1" ht="30">
      <c r="A217" s="2"/>
      <c r="B217" s="7"/>
      <c r="C217" s="10" t="s">
        <v>42</v>
      </c>
      <c r="D217" s="1432" t="s">
        <v>43</v>
      </c>
      <c r="E217" s="1432" t="s">
        <v>44</v>
      </c>
      <c r="F217" s="1432" t="s">
        <v>45</v>
      </c>
      <c r="G217" s="1432" t="s">
        <v>46</v>
      </c>
      <c r="H217" s="11" t="s">
        <v>47</v>
      </c>
      <c r="I217" s="1432" t="s">
        <v>48</v>
      </c>
      <c r="J217" s="1432" t="s">
        <v>49</v>
      </c>
      <c r="K217" s="10" t="s">
        <v>50</v>
      </c>
      <c r="L217" s="10" t="s">
        <v>51</v>
      </c>
      <c r="M217" s="265"/>
      <c r="N217" s="265"/>
      <c r="O217" s="265"/>
      <c r="P217" s="122"/>
      <c r="Q217" s="122"/>
      <c r="R217" s="122"/>
      <c r="S217" s="122"/>
      <c r="T217" s="122"/>
      <c r="U217" s="122"/>
      <c r="V217" s="668" t="s">
        <v>52</v>
      </c>
      <c r="W217" s="669">
        <f>$W$8</f>
        <v>43252</v>
      </c>
      <c r="X217" s="669">
        <f>$X$8</f>
        <v>43465</v>
      </c>
      <c r="Y217" s="669">
        <f>$Y$8</f>
        <v>43800</v>
      </c>
      <c r="Z217" s="669">
        <f>$Z$8</f>
        <v>43862</v>
      </c>
      <c r="AA217" s="669">
        <f>$AA$8</f>
        <v>44013</v>
      </c>
      <c r="AB217" s="669">
        <v>44166</v>
      </c>
      <c r="AC217" s="669">
        <f>$AC$8</f>
        <v>44531</v>
      </c>
      <c r="AD217" s="669">
        <f>$AD$8</f>
        <v>44774</v>
      </c>
      <c r="AE217" s="669">
        <f>$AE$8</f>
        <v>45142</v>
      </c>
      <c r="AF217" s="669">
        <f>$AF$8</f>
        <v>45672</v>
      </c>
      <c r="AG217" s="669" t="str">
        <f>$AG$8</f>
        <v>-</v>
      </c>
      <c r="AH217"/>
      <c r="AI217" s="668" t="s">
        <v>52</v>
      </c>
      <c r="AJ217" s="669">
        <v>43252</v>
      </c>
      <c r="AK217" s="669">
        <f>$X$8</f>
        <v>43465</v>
      </c>
      <c r="AL217" s="669">
        <f>$Y$8</f>
        <v>43800</v>
      </c>
      <c r="AM217" s="669">
        <f>$Z$8</f>
        <v>43862</v>
      </c>
      <c r="AN217" s="669">
        <f>$AA$8</f>
        <v>44013</v>
      </c>
      <c r="AO217" s="669">
        <f>$AB$8</f>
        <v>44166</v>
      </c>
      <c r="AP217" s="669">
        <f>$AC$8</f>
        <v>44531</v>
      </c>
      <c r="AQ217" s="669">
        <f>$AD$8</f>
        <v>44774</v>
      </c>
      <c r="AR217" s="669">
        <f>$AE$8</f>
        <v>45142</v>
      </c>
      <c r="AS217" s="669">
        <f>$AF$8</f>
        <v>45672</v>
      </c>
      <c r="AT217" s="2"/>
      <c r="AU217" s="668" t="s">
        <v>52</v>
      </c>
      <c r="AV217" s="669">
        <v>43252</v>
      </c>
      <c r="AW217" s="669">
        <f>$X$8</f>
        <v>43465</v>
      </c>
      <c r="AX217" s="669">
        <f>$Y$8</f>
        <v>43800</v>
      </c>
      <c r="AY217" s="669">
        <f>$Z$8</f>
        <v>43862</v>
      </c>
      <c r="AZ217" s="669">
        <f>$AA$8</f>
        <v>44013</v>
      </c>
      <c r="BA217" s="669">
        <v>44166</v>
      </c>
      <c r="BB217" s="669">
        <f>$AC$8</f>
        <v>44531</v>
      </c>
      <c r="BC217" s="669">
        <f>$AD$8</f>
        <v>44774</v>
      </c>
      <c r="BD217" s="669">
        <f>$AE$8</f>
        <v>45142</v>
      </c>
      <c r="BE217" s="669">
        <f>$AF$8</f>
        <v>45672</v>
      </c>
      <c r="DE217" s="2"/>
      <c r="DF217" s="2"/>
      <c r="DG217" s="1060" t="str">
        <f>$DG$8</f>
        <v>TRC (2025)</v>
      </c>
      <c r="DH217" s="811" t="str">
        <f>$DH$8</f>
        <v>Benefit Lookup</v>
      </c>
      <c r="DI217" s="811" t="str">
        <f>$DI$8</f>
        <v>Benefits (2025 $)</v>
      </c>
      <c r="DJ217" s="1172" t="str">
        <f>$DJ$8</f>
        <v>Incremental Cost (2025 $)</v>
      </c>
    </row>
    <row r="218" spans="1:117">
      <c r="B218" s="1454">
        <f t="shared" ref="B218:B224" si="67">VALUE(LEFT(C218,6))</f>
        <v>802250</v>
      </c>
      <c r="C218" s="1637" t="s">
        <v>324</v>
      </c>
      <c r="D218" s="1639" t="s">
        <v>135</v>
      </c>
      <c r="E218" s="480" t="s">
        <v>325</v>
      </c>
      <c r="F218" s="1922">
        <f>ROUND((((1/F234-1/G234)*H234*J234*(K234-L234)*1)/3412)+M234-N234,2)</f>
        <v>18785.38</v>
      </c>
      <c r="G218" s="463" t="s">
        <v>326</v>
      </c>
      <c r="H218" s="464">
        <f>VLOOKUP(G218,'CP FACTORS'!$A$26:$B$38,2,FALSE)</f>
        <v>1.811545E-4</v>
      </c>
      <c r="I218" s="1924">
        <f>ROUND(H218*F218,6)</f>
        <v>3.4030559999999999</v>
      </c>
      <c r="J218" s="486">
        <v>15</v>
      </c>
      <c r="K218" s="2022">
        <v>4000</v>
      </c>
      <c r="L218" s="465" t="s">
        <v>62</v>
      </c>
      <c r="V218" s="1414" t="s">
        <v>45</v>
      </c>
      <c r="W218" s="55">
        <v>21156</v>
      </c>
      <c r="X218" s="55">
        <v>21156</v>
      </c>
      <c r="Y218" s="55">
        <v>21156</v>
      </c>
      <c r="Z218" s="55">
        <v>21156</v>
      </c>
      <c r="AA218" s="55">
        <v>21156</v>
      </c>
      <c r="AB218" s="54">
        <v>21156</v>
      </c>
      <c r="AC218" s="737">
        <v>21156</v>
      </c>
      <c r="AD218" s="737">
        <v>21156</v>
      </c>
      <c r="AE218" s="737">
        <v>21156</v>
      </c>
      <c r="AF218" s="271">
        <f t="shared" ref="AF218:AF224" si="68">IF(F218&lt;&gt;"",F218,"")</f>
        <v>18785.38</v>
      </c>
      <c r="AG218" s="71"/>
      <c r="AH218"/>
      <c r="AI218" s="1445" t="s">
        <v>49</v>
      </c>
      <c r="AJ218" s="25">
        <v>15</v>
      </c>
      <c r="AK218" s="25">
        <v>15</v>
      </c>
      <c r="AL218" s="25">
        <v>15</v>
      </c>
      <c r="AM218" s="650">
        <v>15</v>
      </c>
      <c r="AN218" s="650">
        <v>15</v>
      </c>
      <c r="AO218" s="17">
        <v>15</v>
      </c>
      <c r="AP218" s="17">
        <v>15</v>
      </c>
      <c r="AQ218" s="17">
        <v>15</v>
      </c>
      <c r="AR218" s="17">
        <v>15</v>
      </c>
      <c r="AS218" s="17">
        <v>15</v>
      </c>
      <c r="AU218" s="1445" t="s">
        <v>50</v>
      </c>
      <c r="AV218" s="711">
        <v>4000</v>
      </c>
      <c r="AW218" s="711">
        <v>4000</v>
      </c>
      <c r="AX218" s="711">
        <v>4000</v>
      </c>
      <c r="AY218" s="711">
        <v>4000</v>
      </c>
      <c r="AZ218" s="711">
        <v>4000</v>
      </c>
      <c r="BA218" s="772">
        <v>4000</v>
      </c>
      <c r="BB218" s="772">
        <v>4000</v>
      </c>
      <c r="BC218" s="772">
        <v>4000</v>
      </c>
      <c r="BD218" s="772">
        <v>4000</v>
      </c>
      <c r="BE218" s="772">
        <v>4000</v>
      </c>
      <c r="DG218" s="1062">
        <f>(DI218)/(DJ218)</f>
        <v>3.9210604174884565</v>
      </c>
      <c r="DH218" s="1400" t="str">
        <f>CONCATENATE(G218," ",J218," Year EUL")</f>
        <v>Water Heating BUS 15 Year EUL</v>
      </c>
      <c r="DI218" s="198">
        <f>(INDEX('Avoided Cost Benefits'!$B$4:$B$865,MATCH(DH218,'Avoided Cost Benefits'!$A$4:$A$865,0)))*F218</f>
        <v>15684.241669953826</v>
      </c>
      <c r="DJ218" s="1174">
        <f t="shared" ref="DJ218:DJ224" si="69">K218/(1.0686^(2025-2025))</f>
        <v>4000</v>
      </c>
    </row>
    <row r="219" spans="1:117">
      <c r="B219" s="1454">
        <f t="shared" si="67"/>
        <v>802300</v>
      </c>
      <c r="C219" s="1637" t="s">
        <v>327</v>
      </c>
      <c r="D219" s="1639" t="s">
        <v>135</v>
      </c>
      <c r="E219" s="480" t="s">
        <v>328</v>
      </c>
      <c r="F219" s="1922">
        <f>ROUND((((1/F235-1/G235)*H235*J235*(K235-L235)*1)/3412)+M235-N235,2)</f>
        <v>48912.79</v>
      </c>
      <c r="G219" s="463" t="s">
        <v>326</v>
      </c>
      <c r="H219" s="464">
        <f>VLOOKUP(G219,'CP FACTORS'!$A$26:$B$38,2,FALSE)</f>
        <v>1.811545E-4</v>
      </c>
      <c r="I219" s="1924">
        <f>ROUND(H219*F219,6)</f>
        <v>8.8607720000000008</v>
      </c>
      <c r="J219" s="487">
        <v>15</v>
      </c>
      <c r="K219" s="2022">
        <v>7000</v>
      </c>
      <c r="L219" s="465" t="s">
        <v>62</v>
      </c>
      <c r="V219" s="1414" t="s">
        <v>45</v>
      </c>
      <c r="W219" s="55">
        <v>52890.000000000015</v>
      </c>
      <c r="X219" s="55">
        <v>52890.000000000015</v>
      </c>
      <c r="Y219" s="55">
        <v>52890.000000000015</v>
      </c>
      <c r="Z219" s="55">
        <v>52890.000000000015</v>
      </c>
      <c r="AA219" s="55">
        <v>52890.000000000015</v>
      </c>
      <c r="AB219" s="54">
        <v>52890</v>
      </c>
      <c r="AC219" s="737">
        <v>52890</v>
      </c>
      <c r="AD219" s="737">
        <v>52890</v>
      </c>
      <c r="AE219" s="737">
        <v>52890</v>
      </c>
      <c r="AF219" s="271">
        <f t="shared" si="68"/>
        <v>48912.79</v>
      </c>
      <c r="AG219" s="71"/>
      <c r="AH219"/>
      <c r="AI219" s="1445" t="s">
        <v>49</v>
      </c>
      <c r="AJ219" s="26">
        <v>15</v>
      </c>
      <c r="AK219" s="26">
        <v>15</v>
      </c>
      <c r="AL219" s="26">
        <v>15</v>
      </c>
      <c r="AM219" s="650">
        <v>15</v>
      </c>
      <c r="AN219" s="650">
        <v>15</v>
      </c>
      <c r="AO219" s="17">
        <v>15</v>
      </c>
      <c r="AP219" s="17">
        <v>15</v>
      </c>
      <c r="AQ219" s="17">
        <v>15</v>
      </c>
      <c r="AR219" s="17">
        <v>15</v>
      </c>
      <c r="AS219" s="17">
        <v>15</v>
      </c>
      <c r="AU219" s="1445" t="s">
        <v>50</v>
      </c>
      <c r="AV219" s="711">
        <v>7000</v>
      </c>
      <c r="AW219" s="711">
        <v>7000</v>
      </c>
      <c r="AX219" s="711">
        <v>7000</v>
      </c>
      <c r="AY219" s="711">
        <v>7000</v>
      </c>
      <c r="AZ219" s="711">
        <v>7000</v>
      </c>
      <c r="BA219" s="772">
        <v>7000</v>
      </c>
      <c r="BB219" s="772">
        <v>7000</v>
      </c>
      <c r="BC219" s="772">
        <v>7000</v>
      </c>
      <c r="BD219" s="772">
        <v>7000</v>
      </c>
      <c r="BE219" s="772">
        <v>7000</v>
      </c>
      <c r="DG219" s="1063">
        <f>(DI219)/(DJ219)</f>
        <v>5.8340203096519048</v>
      </c>
      <c r="DH219" s="673" t="str">
        <f>CONCATENATE(G219," ",J219," Year EUL")</f>
        <v>Water Heating BUS 15 Year EUL</v>
      </c>
      <c r="DI219" s="655">
        <f>(INDEX('Avoided Cost Benefits'!$B$4:$B$865,MATCH(DH219,'Avoided Cost Benefits'!$A$4:$A$865,0)))*F219</f>
        <v>40838.142167563332</v>
      </c>
      <c r="DJ219" s="1176">
        <f t="shared" si="69"/>
        <v>7000</v>
      </c>
    </row>
    <row r="220" spans="1:117">
      <c r="B220" s="1454">
        <f t="shared" si="67"/>
        <v>802350</v>
      </c>
      <c r="C220" s="1637" t="s">
        <v>329</v>
      </c>
      <c r="D220" s="1639" t="s">
        <v>135</v>
      </c>
      <c r="E220" s="480" t="s">
        <v>330</v>
      </c>
      <c r="F220" s="1922">
        <f>ROUND((((1/F236-1/G236)*H236*J236*(K236-L236)*1)/3412)+M236-N236,2)</f>
        <v>129087.64</v>
      </c>
      <c r="G220" s="463" t="s">
        <v>326</v>
      </c>
      <c r="H220" s="464">
        <f>VLOOKUP(G220,'CP FACTORS'!$A$26:$B$38,2,FALSE)</f>
        <v>1.811545E-4</v>
      </c>
      <c r="I220" s="1924">
        <f>ROUND(H220*F220,6)</f>
        <v>23.384806999999999</v>
      </c>
      <c r="J220" s="487">
        <v>15</v>
      </c>
      <c r="K220" s="2022">
        <v>10000</v>
      </c>
      <c r="L220" s="465" t="s">
        <v>62</v>
      </c>
      <c r="V220" s="1414" t="s">
        <v>45</v>
      </c>
      <c r="W220" s="55">
        <v>141040.99999999997</v>
      </c>
      <c r="X220" s="55">
        <v>141040.99999999997</v>
      </c>
      <c r="Y220" s="55">
        <v>141040.99999999997</v>
      </c>
      <c r="Z220" s="55">
        <v>141040.99999999997</v>
      </c>
      <c r="AA220" s="55">
        <v>141040.99999999997</v>
      </c>
      <c r="AB220" s="54">
        <v>141041</v>
      </c>
      <c r="AC220" s="737">
        <v>141041</v>
      </c>
      <c r="AD220" s="737">
        <v>141041</v>
      </c>
      <c r="AE220" s="737">
        <v>141041</v>
      </c>
      <c r="AF220" s="271">
        <f t="shared" si="68"/>
        <v>129087.64</v>
      </c>
      <c r="AG220" s="71"/>
      <c r="AH220"/>
      <c r="AI220" s="1445" t="s">
        <v>49</v>
      </c>
      <c r="AJ220" s="26">
        <v>15</v>
      </c>
      <c r="AK220" s="26">
        <v>15</v>
      </c>
      <c r="AL220" s="26">
        <v>15</v>
      </c>
      <c r="AM220" s="650">
        <v>15</v>
      </c>
      <c r="AN220" s="650">
        <v>15</v>
      </c>
      <c r="AO220" s="17">
        <v>15</v>
      </c>
      <c r="AP220" s="17">
        <v>15</v>
      </c>
      <c r="AQ220" s="17">
        <v>15</v>
      </c>
      <c r="AR220" s="17">
        <v>15</v>
      </c>
      <c r="AS220" s="17">
        <v>15</v>
      </c>
      <c r="AU220" s="1445" t="s">
        <v>50</v>
      </c>
      <c r="AV220" s="711">
        <v>10000</v>
      </c>
      <c r="AW220" s="711">
        <v>10000</v>
      </c>
      <c r="AX220" s="711">
        <v>10000</v>
      </c>
      <c r="AY220" s="711">
        <v>10000</v>
      </c>
      <c r="AZ220" s="711">
        <v>10000</v>
      </c>
      <c r="BA220" s="772">
        <v>10000</v>
      </c>
      <c r="BB220" s="772">
        <v>10000</v>
      </c>
      <c r="BC220" s="772">
        <v>10000</v>
      </c>
      <c r="BD220" s="772">
        <v>10000</v>
      </c>
      <c r="BE220" s="772">
        <v>10000</v>
      </c>
      <c r="DG220" s="1063">
        <f>(DI220)/(DJ220)</f>
        <v>10.777752392360433</v>
      </c>
      <c r="DH220" s="673" t="str">
        <f>CONCATENATE(G220," ",J220," Year EUL")</f>
        <v>Water Heating BUS 15 Year EUL</v>
      </c>
      <c r="DI220" s="655">
        <f>(INDEX('Avoided Cost Benefits'!$B$4:$B$865,MATCH(DH220,'Avoided Cost Benefits'!$A$4:$A$865,0)))*F220</f>
        <v>107777.52392360433</v>
      </c>
      <c r="DJ220" s="1176">
        <f t="shared" si="69"/>
        <v>10000</v>
      </c>
    </row>
    <row r="221" spans="1:117">
      <c r="B221" s="1454">
        <f t="shared" si="67"/>
        <v>802400</v>
      </c>
      <c r="C221" s="1637" t="s">
        <v>331</v>
      </c>
      <c r="D221" s="1639" t="s">
        <v>135</v>
      </c>
      <c r="E221" s="480" t="s">
        <v>332</v>
      </c>
      <c r="F221" s="1922">
        <f>ROUND((((1/F237-1/G237)*H237*J237*(K237-L237)*1)/3412)+M237-N237,2)</f>
        <v>255265</v>
      </c>
      <c r="G221" s="463" t="s">
        <v>326</v>
      </c>
      <c r="H221" s="464">
        <f>VLOOKUP(G221,'CP FACTORS'!$A$26:$B$38,2,FALSE)</f>
        <v>1.811545E-4</v>
      </c>
      <c r="I221" s="1924">
        <f>ROUND(H221*F221,6)</f>
        <v>46.242403000000003</v>
      </c>
      <c r="J221" s="487">
        <v>15</v>
      </c>
      <c r="K221" s="2022">
        <v>14000</v>
      </c>
      <c r="L221" s="465" t="s">
        <v>62</v>
      </c>
      <c r="V221" s="1414" t="s">
        <v>45</v>
      </c>
      <c r="W221" s="55">
        <v>282081.00000000006</v>
      </c>
      <c r="X221" s="55">
        <v>282081.00000000006</v>
      </c>
      <c r="Y221" s="55">
        <v>282081.00000000006</v>
      </c>
      <c r="Z221" s="55">
        <v>282081.00000000006</v>
      </c>
      <c r="AA221" s="55">
        <v>282081.00000000006</v>
      </c>
      <c r="AB221" s="54">
        <v>282081</v>
      </c>
      <c r="AC221" s="737">
        <v>282081</v>
      </c>
      <c r="AD221" s="737">
        <v>282081</v>
      </c>
      <c r="AE221" s="737">
        <v>282081</v>
      </c>
      <c r="AF221" s="271">
        <f t="shared" si="68"/>
        <v>255265</v>
      </c>
      <c r="AG221" s="71"/>
      <c r="AH221"/>
      <c r="AI221" s="1445" t="s">
        <v>49</v>
      </c>
      <c r="AJ221" s="26">
        <v>15</v>
      </c>
      <c r="AK221" s="26">
        <v>15</v>
      </c>
      <c r="AL221" s="26">
        <v>15</v>
      </c>
      <c r="AM221" s="650">
        <v>15</v>
      </c>
      <c r="AN221" s="650">
        <v>15</v>
      </c>
      <c r="AO221" s="17">
        <v>15</v>
      </c>
      <c r="AP221" s="17">
        <v>15</v>
      </c>
      <c r="AQ221" s="17">
        <v>15</v>
      </c>
      <c r="AR221" s="17">
        <v>15</v>
      </c>
      <c r="AS221" s="17">
        <v>15</v>
      </c>
      <c r="AU221" s="1445" t="s">
        <v>50</v>
      </c>
      <c r="AV221" s="711">
        <v>14000</v>
      </c>
      <c r="AW221" s="711">
        <v>14000</v>
      </c>
      <c r="AX221" s="711">
        <v>14000</v>
      </c>
      <c r="AY221" s="711">
        <v>14000</v>
      </c>
      <c r="AZ221" s="711">
        <v>14000</v>
      </c>
      <c r="BA221" s="772">
        <v>14000</v>
      </c>
      <c r="BB221" s="772">
        <v>14000</v>
      </c>
      <c r="BC221" s="772">
        <v>14000</v>
      </c>
      <c r="BD221" s="772">
        <v>14000</v>
      </c>
      <c r="BE221" s="772">
        <v>14000</v>
      </c>
      <c r="DG221" s="1063">
        <f>(DI221)/(DJ221)</f>
        <v>15.223228876775309</v>
      </c>
      <c r="DH221" s="673" t="str">
        <f>CONCATENATE(G221," ",J221," Year EUL")</f>
        <v>Water Heating BUS 15 Year EUL</v>
      </c>
      <c r="DI221" s="655">
        <f>(INDEX('Avoided Cost Benefits'!$B$4:$B$865,MATCH(DH221,'Avoided Cost Benefits'!$A$4:$A$865,0)))*F221</f>
        <v>213125.20427485433</v>
      </c>
      <c r="DJ221" s="1176">
        <f t="shared" si="69"/>
        <v>14000</v>
      </c>
    </row>
    <row r="222" spans="1:117">
      <c r="B222" s="1454">
        <f t="shared" si="67"/>
        <v>802450</v>
      </c>
      <c r="C222" s="1637" t="s">
        <v>333</v>
      </c>
      <c r="D222" s="1639" t="s">
        <v>135</v>
      </c>
      <c r="E222" s="480" t="s">
        <v>334</v>
      </c>
      <c r="F222" s="1922">
        <f>ROUND((((1/F238-1/G238)*H238*J238*(K238-L238)*1)/3412)+M238-N238,2)</f>
        <v>382897.95</v>
      </c>
      <c r="G222" s="463" t="s">
        <v>326</v>
      </c>
      <c r="H222" s="464">
        <f>VLOOKUP(G222,'CP FACTORS'!$A$26:$B$38,2,FALSE)</f>
        <v>1.811545E-4</v>
      </c>
      <c r="I222" s="1924">
        <f>ROUND(H222*F222,6)</f>
        <v>69.363686999999999</v>
      </c>
      <c r="J222" s="487">
        <v>15</v>
      </c>
      <c r="K222" s="2022">
        <v>18000</v>
      </c>
      <c r="L222" s="465" t="s">
        <v>62</v>
      </c>
      <c r="V222" s="1414" t="s">
        <v>45</v>
      </c>
      <c r="W222" s="55">
        <v>423122.00000000012</v>
      </c>
      <c r="X222" s="55">
        <v>423122.00000000012</v>
      </c>
      <c r="Y222" s="55">
        <v>423122.00000000012</v>
      </c>
      <c r="Z222" s="55">
        <v>423122.00000000012</v>
      </c>
      <c r="AA222" s="55">
        <v>423122.00000000012</v>
      </c>
      <c r="AB222" s="54">
        <v>423122</v>
      </c>
      <c r="AC222" s="737">
        <v>423122</v>
      </c>
      <c r="AD222" s="737">
        <v>423122</v>
      </c>
      <c r="AE222" s="737">
        <v>423122</v>
      </c>
      <c r="AF222" s="271">
        <f t="shared" si="68"/>
        <v>382897.95</v>
      </c>
      <c r="AG222" s="71"/>
      <c r="AH222"/>
      <c r="AI222" s="1445" t="s">
        <v>49</v>
      </c>
      <c r="AJ222" s="26">
        <v>15</v>
      </c>
      <c r="AK222" s="26">
        <v>15</v>
      </c>
      <c r="AL222" s="26">
        <v>15</v>
      </c>
      <c r="AM222" s="650">
        <v>15</v>
      </c>
      <c r="AN222" s="650">
        <v>15</v>
      </c>
      <c r="AO222" s="17">
        <v>15</v>
      </c>
      <c r="AP222" s="17">
        <v>15</v>
      </c>
      <c r="AQ222" s="17">
        <v>15</v>
      </c>
      <c r="AR222" s="17">
        <v>15</v>
      </c>
      <c r="AS222" s="17">
        <v>15</v>
      </c>
      <c r="AU222" s="1445" t="s">
        <v>50</v>
      </c>
      <c r="AV222" s="711">
        <v>18000</v>
      </c>
      <c r="AW222" s="711">
        <v>18000</v>
      </c>
      <c r="AX222" s="711">
        <v>18000</v>
      </c>
      <c r="AY222" s="711">
        <v>18000</v>
      </c>
      <c r="AZ222" s="711">
        <v>18000</v>
      </c>
      <c r="BA222" s="772">
        <v>18000</v>
      </c>
      <c r="BB222" s="772">
        <v>18000</v>
      </c>
      <c r="BC222" s="772">
        <v>18000</v>
      </c>
      <c r="BD222" s="772">
        <v>18000</v>
      </c>
      <c r="BE222" s="772">
        <v>18000</v>
      </c>
      <c r="DG222" s="1064">
        <f>(DI222)/(DJ222)</f>
        <v>17.760454562507583</v>
      </c>
      <c r="DH222" s="673" t="str">
        <f>CONCATENATE(G222," ",J222," Year EUL")</f>
        <v>Water Heating BUS 15 Year EUL</v>
      </c>
      <c r="DI222" s="1066">
        <f>(INDEX('Avoided Cost Benefits'!$B$4:$B$865,MATCH(DH222,'Avoided Cost Benefits'!$A$4:$A$865,0)))*F222</f>
        <v>319688.18212513649</v>
      </c>
      <c r="DJ222" s="1175">
        <f t="shared" si="69"/>
        <v>18000</v>
      </c>
    </row>
    <row r="223" spans="1:117">
      <c r="B223" s="1454">
        <f t="shared" si="67"/>
        <v>802455</v>
      </c>
      <c r="C223" s="1637" t="s">
        <v>335</v>
      </c>
      <c r="D223" s="1639" t="s">
        <v>135</v>
      </c>
      <c r="E223" s="1638" t="s">
        <v>336</v>
      </c>
      <c r="F223" s="1922">
        <f t="shared" ref="F223:F224" si="70">ROUND((((1/F239-1/G239)*H239*J239*(K239-L239)*1)/3412)+M239-N239,2)</f>
        <v>3363.29</v>
      </c>
      <c r="G223" s="1639" t="s">
        <v>326</v>
      </c>
      <c r="H223" s="1640">
        <f>VLOOKUP(G223,'CP FACTORS'!$A$26:$B$38,2,FALSE)</f>
        <v>1.811545E-4</v>
      </c>
      <c r="I223" s="1924">
        <f t="shared" ref="I223:I224" si="71">ROUND(H223*F223,6)</f>
        <v>0.60927500000000001</v>
      </c>
      <c r="J223" s="1975">
        <v>15</v>
      </c>
      <c r="K223" s="2023">
        <v>18000</v>
      </c>
      <c r="L223" s="1971" t="s">
        <v>62</v>
      </c>
      <c r="V223" s="1414" t="s">
        <v>45</v>
      </c>
      <c r="W223" s="55"/>
      <c r="X223" s="55"/>
      <c r="Y223" s="55"/>
      <c r="Z223" s="55"/>
      <c r="AA223" s="55"/>
      <c r="AB223" s="54"/>
      <c r="AC223" s="737"/>
      <c r="AD223" s="737"/>
      <c r="AE223" s="737"/>
      <c r="AF223" s="271">
        <f t="shared" si="68"/>
        <v>3363.29</v>
      </c>
      <c r="AG223" s="71"/>
      <c r="AH223"/>
      <c r="AI223" s="1445" t="s">
        <v>49</v>
      </c>
      <c r="AJ223" s="26"/>
      <c r="AK223" s="26"/>
      <c r="AL223" s="26"/>
      <c r="AM223" s="650"/>
      <c r="AN223" s="650"/>
      <c r="AO223" s="17"/>
      <c r="AP223" s="17"/>
      <c r="AQ223" s="17"/>
      <c r="AR223" s="17"/>
      <c r="AS223" s="117">
        <v>15</v>
      </c>
      <c r="AU223" s="1445" t="s">
        <v>50</v>
      </c>
      <c r="AV223" s="711"/>
      <c r="AW223" s="711"/>
      <c r="AX223" s="711"/>
      <c r="AY223" s="711"/>
      <c r="AZ223" s="711"/>
      <c r="BA223" s="772"/>
      <c r="BB223" s="772"/>
      <c r="BC223" s="772"/>
      <c r="BD223" s="772"/>
      <c r="BE223" s="1932">
        <v>1154</v>
      </c>
      <c r="DG223" s="1064">
        <f t="shared" ref="DG223:DG224" si="72">(DI223)/(DJ223)</f>
        <v>0.15600386271468972</v>
      </c>
      <c r="DH223" s="673" t="str">
        <f t="shared" ref="DH223:DH224" si="73">CONCATENATE(G223," ",J223," Year EUL")</f>
        <v>Water Heating BUS 15 Year EUL</v>
      </c>
      <c r="DI223" s="1066">
        <f>(INDEX('Avoided Cost Benefits'!$B$4:$B$865,MATCH(DH223,'Avoided Cost Benefits'!$A$4:$A$865,0)))*F223</f>
        <v>2808.0695288644147</v>
      </c>
      <c r="DJ223" s="1175">
        <f t="shared" si="69"/>
        <v>18000</v>
      </c>
    </row>
    <row r="224" spans="1:117">
      <c r="B224" s="1454">
        <f t="shared" si="67"/>
        <v>802460</v>
      </c>
      <c r="C224" s="1637" t="s">
        <v>337</v>
      </c>
      <c r="D224" s="1639" t="s">
        <v>135</v>
      </c>
      <c r="E224" s="1638" t="s">
        <v>338</v>
      </c>
      <c r="F224" s="1922">
        <f t="shared" si="70"/>
        <v>5044.93</v>
      </c>
      <c r="G224" s="1639" t="s">
        <v>326</v>
      </c>
      <c r="H224" s="1640">
        <f>VLOOKUP(G224,'CP FACTORS'!$A$26:$B$38,2,FALSE)</f>
        <v>1.811545E-4</v>
      </c>
      <c r="I224" s="1924">
        <f t="shared" si="71"/>
        <v>0.91391199999999995</v>
      </c>
      <c r="J224" s="1975">
        <v>15</v>
      </c>
      <c r="K224" s="2023">
        <v>18000</v>
      </c>
      <c r="L224" s="1971" t="s">
        <v>62</v>
      </c>
      <c r="V224" s="1414" t="s">
        <v>45</v>
      </c>
      <c r="W224" s="55"/>
      <c r="X224" s="55"/>
      <c r="Y224" s="55"/>
      <c r="Z224" s="55"/>
      <c r="AA224" s="55"/>
      <c r="AB224" s="54"/>
      <c r="AC224" s="737"/>
      <c r="AD224" s="737"/>
      <c r="AE224" s="737"/>
      <c r="AF224" s="271">
        <f t="shared" si="68"/>
        <v>5044.93</v>
      </c>
      <c r="AG224" s="71"/>
      <c r="AH224"/>
      <c r="AI224" s="1445" t="s">
        <v>49</v>
      </c>
      <c r="AJ224" s="26"/>
      <c r="AK224" s="26"/>
      <c r="AL224" s="26"/>
      <c r="AM224" s="650"/>
      <c r="AN224" s="650"/>
      <c r="AO224" s="17"/>
      <c r="AP224" s="17"/>
      <c r="AQ224" s="17"/>
      <c r="AR224" s="17"/>
      <c r="AS224" s="117">
        <v>15</v>
      </c>
      <c r="AU224" s="1445" t="s">
        <v>50</v>
      </c>
      <c r="AV224" s="711"/>
      <c r="AW224" s="711"/>
      <c r="AX224" s="711"/>
      <c r="AY224" s="711"/>
      <c r="AZ224" s="711"/>
      <c r="BA224" s="772"/>
      <c r="BB224" s="772"/>
      <c r="BC224" s="772"/>
      <c r="BD224" s="772"/>
      <c r="BE224" s="1932">
        <v>1646</v>
      </c>
      <c r="DG224" s="1064">
        <f t="shared" si="72"/>
        <v>0.23400556215051918</v>
      </c>
      <c r="DH224" s="673" t="str">
        <f t="shared" si="73"/>
        <v>Water Heating BUS 15 Year EUL</v>
      </c>
      <c r="DI224" s="1066">
        <f>(INDEX('Avoided Cost Benefits'!$B$4:$B$865,MATCH(DH224,'Avoided Cost Benefits'!$A$4:$A$865,0)))*F224</f>
        <v>4212.1001187093452</v>
      </c>
      <c r="DJ224" s="1175">
        <f t="shared" si="69"/>
        <v>18000</v>
      </c>
    </row>
    <row r="225" spans="1:114" ht="15" customHeight="1" outlineLevel="1">
      <c r="D225" s="77" t="s">
        <v>118</v>
      </c>
      <c r="E225" s="265" t="s">
        <v>339</v>
      </c>
      <c r="F225" s="1923"/>
      <c r="G225" s="8"/>
      <c r="H225" s="471"/>
      <c r="I225" s="8"/>
      <c r="J225" s="8"/>
      <c r="K225" s="1925"/>
    </row>
    <row r="226" spans="1:114" ht="15" customHeight="1" outlineLevel="1">
      <c r="D226" s="8" t="s">
        <v>120</v>
      </c>
      <c r="E226" s="66"/>
      <c r="F226" s="1923"/>
      <c r="G226" s="8"/>
      <c r="H226" s="471"/>
      <c r="I226" s="8"/>
      <c r="J226" s="8"/>
      <c r="K226" s="66"/>
    </row>
    <row r="227" spans="1:114" ht="15" customHeight="1" outlineLevel="1">
      <c r="D227" s="472"/>
      <c r="F227" s="66"/>
      <c r="G227" s="265"/>
      <c r="H227" s="473"/>
    </row>
    <row r="228" spans="1:114" ht="15" customHeight="1" outlineLevel="1">
      <c r="D228" s="472"/>
      <c r="G228" s="265"/>
      <c r="H228" s="473"/>
    </row>
    <row r="229" spans="1:114" ht="15" customHeight="1" outlineLevel="1">
      <c r="D229" s="472"/>
      <c r="G229" s="265"/>
      <c r="H229" s="473"/>
      <c r="M229" s="8"/>
    </row>
    <row r="230" spans="1:114" ht="15" customHeight="1" outlineLevel="1">
      <c r="D230" s="472"/>
      <c r="G230" s="265"/>
      <c r="H230" s="473"/>
      <c r="M230" s="8"/>
    </row>
    <row r="231" spans="1:114" ht="15" customHeight="1" outlineLevel="1">
      <c r="D231" s="472"/>
      <c r="G231" s="265"/>
      <c r="H231" s="473"/>
      <c r="M231" s="8"/>
    </row>
    <row r="232" spans="1:114" ht="15" customHeight="1" outlineLevel="1">
      <c r="D232" s="472"/>
      <c r="G232" s="265"/>
      <c r="H232" s="473"/>
    </row>
    <row r="233" spans="1:114" s="9" customFormat="1" ht="15" customHeight="1" outlineLevel="1">
      <c r="A233" s="2"/>
      <c r="C233" s="66"/>
      <c r="D233" s="10" t="s">
        <v>42</v>
      </c>
      <c r="E233" s="1365" t="s">
        <v>275</v>
      </c>
      <c r="F233" s="1365" t="s">
        <v>340</v>
      </c>
      <c r="G233" s="1365" t="s">
        <v>341</v>
      </c>
      <c r="H233" s="1360" t="s">
        <v>342</v>
      </c>
      <c r="I233" s="1360" t="s">
        <v>343</v>
      </c>
      <c r="J233" s="1360" t="s">
        <v>344</v>
      </c>
      <c r="K233" s="1360" t="s">
        <v>345</v>
      </c>
      <c r="L233" s="1360" t="s">
        <v>346</v>
      </c>
      <c r="M233" s="1432" t="s">
        <v>347</v>
      </c>
      <c r="N233" s="1432" t="s">
        <v>348</v>
      </c>
      <c r="O233" s="1432" t="s">
        <v>349</v>
      </c>
      <c r="P233" s="1432" t="s">
        <v>350</v>
      </c>
      <c r="Q233" s="1432" t="s">
        <v>351</v>
      </c>
      <c r="R233" s="1432" t="s">
        <v>352</v>
      </c>
      <c r="S233" s="1432" t="s">
        <v>353</v>
      </c>
      <c r="T233" s="122"/>
      <c r="U233" s="122"/>
      <c r="V233" s="668" t="s">
        <v>52</v>
      </c>
      <c r="W233" s="669">
        <f>$W$8</f>
        <v>43252</v>
      </c>
      <c r="X233" s="669">
        <f>$X$8</f>
        <v>43465</v>
      </c>
      <c r="Y233" s="669">
        <f>$Y$8</f>
        <v>43800</v>
      </c>
      <c r="Z233" s="669">
        <f>$Z$8</f>
        <v>43862</v>
      </c>
      <c r="AA233" s="669">
        <f>$AA$8</f>
        <v>44013</v>
      </c>
      <c r="AB233" s="669">
        <v>44166</v>
      </c>
      <c r="AC233" s="669">
        <f>$AC$8</f>
        <v>44531</v>
      </c>
      <c r="AD233" s="669">
        <f>$AD$8</f>
        <v>44774</v>
      </c>
      <c r="AE233" s="669">
        <f>$AE$8</f>
        <v>45142</v>
      </c>
      <c r="AF233" s="669">
        <f>$AF$8</f>
        <v>45672</v>
      </c>
      <c r="AG233" s="669" t="str">
        <f>$AG$8</f>
        <v>-</v>
      </c>
      <c r="AH233"/>
      <c r="AI233" s="668" t="s">
        <v>52</v>
      </c>
      <c r="AJ233" s="669">
        <v>43252</v>
      </c>
      <c r="AK233" s="669">
        <f>$X$8</f>
        <v>43465</v>
      </c>
      <c r="AL233" s="669">
        <f>$Y$8</f>
        <v>43800</v>
      </c>
      <c r="AM233" s="669">
        <f>$Z$8</f>
        <v>43862</v>
      </c>
      <c r="AN233" s="669">
        <f>$AA$8</f>
        <v>44013</v>
      </c>
      <c r="AO233" s="669">
        <f>$AB$8</f>
        <v>44166</v>
      </c>
      <c r="AP233" s="669">
        <f>$AC$8</f>
        <v>44531</v>
      </c>
      <c r="AQ233" s="669">
        <f>$AD$8</f>
        <v>44774</v>
      </c>
      <c r="AR233" s="669">
        <f>$AE$8</f>
        <v>45142</v>
      </c>
      <c r="AS233" s="669">
        <f>$AF$8</f>
        <v>45672</v>
      </c>
      <c r="AT233" s="2"/>
      <c r="AU233" s="668" t="s">
        <v>52</v>
      </c>
      <c r="AV233" s="669">
        <v>43252</v>
      </c>
      <c r="AW233" s="669">
        <f>$X$8</f>
        <v>43465</v>
      </c>
      <c r="AX233" s="669">
        <f>$Y$8</f>
        <v>43800</v>
      </c>
      <c r="AY233" s="669">
        <f>$Z$8</f>
        <v>43862</v>
      </c>
      <c r="AZ233" s="669">
        <f>$AA$8</f>
        <v>44013</v>
      </c>
      <c r="BA233" s="669">
        <v>44166</v>
      </c>
      <c r="BB233" s="669">
        <f>$AC$8</f>
        <v>44531</v>
      </c>
      <c r="BC233" s="669">
        <f>$AD$8</f>
        <v>44774</v>
      </c>
      <c r="BD233" s="669">
        <f>$AE$8</f>
        <v>45142</v>
      </c>
      <c r="BE233" s="669">
        <f>$AF$8</f>
        <v>45672</v>
      </c>
      <c r="BG233" s="668" t="s">
        <v>52</v>
      </c>
      <c r="BH233" s="669">
        <v>43252</v>
      </c>
      <c r="BI233" s="669">
        <f>$X$8</f>
        <v>43465</v>
      </c>
      <c r="BJ233" s="669">
        <f>$Y$8</f>
        <v>43800</v>
      </c>
      <c r="BK233" s="669">
        <f>$Z$8</f>
        <v>43862</v>
      </c>
      <c r="BL233" s="669">
        <f>$AA$8</f>
        <v>44013</v>
      </c>
      <c r="BM233" s="669">
        <v>44166</v>
      </c>
      <c r="BN233" s="669">
        <f>$AC$8</f>
        <v>44531</v>
      </c>
      <c r="BO233" s="669">
        <f>$AD$8</f>
        <v>44774</v>
      </c>
      <c r="BP233" s="669">
        <f>$AE$8</f>
        <v>45142</v>
      </c>
      <c r="BQ233" s="669">
        <f>$AF$8</f>
        <v>45672</v>
      </c>
      <c r="DE233" s="2"/>
      <c r="DF233" s="2"/>
      <c r="DG233" s="1065"/>
      <c r="DH233" s="122"/>
      <c r="DI233" s="122"/>
      <c r="DJ233" s="1168"/>
    </row>
    <row r="234" spans="1:114" ht="15" customHeight="1" outlineLevel="1">
      <c r="D234" s="679" t="str">
        <f>C218</f>
        <v>802250_2024_12_</v>
      </c>
      <c r="E234" s="679" t="str">
        <f>E218</f>
        <v>Heat Pump Water Heater replacing 98% Efficiency 2.9-14.6 kW (10 to 50 MBH)</v>
      </c>
      <c r="F234" s="2024">
        <v>0.98</v>
      </c>
      <c r="G234" s="2025">
        <v>4.6100000000000003</v>
      </c>
      <c r="H234" s="2026">
        <f>558*I234</f>
        <v>149421.71926647448</v>
      </c>
      <c r="I234" s="2027">
        <v>267.78085890049192</v>
      </c>
      <c r="J234" s="490">
        <v>8.33</v>
      </c>
      <c r="K234" s="2030">
        <v>125</v>
      </c>
      <c r="L234" s="1967">
        <v>59.3</v>
      </c>
      <c r="M234" s="1926">
        <f>((((1-1/G234)*H234*J234*(K234-L234)*1)*Q234*0.53*3)/(O234*3412))*R234</f>
        <v>7598.4096289631689</v>
      </c>
      <c r="N234" s="1926">
        <f>((((1-1/G234)*H234*J234*(K234-L234)*1)*Q234*0.43)/(P234*3412))*S234</f>
        <v>8070.3024254178326</v>
      </c>
      <c r="O234" s="2032">
        <f>13.4/3.412</f>
        <v>3.9273153575615476</v>
      </c>
      <c r="P234" s="2033">
        <v>1</v>
      </c>
      <c r="Q234" s="2018">
        <v>1</v>
      </c>
      <c r="R234" s="2024">
        <v>1</v>
      </c>
      <c r="S234" s="2024">
        <v>1</v>
      </c>
      <c r="V234" s="1414" t="s">
        <v>341</v>
      </c>
      <c r="W234" s="1979">
        <v>4</v>
      </c>
      <c r="X234" s="1979">
        <v>4</v>
      </c>
      <c r="Y234" s="1979">
        <v>4</v>
      </c>
      <c r="Z234" s="1979">
        <v>4</v>
      </c>
      <c r="AA234" s="1979">
        <v>4</v>
      </c>
      <c r="AB234" s="1979">
        <v>4</v>
      </c>
      <c r="AC234" s="1979">
        <v>4</v>
      </c>
      <c r="AD234" s="1979">
        <v>4</v>
      </c>
      <c r="AE234" s="1979">
        <v>4</v>
      </c>
      <c r="AF234" s="1460">
        <v>4.6100000000000003</v>
      </c>
      <c r="AG234" s="71"/>
      <c r="AH234"/>
      <c r="AI234" s="1445" t="s">
        <v>346</v>
      </c>
      <c r="AJ234" s="25">
        <v>57.898000000000003</v>
      </c>
      <c r="AK234" s="25">
        <v>57.898000000000003</v>
      </c>
      <c r="AL234" s="25">
        <v>57.898000000000003</v>
      </c>
      <c r="AM234" s="25">
        <v>57.898000000000003</v>
      </c>
      <c r="AN234" s="25">
        <v>57.898000000000003</v>
      </c>
      <c r="AO234" s="25">
        <v>57.898000000000003</v>
      </c>
      <c r="AP234" s="25">
        <v>57.898000000000003</v>
      </c>
      <c r="AQ234" s="25">
        <v>57.898000000000003</v>
      </c>
      <c r="AR234" s="25">
        <v>57.898000000000003</v>
      </c>
      <c r="AS234" s="117">
        <v>59.3</v>
      </c>
      <c r="AU234" s="1445" t="s">
        <v>349</v>
      </c>
      <c r="AV234" s="1980">
        <v>2.8</v>
      </c>
      <c r="AW234" s="1980">
        <v>2.8</v>
      </c>
      <c r="AX234" s="1980">
        <v>2.8</v>
      </c>
      <c r="AY234" s="1980">
        <v>2.8</v>
      </c>
      <c r="AZ234" s="1980">
        <v>2.8</v>
      </c>
      <c r="BA234" s="1980">
        <v>2.8</v>
      </c>
      <c r="BB234" s="1980">
        <v>2.8</v>
      </c>
      <c r="BC234" s="1980">
        <v>2.8</v>
      </c>
      <c r="BD234" s="1980">
        <v>2.8</v>
      </c>
      <c r="BE234" s="678">
        <v>3.9273153575615476</v>
      </c>
      <c r="BG234" s="1445" t="s">
        <v>350</v>
      </c>
      <c r="BH234" s="1980">
        <v>0.88</v>
      </c>
      <c r="BI234" s="1980">
        <v>0.88</v>
      </c>
      <c r="BJ234" s="1980">
        <v>0.88</v>
      </c>
      <c r="BK234" s="1980">
        <v>0.88</v>
      </c>
      <c r="BL234" s="1980">
        <v>0.88</v>
      </c>
      <c r="BM234" s="1980">
        <v>0.88</v>
      </c>
      <c r="BN234" s="1980">
        <v>0.88</v>
      </c>
      <c r="BO234" s="1980">
        <v>0.88</v>
      </c>
      <c r="BP234" s="1980">
        <v>0.88</v>
      </c>
      <c r="BQ234" s="678">
        <v>1</v>
      </c>
    </row>
    <row r="235" spans="1:114" ht="15" customHeight="1" outlineLevel="1">
      <c r="D235" s="679" t="str">
        <f>C219</f>
        <v>802300_2024_12_</v>
      </c>
      <c r="E235" s="679" t="str">
        <f>E219</f>
        <v>Heat Pump Water Heater replacing 98% Efficiency 14.7-29.3 kW (50 to 100 MBH)</v>
      </c>
      <c r="F235" s="495">
        <v>0.98</v>
      </c>
      <c r="G235" s="2025">
        <v>4.6100000000000003</v>
      </c>
      <c r="H235" s="2026">
        <f>558*I235</f>
        <v>389059.7149286035</v>
      </c>
      <c r="I235" s="2027">
        <v>697.2396324885367</v>
      </c>
      <c r="J235" s="490">
        <v>8.33</v>
      </c>
      <c r="K235" s="2030">
        <v>125</v>
      </c>
      <c r="L235" s="1967">
        <v>59.3</v>
      </c>
      <c r="M235" s="1926">
        <f>((((1-1/G235)*H235*J235*(K235-L235)*1)*1*0.53*3)/(O235*3412))*1</f>
        <v>19784.507223364901</v>
      </c>
      <c r="N235" s="1926">
        <f>((((1-1/G235)*H235*J235*(K235-L235)*1)*Q235*0.43)/(P235*3412))*S235</f>
        <v>21013.207292985273</v>
      </c>
      <c r="O235" s="2032">
        <f t="shared" ref="O235:O240" si="74">13.4/3.412</f>
        <v>3.9273153575615476</v>
      </c>
      <c r="P235" s="2033">
        <v>1</v>
      </c>
      <c r="Q235" s="2018">
        <v>1</v>
      </c>
      <c r="R235" s="2024">
        <v>1</v>
      </c>
      <c r="S235" s="2024">
        <v>1</v>
      </c>
      <c r="V235" s="1414" t="s">
        <v>341</v>
      </c>
      <c r="W235" s="1979">
        <v>4</v>
      </c>
      <c r="X235" s="1979">
        <v>4</v>
      </c>
      <c r="Y235" s="1979">
        <v>4</v>
      </c>
      <c r="Z235" s="1979">
        <v>4</v>
      </c>
      <c r="AA235" s="1979">
        <v>4</v>
      </c>
      <c r="AB235" s="1979">
        <v>4</v>
      </c>
      <c r="AC235" s="1979">
        <v>4</v>
      </c>
      <c r="AD235" s="1979">
        <v>4</v>
      </c>
      <c r="AE235" s="1979">
        <v>4</v>
      </c>
      <c r="AF235" s="1460">
        <v>4.6100000000000003</v>
      </c>
      <c r="AG235" s="71"/>
      <c r="AH235"/>
      <c r="AI235" s="1445" t="s">
        <v>346</v>
      </c>
      <c r="AJ235" s="26">
        <v>57.898000000000003</v>
      </c>
      <c r="AK235" s="26">
        <v>57.898000000000003</v>
      </c>
      <c r="AL235" s="26">
        <v>57.898000000000003</v>
      </c>
      <c r="AM235" s="26">
        <v>57.898000000000003</v>
      </c>
      <c r="AN235" s="26">
        <v>57.898000000000003</v>
      </c>
      <c r="AO235" s="26">
        <v>57.898000000000003</v>
      </c>
      <c r="AP235" s="26">
        <v>57.898000000000003</v>
      </c>
      <c r="AQ235" s="26">
        <v>57.898000000000003</v>
      </c>
      <c r="AR235" s="26">
        <v>57.898000000000003</v>
      </c>
      <c r="AS235" s="117">
        <v>59.3</v>
      </c>
      <c r="AU235" s="1445" t="s">
        <v>349</v>
      </c>
      <c r="AV235" s="1980">
        <v>2.8</v>
      </c>
      <c r="AW235" s="1980">
        <v>2.8</v>
      </c>
      <c r="AX235" s="1980">
        <v>2.8</v>
      </c>
      <c r="AY235" s="1980">
        <v>2.8</v>
      </c>
      <c r="AZ235" s="1980">
        <v>2.8</v>
      </c>
      <c r="BA235" s="1980">
        <v>2.8</v>
      </c>
      <c r="BB235" s="1980">
        <v>2.8</v>
      </c>
      <c r="BC235" s="1980">
        <v>2.8</v>
      </c>
      <c r="BD235" s="1980">
        <v>2.8</v>
      </c>
      <c r="BE235" s="678">
        <v>3.9273153575615476</v>
      </c>
      <c r="BG235" s="1445" t="s">
        <v>350</v>
      </c>
      <c r="BH235" s="1980">
        <v>0.88</v>
      </c>
      <c r="BI235" s="1980">
        <v>0.88</v>
      </c>
      <c r="BJ235" s="1980">
        <v>0.88</v>
      </c>
      <c r="BK235" s="1980">
        <v>0.88</v>
      </c>
      <c r="BL235" s="1980">
        <v>0.88</v>
      </c>
      <c r="BM235" s="1980">
        <v>0.88</v>
      </c>
      <c r="BN235" s="1980">
        <v>0.88</v>
      </c>
      <c r="BO235" s="1980">
        <v>0.88</v>
      </c>
      <c r="BP235" s="1980">
        <v>0.88</v>
      </c>
      <c r="BQ235" s="678">
        <v>1</v>
      </c>
    </row>
    <row r="236" spans="1:114" ht="15" customHeight="1" outlineLevel="1">
      <c r="D236" s="679" t="str">
        <f>C220</f>
        <v>802350_2024_12_</v>
      </c>
      <c r="E236" s="679" t="str">
        <f>E220</f>
        <v>Heat Pump Water Heater replacing 98% Efficiency 29.4-87.9 kW (100 to 300 MBH)</v>
      </c>
      <c r="F236" s="495">
        <v>0.98</v>
      </c>
      <c r="G236" s="2025">
        <v>4.4400000000000004</v>
      </c>
      <c r="H236" s="2026">
        <f>558*I236</f>
        <v>1037499.9291594848</v>
      </c>
      <c r="I236" s="2027">
        <v>1859.3188694614423</v>
      </c>
      <c r="J236" s="490">
        <v>8.33</v>
      </c>
      <c r="K236" s="2030">
        <v>125</v>
      </c>
      <c r="L236" s="1967">
        <v>59.3</v>
      </c>
      <c r="M236" s="1926">
        <f>((((1-1/G236)*H236*J236*(K236-L236)*1)*1*0.53*3)/(O236*3412))*1</f>
        <v>52199.488225350025</v>
      </c>
      <c r="N236" s="1926">
        <f>((((1-1/G236)*H236*J236*(K236-L236)*1)*Q236*0.43)/(P236*3412))*S236</f>
        <v>55441.293244425302</v>
      </c>
      <c r="O236" s="2032">
        <f t="shared" si="74"/>
        <v>3.9273153575615476</v>
      </c>
      <c r="P236" s="2033">
        <v>1</v>
      </c>
      <c r="Q236" s="2018">
        <v>1</v>
      </c>
      <c r="R236" s="2024">
        <v>1</v>
      </c>
      <c r="S236" s="2024">
        <v>1</v>
      </c>
      <c r="V236" s="1414" t="s">
        <v>341</v>
      </c>
      <c r="W236" s="1979">
        <v>4</v>
      </c>
      <c r="X236" s="1979">
        <v>4</v>
      </c>
      <c r="Y236" s="1979">
        <v>4</v>
      </c>
      <c r="Z236" s="1979">
        <v>4</v>
      </c>
      <c r="AA236" s="1979">
        <v>4</v>
      </c>
      <c r="AB236" s="1979">
        <v>4</v>
      </c>
      <c r="AC236" s="1979">
        <v>4</v>
      </c>
      <c r="AD236" s="1979">
        <v>4</v>
      </c>
      <c r="AE236" s="1979">
        <v>4</v>
      </c>
      <c r="AF236" s="1460">
        <v>4.4400000000000004</v>
      </c>
      <c r="AG236" s="71"/>
      <c r="AH236"/>
      <c r="AI236" s="1445" t="s">
        <v>346</v>
      </c>
      <c r="AJ236" s="26">
        <v>57.898000000000003</v>
      </c>
      <c r="AK236" s="26">
        <v>57.898000000000003</v>
      </c>
      <c r="AL236" s="26">
        <v>57.898000000000003</v>
      </c>
      <c r="AM236" s="26">
        <v>57.898000000000003</v>
      </c>
      <c r="AN236" s="26">
        <v>57.898000000000003</v>
      </c>
      <c r="AO236" s="26">
        <v>57.898000000000003</v>
      </c>
      <c r="AP236" s="26">
        <v>57.898000000000003</v>
      </c>
      <c r="AQ236" s="26">
        <v>57.898000000000003</v>
      </c>
      <c r="AR236" s="26">
        <v>57.898000000000003</v>
      </c>
      <c r="AS236" s="117">
        <v>59.3</v>
      </c>
      <c r="AU236" s="1445" t="s">
        <v>349</v>
      </c>
      <c r="AV236" s="1980">
        <v>2.8</v>
      </c>
      <c r="AW236" s="1980">
        <v>2.8</v>
      </c>
      <c r="AX236" s="1980">
        <v>2.8</v>
      </c>
      <c r="AY236" s="1980">
        <v>2.8</v>
      </c>
      <c r="AZ236" s="1980">
        <v>2.8</v>
      </c>
      <c r="BA236" s="1980">
        <v>2.8</v>
      </c>
      <c r="BB236" s="1980">
        <v>2.8</v>
      </c>
      <c r="BC236" s="1980">
        <v>2.8</v>
      </c>
      <c r="BD236" s="1980">
        <v>2.8</v>
      </c>
      <c r="BE236" s="678">
        <v>3.9273153575615476</v>
      </c>
      <c r="BG236" s="1445" t="s">
        <v>350</v>
      </c>
      <c r="BH236" s="1980">
        <v>0.88</v>
      </c>
      <c r="BI236" s="1980">
        <v>0.88</v>
      </c>
      <c r="BJ236" s="1980">
        <v>0.88</v>
      </c>
      <c r="BK236" s="1980">
        <v>0.88</v>
      </c>
      <c r="BL236" s="1980">
        <v>0.88</v>
      </c>
      <c r="BM236" s="1980">
        <v>0.88</v>
      </c>
      <c r="BN236" s="1980">
        <v>0.88</v>
      </c>
      <c r="BO236" s="1980">
        <v>0.88</v>
      </c>
      <c r="BP236" s="1980">
        <v>0.88</v>
      </c>
      <c r="BQ236" s="678">
        <v>1</v>
      </c>
    </row>
    <row r="237" spans="1:114" ht="15" customHeight="1" outlineLevel="1">
      <c r="D237" s="679" t="str">
        <f>C221</f>
        <v>802400_2024_12_</v>
      </c>
      <c r="E237" s="679" t="str">
        <f>E221</f>
        <v>Heat Pump Water Heater replacing 98% Efficiency 88-146.5 kW (300 to 500 MBH)</v>
      </c>
      <c r="F237" s="495">
        <v>0.98</v>
      </c>
      <c r="G237" s="2025">
        <v>4.2699999999999996</v>
      </c>
      <c r="H237" s="2026">
        <f>558*I237</f>
        <v>2074992.5023024278</v>
      </c>
      <c r="I237" s="2027">
        <v>3718.6245560975408</v>
      </c>
      <c r="J237" s="490">
        <v>8.33</v>
      </c>
      <c r="K237" s="2030">
        <v>125</v>
      </c>
      <c r="L237" s="1967">
        <v>59.3</v>
      </c>
      <c r="M237" s="1926">
        <f>((((1-1/G237)*H237*J237*(K237-L237)*1)*1*0.53*3)/(O237*3412))*1</f>
        <v>103190.35495496581</v>
      </c>
      <c r="N237" s="1926">
        <f>((((1-1/G237)*H237*J237*(K237-L237)*1)*Q237*0.43)/(P237*3412))*S237</f>
        <v>109598.90457846022</v>
      </c>
      <c r="O237" s="2032">
        <f t="shared" si="74"/>
        <v>3.9273153575615476</v>
      </c>
      <c r="P237" s="2033">
        <v>1</v>
      </c>
      <c r="Q237" s="2018">
        <v>1</v>
      </c>
      <c r="R237" s="2024">
        <v>1</v>
      </c>
      <c r="S237" s="2024">
        <v>1</v>
      </c>
      <c r="V237" s="1414" t="s">
        <v>341</v>
      </c>
      <c r="W237" s="1979">
        <v>4</v>
      </c>
      <c r="X237" s="1979">
        <v>4</v>
      </c>
      <c r="Y237" s="1979">
        <v>4</v>
      </c>
      <c r="Z237" s="1979">
        <v>4</v>
      </c>
      <c r="AA237" s="1979">
        <v>4</v>
      </c>
      <c r="AB237" s="1979">
        <v>4</v>
      </c>
      <c r="AC237" s="1979">
        <v>4</v>
      </c>
      <c r="AD237" s="1979">
        <v>4</v>
      </c>
      <c r="AE237" s="1979">
        <v>4</v>
      </c>
      <c r="AF237" s="1460">
        <v>4.2699999999999996</v>
      </c>
      <c r="AG237" s="71"/>
      <c r="AH237"/>
      <c r="AI237" s="1445" t="s">
        <v>346</v>
      </c>
      <c r="AJ237" s="26">
        <v>57.898000000000003</v>
      </c>
      <c r="AK237" s="26">
        <v>57.898000000000003</v>
      </c>
      <c r="AL237" s="26">
        <v>57.898000000000003</v>
      </c>
      <c r="AM237" s="26">
        <v>57.898000000000003</v>
      </c>
      <c r="AN237" s="26">
        <v>57.898000000000003</v>
      </c>
      <c r="AO237" s="26">
        <v>57.898000000000003</v>
      </c>
      <c r="AP237" s="26">
        <v>57.898000000000003</v>
      </c>
      <c r="AQ237" s="26">
        <v>57.898000000000003</v>
      </c>
      <c r="AR237" s="26">
        <v>57.898000000000003</v>
      </c>
      <c r="AS237" s="117">
        <v>59.3</v>
      </c>
      <c r="AU237" s="1445" t="s">
        <v>349</v>
      </c>
      <c r="AV237" s="1980">
        <v>2.8</v>
      </c>
      <c r="AW237" s="1980">
        <v>2.8</v>
      </c>
      <c r="AX237" s="1980">
        <v>2.8</v>
      </c>
      <c r="AY237" s="1980">
        <v>2.8</v>
      </c>
      <c r="AZ237" s="1980">
        <v>2.8</v>
      </c>
      <c r="BA237" s="1980">
        <v>2.8</v>
      </c>
      <c r="BB237" s="1980">
        <v>2.8</v>
      </c>
      <c r="BC237" s="1980">
        <v>2.8</v>
      </c>
      <c r="BD237" s="1980">
        <v>2.8</v>
      </c>
      <c r="BE237" s="678">
        <v>3.9273153575615476</v>
      </c>
      <c r="BG237" s="1445" t="s">
        <v>350</v>
      </c>
      <c r="BH237" s="1980">
        <v>0.88</v>
      </c>
      <c r="BI237" s="1980">
        <v>0.88</v>
      </c>
      <c r="BJ237" s="1980">
        <v>0.88</v>
      </c>
      <c r="BK237" s="1980">
        <v>0.88</v>
      </c>
      <c r="BL237" s="1980">
        <v>0.88</v>
      </c>
      <c r="BM237" s="1980">
        <v>0.88</v>
      </c>
      <c r="BN237" s="1980">
        <v>0.88</v>
      </c>
      <c r="BO237" s="1980">
        <v>0.88</v>
      </c>
      <c r="BP237" s="1980">
        <v>0.88</v>
      </c>
      <c r="BQ237" s="678">
        <v>1</v>
      </c>
    </row>
    <row r="238" spans="1:114" ht="15" customHeight="1" outlineLevel="1">
      <c r="D238" s="679" t="str">
        <f>C222</f>
        <v>802450_2024_12_</v>
      </c>
      <c r="E238" s="679" t="str">
        <f>E222</f>
        <v>Heat Pump Water Heater replacing 98% Efficiency &gt;146.6 kW (above 500 MBH)</v>
      </c>
      <c r="F238" s="495">
        <v>0.98</v>
      </c>
      <c r="G238" s="2025">
        <v>4.2699999999999996</v>
      </c>
      <c r="H238" s="2026">
        <f>558*I238</f>
        <v>3112492.431461913</v>
      </c>
      <c r="I238" s="2027">
        <v>5577.943425558984</v>
      </c>
      <c r="J238" s="490">
        <v>8.33</v>
      </c>
      <c r="K238" s="2030">
        <v>125</v>
      </c>
      <c r="L238" s="1967">
        <v>59.3</v>
      </c>
      <c r="M238" s="1926">
        <f>((((1-1/G238)*H238*J238*(K238-L238)*1)*1*0.53*3)/(O238*3412))*1</f>
        <v>154785.71534153324</v>
      </c>
      <c r="N238" s="1926">
        <f>((((1-1/G238)*H238*J238*(K238-L238)*1)*Q238*0.43)/(P238*3412))*S238</f>
        <v>164398.5511361887</v>
      </c>
      <c r="O238" s="2032">
        <f t="shared" si="74"/>
        <v>3.9273153575615476</v>
      </c>
      <c r="P238" s="2033">
        <v>1</v>
      </c>
      <c r="Q238" s="2018">
        <v>1</v>
      </c>
      <c r="R238" s="2024">
        <v>1</v>
      </c>
      <c r="S238" s="2024">
        <v>1</v>
      </c>
      <c r="V238" s="1414" t="s">
        <v>341</v>
      </c>
      <c r="W238" s="1979">
        <v>4</v>
      </c>
      <c r="X238" s="1979">
        <v>4</v>
      </c>
      <c r="Y238" s="1979">
        <v>4</v>
      </c>
      <c r="Z238" s="1979">
        <v>4</v>
      </c>
      <c r="AA238" s="1979">
        <v>4</v>
      </c>
      <c r="AB238" s="1979">
        <v>4</v>
      </c>
      <c r="AC238" s="1979">
        <v>4</v>
      </c>
      <c r="AD238" s="1979">
        <v>4</v>
      </c>
      <c r="AE238" s="1979">
        <v>4</v>
      </c>
      <c r="AF238" s="1460">
        <v>4.2699999999999996</v>
      </c>
      <c r="AG238" s="71"/>
      <c r="AH238"/>
      <c r="AI238" s="1445" t="s">
        <v>346</v>
      </c>
      <c r="AJ238" s="26">
        <v>57.898000000000003</v>
      </c>
      <c r="AK238" s="26">
        <v>57.898000000000003</v>
      </c>
      <c r="AL238" s="26">
        <v>57.898000000000003</v>
      </c>
      <c r="AM238" s="26">
        <v>57.898000000000003</v>
      </c>
      <c r="AN238" s="26">
        <v>57.898000000000003</v>
      </c>
      <c r="AO238" s="26">
        <v>57.898000000000003</v>
      </c>
      <c r="AP238" s="26">
        <v>57.898000000000003</v>
      </c>
      <c r="AQ238" s="26">
        <v>57.898000000000003</v>
      </c>
      <c r="AR238" s="26">
        <v>57.898000000000003</v>
      </c>
      <c r="AS238" s="117">
        <v>59.3</v>
      </c>
      <c r="AU238" s="1445" t="s">
        <v>349</v>
      </c>
      <c r="AV238" s="1980">
        <v>2.8</v>
      </c>
      <c r="AW238" s="1980">
        <v>2.8</v>
      </c>
      <c r="AX238" s="1980">
        <v>2.8</v>
      </c>
      <c r="AY238" s="1980">
        <v>2.8</v>
      </c>
      <c r="AZ238" s="1980">
        <v>2.8</v>
      </c>
      <c r="BA238" s="1980">
        <v>2.8</v>
      </c>
      <c r="BB238" s="1980">
        <v>2.8</v>
      </c>
      <c r="BC238" s="1980">
        <v>2.8</v>
      </c>
      <c r="BD238" s="1980">
        <v>2.8</v>
      </c>
      <c r="BE238" s="678">
        <v>3.9273153575615476</v>
      </c>
      <c r="BG238" s="1445" t="s">
        <v>350</v>
      </c>
      <c r="BH238" s="1980">
        <v>0.88</v>
      </c>
      <c r="BI238" s="1980">
        <v>0.88</v>
      </c>
      <c r="BJ238" s="1980">
        <v>0.88</v>
      </c>
      <c r="BK238" s="1980">
        <v>0.88</v>
      </c>
      <c r="BL238" s="1980">
        <v>0.88</v>
      </c>
      <c r="BM238" s="1980">
        <v>0.88</v>
      </c>
      <c r="BN238" s="1980">
        <v>0.88</v>
      </c>
      <c r="BO238" s="1980">
        <v>0.88</v>
      </c>
      <c r="BP238" s="1980">
        <v>0.88</v>
      </c>
      <c r="BQ238" s="678">
        <v>1</v>
      </c>
    </row>
    <row r="239" spans="1:114" ht="15" customHeight="1" outlineLevel="1">
      <c r="D239" s="1041" t="str">
        <f t="shared" ref="D239:D240" si="75">C223</f>
        <v>802455_2024_12_</v>
      </c>
      <c r="E239" s="1041" t="str">
        <f t="shared" ref="E239:E240" si="76">E223</f>
        <v>Heat Pump Water Heater replacing 98% Efficiency, ≤55 gal, medium draw</v>
      </c>
      <c r="F239" s="1951">
        <v>0.98</v>
      </c>
      <c r="G239" s="2025">
        <v>4</v>
      </c>
      <c r="H239" s="2028">
        <f t="shared" ref="H239:H240" si="77">558*I239</f>
        <v>27900</v>
      </c>
      <c r="I239" s="2029">
        <v>50</v>
      </c>
      <c r="J239" s="1966">
        <v>8.33</v>
      </c>
      <c r="K239" s="2031">
        <v>125</v>
      </c>
      <c r="L239" s="1967">
        <v>59.3</v>
      </c>
      <c r="M239" s="1976">
        <f t="shared" ref="M239:M240" si="78">((((1-1/G239)*H239*J239*(K239-L239)*1)*1*0.53*3)/(O239*3412))*1</f>
        <v>1358.8395022947764</v>
      </c>
      <c r="N239" s="1976">
        <f t="shared" ref="N239:N240" si="79">((((1-1/G239)*H239*J239*(K239-L239)*1)*Q239*0.43)/(P239*3412))*S239</f>
        <v>1443.2290790592028</v>
      </c>
      <c r="O239" s="2032">
        <f t="shared" si="74"/>
        <v>3.9273153575615476</v>
      </c>
      <c r="P239" s="2033">
        <v>1</v>
      </c>
      <c r="Q239" s="2034">
        <v>1</v>
      </c>
      <c r="R239" s="2025">
        <v>1</v>
      </c>
      <c r="S239" s="2025">
        <v>1</v>
      </c>
      <c r="V239" s="1414" t="s">
        <v>341</v>
      </c>
      <c r="W239" s="55"/>
      <c r="X239" s="55"/>
      <c r="Y239" s="55"/>
      <c r="Z239" s="55"/>
      <c r="AA239" s="55"/>
      <c r="AB239" s="54"/>
      <c r="AC239" s="737"/>
      <c r="AD239" s="737"/>
      <c r="AE239" s="737"/>
      <c r="AF239" s="1460">
        <v>4</v>
      </c>
      <c r="AG239" s="71"/>
      <c r="AH239"/>
      <c r="AI239" s="1445" t="s">
        <v>346</v>
      </c>
      <c r="AJ239" s="26"/>
      <c r="AK239" s="26"/>
      <c r="AL239" s="26"/>
      <c r="AM239" s="650"/>
      <c r="AN239" s="650"/>
      <c r="AO239" s="17"/>
      <c r="AP239" s="17"/>
      <c r="AQ239" s="17"/>
      <c r="AR239" s="17"/>
      <c r="AS239" s="117">
        <v>59.3</v>
      </c>
      <c r="AU239" s="1445" t="s">
        <v>349</v>
      </c>
      <c r="AV239" s="711"/>
      <c r="AW239" s="711"/>
      <c r="AX239" s="711"/>
      <c r="AY239" s="711"/>
      <c r="AZ239" s="711"/>
      <c r="BA239" s="772"/>
      <c r="BB239" s="772"/>
      <c r="BC239" s="772"/>
      <c r="BD239" s="772"/>
      <c r="BE239" s="678">
        <v>3.9273153575615476</v>
      </c>
      <c r="BG239" s="1445" t="s">
        <v>350</v>
      </c>
      <c r="BH239" s="711"/>
      <c r="BI239" s="711"/>
      <c r="BJ239" s="711"/>
      <c r="BK239" s="711"/>
      <c r="BL239" s="711"/>
      <c r="BM239" s="772"/>
      <c r="BN239" s="772"/>
      <c r="BO239" s="772"/>
      <c r="BP239" s="772"/>
      <c r="BQ239" s="678">
        <v>1</v>
      </c>
    </row>
    <row r="240" spans="1:114" ht="15" customHeight="1" outlineLevel="1">
      <c r="D240" s="1041" t="str">
        <f t="shared" si="75"/>
        <v>802460_2024_12_</v>
      </c>
      <c r="E240" s="1041" t="str">
        <f t="shared" si="76"/>
        <v>Heat Pump Water Heater replacing 98% Efficiency, &gt;55 gal and ≤ 120 gal, medium draw</v>
      </c>
      <c r="F240" s="1951">
        <v>0.98</v>
      </c>
      <c r="G240" s="2025">
        <v>4</v>
      </c>
      <c r="H240" s="2028">
        <f t="shared" si="77"/>
        <v>41850</v>
      </c>
      <c r="I240" s="2029">
        <v>75</v>
      </c>
      <c r="J240" s="1966">
        <v>8.33</v>
      </c>
      <c r="K240" s="2031">
        <v>125</v>
      </c>
      <c r="L240" s="1967">
        <v>59.3</v>
      </c>
      <c r="M240" s="1976">
        <f t="shared" si="78"/>
        <v>2038.259253442164</v>
      </c>
      <c r="N240" s="1976">
        <f t="shared" si="79"/>
        <v>2164.843618588804</v>
      </c>
      <c r="O240" s="2032">
        <f t="shared" si="74"/>
        <v>3.9273153575615476</v>
      </c>
      <c r="P240" s="2033">
        <v>1</v>
      </c>
      <c r="Q240" s="2034">
        <v>1</v>
      </c>
      <c r="R240" s="2025">
        <v>1</v>
      </c>
      <c r="S240" s="2025">
        <v>1</v>
      </c>
      <c r="V240" s="1414" t="s">
        <v>341</v>
      </c>
      <c r="W240" s="55"/>
      <c r="X240" s="55"/>
      <c r="Y240" s="55"/>
      <c r="Z240" s="55"/>
      <c r="AA240" s="55"/>
      <c r="AB240" s="54"/>
      <c r="AC240" s="737"/>
      <c r="AD240" s="737"/>
      <c r="AE240" s="737"/>
      <c r="AF240" s="1460">
        <v>4</v>
      </c>
      <c r="AG240" s="71"/>
      <c r="AH240"/>
      <c r="AI240" s="1445" t="s">
        <v>346</v>
      </c>
      <c r="AJ240" s="26"/>
      <c r="AK240" s="26"/>
      <c r="AL240" s="26"/>
      <c r="AM240" s="650"/>
      <c r="AN240" s="650"/>
      <c r="AO240" s="17"/>
      <c r="AP240" s="17"/>
      <c r="AQ240" s="17"/>
      <c r="AR240" s="17"/>
      <c r="AS240" s="117">
        <v>59.3</v>
      </c>
      <c r="AU240" s="1445" t="s">
        <v>349</v>
      </c>
      <c r="AV240" s="711"/>
      <c r="AW240" s="711"/>
      <c r="AX240" s="711"/>
      <c r="AY240" s="711"/>
      <c r="AZ240" s="711"/>
      <c r="BA240" s="772"/>
      <c r="BB240" s="772"/>
      <c r="BC240" s="772"/>
      <c r="BD240" s="772"/>
      <c r="BE240" s="678">
        <v>3.9273153575615476</v>
      </c>
      <c r="BG240" s="1445" t="s">
        <v>350</v>
      </c>
      <c r="BH240" s="711"/>
      <c r="BI240" s="711"/>
      <c r="BJ240" s="711"/>
      <c r="BK240" s="711"/>
      <c r="BL240" s="711"/>
      <c r="BM240" s="772"/>
      <c r="BN240" s="772"/>
      <c r="BO240" s="772"/>
      <c r="BP240" s="772"/>
      <c r="BQ240" s="678">
        <v>1</v>
      </c>
    </row>
    <row r="241" spans="1:114">
      <c r="F241" s="1914" t="s">
        <v>354</v>
      </c>
      <c r="G241" s="1927" t="s">
        <v>355</v>
      </c>
      <c r="H241" s="1928" t="s">
        <v>356</v>
      </c>
      <c r="I241" s="1914"/>
      <c r="J241" s="1914"/>
      <c r="K241" s="1914"/>
      <c r="L241" s="1914" t="s">
        <v>357</v>
      </c>
      <c r="M241" s="1914"/>
      <c r="N241" s="1914"/>
      <c r="O241" s="1914" t="s">
        <v>358</v>
      </c>
      <c r="P241" s="1914" t="s">
        <v>359</v>
      </c>
      <c r="Q241" s="1914" t="s">
        <v>360</v>
      </c>
      <c r="R241" s="1914"/>
      <c r="S241" s="1914"/>
    </row>
    <row r="243" spans="1:114" s="3564" customFormat="1">
      <c r="A243" s="3517"/>
      <c r="B243" s="3998" t="s">
        <v>361</v>
      </c>
      <c r="C243" s="3999"/>
      <c r="D243" s="3999"/>
      <c r="E243" s="3999"/>
      <c r="F243" s="3999"/>
      <c r="G243" s="3999"/>
      <c r="H243" s="3999"/>
      <c r="I243" s="4831"/>
      <c r="J243" s="4831"/>
      <c r="K243" s="4831"/>
      <c r="L243" s="4831"/>
      <c r="M243" s="4832"/>
      <c r="N243" s="4832"/>
      <c r="O243" s="4833"/>
      <c r="V243" s="2203" t="str">
        <f>B243</f>
        <v>Heat Pump Pool Heater</v>
      </c>
      <c r="W243" s="2204"/>
      <c r="X243" s="2204"/>
      <c r="Y243" s="2204"/>
      <c r="Z243" s="2204"/>
      <c r="AA243" s="2204"/>
      <c r="AB243" s="2204"/>
      <c r="AC243" s="2204"/>
      <c r="AD243" s="2204"/>
      <c r="AE243" s="2204"/>
      <c r="AF243" s="2204"/>
      <c r="AG243" s="2204"/>
      <c r="AH243" s="2204"/>
      <c r="AI243" s="3474"/>
      <c r="AJ243" s="3517"/>
      <c r="AK243" s="3517"/>
      <c r="AL243" s="3517"/>
      <c r="AM243" s="3517"/>
      <c r="AN243" s="3517"/>
      <c r="AO243" s="3517"/>
      <c r="AP243" s="3517"/>
      <c r="AQ243" s="3517"/>
      <c r="AR243" s="3517"/>
      <c r="AS243" s="3517"/>
      <c r="AT243" s="3517"/>
      <c r="AU243" s="3517"/>
      <c r="DE243" s="3517"/>
      <c r="DF243" s="3517"/>
      <c r="DG243" s="3669"/>
      <c r="DJ243" s="3567"/>
    </row>
    <row r="244" spans="1:114" s="3517" customFormat="1">
      <c r="C244" s="3564"/>
      <c r="D244" s="3670"/>
      <c r="E244" s="3564"/>
      <c r="F244" s="3564"/>
      <c r="G244" s="3564"/>
      <c r="H244" s="3671"/>
      <c r="I244" s="3564"/>
      <c r="J244" s="3564"/>
      <c r="K244" s="3564"/>
      <c r="L244" s="3564"/>
      <c r="M244" s="3528"/>
      <c r="N244" s="3528"/>
      <c r="O244" s="3528"/>
      <c r="P244" s="3564"/>
      <c r="Q244" s="3564"/>
      <c r="R244" s="3564"/>
      <c r="S244" s="3564"/>
      <c r="T244" s="3564"/>
      <c r="U244" s="3564"/>
      <c r="V244" s="2237"/>
      <c r="W244" s="2237"/>
      <c r="X244" s="2237"/>
      <c r="Y244" s="2237"/>
      <c r="Z244" s="2237"/>
      <c r="AA244" s="2237"/>
      <c r="AB244" s="2237"/>
      <c r="AC244" s="2237"/>
      <c r="AD244" s="2237"/>
      <c r="AE244" s="2237"/>
      <c r="AF244" s="2237"/>
      <c r="AG244" s="2237"/>
      <c r="AH244" s="2237"/>
      <c r="AI244" s="2237"/>
      <c r="AJ244" s="2723"/>
      <c r="AK244" s="2723"/>
      <c r="AL244" s="2723"/>
      <c r="AM244" s="2723"/>
      <c r="AN244" s="2723"/>
      <c r="AO244" s="2723"/>
      <c r="AP244" s="2723"/>
      <c r="AQ244" s="2723"/>
      <c r="AR244" s="2723"/>
      <c r="AS244" s="2723"/>
      <c r="AT244" s="2723"/>
      <c r="AU244" s="2723"/>
      <c r="CG244" s="2237"/>
      <c r="CH244" s="2237"/>
      <c r="CI244" s="2237"/>
      <c r="CJ244" s="2237"/>
      <c r="CW244" s="2237"/>
      <c r="CX244" s="2237"/>
      <c r="CY244" s="2237"/>
      <c r="CZ244" s="2237"/>
      <c r="DG244" s="3551"/>
      <c r="DH244" s="3528"/>
      <c r="DI244" s="3528"/>
      <c r="DJ244" s="3552"/>
    </row>
    <row r="245" spans="1:114" s="3044" customFormat="1" ht="30">
      <c r="A245" s="3517"/>
      <c r="B245" s="2723"/>
      <c r="C245" s="3570" t="s">
        <v>42</v>
      </c>
      <c r="D245" s="2280" t="s">
        <v>43</v>
      </c>
      <c r="E245" s="2280" t="s">
        <v>44</v>
      </c>
      <c r="F245" s="2280" t="s">
        <v>45</v>
      </c>
      <c r="G245" s="2280" t="s">
        <v>46</v>
      </c>
      <c r="H245" s="2280" t="s">
        <v>47</v>
      </c>
      <c r="I245" s="2280" t="s">
        <v>48</v>
      </c>
      <c r="J245" s="2280" t="s">
        <v>49</v>
      </c>
      <c r="K245" s="2280" t="s">
        <v>362</v>
      </c>
      <c r="L245" s="3570" t="s">
        <v>51</v>
      </c>
      <c r="M245" s="3528"/>
      <c r="N245" s="3528"/>
      <c r="O245" s="3528"/>
      <c r="P245" s="2697"/>
      <c r="Q245" s="2697"/>
      <c r="R245" s="2697"/>
      <c r="S245" s="2697"/>
      <c r="T245" s="2697"/>
      <c r="U245" s="2697"/>
      <c r="V245" s="2640" t="s">
        <v>52</v>
      </c>
      <c r="W245" s="2641">
        <f>$W$8</f>
        <v>43252</v>
      </c>
      <c r="X245" s="2641">
        <f>$X$8</f>
        <v>43465</v>
      </c>
      <c r="Y245" s="2641">
        <f>$Y$8</f>
        <v>43800</v>
      </c>
      <c r="Z245" s="2641">
        <f>$Z$8</f>
        <v>43862</v>
      </c>
      <c r="AA245" s="2641">
        <f>$AA$8</f>
        <v>44013</v>
      </c>
      <c r="AB245" s="2641">
        <v>44166</v>
      </c>
      <c r="AC245" s="2641">
        <f>$AC$8</f>
        <v>44531</v>
      </c>
      <c r="AD245" s="2641">
        <f>$AD$8</f>
        <v>44774</v>
      </c>
      <c r="AE245" s="2641">
        <f>$AE$8</f>
        <v>45142</v>
      </c>
      <c r="AF245" s="2641">
        <f>$AF$8</f>
        <v>45672</v>
      </c>
      <c r="AG245" s="2641" t="str">
        <f>$AG$8</f>
        <v>-</v>
      </c>
      <c r="AH245" s="2237"/>
      <c r="AI245" s="2640" t="s">
        <v>52</v>
      </c>
      <c r="AJ245" s="2641">
        <v>43252</v>
      </c>
      <c r="AK245" s="2641">
        <f>$X$8</f>
        <v>43465</v>
      </c>
      <c r="AL245" s="2641">
        <f>$Y$8</f>
        <v>43800</v>
      </c>
      <c r="AM245" s="2641">
        <f>$Z$8</f>
        <v>43862</v>
      </c>
      <c r="AN245" s="2641">
        <f>$AA$8</f>
        <v>44013</v>
      </c>
      <c r="AO245" s="2641">
        <f>$AB$8</f>
        <v>44166</v>
      </c>
      <c r="AP245" s="2641">
        <f>$AC$8</f>
        <v>44531</v>
      </c>
      <c r="AQ245" s="2641">
        <f>$AD$8</f>
        <v>44774</v>
      </c>
      <c r="AR245" s="2641">
        <f>$AE$8</f>
        <v>45142</v>
      </c>
      <c r="AS245" s="2641">
        <f>$AF$8</f>
        <v>45672</v>
      </c>
      <c r="AT245" s="3517"/>
      <c r="AU245" s="2640" t="s">
        <v>52</v>
      </c>
      <c r="AV245" s="2641">
        <v>43252</v>
      </c>
      <c r="AW245" s="2641">
        <f>$X$8</f>
        <v>43465</v>
      </c>
      <c r="AX245" s="2641">
        <f>$Y$8</f>
        <v>43800</v>
      </c>
      <c r="AY245" s="2641">
        <f>$Z$8</f>
        <v>43862</v>
      </c>
      <c r="AZ245" s="2641">
        <f>$AA$8</f>
        <v>44013</v>
      </c>
      <c r="BA245" s="2641">
        <v>44166</v>
      </c>
      <c r="BB245" s="2641">
        <f>$AC$8</f>
        <v>44531</v>
      </c>
      <c r="BC245" s="2641">
        <f>$AD$8</f>
        <v>44774</v>
      </c>
      <c r="BD245" s="2641">
        <f>$AE$8</f>
        <v>45142</v>
      </c>
      <c r="BE245" s="2641">
        <f>$AF$8</f>
        <v>45672</v>
      </c>
      <c r="DE245" s="3517"/>
      <c r="DF245" s="3517"/>
      <c r="DG245" s="2749" t="str">
        <f>$DG$8</f>
        <v>TRC (2025)</v>
      </c>
      <c r="DH245" s="2750" t="str">
        <f>$DH$8</f>
        <v>Benefit Lookup</v>
      </c>
      <c r="DI245" s="2750" t="str">
        <f>$DI$8</f>
        <v>Benefits (2025 $)</v>
      </c>
      <c r="DJ245" s="3572" t="str">
        <f>$DJ$8</f>
        <v>Incremental Cost (2025 $)</v>
      </c>
    </row>
    <row r="246" spans="1:114" s="3517" customFormat="1">
      <c r="B246" s="2208">
        <f t="shared" ref="B246:B247" si="80">VALUE(LEFT(C246,6))</f>
        <v>802500</v>
      </c>
      <c r="C246" s="3499" t="s">
        <v>363</v>
      </c>
      <c r="D246" s="3509" t="str">
        <f t="shared" ref="D246:D247" si="81">$D$98</f>
        <v>BSS</v>
      </c>
      <c r="E246" s="3574" t="s">
        <v>364</v>
      </c>
      <c r="F246" s="3617">
        <f>ROUND(F257*(1/H257-1/I257),2)</f>
        <v>33284.46</v>
      </c>
      <c r="G246" s="3503" t="s">
        <v>326</v>
      </c>
      <c r="H246" s="3504">
        <f>VLOOKUP(G246,'CP FACTORS'!$A$26:$B$38,2,FALSE)</f>
        <v>1.811545E-4</v>
      </c>
      <c r="I246" s="3672">
        <f>ROUND(H246*F246,6)</f>
        <v>6.02963</v>
      </c>
      <c r="J246" s="3673">
        <v>15</v>
      </c>
      <c r="K246" s="3674">
        <v>1000</v>
      </c>
      <c r="L246" s="3577" t="s">
        <v>62</v>
      </c>
      <c r="M246" s="3675"/>
      <c r="N246" s="3675"/>
      <c r="O246" s="3675"/>
      <c r="P246" s="3528"/>
      <c r="Q246" s="3528"/>
      <c r="R246" s="3528"/>
      <c r="S246" s="3528"/>
      <c r="T246" s="3528"/>
      <c r="U246" s="3528"/>
      <c r="V246" s="2244" t="s">
        <v>45</v>
      </c>
      <c r="W246" s="3676">
        <v>35272.879999999997</v>
      </c>
      <c r="X246" s="3224">
        <v>35272.879999999997</v>
      </c>
      <c r="Y246" s="3224">
        <v>35272.879999999997</v>
      </c>
      <c r="Z246" s="3224">
        <v>35272.879999999997</v>
      </c>
      <c r="AA246" s="3224">
        <v>35272.879999999997</v>
      </c>
      <c r="AB246" s="3223">
        <v>35272.879999999997</v>
      </c>
      <c r="AC246" s="3374">
        <v>35272.879999999997</v>
      </c>
      <c r="AD246" s="3374">
        <v>35272.879999999997</v>
      </c>
      <c r="AE246" s="3374">
        <v>35272.879999999997</v>
      </c>
      <c r="AF246" s="2236">
        <f>IF(F246&lt;&gt;"",F246,"")</f>
        <v>33284.46</v>
      </c>
      <c r="AG246" s="2413"/>
      <c r="AH246" s="2237"/>
      <c r="AI246" s="2244" t="s">
        <v>49</v>
      </c>
      <c r="AJ246" s="3506">
        <v>15</v>
      </c>
      <c r="AK246" s="3506">
        <v>15</v>
      </c>
      <c r="AL246" s="3506">
        <v>15</v>
      </c>
      <c r="AM246" s="3506">
        <v>15</v>
      </c>
      <c r="AN246" s="3506">
        <v>15</v>
      </c>
      <c r="AO246" s="2847">
        <v>15</v>
      </c>
      <c r="AP246" s="2847">
        <v>15</v>
      </c>
      <c r="AQ246" s="2847">
        <v>15</v>
      </c>
      <c r="AR246" s="2847">
        <v>15</v>
      </c>
      <c r="AS246" s="2847">
        <v>15</v>
      </c>
      <c r="AU246" s="2244" t="str">
        <f>K245</f>
        <v>Inc. Cost (per unit)</v>
      </c>
      <c r="AV246" s="3521">
        <v>1000</v>
      </c>
      <c r="AW246" s="3521">
        <v>1000</v>
      </c>
      <c r="AX246" s="3521">
        <v>1000</v>
      </c>
      <c r="AY246" s="3521">
        <v>1000</v>
      </c>
      <c r="AZ246" s="3521">
        <v>1000</v>
      </c>
      <c r="BA246" s="3522">
        <v>1000</v>
      </c>
      <c r="BB246" s="3522">
        <v>1000</v>
      </c>
      <c r="BC246" s="3522">
        <v>1000</v>
      </c>
      <c r="BD246" s="3522">
        <v>1000</v>
      </c>
      <c r="BE246" s="3522">
        <v>1000</v>
      </c>
      <c r="CG246" s="2237"/>
      <c r="CH246" s="2237"/>
      <c r="CI246" s="2237"/>
      <c r="CJ246" s="2237"/>
      <c r="CW246" s="2237"/>
      <c r="CX246" s="2237"/>
      <c r="CY246" s="2237"/>
      <c r="CZ246" s="2237"/>
      <c r="DG246" s="2418">
        <f>(DI246)/(DJ246)</f>
        <v>27.789776650454307</v>
      </c>
      <c r="DH246" s="2419" t="str">
        <f>CONCATENATE(G246," ",J246," Year EUL")</f>
        <v>Water Heating BUS 15 Year EUL</v>
      </c>
      <c r="DI246" s="3677">
        <f>(INDEX('Avoided Cost Benefits'!$B$4:$B$865,MATCH(DH246,'Avoided Cost Benefits'!$A$4:$A$865,0)))*F246</f>
        <v>27789.776650454307</v>
      </c>
      <c r="DJ246" s="2421">
        <f>K246/(1.0686^(2025-2025))</f>
        <v>1000</v>
      </c>
    </row>
    <row r="247" spans="1:114" s="3517" customFormat="1">
      <c r="B247" s="2208">
        <f t="shared" si="80"/>
        <v>802550</v>
      </c>
      <c r="C247" s="3499" t="s">
        <v>365</v>
      </c>
      <c r="D247" s="3509" t="str">
        <f t="shared" si="81"/>
        <v>BSS</v>
      </c>
      <c r="E247" s="3574" t="s">
        <v>366</v>
      </c>
      <c r="F247" s="3617">
        <f>ROUND(F258*(1/H258-1/I258),2)</f>
        <v>5856.98</v>
      </c>
      <c r="G247" s="3503" t="s">
        <v>326</v>
      </c>
      <c r="H247" s="3504">
        <f>VLOOKUP(G247,'CP FACTORS'!$A$26:$B$38,2,FALSE)</f>
        <v>1.811545E-4</v>
      </c>
      <c r="I247" s="3672">
        <f>ROUND(H247*F247,6)</f>
        <v>1.061018</v>
      </c>
      <c r="J247" s="3673">
        <v>15</v>
      </c>
      <c r="K247" s="3674">
        <v>1000</v>
      </c>
      <c r="L247" s="3577" t="s">
        <v>62</v>
      </c>
      <c r="M247" s="3675"/>
      <c r="N247" s="3675"/>
      <c r="O247" s="3675"/>
      <c r="P247" s="3528"/>
      <c r="Q247" s="3528"/>
      <c r="R247" s="3528"/>
      <c r="S247" s="3528"/>
      <c r="T247" s="3528"/>
      <c r="U247" s="3528"/>
      <c r="V247" s="2244" t="s">
        <v>45</v>
      </c>
      <c r="W247" s="3676">
        <v>6206.880000000001</v>
      </c>
      <c r="X247" s="3224">
        <v>6206.880000000001</v>
      </c>
      <c r="Y247" s="3224">
        <v>6206.880000000001</v>
      </c>
      <c r="Z247" s="3224">
        <v>6206.880000000001</v>
      </c>
      <c r="AA247" s="3224">
        <v>6206.880000000001</v>
      </c>
      <c r="AB247" s="3223">
        <v>6206.88</v>
      </c>
      <c r="AC247" s="3374">
        <v>6206.88</v>
      </c>
      <c r="AD247" s="3374">
        <v>6206.88</v>
      </c>
      <c r="AE247" s="3374">
        <v>6206.88</v>
      </c>
      <c r="AF247" s="2236">
        <f>IF(F247&lt;&gt;"",F247,"")</f>
        <v>5856.98</v>
      </c>
      <c r="AG247" s="2413"/>
      <c r="AH247" s="2237"/>
      <c r="AI247" s="2244" t="s">
        <v>49</v>
      </c>
      <c r="AJ247" s="3506">
        <v>15</v>
      </c>
      <c r="AK247" s="3506">
        <v>15</v>
      </c>
      <c r="AL247" s="3506">
        <v>15</v>
      </c>
      <c r="AM247" s="3506">
        <v>15</v>
      </c>
      <c r="AN247" s="3506">
        <v>15</v>
      </c>
      <c r="AO247" s="2847">
        <v>15</v>
      </c>
      <c r="AP247" s="2847">
        <v>15</v>
      </c>
      <c r="AQ247" s="2847">
        <v>15</v>
      </c>
      <c r="AR247" s="2847">
        <v>15</v>
      </c>
      <c r="AS247" s="2847">
        <v>15</v>
      </c>
      <c r="AU247" s="2244" t="str">
        <f>AU246</f>
        <v>Inc. Cost (per unit)</v>
      </c>
      <c r="AV247" s="3521">
        <v>1000</v>
      </c>
      <c r="AW247" s="3521">
        <v>1000</v>
      </c>
      <c r="AX247" s="3521">
        <v>1000</v>
      </c>
      <c r="AY247" s="3521">
        <v>1000</v>
      </c>
      <c r="AZ247" s="3521">
        <v>1000</v>
      </c>
      <c r="BA247" s="3522">
        <v>1000</v>
      </c>
      <c r="BB247" s="3522">
        <v>1000</v>
      </c>
      <c r="BC247" s="3522">
        <v>1000</v>
      </c>
      <c r="BD247" s="3522">
        <v>1000</v>
      </c>
      <c r="BE247" s="3522">
        <v>1000</v>
      </c>
      <c r="CG247" s="2237"/>
      <c r="CH247" s="2237"/>
      <c r="CI247" s="2237"/>
      <c r="CJ247" s="2237"/>
      <c r="CW247" s="2237"/>
      <c r="CX247" s="2237"/>
      <c r="CY247" s="2237"/>
      <c r="CZ247" s="2237"/>
      <c r="DG247" s="2429">
        <f>(DI247)/(DJ247)</f>
        <v>4.8900948384374523</v>
      </c>
      <c r="DH247" s="2423" t="str">
        <f>CONCATENATE(G247," ",J247," Year EUL")</f>
        <v>Water Heating BUS 15 Year EUL</v>
      </c>
      <c r="DI247" s="3678">
        <f>(INDEX('Avoided Cost Benefits'!$B$4:$B$865,MATCH(DH247,'Avoided Cost Benefits'!$A$4:$A$865,0)))*F247</f>
        <v>4890.0948384374524</v>
      </c>
      <c r="DJ247" s="2431">
        <f>K247/(1.0686^(2025-2025))</f>
        <v>1000</v>
      </c>
    </row>
    <row r="248" spans="1:114" s="3517" customFormat="1" ht="15" customHeight="1" outlineLevel="1">
      <c r="C248" s="3564"/>
      <c r="D248" s="2624" t="s">
        <v>118</v>
      </c>
      <c r="E248" s="2360" t="s">
        <v>367</v>
      </c>
      <c r="F248" s="3564"/>
      <c r="G248" s="3564"/>
      <c r="H248" s="3679"/>
      <c r="I248" s="3564"/>
      <c r="J248" s="3564"/>
      <c r="K248" s="3564"/>
      <c r="L248" s="3528"/>
      <c r="M248" s="3675"/>
      <c r="N248" s="3675"/>
      <c r="O248" s="3675"/>
      <c r="P248" s="3528"/>
      <c r="Q248" s="3528"/>
      <c r="R248" s="3528"/>
      <c r="S248" s="3528"/>
      <c r="T248" s="3528"/>
      <c r="U248" s="3528"/>
      <c r="CG248" s="2237"/>
      <c r="CH248" s="2237"/>
      <c r="CI248" s="2237"/>
      <c r="CJ248" s="2237"/>
      <c r="CW248" s="2237"/>
      <c r="CX248" s="2237"/>
      <c r="CY248" s="2237"/>
      <c r="CZ248" s="2237"/>
      <c r="DG248" s="3551"/>
      <c r="DH248" s="3528"/>
      <c r="DI248" s="3528"/>
      <c r="DJ248" s="3552"/>
    </row>
    <row r="249" spans="1:114" s="3517" customFormat="1" ht="15" customHeight="1" outlineLevel="1">
      <c r="C249" s="3564"/>
      <c r="D249" s="3564" t="s">
        <v>120</v>
      </c>
      <c r="E249" s="3564"/>
      <c r="F249" s="3564"/>
      <c r="G249" s="3564"/>
      <c r="H249" s="3679"/>
      <c r="I249" s="3564"/>
      <c r="J249" s="3564"/>
      <c r="K249" s="3564"/>
      <c r="L249" s="3528"/>
      <c r="M249" s="3675"/>
      <c r="N249" s="3675"/>
      <c r="O249" s="3675"/>
      <c r="P249" s="3528"/>
      <c r="Q249" s="3528"/>
      <c r="R249" s="3528"/>
      <c r="S249" s="3528"/>
      <c r="T249" s="3528"/>
      <c r="U249" s="3528"/>
      <c r="CG249" s="2237"/>
      <c r="CH249" s="2237"/>
      <c r="CI249" s="2237"/>
      <c r="CJ249" s="2237"/>
      <c r="CW249" s="2237"/>
      <c r="CX249" s="2237"/>
      <c r="CY249" s="2237"/>
      <c r="CZ249" s="2237"/>
      <c r="DG249" s="3551"/>
      <c r="DH249" s="3528"/>
      <c r="DI249" s="3528"/>
      <c r="DJ249" s="3552"/>
    </row>
    <row r="250" spans="1:114" s="3517" customFormat="1" ht="15" customHeight="1" outlineLevel="1">
      <c r="C250" s="3564"/>
      <c r="D250" s="3680"/>
      <c r="E250" s="3528"/>
      <c r="F250" s="3681" t="s">
        <v>368</v>
      </c>
      <c r="G250" s="3528"/>
      <c r="H250" s="3681" t="s">
        <v>369</v>
      </c>
      <c r="I250" s="3528"/>
      <c r="J250" s="3528"/>
      <c r="K250" s="3528"/>
      <c r="L250" s="3528"/>
      <c r="M250" s="3675"/>
      <c r="N250" s="3675"/>
      <c r="O250" s="3675"/>
      <c r="P250" s="3528"/>
      <c r="Q250" s="3528"/>
      <c r="R250" s="3528"/>
      <c r="S250" s="3528"/>
      <c r="T250" s="3528"/>
      <c r="U250" s="3528"/>
      <c r="CG250" s="2237"/>
      <c r="CH250" s="2237"/>
      <c r="CI250" s="2237"/>
      <c r="CJ250" s="2237"/>
      <c r="CW250" s="2237"/>
      <c r="CX250" s="2237"/>
      <c r="CY250" s="2237"/>
      <c r="CZ250" s="2237"/>
      <c r="DG250" s="3551"/>
      <c r="DH250" s="3528"/>
      <c r="DI250" s="3528"/>
      <c r="DJ250" s="3552"/>
    </row>
    <row r="251" spans="1:114" s="3517" customFormat="1" ht="15" customHeight="1" outlineLevel="1">
      <c r="C251" s="3564"/>
      <c r="D251" s="3680"/>
      <c r="E251" s="3528"/>
      <c r="F251" s="3528"/>
      <c r="G251" s="3528"/>
      <c r="H251" s="3569"/>
      <c r="I251" s="3528"/>
      <c r="J251" s="3528"/>
      <c r="K251" s="3528"/>
      <c r="L251" s="3528"/>
      <c r="M251" s="3528"/>
      <c r="N251" s="3528"/>
      <c r="O251" s="3528"/>
      <c r="P251" s="3528"/>
      <c r="Q251" s="3528"/>
      <c r="R251" s="3528"/>
      <c r="S251" s="3528"/>
      <c r="T251" s="3528"/>
      <c r="U251" s="3528"/>
      <c r="CG251" s="2237"/>
      <c r="CH251" s="2237"/>
      <c r="CI251" s="2237"/>
      <c r="CJ251" s="2237"/>
      <c r="CW251" s="2237"/>
      <c r="CX251" s="2237"/>
      <c r="CY251" s="2237"/>
      <c r="CZ251" s="2237"/>
      <c r="DG251" s="3551"/>
      <c r="DH251" s="3528"/>
      <c r="DI251" s="3528"/>
      <c r="DJ251" s="3552"/>
    </row>
    <row r="252" spans="1:114" s="3517" customFormat="1" ht="15" customHeight="1" outlineLevel="1">
      <c r="C252" s="3564"/>
      <c r="D252" s="3680"/>
      <c r="E252" s="3528"/>
      <c r="F252" s="3528"/>
      <c r="G252" s="3528"/>
      <c r="H252" s="3569"/>
      <c r="I252" s="3528"/>
      <c r="J252" s="3528"/>
      <c r="K252" s="3528"/>
      <c r="L252" s="3528"/>
      <c r="M252" s="3564"/>
      <c r="N252" s="3528"/>
      <c r="O252" s="3528"/>
      <c r="P252" s="3528"/>
      <c r="Q252" s="3528"/>
      <c r="R252" s="3528"/>
      <c r="S252" s="3528"/>
      <c r="T252" s="3528"/>
      <c r="U252" s="3528"/>
      <c r="CG252" s="2237"/>
      <c r="CH252" s="2237"/>
      <c r="CI252" s="2237"/>
      <c r="CJ252" s="2237"/>
      <c r="CW252" s="2237"/>
      <c r="CX252" s="2237"/>
      <c r="CY252" s="2237"/>
      <c r="CZ252" s="2237"/>
      <c r="DG252" s="3551"/>
      <c r="DH252" s="3528"/>
      <c r="DI252" s="3528"/>
      <c r="DJ252" s="3552"/>
    </row>
    <row r="253" spans="1:114" s="3517" customFormat="1" ht="15" customHeight="1" outlineLevel="1">
      <c r="C253" s="3564"/>
      <c r="D253" s="3680"/>
      <c r="E253" s="3528"/>
      <c r="F253" s="3528"/>
      <c r="G253" s="3528"/>
      <c r="H253" s="3569"/>
      <c r="I253" s="3528"/>
      <c r="J253" s="3528"/>
      <c r="K253" s="3528"/>
      <c r="L253" s="3528"/>
      <c r="M253" s="3564"/>
      <c r="N253" s="3528"/>
      <c r="O253" s="3528"/>
      <c r="P253" s="3528"/>
      <c r="Q253" s="3528"/>
      <c r="R253" s="3528"/>
      <c r="S253" s="3528"/>
      <c r="T253" s="3528"/>
      <c r="U253" s="3528"/>
      <c r="CG253" s="2237"/>
      <c r="CH253" s="2237"/>
      <c r="CI253" s="2237"/>
      <c r="CJ253" s="2237"/>
      <c r="CW253" s="2237"/>
      <c r="CX253" s="2237"/>
      <c r="CY253" s="2237"/>
      <c r="CZ253" s="2237"/>
      <c r="DG253" s="3551"/>
      <c r="DH253" s="3528"/>
      <c r="DI253" s="3528"/>
      <c r="DJ253" s="3552"/>
    </row>
    <row r="254" spans="1:114" s="3517" customFormat="1" ht="15" customHeight="1" outlineLevel="1">
      <c r="C254" s="3564"/>
      <c r="D254" s="3680"/>
      <c r="E254" s="3528"/>
      <c r="F254" s="3528"/>
      <c r="G254" s="3528"/>
      <c r="H254" s="3569"/>
      <c r="I254" s="3528"/>
      <c r="J254" s="3528"/>
      <c r="K254" s="3528"/>
      <c r="L254" s="3528"/>
      <c r="M254" s="3564"/>
      <c r="N254" s="3528"/>
      <c r="O254" s="3528"/>
      <c r="P254" s="3528"/>
      <c r="Q254" s="3528"/>
      <c r="R254" s="3528"/>
      <c r="S254" s="3528"/>
      <c r="T254" s="3528"/>
      <c r="U254" s="3528"/>
      <c r="CG254" s="2237"/>
      <c r="CH254" s="2237"/>
      <c r="CI254" s="2237"/>
      <c r="CJ254" s="2237"/>
      <c r="CW254" s="2237"/>
      <c r="CX254" s="2237"/>
      <c r="CY254" s="2237"/>
      <c r="CZ254" s="2237"/>
      <c r="DG254" s="3551"/>
      <c r="DH254" s="3528"/>
      <c r="DI254" s="3528"/>
      <c r="DJ254" s="3552"/>
    </row>
    <row r="255" spans="1:114" s="3517" customFormat="1" ht="15" customHeight="1" outlineLevel="1">
      <c r="C255" s="3564"/>
      <c r="D255" s="3680"/>
      <c r="E255" s="3528"/>
      <c r="F255" s="3528"/>
      <c r="G255" s="3528"/>
      <c r="H255" s="3569"/>
      <c r="I255" s="3528"/>
      <c r="J255" s="3528"/>
      <c r="K255" s="3528"/>
      <c r="L255" s="3528"/>
      <c r="M255" s="3528"/>
      <c r="N255" s="3528"/>
      <c r="O255" s="3528"/>
      <c r="P255" s="3528"/>
      <c r="Q255" s="3528"/>
      <c r="R255" s="3528"/>
      <c r="S255" s="3528"/>
      <c r="T255" s="3528"/>
      <c r="U255" s="3528"/>
      <c r="CG255" s="2237"/>
      <c r="CH255" s="2237"/>
      <c r="CI255" s="2237"/>
      <c r="CJ255" s="2237"/>
      <c r="CW255" s="2237"/>
      <c r="CX255" s="2237"/>
      <c r="CY255" s="2237"/>
      <c r="CZ255" s="2237"/>
      <c r="DG255" s="3551"/>
      <c r="DH255" s="3528"/>
      <c r="DI255" s="3528"/>
      <c r="DJ255" s="3552"/>
    </row>
    <row r="256" spans="1:114" s="3044" customFormat="1" ht="15" customHeight="1" outlineLevel="1">
      <c r="A256" s="3517"/>
      <c r="C256" s="2086"/>
      <c r="D256" s="3570" t="s">
        <v>42</v>
      </c>
      <c r="E256" s="3682" t="s">
        <v>275</v>
      </c>
      <c r="F256" s="3682" t="s">
        <v>370</v>
      </c>
      <c r="G256" s="3682" t="s">
        <v>371</v>
      </c>
      <c r="H256" s="3683" t="s">
        <v>372</v>
      </c>
      <c r="I256" s="3684" t="s">
        <v>373</v>
      </c>
      <c r="J256" s="2697"/>
      <c r="K256" s="2697"/>
      <c r="L256" s="2086"/>
      <c r="M256" s="2697"/>
      <c r="N256" s="2697"/>
      <c r="O256" s="2697"/>
      <c r="P256" s="2697"/>
      <c r="Q256" s="2697"/>
      <c r="R256" s="2697"/>
      <c r="S256" s="2697"/>
      <c r="T256" s="2697"/>
      <c r="U256" s="2697"/>
      <c r="V256" s="2640" t="s">
        <v>52</v>
      </c>
      <c r="W256" s="2641">
        <f>$W$8</f>
        <v>43252</v>
      </c>
      <c r="X256" s="2641">
        <f>$X$8</f>
        <v>43465</v>
      </c>
      <c r="Y256" s="2641">
        <f>$Y$8</f>
        <v>43800</v>
      </c>
      <c r="Z256" s="2641">
        <f>$Z$8</f>
        <v>43862</v>
      </c>
      <c r="AA256" s="2641">
        <f>$AA$8</f>
        <v>44013</v>
      </c>
      <c r="AB256" s="2641">
        <v>44166</v>
      </c>
      <c r="AC256" s="2641">
        <f>$AC$8</f>
        <v>44531</v>
      </c>
      <c r="AD256" s="2641">
        <f>$AD$8</f>
        <v>44774</v>
      </c>
      <c r="AE256" s="2641">
        <f>$AE$8</f>
        <v>45142</v>
      </c>
      <c r="AF256" s="2641">
        <f>$AF$8</f>
        <v>45672</v>
      </c>
      <c r="AG256" s="2641" t="str">
        <f>$AG$8</f>
        <v>-</v>
      </c>
      <c r="DE256" s="3517"/>
      <c r="DF256" s="3517"/>
      <c r="DG256" s="3597"/>
      <c r="DH256" s="2697"/>
      <c r="DI256" s="2697"/>
      <c r="DJ256" s="3552"/>
    </row>
    <row r="257" spans="1:114" s="3517" customFormat="1" ht="15" customHeight="1" outlineLevel="1">
      <c r="C257" s="3564"/>
      <c r="D257" s="3598" t="str">
        <f>C246</f>
        <v>802500_2024_12_</v>
      </c>
      <c r="E257" s="3598" t="str">
        <f>E246</f>
        <v>Pool Heater Heat Pump (Uncovered)</v>
      </c>
      <c r="F257" s="3685">
        <f>(53.075*G257)+1631.1</f>
        <v>44091.1</v>
      </c>
      <c r="G257" s="3664">
        <v>800</v>
      </c>
      <c r="H257" s="3686">
        <v>1</v>
      </c>
      <c r="I257" s="3687">
        <v>4.08</v>
      </c>
      <c r="J257" s="3663"/>
      <c r="K257" s="3528"/>
      <c r="L257" s="3528"/>
      <c r="M257" s="3528"/>
      <c r="N257" s="3528"/>
      <c r="O257" s="3528"/>
      <c r="P257" s="3528"/>
      <c r="Q257" s="3528"/>
      <c r="R257" s="3528"/>
      <c r="S257" s="3528"/>
      <c r="T257" s="3528"/>
      <c r="U257" s="3528"/>
      <c r="V257" s="2244" t="s">
        <v>374</v>
      </c>
      <c r="W257" s="3676">
        <v>500</v>
      </c>
      <c r="X257" s="3224">
        <v>500</v>
      </c>
      <c r="Y257" s="3224">
        <v>500</v>
      </c>
      <c r="Z257" s="3224">
        <v>500</v>
      </c>
      <c r="AA257" s="3224">
        <v>500</v>
      </c>
      <c r="AB257" s="3223">
        <v>500</v>
      </c>
      <c r="AC257" s="3374">
        <v>500</v>
      </c>
      <c r="AD257" s="3374">
        <v>500</v>
      </c>
      <c r="AE257" s="3374">
        <v>500</v>
      </c>
      <c r="AF257" s="3374">
        <v>408</v>
      </c>
      <c r="AG257" s="2413"/>
      <c r="CG257" s="2237"/>
      <c r="CH257" s="2237"/>
      <c r="CI257" s="2237"/>
      <c r="CJ257" s="2237"/>
      <c r="CW257" s="2237"/>
      <c r="CX257" s="2237"/>
      <c r="CY257" s="2237"/>
      <c r="CZ257" s="2237"/>
      <c r="DG257" s="3551"/>
      <c r="DH257" s="3528"/>
      <c r="DI257" s="3528"/>
      <c r="DJ257" s="3552"/>
    </row>
    <row r="258" spans="1:114" s="3517" customFormat="1" ht="15" customHeight="1" outlineLevel="1">
      <c r="C258" s="3564"/>
      <c r="D258" s="3598" t="str">
        <f>C247</f>
        <v>802550_2024_12_</v>
      </c>
      <c r="E258" s="3598" t="str">
        <f>E247</f>
        <v>Pool Heater Heat Pump (Covered)</v>
      </c>
      <c r="F258" s="3685">
        <f>(8.079*G258)+1295.4</f>
        <v>7758.6</v>
      </c>
      <c r="G258" s="3664">
        <v>800</v>
      </c>
      <c r="H258" s="3686">
        <v>1</v>
      </c>
      <c r="I258" s="3687">
        <v>4.08</v>
      </c>
      <c r="J258" s="3663"/>
      <c r="K258" s="3528"/>
      <c r="L258" s="3528"/>
      <c r="M258" s="3528"/>
      <c r="N258" s="3528"/>
      <c r="O258" s="3528"/>
      <c r="P258" s="3528"/>
      <c r="Q258" s="3528"/>
      <c r="R258" s="3528"/>
      <c r="S258" s="3528"/>
      <c r="T258" s="3528"/>
      <c r="U258" s="3528"/>
      <c r="V258" s="2244" t="s">
        <v>375</v>
      </c>
      <c r="W258" s="3676">
        <v>500</v>
      </c>
      <c r="X258" s="3224">
        <v>500</v>
      </c>
      <c r="Y258" s="3224">
        <v>500</v>
      </c>
      <c r="Z258" s="3224">
        <v>500</v>
      </c>
      <c r="AA258" s="3224">
        <v>500</v>
      </c>
      <c r="AB258" s="3223">
        <v>500</v>
      </c>
      <c r="AC258" s="3374">
        <v>500</v>
      </c>
      <c r="AD258" s="3374">
        <v>500</v>
      </c>
      <c r="AE258" s="3374">
        <v>500</v>
      </c>
      <c r="AF258" s="3374">
        <v>408</v>
      </c>
      <c r="AG258" s="2413"/>
      <c r="CG258" s="2237"/>
      <c r="CH258" s="2237"/>
      <c r="CI258" s="2237"/>
      <c r="CJ258" s="2237"/>
      <c r="CW258" s="2237"/>
      <c r="CX258" s="2237"/>
      <c r="CY258" s="2237"/>
      <c r="CZ258" s="2237"/>
      <c r="DG258" s="3551"/>
      <c r="DH258" s="3528"/>
      <c r="DI258" s="3528"/>
      <c r="DJ258" s="3552"/>
    </row>
    <row r="259" spans="1:114" s="3517" customFormat="1">
      <c r="C259" s="3564"/>
      <c r="D259" s="3564"/>
      <c r="E259" s="3528"/>
      <c r="F259" s="3528"/>
      <c r="G259" s="3688" t="s">
        <v>376</v>
      </c>
      <c r="H259" s="3689" t="s">
        <v>377</v>
      </c>
      <c r="I259" s="3690" t="s">
        <v>378</v>
      </c>
      <c r="J259" s="3690"/>
      <c r="K259" s="3528"/>
      <c r="L259" s="3528"/>
      <c r="M259" s="3528"/>
      <c r="N259" s="3528"/>
      <c r="O259" s="3528"/>
      <c r="P259" s="3528"/>
      <c r="Q259" s="3528"/>
      <c r="R259" s="3528"/>
      <c r="S259" s="3528"/>
      <c r="T259" s="3528"/>
      <c r="U259" s="3528"/>
      <c r="AF259" s="3517" t="s">
        <v>379</v>
      </c>
      <c r="CG259" s="2237"/>
      <c r="CH259" s="2237"/>
      <c r="CI259" s="2237"/>
      <c r="CJ259" s="2237"/>
      <c r="CW259" s="2237"/>
      <c r="CX259" s="2237"/>
      <c r="CY259" s="2237"/>
      <c r="CZ259" s="2237"/>
      <c r="DG259" s="3551"/>
      <c r="DH259" s="3528"/>
      <c r="DI259" s="3528"/>
      <c r="DJ259" s="3552"/>
    </row>
    <row r="260" spans="1:114" s="3517" customFormat="1">
      <c r="C260" s="3564"/>
      <c r="D260" s="3564"/>
      <c r="E260" s="3528"/>
      <c r="F260" s="3528"/>
      <c r="G260" s="3663"/>
      <c r="H260" s="3691"/>
      <c r="I260" s="3528"/>
      <c r="J260" s="3528"/>
      <c r="K260" s="3528"/>
      <c r="L260" s="3528"/>
      <c r="M260" s="3528"/>
      <c r="N260" s="3528"/>
      <c r="O260" s="3528"/>
      <c r="P260" s="3528"/>
      <c r="Q260" s="3528"/>
      <c r="R260" s="3528"/>
      <c r="S260" s="3528"/>
      <c r="T260" s="3528"/>
      <c r="U260" s="3528"/>
      <c r="CG260" s="2237"/>
      <c r="CH260" s="2237"/>
      <c r="CI260" s="2237"/>
      <c r="CJ260" s="2237"/>
      <c r="CW260" s="2237"/>
      <c r="CX260" s="2237"/>
      <c r="CY260" s="2237"/>
      <c r="CZ260" s="2237"/>
      <c r="DG260" s="3551"/>
      <c r="DH260" s="3528"/>
      <c r="DI260" s="3528"/>
      <c r="DJ260" s="3552"/>
    </row>
    <row r="261" spans="1:114" s="8" customFormat="1">
      <c r="A261" s="2"/>
      <c r="B261" s="3996" t="s">
        <v>380</v>
      </c>
      <c r="C261" s="3997"/>
      <c r="D261" s="3997"/>
      <c r="E261" s="3997"/>
      <c r="F261" s="3997"/>
      <c r="G261" s="3997"/>
      <c r="H261" s="3997"/>
      <c r="I261" s="4828"/>
      <c r="J261" s="4828"/>
      <c r="K261" s="4828"/>
      <c r="L261" s="4828"/>
      <c r="M261" s="4829"/>
      <c r="N261" s="4829"/>
      <c r="O261" s="4830"/>
      <c r="V261" s="1363" t="str">
        <f>B261</f>
        <v>Pool Pump</v>
      </c>
      <c r="W261" s="1364"/>
      <c r="X261" s="1364"/>
      <c r="Y261" s="1364"/>
      <c r="Z261" s="1364"/>
      <c r="AA261" s="1364"/>
      <c r="AB261" s="1364"/>
      <c r="AC261" s="1364"/>
      <c r="AD261" s="1364"/>
      <c r="AE261" s="1364"/>
      <c r="AF261" s="1364"/>
      <c r="AG261" s="1364"/>
      <c r="AH261" s="1364"/>
      <c r="AI261" s="1397"/>
      <c r="AJ261" s="2"/>
      <c r="AK261" s="2"/>
      <c r="AL261" s="2"/>
      <c r="AM261" s="2"/>
      <c r="AN261" s="2"/>
      <c r="AO261" s="2"/>
      <c r="AP261" s="2"/>
      <c r="AQ261" s="2"/>
      <c r="AR261" s="2"/>
      <c r="AS261" s="2"/>
      <c r="AT261" s="2"/>
      <c r="AU261" s="2"/>
      <c r="DE261" s="2"/>
      <c r="DF261" s="2"/>
      <c r="DG261" s="24"/>
      <c r="DJ261" s="1102"/>
    </row>
    <row r="262" spans="1:114">
      <c r="D262" s="461"/>
      <c r="E262" s="8"/>
      <c r="F262" s="8"/>
      <c r="G262" s="8"/>
      <c r="H262" s="462"/>
      <c r="I262" s="8"/>
      <c r="J262" s="8"/>
      <c r="K262" s="8"/>
      <c r="L262" s="8"/>
      <c r="P262" s="8"/>
      <c r="Q262" s="8"/>
      <c r="R262" s="8"/>
      <c r="S262" s="8"/>
      <c r="T262" s="8"/>
      <c r="U262" s="8"/>
      <c r="V262"/>
      <c r="W262"/>
      <c r="X262"/>
      <c r="Y262"/>
      <c r="Z262"/>
      <c r="AA262"/>
      <c r="AB262"/>
      <c r="AC262"/>
      <c r="AD262"/>
      <c r="AE262"/>
      <c r="AF262"/>
      <c r="AG262"/>
      <c r="AH262"/>
      <c r="AI262"/>
      <c r="AJ262" s="7"/>
      <c r="AK262" s="7"/>
      <c r="AL262" s="7"/>
      <c r="AM262" s="7"/>
      <c r="AN262" s="7"/>
      <c r="AO262" s="7"/>
      <c r="AP262" s="7"/>
      <c r="AQ262" s="7"/>
      <c r="AR262" s="7"/>
      <c r="AS262" s="7"/>
      <c r="AT262" s="7"/>
      <c r="AU262" s="7"/>
      <c r="DG262" s="1058" t="s">
        <v>381</v>
      </c>
    </row>
    <row r="263" spans="1:114" s="9" customFormat="1" ht="30">
      <c r="A263" s="2"/>
      <c r="B263" s="7"/>
      <c r="C263" s="10" t="s">
        <v>42</v>
      </c>
      <c r="D263" s="1432" t="s">
        <v>43</v>
      </c>
      <c r="E263" s="1432" t="s">
        <v>44</v>
      </c>
      <c r="F263" s="1432" t="s">
        <v>382</v>
      </c>
      <c r="G263" s="1432" t="s">
        <v>46</v>
      </c>
      <c r="H263" s="11" t="s">
        <v>47</v>
      </c>
      <c r="I263" s="1432" t="s">
        <v>48</v>
      </c>
      <c r="J263" s="1432" t="s">
        <v>49</v>
      </c>
      <c r="K263" s="10" t="s">
        <v>50</v>
      </c>
      <c r="L263" s="10" t="s">
        <v>51</v>
      </c>
      <c r="M263" s="265"/>
      <c r="N263" s="265"/>
      <c r="O263" s="265"/>
      <c r="P263" s="122"/>
      <c r="Q263" s="122"/>
      <c r="R263" s="122"/>
      <c r="S263" s="122"/>
      <c r="T263" s="122"/>
      <c r="U263" s="122"/>
      <c r="V263" s="668" t="s">
        <v>52</v>
      </c>
      <c r="W263" s="669">
        <f>$W$8</f>
        <v>43252</v>
      </c>
      <c r="X263" s="669">
        <f>$X$8</f>
        <v>43465</v>
      </c>
      <c r="Y263" s="669">
        <f>$Y$8</f>
        <v>43800</v>
      </c>
      <c r="Z263" s="669">
        <f>$Z$8</f>
        <v>43862</v>
      </c>
      <c r="AA263" s="669">
        <f>$AA$8</f>
        <v>44013</v>
      </c>
      <c r="AB263" s="669">
        <v>44166</v>
      </c>
      <c r="AC263" s="669">
        <f>$AC$8</f>
        <v>44531</v>
      </c>
      <c r="AD263" s="669">
        <f>$AD$8</f>
        <v>44774</v>
      </c>
      <c r="AE263" s="669">
        <f>$AE$8</f>
        <v>45142</v>
      </c>
      <c r="AF263" s="669">
        <f>$AF$8</f>
        <v>45672</v>
      </c>
      <c r="AG263" s="669" t="str">
        <f>$AG$8</f>
        <v>-</v>
      </c>
      <c r="AH263"/>
      <c r="AI263" s="668" t="s">
        <v>52</v>
      </c>
      <c r="AJ263" s="669">
        <v>43252</v>
      </c>
      <c r="AK263" s="669">
        <f>$X$8</f>
        <v>43465</v>
      </c>
      <c r="AL263" s="669">
        <f>$Y$8</f>
        <v>43800</v>
      </c>
      <c r="AM263" s="669">
        <f>$Z$8</f>
        <v>43862</v>
      </c>
      <c r="AN263" s="669">
        <f>$AA$8</f>
        <v>44013</v>
      </c>
      <c r="AO263" s="669">
        <f>$AB$8</f>
        <v>44166</v>
      </c>
      <c r="AP263" s="669">
        <f>$AC$8</f>
        <v>44531</v>
      </c>
      <c r="AQ263" s="669">
        <f>$AD$8</f>
        <v>44774</v>
      </c>
      <c r="AR263" s="669">
        <f>$AE$8</f>
        <v>45142</v>
      </c>
      <c r="AS263" s="669">
        <f>$AF$8</f>
        <v>45672</v>
      </c>
      <c r="AT263" s="2"/>
      <c r="AU263" s="668" t="s">
        <v>52</v>
      </c>
      <c r="AV263" s="669">
        <v>43252</v>
      </c>
      <c r="AW263" s="669">
        <f>$X$8</f>
        <v>43465</v>
      </c>
      <c r="AX263" s="669">
        <f>$Y$8</f>
        <v>43800</v>
      </c>
      <c r="AY263" s="669">
        <f>$Z$8</f>
        <v>43862</v>
      </c>
      <c r="AZ263" s="669">
        <f>$AA$8</f>
        <v>44013</v>
      </c>
      <c r="BA263" s="669">
        <v>44166</v>
      </c>
      <c r="BB263" s="669">
        <f>$AC$8</f>
        <v>44531</v>
      </c>
      <c r="BC263" s="669">
        <f>$AD$8</f>
        <v>44774</v>
      </c>
      <c r="BD263" s="669">
        <f>$AE$8</f>
        <v>45142</v>
      </c>
      <c r="BE263" s="669">
        <f>$AF$8</f>
        <v>45672</v>
      </c>
      <c r="DE263" s="2"/>
      <c r="DF263" s="2"/>
      <c r="DG263" s="1060" t="str">
        <f>$DG$8</f>
        <v>TRC (2025)</v>
      </c>
      <c r="DH263" s="811" t="str">
        <f>$DH$8</f>
        <v>Benefit Lookup</v>
      </c>
      <c r="DI263" s="811" t="str">
        <f>$DI$8</f>
        <v>Benefits (2025 $)</v>
      </c>
      <c r="DJ263" s="1172" t="str">
        <f>$DJ$8</f>
        <v>Incremental Cost (2025 $)</v>
      </c>
    </row>
    <row r="264" spans="1:114">
      <c r="B264" s="1454">
        <f t="shared" ref="B264" si="82">VALUE(LEFT(C264,6))</f>
        <v>802600</v>
      </c>
      <c r="C264" s="688" t="s">
        <v>383</v>
      </c>
      <c r="D264" s="1639" t="s">
        <v>59</v>
      </c>
      <c r="E264" s="480" t="s">
        <v>384</v>
      </c>
      <c r="F264" s="687">
        <f>ROUND(1747*F274,2)</f>
        <v>1747</v>
      </c>
      <c r="G264" s="463" t="s">
        <v>385</v>
      </c>
      <c r="H264" s="464">
        <f>VLOOKUP(G264,'CP FACTORS'!$A$26:$B$38,2,FALSE)</f>
        <v>1.379439E-4</v>
      </c>
      <c r="I264" s="481">
        <f>ROUND(H264*F264,6)</f>
        <v>0.24098800000000001</v>
      </c>
      <c r="J264" s="497">
        <v>10</v>
      </c>
      <c r="K264" s="2022">
        <f>200*F274+46</f>
        <v>246</v>
      </c>
      <c r="L264" s="465" t="s">
        <v>386</v>
      </c>
      <c r="M264" s="855"/>
      <c r="N264" s="855"/>
      <c r="O264" s="855"/>
      <c r="V264" s="1414" t="s">
        <v>45</v>
      </c>
      <c r="W264" s="55">
        <v>1747</v>
      </c>
      <c r="X264" s="55">
        <v>1747</v>
      </c>
      <c r="Y264" s="55">
        <v>1747</v>
      </c>
      <c r="Z264" s="55">
        <v>1747</v>
      </c>
      <c r="AA264" s="55">
        <v>1747</v>
      </c>
      <c r="AB264" s="54">
        <v>1747</v>
      </c>
      <c r="AC264" s="737">
        <v>1747</v>
      </c>
      <c r="AD264" s="737">
        <v>1747</v>
      </c>
      <c r="AE264" s="737">
        <v>1747</v>
      </c>
      <c r="AF264" s="271">
        <f>IF(F264&lt;&gt;"",F264,"")</f>
        <v>1747</v>
      </c>
      <c r="AG264" s="71"/>
      <c r="AH264"/>
      <c r="AI264" s="1445" t="s">
        <v>49</v>
      </c>
      <c r="AJ264" s="712">
        <v>15</v>
      </c>
      <c r="AK264" s="712">
        <v>15</v>
      </c>
      <c r="AL264" s="712">
        <v>15</v>
      </c>
      <c r="AM264" s="712">
        <v>15</v>
      </c>
      <c r="AN264" s="712">
        <v>15</v>
      </c>
      <c r="AO264" s="17">
        <v>15</v>
      </c>
      <c r="AP264" s="670">
        <v>10</v>
      </c>
      <c r="AQ264" s="55">
        <v>10</v>
      </c>
      <c r="AR264" s="54">
        <v>10</v>
      </c>
      <c r="AS264" s="54">
        <v>10</v>
      </c>
      <c r="AU264" s="1445" t="s">
        <v>50</v>
      </c>
      <c r="AV264" s="710">
        <v>246</v>
      </c>
      <c r="AW264" s="710">
        <v>246</v>
      </c>
      <c r="AX264" s="710">
        <v>246</v>
      </c>
      <c r="AY264" s="710">
        <v>246</v>
      </c>
      <c r="AZ264" s="710">
        <v>246</v>
      </c>
      <c r="BA264" s="772">
        <v>246</v>
      </c>
      <c r="BB264" s="772">
        <v>246</v>
      </c>
      <c r="BC264" s="772">
        <v>246</v>
      </c>
      <c r="BD264" s="772">
        <v>246</v>
      </c>
      <c r="BE264" s="772">
        <v>246</v>
      </c>
      <c r="DG264" s="1067">
        <f>(DI264)/(DJ264)</f>
        <v>3.786650095230387</v>
      </c>
      <c r="DH264" s="1400" t="str">
        <f>CONCATENATE(G264," ",J264," Year EUL")</f>
        <v>Motors BUS 10 Year EUL</v>
      </c>
      <c r="DI264" s="1068">
        <f>(INDEX('Avoided Cost Benefits'!$B$4:$B$865,MATCH(DH264,'Avoided Cost Benefits'!$A$4:$A$865,0)))*F264</f>
        <v>931.51592342667516</v>
      </c>
      <c r="DJ264" s="1177">
        <f>K264/(1.0686^(2025-2025))</f>
        <v>246</v>
      </c>
    </row>
    <row r="265" spans="1:114" ht="15" customHeight="1" outlineLevel="1">
      <c r="D265" s="77" t="s">
        <v>118</v>
      </c>
      <c r="E265" s="113" t="s">
        <v>387</v>
      </c>
      <c r="F265" s="1930" t="s">
        <v>388</v>
      </c>
      <c r="G265" s="8"/>
      <c r="H265" s="471"/>
      <c r="I265" s="8"/>
      <c r="J265" s="8"/>
      <c r="K265" s="8"/>
      <c r="M265" s="855"/>
      <c r="N265" s="855"/>
      <c r="O265" s="855"/>
    </row>
    <row r="266" spans="1:114" ht="15" customHeight="1" outlineLevel="1">
      <c r="D266" s="8" t="s">
        <v>120</v>
      </c>
      <c r="E266" s="8"/>
      <c r="F266" s="8"/>
      <c r="G266" s="8"/>
      <c r="H266" s="471"/>
      <c r="I266" s="8"/>
      <c r="J266" s="8"/>
      <c r="K266" s="8"/>
      <c r="M266" s="855"/>
      <c r="N266" s="855"/>
      <c r="O266" s="855"/>
    </row>
    <row r="267" spans="1:114" ht="15" customHeight="1" outlineLevel="1">
      <c r="D267" s="472"/>
      <c r="G267" s="265"/>
      <c r="H267" s="473"/>
      <c r="M267" s="855"/>
      <c r="N267" s="855"/>
      <c r="O267" s="855"/>
    </row>
    <row r="268" spans="1:114" ht="15" customHeight="1" outlineLevel="1">
      <c r="D268" s="472"/>
      <c r="G268" s="265"/>
      <c r="H268" s="473"/>
      <c r="M268" s="855"/>
      <c r="N268" s="855"/>
      <c r="O268" s="855"/>
    </row>
    <row r="269" spans="1:114" ht="15" customHeight="1" outlineLevel="1">
      <c r="D269" s="472"/>
      <c r="G269" s="265"/>
      <c r="H269" s="473"/>
      <c r="M269" s="8"/>
    </row>
    <row r="270" spans="1:114" ht="15" customHeight="1" outlineLevel="1">
      <c r="D270" s="472"/>
      <c r="G270" s="265"/>
      <c r="H270" s="473"/>
      <c r="M270" s="8"/>
    </row>
    <row r="271" spans="1:114" ht="15" customHeight="1" outlineLevel="1">
      <c r="D271" s="472"/>
      <c r="G271" s="265"/>
      <c r="H271" s="473"/>
      <c r="M271" s="8"/>
    </row>
    <row r="272" spans="1:114" ht="15" customHeight="1" outlineLevel="1">
      <c r="D272" s="472"/>
      <c r="G272" s="265"/>
      <c r="H272" s="473"/>
    </row>
    <row r="273" spans="1:114" s="9" customFormat="1" ht="15" customHeight="1" outlineLevel="1">
      <c r="A273" s="2"/>
      <c r="C273" s="66"/>
      <c r="D273" s="10" t="s">
        <v>42</v>
      </c>
      <c r="E273" s="1365" t="s">
        <v>275</v>
      </c>
      <c r="F273" s="1365" t="s">
        <v>389</v>
      </c>
      <c r="G273" s="122"/>
      <c r="H273" s="122"/>
      <c r="I273" s="66"/>
      <c r="J273" s="122"/>
      <c r="K273" s="122"/>
      <c r="L273" s="122"/>
      <c r="M273" s="122"/>
      <c r="N273" s="122"/>
      <c r="O273" s="122"/>
      <c r="P273" s="122"/>
      <c r="Q273" s="122"/>
      <c r="R273" s="122"/>
      <c r="S273" s="122"/>
      <c r="T273" s="122"/>
      <c r="U273" s="122"/>
      <c r="V273" s="2"/>
      <c r="W273" s="2"/>
      <c r="X273" s="2"/>
      <c r="Y273" s="2"/>
      <c r="Z273" s="2"/>
      <c r="AA273" s="2"/>
      <c r="AB273" s="2"/>
      <c r="AC273" s="2"/>
      <c r="AD273" s="2"/>
      <c r="AE273" s="2"/>
      <c r="AF273" s="2"/>
      <c r="AG273" s="2"/>
      <c r="AH273" s="2"/>
      <c r="DE273" s="2"/>
      <c r="DF273" s="2"/>
      <c r="DG273" s="1065"/>
      <c r="DH273" s="122"/>
      <c r="DI273" s="122"/>
      <c r="DJ273" s="1168"/>
    </row>
    <row r="274" spans="1:114" ht="15" customHeight="1" outlineLevel="1">
      <c r="D274" s="679" t="str">
        <f>C264</f>
        <v>802600_2019_12_</v>
      </c>
      <c r="E274" s="679" t="str">
        <f>E264</f>
        <v>Pool Pump w/ Variable Frequency Drive per HP</v>
      </c>
      <c r="F274" s="2039">
        <v>1</v>
      </c>
      <c r="H274" s="265"/>
    </row>
    <row r="277" spans="1:114" s="3044" customFormat="1" ht="30">
      <c r="A277" s="3517"/>
      <c r="B277" s="2723"/>
      <c r="C277" s="3570" t="s">
        <v>42</v>
      </c>
      <c r="D277" s="2280" t="s">
        <v>43</v>
      </c>
      <c r="E277" s="2280" t="s">
        <v>44</v>
      </c>
      <c r="F277" s="2280" t="s">
        <v>45</v>
      </c>
      <c r="G277" s="2280" t="s">
        <v>46</v>
      </c>
      <c r="H277" s="3571" t="s">
        <v>47</v>
      </c>
      <c r="I277" s="2280" t="s">
        <v>48</v>
      </c>
      <c r="J277" s="2280" t="s">
        <v>49</v>
      </c>
      <c r="K277" s="3570" t="s">
        <v>50</v>
      </c>
      <c r="L277" s="3570" t="s">
        <v>51</v>
      </c>
      <c r="M277" s="3528"/>
      <c r="N277" s="3528"/>
      <c r="O277" s="3528"/>
      <c r="P277" s="2697"/>
      <c r="Q277" s="2697"/>
      <c r="R277" s="2697"/>
      <c r="S277" s="2697"/>
      <c r="T277" s="2697"/>
      <c r="U277" s="2697"/>
      <c r="V277" s="2640" t="s">
        <v>52</v>
      </c>
      <c r="W277" s="2641">
        <f>$W$8</f>
        <v>43252</v>
      </c>
      <c r="X277" s="2641">
        <f>$X$8</f>
        <v>43465</v>
      </c>
      <c r="Y277" s="2641">
        <f>$Y$8</f>
        <v>43800</v>
      </c>
      <c r="Z277" s="2641">
        <f>$Z$8</f>
        <v>43862</v>
      </c>
      <c r="AA277" s="2641">
        <f>$AA$8</f>
        <v>44013</v>
      </c>
      <c r="AB277" s="2641">
        <v>44166</v>
      </c>
      <c r="AC277" s="2641">
        <f>$AC$8</f>
        <v>44531</v>
      </c>
      <c r="AD277" s="2641">
        <f>$AD$8</f>
        <v>44774</v>
      </c>
      <c r="AE277" s="2641">
        <f>$AE$8</f>
        <v>45142</v>
      </c>
      <c r="AF277" s="2641">
        <f>$AF$8</f>
        <v>45672</v>
      </c>
      <c r="AG277" s="2641" t="str">
        <f>$AG$8</f>
        <v>-</v>
      </c>
      <c r="AH277" s="2237"/>
      <c r="AI277" s="2640" t="s">
        <v>52</v>
      </c>
      <c r="AJ277" s="2641">
        <v>43252</v>
      </c>
      <c r="AK277" s="2641">
        <f>$X$8</f>
        <v>43465</v>
      </c>
      <c r="AL277" s="2641">
        <f>$Y$8</f>
        <v>43800</v>
      </c>
      <c r="AM277" s="2641">
        <f>$Z$8</f>
        <v>43862</v>
      </c>
      <c r="AN277" s="2641">
        <f>$AA$8</f>
        <v>44013</v>
      </c>
      <c r="AO277" s="2641">
        <f>$AB$8</f>
        <v>44166</v>
      </c>
      <c r="AP277" s="2641">
        <f>$AC$8</f>
        <v>44531</v>
      </c>
      <c r="AQ277" s="2641">
        <f>$AD$8</f>
        <v>44774</v>
      </c>
      <c r="AR277" s="2641">
        <f>$AE$8</f>
        <v>45142</v>
      </c>
      <c r="AS277" s="2641">
        <f>$AF$8</f>
        <v>45672</v>
      </c>
      <c r="AT277" s="3517"/>
      <c r="AU277" s="2640" t="s">
        <v>52</v>
      </c>
      <c r="AV277" s="2641">
        <v>43252</v>
      </c>
      <c r="AW277" s="2641">
        <f>$X$8</f>
        <v>43465</v>
      </c>
      <c r="AX277" s="2641">
        <f>$Y$8</f>
        <v>43800</v>
      </c>
      <c r="AY277" s="2641">
        <f>$Z$8</f>
        <v>43862</v>
      </c>
      <c r="AZ277" s="2641">
        <f>$AA$8</f>
        <v>44013</v>
      </c>
      <c r="BA277" s="2641">
        <v>44166</v>
      </c>
      <c r="BB277" s="2641">
        <f>$AC$8</f>
        <v>44531</v>
      </c>
      <c r="BC277" s="2641">
        <f>$AD$8</f>
        <v>44774</v>
      </c>
      <c r="BD277" s="2641">
        <f>$AE$8</f>
        <v>45142</v>
      </c>
      <c r="BE277" s="2641">
        <f>$AF$8</f>
        <v>45672</v>
      </c>
      <c r="DE277" s="3517"/>
      <c r="DF277" s="3517"/>
      <c r="DG277" s="2749" t="str">
        <f>$DG$8</f>
        <v>TRC (2025)</v>
      </c>
      <c r="DH277" s="2750" t="str">
        <f>$DH$8</f>
        <v>Benefit Lookup</v>
      </c>
      <c r="DI277" s="2750" t="str">
        <f>$DI$8</f>
        <v>Benefits (2025 $)</v>
      </c>
      <c r="DJ277" s="3572" t="str">
        <f>$DJ$8</f>
        <v>Incremental Cost (2025 $)</v>
      </c>
    </row>
    <row r="278" spans="1:114" s="3517" customFormat="1">
      <c r="B278" s="2208">
        <f t="shared" ref="B278" si="83">VALUE(LEFT(C278,6))</f>
        <v>802650</v>
      </c>
      <c r="C278" s="3499" t="s">
        <v>390</v>
      </c>
      <c r="D278" s="3509" t="str">
        <f t="shared" ref="D278" si="84">$D$98</f>
        <v>BSS</v>
      </c>
      <c r="E278" s="3574" t="s">
        <v>391</v>
      </c>
      <c r="F278" s="3617">
        <f>ROUND(0.746*F288*G288,2)/G288</f>
        <v>300.64</v>
      </c>
      <c r="G278" s="3503" t="s">
        <v>385</v>
      </c>
      <c r="H278" s="3504">
        <f>VLOOKUP(G278,'CP FACTORS'!$A$26:$B$38,2,FALSE)</f>
        <v>1.379439E-4</v>
      </c>
      <c r="I278" s="3575">
        <f>ROUND(H278*F278,6)</f>
        <v>4.1471000000000001E-2</v>
      </c>
      <c r="J278" s="3692">
        <v>10</v>
      </c>
      <c r="K278" s="3693">
        <v>100</v>
      </c>
      <c r="L278" s="3577" t="s">
        <v>386</v>
      </c>
      <c r="M278" s="4008"/>
      <c r="N278" s="4008"/>
      <c r="O278" s="4008"/>
      <c r="P278" s="3528"/>
      <c r="Q278" s="3528"/>
      <c r="R278" s="3528"/>
      <c r="S278" s="3528"/>
      <c r="T278" s="3528"/>
      <c r="U278" s="3528"/>
      <c r="V278" s="2460" t="s">
        <v>45</v>
      </c>
      <c r="W278" s="3224">
        <v>601.27599999999995</v>
      </c>
      <c r="X278" s="3224">
        <v>601.27599999999995</v>
      </c>
      <c r="Y278" s="3224">
        <v>601.27599999999995</v>
      </c>
      <c r="Z278" s="3224">
        <v>601.27599999999995</v>
      </c>
      <c r="AA278" s="3224">
        <v>601.27599999999995</v>
      </c>
      <c r="AB278" s="3223">
        <v>601.28</v>
      </c>
      <c r="AC278" s="3374">
        <v>601.28</v>
      </c>
      <c r="AD278" s="3374">
        <v>601.28</v>
      </c>
      <c r="AE278" s="3374">
        <v>601.28</v>
      </c>
      <c r="AF278" s="2236">
        <f>IF(F278&lt;&gt;"",F278,"")</f>
        <v>300.64</v>
      </c>
      <c r="AG278" s="2413"/>
      <c r="AH278" s="2237"/>
      <c r="AI278" s="2244" t="s">
        <v>49</v>
      </c>
      <c r="AJ278" s="3506">
        <v>10</v>
      </c>
      <c r="AK278" s="3506">
        <v>10</v>
      </c>
      <c r="AL278" s="3506">
        <v>10</v>
      </c>
      <c r="AM278" s="3506">
        <v>10</v>
      </c>
      <c r="AN278" s="3506">
        <v>10</v>
      </c>
      <c r="AO278" s="2847">
        <v>10</v>
      </c>
      <c r="AP278" s="3223">
        <v>10</v>
      </c>
      <c r="AQ278" s="3223">
        <v>10</v>
      </c>
      <c r="AR278" s="3223">
        <v>10</v>
      </c>
      <c r="AS278" s="3223">
        <v>10</v>
      </c>
      <c r="AU278" s="2244" t="s">
        <v>50</v>
      </c>
      <c r="AV278" s="3521">
        <v>100</v>
      </c>
      <c r="AW278" s="3521">
        <v>100</v>
      </c>
      <c r="AX278" s="3521">
        <v>100</v>
      </c>
      <c r="AY278" s="3521">
        <v>100</v>
      </c>
      <c r="AZ278" s="3521">
        <v>100</v>
      </c>
      <c r="BA278" s="3694">
        <v>100</v>
      </c>
      <c r="BB278" s="3694">
        <v>100</v>
      </c>
      <c r="BC278" s="3694">
        <v>100</v>
      </c>
      <c r="BD278" s="3694">
        <v>100</v>
      </c>
      <c r="BE278" s="3694">
        <v>100</v>
      </c>
      <c r="CG278" s="2237"/>
      <c r="CH278" s="2237"/>
      <c r="CI278" s="2237"/>
      <c r="CJ278" s="2237"/>
      <c r="CW278" s="2237"/>
      <c r="CX278" s="2237"/>
      <c r="CY278" s="2237"/>
      <c r="CZ278" s="2237"/>
      <c r="DG278" s="2603">
        <f>(DI278)/(DJ278)</f>
        <v>1.6030391941556703</v>
      </c>
      <c r="DH278" s="2419" t="str">
        <f>CONCATENATE(G278," ",J278," Year EUL")</f>
        <v>Motors BUS 10 Year EUL</v>
      </c>
      <c r="DI278" s="3695">
        <f>(INDEX('Avoided Cost Benefits'!$B$4:$B$865,MATCH(DH278,'Avoided Cost Benefits'!$A$4:$A$865,0)))*F278</f>
        <v>160.30391941556704</v>
      </c>
      <c r="DJ278" s="3257">
        <f>K278/(1.0686^(2025-2025))</f>
        <v>100</v>
      </c>
    </row>
    <row r="279" spans="1:114" s="3517" customFormat="1" ht="15" customHeight="1" outlineLevel="1">
      <c r="C279" s="3564"/>
      <c r="D279" s="2624" t="s">
        <v>118</v>
      </c>
      <c r="E279" s="2360" t="s">
        <v>392</v>
      </c>
      <c r="F279" s="3564"/>
      <c r="G279" s="3564"/>
      <c r="H279" s="3679"/>
      <c r="I279" s="3564"/>
      <c r="J279" s="3564"/>
      <c r="K279" s="3564"/>
      <c r="L279" s="3528"/>
      <c r="M279" s="4008"/>
      <c r="N279" s="4008"/>
      <c r="O279" s="4008"/>
      <c r="P279" s="3528"/>
      <c r="Q279" s="3528"/>
      <c r="R279" s="3528"/>
      <c r="S279" s="3528"/>
      <c r="T279" s="3528"/>
      <c r="U279" s="3528"/>
      <c r="AF279" s="3517" t="s">
        <v>393</v>
      </c>
      <c r="CG279" s="2237"/>
      <c r="CH279" s="2237"/>
      <c r="CI279" s="2237"/>
      <c r="CJ279" s="2237"/>
      <c r="CW279" s="2237"/>
      <c r="CX279" s="2237"/>
      <c r="CY279" s="2237"/>
      <c r="CZ279" s="2237"/>
      <c r="DG279" s="3551"/>
      <c r="DH279" s="3528"/>
      <c r="DI279" s="3528"/>
      <c r="DJ279" s="3552"/>
    </row>
    <row r="280" spans="1:114" s="3517" customFormat="1" ht="15" customHeight="1" outlineLevel="1">
      <c r="C280" s="3564"/>
      <c r="D280" s="3564" t="s">
        <v>120</v>
      </c>
      <c r="E280" s="3564"/>
      <c r="F280" s="3564"/>
      <c r="G280" s="3564"/>
      <c r="H280" s="3679"/>
      <c r="I280" s="3564"/>
      <c r="J280" s="3564"/>
      <c r="K280" s="3564"/>
      <c r="L280" s="3528"/>
      <c r="M280" s="4008"/>
      <c r="N280" s="4008"/>
      <c r="O280" s="4008"/>
      <c r="P280" s="3528"/>
      <c r="Q280" s="3528"/>
      <c r="R280" s="3528"/>
      <c r="S280" s="3528"/>
      <c r="T280" s="3528"/>
      <c r="U280" s="3528"/>
      <c r="CG280" s="2237"/>
      <c r="CH280" s="2237"/>
      <c r="CI280" s="2237"/>
      <c r="CJ280" s="2237"/>
      <c r="CW280" s="2237"/>
      <c r="CX280" s="2237"/>
      <c r="CY280" s="2237"/>
      <c r="CZ280" s="2237"/>
      <c r="DG280" s="3551"/>
      <c r="DH280" s="3528"/>
      <c r="DI280" s="3528"/>
      <c r="DJ280" s="3552"/>
    </row>
    <row r="281" spans="1:114" s="3517" customFormat="1" ht="15" customHeight="1" outlineLevel="1">
      <c r="C281" s="3564"/>
      <c r="D281" s="3680"/>
      <c r="E281" s="3528"/>
      <c r="F281" s="3528"/>
      <c r="G281" s="3528"/>
      <c r="H281" s="3569"/>
      <c r="I281" s="3528"/>
      <c r="J281" s="3528"/>
      <c r="K281" s="3528"/>
      <c r="L281" s="3528"/>
      <c r="M281" s="4008"/>
      <c r="N281" s="4008"/>
      <c r="O281" s="4008"/>
      <c r="P281" s="3528"/>
      <c r="Q281" s="3528"/>
      <c r="R281" s="3528"/>
      <c r="S281" s="3528"/>
      <c r="T281" s="3528"/>
      <c r="U281" s="3528"/>
      <c r="CG281" s="2237"/>
      <c r="CH281" s="2237"/>
      <c r="CI281" s="2237"/>
      <c r="CJ281" s="2237"/>
      <c r="CW281" s="2237"/>
      <c r="CX281" s="2237"/>
      <c r="CY281" s="2237"/>
      <c r="CZ281" s="2237"/>
      <c r="DG281" s="3551"/>
      <c r="DH281" s="3528"/>
      <c r="DI281" s="3528"/>
      <c r="DJ281" s="3552"/>
    </row>
    <row r="282" spans="1:114" s="3517" customFormat="1" ht="15" customHeight="1" outlineLevel="1">
      <c r="C282" s="3564"/>
      <c r="D282" s="3680"/>
      <c r="E282" s="3528"/>
      <c r="F282" s="3528"/>
      <c r="G282" s="3528"/>
      <c r="H282" s="3569"/>
      <c r="I282" s="3528"/>
      <c r="J282" s="3528"/>
      <c r="K282" s="3528"/>
      <c r="L282" s="3528"/>
      <c r="M282" s="4008"/>
      <c r="N282" s="4008"/>
      <c r="O282" s="4008"/>
      <c r="P282" s="3528"/>
      <c r="Q282" s="3528"/>
      <c r="R282" s="3528"/>
      <c r="S282" s="3528"/>
      <c r="T282" s="3528"/>
      <c r="U282" s="3528"/>
      <c r="CG282" s="2237"/>
      <c r="CH282" s="2237"/>
      <c r="CI282" s="2237"/>
      <c r="CJ282" s="2237"/>
      <c r="CW282" s="2237"/>
      <c r="CX282" s="2237"/>
      <c r="CY282" s="2237"/>
      <c r="CZ282" s="2237"/>
      <c r="DG282" s="3551"/>
      <c r="DH282" s="3528"/>
      <c r="DI282" s="3528"/>
      <c r="DJ282" s="3552"/>
    </row>
    <row r="283" spans="1:114" s="3517" customFormat="1" ht="15" customHeight="1" outlineLevel="1">
      <c r="C283" s="3564"/>
      <c r="D283" s="3680"/>
      <c r="E283" s="3528"/>
      <c r="F283" s="3528"/>
      <c r="G283" s="3528"/>
      <c r="H283" s="3569"/>
      <c r="I283" s="3528"/>
      <c r="J283" s="3528"/>
      <c r="K283" s="3528"/>
      <c r="L283" s="3528"/>
      <c r="M283" s="3564"/>
      <c r="N283" s="3528"/>
      <c r="O283" s="3528"/>
      <c r="P283" s="3528"/>
      <c r="Q283" s="3528"/>
      <c r="R283" s="3528"/>
      <c r="S283" s="3528"/>
      <c r="T283" s="3528"/>
      <c r="U283" s="3528"/>
      <c r="CG283" s="2237"/>
      <c r="CH283" s="2237"/>
      <c r="CI283" s="2237"/>
      <c r="CJ283" s="2237"/>
      <c r="CW283" s="2237"/>
      <c r="CX283" s="2237"/>
      <c r="CY283" s="2237"/>
      <c r="CZ283" s="2237"/>
      <c r="DG283" s="3551"/>
      <c r="DH283" s="3528"/>
      <c r="DI283" s="3528"/>
      <c r="DJ283" s="3552"/>
    </row>
    <row r="284" spans="1:114" s="3517" customFormat="1" ht="15" customHeight="1" outlineLevel="1">
      <c r="C284" s="3564"/>
      <c r="D284" s="3680"/>
      <c r="E284" s="3528"/>
      <c r="F284" s="3528"/>
      <c r="G284" s="3528"/>
      <c r="H284" s="3569"/>
      <c r="I284" s="3528"/>
      <c r="J284" s="3528"/>
      <c r="K284" s="3528"/>
      <c r="L284" s="3528"/>
      <c r="M284" s="3564"/>
      <c r="N284" s="3528"/>
      <c r="O284" s="3528"/>
      <c r="P284" s="3528"/>
      <c r="Q284" s="3528"/>
      <c r="R284" s="3528"/>
      <c r="S284" s="3528"/>
      <c r="T284" s="3528"/>
      <c r="U284" s="3528"/>
      <c r="CG284" s="2237"/>
      <c r="CH284" s="2237"/>
      <c r="CI284" s="2237"/>
      <c r="CJ284" s="2237"/>
      <c r="CW284" s="2237"/>
      <c r="CX284" s="2237"/>
      <c r="CY284" s="2237"/>
      <c r="CZ284" s="2237"/>
      <c r="DG284" s="3551"/>
      <c r="DH284" s="3528"/>
      <c r="DI284" s="3528"/>
      <c r="DJ284" s="3552"/>
    </row>
    <row r="285" spans="1:114" s="3517" customFormat="1" ht="15" customHeight="1" outlineLevel="1">
      <c r="C285" s="3564"/>
      <c r="D285" s="3680"/>
      <c r="E285" s="3528"/>
      <c r="F285" s="3528"/>
      <c r="G285" s="3528"/>
      <c r="H285" s="3569"/>
      <c r="I285" s="3528"/>
      <c r="J285" s="3528"/>
      <c r="K285" s="3528"/>
      <c r="L285" s="3528"/>
      <c r="M285" s="3564"/>
      <c r="N285" s="3528"/>
      <c r="O285" s="3528"/>
      <c r="P285" s="3528"/>
      <c r="Q285" s="3528"/>
      <c r="R285" s="3528"/>
      <c r="S285" s="3528"/>
      <c r="T285" s="3528"/>
      <c r="U285" s="3528"/>
      <c r="CG285" s="2237"/>
      <c r="CH285" s="2237"/>
      <c r="CI285" s="2237"/>
      <c r="CJ285" s="2237"/>
      <c r="CW285" s="2237"/>
      <c r="CX285" s="2237"/>
      <c r="CY285" s="2237"/>
      <c r="CZ285" s="2237"/>
      <c r="DG285" s="3551"/>
      <c r="DH285" s="3528"/>
      <c r="DI285" s="3528"/>
      <c r="DJ285" s="3552"/>
    </row>
    <row r="286" spans="1:114" s="3517" customFormat="1" ht="15" customHeight="1" outlineLevel="1">
      <c r="C286" s="3564"/>
      <c r="D286" s="3680"/>
      <c r="E286" s="3528"/>
      <c r="F286" s="3528"/>
      <c r="G286" s="3528"/>
      <c r="H286" s="3569"/>
      <c r="I286" s="3528"/>
      <c r="J286" s="3528"/>
      <c r="K286" s="3528"/>
      <c r="L286" s="3528"/>
      <c r="M286" s="3528"/>
      <c r="N286" s="3528"/>
      <c r="O286" s="3528"/>
      <c r="P286" s="3528"/>
      <c r="Q286" s="3528"/>
      <c r="R286" s="3528"/>
      <c r="S286" s="3528"/>
      <c r="T286" s="3528"/>
      <c r="U286" s="3528"/>
      <c r="CG286" s="2237"/>
      <c r="CH286" s="2237"/>
      <c r="CI286" s="2237"/>
      <c r="CJ286" s="2237"/>
      <c r="CW286" s="2237"/>
      <c r="CX286" s="2237"/>
      <c r="CY286" s="2237"/>
      <c r="CZ286" s="2237"/>
      <c r="DG286" s="3551"/>
      <c r="DH286" s="3528"/>
      <c r="DI286" s="3528"/>
      <c r="DJ286" s="3552"/>
    </row>
    <row r="287" spans="1:114" s="3044" customFormat="1" ht="15" customHeight="1" outlineLevel="1">
      <c r="A287" s="3517"/>
      <c r="C287" s="2086"/>
      <c r="D287" s="3570" t="s">
        <v>42</v>
      </c>
      <c r="E287" s="3682" t="s">
        <v>275</v>
      </c>
      <c r="F287" s="3682" t="s">
        <v>394</v>
      </c>
      <c r="G287" s="3682" t="s">
        <v>395</v>
      </c>
      <c r="H287" s="2697"/>
      <c r="I287" s="2086"/>
      <c r="J287" s="2697"/>
      <c r="K287" s="2697"/>
      <c r="L287" s="2697"/>
      <c r="M287" s="2697"/>
      <c r="N287" s="2697"/>
      <c r="O287" s="2697"/>
      <c r="P287" s="2697"/>
      <c r="Q287" s="2697"/>
      <c r="R287" s="2697"/>
      <c r="S287" s="2697"/>
      <c r="T287" s="2697"/>
      <c r="U287" s="2697"/>
      <c r="DE287" s="3517"/>
      <c r="DF287" s="3517"/>
      <c r="DG287" s="3597"/>
      <c r="DH287" s="2697"/>
      <c r="DI287" s="2697"/>
      <c r="DJ287" s="3552"/>
    </row>
    <row r="288" spans="1:114" s="3517" customFormat="1" ht="15" customHeight="1" outlineLevel="1">
      <c r="C288" s="3564"/>
      <c r="D288" s="3598" t="str">
        <f>C278</f>
        <v>802650_2024_12_</v>
      </c>
      <c r="E288" s="3598" t="str">
        <f>E278</f>
        <v>Pool Pump Timer per HP</v>
      </c>
      <c r="F288" s="3696">
        <v>403</v>
      </c>
      <c r="G288" s="3697">
        <v>2</v>
      </c>
      <c r="H288" s="3528"/>
      <c r="I288" s="3528"/>
      <c r="J288" s="3528"/>
      <c r="K288" s="3528"/>
      <c r="L288" s="3528"/>
      <c r="M288" s="3528"/>
      <c r="N288" s="3528"/>
      <c r="O288" s="3528"/>
      <c r="P288" s="3528"/>
      <c r="Q288" s="3528"/>
      <c r="R288" s="3528"/>
      <c r="S288" s="3528"/>
      <c r="T288" s="3528"/>
      <c r="U288" s="3528"/>
      <c r="CG288" s="2237"/>
      <c r="CH288" s="2237"/>
      <c r="CI288" s="2237"/>
      <c r="CJ288" s="2237"/>
      <c r="CW288" s="2237"/>
      <c r="CX288" s="2237"/>
      <c r="CY288" s="2237"/>
      <c r="CZ288" s="2237"/>
      <c r="DG288" s="3551"/>
      <c r="DH288" s="3528"/>
      <c r="DI288" s="3528"/>
      <c r="DJ288" s="3552"/>
    </row>
    <row r="289" spans="1:114" s="3517" customFormat="1">
      <c r="C289" s="3564"/>
      <c r="D289" s="3564"/>
      <c r="E289" s="3528"/>
      <c r="F289" s="3528"/>
      <c r="G289" s="3663"/>
      <c r="H289" s="3691"/>
      <c r="I289" s="3528"/>
      <c r="J289" s="3528"/>
      <c r="K289" s="3528"/>
      <c r="L289" s="3528"/>
      <c r="M289" s="3528"/>
      <c r="N289" s="3528"/>
      <c r="O289" s="3528"/>
      <c r="P289" s="3528"/>
      <c r="Q289" s="3528"/>
      <c r="R289" s="3528"/>
      <c r="S289" s="3528"/>
      <c r="T289" s="3528"/>
      <c r="U289" s="3528"/>
      <c r="CG289" s="2237"/>
      <c r="CH289" s="2237"/>
      <c r="CI289" s="2237"/>
      <c r="CJ289" s="2237"/>
      <c r="CW289" s="2237"/>
      <c r="CX289" s="2237"/>
      <c r="CY289" s="2237"/>
      <c r="CZ289" s="2237"/>
      <c r="DG289" s="3551"/>
      <c r="DH289" s="3528"/>
      <c r="DI289" s="3528"/>
      <c r="DJ289" s="3552"/>
    </row>
    <row r="290" spans="1:114" s="3517" customFormat="1">
      <c r="C290" s="3564"/>
      <c r="D290" s="3564"/>
      <c r="E290" s="3528"/>
      <c r="F290" s="3528"/>
      <c r="G290" s="3663"/>
      <c r="H290" s="3691"/>
      <c r="I290" s="3528"/>
      <c r="J290" s="3528"/>
      <c r="K290" s="3528"/>
      <c r="L290" s="3528"/>
      <c r="M290" s="3528"/>
      <c r="N290" s="3528"/>
      <c r="O290" s="3528"/>
      <c r="P290" s="3528"/>
      <c r="Q290" s="3528"/>
      <c r="R290" s="3528"/>
      <c r="S290" s="3528"/>
      <c r="T290" s="3528"/>
      <c r="U290" s="3528"/>
      <c r="CG290" s="2237"/>
      <c r="CH290" s="2237"/>
      <c r="CI290" s="2237"/>
      <c r="CJ290" s="2237"/>
      <c r="CW290" s="2237"/>
      <c r="CX290" s="2237"/>
      <c r="CY290" s="2237"/>
      <c r="CZ290" s="2237"/>
      <c r="DG290" s="3551"/>
      <c r="DH290" s="3528"/>
      <c r="DI290" s="3528"/>
      <c r="DJ290" s="3552"/>
    </row>
    <row r="291" spans="1:114" s="8" customFormat="1">
      <c r="A291" s="2"/>
      <c r="B291" s="3996" t="s">
        <v>396</v>
      </c>
      <c r="C291" s="3997"/>
      <c r="D291" s="3997"/>
      <c r="E291" s="3997"/>
      <c r="F291" s="3997"/>
      <c r="G291" s="3997"/>
      <c r="H291" s="3997"/>
      <c r="I291" s="4828"/>
      <c r="J291" s="4828"/>
      <c r="K291" s="4828"/>
      <c r="L291" s="4828"/>
      <c r="M291" s="4829"/>
      <c r="N291" s="4829"/>
      <c r="O291" s="4830"/>
      <c r="V291" s="1363" t="str">
        <f>B291</f>
        <v>Steam Cookers</v>
      </c>
      <c r="W291" s="1364"/>
      <c r="X291" s="1364"/>
      <c r="Y291" s="1364"/>
      <c r="Z291" s="1364"/>
      <c r="AA291" s="1364"/>
      <c r="AB291" s="1364"/>
      <c r="AC291" s="1364"/>
      <c r="AD291" s="1364"/>
      <c r="AE291" s="1364"/>
      <c r="AF291" s="1364"/>
      <c r="AG291" s="1364"/>
      <c r="AH291" s="1364"/>
      <c r="AI291" s="1397"/>
      <c r="AJ291" s="2"/>
      <c r="AK291" s="2"/>
      <c r="AL291" s="2"/>
      <c r="AM291" s="2"/>
      <c r="AN291" s="2"/>
      <c r="AO291" s="2"/>
      <c r="AP291" s="2"/>
      <c r="AQ291" s="2"/>
      <c r="AR291" s="2"/>
      <c r="AS291" s="2"/>
      <c r="AT291" s="2"/>
      <c r="AU291" s="2"/>
      <c r="DE291" s="2"/>
      <c r="DF291" s="2"/>
      <c r="DG291" s="24"/>
      <c r="DJ291" s="1102"/>
    </row>
    <row r="292" spans="1:114">
      <c r="D292" s="461"/>
      <c r="E292" s="8"/>
      <c r="F292" s="8"/>
      <c r="G292" s="8"/>
      <c r="H292" s="462"/>
      <c r="I292" s="8"/>
      <c r="J292" s="8"/>
      <c r="K292" s="8"/>
      <c r="L292" s="8"/>
      <c r="P292" s="8"/>
      <c r="Q292" s="8"/>
      <c r="R292" s="8"/>
      <c r="S292" s="8"/>
      <c r="T292" s="8"/>
      <c r="U292" s="8"/>
      <c r="V292"/>
      <c r="W292"/>
      <c r="X292"/>
      <c r="Y292"/>
      <c r="Z292"/>
      <c r="AA292"/>
      <c r="AB292"/>
      <c r="AC292"/>
      <c r="AD292"/>
      <c r="AE292"/>
      <c r="AF292"/>
      <c r="AG292"/>
      <c r="AH292"/>
      <c r="AI292"/>
      <c r="AJ292" s="7"/>
      <c r="AK292" s="7"/>
      <c r="AL292" s="7"/>
      <c r="AM292" s="7"/>
      <c r="AN292" s="7"/>
      <c r="AO292" s="7"/>
      <c r="AP292" s="7"/>
      <c r="AQ292" s="7"/>
      <c r="AR292" s="7"/>
      <c r="AS292" s="7"/>
      <c r="AT292" s="7"/>
      <c r="AU292" s="7"/>
    </row>
    <row r="293" spans="1:114" s="9" customFormat="1" ht="30">
      <c r="A293" s="2"/>
      <c r="B293" s="7"/>
      <c r="C293" s="10" t="s">
        <v>42</v>
      </c>
      <c r="D293" s="1432" t="s">
        <v>43</v>
      </c>
      <c r="E293" s="1432" t="s">
        <v>44</v>
      </c>
      <c r="F293" s="1432" t="s">
        <v>45</v>
      </c>
      <c r="G293" s="1432" t="s">
        <v>46</v>
      </c>
      <c r="H293" s="11" t="s">
        <v>47</v>
      </c>
      <c r="I293" s="1432" t="s">
        <v>48</v>
      </c>
      <c r="J293" s="1432" t="s">
        <v>49</v>
      </c>
      <c r="K293" s="10" t="s">
        <v>50</v>
      </c>
      <c r="L293" s="10" t="s">
        <v>51</v>
      </c>
      <c r="M293" s="10" t="s">
        <v>397</v>
      </c>
      <c r="N293" s="10" t="s">
        <v>398</v>
      </c>
      <c r="O293" s="10" t="s">
        <v>399</v>
      </c>
      <c r="P293" s="10" t="s">
        <v>400</v>
      </c>
      <c r="Q293" s="10" t="s">
        <v>401</v>
      </c>
      <c r="R293" s="10" t="s">
        <v>402</v>
      </c>
      <c r="S293" s="10" t="s">
        <v>319</v>
      </c>
      <c r="T293" s="10" t="s">
        <v>403</v>
      </c>
      <c r="U293" s="10" t="s">
        <v>404</v>
      </c>
      <c r="V293" s="668" t="s">
        <v>52</v>
      </c>
      <c r="W293" s="669">
        <f>$W$8</f>
        <v>43252</v>
      </c>
      <c r="X293" s="669">
        <f>$X$8</f>
        <v>43465</v>
      </c>
      <c r="Y293" s="669">
        <f>$Y$8</f>
        <v>43800</v>
      </c>
      <c r="Z293" s="669">
        <f>$Z$8</f>
        <v>43862</v>
      </c>
      <c r="AA293" s="669">
        <f>$AA$8</f>
        <v>44013</v>
      </c>
      <c r="AB293" s="669">
        <v>44166</v>
      </c>
      <c r="AC293" s="669">
        <f>$AC$8</f>
        <v>44531</v>
      </c>
      <c r="AD293" s="669">
        <f>$AD$8</f>
        <v>44774</v>
      </c>
      <c r="AE293" s="669">
        <f>$AE$8</f>
        <v>45142</v>
      </c>
      <c r="AF293" s="669">
        <f>$AF$8</f>
        <v>45672</v>
      </c>
      <c r="AG293" s="669" t="str">
        <f>$AG$8</f>
        <v>-</v>
      </c>
      <c r="AH293"/>
      <c r="AI293" s="668" t="s">
        <v>52</v>
      </c>
      <c r="AJ293" s="669">
        <v>43252</v>
      </c>
      <c r="AK293" s="669">
        <f>$X$8</f>
        <v>43465</v>
      </c>
      <c r="AL293" s="669">
        <f>$Y$8</f>
        <v>43800</v>
      </c>
      <c r="AM293" s="669">
        <f>$Z$8</f>
        <v>43862</v>
      </c>
      <c r="AN293" s="669">
        <f>$AA$8</f>
        <v>44013</v>
      </c>
      <c r="AO293" s="669">
        <f>$AB$8</f>
        <v>44166</v>
      </c>
      <c r="AP293" s="669">
        <f>$AC$8</f>
        <v>44531</v>
      </c>
      <c r="AQ293" s="669">
        <f>$AD$8</f>
        <v>44774</v>
      </c>
      <c r="AR293" s="669">
        <f>$AE$8</f>
        <v>45142</v>
      </c>
      <c r="AS293" s="669">
        <f>$AF$8</f>
        <v>45672</v>
      </c>
      <c r="AT293" s="2"/>
      <c r="AU293" s="668" t="s">
        <v>52</v>
      </c>
      <c r="AV293" s="669">
        <v>43252</v>
      </c>
      <c r="AW293" s="669">
        <f>$X$8</f>
        <v>43465</v>
      </c>
      <c r="AX293" s="669">
        <f>$Y$8</f>
        <v>43800</v>
      </c>
      <c r="AY293" s="669">
        <f>$Z$8</f>
        <v>43862</v>
      </c>
      <c r="AZ293" s="669">
        <f>$AA$8</f>
        <v>44013</v>
      </c>
      <c r="BA293" s="669">
        <v>44166</v>
      </c>
      <c r="BB293" s="669">
        <f>$AC$8</f>
        <v>44531</v>
      </c>
      <c r="BC293" s="669">
        <f>$AD$8</f>
        <v>44774</v>
      </c>
      <c r="BD293" s="669">
        <f>$AE$8</f>
        <v>45142</v>
      </c>
      <c r="BE293" s="669">
        <f>$AF$8</f>
        <v>45672</v>
      </c>
      <c r="DE293" s="2"/>
      <c r="DF293" s="2"/>
      <c r="DG293" s="1060" t="str">
        <f>$DG$8</f>
        <v>TRC (2025)</v>
      </c>
      <c r="DH293" s="811" t="str">
        <f>$DH$8</f>
        <v>Benefit Lookup</v>
      </c>
      <c r="DI293" s="811" t="str">
        <f>$DI$8</f>
        <v>Benefits (2025 $)</v>
      </c>
      <c r="DJ293" s="1172" t="str">
        <f>$DJ$8</f>
        <v>Incremental Cost (2025 $)</v>
      </c>
    </row>
    <row r="294" spans="1:114">
      <c r="B294" s="1454">
        <f t="shared" ref="B294:B298" si="85">VALUE(LEFT(C294,6))</f>
        <v>802700</v>
      </c>
      <c r="C294" s="1637" t="s">
        <v>405</v>
      </c>
      <c r="D294" s="1639" t="s">
        <v>135</v>
      </c>
      <c r="E294" s="480" t="s">
        <v>406</v>
      </c>
      <c r="F294" s="1922">
        <f>ROUND((F309+G309+T309)*H309/1000,2)</f>
        <v>7383.26</v>
      </c>
      <c r="G294" s="463" t="s">
        <v>407</v>
      </c>
      <c r="H294" s="464">
        <f>VLOOKUP(G294,'CP FACTORS'!$A$26:$B$38,2,FALSE)</f>
        <v>1.998949E-4</v>
      </c>
      <c r="I294" s="1481">
        <f>ROUND(H294*F294,6)</f>
        <v>1.475876</v>
      </c>
      <c r="J294" s="500">
        <v>12</v>
      </c>
      <c r="K294" s="1931">
        <v>2000</v>
      </c>
      <c r="L294" s="465" t="s">
        <v>62</v>
      </c>
      <c r="M294" s="1962">
        <f>((1-I309)*(J309+I309*L309*N309*(O309/P309))*(R309-S309/(L309*N309)))</f>
        <v>25813.989081545067</v>
      </c>
      <c r="N294" s="1962">
        <f>((1-I309)*(K309+I309*M309*N309*(O309/Q309))*(R309-S309/(M309*N309)))</f>
        <v>9810.6988838323341</v>
      </c>
      <c r="O294" s="1962">
        <f>(S309*(O309/P309))</f>
        <v>10266.666666666668</v>
      </c>
      <c r="P294" s="1962">
        <f>(S309*(O309/Q309))</f>
        <v>6160</v>
      </c>
      <c r="Q294" s="1962">
        <v>1776</v>
      </c>
      <c r="R294" s="1961">
        <v>1671.7</v>
      </c>
      <c r="S294" s="1962">
        <f t="shared" ref="S294:T298" si="86">M294+O294+Q294</f>
        <v>37856.655748211735</v>
      </c>
      <c r="T294" s="1962">
        <f t="shared" si="86"/>
        <v>17642.398883832335</v>
      </c>
      <c r="U294" s="1961">
        <f>(S294-T294)*H309/1000</f>
        <v>7383.2573197145757</v>
      </c>
      <c r="V294" s="1414" t="s">
        <v>45</v>
      </c>
      <c r="W294" s="1944">
        <v>7856.3138680450465</v>
      </c>
      <c r="X294" s="1944">
        <v>7856.3138680450465</v>
      </c>
      <c r="Y294" s="1944">
        <v>7856.3138680450465</v>
      </c>
      <c r="Z294" s="1944">
        <v>7856.3138680450465</v>
      </c>
      <c r="AA294" s="1944">
        <v>7856.3138680450465</v>
      </c>
      <c r="AB294" s="847">
        <v>7856.31</v>
      </c>
      <c r="AC294" s="1946">
        <v>7856.31</v>
      </c>
      <c r="AD294" s="1946">
        <v>7856.31</v>
      </c>
      <c r="AE294" s="1946">
        <v>7856.31</v>
      </c>
      <c r="AF294" s="271">
        <f>IF(F294&lt;&gt;"",F294,"")</f>
        <v>7383.26</v>
      </c>
      <c r="AG294" s="71"/>
      <c r="AH294"/>
      <c r="AI294" s="1445" t="s">
        <v>49</v>
      </c>
      <c r="AJ294" s="20">
        <v>12</v>
      </c>
      <c r="AK294" s="20">
        <v>12</v>
      </c>
      <c r="AL294" s="20">
        <v>12</v>
      </c>
      <c r="AM294" s="20">
        <v>12</v>
      </c>
      <c r="AN294" s="20">
        <v>12</v>
      </c>
      <c r="AO294" s="17">
        <v>12</v>
      </c>
      <c r="AP294" s="17">
        <v>12</v>
      </c>
      <c r="AQ294" s="17">
        <v>12</v>
      </c>
      <c r="AR294" s="17">
        <v>12</v>
      </c>
      <c r="AS294" s="17">
        <v>12</v>
      </c>
      <c r="AU294" s="1445" t="s">
        <v>50</v>
      </c>
      <c r="AV294" s="710">
        <v>4150</v>
      </c>
      <c r="AW294" s="710">
        <v>4150</v>
      </c>
      <c r="AX294" s="710">
        <v>4150</v>
      </c>
      <c r="AY294" s="710">
        <v>4150</v>
      </c>
      <c r="AZ294" s="710">
        <v>4150</v>
      </c>
      <c r="BA294" s="772">
        <v>4150</v>
      </c>
      <c r="BB294" s="772">
        <v>4150</v>
      </c>
      <c r="BC294" s="772">
        <v>4150</v>
      </c>
      <c r="BD294" s="772">
        <v>4150</v>
      </c>
      <c r="BE294" s="1932">
        <f>K294</f>
        <v>2000</v>
      </c>
      <c r="DG294" s="1062">
        <f>(DI294)/(DJ294)</f>
        <v>2.6007745812285687</v>
      </c>
      <c r="DH294" s="1400" t="str">
        <f>CONCATENATE(G294," ",J294," Year EUL")</f>
        <v>Cooking BUS 12 Year EUL</v>
      </c>
      <c r="DI294" s="198">
        <f>(INDEX('Avoided Cost Benefits'!$B$4:$B$865,MATCH(DH294,'Avoided Cost Benefits'!$A$4:$A$865,0)))*F294</f>
        <v>5201.5491624571378</v>
      </c>
      <c r="DJ294" s="1174">
        <f>K294/(1.0686^(2025-2025))</f>
        <v>2000</v>
      </c>
    </row>
    <row r="295" spans="1:114">
      <c r="B295" s="1454">
        <f t="shared" si="85"/>
        <v>802750</v>
      </c>
      <c r="C295" s="1637" t="s">
        <v>408</v>
      </c>
      <c r="D295" s="1639" t="s">
        <v>135</v>
      </c>
      <c r="E295" s="480" t="s">
        <v>409</v>
      </c>
      <c r="F295" s="1922">
        <f>ROUND((F310+G310+T310)*H310/1000,2)</f>
        <v>8568.5499999999993</v>
      </c>
      <c r="G295" s="463" t="s">
        <v>407</v>
      </c>
      <c r="H295" s="464">
        <f>VLOOKUP(G295,'CP FACTORS'!$A$26:$B$38,2,FALSE)</f>
        <v>1.998949E-4</v>
      </c>
      <c r="I295" s="1481">
        <f>ROUND(H295*F295,6)</f>
        <v>1.712809</v>
      </c>
      <c r="J295" s="487">
        <v>12</v>
      </c>
      <c r="K295" s="1931">
        <v>2000</v>
      </c>
      <c r="L295" s="465" t="s">
        <v>62</v>
      </c>
      <c r="M295" s="1962">
        <f>((1-I310)*(J310+I310*L310*N310*(O310/P310))*(R310-S310/(L310*N310)))</f>
        <v>32960.843811158797</v>
      </c>
      <c r="N295" s="1962">
        <f>((1-I310)*(K310+I310*M310*N310*(O310/Q310))*(R310-S310/(M310*N310)))</f>
        <v>13712.406495808384</v>
      </c>
      <c r="O295" s="1962">
        <f>(S310*(O310/P310))</f>
        <v>10266.666666666668</v>
      </c>
      <c r="P295" s="1962">
        <f>(S310*(O310/Q310))</f>
        <v>6160</v>
      </c>
      <c r="Q295" s="1962">
        <v>1776</v>
      </c>
      <c r="R295" s="1961">
        <v>1671.7</v>
      </c>
      <c r="S295" s="1962">
        <f t="shared" si="86"/>
        <v>45003.510477825461</v>
      </c>
      <c r="T295" s="1962">
        <f t="shared" si="86"/>
        <v>21544.106495808384</v>
      </c>
      <c r="U295" s="1962">
        <f>(S295-T295)*H310/1000</f>
        <v>8568.5473044317368</v>
      </c>
      <c r="V295" s="1414" t="s">
        <v>45</v>
      </c>
      <c r="W295" s="1944">
        <v>9213.5039339295909</v>
      </c>
      <c r="X295" s="1944">
        <v>9213.5039339295909</v>
      </c>
      <c r="Y295" s="1944">
        <v>9213.5039339295909</v>
      </c>
      <c r="Z295" s="1944">
        <v>9213.5039339295909</v>
      </c>
      <c r="AA295" s="1944">
        <v>9213.5039339295909</v>
      </c>
      <c r="AB295" s="847">
        <v>9213.5</v>
      </c>
      <c r="AC295" s="1946">
        <v>9213.5</v>
      </c>
      <c r="AD295" s="1946">
        <v>9213.5</v>
      </c>
      <c r="AE295" s="1946">
        <v>9213.5</v>
      </c>
      <c r="AF295" s="271">
        <f>IF(F295&lt;&gt;"",F295,"")</f>
        <v>8568.5499999999993</v>
      </c>
      <c r="AG295" s="71"/>
      <c r="AH295"/>
      <c r="AI295" s="1445" t="s">
        <v>49</v>
      </c>
      <c r="AJ295" s="20">
        <v>12</v>
      </c>
      <c r="AK295" s="20">
        <v>12</v>
      </c>
      <c r="AL295" s="20">
        <v>12</v>
      </c>
      <c r="AM295" s="20">
        <v>12</v>
      </c>
      <c r="AN295" s="20">
        <v>12</v>
      </c>
      <c r="AO295" s="17">
        <v>12</v>
      </c>
      <c r="AP295" s="17">
        <v>12</v>
      </c>
      <c r="AQ295" s="17">
        <v>12</v>
      </c>
      <c r="AR295" s="17">
        <v>12</v>
      </c>
      <c r="AS295" s="17">
        <v>12</v>
      </c>
      <c r="AU295" s="1445" t="s">
        <v>50</v>
      </c>
      <c r="AV295" s="710">
        <v>4150</v>
      </c>
      <c r="AW295" s="710">
        <v>4150</v>
      </c>
      <c r="AX295" s="710">
        <v>4150</v>
      </c>
      <c r="AY295" s="710">
        <v>4150</v>
      </c>
      <c r="AZ295" s="710">
        <v>4150</v>
      </c>
      <c r="BA295" s="772">
        <v>4150</v>
      </c>
      <c r="BB295" s="772">
        <v>4150</v>
      </c>
      <c r="BC295" s="772">
        <v>4150</v>
      </c>
      <c r="BD295" s="772">
        <v>4150</v>
      </c>
      <c r="BE295" s="1932">
        <f t="shared" ref="BE295:BE297" si="87">K295</f>
        <v>2000</v>
      </c>
      <c r="DG295" s="1063">
        <f>(DI295)/(DJ295)</f>
        <v>3.0182963945446932</v>
      </c>
      <c r="DH295" s="673" t="str">
        <f>CONCATENATE(G295," ",J295," Year EUL")</f>
        <v>Cooking BUS 12 Year EUL</v>
      </c>
      <c r="DI295" s="655">
        <f>(INDEX('Avoided Cost Benefits'!$B$4:$B$865,MATCH(DH295,'Avoided Cost Benefits'!$A$4:$A$865,0)))*F295</f>
        <v>6036.5927890893863</v>
      </c>
      <c r="DJ295" s="1176">
        <f>K295/(1.0686^(2025-2025))</f>
        <v>2000</v>
      </c>
    </row>
    <row r="296" spans="1:114">
      <c r="B296" s="1454">
        <f t="shared" si="85"/>
        <v>802800</v>
      </c>
      <c r="C296" s="1637" t="s">
        <v>410</v>
      </c>
      <c r="D296" s="1639" t="s">
        <v>135</v>
      </c>
      <c r="E296" s="480" t="s">
        <v>411</v>
      </c>
      <c r="F296" s="1922">
        <f t="shared" ref="F296:F297" si="88">ROUND((F311+G311+T311)*H311/1000,2)</f>
        <v>9692.98</v>
      </c>
      <c r="G296" s="463" t="s">
        <v>407</v>
      </c>
      <c r="H296" s="464">
        <f>VLOOKUP(G296,'CP FACTORS'!$A$26:$B$38,2,FALSE)</f>
        <v>1.998949E-4</v>
      </c>
      <c r="I296" s="1481">
        <f>ROUND(H296*F296,6)</f>
        <v>1.9375770000000001</v>
      </c>
      <c r="J296" s="487">
        <v>12</v>
      </c>
      <c r="K296" s="1931">
        <v>2000</v>
      </c>
      <c r="L296" s="465" t="s">
        <v>62</v>
      </c>
      <c r="M296" s="1962">
        <f>((1-I311)*(J311+I311*L311*N311*(O311/P311))*(R311-S311/(L311*N311)))</f>
        <v>40004.694248927044</v>
      </c>
      <c r="N296" s="1962">
        <f>((1-I311)*(K311+I311*M311*N311*(O311/Q311))*(R311-S311/(M311*N311)))</f>
        <v>17677.730874251498</v>
      </c>
      <c r="O296" s="1962">
        <f>(S311*(O311/P311))</f>
        <v>10266.666666666668</v>
      </c>
      <c r="P296" s="1962">
        <f>(S311*(O311/Q311))</f>
        <v>6160</v>
      </c>
      <c r="Q296" s="1962">
        <v>1776</v>
      </c>
      <c r="R296" s="1961">
        <v>1671.7</v>
      </c>
      <c r="S296" s="1962">
        <f t="shared" si="86"/>
        <v>52047.360915593716</v>
      </c>
      <c r="T296" s="1962">
        <f t="shared" si="86"/>
        <v>25509.430874251499</v>
      </c>
      <c r="U296" s="1962">
        <f>(S296-T296)*H311/1000</f>
        <v>9692.9789476002461</v>
      </c>
      <c r="V296" s="1414" t="s">
        <v>45</v>
      </c>
      <c r="W296" s="1944">
        <v>10512.970851398522</v>
      </c>
      <c r="X296" s="1944">
        <v>10512.970851398522</v>
      </c>
      <c r="Y296" s="1944">
        <v>10512.970851398522</v>
      </c>
      <c r="Z296" s="1944">
        <v>10512.970851398522</v>
      </c>
      <c r="AA296" s="1944">
        <v>10512.970851398522</v>
      </c>
      <c r="AB296" s="847">
        <v>10512.97</v>
      </c>
      <c r="AC296" s="1946">
        <v>10512.97</v>
      </c>
      <c r="AD296" s="1946">
        <v>10512.97</v>
      </c>
      <c r="AE296" s="1946">
        <v>10512.97</v>
      </c>
      <c r="AF296" s="271">
        <f>IF(F296&lt;&gt;"",F296,"")</f>
        <v>9692.98</v>
      </c>
      <c r="AG296" s="71"/>
      <c r="AH296"/>
      <c r="AI296" s="1445" t="s">
        <v>49</v>
      </c>
      <c r="AJ296" s="20">
        <v>12</v>
      </c>
      <c r="AK296" s="20">
        <v>12</v>
      </c>
      <c r="AL296" s="20">
        <v>12</v>
      </c>
      <c r="AM296" s="20">
        <v>12</v>
      </c>
      <c r="AN296" s="20">
        <v>12</v>
      </c>
      <c r="AO296" s="17">
        <v>12</v>
      </c>
      <c r="AP296" s="17">
        <v>12</v>
      </c>
      <c r="AQ296" s="17">
        <v>12</v>
      </c>
      <c r="AR296" s="17">
        <v>12</v>
      </c>
      <c r="AS296" s="17">
        <v>12</v>
      </c>
      <c r="AU296" s="1445" t="s">
        <v>50</v>
      </c>
      <c r="AV296" s="710">
        <v>4150</v>
      </c>
      <c r="AW296" s="710">
        <v>4150</v>
      </c>
      <c r="AX296" s="710">
        <v>4150</v>
      </c>
      <c r="AY296" s="710">
        <v>4150</v>
      </c>
      <c r="AZ296" s="710">
        <v>4150</v>
      </c>
      <c r="BA296" s="772">
        <v>4150</v>
      </c>
      <c r="BB296" s="772">
        <v>4150</v>
      </c>
      <c r="BC296" s="772">
        <v>4150</v>
      </c>
      <c r="BD296" s="772">
        <v>4150</v>
      </c>
      <c r="BE296" s="1932">
        <f t="shared" si="87"/>
        <v>2000</v>
      </c>
      <c r="DG296" s="1063">
        <f>(DI296)/(DJ296)</f>
        <v>3.4143800977287664</v>
      </c>
      <c r="DH296" s="673" t="str">
        <f>CONCATENATE(G296," ",J296," Year EUL")</f>
        <v>Cooking BUS 12 Year EUL</v>
      </c>
      <c r="DI296" s="655">
        <f>(INDEX('Avoided Cost Benefits'!$B$4:$B$865,MATCH(DH296,'Avoided Cost Benefits'!$A$4:$A$865,0)))*F296</f>
        <v>6828.760195457533</v>
      </c>
      <c r="DJ296" s="1176">
        <f>K296/(1.0686^(2025-2025))</f>
        <v>2000</v>
      </c>
    </row>
    <row r="297" spans="1:114">
      <c r="B297" s="1454">
        <f t="shared" si="85"/>
        <v>802850</v>
      </c>
      <c r="C297" s="1637" t="s">
        <v>412</v>
      </c>
      <c r="D297" s="1639" t="s">
        <v>135</v>
      </c>
      <c r="E297" s="480" t="s">
        <v>413</v>
      </c>
      <c r="F297" s="1922">
        <f t="shared" si="88"/>
        <v>10822.05</v>
      </c>
      <c r="G297" s="463" t="s">
        <v>407</v>
      </c>
      <c r="H297" s="464">
        <f>VLOOKUP(G297,'CP FACTORS'!$A$26:$B$38,2,FALSE)</f>
        <v>1.998949E-4</v>
      </c>
      <c r="I297" s="1481">
        <f>ROUND(H297*F297,6)</f>
        <v>2.1632729999999998</v>
      </c>
      <c r="J297" s="487">
        <v>12</v>
      </c>
      <c r="K297" s="1931">
        <v>2000</v>
      </c>
      <c r="L297" s="465" t="s">
        <v>62</v>
      </c>
      <c r="M297" s="1962">
        <f>((1-I312)*(J312+I312*L312*N312*(O312/P312))*(R312-S312/(L312*N312)))</f>
        <v>46997.042540772534</v>
      </c>
      <c r="N297" s="1962">
        <f>((1-I312)*(K312+I312*M312*N312*(O312/Q312))*(R312-S312/(M312*N312)))</f>
        <v>21578.839683832332</v>
      </c>
      <c r="O297" s="1962">
        <f>(S312*(O312/P312))</f>
        <v>10266.666666666668</v>
      </c>
      <c r="P297" s="1962">
        <f>(S312*(O312/Q312))</f>
        <v>6160</v>
      </c>
      <c r="Q297" s="1962">
        <v>1776</v>
      </c>
      <c r="R297" s="1961">
        <v>1671.7</v>
      </c>
      <c r="S297" s="1962">
        <f t="shared" si="86"/>
        <v>59039.709207439199</v>
      </c>
      <c r="T297" s="1962">
        <f t="shared" si="86"/>
        <v>29410.539683832332</v>
      </c>
      <c r="U297" s="1962">
        <f>(S297-T297)*H312/1000</f>
        <v>10822.054168497409</v>
      </c>
      <c r="V297" s="1414" t="s">
        <v>45</v>
      </c>
      <c r="W297" s="1944">
        <v>11818.648943162641</v>
      </c>
      <c r="X297" s="1944">
        <v>11818.648943162641</v>
      </c>
      <c r="Y297" s="1944">
        <v>11818.648943162641</v>
      </c>
      <c r="Z297" s="1944">
        <v>11818.648943162641</v>
      </c>
      <c r="AA297" s="1944">
        <v>11818.648943162641</v>
      </c>
      <c r="AB297" s="847">
        <v>11818.65</v>
      </c>
      <c r="AC297" s="1946">
        <v>11818.65</v>
      </c>
      <c r="AD297" s="1946">
        <v>11818.65</v>
      </c>
      <c r="AE297" s="1946">
        <v>11818.65</v>
      </c>
      <c r="AF297" s="271">
        <f>IF(F297&lt;&gt;"",F297,"")</f>
        <v>10822.05</v>
      </c>
      <c r="AG297" s="71"/>
      <c r="AH297"/>
      <c r="AI297" s="1445" t="s">
        <v>49</v>
      </c>
      <c r="AJ297" s="20">
        <v>12</v>
      </c>
      <c r="AK297" s="20">
        <v>12</v>
      </c>
      <c r="AL297" s="20">
        <v>12</v>
      </c>
      <c r="AM297" s="20">
        <v>12</v>
      </c>
      <c r="AN297" s="20">
        <v>12</v>
      </c>
      <c r="AO297" s="17">
        <v>12</v>
      </c>
      <c r="AP297" s="17">
        <v>12</v>
      </c>
      <c r="AQ297" s="17">
        <v>12</v>
      </c>
      <c r="AR297" s="17">
        <v>12</v>
      </c>
      <c r="AS297" s="17">
        <v>12</v>
      </c>
      <c r="AU297" s="1445" t="s">
        <v>50</v>
      </c>
      <c r="AV297" s="710">
        <v>4150</v>
      </c>
      <c r="AW297" s="710">
        <v>4150</v>
      </c>
      <c r="AX297" s="710">
        <v>4150</v>
      </c>
      <c r="AY297" s="710">
        <v>4150</v>
      </c>
      <c r="AZ297" s="710">
        <v>4150</v>
      </c>
      <c r="BA297" s="772">
        <v>4150</v>
      </c>
      <c r="BB297" s="772">
        <v>4150</v>
      </c>
      <c r="BC297" s="772">
        <v>4150</v>
      </c>
      <c r="BD297" s="772">
        <v>4150</v>
      </c>
      <c r="BE297" s="1932">
        <f t="shared" si="87"/>
        <v>2000</v>
      </c>
      <c r="DG297" s="1064">
        <f>(DI297)/(DJ297)</f>
        <v>3.8120982542650035</v>
      </c>
      <c r="DH297" s="673" t="str">
        <f>CONCATENATE(G297," ",J297," Year EUL")</f>
        <v>Cooking BUS 12 Year EUL</v>
      </c>
      <c r="DI297" s="1066">
        <f>(INDEX('Avoided Cost Benefits'!$B$4:$B$865,MATCH(DH297,'Avoided Cost Benefits'!$A$4:$A$865,0)))*F297</f>
        <v>7624.1965085300071</v>
      </c>
      <c r="DJ297" s="1175">
        <f>K297/(1.0686^(2025-2025))</f>
        <v>2000</v>
      </c>
    </row>
    <row r="298" spans="1:114" s="3517" customFormat="1">
      <c r="B298" s="2208">
        <f t="shared" si="85"/>
        <v>802855</v>
      </c>
      <c r="C298" s="3499" t="s">
        <v>414</v>
      </c>
      <c r="D298" s="3509" t="str">
        <f t="shared" ref="D298" si="89">$D$98</f>
        <v>BSS</v>
      </c>
      <c r="E298" s="3639" t="s">
        <v>415</v>
      </c>
      <c r="F298" s="3617">
        <f>ROUND((F313+G313+T313)*H313/1000,2)</f>
        <v>16564.12</v>
      </c>
      <c r="G298" s="3509" t="s">
        <v>407</v>
      </c>
      <c r="H298" s="3511">
        <f>VLOOKUP(G298,'CP FACTORS'!$A$26:$B$38,2,FALSE)</f>
        <v>1.998949E-4</v>
      </c>
      <c r="I298" s="3575">
        <f>ROUND(H298*F298,6)</f>
        <v>3.311083</v>
      </c>
      <c r="J298" s="3698">
        <v>12</v>
      </c>
      <c r="K298" s="3699">
        <v>2000</v>
      </c>
      <c r="L298" s="3615" t="s">
        <v>62</v>
      </c>
      <c r="M298" s="3700">
        <f>((1-I313)*(J313+I313*L313*N313*(O313/P313))*(R313-S313/(L313*N313)))</f>
        <v>74760.427124463531</v>
      </c>
      <c r="N298" s="3700">
        <f>((1-I313)*(K313+I313*M313*N313*(O313/Q313))*(R313-S313/(M313*N313)))</f>
        <v>33621.3108502994</v>
      </c>
      <c r="O298" s="3700">
        <f>(S313*(O313/P313))</f>
        <v>10266.666666666668</v>
      </c>
      <c r="P298" s="3700">
        <f>(S313*(O313/Q313))</f>
        <v>6160</v>
      </c>
      <c r="Q298" s="3700">
        <v>1776</v>
      </c>
      <c r="R298" s="3701">
        <v>1671.7</v>
      </c>
      <c r="S298" s="3700">
        <f t="shared" si="86"/>
        <v>86803.093791130203</v>
      </c>
      <c r="T298" s="3700">
        <f t="shared" si="86"/>
        <v>41453.010850299397</v>
      </c>
      <c r="U298" s="3700">
        <f>(S298-T298)*H313/1000</f>
        <v>16564.117794138452</v>
      </c>
      <c r="V298" s="2460" t="s">
        <v>45</v>
      </c>
      <c r="W298" s="3702">
        <v>11818.648943162641</v>
      </c>
      <c r="X298" s="3702">
        <v>11818.648943162641</v>
      </c>
      <c r="Y298" s="3702">
        <v>11818.648943162641</v>
      </c>
      <c r="Z298" s="3702">
        <v>11818.648943162641</v>
      </c>
      <c r="AA298" s="3702">
        <v>11818.648943162641</v>
      </c>
      <c r="AB298" s="3618">
        <v>11818.65</v>
      </c>
      <c r="AC298" s="3619">
        <v>11818.65</v>
      </c>
      <c r="AD298" s="3619">
        <v>11818.65</v>
      </c>
      <c r="AE298" s="3619">
        <v>11818.65</v>
      </c>
      <c r="AF298" s="2236">
        <f>IF(F298&lt;&gt;"",F298,"")</f>
        <v>16564.12</v>
      </c>
      <c r="AG298" s="2413"/>
      <c r="AH298" s="2237"/>
      <c r="AI298" s="2244" t="s">
        <v>49</v>
      </c>
      <c r="AJ298" s="3506">
        <v>12</v>
      </c>
      <c r="AK298" s="3506">
        <v>12</v>
      </c>
      <c r="AL298" s="3506">
        <v>12</v>
      </c>
      <c r="AM298" s="3506">
        <v>12</v>
      </c>
      <c r="AN298" s="3506">
        <v>12</v>
      </c>
      <c r="AO298" s="2847">
        <v>12</v>
      </c>
      <c r="AP298" s="2847">
        <v>12</v>
      </c>
      <c r="AQ298" s="2847">
        <v>12</v>
      </c>
      <c r="AR298" s="2847">
        <v>12</v>
      </c>
      <c r="AS298" s="2847">
        <v>12</v>
      </c>
      <c r="AU298" s="2244" t="s">
        <v>50</v>
      </c>
      <c r="AV298" s="3521">
        <v>4150</v>
      </c>
      <c r="AW298" s="3521">
        <v>4150</v>
      </c>
      <c r="AX298" s="3521">
        <v>4150</v>
      </c>
      <c r="AY298" s="3521">
        <v>4150</v>
      </c>
      <c r="AZ298" s="3521">
        <v>4150</v>
      </c>
      <c r="BA298" s="3694">
        <v>4150</v>
      </c>
      <c r="BB298" s="3694">
        <v>4150</v>
      </c>
      <c r="BC298" s="3694">
        <v>4150</v>
      </c>
      <c r="BD298" s="3694">
        <v>4150</v>
      </c>
      <c r="BE298" s="3703">
        <f>K298</f>
        <v>2000</v>
      </c>
      <c r="CG298" s="2237"/>
      <c r="CH298" s="2237"/>
      <c r="CI298" s="2237"/>
      <c r="CJ298" s="2237"/>
      <c r="CW298" s="2237"/>
      <c r="CX298" s="2237"/>
      <c r="CY298" s="2237"/>
      <c r="CZ298" s="2237"/>
      <c r="DG298" s="2429">
        <f>(DI298)/(DJ298)</f>
        <v>5.8347589352697531</v>
      </c>
      <c r="DH298" s="2423" t="str">
        <f>CONCATENATE(G298," ",J298," Year EUL")</f>
        <v>Cooking BUS 12 Year EUL</v>
      </c>
      <c r="DI298" s="3704">
        <f>(INDEX('Avoided Cost Benefits'!$B$4:$B$865,MATCH(DH298,'Avoided Cost Benefits'!$A$4:$A$865,0)))*F298</f>
        <v>11669.517870539506</v>
      </c>
      <c r="DJ298" s="3705">
        <f>K298/(1.0686^(2025-2025))</f>
        <v>2000</v>
      </c>
    </row>
    <row r="299" spans="1:114" ht="15" customHeight="1" outlineLevel="1">
      <c r="D299" s="77" t="s">
        <v>118</v>
      </c>
      <c r="E299" s="113" t="s">
        <v>416</v>
      </c>
      <c r="F299" s="8"/>
      <c r="G299" s="8"/>
      <c r="H299" s="471"/>
      <c r="I299" s="8"/>
      <c r="J299" s="8"/>
      <c r="K299" s="8"/>
      <c r="L299" s="8"/>
      <c r="M299" s="1057"/>
      <c r="N299" s="1057"/>
      <c r="O299" s="1057"/>
      <c r="P299" s="1057"/>
      <c r="Q299" s="1057"/>
      <c r="R299" s="1057" t="s">
        <v>417</v>
      </c>
      <c r="S299" s="1962">
        <f>AVERAGE(S294:S298)</f>
        <v>56150.066028040063</v>
      </c>
      <c r="T299" s="1962">
        <f>AVERAGE(T294:T298)</f>
        <v>27111.897357604794</v>
      </c>
      <c r="U299" s="1962">
        <f>AVERAGE(U294:U298)</f>
        <v>10606.191106876484</v>
      </c>
      <c r="BE299" s="1912" t="s">
        <v>418</v>
      </c>
    </row>
    <row r="300" spans="1:114" ht="15" customHeight="1" outlineLevel="1">
      <c r="D300" s="8" t="s">
        <v>120</v>
      </c>
      <c r="E300" s="66"/>
      <c r="F300" s="8"/>
      <c r="G300" s="8"/>
      <c r="H300" s="471"/>
      <c r="I300" s="8"/>
      <c r="J300" s="8"/>
      <c r="K300" s="66"/>
      <c r="M300" s="1960"/>
      <c r="N300" s="1960"/>
      <c r="O300" s="1960"/>
      <c r="P300" s="1960"/>
      <c r="Q300" s="1960"/>
      <c r="R300" s="1960"/>
      <c r="S300" s="1960"/>
      <c r="T300" s="1960"/>
      <c r="U300" s="1960"/>
    </row>
    <row r="301" spans="1:114" ht="15" customHeight="1" outlineLevel="1">
      <c r="E301" s="66"/>
      <c r="F301" s="8"/>
      <c r="G301" s="8"/>
      <c r="H301" s="471"/>
      <c r="I301" s="8"/>
      <c r="J301" s="8"/>
      <c r="K301" s="66"/>
    </row>
    <row r="302" spans="1:114" ht="15" customHeight="1" outlineLevel="1">
      <c r="D302" s="472"/>
      <c r="E302" s="66"/>
      <c r="F302" s="66"/>
      <c r="G302" s="265"/>
      <c r="H302" s="473"/>
    </row>
    <row r="303" spans="1:114" ht="21" customHeight="1" outlineLevel="1">
      <c r="D303" s="472"/>
      <c r="G303" s="265"/>
      <c r="H303" s="473"/>
      <c r="P303" s="1959"/>
      <c r="Q303" s="1981">
        <f>M294-N294</f>
        <v>16003.290197712733</v>
      </c>
      <c r="R303" s="1642">
        <f>O294-P294</f>
        <v>4106.6666666666679</v>
      </c>
      <c r="S303" s="1642">
        <f>Q294-R294</f>
        <v>104.29999999999995</v>
      </c>
      <c r="U303" s="466">
        <f>Q303+R303+S303</f>
        <v>20214.2568643794</v>
      </c>
    </row>
    <row r="304" spans="1:114" ht="21" customHeight="1" outlineLevel="1">
      <c r="D304" s="472"/>
      <c r="G304" s="265"/>
      <c r="H304" s="473"/>
      <c r="M304" s="8"/>
      <c r="P304" s="1959"/>
      <c r="Q304" s="1959"/>
      <c r="U304" s="1642">
        <f>U303*365.25/1000</f>
        <v>7383.2573197145757</v>
      </c>
    </row>
    <row r="305" spans="1:114" ht="21" customHeight="1" outlineLevel="1">
      <c r="D305" s="472"/>
      <c r="G305" s="265"/>
      <c r="H305" s="473"/>
      <c r="M305" s="8"/>
      <c r="P305" s="1959"/>
      <c r="Q305" s="1959"/>
    </row>
    <row r="306" spans="1:114" ht="15" customHeight="1" outlineLevel="1">
      <c r="D306" s="472"/>
      <c r="G306" s="265"/>
      <c r="H306" s="473"/>
      <c r="M306" s="8"/>
      <c r="T306" s="498"/>
    </row>
    <row r="307" spans="1:114" ht="15" customHeight="1" outlineLevel="1">
      <c r="D307" s="472"/>
      <c r="G307" s="265"/>
      <c r="H307" s="473"/>
    </row>
    <row r="308" spans="1:114" s="9" customFormat="1" ht="30" customHeight="1" outlineLevel="1">
      <c r="A308" s="2"/>
      <c r="C308" s="66"/>
      <c r="D308" s="1365" t="s">
        <v>42</v>
      </c>
      <c r="E308" s="1365" t="s">
        <v>275</v>
      </c>
      <c r="F308" s="32" t="s">
        <v>419</v>
      </c>
      <c r="G308" s="1365" t="s">
        <v>420</v>
      </c>
      <c r="H308" s="1365" t="s">
        <v>421</v>
      </c>
      <c r="I308" s="1365" t="s">
        <v>422</v>
      </c>
      <c r="J308" s="1360" t="s">
        <v>423</v>
      </c>
      <c r="K308" s="1360" t="s">
        <v>424</v>
      </c>
      <c r="L308" s="1360" t="s">
        <v>425</v>
      </c>
      <c r="M308" s="1360" t="s">
        <v>426</v>
      </c>
      <c r="N308" s="1360" t="s">
        <v>427</v>
      </c>
      <c r="O308" s="1360" t="s">
        <v>428</v>
      </c>
      <c r="P308" s="1360" t="s">
        <v>372</v>
      </c>
      <c r="Q308" s="1360" t="s">
        <v>429</v>
      </c>
      <c r="R308" s="1360" t="s">
        <v>173</v>
      </c>
      <c r="S308" s="1432" t="s">
        <v>430</v>
      </c>
      <c r="T308" s="1950" t="s">
        <v>431</v>
      </c>
      <c r="U308" s="122"/>
      <c r="V308" s="668" t="s">
        <v>52</v>
      </c>
      <c r="W308" s="669">
        <f>$W$8</f>
        <v>43252</v>
      </c>
      <c r="X308" s="669">
        <f>$X$8</f>
        <v>43465</v>
      </c>
      <c r="Y308" s="669">
        <f>$Y$8</f>
        <v>43800</v>
      </c>
      <c r="Z308" s="669">
        <f>$Z$8</f>
        <v>43862</v>
      </c>
      <c r="AA308" s="669">
        <f>$AA$8</f>
        <v>44013</v>
      </c>
      <c r="AB308" s="669">
        <v>44166</v>
      </c>
      <c r="AC308" s="669">
        <f>$AC$8</f>
        <v>44531</v>
      </c>
      <c r="AD308" s="669">
        <f>$AD$8</f>
        <v>44774</v>
      </c>
      <c r="AE308" s="669">
        <f>$AE$8</f>
        <v>45142</v>
      </c>
      <c r="AF308" s="669">
        <f>$AF$8</f>
        <v>45672</v>
      </c>
      <c r="AI308" s="668" t="s">
        <v>52</v>
      </c>
      <c r="AJ308" s="669">
        <f>$W$8</f>
        <v>43252</v>
      </c>
      <c r="AK308" s="669">
        <f>$X$8</f>
        <v>43465</v>
      </c>
      <c r="AL308" s="669">
        <f>$Y$8</f>
        <v>43800</v>
      </c>
      <c r="AM308" s="669">
        <f>$Z$8</f>
        <v>43862</v>
      </c>
      <c r="AN308" s="669">
        <f>$AA$8</f>
        <v>44013</v>
      </c>
      <c r="AO308" s="669">
        <v>44166</v>
      </c>
      <c r="AP308" s="669">
        <f>$AC$8</f>
        <v>44531</v>
      </c>
      <c r="AQ308" s="669">
        <f>$AD$8</f>
        <v>44774</v>
      </c>
      <c r="AR308" s="669">
        <f>$AE$8</f>
        <v>45142</v>
      </c>
      <c r="AS308" s="669">
        <f>$AF$8</f>
        <v>45672</v>
      </c>
      <c r="AT308" s="2"/>
      <c r="AU308" s="668" t="s">
        <v>52</v>
      </c>
      <c r="AV308" s="669">
        <f>$W$8</f>
        <v>43252</v>
      </c>
      <c r="AW308" s="669">
        <f>$X$8</f>
        <v>43465</v>
      </c>
      <c r="AX308" s="669">
        <f>$Y$8</f>
        <v>43800</v>
      </c>
      <c r="AY308" s="669">
        <f>$Z$8</f>
        <v>43862</v>
      </c>
      <c r="AZ308" s="669">
        <f>$AA$8</f>
        <v>44013</v>
      </c>
      <c r="BA308" s="669">
        <v>44166</v>
      </c>
      <c r="BB308" s="669">
        <f>$AC$8</f>
        <v>44531</v>
      </c>
      <c r="BC308" s="669">
        <f>$AD$8</f>
        <v>44774</v>
      </c>
      <c r="BD308" s="669">
        <f>$AE$8</f>
        <v>45142</v>
      </c>
      <c r="BE308" s="669">
        <f>$AF$8</f>
        <v>45672</v>
      </c>
      <c r="DE308" s="2"/>
      <c r="DF308" s="2"/>
      <c r="DG308" s="1065"/>
      <c r="DH308" s="122"/>
      <c r="DI308" s="122"/>
      <c r="DJ308" s="1168"/>
    </row>
    <row r="309" spans="1:114" ht="15" customHeight="1" outlineLevel="1">
      <c r="D309" s="679" t="str">
        <f>C294</f>
        <v>802700_2024_12_</v>
      </c>
      <c r="E309" s="679" t="str">
        <f>E294</f>
        <v>3 Pan ENERGY STAR Steam Cooker</v>
      </c>
      <c r="F309" s="501">
        <f>((1-I309)*(J309+I309*L309*N309*(O309/P309))*(R309-S309/(L309*N309)))-((1-I309)*(K309+I309*M309*N309*(O309/Q309))*(R309-S309/(M309*N309)))</f>
        <v>16003.290197712733</v>
      </c>
      <c r="G309" s="503">
        <f>(S309*(O309/P309))-(S309*(O309/Q309))</f>
        <v>4106.6666666666679</v>
      </c>
      <c r="H309" s="2041">
        <v>365.25</v>
      </c>
      <c r="I309" s="2024">
        <v>0.4</v>
      </c>
      <c r="J309" s="1630">
        <v>1200</v>
      </c>
      <c r="K309" s="2030">
        <v>400</v>
      </c>
      <c r="L309" s="493">
        <v>23.3</v>
      </c>
      <c r="M309" s="2042">
        <v>16.7</v>
      </c>
      <c r="N309" s="2030">
        <v>3</v>
      </c>
      <c r="O309" s="493">
        <v>30.8</v>
      </c>
      <c r="P309" s="1951">
        <v>0.3</v>
      </c>
      <c r="Q309" s="2024">
        <v>0.5</v>
      </c>
      <c r="R309" s="2018">
        <v>12</v>
      </c>
      <c r="S309" s="2027">
        <v>100</v>
      </c>
      <c r="T309" s="2043">
        <v>104.3</v>
      </c>
      <c r="V309" s="1414" t="s">
        <v>423</v>
      </c>
      <c r="W309" s="55"/>
      <c r="X309" s="55"/>
      <c r="Y309" s="55">
        <v>1100</v>
      </c>
      <c r="Z309" s="55">
        <v>1100</v>
      </c>
      <c r="AA309" s="55">
        <v>1100</v>
      </c>
      <c r="AB309" s="55">
        <v>1100</v>
      </c>
      <c r="AC309" s="55">
        <v>1100</v>
      </c>
      <c r="AD309" s="55">
        <v>1100</v>
      </c>
      <c r="AE309" s="55">
        <v>1100</v>
      </c>
      <c r="AF309" s="271">
        <f>IF(F309&lt;&gt;"",F309,"")</f>
        <v>16003.290197712733</v>
      </c>
      <c r="AI309" s="1414" t="s">
        <v>372</v>
      </c>
      <c r="AJ309" s="55"/>
      <c r="AK309" s="55"/>
      <c r="AL309" s="55">
        <v>0.28000000000000003</v>
      </c>
      <c r="AM309" s="55">
        <v>0.28000000000000003</v>
      </c>
      <c r="AN309" s="55">
        <v>0.28000000000000003</v>
      </c>
      <c r="AO309" s="55">
        <v>0.28000000000000003</v>
      </c>
      <c r="AP309" s="55">
        <v>0.28000000000000003</v>
      </c>
      <c r="AQ309" s="55">
        <v>0.28000000000000003</v>
      </c>
      <c r="AR309" s="55">
        <v>0.28000000000000003</v>
      </c>
      <c r="AS309" s="737">
        <v>0.3</v>
      </c>
      <c r="AU309" s="1414" t="s">
        <v>432</v>
      </c>
      <c r="AV309" s="55"/>
      <c r="AW309" s="55"/>
      <c r="AX309" s="55"/>
      <c r="AY309" s="55"/>
      <c r="AZ309" s="55"/>
      <c r="BA309" s="54"/>
      <c r="BB309" s="737"/>
      <c r="BC309" s="737"/>
      <c r="BD309" s="737"/>
      <c r="BE309" s="737">
        <f>AF309</f>
        <v>16003.290197712733</v>
      </c>
    </row>
    <row r="310" spans="1:114" ht="15" customHeight="1" outlineLevel="1">
      <c r="D310" s="679" t="str">
        <f>C295</f>
        <v>802750_2024_12_</v>
      </c>
      <c r="E310" s="679" t="str">
        <f>E295</f>
        <v>4 Pan ENERGY STAR Steam Cooker</v>
      </c>
      <c r="F310" s="501">
        <f>((1-I310)*(J310+I310*L310*N310*(O310/P310))*(R310-S310/(L310*N310)))-((1-I310)*(K310+I310*M310*N310*(O310/Q310))*(R310-S310/(M310*N310)))</f>
        <v>19248.437315350413</v>
      </c>
      <c r="G310" s="503">
        <f>(S310*(O310/P310))-(S310*(O310/Q310))</f>
        <v>4106.6666666666679</v>
      </c>
      <c r="H310" s="2041">
        <v>365.25</v>
      </c>
      <c r="I310" s="2024">
        <v>0.4</v>
      </c>
      <c r="J310" s="1630">
        <v>1200</v>
      </c>
      <c r="K310" s="2030">
        <v>530</v>
      </c>
      <c r="L310" s="493">
        <v>23.3</v>
      </c>
      <c r="M310" s="2042">
        <v>16.7</v>
      </c>
      <c r="N310" s="2030">
        <v>4</v>
      </c>
      <c r="O310" s="493">
        <v>30.8</v>
      </c>
      <c r="P310" s="1951">
        <v>0.3</v>
      </c>
      <c r="Q310" s="2024">
        <v>0.5</v>
      </c>
      <c r="R310" s="2018">
        <v>12</v>
      </c>
      <c r="S310" s="2027">
        <v>100</v>
      </c>
      <c r="T310" s="2043">
        <v>104.3</v>
      </c>
      <c r="V310" s="1414" t="s">
        <v>423</v>
      </c>
      <c r="W310" s="55"/>
      <c r="X310" s="55"/>
      <c r="Y310" s="55">
        <v>1100</v>
      </c>
      <c r="Z310" s="55">
        <v>1100</v>
      </c>
      <c r="AA310" s="55">
        <v>1100</v>
      </c>
      <c r="AB310" s="55">
        <v>1100</v>
      </c>
      <c r="AC310" s="55">
        <v>1100</v>
      </c>
      <c r="AD310" s="55">
        <v>1100</v>
      </c>
      <c r="AE310" s="55">
        <v>1100</v>
      </c>
      <c r="AF310" s="271">
        <f>IF(F310&lt;&gt;"",F310,"")</f>
        <v>19248.437315350413</v>
      </c>
      <c r="AI310" s="1414" t="s">
        <v>372</v>
      </c>
      <c r="AJ310" s="55"/>
      <c r="AK310" s="55"/>
      <c r="AL310" s="55">
        <v>0.28000000000000003</v>
      </c>
      <c r="AM310" s="55">
        <v>0.28000000000000003</v>
      </c>
      <c r="AN310" s="55">
        <v>0.28000000000000003</v>
      </c>
      <c r="AO310" s="55">
        <v>0.28000000000000003</v>
      </c>
      <c r="AP310" s="55">
        <v>0.28000000000000003</v>
      </c>
      <c r="AQ310" s="55">
        <v>0.28000000000000003</v>
      </c>
      <c r="AR310" s="55">
        <v>0.28000000000000003</v>
      </c>
      <c r="AS310" s="737">
        <v>0.3</v>
      </c>
      <c r="AU310" s="1414" t="s">
        <v>432</v>
      </c>
      <c r="AV310" s="55"/>
      <c r="AW310" s="55"/>
      <c r="AX310" s="55"/>
      <c r="AY310" s="55"/>
      <c r="AZ310" s="55"/>
      <c r="BA310" s="54"/>
      <c r="BB310" s="737"/>
      <c r="BC310" s="737"/>
      <c r="BD310" s="737"/>
      <c r="BE310" s="737">
        <f>AF310</f>
        <v>19248.437315350413</v>
      </c>
    </row>
    <row r="311" spans="1:114" ht="15" customHeight="1" outlineLevel="1">
      <c r="D311" s="679" t="str">
        <f>C296</f>
        <v>802800_2024_12_</v>
      </c>
      <c r="E311" s="679" t="str">
        <f>E296</f>
        <v>5 Pan ENERGY STAR Steam Cooker</v>
      </c>
      <c r="F311" s="501">
        <f t="shared" ref="F311:F312" si="90">((1-I311)*(J311+I311*L311*N311*(O311/P311))*(R311-S311/(L311*N311)))-((1-I311)*(K311+I311*M311*N311*(O311/Q311))*(R311-S311/(M311*N311)))</f>
        <v>22326.963374675546</v>
      </c>
      <c r="G311" s="503">
        <f>(S311*(O311/P311))-(S311*(O311/Q311))</f>
        <v>4106.6666666666679</v>
      </c>
      <c r="H311" s="2041">
        <v>365.25</v>
      </c>
      <c r="I311" s="2024">
        <v>0.4</v>
      </c>
      <c r="J311" s="1630">
        <v>1200</v>
      </c>
      <c r="K311" s="2030">
        <v>670</v>
      </c>
      <c r="L311" s="493">
        <v>23.3</v>
      </c>
      <c r="M311" s="2042">
        <v>16.7</v>
      </c>
      <c r="N311" s="2030">
        <v>5</v>
      </c>
      <c r="O311" s="493">
        <v>30.8</v>
      </c>
      <c r="P311" s="1951">
        <v>0.3</v>
      </c>
      <c r="Q311" s="2024">
        <v>0.5</v>
      </c>
      <c r="R311" s="2018">
        <v>12</v>
      </c>
      <c r="S311" s="2027">
        <v>100</v>
      </c>
      <c r="T311" s="2043">
        <v>104.3</v>
      </c>
      <c r="V311" s="1414" t="s">
        <v>423</v>
      </c>
      <c r="W311" s="55"/>
      <c r="X311" s="55"/>
      <c r="Y311" s="55">
        <v>1100</v>
      </c>
      <c r="Z311" s="55">
        <v>1100</v>
      </c>
      <c r="AA311" s="55">
        <v>1100</v>
      </c>
      <c r="AB311" s="55">
        <v>1100</v>
      </c>
      <c r="AC311" s="55">
        <v>1100</v>
      </c>
      <c r="AD311" s="55">
        <v>1100</v>
      </c>
      <c r="AE311" s="55">
        <v>1100</v>
      </c>
      <c r="AF311" s="271">
        <f>IF(F311&lt;&gt;"",F311,"")</f>
        <v>22326.963374675546</v>
      </c>
      <c r="AI311" s="1414" t="s">
        <v>372</v>
      </c>
      <c r="AJ311" s="55"/>
      <c r="AK311" s="55"/>
      <c r="AL311" s="55">
        <v>0.28000000000000003</v>
      </c>
      <c r="AM311" s="55">
        <v>0.28000000000000003</v>
      </c>
      <c r="AN311" s="55">
        <v>0.28000000000000003</v>
      </c>
      <c r="AO311" s="55">
        <v>0.28000000000000003</v>
      </c>
      <c r="AP311" s="55">
        <v>0.28000000000000003</v>
      </c>
      <c r="AQ311" s="55">
        <v>0.28000000000000003</v>
      </c>
      <c r="AR311" s="55">
        <v>0.28000000000000003</v>
      </c>
      <c r="AS311" s="737">
        <v>0.3</v>
      </c>
      <c r="AU311" s="1414" t="s">
        <v>432</v>
      </c>
      <c r="AV311" s="55"/>
      <c r="AW311" s="55"/>
      <c r="AX311" s="55"/>
      <c r="AY311" s="55"/>
      <c r="AZ311" s="55"/>
      <c r="BA311" s="54"/>
      <c r="BB311" s="737"/>
      <c r="BC311" s="737"/>
      <c r="BD311" s="737"/>
      <c r="BE311" s="737">
        <f>AF311</f>
        <v>22326.963374675546</v>
      </c>
    </row>
    <row r="312" spans="1:114" ht="15" customHeight="1" outlineLevel="1">
      <c r="D312" s="679" t="str">
        <f>C297</f>
        <v>802850_2024_12_</v>
      </c>
      <c r="E312" s="679" t="str">
        <f>E297</f>
        <v>6 Pan ENERGY STAR Steam Cooker</v>
      </c>
      <c r="F312" s="501">
        <f t="shared" si="90"/>
        <v>25418.202856940203</v>
      </c>
      <c r="G312" s="503">
        <f>(S312*(O312/P312))-(S312*(O312/Q312))</f>
        <v>4106.6666666666679</v>
      </c>
      <c r="H312" s="2041">
        <v>365.25</v>
      </c>
      <c r="I312" s="2024">
        <v>0.4</v>
      </c>
      <c r="J312" s="1630">
        <v>1200</v>
      </c>
      <c r="K312" s="2030">
        <v>800</v>
      </c>
      <c r="L312" s="493">
        <v>23.3</v>
      </c>
      <c r="M312" s="2042">
        <v>16.7</v>
      </c>
      <c r="N312" s="2030">
        <v>6</v>
      </c>
      <c r="O312" s="493">
        <v>30.8</v>
      </c>
      <c r="P312" s="1951">
        <v>0.3</v>
      </c>
      <c r="Q312" s="2024">
        <v>0.5</v>
      </c>
      <c r="R312" s="2018">
        <v>12</v>
      </c>
      <c r="S312" s="2027">
        <v>100</v>
      </c>
      <c r="T312" s="2043">
        <v>104.3</v>
      </c>
      <c r="V312" s="1414" t="s">
        <v>423</v>
      </c>
      <c r="W312" s="55"/>
      <c r="X312" s="55"/>
      <c r="Y312" s="55">
        <v>1100</v>
      </c>
      <c r="Z312" s="55">
        <v>1100</v>
      </c>
      <c r="AA312" s="55">
        <v>1100</v>
      </c>
      <c r="AB312" s="55">
        <v>1100</v>
      </c>
      <c r="AC312" s="55">
        <v>1100</v>
      </c>
      <c r="AD312" s="55">
        <v>1100</v>
      </c>
      <c r="AE312" s="55">
        <v>1100</v>
      </c>
      <c r="AF312" s="271">
        <f>IF(F312&lt;&gt;"",F312,"")</f>
        <v>25418.202856940203</v>
      </c>
      <c r="AI312" s="1414" t="s">
        <v>372</v>
      </c>
      <c r="AJ312" s="55"/>
      <c r="AK312" s="55"/>
      <c r="AL312" s="55">
        <v>0.28000000000000003</v>
      </c>
      <c r="AM312" s="55">
        <v>0.28000000000000003</v>
      </c>
      <c r="AN312" s="55">
        <v>0.28000000000000003</v>
      </c>
      <c r="AO312" s="55">
        <v>0.28000000000000003</v>
      </c>
      <c r="AP312" s="55">
        <v>0.28000000000000003</v>
      </c>
      <c r="AQ312" s="55">
        <v>0.28000000000000003</v>
      </c>
      <c r="AR312" s="55">
        <v>0.28000000000000003</v>
      </c>
      <c r="AS312" s="737">
        <v>0.3</v>
      </c>
      <c r="AU312" s="1414" t="s">
        <v>432</v>
      </c>
      <c r="AV312" s="55"/>
      <c r="AW312" s="55"/>
      <c r="AX312" s="55"/>
      <c r="AY312" s="55"/>
      <c r="AZ312" s="55"/>
      <c r="BA312" s="54"/>
      <c r="BB312" s="737"/>
      <c r="BC312" s="737"/>
      <c r="BD312" s="737"/>
      <c r="BE312" s="737">
        <f>AF312</f>
        <v>25418.202856940203</v>
      </c>
    </row>
    <row r="313" spans="1:114" s="3517" customFormat="1" ht="15" customHeight="1" outlineLevel="1">
      <c r="C313" s="3564"/>
      <c r="D313" s="3598" t="str">
        <f>C298</f>
        <v>802855_2024_12_</v>
      </c>
      <c r="E313" s="3598" t="str">
        <f>E298</f>
        <v>10 Pan ENERGY STAR Steam Cooker</v>
      </c>
      <c r="F313" s="3706">
        <f>((1-I313)*(J313+I313*L313*N313*(O313/P313))*(R313-S313/(L313*N313)))-((1-I313)*(K313+I313*M313*N313*(O313/Q313))*(R313-S313/(M313*N313)))</f>
        <v>41139.116274164131</v>
      </c>
      <c r="G313" s="3707">
        <f>(S313*(O313/P313))-(S313*(O313/Q313))</f>
        <v>4106.6666666666679</v>
      </c>
      <c r="H313" s="3708">
        <v>365.25</v>
      </c>
      <c r="I313" s="3709">
        <v>0.4</v>
      </c>
      <c r="J313" s="3710">
        <v>1200</v>
      </c>
      <c r="K313" s="3711">
        <v>800</v>
      </c>
      <c r="L313" s="3712">
        <v>23.3</v>
      </c>
      <c r="M313" s="3713">
        <v>16.7</v>
      </c>
      <c r="N313" s="3711">
        <v>10</v>
      </c>
      <c r="O313" s="3712">
        <v>30.8</v>
      </c>
      <c r="P313" s="3714">
        <v>0.3</v>
      </c>
      <c r="Q313" s="3709">
        <v>0.5</v>
      </c>
      <c r="R313" s="3664">
        <v>12</v>
      </c>
      <c r="S313" s="3715">
        <v>100</v>
      </c>
      <c r="T313" s="3716">
        <v>104.3</v>
      </c>
      <c r="U313" s="3528"/>
      <c r="V313" s="2460" t="s">
        <v>423</v>
      </c>
      <c r="W313" s="3224"/>
      <c r="X313" s="3224"/>
      <c r="Y313" s="3224"/>
      <c r="Z313" s="3224"/>
      <c r="AA313" s="3224"/>
      <c r="AB313" s="3223"/>
      <c r="AC313" s="3374"/>
      <c r="AD313" s="3374"/>
      <c r="AE313" s="3374"/>
      <c r="AF313" s="2236">
        <f>IF(F313&lt;&gt;"",F313,"")</f>
        <v>41139.116274164131</v>
      </c>
      <c r="AI313" s="2460" t="s">
        <v>372</v>
      </c>
      <c r="AJ313" s="3224"/>
      <c r="AK313" s="3224"/>
      <c r="AL313" s="3224"/>
      <c r="AM313" s="3224"/>
      <c r="AN313" s="3224"/>
      <c r="AO313" s="3223"/>
      <c r="AP313" s="3374"/>
      <c r="AQ313" s="3374"/>
      <c r="AR313" s="3374"/>
      <c r="AS313" s="3374">
        <v>0.3</v>
      </c>
      <c r="AU313" s="2460" t="s">
        <v>432</v>
      </c>
      <c r="AV313" s="3224"/>
      <c r="AW313" s="3224"/>
      <c r="AX313" s="3224"/>
      <c r="AY313" s="3224"/>
      <c r="AZ313" s="3224"/>
      <c r="BA313" s="3223"/>
      <c r="BB313" s="3374"/>
      <c r="BC313" s="3374"/>
      <c r="BD313" s="3374"/>
      <c r="BE313" s="3374">
        <f>AF313</f>
        <v>41139.116274164131</v>
      </c>
      <c r="CG313" s="2237"/>
      <c r="CH313" s="2237"/>
      <c r="CI313" s="2237"/>
      <c r="CJ313" s="2237"/>
      <c r="CW313" s="2237"/>
      <c r="CX313" s="2237"/>
      <c r="CY313" s="2237"/>
      <c r="CZ313" s="2237"/>
      <c r="DG313" s="3551"/>
      <c r="DH313" s="3528"/>
      <c r="DI313" s="3528"/>
      <c r="DJ313" s="3552"/>
    </row>
    <row r="314" spans="1:114">
      <c r="H314" s="1929"/>
      <c r="I314" s="1914" t="s">
        <v>433</v>
      </c>
      <c r="J314" s="1914" t="s">
        <v>434</v>
      </c>
      <c r="K314" s="1914" t="s">
        <v>433</v>
      </c>
      <c r="L314" s="1914" t="s">
        <v>433</v>
      </c>
      <c r="M314" s="1914" t="s">
        <v>433</v>
      </c>
      <c r="N314" s="1914"/>
      <c r="O314" s="1914" t="s">
        <v>433</v>
      </c>
      <c r="P314" s="1914" t="s">
        <v>433</v>
      </c>
      <c r="Q314" s="1914" t="s">
        <v>433</v>
      </c>
      <c r="R314" s="1914" t="s">
        <v>204</v>
      </c>
      <c r="S314" s="1914" t="s">
        <v>433</v>
      </c>
      <c r="T314" s="1914" t="s">
        <v>433</v>
      </c>
    </row>
    <row r="316" spans="1:114" s="8" customFormat="1">
      <c r="A316" s="2"/>
      <c r="B316" s="3996" t="s">
        <v>435</v>
      </c>
      <c r="C316" s="3997"/>
      <c r="D316" s="3997"/>
      <c r="E316" s="3997"/>
      <c r="F316" s="3997"/>
      <c r="G316" s="3997"/>
      <c r="H316" s="3997"/>
      <c r="I316" s="4828"/>
      <c r="J316" s="4828"/>
      <c r="K316" s="4828"/>
      <c r="L316" s="4828"/>
      <c r="M316" s="4829"/>
      <c r="N316" s="4829"/>
      <c r="O316" s="4830"/>
      <c r="V316" s="1363" t="str">
        <f>B316</f>
        <v>Holding Cabinet</v>
      </c>
      <c r="W316" s="1364"/>
      <c r="X316" s="1364"/>
      <c r="Y316" s="1364"/>
      <c r="Z316" s="1364"/>
      <c r="AA316" s="1364"/>
      <c r="AB316" s="1364"/>
      <c r="AC316" s="1364"/>
      <c r="AD316" s="1364"/>
      <c r="AE316" s="1364"/>
      <c r="AF316" s="1364"/>
      <c r="AG316" s="1364"/>
      <c r="AH316" s="1364"/>
      <c r="AI316" s="1397"/>
      <c r="AJ316" s="2"/>
      <c r="AK316" s="2"/>
      <c r="AL316" s="2"/>
      <c r="AM316" s="2"/>
      <c r="AN316" s="2"/>
      <c r="AO316" s="2"/>
      <c r="AP316" s="2"/>
      <c r="AQ316" s="2"/>
      <c r="AR316" s="2"/>
      <c r="AS316" s="2"/>
      <c r="AT316" s="2"/>
      <c r="AU316" s="2"/>
      <c r="DE316" s="2"/>
      <c r="DF316" s="2"/>
      <c r="DG316" s="24"/>
      <c r="DJ316" s="1102"/>
    </row>
    <row r="317" spans="1:114">
      <c r="D317" s="461"/>
      <c r="E317" s="8"/>
      <c r="F317" s="8"/>
      <c r="G317" s="8"/>
      <c r="H317" s="462"/>
      <c r="I317" s="8"/>
      <c r="J317" s="8"/>
      <c r="K317" s="8"/>
      <c r="L317" s="8"/>
      <c r="P317" s="8"/>
      <c r="Q317" s="8"/>
      <c r="R317" s="8" t="s">
        <v>204</v>
      </c>
      <c r="S317" s="8"/>
      <c r="T317" s="8"/>
      <c r="U317" s="8"/>
      <c r="V317"/>
      <c r="W317"/>
      <c r="X317"/>
      <c r="Y317"/>
      <c r="Z317"/>
      <c r="AA317"/>
      <c r="AB317"/>
      <c r="AC317"/>
      <c r="AD317"/>
      <c r="AE317"/>
      <c r="AF317"/>
      <c r="AG317"/>
      <c r="AH317"/>
      <c r="AI317"/>
      <c r="AJ317" s="7"/>
      <c r="AK317" s="7"/>
      <c r="AL317" s="7"/>
      <c r="AM317" s="7"/>
      <c r="AN317" s="7"/>
      <c r="AO317" s="7"/>
      <c r="AP317" s="7"/>
      <c r="AQ317" s="7"/>
      <c r="AR317" s="7"/>
      <c r="AS317" s="7"/>
      <c r="AT317" s="7"/>
      <c r="AU317" s="7"/>
    </row>
    <row r="318" spans="1:114" s="9" customFormat="1" ht="30">
      <c r="A318" s="2"/>
      <c r="B318" s="7"/>
      <c r="C318" s="10" t="s">
        <v>42</v>
      </c>
      <c r="D318" s="10" t="s">
        <v>43</v>
      </c>
      <c r="E318" s="1432" t="s">
        <v>44</v>
      </c>
      <c r="F318" s="1432" t="s">
        <v>45</v>
      </c>
      <c r="G318" s="1432" t="s">
        <v>46</v>
      </c>
      <c r="H318" s="11" t="s">
        <v>47</v>
      </c>
      <c r="I318" s="1432" t="s">
        <v>48</v>
      </c>
      <c r="J318" s="1432" t="s">
        <v>49</v>
      </c>
      <c r="K318" s="10" t="s">
        <v>50</v>
      </c>
      <c r="L318" s="10" t="s">
        <v>51</v>
      </c>
      <c r="M318" s="265"/>
      <c r="N318" s="265"/>
      <c r="O318" s="265"/>
      <c r="P318" s="122"/>
      <c r="Q318" s="122"/>
      <c r="R318" s="122"/>
      <c r="S318" s="122"/>
      <c r="T318" s="122"/>
      <c r="U318" s="122"/>
      <c r="V318" s="668" t="s">
        <v>52</v>
      </c>
      <c r="W318" s="669">
        <f>$W$8</f>
        <v>43252</v>
      </c>
      <c r="X318" s="669">
        <f>$X$8</f>
        <v>43465</v>
      </c>
      <c r="Y318" s="669">
        <f>$Y$8</f>
        <v>43800</v>
      </c>
      <c r="Z318" s="669">
        <f>$Z$8</f>
        <v>43862</v>
      </c>
      <c r="AA318" s="669">
        <f>$AA$8</f>
        <v>44013</v>
      </c>
      <c r="AB318" s="669">
        <v>44166</v>
      </c>
      <c r="AC318" s="669">
        <f>$AC$8</f>
        <v>44531</v>
      </c>
      <c r="AD318" s="669">
        <f>$AD$8</f>
        <v>44774</v>
      </c>
      <c r="AE318" s="669">
        <f>$AE$8</f>
        <v>45142</v>
      </c>
      <c r="AF318" s="669">
        <f>$AF$8</f>
        <v>45672</v>
      </c>
      <c r="AG318" s="669" t="str">
        <f>$AG$8</f>
        <v>-</v>
      </c>
      <c r="AH318"/>
      <c r="AI318" s="668" t="s">
        <v>52</v>
      </c>
      <c r="AJ318" s="669">
        <v>43252</v>
      </c>
      <c r="AK318" s="669">
        <f>$X$8</f>
        <v>43465</v>
      </c>
      <c r="AL318" s="669">
        <f>$Y$8</f>
        <v>43800</v>
      </c>
      <c r="AM318" s="669">
        <f>$Z$8</f>
        <v>43862</v>
      </c>
      <c r="AN318" s="669">
        <f>$AA$8</f>
        <v>44013</v>
      </c>
      <c r="AO318" s="669">
        <f>$AB$8</f>
        <v>44166</v>
      </c>
      <c r="AP318" s="669">
        <f>$AC$8</f>
        <v>44531</v>
      </c>
      <c r="AQ318" s="669">
        <f>$AD$8</f>
        <v>44774</v>
      </c>
      <c r="AR318" s="669">
        <f>$AE$8</f>
        <v>45142</v>
      </c>
      <c r="AS318" s="669">
        <f>$AF$8</f>
        <v>45672</v>
      </c>
      <c r="AT318" s="2"/>
      <c r="AU318" s="668" t="s">
        <v>52</v>
      </c>
      <c r="AV318" s="669">
        <v>43252</v>
      </c>
      <c r="AW318" s="669">
        <f>$X$8</f>
        <v>43465</v>
      </c>
      <c r="AX318" s="669">
        <f>$Y$8</f>
        <v>43800</v>
      </c>
      <c r="AY318" s="669">
        <f>$Z$8</f>
        <v>43862</v>
      </c>
      <c r="AZ318" s="669">
        <f>$AA$8</f>
        <v>44013</v>
      </c>
      <c r="BA318" s="669">
        <v>44166</v>
      </c>
      <c r="BB318" s="669">
        <f>$AC$8</f>
        <v>44531</v>
      </c>
      <c r="BC318" s="669">
        <f>$AD$8</f>
        <v>44774</v>
      </c>
      <c r="BD318" s="669">
        <f>$AE$8</f>
        <v>45142</v>
      </c>
      <c r="BE318" s="669">
        <f>$AF$8</f>
        <v>45672</v>
      </c>
      <c r="DE318" s="2"/>
      <c r="DF318" s="2"/>
      <c r="DG318" s="1060" t="str">
        <f>$DG$8</f>
        <v>TRC (2025)</v>
      </c>
      <c r="DH318" s="811" t="str">
        <f>$DH$8</f>
        <v>Benefit Lookup</v>
      </c>
      <c r="DI318" s="811" t="str">
        <f>$DI$8</f>
        <v>Benefits (2025 $)</v>
      </c>
      <c r="DJ318" s="1172" t="str">
        <f>$DJ$8</f>
        <v>Incremental Cost (2025 $)</v>
      </c>
    </row>
    <row r="319" spans="1:114">
      <c r="B319" s="1454">
        <f t="shared" ref="B319:B321" si="91">VALUE(LEFT(C319,6))</f>
        <v>802900</v>
      </c>
      <c r="C319" s="1637" t="s">
        <v>436</v>
      </c>
      <c r="D319" s="1639" t="s">
        <v>135</v>
      </c>
      <c r="E319" s="480" t="s">
        <v>437</v>
      </c>
      <c r="F319" s="1922">
        <f>ROUND((H331-I331)*J331*K331/1000,2)</f>
        <v>325.99</v>
      </c>
      <c r="G319" s="463" t="s">
        <v>407</v>
      </c>
      <c r="H319" s="464">
        <f>VLOOKUP(G319,'CP FACTORS'!$A$26:$B$38,2,FALSE)</f>
        <v>1.998949E-4</v>
      </c>
      <c r="I319" s="1481">
        <f>ROUND(H319*F319,6)</f>
        <v>6.5164E-2</v>
      </c>
      <c r="J319" s="499">
        <v>12</v>
      </c>
      <c r="K319" s="2016">
        <v>1000</v>
      </c>
      <c r="L319" s="465" t="s">
        <v>62</v>
      </c>
      <c r="V319" s="1414" t="s">
        <v>45</v>
      </c>
      <c r="W319" s="1740">
        <v>709.49812499999996</v>
      </c>
      <c r="X319" s="1740">
        <v>709.49812499999996</v>
      </c>
      <c r="Y319" s="1740">
        <v>709.49812499999996</v>
      </c>
      <c r="Z319" s="1740">
        <v>709.49812499999996</v>
      </c>
      <c r="AA319" s="1740">
        <v>709.49812499999996</v>
      </c>
      <c r="AB319" s="1916">
        <v>709.5</v>
      </c>
      <c r="AC319" s="769">
        <v>709.5</v>
      </c>
      <c r="AD319" s="769">
        <v>709.5</v>
      </c>
      <c r="AE319" s="769">
        <v>709.5</v>
      </c>
      <c r="AF319" s="769">
        <f>F319</f>
        <v>325.99</v>
      </c>
      <c r="AG319" s="1916"/>
      <c r="AH319"/>
      <c r="AI319" s="1445" t="s">
        <v>49</v>
      </c>
      <c r="AJ319" s="20">
        <v>12</v>
      </c>
      <c r="AK319" s="20">
        <v>12</v>
      </c>
      <c r="AL319" s="20">
        <v>12</v>
      </c>
      <c r="AM319" s="20">
        <v>12</v>
      </c>
      <c r="AN319" s="20">
        <v>12</v>
      </c>
      <c r="AO319" s="17">
        <v>12</v>
      </c>
      <c r="AP319" s="17">
        <v>12</v>
      </c>
      <c r="AQ319" s="17">
        <v>12</v>
      </c>
      <c r="AR319" s="17">
        <v>12</v>
      </c>
      <c r="AS319" s="17">
        <v>12</v>
      </c>
      <c r="AU319" s="1445" t="s">
        <v>50</v>
      </c>
      <c r="AV319" s="710">
        <v>1783</v>
      </c>
      <c r="AW319" s="710">
        <v>1783</v>
      </c>
      <c r="AX319" s="710">
        <v>1783</v>
      </c>
      <c r="AY319" s="710">
        <v>1783</v>
      </c>
      <c r="AZ319" s="710">
        <v>1783</v>
      </c>
      <c r="BA319" s="689">
        <v>1783</v>
      </c>
      <c r="BB319" s="689">
        <v>1783</v>
      </c>
      <c r="BC319" s="689">
        <v>1783</v>
      </c>
      <c r="BD319" s="689">
        <v>1783</v>
      </c>
      <c r="BE319" s="773">
        <f>K319</f>
        <v>1000</v>
      </c>
      <c r="DG319" s="1062">
        <f>(DI319)/(DJ319)</f>
        <v>0.22966183115174088</v>
      </c>
      <c r="DH319" s="1400" t="str">
        <f>CONCATENATE(G319," ",J319," Year EUL")</f>
        <v>Cooking BUS 12 Year EUL</v>
      </c>
      <c r="DI319" s="198">
        <f>(INDEX('Avoided Cost Benefits'!$B$4:$B$865,MATCH(DH319,'Avoided Cost Benefits'!$A$4:$A$865,0)))*F319</f>
        <v>229.66183115174087</v>
      </c>
      <c r="DJ319" s="1169">
        <f>K319/(1.0686^(2025-2025))</f>
        <v>1000</v>
      </c>
    </row>
    <row r="320" spans="1:114">
      <c r="B320" s="1454">
        <f t="shared" si="91"/>
        <v>802950</v>
      </c>
      <c r="C320" s="1637" t="s">
        <v>438</v>
      </c>
      <c r="D320" s="1639" t="s">
        <v>135</v>
      </c>
      <c r="E320" s="480" t="s">
        <v>439</v>
      </c>
      <c r="F320" s="1922">
        <f>ROUND((H332-I332)*J332*K332/1000,2)</f>
        <v>1676.5</v>
      </c>
      <c r="G320" s="463" t="s">
        <v>407</v>
      </c>
      <c r="H320" s="464">
        <f>VLOOKUP(G320,'CP FACTORS'!$A$26:$B$38,2,FALSE)</f>
        <v>1.998949E-4</v>
      </c>
      <c r="I320" s="1481">
        <f>ROUND(H320*F320,6)</f>
        <v>0.33512399999999998</v>
      </c>
      <c r="J320" s="499">
        <v>12</v>
      </c>
      <c r="K320" s="2016">
        <v>1000</v>
      </c>
      <c r="L320" s="465" t="s">
        <v>62</v>
      </c>
      <c r="V320" s="1414" t="s">
        <v>45</v>
      </c>
      <c r="W320" s="1740">
        <v>2772.2474999999999</v>
      </c>
      <c r="X320" s="1740">
        <v>2772.2474999999999</v>
      </c>
      <c r="Y320" s="1740">
        <v>2772.2474999999999</v>
      </c>
      <c r="Z320" s="1740">
        <v>2772.2474999999999</v>
      </c>
      <c r="AA320" s="1740">
        <v>2772.2474999999999</v>
      </c>
      <c r="AB320" s="1916">
        <v>2772.25</v>
      </c>
      <c r="AC320" s="769">
        <v>2772.25</v>
      </c>
      <c r="AD320" s="769">
        <v>2772.25</v>
      </c>
      <c r="AE320" s="769">
        <v>2772.25</v>
      </c>
      <c r="AF320" s="769">
        <f t="shared" ref="AF320:AF321" si="92">F320</f>
        <v>1676.5</v>
      </c>
      <c r="AG320" s="1916"/>
      <c r="AH320"/>
      <c r="AI320" s="1445" t="s">
        <v>49</v>
      </c>
      <c r="AJ320" s="20">
        <v>12</v>
      </c>
      <c r="AK320" s="20">
        <v>12</v>
      </c>
      <c r="AL320" s="20">
        <v>12</v>
      </c>
      <c r="AM320" s="20">
        <v>12</v>
      </c>
      <c r="AN320" s="20">
        <v>12</v>
      </c>
      <c r="AO320" s="17">
        <v>12</v>
      </c>
      <c r="AP320" s="17">
        <v>12</v>
      </c>
      <c r="AQ320" s="17">
        <v>12</v>
      </c>
      <c r="AR320" s="17">
        <v>12</v>
      </c>
      <c r="AS320" s="17">
        <v>12</v>
      </c>
      <c r="AU320" s="1445" t="s">
        <v>50</v>
      </c>
      <c r="AV320" s="710">
        <v>1783</v>
      </c>
      <c r="AW320" s="710">
        <v>1783</v>
      </c>
      <c r="AX320" s="710">
        <v>1783</v>
      </c>
      <c r="AY320" s="710">
        <v>1783</v>
      </c>
      <c r="AZ320" s="710">
        <v>1783</v>
      </c>
      <c r="BA320" s="689">
        <v>1783</v>
      </c>
      <c r="BB320" s="689">
        <v>1783</v>
      </c>
      <c r="BC320" s="689">
        <v>1783</v>
      </c>
      <c r="BD320" s="689">
        <v>1783</v>
      </c>
      <c r="BE320" s="773">
        <f t="shared" ref="BE320:BE321" si="93">K320</f>
        <v>1000</v>
      </c>
      <c r="DG320" s="1063">
        <f>(DI320)/(DJ320)</f>
        <v>1.1811038986652769</v>
      </c>
      <c r="DH320" s="673" t="str">
        <f>CONCATENATE(G320," ",J320," Year EUL")</f>
        <v>Cooking BUS 12 Year EUL</v>
      </c>
      <c r="DI320" s="655">
        <f>(INDEX('Avoided Cost Benefits'!$B$4:$B$865,MATCH(DH320,'Avoided Cost Benefits'!$A$4:$A$865,0)))*F320</f>
        <v>1181.1038986652768</v>
      </c>
      <c r="DJ320" s="1170">
        <f>K320/(1.0686^(2025-2025))</f>
        <v>1000</v>
      </c>
    </row>
    <row r="321" spans="1:114">
      <c r="B321" s="1454">
        <f t="shared" si="91"/>
        <v>803000</v>
      </c>
      <c r="C321" s="1637" t="s">
        <v>440</v>
      </c>
      <c r="D321" s="1639" t="s">
        <v>135</v>
      </c>
      <c r="E321" s="480" t="s">
        <v>441</v>
      </c>
      <c r="F321" s="1922">
        <f>ROUND((H333-I333)*J333*K333/1000,2)</f>
        <v>2904.29</v>
      </c>
      <c r="G321" s="463" t="s">
        <v>407</v>
      </c>
      <c r="H321" s="464">
        <f>VLOOKUP(G321,'CP FACTORS'!$A$26:$B$38,2,FALSE)</f>
        <v>1.998949E-4</v>
      </c>
      <c r="I321" s="1481">
        <f>ROUND(H321*F321,6)</f>
        <v>0.58055299999999999</v>
      </c>
      <c r="J321" s="499">
        <v>12</v>
      </c>
      <c r="K321" s="2016">
        <v>1000</v>
      </c>
      <c r="L321" s="465" t="s">
        <v>62</v>
      </c>
      <c r="V321" s="1414" t="s">
        <v>45</v>
      </c>
      <c r="W321" s="1740">
        <v>4438.3353749999997</v>
      </c>
      <c r="X321" s="1740">
        <v>4438.3353749999997</v>
      </c>
      <c r="Y321" s="1740">
        <v>4438.3353749999997</v>
      </c>
      <c r="Z321" s="1740">
        <v>4438.3353749999997</v>
      </c>
      <c r="AA321" s="1740">
        <v>4438.3353749999997</v>
      </c>
      <c r="AB321" s="1916">
        <v>4438.34</v>
      </c>
      <c r="AC321" s="769">
        <v>4438.34</v>
      </c>
      <c r="AD321" s="769">
        <v>4438.34</v>
      </c>
      <c r="AE321" s="769">
        <v>4438.34</v>
      </c>
      <c r="AF321" s="769">
        <f t="shared" si="92"/>
        <v>2904.29</v>
      </c>
      <c r="AG321" s="1916"/>
      <c r="AH321"/>
      <c r="AI321" s="1445" t="s">
        <v>49</v>
      </c>
      <c r="AJ321" s="20">
        <v>12</v>
      </c>
      <c r="AK321" s="20">
        <v>12</v>
      </c>
      <c r="AL321" s="20">
        <v>12</v>
      </c>
      <c r="AM321" s="20">
        <v>12</v>
      </c>
      <c r="AN321" s="20">
        <v>12</v>
      </c>
      <c r="AO321" s="17">
        <v>12</v>
      </c>
      <c r="AP321" s="17">
        <v>12</v>
      </c>
      <c r="AQ321" s="17">
        <v>12</v>
      </c>
      <c r="AR321" s="17">
        <v>12</v>
      </c>
      <c r="AS321" s="17">
        <v>12</v>
      </c>
      <c r="AU321" s="1445" t="s">
        <v>50</v>
      </c>
      <c r="AV321" s="710">
        <v>1783</v>
      </c>
      <c r="AW321" s="710">
        <v>1783</v>
      </c>
      <c r="AX321" s="710">
        <v>1783</v>
      </c>
      <c r="AY321" s="710">
        <v>1783</v>
      </c>
      <c r="AZ321" s="710">
        <v>1783</v>
      </c>
      <c r="BA321" s="689">
        <v>1783</v>
      </c>
      <c r="BB321" s="689">
        <v>1783</v>
      </c>
      <c r="BC321" s="689">
        <v>1783</v>
      </c>
      <c r="BD321" s="689">
        <v>1783</v>
      </c>
      <c r="BE321" s="773">
        <f t="shared" si="93"/>
        <v>1000</v>
      </c>
      <c r="DG321" s="1064">
        <f>(DI321)/(DJ321)</f>
        <v>2.0460890198953634</v>
      </c>
      <c r="DH321" s="673" t="str">
        <f>CONCATENATE(G321," ",J321," Year EUL")</f>
        <v>Cooking BUS 12 Year EUL</v>
      </c>
      <c r="DI321" s="1066">
        <f>(INDEX('Avoided Cost Benefits'!$B$4:$B$865,MATCH(DH321,'Avoided Cost Benefits'!$A$4:$A$865,0)))*F321</f>
        <v>2046.0890198953634</v>
      </c>
      <c r="DJ321" s="1171">
        <f>K321/(1.0686^(2025-2025))</f>
        <v>1000</v>
      </c>
    </row>
    <row r="322" spans="1:114" ht="15" customHeight="1" outlineLevel="1">
      <c r="D322" s="77" t="s">
        <v>118</v>
      </c>
      <c r="E322" s="113" t="s">
        <v>442</v>
      </c>
      <c r="F322" s="8"/>
      <c r="G322" s="8"/>
      <c r="H322" s="471"/>
      <c r="I322" s="8"/>
      <c r="J322" s="8"/>
      <c r="K322" s="1928"/>
      <c r="W322" s="1937"/>
      <c r="X322" s="1937"/>
      <c r="Y322" s="1937"/>
      <c r="Z322" s="1937"/>
      <c r="AA322" s="1937"/>
      <c r="AB322" s="1937"/>
      <c r="AC322" s="1937"/>
      <c r="AD322" s="1937"/>
      <c r="AE322" s="1937"/>
      <c r="AF322" s="1937"/>
      <c r="AG322" s="1937"/>
      <c r="BE322" s="1912" t="s">
        <v>443</v>
      </c>
    </row>
    <row r="323" spans="1:114" ht="15" customHeight="1" outlineLevel="1">
      <c r="D323" s="8" t="s">
        <v>120</v>
      </c>
      <c r="E323" s="8"/>
      <c r="F323" s="8"/>
      <c r="G323" s="8"/>
      <c r="H323" s="471"/>
      <c r="I323" s="8"/>
      <c r="J323" s="8"/>
      <c r="K323" s="8"/>
      <c r="W323" s="1937"/>
      <c r="X323" s="1937"/>
      <c r="Y323" s="1937"/>
      <c r="Z323" s="1937"/>
      <c r="AA323" s="1937"/>
      <c r="AB323" s="1937"/>
      <c r="AC323" s="1937"/>
      <c r="AD323" s="1937"/>
      <c r="AE323" s="1937"/>
      <c r="AF323" s="1937"/>
      <c r="AG323" s="1937"/>
    </row>
    <row r="324" spans="1:114" ht="15" customHeight="1" outlineLevel="1">
      <c r="D324" s="472"/>
      <c r="G324" s="265"/>
      <c r="H324" s="473"/>
      <c r="W324" s="1937"/>
      <c r="X324" s="1937"/>
      <c r="Y324" s="1937"/>
      <c r="Z324" s="1937"/>
      <c r="AA324" s="1937"/>
      <c r="AB324" s="1937"/>
      <c r="AC324" s="1937"/>
      <c r="AD324" s="1937"/>
      <c r="AE324" s="1937"/>
      <c r="AF324" s="1937"/>
      <c r="AG324" s="1937"/>
    </row>
    <row r="325" spans="1:114" ht="15" customHeight="1" outlineLevel="1">
      <c r="D325" s="66"/>
      <c r="G325" s="265"/>
      <c r="H325" s="473"/>
      <c r="W325" s="1937"/>
      <c r="X325" s="1937"/>
      <c r="Y325" s="1937"/>
      <c r="Z325" s="1937"/>
      <c r="AA325" s="1937"/>
      <c r="AB325" s="1937"/>
      <c r="AC325" s="1937"/>
      <c r="AD325" s="1937"/>
      <c r="AE325" s="1937"/>
      <c r="AF325" s="1937"/>
      <c r="AG325" s="1937"/>
    </row>
    <row r="326" spans="1:114" ht="15" customHeight="1" outlineLevel="1">
      <c r="D326" s="472"/>
      <c r="G326" s="265"/>
      <c r="H326" s="473"/>
      <c r="M326" s="8"/>
      <c r="W326" s="1937"/>
      <c r="X326" s="1937"/>
      <c r="Y326" s="1937"/>
      <c r="Z326" s="1937"/>
      <c r="AA326" s="1937"/>
      <c r="AB326" s="1937"/>
      <c r="AC326" s="1937"/>
      <c r="AD326" s="1937"/>
      <c r="AE326" s="1937"/>
      <c r="AF326" s="1937"/>
      <c r="AG326" s="1937"/>
    </row>
    <row r="327" spans="1:114" ht="15" customHeight="1" outlineLevel="1">
      <c r="D327" s="472"/>
      <c r="G327" s="265"/>
      <c r="H327" s="473"/>
      <c r="M327" s="8"/>
    </row>
    <row r="328" spans="1:114" ht="15" customHeight="1" outlineLevel="1">
      <c r="D328" s="472"/>
      <c r="G328" s="265"/>
      <c r="H328" s="473"/>
      <c r="M328" s="8"/>
    </row>
    <row r="329" spans="1:114" ht="15" customHeight="1" outlineLevel="1">
      <c r="D329" s="472"/>
      <c r="G329" s="265"/>
      <c r="H329" s="473"/>
    </row>
    <row r="330" spans="1:114" s="9" customFormat="1" ht="17.25" customHeight="1" outlineLevel="1">
      <c r="A330" s="2"/>
      <c r="C330" s="66"/>
      <c r="D330" s="1365" t="s">
        <v>42</v>
      </c>
      <c r="E330" s="1365" t="s">
        <v>275</v>
      </c>
      <c r="F330" s="1365" t="s">
        <v>276</v>
      </c>
      <c r="G330" s="1365" t="s">
        <v>444</v>
      </c>
      <c r="H330" s="29" t="s">
        <v>445</v>
      </c>
      <c r="I330" s="31" t="s">
        <v>446</v>
      </c>
      <c r="J330" s="31" t="s">
        <v>173</v>
      </c>
      <c r="K330" s="31" t="s">
        <v>421</v>
      </c>
      <c r="L330" s="66"/>
      <c r="M330" s="122"/>
      <c r="N330" s="122"/>
      <c r="O330" s="122"/>
      <c r="P330" s="122"/>
      <c r="Q330" s="122"/>
      <c r="R330" s="122"/>
      <c r="S330" s="122"/>
      <c r="T330" s="122"/>
      <c r="U330" s="122"/>
      <c r="V330" s="668" t="s">
        <v>52</v>
      </c>
      <c r="W330" s="669">
        <f>$W$8</f>
        <v>43252</v>
      </c>
      <c r="X330" s="669">
        <f>$X$8</f>
        <v>43465</v>
      </c>
      <c r="Y330" s="669">
        <f>$Y$8</f>
        <v>43800</v>
      </c>
      <c r="Z330" s="669">
        <f>$Z$8</f>
        <v>43862</v>
      </c>
      <c r="AA330" s="669">
        <f>$AA$8</f>
        <v>44013</v>
      </c>
      <c r="AB330" s="669">
        <v>44166</v>
      </c>
      <c r="AC330" s="669">
        <f>$AC$8</f>
        <v>44531</v>
      </c>
      <c r="AD330" s="669">
        <f>$AD$8</f>
        <v>44774</v>
      </c>
      <c r="AE330" s="669">
        <f>$AE$8</f>
        <v>45142</v>
      </c>
      <c r="AF330" s="669">
        <f>$AF$8</f>
        <v>45672</v>
      </c>
      <c r="AG330" s="669" t="str">
        <f>$AG$8</f>
        <v>-</v>
      </c>
      <c r="AH330"/>
      <c r="AI330" s="668" t="s">
        <v>52</v>
      </c>
      <c r="AJ330" s="669">
        <v>43252</v>
      </c>
      <c r="AK330" s="669">
        <f>$X$8</f>
        <v>43465</v>
      </c>
      <c r="AL330" s="669">
        <f>$Y$8</f>
        <v>43800</v>
      </c>
      <c r="AM330" s="669">
        <f>$Z$8</f>
        <v>43862</v>
      </c>
      <c r="AN330" s="669">
        <f>$AA$8</f>
        <v>44013</v>
      </c>
      <c r="AO330" s="669">
        <f>$AB$8</f>
        <v>44166</v>
      </c>
      <c r="AP330" s="669">
        <f>$AC$8</f>
        <v>44531</v>
      </c>
      <c r="AQ330" s="669">
        <f>$AD$8</f>
        <v>44774</v>
      </c>
      <c r="AR330" s="669">
        <f>$AE$8</f>
        <v>45142</v>
      </c>
      <c r="AS330" s="669">
        <f>$AF$8</f>
        <v>45672</v>
      </c>
      <c r="AT330" s="2"/>
      <c r="AU330" s="668" t="s">
        <v>52</v>
      </c>
      <c r="AV330" s="669">
        <v>43252</v>
      </c>
      <c r="AW330" s="669">
        <f>$X$8</f>
        <v>43465</v>
      </c>
      <c r="AX330" s="669">
        <f>$Y$8</f>
        <v>43800</v>
      </c>
      <c r="AY330" s="669">
        <f>$Z$8</f>
        <v>43862</v>
      </c>
      <c r="AZ330" s="669">
        <f>$AA$8</f>
        <v>44013</v>
      </c>
      <c r="BA330" s="669">
        <v>44166</v>
      </c>
      <c r="BB330" s="669">
        <f>$AC$8</f>
        <v>44531</v>
      </c>
      <c r="BC330" s="669">
        <f>$AD$8</f>
        <v>44774</v>
      </c>
      <c r="BD330" s="669">
        <f>$AE$8</f>
        <v>45142</v>
      </c>
      <c r="BE330" s="669">
        <f>$AF$8</f>
        <v>45672</v>
      </c>
      <c r="DE330" s="2"/>
      <c r="DF330" s="2"/>
      <c r="DG330" s="1065"/>
      <c r="DH330" s="122"/>
      <c r="DI330" s="122"/>
      <c r="DJ330" s="1168"/>
    </row>
    <row r="331" spans="1:114" ht="15" customHeight="1" outlineLevel="1">
      <c r="D331" s="679" t="str">
        <f>C319</f>
        <v>802900_2024_12_</v>
      </c>
      <c r="E331" s="679" t="str">
        <f>E319</f>
        <v>ENERGY STAR Hot Holding Cabinet (0 &lt; V &lt;13)</v>
      </c>
      <c r="F331" s="491" t="s">
        <v>447</v>
      </c>
      <c r="G331" s="2018">
        <v>7</v>
      </c>
      <c r="H331" s="1636">
        <f>30*G331</f>
        <v>210</v>
      </c>
      <c r="I331" s="504">
        <f>21.5*G331</f>
        <v>150.5</v>
      </c>
      <c r="J331" s="2044">
        <v>15</v>
      </c>
      <c r="K331" s="2045">
        <v>365.25</v>
      </c>
      <c r="V331" s="1414" t="s">
        <v>445</v>
      </c>
      <c r="W331" s="1740">
        <v>280</v>
      </c>
      <c r="X331" s="1740">
        <v>280</v>
      </c>
      <c r="Y331" s="1740">
        <v>280</v>
      </c>
      <c r="Z331" s="1740">
        <v>280</v>
      </c>
      <c r="AA331" s="1740">
        <v>280</v>
      </c>
      <c r="AB331" s="1916">
        <v>280</v>
      </c>
      <c r="AC331" s="769">
        <v>280</v>
      </c>
      <c r="AD331" s="769">
        <v>280</v>
      </c>
      <c r="AE331" s="769">
        <v>280</v>
      </c>
      <c r="AF331" s="769">
        <v>210</v>
      </c>
      <c r="AG331" s="1916"/>
      <c r="AH331"/>
      <c r="AI331" s="1445" t="s">
        <v>446</v>
      </c>
      <c r="AJ331" s="20">
        <v>150.5</v>
      </c>
      <c r="AK331" s="20">
        <v>150.5</v>
      </c>
      <c r="AL331" s="20">
        <v>150.5</v>
      </c>
      <c r="AM331" s="20">
        <v>150.5</v>
      </c>
      <c r="AN331" s="20">
        <v>150.5</v>
      </c>
      <c r="AO331" s="17">
        <v>150.5</v>
      </c>
      <c r="AP331" s="17">
        <v>150.5</v>
      </c>
      <c r="AQ331" s="17">
        <v>150.5</v>
      </c>
      <c r="AR331" s="17">
        <v>150.5</v>
      </c>
      <c r="AS331" s="17">
        <v>150.5</v>
      </c>
      <c r="AU331" s="1445"/>
      <c r="AV331" s="710"/>
      <c r="AW331" s="710"/>
      <c r="AX331" s="710"/>
      <c r="AY331" s="710"/>
      <c r="AZ331" s="710"/>
      <c r="BA331" s="689"/>
      <c r="BB331" s="689"/>
      <c r="BC331" s="689"/>
      <c r="BD331" s="689"/>
      <c r="BE331" s="773"/>
    </row>
    <row r="332" spans="1:114" ht="15" customHeight="1" outlineLevel="1">
      <c r="D332" s="679" t="str">
        <f>C320</f>
        <v>802950_2024_12_</v>
      </c>
      <c r="E332" s="679" t="str">
        <f>E320</f>
        <v>ENERGY STAR Hot Holding Cabinet (13 ≤ V &lt;28)</v>
      </c>
      <c r="F332" s="491" t="s">
        <v>448</v>
      </c>
      <c r="G332" s="2018">
        <v>20</v>
      </c>
      <c r="H332" s="1636">
        <f t="shared" ref="H332:H333" si="94">30*G332</f>
        <v>600</v>
      </c>
      <c r="I332" s="504">
        <f>(2*G332)+254</f>
        <v>294</v>
      </c>
      <c r="J332" s="2044">
        <v>15</v>
      </c>
      <c r="K332" s="2045">
        <v>365.25</v>
      </c>
      <c r="V332" s="1414" t="s">
        <v>445</v>
      </c>
      <c r="W332" s="1740">
        <v>800</v>
      </c>
      <c r="X332" s="1740">
        <v>800</v>
      </c>
      <c r="Y332" s="1740">
        <v>800</v>
      </c>
      <c r="Z332" s="1740">
        <v>800</v>
      </c>
      <c r="AA332" s="1740">
        <v>800</v>
      </c>
      <c r="AB332" s="1916">
        <v>800</v>
      </c>
      <c r="AC332" s="769">
        <v>800</v>
      </c>
      <c r="AD332" s="769">
        <v>800</v>
      </c>
      <c r="AE332" s="769">
        <v>800</v>
      </c>
      <c r="AF332" s="769">
        <v>600</v>
      </c>
      <c r="AG332" s="1916"/>
      <c r="AH332"/>
      <c r="AI332" s="1445" t="s">
        <v>446</v>
      </c>
      <c r="AJ332" s="20">
        <v>294</v>
      </c>
      <c r="AK332" s="20">
        <v>294</v>
      </c>
      <c r="AL332" s="20">
        <v>294</v>
      </c>
      <c r="AM332" s="20">
        <v>294</v>
      </c>
      <c r="AN332" s="20">
        <v>294</v>
      </c>
      <c r="AO332" s="17">
        <v>294</v>
      </c>
      <c r="AP332" s="17">
        <v>294</v>
      </c>
      <c r="AQ332" s="17">
        <v>294</v>
      </c>
      <c r="AR332" s="17">
        <v>294</v>
      </c>
      <c r="AS332" s="17">
        <v>294</v>
      </c>
      <c r="AU332" s="1445"/>
      <c r="AV332" s="710"/>
      <c r="AW332" s="710"/>
      <c r="AX332" s="710"/>
      <c r="AY332" s="710"/>
      <c r="AZ332" s="710"/>
      <c r="BA332" s="689"/>
      <c r="BB332" s="689"/>
      <c r="BC332" s="689"/>
      <c r="BD332" s="689"/>
      <c r="BE332" s="773"/>
    </row>
    <row r="333" spans="1:114" ht="15" customHeight="1" outlineLevel="1">
      <c r="D333" s="679" t="str">
        <f>C321</f>
        <v>803000_2024_12_</v>
      </c>
      <c r="E333" s="679" t="str">
        <f>E321</f>
        <v>ENERGY STAR Hot Holding Cabinet (28 ≤ V)</v>
      </c>
      <c r="F333" s="491" t="s">
        <v>449</v>
      </c>
      <c r="G333" s="2018">
        <v>28</v>
      </c>
      <c r="H333" s="1636">
        <f t="shared" si="94"/>
        <v>840</v>
      </c>
      <c r="I333" s="504">
        <f>(3.8*G333)+203.5</f>
        <v>309.89999999999998</v>
      </c>
      <c r="J333" s="2044">
        <v>15</v>
      </c>
      <c r="K333" s="2045">
        <v>365.25</v>
      </c>
      <c r="V333" s="1414" t="s">
        <v>445</v>
      </c>
      <c r="W333" s="1740">
        <v>1120</v>
      </c>
      <c r="X333" s="1740">
        <v>1120</v>
      </c>
      <c r="Y333" s="1740">
        <v>1120</v>
      </c>
      <c r="Z333" s="1740">
        <v>1120</v>
      </c>
      <c r="AA333" s="1740">
        <v>1120</v>
      </c>
      <c r="AB333" s="1916">
        <v>1120</v>
      </c>
      <c r="AC333" s="769">
        <v>1120</v>
      </c>
      <c r="AD333" s="769">
        <v>1120</v>
      </c>
      <c r="AE333" s="769">
        <v>1120</v>
      </c>
      <c r="AF333" s="769">
        <v>840</v>
      </c>
      <c r="AG333" s="1916"/>
      <c r="AH333"/>
      <c r="AI333" s="1445" t="s">
        <v>446</v>
      </c>
      <c r="AJ333" s="20">
        <v>309.89999999999998</v>
      </c>
      <c r="AK333" s="20">
        <v>309.89999999999998</v>
      </c>
      <c r="AL333" s="20">
        <v>309.89999999999998</v>
      </c>
      <c r="AM333" s="20">
        <v>309.89999999999998</v>
      </c>
      <c r="AN333" s="20">
        <v>309.89999999999998</v>
      </c>
      <c r="AO333" s="17">
        <v>309.89999999999998</v>
      </c>
      <c r="AP333" s="17">
        <v>309.89999999999998</v>
      </c>
      <c r="AQ333" s="17">
        <v>309.89999999999998</v>
      </c>
      <c r="AR333" s="17">
        <v>309.89999999999998</v>
      </c>
      <c r="AS333" s="17">
        <v>309.89999999999998</v>
      </c>
      <c r="AU333" s="1445"/>
      <c r="AV333" s="710"/>
      <c r="AW333" s="710"/>
      <c r="AX333" s="710"/>
      <c r="AY333" s="710"/>
      <c r="AZ333" s="710"/>
      <c r="BA333" s="689"/>
      <c r="BB333" s="689"/>
      <c r="BC333" s="689"/>
      <c r="BD333" s="689"/>
      <c r="BE333" s="773"/>
    </row>
    <row r="334" spans="1:114">
      <c r="H334" s="1928" t="s">
        <v>450</v>
      </c>
    </row>
    <row r="336" spans="1:114" s="8" customFormat="1">
      <c r="A336" s="2"/>
      <c r="B336" s="3996" t="s">
        <v>451</v>
      </c>
      <c r="C336" s="3997"/>
      <c r="D336" s="3997"/>
      <c r="E336" s="3997"/>
      <c r="F336" s="3997"/>
      <c r="G336" s="3997"/>
      <c r="H336" s="3997"/>
      <c r="I336" s="4828"/>
      <c r="J336" s="4828"/>
      <c r="K336" s="4828"/>
      <c r="L336" s="4828"/>
      <c r="M336" s="4829"/>
      <c r="N336" s="4829"/>
      <c r="O336" s="4830"/>
      <c r="V336" s="1159" t="str">
        <f>B336</f>
        <v>HVAC</v>
      </c>
      <c r="W336" s="1364"/>
      <c r="X336" s="1364"/>
      <c r="Y336" s="1364"/>
      <c r="Z336" s="1364"/>
      <c r="AA336" s="1364"/>
      <c r="AB336" s="1364"/>
      <c r="AC336" s="1364"/>
      <c r="AD336" s="1364"/>
      <c r="AE336" s="1364"/>
      <c r="AF336" s="1364"/>
      <c r="AG336" s="1364"/>
      <c r="AH336" s="1364"/>
      <c r="AI336" s="1397"/>
      <c r="AJ336" s="2"/>
      <c r="AK336" s="2"/>
      <c r="AL336" s="2"/>
      <c r="AM336" s="2"/>
      <c r="AN336" s="2"/>
      <c r="AO336" s="2"/>
      <c r="AP336" s="2"/>
      <c r="AQ336" s="2"/>
      <c r="AR336" s="2"/>
      <c r="AS336" s="2"/>
      <c r="AT336" s="2"/>
      <c r="AU336" s="2"/>
      <c r="DE336" s="2"/>
      <c r="DF336" s="2"/>
      <c r="DG336" s="24"/>
      <c r="DJ336" s="1102"/>
    </row>
    <row r="337" spans="1:114">
      <c r="D337" s="461"/>
      <c r="E337" s="8"/>
      <c r="F337" s="8"/>
      <c r="G337" s="8"/>
      <c r="H337" s="462"/>
      <c r="I337" s="8"/>
      <c r="J337" s="8"/>
      <c r="K337" s="8"/>
      <c r="L337" s="8"/>
      <c r="P337" s="8"/>
      <c r="Q337" s="8"/>
      <c r="R337" s="8"/>
      <c r="S337" s="8"/>
      <c r="T337" s="8"/>
      <c r="U337" s="8"/>
      <c r="V337"/>
      <c r="W337"/>
      <c r="X337"/>
      <c r="Y337"/>
      <c r="Z337"/>
      <c r="AA337"/>
      <c r="AB337"/>
      <c r="AC337"/>
      <c r="AD337"/>
      <c r="AE337"/>
      <c r="AF337"/>
      <c r="AG337"/>
      <c r="AH337"/>
      <c r="AI337"/>
      <c r="AJ337" s="7"/>
      <c r="AK337" s="7"/>
      <c r="AL337" s="7"/>
      <c r="AM337" s="7"/>
      <c r="AN337" s="7"/>
      <c r="AO337" s="7"/>
      <c r="AP337" s="7"/>
      <c r="AQ337" s="7"/>
      <c r="AR337" s="7"/>
      <c r="AS337" s="7"/>
      <c r="AT337" s="7"/>
      <c r="AU337" s="7"/>
      <c r="DG337" s="1058" t="s">
        <v>452</v>
      </c>
    </row>
    <row r="338" spans="1:114" s="9" customFormat="1" ht="30">
      <c r="A338" s="2"/>
      <c r="B338" s="7"/>
      <c r="C338" s="10" t="s">
        <v>42</v>
      </c>
      <c r="D338" s="10" t="s">
        <v>43</v>
      </c>
      <c r="E338" s="1432" t="s">
        <v>44</v>
      </c>
      <c r="F338" s="1432" t="s">
        <v>453</v>
      </c>
      <c r="G338" s="1432" t="s">
        <v>454</v>
      </c>
      <c r="H338" s="1432" t="s">
        <v>455</v>
      </c>
      <c r="I338" s="1432" t="s">
        <v>46</v>
      </c>
      <c r="J338" s="1432" t="s">
        <v>46</v>
      </c>
      <c r="K338" s="11" t="s">
        <v>47</v>
      </c>
      <c r="L338" s="1432" t="s">
        <v>48</v>
      </c>
      <c r="M338" s="1432" t="s">
        <v>49</v>
      </c>
      <c r="N338" s="1432" t="s">
        <v>50</v>
      </c>
      <c r="O338" s="10" t="s">
        <v>51</v>
      </c>
      <c r="P338" s="505"/>
      <c r="Q338" s="506"/>
      <c r="R338" s="122"/>
      <c r="S338" s="122"/>
      <c r="T338" s="122"/>
      <c r="U338" s="122"/>
      <c r="V338" s="668" t="s">
        <v>52</v>
      </c>
      <c r="W338" s="669">
        <f>$W$8</f>
        <v>43252</v>
      </c>
      <c r="X338" s="669">
        <f>$X$8</f>
        <v>43465</v>
      </c>
      <c r="Y338" s="669">
        <f>$Y$8</f>
        <v>43800</v>
      </c>
      <c r="Z338" s="669">
        <f>$Z$8</f>
        <v>43862</v>
      </c>
      <c r="AA338" s="669">
        <f>$AA$8</f>
        <v>44013</v>
      </c>
      <c r="AB338" s="669">
        <v>44166</v>
      </c>
      <c r="AC338" s="669">
        <f>$AC$8</f>
        <v>44531</v>
      </c>
      <c r="AD338" s="669">
        <f>$AD$8</f>
        <v>44774</v>
      </c>
      <c r="AE338" s="669">
        <f>$AE$8</f>
        <v>45142</v>
      </c>
      <c r="AF338" s="669">
        <f>$AF$8</f>
        <v>45672</v>
      </c>
      <c r="AG338" s="669" t="str">
        <f>$AG$8</f>
        <v>-</v>
      </c>
      <c r="AH338"/>
      <c r="AI338" s="668" t="s">
        <v>52</v>
      </c>
      <c r="AJ338" s="669">
        <v>43252</v>
      </c>
      <c r="AK338" s="669">
        <f>$X$8</f>
        <v>43465</v>
      </c>
      <c r="AL338" s="669">
        <f>$Y$8</f>
        <v>43800</v>
      </c>
      <c r="AM338" s="669">
        <f>$Z$8</f>
        <v>43862</v>
      </c>
      <c r="AN338" s="669">
        <f>$AA$8</f>
        <v>44013</v>
      </c>
      <c r="AO338" s="669">
        <f>$AB$8</f>
        <v>44166</v>
      </c>
      <c r="AP338" s="669">
        <f>$AC$8</f>
        <v>44531</v>
      </c>
      <c r="AQ338" s="669">
        <f>$AD$8</f>
        <v>44774</v>
      </c>
      <c r="AR338" s="669">
        <f>$AE$8</f>
        <v>45142</v>
      </c>
      <c r="AS338" s="669">
        <f>$AF$8</f>
        <v>45672</v>
      </c>
      <c r="AT338"/>
      <c r="AU338" s="668" t="s">
        <v>52</v>
      </c>
      <c r="AV338" s="669">
        <v>43252</v>
      </c>
      <c r="AW338" s="669">
        <f>$X$8</f>
        <v>43465</v>
      </c>
      <c r="AX338" s="669">
        <f>$Y$8</f>
        <v>43800</v>
      </c>
      <c r="AY338" s="669">
        <f>$Z$8</f>
        <v>43862</v>
      </c>
      <c r="AZ338" s="669">
        <f>$AA$8</f>
        <v>44013</v>
      </c>
      <c r="BA338" s="669">
        <v>44166</v>
      </c>
      <c r="BB338" s="669">
        <f>$AC$8</f>
        <v>44531</v>
      </c>
      <c r="BC338" s="669">
        <f>$AD$8</f>
        <v>44774</v>
      </c>
      <c r="BD338" s="669">
        <f>$AE$8</f>
        <v>45142</v>
      </c>
      <c r="BE338" s="669">
        <f>$AF$8</f>
        <v>45672</v>
      </c>
      <c r="BF338"/>
      <c r="BG338" s="668" t="s">
        <v>52</v>
      </c>
      <c r="BH338" s="669">
        <v>43252</v>
      </c>
      <c r="BI338" s="669">
        <f>$X$8</f>
        <v>43465</v>
      </c>
      <c r="BJ338" s="669">
        <f>$Y$8</f>
        <v>43800</v>
      </c>
      <c r="BK338" s="669">
        <f>$Z$8</f>
        <v>43862</v>
      </c>
      <c r="BL338" s="669">
        <f>$AA$8</f>
        <v>44013</v>
      </c>
      <c r="BM338" s="669">
        <v>44166</v>
      </c>
      <c r="BN338" s="669">
        <f>$AC$8</f>
        <v>44531</v>
      </c>
      <c r="BO338" s="669">
        <f>$AD$8</f>
        <v>44774</v>
      </c>
      <c r="BP338" s="669">
        <f>$AE$8</f>
        <v>45142</v>
      </c>
      <c r="BQ338" s="669">
        <f>$AF$8</f>
        <v>45672</v>
      </c>
      <c r="BR338" s="2"/>
      <c r="BS338" s="2"/>
      <c r="BT338" s="668" t="s">
        <v>52</v>
      </c>
      <c r="BU338" s="669">
        <v>43252</v>
      </c>
      <c r="BV338" s="669">
        <f>$X$8</f>
        <v>43465</v>
      </c>
      <c r="BW338" s="669">
        <f>$Y$8</f>
        <v>43800</v>
      </c>
      <c r="BX338" s="669">
        <f>$Z$8</f>
        <v>43862</v>
      </c>
      <c r="BY338" s="669">
        <f>$AA$8</f>
        <v>44013</v>
      </c>
      <c r="BZ338" s="669">
        <f>$AB$8</f>
        <v>44166</v>
      </c>
      <c r="CA338" s="669">
        <f>$AC$8</f>
        <v>44531</v>
      </c>
      <c r="CB338" s="669">
        <f>$AD$8</f>
        <v>44774</v>
      </c>
      <c r="CC338" s="669">
        <f>$AE$8</f>
        <v>45142</v>
      </c>
      <c r="CD338" s="669">
        <f>$AF$8</f>
        <v>45672</v>
      </c>
      <c r="DE338" s="2"/>
      <c r="DF338" s="2"/>
      <c r="DG338" s="1060" t="str">
        <f>$DG$8</f>
        <v>TRC (2025)</v>
      </c>
      <c r="DH338" s="811" t="str">
        <f>$DH$8</f>
        <v>Benefit Lookup</v>
      </c>
      <c r="DI338" s="811" t="str">
        <f>$DI$8</f>
        <v>Benefits (2025 $)</v>
      </c>
      <c r="DJ338" s="1172" t="str">
        <f>$DJ$8</f>
        <v>Incremental Cost (2025 $)</v>
      </c>
    </row>
    <row r="339" spans="1:114">
      <c r="B339" s="1454">
        <f t="shared" ref="B339:B340" si="95">VALUE(LEFT(C339,6))</f>
        <v>803050</v>
      </c>
      <c r="C339" s="1637" t="s">
        <v>456</v>
      </c>
      <c r="D339" s="1639" t="s">
        <v>457</v>
      </c>
      <c r="E339" s="1935" t="s">
        <v>458</v>
      </c>
      <c r="F339" s="665">
        <f>SUM(G339:H339)</f>
        <v>0</v>
      </c>
      <c r="G339" s="1848">
        <f>ROUND((1/F350)*G350*(H350/1000)*I350/(H350/12000),2)*0</f>
        <v>0</v>
      </c>
      <c r="H339" s="2159">
        <f>J350*(L350/(K350*3412)*1/(L350/12000))*M350*0</f>
        <v>0</v>
      </c>
      <c r="I339" s="463" t="s">
        <v>459</v>
      </c>
      <c r="J339" s="463" t="s">
        <v>460</v>
      </c>
      <c r="K339" s="464">
        <v>9.1068395835808389E-4</v>
      </c>
      <c r="L339" s="1480">
        <f>ROUND(K339*G339,6)</f>
        <v>0</v>
      </c>
      <c r="M339" s="1934">
        <v>9</v>
      </c>
      <c r="N339" s="2046">
        <f>N350/(H350/12000)</f>
        <v>105.6</v>
      </c>
      <c r="O339" s="465" t="s">
        <v>461</v>
      </c>
      <c r="V339" s="1445" t="str">
        <f>F338</f>
        <v>Total kWh Annual Savings per ton</v>
      </c>
      <c r="W339" s="55">
        <v>438.34117233294256</v>
      </c>
      <c r="X339" s="55">
        <v>438.34117233294256</v>
      </c>
      <c r="Y339" s="55">
        <v>438.34117233294256</v>
      </c>
      <c r="Z339" s="55">
        <v>438.34117233294256</v>
      </c>
      <c r="AA339" s="55">
        <v>438.34117233294256</v>
      </c>
      <c r="AB339" s="55">
        <v>438.34117233294256</v>
      </c>
      <c r="AC339" s="55">
        <v>438.34117233294256</v>
      </c>
      <c r="AD339" s="55">
        <v>438.34117233294256</v>
      </c>
      <c r="AE339" s="55">
        <v>438.34117233294256</v>
      </c>
      <c r="AF339" s="271">
        <f>IF(F339&lt;&gt;"",F339,"")</f>
        <v>0</v>
      </c>
      <c r="AG339" s="71"/>
      <c r="AH339"/>
      <c r="AI339" s="1445" t="str">
        <f>G338</f>
        <v>Cooling kWh Annual Savings (per Ton)</v>
      </c>
      <c r="AJ339" s="55">
        <v>233.00117233294256</v>
      </c>
      <c r="AK339" s="55">
        <v>233.00117233294256</v>
      </c>
      <c r="AL339" s="55">
        <v>233.00117233294256</v>
      </c>
      <c r="AM339" s="55">
        <v>233.00117233294256</v>
      </c>
      <c r="AN339" s="55">
        <v>233.00117233294256</v>
      </c>
      <c r="AO339" s="650">
        <v>233.00117233294256</v>
      </c>
      <c r="AP339" s="54">
        <v>233</v>
      </c>
      <c r="AQ339" s="53">
        <v>233</v>
      </c>
      <c r="AR339" s="53">
        <v>233</v>
      </c>
      <c r="AS339" s="48">
        <f>G339</f>
        <v>0</v>
      </c>
      <c r="AT339"/>
      <c r="AU339" s="1445" t="str">
        <f>H338</f>
        <v>Heating kWh Annual Savings (per ton)</v>
      </c>
      <c r="AV339" s="55">
        <v>205.33500000000004</v>
      </c>
      <c r="AW339" s="55">
        <v>205.33500000000004</v>
      </c>
      <c r="AX339" s="55">
        <v>205.33500000000004</v>
      </c>
      <c r="AY339" s="55">
        <v>205.33500000000004</v>
      </c>
      <c r="AZ339" s="55">
        <v>205.33500000000004</v>
      </c>
      <c r="BA339" s="54">
        <v>205.34</v>
      </c>
      <c r="BB339" s="648">
        <v>205.34</v>
      </c>
      <c r="BC339" s="1025">
        <v>205.34</v>
      </c>
      <c r="BD339" s="1025">
        <v>205.34</v>
      </c>
      <c r="BE339" s="659">
        <f>H339</f>
        <v>0</v>
      </c>
      <c r="BF339"/>
      <c r="BG339" s="1445" t="s">
        <v>49</v>
      </c>
      <c r="BH339" s="20">
        <v>10</v>
      </c>
      <c r="BI339" s="20">
        <v>10</v>
      </c>
      <c r="BJ339" s="20">
        <v>10</v>
      </c>
      <c r="BK339" s="20">
        <v>10</v>
      </c>
      <c r="BL339" s="20">
        <v>10</v>
      </c>
      <c r="BM339" s="54">
        <v>10</v>
      </c>
      <c r="BN339" s="54">
        <v>10</v>
      </c>
      <c r="BO339" s="54">
        <v>10</v>
      </c>
      <c r="BP339" s="54">
        <v>10</v>
      </c>
      <c r="BQ339" s="670">
        <f>M339</f>
        <v>9</v>
      </c>
      <c r="BT339" s="1445" t="str">
        <f>N338</f>
        <v>Inc. Cost</v>
      </c>
      <c r="BU339" s="710">
        <v>224</v>
      </c>
      <c r="BV339" s="710">
        <v>224</v>
      </c>
      <c r="BW339" s="710">
        <v>224</v>
      </c>
      <c r="BX339" s="710">
        <v>224</v>
      </c>
      <c r="BY339" s="710">
        <v>224</v>
      </c>
      <c r="BZ339" s="710">
        <v>224</v>
      </c>
      <c r="CA339" s="710">
        <v>224</v>
      </c>
      <c r="CB339" s="710">
        <v>224</v>
      </c>
      <c r="CC339" s="710">
        <v>224</v>
      </c>
      <c r="CD339" s="1921">
        <f>N339</f>
        <v>105.6</v>
      </c>
      <c r="DG339" s="1067">
        <f>(DI339)/(DJ339)</f>
        <v>0</v>
      </c>
      <c r="DH339" s="1400" t="str">
        <f>CONCATENATE(I339," ",M339," Year EUL")</f>
        <v>Cooling BUS 9 Year EUL</v>
      </c>
      <c r="DI339" s="1068">
        <f>(INDEX('Avoided Cost Benefits'!$B$4:$B$865,MATCH(DH339,'Avoided Cost Benefits'!$A$4:$A$865,0)))*G339</f>
        <v>0</v>
      </c>
      <c r="DJ339" s="1177">
        <f>N339/(1.0686^(2025-2025))</f>
        <v>105.6</v>
      </c>
    </row>
    <row r="340" spans="1:114">
      <c r="B340" s="1454">
        <f t="shared" si="95"/>
        <v>803060</v>
      </c>
      <c r="C340" s="1637" t="s">
        <v>462</v>
      </c>
      <c r="D340" s="1639" t="s">
        <v>457</v>
      </c>
      <c r="E340" s="1935" t="s">
        <v>463</v>
      </c>
      <c r="F340" s="665">
        <f>SUM(G340:H340)</f>
        <v>0</v>
      </c>
      <c r="G340" s="1848">
        <f>ROUND((1/F350)*G350*(H350/1000)*I350/(H350/12000),2)*0</f>
        <v>0</v>
      </c>
      <c r="H340" s="2159">
        <v>0</v>
      </c>
      <c r="I340" s="1639" t="s">
        <v>459</v>
      </c>
      <c r="J340" s="1639" t="s">
        <v>460</v>
      </c>
      <c r="K340" s="1640">
        <v>9.1068395835808389E-4</v>
      </c>
      <c r="L340" s="1480">
        <f>ROUND(K340*G340,6)</f>
        <v>0</v>
      </c>
      <c r="M340" s="1934">
        <v>9</v>
      </c>
      <c r="N340" s="2087">
        <f>N350/(H350/12000)</f>
        <v>105.6</v>
      </c>
      <c r="O340" s="1971" t="s">
        <v>461</v>
      </c>
      <c r="V340" s="1445" t="str">
        <f>V339</f>
        <v>Total kWh Annual Savings per ton</v>
      </c>
      <c r="W340" s="55"/>
      <c r="X340" s="55"/>
      <c r="Y340" s="55"/>
      <c r="Z340" s="55"/>
      <c r="AA340" s="55"/>
      <c r="AB340" s="55"/>
      <c r="AC340" s="55"/>
      <c r="AD340" s="55"/>
      <c r="AE340" s="55"/>
      <c r="AF340" s="271">
        <f>IF(F340&lt;&gt;"",F340,"")</f>
        <v>0</v>
      </c>
      <c r="AG340" s="71"/>
      <c r="AH340"/>
      <c r="AI340" s="1445" t="str">
        <f>AI339</f>
        <v>Cooling kWh Annual Savings (per Ton)</v>
      </c>
      <c r="AJ340" s="55"/>
      <c r="AK340" s="55"/>
      <c r="AL340" s="55"/>
      <c r="AM340" s="55"/>
      <c r="AN340" s="55"/>
      <c r="AO340" s="650"/>
      <c r="AP340" s="54"/>
      <c r="AQ340" s="53"/>
      <c r="AR340" s="53"/>
      <c r="AS340" s="48">
        <f>G340</f>
        <v>0</v>
      </c>
      <c r="AT340"/>
      <c r="AU340" s="1445" t="str">
        <f>AU339</f>
        <v>Heating kWh Annual Savings (per ton)</v>
      </c>
      <c r="AV340" s="55"/>
      <c r="AW340" s="55"/>
      <c r="AX340" s="55"/>
      <c r="AY340" s="55"/>
      <c r="AZ340" s="55"/>
      <c r="BA340" s="54"/>
      <c r="BB340" s="648"/>
      <c r="BC340" s="1025"/>
      <c r="BD340" s="1025"/>
      <c r="BE340" s="659">
        <f>H340</f>
        <v>0</v>
      </c>
      <c r="BF340"/>
      <c r="BG340" s="1445" t="s">
        <v>49</v>
      </c>
      <c r="BH340" s="20">
        <v>10</v>
      </c>
      <c r="BI340" s="20">
        <v>10</v>
      </c>
      <c r="BJ340" s="20">
        <v>10</v>
      </c>
      <c r="BK340" s="20">
        <v>10</v>
      </c>
      <c r="BL340" s="20">
        <v>10</v>
      </c>
      <c r="BM340" s="54">
        <v>10</v>
      </c>
      <c r="BN340" s="54">
        <v>10</v>
      </c>
      <c r="BO340" s="54">
        <v>10</v>
      </c>
      <c r="BP340" s="54">
        <v>10</v>
      </c>
      <c r="BQ340" s="670">
        <f>M340</f>
        <v>9</v>
      </c>
      <c r="BT340" s="1445" t="str">
        <f>BT339</f>
        <v>Inc. Cost</v>
      </c>
      <c r="BU340" s="710"/>
      <c r="BV340" s="710"/>
      <c r="BW340" s="710"/>
      <c r="BX340" s="710"/>
      <c r="BY340" s="710"/>
      <c r="BZ340" s="710"/>
      <c r="CA340" s="710"/>
      <c r="CB340" s="710"/>
      <c r="CC340" s="710"/>
      <c r="CD340" s="1921">
        <f>N340</f>
        <v>105.6</v>
      </c>
      <c r="DG340" s="1067">
        <f>(DI340)/(DJ340)</f>
        <v>0</v>
      </c>
      <c r="DH340" s="1400" t="str">
        <f>CONCATENATE(I340," ",M340," Year EUL")</f>
        <v>Cooling BUS 9 Year EUL</v>
      </c>
      <c r="DI340" s="1068">
        <f>(INDEX('Avoided Cost Benefits'!$B$4:$B$865,MATCH(DH340,'Avoided Cost Benefits'!$A$4:$A$865,0)))*G340</f>
        <v>0</v>
      </c>
      <c r="DJ340" s="1177">
        <f>N340/(1.0686^(2025-2025))</f>
        <v>105.6</v>
      </c>
    </row>
    <row r="341" spans="1:114" ht="15" customHeight="1" outlineLevel="1">
      <c r="D341" s="77" t="s">
        <v>118</v>
      </c>
      <c r="E341" s="113" t="s">
        <v>464</v>
      </c>
      <c r="F341" s="8"/>
      <c r="G341" s="8"/>
      <c r="H341" s="471"/>
      <c r="I341" s="8"/>
      <c r="J341" s="8"/>
      <c r="K341" s="8"/>
      <c r="M341" s="1914" t="s">
        <v>465</v>
      </c>
      <c r="N341" s="1914"/>
      <c r="AF341" s="1912" t="s">
        <v>466</v>
      </c>
      <c r="BQ341" s="265" t="s">
        <v>465</v>
      </c>
      <c r="CD341" s="2" t="s">
        <v>467</v>
      </c>
    </row>
    <row r="342" spans="1:114" ht="15" customHeight="1" outlineLevel="1">
      <c r="D342" s="8" t="s">
        <v>120</v>
      </c>
      <c r="E342" s="8"/>
      <c r="F342" s="8"/>
      <c r="G342" s="8"/>
      <c r="H342" s="471"/>
      <c r="I342" s="8"/>
      <c r="J342" s="8"/>
      <c r="K342" s="8"/>
    </row>
    <row r="343" spans="1:114" ht="15" customHeight="1" outlineLevel="1">
      <c r="D343" s="472"/>
      <c r="G343" s="265"/>
      <c r="H343" s="473"/>
      <c r="I343"/>
    </row>
    <row r="344" spans="1:114" ht="15" customHeight="1" outlineLevel="1">
      <c r="D344" s="472"/>
      <c r="G344" s="265"/>
      <c r="H344" s="473"/>
    </row>
    <row r="345" spans="1:114" ht="15" customHeight="1" outlineLevel="1">
      <c r="D345" s="472"/>
      <c r="G345" s="265"/>
      <c r="H345" s="473"/>
      <c r="M345" s="8"/>
    </row>
    <row r="346" spans="1:114" ht="15" customHeight="1" outlineLevel="1">
      <c r="D346" s="472"/>
      <c r="G346" s="265"/>
      <c r="H346" s="473"/>
      <c r="M346" s="8"/>
    </row>
    <row r="347" spans="1:114" ht="15" customHeight="1" outlineLevel="1">
      <c r="D347" s="472"/>
      <c r="G347" s="265"/>
      <c r="H347" s="473"/>
      <c r="M347" s="8"/>
    </row>
    <row r="348" spans="1:114" ht="15" customHeight="1" outlineLevel="1">
      <c r="D348" s="472"/>
      <c r="G348" s="265"/>
      <c r="H348" s="473"/>
    </row>
    <row r="349" spans="1:114" s="9" customFormat="1" ht="30" customHeight="1" outlineLevel="1">
      <c r="A349" s="2"/>
      <c r="C349" s="66"/>
      <c r="D349" s="1365" t="s">
        <v>42</v>
      </c>
      <c r="E349" s="1365" t="s">
        <v>275</v>
      </c>
      <c r="F349" s="33" t="s">
        <v>468</v>
      </c>
      <c r="G349" s="1365" t="s">
        <v>469</v>
      </c>
      <c r="H349" s="1365" t="s">
        <v>470</v>
      </c>
      <c r="I349" s="1365" t="s">
        <v>471</v>
      </c>
      <c r="J349" s="33" t="s">
        <v>472</v>
      </c>
      <c r="K349" s="33" t="s">
        <v>473</v>
      </c>
      <c r="L349" s="1365" t="s">
        <v>474</v>
      </c>
      <c r="M349" s="1365" t="s">
        <v>475</v>
      </c>
      <c r="N349" s="1365" t="s">
        <v>476</v>
      </c>
      <c r="P349" s="122"/>
      <c r="Q349" s="122"/>
      <c r="R349" s="122"/>
      <c r="S349" s="122"/>
      <c r="T349" s="122"/>
      <c r="U349" s="122"/>
      <c r="V349" s="668" t="s">
        <v>52</v>
      </c>
      <c r="W349" s="669">
        <f>$W$8</f>
        <v>43252</v>
      </c>
      <c r="X349" s="669">
        <f>$X$8</f>
        <v>43465</v>
      </c>
      <c r="Y349" s="669">
        <f>$Y$8</f>
        <v>43800</v>
      </c>
      <c r="Z349" s="669">
        <f>$Z$8</f>
        <v>43862</v>
      </c>
      <c r="AA349" s="669">
        <f>$AA$8</f>
        <v>44013</v>
      </c>
      <c r="AB349" s="669">
        <v>44166</v>
      </c>
      <c r="AC349" s="669">
        <f>$AC$8</f>
        <v>44531</v>
      </c>
      <c r="AD349" s="669">
        <f>$AD$8</f>
        <v>44774</v>
      </c>
      <c r="AE349" s="669">
        <f>$AE$8</f>
        <v>45142</v>
      </c>
      <c r="AF349" s="669">
        <f>$AF$8</f>
        <v>45672</v>
      </c>
      <c r="AG349" s="669" t="str">
        <f>$AG$8</f>
        <v>-</v>
      </c>
      <c r="AI349" s="668" t="s">
        <v>52</v>
      </c>
      <c r="AJ349" s="669">
        <f>$W$8</f>
        <v>43252</v>
      </c>
      <c r="AK349" s="669">
        <f>$X$8</f>
        <v>43465</v>
      </c>
      <c r="AL349" s="669">
        <f>$Y$8</f>
        <v>43800</v>
      </c>
      <c r="AM349" s="669">
        <f>$Z$8</f>
        <v>43862</v>
      </c>
      <c r="AN349" s="669">
        <f>$AA$8</f>
        <v>44013</v>
      </c>
      <c r="AO349" s="669">
        <v>44166</v>
      </c>
      <c r="AP349" s="669">
        <f>$AC$8</f>
        <v>44531</v>
      </c>
      <c r="AQ349" s="669">
        <f>$AD$8</f>
        <v>44774</v>
      </c>
      <c r="AR349" s="669">
        <f>$AE$8</f>
        <v>45142</v>
      </c>
      <c r="AS349" s="669">
        <f>$AF$8</f>
        <v>45672</v>
      </c>
      <c r="AT349" s="2"/>
      <c r="AU349" s="668" t="s">
        <v>52</v>
      </c>
      <c r="AV349" s="669">
        <f>$W$8</f>
        <v>43252</v>
      </c>
      <c r="AW349" s="669">
        <f>$X$8</f>
        <v>43465</v>
      </c>
      <c r="AX349" s="669">
        <f>$Y$8</f>
        <v>43800</v>
      </c>
      <c r="AY349" s="669">
        <f>$Z$8</f>
        <v>43862</v>
      </c>
      <c r="AZ349" s="669">
        <f>$AA$8</f>
        <v>44013</v>
      </c>
      <c r="BA349" s="669">
        <v>44166</v>
      </c>
      <c r="BB349" s="669">
        <f>$AC$8</f>
        <v>44531</v>
      </c>
      <c r="BC349" s="669">
        <f>$AD$8</f>
        <v>44774</v>
      </c>
      <c r="BD349" s="669">
        <f>$AE$8</f>
        <v>45142</v>
      </c>
      <c r="BE349" s="669">
        <f>$AF$8</f>
        <v>45672</v>
      </c>
      <c r="BG349" s="668" t="s">
        <v>52</v>
      </c>
      <c r="BH349" s="669">
        <f>$W$8</f>
        <v>43252</v>
      </c>
      <c r="BI349" s="669">
        <f>$X$8</f>
        <v>43465</v>
      </c>
      <c r="BJ349" s="669">
        <f>$Y$8</f>
        <v>43800</v>
      </c>
      <c r="BK349" s="669">
        <f>$Z$8</f>
        <v>43862</v>
      </c>
      <c r="BL349" s="669">
        <f>$AA$8</f>
        <v>44013</v>
      </c>
      <c r="BM349" s="669">
        <v>44166</v>
      </c>
      <c r="BN349" s="669">
        <f>$AC$8</f>
        <v>44531</v>
      </c>
      <c r="BO349" s="669">
        <f>$AD$8</f>
        <v>44774</v>
      </c>
      <c r="BP349" s="669">
        <f>$AE$8</f>
        <v>45142</v>
      </c>
      <c r="BQ349" s="669">
        <f>$AF$8</f>
        <v>45672</v>
      </c>
      <c r="BT349" s="668" t="s">
        <v>52</v>
      </c>
      <c r="BU349" s="669">
        <v>43252</v>
      </c>
      <c r="BV349" s="669">
        <f>$X$8</f>
        <v>43465</v>
      </c>
      <c r="BW349" s="669">
        <f>$Y$8</f>
        <v>43800</v>
      </c>
      <c r="BX349" s="669">
        <f>$Z$8</f>
        <v>43862</v>
      </c>
      <c r="BY349" s="669">
        <f>$AA$8</f>
        <v>44013</v>
      </c>
      <c r="BZ349" s="669">
        <f>$AB$8</f>
        <v>44166</v>
      </c>
      <c r="CA349" s="669">
        <f>$AC$8</f>
        <v>44531</v>
      </c>
      <c r="CB349" s="669">
        <f>$AD$8</f>
        <v>44774</v>
      </c>
      <c r="CC349" s="669">
        <f>$AE$8</f>
        <v>45142</v>
      </c>
      <c r="CD349" s="669">
        <f>$AF$8</f>
        <v>45672</v>
      </c>
      <c r="DE349" s="2"/>
      <c r="DF349" s="2"/>
      <c r="DG349" s="1065"/>
      <c r="DH349" s="122"/>
      <c r="DI349" s="122"/>
      <c r="DJ349" s="1168"/>
    </row>
    <row r="350" spans="1:114" ht="30" customHeight="1" outlineLevel="1">
      <c r="D350" s="679" t="str">
        <f>C339</f>
        <v>803050_2024_12_</v>
      </c>
      <c r="E350" s="679" t="str">
        <f>E339</f>
        <v>Learning Thermostat, cooling and electric heat, per ton</v>
      </c>
      <c r="F350" s="2050">
        <v>13.4</v>
      </c>
      <c r="G350" s="2040">
        <v>1053</v>
      </c>
      <c r="H350" s="1933">
        <v>30000</v>
      </c>
      <c r="I350" s="2049">
        <v>0.13900000000000001</v>
      </c>
      <c r="J350" s="2040">
        <v>1060</v>
      </c>
      <c r="K350" s="2039">
        <v>2</v>
      </c>
      <c r="L350" s="1933">
        <v>30000</v>
      </c>
      <c r="M350" s="2047">
        <v>0.125</v>
      </c>
      <c r="N350" s="2048">
        <v>264</v>
      </c>
      <c r="V350" s="1414" t="s">
        <v>468</v>
      </c>
      <c r="W350" s="1740">
        <v>10</v>
      </c>
      <c r="X350" s="1740">
        <v>10</v>
      </c>
      <c r="Y350" s="1740">
        <v>10</v>
      </c>
      <c r="Z350" s="1740">
        <v>10</v>
      </c>
      <c r="AA350" s="1740">
        <v>10</v>
      </c>
      <c r="AB350" s="1740">
        <v>10</v>
      </c>
      <c r="AC350" s="1740">
        <v>10</v>
      </c>
      <c r="AD350" s="1740">
        <v>10</v>
      </c>
      <c r="AE350" s="1740">
        <v>10</v>
      </c>
      <c r="AF350" s="650">
        <v>13.4</v>
      </c>
      <c r="AG350" s="1916"/>
      <c r="AI350" s="1414" t="s">
        <v>470</v>
      </c>
      <c r="AJ350" s="1955">
        <v>12000</v>
      </c>
      <c r="AK350" s="1955">
        <v>12000</v>
      </c>
      <c r="AL350" s="1955">
        <v>12000</v>
      </c>
      <c r="AM350" s="1955">
        <v>12000</v>
      </c>
      <c r="AN350" s="1955">
        <v>12000</v>
      </c>
      <c r="AO350" s="1955">
        <v>12000</v>
      </c>
      <c r="AP350" s="1955">
        <v>12000</v>
      </c>
      <c r="AQ350" s="1955">
        <v>12000</v>
      </c>
      <c r="AR350" s="1955">
        <v>12000</v>
      </c>
      <c r="AS350" s="1965">
        <v>30000</v>
      </c>
      <c r="AU350" s="1414" t="s">
        <v>471</v>
      </c>
      <c r="AV350" s="1977">
        <v>0.16250000000000001</v>
      </c>
      <c r="AW350" s="1977">
        <v>0.16250000000000001</v>
      </c>
      <c r="AX350" s="1977">
        <v>0.16250000000000001</v>
      </c>
      <c r="AY350" s="1977">
        <v>0.16250000000000001</v>
      </c>
      <c r="AZ350" s="1977">
        <v>0.16250000000000001</v>
      </c>
      <c r="BA350" s="1977">
        <v>0.16250000000000001</v>
      </c>
      <c r="BB350" s="1977">
        <v>0.16250000000000001</v>
      </c>
      <c r="BC350" s="1977">
        <v>0.16250000000000001</v>
      </c>
      <c r="BD350" s="1977">
        <v>0.16250000000000001</v>
      </c>
      <c r="BE350" s="1978">
        <v>0.13900000000000001</v>
      </c>
      <c r="BG350" s="1414" t="s">
        <v>474</v>
      </c>
      <c r="BH350" s="1955">
        <v>12000</v>
      </c>
      <c r="BI350" s="1955">
        <v>12000</v>
      </c>
      <c r="BJ350" s="1955">
        <v>12000</v>
      </c>
      <c r="BK350" s="1955">
        <v>12000</v>
      </c>
      <c r="BL350" s="1955">
        <v>12000</v>
      </c>
      <c r="BM350" s="1955">
        <v>12000</v>
      </c>
      <c r="BN350" s="1955">
        <v>12000</v>
      </c>
      <c r="BO350" s="1955">
        <v>12000</v>
      </c>
      <c r="BP350" s="1955">
        <v>12000</v>
      </c>
      <c r="BQ350" s="1965">
        <v>30000</v>
      </c>
      <c r="BT350" s="1445" t="str">
        <f>N349</f>
        <v>Inc Cost per thermostat</v>
      </c>
      <c r="BU350" s="710">
        <v>224</v>
      </c>
      <c r="BV350" s="710">
        <v>224</v>
      </c>
      <c r="BW350" s="710">
        <v>224</v>
      </c>
      <c r="BX350" s="710">
        <v>224</v>
      </c>
      <c r="BY350" s="710">
        <v>224</v>
      </c>
      <c r="BZ350" s="710">
        <v>224</v>
      </c>
      <c r="CA350" s="710">
        <v>224</v>
      </c>
      <c r="CB350" s="710">
        <v>224</v>
      </c>
      <c r="CC350" s="710">
        <v>224</v>
      </c>
      <c r="CD350" s="1921">
        <f>N350</f>
        <v>264</v>
      </c>
    </row>
    <row r="351" spans="1:114" ht="26.25">
      <c r="F351" s="1914" t="s">
        <v>477</v>
      </c>
      <c r="G351" s="1927" t="s">
        <v>478</v>
      </c>
      <c r="H351" s="1929"/>
      <c r="I351" s="1914" t="s">
        <v>479</v>
      </c>
      <c r="J351" s="1914" t="s">
        <v>478</v>
      </c>
      <c r="K351" s="1914" t="s">
        <v>480</v>
      </c>
      <c r="L351" s="1914"/>
      <c r="M351" s="1914" t="s">
        <v>479</v>
      </c>
      <c r="N351" s="1914" t="s">
        <v>481</v>
      </c>
    </row>
    <row r="353" spans="1:114" s="9" customFormat="1" ht="30">
      <c r="A353" s="2"/>
      <c r="B353" s="7"/>
      <c r="C353" s="10" t="s">
        <v>42</v>
      </c>
      <c r="D353" s="10" t="s">
        <v>43</v>
      </c>
      <c r="E353" s="1432" t="s">
        <v>44</v>
      </c>
      <c r="F353" s="1432" t="s">
        <v>382</v>
      </c>
      <c r="G353" s="1432" t="s">
        <v>46</v>
      </c>
      <c r="H353" s="1432" t="s">
        <v>47</v>
      </c>
      <c r="I353" s="1432" t="s">
        <v>48</v>
      </c>
      <c r="J353" s="1432" t="s">
        <v>49</v>
      </c>
      <c r="K353" s="1432" t="s">
        <v>482</v>
      </c>
      <c r="L353" s="10" t="s">
        <v>51</v>
      </c>
      <c r="M353" s="265"/>
      <c r="N353" s="265"/>
      <c r="O353" s="265"/>
      <c r="P353" s="122"/>
      <c r="Q353" s="122"/>
      <c r="R353" s="122"/>
      <c r="S353" s="122"/>
      <c r="T353" s="122"/>
      <c r="U353" s="122"/>
      <c r="V353" s="668" t="s">
        <v>52</v>
      </c>
      <c r="W353" s="669">
        <f>$W$8</f>
        <v>43252</v>
      </c>
      <c r="X353" s="669">
        <f>$X$8</f>
        <v>43465</v>
      </c>
      <c r="Y353" s="669">
        <f>$Y$8</f>
        <v>43800</v>
      </c>
      <c r="Z353" s="669">
        <f>$Z$8</f>
        <v>43862</v>
      </c>
      <c r="AA353" s="669">
        <f>$AA$8</f>
        <v>44013</v>
      </c>
      <c r="AB353" s="669">
        <v>44166</v>
      </c>
      <c r="AC353" s="669">
        <f>$AC$8</f>
        <v>44531</v>
      </c>
      <c r="AD353" s="669">
        <f>$AD$8</f>
        <v>44774</v>
      </c>
      <c r="AE353" s="669">
        <f>$AE$8</f>
        <v>45142</v>
      </c>
      <c r="AF353" s="669">
        <f>$AF$8</f>
        <v>45672</v>
      </c>
      <c r="AG353" s="669" t="str">
        <f>$AG$8</f>
        <v>-</v>
      </c>
      <c r="AH353"/>
      <c r="AI353" s="668" t="s">
        <v>52</v>
      </c>
      <c r="AJ353" s="669">
        <v>43252</v>
      </c>
      <c r="AK353" s="669">
        <f>$X$8</f>
        <v>43465</v>
      </c>
      <c r="AL353" s="669">
        <f>$Y$8</f>
        <v>43800</v>
      </c>
      <c r="AM353" s="669">
        <f>$Z$8</f>
        <v>43862</v>
      </c>
      <c r="AN353" s="669">
        <f>$AA$8</f>
        <v>44013</v>
      </c>
      <c r="AO353" s="669">
        <f>$AB$8</f>
        <v>44166</v>
      </c>
      <c r="AP353" s="669">
        <f>$AC$8</f>
        <v>44531</v>
      </c>
      <c r="AQ353" s="669">
        <f>$AD$8</f>
        <v>44774</v>
      </c>
      <c r="AR353" s="669">
        <f>$AE$8</f>
        <v>45142</v>
      </c>
      <c r="AS353" s="669">
        <f>$AF$8</f>
        <v>45672</v>
      </c>
      <c r="AT353" s="2"/>
      <c r="AU353" s="668" t="s">
        <v>52</v>
      </c>
      <c r="AV353" s="669">
        <v>43252</v>
      </c>
      <c r="AW353" s="669">
        <f>$X$8</f>
        <v>43465</v>
      </c>
      <c r="AX353" s="669">
        <f>$Y$8</f>
        <v>43800</v>
      </c>
      <c r="AY353" s="669">
        <f>$Z$8</f>
        <v>43862</v>
      </c>
      <c r="AZ353" s="669">
        <f>$AA$8</f>
        <v>44013</v>
      </c>
      <c r="BA353" s="669">
        <v>44166</v>
      </c>
      <c r="BB353" s="669">
        <f>$AC$8</f>
        <v>44531</v>
      </c>
      <c r="BC353" s="669">
        <f>$AD$8</f>
        <v>44774</v>
      </c>
      <c r="BD353" s="669">
        <f>$AE$8</f>
        <v>45142</v>
      </c>
      <c r="BE353" s="669">
        <f>$AF$8</f>
        <v>45672</v>
      </c>
      <c r="DE353" s="2"/>
      <c r="DF353" s="2"/>
      <c r="DG353" s="1060" t="str">
        <f>$DG$8</f>
        <v>TRC (2025)</v>
      </c>
      <c r="DH353" s="811" t="str">
        <f>$DH$8</f>
        <v>Benefit Lookup</v>
      </c>
      <c r="DI353" s="811" t="str">
        <f>$DI$8</f>
        <v>Benefits (2025 $)</v>
      </c>
      <c r="DJ353" s="1172" t="str">
        <f>$DJ$8</f>
        <v>Incremental Cost (2025 $)</v>
      </c>
    </row>
    <row r="354" spans="1:114">
      <c r="B354" s="1454">
        <f t="shared" ref="B354:B357" si="96">VALUE(LEFT(C354,6))</f>
        <v>803100</v>
      </c>
      <c r="C354" s="1637" t="s">
        <v>483</v>
      </c>
      <c r="D354" s="1639" t="s">
        <v>457</v>
      </c>
      <c r="E354" s="507" t="s">
        <v>484</v>
      </c>
      <c r="F354" s="665">
        <f>ROUND((F367/G367)*H367*I367,2)</f>
        <v>1362.32</v>
      </c>
      <c r="G354" s="463" t="s">
        <v>459</v>
      </c>
      <c r="H354" s="464">
        <f>VLOOKUP(G354,'CP FACTORS'!$A$26:$B$38,2,FALSE)</f>
        <v>9.1068400000000004E-4</v>
      </c>
      <c r="I354" s="1481">
        <f>ROUND(H354*F354,6)</f>
        <v>1.2406429999999999</v>
      </c>
      <c r="J354" s="499">
        <v>15</v>
      </c>
      <c r="K354" s="2016">
        <f>300*1+(1500/J367)</f>
        <v>360</v>
      </c>
      <c r="L354" s="509" t="s">
        <v>485</v>
      </c>
      <c r="V354" s="1414" t="str">
        <f>F353</f>
        <v>kWh Annual Savings (per HP)</v>
      </c>
      <c r="W354" s="1740">
        <v>1289.6420430107526</v>
      </c>
      <c r="X354" s="1740">
        <v>1289.6420430107526</v>
      </c>
      <c r="Y354" s="1740">
        <v>1289.6420430107526</v>
      </c>
      <c r="Z354" s="1740">
        <v>1289.6420430107526</v>
      </c>
      <c r="AA354" s="1740">
        <v>1289.6420430107526</v>
      </c>
      <c r="AB354" s="1916">
        <v>1289.6400000000001</v>
      </c>
      <c r="AC354" s="769">
        <v>1289.6400000000001</v>
      </c>
      <c r="AD354" s="769">
        <v>1289.6400000000001</v>
      </c>
      <c r="AE354" s="769">
        <v>1289.6400000000001</v>
      </c>
      <c r="AF354" s="271">
        <f>IF(F354&lt;&gt;"",F354,"")</f>
        <v>1362.32</v>
      </c>
      <c r="AG354" s="1916"/>
      <c r="AH354" s="1452"/>
      <c r="AI354" s="1414" t="s">
        <v>49</v>
      </c>
      <c r="AJ354" s="1482">
        <v>15</v>
      </c>
      <c r="AK354" s="1482">
        <v>15</v>
      </c>
      <c r="AL354" s="1482">
        <v>15</v>
      </c>
      <c r="AM354" s="1482">
        <v>15</v>
      </c>
      <c r="AN354" s="1482">
        <v>15</v>
      </c>
      <c r="AO354" s="17">
        <v>15</v>
      </c>
      <c r="AP354" s="17">
        <v>15</v>
      </c>
      <c r="AQ354" s="17">
        <v>15</v>
      </c>
      <c r="AR354" s="648">
        <v>15</v>
      </c>
      <c r="AS354" s="648">
        <v>15</v>
      </c>
      <c r="AU354" s="1414" t="str">
        <f>K353</f>
        <v>Inc. Cost (per HP)</v>
      </c>
      <c r="AV354" s="675">
        <v>179</v>
      </c>
      <c r="AW354" s="675">
        <v>179</v>
      </c>
      <c r="AX354" s="675">
        <v>179</v>
      </c>
      <c r="AY354" s="675">
        <v>179</v>
      </c>
      <c r="AZ354" s="675">
        <v>179</v>
      </c>
      <c r="BA354" s="689">
        <v>179</v>
      </c>
      <c r="BB354" s="689">
        <v>179</v>
      </c>
      <c r="BC354" s="689">
        <v>179</v>
      </c>
      <c r="BD354" s="689">
        <v>179</v>
      </c>
      <c r="BE354" s="773">
        <f>K354</f>
        <v>360</v>
      </c>
      <c r="DG354" s="1062">
        <f>(DI354)/(DJ354)</f>
        <v>7.3182991924593015</v>
      </c>
      <c r="DH354" s="1400" t="str">
        <f>CONCATENATE(G354," ",J354," Year EUL")</f>
        <v>Cooling BUS 15 Year EUL</v>
      </c>
      <c r="DI354" s="198">
        <f>(INDEX('Avoided Cost Benefits'!$B$4:$B$865,MATCH(DH354,'Avoided Cost Benefits'!$A$4:$A$865,0)))*F354</f>
        <v>2634.5877092853484</v>
      </c>
      <c r="DJ354" s="1169">
        <f>K354/(1.0686^(2025-2025))</f>
        <v>360</v>
      </c>
    </row>
    <row r="355" spans="1:114">
      <c r="B355" s="1454">
        <f t="shared" si="96"/>
        <v>803150</v>
      </c>
      <c r="C355" s="1637" t="s">
        <v>486</v>
      </c>
      <c r="D355" s="1639" t="s">
        <v>135</v>
      </c>
      <c r="E355" s="507" t="s">
        <v>487</v>
      </c>
      <c r="F355" s="665">
        <f>ROUND((F368/G368)*H368*I368,2)</f>
        <v>1181.01</v>
      </c>
      <c r="G355" s="463" t="s">
        <v>488</v>
      </c>
      <c r="H355" s="464">
        <f>VLOOKUP(G355,'CP FACTORS'!$A$26:$B$38,2,FALSE)</f>
        <v>4.4398300000000001E-4</v>
      </c>
      <c r="I355" s="1481">
        <f>ROUND(H355*F355,6)</f>
        <v>0.52434800000000004</v>
      </c>
      <c r="J355" s="499">
        <v>15</v>
      </c>
      <c r="K355" s="2016">
        <f>300*1+(1500/J368)</f>
        <v>360</v>
      </c>
      <c r="L355" s="509" t="s">
        <v>485</v>
      </c>
      <c r="V355" s="1414" t="str">
        <f>V354</f>
        <v>kWh Annual Savings (per HP)</v>
      </c>
      <c r="W355" s="1740">
        <v>1696.5749462365593</v>
      </c>
      <c r="X355" s="1740">
        <v>1696.5749462365593</v>
      </c>
      <c r="Y355" s="1740">
        <v>1696.5749462365593</v>
      </c>
      <c r="Z355" s="1740">
        <v>1696.5749462365593</v>
      </c>
      <c r="AA355" s="1916">
        <v>1696.5749462365593</v>
      </c>
      <c r="AB355" s="1916">
        <v>1696.57</v>
      </c>
      <c r="AC355" s="769">
        <v>1696.57</v>
      </c>
      <c r="AD355" s="769">
        <v>1696.57</v>
      </c>
      <c r="AE355" s="769">
        <v>1696.57</v>
      </c>
      <c r="AF355" s="271">
        <f>IF(F355&lt;&gt;"",F355,"")</f>
        <v>1181.01</v>
      </c>
      <c r="AG355" s="1916"/>
      <c r="AH355" s="1452"/>
      <c r="AI355" s="1414" t="s">
        <v>49</v>
      </c>
      <c r="AJ355" s="1482">
        <v>15</v>
      </c>
      <c r="AK355" s="1482">
        <v>15</v>
      </c>
      <c r="AL355" s="1482">
        <v>15</v>
      </c>
      <c r="AM355" s="1482">
        <v>15</v>
      </c>
      <c r="AN355" s="1938">
        <v>15</v>
      </c>
      <c r="AO355" s="17">
        <v>15</v>
      </c>
      <c r="AP355" s="17">
        <v>15</v>
      </c>
      <c r="AQ355" s="17">
        <v>15</v>
      </c>
      <c r="AR355" s="648">
        <v>15</v>
      </c>
      <c r="AS355" s="648">
        <v>15</v>
      </c>
      <c r="AU355" s="1414" t="str">
        <f>AU354</f>
        <v>Inc. Cost (per HP)</v>
      </c>
      <c r="AV355" s="675">
        <f>AV354</f>
        <v>179</v>
      </c>
      <c r="AW355" s="675">
        <f>AW354</f>
        <v>179</v>
      </c>
      <c r="AX355" s="675">
        <v>179</v>
      </c>
      <c r="AY355" s="675">
        <v>179</v>
      </c>
      <c r="AZ355" s="1939">
        <v>179</v>
      </c>
      <c r="BA355" s="689">
        <v>179</v>
      </c>
      <c r="BB355" s="689">
        <v>179</v>
      </c>
      <c r="BC355" s="689">
        <v>179</v>
      </c>
      <c r="BD355" s="689">
        <v>179</v>
      </c>
      <c r="BE355" s="773">
        <f t="shared" ref="BE355:BE357" si="97">K355</f>
        <v>360</v>
      </c>
      <c r="DG355" s="1064">
        <f>(DI355)/(DJ355)</f>
        <v>4.0001669388996595</v>
      </c>
      <c r="DH355" s="673" t="str">
        <f>CONCATENATE(G355," ",J355," Year EUL")</f>
        <v>HVAC BUS 15 Year EUL</v>
      </c>
      <c r="DI355" s="1066">
        <f>(INDEX('Avoided Cost Benefits'!$B$4:$B$865,MATCH(DH355,'Avoided Cost Benefits'!$A$4:$A$865,0)))*F355</f>
        <v>1440.0600980038776</v>
      </c>
      <c r="DJ355" s="1171">
        <f>K355/(1.0686^(2025-2025))</f>
        <v>360</v>
      </c>
    </row>
    <row r="356" spans="1:114">
      <c r="B356" s="1454">
        <f t="shared" si="96"/>
        <v>803155</v>
      </c>
      <c r="C356" s="1637" t="s">
        <v>489</v>
      </c>
      <c r="D356" s="1639" t="s">
        <v>135</v>
      </c>
      <c r="E356" s="507" t="s">
        <v>490</v>
      </c>
      <c r="F356" s="665">
        <f>ROUND((F369/G369)*H369*I369,2)</f>
        <v>1362.32</v>
      </c>
      <c r="G356" s="463" t="s">
        <v>459</v>
      </c>
      <c r="H356" s="464">
        <f>VLOOKUP(G356,'CP FACTORS'!$A$26:$B$38,2,FALSE)</f>
        <v>9.1068400000000004E-4</v>
      </c>
      <c r="I356" s="1481">
        <f>ROUND(H356*F356,6)</f>
        <v>1.2406429999999999</v>
      </c>
      <c r="J356" s="499">
        <v>15</v>
      </c>
      <c r="K356" s="2016">
        <f t="shared" ref="K356:K357" si="98">300*1+(1500/J369)</f>
        <v>360</v>
      </c>
      <c r="L356" s="509" t="s">
        <v>485</v>
      </c>
      <c r="V356" s="1414" t="str">
        <f>V355</f>
        <v>kWh Annual Savings (per HP)</v>
      </c>
      <c r="W356" s="1740"/>
      <c r="X356" s="1740"/>
      <c r="Y356" s="1740"/>
      <c r="Z356" s="1916"/>
      <c r="AA356" s="1916">
        <v>1289.6400000000001</v>
      </c>
      <c r="AB356" s="1916">
        <v>1289.6400000000001</v>
      </c>
      <c r="AC356" s="769">
        <v>1289.6400000000001</v>
      </c>
      <c r="AD356" s="769">
        <v>1289.6400000000001</v>
      </c>
      <c r="AE356" s="769">
        <v>1289.6400000000001</v>
      </c>
      <c r="AF356" s="271">
        <f>IF(F356&lt;&gt;"",F356,"")</f>
        <v>1362.32</v>
      </c>
      <c r="AG356" s="1916"/>
      <c r="AH356" s="1452"/>
      <c r="AI356" s="1414" t="s">
        <v>49</v>
      </c>
      <c r="AJ356" s="1482"/>
      <c r="AK356" s="1482"/>
      <c r="AL356" s="1482"/>
      <c r="AM356" s="54"/>
      <c r="AN356" s="1938">
        <v>15</v>
      </c>
      <c r="AO356" s="17">
        <v>15</v>
      </c>
      <c r="AP356" s="17">
        <v>15</v>
      </c>
      <c r="AQ356" s="17">
        <v>15</v>
      </c>
      <c r="AR356" s="648">
        <v>15</v>
      </c>
      <c r="AS356" s="648">
        <v>15</v>
      </c>
      <c r="AU356" s="1414" t="str">
        <f>AU355</f>
        <v>Inc. Cost (per HP)</v>
      </c>
      <c r="AV356" s="675"/>
      <c r="AW356" s="675"/>
      <c r="AX356" s="675"/>
      <c r="AY356" s="71"/>
      <c r="AZ356" s="1939">
        <v>179</v>
      </c>
      <c r="BA356" s="689">
        <v>179</v>
      </c>
      <c r="BB356" s="689">
        <v>179</v>
      </c>
      <c r="BC356" s="689">
        <v>179</v>
      </c>
      <c r="BD356" s="689">
        <v>179</v>
      </c>
      <c r="BE356" s="773">
        <f t="shared" si="97"/>
        <v>360</v>
      </c>
      <c r="DG356" s="1062">
        <f>(DI356)/(DJ356)</f>
        <v>7.3182991924593015</v>
      </c>
      <c r="DH356" s="1400" t="str">
        <f>CONCATENATE(G356," ",J356," Year EUL")</f>
        <v>Cooling BUS 15 Year EUL</v>
      </c>
      <c r="DI356" s="198">
        <f>(INDEX('Avoided Cost Benefits'!$B$4:$B$865,MATCH(DH356,'Avoided Cost Benefits'!$A$4:$A$865,0)))*F356</f>
        <v>2634.5877092853484</v>
      </c>
      <c r="DJ356" s="1169">
        <f>K356/(1.0686^(2025-2025))</f>
        <v>360</v>
      </c>
    </row>
    <row r="357" spans="1:114">
      <c r="B357" s="1454">
        <f t="shared" si="96"/>
        <v>803160</v>
      </c>
      <c r="C357" s="1637" t="s">
        <v>491</v>
      </c>
      <c r="D357" s="1639" t="s">
        <v>135</v>
      </c>
      <c r="E357" s="507" t="s">
        <v>492</v>
      </c>
      <c r="F357" s="665">
        <f>ROUND((F370/G370)*H370*I370,2)</f>
        <v>1910.3</v>
      </c>
      <c r="G357" s="463" t="s">
        <v>488</v>
      </c>
      <c r="H357" s="464">
        <f>VLOOKUP(G357,'CP FACTORS'!$A$26:$B$38,2,FALSE)</f>
        <v>4.4398300000000001E-4</v>
      </c>
      <c r="I357" s="1481">
        <f>ROUND(H357*F357,6)</f>
        <v>0.84814100000000003</v>
      </c>
      <c r="J357" s="499">
        <v>15</v>
      </c>
      <c r="K357" s="2016">
        <f t="shared" si="98"/>
        <v>360</v>
      </c>
      <c r="L357" s="509" t="s">
        <v>485</v>
      </c>
      <c r="V357" s="1414" t="str">
        <f>V356</f>
        <v>kWh Annual Savings (per HP)</v>
      </c>
      <c r="W357" s="1740"/>
      <c r="X357" s="1740"/>
      <c r="Y357" s="1740"/>
      <c r="Z357" s="1916"/>
      <c r="AA357" s="1916">
        <v>479.48</v>
      </c>
      <c r="AB357" s="1916">
        <v>479.48</v>
      </c>
      <c r="AC357" s="769">
        <v>479.48</v>
      </c>
      <c r="AD357" s="769">
        <v>479.48</v>
      </c>
      <c r="AE357" s="769">
        <v>479.48</v>
      </c>
      <c r="AF357" s="271">
        <f>IF(F357&lt;&gt;"",F357,"")</f>
        <v>1910.3</v>
      </c>
      <c r="AG357" s="1916"/>
      <c r="AH357" s="1452"/>
      <c r="AI357" s="1414" t="s">
        <v>49</v>
      </c>
      <c r="AJ357" s="1482"/>
      <c r="AK357" s="1482"/>
      <c r="AL357" s="1482"/>
      <c r="AM357" s="54"/>
      <c r="AN357" s="1938">
        <v>15</v>
      </c>
      <c r="AO357" s="17">
        <v>15</v>
      </c>
      <c r="AP357" s="17">
        <v>15</v>
      </c>
      <c r="AQ357" s="17">
        <v>15</v>
      </c>
      <c r="AR357" s="648">
        <v>15</v>
      </c>
      <c r="AS357" s="648">
        <v>15</v>
      </c>
      <c r="AU357" s="1414" t="str">
        <f>AU356</f>
        <v>Inc. Cost (per HP)</v>
      </c>
      <c r="AV357" s="675"/>
      <c r="AW357" s="675"/>
      <c r="AX357" s="675"/>
      <c r="AY357" s="71"/>
      <c r="AZ357" s="1939">
        <v>179</v>
      </c>
      <c r="BA357" s="689">
        <v>179</v>
      </c>
      <c r="BB357" s="689">
        <v>179</v>
      </c>
      <c r="BC357" s="689">
        <v>179</v>
      </c>
      <c r="BD357" s="689">
        <v>179</v>
      </c>
      <c r="BE357" s="773">
        <f t="shared" si="97"/>
        <v>360</v>
      </c>
      <c r="DG357" s="1064">
        <f>(DI357)/(DJ357)</f>
        <v>6.4703253176349218</v>
      </c>
      <c r="DH357" s="673" t="str">
        <f>CONCATENATE(G357," ",J357," Year EUL")</f>
        <v>HVAC BUS 15 Year EUL</v>
      </c>
      <c r="DI357" s="1066">
        <f>(INDEX('Avoided Cost Benefits'!$B$4:$B$865,MATCH(DH357,'Avoided Cost Benefits'!$A$4:$A$865,0)))*F357</f>
        <v>2329.317114348572</v>
      </c>
      <c r="DJ357" s="1171">
        <f>K357/(1.0686^(2025-2025))</f>
        <v>360</v>
      </c>
    </row>
    <row r="358" spans="1:114" ht="15" customHeight="1" outlineLevel="1">
      <c r="D358" s="77" t="s">
        <v>118</v>
      </c>
      <c r="E358" s="1591" t="s">
        <v>493</v>
      </c>
      <c r="F358" s="8"/>
      <c r="G358" s="8"/>
      <c r="H358" s="471"/>
      <c r="I358" s="8"/>
      <c r="J358" s="8"/>
      <c r="K358" s="8"/>
      <c r="L358" s="8"/>
      <c r="W358" s="1937"/>
      <c r="X358" s="1937"/>
      <c r="Y358" s="1937"/>
      <c r="Z358" s="1937"/>
      <c r="AA358" s="1937"/>
      <c r="AB358" s="1937"/>
      <c r="AC358" s="1937"/>
      <c r="AD358" s="1937"/>
      <c r="AE358" s="1937"/>
      <c r="AF358" s="1937"/>
      <c r="AG358" s="1937"/>
      <c r="AH358" s="1937"/>
      <c r="BE358" s="2" t="s">
        <v>494</v>
      </c>
    </row>
    <row r="359" spans="1:114" ht="15" customHeight="1" outlineLevel="1">
      <c r="D359" s="8" t="s">
        <v>120</v>
      </c>
      <c r="E359" s="8"/>
      <c r="F359" s="8"/>
      <c r="G359" s="8"/>
      <c r="H359" s="471"/>
      <c r="I359" s="8"/>
      <c r="J359" s="8"/>
      <c r="K359" s="510"/>
      <c r="L359" s="8"/>
      <c r="W359" s="1937"/>
      <c r="X359" s="1937"/>
      <c r="Y359" s="1937"/>
      <c r="Z359" s="1937"/>
      <c r="AA359" s="1937"/>
      <c r="AB359" s="1937"/>
      <c r="AC359" s="1937"/>
      <c r="AD359" s="1937"/>
      <c r="AE359" s="1937"/>
      <c r="AF359" s="1937"/>
      <c r="AG359" s="1937"/>
      <c r="AH359" s="1937"/>
    </row>
    <row r="360" spans="1:114" ht="15" customHeight="1" outlineLevel="1">
      <c r="D360" s="472"/>
      <c r="G360" s="265"/>
      <c r="H360" s="473"/>
      <c r="L360" s="8"/>
    </row>
    <row r="361" spans="1:114" ht="15" customHeight="1" outlineLevel="1">
      <c r="D361" s="472"/>
      <c r="G361" s="265"/>
      <c r="H361" s="473"/>
      <c r="L361" s="8"/>
    </row>
    <row r="362" spans="1:114" ht="15" customHeight="1" outlineLevel="1">
      <c r="D362" s="472"/>
      <c r="G362" s="265"/>
      <c r="H362" s="473"/>
      <c r="L362" s="8"/>
      <c r="M362" s="8"/>
    </row>
    <row r="363" spans="1:114" ht="15" customHeight="1" outlineLevel="1">
      <c r="D363" s="472"/>
      <c r="G363" s="265"/>
      <c r="H363" s="473"/>
      <c r="L363" s="8"/>
      <c r="M363" s="8"/>
    </row>
    <row r="364" spans="1:114" ht="15" customHeight="1" outlineLevel="1">
      <c r="D364" s="472"/>
      <c r="G364" s="265"/>
      <c r="H364" s="473"/>
      <c r="L364" s="8"/>
      <c r="M364" s="8"/>
    </row>
    <row r="365" spans="1:114" ht="15" customHeight="1" outlineLevel="1">
      <c r="D365" s="472"/>
      <c r="G365" s="265"/>
      <c r="H365" s="473"/>
      <c r="L365" s="8"/>
    </row>
    <row r="366" spans="1:114" s="9" customFormat="1" ht="45" customHeight="1" outlineLevel="1">
      <c r="A366" s="2"/>
      <c r="C366" s="66"/>
      <c r="D366" s="1365" t="s">
        <v>42</v>
      </c>
      <c r="E366" s="1365" t="s">
        <v>275</v>
      </c>
      <c r="F366" s="1365" t="s">
        <v>495</v>
      </c>
      <c r="G366" s="1365" t="s">
        <v>496</v>
      </c>
      <c r="H366" s="1365" t="s">
        <v>173</v>
      </c>
      <c r="I366" s="1365" t="s">
        <v>207</v>
      </c>
      <c r="J366" s="1968" t="s">
        <v>497</v>
      </c>
      <c r="K366" s="122"/>
      <c r="L366" s="8"/>
      <c r="M366" s="122"/>
      <c r="N366" s="122"/>
      <c r="O366" s="122"/>
      <c r="P366" s="122"/>
      <c r="Q366" s="122"/>
      <c r="R366" s="122"/>
      <c r="S366" s="122"/>
      <c r="T366" s="122"/>
      <c r="U366" s="122"/>
      <c r="V366" s="668" t="s">
        <v>52</v>
      </c>
      <c r="W366" s="669">
        <f>$W$8</f>
        <v>43252</v>
      </c>
      <c r="X366" s="669">
        <f>$X$8</f>
        <v>43465</v>
      </c>
      <c r="Y366" s="669">
        <f>$Y$8</f>
        <v>43800</v>
      </c>
      <c r="Z366" s="669">
        <f>$Z$8</f>
        <v>43862</v>
      </c>
      <c r="AA366" s="669">
        <f>$AA$8</f>
        <v>44013</v>
      </c>
      <c r="AB366" s="669">
        <v>44166</v>
      </c>
      <c r="AC366" s="669">
        <f>$AC$8</f>
        <v>44531</v>
      </c>
      <c r="AD366" s="669">
        <f>$AD$8</f>
        <v>44774</v>
      </c>
      <c r="AE366" s="669">
        <f>$AE$8</f>
        <v>45142</v>
      </c>
      <c r="AF366" s="669">
        <f>$AF$8</f>
        <v>45672</v>
      </c>
      <c r="AG366" s="669" t="str">
        <f>$AG$8</f>
        <v>-</v>
      </c>
      <c r="AI366" s="668" t="s">
        <v>52</v>
      </c>
      <c r="AJ366" s="669">
        <f>$W$8</f>
        <v>43252</v>
      </c>
      <c r="AK366" s="669">
        <f>$X$8</f>
        <v>43465</v>
      </c>
      <c r="AL366" s="669">
        <f>$Y$8</f>
        <v>43800</v>
      </c>
      <c r="AM366" s="669">
        <f>$Z$8</f>
        <v>43862</v>
      </c>
      <c r="AN366" s="669">
        <f>$AA$8</f>
        <v>44013</v>
      </c>
      <c r="AO366" s="669">
        <v>44166</v>
      </c>
      <c r="AP366" s="669">
        <f>$AC$8</f>
        <v>44531</v>
      </c>
      <c r="AQ366" s="669">
        <f>$AD$8</f>
        <v>44774</v>
      </c>
      <c r="AR366" s="669">
        <f>$AE$8</f>
        <v>45142</v>
      </c>
      <c r="AS366" s="669">
        <f>$AF$8</f>
        <v>45672</v>
      </c>
      <c r="AT366" s="669" t="str">
        <f>$AG$8</f>
        <v>-</v>
      </c>
      <c r="DE366" s="2"/>
      <c r="DF366" s="2"/>
      <c r="DG366" s="1065"/>
      <c r="DH366" s="122"/>
      <c r="DI366" s="122"/>
      <c r="DJ366" s="1168"/>
    </row>
    <row r="367" spans="1:114" ht="15" customHeight="1" outlineLevel="1">
      <c r="D367" s="679" t="str">
        <f>C354</f>
        <v>803100_2024_12_</v>
      </c>
      <c r="E367" s="679" t="str">
        <f>E354</f>
        <v>VFD on Chilled Water Pump &gt;= 1HP, per Hp</v>
      </c>
      <c r="F367" s="2039">
        <v>1</v>
      </c>
      <c r="G367" s="2051">
        <v>0.93</v>
      </c>
      <c r="H367" s="2040">
        <v>3539</v>
      </c>
      <c r="I367" s="2049">
        <v>0.35799999999999998</v>
      </c>
      <c r="J367" s="2048">
        <f>$M$400</f>
        <v>25</v>
      </c>
      <c r="L367" s="8"/>
      <c r="V367" s="1414" t="s">
        <v>207</v>
      </c>
      <c r="W367" s="637">
        <v>0.33889999999999998</v>
      </c>
      <c r="X367" s="637">
        <v>0.33889999999999998</v>
      </c>
      <c r="Y367" s="637">
        <v>0.33889999999999998</v>
      </c>
      <c r="Z367" s="637">
        <v>0.33889999999999998</v>
      </c>
      <c r="AA367" s="637">
        <v>0.33889999999999998</v>
      </c>
      <c r="AB367" s="1983">
        <v>0.33889999999999998</v>
      </c>
      <c r="AC367" s="1982">
        <v>0.33889999999999998</v>
      </c>
      <c r="AD367" s="1982">
        <v>0.33889999999999998</v>
      </c>
      <c r="AE367" s="1982">
        <v>0.33889999999999998</v>
      </c>
      <c r="AF367" s="1982">
        <v>0.35799999999999998</v>
      </c>
      <c r="AG367" s="1916"/>
      <c r="AI367" s="1414" t="s">
        <v>497</v>
      </c>
      <c r="AJ367" s="637"/>
      <c r="AK367" s="637"/>
      <c r="AL367" s="637"/>
      <c r="AM367" s="637"/>
      <c r="AN367" s="637"/>
      <c r="AO367" s="1983"/>
      <c r="AP367" s="1982"/>
      <c r="AQ367" s="1982"/>
      <c r="AR367" s="1982"/>
      <c r="AS367" s="650">
        <v>25</v>
      </c>
      <c r="AT367" s="1916"/>
    </row>
    <row r="368" spans="1:114" ht="15" customHeight="1" outlineLevel="1">
      <c r="D368" s="679" t="str">
        <f>C355</f>
        <v>803150_2024_12_</v>
      </c>
      <c r="E368" s="679" t="str">
        <f>E355</f>
        <v>VFD on Hot Water Pump &gt;= 1HP</v>
      </c>
      <c r="F368" s="2039">
        <v>1</v>
      </c>
      <c r="G368" s="2051">
        <v>0.93</v>
      </c>
      <c r="H368" s="2040">
        <v>4411</v>
      </c>
      <c r="I368" s="2049">
        <v>0.249</v>
      </c>
      <c r="J368" s="2048">
        <f t="shared" ref="J368:J370" si="99">$M$400</f>
        <v>25</v>
      </c>
      <c r="L368" s="8"/>
      <c r="V368" s="1414" t="str">
        <f>V367</f>
        <v>ESF</v>
      </c>
      <c r="W368" s="637">
        <v>0.35770000000000002</v>
      </c>
      <c r="X368" s="637">
        <v>0.35770000000000002</v>
      </c>
      <c r="Y368" s="637">
        <v>0.35770000000000002</v>
      </c>
      <c r="Z368" s="637">
        <v>0.35770000000000002</v>
      </c>
      <c r="AA368" s="1983">
        <v>0.35770000000000002</v>
      </c>
      <c r="AB368" s="1983">
        <v>0.35770000000000002</v>
      </c>
      <c r="AC368" s="1982">
        <v>0.35770000000000002</v>
      </c>
      <c r="AD368" s="1982">
        <v>0.35770000000000002</v>
      </c>
      <c r="AE368" s="1982">
        <v>0.35770000000000002</v>
      </c>
      <c r="AF368" s="1982">
        <v>0.249</v>
      </c>
      <c r="AG368" s="1916"/>
      <c r="AI368" s="1414" t="str">
        <f>AI367</f>
        <v>Typical size for incremental cost</v>
      </c>
      <c r="AJ368" s="637"/>
      <c r="AK368" s="637"/>
      <c r="AL368" s="637"/>
      <c r="AM368" s="637"/>
      <c r="AN368" s="1983"/>
      <c r="AO368" s="1983"/>
      <c r="AP368" s="1982"/>
      <c r="AQ368" s="1982"/>
      <c r="AR368" s="1982"/>
      <c r="AS368" s="650">
        <v>25</v>
      </c>
      <c r="AT368" s="1916"/>
    </row>
    <row r="369" spans="1:114" ht="15" customHeight="1" outlineLevel="1">
      <c r="D369" s="679" t="str">
        <f>C356</f>
        <v>803155_2024_12_</v>
      </c>
      <c r="E369" s="679" t="str">
        <f>E356</f>
        <v>VFD on Condenser Water Pump &gt;= 1HP</v>
      </c>
      <c r="F369" s="2039">
        <v>1</v>
      </c>
      <c r="G369" s="2051">
        <v>0.93</v>
      </c>
      <c r="H369" s="2040">
        <v>3539</v>
      </c>
      <c r="I369" s="2049">
        <v>0.35799999999999998</v>
      </c>
      <c r="J369" s="2048">
        <f t="shared" si="99"/>
        <v>25</v>
      </c>
      <c r="L369" s="8"/>
      <c r="V369" s="1414" t="str">
        <f>V368</f>
        <v>ESF</v>
      </c>
      <c r="W369" s="637">
        <v>0.33889999999999998</v>
      </c>
      <c r="X369" s="637">
        <v>0.33889999999999998</v>
      </c>
      <c r="Y369" s="637">
        <v>0.33889999999999998</v>
      </c>
      <c r="Z369" s="1983">
        <v>0.33889999999999998</v>
      </c>
      <c r="AA369" s="1983">
        <v>0.33889999999999998</v>
      </c>
      <c r="AB369" s="1983">
        <v>0.33889999999999998</v>
      </c>
      <c r="AC369" s="1982">
        <v>0.33889999999999998</v>
      </c>
      <c r="AD369" s="1982">
        <v>0.33889999999999998</v>
      </c>
      <c r="AE369" s="1982">
        <v>0.33889999999999998</v>
      </c>
      <c r="AF369" s="1982">
        <v>0.35799999999999998</v>
      </c>
      <c r="AG369" s="1916"/>
      <c r="AI369" s="1414" t="str">
        <f>AI368</f>
        <v>Typical size for incremental cost</v>
      </c>
      <c r="AJ369" s="637"/>
      <c r="AK369" s="637"/>
      <c r="AL369" s="637"/>
      <c r="AM369" s="1983"/>
      <c r="AN369" s="1983"/>
      <c r="AO369" s="1983"/>
      <c r="AP369" s="1982"/>
      <c r="AQ369" s="1982"/>
      <c r="AR369" s="1982"/>
      <c r="AS369" s="650">
        <v>25</v>
      </c>
      <c r="AT369" s="1916"/>
    </row>
    <row r="370" spans="1:114" ht="15" customHeight="1" outlineLevel="1">
      <c r="D370" s="679" t="str">
        <f>C357</f>
        <v>803160_2024_12_</v>
      </c>
      <c r="E370" s="679" t="str">
        <f>E357</f>
        <v>VFD on Cooling Tower Fan &gt;= 1HP</v>
      </c>
      <c r="F370" s="2039">
        <v>1</v>
      </c>
      <c r="G370" s="2051">
        <v>0.93</v>
      </c>
      <c r="H370" s="2040">
        <v>3539</v>
      </c>
      <c r="I370" s="2049">
        <v>0.502</v>
      </c>
      <c r="J370" s="2048">
        <f t="shared" si="99"/>
        <v>25</v>
      </c>
      <c r="L370" s="8"/>
      <c r="V370" s="1414" t="str">
        <f>V369</f>
        <v>ESF</v>
      </c>
      <c r="W370" s="637">
        <v>0.126</v>
      </c>
      <c r="X370" s="637">
        <v>0.126</v>
      </c>
      <c r="Y370" s="637">
        <v>0.126</v>
      </c>
      <c r="Z370" s="1983">
        <v>0.126</v>
      </c>
      <c r="AA370" s="1983">
        <v>0.126</v>
      </c>
      <c r="AB370" s="1983">
        <v>0.126</v>
      </c>
      <c r="AC370" s="1982">
        <v>0.126</v>
      </c>
      <c r="AD370" s="1982">
        <v>0.126</v>
      </c>
      <c r="AE370" s="1982">
        <v>0.126</v>
      </c>
      <c r="AF370" s="1982">
        <v>0.502</v>
      </c>
      <c r="AG370" s="1916"/>
      <c r="AI370" s="1414" t="str">
        <f>AI369</f>
        <v>Typical size for incremental cost</v>
      </c>
      <c r="AJ370" s="637"/>
      <c r="AK370" s="637"/>
      <c r="AL370" s="637"/>
      <c r="AM370" s="1983"/>
      <c r="AN370" s="1983"/>
      <c r="AO370" s="1983"/>
      <c r="AP370" s="1982"/>
      <c r="AQ370" s="1982"/>
      <c r="AR370" s="1982"/>
      <c r="AS370" s="650">
        <v>25</v>
      </c>
      <c r="AT370" s="1916"/>
    </row>
    <row r="371" spans="1:114">
      <c r="G371" s="1936"/>
      <c r="H371" s="1928" t="s">
        <v>498</v>
      </c>
      <c r="I371" s="1936" t="s">
        <v>499</v>
      </c>
      <c r="J371" s="1936" t="s">
        <v>500</v>
      </c>
    </row>
    <row r="373" spans="1:114" s="9" customFormat="1" ht="30">
      <c r="A373" s="2"/>
      <c r="B373" s="7"/>
      <c r="C373" s="10" t="s">
        <v>42</v>
      </c>
      <c r="D373" s="10" t="s">
        <v>43</v>
      </c>
      <c r="E373" s="1432" t="s">
        <v>44</v>
      </c>
      <c r="F373" s="1432" t="s">
        <v>382</v>
      </c>
      <c r="G373" s="1432" t="s">
        <v>46</v>
      </c>
      <c r="H373" s="1432" t="s">
        <v>47</v>
      </c>
      <c r="I373" s="1432" t="s">
        <v>48</v>
      </c>
      <c r="J373" s="1432" t="s">
        <v>49</v>
      </c>
      <c r="K373" s="1432" t="s">
        <v>482</v>
      </c>
      <c r="L373" s="10" t="s">
        <v>51</v>
      </c>
      <c r="M373" s="265"/>
      <c r="N373" s="265"/>
      <c r="O373" s="265"/>
      <c r="P373" s="122"/>
      <c r="Q373" s="122"/>
      <c r="R373" s="122"/>
      <c r="S373" s="122"/>
      <c r="T373" s="122"/>
      <c r="U373" s="122"/>
      <c r="V373" s="668" t="s">
        <v>52</v>
      </c>
      <c r="W373" s="669">
        <f>$W$8</f>
        <v>43252</v>
      </c>
      <c r="X373" s="669">
        <f>$X$8</f>
        <v>43465</v>
      </c>
      <c r="Y373" s="669">
        <f>$Y$8</f>
        <v>43800</v>
      </c>
      <c r="Z373" s="669">
        <f>$Z$8</f>
        <v>43862</v>
      </c>
      <c r="AA373" s="669">
        <f>$AA$8</f>
        <v>44013</v>
      </c>
      <c r="AB373" s="669">
        <v>44166</v>
      </c>
      <c r="AC373" s="669">
        <f>$AC$8</f>
        <v>44531</v>
      </c>
      <c r="AD373" s="669">
        <f>$AD$8</f>
        <v>44774</v>
      </c>
      <c r="AE373" s="669">
        <f>$AE$8</f>
        <v>45142</v>
      </c>
      <c r="AF373" s="669">
        <f>$AF$8</f>
        <v>45672</v>
      </c>
      <c r="AG373" s="669" t="str">
        <f>$AG$8</f>
        <v>-</v>
      </c>
      <c r="AH373"/>
      <c r="AI373" s="668" t="s">
        <v>52</v>
      </c>
      <c r="AJ373" s="669">
        <v>43252</v>
      </c>
      <c r="AK373" s="669">
        <f>$X$8</f>
        <v>43465</v>
      </c>
      <c r="AL373" s="669">
        <f>$Y$8</f>
        <v>43800</v>
      </c>
      <c r="AM373" s="669">
        <f>$Z$8</f>
        <v>43862</v>
      </c>
      <c r="AN373" s="669">
        <f>$AA$8</f>
        <v>44013</v>
      </c>
      <c r="AO373" s="669">
        <f>$AB$8</f>
        <v>44166</v>
      </c>
      <c r="AP373" s="669">
        <f>$AC$8</f>
        <v>44531</v>
      </c>
      <c r="AQ373" s="669">
        <f>$AD$8</f>
        <v>44774</v>
      </c>
      <c r="AR373" s="669">
        <f>$AE$8</f>
        <v>45142</v>
      </c>
      <c r="AS373" s="669">
        <f>$AF$8</f>
        <v>45672</v>
      </c>
      <c r="AT373" s="2"/>
      <c r="AU373" s="668" t="s">
        <v>52</v>
      </c>
      <c r="AV373" s="669">
        <v>43252</v>
      </c>
      <c r="AW373" s="669">
        <f>$X$8</f>
        <v>43465</v>
      </c>
      <c r="AX373" s="669">
        <f>$Y$8</f>
        <v>43800</v>
      </c>
      <c r="AY373" s="669">
        <f>$Z$8</f>
        <v>43862</v>
      </c>
      <c r="AZ373" s="669">
        <f>$AA$8</f>
        <v>44013</v>
      </c>
      <c r="BA373" s="669">
        <v>44166</v>
      </c>
      <c r="BB373" s="669">
        <f>$AC$8</f>
        <v>44531</v>
      </c>
      <c r="BC373" s="669">
        <f>$AD$8</f>
        <v>44774</v>
      </c>
      <c r="BD373" s="669">
        <f>$AE$8</f>
        <v>45142</v>
      </c>
      <c r="BE373" s="669">
        <f>$AF$8</f>
        <v>45672</v>
      </c>
      <c r="DE373" s="2"/>
      <c r="DF373" s="2"/>
      <c r="DG373" s="1060" t="str">
        <f>$DG$8</f>
        <v>TRC (2025)</v>
      </c>
      <c r="DH373" s="811" t="str">
        <f>$DH$8</f>
        <v>Benefit Lookup</v>
      </c>
      <c r="DI373" s="811" t="str">
        <f>$DI$8</f>
        <v>Benefits (2025 $)</v>
      </c>
      <c r="DJ373" s="1172" t="str">
        <f>$DJ$8</f>
        <v>Incremental Cost (2025 $)</v>
      </c>
    </row>
    <row r="374" spans="1:114">
      <c r="B374" s="1454">
        <f t="shared" ref="B374" si="100">VALUE(LEFT(C374,6))</f>
        <v>803200</v>
      </c>
      <c r="C374" s="1637" t="s">
        <v>501</v>
      </c>
      <c r="D374" s="1639" t="s">
        <v>457</v>
      </c>
      <c r="E374" s="507" t="s">
        <v>502</v>
      </c>
      <c r="F374" s="418">
        <f>ROUND((((0.746*F400*(G400/H400))*I400*J400)-((0.746*F400*(G400/H400))*I400*K400))*(1+L400),2)</f>
        <v>939.75</v>
      </c>
      <c r="G374" s="463" t="s">
        <v>488</v>
      </c>
      <c r="H374" s="464">
        <f>VLOOKUP(G374,'CP FACTORS'!$A$26:$B$38,2,FALSE)</f>
        <v>4.4398300000000001E-4</v>
      </c>
      <c r="I374" s="481">
        <f>ROUND(H374*F374,6)</f>
        <v>0.41723300000000002</v>
      </c>
      <c r="J374" s="499">
        <v>15</v>
      </c>
      <c r="K374" s="2016">
        <f>300*1+(1500/M400)</f>
        <v>360</v>
      </c>
      <c r="L374" s="509" t="s">
        <v>485</v>
      </c>
      <c r="V374" s="1414" t="str">
        <f>F373</f>
        <v>kWh Annual Savings (per HP)</v>
      </c>
      <c r="W374" s="30">
        <v>939.74820779247341</v>
      </c>
      <c r="X374" s="30">
        <v>939.74820779247341</v>
      </c>
      <c r="Y374" s="30">
        <v>939.74820779247341</v>
      </c>
      <c r="Z374" s="30">
        <v>939.74820779247341</v>
      </c>
      <c r="AA374" s="30">
        <v>939.74820779247341</v>
      </c>
      <c r="AB374" s="54">
        <v>939.75</v>
      </c>
      <c r="AC374" s="737">
        <v>939.75</v>
      </c>
      <c r="AD374" s="737">
        <v>939.75</v>
      </c>
      <c r="AE374" s="737">
        <v>939.75</v>
      </c>
      <c r="AF374" s="737">
        <f>F374</f>
        <v>939.75</v>
      </c>
      <c r="AG374" s="71"/>
      <c r="AH374"/>
      <c r="AI374" s="1414" t="s">
        <v>49</v>
      </c>
      <c r="AJ374" s="671">
        <v>15</v>
      </c>
      <c r="AK374" s="671">
        <v>15</v>
      </c>
      <c r="AL374" s="671">
        <v>15</v>
      </c>
      <c r="AM374" s="671">
        <v>15</v>
      </c>
      <c r="AN374" s="671">
        <v>15</v>
      </c>
      <c r="AO374" s="650">
        <v>15</v>
      </c>
      <c r="AP374" s="54">
        <v>15</v>
      </c>
      <c r="AQ374" s="54">
        <v>15</v>
      </c>
      <c r="AR374" s="648">
        <v>15</v>
      </c>
      <c r="AS374" s="648">
        <v>15</v>
      </c>
      <c r="AU374" s="1414" t="str">
        <f>K373</f>
        <v>Inc. Cost (per HP)</v>
      </c>
      <c r="AV374" s="672">
        <v>168</v>
      </c>
      <c r="AW374" s="672">
        <v>168</v>
      </c>
      <c r="AX374" s="672">
        <v>168</v>
      </c>
      <c r="AY374" s="672">
        <v>168</v>
      </c>
      <c r="AZ374" s="672">
        <v>168</v>
      </c>
      <c r="BA374" s="689">
        <v>168</v>
      </c>
      <c r="BB374" s="689">
        <v>168</v>
      </c>
      <c r="BC374" s="689">
        <v>168</v>
      </c>
      <c r="BD374" s="689">
        <v>168</v>
      </c>
      <c r="BE374" s="773">
        <v>360</v>
      </c>
      <c r="DG374" s="1067">
        <f>(DI374)/(DJ374)</f>
        <v>3.1830017365060037</v>
      </c>
      <c r="DH374" s="1400" t="str">
        <f>CONCATENATE(G374," ",J374," Year EUL")</f>
        <v>HVAC BUS 15 Year EUL</v>
      </c>
      <c r="DI374" s="1068">
        <f>(INDEX('Avoided Cost Benefits'!$B$4:$B$865,MATCH(DH374,'Avoided Cost Benefits'!$A$4:$A$865,0)))*F374</f>
        <v>1145.8806251421613</v>
      </c>
      <c r="DJ374" s="1178">
        <f>K374/(1.0686^(2025-2025))</f>
        <v>360</v>
      </c>
    </row>
    <row r="375" spans="1:114" ht="15" customHeight="1" outlineLevel="1">
      <c r="D375" s="77" t="s">
        <v>118</v>
      </c>
      <c r="E375" s="1591" t="s">
        <v>503</v>
      </c>
      <c r="F375" s="8"/>
      <c r="G375" s="8"/>
      <c r="H375" s="471"/>
      <c r="I375" s="8"/>
      <c r="J375" s="8"/>
      <c r="K375" s="1936" t="s">
        <v>504</v>
      </c>
      <c r="M375" s="855"/>
      <c r="N375" s="855"/>
      <c r="O375" s="855"/>
      <c r="P375" s="855"/>
    </row>
    <row r="376" spans="1:114" ht="15" customHeight="1" outlineLevel="1">
      <c r="D376" s="8" t="s">
        <v>120</v>
      </c>
      <c r="E376" s="8"/>
      <c r="F376" s="8"/>
      <c r="G376" s="8"/>
      <c r="H376" s="471"/>
      <c r="I376" s="8"/>
      <c r="J376" s="8"/>
      <c r="K376" s="8"/>
      <c r="M376" s="855"/>
      <c r="N376" s="855"/>
      <c r="O376" s="855"/>
      <c r="P376" s="855"/>
    </row>
    <row r="377" spans="1:114" ht="15" customHeight="1" outlineLevel="1">
      <c r="D377" s="472"/>
      <c r="G377" s="265"/>
      <c r="H377" s="473"/>
      <c r="M377" s="855"/>
      <c r="N377" s="855"/>
      <c r="O377" s="855"/>
      <c r="P377" s="855"/>
    </row>
    <row r="378" spans="1:114" ht="15" customHeight="1" outlineLevel="1">
      <c r="D378" s="472"/>
      <c r="G378" s="265"/>
      <c r="H378" s="473"/>
      <c r="M378" s="855"/>
      <c r="N378" s="855"/>
      <c r="O378" s="855"/>
      <c r="P378" s="855"/>
    </row>
    <row r="379" spans="1:114" ht="15" customHeight="1" outlineLevel="1">
      <c r="D379" s="472"/>
      <c r="G379" s="265"/>
      <c r="H379" s="473"/>
      <c r="M379" s="855"/>
      <c r="N379" s="855"/>
      <c r="O379" s="855"/>
      <c r="P379" s="855"/>
    </row>
    <row r="380" spans="1:114" ht="15" customHeight="1" outlineLevel="1">
      <c r="D380" s="472"/>
      <c r="G380" s="265"/>
      <c r="H380" s="473"/>
      <c r="M380" s="8"/>
    </row>
    <row r="381" spans="1:114" ht="15" customHeight="1" outlineLevel="1">
      <c r="D381" s="472"/>
      <c r="G381" s="265"/>
      <c r="H381" s="473"/>
      <c r="M381" s="8"/>
    </row>
    <row r="382" spans="1:114" ht="15.75" customHeight="1" outlineLevel="1" thickBot="1">
      <c r="D382" s="472"/>
      <c r="G382" s="265"/>
      <c r="H382" s="473"/>
      <c r="M382" s="8"/>
    </row>
    <row r="383" spans="1:114" ht="15" customHeight="1" outlineLevel="1">
      <c r="D383" s="472"/>
      <c r="E383" s="511" t="s">
        <v>505</v>
      </c>
      <c r="F383" s="512"/>
      <c r="G383" s="265"/>
      <c r="H383" s="473"/>
      <c r="M383" s="8"/>
    </row>
    <row r="384" spans="1:114" ht="15" customHeight="1" outlineLevel="1">
      <c r="D384" s="472"/>
      <c r="E384" s="513"/>
      <c r="F384" s="514"/>
      <c r="G384" s="265"/>
      <c r="H384" s="473"/>
      <c r="M384" s="8"/>
    </row>
    <row r="385" spans="1:114" ht="15" customHeight="1" outlineLevel="1">
      <c r="D385" s="472"/>
      <c r="E385" s="515" t="s">
        <v>506</v>
      </c>
      <c r="F385" s="514">
        <v>1</v>
      </c>
      <c r="G385" s="265"/>
      <c r="H385" s="473"/>
      <c r="M385" s="8"/>
    </row>
    <row r="386" spans="1:114" ht="15" customHeight="1" outlineLevel="1">
      <c r="D386" s="472"/>
      <c r="E386" s="515" t="s">
        <v>507</v>
      </c>
      <c r="F386" s="514">
        <v>0.8</v>
      </c>
      <c r="G386" s="265"/>
      <c r="H386" s="473"/>
      <c r="M386" s="8"/>
    </row>
    <row r="387" spans="1:114" ht="15" customHeight="1" outlineLevel="1">
      <c r="D387" s="472"/>
      <c r="E387" s="515" t="s">
        <v>508</v>
      </c>
      <c r="F387" s="514">
        <v>0.78</v>
      </c>
      <c r="G387" s="265"/>
      <c r="H387" s="473"/>
      <c r="M387" s="8"/>
    </row>
    <row r="388" spans="1:114" ht="15" customHeight="1" outlineLevel="1">
      <c r="D388" s="472"/>
      <c r="E388" s="515" t="s">
        <v>509</v>
      </c>
      <c r="F388" s="514">
        <v>0.69</v>
      </c>
      <c r="G388" s="265"/>
      <c r="H388" s="473"/>
      <c r="M388" s="8"/>
    </row>
    <row r="389" spans="1:114" ht="15" customHeight="1" outlineLevel="1">
      <c r="D389" s="472"/>
      <c r="E389" s="515" t="s">
        <v>510</v>
      </c>
      <c r="F389" s="514">
        <v>0.63</v>
      </c>
      <c r="G389" s="265"/>
      <c r="H389" s="473"/>
      <c r="M389" s="8"/>
    </row>
    <row r="390" spans="1:114" ht="15" customHeight="1" outlineLevel="1">
      <c r="D390" s="472"/>
      <c r="E390" s="515" t="s">
        <v>511</v>
      </c>
      <c r="F390" s="514">
        <v>0.53</v>
      </c>
      <c r="G390" s="265"/>
      <c r="H390" s="473"/>
      <c r="M390" s="8"/>
    </row>
    <row r="391" spans="1:114" ht="15" customHeight="1" outlineLevel="1">
      <c r="D391" s="472"/>
      <c r="E391" s="515" t="s">
        <v>512</v>
      </c>
      <c r="F391" s="514">
        <v>0.53</v>
      </c>
      <c r="G391" s="265"/>
      <c r="H391" s="473"/>
      <c r="M391" s="8"/>
    </row>
    <row r="392" spans="1:114" ht="15" customHeight="1" outlineLevel="1">
      <c r="D392" s="472"/>
      <c r="E392" s="515" t="s">
        <v>513</v>
      </c>
      <c r="F392" s="514">
        <v>0.49</v>
      </c>
      <c r="G392" s="265"/>
      <c r="H392" s="473"/>
      <c r="M392" s="8"/>
    </row>
    <row r="393" spans="1:114" ht="15" customHeight="1" outlineLevel="1">
      <c r="D393" s="472"/>
      <c r="E393" s="515" t="s">
        <v>514</v>
      </c>
      <c r="F393" s="514">
        <v>0.39</v>
      </c>
      <c r="G393" s="265"/>
      <c r="H393" s="473"/>
      <c r="M393" s="8"/>
    </row>
    <row r="394" spans="1:114" ht="15" customHeight="1" outlineLevel="1">
      <c r="D394" s="472"/>
      <c r="E394" s="515" t="s">
        <v>515</v>
      </c>
      <c r="F394" s="514">
        <v>0.3</v>
      </c>
      <c r="G394" s="265"/>
      <c r="H394" s="473"/>
      <c r="M394" s="8"/>
    </row>
    <row r="395" spans="1:114" ht="15.75" customHeight="1" outlineLevel="1" thickBot="1">
      <c r="D395" s="472"/>
      <c r="E395" s="516" t="s">
        <v>516</v>
      </c>
      <c r="F395" s="517">
        <v>0.27</v>
      </c>
      <c r="G395" s="265"/>
      <c r="H395" s="473"/>
      <c r="M395" s="8"/>
    </row>
    <row r="396" spans="1:114" ht="15" customHeight="1" outlineLevel="1">
      <c r="D396" s="472"/>
      <c r="G396" s="265"/>
      <c r="H396" s="473"/>
      <c r="M396" s="8"/>
    </row>
    <row r="397" spans="1:114" ht="15" customHeight="1" outlineLevel="1">
      <c r="D397" s="472"/>
      <c r="G397" s="265"/>
      <c r="H397" s="473"/>
      <c r="M397" s="8"/>
    </row>
    <row r="398" spans="1:114" ht="15" customHeight="1" outlineLevel="1">
      <c r="D398" s="472"/>
      <c r="G398" s="265"/>
      <c r="H398" s="473"/>
    </row>
    <row r="399" spans="1:114" s="9" customFormat="1" ht="30" customHeight="1" outlineLevel="1">
      <c r="A399" s="2"/>
      <c r="C399" s="66"/>
      <c r="D399" s="1365" t="s">
        <v>42</v>
      </c>
      <c r="E399" s="1365" t="s">
        <v>275</v>
      </c>
      <c r="F399" s="1365" t="s">
        <v>517</v>
      </c>
      <c r="G399" s="1365" t="s">
        <v>518</v>
      </c>
      <c r="H399" s="1365" t="s">
        <v>519</v>
      </c>
      <c r="I399" s="1365" t="s">
        <v>520</v>
      </c>
      <c r="J399" s="1365" t="s">
        <v>521</v>
      </c>
      <c r="K399" s="1365" t="s">
        <v>522</v>
      </c>
      <c r="L399" s="1365" t="s">
        <v>523</v>
      </c>
      <c r="M399" s="1365" t="s">
        <v>497</v>
      </c>
      <c r="N399" s="122"/>
      <c r="O399" s="122"/>
      <c r="P399" s="122"/>
      <c r="Q399" s="122"/>
      <c r="R399" s="122"/>
      <c r="S399" s="122"/>
      <c r="T399" s="122"/>
      <c r="U399" s="122"/>
      <c r="DE399" s="2"/>
      <c r="DF399" s="2"/>
      <c r="DG399" s="1065"/>
      <c r="DH399" s="122"/>
      <c r="DI399" s="122"/>
      <c r="DJ399" s="1168"/>
    </row>
    <row r="400" spans="1:114" ht="15" customHeight="1" outlineLevel="1">
      <c r="D400" s="679" t="str">
        <f>C374</f>
        <v>803200_2024_12_</v>
      </c>
      <c r="E400" s="679" t="str">
        <f>E374</f>
        <v xml:space="preserve"> VFD on HVAC Fans &gt;= 1HP </v>
      </c>
      <c r="F400" s="2039">
        <v>1</v>
      </c>
      <c r="G400" s="37">
        <v>0.65</v>
      </c>
      <c r="H400" s="2039">
        <v>0.93</v>
      </c>
      <c r="I400" s="2039">
        <v>6773</v>
      </c>
      <c r="J400" s="2039">
        <v>0.53</v>
      </c>
      <c r="K400" s="2039">
        <v>0.3</v>
      </c>
      <c r="L400" s="518">
        <v>0.157</v>
      </c>
      <c r="M400" s="2048">
        <v>25</v>
      </c>
    </row>
    <row r="401" spans="1:114">
      <c r="M401" s="1936" t="s">
        <v>500</v>
      </c>
    </row>
    <row r="403" spans="1:114" s="9" customFormat="1" ht="30">
      <c r="A403" s="2"/>
      <c r="B403" s="7"/>
      <c r="C403" s="10" t="s">
        <v>42</v>
      </c>
      <c r="D403" s="10" t="s">
        <v>43</v>
      </c>
      <c r="E403" s="1432" t="s">
        <v>44</v>
      </c>
      <c r="F403" s="1432" t="s">
        <v>524</v>
      </c>
      <c r="G403" s="1432" t="s">
        <v>46</v>
      </c>
      <c r="H403" s="1432" t="s">
        <v>47</v>
      </c>
      <c r="I403" s="1432" t="s">
        <v>48</v>
      </c>
      <c r="J403" s="1432" t="s">
        <v>49</v>
      </c>
      <c r="K403" s="1432" t="s">
        <v>50</v>
      </c>
      <c r="L403" s="10" t="s">
        <v>51</v>
      </c>
      <c r="M403" s="265"/>
      <c r="N403" s="265"/>
      <c r="O403" s="265"/>
      <c r="P403" s="122"/>
      <c r="Q403" s="122"/>
      <c r="R403" s="122"/>
      <c r="S403" s="122"/>
      <c r="T403" s="122"/>
      <c r="U403" s="122"/>
      <c r="V403" s="668" t="s">
        <v>52</v>
      </c>
      <c r="W403" s="669">
        <f>$W$8</f>
        <v>43252</v>
      </c>
      <c r="X403" s="669">
        <f>$X$8</f>
        <v>43465</v>
      </c>
      <c r="Y403" s="669">
        <f>$Y$8</f>
        <v>43800</v>
      </c>
      <c r="Z403" s="669">
        <f>$Z$8</f>
        <v>43862</v>
      </c>
      <c r="AA403" s="669">
        <f>$AA$8</f>
        <v>44013</v>
      </c>
      <c r="AB403" s="669">
        <v>44166</v>
      </c>
      <c r="AC403" s="669">
        <f>$AC$8</f>
        <v>44531</v>
      </c>
      <c r="AD403" s="669">
        <f>$AD$8</f>
        <v>44774</v>
      </c>
      <c r="AE403" s="669">
        <f>$AE$8</f>
        <v>45142</v>
      </c>
      <c r="AF403" s="669">
        <f>$AF$8</f>
        <v>45672</v>
      </c>
      <c r="AG403" s="669" t="str">
        <f>$AG$8</f>
        <v>-</v>
      </c>
      <c r="AH403"/>
      <c r="AI403" s="668" t="s">
        <v>52</v>
      </c>
      <c r="AJ403" s="669">
        <v>43252</v>
      </c>
      <c r="AK403" s="669">
        <f>$X$8</f>
        <v>43465</v>
      </c>
      <c r="AL403" s="669">
        <f>$Y$8</f>
        <v>43800</v>
      </c>
      <c r="AM403" s="669">
        <f>$Z$8</f>
        <v>43862</v>
      </c>
      <c r="AN403" s="669">
        <f>$AA$8</f>
        <v>44013</v>
      </c>
      <c r="AO403" s="669">
        <v>44166</v>
      </c>
      <c r="AP403" s="669">
        <f>$AC$8</f>
        <v>44531</v>
      </c>
      <c r="AQ403" s="669">
        <f>$AD$8</f>
        <v>44774</v>
      </c>
      <c r="AR403" s="669">
        <f>$AE$8</f>
        <v>45142</v>
      </c>
      <c r="AS403" s="669">
        <f>$AF$8</f>
        <v>45672</v>
      </c>
      <c r="AT403" s="2"/>
      <c r="AU403" s="668" t="s">
        <v>52</v>
      </c>
      <c r="AV403" s="669">
        <v>43252</v>
      </c>
      <c r="AW403" s="669">
        <f>$X$8</f>
        <v>43465</v>
      </c>
      <c r="AX403" s="669">
        <f>$Y$8</f>
        <v>43800</v>
      </c>
      <c r="AY403" s="669">
        <f>$Z$8</f>
        <v>43862</v>
      </c>
      <c r="AZ403" s="669">
        <f>$AA$8</f>
        <v>44013</v>
      </c>
      <c r="BA403" s="669">
        <v>44166</v>
      </c>
      <c r="BB403" s="669">
        <f>$AC$8</f>
        <v>44531</v>
      </c>
      <c r="BC403" s="669">
        <f>$AD$8</f>
        <v>44774</v>
      </c>
      <c r="BD403" s="669">
        <f>$AE$8</f>
        <v>45142</v>
      </c>
      <c r="BE403" s="669">
        <f>$AF$8</f>
        <v>45672</v>
      </c>
      <c r="DE403" s="2"/>
      <c r="DF403" s="2"/>
      <c r="DG403" s="1060" t="str">
        <f>$DG$8</f>
        <v>TRC (2025)</v>
      </c>
      <c r="DH403" s="811" t="str">
        <f>$DH$8</f>
        <v>Benefit Lookup</v>
      </c>
      <c r="DI403" s="811" t="str">
        <f>$DI$8</f>
        <v>Benefits (2025 $)</v>
      </c>
      <c r="DJ403" s="1172" t="str">
        <f>$DJ$8</f>
        <v>Incremental Cost (2025 $)</v>
      </c>
    </row>
    <row r="404" spans="1:114">
      <c r="B404" s="1454">
        <f t="shared" ref="B404:B408" si="101">VALUE(LEFT(C404,6))</f>
        <v>803250</v>
      </c>
      <c r="C404" s="1637" t="s">
        <v>525</v>
      </c>
      <c r="D404" s="1639" t="s">
        <v>457</v>
      </c>
      <c r="E404" s="480" t="s">
        <v>526</v>
      </c>
      <c r="F404" s="1922">
        <f>ROUND(F418*((1/G418)-(1/H418))*I418,2)</f>
        <v>117.73</v>
      </c>
      <c r="G404" s="463" t="s">
        <v>459</v>
      </c>
      <c r="H404" s="464">
        <f>VLOOKUP(G404,'CP FACTORS'!$A$26:$B$38,2,FALSE)</f>
        <v>9.1068400000000004E-4</v>
      </c>
      <c r="I404" s="1481">
        <f>ROUND(H404*F404,6)</f>
        <v>0.107215</v>
      </c>
      <c r="J404" s="500">
        <v>15</v>
      </c>
      <c r="K404" s="2016">
        <f>104*J418</f>
        <v>218.40000000000015</v>
      </c>
      <c r="L404" s="509" t="s">
        <v>461</v>
      </c>
      <c r="V404" s="1414" t="str">
        <f>F403</f>
        <v>kWh Annual Savings per ton</v>
      </c>
      <c r="W404" s="55">
        <v>153.95313964386136</v>
      </c>
      <c r="X404" s="55">
        <v>153.95313964386136</v>
      </c>
      <c r="Y404" s="55">
        <v>153.95313964386136</v>
      </c>
      <c r="Z404" s="55">
        <v>153.95313964386136</v>
      </c>
      <c r="AA404" s="71">
        <v>153.77000000000001</v>
      </c>
      <c r="AB404" s="648">
        <v>153.77000000000001</v>
      </c>
      <c r="AC404" s="737">
        <v>153.77000000000001</v>
      </c>
      <c r="AD404" s="737">
        <v>153.77000000000001</v>
      </c>
      <c r="AE404" s="1940">
        <v>133.16999999999999</v>
      </c>
      <c r="AF404" s="271">
        <f>IF(F404&lt;&gt;"",F404,"")</f>
        <v>117.73</v>
      </c>
      <c r="AG404" s="71"/>
      <c r="AH404"/>
      <c r="AI404" s="1414" t="s">
        <v>49</v>
      </c>
      <c r="AJ404" s="671">
        <v>15</v>
      </c>
      <c r="AK404" s="671">
        <v>15</v>
      </c>
      <c r="AL404" s="671">
        <v>15</v>
      </c>
      <c r="AM404" s="671">
        <v>15</v>
      </c>
      <c r="AN404" s="671">
        <v>15</v>
      </c>
      <c r="AO404" s="648">
        <v>15</v>
      </c>
      <c r="AP404" s="648">
        <v>15</v>
      </c>
      <c r="AQ404" s="648">
        <v>15</v>
      </c>
      <c r="AR404" s="648">
        <v>15</v>
      </c>
      <c r="AS404" s="648">
        <v>15</v>
      </c>
      <c r="AU404" s="1414" t="s">
        <v>50</v>
      </c>
      <c r="AV404" s="672">
        <v>100</v>
      </c>
      <c r="AW404" s="672">
        <v>100</v>
      </c>
      <c r="AX404" s="672">
        <v>100</v>
      </c>
      <c r="AY404" s="672">
        <v>100</v>
      </c>
      <c r="AZ404" s="672">
        <v>100</v>
      </c>
      <c r="BA404" s="689">
        <v>100</v>
      </c>
      <c r="BB404" s="689">
        <v>100</v>
      </c>
      <c r="BC404" s="689">
        <v>100</v>
      </c>
      <c r="BD404" s="689">
        <v>100</v>
      </c>
      <c r="BE404" s="689">
        <f>K404</f>
        <v>218.40000000000015</v>
      </c>
      <c r="DG404" s="1062">
        <f>(DI404)/(DJ404)</f>
        <v>1.0424807373623386</v>
      </c>
      <c r="DH404" s="1400" t="str">
        <f>CONCATENATE(G404," ",J404," Year EUL")</f>
        <v>Cooling BUS 15 Year EUL</v>
      </c>
      <c r="DI404" s="198">
        <f>(INDEX('Avoided Cost Benefits'!$B$4:$B$865,MATCH(DH404,'Avoided Cost Benefits'!$A$4:$A$865,0)))*F404</f>
        <v>227.6777930399349</v>
      </c>
      <c r="DJ404" s="1169">
        <f>K404/(1.0686^(2025-2025))</f>
        <v>218.40000000000015</v>
      </c>
    </row>
    <row r="405" spans="1:114">
      <c r="B405" s="1454">
        <f t="shared" si="101"/>
        <v>803300</v>
      </c>
      <c r="C405" s="1637" t="s">
        <v>527</v>
      </c>
      <c r="D405" s="1639" t="s">
        <v>457</v>
      </c>
      <c r="E405" s="480" t="s">
        <v>528</v>
      </c>
      <c r="F405" s="1922">
        <f t="shared" ref="F405:F408" si="102">ROUND(F419*((1/G419)-(1/H419))*I419,2)</f>
        <v>179.28</v>
      </c>
      <c r="G405" s="463" t="s">
        <v>459</v>
      </c>
      <c r="H405" s="464">
        <f>VLOOKUP(G405,'CP FACTORS'!$A$26:$B$38,2,FALSE)</f>
        <v>9.1068400000000004E-4</v>
      </c>
      <c r="I405" s="1481">
        <f>ROUND(H405*F405,6)</f>
        <v>0.163267</v>
      </c>
      <c r="J405" s="487">
        <v>15</v>
      </c>
      <c r="K405" s="2016">
        <f t="shared" ref="K405:K408" si="103">104*J419</f>
        <v>305.75999999999993</v>
      </c>
      <c r="L405" s="509" t="s">
        <v>461</v>
      </c>
      <c r="V405" s="1414" t="str">
        <f>V404</f>
        <v>kWh Annual Savings per ton</v>
      </c>
      <c r="W405" s="55">
        <v>66.505263157894589</v>
      </c>
      <c r="X405" s="55">
        <v>66.505263157894589</v>
      </c>
      <c r="Y405" s="55">
        <v>66.505263157894589</v>
      </c>
      <c r="Z405" s="55">
        <v>66.505263157894589</v>
      </c>
      <c r="AA405" s="71">
        <v>167.94</v>
      </c>
      <c r="AB405" s="648">
        <v>167.94</v>
      </c>
      <c r="AC405" s="737">
        <v>167.94</v>
      </c>
      <c r="AD405" s="737">
        <v>167.94</v>
      </c>
      <c r="AE405" s="1940">
        <v>143.84</v>
      </c>
      <c r="AF405" s="271">
        <f>IF(F405&lt;&gt;"",F405,"")</f>
        <v>179.28</v>
      </c>
      <c r="AG405" s="71"/>
      <c r="AH405"/>
      <c r="AI405" s="1414" t="s">
        <v>49</v>
      </c>
      <c r="AJ405" s="671">
        <v>15</v>
      </c>
      <c r="AK405" s="671">
        <v>15</v>
      </c>
      <c r="AL405" s="671">
        <v>15</v>
      </c>
      <c r="AM405" s="671">
        <v>15</v>
      </c>
      <c r="AN405" s="671">
        <v>15</v>
      </c>
      <c r="AO405" s="648">
        <v>15</v>
      </c>
      <c r="AP405" s="648">
        <v>15</v>
      </c>
      <c r="AQ405" s="648">
        <v>15</v>
      </c>
      <c r="AR405" s="648">
        <v>15</v>
      </c>
      <c r="AS405" s="648">
        <v>15</v>
      </c>
      <c r="AU405" s="1414" t="s">
        <v>50</v>
      </c>
      <c r="AV405" s="672">
        <v>100</v>
      </c>
      <c r="AW405" s="672">
        <v>100</v>
      </c>
      <c r="AX405" s="672">
        <v>100</v>
      </c>
      <c r="AY405" s="672">
        <v>100</v>
      </c>
      <c r="AZ405" s="672">
        <v>100</v>
      </c>
      <c r="BA405" s="689">
        <v>100</v>
      </c>
      <c r="BB405" s="689">
        <v>100</v>
      </c>
      <c r="BC405" s="689">
        <v>100</v>
      </c>
      <c r="BD405" s="689">
        <v>100</v>
      </c>
      <c r="BE405" s="689">
        <f t="shared" ref="BE405:BE408" si="104">K405</f>
        <v>305.75999999999993</v>
      </c>
      <c r="DG405" s="1063">
        <f>(DI405)/(DJ405)</f>
        <v>1.1339259722265245</v>
      </c>
      <c r="DH405" s="673" t="str">
        <f>CONCATENATE(G405," ",J405," Year EUL")</f>
        <v>Cooling BUS 15 Year EUL</v>
      </c>
      <c r="DI405" s="655">
        <f>(INDEX('Avoided Cost Benefits'!$B$4:$B$865,MATCH(DH405,'Avoided Cost Benefits'!$A$4:$A$865,0)))*F405</f>
        <v>346.70920526798204</v>
      </c>
      <c r="DJ405" s="1170">
        <f>K405/(1.0686^(2025-2025))</f>
        <v>305.75999999999993</v>
      </c>
    </row>
    <row r="406" spans="1:114">
      <c r="B406" s="1454">
        <f t="shared" si="101"/>
        <v>803350</v>
      </c>
      <c r="C406" s="1637" t="s">
        <v>529</v>
      </c>
      <c r="D406" s="1639" t="s">
        <v>457</v>
      </c>
      <c r="E406" s="480" t="s">
        <v>530</v>
      </c>
      <c r="F406" s="1922">
        <f>ROUND(F420*((1/G420)-(1/H420))*I420,2)</f>
        <v>102.44</v>
      </c>
      <c r="G406" s="463" t="s">
        <v>459</v>
      </c>
      <c r="H406" s="464">
        <f>VLOOKUP(G406,'CP FACTORS'!$A$26:$B$38,2,FALSE)</f>
        <v>9.1068400000000004E-4</v>
      </c>
      <c r="I406" s="1480">
        <f>ROUND(H406*F406,6)</f>
        <v>9.3289999999999998E-2</v>
      </c>
      <c r="J406" s="487">
        <v>15</v>
      </c>
      <c r="K406" s="2016">
        <f t="shared" si="103"/>
        <v>203.83999999999992</v>
      </c>
      <c r="L406" s="509" t="s">
        <v>461</v>
      </c>
      <c r="M406" s="1872"/>
      <c r="N406" s="1872"/>
      <c r="O406" s="1872"/>
      <c r="P406" s="1872"/>
      <c r="V406" s="1414" t="str">
        <f>V405</f>
        <v>kWh Annual Savings per ton</v>
      </c>
      <c r="W406" s="55">
        <v>98.581830790568617</v>
      </c>
      <c r="X406" s="55">
        <v>98.581830790568617</v>
      </c>
      <c r="Y406" s="55">
        <v>98.581830790568617</v>
      </c>
      <c r="Z406" s="55">
        <v>98.581830790568617</v>
      </c>
      <c r="AA406" s="71">
        <v>148.68</v>
      </c>
      <c r="AB406" s="648">
        <v>148.68</v>
      </c>
      <c r="AC406" s="737">
        <v>148.68</v>
      </c>
      <c r="AD406" s="737">
        <v>148.68</v>
      </c>
      <c r="AE406" s="1940">
        <v>131.41</v>
      </c>
      <c r="AF406" s="271">
        <f>IF(F406&lt;&gt;"",F406,"")</f>
        <v>102.44</v>
      </c>
      <c r="AG406" s="71"/>
      <c r="AH406"/>
      <c r="AI406" s="1414" t="s">
        <v>49</v>
      </c>
      <c r="AJ406" s="671">
        <v>15</v>
      </c>
      <c r="AK406" s="671">
        <v>15</v>
      </c>
      <c r="AL406" s="671">
        <v>15</v>
      </c>
      <c r="AM406" s="671">
        <v>15</v>
      </c>
      <c r="AN406" s="671">
        <v>15</v>
      </c>
      <c r="AO406" s="648">
        <v>15</v>
      </c>
      <c r="AP406" s="648">
        <v>15</v>
      </c>
      <c r="AQ406" s="648">
        <v>15</v>
      </c>
      <c r="AR406" s="648">
        <v>15</v>
      </c>
      <c r="AS406" s="648">
        <v>15</v>
      </c>
      <c r="AU406" s="1414" t="s">
        <v>50</v>
      </c>
      <c r="AV406" s="672">
        <v>100</v>
      </c>
      <c r="AW406" s="672">
        <v>100</v>
      </c>
      <c r="AX406" s="672">
        <v>100</v>
      </c>
      <c r="AY406" s="672">
        <v>100</v>
      </c>
      <c r="AZ406" s="672">
        <v>100</v>
      </c>
      <c r="BA406" s="689">
        <v>100</v>
      </c>
      <c r="BB406" s="689">
        <v>100</v>
      </c>
      <c r="BC406" s="689">
        <v>100</v>
      </c>
      <c r="BD406" s="689">
        <v>100</v>
      </c>
      <c r="BE406" s="689">
        <f t="shared" si="104"/>
        <v>203.83999999999992</v>
      </c>
      <c r="DG406" s="1063">
        <f>(DI406)/(DJ406)</f>
        <v>0.97188233429455484</v>
      </c>
      <c r="DH406" s="673" t="str">
        <f>CONCATENATE(G406," ",J406," Year EUL")</f>
        <v>Cooling BUS 15 Year EUL</v>
      </c>
      <c r="DI406" s="655">
        <f>(INDEX('Avoided Cost Benefits'!$B$4:$B$865,MATCH(DH406,'Avoided Cost Benefits'!$A$4:$A$865,0)))*F406</f>
        <v>198.10849502260197</v>
      </c>
      <c r="DJ406" s="1170">
        <f>K406/(1.0686^(2025-2025))</f>
        <v>203.83999999999992</v>
      </c>
    </row>
    <row r="407" spans="1:114" ht="37.5" customHeight="1">
      <c r="B407" s="1454">
        <f t="shared" si="101"/>
        <v>803400</v>
      </c>
      <c r="C407" s="1637" t="s">
        <v>531</v>
      </c>
      <c r="D407" s="1639" t="s">
        <v>457</v>
      </c>
      <c r="E407" s="480" t="s">
        <v>532</v>
      </c>
      <c r="F407" s="1922">
        <f t="shared" si="102"/>
        <v>10.35</v>
      </c>
      <c r="G407" s="463" t="s">
        <v>459</v>
      </c>
      <c r="H407" s="464">
        <f>VLOOKUP(G407,'CP FACTORS'!$A$26:$B$38,2,FALSE)</f>
        <v>9.1068400000000004E-4</v>
      </c>
      <c r="I407" s="1481">
        <f>ROUND(H407*F407,6)</f>
        <v>9.4260000000000004E-3</v>
      </c>
      <c r="J407" s="487">
        <v>15</v>
      </c>
      <c r="K407" s="2016">
        <f t="shared" si="103"/>
        <v>10.399999999999963</v>
      </c>
      <c r="L407" s="509" t="s">
        <v>461</v>
      </c>
      <c r="M407" s="1872"/>
      <c r="N407" s="1872"/>
      <c r="O407" s="1872"/>
      <c r="P407" s="1872"/>
      <c r="V407" s="1414" t="str">
        <f>V406</f>
        <v>kWh Annual Savings per ton</v>
      </c>
      <c r="W407" s="55">
        <v>70.797848498431222</v>
      </c>
      <c r="X407" s="55">
        <v>70.797848498431222</v>
      </c>
      <c r="Y407" s="55">
        <v>70.797848498431222</v>
      </c>
      <c r="Z407" s="55">
        <v>70.797848498431222</v>
      </c>
      <c r="AA407" s="71">
        <v>167.52</v>
      </c>
      <c r="AB407" s="648">
        <v>167.52</v>
      </c>
      <c r="AC407" s="737">
        <v>167.52</v>
      </c>
      <c r="AD407" s="737">
        <v>167.52</v>
      </c>
      <c r="AE407" s="1940">
        <v>153.77000000000001</v>
      </c>
      <c r="AF407" s="271">
        <f>IF(F407&lt;&gt;"",F407,"")</f>
        <v>10.35</v>
      </c>
      <c r="AG407" s="71"/>
      <c r="AH407"/>
      <c r="AI407" s="1414" t="s">
        <v>49</v>
      </c>
      <c r="AJ407" s="671">
        <v>15</v>
      </c>
      <c r="AK407" s="671">
        <v>15</v>
      </c>
      <c r="AL407" s="671">
        <v>15</v>
      </c>
      <c r="AM407" s="671">
        <v>15</v>
      </c>
      <c r="AN407" s="671">
        <v>15</v>
      </c>
      <c r="AO407" s="648">
        <v>15</v>
      </c>
      <c r="AP407" s="648">
        <v>15</v>
      </c>
      <c r="AQ407" s="648">
        <v>15</v>
      </c>
      <c r="AR407" s="648">
        <v>15</v>
      </c>
      <c r="AS407" s="648">
        <v>15</v>
      </c>
      <c r="AU407" s="1414" t="s">
        <v>50</v>
      </c>
      <c r="AV407" s="672">
        <v>100</v>
      </c>
      <c r="AW407" s="672">
        <v>100</v>
      </c>
      <c r="AX407" s="672">
        <v>100</v>
      </c>
      <c r="AY407" s="672">
        <v>100</v>
      </c>
      <c r="AZ407" s="672">
        <v>100</v>
      </c>
      <c r="BA407" s="689">
        <v>100</v>
      </c>
      <c r="BB407" s="689">
        <v>100</v>
      </c>
      <c r="BC407" s="689">
        <v>100</v>
      </c>
      <c r="BD407" s="689">
        <v>100</v>
      </c>
      <c r="BE407" s="689">
        <f t="shared" si="104"/>
        <v>10.399999999999963</v>
      </c>
      <c r="DG407" s="1063">
        <f>(DI407)/(DJ407)</f>
        <v>1.9246002570772549</v>
      </c>
      <c r="DH407" s="673" t="str">
        <f>CONCATENATE(G407," ",J407," Year EUL")</f>
        <v>Cooling BUS 15 Year EUL</v>
      </c>
      <c r="DI407" s="655">
        <f>(INDEX('Avoided Cost Benefits'!$B$4:$B$865,MATCH(DH407,'Avoided Cost Benefits'!$A$4:$A$865,0)))*F407</f>
        <v>20.01584267360338</v>
      </c>
      <c r="DJ407" s="1170">
        <f>K407/(1.0686^(2025-2025))</f>
        <v>10.399999999999963</v>
      </c>
    </row>
    <row r="408" spans="1:114">
      <c r="B408" s="1454">
        <f t="shared" si="101"/>
        <v>803450</v>
      </c>
      <c r="C408" s="1637" t="s">
        <v>533</v>
      </c>
      <c r="D408" s="1639" t="s">
        <v>457</v>
      </c>
      <c r="E408" s="480" t="s">
        <v>534</v>
      </c>
      <c r="F408" s="1922">
        <f t="shared" si="102"/>
        <v>149.76</v>
      </c>
      <c r="G408" s="463" t="s">
        <v>459</v>
      </c>
      <c r="H408" s="464">
        <f>VLOOKUP(G408,'CP FACTORS'!$A$26:$B$38,2,FALSE)</f>
        <v>9.1068400000000004E-4</v>
      </c>
      <c r="I408" s="1481">
        <f>ROUND(H408*F408,6)</f>
        <v>0.13638400000000001</v>
      </c>
      <c r="J408" s="487">
        <v>15</v>
      </c>
      <c r="K408" s="2016">
        <f t="shared" si="103"/>
        <v>263.11999999999995</v>
      </c>
      <c r="L408" s="509" t="s">
        <v>461</v>
      </c>
      <c r="M408" s="1872"/>
      <c r="N408" s="1872"/>
      <c r="O408" s="1872"/>
      <c r="P408" s="1872"/>
      <c r="V408" s="1414" t="str">
        <f>V407</f>
        <v>kWh Annual Savings per ton</v>
      </c>
      <c r="W408" s="55">
        <v>69.42857142857153</v>
      </c>
      <c r="X408" s="55">
        <v>69.42857142857153</v>
      </c>
      <c r="Y408" s="55">
        <v>69.42857142857153</v>
      </c>
      <c r="Z408" s="55">
        <v>69.42857142857153</v>
      </c>
      <c r="AA408" s="71">
        <v>129.6</v>
      </c>
      <c r="AB408" s="648">
        <v>129.6</v>
      </c>
      <c r="AC408" s="737">
        <v>129.6</v>
      </c>
      <c r="AD408" s="737">
        <v>129.6</v>
      </c>
      <c r="AE408" s="1940">
        <v>129.6</v>
      </c>
      <c r="AF408" s="271">
        <f>IF(F408&lt;&gt;"",F408,"")</f>
        <v>149.76</v>
      </c>
      <c r="AG408" s="71"/>
      <c r="AH408"/>
      <c r="AI408" s="1414" t="s">
        <v>49</v>
      </c>
      <c r="AJ408" s="671">
        <v>15</v>
      </c>
      <c r="AK408" s="671">
        <v>15</v>
      </c>
      <c r="AL408" s="671">
        <v>15</v>
      </c>
      <c r="AM408" s="671">
        <v>15</v>
      </c>
      <c r="AN408" s="671">
        <v>15</v>
      </c>
      <c r="AO408" s="648">
        <v>15</v>
      </c>
      <c r="AP408" s="648">
        <v>15</v>
      </c>
      <c r="AQ408" s="648">
        <v>15</v>
      </c>
      <c r="AR408" s="648">
        <v>15</v>
      </c>
      <c r="AS408" s="648">
        <v>15</v>
      </c>
      <c r="AU408" s="1414" t="s">
        <v>50</v>
      </c>
      <c r="AV408" s="672">
        <v>100</v>
      </c>
      <c r="AW408" s="672">
        <v>100</v>
      </c>
      <c r="AX408" s="672">
        <v>100</v>
      </c>
      <c r="AY408" s="672">
        <v>100</v>
      </c>
      <c r="AZ408" s="672">
        <v>100</v>
      </c>
      <c r="BA408" s="689">
        <v>100</v>
      </c>
      <c r="BB408" s="689">
        <v>100</v>
      </c>
      <c r="BC408" s="689">
        <v>100</v>
      </c>
      <c r="BD408" s="689">
        <v>100</v>
      </c>
      <c r="BE408" s="689">
        <f t="shared" si="104"/>
        <v>263.11999999999995</v>
      </c>
      <c r="DG408" s="1064">
        <f>(DI408)/(DJ408)</f>
        <v>1.1007165587821073</v>
      </c>
      <c r="DH408" s="673" t="str">
        <f>CONCATENATE(G408," ",J408," Year EUL")</f>
        <v>Cooling BUS 15 Year EUL</v>
      </c>
      <c r="DI408" s="1066">
        <f>(INDEX('Avoided Cost Benefits'!$B$4:$B$865,MATCH(DH408,'Avoided Cost Benefits'!$A$4:$A$865,0)))*F408</f>
        <v>289.62054094674801</v>
      </c>
      <c r="DJ408" s="1171">
        <f>K408/(1.0686^(2025-2025))</f>
        <v>263.11999999999995</v>
      </c>
    </row>
    <row r="409" spans="1:114" outlineLevel="1">
      <c r="D409" s="77" t="s">
        <v>118</v>
      </c>
      <c r="E409" s="1591" t="s">
        <v>535</v>
      </c>
      <c r="F409" s="8"/>
      <c r="G409" s="8"/>
      <c r="H409" s="471"/>
      <c r="I409" s="8"/>
      <c r="J409" s="8"/>
      <c r="K409" s="265" t="s">
        <v>536</v>
      </c>
      <c r="M409" s="1872"/>
      <c r="N409" s="1872"/>
      <c r="O409" s="1872"/>
      <c r="P409" s="1872"/>
      <c r="AF409" s="1912" t="s">
        <v>204</v>
      </c>
      <c r="BD409" s="1912"/>
      <c r="BE409" s="1912" t="s">
        <v>204</v>
      </c>
      <c r="BF409" s="1912"/>
    </row>
    <row r="410" spans="1:114" outlineLevel="1">
      <c r="D410" s="8" t="s">
        <v>120</v>
      </c>
      <c r="E410" s="66"/>
      <c r="F410" s="8"/>
      <c r="G410" s="8"/>
      <c r="H410" s="471"/>
      <c r="I410" s="8"/>
      <c r="J410" s="8"/>
      <c r="K410" s="66"/>
      <c r="M410" s="1872"/>
      <c r="N410" s="1872"/>
      <c r="O410" s="1872"/>
      <c r="P410" s="1872"/>
      <c r="BD410" s="1912"/>
      <c r="BE410" s="1912"/>
      <c r="BF410" s="1912"/>
    </row>
    <row r="411" spans="1:114" outlineLevel="1">
      <c r="D411" s="472" t="s">
        <v>537</v>
      </c>
      <c r="E411" s="66"/>
      <c r="F411" s="472" t="s">
        <v>538</v>
      </c>
      <c r="G411" s="265"/>
      <c r="H411" s="473"/>
    </row>
    <row r="412" spans="1:114" outlineLevel="1">
      <c r="D412" s="472"/>
      <c r="G412" s="265"/>
      <c r="H412" s="473"/>
    </row>
    <row r="413" spans="1:114" outlineLevel="1">
      <c r="D413" s="472"/>
      <c r="G413" s="265"/>
      <c r="H413" s="473"/>
      <c r="M413" s="8"/>
    </row>
    <row r="414" spans="1:114" outlineLevel="1">
      <c r="D414" s="472"/>
      <c r="G414" s="265"/>
      <c r="H414" s="473"/>
      <c r="M414" s="8"/>
    </row>
    <row r="415" spans="1:114" outlineLevel="1">
      <c r="D415" s="472"/>
      <c r="G415" s="265"/>
      <c r="H415" s="473"/>
      <c r="M415" s="8"/>
    </row>
    <row r="416" spans="1:114" outlineLevel="1">
      <c r="D416" s="472"/>
      <c r="G416" s="1160" t="s">
        <v>539</v>
      </c>
      <c r="H416" s="473"/>
    </row>
    <row r="417" spans="1:116" s="9" customFormat="1" ht="30" outlineLevel="1">
      <c r="A417" s="2"/>
      <c r="C417" s="66"/>
      <c r="D417" s="1365" t="s">
        <v>42</v>
      </c>
      <c r="E417" s="1365" t="s">
        <v>275</v>
      </c>
      <c r="F417" s="32" t="s">
        <v>540</v>
      </c>
      <c r="G417" s="1365" t="s">
        <v>541</v>
      </c>
      <c r="H417" s="1365" t="s">
        <v>542</v>
      </c>
      <c r="I417" s="1432" t="s">
        <v>543</v>
      </c>
      <c r="J417" s="1950" t="s">
        <v>544</v>
      </c>
      <c r="K417" s="122"/>
      <c r="L417" s="122"/>
      <c r="M417" s="122"/>
      <c r="N417" s="122"/>
      <c r="O417" s="122"/>
      <c r="P417" s="122"/>
      <c r="Q417" s="122"/>
      <c r="R417" s="122"/>
      <c r="S417" s="122"/>
      <c r="T417" s="122"/>
      <c r="U417" s="122"/>
      <c r="V417" s="668" t="s">
        <v>52</v>
      </c>
      <c r="W417" s="669">
        <v>43252</v>
      </c>
      <c r="X417" s="669">
        <v>43465</v>
      </c>
      <c r="Y417" s="669">
        <v>43800</v>
      </c>
      <c r="Z417" s="669">
        <v>43862</v>
      </c>
      <c r="AA417" s="669">
        <v>44013</v>
      </c>
      <c r="AB417" s="669">
        <v>44166</v>
      </c>
      <c r="AC417" s="669">
        <v>44531</v>
      </c>
      <c r="AD417" s="669">
        <v>44774</v>
      </c>
      <c r="AE417" s="669">
        <v>45142</v>
      </c>
      <c r="AF417" s="669">
        <v>45536</v>
      </c>
      <c r="AG417" s="669" t="s">
        <v>53</v>
      </c>
      <c r="AH417"/>
      <c r="AI417" s="668" t="s">
        <v>52</v>
      </c>
      <c r="AJ417" s="669">
        <v>43252</v>
      </c>
      <c r="AK417" s="669">
        <v>43465</v>
      </c>
      <c r="AL417" s="669">
        <v>43800</v>
      </c>
      <c r="AM417" s="669">
        <v>43862</v>
      </c>
      <c r="AN417" s="669">
        <v>44013</v>
      </c>
      <c r="AO417" s="669">
        <v>44166</v>
      </c>
      <c r="AP417" s="669">
        <v>44531</v>
      </c>
      <c r="AQ417" s="669">
        <v>44774</v>
      </c>
      <c r="AR417" s="669">
        <v>45142</v>
      </c>
      <c r="AS417" s="669">
        <v>45536</v>
      </c>
      <c r="AT417" s="2"/>
      <c r="AU417" s="668" t="s">
        <v>52</v>
      </c>
      <c r="AV417" s="669">
        <v>43252</v>
      </c>
      <c r="AW417" s="669">
        <v>43465</v>
      </c>
      <c r="AX417" s="669">
        <v>43800</v>
      </c>
      <c r="AY417" s="669">
        <v>43862</v>
      </c>
      <c r="AZ417" s="669">
        <v>44013</v>
      </c>
      <c r="BA417" s="669">
        <v>44166</v>
      </c>
      <c r="BB417" s="669">
        <v>44531</v>
      </c>
      <c r="BC417" s="669">
        <v>44774</v>
      </c>
      <c r="BD417" s="669">
        <v>45142</v>
      </c>
      <c r="BE417" s="669">
        <v>45536</v>
      </c>
      <c r="DE417" s="2"/>
      <c r="DF417" s="2"/>
      <c r="DG417" s="1065"/>
      <c r="DH417" s="122"/>
      <c r="DI417" s="122"/>
      <c r="DJ417" s="1168"/>
    </row>
    <row r="418" spans="1:116" outlineLevel="1">
      <c r="D418" s="679" t="str">
        <f>C404</f>
        <v>803250_2024_12_</v>
      </c>
      <c r="E418" s="474" t="str">
        <f>E404</f>
        <v>Single Package or Split Sytem Unitary AC_DX 135 - 240kbtu</v>
      </c>
      <c r="F418" s="494">
        <v>12</v>
      </c>
      <c r="G418" s="2053">
        <v>14</v>
      </c>
      <c r="H418" s="2053">
        <v>16.100000000000001</v>
      </c>
      <c r="I418" s="2030">
        <v>1053</v>
      </c>
      <c r="J418" s="2054">
        <f>ABS(H418-G418)</f>
        <v>2.1000000000000014</v>
      </c>
      <c r="V418" s="1414" t="s">
        <v>545</v>
      </c>
      <c r="W418" s="55">
        <v>12.2</v>
      </c>
      <c r="X418" s="55">
        <v>12.2</v>
      </c>
      <c r="Y418" s="55">
        <v>12.2</v>
      </c>
      <c r="Z418" s="55">
        <v>12.2</v>
      </c>
      <c r="AA418" s="71">
        <v>12.2</v>
      </c>
      <c r="AB418" s="648">
        <v>12.2</v>
      </c>
      <c r="AC418" s="737">
        <v>12.2</v>
      </c>
      <c r="AD418" s="737">
        <v>12.2</v>
      </c>
      <c r="AE418" s="1940">
        <v>12.2</v>
      </c>
      <c r="AF418" s="659">
        <v>14</v>
      </c>
      <c r="AG418" s="71"/>
      <c r="AH418"/>
      <c r="AI418" s="1414" t="s">
        <v>546</v>
      </c>
      <c r="AJ418" s="671">
        <v>14</v>
      </c>
      <c r="AK418" s="671">
        <v>14</v>
      </c>
      <c r="AL418" s="671">
        <v>14</v>
      </c>
      <c r="AM418" s="671">
        <v>14</v>
      </c>
      <c r="AN418" s="671">
        <v>14</v>
      </c>
      <c r="AO418" s="648">
        <v>14</v>
      </c>
      <c r="AP418" s="648">
        <v>14</v>
      </c>
      <c r="AQ418" s="648">
        <v>14</v>
      </c>
      <c r="AR418" s="648">
        <v>14</v>
      </c>
      <c r="AS418" s="648">
        <v>16.100000000000001</v>
      </c>
      <c r="AU418" s="1414"/>
      <c r="AV418" s="672"/>
      <c r="AW418" s="672"/>
      <c r="AX418" s="672"/>
      <c r="AY418" s="672"/>
      <c r="AZ418" s="672"/>
      <c r="BA418" s="689"/>
      <c r="BB418" s="689"/>
      <c r="BC418" s="689"/>
      <c r="BD418" s="689"/>
      <c r="BE418" s="689"/>
    </row>
    <row r="419" spans="1:116" outlineLevel="1">
      <c r="D419" s="679" t="str">
        <f>C405</f>
        <v>803300_2024_12_</v>
      </c>
      <c r="E419" s="474" t="str">
        <f>E405</f>
        <v>Single Package or Split Sytem Unitary AC_DX 240 - 760kBTUh</v>
      </c>
      <c r="F419" s="494">
        <v>12</v>
      </c>
      <c r="G419" s="2053">
        <v>13</v>
      </c>
      <c r="H419" s="2053">
        <v>15.94</v>
      </c>
      <c r="I419" s="2030">
        <v>1053</v>
      </c>
      <c r="J419" s="2054">
        <f t="shared" ref="J419:J422" si="105">ABS(H419-G419)</f>
        <v>2.9399999999999995</v>
      </c>
      <c r="V419" s="1414" t="s">
        <v>545</v>
      </c>
      <c r="W419" s="55">
        <v>11.4</v>
      </c>
      <c r="X419" s="55">
        <v>11.4</v>
      </c>
      <c r="Y419" s="55">
        <v>11.4</v>
      </c>
      <c r="Z419" s="55">
        <v>11.4</v>
      </c>
      <c r="AA419" s="71">
        <v>11.4</v>
      </c>
      <c r="AB419" s="648">
        <v>11.4</v>
      </c>
      <c r="AC419" s="737">
        <v>11.4</v>
      </c>
      <c r="AD419" s="737">
        <v>11.4</v>
      </c>
      <c r="AE419" s="1940">
        <v>11.4</v>
      </c>
      <c r="AF419" s="659">
        <v>13</v>
      </c>
      <c r="AG419" s="71"/>
      <c r="AH419"/>
      <c r="AI419" s="1414" t="s">
        <v>546</v>
      </c>
      <c r="AJ419" s="671">
        <v>13.1</v>
      </c>
      <c r="AK419" s="671">
        <v>13.1</v>
      </c>
      <c r="AL419" s="671">
        <v>13.1</v>
      </c>
      <c r="AM419" s="671">
        <v>13.1</v>
      </c>
      <c r="AN419" s="671">
        <v>13.1</v>
      </c>
      <c r="AO419" s="648">
        <v>13.1</v>
      </c>
      <c r="AP419" s="648">
        <v>13.1</v>
      </c>
      <c r="AQ419" s="648">
        <v>13.1</v>
      </c>
      <c r="AR419" s="648">
        <v>13.1</v>
      </c>
      <c r="AS419" s="648">
        <v>15.94</v>
      </c>
      <c r="AU419" s="1414"/>
      <c r="AV419" s="672"/>
      <c r="AW419" s="672"/>
      <c r="AX419" s="672"/>
      <c r="AY419" s="672"/>
      <c r="AZ419" s="672"/>
      <c r="BA419" s="689"/>
      <c r="BB419" s="689"/>
      <c r="BC419" s="689"/>
      <c r="BD419" s="689"/>
      <c r="BE419" s="689"/>
    </row>
    <row r="420" spans="1:116" outlineLevel="1">
      <c r="D420" s="679" t="str">
        <f>C406</f>
        <v>803350_2024_12_</v>
      </c>
      <c r="E420" s="474" t="str">
        <f>E406</f>
        <v>Single Package or Split Sytem Unitary AC_DX 65 -135kBTUh</v>
      </c>
      <c r="F420" s="494">
        <v>12</v>
      </c>
      <c r="G420" s="2053">
        <v>14.6</v>
      </c>
      <c r="H420" s="2053">
        <v>16.559999999999999</v>
      </c>
      <c r="I420" s="2030">
        <v>1053</v>
      </c>
      <c r="J420" s="2054">
        <f t="shared" si="105"/>
        <v>1.9599999999999991</v>
      </c>
      <c r="V420" s="1414" t="s">
        <v>545</v>
      </c>
      <c r="W420" s="55">
        <v>12.6</v>
      </c>
      <c r="X420" s="55">
        <v>12.6</v>
      </c>
      <c r="Y420" s="55">
        <v>12.6</v>
      </c>
      <c r="Z420" s="55">
        <v>12.6</v>
      </c>
      <c r="AA420" s="71">
        <v>12.6</v>
      </c>
      <c r="AB420" s="648">
        <v>12.6</v>
      </c>
      <c r="AC420" s="737">
        <v>12.6</v>
      </c>
      <c r="AD420" s="737">
        <v>12.6</v>
      </c>
      <c r="AE420" s="1940">
        <v>12.6</v>
      </c>
      <c r="AF420" s="659">
        <v>14.6</v>
      </c>
      <c r="AG420" s="71"/>
      <c r="AH420"/>
      <c r="AI420" s="1414" t="s">
        <v>546</v>
      </c>
      <c r="AJ420" s="671">
        <v>14.5</v>
      </c>
      <c r="AK420" s="671">
        <v>14.5</v>
      </c>
      <c r="AL420" s="671">
        <v>14.5</v>
      </c>
      <c r="AM420" s="671">
        <v>14.5</v>
      </c>
      <c r="AN420" s="671">
        <v>14.5</v>
      </c>
      <c r="AO420" s="648">
        <v>14.5</v>
      </c>
      <c r="AP420" s="648">
        <v>14.5</v>
      </c>
      <c r="AQ420" s="648">
        <v>14.5</v>
      </c>
      <c r="AR420" s="648">
        <v>14.5</v>
      </c>
      <c r="AS420" s="648">
        <v>16.559999999999999</v>
      </c>
      <c r="AU420" s="1414"/>
      <c r="AV420" s="672"/>
      <c r="AW420" s="672"/>
      <c r="AX420" s="672"/>
      <c r="AY420" s="672"/>
      <c r="AZ420" s="672"/>
      <c r="BA420" s="689"/>
      <c r="BB420" s="689"/>
      <c r="BC420" s="689"/>
      <c r="BD420" s="689"/>
      <c r="BE420" s="689"/>
    </row>
    <row r="421" spans="1:116" outlineLevel="1">
      <c r="D421" s="679" t="str">
        <f>C407</f>
        <v>803400_2024_12_</v>
      </c>
      <c r="E421" s="474" t="str">
        <f>E407</f>
        <v>Single Package or Split Sytem Unitary AC_DX &gt;760kBTUh</v>
      </c>
      <c r="F421" s="494">
        <v>12</v>
      </c>
      <c r="G421" s="2041">
        <v>11</v>
      </c>
      <c r="H421" s="2053">
        <v>11.1</v>
      </c>
      <c r="I421" s="2030">
        <v>1053</v>
      </c>
      <c r="J421" s="2054">
        <f t="shared" si="105"/>
        <v>9.9999999999999645E-2</v>
      </c>
      <c r="K421" s="265" t="s">
        <v>547</v>
      </c>
      <c r="L421" s="265" t="s">
        <v>548</v>
      </c>
      <c r="V421" s="1414" t="s">
        <v>545</v>
      </c>
      <c r="W421" s="55">
        <v>11</v>
      </c>
      <c r="X421" s="55">
        <v>11</v>
      </c>
      <c r="Y421" s="55">
        <v>11</v>
      </c>
      <c r="Z421" s="55">
        <v>11</v>
      </c>
      <c r="AA421" s="71">
        <v>11</v>
      </c>
      <c r="AB421" s="648">
        <v>11</v>
      </c>
      <c r="AC421" s="737">
        <v>11</v>
      </c>
      <c r="AD421" s="737">
        <v>11</v>
      </c>
      <c r="AE421" s="1940">
        <v>11</v>
      </c>
      <c r="AF421" s="890">
        <v>11</v>
      </c>
      <c r="AG421" s="71"/>
      <c r="AH421"/>
      <c r="AI421" s="1414" t="s">
        <v>546</v>
      </c>
      <c r="AJ421" s="671">
        <v>12.7</v>
      </c>
      <c r="AK421" s="671">
        <v>12.7</v>
      </c>
      <c r="AL421" s="671">
        <v>12.7</v>
      </c>
      <c r="AM421" s="671">
        <v>12.7</v>
      </c>
      <c r="AN421" s="671">
        <v>12.7</v>
      </c>
      <c r="AO421" s="648">
        <v>12.7</v>
      </c>
      <c r="AP421" s="648">
        <v>12.7</v>
      </c>
      <c r="AQ421" s="648">
        <v>12.7</v>
      </c>
      <c r="AR421" s="648">
        <v>12.7</v>
      </c>
      <c r="AS421" s="648">
        <v>11.1</v>
      </c>
      <c r="AU421" s="1414"/>
      <c r="AV421" s="672"/>
      <c r="AW421" s="672"/>
      <c r="AX421" s="672"/>
      <c r="AY421" s="672"/>
      <c r="AZ421" s="672"/>
      <c r="BA421" s="689"/>
      <c r="BB421" s="689"/>
      <c r="BC421" s="689"/>
      <c r="BD421" s="689"/>
      <c r="BE421" s="689"/>
    </row>
    <row r="422" spans="1:116" outlineLevel="1">
      <c r="D422" s="679" t="str">
        <f>C408</f>
        <v>803450_2024_12_</v>
      </c>
      <c r="E422" s="474" t="str">
        <f>E408</f>
        <v>Single Package or Split Sytem Unitary AC_DX &lt;65kBTUh</v>
      </c>
      <c r="F422" s="494">
        <v>12</v>
      </c>
      <c r="G422" s="2053">
        <v>13.4</v>
      </c>
      <c r="H422" s="2053">
        <v>15.93</v>
      </c>
      <c r="I422" s="2030">
        <v>1053</v>
      </c>
      <c r="J422" s="2054">
        <f t="shared" si="105"/>
        <v>2.5299999999999994</v>
      </c>
      <c r="V422" s="1414" t="s">
        <v>545</v>
      </c>
      <c r="W422" s="55">
        <v>13</v>
      </c>
      <c r="X422" s="55">
        <v>13</v>
      </c>
      <c r="Y422" s="55">
        <v>13</v>
      </c>
      <c r="Z422" s="55">
        <v>13</v>
      </c>
      <c r="AA422" s="71">
        <v>13</v>
      </c>
      <c r="AB422" s="648">
        <v>13</v>
      </c>
      <c r="AC422" s="737">
        <v>13</v>
      </c>
      <c r="AD422" s="737">
        <v>13</v>
      </c>
      <c r="AE422" s="1940">
        <v>13</v>
      </c>
      <c r="AF422" s="659">
        <v>13.4</v>
      </c>
      <c r="AG422" s="71"/>
      <c r="AH422"/>
      <c r="AI422" s="1414" t="s">
        <v>546</v>
      </c>
      <c r="AJ422" s="671">
        <v>15</v>
      </c>
      <c r="AK422" s="671">
        <v>15</v>
      </c>
      <c r="AL422" s="671">
        <v>15</v>
      </c>
      <c r="AM422" s="671">
        <v>15</v>
      </c>
      <c r="AN422" s="671">
        <v>15</v>
      </c>
      <c r="AO422" s="648">
        <v>15</v>
      </c>
      <c r="AP422" s="648">
        <v>15</v>
      </c>
      <c r="AQ422" s="648">
        <v>15</v>
      </c>
      <c r="AR422" s="648">
        <v>15</v>
      </c>
      <c r="AS422" s="648">
        <v>15.93</v>
      </c>
      <c r="AU422" s="1414"/>
      <c r="AV422" s="672"/>
      <c r="AW422" s="672"/>
      <c r="AX422" s="672"/>
      <c r="AY422" s="672"/>
      <c r="AZ422" s="672"/>
      <c r="BA422" s="689"/>
      <c r="BB422" s="689"/>
      <c r="BC422" s="689"/>
      <c r="BD422" s="689"/>
      <c r="BE422" s="689"/>
    </row>
    <row r="423" spans="1:116" ht="15.75" thickBot="1">
      <c r="G423" s="2052" t="s">
        <v>549</v>
      </c>
      <c r="H423" s="2052" t="s">
        <v>550</v>
      </c>
      <c r="I423" s="2052"/>
    </row>
    <row r="424" spans="1:116" ht="15.75" thickBot="1">
      <c r="DI424" s="3989" t="s">
        <v>551</v>
      </c>
      <c r="DJ424" s="3990"/>
      <c r="DK424" s="3989" t="s">
        <v>552</v>
      </c>
      <c r="DL424" s="3991" t="s">
        <v>552</v>
      </c>
    </row>
    <row r="425" spans="1:116" s="9" customFormat="1" ht="30">
      <c r="A425" s="2"/>
      <c r="B425" s="2"/>
      <c r="C425" s="10" t="s">
        <v>42</v>
      </c>
      <c r="D425" s="10" t="s">
        <v>43</v>
      </c>
      <c r="E425" s="1432" t="s">
        <v>553</v>
      </c>
      <c r="F425" s="1432" t="s">
        <v>554</v>
      </c>
      <c r="G425" s="1432" t="s">
        <v>555</v>
      </c>
      <c r="H425" s="1432" t="s">
        <v>455</v>
      </c>
      <c r="I425" s="1432" t="s">
        <v>46</v>
      </c>
      <c r="J425" s="1432" t="s">
        <v>46</v>
      </c>
      <c r="K425" s="11" t="s">
        <v>47</v>
      </c>
      <c r="L425" s="1432" t="s">
        <v>48</v>
      </c>
      <c r="M425" s="1432" t="s">
        <v>49</v>
      </c>
      <c r="N425" s="10" t="s">
        <v>556</v>
      </c>
      <c r="O425" s="10" t="s">
        <v>51</v>
      </c>
      <c r="P425" s="265"/>
      <c r="Q425" s="122"/>
      <c r="R425" s="122"/>
      <c r="S425" s="122"/>
      <c r="T425" s="122"/>
      <c r="U425" s="122"/>
      <c r="V425" s="668" t="s">
        <v>52</v>
      </c>
      <c r="W425" s="669">
        <f>$W$8</f>
        <v>43252</v>
      </c>
      <c r="X425" s="669">
        <f>$X$8</f>
        <v>43465</v>
      </c>
      <c r="Y425" s="669">
        <f>$Y$8</f>
        <v>43800</v>
      </c>
      <c r="Z425" s="669">
        <f>$Z$8</f>
        <v>43862</v>
      </c>
      <c r="AA425" s="669">
        <f>$AA$8</f>
        <v>44013</v>
      </c>
      <c r="AB425" s="669">
        <v>44166</v>
      </c>
      <c r="AC425" s="669">
        <f>$AC$8</f>
        <v>44531</v>
      </c>
      <c r="AD425" s="669">
        <f>$AD$8</f>
        <v>44774</v>
      </c>
      <c r="AE425" s="669">
        <f>$AE$8</f>
        <v>45142</v>
      </c>
      <c r="AF425" s="669">
        <f>$AF$8</f>
        <v>45672</v>
      </c>
      <c r="AG425" s="669" t="str">
        <f>$AG$8</f>
        <v>-</v>
      </c>
      <c r="AH425"/>
      <c r="AI425" s="668" t="s">
        <v>52</v>
      </c>
      <c r="AJ425" s="669">
        <v>43252</v>
      </c>
      <c r="AK425" s="669">
        <f>$X$8</f>
        <v>43465</v>
      </c>
      <c r="AL425" s="669">
        <f>$Y$8</f>
        <v>43800</v>
      </c>
      <c r="AM425" s="669">
        <f>$Z$8</f>
        <v>43862</v>
      </c>
      <c r="AN425" s="669">
        <f>$AA$8</f>
        <v>44013</v>
      </c>
      <c r="AO425" s="669">
        <v>44166</v>
      </c>
      <c r="AP425" s="669">
        <f>$AC$8</f>
        <v>44531</v>
      </c>
      <c r="AQ425" s="669">
        <f>$AD$8</f>
        <v>44774</v>
      </c>
      <c r="AR425" s="669">
        <f>$AE$8</f>
        <v>45142</v>
      </c>
      <c r="AS425" s="669">
        <f>$AF$8</f>
        <v>45672</v>
      </c>
      <c r="AT425"/>
      <c r="AU425" s="668" t="s">
        <v>52</v>
      </c>
      <c r="AV425" s="669">
        <v>43252</v>
      </c>
      <c r="AW425" s="669">
        <f>$X$8</f>
        <v>43465</v>
      </c>
      <c r="AX425" s="669">
        <f>$Y$8</f>
        <v>43800</v>
      </c>
      <c r="AY425" s="669">
        <f>$Z$8</f>
        <v>43862</v>
      </c>
      <c r="AZ425" s="669">
        <f>$AA$8</f>
        <v>44013</v>
      </c>
      <c r="BA425" s="669">
        <v>44166</v>
      </c>
      <c r="BB425" s="669">
        <f>$AC$8</f>
        <v>44531</v>
      </c>
      <c r="BC425" s="669">
        <f>$AD$8</f>
        <v>44774</v>
      </c>
      <c r="BD425" s="669">
        <f>$AE$8</f>
        <v>45142</v>
      </c>
      <c r="BE425" s="669">
        <f>$AF$8</f>
        <v>45672</v>
      </c>
      <c r="BF425"/>
      <c r="BG425" s="668" t="s">
        <v>52</v>
      </c>
      <c r="BH425" s="669">
        <v>43252</v>
      </c>
      <c r="BI425" s="669">
        <f>$X$8</f>
        <v>43465</v>
      </c>
      <c r="BJ425" s="669">
        <f>$Y$8</f>
        <v>43800</v>
      </c>
      <c r="BK425" s="669">
        <f>$Z$8</f>
        <v>43862</v>
      </c>
      <c r="BL425" s="669">
        <f>$AA$8</f>
        <v>44013</v>
      </c>
      <c r="BM425" s="669">
        <v>44166</v>
      </c>
      <c r="BN425" s="669">
        <f>$AC$8</f>
        <v>44531</v>
      </c>
      <c r="BO425" s="669">
        <f>$AD$8</f>
        <v>44774</v>
      </c>
      <c r="BP425" s="669">
        <f>$AE$8</f>
        <v>45142</v>
      </c>
      <c r="BQ425" s="669">
        <f>$AF$8</f>
        <v>45672</v>
      </c>
      <c r="BR425" s="2"/>
      <c r="BS425" s="2"/>
      <c r="BT425" s="668" t="s">
        <v>52</v>
      </c>
      <c r="BU425" s="669">
        <v>43252</v>
      </c>
      <c r="BV425" s="669">
        <f>$X$8</f>
        <v>43465</v>
      </c>
      <c r="BW425" s="669">
        <f>$Y$8</f>
        <v>43800</v>
      </c>
      <c r="BX425" s="669">
        <f>$Z$8</f>
        <v>43862</v>
      </c>
      <c r="BY425" s="669">
        <f>$AA$8</f>
        <v>44013</v>
      </c>
      <c r="BZ425" s="669">
        <v>44166</v>
      </c>
      <c r="CA425" s="669">
        <f>$AC$8</f>
        <v>44531</v>
      </c>
      <c r="CB425" s="669">
        <f>$AD$8</f>
        <v>44774</v>
      </c>
      <c r="CC425" s="669">
        <f>$AE$8</f>
        <v>45142</v>
      </c>
      <c r="CD425" s="669">
        <f>$AF$8</f>
        <v>45672</v>
      </c>
      <c r="DE425" s="2"/>
      <c r="DF425" s="2"/>
      <c r="DG425" s="810" t="str">
        <f>$DG$8</f>
        <v>TRC (2025)</v>
      </c>
      <c r="DH425" s="811" t="str">
        <f>$DH$8</f>
        <v>Benefit Lookup</v>
      </c>
      <c r="DI425" s="812" t="str">
        <f>$DI$8</f>
        <v>Benefits (2025 $)</v>
      </c>
      <c r="DJ425" s="1179" t="str">
        <f>$DJ$8</f>
        <v>Incremental Cost (2025 $)</v>
      </c>
      <c r="DK425" s="812" t="str">
        <f>$DH$8</f>
        <v>Benefit Lookup</v>
      </c>
      <c r="DL425" s="1180" t="str">
        <f>$DI$8</f>
        <v>Benefits (2025 $)</v>
      </c>
    </row>
    <row r="426" spans="1:116">
      <c r="B426" s="1454">
        <f t="shared" ref="B426:B432" si="106">VALUE(LEFT(C426,6))</f>
        <v>803500</v>
      </c>
      <c r="C426" s="1637" t="s">
        <v>557</v>
      </c>
      <c r="D426" s="1639" t="s">
        <v>135</v>
      </c>
      <c r="E426" s="1638" t="s">
        <v>558</v>
      </c>
      <c r="F426" s="58">
        <f t="shared" ref="F426:F433" si="107">SUM(G426:H426)</f>
        <v>526.24</v>
      </c>
      <c r="G426" s="418">
        <f>ROUND(F444*((1/G444)-(1/H444))*K444,2)</f>
        <v>430.9</v>
      </c>
      <c r="H426" s="418">
        <f t="shared" ref="H426:H432" si="108">ROUND((P444/3.412*((1/L444)-(1/M444))*Q444),2)</f>
        <v>95.34</v>
      </c>
      <c r="I426" s="463" t="s">
        <v>459</v>
      </c>
      <c r="J426" s="463" t="s">
        <v>460</v>
      </c>
      <c r="K426" s="464">
        <v>9.1068395835808389E-4</v>
      </c>
      <c r="L426" s="508">
        <f t="shared" ref="L426:L433" si="109">ROUND(K426*G426,6)</f>
        <v>0.39241399999999999</v>
      </c>
      <c r="M426" s="103">
        <v>15</v>
      </c>
      <c r="N426" s="2016">
        <f t="shared" ref="N426:N433" si="110">104*R444</f>
        <v>416</v>
      </c>
      <c r="O426" s="509" t="s">
        <v>559</v>
      </c>
      <c r="V426" s="1414" t="str">
        <f>F425</f>
        <v>Total kWh Annual Savings</v>
      </c>
      <c r="W426" s="1944">
        <v>64.694011161703301</v>
      </c>
      <c r="X426" s="1944">
        <v>64.694011161703301</v>
      </c>
      <c r="Y426" s="1944">
        <v>64.694011161703301</v>
      </c>
      <c r="Z426" s="847"/>
      <c r="AA426" s="847">
        <v>64.7</v>
      </c>
      <c r="AB426" s="847">
        <v>64.7</v>
      </c>
      <c r="AC426" s="847">
        <v>64.7</v>
      </c>
      <c r="AD426" s="847">
        <v>64.7</v>
      </c>
      <c r="AE426" s="1945">
        <v>226.93</v>
      </c>
      <c r="AF426" s="271">
        <f t="shared" ref="AF426:AF433" si="111">IF(F426&lt;&gt;"",F426,"")</f>
        <v>526.24</v>
      </c>
      <c r="AG426" s="71"/>
      <c r="AH426"/>
      <c r="AI426" s="1414" t="str">
        <f>G425</f>
        <v>Cooling kWh Annual Savings (per ton)</v>
      </c>
      <c r="AJ426" s="1944">
        <v>36.705882352941231</v>
      </c>
      <c r="AK426" s="1944">
        <v>36.705882352941231</v>
      </c>
      <c r="AL426" s="847">
        <v>36.705882352941231</v>
      </c>
      <c r="AM426" s="847">
        <v>36.705882352941231</v>
      </c>
      <c r="AN426" s="847">
        <v>36.71</v>
      </c>
      <c r="AO426" s="847">
        <v>36.71</v>
      </c>
      <c r="AP426" s="1946">
        <v>36.71</v>
      </c>
      <c r="AQ426" s="1946">
        <v>36.71</v>
      </c>
      <c r="AR426" s="1945">
        <v>31.92</v>
      </c>
      <c r="AS426" s="1922">
        <f t="shared" ref="AS426:AS433" si="112">G426</f>
        <v>430.9</v>
      </c>
      <c r="AT426"/>
      <c r="AU426" s="1414" t="str">
        <f>H425</f>
        <v>Heating kWh Annual Savings (per ton)</v>
      </c>
      <c r="AV426" s="1916">
        <v>27.988128808762067</v>
      </c>
      <c r="AW426" s="1916">
        <v>27.988128808762067</v>
      </c>
      <c r="AX426" s="1916">
        <v>27.988128808762067</v>
      </c>
      <c r="AY426" s="1916">
        <v>27.988128808762067</v>
      </c>
      <c r="AZ426" s="1916">
        <v>27.99</v>
      </c>
      <c r="BA426" s="1916">
        <v>27.99</v>
      </c>
      <c r="BB426" s="1916">
        <v>27.99</v>
      </c>
      <c r="BC426" s="1916">
        <v>27.99</v>
      </c>
      <c r="BD426" s="1948">
        <v>195.01</v>
      </c>
      <c r="BE426" s="1947">
        <f t="shared" ref="BE426:BE433" si="113">H426</f>
        <v>95.34</v>
      </c>
      <c r="BF426"/>
      <c r="BG426" s="1414" t="s">
        <v>49</v>
      </c>
      <c r="BH426" s="671">
        <v>15</v>
      </c>
      <c r="BI426" s="671">
        <v>15</v>
      </c>
      <c r="BJ426" s="650">
        <v>15</v>
      </c>
      <c r="BK426" s="650">
        <v>15</v>
      </c>
      <c r="BL426" s="650">
        <v>15</v>
      </c>
      <c r="BM426" s="648">
        <v>15</v>
      </c>
      <c r="BN426" s="648">
        <v>15</v>
      </c>
      <c r="BO426" s="648">
        <v>15</v>
      </c>
      <c r="BP426" s="648">
        <v>15</v>
      </c>
      <c r="BQ426" s="648">
        <v>15</v>
      </c>
      <c r="BT426" s="1414" t="str">
        <f>N425</f>
        <v>Inc. Cost     (per ton)</v>
      </c>
      <c r="BU426" s="3923">
        <v>180</v>
      </c>
      <c r="BV426" s="3923">
        <v>180</v>
      </c>
      <c r="BW426" s="3923">
        <v>180</v>
      </c>
      <c r="BX426" s="3923">
        <v>180</v>
      </c>
      <c r="BY426" s="3923">
        <v>180</v>
      </c>
      <c r="BZ426" s="689">
        <v>180</v>
      </c>
      <c r="CA426" s="689">
        <v>180</v>
      </c>
      <c r="CB426" s="689">
        <v>180</v>
      </c>
      <c r="CC426" s="689">
        <v>180</v>
      </c>
      <c r="CD426" s="689">
        <f t="shared" ref="CD426:CD433" si="114">N426</f>
        <v>416</v>
      </c>
      <c r="DG426" s="608">
        <f t="shared" ref="DG426:DG433" si="115">(DI426+DL426)/(DJ426)</f>
        <v>2.1226929220263142</v>
      </c>
      <c r="DH426" s="1400" t="str">
        <f t="shared" ref="DH426:DH433" si="116">CONCATENATE(I426," ",M426," Year EUL")</f>
        <v>Cooling BUS 15 Year EUL</v>
      </c>
      <c r="DI426" s="445">
        <f>(INDEX('Avoided Cost Benefits'!$B$4:$B$865,MATCH(DH426,'Avoided Cost Benefits'!$A$4:$A$865,0)))*G426</f>
        <v>833.31658048847305</v>
      </c>
      <c r="DJ426" s="1173">
        <f>N426/(1.0686^(2025-2025))</f>
        <v>416</v>
      </c>
      <c r="DK426" s="1400" t="str">
        <f t="shared" ref="DK426:DK433" si="117">CONCATENATE(J426," ",M426," Year EUL")</f>
        <v>Heating BUS 15 Year EUL</v>
      </c>
      <c r="DL426" s="1181">
        <f>(INDEX('Avoided Cost Benefits'!$B$4:$B$865,MATCH(DK426,'Avoided Cost Benefits'!$A$4:$A$865,0)))*H426</f>
        <v>49.723675074473576</v>
      </c>
    </row>
    <row r="427" spans="1:116">
      <c r="B427" s="1454">
        <f t="shared" si="106"/>
        <v>803570</v>
      </c>
      <c r="C427" s="1637" t="s">
        <v>560</v>
      </c>
      <c r="D427" s="1639" t="s">
        <v>135</v>
      </c>
      <c r="E427" s="1638" t="s">
        <v>561</v>
      </c>
      <c r="F427" s="58">
        <f t="shared" si="107"/>
        <v>291.85000000000002</v>
      </c>
      <c r="G427" s="58">
        <f>ROUND(F445*((1/G445)-(1/H445))*K445,2)</f>
        <v>253.32</v>
      </c>
      <c r="H427" s="58">
        <f t="shared" si="108"/>
        <v>38.53</v>
      </c>
      <c r="I427" s="1639" t="s">
        <v>459</v>
      </c>
      <c r="J427" s="1639" t="s">
        <v>460</v>
      </c>
      <c r="K427" s="1640">
        <v>9.1068395835808389E-4</v>
      </c>
      <c r="L427" s="1480">
        <f t="shared" si="109"/>
        <v>0.23069400000000001</v>
      </c>
      <c r="M427" s="39">
        <v>15</v>
      </c>
      <c r="N427" s="2016">
        <f t="shared" si="110"/>
        <v>208</v>
      </c>
      <c r="O427" s="1641" t="s">
        <v>559</v>
      </c>
      <c r="V427" s="1414" t="str">
        <f>V426</f>
        <v>Total kWh Annual Savings</v>
      </c>
      <c r="W427" s="1944">
        <v>142.93549722981479</v>
      </c>
      <c r="X427" s="1944">
        <v>142.93549722981479</v>
      </c>
      <c r="Y427" s="1944">
        <v>142.93549722981479</v>
      </c>
      <c r="Z427" s="847"/>
      <c r="AA427" s="847">
        <v>142.94</v>
      </c>
      <c r="AB427" s="847">
        <v>142.94</v>
      </c>
      <c r="AC427" s="847">
        <v>142.94</v>
      </c>
      <c r="AD427" s="847">
        <v>142.94</v>
      </c>
      <c r="AE427" s="1945">
        <v>305.16999999999996</v>
      </c>
      <c r="AF427" s="271">
        <f t="shared" si="111"/>
        <v>291.85000000000002</v>
      </c>
      <c r="AG427" s="71"/>
      <c r="AH427"/>
      <c r="AI427" s="1414" t="str">
        <f>AI426</f>
        <v>Cooling kWh Annual Savings (per ton)</v>
      </c>
      <c r="AJ427" s="1944">
        <v>114.94736842105272</v>
      </c>
      <c r="AK427" s="1944">
        <v>114.94736842105272</v>
      </c>
      <c r="AL427" s="847">
        <v>114.94736842105272</v>
      </c>
      <c r="AM427" s="847">
        <v>114.94736842105272</v>
      </c>
      <c r="AN427" s="847">
        <v>114.95</v>
      </c>
      <c r="AO427" s="847">
        <v>114.95</v>
      </c>
      <c r="AP427" s="1946">
        <v>114.95</v>
      </c>
      <c r="AQ427" s="1946">
        <v>114.95</v>
      </c>
      <c r="AR427" s="1945">
        <v>110.16</v>
      </c>
      <c r="AS427" s="1922">
        <f t="shared" si="112"/>
        <v>253.32</v>
      </c>
      <c r="AT427"/>
      <c r="AU427" s="1414" t="str">
        <f>AU426</f>
        <v>Heating kWh Annual Savings (per ton)</v>
      </c>
      <c r="AV427" s="1916">
        <v>27.988128808762067</v>
      </c>
      <c r="AW427" s="1916">
        <v>27.988128808762067</v>
      </c>
      <c r="AX427" s="1916">
        <v>27.988128808762067</v>
      </c>
      <c r="AY427" s="1916">
        <v>27.988128808762067</v>
      </c>
      <c r="AZ427" s="1916">
        <v>27.99</v>
      </c>
      <c r="BA427" s="1916">
        <v>27.99</v>
      </c>
      <c r="BB427" s="1916">
        <v>27.99</v>
      </c>
      <c r="BC427" s="1916">
        <v>27.99</v>
      </c>
      <c r="BD427" s="1948">
        <v>195.01</v>
      </c>
      <c r="BE427" s="1947">
        <f t="shared" si="113"/>
        <v>38.53</v>
      </c>
      <c r="BF427"/>
      <c r="BG427" s="1414" t="s">
        <v>49</v>
      </c>
      <c r="BH427" s="671">
        <v>15</v>
      </c>
      <c r="BI427" s="671">
        <v>15</v>
      </c>
      <c r="BJ427" s="650">
        <v>15</v>
      </c>
      <c r="BK427" s="650">
        <v>15</v>
      </c>
      <c r="BL427" s="650">
        <v>15</v>
      </c>
      <c r="BM427" s="648">
        <v>15</v>
      </c>
      <c r="BN427" s="648">
        <v>15</v>
      </c>
      <c r="BO427" s="648">
        <v>15</v>
      </c>
      <c r="BP427" s="648">
        <v>15</v>
      </c>
      <c r="BQ427" s="648">
        <v>15</v>
      </c>
      <c r="BT427" s="1414" t="str">
        <f>BT426</f>
        <v>Inc. Cost     (per ton)</v>
      </c>
      <c r="BU427" s="672">
        <v>180</v>
      </c>
      <c r="BV427" s="672">
        <v>180</v>
      </c>
      <c r="BW427" s="672">
        <v>180</v>
      </c>
      <c r="BX427" s="672">
        <v>180</v>
      </c>
      <c r="BY427" s="672">
        <v>180</v>
      </c>
      <c r="BZ427" s="689">
        <v>180</v>
      </c>
      <c r="CA427" s="689">
        <v>180</v>
      </c>
      <c r="CB427" s="689">
        <v>180</v>
      </c>
      <c r="CC427" s="689">
        <v>180</v>
      </c>
      <c r="CD427" s="689">
        <f t="shared" si="114"/>
        <v>208</v>
      </c>
      <c r="DG427" s="608">
        <f t="shared" si="115"/>
        <v>2.4518748007493518</v>
      </c>
      <c r="DH427" s="1400" t="str">
        <f t="shared" si="116"/>
        <v>Cooling BUS 15 Year EUL</v>
      </c>
      <c r="DI427" s="445">
        <f>(INDEX('Avoided Cost Benefits'!$B$4:$B$865,MATCH(DH427,'Avoided Cost Benefits'!$A$4:$A$865,0)))*G427</f>
        <v>489.89500155335344</v>
      </c>
      <c r="DJ427" s="1173">
        <f>N427/(1.0686^(2025-2025))</f>
        <v>208</v>
      </c>
      <c r="DK427" s="1400" t="str">
        <f t="shared" si="117"/>
        <v>Heating BUS 15 Year EUL</v>
      </c>
      <c r="DL427" s="1181">
        <f>(INDEX('Avoided Cost Benefits'!$B$4:$B$865,MATCH(DK427,'Avoided Cost Benefits'!$A$4:$A$865,0)))*H427</f>
        <v>20.094957002511716</v>
      </c>
    </row>
    <row r="428" spans="1:116">
      <c r="B428" s="1454">
        <f t="shared" si="106"/>
        <v>803575</v>
      </c>
      <c r="C428" s="1637" t="s">
        <v>562</v>
      </c>
      <c r="D428" s="1639" t="s">
        <v>135</v>
      </c>
      <c r="E428" s="1638" t="s">
        <v>563</v>
      </c>
      <c r="F428" s="58">
        <f>SUM(G428:H428)</f>
        <v>228.12</v>
      </c>
      <c r="G428" s="58">
        <f>ROUND(F446*((1/G446)-(1/H446))*K446,2)</f>
        <v>189.59</v>
      </c>
      <c r="H428" s="58">
        <f t="shared" si="108"/>
        <v>38.53</v>
      </c>
      <c r="I428" s="1639" t="s">
        <v>459</v>
      </c>
      <c r="J428" s="1639" t="s">
        <v>460</v>
      </c>
      <c r="K428" s="1640">
        <v>9.1068395835808389E-4</v>
      </c>
      <c r="L428" s="1480">
        <f>ROUND(K428*G428,6)</f>
        <v>0.172657</v>
      </c>
      <c r="M428" s="39">
        <v>15</v>
      </c>
      <c r="N428" s="2016">
        <f t="shared" si="110"/>
        <v>208</v>
      </c>
      <c r="O428" s="1641" t="s">
        <v>559</v>
      </c>
      <c r="V428" s="1414" t="str">
        <f>V427</f>
        <v>Total kWh Annual Savings</v>
      </c>
      <c r="W428" s="1944"/>
      <c r="X428" s="1944"/>
      <c r="Y428" s="1944"/>
      <c r="Z428" s="847"/>
      <c r="AA428" s="847"/>
      <c r="AB428" s="847"/>
      <c r="AC428" s="847"/>
      <c r="AD428" s="847"/>
      <c r="AE428" s="1945"/>
      <c r="AF428" s="271">
        <f t="shared" si="111"/>
        <v>228.12</v>
      </c>
      <c r="AG428" s="71"/>
      <c r="AH428"/>
      <c r="AI428" s="1414" t="str">
        <f>AI427</f>
        <v>Cooling kWh Annual Savings (per ton)</v>
      </c>
      <c r="AJ428" s="1944"/>
      <c r="AK428" s="1944"/>
      <c r="AL428" s="847"/>
      <c r="AM428" s="847"/>
      <c r="AN428" s="847"/>
      <c r="AO428" s="847"/>
      <c r="AP428" s="1946"/>
      <c r="AQ428" s="1946"/>
      <c r="AR428" s="1945"/>
      <c r="AS428" s="1922">
        <f t="shared" si="112"/>
        <v>189.59</v>
      </c>
      <c r="AT428"/>
      <c r="AU428" s="1414" t="str">
        <f>AU427</f>
        <v>Heating kWh Annual Savings (per ton)</v>
      </c>
      <c r="AV428" s="1916"/>
      <c r="AW428" s="1916"/>
      <c r="AX428" s="1916"/>
      <c r="AY428" s="1916"/>
      <c r="AZ428" s="1916"/>
      <c r="BA428" s="1916"/>
      <c r="BB428" s="1916"/>
      <c r="BC428" s="1916"/>
      <c r="BD428" s="1948"/>
      <c r="BE428" s="1947">
        <f t="shared" si="113"/>
        <v>38.53</v>
      </c>
      <c r="BF428"/>
      <c r="BG428" s="1414" t="s">
        <v>49</v>
      </c>
      <c r="BH428" s="671"/>
      <c r="BI428" s="671"/>
      <c r="BJ428" s="650"/>
      <c r="BK428" s="650"/>
      <c r="BL428" s="650"/>
      <c r="BM428" s="648"/>
      <c r="BN428" s="648"/>
      <c r="BO428" s="648"/>
      <c r="BP428" s="648"/>
      <c r="BQ428" s="648"/>
      <c r="BT428" s="1414" t="str">
        <f>BT427</f>
        <v>Inc. Cost     (per ton)</v>
      </c>
      <c r="BU428" s="672"/>
      <c r="BV428" s="672"/>
      <c r="BW428" s="672"/>
      <c r="BX428" s="672"/>
      <c r="BY428" s="672"/>
      <c r="BZ428" s="689"/>
      <c r="CA428" s="689"/>
      <c r="CB428" s="689"/>
      <c r="CC428" s="689"/>
      <c r="CD428" s="689">
        <f t="shared" si="114"/>
        <v>208</v>
      </c>
      <c r="DG428" s="608"/>
      <c r="DH428" s="1400"/>
      <c r="DI428" s="445"/>
      <c r="DJ428" s="1173"/>
      <c r="DK428" s="1400"/>
      <c r="DL428" s="1181"/>
    </row>
    <row r="429" spans="1:116">
      <c r="B429" s="1454">
        <f t="shared" si="106"/>
        <v>803580</v>
      </c>
      <c r="C429" s="1637" t="s">
        <v>564</v>
      </c>
      <c r="D429" s="1639" t="s">
        <v>135</v>
      </c>
      <c r="E429" s="1638" t="s">
        <v>565</v>
      </c>
      <c r="F429" s="58">
        <f>SUM(G429:H429)</f>
        <v>228.12</v>
      </c>
      <c r="G429" s="58">
        <f>ROUND(F447*((1/G447)-(1/H447))*K447,2)</f>
        <v>189.59</v>
      </c>
      <c r="H429" s="58">
        <f t="shared" si="108"/>
        <v>38.53</v>
      </c>
      <c r="I429" s="1639" t="s">
        <v>459</v>
      </c>
      <c r="J429" s="1639" t="s">
        <v>460</v>
      </c>
      <c r="K429" s="1640">
        <v>9.1068395835808389E-4</v>
      </c>
      <c r="L429" s="1480">
        <f>ROUND(K429*G429,6)</f>
        <v>0.172657</v>
      </c>
      <c r="M429" s="39">
        <v>15</v>
      </c>
      <c r="N429" s="2016">
        <f t="shared" si="110"/>
        <v>208</v>
      </c>
      <c r="O429" s="1641" t="s">
        <v>559</v>
      </c>
      <c r="V429" s="1414" t="str">
        <f>V428</f>
        <v>Total kWh Annual Savings</v>
      </c>
      <c r="W429" s="1944"/>
      <c r="X429" s="1944"/>
      <c r="Y429" s="1944"/>
      <c r="Z429" s="847"/>
      <c r="AA429" s="847"/>
      <c r="AB429" s="847"/>
      <c r="AC429" s="847"/>
      <c r="AD429" s="847"/>
      <c r="AE429" s="1945"/>
      <c r="AF429" s="271">
        <f t="shared" si="111"/>
        <v>228.12</v>
      </c>
      <c r="AG429" s="71"/>
      <c r="AH429"/>
      <c r="AI429" s="1414" t="str">
        <f>AI428</f>
        <v>Cooling kWh Annual Savings (per ton)</v>
      </c>
      <c r="AJ429" s="1944"/>
      <c r="AK429" s="1944"/>
      <c r="AL429" s="847"/>
      <c r="AM429" s="847"/>
      <c r="AN429" s="847"/>
      <c r="AO429" s="847"/>
      <c r="AP429" s="1946"/>
      <c r="AQ429" s="1946"/>
      <c r="AR429" s="1945"/>
      <c r="AS429" s="1922">
        <f t="shared" si="112"/>
        <v>189.59</v>
      </c>
      <c r="AT429"/>
      <c r="AU429" s="1414" t="str">
        <f>AU428</f>
        <v>Heating kWh Annual Savings (per ton)</v>
      </c>
      <c r="AV429" s="1916"/>
      <c r="AW429" s="1916"/>
      <c r="AX429" s="1916"/>
      <c r="AY429" s="1916"/>
      <c r="AZ429" s="1916"/>
      <c r="BA429" s="1916"/>
      <c r="BB429" s="1916"/>
      <c r="BC429" s="1916"/>
      <c r="BD429" s="1948"/>
      <c r="BE429" s="1947">
        <f t="shared" si="113"/>
        <v>38.53</v>
      </c>
      <c r="BF429"/>
      <c r="BG429" s="1414" t="s">
        <v>49</v>
      </c>
      <c r="BH429" s="671"/>
      <c r="BI429" s="671"/>
      <c r="BJ429" s="650"/>
      <c r="BK429" s="650"/>
      <c r="BL429" s="650"/>
      <c r="BM429" s="648"/>
      <c r="BN429" s="648"/>
      <c r="BO429" s="648"/>
      <c r="BP429" s="648"/>
      <c r="BQ429" s="648"/>
      <c r="BT429" s="1414" t="str">
        <f>BT428</f>
        <v>Inc. Cost     (per ton)</v>
      </c>
      <c r="BU429" s="672"/>
      <c r="BV429" s="672"/>
      <c r="BW429" s="672"/>
      <c r="BX429" s="672"/>
      <c r="BY429" s="672"/>
      <c r="BZ429" s="689"/>
      <c r="CA429" s="689"/>
      <c r="CB429" s="689"/>
      <c r="CC429" s="689"/>
      <c r="CD429" s="689">
        <f t="shared" si="114"/>
        <v>208</v>
      </c>
      <c r="DG429" s="608"/>
      <c r="DH429" s="1400"/>
      <c r="DI429" s="445"/>
      <c r="DJ429" s="1173"/>
      <c r="DK429" s="1400"/>
      <c r="DL429" s="1181"/>
    </row>
    <row r="430" spans="1:116">
      <c r="B430" s="1454">
        <f t="shared" si="106"/>
        <v>803600</v>
      </c>
      <c r="C430" s="1637" t="s">
        <v>566</v>
      </c>
      <c r="D430" s="1639" t="s">
        <v>457</v>
      </c>
      <c r="E430" s="480" t="s">
        <v>567</v>
      </c>
      <c r="F430" s="58">
        <f t="shared" si="107"/>
        <v>169.55</v>
      </c>
      <c r="G430" s="58">
        <f>ROUND((F448*((1/I448)-(1/J448))*K448),2)</f>
        <v>117.34</v>
      </c>
      <c r="H430" s="418">
        <f t="shared" si="108"/>
        <v>52.21</v>
      </c>
      <c r="I430" s="463" t="s">
        <v>459</v>
      </c>
      <c r="J430" s="463" t="s">
        <v>460</v>
      </c>
      <c r="K430" s="464">
        <v>9.1068395835808389E-4</v>
      </c>
      <c r="L430" s="1480">
        <f t="shared" si="109"/>
        <v>0.10686</v>
      </c>
      <c r="M430" s="103">
        <v>15</v>
      </c>
      <c r="N430" s="2016">
        <f t="shared" si="110"/>
        <v>214.24000000000007</v>
      </c>
      <c r="O430" s="509" t="s">
        <v>559</v>
      </c>
      <c r="V430" s="1414" t="str">
        <f>V427</f>
        <v>Total kWh Annual Savings</v>
      </c>
      <c r="W430" s="1944">
        <v>160.28171008358601</v>
      </c>
      <c r="X430" s="1944">
        <v>160.28171008358601</v>
      </c>
      <c r="Y430" s="1944">
        <v>160.28171008358601</v>
      </c>
      <c r="Z430" s="847"/>
      <c r="AA430" s="847">
        <v>340.37</v>
      </c>
      <c r="AB430" s="847">
        <v>340.37</v>
      </c>
      <c r="AC430" s="847">
        <v>340.37</v>
      </c>
      <c r="AD430" s="847">
        <v>340.37</v>
      </c>
      <c r="AE430" s="1945">
        <v>333.05</v>
      </c>
      <c r="AF430" s="271">
        <f t="shared" si="111"/>
        <v>169.55</v>
      </c>
      <c r="AG430" s="71"/>
      <c r="AH430"/>
      <c r="AI430" s="1414" t="str">
        <f>AI427</f>
        <v>Cooling kWh Annual Savings (per ton)</v>
      </c>
      <c r="AJ430" s="1944">
        <v>95.727272727272819</v>
      </c>
      <c r="AK430" s="1944">
        <v>95.727272727272819</v>
      </c>
      <c r="AL430" s="847">
        <v>95.727272727272819</v>
      </c>
      <c r="AM430" s="847">
        <v>95.727272727272819</v>
      </c>
      <c r="AN430" s="847">
        <v>117.33</v>
      </c>
      <c r="AO430" s="847">
        <v>117.33</v>
      </c>
      <c r="AP430" s="1946">
        <v>117.33</v>
      </c>
      <c r="AQ430" s="1946">
        <v>117.33</v>
      </c>
      <c r="AR430" s="1945">
        <v>110.01</v>
      </c>
      <c r="AS430" s="1922">
        <f t="shared" si="112"/>
        <v>117.34</v>
      </c>
      <c r="AT430"/>
      <c r="AU430" s="1414" t="str">
        <f>AU427</f>
        <v>Heating kWh Annual Savings (per ton)</v>
      </c>
      <c r="AV430" s="1916">
        <v>64.554437356313187</v>
      </c>
      <c r="AW430" s="1916">
        <v>64.554437356313187</v>
      </c>
      <c r="AX430" s="1916">
        <v>64.554437356313187</v>
      </c>
      <c r="AY430" s="1916">
        <v>64.554437356313187</v>
      </c>
      <c r="AZ430" s="1916">
        <v>223.04</v>
      </c>
      <c r="BA430" s="1916">
        <v>223.04</v>
      </c>
      <c r="BB430" s="1916">
        <v>223.04</v>
      </c>
      <c r="BC430" s="1916">
        <v>223.04</v>
      </c>
      <c r="BD430" s="1948">
        <v>223.04</v>
      </c>
      <c r="BE430" s="1947">
        <f t="shared" si="113"/>
        <v>52.21</v>
      </c>
      <c r="BF430"/>
      <c r="BG430" s="1414" t="s">
        <v>49</v>
      </c>
      <c r="BH430" s="671">
        <v>15</v>
      </c>
      <c r="BI430" s="671">
        <v>15</v>
      </c>
      <c r="BJ430" s="650">
        <v>15</v>
      </c>
      <c r="BK430" s="650">
        <v>15</v>
      </c>
      <c r="BL430" s="650">
        <v>15</v>
      </c>
      <c r="BM430" s="648">
        <v>15</v>
      </c>
      <c r="BN430" s="648">
        <v>15</v>
      </c>
      <c r="BO430" s="648">
        <v>15</v>
      </c>
      <c r="BP430" s="648">
        <v>15</v>
      </c>
      <c r="BQ430" s="648">
        <v>15</v>
      </c>
      <c r="BT430" s="1414" t="str">
        <f>BT427</f>
        <v>Inc. Cost     (per ton)</v>
      </c>
      <c r="BU430" s="672">
        <v>100</v>
      </c>
      <c r="BV430" s="672">
        <v>100</v>
      </c>
      <c r="BW430" s="672">
        <v>100</v>
      </c>
      <c r="BX430" s="672">
        <v>100</v>
      </c>
      <c r="BY430" s="672">
        <v>100</v>
      </c>
      <c r="BZ430" s="689">
        <v>100</v>
      </c>
      <c r="CA430" s="689">
        <v>100</v>
      </c>
      <c r="CB430" s="689">
        <v>100</v>
      </c>
      <c r="CC430" s="689">
        <v>100</v>
      </c>
      <c r="CD430" s="689">
        <f t="shared" si="114"/>
        <v>214.24000000000007</v>
      </c>
      <c r="DG430" s="608">
        <f t="shared" si="115"/>
        <v>1.1863013651494656</v>
      </c>
      <c r="DH430" s="1400" t="str">
        <f t="shared" si="116"/>
        <v>Cooling BUS 15 Year EUL</v>
      </c>
      <c r="DI430" s="445">
        <f>(INDEX('Avoided Cost Benefits'!$B$4:$B$865,MATCH(DH430,'Avoided Cost Benefits'!$A$4:$A$865,0)))*G430</f>
        <v>226.9235728812194</v>
      </c>
      <c r="DJ430" s="1173">
        <f>N430/(1.0686^(2025-2025))</f>
        <v>214.24000000000007</v>
      </c>
      <c r="DK430" s="1400" t="str">
        <f t="shared" si="117"/>
        <v>Heating BUS 15 Year EUL</v>
      </c>
      <c r="DL430" s="1181">
        <f>(INDEX('Avoided Cost Benefits'!$B$4:$B$865,MATCH(DK430,'Avoided Cost Benefits'!$A$4:$A$865,0)))*H430</f>
        <v>27.229631588402196</v>
      </c>
    </row>
    <row r="431" spans="1:116">
      <c r="B431" s="1454">
        <f t="shared" si="106"/>
        <v>803650</v>
      </c>
      <c r="C431" s="1637" t="s">
        <v>568</v>
      </c>
      <c r="D431" s="1639" t="s">
        <v>135</v>
      </c>
      <c r="E431" s="480" t="s">
        <v>569</v>
      </c>
      <c r="F431" s="58">
        <f t="shared" si="107"/>
        <v>204.57999999999998</v>
      </c>
      <c r="G431" s="58">
        <f>ROUND((F449*((1/I449)-(1/J449))*K449),2)</f>
        <v>168.14</v>
      </c>
      <c r="H431" s="418">
        <f t="shared" si="108"/>
        <v>36.44</v>
      </c>
      <c r="I431" s="463" t="s">
        <v>459</v>
      </c>
      <c r="J431" s="463" t="s">
        <v>460</v>
      </c>
      <c r="K431" s="464">
        <v>9.1068395835808389E-4</v>
      </c>
      <c r="L431" s="1480">
        <f t="shared" si="109"/>
        <v>0.15312200000000001</v>
      </c>
      <c r="M431" s="103">
        <v>15</v>
      </c>
      <c r="N431" s="2016">
        <f t="shared" si="110"/>
        <v>297.43999999999994</v>
      </c>
      <c r="O431" s="509" t="s">
        <v>559</v>
      </c>
      <c r="P431" s="519"/>
      <c r="Q431" s="519"/>
      <c r="V431" s="1414" t="str">
        <f>V430</f>
        <v>Total kWh Annual Savings</v>
      </c>
      <c r="W431" s="1944">
        <v>227.29649291790051</v>
      </c>
      <c r="X431" s="1944">
        <v>227.29649291790051</v>
      </c>
      <c r="Y431" s="1944">
        <v>227.29649291790051</v>
      </c>
      <c r="Z431" s="847"/>
      <c r="AA431" s="847">
        <v>393.13</v>
      </c>
      <c r="AB431" s="847">
        <v>393.13</v>
      </c>
      <c r="AC431" s="847">
        <v>393.13</v>
      </c>
      <c r="AD431" s="847">
        <v>393.13</v>
      </c>
      <c r="AE431" s="1945">
        <v>382.51</v>
      </c>
      <c r="AF431" s="271">
        <f t="shared" si="111"/>
        <v>204.57999999999998</v>
      </c>
      <c r="AG431" s="71"/>
      <c r="AH431"/>
      <c r="AI431" s="1414" t="str">
        <f>AI430</f>
        <v>Cooling kWh Annual Savings (per ton)</v>
      </c>
      <c r="AJ431" s="1944">
        <v>43.348198970840535</v>
      </c>
      <c r="AK431" s="1944">
        <v>43.348198970840535</v>
      </c>
      <c r="AL431" s="847">
        <v>43.348198970840535</v>
      </c>
      <c r="AM431" s="847">
        <v>43.348198970840535</v>
      </c>
      <c r="AN431" s="847">
        <v>127.93</v>
      </c>
      <c r="AO431" s="847">
        <v>127.93</v>
      </c>
      <c r="AP431" s="1946">
        <v>127.93</v>
      </c>
      <c r="AQ431" s="1946">
        <v>127.93</v>
      </c>
      <c r="AR431" s="1945">
        <v>117.31</v>
      </c>
      <c r="AS431" s="1922">
        <f t="shared" si="112"/>
        <v>168.14</v>
      </c>
      <c r="AT431"/>
      <c r="AU431" s="1414" t="str">
        <f>AU430</f>
        <v>Heating kWh Annual Savings (per ton)</v>
      </c>
      <c r="AV431" s="1916">
        <v>183.94829394705997</v>
      </c>
      <c r="AW431" s="1916">
        <v>183.94829394705997</v>
      </c>
      <c r="AX431" s="1916">
        <v>183.94829394705997</v>
      </c>
      <c r="AY431" s="1916">
        <v>183.94829394705997</v>
      </c>
      <c r="AZ431" s="1916">
        <v>265.2</v>
      </c>
      <c r="BA431" s="1916">
        <v>265.2</v>
      </c>
      <c r="BB431" s="1916">
        <v>265.2</v>
      </c>
      <c r="BC431" s="1916">
        <v>265.2</v>
      </c>
      <c r="BD431" s="1948">
        <v>265.2</v>
      </c>
      <c r="BE431" s="1947">
        <f t="shared" si="113"/>
        <v>36.44</v>
      </c>
      <c r="BF431"/>
      <c r="BG431" s="1414" t="s">
        <v>49</v>
      </c>
      <c r="BH431" s="671">
        <v>15</v>
      </c>
      <c r="BI431" s="671">
        <v>15</v>
      </c>
      <c r="BJ431" s="650">
        <v>15</v>
      </c>
      <c r="BK431" s="650">
        <v>15</v>
      </c>
      <c r="BL431" s="650">
        <v>15</v>
      </c>
      <c r="BM431" s="648">
        <v>15</v>
      </c>
      <c r="BN431" s="648">
        <v>15</v>
      </c>
      <c r="BO431" s="648">
        <v>15</v>
      </c>
      <c r="BP431" s="648">
        <v>15</v>
      </c>
      <c r="BQ431" s="648">
        <v>15</v>
      </c>
      <c r="BT431" s="1414" t="str">
        <f>BT430</f>
        <v>Inc. Cost     (per ton)</v>
      </c>
      <c r="BU431" s="672">
        <v>100</v>
      </c>
      <c r="BV431" s="672">
        <v>100</v>
      </c>
      <c r="BW431" s="672">
        <v>100</v>
      </c>
      <c r="BX431" s="672">
        <v>100</v>
      </c>
      <c r="BY431" s="672">
        <v>100</v>
      </c>
      <c r="BZ431" s="689">
        <v>100</v>
      </c>
      <c r="CA431" s="689">
        <v>100</v>
      </c>
      <c r="CB431" s="689">
        <v>100</v>
      </c>
      <c r="CC431" s="689">
        <v>100</v>
      </c>
      <c r="CD431" s="689">
        <f t="shared" si="114"/>
        <v>297.43999999999994</v>
      </c>
      <c r="DG431" s="608">
        <f t="shared" si="115"/>
        <v>1.1571090659381082</v>
      </c>
      <c r="DH431" s="1400" t="str">
        <f t="shared" si="116"/>
        <v>Cooling BUS 15 Year EUL</v>
      </c>
      <c r="DI431" s="445">
        <f>(INDEX('Avoided Cost Benefits'!$B$4:$B$865,MATCH(DH431,'Avoided Cost Benefits'!$A$4:$A$865,0)))*G431</f>
        <v>325.16558329851904</v>
      </c>
      <c r="DJ431" s="1173">
        <f>N431/(1.0686^(2025-2025))</f>
        <v>297.43999999999994</v>
      </c>
      <c r="DK431" s="1400" t="str">
        <f t="shared" si="117"/>
        <v>Heating BUS 15 Year EUL</v>
      </c>
      <c r="DL431" s="1181">
        <f>(INDEX('Avoided Cost Benefits'!$B$4:$B$865,MATCH(DK431,'Avoided Cost Benefits'!$A$4:$A$865,0)))*H431</f>
        <v>19.004937274111779</v>
      </c>
    </row>
    <row r="432" spans="1:116">
      <c r="B432" s="1454">
        <f t="shared" si="106"/>
        <v>803700</v>
      </c>
      <c r="C432" s="1637" t="s">
        <v>570</v>
      </c>
      <c r="D432" s="1639" t="s">
        <v>457</v>
      </c>
      <c r="E432" s="480" t="s">
        <v>571</v>
      </c>
      <c r="F432" s="58">
        <f t="shared" si="107"/>
        <v>386.41999999999996</v>
      </c>
      <c r="G432" s="58">
        <f>ROUND((F450*((1/I450)-(1/J450))*K450),2)</f>
        <v>327.64999999999998</v>
      </c>
      <c r="H432" s="418">
        <f t="shared" si="108"/>
        <v>58.77</v>
      </c>
      <c r="I432" s="463" t="s">
        <v>459</v>
      </c>
      <c r="J432" s="463" t="s">
        <v>460</v>
      </c>
      <c r="K432" s="464">
        <v>9.1068395835808389E-4</v>
      </c>
      <c r="L432" s="1480">
        <f t="shared" si="109"/>
        <v>0.29838599999999998</v>
      </c>
      <c r="M432" s="103">
        <v>15</v>
      </c>
      <c r="N432" s="2016">
        <f t="shared" si="110"/>
        <v>416</v>
      </c>
      <c r="O432" s="509" t="s">
        <v>559</v>
      </c>
      <c r="P432" s="519"/>
      <c r="Q432" s="519"/>
      <c r="V432" s="1414" t="str">
        <f>V431</f>
        <v>Total kWh Annual Savings</v>
      </c>
      <c r="W432" s="1944">
        <v>267.47488720030498</v>
      </c>
      <c r="X432" s="1944">
        <v>267.47488720030498</v>
      </c>
      <c r="Y432" s="1944">
        <v>267.47488720030498</v>
      </c>
      <c r="Z432" s="847"/>
      <c r="AA432" s="847">
        <v>411.45</v>
      </c>
      <c r="AB432" s="847">
        <v>411.45</v>
      </c>
      <c r="AC432" s="847">
        <v>411.45</v>
      </c>
      <c r="AD432" s="847">
        <v>411.45</v>
      </c>
      <c r="AE432" s="1945">
        <v>395.42999999999995</v>
      </c>
      <c r="AF432" s="271">
        <f t="shared" si="111"/>
        <v>386.41999999999996</v>
      </c>
      <c r="AG432" s="71"/>
      <c r="AH432"/>
      <c r="AI432" s="1414" t="str">
        <f>AI431</f>
        <v>Cooling kWh Annual Savings (per ton)</v>
      </c>
      <c r="AJ432" s="1944">
        <v>138.02979145978136</v>
      </c>
      <c r="AK432" s="1944">
        <v>138.02979145978136</v>
      </c>
      <c r="AL432" s="847">
        <v>138.02979145978136</v>
      </c>
      <c r="AM432" s="847">
        <v>138.02979145978136</v>
      </c>
      <c r="AN432" s="847">
        <v>146.25</v>
      </c>
      <c r="AO432" s="847">
        <v>146.25</v>
      </c>
      <c r="AP432" s="1946">
        <v>146.25</v>
      </c>
      <c r="AQ432" s="1946">
        <v>146.25</v>
      </c>
      <c r="AR432" s="1945">
        <v>130.22999999999999</v>
      </c>
      <c r="AS432" s="1922">
        <f t="shared" si="112"/>
        <v>327.64999999999998</v>
      </c>
      <c r="AT432"/>
      <c r="AU432" s="1414" t="str">
        <f>AU431</f>
        <v>Heating kWh Annual Savings (per ton)</v>
      </c>
      <c r="AV432" s="1916">
        <v>129.44509574052361</v>
      </c>
      <c r="AW432" s="1916">
        <v>129.44509574052361</v>
      </c>
      <c r="AX432" s="1916">
        <v>129.44509574052361</v>
      </c>
      <c r="AY432" s="1916">
        <v>129.44509574052361</v>
      </c>
      <c r="AZ432" s="1916">
        <v>265.2</v>
      </c>
      <c r="BA432" s="1916">
        <v>265.2</v>
      </c>
      <c r="BB432" s="1916">
        <v>265.2</v>
      </c>
      <c r="BC432" s="1916">
        <v>265.2</v>
      </c>
      <c r="BD432" s="1948">
        <v>265.2</v>
      </c>
      <c r="BE432" s="1947">
        <f t="shared" si="113"/>
        <v>58.77</v>
      </c>
      <c r="BF432"/>
      <c r="BG432" s="1414" t="s">
        <v>49</v>
      </c>
      <c r="BH432" s="671">
        <v>15</v>
      </c>
      <c r="BI432" s="671">
        <v>15</v>
      </c>
      <c r="BJ432" s="650">
        <v>15</v>
      </c>
      <c r="BK432" s="650">
        <v>15</v>
      </c>
      <c r="BL432" s="650">
        <v>15</v>
      </c>
      <c r="BM432" s="648">
        <v>15</v>
      </c>
      <c r="BN432" s="648">
        <v>15</v>
      </c>
      <c r="BO432" s="648">
        <v>15</v>
      </c>
      <c r="BP432" s="648">
        <v>15</v>
      </c>
      <c r="BQ432" s="648">
        <v>15</v>
      </c>
      <c r="BT432" s="1414" t="str">
        <f>BT431</f>
        <v>Inc. Cost     (per ton)</v>
      </c>
      <c r="BU432" s="672">
        <v>100</v>
      </c>
      <c r="BV432" s="672">
        <v>100</v>
      </c>
      <c r="BW432" s="672">
        <v>100</v>
      </c>
      <c r="BX432" s="672">
        <v>100</v>
      </c>
      <c r="BY432" s="672">
        <v>100</v>
      </c>
      <c r="BZ432" s="689">
        <v>100</v>
      </c>
      <c r="CA432" s="689">
        <v>100</v>
      </c>
      <c r="CB432" s="689">
        <v>100</v>
      </c>
      <c r="CC432" s="689">
        <v>100</v>
      </c>
      <c r="CD432" s="689">
        <f t="shared" si="114"/>
        <v>416</v>
      </c>
      <c r="DG432" s="608">
        <f t="shared" si="115"/>
        <v>1.5968571291906939</v>
      </c>
      <c r="DH432" s="1400" t="str">
        <f t="shared" si="116"/>
        <v>Cooling BUS 15 Year EUL</v>
      </c>
      <c r="DI432" s="445">
        <f>(INDEX('Avoided Cost Benefits'!$B$4:$B$865,MATCH(DH432,'Avoided Cost Benefits'!$A$4:$A$865,0)))*G432</f>
        <v>633.64162821315438</v>
      </c>
      <c r="DJ432" s="1173">
        <f>N432/(1.0686^(2025-2025))</f>
        <v>416</v>
      </c>
      <c r="DK432" s="1400" t="str">
        <f t="shared" si="117"/>
        <v>Heating BUS 15 Year EUL</v>
      </c>
      <c r="DL432" s="1181">
        <f>(INDEX('Avoided Cost Benefits'!$B$4:$B$865,MATCH(DK432,'Avoided Cost Benefits'!$A$4:$A$865,0)))*H432</f>
        <v>30.650937530174239</v>
      </c>
    </row>
    <row r="433" spans="1:118">
      <c r="B433" s="1454">
        <f>VALUE(LEFT(C433,6))</f>
        <v>803750</v>
      </c>
      <c r="C433" s="1637" t="s">
        <v>572</v>
      </c>
      <c r="D433" s="1639" t="s">
        <v>457</v>
      </c>
      <c r="E433" s="480" t="s">
        <v>573</v>
      </c>
      <c r="F433" s="58">
        <f t="shared" si="107"/>
        <v>223.37</v>
      </c>
      <c r="G433" s="58">
        <f>ROUND((F451*((1/I451)-(1/J451))*K451),2)</f>
        <v>158.13999999999999</v>
      </c>
      <c r="H433" s="418">
        <f>ROUND((P451*((1/N451)-(1/O451))*Q451),2)</f>
        <v>65.23</v>
      </c>
      <c r="I433" s="463" t="s">
        <v>459</v>
      </c>
      <c r="J433" s="463" t="s">
        <v>460</v>
      </c>
      <c r="K433" s="464">
        <v>9.1068395835808389E-4</v>
      </c>
      <c r="L433" s="1480">
        <f t="shared" si="109"/>
        <v>0.14401600000000001</v>
      </c>
      <c r="M433" s="103">
        <v>15</v>
      </c>
      <c r="N433" s="2016">
        <f t="shared" si="110"/>
        <v>280.80000000000013</v>
      </c>
      <c r="O433" s="509" t="s">
        <v>559</v>
      </c>
      <c r="P433" s="519"/>
      <c r="Q433" s="519"/>
      <c r="V433" s="1445" t="str">
        <f>V432</f>
        <v>Total kWh Annual Savings</v>
      </c>
      <c r="W433" s="1944">
        <v>131.37662337662331</v>
      </c>
      <c r="X433" s="1944">
        <v>131.37662337662331</v>
      </c>
      <c r="Y433" s="1944">
        <v>131.37662337662331</v>
      </c>
      <c r="Z433" s="847"/>
      <c r="AA433" s="847">
        <v>329.25</v>
      </c>
      <c r="AB433" s="847">
        <v>329.25</v>
      </c>
      <c r="AC433" s="847">
        <v>329.25</v>
      </c>
      <c r="AD433" s="847">
        <v>329.25</v>
      </c>
      <c r="AE433" s="1945">
        <v>219.74</v>
      </c>
      <c r="AF433" s="271">
        <f t="shared" si="111"/>
        <v>223.37</v>
      </c>
      <c r="AG433" s="71"/>
      <c r="AH433"/>
      <c r="AI433" s="1414" t="str">
        <f>AI432</f>
        <v>Cooling kWh Annual Savings (per ton)</v>
      </c>
      <c r="AJ433" s="1944">
        <v>69.42857142857153</v>
      </c>
      <c r="AK433" s="1944">
        <v>69.42857142857153</v>
      </c>
      <c r="AL433" s="847">
        <v>69.42857142857153</v>
      </c>
      <c r="AM433" s="847">
        <v>69.42857142857153</v>
      </c>
      <c r="AN433" s="847">
        <v>106.52</v>
      </c>
      <c r="AO433" s="847">
        <v>106.52</v>
      </c>
      <c r="AP433" s="1946">
        <v>106.52</v>
      </c>
      <c r="AQ433" s="1946">
        <v>106.52</v>
      </c>
      <c r="AR433" s="1945">
        <v>97.73</v>
      </c>
      <c r="AS433" s="1922">
        <f t="shared" si="112"/>
        <v>158.13999999999999</v>
      </c>
      <c r="AT433"/>
      <c r="AU433" s="1414" t="str">
        <f>AU432</f>
        <v>Heating kWh Annual Savings (per ton)</v>
      </c>
      <c r="AV433" s="1916">
        <v>61.948051948051791</v>
      </c>
      <c r="AW433" s="1916">
        <v>61.948051948051791</v>
      </c>
      <c r="AX433" s="1916">
        <v>61.948051948051791</v>
      </c>
      <c r="AY433" s="1916">
        <v>61.948051948051791</v>
      </c>
      <c r="AZ433" s="1916">
        <v>222.73</v>
      </c>
      <c r="BA433" s="1916">
        <v>222.73</v>
      </c>
      <c r="BB433" s="1916">
        <v>222.73</v>
      </c>
      <c r="BC433" s="1916">
        <v>222.73</v>
      </c>
      <c r="BD433" s="1948">
        <v>122.01</v>
      </c>
      <c r="BE433" s="1947">
        <f t="shared" si="113"/>
        <v>65.23</v>
      </c>
      <c r="BF433"/>
      <c r="BG433" s="1414" t="s">
        <v>49</v>
      </c>
      <c r="BH433" s="671">
        <v>15</v>
      </c>
      <c r="BI433" s="671">
        <v>15</v>
      </c>
      <c r="BJ433" s="650">
        <v>15</v>
      </c>
      <c r="BK433" s="650">
        <v>15</v>
      </c>
      <c r="BL433" s="650">
        <v>15</v>
      </c>
      <c r="BM433" s="648">
        <v>15</v>
      </c>
      <c r="BN433" s="648">
        <v>15</v>
      </c>
      <c r="BO433" s="648">
        <v>15</v>
      </c>
      <c r="BP433" s="648">
        <v>15</v>
      </c>
      <c r="BQ433" s="648">
        <v>15</v>
      </c>
      <c r="BT433" s="1414" t="str">
        <f>BT432</f>
        <v>Inc. Cost     (per ton)</v>
      </c>
      <c r="BU433" s="672">
        <v>100</v>
      </c>
      <c r="BV433" s="672">
        <v>100</v>
      </c>
      <c r="BW433" s="672">
        <v>100</v>
      </c>
      <c r="BX433" s="672">
        <v>100</v>
      </c>
      <c r="BY433" s="672">
        <v>100</v>
      </c>
      <c r="BZ433" s="689">
        <v>100</v>
      </c>
      <c r="CA433" s="689">
        <v>100</v>
      </c>
      <c r="CB433" s="689">
        <v>100</v>
      </c>
      <c r="CC433" s="689">
        <v>100</v>
      </c>
      <c r="CD433" s="689">
        <f t="shared" si="114"/>
        <v>280.80000000000013</v>
      </c>
      <c r="DG433" s="608">
        <f t="shared" si="115"/>
        <v>1.2102802503129362</v>
      </c>
      <c r="DH433" s="1400" t="str">
        <f t="shared" si="116"/>
        <v>Cooling BUS 15 Year EUL</v>
      </c>
      <c r="DI433" s="445">
        <f>(INDEX('Avoided Cost Benefits'!$B$4:$B$865,MATCH(DH433,'Avoided Cost Benefits'!$A$4:$A$865,0)))*G433</f>
        <v>305.82660486991676</v>
      </c>
      <c r="DJ433" s="1173">
        <f>N433/(1.0686^(2025-2025))</f>
        <v>280.80000000000013</v>
      </c>
      <c r="DK433" s="1400" t="str">
        <f t="shared" si="117"/>
        <v>Heating BUS 15 Year EUL</v>
      </c>
      <c r="DL433" s="1181">
        <f>(INDEX('Avoided Cost Benefits'!$B$4:$B$865,MATCH(DK433,'Avoided Cost Benefits'!$A$4:$A$865,0)))*H433</f>
        <v>34.020089417955859</v>
      </c>
    </row>
    <row r="434" spans="1:118" outlineLevel="1">
      <c r="D434" s="77" t="s">
        <v>118</v>
      </c>
      <c r="E434" s="1591" t="s">
        <v>574</v>
      </c>
      <c r="F434" s="8"/>
      <c r="G434" s="8"/>
      <c r="H434" s="471"/>
      <c r="I434" s="8"/>
      <c r="J434" s="8"/>
      <c r="K434" s="8"/>
      <c r="M434" s="519"/>
      <c r="N434" s="519"/>
      <c r="O434" s="519"/>
      <c r="P434" s="519"/>
      <c r="AT434"/>
      <c r="AV434" s="1937"/>
      <c r="AW434" s="1937"/>
      <c r="AX434" s="1937"/>
      <c r="AY434" s="1937"/>
      <c r="AZ434" s="1937"/>
      <c r="BA434" s="1937"/>
      <c r="BB434" s="1937"/>
      <c r="BC434" s="1937"/>
      <c r="BD434" s="1937"/>
      <c r="BE434" s="1937"/>
      <c r="BF434"/>
    </row>
    <row r="435" spans="1:118" outlineLevel="1">
      <c r="D435" s="8" t="s">
        <v>120</v>
      </c>
      <c r="E435" s="66"/>
      <c r="F435" s="8"/>
      <c r="G435" s="8"/>
      <c r="H435" s="471"/>
      <c r="I435" s="8"/>
      <c r="J435" s="8"/>
      <c r="K435" s="66"/>
      <c r="M435" s="519"/>
      <c r="N435" s="519"/>
      <c r="O435" s="519"/>
      <c r="P435" s="519"/>
      <c r="AT435"/>
      <c r="AV435" s="1937"/>
      <c r="AW435" s="1937"/>
      <c r="AX435" s="1937"/>
      <c r="AY435" s="1937"/>
      <c r="AZ435" s="1937"/>
      <c r="BA435" s="1937"/>
      <c r="BB435" s="1937"/>
      <c r="BC435" s="1937"/>
      <c r="BD435" s="1937"/>
      <c r="BE435" s="1937"/>
      <c r="BF435"/>
    </row>
    <row r="436" spans="1:118" outlineLevel="1">
      <c r="E436" s="66"/>
      <c r="F436" s="498" t="s">
        <v>537</v>
      </c>
      <c r="G436" s="265"/>
      <c r="H436" s="473"/>
      <c r="J436" s="498" t="s">
        <v>575</v>
      </c>
      <c r="AT436"/>
      <c r="AV436" s="1937"/>
      <c r="AW436" s="1937"/>
      <c r="AX436" s="1937"/>
      <c r="AY436" s="1937"/>
      <c r="AZ436" s="1937"/>
      <c r="BA436" s="1937"/>
      <c r="BB436" s="1937"/>
      <c r="BC436" s="1937"/>
      <c r="BD436" s="1937"/>
      <c r="BE436" s="1937"/>
      <c r="BF436"/>
    </row>
    <row r="437" spans="1:118" outlineLevel="1">
      <c r="D437" s="472"/>
      <c r="G437" s="265"/>
      <c r="H437" s="473"/>
    </row>
    <row r="438" spans="1:118" outlineLevel="1">
      <c r="D438" s="472"/>
      <c r="G438" s="265"/>
      <c r="H438" s="473"/>
      <c r="M438" s="8"/>
    </row>
    <row r="439" spans="1:118" outlineLevel="1">
      <c r="D439" s="472"/>
      <c r="G439" s="265"/>
      <c r="H439" s="473"/>
      <c r="M439" s="8"/>
    </row>
    <row r="440" spans="1:118" outlineLevel="1">
      <c r="D440" s="472"/>
      <c r="G440" s="265"/>
      <c r="H440" s="473"/>
      <c r="M440" s="8"/>
    </row>
    <row r="441" spans="1:118" outlineLevel="1">
      <c r="D441" s="472"/>
      <c r="G441" s="265"/>
      <c r="H441" s="473"/>
    </row>
    <row r="442" spans="1:118" outlineLevel="1">
      <c r="D442" s="472"/>
      <c r="G442" s="1160" t="s">
        <v>539</v>
      </c>
      <c r="H442" s="473"/>
      <c r="I442" s="1160" t="s">
        <v>539</v>
      </c>
    </row>
    <row r="443" spans="1:118" s="9" customFormat="1" ht="30" outlineLevel="1">
      <c r="A443" s="2"/>
      <c r="C443" s="66"/>
      <c r="D443" s="1365" t="s">
        <v>42</v>
      </c>
      <c r="E443" s="1365" t="s">
        <v>275</v>
      </c>
      <c r="F443" s="32" t="s">
        <v>540</v>
      </c>
      <c r="G443" s="1365" t="s">
        <v>576</v>
      </c>
      <c r="H443" s="1365" t="s">
        <v>577</v>
      </c>
      <c r="I443" s="1365" t="s">
        <v>578</v>
      </c>
      <c r="J443" s="1360" t="s">
        <v>542</v>
      </c>
      <c r="K443" s="1360" t="s">
        <v>469</v>
      </c>
      <c r="L443" s="1360" t="s">
        <v>579</v>
      </c>
      <c r="M443" s="1360" t="s">
        <v>580</v>
      </c>
      <c r="N443" s="1360" t="s">
        <v>581</v>
      </c>
      <c r="O443" s="1360" t="s">
        <v>582</v>
      </c>
      <c r="P443" s="32" t="s">
        <v>583</v>
      </c>
      <c r="Q443" s="1360" t="s">
        <v>584</v>
      </c>
      <c r="R443" s="1950" t="s">
        <v>544</v>
      </c>
      <c r="S443" s="265" t="s">
        <v>204</v>
      </c>
      <c r="U443" s="122"/>
      <c r="V443" s="668" t="s">
        <v>52</v>
      </c>
      <c r="W443" s="669">
        <f>$W$8</f>
        <v>43252</v>
      </c>
      <c r="X443" s="669">
        <f>$X$8</f>
        <v>43465</v>
      </c>
      <c r="Y443" s="669">
        <f>$Y$8</f>
        <v>43800</v>
      </c>
      <c r="Z443" s="669">
        <f>$Z$8</f>
        <v>43862</v>
      </c>
      <c r="AA443" s="669">
        <f>$AA$8</f>
        <v>44013</v>
      </c>
      <c r="AB443" s="669">
        <v>44166</v>
      </c>
      <c r="AC443" s="669">
        <f>$AC$8</f>
        <v>44531</v>
      </c>
      <c r="AD443" s="669">
        <f>$AD$8</f>
        <v>44774</v>
      </c>
      <c r="AE443" s="669">
        <f>$AE$8</f>
        <v>45142</v>
      </c>
      <c r="AF443" s="669">
        <f>$AF$8</f>
        <v>45672</v>
      </c>
      <c r="AG443" s="669" t="str">
        <f>$AG$8</f>
        <v>-</v>
      </c>
      <c r="AH443"/>
      <c r="AI443" s="668" t="s">
        <v>52</v>
      </c>
      <c r="AJ443" s="669">
        <v>43252</v>
      </c>
      <c r="AK443" s="669">
        <f>$X$8</f>
        <v>43465</v>
      </c>
      <c r="AL443" s="669">
        <f>$Y$8</f>
        <v>43800</v>
      </c>
      <c r="AM443" s="669">
        <f>$Z$8</f>
        <v>43862</v>
      </c>
      <c r="AN443" s="669">
        <f>$AA$8</f>
        <v>44013</v>
      </c>
      <c r="AO443" s="669">
        <v>44166</v>
      </c>
      <c r="AP443" s="669">
        <f>$AC$8</f>
        <v>44531</v>
      </c>
      <c r="AQ443" s="669">
        <f>$AD$8</f>
        <v>44774</v>
      </c>
      <c r="AR443" s="669">
        <f>$AE$8</f>
        <v>45142</v>
      </c>
      <c r="AS443" s="669">
        <f>$AF$8</f>
        <v>45672</v>
      </c>
      <c r="AT443"/>
      <c r="AU443" s="668" t="s">
        <v>52</v>
      </c>
      <c r="AV443" s="669">
        <v>43252</v>
      </c>
      <c r="AW443" s="669">
        <f>$X$8</f>
        <v>43465</v>
      </c>
      <c r="AX443" s="669">
        <f>$Y$8</f>
        <v>43800</v>
      </c>
      <c r="AY443" s="669">
        <f>$Z$8</f>
        <v>43862</v>
      </c>
      <c r="AZ443" s="669">
        <f>$AA$8</f>
        <v>44013</v>
      </c>
      <c r="BA443" s="669">
        <v>44166</v>
      </c>
      <c r="BB443" s="669">
        <f>$AC$8</f>
        <v>44531</v>
      </c>
      <c r="BC443" s="669">
        <f>$AD$8</f>
        <v>44774</v>
      </c>
      <c r="BD443" s="669">
        <f>$AE$8</f>
        <v>45142</v>
      </c>
      <c r="BE443" s="669">
        <f>$AF$8</f>
        <v>45672</v>
      </c>
      <c r="BF443"/>
      <c r="BG443" s="668" t="s">
        <v>52</v>
      </c>
      <c r="BH443" s="669">
        <v>43252</v>
      </c>
      <c r="BI443" s="669">
        <f>$X$8</f>
        <v>43465</v>
      </c>
      <c r="BJ443" s="669">
        <f>$Y$8</f>
        <v>43800</v>
      </c>
      <c r="BK443" s="669">
        <f>$Z$8</f>
        <v>43862</v>
      </c>
      <c r="BL443" s="669">
        <f>$AA$8</f>
        <v>44013</v>
      </c>
      <c r="BM443" s="669">
        <v>44166</v>
      </c>
      <c r="BN443" s="669">
        <f>$AC$8</f>
        <v>44531</v>
      </c>
      <c r="BO443" s="669">
        <f>$AD$8</f>
        <v>44774</v>
      </c>
      <c r="BP443" s="669">
        <f>$AE$8</f>
        <v>45142</v>
      </c>
      <c r="BQ443" s="669">
        <f>$AF$8</f>
        <v>45672</v>
      </c>
      <c r="BR443" s="2"/>
      <c r="BS443" s="2"/>
      <c r="BT443" s="668" t="s">
        <v>52</v>
      </c>
      <c r="BU443" s="669">
        <v>43252</v>
      </c>
      <c r="BV443" s="669">
        <f>$X$8</f>
        <v>43465</v>
      </c>
      <c r="BW443" s="669">
        <f>$Y$8</f>
        <v>43800</v>
      </c>
      <c r="BX443" s="669">
        <f>$Z$8</f>
        <v>43862</v>
      </c>
      <c r="BY443" s="669">
        <f>$AA$8</f>
        <v>44013</v>
      </c>
      <c r="BZ443" s="669">
        <v>44166</v>
      </c>
      <c r="CA443" s="669">
        <f>$AC$8</f>
        <v>44531</v>
      </c>
      <c r="CB443" s="669">
        <f>$AD$8</f>
        <v>44774</v>
      </c>
      <c r="CC443" s="669">
        <f>$AE$8</f>
        <v>45142</v>
      </c>
      <c r="CD443" s="669">
        <f>$AF$8</f>
        <v>45672</v>
      </c>
      <c r="CF443" s="668" t="s">
        <v>52</v>
      </c>
      <c r="CG443" s="669">
        <v>43252</v>
      </c>
      <c r="CH443" s="669">
        <f>$X$8</f>
        <v>43465</v>
      </c>
      <c r="CI443" s="669">
        <f>$Y$8</f>
        <v>43800</v>
      </c>
      <c r="CJ443" s="669">
        <f>$Z$8</f>
        <v>43862</v>
      </c>
      <c r="CK443" s="669">
        <f>$AA$8</f>
        <v>44013</v>
      </c>
      <c r="CL443" s="669">
        <v>44166</v>
      </c>
      <c r="CM443" s="669">
        <f>$AC$8</f>
        <v>44531</v>
      </c>
      <c r="CN443" s="669">
        <f>$AD$8</f>
        <v>44774</v>
      </c>
      <c r="CO443" s="669">
        <f>$AE$8</f>
        <v>45142</v>
      </c>
      <c r="CP443" s="669">
        <f>$AF$8</f>
        <v>45672</v>
      </c>
      <c r="CR443" s="668" t="s">
        <v>52</v>
      </c>
      <c r="CS443" s="669">
        <v>43252</v>
      </c>
      <c r="CT443" s="669">
        <f>$X$8</f>
        <v>43465</v>
      </c>
      <c r="CU443" s="669">
        <f>$Y$8</f>
        <v>43800</v>
      </c>
      <c r="CV443" s="669">
        <f>$Z$8</f>
        <v>43862</v>
      </c>
      <c r="CW443" s="669">
        <f>$AA$8</f>
        <v>44013</v>
      </c>
      <c r="CX443" s="669">
        <v>44166</v>
      </c>
      <c r="CY443" s="669">
        <f>$AC$8</f>
        <v>44531</v>
      </c>
      <c r="CZ443" s="669">
        <f>$AD$8</f>
        <v>44774</v>
      </c>
      <c r="DA443" s="669">
        <f>$AE$8</f>
        <v>45142</v>
      </c>
      <c r="DB443" s="669">
        <f>$AF$8</f>
        <v>45672</v>
      </c>
      <c r="DD443" s="668" t="s">
        <v>52</v>
      </c>
      <c r="DE443" s="669">
        <v>43252</v>
      </c>
      <c r="DF443" s="669">
        <f>$X$8</f>
        <v>43465</v>
      </c>
      <c r="DG443" s="669">
        <f>$Y$8</f>
        <v>43800</v>
      </c>
      <c r="DH443" s="669">
        <f>$Z$8</f>
        <v>43862</v>
      </c>
      <c r="DI443" s="669">
        <f>$AA$8</f>
        <v>44013</v>
      </c>
      <c r="DJ443" s="669">
        <v>44166</v>
      </c>
      <c r="DK443" s="669">
        <f>$AC$8</f>
        <v>44531</v>
      </c>
      <c r="DL443" s="669">
        <f>$AD$8</f>
        <v>44774</v>
      </c>
      <c r="DM443" s="669">
        <f>$AE$8</f>
        <v>45142</v>
      </c>
      <c r="DN443" s="669">
        <f>$AF$8</f>
        <v>45672</v>
      </c>
    </row>
    <row r="444" spans="1:118" outlineLevel="1">
      <c r="C444" s="66"/>
      <c r="D444" s="679" t="str">
        <f>C426</f>
        <v>803500_2024_12_</v>
      </c>
      <c r="E444" s="679" t="str">
        <f>E426</f>
        <v xml:space="preserve">GSHP  </v>
      </c>
      <c r="F444" s="494">
        <v>12</v>
      </c>
      <c r="G444" s="2055">
        <v>12.1</v>
      </c>
      <c r="H444" s="2053">
        <v>20.6</v>
      </c>
      <c r="I444" s="2053"/>
      <c r="J444" s="2053" t="s">
        <v>204</v>
      </c>
      <c r="K444" s="2030">
        <v>1053</v>
      </c>
      <c r="L444" s="2055">
        <f>12.1/3.412</f>
        <v>3.5463071512309496</v>
      </c>
      <c r="M444" s="2054">
        <v>3.9</v>
      </c>
      <c r="N444" s="2055">
        <f t="shared" ref="N444:N451" si="118">L444*3.412</f>
        <v>12.1</v>
      </c>
      <c r="O444" s="2054">
        <f>M444*3.412</f>
        <v>13.306799999999999</v>
      </c>
      <c r="P444" s="492">
        <v>12</v>
      </c>
      <c r="Q444" s="2030">
        <v>1060</v>
      </c>
      <c r="R444" s="2054">
        <v>4</v>
      </c>
      <c r="S444" s="265" t="s">
        <v>585</v>
      </c>
      <c r="V444" s="1414" t="s">
        <v>576</v>
      </c>
      <c r="W444" s="890">
        <v>16.3</v>
      </c>
      <c r="X444" s="890">
        <v>16.3</v>
      </c>
      <c r="Y444" s="890">
        <v>16.3</v>
      </c>
      <c r="Z444" s="890">
        <v>16.3</v>
      </c>
      <c r="AA444" s="890">
        <v>16.3</v>
      </c>
      <c r="AB444" s="890">
        <v>16.3</v>
      </c>
      <c r="AC444" s="890">
        <v>16.3</v>
      </c>
      <c r="AD444" s="890">
        <v>16.3</v>
      </c>
      <c r="AE444" s="890">
        <v>16.3</v>
      </c>
      <c r="AF444" s="58">
        <v>12.1</v>
      </c>
      <c r="AG444" s="71"/>
      <c r="AH444"/>
      <c r="AI444" s="1414" t="s">
        <v>577</v>
      </c>
      <c r="AJ444" s="1944">
        <v>17</v>
      </c>
      <c r="AK444" s="1944">
        <v>17</v>
      </c>
      <c r="AL444" s="847">
        <v>17</v>
      </c>
      <c r="AM444" s="847">
        <v>17</v>
      </c>
      <c r="AN444" s="847">
        <v>17</v>
      </c>
      <c r="AO444" s="847">
        <v>17</v>
      </c>
      <c r="AP444" s="1946">
        <v>17</v>
      </c>
      <c r="AQ444" s="1946">
        <v>17</v>
      </c>
      <c r="AR444" s="1945">
        <v>17</v>
      </c>
      <c r="AS444" s="58">
        <v>20.6</v>
      </c>
      <c r="AT444"/>
      <c r="AU444" s="1414" t="s">
        <v>586</v>
      </c>
      <c r="AV444" s="1916"/>
      <c r="AW444" s="1916"/>
      <c r="AX444" s="1916"/>
      <c r="AY444" s="1916"/>
      <c r="AZ444" s="1916"/>
      <c r="BA444" s="1916"/>
      <c r="BB444" s="1916"/>
      <c r="BC444" s="1916"/>
      <c r="BD444" s="1948"/>
      <c r="BE444" s="1947"/>
      <c r="BF444"/>
      <c r="BG444" s="1414" t="s">
        <v>546</v>
      </c>
      <c r="BH444" s="1482"/>
      <c r="BI444" s="1482"/>
      <c r="BJ444" s="17"/>
      <c r="BK444" s="17"/>
      <c r="BL444" s="17"/>
      <c r="BM444" s="17"/>
      <c r="BN444" s="17"/>
      <c r="BO444" s="17"/>
      <c r="BP444" s="17"/>
      <c r="BQ444" s="17"/>
      <c r="BT444" s="1414" t="s">
        <v>579</v>
      </c>
      <c r="BU444" s="3924">
        <v>3.1</v>
      </c>
      <c r="BV444" s="3924">
        <v>3.1</v>
      </c>
      <c r="BW444" s="3924">
        <v>3.1</v>
      </c>
      <c r="BX444" s="3924">
        <v>3.1</v>
      </c>
      <c r="BY444" s="3924">
        <v>3.1</v>
      </c>
      <c r="BZ444" s="3924">
        <v>3.1</v>
      </c>
      <c r="CA444" s="3924">
        <v>3.1</v>
      </c>
      <c r="CB444" s="3924">
        <v>3.1</v>
      </c>
      <c r="CC444" s="3924">
        <v>3.1</v>
      </c>
      <c r="CD444" s="1988">
        <v>3.5463071512309496</v>
      </c>
      <c r="CF444" s="1414" t="s">
        <v>580</v>
      </c>
      <c r="CG444" s="3925">
        <v>3.7</v>
      </c>
      <c r="CH444" s="3925">
        <v>3.7</v>
      </c>
      <c r="CI444" s="3925">
        <v>3.7</v>
      </c>
      <c r="CJ444" s="3925">
        <v>3.7</v>
      </c>
      <c r="CK444" s="3925">
        <v>3.7</v>
      </c>
      <c r="CL444" s="3925">
        <v>3.7</v>
      </c>
      <c r="CM444" s="3925">
        <v>3.7</v>
      </c>
      <c r="CN444" s="3925">
        <v>3.7</v>
      </c>
      <c r="CO444" s="3925">
        <v>3.7</v>
      </c>
      <c r="CP444" s="1991">
        <v>3.9</v>
      </c>
      <c r="CR444" s="1414" t="s">
        <v>581</v>
      </c>
      <c r="CS444" s="3925"/>
      <c r="CT444" s="3925"/>
      <c r="CU444" s="3925"/>
      <c r="CV444" s="3925"/>
      <c r="CW444" s="3925"/>
      <c r="CX444" s="3925"/>
      <c r="CY444" s="3925"/>
      <c r="CZ444" s="3925"/>
      <c r="DA444" s="3925"/>
      <c r="DB444" s="1991">
        <v>12.1</v>
      </c>
      <c r="DD444" s="1414" t="s">
        <v>582</v>
      </c>
      <c r="DE444" s="3925"/>
      <c r="DF444" s="3925"/>
      <c r="DG444" s="3925"/>
      <c r="DH444" s="3925"/>
      <c r="DI444" s="3925"/>
      <c r="DJ444" s="3925"/>
      <c r="DK444" s="3925"/>
      <c r="DL444" s="3925"/>
      <c r="DM444" s="3925"/>
      <c r="DN444" s="1991">
        <v>13.306799999999999</v>
      </c>
    </row>
    <row r="445" spans="1:118" outlineLevel="1">
      <c r="C445" s="66"/>
      <c r="D445" s="1041" t="str">
        <f t="shared" ref="D445:D446" si="119">C427</f>
        <v>803570_2024_12_</v>
      </c>
      <c r="E445" s="1041" t="str">
        <f>E427</f>
        <v>WSHP &lt;17 kBTUh per ton</v>
      </c>
      <c r="F445" s="1984">
        <v>12</v>
      </c>
      <c r="G445" s="2055">
        <v>12.2</v>
      </c>
      <c r="H445" s="2053">
        <v>16.149999999999999</v>
      </c>
      <c r="I445" s="2053"/>
      <c r="J445" s="2053"/>
      <c r="K445" s="2031">
        <v>1053</v>
      </c>
      <c r="L445" s="2055">
        <v>4.3</v>
      </c>
      <c r="M445" s="2054">
        <v>4.5</v>
      </c>
      <c r="N445" s="2055"/>
      <c r="O445" s="2054"/>
      <c r="P445" s="1985">
        <v>12</v>
      </c>
      <c r="Q445" s="2031">
        <v>1060</v>
      </c>
      <c r="R445" s="2054">
        <v>2</v>
      </c>
      <c r="V445" s="1414" t="s">
        <v>576</v>
      </c>
      <c r="W445" s="890"/>
      <c r="X445" s="890"/>
      <c r="Y445" s="890"/>
      <c r="Z445" s="648"/>
      <c r="AA445" s="648"/>
      <c r="AB445" s="648"/>
      <c r="AC445" s="648"/>
      <c r="AD445" s="648"/>
      <c r="AE445" s="1940"/>
      <c r="AF445" s="58">
        <v>12.2</v>
      </c>
      <c r="AG445" s="71"/>
      <c r="AH445"/>
      <c r="AI445" s="1414" t="s">
        <v>577</v>
      </c>
      <c r="AJ445" s="1944">
        <v>19</v>
      </c>
      <c r="AK445" s="1944">
        <v>19</v>
      </c>
      <c r="AL445" s="847">
        <v>19</v>
      </c>
      <c r="AM445" s="847">
        <v>19</v>
      </c>
      <c r="AN445" s="847">
        <v>19</v>
      </c>
      <c r="AO445" s="847">
        <v>19</v>
      </c>
      <c r="AP445" s="1946">
        <v>19</v>
      </c>
      <c r="AQ445" s="1946">
        <v>19</v>
      </c>
      <c r="AR445" s="1945">
        <v>19</v>
      </c>
      <c r="AS445" s="58">
        <v>16.149999999999999</v>
      </c>
      <c r="AT445"/>
      <c r="AU445" s="1414" t="s">
        <v>586</v>
      </c>
      <c r="AV445" s="1916"/>
      <c r="AW445" s="1916"/>
      <c r="AX445" s="1916"/>
      <c r="AY445" s="1916"/>
      <c r="AZ445" s="1916"/>
      <c r="BA445" s="1916"/>
      <c r="BB445" s="1916"/>
      <c r="BC445" s="1916"/>
      <c r="BD445" s="1948"/>
      <c r="BE445" s="1947"/>
      <c r="BF445"/>
      <c r="BG445" s="1414" t="s">
        <v>546</v>
      </c>
      <c r="BH445" s="1482"/>
      <c r="BI445" s="1482"/>
      <c r="BJ445" s="17"/>
      <c r="BK445" s="17"/>
      <c r="BL445" s="17"/>
      <c r="BM445" s="17"/>
      <c r="BN445" s="17"/>
      <c r="BO445" s="17"/>
      <c r="BP445" s="17"/>
      <c r="BQ445" s="17"/>
      <c r="BT445" s="1414" t="s">
        <v>579</v>
      </c>
      <c r="BU445" s="1987"/>
      <c r="BV445" s="1987"/>
      <c r="BW445" s="1987"/>
      <c r="BX445" s="1987"/>
      <c r="BY445" s="1987"/>
      <c r="BZ445" s="1987"/>
      <c r="CA445" s="1987"/>
      <c r="CB445" s="1987"/>
      <c r="CC445" s="1987"/>
      <c r="CD445" s="1988">
        <v>4.3</v>
      </c>
      <c r="CF445" s="1414" t="s">
        <v>580</v>
      </c>
      <c r="CG445" s="1989"/>
      <c r="CH445" s="1989"/>
      <c r="CI445" s="1989"/>
      <c r="CJ445" s="1989"/>
      <c r="CK445" s="1989"/>
      <c r="CL445" s="1990"/>
      <c r="CM445" s="1990"/>
      <c r="CN445" s="1990"/>
      <c r="CO445" s="1990"/>
      <c r="CP445" s="1991">
        <v>4.5</v>
      </c>
      <c r="CR445" s="1414" t="s">
        <v>581</v>
      </c>
      <c r="CS445" s="1989"/>
      <c r="CT445" s="1989"/>
      <c r="CU445" s="1989"/>
      <c r="CV445" s="1989"/>
      <c r="CW445" s="1989"/>
      <c r="CX445" s="1990"/>
      <c r="CY445" s="1990"/>
      <c r="CZ445" s="1990"/>
      <c r="DA445" s="1990"/>
      <c r="DB445" s="1991"/>
      <c r="DD445" s="1414" t="s">
        <v>582</v>
      </c>
      <c r="DE445" s="1989"/>
      <c r="DF445" s="1989"/>
      <c r="DG445" s="1989"/>
      <c r="DH445" s="1989"/>
      <c r="DI445" s="1989"/>
      <c r="DJ445" s="1990"/>
      <c r="DK445" s="1990"/>
      <c r="DL445" s="1990"/>
      <c r="DM445" s="1990"/>
      <c r="DN445" s="1991"/>
    </row>
    <row r="446" spans="1:118" outlineLevel="1">
      <c r="C446" s="66"/>
      <c r="D446" s="1041" t="str">
        <f t="shared" si="119"/>
        <v>803575_2024_12_</v>
      </c>
      <c r="E446" s="1041" t="str">
        <f t="shared" ref="E446:E451" si="120">E428</f>
        <v>WSHP ≥17 kBTUh and &lt;65 kBTUh per ton</v>
      </c>
      <c r="F446" s="1984">
        <v>12</v>
      </c>
      <c r="G446" s="2055">
        <v>13</v>
      </c>
      <c r="H446" s="2053">
        <v>16.149999999999999</v>
      </c>
      <c r="I446" s="2053"/>
      <c r="J446" s="2053"/>
      <c r="K446" s="2031">
        <v>1053</v>
      </c>
      <c r="L446" s="2055">
        <v>4.3</v>
      </c>
      <c r="M446" s="2054">
        <v>4.5</v>
      </c>
      <c r="N446" s="2055"/>
      <c r="O446" s="2054"/>
      <c r="P446" s="1985">
        <v>12</v>
      </c>
      <c r="Q446" s="2031">
        <v>1060</v>
      </c>
      <c r="R446" s="2054">
        <v>2</v>
      </c>
      <c r="V446" s="1414" t="s">
        <v>576</v>
      </c>
      <c r="W446" s="890"/>
      <c r="X446" s="890"/>
      <c r="Y446" s="890"/>
      <c r="Z446" s="648"/>
      <c r="AA446" s="648"/>
      <c r="AB446" s="648"/>
      <c r="AC446" s="648"/>
      <c r="AD446" s="648"/>
      <c r="AE446" s="1940"/>
      <c r="AF446" s="58">
        <v>13</v>
      </c>
      <c r="AG446" s="71"/>
      <c r="AH446"/>
      <c r="AI446" s="1414" t="s">
        <v>577</v>
      </c>
      <c r="AJ446" s="1944"/>
      <c r="AK446" s="1944"/>
      <c r="AL446" s="847"/>
      <c r="AM446" s="847"/>
      <c r="AN446" s="847"/>
      <c r="AO446" s="847"/>
      <c r="AP446" s="1946"/>
      <c r="AQ446" s="1946"/>
      <c r="AR446" s="1945"/>
      <c r="AS446" s="58">
        <v>16.149999999999999</v>
      </c>
      <c r="AT446"/>
      <c r="AU446" s="1414" t="s">
        <v>586</v>
      </c>
      <c r="AV446" s="1916"/>
      <c r="AW446" s="1916"/>
      <c r="AX446" s="1916"/>
      <c r="AY446" s="1916"/>
      <c r="AZ446" s="1916"/>
      <c r="BA446" s="1916"/>
      <c r="BB446" s="1916"/>
      <c r="BC446" s="1916"/>
      <c r="BD446" s="1948"/>
      <c r="BE446" s="1947"/>
      <c r="BF446"/>
      <c r="BG446" s="1414" t="s">
        <v>546</v>
      </c>
      <c r="BH446" s="1482"/>
      <c r="BI446" s="1482"/>
      <c r="BJ446" s="17"/>
      <c r="BK446" s="17"/>
      <c r="BL446" s="17"/>
      <c r="BM446" s="17"/>
      <c r="BN446" s="17"/>
      <c r="BO446" s="17"/>
      <c r="BP446" s="17"/>
      <c r="BQ446" s="17"/>
      <c r="BT446" s="1414" t="s">
        <v>579</v>
      </c>
      <c r="BU446" s="1987"/>
      <c r="BV446" s="1987"/>
      <c r="BW446" s="1987"/>
      <c r="BX446" s="1987"/>
      <c r="BY446" s="1987"/>
      <c r="BZ446" s="1987"/>
      <c r="CA446" s="1987"/>
      <c r="CB446" s="1987"/>
      <c r="CC446" s="1987"/>
      <c r="CD446" s="1988">
        <v>4.3</v>
      </c>
      <c r="CF446" s="1414" t="s">
        <v>580</v>
      </c>
      <c r="CG446" s="1989"/>
      <c r="CH446" s="1989"/>
      <c r="CI446" s="1989"/>
      <c r="CJ446" s="1989"/>
      <c r="CK446" s="1989"/>
      <c r="CL446" s="1990"/>
      <c r="CM446" s="1990"/>
      <c r="CN446" s="1990"/>
      <c r="CO446" s="1990"/>
      <c r="CP446" s="1991">
        <v>4.5</v>
      </c>
      <c r="CR446" s="1414" t="s">
        <v>581</v>
      </c>
      <c r="CS446" s="1989"/>
      <c r="CT446" s="1989"/>
      <c r="CU446" s="1989"/>
      <c r="CV446" s="1989"/>
      <c r="CW446" s="1989"/>
      <c r="CX446" s="1990"/>
      <c r="CY446" s="1990"/>
      <c r="CZ446" s="1990"/>
      <c r="DA446" s="1990"/>
      <c r="DB446" s="1991"/>
      <c r="DD446" s="1414" t="s">
        <v>582</v>
      </c>
      <c r="DE446" s="1989"/>
      <c r="DF446" s="1989"/>
      <c r="DG446" s="1989"/>
      <c r="DH446" s="1989"/>
      <c r="DI446" s="1989"/>
      <c r="DJ446" s="1990"/>
      <c r="DK446" s="1990"/>
      <c r="DL446" s="1990"/>
      <c r="DM446" s="1990"/>
      <c r="DN446" s="1991"/>
    </row>
    <row r="447" spans="1:118" outlineLevel="1">
      <c r="C447" s="66"/>
      <c r="D447" s="1041" t="str">
        <f>C427</f>
        <v>803570_2024_12_</v>
      </c>
      <c r="E447" s="1041" t="str">
        <f t="shared" si="120"/>
        <v xml:space="preserve">WSHP ≥65kBTUh and &lt;135 kBTUh per ton </v>
      </c>
      <c r="F447" s="1984">
        <v>12</v>
      </c>
      <c r="G447" s="2055">
        <v>13</v>
      </c>
      <c r="H447" s="2053">
        <v>16.149999999999999</v>
      </c>
      <c r="I447" s="2053"/>
      <c r="J447" s="2053"/>
      <c r="K447" s="2031">
        <v>1053</v>
      </c>
      <c r="L447" s="2055">
        <v>4.3</v>
      </c>
      <c r="M447" s="2054">
        <v>4.5</v>
      </c>
      <c r="N447" s="2055"/>
      <c r="O447" s="2054"/>
      <c r="P447" s="1985">
        <v>12</v>
      </c>
      <c r="Q447" s="2031">
        <v>1060</v>
      </c>
      <c r="R447" s="2054">
        <v>2</v>
      </c>
      <c r="V447" s="1414" t="s">
        <v>576</v>
      </c>
      <c r="W447" s="890"/>
      <c r="X447" s="890"/>
      <c r="Y447" s="890"/>
      <c r="Z447" s="648"/>
      <c r="AA447" s="648"/>
      <c r="AB447" s="648"/>
      <c r="AC447" s="648"/>
      <c r="AD447" s="648"/>
      <c r="AE447" s="1940"/>
      <c r="AF447" s="58">
        <v>13</v>
      </c>
      <c r="AG447" s="71"/>
      <c r="AH447"/>
      <c r="AI447" s="1414" t="s">
        <v>577</v>
      </c>
      <c r="AJ447" s="1944"/>
      <c r="AK447" s="1944"/>
      <c r="AL447" s="847"/>
      <c r="AM447" s="847"/>
      <c r="AN447" s="847"/>
      <c r="AO447" s="847"/>
      <c r="AP447" s="1946"/>
      <c r="AQ447" s="1946"/>
      <c r="AR447" s="1945"/>
      <c r="AS447" s="58">
        <v>16.149999999999999</v>
      </c>
      <c r="AT447"/>
      <c r="AU447" s="1414" t="s">
        <v>586</v>
      </c>
      <c r="AV447" s="1916"/>
      <c r="AW447" s="1916"/>
      <c r="AX447" s="1916"/>
      <c r="AY447" s="1916"/>
      <c r="AZ447" s="1916"/>
      <c r="BA447" s="1916"/>
      <c r="BB447" s="1916"/>
      <c r="BC447" s="1916"/>
      <c r="BD447" s="1948"/>
      <c r="BE447" s="1947"/>
      <c r="BF447"/>
      <c r="BG447" s="1414" t="s">
        <v>546</v>
      </c>
      <c r="BH447" s="1482"/>
      <c r="BI447" s="1482"/>
      <c r="BJ447" s="17"/>
      <c r="BK447" s="17"/>
      <c r="BL447" s="17"/>
      <c r="BM447" s="17"/>
      <c r="BN447" s="17"/>
      <c r="BO447" s="17"/>
      <c r="BP447" s="17"/>
      <c r="BQ447" s="17"/>
      <c r="BT447" s="1414" t="s">
        <v>579</v>
      </c>
      <c r="BU447" s="1987"/>
      <c r="BV447" s="1987"/>
      <c r="BW447" s="1987"/>
      <c r="BX447" s="1987"/>
      <c r="BY447" s="1987"/>
      <c r="BZ447" s="1987"/>
      <c r="CA447" s="1987"/>
      <c r="CB447" s="1987"/>
      <c r="CC447" s="1987"/>
      <c r="CD447" s="1988">
        <v>4.3</v>
      </c>
      <c r="CF447" s="1414" t="s">
        <v>580</v>
      </c>
      <c r="CG447" s="1989"/>
      <c r="CH447" s="1989"/>
      <c r="CI447" s="1989"/>
      <c r="CJ447" s="1989"/>
      <c r="CK447" s="1989"/>
      <c r="CL447" s="1990"/>
      <c r="CM447" s="1990"/>
      <c r="CN447" s="1990"/>
      <c r="CO447" s="1990"/>
      <c r="CP447" s="1991">
        <v>4.5</v>
      </c>
      <c r="CR447" s="1414" t="s">
        <v>581</v>
      </c>
      <c r="CS447" s="1989"/>
      <c r="CT447" s="1989"/>
      <c r="CU447" s="1989"/>
      <c r="CV447" s="1989"/>
      <c r="CW447" s="1989"/>
      <c r="CX447" s="1990"/>
      <c r="CY447" s="1990"/>
      <c r="CZ447" s="1990"/>
      <c r="DA447" s="1990"/>
      <c r="DB447" s="1991"/>
      <c r="DD447" s="1414" t="s">
        <v>582</v>
      </c>
      <c r="DE447" s="1989"/>
      <c r="DF447" s="1989"/>
      <c r="DG447" s="1989"/>
      <c r="DH447" s="1989"/>
      <c r="DI447" s="1989"/>
      <c r="DJ447" s="1990"/>
      <c r="DK447" s="1990"/>
      <c r="DL447" s="1990"/>
      <c r="DM447" s="1990"/>
      <c r="DN447" s="1991"/>
    </row>
    <row r="448" spans="1:118" outlineLevel="1">
      <c r="C448" s="66"/>
      <c r="D448" s="679" t="str">
        <f>C430</f>
        <v>803600_2024_12_</v>
      </c>
      <c r="E448" s="679" t="str">
        <f t="shared" si="120"/>
        <v xml:space="preserve">ASHP ≥65kBTUh and &lt;135 kBTUh per ton </v>
      </c>
      <c r="F448" s="494">
        <v>12</v>
      </c>
      <c r="G448" s="2056"/>
      <c r="H448" s="2056"/>
      <c r="I448" s="2053">
        <v>13.9</v>
      </c>
      <c r="J448" s="2053">
        <v>15.96</v>
      </c>
      <c r="K448" s="2030">
        <v>1053</v>
      </c>
      <c r="L448" s="2054">
        <v>3.4</v>
      </c>
      <c r="M448" s="2054">
        <v>3.57</v>
      </c>
      <c r="N448" s="2042"/>
      <c r="O448" s="2057"/>
      <c r="P448" s="492">
        <v>12</v>
      </c>
      <c r="Q448" s="2030">
        <v>1060</v>
      </c>
      <c r="R448" s="2054">
        <f>J448-I448</f>
        <v>2.0600000000000005</v>
      </c>
      <c r="V448" s="1414" t="s">
        <v>576</v>
      </c>
      <c r="W448" s="1944"/>
      <c r="X448" s="1944"/>
      <c r="Y448" s="1944"/>
      <c r="Z448" s="847"/>
      <c r="AA448" s="847"/>
      <c r="AB448" s="847"/>
      <c r="AC448" s="847"/>
      <c r="AD448" s="847"/>
      <c r="AE448" s="1945"/>
      <c r="AF448" s="1922"/>
      <c r="AG448" s="71"/>
      <c r="AH448"/>
      <c r="AI448" s="1414" t="s">
        <v>577</v>
      </c>
      <c r="AJ448" s="890"/>
      <c r="AK448" s="890"/>
      <c r="AL448" s="648"/>
      <c r="AM448" s="648"/>
      <c r="AN448" s="648"/>
      <c r="AO448" s="648"/>
      <c r="AP448" s="737"/>
      <c r="AQ448" s="737"/>
      <c r="AR448" s="1940"/>
      <c r="AS448" s="1922"/>
      <c r="AT448"/>
      <c r="AU448" s="1414" t="s">
        <v>586</v>
      </c>
      <c r="AV448" s="1916">
        <v>12</v>
      </c>
      <c r="AW448" s="1916">
        <v>12</v>
      </c>
      <c r="AX448" s="1916">
        <v>12</v>
      </c>
      <c r="AY448" s="1916">
        <v>12</v>
      </c>
      <c r="AZ448" s="1916">
        <v>12</v>
      </c>
      <c r="BA448" s="1916">
        <v>12</v>
      </c>
      <c r="BB448" s="1916">
        <v>12</v>
      </c>
      <c r="BC448" s="1916">
        <v>12</v>
      </c>
      <c r="BD448" s="1948">
        <v>12</v>
      </c>
      <c r="BE448" s="1986">
        <v>13.9</v>
      </c>
      <c r="BF448"/>
      <c r="BG448" s="1414" t="s">
        <v>546</v>
      </c>
      <c r="BH448" s="1482">
        <v>13.4</v>
      </c>
      <c r="BI448" s="1482">
        <v>13.4</v>
      </c>
      <c r="BJ448" s="17">
        <v>13.4</v>
      </c>
      <c r="BK448" s="17">
        <v>13.4</v>
      </c>
      <c r="BL448" s="17">
        <v>13.4</v>
      </c>
      <c r="BM448" s="17">
        <v>13.4</v>
      </c>
      <c r="BN448" s="17">
        <v>13.4</v>
      </c>
      <c r="BO448" s="17">
        <v>13.4</v>
      </c>
      <c r="BP448" s="17">
        <v>13.4</v>
      </c>
      <c r="BQ448" s="17">
        <v>15.96</v>
      </c>
      <c r="BT448" s="1414" t="s">
        <v>579</v>
      </c>
      <c r="BU448" s="1987">
        <v>2.25</v>
      </c>
      <c r="BV448" s="1987">
        <v>2.25</v>
      </c>
      <c r="BW448" s="1987">
        <v>2.25</v>
      </c>
      <c r="BX448" s="1987">
        <v>2.25</v>
      </c>
      <c r="BY448" s="1987">
        <v>2.25</v>
      </c>
      <c r="BZ448" s="1987">
        <v>2.25</v>
      </c>
      <c r="CA448" s="1987">
        <v>2.25</v>
      </c>
      <c r="CB448" s="1987">
        <v>2.25</v>
      </c>
      <c r="CC448" s="1987">
        <v>2.25</v>
      </c>
      <c r="CD448" s="1988">
        <v>3.4</v>
      </c>
      <c r="CF448" s="1414" t="s">
        <v>580</v>
      </c>
      <c r="CG448" s="1989">
        <v>2.6</v>
      </c>
      <c r="CH448" s="1989">
        <v>2.6</v>
      </c>
      <c r="CI448" s="1989">
        <v>2.6</v>
      </c>
      <c r="CJ448" s="1989">
        <v>2.6</v>
      </c>
      <c r="CK448" s="1989">
        <v>2.6</v>
      </c>
      <c r="CL448" s="1990">
        <v>2.6</v>
      </c>
      <c r="CM448" s="1990">
        <v>2.6</v>
      </c>
      <c r="CN448" s="1990">
        <v>2.6</v>
      </c>
      <c r="CO448" s="1990">
        <v>2.6</v>
      </c>
      <c r="CP448" s="1991">
        <v>3.57</v>
      </c>
      <c r="CR448" s="1414" t="s">
        <v>581</v>
      </c>
      <c r="CS448" s="1989"/>
      <c r="CT448" s="1989"/>
      <c r="CU448" s="1989"/>
      <c r="CV448" s="1989"/>
      <c r="CW448" s="1989"/>
      <c r="CX448" s="1990"/>
      <c r="CY448" s="1990"/>
      <c r="CZ448" s="1990"/>
      <c r="DA448" s="1990"/>
      <c r="DB448" s="1991"/>
      <c r="DD448" s="1414" t="s">
        <v>582</v>
      </c>
      <c r="DE448" s="1989"/>
      <c r="DF448" s="1989"/>
      <c r="DG448" s="1989"/>
      <c r="DH448" s="1989"/>
      <c r="DI448" s="1989"/>
      <c r="DJ448" s="1990"/>
      <c r="DK448" s="1990"/>
      <c r="DL448" s="1990"/>
      <c r="DM448" s="1990"/>
      <c r="DN448" s="1991"/>
    </row>
    <row r="449" spans="1:118" outlineLevel="1">
      <c r="D449" s="679" t="str">
        <f>C431</f>
        <v>803650_2024_12_</v>
      </c>
      <c r="E449" s="679" t="str">
        <f t="shared" si="120"/>
        <v xml:space="preserve">ASHP ≥135kBTUh and &lt;240 kBTUh per ton </v>
      </c>
      <c r="F449" s="494">
        <v>12</v>
      </c>
      <c r="G449" s="2056"/>
      <c r="H449" s="2056"/>
      <c r="I449" s="2053">
        <v>13.3</v>
      </c>
      <c r="J449" s="2053">
        <v>16.16</v>
      </c>
      <c r="K449" s="2030">
        <v>1053</v>
      </c>
      <c r="L449" s="2054">
        <v>3.3</v>
      </c>
      <c r="M449" s="2054">
        <v>3.41</v>
      </c>
      <c r="N449" s="2042"/>
      <c r="O449" s="2057"/>
      <c r="P449" s="492">
        <v>12</v>
      </c>
      <c r="Q449" s="2030">
        <v>1060</v>
      </c>
      <c r="R449" s="2054">
        <f>J449-I449</f>
        <v>2.8599999999999994</v>
      </c>
      <c r="V449" s="1414" t="s">
        <v>576</v>
      </c>
      <c r="W449" s="1944"/>
      <c r="X449" s="1944"/>
      <c r="Y449" s="1944"/>
      <c r="Z449" s="847"/>
      <c r="AA449" s="847"/>
      <c r="AB449" s="847"/>
      <c r="AC449" s="847"/>
      <c r="AD449" s="847"/>
      <c r="AE449" s="1945"/>
      <c r="AF449" s="1922"/>
      <c r="AG449" s="71"/>
      <c r="AH449"/>
      <c r="AI449" s="1414" t="s">
        <v>577</v>
      </c>
      <c r="AJ449" s="890"/>
      <c r="AK449" s="890"/>
      <c r="AL449" s="648"/>
      <c r="AM449" s="648"/>
      <c r="AN449" s="648"/>
      <c r="AO449" s="648"/>
      <c r="AP449" s="737"/>
      <c r="AQ449" s="737"/>
      <c r="AR449" s="1940"/>
      <c r="AS449" s="1922"/>
      <c r="AT449"/>
      <c r="AU449" s="1414" t="s">
        <v>586</v>
      </c>
      <c r="AV449" s="1916">
        <v>11.6</v>
      </c>
      <c r="AW449" s="1916">
        <v>11.6</v>
      </c>
      <c r="AX449" s="1916">
        <v>11.6</v>
      </c>
      <c r="AY449" s="1916">
        <v>11.6</v>
      </c>
      <c r="AZ449" s="1916">
        <v>11.6</v>
      </c>
      <c r="BA449" s="1916">
        <v>11.6</v>
      </c>
      <c r="BB449" s="1916">
        <v>11.6</v>
      </c>
      <c r="BC449" s="1916">
        <v>11.6</v>
      </c>
      <c r="BD449" s="1948">
        <v>11.6</v>
      </c>
      <c r="BE449" s="1986">
        <v>13.3</v>
      </c>
      <c r="BF449"/>
      <c r="BG449" s="1414" t="s">
        <v>546</v>
      </c>
      <c r="BH449" s="1482">
        <v>13</v>
      </c>
      <c r="BI449" s="1482">
        <v>13</v>
      </c>
      <c r="BJ449" s="17">
        <v>13</v>
      </c>
      <c r="BK449" s="17">
        <v>13</v>
      </c>
      <c r="BL449" s="17">
        <v>13</v>
      </c>
      <c r="BM449" s="17">
        <v>13</v>
      </c>
      <c r="BN449" s="17">
        <v>13</v>
      </c>
      <c r="BO449" s="17">
        <v>13</v>
      </c>
      <c r="BP449" s="17">
        <v>13</v>
      </c>
      <c r="BQ449" s="17">
        <v>16.16</v>
      </c>
      <c r="BT449" s="1414" t="s">
        <v>579</v>
      </c>
      <c r="BU449" s="1987">
        <v>2.0499999999999998</v>
      </c>
      <c r="BV449" s="1987">
        <v>2.0499999999999998</v>
      </c>
      <c r="BW449" s="1987">
        <v>2.0499999999999998</v>
      </c>
      <c r="BX449" s="1987">
        <v>2.0499999999999998</v>
      </c>
      <c r="BY449" s="1987">
        <v>2.0499999999999998</v>
      </c>
      <c r="BZ449" s="1987">
        <v>2.0499999999999998</v>
      </c>
      <c r="CA449" s="1987">
        <v>2.0499999999999998</v>
      </c>
      <c r="CB449" s="1987">
        <v>2.0499999999999998</v>
      </c>
      <c r="CC449" s="1987">
        <v>2.0499999999999998</v>
      </c>
      <c r="CD449" s="1988">
        <v>3.3</v>
      </c>
      <c r="CF449" s="1414" t="s">
        <v>580</v>
      </c>
      <c r="CG449" s="1989">
        <v>2.4</v>
      </c>
      <c r="CH449" s="1989">
        <v>2.4</v>
      </c>
      <c r="CI449" s="1989">
        <v>2.4</v>
      </c>
      <c r="CJ449" s="1989">
        <v>2.4</v>
      </c>
      <c r="CK449" s="1989">
        <v>2.4</v>
      </c>
      <c r="CL449" s="1990">
        <v>2.4</v>
      </c>
      <c r="CM449" s="1990">
        <v>2.4</v>
      </c>
      <c r="CN449" s="1990">
        <v>2.4</v>
      </c>
      <c r="CO449" s="1990">
        <v>2.4</v>
      </c>
      <c r="CP449" s="1991">
        <v>3.41</v>
      </c>
      <c r="CR449" s="1414" t="s">
        <v>581</v>
      </c>
      <c r="CS449" s="1989"/>
      <c r="CT449" s="1989"/>
      <c r="CU449" s="1989"/>
      <c r="CV449" s="1989"/>
      <c r="CW449" s="1989"/>
      <c r="CX449" s="1990"/>
      <c r="CY449" s="1990"/>
      <c r="CZ449" s="1990"/>
      <c r="DA449" s="1990"/>
      <c r="DB449" s="1991"/>
      <c r="DD449" s="1414" t="s">
        <v>582</v>
      </c>
      <c r="DE449" s="1989"/>
      <c r="DF449" s="1989"/>
      <c r="DG449" s="1989"/>
      <c r="DH449" s="1989"/>
      <c r="DI449" s="1989"/>
      <c r="DJ449" s="1990"/>
      <c r="DK449" s="1990"/>
      <c r="DL449" s="1990"/>
      <c r="DM449" s="1990"/>
      <c r="DN449" s="1991"/>
    </row>
    <row r="450" spans="1:118" outlineLevel="1">
      <c r="D450" s="679" t="str">
        <f>C432</f>
        <v>803700_2024_12_</v>
      </c>
      <c r="E450" s="679" t="str">
        <f t="shared" si="120"/>
        <v>ASHP &gt;240kBTUh per ton</v>
      </c>
      <c r="F450" s="494">
        <v>12</v>
      </c>
      <c r="G450" s="2056"/>
      <c r="H450" s="2056"/>
      <c r="I450" s="2053">
        <v>12.3</v>
      </c>
      <c r="J450" s="2053">
        <v>18.059999999999999</v>
      </c>
      <c r="K450" s="2030">
        <v>1053</v>
      </c>
      <c r="L450" s="2054">
        <v>3.2</v>
      </c>
      <c r="M450" s="2054">
        <v>3.37</v>
      </c>
      <c r="N450" s="2042"/>
      <c r="O450" s="2057"/>
      <c r="P450" s="492">
        <v>12</v>
      </c>
      <c r="Q450" s="2030">
        <v>1060</v>
      </c>
      <c r="R450" s="2054">
        <v>4</v>
      </c>
      <c r="V450" s="1414" t="s">
        <v>576</v>
      </c>
      <c r="W450" s="1944"/>
      <c r="X450" s="1944"/>
      <c r="Y450" s="1944"/>
      <c r="Z450" s="847"/>
      <c r="AA450" s="847"/>
      <c r="AB450" s="847"/>
      <c r="AC450" s="847"/>
      <c r="AD450" s="847"/>
      <c r="AE450" s="1945"/>
      <c r="AF450" s="1922"/>
      <c r="AG450" s="71"/>
      <c r="AH450"/>
      <c r="AI450" s="1414" t="s">
        <v>577</v>
      </c>
      <c r="AJ450" s="890"/>
      <c r="AK450" s="890"/>
      <c r="AL450" s="648"/>
      <c r="AM450" s="648"/>
      <c r="AN450" s="648"/>
      <c r="AO450" s="648"/>
      <c r="AP450" s="737"/>
      <c r="AQ450" s="737"/>
      <c r="AR450" s="1940"/>
      <c r="AS450" s="1922"/>
      <c r="AT450"/>
      <c r="AU450" s="1414" t="s">
        <v>586</v>
      </c>
      <c r="AV450" s="1916">
        <v>10.6</v>
      </c>
      <c r="AW450" s="1916">
        <v>10.6</v>
      </c>
      <c r="AX450" s="1916">
        <v>10.6</v>
      </c>
      <c r="AY450" s="1916">
        <v>10.6</v>
      </c>
      <c r="AZ450" s="1916">
        <v>10.6</v>
      </c>
      <c r="BA450" s="1916">
        <v>10.6</v>
      </c>
      <c r="BB450" s="1916">
        <v>10.6</v>
      </c>
      <c r="BC450" s="1916">
        <v>10.6</v>
      </c>
      <c r="BD450" s="1948">
        <v>10.6</v>
      </c>
      <c r="BE450" s="1986">
        <v>12.3</v>
      </c>
      <c r="BF450"/>
      <c r="BG450" s="1414" t="s">
        <v>546</v>
      </c>
      <c r="BH450" s="1482">
        <v>11.9</v>
      </c>
      <c r="BI450" s="1482">
        <v>11.9</v>
      </c>
      <c r="BJ450" s="17">
        <v>11.9</v>
      </c>
      <c r="BK450" s="17">
        <v>11.9</v>
      </c>
      <c r="BL450" s="17">
        <v>11.9</v>
      </c>
      <c r="BM450" s="17">
        <v>11.9</v>
      </c>
      <c r="BN450" s="17">
        <v>11.9</v>
      </c>
      <c r="BO450" s="17">
        <v>11.9</v>
      </c>
      <c r="BP450" s="17">
        <v>11.9</v>
      </c>
      <c r="BQ450" s="17">
        <v>18.059999999999999</v>
      </c>
      <c r="BT450" s="1414" t="s">
        <v>579</v>
      </c>
      <c r="BU450" s="1987">
        <v>2.0499999999999998</v>
      </c>
      <c r="BV450" s="1987">
        <v>2.0499999999999998</v>
      </c>
      <c r="BW450" s="1987">
        <v>2.0499999999999998</v>
      </c>
      <c r="BX450" s="1987">
        <v>2.0499999999999998</v>
      </c>
      <c r="BY450" s="1987">
        <v>2.0499999999999998</v>
      </c>
      <c r="BZ450" s="1987">
        <v>2.0499999999999998</v>
      </c>
      <c r="CA450" s="1987">
        <v>2.0499999999999998</v>
      </c>
      <c r="CB450" s="1987">
        <v>2.0499999999999998</v>
      </c>
      <c r="CC450" s="1987">
        <v>2.0499999999999998</v>
      </c>
      <c r="CD450" s="1988">
        <v>3.2</v>
      </c>
      <c r="CF450" s="1414" t="s">
        <v>580</v>
      </c>
      <c r="CG450" s="1989">
        <v>2.4</v>
      </c>
      <c r="CH450" s="1989">
        <v>2.4</v>
      </c>
      <c r="CI450" s="1989">
        <v>2.4</v>
      </c>
      <c r="CJ450" s="1989">
        <v>2.4</v>
      </c>
      <c r="CK450" s="1989">
        <v>2.4</v>
      </c>
      <c r="CL450" s="1990">
        <v>2.4</v>
      </c>
      <c r="CM450" s="1990">
        <v>2.4</v>
      </c>
      <c r="CN450" s="1990">
        <v>2.4</v>
      </c>
      <c r="CO450" s="1990">
        <v>2.4</v>
      </c>
      <c r="CP450" s="1991">
        <v>3.37</v>
      </c>
      <c r="CR450" s="1414" t="s">
        <v>581</v>
      </c>
      <c r="CS450" s="1989"/>
      <c r="CT450" s="1989"/>
      <c r="CU450" s="1989"/>
      <c r="CV450" s="1989"/>
      <c r="CW450" s="1989"/>
      <c r="CX450" s="1990"/>
      <c r="CY450" s="1990"/>
      <c r="CZ450" s="1990"/>
      <c r="DA450" s="1990"/>
      <c r="DB450" s="1991"/>
      <c r="DD450" s="1414" t="s">
        <v>582</v>
      </c>
      <c r="DE450" s="1989"/>
      <c r="DF450" s="1989"/>
      <c r="DG450" s="1989"/>
      <c r="DH450" s="1989"/>
      <c r="DI450" s="1989"/>
      <c r="DJ450" s="1990"/>
      <c r="DK450" s="1990"/>
      <c r="DL450" s="1990"/>
      <c r="DM450" s="1990"/>
      <c r="DN450" s="1991"/>
    </row>
    <row r="451" spans="1:118" outlineLevel="1">
      <c r="D451" s="679" t="str">
        <f>C433</f>
        <v>803750_2024_12_</v>
      </c>
      <c r="E451" s="679" t="str">
        <f t="shared" si="120"/>
        <v xml:space="preserve">ASHP &lt;65kBTUh per ton </v>
      </c>
      <c r="F451" s="494">
        <v>12</v>
      </c>
      <c r="G451" s="2053"/>
      <c r="H451" s="2053"/>
      <c r="I451" s="2053">
        <v>13.4</v>
      </c>
      <c r="J451" s="2053">
        <v>16.100000000000001</v>
      </c>
      <c r="K451" s="2030">
        <v>1053</v>
      </c>
      <c r="L451" s="2054">
        <f>7.5/3.412</f>
        <v>2.1981242672919108</v>
      </c>
      <c r="M451" s="2054">
        <f>7.8/3.412</f>
        <v>2.2860492379835873</v>
      </c>
      <c r="N451" s="2055">
        <f t="shared" si="118"/>
        <v>7.4999999999999991</v>
      </c>
      <c r="O451" s="2054">
        <f t="shared" ref="O451" si="121">M451*3.412</f>
        <v>7.8</v>
      </c>
      <c r="P451" s="492">
        <v>12</v>
      </c>
      <c r="Q451" s="2030">
        <v>1060</v>
      </c>
      <c r="R451" s="2054">
        <f>J451-I451</f>
        <v>2.7000000000000011</v>
      </c>
      <c r="V451" s="1445" t="s">
        <v>576</v>
      </c>
      <c r="W451" s="1944"/>
      <c r="X451" s="1944"/>
      <c r="Y451" s="1944"/>
      <c r="Z451" s="847"/>
      <c r="AA451" s="847"/>
      <c r="AB451" s="847"/>
      <c r="AC451" s="847"/>
      <c r="AD451" s="847"/>
      <c r="AE451" s="1945"/>
      <c r="AF451" s="1922"/>
      <c r="AG451" s="71"/>
      <c r="AH451"/>
      <c r="AI451" s="1414" t="s">
        <v>577</v>
      </c>
      <c r="AJ451" s="890"/>
      <c r="AK451" s="890"/>
      <c r="AL451" s="648"/>
      <c r="AM451" s="648"/>
      <c r="AN451" s="648"/>
      <c r="AO451" s="648"/>
      <c r="AP451" s="737"/>
      <c r="AQ451" s="737"/>
      <c r="AR451" s="1940"/>
      <c r="AS451" s="1922"/>
      <c r="AT451"/>
      <c r="AU451" s="1414" t="s">
        <v>586</v>
      </c>
      <c r="AV451" s="1916">
        <v>14</v>
      </c>
      <c r="AW451" s="1916">
        <v>14</v>
      </c>
      <c r="AX451" s="1916">
        <v>14</v>
      </c>
      <c r="AY451" s="1916">
        <v>14</v>
      </c>
      <c r="AZ451" s="1916">
        <v>14</v>
      </c>
      <c r="BA451" s="1916">
        <v>14</v>
      </c>
      <c r="BB451" s="1916">
        <v>14</v>
      </c>
      <c r="BC451" s="1916">
        <v>14</v>
      </c>
      <c r="BD451" s="1948">
        <v>14</v>
      </c>
      <c r="BE451" s="1986">
        <v>13.4</v>
      </c>
      <c r="BF451"/>
      <c r="BG451" s="1414" t="s">
        <v>546</v>
      </c>
      <c r="BH451" s="1482">
        <v>15.7</v>
      </c>
      <c r="BI451" s="1482">
        <v>15.7</v>
      </c>
      <c r="BJ451" s="17">
        <v>15.7</v>
      </c>
      <c r="BK451" s="17">
        <v>15.7</v>
      </c>
      <c r="BL451" s="17">
        <v>15.7</v>
      </c>
      <c r="BM451" s="17">
        <v>15.7</v>
      </c>
      <c r="BN451" s="17">
        <v>15.7</v>
      </c>
      <c r="BO451" s="17">
        <v>15.7</v>
      </c>
      <c r="BP451" s="17">
        <v>15.7</v>
      </c>
      <c r="BQ451" s="17">
        <v>16.100000000000001</v>
      </c>
      <c r="BT451" s="1414" t="s">
        <v>579</v>
      </c>
      <c r="BU451" s="1987"/>
      <c r="BV451" s="1987"/>
      <c r="BW451" s="1987"/>
      <c r="BX451" s="1987"/>
      <c r="BY451" s="1987"/>
      <c r="BZ451" s="1988"/>
      <c r="CA451" s="1988"/>
      <c r="CB451" s="1988"/>
      <c r="CC451" s="1988"/>
      <c r="CD451" s="1988">
        <v>2.1981242672919108</v>
      </c>
      <c r="CF451" s="1414" t="s">
        <v>580</v>
      </c>
      <c r="CG451" s="1989"/>
      <c r="CH451" s="1989"/>
      <c r="CI451" s="1989"/>
      <c r="CJ451" s="1989"/>
      <c r="CK451" s="1989"/>
      <c r="CL451" s="1990"/>
      <c r="CM451" s="1990"/>
      <c r="CN451" s="1990"/>
      <c r="CO451" s="1990"/>
      <c r="CP451" s="1991">
        <v>2.2860492379835873</v>
      </c>
      <c r="CR451" s="1414" t="s">
        <v>581</v>
      </c>
      <c r="CS451" s="1989">
        <v>8.1999999999999993</v>
      </c>
      <c r="CT451" s="1989">
        <v>8.1999999999999993</v>
      </c>
      <c r="CU451" s="1989">
        <v>8.1999999999999993</v>
      </c>
      <c r="CV451" s="1989">
        <v>8.1999999999999993</v>
      </c>
      <c r="CW451" s="1989">
        <v>8.1999999999999993</v>
      </c>
      <c r="CX451" s="1990">
        <v>8.1999999999999993</v>
      </c>
      <c r="CY451" s="1990">
        <v>8.1999999999999993</v>
      </c>
      <c r="CZ451" s="1990">
        <v>8.1999999999999993</v>
      </c>
      <c r="DA451" s="1990">
        <v>8.1999999999999993</v>
      </c>
      <c r="DB451" s="1991">
        <v>7.4999999999999991</v>
      </c>
      <c r="DD451" s="1414" t="s">
        <v>582</v>
      </c>
      <c r="DE451" s="1989">
        <v>8.9</v>
      </c>
      <c r="DF451" s="1989">
        <v>8.9</v>
      </c>
      <c r="DG451" s="1989">
        <v>8.9</v>
      </c>
      <c r="DH451" s="1989">
        <v>8.9</v>
      </c>
      <c r="DI451" s="1989">
        <v>8.9</v>
      </c>
      <c r="DJ451" s="1990">
        <v>8.9</v>
      </c>
      <c r="DK451" s="1990">
        <v>8.9</v>
      </c>
      <c r="DL451" s="1990">
        <v>8.9</v>
      </c>
      <c r="DM451" s="1990">
        <v>8.9</v>
      </c>
      <c r="DN451" s="1991">
        <v>7.8</v>
      </c>
    </row>
    <row r="452" spans="1:118" ht="26.25">
      <c r="G452" s="489" t="s">
        <v>587</v>
      </c>
      <c r="I452" s="265" t="s">
        <v>587</v>
      </c>
      <c r="J452" s="265" t="s">
        <v>588</v>
      </c>
      <c r="L452" s="265" t="s">
        <v>587</v>
      </c>
      <c r="M452" s="265" t="s">
        <v>588</v>
      </c>
      <c r="N452" s="265" t="s">
        <v>587</v>
      </c>
      <c r="O452" s="265" t="s">
        <v>588</v>
      </c>
      <c r="Q452" s="1941"/>
    </row>
    <row r="454" spans="1:118" s="9" customFormat="1" ht="30">
      <c r="A454" s="2"/>
      <c r="B454" s="7"/>
      <c r="C454" s="10" t="s">
        <v>42</v>
      </c>
      <c r="D454" s="10" t="s">
        <v>43</v>
      </c>
      <c r="E454" s="1432" t="s">
        <v>44</v>
      </c>
      <c r="F454" s="1432" t="s">
        <v>589</v>
      </c>
      <c r="G454" s="1432" t="s">
        <v>46</v>
      </c>
      <c r="H454" s="11" t="s">
        <v>47</v>
      </c>
      <c r="I454" s="1432" t="s">
        <v>48</v>
      </c>
      <c r="J454" s="1432" t="s">
        <v>49</v>
      </c>
      <c r="K454" s="10" t="s">
        <v>590</v>
      </c>
      <c r="L454" s="10" t="s">
        <v>51</v>
      </c>
      <c r="M454" s="265"/>
      <c r="N454" s="265"/>
      <c r="O454" s="265"/>
      <c r="P454" s="122"/>
      <c r="Q454" s="122"/>
      <c r="R454" s="122"/>
      <c r="S454" s="122"/>
      <c r="T454" s="122"/>
      <c r="U454" s="122"/>
      <c r="V454" s="668" t="s">
        <v>52</v>
      </c>
      <c r="W454" s="669">
        <f>$W$8</f>
        <v>43252</v>
      </c>
      <c r="X454" s="669">
        <f>$X$8</f>
        <v>43465</v>
      </c>
      <c r="Y454" s="669">
        <f>$Y$8</f>
        <v>43800</v>
      </c>
      <c r="Z454" s="669">
        <f>$Z$8</f>
        <v>43862</v>
      </c>
      <c r="AA454" s="669">
        <f>$AA$8</f>
        <v>44013</v>
      </c>
      <c r="AB454" s="669">
        <v>44166</v>
      </c>
      <c r="AC454" s="669">
        <f>$AC$8</f>
        <v>44531</v>
      </c>
      <c r="AD454" s="669">
        <f>$AD$8</f>
        <v>44774</v>
      </c>
      <c r="AE454" s="669">
        <f>$AE$8</f>
        <v>45142</v>
      </c>
      <c r="AF454" s="669">
        <f>$AF$8</f>
        <v>45672</v>
      </c>
      <c r="AG454" s="669" t="str">
        <f>$AG$8</f>
        <v>-</v>
      </c>
      <c r="AH454"/>
      <c r="AI454" s="668" t="s">
        <v>52</v>
      </c>
      <c r="AJ454" s="669">
        <v>43252</v>
      </c>
      <c r="AK454" s="669">
        <f>$X$8</f>
        <v>43465</v>
      </c>
      <c r="AL454" s="669">
        <f>$Y$8</f>
        <v>43800</v>
      </c>
      <c r="AM454" s="669">
        <f>$Z$8</f>
        <v>43862</v>
      </c>
      <c r="AN454" s="669">
        <f>$AA$8</f>
        <v>44013</v>
      </c>
      <c r="AO454" s="669">
        <f>$AB$8</f>
        <v>44166</v>
      </c>
      <c r="AP454" s="669">
        <f>$AC$8</f>
        <v>44531</v>
      </c>
      <c r="AQ454" s="669">
        <f>$AD$8</f>
        <v>44774</v>
      </c>
      <c r="AR454" s="669">
        <f>$AE$8</f>
        <v>45142</v>
      </c>
      <c r="AS454" s="669">
        <f>$AF$8</f>
        <v>45672</v>
      </c>
      <c r="AT454" s="2"/>
      <c r="AU454" s="668" t="s">
        <v>52</v>
      </c>
      <c r="AV454" s="669">
        <v>43252</v>
      </c>
      <c r="AW454" s="669">
        <f>$X$8</f>
        <v>43465</v>
      </c>
      <c r="AX454" s="669">
        <f>$Y$8</f>
        <v>43800</v>
      </c>
      <c r="AY454" s="669">
        <f>$Z$8</f>
        <v>43862</v>
      </c>
      <c r="AZ454" s="669">
        <f>$AA$8</f>
        <v>44013</v>
      </c>
      <c r="BA454" s="669">
        <v>44166</v>
      </c>
      <c r="BB454" s="669">
        <f>$AC$8</f>
        <v>44531</v>
      </c>
      <c r="BC454" s="669">
        <f>$AD$8</f>
        <v>44774</v>
      </c>
      <c r="BD454" s="669">
        <f>$AE$8</f>
        <v>45142</v>
      </c>
      <c r="BE454" s="669">
        <f>$AF$8</f>
        <v>45672</v>
      </c>
      <c r="DE454" s="2"/>
      <c r="DF454" s="2"/>
      <c r="DG454" s="1060" t="str">
        <f>$DG$8</f>
        <v>TRC (2025)</v>
      </c>
      <c r="DH454" s="811" t="str">
        <f>$DH$8</f>
        <v>Benefit Lookup</v>
      </c>
      <c r="DI454" s="811" t="str">
        <f>$DI$8</f>
        <v>Benefits (2025 $)</v>
      </c>
      <c r="DJ454" s="1172" t="str">
        <f>$DJ$8</f>
        <v>Incremental Cost (2025 $)</v>
      </c>
    </row>
    <row r="455" spans="1:118">
      <c r="B455" s="1454">
        <f>VALUE(LEFT(C455,6))</f>
        <v>803800</v>
      </c>
      <c r="C455" s="1637" t="s">
        <v>591</v>
      </c>
      <c r="D455" s="1639" t="s">
        <v>457</v>
      </c>
      <c r="E455" s="480" t="s">
        <v>592</v>
      </c>
      <c r="F455" s="418">
        <f>ROUND(F466*(G466-H466)*I466,2)</f>
        <v>321.48</v>
      </c>
      <c r="G455" s="463" t="s">
        <v>459</v>
      </c>
      <c r="H455" s="464">
        <f>VLOOKUP(G455,'CP FACTORS'!$A$26:$B$38,2,FALSE)</f>
        <v>9.1068400000000004E-4</v>
      </c>
      <c r="I455" s="481">
        <f>ROUND(H455*F455,6)</f>
        <v>0.292767</v>
      </c>
      <c r="J455" s="39">
        <v>23</v>
      </c>
      <c r="K455" s="2016">
        <f>K466*(J466/0.01)</f>
        <v>854.83204137359746</v>
      </c>
      <c r="L455" s="509" t="s">
        <v>461</v>
      </c>
      <c r="M455" s="4012"/>
      <c r="N455" s="4012"/>
      <c r="O455" s="4012"/>
      <c r="V455" s="1414" t="str">
        <f>F454</f>
        <v>kWh Annual Savings (per ton)</v>
      </c>
      <c r="W455" s="55">
        <v>411</v>
      </c>
      <c r="X455" s="55">
        <v>411</v>
      </c>
      <c r="Y455" s="55">
        <v>411</v>
      </c>
      <c r="Z455" s="55">
        <v>411</v>
      </c>
      <c r="AA455" s="55">
        <v>411</v>
      </c>
      <c r="AB455" s="648">
        <v>411</v>
      </c>
      <c r="AC455" s="737">
        <v>411</v>
      </c>
      <c r="AD455" s="737">
        <v>411</v>
      </c>
      <c r="AE455" s="1940">
        <v>321.48</v>
      </c>
      <c r="AF455" s="271">
        <f>IF(F455&lt;&gt;"",F455,"")</f>
        <v>321.48</v>
      </c>
      <c r="AG455" s="71"/>
      <c r="AH455"/>
      <c r="AI455" s="1445" t="s">
        <v>49</v>
      </c>
      <c r="AJ455" s="20">
        <v>20</v>
      </c>
      <c r="AK455" s="20">
        <v>20</v>
      </c>
      <c r="AL455" s="20">
        <v>20</v>
      </c>
      <c r="AM455" s="20">
        <v>20</v>
      </c>
      <c r="AN455" s="20">
        <v>20</v>
      </c>
      <c r="AO455" s="650">
        <v>20</v>
      </c>
      <c r="AP455" s="709">
        <v>20</v>
      </c>
      <c r="AQ455" s="713">
        <v>20</v>
      </c>
      <c r="AR455" s="713">
        <v>20</v>
      </c>
      <c r="AS455" s="713">
        <v>20</v>
      </c>
      <c r="AU455" s="1445" t="str">
        <f>K454</f>
        <v>Inc. Cost (per ton)</v>
      </c>
      <c r="AV455" s="710">
        <v>106.23</v>
      </c>
      <c r="AW455" s="710">
        <v>106.23</v>
      </c>
      <c r="AX455" s="710">
        <v>106.23</v>
      </c>
      <c r="AY455" s="710">
        <v>106.23</v>
      </c>
      <c r="AZ455" s="710">
        <v>106.23</v>
      </c>
      <c r="BA455" s="689">
        <v>106.23</v>
      </c>
      <c r="BB455" s="689">
        <v>106.23</v>
      </c>
      <c r="BC455" s="689">
        <v>106.23</v>
      </c>
      <c r="BD455" s="689">
        <v>106.23</v>
      </c>
      <c r="BE455" s="773">
        <f>K455</f>
        <v>854.83204137359746</v>
      </c>
      <c r="DG455" s="1067">
        <f>(DI455)/(DJ455)</f>
        <v>0.94937896665443189</v>
      </c>
      <c r="DH455" s="1400" t="str">
        <f>CONCATENATE(G455," ",J455," Year EUL")</f>
        <v>Cooling BUS 23 Year EUL</v>
      </c>
      <c r="DI455" s="1068">
        <f>(INDEX('Avoided Cost Benefits'!$B$4:$B$865,MATCH(DH455,'Avoided Cost Benefits'!$A$4:$A$865,0)))*F455</f>
        <v>811.55956010236457</v>
      </c>
      <c r="DJ455" s="1178">
        <f>K455/(1.0686^(2025-2025))</f>
        <v>854.83204137359746</v>
      </c>
    </row>
    <row r="456" spans="1:118">
      <c r="B456" s="1454">
        <f>VALUE(LEFT(C456,6))</f>
        <v>803810</v>
      </c>
      <c r="C456" s="1637" t="s">
        <v>593</v>
      </c>
      <c r="D456" s="1639" t="s">
        <v>135</v>
      </c>
      <c r="E456" s="480" t="s">
        <v>594</v>
      </c>
      <c r="F456" s="418">
        <f>ROUND(F467*(G467-H467)*I467,2)</f>
        <v>113.72</v>
      </c>
      <c r="G456" s="463" t="s">
        <v>459</v>
      </c>
      <c r="H456" s="464">
        <f>VLOOKUP(G456,'CP FACTORS'!$A$26:$B$38,2,FALSE)</f>
        <v>9.1068400000000004E-4</v>
      </c>
      <c r="I456" s="481">
        <f>ROUND(H456*F456,6)</f>
        <v>0.103563</v>
      </c>
      <c r="J456" s="39">
        <v>23</v>
      </c>
      <c r="K456" s="2016">
        <f>K467*(J467/0.01)</f>
        <v>377.99999999999994</v>
      </c>
      <c r="L456" s="509" t="s">
        <v>461</v>
      </c>
      <c r="M456" s="4012"/>
      <c r="N456" s="4012"/>
      <c r="O456" s="4012"/>
      <c r="V456" s="1414" t="str">
        <f>V455</f>
        <v>kWh Annual Savings (per ton)</v>
      </c>
      <c r="W456" s="840"/>
      <c r="X456" s="840"/>
      <c r="Y456" s="840"/>
      <c r="Z456" s="840"/>
      <c r="AA456" s="840"/>
      <c r="AB456" s="843"/>
      <c r="AC456" s="737">
        <v>122.15</v>
      </c>
      <c r="AD456" s="737">
        <v>122.15</v>
      </c>
      <c r="AE456" s="1940">
        <v>113.72</v>
      </c>
      <c r="AF456" s="271">
        <f>IF(F456&lt;&gt;"",F456,"")</f>
        <v>113.72</v>
      </c>
      <c r="AG456" s="71"/>
      <c r="AH456"/>
      <c r="AI456" s="1445" t="s">
        <v>49</v>
      </c>
      <c r="AJ456" s="840"/>
      <c r="AK456" s="840"/>
      <c r="AL456" s="840"/>
      <c r="AM456" s="840"/>
      <c r="AN456" s="840"/>
      <c r="AO456" s="843"/>
      <c r="AP456" s="709">
        <v>20</v>
      </c>
      <c r="AQ456" s="713">
        <v>20</v>
      </c>
      <c r="AR456" s="713">
        <v>20</v>
      </c>
      <c r="AS456" s="713">
        <v>20</v>
      </c>
      <c r="AU456" s="1445" t="str">
        <f>AU455</f>
        <v>Inc. Cost (per ton)</v>
      </c>
      <c r="AV456" s="840"/>
      <c r="AW456" s="840"/>
      <c r="AX456" s="840"/>
      <c r="AY456" s="840"/>
      <c r="AZ456" s="840"/>
      <c r="BA456" s="843"/>
      <c r="BB456" s="689">
        <v>106.23</v>
      </c>
      <c r="BC456" s="689">
        <v>106.23</v>
      </c>
      <c r="BD456" s="689">
        <v>106.23</v>
      </c>
      <c r="BE456" s="773">
        <f>K456</f>
        <v>377.99999999999994</v>
      </c>
      <c r="DG456" s="1067">
        <f>(DI456)/(DJ456)</f>
        <v>0.75947151480323571</v>
      </c>
      <c r="DH456" s="1400" t="str">
        <f>CONCATENATE(G456," ",J456," Year EUL")</f>
        <v>Cooling BUS 23 Year EUL</v>
      </c>
      <c r="DI456" s="1068">
        <f>(INDEX('Avoided Cost Benefits'!$B$4:$B$865,MATCH(DH456,'Avoided Cost Benefits'!$A$4:$A$865,0)))*F456</f>
        <v>287.08023259562304</v>
      </c>
      <c r="DJ456" s="1178">
        <f>K456/(1.0686^(2025-2025))</f>
        <v>377.99999999999994</v>
      </c>
    </row>
    <row r="457" spans="1:118" outlineLevel="1">
      <c r="D457" s="77" t="s">
        <v>118</v>
      </c>
      <c r="E457" s="1591" t="s">
        <v>595</v>
      </c>
      <c r="F457" s="8"/>
      <c r="G457" s="8"/>
      <c r="H457" s="471"/>
      <c r="I457" s="8"/>
      <c r="J457" s="8"/>
      <c r="K457" s="8"/>
      <c r="M457" s="4012"/>
      <c r="N457" s="4012"/>
      <c r="O457" s="4012"/>
    </row>
    <row r="458" spans="1:118" outlineLevel="1">
      <c r="D458" s="8" t="s">
        <v>120</v>
      </c>
      <c r="E458" s="66"/>
      <c r="F458" s="8"/>
      <c r="G458" s="8"/>
      <c r="H458" s="471"/>
      <c r="I458" s="8"/>
      <c r="J458" s="8"/>
      <c r="K458" s="8"/>
      <c r="M458" s="4012"/>
      <c r="N458" s="4012"/>
      <c r="O458" s="4012"/>
    </row>
    <row r="459" spans="1:118" outlineLevel="1">
      <c r="D459" s="472"/>
      <c r="E459" s="66"/>
      <c r="F459" s="498"/>
      <c r="G459" s="265"/>
      <c r="H459" s="473"/>
    </row>
    <row r="460" spans="1:118" outlineLevel="1">
      <c r="D460" s="472"/>
      <c r="G460" s="265"/>
      <c r="H460" s="473"/>
    </row>
    <row r="461" spans="1:118" outlineLevel="1">
      <c r="D461" s="472"/>
      <c r="G461" s="265"/>
      <c r="H461" s="473"/>
    </row>
    <row r="462" spans="1:118" outlineLevel="1">
      <c r="D462" s="472"/>
      <c r="G462" s="265"/>
      <c r="H462" s="473"/>
    </row>
    <row r="463" spans="1:118" outlineLevel="1">
      <c r="D463" s="472"/>
      <c r="G463" s="265"/>
      <c r="H463" s="473"/>
    </row>
    <row r="464" spans="1:118" outlineLevel="1">
      <c r="D464" s="472"/>
      <c r="G464" s="1160" t="s">
        <v>539</v>
      </c>
      <c r="H464" s="473"/>
    </row>
    <row r="465" spans="1:114" s="9" customFormat="1" ht="30" outlineLevel="1">
      <c r="A465" s="2"/>
      <c r="C465" s="66"/>
      <c r="D465" s="1365" t="s">
        <v>42</v>
      </c>
      <c r="E465" s="1365" t="s">
        <v>275</v>
      </c>
      <c r="F465" s="32" t="s">
        <v>596</v>
      </c>
      <c r="G465" s="1365" t="s">
        <v>597</v>
      </c>
      <c r="H465" s="1365" t="s">
        <v>598</v>
      </c>
      <c r="I465" s="1365" t="s">
        <v>543</v>
      </c>
      <c r="J465" s="1950" t="s">
        <v>599</v>
      </c>
      <c r="K465" s="1968" t="s">
        <v>600</v>
      </c>
      <c r="L465" s="265"/>
      <c r="M465" s="122"/>
      <c r="N465" s="122"/>
      <c r="O465" s="122"/>
      <c r="P465" s="122"/>
      <c r="Q465" s="122"/>
      <c r="R465" s="122"/>
      <c r="S465" s="122"/>
      <c r="T465" s="122"/>
      <c r="U465" s="122"/>
      <c r="DE465" s="2"/>
      <c r="DF465" s="2"/>
      <c r="DG465" s="1065"/>
      <c r="DH465" s="122"/>
      <c r="DI465" s="122"/>
      <c r="DJ465" s="1168"/>
    </row>
    <row r="466" spans="1:114" outlineLevel="1">
      <c r="D466" s="679" t="str">
        <f>C455</f>
        <v>803800_2024_12_</v>
      </c>
      <c r="E466" s="474" t="str">
        <f>E455</f>
        <v>Air Cooled Chiller</v>
      </c>
      <c r="F466" s="2058">
        <v>1</v>
      </c>
      <c r="G466" s="520">
        <f>12/((13.7/3.412)*3.412)</f>
        <v>0.87591240875912402</v>
      </c>
      <c r="H466" s="2041">
        <v>0.57061525112569633</v>
      </c>
      <c r="I466" s="2041">
        <v>1053</v>
      </c>
      <c r="J466" s="2053">
        <f>G466-H466</f>
        <v>0.30529715763342768</v>
      </c>
      <c r="K466" s="2053">
        <v>28</v>
      </c>
    </row>
    <row r="467" spans="1:114" outlineLevel="1">
      <c r="D467" s="679" t="str">
        <f>C456</f>
        <v>803810_2024_12_</v>
      </c>
      <c r="E467" s="474" t="str">
        <f>E456</f>
        <v>Water Cooled Chiller</v>
      </c>
      <c r="F467" s="2058">
        <v>1</v>
      </c>
      <c r="G467" s="520">
        <v>0.54</v>
      </c>
      <c r="H467" s="2041">
        <f>G467*0.8</f>
        <v>0.43200000000000005</v>
      </c>
      <c r="I467" s="2041">
        <v>1053</v>
      </c>
      <c r="J467" s="2053">
        <f>G467-H467</f>
        <v>0.10799999999999998</v>
      </c>
      <c r="K467" s="2053">
        <v>35</v>
      </c>
    </row>
    <row r="468" spans="1:114" outlineLevel="1">
      <c r="D468" s="8" t="s">
        <v>601</v>
      </c>
    </row>
    <row r="469" spans="1:114" outlineLevel="1">
      <c r="D469" s="8" t="s">
        <v>602</v>
      </c>
    </row>
    <row r="470" spans="1:114" outlineLevel="1"/>
    <row r="472" spans="1:114">
      <c r="BE472" s="265"/>
    </row>
    <row r="473" spans="1:114" s="3517" customFormat="1" ht="30">
      <c r="C473" s="3570" t="s">
        <v>42</v>
      </c>
      <c r="D473" s="3570" t="s">
        <v>43</v>
      </c>
      <c r="E473" s="2280" t="s">
        <v>44</v>
      </c>
      <c r="F473" s="2280" t="s">
        <v>589</v>
      </c>
      <c r="G473" s="2280" t="s">
        <v>46</v>
      </c>
      <c r="H473" s="3571" t="s">
        <v>47</v>
      </c>
      <c r="I473" s="2280" t="s">
        <v>48</v>
      </c>
      <c r="J473" s="2280" t="s">
        <v>49</v>
      </c>
      <c r="K473" s="3570" t="s">
        <v>590</v>
      </c>
      <c r="L473" s="3570" t="s">
        <v>51</v>
      </c>
      <c r="M473" s="3528"/>
      <c r="N473" s="3528"/>
      <c r="O473" s="3528"/>
      <c r="P473" s="3528"/>
      <c r="Q473" s="3528"/>
      <c r="R473" s="3528"/>
      <c r="S473" s="3528"/>
      <c r="T473" s="3528"/>
      <c r="U473" s="3528"/>
      <c r="V473" s="2704" t="s">
        <v>52</v>
      </c>
      <c r="W473" s="2705">
        <f>$W$8</f>
        <v>43252</v>
      </c>
      <c r="X473" s="2705">
        <f>$X$8</f>
        <v>43465</v>
      </c>
      <c r="Y473" s="2705">
        <f>$Y$8</f>
        <v>43800</v>
      </c>
      <c r="Z473" s="2705">
        <f>$Z$8</f>
        <v>43862</v>
      </c>
      <c r="AA473" s="2705">
        <f>$AA$8</f>
        <v>44013</v>
      </c>
      <c r="AB473" s="2705">
        <f>$AB$8</f>
        <v>44166</v>
      </c>
      <c r="AC473" s="2705">
        <f>$AC$8</f>
        <v>44531</v>
      </c>
      <c r="AD473" s="2705">
        <f>$AD$8</f>
        <v>44774</v>
      </c>
      <c r="AE473" s="2705">
        <f>$AE$8</f>
        <v>45142</v>
      </c>
      <c r="AF473" s="2705">
        <f>$AF$8</f>
        <v>45672</v>
      </c>
      <c r="AG473" s="2705" t="str">
        <f>$AG$8</f>
        <v>-</v>
      </c>
      <c r="AH473" s="696"/>
      <c r="AI473" s="2704" t="s">
        <v>52</v>
      </c>
      <c r="AJ473" s="2705">
        <v>43252</v>
      </c>
      <c r="AK473" s="2705">
        <f>$X$8</f>
        <v>43465</v>
      </c>
      <c r="AL473" s="2705">
        <f>$Y$8</f>
        <v>43800</v>
      </c>
      <c r="AM473" s="2705">
        <f>$Z$8</f>
        <v>43862</v>
      </c>
      <c r="AN473" s="2705">
        <f>$AA$8</f>
        <v>44013</v>
      </c>
      <c r="AO473" s="2705">
        <f>$AB$8</f>
        <v>44166</v>
      </c>
      <c r="AP473" s="2705">
        <f>$AC$8</f>
        <v>44531</v>
      </c>
      <c r="AQ473" s="2705">
        <f>$AD$8</f>
        <v>44774</v>
      </c>
      <c r="AR473" s="2705">
        <f>$AE$8</f>
        <v>45142</v>
      </c>
      <c r="AS473" s="2705">
        <f>$AF$8</f>
        <v>45672</v>
      </c>
      <c r="AT473" s="2109"/>
      <c r="AU473" s="2704" t="s">
        <v>52</v>
      </c>
      <c r="AV473" s="2705">
        <v>43252</v>
      </c>
      <c r="AW473" s="2705">
        <f>$X$8</f>
        <v>43465</v>
      </c>
      <c r="AX473" s="2705">
        <f>$Y$8</f>
        <v>43800</v>
      </c>
      <c r="AY473" s="2705">
        <f>$Z$8</f>
        <v>43862</v>
      </c>
      <c r="AZ473" s="2705">
        <f>$AA$8</f>
        <v>44013</v>
      </c>
      <c r="BA473" s="2705">
        <v>44166</v>
      </c>
      <c r="BB473" s="2705">
        <f>$AC$8</f>
        <v>44531</v>
      </c>
      <c r="BC473" s="2705">
        <f>$AD$8</f>
        <v>44774</v>
      </c>
      <c r="BD473" s="2705">
        <f>$AE$8</f>
        <v>45142</v>
      </c>
      <c r="BE473" s="2705">
        <f>$AF$8</f>
        <v>45672</v>
      </c>
      <c r="BF473" s="2115"/>
      <c r="BG473" s="2115"/>
      <c r="BH473" s="2115"/>
      <c r="BI473" s="2115"/>
      <c r="BJ473" s="2115"/>
      <c r="BK473" s="2115"/>
      <c r="BL473" s="2115"/>
      <c r="BM473" s="2115"/>
      <c r="BN473" s="2115"/>
      <c r="BO473" s="2115"/>
      <c r="BP473" s="2115"/>
      <c r="BQ473" s="2115"/>
      <c r="BR473" s="2115"/>
      <c r="BS473" s="2115"/>
      <c r="BT473" s="2115"/>
      <c r="BU473" s="2115"/>
      <c r="BV473" s="2115"/>
      <c r="BW473" s="2115"/>
      <c r="BX473" s="2115"/>
      <c r="BY473" s="2115"/>
      <c r="BZ473" s="2115"/>
      <c r="CA473" s="2115"/>
      <c r="CB473" s="2115"/>
      <c r="CC473" s="2115"/>
      <c r="CD473" s="2115"/>
      <c r="CE473" s="2115"/>
      <c r="CF473" s="2115"/>
      <c r="CG473" s="2115"/>
      <c r="CH473" s="2115"/>
      <c r="CI473" s="2115"/>
      <c r="CJ473" s="2115"/>
      <c r="CK473" s="2115"/>
      <c r="CL473" s="2115"/>
      <c r="CM473" s="2115"/>
      <c r="CN473" s="2115"/>
      <c r="CO473" s="2115"/>
      <c r="CP473" s="2115"/>
      <c r="CQ473" s="2115"/>
      <c r="CR473" s="2115"/>
      <c r="CS473" s="2115"/>
      <c r="CT473" s="2115"/>
      <c r="CU473" s="2115"/>
      <c r="CV473" s="2115"/>
      <c r="CW473" s="2115"/>
      <c r="CX473" s="2115"/>
      <c r="CY473" s="2115"/>
      <c r="CZ473" s="2115"/>
      <c r="DA473" s="2115"/>
      <c r="DG473" s="2749" t="str">
        <f>$DG$8</f>
        <v>TRC (2025)</v>
      </c>
      <c r="DH473" s="2750" t="str">
        <f>$DH$8</f>
        <v>Benefit Lookup</v>
      </c>
      <c r="DI473" s="2750" t="str">
        <f>$DI$8</f>
        <v>Benefits (2025 $)</v>
      </c>
      <c r="DJ473" s="3572" t="str">
        <f>$DJ$8</f>
        <v>Incremental Cost (2025 $)</v>
      </c>
    </row>
    <row r="474" spans="1:114" s="3517" customFormat="1">
      <c r="B474" s="2208">
        <f>VALUE(LEFT(C474,6))</f>
        <v>803820</v>
      </c>
      <c r="C474" s="3499" t="s">
        <v>603</v>
      </c>
      <c r="D474" s="3509" t="str">
        <f t="shared" ref="D474:D475" si="122">$D$98</f>
        <v>BSS</v>
      </c>
      <c r="E474" s="3574" t="s">
        <v>604</v>
      </c>
      <c r="F474" s="3510">
        <f>ROUND(F482*(G482)*I482*H482,2)</f>
        <v>50.59</v>
      </c>
      <c r="G474" s="3503" t="s">
        <v>459</v>
      </c>
      <c r="H474" s="3504">
        <f>VLOOKUP(G474,'CP FACTORS'!$A$26:$B$38,2,FALSE)</f>
        <v>9.1068400000000004E-4</v>
      </c>
      <c r="I474" s="3575">
        <f>ROUND(H474*F474,6)</f>
        <v>4.6072000000000002E-2</v>
      </c>
      <c r="J474" s="2687">
        <v>5</v>
      </c>
      <c r="K474" s="3576">
        <v>5</v>
      </c>
      <c r="L474" s="3717" t="s">
        <v>461</v>
      </c>
      <c r="M474" s="3528"/>
      <c r="N474" s="3528"/>
      <c r="O474" s="3528"/>
      <c r="P474" s="3528"/>
      <c r="Q474" s="3528"/>
      <c r="R474" s="3528"/>
      <c r="S474" s="3528"/>
      <c r="T474" s="3528"/>
      <c r="U474" s="3528"/>
      <c r="V474" s="2460" t="str">
        <f>F473</f>
        <v>kWh Annual Savings (per ton)</v>
      </c>
      <c r="W474" s="3531"/>
      <c r="X474" s="3531"/>
      <c r="Y474" s="3531"/>
      <c r="Z474" s="3531"/>
      <c r="AA474" s="3531"/>
      <c r="AB474" s="3561"/>
      <c r="AC474" s="3561"/>
      <c r="AD474" s="3721">
        <v>80.95</v>
      </c>
      <c r="AE474" s="3516">
        <v>80.95</v>
      </c>
      <c r="AF474" s="3510">
        <f>F474</f>
        <v>50.59</v>
      </c>
      <c r="AG474" s="2425"/>
      <c r="AH474" s="696"/>
      <c r="AI474" s="2244" t="s">
        <v>49</v>
      </c>
      <c r="AJ474" s="3531"/>
      <c r="AK474" s="3531"/>
      <c r="AL474" s="3531"/>
      <c r="AM474" s="3531"/>
      <c r="AN474" s="3531"/>
      <c r="AO474" s="3561"/>
      <c r="AP474" s="3561"/>
      <c r="AQ474" s="2664">
        <v>5</v>
      </c>
      <c r="AR474" s="2687">
        <v>5</v>
      </c>
      <c r="AS474" s="2687">
        <v>5</v>
      </c>
      <c r="AT474" s="2109"/>
      <c r="AU474" s="2244" t="str">
        <f>K473</f>
        <v>Inc. Cost (per ton)</v>
      </c>
      <c r="AV474" s="3722"/>
      <c r="AW474" s="3722"/>
      <c r="AX474" s="3722"/>
      <c r="AY474" s="3722"/>
      <c r="AZ474" s="3722"/>
      <c r="BA474" s="3722"/>
      <c r="BB474" s="3722"/>
      <c r="BC474" s="3723">
        <v>5</v>
      </c>
      <c r="BD474" s="3624">
        <v>5</v>
      </c>
      <c r="BE474" s="3624">
        <v>5</v>
      </c>
      <c r="BF474" s="2109"/>
      <c r="BG474" s="2109"/>
      <c r="BH474" s="2109"/>
      <c r="BI474" s="2109"/>
      <c r="BJ474" s="2109"/>
      <c r="BK474" s="2109"/>
      <c r="BL474" s="2109"/>
      <c r="BM474" s="2109"/>
      <c r="BN474" s="2109"/>
      <c r="BO474" s="2109"/>
      <c r="BP474" s="2109"/>
      <c r="BQ474" s="2109"/>
      <c r="BR474" s="2109"/>
      <c r="BS474" s="2109"/>
      <c r="BT474" s="2109"/>
      <c r="BU474" s="2109"/>
      <c r="BV474" s="2109"/>
      <c r="BW474" s="2109"/>
      <c r="BX474" s="2109"/>
      <c r="BY474" s="2109"/>
      <c r="BZ474" s="2109"/>
      <c r="CA474" s="2109"/>
      <c r="CB474" s="2109"/>
      <c r="CC474" s="2109"/>
      <c r="CD474" s="2109"/>
      <c r="CE474" s="696"/>
      <c r="CF474" s="696"/>
      <c r="CG474" s="696"/>
      <c r="CH474" s="696"/>
      <c r="CI474" s="2109"/>
      <c r="CJ474" s="2109"/>
      <c r="CK474" s="2109"/>
      <c r="CL474" s="2109"/>
      <c r="CM474" s="2109"/>
      <c r="CN474" s="2109"/>
      <c r="CO474" s="2109"/>
      <c r="CP474" s="2109"/>
      <c r="CQ474" s="2109"/>
      <c r="CR474" s="2109"/>
      <c r="CS474" s="2109"/>
      <c r="CT474" s="696"/>
      <c r="CU474" s="696"/>
      <c r="CV474" s="696"/>
      <c r="CW474" s="696"/>
      <c r="CX474" s="2109"/>
      <c r="CY474" s="2109"/>
      <c r="CZ474" s="2109"/>
      <c r="DA474" s="2109"/>
      <c r="DG474" s="2603">
        <f>(DI474)/(DJ474)</f>
        <v>8.1411334140015672</v>
      </c>
      <c r="DH474" s="2419" t="str">
        <f>CONCATENATE(G474," ",J474," Year EUL")</f>
        <v>Cooling BUS 5 Year EUL</v>
      </c>
      <c r="DI474" s="3724">
        <f>(INDEX('Avoided Cost Benefits'!$B$4:$B$863,MATCH(DH474,'Avoided Cost Benefits'!$A$4:$A$863,0)))*F474</f>
        <v>40.705667070007834</v>
      </c>
      <c r="DJ474" s="2605">
        <f>K474/(1.0686^(2025-2025))</f>
        <v>5</v>
      </c>
    </row>
    <row r="475" spans="1:114" s="3517" customFormat="1">
      <c r="B475" s="2208">
        <f>VALUE(LEFT(C475,6))</f>
        <v>803825</v>
      </c>
      <c r="C475" s="3499" t="s">
        <v>605</v>
      </c>
      <c r="D475" s="3509" t="str">
        <f t="shared" si="122"/>
        <v>BSS</v>
      </c>
      <c r="E475" s="3574" t="s">
        <v>606</v>
      </c>
      <c r="F475" s="3510">
        <f>ROUND(F483*(G483)*I483*H483,2)</f>
        <v>30.54</v>
      </c>
      <c r="G475" s="3503" t="s">
        <v>459</v>
      </c>
      <c r="H475" s="3504">
        <f>VLOOKUP(G475,'CP FACTORS'!$A$26:$B$38,2,FALSE)</f>
        <v>9.1068400000000004E-4</v>
      </c>
      <c r="I475" s="3575">
        <f>ROUND(H475*F475,6)</f>
        <v>2.7812E-2</v>
      </c>
      <c r="J475" s="2687">
        <v>5</v>
      </c>
      <c r="K475" s="3576">
        <v>5</v>
      </c>
      <c r="L475" s="3717" t="s">
        <v>461</v>
      </c>
      <c r="M475" s="3528"/>
      <c r="N475" s="3528"/>
      <c r="O475" s="3528"/>
      <c r="P475" s="3528"/>
      <c r="Q475" s="3528"/>
      <c r="R475" s="3528"/>
      <c r="S475" s="3528"/>
      <c r="T475" s="3528"/>
      <c r="U475" s="3528"/>
      <c r="V475" s="2460" t="str">
        <f>V474</f>
        <v>kWh Annual Savings (per ton)</v>
      </c>
      <c r="W475" s="3531"/>
      <c r="X475" s="3531"/>
      <c r="Y475" s="3531"/>
      <c r="Z475" s="3531"/>
      <c r="AA475" s="3531"/>
      <c r="AB475" s="3561"/>
      <c r="AC475" s="3561"/>
      <c r="AD475" s="3721">
        <v>48.86</v>
      </c>
      <c r="AE475" s="3516">
        <v>48.86</v>
      </c>
      <c r="AF475" s="3510">
        <f>F475</f>
        <v>30.54</v>
      </c>
      <c r="AG475" s="2425"/>
      <c r="AH475" s="696"/>
      <c r="AI475" s="2244" t="s">
        <v>49</v>
      </c>
      <c r="AJ475" s="3531"/>
      <c r="AK475" s="3531"/>
      <c r="AL475" s="3531"/>
      <c r="AM475" s="3531"/>
      <c r="AN475" s="3531"/>
      <c r="AO475" s="3561"/>
      <c r="AP475" s="3561"/>
      <c r="AQ475" s="2664">
        <v>5</v>
      </c>
      <c r="AR475" s="2687">
        <v>5</v>
      </c>
      <c r="AS475" s="2687">
        <v>5</v>
      </c>
      <c r="AT475" s="2109"/>
      <c r="AU475" s="2244" t="str">
        <f>AU474</f>
        <v>Inc. Cost (per ton)</v>
      </c>
      <c r="AV475" s="3722"/>
      <c r="AW475" s="3722"/>
      <c r="AX475" s="3722"/>
      <c r="AY475" s="3722"/>
      <c r="AZ475" s="3722"/>
      <c r="BA475" s="3722"/>
      <c r="BB475" s="3722"/>
      <c r="BC475" s="3723">
        <v>5</v>
      </c>
      <c r="BD475" s="3624">
        <v>5</v>
      </c>
      <c r="BE475" s="3624">
        <v>5</v>
      </c>
      <c r="BF475" s="2109"/>
      <c r="BG475" s="2109"/>
      <c r="BH475" s="2109"/>
      <c r="BI475" s="2109"/>
      <c r="BJ475" s="2109"/>
      <c r="BK475" s="2109"/>
      <c r="BL475" s="2109"/>
      <c r="BM475" s="2109"/>
      <c r="BN475" s="2109"/>
      <c r="BO475" s="2109"/>
      <c r="BP475" s="2109"/>
      <c r="BQ475" s="2109"/>
      <c r="BR475" s="2109"/>
      <c r="BS475" s="2109"/>
      <c r="BT475" s="2109"/>
      <c r="BU475" s="2109"/>
      <c r="BV475" s="2109"/>
      <c r="BW475" s="2109"/>
      <c r="BX475" s="2109"/>
      <c r="BY475" s="2109"/>
      <c r="BZ475" s="2109"/>
      <c r="CA475" s="2109"/>
      <c r="CB475" s="2109"/>
      <c r="CC475" s="2109"/>
      <c r="CD475" s="2109"/>
      <c r="CE475" s="696"/>
      <c r="CF475" s="696"/>
      <c r="CG475" s="696"/>
      <c r="CH475" s="696"/>
      <c r="CI475" s="2109"/>
      <c r="CJ475" s="2109"/>
      <c r="CK475" s="2109"/>
      <c r="CL475" s="2109"/>
      <c r="CM475" s="2109"/>
      <c r="CN475" s="2109"/>
      <c r="CO475" s="2109"/>
      <c r="CP475" s="2109"/>
      <c r="CQ475" s="2109"/>
      <c r="CR475" s="2109"/>
      <c r="CS475" s="2109"/>
      <c r="CT475" s="696"/>
      <c r="CU475" s="696"/>
      <c r="CV475" s="696"/>
      <c r="CW475" s="696"/>
      <c r="CX475" s="2109"/>
      <c r="CY475" s="2109"/>
      <c r="CZ475" s="2109"/>
      <c r="DA475" s="2109"/>
      <c r="DG475" s="2603">
        <f>(DI475)/(DJ475)</f>
        <v>4.914611869215415</v>
      </c>
      <c r="DH475" s="2419" t="str">
        <f>CONCATENATE(G475," ",J475," Year EUL")</f>
        <v>Cooling BUS 5 Year EUL</v>
      </c>
      <c r="DI475" s="3724">
        <f>(INDEX('Avoided Cost Benefits'!$B$4:$B$863,MATCH(DH475,'Avoided Cost Benefits'!$A$4:$A$863,0)))*F475</f>
        <v>24.573059346077073</v>
      </c>
      <c r="DJ475" s="2605">
        <f>K475/(1.0686^(2025-2025))</f>
        <v>5</v>
      </c>
    </row>
    <row r="476" spans="1:114" s="3517" customFormat="1" outlineLevel="1">
      <c r="C476" s="3564"/>
      <c r="D476" s="2624" t="s">
        <v>118</v>
      </c>
      <c r="E476" s="2360" t="s">
        <v>607</v>
      </c>
      <c r="F476" s="3528"/>
      <c r="G476" s="3663"/>
      <c r="H476" s="3691"/>
      <c r="I476" s="3528"/>
      <c r="J476" s="3528"/>
      <c r="K476" s="3528"/>
      <c r="L476" s="3528"/>
      <c r="M476" s="3528"/>
      <c r="N476" s="3528"/>
      <c r="O476" s="3528"/>
      <c r="P476" s="3528"/>
      <c r="Q476" s="3528"/>
      <c r="R476" s="3528"/>
      <c r="S476" s="3528"/>
      <c r="T476" s="3528"/>
      <c r="U476" s="3528"/>
      <c r="AS476" s="3528"/>
      <c r="BE476" s="3528"/>
      <c r="CG476" s="2237"/>
      <c r="CH476" s="2237"/>
      <c r="CI476" s="2237"/>
      <c r="CJ476" s="2237"/>
      <c r="CW476" s="2237"/>
      <c r="CX476" s="2237"/>
      <c r="CY476" s="2237"/>
      <c r="CZ476" s="2237"/>
      <c r="DG476" s="3551"/>
      <c r="DH476" s="3528"/>
      <c r="DI476" s="3528"/>
      <c r="DJ476" s="3552"/>
    </row>
    <row r="477" spans="1:114" s="3517" customFormat="1" outlineLevel="1">
      <c r="C477" s="3564"/>
      <c r="D477" s="3564" t="s">
        <v>120</v>
      </c>
      <c r="E477" s="3528"/>
      <c r="F477" s="3528"/>
      <c r="G477" s="3663"/>
      <c r="H477" s="3691"/>
      <c r="I477" s="3528"/>
      <c r="J477" s="3528"/>
      <c r="K477" s="3528"/>
      <c r="L477" s="3528"/>
      <c r="M477" s="3528"/>
      <c r="N477" s="3528"/>
      <c r="O477" s="3528"/>
      <c r="P477" s="3528"/>
      <c r="Q477" s="3528"/>
      <c r="R477" s="3528"/>
      <c r="S477" s="3528"/>
      <c r="T477" s="3528"/>
      <c r="U477" s="3528"/>
      <c r="CG477" s="2237"/>
      <c r="CH477" s="2237"/>
      <c r="CI477" s="2237"/>
      <c r="CJ477" s="2237"/>
      <c r="CW477" s="2237"/>
      <c r="CX477" s="2237"/>
      <c r="CY477" s="2237"/>
      <c r="CZ477" s="2237"/>
      <c r="DG477" s="3551"/>
      <c r="DH477" s="3528"/>
      <c r="DI477" s="3528"/>
      <c r="DJ477" s="3552"/>
    </row>
    <row r="478" spans="1:114" s="3517" customFormat="1" outlineLevel="1">
      <c r="C478" s="3564"/>
      <c r="D478" s="3564"/>
      <c r="E478" s="3528"/>
      <c r="F478" s="3528"/>
      <c r="G478" s="3663"/>
      <c r="H478" s="3691"/>
      <c r="I478" s="3528"/>
      <c r="J478" s="3528"/>
      <c r="K478" s="3528"/>
      <c r="L478" s="3528"/>
      <c r="M478" s="3528"/>
      <c r="N478" s="3528"/>
      <c r="O478" s="3528"/>
      <c r="P478" s="3528"/>
      <c r="Q478" s="3528"/>
      <c r="R478" s="3528"/>
      <c r="S478" s="3528"/>
      <c r="T478" s="3528"/>
      <c r="U478" s="3528"/>
      <c r="CG478" s="2237"/>
      <c r="CH478" s="2237"/>
      <c r="CI478" s="2237"/>
      <c r="CJ478" s="2237"/>
      <c r="CW478" s="2237"/>
      <c r="CX478" s="2237"/>
      <c r="CY478" s="2237"/>
      <c r="CZ478" s="2237"/>
      <c r="DG478" s="3551"/>
      <c r="DH478" s="3528"/>
      <c r="DI478" s="3528"/>
      <c r="DJ478" s="3552"/>
    </row>
    <row r="479" spans="1:114" s="3517" customFormat="1" outlineLevel="1">
      <c r="C479" s="3564"/>
      <c r="D479" s="3564"/>
      <c r="E479" s="3528"/>
      <c r="F479" s="3528"/>
      <c r="G479" s="3663"/>
      <c r="H479" s="3691"/>
      <c r="I479" s="3528"/>
      <c r="J479" s="3528"/>
      <c r="K479" s="3528"/>
      <c r="L479" s="3528"/>
      <c r="M479" s="3528"/>
      <c r="N479" s="3528"/>
      <c r="O479" s="3528"/>
      <c r="P479" s="3528"/>
      <c r="Q479" s="3528"/>
      <c r="R479" s="3528"/>
      <c r="S479" s="3528"/>
      <c r="T479" s="3528"/>
      <c r="U479" s="3528"/>
      <c r="CG479" s="2237"/>
      <c r="CH479" s="2237"/>
      <c r="CI479" s="2237"/>
      <c r="CJ479" s="2237"/>
      <c r="CW479" s="2237"/>
      <c r="CX479" s="2237"/>
      <c r="CY479" s="2237"/>
      <c r="CZ479" s="2237"/>
      <c r="DG479" s="3551"/>
      <c r="DH479" s="3528"/>
      <c r="DI479" s="3528"/>
      <c r="DJ479" s="3552"/>
    </row>
    <row r="480" spans="1:114" s="3517" customFormat="1" outlineLevel="1">
      <c r="C480" s="3564"/>
      <c r="D480" s="3564"/>
      <c r="E480" s="3528"/>
      <c r="F480" s="3528"/>
      <c r="G480" s="3663"/>
      <c r="H480" s="3691"/>
      <c r="I480" s="3528"/>
      <c r="J480" s="3528"/>
      <c r="K480" s="3528"/>
      <c r="L480" s="3528"/>
      <c r="M480" s="3528"/>
      <c r="N480" s="3528"/>
      <c r="O480" s="3528"/>
      <c r="P480" s="3528"/>
      <c r="Q480" s="3528"/>
      <c r="R480" s="3528"/>
      <c r="S480" s="3528"/>
      <c r="T480" s="3528"/>
      <c r="U480" s="3528"/>
      <c r="CG480" s="2237"/>
      <c r="CH480" s="2237"/>
      <c r="CI480" s="2237"/>
      <c r="CJ480" s="2237"/>
      <c r="CW480" s="2237"/>
      <c r="CX480" s="2237"/>
      <c r="CY480" s="2237"/>
      <c r="CZ480" s="2237"/>
      <c r="DG480" s="3551"/>
      <c r="DH480" s="3528"/>
      <c r="DI480" s="3528"/>
      <c r="DJ480" s="3552"/>
    </row>
    <row r="481" spans="1:114" s="3517" customFormat="1" outlineLevel="1">
      <c r="C481" s="3564"/>
      <c r="D481" s="3682" t="s">
        <v>42</v>
      </c>
      <c r="E481" s="3682" t="s">
        <v>275</v>
      </c>
      <c r="F481" s="3725" t="s">
        <v>596</v>
      </c>
      <c r="G481" s="3682" t="s">
        <v>597</v>
      </c>
      <c r="H481" s="3682" t="s">
        <v>207</v>
      </c>
      <c r="I481" s="3682" t="s">
        <v>543</v>
      </c>
      <c r="J481" s="3528"/>
      <c r="K481" s="3528"/>
      <c r="L481" s="3528"/>
      <c r="M481" s="3528"/>
      <c r="N481" s="3528"/>
      <c r="O481" s="3528"/>
      <c r="P481" s="3528"/>
      <c r="Q481" s="3528"/>
      <c r="R481" s="3528"/>
      <c r="S481" s="3528"/>
      <c r="T481" s="3528"/>
      <c r="U481" s="3528"/>
      <c r="V481" s="2704" t="s">
        <v>52</v>
      </c>
      <c r="W481" s="2705">
        <f>$W$8</f>
        <v>43252</v>
      </c>
      <c r="X481" s="2705">
        <f>$X$8</f>
        <v>43465</v>
      </c>
      <c r="Y481" s="2705">
        <f>$Y$8</f>
        <v>43800</v>
      </c>
      <c r="Z481" s="2705">
        <f>$Z$8</f>
        <v>43862</v>
      </c>
      <c r="AA481" s="2705">
        <f>$AA$8</f>
        <v>44013</v>
      </c>
      <c r="AB481" s="2705">
        <f>$AB$8</f>
        <v>44166</v>
      </c>
      <c r="AC481" s="2705">
        <f>$AC$8</f>
        <v>44531</v>
      </c>
      <c r="AD481" s="2705">
        <f>$AD$8</f>
        <v>44774</v>
      </c>
      <c r="AE481" s="2705">
        <f>$AE$8</f>
        <v>45142</v>
      </c>
      <c r="AF481" s="2705">
        <f>$AF$8</f>
        <v>45672</v>
      </c>
      <c r="AG481" s="2705" t="str">
        <f>$AG$8</f>
        <v>-</v>
      </c>
      <c r="CG481" s="2237"/>
      <c r="CH481" s="2237"/>
      <c r="CI481" s="2237"/>
      <c r="CJ481" s="2237"/>
      <c r="CW481" s="2237"/>
      <c r="CX481" s="2237"/>
      <c r="CY481" s="2237"/>
      <c r="CZ481" s="2237"/>
      <c r="DG481" s="3551"/>
      <c r="DH481" s="3528"/>
      <c r="DI481" s="3528"/>
      <c r="DJ481" s="3552"/>
    </row>
    <row r="482" spans="1:114" s="3517" customFormat="1" outlineLevel="1">
      <c r="C482" s="3564"/>
      <c r="D482" s="3598" t="str">
        <f>C474</f>
        <v>803820_2024_12_</v>
      </c>
      <c r="E482" s="3599" t="str">
        <f>E474</f>
        <v>Air Cooled Chiller Tune up</v>
      </c>
      <c r="F482" s="3726">
        <v>1</v>
      </c>
      <c r="G482" s="3727">
        <f>12/(3.66*3.412)</f>
        <v>0.96092864143908663</v>
      </c>
      <c r="H482" s="2056">
        <v>0.05</v>
      </c>
      <c r="I482" s="3708">
        <v>1053</v>
      </c>
      <c r="J482" s="3528"/>
      <c r="K482" s="3528"/>
      <c r="L482" s="3528"/>
      <c r="M482" s="3528"/>
      <c r="N482" s="3528"/>
      <c r="O482" s="3528"/>
      <c r="P482" s="3528"/>
      <c r="Q482" s="3528"/>
      <c r="R482" s="3528"/>
      <c r="S482" s="3528"/>
      <c r="T482" s="3528"/>
      <c r="U482" s="3528"/>
      <c r="V482" s="2460" t="s">
        <v>207</v>
      </c>
      <c r="W482" s="3531"/>
      <c r="X482" s="3531"/>
      <c r="Y482" s="3531"/>
      <c r="Z482" s="3531"/>
      <c r="AA482" s="3531"/>
      <c r="AB482" s="3561"/>
      <c r="AC482" s="3561"/>
      <c r="AD482" s="3721">
        <v>0.08</v>
      </c>
      <c r="AE482" s="3516">
        <v>0.08</v>
      </c>
      <c r="AF482" s="3510">
        <v>0.05</v>
      </c>
      <c r="AG482" s="2425"/>
      <c r="CG482" s="2237"/>
      <c r="CH482" s="2237"/>
      <c r="CI482" s="2237"/>
      <c r="CJ482" s="2237"/>
      <c r="CW482" s="2237"/>
      <c r="CX482" s="2237"/>
      <c r="CY482" s="2237"/>
      <c r="CZ482" s="2237"/>
      <c r="DG482" s="3551"/>
      <c r="DH482" s="3528"/>
      <c r="DI482" s="3528"/>
      <c r="DJ482" s="3552"/>
    </row>
    <row r="483" spans="1:114" s="3517" customFormat="1" outlineLevel="1">
      <c r="C483" s="3564"/>
      <c r="D483" s="3598" t="str">
        <f>C475</f>
        <v>803825_2024_12_</v>
      </c>
      <c r="E483" s="3599" t="str">
        <f>E475</f>
        <v>Water Cooled Chiller Tune up</v>
      </c>
      <c r="F483" s="3726">
        <v>1</v>
      </c>
      <c r="G483" s="3727">
        <v>0.57999999999999996</v>
      </c>
      <c r="H483" s="2056">
        <v>0.05</v>
      </c>
      <c r="I483" s="3708">
        <v>1053</v>
      </c>
      <c r="J483" s="3528"/>
      <c r="K483" s="3528"/>
      <c r="L483" s="3528"/>
      <c r="M483" s="3528"/>
      <c r="N483" s="3528"/>
      <c r="O483" s="3528"/>
      <c r="P483" s="3528"/>
      <c r="Q483" s="3528"/>
      <c r="R483" s="3528"/>
      <c r="S483" s="3528"/>
      <c r="T483" s="3528"/>
      <c r="U483" s="3528"/>
      <c r="V483" s="2460" t="str">
        <f>V482</f>
        <v>ESF</v>
      </c>
      <c r="W483" s="3531"/>
      <c r="X483" s="3531"/>
      <c r="Y483" s="3531"/>
      <c r="Z483" s="3531"/>
      <c r="AA483" s="3531"/>
      <c r="AB483" s="3561"/>
      <c r="AC483" s="3561"/>
      <c r="AD483" s="3721">
        <v>0.08</v>
      </c>
      <c r="AE483" s="3516">
        <v>0.08</v>
      </c>
      <c r="AF483" s="3510">
        <v>0.05</v>
      </c>
      <c r="AG483" s="2425"/>
      <c r="CG483" s="2237"/>
      <c r="CH483" s="2237"/>
      <c r="CI483" s="2237"/>
      <c r="CJ483" s="2237"/>
      <c r="CW483" s="2237"/>
      <c r="CX483" s="2237"/>
      <c r="CY483" s="2237"/>
      <c r="CZ483" s="2237"/>
      <c r="DG483" s="3551"/>
      <c r="DH483" s="3528"/>
      <c r="DI483" s="3528"/>
      <c r="DJ483" s="3552"/>
    </row>
    <row r="484" spans="1:114" s="3517" customFormat="1" outlineLevel="1">
      <c r="C484" s="3564"/>
      <c r="D484" s="3564" t="s">
        <v>608</v>
      </c>
      <c r="E484" s="3528"/>
      <c r="F484" s="3528"/>
      <c r="G484" s="3663"/>
      <c r="H484" s="3691"/>
      <c r="I484" s="3528"/>
      <c r="J484" s="3528"/>
      <c r="K484" s="3528"/>
      <c r="L484" s="3528"/>
      <c r="M484" s="3528"/>
      <c r="N484" s="3528"/>
      <c r="O484" s="3528"/>
      <c r="P484" s="3528"/>
      <c r="Q484" s="3528"/>
      <c r="R484" s="3528"/>
      <c r="S484" s="3528"/>
      <c r="T484" s="3528"/>
      <c r="U484" s="3528"/>
      <c r="CG484" s="2237"/>
      <c r="CH484" s="2237"/>
      <c r="CI484" s="2237"/>
      <c r="CJ484" s="2237"/>
      <c r="CW484" s="2237"/>
      <c r="CX484" s="2237"/>
      <c r="CY484" s="2237"/>
      <c r="CZ484" s="2237"/>
      <c r="DG484" s="3551"/>
      <c r="DH484" s="3528"/>
      <c r="DI484" s="3528"/>
      <c r="DJ484" s="3552"/>
    </row>
    <row r="485" spans="1:114" s="3517" customFormat="1">
      <c r="C485" s="3564"/>
      <c r="D485" s="3564"/>
      <c r="E485" s="3528"/>
      <c r="F485" s="3528"/>
      <c r="G485" s="3663"/>
      <c r="H485" s="3691"/>
      <c r="I485" s="3528"/>
      <c r="J485" s="3528"/>
      <c r="K485" s="3528"/>
      <c r="L485" s="3528"/>
      <c r="M485" s="3528"/>
      <c r="N485" s="3528"/>
      <c r="O485" s="3528"/>
      <c r="P485" s="3528"/>
      <c r="Q485" s="3528"/>
      <c r="R485" s="3528"/>
      <c r="S485" s="3528"/>
      <c r="T485" s="3528"/>
      <c r="U485" s="3528"/>
      <c r="CG485" s="2237"/>
      <c r="CH485" s="2237"/>
      <c r="CI485" s="2237"/>
      <c r="CJ485" s="2237"/>
      <c r="CW485" s="2237"/>
      <c r="CX485" s="2237"/>
      <c r="CY485" s="2237"/>
      <c r="CZ485" s="2237"/>
      <c r="DG485" s="3551"/>
      <c r="DH485" s="3528"/>
      <c r="DI485" s="3528"/>
      <c r="DJ485" s="3552"/>
    </row>
    <row r="487" spans="1:114" s="2109" customFormat="1" ht="60">
      <c r="A487" s="3517"/>
      <c r="B487" s="2112"/>
      <c r="C487" s="3728" t="s">
        <v>42</v>
      </c>
      <c r="D487" s="3728" t="s">
        <v>43</v>
      </c>
      <c r="E487" s="3729" t="s">
        <v>44</v>
      </c>
      <c r="F487" s="3729" t="s">
        <v>609</v>
      </c>
      <c r="G487" s="3729" t="s">
        <v>610</v>
      </c>
      <c r="H487" s="3729" t="s">
        <v>611</v>
      </c>
      <c r="I487" s="3729" t="s">
        <v>46</v>
      </c>
      <c r="J487" s="3729" t="s">
        <v>46</v>
      </c>
      <c r="K487" s="3730" t="s">
        <v>47</v>
      </c>
      <c r="L487" s="3729" t="s">
        <v>48</v>
      </c>
      <c r="M487" s="3729" t="s">
        <v>49</v>
      </c>
      <c r="N487" s="3728" t="s">
        <v>612</v>
      </c>
      <c r="O487" s="3728" t="s">
        <v>51</v>
      </c>
      <c r="V487" s="2704" t="s">
        <v>52</v>
      </c>
      <c r="W487" s="2705">
        <f>$W$8</f>
        <v>43252</v>
      </c>
      <c r="X487" s="2705">
        <f>$X$8</f>
        <v>43465</v>
      </c>
      <c r="Y487" s="2705">
        <f>$Y$8</f>
        <v>43800</v>
      </c>
      <c r="Z487" s="2705">
        <f>$Z$8</f>
        <v>43862</v>
      </c>
      <c r="AA487" s="2705">
        <f>$AA$8</f>
        <v>44013</v>
      </c>
      <c r="AB487" s="2705">
        <f>$AB$8</f>
        <v>44166</v>
      </c>
      <c r="AC487" s="2705">
        <f>$AC$8</f>
        <v>44531</v>
      </c>
      <c r="AD487" s="2705">
        <f>$AD$8</f>
        <v>44774</v>
      </c>
      <c r="AE487" s="2705">
        <f>$AE$8</f>
        <v>45142</v>
      </c>
      <c r="AF487" s="2705">
        <f>$AF$8</f>
        <v>45672</v>
      </c>
      <c r="AG487" s="2705" t="str">
        <f>$AG$8</f>
        <v>-</v>
      </c>
      <c r="AI487" s="2704" t="s">
        <v>52</v>
      </c>
      <c r="AJ487" s="2705">
        <v>43252</v>
      </c>
      <c r="AK487" s="2705">
        <f>$X$8</f>
        <v>43465</v>
      </c>
      <c r="AL487" s="2705">
        <f>$Y$8</f>
        <v>43800</v>
      </c>
      <c r="AM487" s="2705">
        <f>$Z$8</f>
        <v>43862</v>
      </c>
      <c r="AN487" s="2705">
        <f>$AA$8</f>
        <v>44013</v>
      </c>
      <c r="AO487" s="2705">
        <f>$AB$8</f>
        <v>44166</v>
      </c>
      <c r="AP487" s="2705">
        <f>$AC$8</f>
        <v>44531</v>
      </c>
      <c r="AQ487" s="2705">
        <f>$AD$8</f>
        <v>44774</v>
      </c>
      <c r="AR487" s="2705">
        <f>$AE$8</f>
        <v>45142</v>
      </c>
      <c r="AS487" s="2705">
        <f>$AF$8</f>
        <v>45672</v>
      </c>
      <c r="AU487" s="2704" t="s">
        <v>52</v>
      </c>
      <c r="AV487" s="2705">
        <v>43252</v>
      </c>
      <c r="AW487" s="2705">
        <f>$X$8</f>
        <v>43465</v>
      </c>
      <c r="AX487" s="2705">
        <f>$Y$8</f>
        <v>43800</v>
      </c>
      <c r="AY487" s="2705">
        <f>$Z$8</f>
        <v>43862</v>
      </c>
      <c r="AZ487" s="2705">
        <f>$AA$8</f>
        <v>44013</v>
      </c>
      <c r="BA487" s="2705">
        <v>44166</v>
      </c>
      <c r="BB487" s="2705">
        <f>$AC$8</f>
        <v>44531</v>
      </c>
      <c r="BC487" s="2705">
        <f>$AD$8</f>
        <v>44774</v>
      </c>
      <c r="BD487" s="2705">
        <f>$AE$8</f>
        <v>45142</v>
      </c>
      <c r="BE487" s="2705">
        <f>$AF$8</f>
        <v>45672</v>
      </c>
      <c r="BF487" s="2115"/>
      <c r="BG487" s="2115"/>
      <c r="BH487" s="2115"/>
      <c r="BI487" s="2115"/>
      <c r="BJ487" s="2115"/>
      <c r="BK487" s="2115"/>
      <c r="BL487" s="2115"/>
      <c r="BM487" s="2115"/>
      <c r="BN487" s="2115"/>
      <c r="BO487" s="2115"/>
      <c r="BP487" s="2115"/>
      <c r="BQ487" s="2115"/>
      <c r="BR487" s="2115"/>
      <c r="BS487" s="2115"/>
      <c r="BT487" s="2115"/>
      <c r="BU487" s="2115"/>
      <c r="BV487" s="2115"/>
      <c r="BW487" s="2115"/>
      <c r="BX487" s="2115"/>
      <c r="BY487" s="2115"/>
      <c r="BZ487" s="2115"/>
      <c r="CA487" s="2115"/>
      <c r="CB487" s="2115"/>
      <c r="CC487" s="2115"/>
      <c r="CD487" s="2115"/>
      <c r="CE487" s="2115"/>
      <c r="CF487" s="2115"/>
      <c r="CG487" s="2115"/>
      <c r="CH487" s="2115"/>
      <c r="CI487" s="2115"/>
      <c r="CJ487" s="2115"/>
      <c r="CK487" s="2115"/>
      <c r="CL487" s="2115"/>
      <c r="CM487" s="2115"/>
      <c r="CN487" s="2115"/>
      <c r="CO487" s="2115"/>
      <c r="CP487" s="2115"/>
      <c r="CQ487" s="2115"/>
      <c r="CR487" s="2115"/>
      <c r="CS487" s="2115"/>
      <c r="CT487" s="2115"/>
      <c r="CU487" s="2115"/>
      <c r="CV487" s="2115"/>
      <c r="CW487" s="2115"/>
      <c r="CX487" s="2115"/>
      <c r="CY487" s="2115"/>
      <c r="CZ487" s="2115"/>
      <c r="DA487" s="2115"/>
      <c r="DB487" s="3517"/>
      <c r="DC487" s="3517"/>
      <c r="DD487" s="3517"/>
      <c r="DE487" s="3517"/>
      <c r="DF487" s="3517"/>
      <c r="DG487" s="2749" t="str">
        <f>$DG$8</f>
        <v>TRC (2025)</v>
      </c>
      <c r="DH487" s="2750" t="str">
        <f>$DH$8</f>
        <v>Benefit Lookup</v>
      </c>
      <c r="DI487" s="2750" t="str">
        <f>$DI$8</f>
        <v>Benefits (2025 $)</v>
      </c>
      <c r="DJ487" s="3572" t="str">
        <f>$DJ$8</f>
        <v>Incremental Cost (2025 $)</v>
      </c>
    </row>
    <row r="488" spans="1:114" s="2109" customFormat="1">
      <c r="A488" s="3517"/>
      <c r="B488" s="2208">
        <f t="shared" ref="B488:B493" si="123">VALUE(LEFT(C488,6))</f>
        <v>803835</v>
      </c>
      <c r="C488" s="3499" t="s">
        <v>613</v>
      </c>
      <c r="D488" s="3575" t="s">
        <v>192</v>
      </c>
      <c r="E488" s="3639" t="s">
        <v>614</v>
      </c>
      <c r="F488" s="3617">
        <f>H488+G488</f>
        <v>72.321428571428555</v>
      </c>
      <c r="G488" s="3731">
        <f>1*(1/G505-1/H505)*K505</f>
        <v>72.321428571428555</v>
      </c>
      <c r="H488" s="3617"/>
      <c r="I488" s="3509" t="s">
        <v>459</v>
      </c>
      <c r="J488" s="3509"/>
      <c r="K488" s="3511">
        <v>9.1068395835808389E-4</v>
      </c>
      <c r="L488" s="3505">
        <f>ROUND(K488*G488,6)</f>
        <v>6.5862000000000004E-2</v>
      </c>
      <c r="M488" s="2664">
        <v>20</v>
      </c>
      <c r="N488" s="3513">
        <f>1/$N$507/12*400*2</f>
        <v>111.11111111111111</v>
      </c>
      <c r="O488" s="3732" t="s">
        <v>615</v>
      </c>
      <c r="V488" s="2857" t="str">
        <f t="shared" ref="V488:V493" si="124">F$487</f>
        <v>Total kWh Annual Savings
kWh per lb/hr</v>
      </c>
      <c r="W488" s="3531"/>
      <c r="X488" s="3531"/>
      <c r="Y488" s="3531"/>
      <c r="Z488" s="3531"/>
      <c r="AA488" s="3531"/>
      <c r="AB488" s="3561"/>
      <c r="AC488" s="3561"/>
      <c r="AD488" s="3561"/>
      <c r="AE488" s="3561"/>
      <c r="AF488" s="3510">
        <f t="shared" ref="AF488:AF493" si="125">F488</f>
        <v>72.321428571428555</v>
      </c>
      <c r="AG488" s="2425"/>
      <c r="AI488" s="2244" t="s">
        <v>49</v>
      </c>
      <c r="AJ488" s="3531"/>
      <c r="AK488" s="3531"/>
      <c r="AL488" s="3531"/>
      <c r="AM488" s="3531"/>
      <c r="AN488" s="3531"/>
      <c r="AO488" s="3561"/>
      <c r="AP488" s="3561"/>
      <c r="AQ488" s="3561"/>
      <c r="AR488" s="3561"/>
      <c r="AS488" s="2664">
        <v>20</v>
      </c>
      <c r="AU488" s="2244" t="str">
        <f t="shared" ref="AU488:AU493" si="126">N$487</f>
        <v xml:space="preserve">Inc. Cost    </v>
      </c>
      <c r="AV488" s="3722"/>
      <c r="AW488" s="3722"/>
      <c r="AX488" s="3722"/>
      <c r="AY488" s="3722"/>
      <c r="AZ488" s="3722"/>
      <c r="BA488" s="3722"/>
      <c r="BB488" s="3722"/>
      <c r="BC488" s="3722"/>
      <c r="BD488" s="3722"/>
      <c r="BE488" s="3625">
        <f t="shared" ref="BE488:BE493" si="127">N488</f>
        <v>111.11111111111111</v>
      </c>
      <c r="CE488" s="696"/>
      <c r="CF488" s="696"/>
      <c r="CG488" s="696"/>
      <c r="CH488" s="696"/>
      <c r="CT488" s="696"/>
      <c r="CU488" s="696"/>
      <c r="CV488" s="696"/>
      <c r="CW488" s="696"/>
      <c r="DB488" s="3517"/>
      <c r="DC488" s="3517"/>
      <c r="DD488" s="3517"/>
      <c r="DE488" s="3517"/>
      <c r="DF488" s="3517"/>
      <c r="DG488" s="2603">
        <f t="shared" ref="DG488:DG493" si="128">(DI488)/(DJ488)</f>
        <v>1.5148717028335119</v>
      </c>
      <c r="DH488" s="2419" t="str">
        <f t="shared" ref="DH488:DH493" si="129">CONCATENATE(I488," ",M488," Year EUL")</f>
        <v>Cooling BUS 20 Year EUL</v>
      </c>
      <c r="DI488" s="3733">
        <f>(INDEX('Avoided Cost Benefits'!$B$4:$B$863,MATCH(DH488,'Avoided Cost Benefits'!$A$4:$A$863,0)))*F488</f>
        <v>168.31907809261244</v>
      </c>
      <c r="DJ488" s="3734">
        <f t="shared" ref="DJ488:DJ493" si="130">N488/(1.0686^(2025-2025))</f>
        <v>111.11111111111111</v>
      </c>
    </row>
    <row r="489" spans="1:114" s="2109" customFormat="1">
      <c r="A489" s="3517"/>
      <c r="B489" s="2208">
        <f t="shared" si="123"/>
        <v>803837</v>
      </c>
      <c r="C489" s="3499" t="s">
        <v>616</v>
      </c>
      <c r="D489" s="3575" t="s">
        <v>192</v>
      </c>
      <c r="E489" s="3639" t="s">
        <v>617</v>
      </c>
      <c r="F489" s="3617">
        <f t="shared" ref="F489:F493" si="131">H489+G489</f>
        <v>102.68796992481201</v>
      </c>
      <c r="G489" s="3731">
        <f>1*(1/G506-1/H506)*L506</f>
        <v>102.68796992481201</v>
      </c>
      <c r="H489" s="3617"/>
      <c r="I489" s="3509" t="s">
        <v>459</v>
      </c>
      <c r="J489" s="3509"/>
      <c r="K489" s="3511">
        <v>9.1068395835808389E-4</v>
      </c>
      <c r="L489" s="3505">
        <f t="shared" ref="L489:L493" si="132">ROUND(K489*G489,6)</f>
        <v>9.3516000000000002E-2</v>
      </c>
      <c r="M489" s="2664">
        <v>20</v>
      </c>
      <c r="N489" s="3513">
        <f t="shared" ref="N489:N490" si="133">1/$N$507/12*400*2</f>
        <v>111.11111111111111</v>
      </c>
      <c r="O489" s="3732" t="s">
        <v>615</v>
      </c>
      <c r="V489" s="2857" t="str">
        <f t="shared" si="124"/>
        <v>Total kWh Annual Savings
kWh per lb/hr</v>
      </c>
      <c r="W489" s="3531"/>
      <c r="X489" s="3531"/>
      <c r="Y489" s="3531"/>
      <c r="Z489" s="3531"/>
      <c r="AA489" s="3531"/>
      <c r="AB489" s="3561"/>
      <c r="AC489" s="3561"/>
      <c r="AD489" s="3561"/>
      <c r="AE489" s="3561"/>
      <c r="AF489" s="3510">
        <f t="shared" si="125"/>
        <v>102.68796992481201</v>
      </c>
      <c r="AG489" s="2425"/>
      <c r="AI489" s="2244" t="s">
        <v>49</v>
      </c>
      <c r="AJ489" s="3531"/>
      <c r="AK489" s="3531"/>
      <c r="AL489" s="3531"/>
      <c r="AM489" s="3531"/>
      <c r="AN489" s="3531"/>
      <c r="AO489" s="3561"/>
      <c r="AP489" s="3561"/>
      <c r="AQ489" s="3561"/>
      <c r="AR489" s="3561"/>
      <c r="AS489" s="2664">
        <v>20</v>
      </c>
      <c r="AU489" s="2244" t="str">
        <f t="shared" si="126"/>
        <v xml:space="preserve">Inc. Cost    </v>
      </c>
      <c r="AV489" s="3722"/>
      <c r="AW489" s="3722"/>
      <c r="AX489" s="3722"/>
      <c r="AY489" s="3722"/>
      <c r="AZ489" s="3722"/>
      <c r="BA489" s="3722"/>
      <c r="BB489" s="3722"/>
      <c r="BC489" s="3722"/>
      <c r="BD489" s="3722"/>
      <c r="BE489" s="3625">
        <f t="shared" si="127"/>
        <v>111.11111111111111</v>
      </c>
      <c r="CG489" s="696"/>
      <c r="CH489" s="696"/>
      <c r="CI489" s="696"/>
      <c r="CJ489" s="696"/>
      <c r="CW489" s="696"/>
      <c r="CX489" s="696"/>
      <c r="CY489" s="696"/>
      <c r="CZ489" s="696"/>
      <c r="DG489" s="2603">
        <f t="shared" si="128"/>
        <v>2.1509406400466475</v>
      </c>
      <c r="DH489" s="2419" t="str">
        <f t="shared" si="129"/>
        <v>Cooling BUS 20 Year EUL</v>
      </c>
      <c r="DI489" s="3733">
        <f>(INDEX('Avoided Cost Benefits'!$B$4:$B$863,MATCH(DH489,'Avoided Cost Benefits'!$A$4:$A$863,0)))*F489</f>
        <v>238.99340444962752</v>
      </c>
      <c r="DJ489" s="3734">
        <f t="shared" si="130"/>
        <v>111.11111111111111</v>
      </c>
    </row>
    <row r="490" spans="1:114" s="2109" customFormat="1">
      <c r="A490" s="3517"/>
      <c r="B490" s="2208">
        <f t="shared" si="123"/>
        <v>803839</v>
      </c>
      <c r="C490" s="3499" t="s">
        <v>618</v>
      </c>
      <c r="D490" s="3575" t="s">
        <v>192</v>
      </c>
      <c r="E490" s="3639" t="s">
        <v>619</v>
      </c>
      <c r="F490" s="3617">
        <f t="shared" si="131"/>
        <v>154.87296376216324</v>
      </c>
      <c r="G490" s="3731">
        <f>1*(1/G507-1/H507)*L507</f>
        <v>102.68796992481201</v>
      </c>
      <c r="H490" s="3617">
        <f>1*(1/(I507*3.412)-1/(J507*3.412))*M507*N507</f>
        <v>52.184993837351229</v>
      </c>
      <c r="I490" s="3509" t="s">
        <v>459</v>
      </c>
      <c r="J490" s="3509" t="s">
        <v>460</v>
      </c>
      <c r="K490" s="3511">
        <v>9.1068395835808389E-4</v>
      </c>
      <c r="L490" s="3505">
        <f>ROUND(K490*G490,6)</f>
        <v>9.3516000000000002E-2</v>
      </c>
      <c r="M490" s="2664">
        <v>20</v>
      </c>
      <c r="N490" s="3513">
        <f t="shared" si="133"/>
        <v>111.11111111111111</v>
      </c>
      <c r="O490" s="3732" t="s">
        <v>615</v>
      </c>
      <c r="V490" s="2857" t="str">
        <f t="shared" si="124"/>
        <v>Total kWh Annual Savings
kWh per lb/hr</v>
      </c>
      <c r="W490" s="3531"/>
      <c r="X490" s="3531"/>
      <c r="Y490" s="3531"/>
      <c r="Z490" s="3531"/>
      <c r="AA490" s="3531"/>
      <c r="AB490" s="3561"/>
      <c r="AC490" s="3561"/>
      <c r="AD490" s="3561"/>
      <c r="AE490" s="3561"/>
      <c r="AF490" s="3510">
        <f t="shared" si="125"/>
        <v>154.87296376216324</v>
      </c>
      <c r="AG490" s="2425"/>
      <c r="AI490" s="2244" t="s">
        <v>49</v>
      </c>
      <c r="AJ490" s="3531"/>
      <c r="AK490" s="3531"/>
      <c r="AL490" s="3531"/>
      <c r="AM490" s="3531"/>
      <c r="AN490" s="3531"/>
      <c r="AO490" s="3561"/>
      <c r="AP490" s="3561"/>
      <c r="AQ490" s="3561"/>
      <c r="AR490" s="3561"/>
      <c r="AS490" s="2664">
        <v>20</v>
      </c>
      <c r="AU490" s="2244" t="str">
        <f t="shared" si="126"/>
        <v xml:space="preserve">Inc. Cost    </v>
      </c>
      <c r="AV490" s="3722"/>
      <c r="AW490" s="3722"/>
      <c r="AX490" s="3722"/>
      <c r="AY490" s="3722"/>
      <c r="AZ490" s="3722"/>
      <c r="BA490" s="3722"/>
      <c r="BB490" s="3722"/>
      <c r="BC490" s="3722"/>
      <c r="BD490" s="3722"/>
      <c r="BE490" s="3625">
        <f t="shared" si="127"/>
        <v>111.11111111111111</v>
      </c>
      <c r="CG490" s="696"/>
      <c r="CH490" s="696"/>
      <c r="CI490" s="696"/>
      <c r="CJ490" s="696"/>
      <c r="CW490" s="696"/>
      <c r="CX490" s="696"/>
      <c r="CY490" s="696"/>
      <c r="CZ490" s="696"/>
      <c r="DG490" s="2603">
        <f t="shared" si="128"/>
        <v>3.2440270466386716</v>
      </c>
      <c r="DH490" s="2419" t="str">
        <f t="shared" si="129"/>
        <v>Cooling BUS 20 Year EUL</v>
      </c>
      <c r="DI490" s="3733">
        <f>(INDEX('Avoided Cost Benefits'!$B$4:$B$863,MATCH(DH490,'Avoided Cost Benefits'!$A$4:$A$863,0)))*F490</f>
        <v>360.44744962651907</v>
      </c>
      <c r="DJ490" s="3734">
        <f t="shared" si="130"/>
        <v>111.11111111111111</v>
      </c>
    </row>
    <row r="491" spans="1:114" s="2109" customFormat="1">
      <c r="A491" s="3517"/>
      <c r="B491" s="2208">
        <f t="shared" si="123"/>
        <v>803841</v>
      </c>
      <c r="C491" s="3499" t="s">
        <v>620</v>
      </c>
      <c r="D491" s="3575" t="s">
        <v>192</v>
      </c>
      <c r="E491" s="3639" t="s">
        <v>621</v>
      </c>
      <c r="F491" s="3617">
        <f t="shared" si="131"/>
        <v>72.321428571428555</v>
      </c>
      <c r="G491" s="3731">
        <f>1*(1/G508-1/H508)*K508</f>
        <v>72.321428571428555</v>
      </c>
      <c r="H491" s="3617"/>
      <c r="I491" s="3509" t="s">
        <v>459</v>
      </c>
      <c r="J491" s="3509"/>
      <c r="K491" s="3511">
        <v>9.1068395835808389E-4</v>
      </c>
      <c r="L491" s="3505">
        <f t="shared" si="132"/>
        <v>6.5862000000000004E-2</v>
      </c>
      <c r="M491" s="2664">
        <v>20</v>
      </c>
      <c r="N491" s="3513">
        <f>1/$N$507/12*400*4.6</f>
        <v>255.55555555555554</v>
      </c>
      <c r="O491" s="3732" t="s">
        <v>615</v>
      </c>
      <c r="V491" s="2857" t="str">
        <f t="shared" si="124"/>
        <v>Total kWh Annual Savings
kWh per lb/hr</v>
      </c>
      <c r="W491" s="3531"/>
      <c r="X491" s="3531"/>
      <c r="Y491" s="3531"/>
      <c r="Z491" s="3531"/>
      <c r="AA491" s="3531"/>
      <c r="AB491" s="3561"/>
      <c r="AC491" s="3561"/>
      <c r="AD491" s="3561"/>
      <c r="AE491" s="3561"/>
      <c r="AF491" s="3510">
        <f t="shared" si="125"/>
        <v>72.321428571428555</v>
      </c>
      <c r="AG491" s="2425"/>
      <c r="AI491" s="2244" t="s">
        <v>49</v>
      </c>
      <c r="AJ491" s="3531"/>
      <c r="AK491" s="3531"/>
      <c r="AL491" s="3531"/>
      <c r="AM491" s="3531"/>
      <c r="AN491" s="3531"/>
      <c r="AO491" s="3561"/>
      <c r="AP491" s="3561"/>
      <c r="AQ491" s="3561"/>
      <c r="AR491" s="3561"/>
      <c r="AS491" s="2664">
        <v>20</v>
      </c>
      <c r="AU491" s="2244" t="str">
        <f t="shared" si="126"/>
        <v xml:space="preserve">Inc. Cost    </v>
      </c>
      <c r="AV491" s="3722"/>
      <c r="AW491" s="3722"/>
      <c r="AX491" s="3722"/>
      <c r="AY491" s="3722"/>
      <c r="AZ491" s="3722"/>
      <c r="BA491" s="3722"/>
      <c r="BB491" s="3722"/>
      <c r="BC491" s="3722"/>
      <c r="BD491" s="3722"/>
      <c r="BE491" s="3625">
        <f t="shared" si="127"/>
        <v>255.55555555555554</v>
      </c>
      <c r="CG491" s="696"/>
      <c r="CH491" s="696"/>
      <c r="CI491" s="696"/>
      <c r="CJ491" s="696"/>
      <c r="CW491" s="696"/>
      <c r="CX491" s="696"/>
      <c r="CY491" s="696"/>
      <c r="CZ491" s="696"/>
      <c r="DG491" s="2603">
        <f t="shared" si="128"/>
        <v>0.65863987079717912</v>
      </c>
      <c r="DH491" s="2419" t="str">
        <f t="shared" si="129"/>
        <v>Cooling BUS 20 Year EUL</v>
      </c>
      <c r="DI491" s="3733">
        <f>(INDEX('Avoided Cost Benefits'!$B$4:$B$863,MATCH(DH491,'Avoided Cost Benefits'!$A$4:$A$863,0)))*F491</f>
        <v>168.31907809261244</v>
      </c>
      <c r="DJ491" s="3734">
        <f t="shared" si="130"/>
        <v>255.55555555555554</v>
      </c>
    </row>
    <row r="492" spans="1:114" s="2109" customFormat="1">
      <c r="A492" s="3517"/>
      <c r="B492" s="2208">
        <f t="shared" si="123"/>
        <v>803843</v>
      </c>
      <c r="C492" s="3499" t="s">
        <v>622</v>
      </c>
      <c r="D492" s="3575" t="s">
        <v>192</v>
      </c>
      <c r="E492" s="3639" t="s">
        <v>623</v>
      </c>
      <c r="F492" s="3617">
        <f t="shared" si="131"/>
        <v>102.68796992481201</v>
      </c>
      <c r="G492" s="3731">
        <f>1*(1/G509-1/H509)*L509</f>
        <v>102.68796992481201</v>
      </c>
      <c r="H492" s="3617"/>
      <c r="I492" s="3509" t="s">
        <v>459</v>
      </c>
      <c r="J492" s="3509"/>
      <c r="K492" s="3511">
        <v>9.1068395835808389E-4</v>
      </c>
      <c r="L492" s="3505">
        <f t="shared" si="132"/>
        <v>9.3516000000000002E-2</v>
      </c>
      <c r="M492" s="2664">
        <v>20</v>
      </c>
      <c r="N492" s="3513">
        <f t="shared" ref="N492:N493" si="134">1/$N$507/12*400*4.6</f>
        <v>255.55555555555554</v>
      </c>
      <c r="O492" s="3732" t="s">
        <v>615</v>
      </c>
      <c r="V492" s="2857" t="str">
        <f t="shared" si="124"/>
        <v>Total kWh Annual Savings
kWh per lb/hr</v>
      </c>
      <c r="W492" s="3531"/>
      <c r="X492" s="3531"/>
      <c r="Y492" s="3531"/>
      <c r="Z492" s="3531"/>
      <c r="AA492" s="3531"/>
      <c r="AB492" s="3561"/>
      <c r="AC492" s="3561"/>
      <c r="AD492" s="3561"/>
      <c r="AE492" s="3561"/>
      <c r="AF492" s="3510">
        <f t="shared" si="125"/>
        <v>102.68796992481201</v>
      </c>
      <c r="AG492" s="2425"/>
      <c r="AI492" s="2244" t="s">
        <v>49</v>
      </c>
      <c r="AJ492" s="3531"/>
      <c r="AK492" s="3531"/>
      <c r="AL492" s="3531"/>
      <c r="AM492" s="3531"/>
      <c r="AN492" s="3531"/>
      <c r="AO492" s="3561"/>
      <c r="AP492" s="3561"/>
      <c r="AQ492" s="3561"/>
      <c r="AR492" s="3561"/>
      <c r="AS492" s="2664">
        <v>20</v>
      </c>
      <c r="AU492" s="2244" t="str">
        <f t="shared" si="126"/>
        <v xml:space="preserve">Inc. Cost    </v>
      </c>
      <c r="AV492" s="3722"/>
      <c r="AW492" s="3722"/>
      <c r="AX492" s="3722"/>
      <c r="AY492" s="3722"/>
      <c r="AZ492" s="3722"/>
      <c r="BA492" s="3722"/>
      <c r="BB492" s="3722"/>
      <c r="BC492" s="3722"/>
      <c r="BD492" s="3722"/>
      <c r="BE492" s="3625">
        <f t="shared" si="127"/>
        <v>255.55555555555554</v>
      </c>
      <c r="CG492" s="696"/>
      <c r="CH492" s="696"/>
      <c r="CI492" s="696"/>
      <c r="CJ492" s="696"/>
      <c r="CW492" s="696"/>
      <c r="CX492" s="696"/>
      <c r="CY492" s="696"/>
      <c r="CZ492" s="696"/>
      <c r="DG492" s="2603">
        <f t="shared" si="128"/>
        <v>0.93519158262897728</v>
      </c>
      <c r="DH492" s="2419" t="str">
        <f t="shared" si="129"/>
        <v>Cooling BUS 20 Year EUL</v>
      </c>
      <c r="DI492" s="3733">
        <f>(INDEX('Avoided Cost Benefits'!$B$4:$B$863,MATCH(DH492,'Avoided Cost Benefits'!$A$4:$A$863,0)))*F492</f>
        <v>238.99340444962752</v>
      </c>
      <c r="DJ492" s="3734">
        <f t="shared" si="130"/>
        <v>255.55555555555554</v>
      </c>
    </row>
    <row r="493" spans="1:114" s="2109" customFormat="1">
      <c r="A493" s="3517"/>
      <c r="B493" s="2208">
        <f t="shared" si="123"/>
        <v>803845</v>
      </c>
      <c r="C493" s="3499" t="s">
        <v>624</v>
      </c>
      <c r="D493" s="3575" t="s">
        <v>192</v>
      </c>
      <c r="E493" s="3639" t="s">
        <v>625</v>
      </c>
      <c r="F493" s="3617">
        <f t="shared" si="131"/>
        <v>170.45537368670566</v>
      </c>
      <c r="G493" s="3731">
        <f>1*(1/G510-1/H510)*L510</f>
        <v>102.68796992481201</v>
      </c>
      <c r="H493" s="3617">
        <f>1*(1/(I510*3.412)-1/(J510*3.412))*M510*N510</f>
        <v>67.767403761893647</v>
      </c>
      <c r="I493" s="3509" t="s">
        <v>459</v>
      </c>
      <c r="J493" s="3509" t="s">
        <v>460</v>
      </c>
      <c r="K493" s="3511">
        <v>9.1068395835808389E-4</v>
      </c>
      <c r="L493" s="3505">
        <f t="shared" si="132"/>
        <v>9.3516000000000002E-2</v>
      </c>
      <c r="M493" s="2664">
        <v>20</v>
      </c>
      <c r="N493" s="3513">
        <f t="shared" si="134"/>
        <v>255.55555555555554</v>
      </c>
      <c r="O493" s="3732" t="s">
        <v>615</v>
      </c>
      <c r="V493" s="2857" t="str">
        <f t="shared" si="124"/>
        <v>Total kWh Annual Savings
kWh per lb/hr</v>
      </c>
      <c r="W493" s="3531"/>
      <c r="X493" s="3531"/>
      <c r="Y493" s="3531"/>
      <c r="Z493" s="3531"/>
      <c r="AA493" s="3531"/>
      <c r="AB493" s="3561"/>
      <c r="AC493" s="3561"/>
      <c r="AD493" s="3561"/>
      <c r="AE493" s="3561"/>
      <c r="AF493" s="3510">
        <f t="shared" si="125"/>
        <v>170.45537368670566</v>
      </c>
      <c r="AG493" s="2425"/>
      <c r="AI493" s="2244" t="s">
        <v>49</v>
      </c>
      <c r="AJ493" s="3531"/>
      <c r="AK493" s="3531"/>
      <c r="AL493" s="3531"/>
      <c r="AM493" s="3531"/>
      <c r="AN493" s="3531"/>
      <c r="AO493" s="3561"/>
      <c r="AP493" s="3561"/>
      <c r="AQ493" s="3561"/>
      <c r="AR493" s="3561"/>
      <c r="AS493" s="2664">
        <v>20</v>
      </c>
      <c r="AU493" s="2244" t="str">
        <f t="shared" si="126"/>
        <v xml:space="preserve">Inc. Cost    </v>
      </c>
      <c r="AV493" s="3722"/>
      <c r="AW493" s="3722"/>
      <c r="AX493" s="3722"/>
      <c r="AY493" s="3722"/>
      <c r="AZ493" s="3722"/>
      <c r="BA493" s="3722"/>
      <c r="BB493" s="3722"/>
      <c r="BC493" s="3722"/>
      <c r="BD493" s="3722"/>
      <c r="BE493" s="3625">
        <f t="shared" si="127"/>
        <v>255.55555555555554</v>
      </c>
      <c r="CG493" s="696"/>
      <c r="CH493" s="696"/>
      <c r="CI493" s="696"/>
      <c r="CJ493" s="696"/>
      <c r="CW493" s="696"/>
      <c r="CX493" s="696"/>
      <c r="CY493" s="696"/>
      <c r="CZ493" s="696"/>
      <c r="DG493" s="2603">
        <f t="shared" si="128"/>
        <v>1.5523574066407451</v>
      </c>
      <c r="DH493" s="2419" t="str">
        <f t="shared" si="129"/>
        <v>Cooling BUS 20 Year EUL</v>
      </c>
      <c r="DI493" s="3733">
        <f>(INDEX('Avoided Cost Benefits'!$B$4:$B$863,MATCH(DH493,'Avoided Cost Benefits'!$A$4:$A$863,0)))*F493</f>
        <v>396.71355947485705</v>
      </c>
      <c r="DJ493" s="3734">
        <f t="shared" si="130"/>
        <v>255.55555555555554</v>
      </c>
    </row>
    <row r="494" spans="1:114" s="2109" customFormat="1">
      <c r="A494" s="3517"/>
      <c r="C494" s="2110"/>
      <c r="D494" s="3735"/>
      <c r="E494" s="3736" t="s">
        <v>626</v>
      </c>
      <c r="F494" s="3737"/>
      <c r="G494" s="3738"/>
      <c r="H494" s="3739"/>
      <c r="I494" s="3735"/>
      <c r="J494" s="3740"/>
      <c r="K494" s="3740"/>
      <c r="L494" s="3741"/>
      <c r="M494" s="3742"/>
      <c r="N494" s="3742" t="s">
        <v>627</v>
      </c>
      <c r="O494" s="3742"/>
      <c r="CG494" s="696"/>
      <c r="CH494" s="696"/>
      <c r="CI494" s="696"/>
      <c r="CJ494" s="696"/>
      <c r="CW494" s="696"/>
      <c r="CX494" s="696"/>
      <c r="CY494" s="696"/>
      <c r="CZ494" s="696"/>
    </row>
    <row r="495" spans="1:114" s="2109" customFormat="1" ht="38.25" outlineLevel="1">
      <c r="A495" s="3517"/>
      <c r="C495" s="2110"/>
      <c r="D495" s="3735"/>
      <c r="E495" s="3736"/>
      <c r="F495" s="3737"/>
      <c r="G495" s="3738"/>
      <c r="H495" s="3739"/>
      <c r="I495" s="3735"/>
      <c r="J495" s="3740"/>
      <c r="K495" s="3740"/>
      <c r="L495" s="3741"/>
      <c r="M495" s="3742"/>
      <c r="N495" s="3742" t="s">
        <v>628</v>
      </c>
      <c r="O495" s="3742"/>
      <c r="CG495" s="696"/>
      <c r="CH495" s="696"/>
      <c r="CI495" s="696"/>
      <c r="CJ495" s="696"/>
      <c r="CW495" s="696"/>
      <c r="CX495" s="696"/>
      <c r="CY495" s="696"/>
      <c r="CZ495" s="696"/>
      <c r="DG495" s="3743"/>
      <c r="DJ495" s="3552"/>
    </row>
    <row r="496" spans="1:114" s="2109" customFormat="1" outlineLevel="1">
      <c r="A496" s="3517"/>
      <c r="C496" s="2110"/>
      <c r="D496" s="2219" t="s">
        <v>118</v>
      </c>
      <c r="E496" s="2993" t="s">
        <v>629</v>
      </c>
      <c r="F496" s="2110"/>
      <c r="G496" s="2110"/>
      <c r="H496" s="3739"/>
      <c r="I496" s="2110"/>
      <c r="J496" s="2110"/>
      <c r="K496" s="2110"/>
      <c r="M496" s="3742"/>
      <c r="N496" s="3742"/>
      <c r="O496" s="3742"/>
      <c r="P496" s="3742"/>
      <c r="CG496" s="696"/>
      <c r="CH496" s="696"/>
      <c r="CI496" s="696"/>
      <c r="CJ496" s="696"/>
      <c r="CW496" s="696"/>
      <c r="CX496" s="696"/>
      <c r="CY496" s="696"/>
      <c r="CZ496" s="696"/>
      <c r="DG496" s="3743"/>
      <c r="DJ496" s="3552"/>
    </row>
    <row r="497" spans="1:114" s="2109" customFormat="1" outlineLevel="1">
      <c r="A497" s="3517"/>
      <c r="C497" s="2110"/>
      <c r="D497" s="2110" t="s">
        <v>120</v>
      </c>
      <c r="E497" s="2112"/>
      <c r="F497" s="2110"/>
      <c r="G497" s="2110"/>
      <c r="H497" s="3739"/>
      <c r="I497" s="2110"/>
      <c r="J497" s="2110"/>
      <c r="K497" s="2112"/>
      <c r="M497" s="3742"/>
      <c r="N497" s="3742" t="s">
        <v>204</v>
      </c>
      <c r="O497" s="3742"/>
      <c r="P497" s="3742"/>
      <c r="CG497" s="696"/>
      <c r="CH497" s="696"/>
      <c r="CI497" s="696"/>
      <c r="CJ497" s="696"/>
      <c r="CW497" s="696"/>
      <c r="CX497" s="696"/>
      <c r="CY497" s="696"/>
      <c r="CZ497" s="696"/>
      <c r="DG497" s="3743"/>
      <c r="DJ497" s="3552"/>
    </row>
    <row r="498" spans="1:114" s="2109" customFormat="1" outlineLevel="1">
      <c r="A498" s="3517"/>
      <c r="C498" s="2110"/>
      <c r="D498" s="2114" t="s">
        <v>204</v>
      </c>
      <c r="E498" s="2112"/>
      <c r="F498" s="3744" t="s">
        <v>204</v>
      </c>
      <c r="H498" s="2111"/>
      <c r="K498" s="696"/>
      <c r="L498" s="696"/>
      <c r="M498" s="696"/>
      <c r="N498" s="696"/>
      <c r="O498" s="696"/>
      <c r="P498" s="696"/>
      <c r="Q498" s="696"/>
      <c r="R498" s="696"/>
      <c r="S498" s="696"/>
      <c r="T498" s="696"/>
      <c r="CG498" s="696"/>
      <c r="CH498" s="696"/>
      <c r="CI498" s="696"/>
      <c r="CJ498" s="696"/>
      <c r="CW498" s="696"/>
      <c r="CX498" s="696"/>
      <c r="CY498" s="696"/>
      <c r="CZ498" s="696"/>
      <c r="DG498" s="3743"/>
      <c r="DJ498" s="3552"/>
    </row>
    <row r="499" spans="1:114" s="2109" customFormat="1" outlineLevel="1">
      <c r="A499" s="3517"/>
      <c r="C499" s="2110"/>
      <c r="D499" s="2114"/>
      <c r="H499" s="2111"/>
      <c r="K499" s="696"/>
      <c r="L499" s="696"/>
      <c r="M499" s="696"/>
      <c r="N499" s="696"/>
      <c r="S499" s="696"/>
      <c r="T499" s="696"/>
      <c r="CG499" s="696"/>
      <c r="CH499" s="696"/>
      <c r="CI499" s="696"/>
      <c r="CJ499" s="696"/>
      <c r="CW499" s="696"/>
      <c r="CX499" s="696"/>
      <c r="CY499" s="696"/>
      <c r="CZ499" s="696"/>
      <c r="DG499" s="3743"/>
      <c r="DJ499" s="3552"/>
    </row>
    <row r="500" spans="1:114" s="2109" customFormat="1" outlineLevel="1">
      <c r="A500" s="3517"/>
      <c r="C500" s="2110"/>
      <c r="D500" s="2114"/>
      <c r="H500" s="2111"/>
      <c r="K500" s="696"/>
      <c r="L500" s="696"/>
      <c r="M500" s="696"/>
      <c r="N500" s="696"/>
      <c r="S500" s="696"/>
      <c r="T500" s="696"/>
      <c r="CG500" s="696"/>
      <c r="CH500" s="696"/>
      <c r="CI500" s="696"/>
      <c r="CJ500" s="696"/>
      <c r="CW500" s="696"/>
      <c r="CX500" s="696"/>
      <c r="CY500" s="696"/>
      <c r="CZ500" s="696"/>
      <c r="DG500" s="3743"/>
      <c r="DJ500" s="3552"/>
    </row>
    <row r="501" spans="1:114" s="2109" customFormat="1" outlineLevel="1">
      <c r="A501" s="3517"/>
      <c r="C501" s="2110"/>
      <c r="D501" s="2114"/>
      <c r="H501" s="2111"/>
      <c r="K501" s="696"/>
      <c r="L501" s="696"/>
      <c r="M501" s="696"/>
      <c r="N501" s="696"/>
      <c r="S501" s="696"/>
      <c r="T501" s="696"/>
      <c r="CG501" s="696"/>
      <c r="CH501" s="696"/>
      <c r="CI501" s="696"/>
      <c r="CJ501" s="696"/>
      <c r="CW501" s="696"/>
      <c r="CX501" s="696"/>
      <c r="CY501" s="696"/>
      <c r="CZ501" s="696"/>
      <c r="DG501" s="3743"/>
      <c r="DJ501" s="3552"/>
    </row>
    <row r="502" spans="1:114" s="2109" customFormat="1" outlineLevel="1">
      <c r="A502" s="3517"/>
      <c r="C502" s="2110"/>
      <c r="D502" s="2114"/>
      <c r="H502" s="2111"/>
      <c r="K502" s="696"/>
      <c r="L502" s="696"/>
      <c r="M502" s="696"/>
      <c r="N502" s="696"/>
      <c r="S502" s="696"/>
      <c r="T502" s="696"/>
      <c r="CG502" s="696"/>
      <c r="CH502" s="696"/>
      <c r="CI502" s="696"/>
      <c r="CJ502" s="696"/>
      <c r="CW502" s="696"/>
      <c r="CX502" s="696"/>
      <c r="CY502" s="696"/>
      <c r="CZ502" s="696"/>
      <c r="DG502" s="3743"/>
      <c r="DJ502" s="3552"/>
    </row>
    <row r="503" spans="1:114" s="2109" customFormat="1" outlineLevel="1">
      <c r="A503" s="3517"/>
      <c r="C503" s="2110"/>
      <c r="D503" s="2114"/>
      <c r="G503" s="2111"/>
      <c r="H503" s="2111"/>
      <c r="K503" s="696"/>
      <c r="L503" s="696"/>
      <c r="M503" s="696"/>
      <c r="N503" s="696"/>
      <c r="S503" s="696"/>
      <c r="T503" s="696"/>
      <c r="CG503" s="696"/>
      <c r="CH503" s="696"/>
      <c r="CI503" s="696"/>
      <c r="CJ503" s="696"/>
      <c r="CW503" s="696"/>
      <c r="CX503" s="696"/>
      <c r="CY503" s="696"/>
      <c r="CZ503" s="696"/>
      <c r="DG503" s="3743"/>
      <c r="DJ503" s="3552"/>
    </row>
    <row r="504" spans="1:114" s="2109" customFormat="1" ht="30" outlineLevel="1">
      <c r="A504" s="3517"/>
      <c r="B504" s="2115"/>
      <c r="C504" s="2112"/>
      <c r="D504" s="3745" t="s">
        <v>42</v>
      </c>
      <c r="E504" s="3745" t="s">
        <v>275</v>
      </c>
      <c r="F504" s="3746" t="s">
        <v>630</v>
      </c>
      <c r="G504" s="3745" t="s">
        <v>631</v>
      </c>
      <c r="H504" s="3745" t="s">
        <v>632</v>
      </c>
      <c r="I504" s="3729" t="s">
        <v>633</v>
      </c>
      <c r="J504" s="3729" t="s">
        <v>634</v>
      </c>
      <c r="K504" s="3729" t="s">
        <v>635</v>
      </c>
      <c r="L504" s="3729" t="s">
        <v>636</v>
      </c>
      <c r="M504" s="3729" t="s">
        <v>637</v>
      </c>
      <c r="N504" s="3729" t="s">
        <v>638</v>
      </c>
      <c r="S504" s="696"/>
      <c r="T504" s="696"/>
      <c r="CG504" s="696"/>
      <c r="CH504" s="696"/>
      <c r="CI504" s="696"/>
      <c r="CJ504" s="696"/>
      <c r="CW504" s="696"/>
      <c r="CX504" s="696"/>
      <c r="CY504" s="696"/>
      <c r="CZ504" s="696"/>
      <c r="DG504" s="3743"/>
      <c r="DJ504" s="3552"/>
    </row>
    <row r="505" spans="1:114" s="2109" customFormat="1" outlineLevel="1">
      <c r="A505" s="3517"/>
      <c r="C505" s="2110"/>
      <c r="D505" s="3643" t="str">
        <f>C488</f>
        <v>803835_2024_12_</v>
      </c>
      <c r="E505" s="3747" t="str">
        <f>E488</f>
        <v>DOAS, dehumidification</v>
      </c>
      <c r="F505" s="3748"/>
      <c r="G505" s="2056">
        <v>3.8</v>
      </c>
      <c r="H505" s="2056">
        <v>5.6</v>
      </c>
      <c r="I505" s="2056"/>
      <c r="J505" s="2056"/>
      <c r="K505" s="3749">
        <v>855</v>
      </c>
      <c r="L505" s="3749" t="s">
        <v>204</v>
      </c>
      <c r="M505" s="3749" t="s">
        <v>204</v>
      </c>
      <c r="N505" s="3749"/>
      <c r="CG505" s="696"/>
      <c r="CH505" s="696"/>
      <c r="CI505" s="696"/>
      <c r="CJ505" s="696"/>
      <c r="CW505" s="696"/>
      <c r="CX505" s="696"/>
      <c r="CY505" s="696"/>
      <c r="CZ505" s="696"/>
      <c r="DG505" s="3743"/>
      <c r="DJ505" s="3552"/>
    </row>
    <row r="506" spans="1:114" s="2109" customFormat="1" outlineLevel="1">
      <c r="A506" s="3517"/>
      <c r="C506" s="2110"/>
      <c r="D506" s="3643" t="str">
        <f t="shared" ref="D506:D510" si="135">C489</f>
        <v>803837_2024_12_</v>
      </c>
      <c r="E506" s="3747" t="str">
        <f t="shared" ref="E506:E510" si="136">E489</f>
        <v>DOAS, dehumdiification, latent cooling, sensible cooling</v>
      </c>
      <c r="F506" s="3748"/>
      <c r="G506" s="2056">
        <v>3.8</v>
      </c>
      <c r="H506" s="2056">
        <v>5.6</v>
      </c>
      <c r="I506" s="2056"/>
      <c r="J506" s="2056"/>
      <c r="K506" s="3749" t="s">
        <v>204</v>
      </c>
      <c r="L506" s="3749">
        <v>1214</v>
      </c>
      <c r="M506" s="3749" t="s">
        <v>204</v>
      </c>
      <c r="N506" s="3749"/>
      <c r="CG506" s="696"/>
      <c r="CH506" s="696"/>
      <c r="CI506" s="696"/>
      <c r="CJ506" s="696"/>
      <c r="CW506" s="696"/>
      <c r="CX506" s="696"/>
      <c r="CY506" s="696"/>
      <c r="CZ506" s="696"/>
      <c r="DG506" s="3743"/>
      <c r="DJ506" s="3552"/>
    </row>
    <row r="507" spans="1:114" s="2109" customFormat="1" outlineLevel="1">
      <c r="A507" s="3517"/>
      <c r="C507" s="2110"/>
      <c r="D507" s="3643" t="str">
        <f t="shared" si="135"/>
        <v>803839_2024_12_</v>
      </c>
      <c r="E507" s="3747" t="str">
        <f t="shared" si="136"/>
        <v>DOAS, dehumification, latent cooling, sensible cooling, ASHP heating 17F rated</v>
      </c>
      <c r="F507" s="3748"/>
      <c r="G507" s="2056">
        <v>3.8</v>
      </c>
      <c r="H507" s="2056">
        <v>5.6</v>
      </c>
      <c r="I507" s="2056">
        <v>2.0499999999999998</v>
      </c>
      <c r="J507" s="2056">
        <v>3.8</v>
      </c>
      <c r="K507" s="3749" t="s">
        <v>204</v>
      </c>
      <c r="L507" s="3749">
        <v>1214</v>
      </c>
      <c r="M507" s="3749">
        <v>1321</v>
      </c>
      <c r="N507" s="3719">
        <v>0.6</v>
      </c>
      <c r="CG507" s="696"/>
      <c r="CH507" s="696"/>
      <c r="CI507" s="696"/>
      <c r="CJ507" s="696"/>
      <c r="CW507" s="696"/>
      <c r="CX507" s="696"/>
      <c r="CY507" s="696"/>
      <c r="CZ507" s="696"/>
      <c r="DG507" s="3743"/>
      <c r="DJ507" s="3552"/>
    </row>
    <row r="508" spans="1:114" s="2109" customFormat="1" outlineLevel="1">
      <c r="A508" s="3517"/>
      <c r="C508" s="2110"/>
      <c r="D508" s="3643" t="str">
        <f t="shared" si="135"/>
        <v>803841_2024_12_</v>
      </c>
      <c r="E508" s="3747" t="str">
        <f t="shared" si="136"/>
        <v xml:space="preserve">DOAS, VRS,dehumidification </v>
      </c>
      <c r="F508" s="3748"/>
      <c r="G508" s="2056">
        <v>3.8</v>
      </c>
      <c r="H508" s="2056">
        <v>5.6</v>
      </c>
      <c r="I508" s="2056"/>
      <c r="J508" s="2056"/>
      <c r="K508" s="3749">
        <v>855</v>
      </c>
      <c r="L508" s="3749" t="s">
        <v>204</v>
      </c>
      <c r="M508" s="3749" t="s">
        <v>204</v>
      </c>
      <c r="N508" s="3719"/>
      <c r="CG508" s="696"/>
      <c r="CH508" s="696"/>
      <c r="CI508" s="696"/>
      <c r="CJ508" s="696"/>
      <c r="CW508" s="696"/>
      <c r="CX508" s="696"/>
      <c r="CY508" s="696"/>
      <c r="CZ508" s="696"/>
      <c r="DG508" s="3743"/>
      <c r="DJ508" s="3552"/>
    </row>
    <row r="509" spans="1:114" s="2109" customFormat="1" outlineLevel="1">
      <c r="A509" s="3517"/>
      <c r="C509" s="2110"/>
      <c r="D509" s="3643" t="str">
        <f t="shared" si="135"/>
        <v>803843_2024_12_</v>
      </c>
      <c r="E509" s="3747" t="str">
        <f t="shared" si="136"/>
        <v xml:space="preserve">DOAS, VRS, dehumification, latent cooling, sensible cooling </v>
      </c>
      <c r="F509" s="3748"/>
      <c r="G509" s="2056">
        <v>3.8</v>
      </c>
      <c r="H509" s="2056">
        <v>5.6</v>
      </c>
      <c r="I509" s="2056"/>
      <c r="J509" s="2056"/>
      <c r="K509" s="3749" t="s">
        <v>204</v>
      </c>
      <c r="L509" s="3749">
        <v>1214</v>
      </c>
      <c r="M509" s="3749" t="s">
        <v>204</v>
      </c>
      <c r="N509" s="3719"/>
      <c r="CG509" s="696"/>
      <c r="CH509" s="696"/>
      <c r="CI509" s="696"/>
      <c r="CJ509" s="696"/>
      <c r="CW509" s="696"/>
      <c r="CX509" s="696"/>
      <c r="CY509" s="696"/>
      <c r="CZ509" s="696"/>
      <c r="DG509" s="3743"/>
      <c r="DJ509" s="3552"/>
    </row>
    <row r="510" spans="1:114" s="2109" customFormat="1" outlineLevel="1">
      <c r="A510" s="3517"/>
      <c r="C510" s="2110"/>
      <c r="D510" s="3643" t="str">
        <f t="shared" si="135"/>
        <v>803845_2024_12_</v>
      </c>
      <c r="E510" s="3747" t="str">
        <f t="shared" si="136"/>
        <v xml:space="preserve">DOAS, VRS, dehumification, latent cooling, sensible cooling, ASHP heating 17F rated  </v>
      </c>
      <c r="F510" s="3748"/>
      <c r="G510" s="2056">
        <v>3.8</v>
      </c>
      <c r="H510" s="2056">
        <v>5.6</v>
      </c>
      <c r="I510" s="2056">
        <v>2.0499999999999998</v>
      </c>
      <c r="J510" s="2056">
        <v>5.0999999999999996</v>
      </c>
      <c r="K510" s="3749" t="s">
        <v>204</v>
      </c>
      <c r="L510" s="3749">
        <v>1214</v>
      </c>
      <c r="M510" s="3749">
        <v>1321</v>
      </c>
      <c r="N510" s="3719">
        <v>0.6</v>
      </c>
      <c r="CG510" s="696"/>
      <c r="CH510" s="696"/>
      <c r="CI510" s="696"/>
      <c r="CJ510" s="696"/>
      <c r="CW510" s="696"/>
      <c r="CX510" s="696"/>
      <c r="CY510" s="696"/>
      <c r="CZ510" s="696"/>
      <c r="DG510" s="3743"/>
      <c r="DJ510" s="3552"/>
    </row>
    <row r="511" spans="1:114" s="2109" customFormat="1" outlineLevel="1">
      <c r="A511" s="3517"/>
      <c r="CG511" s="696"/>
      <c r="CH511" s="696"/>
      <c r="CI511" s="696"/>
      <c r="CJ511" s="696"/>
      <c r="CW511" s="696"/>
      <c r="CX511" s="696"/>
      <c r="CY511" s="696"/>
      <c r="CZ511" s="696"/>
      <c r="DG511" s="3743"/>
      <c r="DJ511" s="3552"/>
    </row>
    <row r="512" spans="1:114" s="2109" customFormat="1">
      <c r="A512" s="3517"/>
      <c r="C512" s="2110"/>
      <c r="D512" s="2110"/>
      <c r="CG512" s="696"/>
      <c r="CH512" s="696"/>
      <c r="CI512" s="696"/>
      <c r="CJ512" s="696"/>
      <c r="CW512" s="696"/>
      <c r="CX512" s="696"/>
      <c r="CY512" s="696"/>
      <c r="CZ512" s="696"/>
      <c r="DG512" s="3743"/>
      <c r="DJ512" s="3552"/>
    </row>
    <row r="513" spans="1:114" s="38" customFormat="1">
      <c r="A513" s="2"/>
      <c r="C513" s="1634"/>
      <c r="D513" s="1634"/>
      <c r="G513" s="1992"/>
      <c r="H513" s="1993"/>
      <c r="CG513" s="41"/>
      <c r="CH513" s="41"/>
      <c r="CI513" s="41"/>
      <c r="CJ513" s="41"/>
      <c r="CW513" s="41"/>
      <c r="CX513" s="41"/>
      <c r="CY513" s="41"/>
      <c r="CZ513" s="41"/>
      <c r="DG513" s="1635"/>
      <c r="DJ513" s="1168"/>
    </row>
    <row r="514" spans="1:114" s="3564" customFormat="1">
      <c r="A514" s="3517"/>
      <c r="B514" s="3998" t="s">
        <v>639</v>
      </c>
      <c r="C514" s="3999"/>
      <c r="D514" s="3999"/>
      <c r="E514" s="3999"/>
      <c r="F514" s="3999"/>
      <c r="G514" s="3999"/>
      <c r="H514" s="3999"/>
      <c r="I514" s="4831"/>
      <c r="J514" s="4831"/>
      <c r="K514" s="4831"/>
      <c r="L514" s="4831"/>
      <c r="M514" s="4832"/>
      <c r="N514" s="4832"/>
      <c r="O514" s="4833"/>
      <c r="V514" s="2203" t="str">
        <f>B514</f>
        <v>Appliances</v>
      </c>
      <c r="W514" s="2204"/>
      <c r="X514" s="2204"/>
      <c r="Y514" s="2204"/>
      <c r="Z514" s="2204"/>
      <c r="AA514" s="2204"/>
      <c r="AB514" s="2204"/>
      <c r="AC514" s="2204"/>
      <c r="AD514" s="2204"/>
      <c r="AE514" s="2204"/>
      <c r="AF514" s="2204"/>
      <c r="AG514" s="2204"/>
      <c r="AH514" s="2204"/>
      <c r="AI514" s="3474"/>
      <c r="AJ514" s="3517"/>
      <c r="AK514" s="3517"/>
      <c r="AL514" s="3517"/>
      <c r="AM514" s="3517"/>
      <c r="AN514" s="3517"/>
      <c r="AO514" s="3517"/>
      <c r="AP514" s="3517"/>
      <c r="AQ514" s="3517"/>
      <c r="AR514" s="3517"/>
      <c r="AS514" s="3517"/>
      <c r="AT514" s="3517"/>
      <c r="AU514" s="3517"/>
      <c r="DE514" s="3517"/>
      <c r="DF514" s="3517"/>
      <c r="DG514" s="3669"/>
      <c r="DJ514" s="3567"/>
    </row>
    <row r="515" spans="1:114" s="3517" customFormat="1">
      <c r="C515" s="3564"/>
      <c r="D515" s="3670"/>
      <c r="E515" s="3564"/>
      <c r="F515" s="3564"/>
      <c r="G515" s="3564"/>
      <c r="H515" s="3671"/>
      <c r="I515" s="3564"/>
      <c r="J515" s="3564"/>
      <c r="K515" s="3564"/>
      <c r="L515" s="3564"/>
      <c r="M515" s="3528"/>
      <c r="N515" s="3528"/>
      <c r="O515" s="3528"/>
      <c r="P515" s="3564"/>
      <c r="Q515" s="3564"/>
      <c r="R515" s="3564"/>
      <c r="S515" s="3564"/>
      <c r="T515" s="3564"/>
      <c r="U515" s="3564"/>
      <c r="V515" s="2237"/>
      <c r="W515" s="2237"/>
      <c r="X515" s="2237"/>
      <c r="Y515" s="2237"/>
      <c r="Z515" s="2237"/>
      <c r="AA515" s="2237"/>
      <c r="AB515" s="2237"/>
      <c r="AC515" s="2237"/>
      <c r="AD515" s="2237"/>
      <c r="AE515" s="2237"/>
      <c r="AF515" s="2237"/>
      <c r="AG515" s="2237"/>
      <c r="AH515" s="2237"/>
      <c r="AI515" s="2237"/>
      <c r="AJ515" s="2723"/>
      <c r="AK515" s="2723"/>
      <c r="AL515" s="2723"/>
      <c r="AM515" s="2723"/>
      <c r="AN515" s="2723"/>
      <c r="AO515" s="2723"/>
      <c r="AP515" s="2723"/>
      <c r="AQ515" s="2723"/>
      <c r="AR515" s="2723"/>
      <c r="AS515" s="2723"/>
      <c r="AT515" s="2723"/>
      <c r="AU515" s="2723"/>
      <c r="CG515" s="2237"/>
      <c r="CH515" s="2237"/>
      <c r="CI515" s="2237"/>
      <c r="CJ515" s="2237"/>
      <c r="CW515" s="2237"/>
      <c r="CX515" s="2237"/>
      <c r="CY515" s="2237"/>
      <c r="CZ515" s="2237"/>
      <c r="DG515" s="3551"/>
      <c r="DH515" s="3528"/>
      <c r="DI515" s="3528"/>
      <c r="DJ515" s="3552"/>
    </row>
    <row r="516" spans="1:114" s="3044" customFormat="1" ht="30">
      <c r="A516" s="3517"/>
      <c r="B516" s="2723"/>
      <c r="C516" s="3570" t="s">
        <v>42</v>
      </c>
      <c r="D516" s="3570" t="s">
        <v>43</v>
      </c>
      <c r="E516" s="2280" t="s">
        <v>44</v>
      </c>
      <c r="F516" s="2280" t="s">
        <v>45</v>
      </c>
      <c r="G516" s="2280" t="s">
        <v>46</v>
      </c>
      <c r="H516" s="3571" t="s">
        <v>47</v>
      </c>
      <c r="I516" s="2280" t="s">
        <v>48</v>
      </c>
      <c r="J516" s="2280" t="s">
        <v>49</v>
      </c>
      <c r="K516" s="3570" t="s">
        <v>50</v>
      </c>
      <c r="L516" s="3570" t="s">
        <v>51</v>
      </c>
      <c r="M516" s="3528"/>
      <c r="N516" s="3750"/>
      <c r="O516" s="3751"/>
      <c r="P516" s="3752"/>
      <c r="Q516" s="2697"/>
      <c r="R516" s="2697"/>
      <c r="S516" s="2697"/>
      <c r="T516" s="2697"/>
      <c r="U516" s="2697"/>
      <c r="V516" s="2640" t="s">
        <v>52</v>
      </c>
      <c r="W516" s="2641">
        <f>$W$8</f>
        <v>43252</v>
      </c>
      <c r="X516" s="2641">
        <f>$X$8</f>
        <v>43465</v>
      </c>
      <c r="Y516" s="2641">
        <f>$Y$8</f>
        <v>43800</v>
      </c>
      <c r="Z516" s="2641">
        <f>$Z$8</f>
        <v>43862</v>
      </c>
      <c r="AA516" s="2641">
        <f>$AA$8</f>
        <v>44013</v>
      </c>
      <c r="AB516" s="2641">
        <f>$AB$8</f>
        <v>44166</v>
      </c>
      <c r="AC516" s="2641">
        <f>$AC$8</f>
        <v>44531</v>
      </c>
      <c r="AD516" s="2641">
        <f>$AD$8</f>
        <v>44774</v>
      </c>
      <c r="AE516" s="2641">
        <f>$AE$8</f>
        <v>45142</v>
      </c>
      <c r="AF516" s="2641">
        <f>$AF$8</f>
        <v>45672</v>
      </c>
      <c r="AG516" s="2641" t="str">
        <f>$AG$8</f>
        <v>-</v>
      </c>
      <c r="AH516" s="2237"/>
      <c r="AI516" s="2640" t="s">
        <v>52</v>
      </c>
      <c r="AJ516" s="2641">
        <v>43252</v>
      </c>
      <c r="AK516" s="2641">
        <f>$X$8</f>
        <v>43465</v>
      </c>
      <c r="AL516" s="2641">
        <f>$Y$8</f>
        <v>43800</v>
      </c>
      <c r="AM516" s="2641">
        <f>$Z$8</f>
        <v>43862</v>
      </c>
      <c r="AN516" s="2641">
        <f>$AA$8</f>
        <v>44013</v>
      </c>
      <c r="AO516" s="2641">
        <f>$AB$8</f>
        <v>44166</v>
      </c>
      <c r="AP516" s="2641">
        <f>$AC$8</f>
        <v>44531</v>
      </c>
      <c r="AQ516" s="2641">
        <f>$AD$8</f>
        <v>44774</v>
      </c>
      <c r="AR516" s="2641">
        <f>$AE$8</f>
        <v>45142</v>
      </c>
      <c r="AS516" s="2641">
        <f>$AF$8</f>
        <v>45672</v>
      </c>
      <c r="AT516" s="3517"/>
      <c r="AU516" s="2640" t="s">
        <v>52</v>
      </c>
      <c r="AV516" s="2641">
        <v>43252</v>
      </c>
      <c r="AW516" s="2641">
        <f>$X$8</f>
        <v>43465</v>
      </c>
      <c r="AX516" s="2641">
        <f>$Y$8</f>
        <v>43800</v>
      </c>
      <c r="AY516" s="2641">
        <f>$Z$8</f>
        <v>43862</v>
      </c>
      <c r="AZ516" s="2641">
        <f>$AA$8</f>
        <v>44013</v>
      </c>
      <c r="BA516" s="2641">
        <v>44166</v>
      </c>
      <c r="BB516" s="2641">
        <f>$AC$8</f>
        <v>44531</v>
      </c>
      <c r="BC516" s="2641">
        <f>$AD$8</f>
        <v>44774</v>
      </c>
      <c r="BD516" s="2641">
        <f>$AE$8</f>
        <v>45142</v>
      </c>
      <c r="BE516" s="2641">
        <f>$AF$8</f>
        <v>45672</v>
      </c>
      <c r="DE516" s="3517"/>
      <c r="DF516" s="3517"/>
      <c r="DG516" s="2749" t="str">
        <f>$DG$8</f>
        <v>TRC (2025)</v>
      </c>
      <c r="DH516" s="2750" t="str">
        <f>$DH$8</f>
        <v>Benefit Lookup</v>
      </c>
      <c r="DI516" s="2750" t="str">
        <f>$DI$8</f>
        <v>Benefits (2025 $)</v>
      </c>
      <c r="DJ516" s="3572" t="str">
        <f>$DJ$8</f>
        <v>Incremental Cost (2025 $)</v>
      </c>
    </row>
    <row r="517" spans="1:114" s="3517" customFormat="1">
      <c r="B517" s="2208">
        <f>VALUE(LEFT(C517,6))</f>
        <v>803850</v>
      </c>
      <c r="C517" s="3499" t="s">
        <v>640</v>
      </c>
      <c r="D517" s="3509" t="str">
        <f t="shared" ref="D517:D520" si="137">$D$98</f>
        <v>BSS</v>
      </c>
      <c r="E517" s="3574" t="s">
        <v>641</v>
      </c>
      <c r="F517" s="3617">
        <f>ROUND(((F530*(1/G530)*I530)*(J530+(L530*P530)+(N530*Q530)))-((F530*(1/H530)*I530)*(K530+(M530*P530)+(O530*Q530))),2)</f>
        <v>678.99</v>
      </c>
      <c r="G517" s="3503" t="s">
        <v>87</v>
      </c>
      <c r="H517" s="3504">
        <f>VLOOKUP(G517,'CP FACTORS'!$A$26:$B$38,2,FALSE)</f>
        <v>1.379439E-4</v>
      </c>
      <c r="I517" s="3653">
        <f>ROUND(H517*F517,6)</f>
        <v>9.3662999999999996E-2</v>
      </c>
      <c r="J517" s="3692">
        <v>11</v>
      </c>
      <c r="K517" s="3576">
        <v>200</v>
      </c>
      <c r="L517" s="3717" t="s">
        <v>62</v>
      </c>
      <c r="M517" s="3528"/>
      <c r="N517" s="3528"/>
      <c r="O517" s="3528"/>
      <c r="P517" s="3528"/>
      <c r="Q517" s="3528"/>
      <c r="R517" s="3528"/>
      <c r="S517" s="3528"/>
      <c r="T517" s="3528"/>
      <c r="U517" s="3528"/>
      <c r="V517" s="2244" t="s">
        <v>45</v>
      </c>
      <c r="W517" s="3293">
        <v>907.62032085561532</v>
      </c>
      <c r="X517" s="3293">
        <v>907.62032085561532</v>
      </c>
      <c r="Y517" s="3293">
        <v>907.62032085561532</v>
      </c>
      <c r="Z517" s="3293">
        <v>907.62032085561532</v>
      </c>
      <c r="AA517" s="3293">
        <v>907.62032085561532</v>
      </c>
      <c r="AB517" s="3655">
        <v>907.62</v>
      </c>
      <c r="AC517" s="3632">
        <v>907.62</v>
      </c>
      <c r="AD517" s="3632">
        <v>907.62</v>
      </c>
      <c r="AE517" s="3632">
        <v>907.62</v>
      </c>
      <c r="AF517" s="3632">
        <f>F517</f>
        <v>678.99</v>
      </c>
      <c r="AG517" s="2413"/>
      <c r="AH517" s="2237"/>
      <c r="AI517" s="2244" t="s">
        <v>49</v>
      </c>
      <c r="AJ517" s="3506">
        <v>11</v>
      </c>
      <c r="AK517" s="3506">
        <v>11</v>
      </c>
      <c r="AL517" s="3506">
        <v>11</v>
      </c>
      <c r="AM517" s="3506">
        <v>11</v>
      </c>
      <c r="AN517" s="3506">
        <v>11</v>
      </c>
      <c r="AO517" s="2845">
        <v>11</v>
      </c>
      <c r="AP517" s="3518">
        <v>11</v>
      </c>
      <c r="AQ517" s="3518">
        <v>11</v>
      </c>
      <c r="AR517" s="3518">
        <v>11</v>
      </c>
      <c r="AS517" s="3518">
        <v>11</v>
      </c>
      <c r="AU517" s="2244" t="s">
        <v>50</v>
      </c>
      <c r="AV517" s="3521">
        <v>200</v>
      </c>
      <c r="AW517" s="3521">
        <v>200</v>
      </c>
      <c r="AX517" s="3521">
        <v>200</v>
      </c>
      <c r="AY517" s="3521">
        <v>200</v>
      </c>
      <c r="AZ517" s="3521">
        <v>200</v>
      </c>
      <c r="BA517" s="3522">
        <v>200</v>
      </c>
      <c r="BB517" s="3522">
        <v>200</v>
      </c>
      <c r="BC517" s="3522">
        <v>200</v>
      </c>
      <c r="BD517" s="3522">
        <v>200</v>
      </c>
      <c r="BE517" s="3522">
        <v>200</v>
      </c>
      <c r="CG517" s="2237"/>
      <c r="CH517" s="2237"/>
      <c r="CI517" s="2237"/>
      <c r="CJ517" s="2237"/>
      <c r="CW517" s="2237"/>
      <c r="CX517" s="2237"/>
      <c r="CY517" s="2237"/>
      <c r="CZ517" s="2237"/>
      <c r="DG517" s="2418">
        <f>(DI517)/(DJ517)</f>
        <v>1.9438813072772527</v>
      </c>
      <c r="DH517" s="2419" t="str">
        <f>CONCATENATE(G517," ",J517," Year EUL")</f>
        <v>Miscellaneous BUS 11 Year EUL</v>
      </c>
      <c r="DI517" s="3677">
        <f>(INDEX('Avoided Cost Benefits'!$B$4:$B$865,MATCH(DH517,'Avoided Cost Benefits'!$A$4:$A$865,0)))*F517</f>
        <v>388.77626145545054</v>
      </c>
      <c r="DJ517" s="2421">
        <f>K517/(1.0686^(2025-2025))</f>
        <v>200</v>
      </c>
    </row>
    <row r="518" spans="1:114" s="3517" customFormat="1">
      <c r="B518" s="2208">
        <f t="shared" ref="B518:B520" si="138">VALUE(LEFT(C518,6))</f>
        <v>803900</v>
      </c>
      <c r="C518" s="3499" t="s">
        <v>642</v>
      </c>
      <c r="D518" s="3509" t="str">
        <f t="shared" si="137"/>
        <v>BSS</v>
      </c>
      <c r="E518" s="3574" t="s">
        <v>643</v>
      </c>
      <c r="F518" s="3617">
        <f>ROUND(((F531*(1/G531)*I531)*(J531+(L531*P531)+(N531*Q531)))-((F531*(1/H531)*I531)*(K531+(M531*P531)+(O531*Q531))),2)</f>
        <v>92.26</v>
      </c>
      <c r="G518" s="3503" t="s">
        <v>87</v>
      </c>
      <c r="H518" s="3504">
        <f>VLOOKUP(G518,'CP FACTORS'!$A$26:$B$38,2,FALSE)</f>
        <v>1.379439E-4</v>
      </c>
      <c r="I518" s="3653">
        <f>ROUND(H518*F518,6)</f>
        <v>1.2727E-2</v>
      </c>
      <c r="J518" s="3692">
        <v>11</v>
      </c>
      <c r="K518" s="3576">
        <v>200</v>
      </c>
      <c r="L518" s="3717" t="s">
        <v>62</v>
      </c>
      <c r="M518" s="3528"/>
      <c r="N518" s="3528"/>
      <c r="O518" s="3528"/>
      <c r="P518" s="3528"/>
      <c r="Q518" s="3528"/>
      <c r="R518" s="3528"/>
      <c r="S518" s="3528"/>
      <c r="T518" s="3528"/>
      <c r="U518" s="3528"/>
      <c r="V518" s="2244" t="s">
        <v>45</v>
      </c>
      <c r="W518" s="3293">
        <v>308.40938502673907</v>
      </c>
      <c r="X518" s="3293">
        <v>308.40938502673907</v>
      </c>
      <c r="Y518" s="3293">
        <v>308.40938502673907</v>
      </c>
      <c r="Z518" s="3293">
        <v>308.40938502673907</v>
      </c>
      <c r="AA518" s="3293">
        <v>308.40938502673907</v>
      </c>
      <c r="AB518" s="3655">
        <v>308.41000000000003</v>
      </c>
      <c r="AC518" s="3632">
        <v>308.41000000000003</v>
      </c>
      <c r="AD518" s="3632">
        <v>308.41000000000003</v>
      </c>
      <c r="AE518" s="3632">
        <v>308.41000000000003</v>
      </c>
      <c r="AF518" s="3632">
        <f>F518</f>
        <v>92.26</v>
      </c>
      <c r="AG518" s="2413"/>
      <c r="AH518" s="2237"/>
      <c r="AI518" s="2244" t="s">
        <v>49</v>
      </c>
      <c r="AJ518" s="3506">
        <v>11</v>
      </c>
      <c r="AK518" s="3506">
        <v>11</v>
      </c>
      <c r="AL518" s="3506">
        <v>11</v>
      </c>
      <c r="AM518" s="3506">
        <v>11</v>
      </c>
      <c r="AN518" s="3506">
        <v>11</v>
      </c>
      <c r="AO518" s="2845">
        <v>11</v>
      </c>
      <c r="AP518" s="3518">
        <v>11</v>
      </c>
      <c r="AQ518" s="3518">
        <v>11</v>
      </c>
      <c r="AR518" s="3518">
        <v>11</v>
      </c>
      <c r="AS518" s="3518">
        <v>11</v>
      </c>
      <c r="AU518" s="2244" t="s">
        <v>50</v>
      </c>
      <c r="AV518" s="3521">
        <v>200</v>
      </c>
      <c r="AW518" s="3521">
        <v>200</v>
      </c>
      <c r="AX518" s="3521">
        <v>200</v>
      </c>
      <c r="AY518" s="3521">
        <v>200</v>
      </c>
      <c r="AZ518" s="3521">
        <v>200</v>
      </c>
      <c r="BA518" s="3522">
        <v>200</v>
      </c>
      <c r="BB518" s="3522">
        <v>200</v>
      </c>
      <c r="BC518" s="3522">
        <v>200</v>
      </c>
      <c r="BD518" s="3522">
        <v>200</v>
      </c>
      <c r="BE518" s="3522">
        <v>200</v>
      </c>
      <c r="CG518" s="2237"/>
      <c r="CH518" s="2237"/>
      <c r="CI518" s="2237"/>
      <c r="CJ518" s="2237"/>
      <c r="CW518" s="2237"/>
      <c r="CX518" s="2237"/>
      <c r="CY518" s="2237"/>
      <c r="CZ518" s="2237"/>
      <c r="DG518" s="2422">
        <f>(DI518)/(DJ518)</f>
        <v>0.26413126763192291</v>
      </c>
      <c r="DH518" s="2423" t="str">
        <f>CONCATENATE(G518," ",J518," Year EUL")</f>
        <v>Miscellaneous BUS 11 Year EUL</v>
      </c>
      <c r="DI518" s="3660">
        <f>(INDEX('Avoided Cost Benefits'!$B$4:$B$865,MATCH(DH518,'Avoided Cost Benefits'!$A$4:$A$865,0)))*F518</f>
        <v>52.826253526384583</v>
      </c>
      <c r="DJ518" s="2424">
        <f>K518/(1.0686^(2025-2025))</f>
        <v>200</v>
      </c>
    </row>
    <row r="519" spans="1:114" s="3517" customFormat="1">
      <c r="B519" s="2208">
        <f t="shared" si="138"/>
        <v>803950</v>
      </c>
      <c r="C519" s="3499" t="s">
        <v>644</v>
      </c>
      <c r="D519" s="3509" t="str">
        <f t="shared" si="137"/>
        <v>BSS</v>
      </c>
      <c r="E519" s="3574" t="s">
        <v>645</v>
      </c>
      <c r="F519" s="3617">
        <f>ROUND(((F532*(1/G532)*I532)*(J532+(L532*P532)+(N532*Q532)))-((F532*(1/H532)*I532)*(K532+(M532*P532)+(O532*Q532))),2)</f>
        <v>735.33</v>
      </c>
      <c r="G519" s="3503" t="s">
        <v>87</v>
      </c>
      <c r="H519" s="3504">
        <f>VLOOKUP(G519,'CP FACTORS'!$A$26:$B$38,2,FALSE)</f>
        <v>1.379439E-4</v>
      </c>
      <c r="I519" s="3653">
        <f>ROUND(H519*F519,6)</f>
        <v>0.101434</v>
      </c>
      <c r="J519" s="3692">
        <v>11</v>
      </c>
      <c r="K519" s="3576">
        <v>200</v>
      </c>
      <c r="L519" s="3717" t="s">
        <v>62</v>
      </c>
      <c r="M519" s="3528"/>
      <c r="N519" s="3528"/>
      <c r="O519" s="3528"/>
      <c r="P519" s="3528"/>
      <c r="Q519" s="3528"/>
      <c r="R519" s="3528"/>
      <c r="S519" s="3528"/>
      <c r="T519" s="3528"/>
      <c r="U519" s="3528"/>
      <c r="V519" s="2244" t="s">
        <v>45</v>
      </c>
      <c r="W519" s="3293">
        <v>750.78352941176479</v>
      </c>
      <c r="X519" s="3293">
        <v>750.78352941176479</v>
      </c>
      <c r="Y519" s="3293">
        <v>750.78352941176479</v>
      </c>
      <c r="Z519" s="3293">
        <v>750.78352941176479</v>
      </c>
      <c r="AA519" s="3293">
        <v>750.78352941176479</v>
      </c>
      <c r="AB519" s="3655">
        <v>750.78</v>
      </c>
      <c r="AC519" s="3632">
        <v>750.78</v>
      </c>
      <c r="AD519" s="3632">
        <v>750.78</v>
      </c>
      <c r="AE519" s="3632">
        <v>750.78</v>
      </c>
      <c r="AF519" s="3632">
        <f>F519</f>
        <v>735.33</v>
      </c>
      <c r="AG519" s="2413"/>
      <c r="AH519" s="2237"/>
      <c r="AI519" s="2244" t="s">
        <v>49</v>
      </c>
      <c r="AJ519" s="3506">
        <v>11</v>
      </c>
      <c r="AK519" s="3506">
        <v>11</v>
      </c>
      <c r="AL519" s="3506">
        <v>11</v>
      </c>
      <c r="AM519" s="3506">
        <v>11</v>
      </c>
      <c r="AN519" s="3506">
        <v>11</v>
      </c>
      <c r="AO519" s="2845">
        <v>11</v>
      </c>
      <c r="AP519" s="3518">
        <v>11</v>
      </c>
      <c r="AQ519" s="3518">
        <v>11</v>
      </c>
      <c r="AR519" s="3518">
        <v>11</v>
      </c>
      <c r="AS519" s="3518">
        <v>11</v>
      </c>
      <c r="AU519" s="2244" t="s">
        <v>50</v>
      </c>
      <c r="AV519" s="3521">
        <v>200</v>
      </c>
      <c r="AW519" s="3521">
        <v>200</v>
      </c>
      <c r="AX519" s="3521">
        <v>200</v>
      </c>
      <c r="AY519" s="3521">
        <v>200</v>
      </c>
      <c r="AZ519" s="3521">
        <v>200</v>
      </c>
      <c r="BA519" s="3522">
        <v>200</v>
      </c>
      <c r="BB519" s="3522">
        <v>200</v>
      </c>
      <c r="BC519" s="3522">
        <v>200</v>
      </c>
      <c r="BD519" s="3522">
        <v>200</v>
      </c>
      <c r="BE519" s="3522">
        <v>200</v>
      </c>
      <c r="CG519" s="2237"/>
      <c r="CH519" s="2237"/>
      <c r="CI519" s="2237"/>
      <c r="CJ519" s="2237"/>
      <c r="CW519" s="2237"/>
      <c r="CX519" s="2237"/>
      <c r="CY519" s="2237"/>
      <c r="CZ519" s="2237"/>
      <c r="DG519" s="2422">
        <f>(DI519)/(DJ519)</f>
        <v>2.1051771626683489</v>
      </c>
      <c r="DH519" s="2423" t="str">
        <f>CONCATENATE(G519," ",J519," Year EUL")</f>
        <v>Miscellaneous BUS 11 Year EUL</v>
      </c>
      <c r="DI519" s="3660">
        <f>(INDEX('Avoided Cost Benefits'!$B$4:$B$865,MATCH(DH519,'Avoided Cost Benefits'!$A$4:$A$865,0)))*F519</f>
        <v>421.03543253366979</v>
      </c>
      <c r="DJ519" s="2424">
        <f>K519/(1.0686^(2025-2025))</f>
        <v>200</v>
      </c>
    </row>
    <row r="520" spans="1:114" s="3517" customFormat="1">
      <c r="B520" s="2208">
        <f t="shared" si="138"/>
        <v>804000</v>
      </c>
      <c r="C520" s="3499" t="s">
        <v>646</v>
      </c>
      <c r="D520" s="3509" t="str">
        <f t="shared" si="137"/>
        <v>BSS</v>
      </c>
      <c r="E520" s="3574" t="s">
        <v>647</v>
      </c>
      <c r="F520" s="3617">
        <f>ROUND(((F533*(1/G533)*I533)*(J533+(L533*P533)+(N533*Q533)))-((F533*(1/H533)*I533)*(K533+(M533*P533)+(O533*Q533))),2)</f>
        <v>148.59</v>
      </c>
      <c r="G520" s="3503" t="s">
        <v>87</v>
      </c>
      <c r="H520" s="3504">
        <f>VLOOKUP(G520,'CP FACTORS'!$A$26:$B$38,2,FALSE)</f>
        <v>1.379439E-4</v>
      </c>
      <c r="I520" s="3653">
        <f>ROUND(H520*F520,6)</f>
        <v>2.0497000000000001E-2</v>
      </c>
      <c r="J520" s="3692">
        <v>11</v>
      </c>
      <c r="K520" s="3576">
        <v>200</v>
      </c>
      <c r="L520" s="3717" t="s">
        <v>62</v>
      </c>
      <c r="M520" s="3528"/>
      <c r="N520" s="3528"/>
      <c r="O520" s="3528"/>
      <c r="P520" s="3528"/>
      <c r="Q520" s="3528"/>
      <c r="R520" s="3528"/>
      <c r="S520" s="3528"/>
      <c r="T520" s="3528"/>
      <c r="U520" s="3528"/>
      <c r="V520" s="2244" t="s">
        <v>45</v>
      </c>
      <c r="W520" s="3293">
        <v>151.57259358288775</v>
      </c>
      <c r="X520" s="3293">
        <v>151.57259358288775</v>
      </c>
      <c r="Y520" s="3293">
        <v>151.57259358288775</v>
      </c>
      <c r="Z520" s="3293">
        <v>151.57259358288775</v>
      </c>
      <c r="AA520" s="3293">
        <v>151.57259358288775</v>
      </c>
      <c r="AB520" s="3655">
        <v>151.57</v>
      </c>
      <c r="AC520" s="3632">
        <v>151.57</v>
      </c>
      <c r="AD520" s="3632">
        <v>151.57</v>
      </c>
      <c r="AE520" s="3632">
        <v>151.57</v>
      </c>
      <c r="AF520" s="3632">
        <f>F520</f>
        <v>148.59</v>
      </c>
      <c r="AG520" s="2413"/>
      <c r="AH520" s="2237"/>
      <c r="AI520" s="2244" t="s">
        <v>49</v>
      </c>
      <c r="AJ520" s="3506">
        <v>11</v>
      </c>
      <c r="AK520" s="3506">
        <v>11</v>
      </c>
      <c r="AL520" s="3506">
        <v>11</v>
      </c>
      <c r="AM520" s="3506">
        <v>11</v>
      </c>
      <c r="AN520" s="3506">
        <v>11</v>
      </c>
      <c r="AO520" s="2845">
        <v>11</v>
      </c>
      <c r="AP520" s="3518">
        <v>11</v>
      </c>
      <c r="AQ520" s="3518">
        <v>11</v>
      </c>
      <c r="AR520" s="3518">
        <v>11</v>
      </c>
      <c r="AS520" s="3518">
        <v>11</v>
      </c>
      <c r="AU520" s="2244" t="s">
        <v>50</v>
      </c>
      <c r="AV520" s="3521">
        <v>200</v>
      </c>
      <c r="AW520" s="3521">
        <v>200</v>
      </c>
      <c r="AX520" s="3521">
        <v>200</v>
      </c>
      <c r="AY520" s="3521">
        <v>200</v>
      </c>
      <c r="AZ520" s="3521">
        <v>200</v>
      </c>
      <c r="BA520" s="3522">
        <v>200</v>
      </c>
      <c r="BB520" s="3522">
        <v>200</v>
      </c>
      <c r="BC520" s="3522">
        <v>200</v>
      </c>
      <c r="BD520" s="3522">
        <v>200</v>
      </c>
      <c r="BE520" s="3522">
        <v>200</v>
      </c>
      <c r="CG520" s="2237"/>
      <c r="CH520" s="2237"/>
      <c r="CI520" s="2237"/>
      <c r="CJ520" s="2237"/>
      <c r="CW520" s="2237"/>
      <c r="CX520" s="2237"/>
      <c r="CY520" s="2237"/>
      <c r="CZ520" s="2237"/>
      <c r="DG520" s="2429">
        <f>(DI520)/(DJ520)</f>
        <v>0.42539849401070262</v>
      </c>
      <c r="DH520" s="2423" t="str">
        <f>CONCATENATE(G520," ",J520," Year EUL")</f>
        <v>Miscellaneous BUS 11 Year EUL</v>
      </c>
      <c r="DI520" s="3678">
        <f>(INDEX('Avoided Cost Benefits'!$B$4:$B$865,MATCH(DH520,'Avoided Cost Benefits'!$A$4:$A$865,0)))*F520</f>
        <v>85.079698802140527</v>
      </c>
      <c r="DJ520" s="2431">
        <f>K520/(1.0686^(2025-2025))</f>
        <v>200</v>
      </c>
    </row>
    <row r="521" spans="1:114" s="3517" customFormat="1" outlineLevel="1">
      <c r="C521" s="3564"/>
      <c r="D521" s="2624" t="s">
        <v>118</v>
      </c>
      <c r="E521" s="2360" t="s">
        <v>648</v>
      </c>
      <c r="F521" s="3753"/>
      <c r="G521" s="3564"/>
      <c r="H521" s="3679"/>
      <c r="I521" s="3564"/>
      <c r="J521" s="3564"/>
      <c r="K521" s="3564"/>
      <c r="L521" s="3528"/>
      <c r="M521" s="3528"/>
      <c r="N521" s="3528"/>
      <c r="O521" s="3528"/>
      <c r="P521" s="3528"/>
      <c r="Q521" s="3528"/>
      <c r="R521" s="3528"/>
      <c r="S521" s="3528"/>
      <c r="T521" s="3528"/>
      <c r="U521" s="3528"/>
      <c r="W521" s="3754"/>
      <c r="X521" s="3754"/>
      <c r="Y521" s="3754"/>
      <c r="Z521" s="3754"/>
      <c r="AA521" s="3754"/>
      <c r="AB521" s="3754"/>
      <c r="AC521" s="3754"/>
      <c r="AD521" s="3754"/>
      <c r="AE521" s="3754"/>
      <c r="AF521" s="3755" t="s">
        <v>649</v>
      </c>
      <c r="CG521" s="2237"/>
      <c r="CH521" s="2237"/>
      <c r="CI521" s="2237"/>
      <c r="CJ521" s="2237"/>
      <c r="CW521" s="2237"/>
      <c r="CX521" s="2237"/>
      <c r="CY521" s="2237"/>
      <c r="CZ521" s="2237"/>
      <c r="DG521" s="3551"/>
      <c r="DH521" s="3528"/>
      <c r="DI521" s="3528"/>
      <c r="DJ521" s="3552"/>
    </row>
    <row r="522" spans="1:114" s="3517" customFormat="1" outlineLevel="1">
      <c r="C522" s="3564"/>
      <c r="D522" s="3564" t="s">
        <v>120</v>
      </c>
      <c r="E522" s="3564"/>
      <c r="F522" s="3564"/>
      <c r="G522" s="3564"/>
      <c r="H522" s="3679"/>
      <c r="I522" s="3564"/>
      <c r="J522" s="3564"/>
      <c r="K522" s="3564"/>
      <c r="L522" s="3528"/>
      <c r="M522" s="3528"/>
      <c r="N522" s="3528"/>
      <c r="O522" s="3528"/>
      <c r="P522" s="3528"/>
      <c r="Q522" s="3528"/>
      <c r="R522" s="3528"/>
      <c r="S522" s="3528"/>
      <c r="T522" s="3528"/>
      <c r="U522" s="3528"/>
      <c r="W522" s="3754"/>
      <c r="X522" s="3754"/>
      <c r="Y522" s="3754"/>
      <c r="Z522" s="3754"/>
      <c r="AA522" s="3754"/>
      <c r="AB522" s="3754"/>
      <c r="AC522" s="3754"/>
      <c r="AD522" s="3754"/>
      <c r="AE522" s="3754"/>
      <c r="AF522" s="3754"/>
      <c r="CG522" s="2237"/>
      <c r="CH522" s="2237"/>
      <c r="CI522" s="2237"/>
      <c r="CJ522" s="2237"/>
      <c r="CW522" s="2237"/>
      <c r="CX522" s="2237"/>
      <c r="CY522" s="2237"/>
      <c r="CZ522" s="2237"/>
      <c r="DG522" s="3551"/>
      <c r="DH522" s="3528"/>
      <c r="DI522" s="3528"/>
      <c r="DJ522" s="3552"/>
    </row>
    <row r="523" spans="1:114" s="3517" customFormat="1" outlineLevel="1">
      <c r="C523" s="3564"/>
      <c r="D523" s="3680"/>
      <c r="E523" s="3528"/>
      <c r="F523" s="3528"/>
      <c r="G523" s="3528"/>
      <c r="H523" s="3569"/>
      <c r="I523" s="3528"/>
      <c r="J523" s="3528"/>
      <c r="K523" s="3528"/>
      <c r="L523" s="3528"/>
      <c r="M523" s="3528"/>
      <c r="N523" s="3528"/>
      <c r="O523" s="3528"/>
      <c r="P523" s="3528"/>
      <c r="Q523" s="3528"/>
      <c r="R523" s="3528"/>
      <c r="S523" s="3528"/>
      <c r="T523" s="3528"/>
      <c r="U523" s="3528"/>
      <c r="W523" s="3754"/>
      <c r="X523" s="3754"/>
      <c r="Y523" s="3754"/>
      <c r="Z523" s="3754"/>
      <c r="AA523" s="3754"/>
      <c r="AB523" s="3754"/>
      <c r="AC523" s="3754"/>
      <c r="AD523" s="3754"/>
      <c r="AE523" s="3754"/>
      <c r="AF523" s="3754"/>
      <c r="CG523" s="2237"/>
      <c r="CH523" s="2237"/>
      <c r="CI523" s="2237"/>
      <c r="CJ523" s="2237"/>
      <c r="CW523" s="2237"/>
      <c r="CX523" s="2237"/>
      <c r="CY523" s="2237"/>
      <c r="CZ523" s="2237"/>
      <c r="DG523" s="3551"/>
      <c r="DH523" s="3528"/>
      <c r="DI523" s="3528"/>
      <c r="DJ523" s="3552"/>
    </row>
    <row r="524" spans="1:114" s="3517" customFormat="1" outlineLevel="1">
      <c r="C524" s="3564"/>
      <c r="D524" s="3680"/>
      <c r="E524" s="3528"/>
      <c r="F524" s="3528"/>
      <c r="G524" s="3528"/>
      <c r="H524" s="3569"/>
      <c r="I524" s="3528"/>
      <c r="J524" s="3528"/>
      <c r="K524" s="3528"/>
      <c r="L524" s="3528"/>
      <c r="M524" s="3528"/>
      <c r="N524" s="3528"/>
      <c r="O524" s="3528"/>
      <c r="P524" s="3528"/>
      <c r="Q524" s="3528"/>
      <c r="R524" s="3528"/>
      <c r="S524" s="3528"/>
      <c r="T524" s="3528"/>
      <c r="U524" s="3528"/>
      <c r="W524" s="3754"/>
      <c r="X524" s="3754"/>
      <c r="Y524" s="3754"/>
      <c r="Z524" s="3754"/>
      <c r="AA524" s="3754"/>
      <c r="AB524" s="3754"/>
      <c r="AC524" s="3754"/>
      <c r="AD524" s="3754"/>
      <c r="AE524" s="3754"/>
      <c r="AF524" s="3754"/>
      <c r="CG524" s="2237"/>
      <c r="CH524" s="2237"/>
      <c r="CI524" s="2237"/>
      <c r="CJ524" s="2237"/>
      <c r="CW524" s="2237"/>
      <c r="CX524" s="2237"/>
      <c r="CY524" s="2237"/>
      <c r="CZ524" s="2237"/>
      <c r="DG524" s="3551"/>
      <c r="DH524" s="3528"/>
      <c r="DI524" s="3528"/>
      <c r="DJ524" s="3552"/>
    </row>
    <row r="525" spans="1:114" s="3517" customFormat="1" outlineLevel="1">
      <c r="C525" s="3564"/>
      <c r="D525" s="3680"/>
      <c r="E525" s="3528"/>
      <c r="F525" s="3528"/>
      <c r="G525" s="3528"/>
      <c r="H525" s="3569"/>
      <c r="I525" s="3528"/>
      <c r="J525" s="3528"/>
      <c r="K525" s="3528"/>
      <c r="L525" s="3528"/>
      <c r="M525" s="3564"/>
      <c r="N525" s="3528"/>
      <c r="O525" s="3528"/>
      <c r="P525" s="3528"/>
      <c r="Q525" s="3528"/>
      <c r="R525" s="3528"/>
      <c r="S525" s="3528"/>
      <c r="T525" s="3528"/>
      <c r="U525" s="3528"/>
      <c r="W525" s="3754"/>
      <c r="X525" s="3754"/>
      <c r="Y525" s="3754"/>
      <c r="Z525" s="3754"/>
      <c r="AA525" s="3754"/>
      <c r="AB525" s="3754"/>
      <c r="AC525" s="3754"/>
      <c r="AD525" s="3754"/>
      <c r="AE525" s="3754"/>
      <c r="AF525" s="3754"/>
      <c r="CG525" s="2237"/>
      <c r="CH525" s="2237"/>
      <c r="CI525" s="2237"/>
      <c r="CJ525" s="2237"/>
      <c r="CW525" s="2237"/>
      <c r="CX525" s="2237"/>
      <c r="CY525" s="2237"/>
      <c r="CZ525" s="2237"/>
      <c r="DG525" s="3551"/>
      <c r="DH525" s="3528"/>
      <c r="DI525" s="3528"/>
      <c r="DJ525" s="3552"/>
    </row>
    <row r="526" spans="1:114" s="3517" customFormat="1" outlineLevel="1">
      <c r="C526" s="3564"/>
      <c r="D526" s="3680"/>
      <c r="E526" s="3528"/>
      <c r="F526" s="3528"/>
      <c r="G526" s="3528"/>
      <c r="H526" s="3569"/>
      <c r="I526" s="3528"/>
      <c r="J526" s="3528"/>
      <c r="K526" s="3528"/>
      <c r="L526" s="3528"/>
      <c r="M526" s="3564"/>
      <c r="N526" s="3528"/>
      <c r="O526" s="3528"/>
      <c r="P526" s="3528"/>
      <c r="Q526" s="3528"/>
      <c r="R526" s="3528"/>
      <c r="S526" s="3528"/>
      <c r="T526" s="3528"/>
      <c r="U526" s="3528"/>
      <c r="W526" s="3754"/>
      <c r="X526" s="3754"/>
      <c r="Y526" s="3754"/>
      <c r="Z526" s="3754"/>
      <c r="AA526" s="3754"/>
      <c r="AB526" s="3754"/>
      <c r="AC526" s="3754"/>
      <c r="AD526" s="3754"/>
      <c r="AE526" s="3754"/>
      <c r="AF526" s="3754"/>
      <c r="CG526" s="2237"/>
      <c r="CH526" s="2237"/>
      <c r="CI526" s="2237"/>
      <c r="CJ526" s="2237"/>
      <c r="CW526" s="2237"/>
      <c r="CX526" s="2237"/>
      <c r="CY526" s="2237"/>
      <c r="CZ526" s="2237"/>
      <c r="DG526" s="3551"/>
      <c r="DH526" s="3528"/>
      <c r="DI526" s="3528"/>
      <c r="DJ526" s="3552"/>
    </row>
    <row r="527" spans="1:114" s="3517" customFormat="1" outlineLevel="1">
      <c r="C527" s="3564"/>
      <c r="D527" s="3680"/>
      <c r="E527" s="3528"/>
      <c r="F527" s="3528"/>
      <c r="G527" s="3528"/>
      <c r="H527" s="3569"/>
      <c r="I527" s="3528"/>
      <c r="J527" s="3528"/>
      <c r="K527" s="3528"/>
      <c r="L527" s="3528"/>
      <c r="M527" s="3564"/>
      <c r="N527" s="3528"/>
      <c r="O527" s="3528"/>
      <c r="P527" s="3528"/>
      <c r="Q527" s="3528"/>
      <c r="R527" s="3528"/>
      <c r="S527" s="3528"/>
      <c r="T527" s="3528"/>
      <c r="U527" s="3528"/>
      <c r="W527" s="3754"/>
      <c r="X527" s="3754"/>
      <c r="Y527" s="3754"/>
      <c r="Z527" s="3754"/>
      <c r="AA527" s="3754"/>
      <c r="AB527" s="3754"/>
      <c r="AC527" s="3754"/>
      <c r="AD527" s="3754"/>
      <c r="AE527" s="3754"/>
      <c r="AF527" s="3754"/>
      <c r="CG527" s="2237"/>
      <c r="CH527" s="2237"/>
      <c r="CI527" s="2237"/>
      <c r="CJ527" s="2237"/>
      <c r="CW527" s="2237"/>
      <c r="CX527" s="2237"/>
      <c r="CY527" s="2237"/>
      <c r="CZ527" s="2237"/>
      <c r="DG527" s="3551"/>
      <c r="DH527" s="3528"/>
      <c r="DI527" s="3528"/>
      <c r="DJ527" s="3552"/>
    </row>
    <row r="528" spans="1:114" s="3517" customFormat="1" outlineLevel="1">
      <c r="C528" s="3564"/>
      <c r="D528" s="3680"/>
      <c r="E528" s="3528"/>
      <c r="F528" s="3528"/>
      <c r="G528" s="3528"/>
      <c r="H528" s="3569"/>
      <c r="I528" s="3528"/>
      <c r="J528" s="3528"/>
      <c r="K528" s="3528"/>
      <c r="L528" s="3528"/>
      <c r="M528" s="3528"/>
      <c r="N528" s="3528"/>
      <c r="O528" s="3528"/>
      <c r="P528" s="3528"/>
      <c r="Q528" s="3528"/>
      <c r="R528" s="3528"/>
      <c r="S528" s="3528"/>
      <c r="T528" s="3528"/>
      <c r="U528" s="3528"/>
      <c r="W528" s="3754"/>
      <c r="X528" s="3754"/>
      <c r="Y528" s="3754"/>
      <c r="Z528" s="3754"/>
      <c r="AA528" s="3754"/>
      <c r="AB528" s="3754"/>
      <c r="AC528" s="3754"/>
      <c r="AD528" s="3754"/>
      <c r="AE528" s="3754"/>
      <c r="AF528" s="3754"/>
      <c r="CG528" s="2237"/>
      <c r="CH528" s="2237"/>
      <c r="CI528" s="2237"/>
      <c r="CJ528" s="2237"/>
      <c r="CW528" s="2237"/>
      <c r="CX528" s="2237"/>
      <c r="CY528" s="2237"/>
      <c r="CZ528" s="2237"/>
      <c r="DG528" s="3551"/>
      <c r="DH528" s="3528"/>
      <c r="DI528" s="3528"/>
      <c r="DJ528" s="3552"/>
    </row>
    <row r="529" spans="1:114" s="3044" customFormat="1" ht="30" outlineLevel="1">
      <c r="A529" s="3517"/>
      <c r="C529" s="2086"/>
      <c r="D529" s="3682" t="s">
        <v>42</v>
      </c>
      <c r="E529" s="3682" t="s">
        <v>275</v>
      </c>
      <c r="F529" s="3756" t="s">
        <v>650</v>
      </c>
      <c r="G529" s="3682" t="s">
        <v>651</v>
      </c>
      <c r="H529" s="3682" t="s">
        <v>652</v>
      </c>
      <c r="I529" s="3682" t="s">
        <v>653</v>
      </c>
      <c r="J529" s="3682" t="s">
        <v>654</v>
      </c>
      <c r="K529" s="3682" t="s">
        <v>655</v>
      </c>
      <c r="L529" s="3682" t="s">
        <v>656</v>
      </c>
      <c r="M529" s="3682" t="s">
        <v>657</v>
      </c>
      <c r="N529" s="3682" t="s">
        <v>658</v>
      </c>
      <c r="O529" s="3682" t="s">
        <v>659</v>
      </c>
      <c r="P529" s="3682" t="s">
        <v>660</v>
      </c>
      <c r="Q529" s="3682" t="s">
        <v>661</v>
      </c>
      <c r="R529" s="2697"/>
      <c r="S529" s="2697"/>
      <c r="T529" s="2697"/>
      <c r="U529" s="2697"/>
      <c r="V529" s="2640" t="s">
        <v>52</v>
      </c>
      <c r="W529" s="2641">
        <f>$W$8</f>
        <v>43252</v>
      </c>
      <c r="X529" s="2641">
        <f>$X$8</f>
        <v>43465</v>
      </c>
      <c r="Y529" s="2641">
        <f>$Y$8</f>
        <v>43800</v>
      </c>
      <c r="Z529" s="2641">
        <f>$Z$8</f>
        <v>43862</v>
      </c>
      <c r="AA529" s="2641">
        <f>$AA$8</f>
        <v>44013</v>
      </c>
      <c r="AB529" s="2641">
        <f>$AB$8</f>
        <v>44166</v>
      </c>
      <c r="AC529" s="2641">
        <f>$AC$8</f>
        <v>44531</v>
      </c>
      <c r="AD529" s="2641">
        <f>$AD$8</f>
        <v>44774</v>
      </c>
      <c r="AE529" s="2641">
        <f>$AE$8</f>
        <v>45142</v>
      </c>
      <c r="AF529" s="2641">
        <f>$AF$8</f>
        <v>45672</v>
      </c>
      <c r="AG529" s="2641" t="str">
        <f>$AG$8</f>
        <v>-</v>
      </c>
      <c r="AH529" s="2237"/>
      <c r="AI529" s="2640" t="s">
        <v>52</v>
      </c>
      <c r="AJ529" s="2641">
        <v>43252</v>
      </c>
      <c r="AK529" s="2641">
        <f>$X$8</f>
        <v>43465</v>
      </c>
      <c r="AL529" s="2641">
        <f>$Y$8</f>
        <v>43800</v>
      </c>
      <c r="AM529" s="2641">
        <f>$Z$8</f>
        <v>43862</v>
      </c>
      <c r="AN529" s="2641">
        <f>$AA$8</f>
        <v>44013</v>
      </c>
      <c r="AO529" s="2641">
        <f>$AB$8</f>
        <v>44166</v>
      </c>
      <c r="AP529" s="2641">
        <f>$AC$8</f>
        <v>44531</v>
      </c>
      <c r="AQ529" s="2641">
        <f>$AD$8</f>
        <v>44774</v>
      </c>
      <c r="AR529" s="2641">
        <f>$AE$8</f>
        <v>45142</v>
      </c>
      <c r="AS529" s="2641">
        <f>$AF$8</f>
        <v>45672</v>
      </c>
      <c r="AT529" s="3517"/>
      <c r="AU529" s="2640" t="s">
        <v>52</v>
      </c>
      <c r="AV529" s="2641">
        <v>43252</v>
      </c>
      <c r="AW529" s="2641">
        <f>$X$8</f>
        <v>43465</v>
      </c>
      <c r="AX529" s="2641">
        <f>$Y$8</f>
        <v>43800</v>
      </c>
      <c r="AY529" s="2641">
        <f>$Z$8</f>
        <v>43862</v>
      </c>
      <c r="AZ529" s="2641">
        <f>$AA$8</f>
        <v>44013</v>
      </c>
      <c r="BA529" s="2641">
        <v>44166</v>
      </c>
      <c r="BB529" s="2641">
        <f>$AC$8</f>
        <v>44531</v>
      </c>
      <c r="BC529" s="2641">
        <f>$AD$8</f>
        <v>44774</v>
      </c>
      <c r="BD529" s="2641">
        <f>$AE$8</f>
        <v>45142</v>
      </c>
      <c r="BE529" s="2641">
        <f>$AF$8</f>
        <v>45672</v>
      </c>
      <c r="DE529" s="3517"/>
      <c r="DF529" s="3517"/>
      <c r="DG529" s="3597"/>
      <c r="DH529" s="2697"/>
      <c r="DI529" s="2697"/>
      <c r="DJ529" s="3552"/>
    </row>
    <row r="530" spans="1:114" s="3517" customFormat="1" outlineLevel="1">
      <c r="C530" s="3564"/>
      <c r="D530" s="3598" t="str">
        <f>C517</f>
        <v>803850_2024_12_</v>
      </c>
      <c r="E530" s="3598" t="str">
        <f>E517</f>
        <v>Clothes Washer (Electric DHW; Electric Dryer)</v>
      </c>
      <c r="F530" s="3757">
        <v>3.8</v>
      </c>
      <c r="G530" s="3758">
        <v>2</v>
      </c>
      <c r="H530" s="3759">
        <v>2.39</v>
      </c>
      <c r="I530" s="3696">
        <v>2190</v>
      </c>
      <c r="J530" s="3760">
        <v>6.5000000000000002E-2</v>
      </c>
      <c r="K530" s="3760">
        <v>3.5000000000000003E-2</v>
      </c>
      <c r="L530" s="3760">
        <v>0.25900000000000001</v>
      </c>
      <c r="M530" s="3760">
        <v>0.14099999999999999</v>
      </c>
      <c r="N530" s="3760">
        <v>0.67600000000000005</v>
      </c>
      <c r="O530" s="3760">
        <v>0.82399999999999995</v>
      </c>
      <c r="P530" s="3760">
        <v>1</v>
      </c>
      <c r="Q530" s="3760">
        <v>1</v>
      </c>
      <c r="R530" s="3528"/>
      <c r="S530" s="3528"/>
      <c r="T530" s="3528"/>
      <c r="U530" s="3528"/>
      <c r="V530" s="2244" t="s">
        <v>650</v>
      </c>
      <c r="W530" s="3761">
        <v>3.1</v>
      </c>
      <c r="X530" s="3761">
        <v>3.1</v>
      </c>
      <c r="Y530" s="3761">
        <v>3.1</v>
      </c>
      <c r="Z530" s="3761">
        <v>3.1</v>
      </c>
      <c r="AA530" s="3761">
        <v>3.1</v>
      </c>
      <c r="AB530" s="3518">
        <v>3.1</v>
      </c>
      <c r="AC530" s="2845">
        <v>3.1</v>
      </c>
      <c r="AD530" s="2845">
        <v>3.1</v>
      </c>
      <c r="AE530" s="2845">
        <v>3.1</v>
      </c>
      <c r="AF530" s="2845">
        <v>3.8</v>
      </c>
      <c r="AG530" s="2413"/>
      <c r="AH530" s="2237"/>
      <c r="AI530" s="2244" t="s">
        <v>651</v>
      </c>
      <c r="AJ530" s="3506">
        <v>1.7</v>
      </c>
      <c r="AK530" s="3506">
        <v>1.7</v>
      </c>
      <c r="AL530" s="3506">
        <v>1.7</v>
      </c>
      <c r="AM530" s="3506">
        <v>1.7</v>
      </c>
      <c r="AN530" s="3506">
        <v>1.7</v>
      </c>
      <c r="AO530" s="2845">
        <v>1.7</v>
      </c>
      <c r="AP530" s="3518">
        <v>1.7</v>
      </c>
      <c r="AQ530" s="3518">
        <v>1.7</v>
      </c>
      <c r="AR530" s="3518">
        <v>1.7</v>
      </c>
      <c r="AS530" s="3762">
        <v>2</v>
      </c>
      <c r="AU530" s="2244" t="s">
        <v>652</v>
      </c>
      <c r="AV530" s="3763">
        <v>2.2000000000000002</v>
      </c>
      <c r="AW530" s="3763">
        <v>2.2000000000000002</v>
      </c>
      <c r="AX530" s="3763">
        <v>2.2000000000000002</v>
      </c>
      <c r="AY530" s="3763">
        <v>2.2000000000000002</v>
      </c>
      <c r="AZ530" s="3763">
        <v>2.2000000000000002</v>
      </c>
      <c r="BA530" s="3649">
        <v>2.2000000000000002</v>
      </c>
      <c r="BB530" s="3649">
        <v>2.2000000000000002</v>
      </c>
      <c r="BC530" s="3649">
        <v>2.2000000000000002</v>
      </c>
      <c r="BD530" s="3649">
        <v>2.2000000000000002</v>
      </c>
      <c r="BE530" s="3251">
        <v>2.39</v>
      </c>
      <c r="CG530" s="2237"/>
      <c r="CH530" s="2237"/>
      <c r="CI530" s="2237"/>
      <c r="CJ530" s="2237"/>
      <c r="CW530" s="2237"/>
      <c r="CX530" s="2237"/>
      <c r="CY530" s="2237"/>
      <c r="CZ530" s="2237"/>
      <c r="DG530" s="3551"/>
      <c r="DH530" s="3528"/>
      <c r="DI530" s="3528"/>
      <c r="DJ530" s="3552"/>
    </row>
    <row r="531" spans="1:114" s="3517" customFormat="1" outlineLevel="1">
      <c r="C531" s="3564"/>
      <c r="D531" s="3598" t="str">
        <f>C518</f>
        <v>803900_2024_12_</v>
      </c>
      <c r="E531" s="3598" t="str">
        <f>E518</f>
        <v>Clothes Washer (Gas DHW; Electric Dryer)</v>
      </c>
      <c r="F531" s="3757">
        <v>3.8</v>
      </c>
      <c r="G531" s="3758">
        <v>2</v>
      </c>
      <c r="H531" s="3759">
        <v>2.39</v>
      </c>
      <c r="I531" s="3696">
        <v>2190</v>
      </c>
      <c r="J531" s="3760">
        <v>6.5000000000000002E-2</v>
      </c>
      <c r="K531" s="3760">
        <v>3.5000000000000003E-2</v>
      </c>
      <c r="L531" s="3760">
        <v>0.25900000000000001</v>
      </c>
      <c r="M531" s="3760">
        <v>0.14099999999999999</v>
      </c>
      <c r="N531" s="3760">
        <v>0.67600000000000005</v>
      </c>
      <c r="O531" s="3760">
        <v>0.82399999999999995</v>
      </c>
      <c r="P531" s="3760">
        <v>0</v>
      </c>
      <c r="Q531" s="3760">
        <v>1</v>
      </c>
      <c r="R531" s="3528"/>
      <c r="S531" s="3528"/>
      <c r="T531" s="3528"/>
      <c r="U531" s="3528"/>
      <c r="V531" s="2244" t="s">
        <v>650</v>
      </c>
      <c r="W531" s="3761">
        <v>3.1</v>
      </c>
      <c r="X531" s="3761">
        <v>3.1</v>
      </c>
      <c r="Y531" s="3761">
        <v>3.1</v>
      </c>
      <c r="Z531" s="3761">
        <v>3.1</v>
      </c>
      <c r="AA531" s="3761">
        <v>3.1</v>
      </c>
      <c r="AB531" s="3518">
        <v>3.1</v>
      </c>
      <c r="AC531" s="2845">
        <v>3.1</v>
      </c>
      <c r="AD531" s="2845">
        <v>3.1</v>
      </c>
      <c r="AE531" s="2845">
        <v>3.1</v>
      </c>
      <c r="AF531" s="2845">
        <v>3.8</v>
      </c>
      <c r="AG531" s="2413"/>
      <c r="AH531" s="2237"/>
      <c r="AI531" s="2244" t="s">
        <v>651</v>
      </c>
      <c r="AJ531" s="3506">
        <v>1.7</v>
      </c>
      <c r="AK531" s="3506">
        <v>1.7</v>
      </c>
      <c r="AL531" s="3506">
        <v>1.7</v>
      </c>
      <c r="AM531" s="3506">
        <v>1.7</v>
      </c>
      <c r="AN531" s="3506">
        <v>1.7</v>
      </c>
      <c r="AO531" s="2845">
        <v>1.7</v>
      </c>
      <c r="AP531" s="3518">
        <v>1.7</v>
      </c>
      <c r="AQ531" s="3518">
        <v>1.7</v>
      </c>
      <c r="AR531" s="3518">
        <v>1.7</v>
      </c>
      <c r="AS531" s="3762">
        <v>2</v>
      </c>
      <c r="AU531" s="2244" t="s">
        <v>652</v>
      </c>
      <c r="AV531" s="3763">
        <v>2.2000000000000002</v>
      </c>
      <c r="AW531" s="3763">
        <v>2.2000000000000002</v>
      </c>
      <c r="AX531" s="3763">
        <v>2.2000000000000002</v>
      </c>
      <c r="AY531" s="3763">
        <v>2.2000000000000002</v>
      </c>
      <c r="AZ531" s="3763">
        <v>2.2000000000000002</v>
      </c>
      <c r="BA531" s="3649">
        <v>2.2000000000000002</v>
      </c>
      <c r="BB531" s="3649">
        <v>2.2000000000000002</v>
      </c>
      <c r="BC531" s="3649">
        <v>2.2000000000000002</v>
      </c>
      <c r="BD531" s="3649">
        <v>2.2000000000000002</v>
      </c>
      <c r="BE531" s="3251">
        <v>2.39</v>
      </c>
      <c r="CG531" s="2237"/>
      <c r="CH531" s="2237"/>
      <c r="CI531" s="2237"/>
      <c r="CJ531" s="2237"/>
      <c r="CW531" s="2237"/>
      <c r="CX531" s="2237"/>
      <c r="CY531" s="2237"/>
      <c r="CZ531" s="2237"/>
      <c r="DG531" s="3551"/>
      <c r="DH531" s="3528"/>
      <c r="DI531" s="3528"/>
      <c r="DJ531" s="3552"/>
    </row>
    <row r="532" spans="1:114" s="3517" customFormat="1" outlineLevel="1">
      <c r="C532" s="3564"/>
      <c r="D532" s="3598" t="str">
        <f>C519</f>
        <v>803950_2024_12_</v>
      </c>
      <c r="E532" s="3598" t="str">
        <f>E519</f>
        <v>Clothes Washer (Electric DHW; Gas Dryer)</v>
      </c>
      <c r="F532" s="3757">
        <v>3.8</v>
      </c>
      <c r="G532" s="3758">
        <v>2</v>
      </c>
      <c r="H532" s="3759">
        <v>2.39</v>
      </c>
      <c r="I532" s="3696">
        <v>2190</v>
      </c>
      <c r="J532" s="3760">
        <v>6.5000000000000002E-2</v>
      </c>
      <c r="K532" s="3760">
        <v>3.5000000000000003E-2</v>
      </c>
      <c r="L532" s="3760">
        <v>0.25900000000000001</v>
      </c>
      <c r="M532" s="3760">
        <v>0.14099999999999999</v>
      </c>
      <c r="N532" s="3760">
        <v>0.67600000000000005</v>
      </c>
      <c r="O532" s="3760">
        <v>0.82399999999999995</v>
      </c>
      <c r="P532" s="3760">
        <v>1</v>
      </c>
      <c r="Q532" s="3760">
        <v>0</v>
      </c>
      <c r="R532" s="3528"/>
      <c r="S532" s="3528"/>
      <c r="T532" s="3528"/>
      <c r="U532" s="3528"/>
      <c r="V532" s="2244" t="s">
        <v>650</v>
      </c>
      <c r="W532" s="3761">
        <v>3.1</v>
      </c>
      <c r="X532" s="3761">
        <v>3.1</v>
      </c>
      <c r="Y532" s="3761">
        <v>3.1</v>
      </c>
      <c r="Z532" s="3761">
        <v>3.1</v>
      </c>
      <c r="AA532" s="3761">
        <v>3.1</v>
      </c>
      <c r="AB532" s="3518">
        <v>3.1</v>
      </c>
      <c r="AC532" s="2845">
        <v>3.1</v>
      </c>
      <c r="AD532" s="2845">
        <v>3.1</v>
      </c>
      <c r="AE532" s="2845">
        <v>3.1</v>
      </c>
      <c r="AF532" s="2845">
        <v>3.8</v>
      </c>
      <c r="AG532" s="2413"/>
      <c r="AH532" s="2237"/>
      <c r="AI532" s="2244" t="s">
        <v>651</v>
      </c>
      <c r="AJ532" s="3506">
        <v>1.7</v>
      </c>
      <c r="AK532" s="3506">
        <v>1.7</v>
      </c>
      <c r="AL532" s="3506">
        <v>1.7</v>
      </c>
      <c r="AM532" s="3506">
        <v>1.7</v>
      </c>
      <c r="AN532" s="3506">
        <v>1.7</v>
      </c>
      <c r="AO532" s="2845">
        <v>1.7</v>
      </c>
      <c r="AP532" s="3518">
        <v>1.7</v>
      </c>
      <c r="AQ532" s="3518">
        <v>1.7</v>
      </c>
      <c r="AR532" s="3518">
        <v>1.7</v>
      </c>
      <c r="AS532" s="3762">
        <v>2</v>
      </c>
      <c r="AU532" s="2244" t="s">
        <v>652</v>
      </c>
      <c r="AV532" s="3763">
        <v>2.2000000000000002</v>
      </c>
      <c r="AW532" s="3763">
        <v>2.2000000000000002</v>
      </c>
      <c r="AX532" s="3763">
        <v>2.2000000000000002</v>
      </c>
      <c r="AY532" s="3763">
        <v>2.2000000000000002</v>
      </c>
      <c r="AZ532" s="3763">
        <v>2.2000000000000002</v>
      </c>
      <c r="BA532" s="3649">
        <v>2.2000000000000002</v>
      </c>
      <c r="BB532" s="3649">
        <v>2.2000000000000002</v>
      </c>
      <c r="BC532" s="3649">
        <v>2.2000000000000002</v>
      </c>
      <c r="BD532" s="3649">
        <v>2.2000000000000002</v>
      </c>
      <c r="BE532" s="3251">
        <v>2.39</v>
      </c>
      <c r="CG532" s="2237"/>
      <c r="CH532" s="2237"/>
      <c r="CI532" s="2237"/>
      <c r="CJ532" s="2237"/>
      <c r="CW532" s="2237"/>
      <c r="CX532" s="2237"/>
      <c r="CY532" s="2237"/>
      <c r="CZ532" s="2237"/>
      <c r="DG532" s="3551"/>
      <c r="DH532" s="3528"/>
      <c r="DI532" s="3528"/>
      <c r="DJ532" s="3552"/>
    </row>
    <row r="533" spans="1:114" s="3517" customFormat="1" outlineLevel="1">
      <c r="C533" s="3564"/>
      <c r="D533" s="3598" t="str">
        <f>C520</f>
        <v>804000_2024_12_</v>
      </c>
      <c r="E533" s="3598" t="str">
        <f>E520</f>
        <v>Clothes Washer (Gas DHW; Gas Dryer)</v>
      </c>
      <c r="F533" s="3757">
        <v>3.8</v>
      </c>
      <c r="G533" s="3758">
        <v>2</v>
      </c>
      <c r="H533" s="3759">
        <v>2.39</v>
      </c>
      <c r="I533" s="3696">
        <v>2190</v>
      </c>
      <c r="J533" s="3760">
        <v>6.5000000000000002E-2</v>
      </c>
      <c r="K533" s="3760">
        <v>3.5000000000000003E-2</v>
      </c>
      <c r="L533" s="3760">
        <v>0.25900000000000001</v>
      </c>
      <c r="M533" s="3760">
        <v>0.14099999999999999</v>
      </c>
      <c r="N533" s="3760">
        <v>0.67600000000000005</v>
      </c>
      <c r="O533" s="3760">
        <v>0.82399999999999995</v>
      </c>
      <c r="P533" s="3760">
        <v>0</v>
      </c>
      <c r="Q533" s="3760">
        <v>0</v>
      </c>
      <c r="R533" s="3528"/>
      <c r="S533" s="3528"/>
      <c r="T533" s="3528"/>
      <c r="U533" s="3528"/>
      <c r="V533" s="2244" t="s">
        <v>650</v>
      </c>
      <c r="W533" s="3761">
        <v>3.1</v>
      </c>
      <c r="X533" s="3761">
        <v>3.1</v>
      </c>
      <c r="Y533" s="3761">
        <v>3.1</v>
      </c>
      <c r="Z533" s="3761">
        <v>3.1</v>
      </c>
      <c r="AA533" s="3761">
        <v>3.1</v>
      </c>
      <c r="AB533" s="3518">
        <v>3.1</v>
      </c>
      <c r="AC533" s="2845">
        <v>3.1</v>
      </c>
      <c r="AD533" s="2845">
        <v>3.1</v>
      </c>
      <c r="AE533" s="2845">
        <v>3.1</v>
      </c>
      <c r="AF533" s="2845">
        <v>3.8</v>
      </c>
      <c r="AG533" s="2413"/>
      <c r="AH533" s="2237"/>
      <c r="AI533" s="2244" t="s">
        <v>651</v>
      </c>
      <c r="AJ533" s="3506">
        <v>1.7</v>
      </c>
      <c r="AK533" s="3506">
        <v>1.7</v>
      </c>
      <c r="AL533" s="3506">
        <v>1.7</v>
      </c>
      <c r="AM533" s="3506">
        <v>1.7</v>
      </c>
      <c r="AN533" s="3506">
        <v>1.7</v>
      </c>
      <c r="AO533" s="2845">
        <v>1.7</v>
      </c>
      <c r="AP533" s="3518">
        <v>1.7</v>
      </c>
      <c r="AQ533" s="3518">
        <v>1.7</v>
      </c>
      <c r="AR533" s="3518">
        <v>1.7</v>
      </c>
      <c r="AS533" s="3762">
        <v>2</v>
      </c>
      <c r="AU533" s="2244" t="s">
        <v>652</v>
      </c>
      <c r="AV533" s="3763">
        <v>2.2000000000000002</v>
      </c>
      <c r="AW533" s="3763">
        <v>2.2000000000000002</v>
      </c>
      <c r="AX533" s="3763">
        <v>2.2000000000000002</v>
      </c>
      <c r="AY533" s="3763">
        <v>2.2000000000000002</v>
      </c>
      <c r="AZ533" s="3763">
        <v>2.2000000000000002</v>
      </c>
      <c r="BA533" s="3649">
        <v>2.2000000000000002</v>
      </c>
      <c r="BB533" s="3649">
        <v>2.2000000000000002</v>
      </c>
      <c r="BC533" s="3649">
        <v>2.2000000000000002</v>
      </c>
      <c r="BD533" s="3649">
        <v>2.2000000000000002</v>
      </c>
      <c r="BE533" s="3251">
        <v>2.39</v>
      </c>
      <c r="CG533" s="2237"/>
      <c r="CH533" s="2237"/>
      <c r="CI533" s="2237"/>
      <c r="CJ533" s="2237"/>
      <c r="CW533" s="2237"/>
      <c r="CX533" s="2237"/>
      <c r="CY533" s="2237"/>
      <c r="CZ533" s="2237"/>
      <c r="DG533" s="3551"/>
      <c r="DH533" s="3528"/>
      <c r="DI533" s="3528"/>
      <c r="DJ533" s="3552"/>
    </row>
    <row r="534" spans="1:114" s="3517" customFormat="1">
      <c r="C534" s="3564"/>
      <c r="D534" s="3564"/>
      <c r="E534" s="3528"/>
      <c r="F534" s="3690"/>
      <c r="G534" s="3688" t="s">
        <v>662</v>
      </c>
      <c r="H534" s="3689" t="s">
        <v>663</v>
      </c>
      <c r="I534" s="3528"/>
      <c r="J534" s="3528"/>
      <c r="K534" s="3528"/>
      <c r="L534" s="3528"/>
      <c r="M534" s="3528"/>
      <c r="N534" s="3528"/>
      <c r="O534" s="3528"/>
      <c r="P534" s="3528"/>
      <c r="Q534" s="3528"/>
      <c r="R534" s="3528"/>
      <c r="S534" s="3528"/>
      <c r="T534" s="3528"/>
      <c r="U534" s="3528"/>
      <c r="CG534" s="2237"/>
      <c r="CH534" s="2237"/>
      <c r="CI534" s="2237"/>
      <c r="CJ534" s="2237"/>
      <c r="CW534" s="2237"/>
      <c r="CX534" s="2237"/>
      <c r="CY534" s="2237"/>
      <c r="CZ534" s="2237"/>
      <c r="DG534" s="3551"/>
      <c r="DH534" s="3528"/>
      <c r="DI534" s="3528"/>
      <c r="DJ534" s="3552"/>
    </row>
    <row r="535" spans="1:114" s="3517" customFormat="1">
      <c r="C535" s="3564"/>
      <c r="D535" s="3564"/>
      <c r="E535" s="3528"/>
      <c r="F535" s="3528"/>
      <c r="G535" s="3663"/>
      <c r="H535" s="3691"/>
      <c r="I535" s="3528"/>
      <c r="J535" s="3528"/>
      <c r="K535" s="3528"/>
      <c r="L535" s="3528"/>
      <c r="M535" s="3528"/>
      <c r="N535" s="3528"/>
      <c r="O535" s="3528"/>
      <c r="P535" s="3528"/>
      <c r="Q535" s="3528"/>
      <c r="R535" s="3528"/>
      <c r="S535" s="3528"/>
      <c r="T535" s="3528"/>
      <c r="U535" s="3528"/>
      <c r="CG535" s="2237"/>
      <c r="CH535" s="2237"/>
      <c r="CI535" s="2237"/>
      <c r="CJ535" s="2237"/>
      <c r="CW535" s="2237"/>
      <c r="CX535" s="2237"/>
      <c r="CY535" s="2237"/>
      <c r="CZ535" s="2237"/>
      <c r="DG535" s="3551"/>
      <c r="DH535" s="3528"/>
      <c r="DI535" s="3528"/>
      <c r="DJ535" s="3552"/>
    </row>
    <row r="536" spans="1:114" s="3044" customFormat="1" ht="30">
      <c r="A536" s="3517"/>
      <c r="B536" s="2723"/>
      <c r="C536" s="3570" t="s">
        <v>42</v>
      </c>
      <c r="D536" s="3570" t="s">
        <v>43</v>
      </c>
      <c r="E536" s="2280" t="s">
        <v>44</v>
      </c>
      <c r="F536" s="2280" t="s">
        <v>45</v>
      </c>
      <c r="G536" s="2280" t="s">
        <v>46</v>
      </c>
      <c r="H536" s="3571" t="s">
        <v>47</v>
      </c>
      <c r="I536" s="2280" t="s">
        <v>48</v>
      </c>
      <c r="J536" s="2280" t="s">
        <v>49</v>
      </c>
      <c r="K536" s="3570" t="s">
        <v>50</v>
      </c>
      <c r="L536" s="3570" t="s">
        <v>51</v>
      </c>
      <c r="M536" s="3528"/>
      <c r="N536" s="3750"/>
      <c r="O536" s="3751"/>
      <c r="P536" s="3752"/>
      <c r="Q536" s="2697"/>
      <c r="R536" s="2697"/>
      <c r="S536" s="2697"/>
      <c r="T536" s="2697"/>
      <c r="U536" s="2697"/>
      <c r="V536" s="2640" t="s">
        <v>52</v>
      </c>
      <c r="W536" s="2641">
        <f>$W$8</f>
        <v>43252</v>
      </c>
      <c r="X536" s="2641">
        <f>$X$8</f>
        <v>43465</v>
      </c>
      <c r="Y536" s="2641">
        <f>$Y$8</f>
        <v>43800</v>
      </c>
      <c r="Z536" s="2641">
        <f>$Z$8</f>
        <v>43862</v>
      </c>
      <c r="AA536" s="2641">
        <f>$AA$8</f>
        <v>44013</v>
      </c>
      <c r="AB536" s="2641">
        <v>44166</v>
      </c>
      <c r="AC536" s="2641">
        <f>$AC$8</f>
        <v>44531</v>
      </c>
      <c r="AD536" s="2641">
        <f>$AD$8</f>
        <v>44774</v>
      </c>
      <c r="AE536" s="2641">
        <f>$AE$8</f>
        <v>45142</v>
      </c>
      <c r="AF536" s="2641">
        <f>$AF$8</f>
        <v>45672</v>
      </c>
      <c r="AG536" s="2641" t="str">
        <f>$AG$8</f>
        <v>-</v>
      </c>
      <c r="AH536" s="2237"/>
      <c r="AI536" s="2640" t="s">
        <v>52</v>
      </c>
      <c r="AJ536" s="2641">
        <v>43252</v>
      </c>
      <c r="AK536" s="2641">
        <f>$X$8</f>
        <v>43465</v>
      </c>
      <c r="AL536" s="2641">
        <f>$Y$8</f>
        <v>43800</v>
      </c>
      <c r="AM536" s="2641">
        <f>$Z$8</f>
        <v>43862</v>
      </c>
      <c r="AN536" s="2641">
        <f>$AA$8</f>
        <v>44013</v>
      </c>
      <c r="AO536" s="2641">
        <f>$AB$8</f>
        <v>44166</v>
      </c>
      <c r="AP536" s="2641">
        <f>$AC$8</f>
        <v>44531</v>
      </c>
      <c r="AQ536" s="2641">
        <f>$AD$8</f>
        <v>44774</v>
      </c>
      <c r="AR536" s="2641">
        <f>$AE$8</f>
        <v>45142</v>
      </c>
      <c r="AS536" s="2641">
        <f>$AF$8</f>
        <v>45672</v>
      </c>
      <c r="AT536" s="3517"/>
      <c r="AU536" s="2640" t="s">
        <v>52</v>
      </c>
      <c r="AV536" s="2641">
        <v>43252</v>
      </c>
      <c r="AW536" s="2641">
        <f>$X$8</f>
        <v>43465</v>
      </c>
      <c r="AX536" s="2641">
        <f>$Y$8</f>
        <v>43800</v>
      </c>
      <c r="AY536" s="2641">
        <f>$Z$8</f>
        <v>43862</v>
      </c>
      <c r="AZ536" s="2641">
        <f>$AA$8</f>
        <v>44013</v>
      </c>
      <c r="BA536" s="2641">
        <v>44166</v>
      </c>
      <c r="BB536" s="2641">
        <f>$AC$8</f>
        <v>44531</v>
      </c>
      <c r="BC536" s="2641">
        <f>$AD$8</f>
        <v>44774</v>
      </c>
      <c r="BD536" s="2641">
        <f>$AE$8</f>
        <v>45142</v>
      </c>
      <c r="BE536" s="2641">
        <f>$AF$8</f>
        <v>45672</v>
      </c>
      <c r="DE536" s="3517"/>
      <c r="DF536" s="3517"/>
      <c r="DG536" s="2749" t="str">
        <f>$DG$8</f>
        <v>TRC (2025)</v>
      </c>
      <c r="DH536" s="2750" t="str">
        <f>$DH$8</f>
        <v>Benefit Lookup</v>
      </c>
      <c r="DI536" s="2750" t="str">
        <f>$DI$8</f>
        <v>Benefits (2025 $)</v>
      </c>
      <c r="DJ536" s="3572" t="str">
        <f>$DJ$8</f>
        <v>Incremental Cost (2025 $)</v>
      </c>
    </row>
    <row r="537" spans="1:114" s="3517" customFormat="1">
      <c r="B537" s="2208">
        <f>VALUE(LEFT(C537,6))</f>
        <v>804050</v>
      </c>
      <c r="C537" s="3499" t="s">
        <v>664</v>
      </c>
      <c r="D537" s="3509" t="str">
        <f t="shared" ref="D537:D539" si="139">$D$98</f>
        <v>BSS</v>
      </c>
      <c r="E537" s="3574" t="s">
        <v>665</v>
      </c>
      <c r="F537" s="3617">
        <f>ROUND(((F549/G549)-(F549/H549))*I549*J549,2)</f>
        <v>132.21</v>
      </c>
      <c r="G537" s="3503" t="s">
        <v>87</v>
      </c>
      <c r="H537" s="3504">
        <f>VLOOKUP(G537,'CP FACTORS'!$A$26:$B$38,2,FALSE)</f>
        <v>1.379439E-4</v>
      </c>
      <c r="I537" s="3575">
        <f>ROUND(H537*F537,6)</f>
        <v>1.8238000000000001E-2</v>
      </c>
      <c r="J537" s="3692">
        <v>14</v>
      </c>
      <c r="K537" s="3576">
        <v>75</v>
      </c>
      <c r="L537" s="3717" t="s">
        <v>62</v>
      </c>
      <c r="M537" s="3528"/>
      <c r="N537" s="3528"/>
      <c r="O537" s="3528"/>
      <c r="P537" s="3528"/>
      <c r="Q537" s="3528"/>
      <c r="R537" s="3528"/>
      <c r="S537" s="3528"/>
      <c r="T537" s="3528"/>
      <c r="U537" s="3528"/>
      <c r="V537" s="2244" t="s">
        <v>45</v>
      </c>
      <c r="W537" s="3293">
        <v>840.73431350891383</v>
      </c>
      <c r="X537" s="3293">
        <v>840.73431350891383</v>
      </c>
      <c r="Y537" s="3293">
        <v>840.73431350891383</v>
      </c>
      <c r="Z537" s="3293">
        <v>840.73431350891383</v>
      </c>
      <c r="AA537" s="3293">
        <v>840.73431350891383</v>
      </c>
      <c r="AB537" s="3655">
        <v>840.73</v>
      </c>
      <c r="AC537" s="3632">
        <v>840.73</v>
      </c>
      <c r="AD537" s="3632">
        <v>840.73</v>
      </c>
      <c r="AE537" s="3632">
        <v>840.73</v>
      </c>
      <c r="AF537" s="3648">
        <v>132.21</v>
      </c>
      <c r="AG537" s="2413"/>
      <c r="AH537" s="2237"/>
      <c r="AI537" s="2244" t="s">
        <v>49</v>
      </c>
      <c r="AJ537" s="3506">
        <v>14</v>
      </c>
      <c r="AK537" s="3506">
        <v>14</v>
      </c>
      <c r="AL537" s="3506">
        <v>14</v>
      </c>
      <c r="AM537" s="3506">
        <v>14</v>
      </c>
      <c r="AN537" s="3506">
        <v>14</v>
      </c>
      <c r="AO537" s="2845">
        <v>14</v>
      </c>
      <c r="AP537" s="3518">
        <v>14</v>
      </c>
      <c r="AQ537" s="3518">
        <v>14</v>
      </c>
      <c r="AR537" s="3518">
        <v>14</v>
      </c>
      <c r="AS537" s="3518">
        <v>14</v>
      </c>
      <c r="AU537" s="2244" t="s">
        <v>50</v>
      </c>
      <c r="AV537" s="3521">
        <v>75</v>
      </c>
      <c r="AW537" s="3521">
        <v>75</v>
      </c>
      <c r="AX537" s="3521">
        <v>75</v>
      </c>
      <c r="AY537" s="3521">
        <v>75</v>
      </c>
      <c r="AZ537" s="3521">
        <v>75</v>
      </c>
      <c r="BA537" s="3522">
        <v>75</v>
      </c>
      <c r="BB537" s="3522">
        <v>75</v>
      </c>
      <c r="BC537" s="3522">
        <v>75</v>
      </c>
      <c r="BD537" s="3522">
        <v>75</v>
      </c>
      <c r="BE537" s="3522">
        <v>75</v>
      </c>
      <c r="CG537" s="2237"/>
      <c r="CH537" s="2237"/>
      <c r="CI537" s="2237"/>
      <c r="CJ537" s="2237"/>
      <c r="CW537" s="2237"/>
      <c r="CX537" s="2237"/>
      <c r="CY537" s="2237"/>
      <c r="CZ537" s="2237"/>
      <c r="DG537" s="2418">
        <f>(DI537)/(DJ537)</f>
        <v>1.199448991905661</v>
      </c>
      <c r="DH537" s="2419" t="str">
        <f>CONCATENATE(G537," ",J537," Year EUL")</f>
        <v>Miscellaneous BUS 14 Year EUL</v>
      </c>
      <c r="DI537" s="3677">
        <f>(INDEX('Avoided Cost Benefits'!$B$4:$B$865,MATCH(DH537,'Avoided Cost Benefits'!$A$4:$A$865,0)))*F537</f>
        <v>89.958674392924578</v>
      </c>
      <c r="DJ537" s="2421">
        <f>K537/(1.0686^(2025-2025))</f>
        <v>75</v>
      </c>
    </row>
    <row r="538" spans="1:114" s="3517" customFormat="1">
      <c r="B538" s="2208">
        <f t="shared" ref="B538:B539" si="140">VALUE(LEFT(C538,6))</f>
        <v>804100</v>
      </c>
      <c r="C538" s="3499" t="s">
        <v>666</v>
      </c>
      <c r="D538" s="3509" t="str">
        <f t="shared" si="139"/>
        <v>BSS</v>
      </c>
      <c r="E538" s="3639" t="s">
        <v>667</v>
      </c>
      <c r="F538" s="3617">
        <f>ROUND(((F550/G550)-(F550/H550))*I550*J550,2)</f>
        <v>472.36</v>
      </c>
      <c r="G538" s="3503" t="s">
        <v>87</v>
      </c>
      <c r="H538" s="3504">
        <f>VLOOKUP(G538,'CP FACTORS'!$A$26:$B$38,2,FALSE)</f>
        <v>1.379439E-4</v>
      </c>
      <c r="I538" s="3575">
        <f>ROUND(H538*F538,6)</f>
        <v>6.5158999999999995E-2</v>
      </c>
      <c r="J538" s="3692">
        <v>14</v>
      </c>
      <c r="K538" s="3576">
        <v>105</v>
      </c>
      <c r="L538" s="3717" t="s">
        <v>62</v>
      </c>
      <c r="M538" s="3528"/>
      <c r="N538" s="3528"/>
      <c r="O538" s="3528"/>
      <c r="P538" s="3528"/>
      <c r="Q538" s="3528"/>
      <c r="R538" s="3528"/>
      <c r="S538" s="3528"/>
      <c r="T538" s="3528"/>
      <c r="U538" s="3528"/>
      <c r="V538" s="2244" t="s">
        <v>45</v>
      </c>
      <c r="W538" s="3293">
        <v>307.28361601678625</v>
      </c>
      <c r="X538" s="3293">
        <v>307.28361601678625</v>
      </c>
      <c r="Y538" s="3293">
        <v>307.28361601678625</v>
      </c>
      <c r="Z538" s="3293">
        <v>307.28361601678625</v>
      </c>
      <c r="AA538" s="3293">
        <v>307.28361601678625</v>
      </c>
      <c r="AB538" s="3655">
        <v>307.27999999999997</v>
      </c>
      <c r="AC538" s="3632">
        <v>307.27999999999997</v>
      </c>
      <c r="AD538" s="3632">
        <v>307.27999999999997</v>
      </c>
      <c r="AE538" s="3632">
        <v>307.27999999999997</v>
      </c>
      <c r="AF538" s="3648">
        <v>472.36</v>
      </c>
      <c r="AG538" s="2413"/>
      <c r="AH538" s="2237"/>
      <c r="AI538" s="2244" t="s">
        <v>49</v>
      </c>
      <c r="AJ538" s="3506">
        <v>14</v>
      </c>
      <c r="AK538" s="3506">
        <v>14</v>
      </c>
      <c r="AL538" s="3506">
        <v>14</v>
      </c>
      <c r="AM538" s="3506">
        <v>14</v>
      </c>
      <c r="AN538" s="3506">
        <v>14</v>
      </c>
      <c r="AO538" s="2845">
        <v>14</v>
      </c>
      <c r="AP538" s="3518">
        <v>14</v>
      </c>
      <c r="AQ538" s="3518">
        <v>14</v>
      </c>
      <c r="AR538" s="3518">
        <v>14</v>
      </c>
      <c r="AS538" s="3518">
        <v>14</v>
      </c>
      <c r="AU538" s="2244" t="s">
        <v>50</v>
      </c>
      <c r="AV538" s="3521">
        <v>105</v>
      </c>
      <c r="AW538" s="3521">
        <v>105</v>
      </c>
      <c r="AX538" s="3521">
        <v>105</v>
      </c>
      <c r="AY538" s="3521">
        <v>105</v>
      </c>
      <c r="AZ538" s="3521">
        <v>105</v>
      </c>
      <c r="BA538" s="3522">
        <v>105</v>
      </c>
      <c r="BB538" s="3522">
        <v>105</v>
      </c>
      <c r="BC538" s="3522">
        <v>105</v>
      </c>
      <c r="BD538" s="3522">
        <v>105</v>
      </c>
      <c r="BE538" s="3522">
        <v>105</v>
      </c>
      <c r="CG538" s="2237"/>
      <c r="CH538" s="2237"/>
      <c r="CI538" s="2237"/>
      <c r="CJ538" s="2237"/>
      <c r="CW538" s="2237"/>
      <c r="CX538" s="2237"/>
      <c r="CY538" s="2237"/>
      <c r="CZ538" s="2237"/>
      <c r="DG538" s="2422">
        <f>(DI538)/(DJ538)</f>
        <v>3.0609945531273732</v>
      </c>
      <c r="DH538" s="2423" t="str">
        <f>CONCATENATE(G538," ",J538," Year EUL")</f>
        <v>Miscellaneous BUS 14 Year EUL</v>
      </c>
      <c r="DI538" s="3660">
        <f>(INDEX('Avoided Cost Benefits'!$B$4:$B$865,MATCH(DH538,'Avoided Cost Benefits'!$A$4:$A$865,0)))*F538</f>
        <v>321.40442807837417</v>
      </c>
      <c r="DJ538" s="2424">
        <f>K538/(1.0686^(2025-2025))</f>
        <v>105</v>
      </c>
    </row>
    <row r="539" spans="1:114" s="3517" customFormat="1">
      <c r="B539" s="2208">
        <f t="shared" si="140"/>
        <v>804200</v>
      </c>
      <c r="C539" s="3499" t="s">
        <v>668</v>
      </c>
      <c r="D539" s="3509" t="str">
        <f t="shared" si="139"/>
        <v>BSS</v>
      </c>
      <c r="E539" s="3574" t="s">
        <v>669</v>
      </c>
      <c r="F539" s="3617">
        <f>ROUND(((F551/G551)-(F551/H551))*I551*J551,2)</f>
        <v>427.66</v>
      </c>
      <c r="G539" s="3503" t="s">
        <v>87</v>
      </c>
      <c r="H539" s="3504">
        <f>VLOOKUP(G539,'CP FACTORS'!$A$26:$B$38,2,FALSE)</f>
        <v>1.379439E-4</v>
      </c>
      <c r="I539" s="3575">
        <f>ROUND(H539*F539,6)</f>
        <v>5.8992999999999997E-2</v>
      </c>
      <c r="J539" s="3692">
        <v>14</v>
      </c>
      <c r="K539" s="3576">
        <v>105</v>
      </c>
      <c r="L539" s="3717" t="s">
        <v>62</v>
      </c>
      <c r="M539" s="3528"/>
      <c r="N539" s="3528"/>
      <c r="O539" s="3528"/>
      <c r="P539" s="3528"/>
      <c r="Q539" s="3528"/>
      <c r="R539" s="3528"/>
      <c r="S539" s="3528"/>
      <c r="T539" s="3528"/>
      <c r="U539" s="3528"/>
      <c r="V539" s="2244" t="s">
        <v>45</v>
      </c>
      <c r="W539" s="3293">
        <v>428.65776750052589</v>
      </c>
      <c r="X539" s="3293">
        <v>428.65776750052589</v>
      </c>
      <c r="Y539" s="3293">
        <v>428.65776750052589</v>
      </c>
      <c r="Z539" s="3293">
        <v>428.65776750052589</v>
      </c>
      <c r="AA539" s="3293">
        <v>428.65776750052589</v>
      </c>
      <c r="AB539" s="3655">
        <v>428.66</v>
      </c>
      <c r="AC539" s="3632">
        <v>428.66</v>
      </c>
      <c r="AD539" s="3632">
        <v>428.66</v>
      </c>
      <c r="AE539" s="3632">
        <v>428.66</v>
      </c>
      <c r="AF539" s="3648">
        <v>427.66</v>
      </c>
      <c r="AG539" s="2413"/>
      <c r="AH539" s="2237"/>
      <c r="AI539" s="2244" t="s">
        <v>49</v>
      </c>
      <c r="AJ539" s="3506">
        <v>14</v>
      </c>
      <c r="AK539" s="3506">
        <v>14</v>
      </c>
      <c r="AL539" s="3506">
        <v>14</v>
      </c>
      <c r="AM539" s="3506">
        <v>14</v>
      </c>
      <c r="AN539" s="3506">
        <v>14</v>
      </c>
      <c r="AO539" s="2845">
        <v>14</v>
      </c>
      <c r="AP539" s="3518">
        <v>14</v>
      </c>
      <c r="AQ539" s="3518">
        <v>14</v>
      </c>
      <c r="AR539" s="3518">
        <v>14</v>
      </c>
      <c r="AS539" s="3518">
        <v>14</v>
      </c>
      <c r="AU539" s="2244" t="s">
        <v>50</v>
      </c>
      <c r="AV539" s="3521">
        <v>105</v>
      </c>
      <c r="AW539" s="3521">
        <v>105</v>
      </c>
      <c r="AX539" s="3521">
        <v>105</v>
      </c>
      <c r="AY539" s="3521">
        <v>105</v>
      </c>
      <c r="AZ539" s="3521">
        <v>105</v>
      </c>
      <c r="BA539" s="3522">
        <v>105</v>
      </c>
      <c r="BB539" s="3522">
        <v>105</v>
      </c>
      <c r="BC539" s="3522">
        <v>105</v>
      </c>
      <c r="BD539" s="3522">
        <v>105</v>
      </c>
      <c r="BE539" s="3522">
        <v>105</v>
      </c>
      <c r="CG539" s="2237"/>
      <c r="CH539" s="2237"/>
      <c r="CI539" s="2237"/>
      <c r="CJ539" s="2237"/>
      <c r="CW539" s="2237"/>
      <c r="CX539" s="2237"/>
      <c r="CY539" s="2237"/>
      <c r="CZ539" s="2237"/>
      <c r="DG539" s="2422">
        <f>(DI539)/(DJ539)</f>
        <v>2.7713289241054544</v>
      </c>
      <c r="DH539" s="2423" t="str">
        <f>CONCATENATE(G539," ",J539," Year EUL")</f>
        <v>Miscellaneous BUS 14 Year EUL</v>
      </c>
      <c r="DI539" s="3660">
        <f>(INDEX('Avoided Cost Benefits'!$B$4:$B$865,MATCH(DH539,'Avoided Cost Benefits'!$A$4:$A$865,0)))*F539</f>
        <v>290.9895370310727</v>
      </c>
      <c r="DJ539" s="2424">
        <f>K539/(1.0686^(2025-2025))</f>
        <v>105</v>
      </c>
    </row>
    <row r="540" spans="1:114" s="3517" customFormat="1" outlineLevel="1">
      <c r="C540" s="3564"/>
      <c r="D540" s="2624" t="s">
        <v>118</v>
      </c>
      <c r="E540" s="2360" t="s">
        <v>670</v>
      </c>
      <c r="F540" s="3564" t="s">
        <v>671</v>
      </c>
      <c r="G540" s="3564"/>
      <c r="H540" s="3679"/>
      <c r="I540" s="3564"/>
      <c r="J540" s="3564"/>
      <c r="K540" s="3564"/>
      <c r="L540" s="3528"/>
      <c r="M540" s="3528"/>
      <c r="N540" s="3528"/>
      <c r="O540" s="3528"/>
      <c r="P540" s="3528"/>
      <c r="Q540" s="3528"/>
      <c r="R540" s="3528"/>
      <c r="S540" s="3528"/>
      <c r="T540" s="3528"/>
      <c r="U540" s="3528"/>
      <c r="W540" s="3754"/>
      <c r="X540" s="3754"/>
      <c r="Y540" s="3754"/>
      <c r="Z540" s="3754"/>
      <c r="AA540" s="3754"/>
      <c r="AB540" s="3754"/>
      <c r="AC540" s="3754"/>
      <c r="AD540" s="3754"/>
      <c r="AE540" s="3754"/>
      <c r="AF540" s="3754"/>
      <c r="CG540" s="2237"/>
      <c r="CH540" s="2237"/>
      <c r="CI540" s="2237"/>
      <c r="CJ540" s="2237"/>
      <c r="CW540" s="2237"/>
      <c r="CX540" s="2237"/>
      <c r="CY540" s="2237"/>
      <c r="CZ540" s="2237"/>
      <c r="DG540" s="3551"/>
      <c r="DH540" s="3528"/>
      <c r="DI540" s="3528"/>
      <c r="DJ540" s="3552"/>
    </row>
    <row r="541" spans="1:114" s="3517" customFormat="1" outlineLevel="1">
      <c r="C541" s="3564"/>
      <c r="D541" s="3564" t="s">
        <v>120</v>
      </c>
      <c r="E541" s="3564"/>
      <c r="F541" s="3564"/>
      <c r="G541" s="3564"/>
      <c r="H541" s="3679"/>
      <c r="I541" s="3564"/>
      <c r="J541" s="3564"/>
      <c r="K541" s="3564"/>
      <c r="L541" s="3528"/>
      <c r="M541" s="3528"/>
      <c r="N541" s="3528"/>
      <c r="O541" s="3528"/>
      <c r="P541" s="3528"/>
      <c r="Q541" s="3528"/>
      <c r="R541" s="3528"/>
      <c r="S541" s="3528"/>
      <c r="T541" s="3528"/>
      <c r="U541" s="3528"/>
      <c r="W541" s="3754"/>
      <c r="X541" s="3754"/>
      <c r="Y541" s="3754"/>
      <c r="Z541" s="3754"/>
      <c r="AA541" s="3754"/>
      <c r="AB541" s="3754"/>
      <c r="AC541" s="3754"/>
      <c r="AD541" s="3754"/>
      <c r="AE541" s="3754"/>
      <c r="AF541" s="3754"/>
      <c r="CG541" s="2237"/>
      <c r="CH541" s="2237"/>
      <c r="CI541" s="2237"/>
      <c r="CJ541" s="2237"/>
      <c r="CW541" s="2237"/>
      <c r="CX541" s="2237"/>
      <c r="CY541" s="2237"/>
      <c r="CZ541" s="2237"/>
      <c r="DG541" s="3551"/>
      <c r="DH541" s="3528"/>
      <c r="DI541" s="3528"/>
      <c r="DJ541" s="3552"/>
    </row>
    <row r="542" spans="1:114" s="3517" customFormat="1" outlineLevel="1">
      <c r="C542" s="3564"/>
      <c r="D542" s="3680"/>
      <c r="E542" s="3528"/>
      <c r="F542" s="3528"/>
      <c r="G542" s="3528"/>
      <c r="H542" s="3569"/>
      <c r="I542" s="3528"/>
      <c r="J542" s="3528"/>
      <c r="K542" s="3528"/>
      <c r="L542" s="3528"/>
      <c r="M542" s="3528"/>
      <c r="N542" s="3528"/>
      <c r="O542" s="3528"/>
      <c r="P542" s="3528"/>
      <c r="Q542" s="3528"/>
      <c r="R542" s="3528"/>
      <c r="S542" s="3528"/>
      <c r="T542" s="3528"/>
      <c r="U542" s="3528"/>
      <c r="W542" s="3754"/>
      <c r="X542" s="3754"/>
      <c r="Y542" s="3754"/>
      <c r="Z542" s="3754"/>
      <c r="AA542" s="3754"/>
      <c r="AB542" s="3754"/>
      <c r="AC542" s="3754"/>
      <c r="AD542" s="3754"/>
      <c r="AE542" s="3754"/>
      <c r="AF542" s="3754"/>
      <c r="CG542" s="2237"/>
      <c r="CH542" s="2237"/>
      <c r="CI542" s="2237"/>
      <c r="CJ542" s="2237"/>
      <c r="CW542" s="2237"/>
      <c r="CX542" s="2237"/>
      <c r="CY542" s="2237"/>
      <c r="CZ542" s="2237"/>
      <c r="DG542" s="3551"/>
      <c r="DH542" s="3528"/>
      <c r="DI542" s="3528"/>
      <c r="DJ542" s="3552"/>
    </row>
    <row r="543" spans="1:114" s="3517" customFormat="1" outlineLevel="1">
      <c r="C543" s="3564"/>
      <c r="D543" s="3680"/>
      <c r="E543" s="3528"/>
      <c r="F543" s="3528"/>
      <c r="G543" s="3528"/>
      <c r="H543" s="3569"/>
      <c r="I543" s="3528"/>
      <c r="J543" s="3528"/>
      <c r="K543" s="3528"/>
      <c r="L543" s="3528"/>
      <c r="M543" s="3528"/>
      <c r="N543" s="3528"/>
      <c r="O543" s="3528"/>
      <c r="P543" s="3528"/>
      <c r="Q543" s="3528"/>
      <c r="R543" s="3528"/>
      <c r="S543" s="3528"/>
      <c r="T543" s="3528"/>
      <c r="U543" s="3528"/>
      <c r="W543" s="3754"/>
      <c r="X543" s="3754"/>
      <c r="Y543" s="3754"/>
      <c r="Z543" s="3754"/>
      <c r="AA543" s="3754"/>
      <c r="AB543" s="3754"/>
      <c r="AC543" s="3754"/>
      <c r="AD543" s="3754"/>
      <c r="AE543" s="3754"/>
      <c r="AF543" s="3754"/>
      <c r="CG543" s="2237"/>
      <c r="CH543" s="2237"/>
      <c r="CI543" s="2237"/>
      <c r="CJ543" s="2237"/>
      <c r="CW543" s="2237"/>
      <c r="CX543" s="2237"/>
      <c r="CY543" s="2237"/>
      <c r="CZ543" s="2237"/>
      <c r="DG543" s="3551"/>
      <c r="DH543" s="3528"/>
      <c r="DI543" s="3528"/>
      <c r="DJ543" s="3552"/>
    </row>
    <row r="544" spans="1:114" s="3517" customFormat="1" outlineLevel="1">
      <c r="C544" s="3564"/>
      <c r="D544" s="3680"/>
      <c r="E544" s="3528"/>
      <c r="F544" s="3528"/>
      <c r="G544" s="3528"/>
      <c r="H544" s="3569"/>
      <c r="I544" s="3528"/>
      <c r="J544" s="3528"/>
      <c r="K544" s="3528"/>
      <c r="L544" s="3528"/>
      <c r="M544" s="3564"/>
      <c r="N544" s="3528"/>
      <c r="O544" s="3528"/>
      <c r="P544" s="3528"/>
      <c r="Q544" s="3528"/>
      <c r="R544" s="3528"/>
      <c r="S544" s="3528"/>
      <c r="T544" s="3528"/>
      <c r="U544" s="3528"/>
      <c r="CG544" s="2237"/>
      <c r="CH544" s="2237"/>
      <c r="CI544" s="2237"/>
      <c r="CJ544" s="2237"/>
      <c r="CW544" s="2237"/>
      <c r="CX544" s="2237"/>
      <c r="CY544" s="2237"/>
      <c r="CZ544" s="2237"/>
      <c r="DG544" s="3551"/>
      <c r="DH544" s="3528"/>
      <c r="DI544" s="3528"/>
      <c r="DJ544" s="3552"/>
    </row>
    <row r="545" spans="1:114" s="3517" customFormat="1" outlineLevel="1">
      <c r="C545" s="3564"/>
      <c r="D545" s="3680"/>
      <c r="E545" s="3528"/>
      <c r="F545" s="3528"/>
      <c r="G545" s="3528"/>
      <c r="H545" s="3569"/>
      <c r="I545" s="3528"/>
      <c r="J545" s="3528"/>
      <c r="K545" s="3528"/>
      <c r="L545" s="3528"/>
      <c r="M545" s="3564"/>
      <c r="N545" s="3528"/>
      <c r="O545" s="3528"/>
      <c r="P545" s="3528"/>
      <c r="Q545" s="3528"/>
      <c r="R545" s="3528"/>
      <c r="S545" s="3528"/>
      <c r="T545" s="3528"/>
      <c r="U545" s="3528"/>
      <c r="CG545" s="2237"/>
      <c r="CH545" s="2237"/>
      <c r="CI545" s="2237"/>
      <c r="CJ545" s="2237"/>
      <c r="CW545" s="2237"/>
      <c r="CX545" s="2237"/>
      <c r="CY545" s="2237"/>
      <c r="CZ545" s="2237"/>
      <c r="DG545" s="3551"/>
      <c r="DH545" s="3528"/>
      <c r="DI545" s="3528"/>
      <c r="DJ545" s="3552"/>
    </row>
    <row r="546" spans="1:114" s="3517" customFormat="1" outlineLevel="1">
      <c r="C546" s="3564"/>
      <c r="D546" s="3680"/>
      <c r="E546" s="3528"/>
      <c r="F546" s="3528"/>
      <c r="G546" s="3528"/>
      <c r="H546" s="3569"/>
      <c r="I546" s="3528"/>
      <c r="J546" s="3528"/>
      <c r="K546" s="3528"/>
      <c r="L546" s="3528"/>
      <c r="M546" s="3564"/>
      <c r="N546" s="3528"/>
      <c r="O546" s="3528"/>
      <c r="P546" s="3528"/>
      <c r="Q546" s="3528"/>
      <c r="R546" s="3528"/>
      <c r="S546" s="3528"/>
      <c r="T546" s="3528"/>
      <c r="U546" s="3528"/>
      <c r="CG546" s="2237"/>
      <c r="CH546" s="2237"/>
      <c r="CI546" s="2237"/>
      <c r="CJ546" s="2237"/>
      <c r="CW546" s="2237"/>
      <c r="CX546" s="2237"/>
      <c r="CY546" s="2237"/>
      <c r="CZ546" s="2237"/>
      <c r="DG546" s="3551"/>
      <c r="DH546" s="3528"/>
      <c r="DI546" s="3528"/>
      <c r="DJ546" s="3552"/>
    </row>
    <row r="547" spans="1:114" s="3517" customFormat="1" outlineLevel="1">
      <c r="C547" s="3564"/>
      <c r="D547" s="3680"/>
      <c r="E547" s="3528"/>
      <c r="F547" s="3528"/>
      <c r="G547" s="3528"/>
      <c r="H547" s="3569"/>
      <c r="I547" s="3528"/>
      <c r="J547" s="3528"/>
      <c r="K547" s="3528"/>
      <c r="L547" s="3528"/>
      <c r="M547" s="3528"/>
      <c r="N547" s="3528"/>
      <c r="O547" s="3528"/>
      <c r="P547" s="3528"/>
      <c r="Q547" s="3528"/>
      <c r="R547" s="3528"/>
      <c r="S547" s="3528"/>
      <c r="T547" s="3528"/>
      <c r="U547" s="3528"/>
      <c r="CG547" s="2237"/>
      <c r="CH547" s="2237"/>
      <c r="CI547" s="2237"/>
      <c r="CJ547" s="2237"/>
      <c r="CW547" s="2237"/>
      <c r="CX547" s="2237"/>
      <c r="CY547" s="2237"/>
      <c r="CZ547" s="2237"/>
      <c r="DG547" s="3551"/>
      <c r="DH547" s="3528"/>
      <c r="DI547" s="3528"/>
      <c r="DJ547" s="3552"/>
    </row>
    <row r="548" spans="1:114" s="3044" customFormat="1" ht="60" outlineLevel="1">
      <c r="A548" s="3517"/>
      <c r="C548" s="2086"/>
      <c r="D548" s="3682" t="s">
        <v>42</v>
      </c>
      <c r="E548" s="3682" t="s">
        <v>275</v>
      </c>
      <c r="F548" s="3756" t="s">
        <v>672</v>
      </c>
      <c r="G548" s="3682" t="s">
        <v>673</v>
      </c>
      <c r="H548" s="3682" t="s">
        <v>674</v>
      </c>
      <c r="I548" s="3682" t="s">
        <v>653</v>
      </c>
      <c r="J548" s="3682" t="s">
        <v>675</v>
      </c>
      <c r="K548" s="3745" t="s">
        <v>676</v>
      </c>
      <c r="L548" s="3745" t="s">
        <v>677</v>
      </c>
      <c r="M548" s="3528"/>
      <c r="N548" s="3528"/>
      <c r="O548" s="3528"/>
      <c r="P548" s="3528"/>
      <c r="Q548" s="3528"/>
      <c r="R548" s="2697"/>
      <c r="S548" s="2697"/>
      <c r="T548" s="2697"/>
      <c r="U548" s="2697"/>
      <c r="V548" s="2640" t="s">
        <v>52</v>
      </c>
      <c r="W548" s="2641">
        <f>$W$8</f>
        <v>43252</v>
      </c>
      <c r="X548" s="2641">
        <f>$X$8</f>
        <v>43465</v>
      </c>
      <c r="Y548" s="2641">
        <f>$Y$8</f>
        <v>43800</v>
      </c>
      <c r="Z548" s="2641">
        <f>$Z$8</f>
        <v>43862</v>
      </c>
      <c r="AA548" s="2641">
        <f>$AA$8</f>
        <v>44013</v>
      </c>
      <c r="AB548" s="2641">
        <v>44166</v>
      </c>
      <c r="AC548" s="2641">
        <f>$AC$8</f>
        <v>44531</v>
      </c>
      <c r="AD548" s="2641">
        <f>$AD$8</f>
        <v>44774</v>
      </c>
      <c r="AE548" s="2641">
        <f>$AE$8</f>
        <v>45142</v>
      </c>
      <c r="AF548" s="2641">
        <f>$AF$8</f>
        <v>45672</v>
      </c>
      <c r="AG548" s="2641" t="str">
        <f>$AG$8</f>
        <v>-</v>
      </c>
      <c r="AH548" s="2237"/>
      <c r="AI548" s="2640" t="s">
        <v>52</v>
      </c>
      <c r="AJ548" s="2641">
        <v>43252</v>
      </c>
      <c r="AK548" s="2641">
        <f>$X$8</f>
        <v>43465</v>
      </c>
      <c r="AL548" s="2641">
        <f>$Y$8</f>
        <v>43800</v>
      </c>
      <c r="AM548" s="2641">
        <f>$Z$8</f>
        <v>43862</v>
      </c>
      <c r="AN548" s="2641">
        <f>$AA$8</f>
        <v>44013</v>
      </c>
      <c r="AO548" s="2641">
        <f>$AB$8</f>
        <v>44166</v>
      </c>
      <c r="AP548" s="2641">
        <f>$AC$8</f>
        <v>44531</v>
      </c>
      <c r="AQ548" s="2641">
        <f>$AD$8</f>
        <v>44774</v>
      </c>
      <c r="AR548" s="2641">
        <f>$AE$8</f>
        <v>45142</v>
      </c>
      <c r="AS548" s="2641">
        <f>$AF$8</f>
        <v>45672</v>
      </c>
      <c r="AT548" s="3517"/>
      <c r="AU548" s="2640" t="s">
        <v>52</v>
      </c>
      <c r="AV548" s="2641">
        <v>43252</v>
      </c>
      <c r="AW548" s="2641">
        <f>$X$8</f>
        <v>43465</v>
      </c>
      <c r="AX548" s="2641">
        <f>$Y$8</f>
        <v>43800</v>
      </c>
      <c r="AY548" s="2641">
        <f>$Z$8</f>
        <v>43862</v>
      </c>
      <c r="AZ548" s="2641">
        <f>$AA$8</f>
        <v>44013</v>
      </c>
      <c r="BA548" s="2641">
        <v>44166</v>
      </c>
      <c r="BB548" s="2641">
        <f>$AC$8</f>
        <v>44531</v>
      </c>
      <c r="BC548" s="2641">
        <f>$AD$8</f>
        <v>44774</v>
      </c>
      <c r="BD548" s="2641">
        <f>$AE$8</f>
        <v>45142</v>
      </c>
      <c r="BE548" s="2641">
        <f>$AF$8</f>
        <v>45672</v>
      </c>
      <c r="DE548" s="3517"/>
      <c r="DF548" s="3517"/>
      <c r="DG548" s="3597"/>
      <c r="DH548" s="2697"/>
      <c r="DI548" s="2697"/>
      <c r="DJ548" s="3552"/>
    </row>
    <row r="549" spans="1:114" s="3517" customFormat="1" outlineLevel="1">
      <c r="C549" s="3564"/>
      <c r="D549" s="3598" t="str">
        <f>C537</f>
        <v>804050_2024_12_</v>
      </c>
      <c r="E549" s="3598" t="str">
        <f>E537</f>
        <v>Clothes Dryer Vented Electric, Standard (≥ 4.4 ft3)</v>
      </c>
      <c r="F549" s="3764">
        <v>8.4499999999999993</v>
      </c>
      <c r="G549" s="3758">
        <v>3.93</v>
      </c>
      <c r="H549" s="3765">
        <v>4.0999999999999996</v>
      </c>
      <c r="I549" s="3697">
        <v>1483</v>
      </c>
      <c r="J549" s="3760">
        <v>1</v>
      </c>
      <c r="K549" s="3766">
        <f>ROUND(((F549/G549)-(F549/H549))*1074*J549,2)</f>
        <v>95.75</v>
      </c>
      <c r="L549" s="3766">
        <f>ROUND(((F549/G549)-(F549/H549))*3607*J549,2)</f>
        <v>321.57</v>
      </c>
      <c r="M549" s="3528"/>
      <c r="N549" s="3528"/>
      <c r="O549" s="3528"/>
      <c r="P549" s="3528"/>
      <c r="Q549" s="3528"/>
      <c r="R549" s="3528"/>
      <c r="S549" s="3528"/>
      <c r="T549" s="3528"/>
      <c r="U549" s="3528"/>
      <c r="V549" s="2244" t="s">
        <v>673</v>
      </c>
      <c r="W549" s="3224">
        <v>3.11</v>
      </c>
      <c r="X549" s="3224">
        <v>3.11</v>
      </c>
      <c r="Y549" s="3224">
        <v>3.11</v>
      </c>
      <c r="Z549" s="3224">
        <v>3.11</v>
      </c>
      <c r="AA549" s="3224">
        <v>3.11</v>
      </c>
      <c r="AB549" s="3223">
        <v>3.11</v>
      </c>
      <c r="AC549" s="2847">
        <v>3.11</v>
      </c>
      <c r="AD549" s="2847">
        <v>3.11</v>
      </c>
      <c r="AE549" s="2847">
        <v>3.11</v>
      </c>
      <c r="AF549" s="2847">
        <v>3.93</v>
      </c>
      <c r="AG549" s="2413"/>
      <c r="AH549" s="2237"/>
      <c r="AI549" s="2244" t="s">
        <v>674</v>
      </c>
      <c r="AJ549" s="3506">
        <v>3.93</v>
      </c>
      <c r="AK549" s="3506">
        <v>3.93</v>
      </c>
      <c r="AL549" s="3506">
        <v>3.93</v>
      </c>
      <c r="AM549" s="3506">
        <v>3.93</v>
      </c>
      <c r="AN549" s="3506">
        <v>3.93</v>
      </c>
      <c r="AO549" s="2845">
        <v>3.93</v>
      </c>
      <c r="AP549" s="3518">
        <v>3.93</v>
      </c>
      <c r="AQ549" s="3518">
        <v>3.93</v>
      </c>
      <c r="AR549" s="3518">
        <v>3.93</v>
      </c>
      <c r="AS549" s="3762">
        <v>4.0999999999999996</v>
      </c>
      <c r="AU549" s="2244"/>
      <c r="AV549" s="3521"/>
      <c r="AW549" s="3521"/>
      <c r="AX549" s="3521"/>
      <c r="AY549" s="3521"/>
      <c r="AZ549" s="3521"/>
      <c r="BA549" s="3522"/>
      <c r="BB549" s="3522"/>
      <c r="BC549" s="3522"/>
      <c r="BD549" s="3522"/>
      <c r="BE549" s="3522"/>
      <c r="CG549" s="2237"/>
      <c r="CH549" s="2237"/>
      <c r="CI549" s="2237"/>
      <c r="CJ549" s="2237"/>
      <c r="CW549" s="2237"/>
      <c r="CX549" s="2237"/>
      <c r="CY549" s="2237"/>
      <c r="CZ549" s="2237"/>
      <c r="DG549" s="3551"/>
      <c r="DH549" s="3528"/>
      <c r="DI549" s="3528"/>
      <c r="DJ549" s="3552"/>
    </row>
    <row r="550" spans="1:114" s="3517" customFormat="1" outlineLevel="1">
      <c r="C550" s="3564"/>
      <c r="D550" s="3598" t="str">
        <f>C538</f>
        <v>804100_2024_12_</v>
      </c>
      <c r="E550" s="3598" t="str">
        <f>E538</f>
        <v>Clothes Dryer Vented/Ventless Electric, Compact (120V) (&lt; 4.4 ft3)</v>
      </c>
      <c r="F550" s="3764">
        <v>3</v>
      </c>
      <c r="G550" s="3758">
        <v>3.8</v>
      </c>
      <c r="H550" s="3765">
        <v>6.37</v>
      </c>
      <c r="I550" s="3697">
        <v>1483</v>
      </c>
      <c r="J550" s="3760">
        <v>1</v>
      </c>
      <c r="K550" s="3766">
        <f>ROUND(((F550/G550)-(F550/H550))*1074*J550,2)</f>
        <v>342.09</v>
      </c>
      <c r="L550" s="3766">
        <f>ROUND(((F550/G550)-(F550/H550))*3607*J550,2)</f>
        <v>1148.8900000000001</v>
      </c>
      <c r="M550" s="3528"/>
      <c r="N550" s="3528"/>
      <c r="O550" s="3528"/>
      <c r="P550" s="3528"/>
      <c r="Q550" s="3528"/>
      <c r="R550" s="3528"/>
      <c r="S550" s="3528"/>
      <c r="T550" s="3528"/>
      <c r="U550" s="3528"/>
      <c r="V550" s="2244" t="s">
        <v>673</v>
      </c>
      <c r="W550" s="3224">
        <v>3.01</v>
      </c>
      <c r="X550" s="3224">
        <v>3.01</v>
      </c>
      <c r="Y550" s="3224">
        <v>3.01</v>
      </c>
      <c r="Z550" s="3224">
        <v>3.01</v>
      </c>
      <c r="AA550" s="3224">
        <v>3.01</v>
      </c>
      <c r="AB550" s="3223">
        <v>3.01</v>
      </c>
      <c r="AC550" s="2847">
        <v>3.01</v>
      </c>
      <c r="AD550" s="2847">
        <v>3.01</v>
      </c>
      <c r="AE550" s="2847">
        <v>3.01</v>
      </c>
      <c r="AF550" s="2847">
        <v>3.8</v>
      </c>
      <c r="AG550" s="2413"/>
      <c r="AH550" s="2237"/>
      <c r="AI550" s="2244" t="s">
        <v>674</v>
      </c>
      <c r="AJ550" s="3506">
        <v>3.8</v>
      </c>
      <c r="AK550" s="3506">
        <v>3.8</v>
      </c>
      <c r="AL550" s="3506">
        <v>3.8</v>
      </c>
      <c r="AM550" s="3506">
        <v>3.8</v>
      </c>
      <c r="AN550" s="3506">
        <v>3.8</v>
      </c>
      <c r="AO550" s="2845">
        <v>3.8</v>
      </c>
      <c r="AP550" s="3518">
        <v>3.8</v>
      </c>
      <c r="AQ550" s="3518">
        <v>3.8</v>
      </c>
      <c r="AR550" s="3518">
        <v>3.8</v>
      </c>
      <c r="AS550" s="3762">
        <v>6.37</v>
      </c>
      <c r="AU550" s="2244"/>
      <c r="AV550" s="3521"/>
      <c r="AW550" s="3521"/>
      <c r="AX550" s="3521"/>
      <c r="AY550" s="3521"/>
      <c r="AZ550" s="3521"/>
      <c r="BA550" s="3522"/>
      <c r="BB550" s="3522"/>
      <c r="BC550" s="3522"/>
      <c r="BD550" s="3522"/>
      <c r="BE550" s="3522"/>
      <c r="CG550" s="2237"/>
      <c r="CH550" s="2237"/>
      <c r="CI550" s="2237"/>
      <c r="CJ550" s="2237"/>
      <c r="CW550" s="2237"/>
      <c r="CX550" s="2237"/>
      <c r="CY550" s="2237"/>
      <c r="CZ550" s="2237"/>
      <c r="DG550" s="3551"/>
      <c r="DH550" s="3528"/>
      <c r="DI550" s="3528"/>
      <c r="DJ550" s="3552"/>
    </row>
    <row r="551" spans="1:114" s="3517" customFormat="1" outlineLevel="1">
      <c r="C551" s="3564"/>
      <c r="D551" s="3598" t="str">
        <f>C539</f>
        <v>804200_2024_12_</v>
      </c>
      <c r="E551" s="3598" t="str">
        <f>E539</f>
        <v>Clothes Dryer Ventless Electric, Compact (240V) (&lt;4.4 ft3)</v>
      </c>
      <c r="F551" s="3764">
        <v>3</v>
      </c>
      <c r="G551" s="3758">
        <v>2.68</v>
      </c>
      <c r="H551" s="3765">
        <v>3.61</v>
      </c>
      <c r="I551" s="3697">
        <v>1483</v>
      </c>
      <c r="J551" s="3760">
        <v>1</v>
      </c>
      <c r="K551" s="3766">
        <f>ROUND(((F551/G551)-(F551/H551))*1074*J551,2)</f>
        <v>309.72000000000003</v>
      </c>
      <c r="L551" s="3766">
        <f>ROUND(((F551/G551)-(F551/H551))*3607*J551,2)</f>
        <v>1040.18</v>
      </c>
      <c r="M551" s="3528"/>
      <c r="N551" s="3528"/>
      <c r="O551" s="3528"/>
      <c r="P551" s="3528"/>
      <c r="Q551" s="3528"/>
      <c r="R551" s="3528"/>
      <c r="S551" s="3528"/>
      <c r="T551" s="3528"/>
      <c r="U551" s="3528"/>
      <c r="V551" s="2244" t="s">
        <v>673</v>
      </c>
      <c r="W551" s="3224">
        <v>2.13</v>
      </c>
      <c r="X551" s="3224">
        <v>2.13</v>
      </c>
      <c r="Y551" s="3224">
        <v>2.13</v>
      </c>
      <c r="Z551" s="3224">
        <v>2.13</v>
      </c>
      <c r="AA551" s="3224">
        <v>2.13</v>
      </c>
      <c r="AB551" s="3223">
        <v>2.13</v>
      </c>
      <c r="AC551" s="2847">
        <v>2.13</v>
      </c>
      <c r="AD551" s="2847">
        <v>2.13</v>
      </c>
      <c r="AE551" s="2847">
        <v>2.13</v>
      </c>
      <c r="AF551" s="2847">
        <v>2.68</v>
      </c>
      <c r="AG551" s="2413"/>
      <c r="AH551" s="2237"/>
      <c r="AI551" s="2244" t="s">
        <v>674</v>
      </c>
      <c r="AJ551" s="3506">
        <v>2.68</v>
      </c>
      <c r="AK551" s="3506">
        <v>2.68</v>
      </c>
      <c r="AL551" s="3506">
        <v>2.68</v>
      </c>
      <c r="AM551" s="3506">
        <v>2.68</v>
      </c>
      <c r="AN551" s="3506">
        <v>2.68</v>
      </c>
      <c r="AO551" s="2845">
        <v>2.68</v>
      </c>
      <c r="AP551" s="3518">
        <v>2.68</v>
      </c>
      <c r="AQ551" s="3518">
        <v>2.68</v>
      </c>
      <c r="AR551" s="3518">
        <v>2.68</v>
      </c>
      <c r="AS551" s="3762">
        <v>3.61</v>
      </c>
      <c r="AU551" s="2244"/>
      <c r="AV551" s="3521"/>
      <c r="AW551" s="3521"/>
      <c r="AX551" s="3521"/>
      <c r="AY551" s="3521"/>
      <c r="AZ551" s="3521"/>
      <c r="BA551" s="3522"/>
      <c r="BB551" s="3522"/>
      <c r="BC551" s="3522"/>
      <c r="BD551" s="3522"/>
      <c r="BE551" s="3522"/>
      <c r="CG551" s="2237"/>
      <c r="CH551" s="2237"/>
      <c r="CI551" s="2237"/>
      <c r="CJ551" s="2237"/>
      <c r="CW551" s="2237"/>
      <c r="CX551" s="2237"/>
      <c r="CY551" s="2237"/>
      <c r="CZ551" s="2237"/>
      <c r="DG551" s="3551"/>
      <c r="DH551" s="3528"/>
      <c r="DI551" s="3528"/>
      <c r="DJ551" s="3552"/>
    </row>
    <row r="552" spans="1:114" s="3517" customFormat="1">
      <c r="C552" s="3564"/>
      <c r="D552" s="3564"/>
      <c r="E552" s="3528"/>
      <c r="F552" s="3528"/>
      <c r="G552" s="3767"/>
      <c r="H552" s="3768" t="s">
        <v>678</v>
      </c>
      <c r="I552" s="3528"/>
      <c r="J552" s="3528"/>
      <c r="K552" s="3528"/>
      <c r="L552" s="3528"/>
      <c r="M552" s="3528"/>
      <c r="N552" s="3528"/>
      <c r="O552" s="3528"/>
      <c r="P552" s="3528"/>
      <c r="Q552" s="3528"/>
      <c r="R552" s="3528"/>
      <c r="S552" s="3528"/>
      <c r="T552" s="3528"/>
      <c r="U552" s="3528"/>
      <c r="CG552" s="2237"/>
      <c r="CH552" s="2237"/>
      <c r="CI552" s="2237"/>
      <c r="CJ552" s="2237"/>
      <c r="CW552" s="2237"/>
      <c r="CX552" s="2237"/>
      <c r="CY552" s="2237"/>
      <c r="CZ552" s="2237"/>
      <c r="DG552" s="3551"/>
      <c r="DH552" s="3528"/>
      <c r="DI552" s="3528"/>
      <c r="DJ552" s="3552"/>
    </row>
    <row r="553" spans="1:114" s="3517" customFormat="1">
      <c r="C553" s="3564"/>
      <c r="D553" s="3564"/>
      <c r="E553" s="3528"/>
      <c r="F553" s="3528"/>
      <c r="G553" s="3663"/>
      <c r="H553" s="3691"/>
      <c r="I553" s="3528"/>
      <c r="J553" s="3528"/>
      <c r="K553" s="3528"/>
      <c r="L553" s="3528"/>
      <c r="M553" s="3528"/>
      <c r="N553" s="3528"/>
      <c r="O553" s="3528"/>
      <c r="P553" s="3528"/>
      <c r="Q553" s="3528"/>
      <c r="R553" s="3528"/>
      <c r="S553" s="3528"/>
      <c r="T553" s="3528"/>
      <c r="U553" s="3528"/>
      <c r="CG553" s="2237"/>
      <c r="CH553" s="2237"/>
      <c r="CI553" s="2237"/>
      <c r="CJ553" s="2237"/>
      <c r="CW553" s="2237"/>
      <c r="CX553" s="2237"/>
      <c r="CY553" s="2237"/>
      <c r="CZ553" s="2237"/>
      <c r="DG553" s="3551"/>
      <c r="DH553" s="3528"/>
      <c r="DI553" s="3528"/>
      <c r="DJ553" s="3552"/>
    </row>
    <row r="554" spans="1:114" s="8" customFormat="1">
      <c r="A554" s="2"/>
      <c r="B554" s="3996" t="s">
        <v>679</v>
      </c>
      <c r="C554" s="3997"/>
      <c r="D554" s="3997"/>
      <c r="E554" s="3997"/>
      <c r="F554" s="3997"/>
      <c r="G554" s="3997"/>
      <c r="H554" s="3997"/>
      <c r="I554" s="4828"/>
      <c r="J554" s="4828"/>
      <c r="K554" s="4828"/>
      <c r="L554" s="4828"/>
      <c r="M554" s="4829"/>
      <c r="N554" s="4829"/>
      <c r="O554" s="4830"/>
      <c r="V554" s="1363" t="str">
        <f>B554</f>
        <v>Compressed Air</v>
      </c>
      <c r="W554" s="1364"/>
      <c r="X554" s="1364"/>
      <c r="Y554" s="1364"/>
      <c r="Z554" s="1364"/>
      <c r="AA554" s="1364"/>
      <c r="AB554" s="1364"/>
      <c r="AC554" s="1364"/>
      <c r="AD554" s="1364"/>
      <c r="AE554" s="1364"/>
      <c r="AF554" s="1364"/>
      <c r="AG554" s="1364"/>
      <c r="AH554" s="1364"/>
      <c r="AI554" s="1397"/>
      <c r="AJ554" s="2"/>
      <c r="AK554" s="2"/>
      <c r="AL554" s="2"/>
      <c r="AM554" s="2"/>
      <c r="AN554" s="2"/>
      <c r="AO554" s="2"/>
      <c r="AP554" s="2"/>
      <c r="AQ554" s="2"/>
      <c r="AR554" s="2"/>
      <c r="AS554" s="2"/>
      <c r="AT554" s="2"/>
      <c r="AU554" s="2"/>
      <c r="DE554" s="2"/>
      <c r="DF554" s="2"/>
      <c r="DG554" s="24"/>
      <c r="DJ554" s="1102"/>
    </row>
    <row r="555" spans="1:114">
      <c r="D555" s="461"/>
      <c r="E555" s="8"/>
      <c r="F555" s="8"/>
      <c r="G555" s="8"/>
      <c r="H555" s="462"/>
      <c r="I555" s="8"/>
      <c r="J555" s="8"/>
      <c r="K555" s="8"/>
      <c r="L555" s="8"/>
      <c r="P555" s="8"/>
      <c r="Q555" s="8"/>
      <c r="R555" s="8"/>
      <c r="S555" s="8"/>
      <c r="T555" s="8"/>
      <c r="U555" s="8"/>
      <c r="V555"/>
      <c r="W555"/>
      <c r="X555"/>
      <c r="Y555"/>
      <c r="Z555"/>
      <c r="AA555"/>
      <c r="AB555"/>
      <c r="AC555"/>
      <c r="AD555"/>
      <c r="AE555"/>
      <c r="AF555"/>
      <c r="AG555"/>
      <c r="AH555"/>
      <c r="AI555"/>
      <c r="AJ555" s="7"/>
      <c r="AK555" s="7"/>
      <c r="AL555" s="7"/>
      <c r="AM555" s="7"/>
      <c r="AN555" s="7"/>
      <c r="AO555" s="7"/>
      <c r="AP555" s="7"/>
      <c r="AQ555" s="7"/>
      <c r="AR555" s="7"/>
      <c r="AS555" s="7"/>
      <c r="AT555" s="7"/>
      <c r="AU555" s="7"/>
    </row>
    <row r="556" spans="1:114" s="9" customFormat="1" ht="30">
      <c r="A556" s="2"/>
      <c r="B556" s="7"/>
      <c r="C556" s="10" t="s">
        <v>42</v>
      </c>
      <c r="D556" s="10" t="s">
        <v>43</v>
      </c>
      <c r="E556" s="1432" t="s">
        <v>44</v>
      </c>
      <c r="F556" s="1432" t="s">
        <v>45</v>
      </c>
      <c r="G556" s="1432" t="s">
        <v>46</v>
      </c>
      <c r="H556" s="11" t="s">
        <v>47</v>
      </c>
      <c r="I556" s="1432" t="s">
        <v>48</v>
      </c>
      <c r="J556" s="1432" t="s">
        <v>49</v>
      </c>
      <c r="K556" s="10" t="s">
        <v>50</v>
      </c>
      <c r="L556" s="10" t="s">
        <v>51</v>
      </c>
      <c r="M556" s="265"/>
      <c r="N556" s="521"/>
      <c r="O556" s="505"/>
      <c r="P556" s="506"/>
      <c r="Q556" s="122"/>
      <c r="R556" s="122"/>
      <c r="S556" s="122"/>
      <c r="T556" s="122"/>
      <c r="U556" s="122"/>
      <c r="V556" s="668" t="s">
        <v>52</v>
      </c>
      <c r="W556" s="669">
        <f>$W$8</f>
        <v>43252</v>
      </c>
      <c r="X556" s="669">
        <f>$X$8</f>
        <v>43465</v>
      </c>
      <c r="Y556" s="669">
        <f>$Y$8</f>
        <v>43800</v>
      </c>
      <c r="Z556" s="669">
        <f>$Z$8</f>
        <v>43862</v>
      </c>
      <c r="AA556" s="669">
        <f>$AA$8</f>
        <v>44013</v>
      </c>
      <c r="AB556" s="669">
        <v>44166</v>
      </c>
      <c r="AC556" s="669">
        <f>$AC$8</f>
        <v>44531</v>
      </c>
      <c r="AD556" s="669">
        <f>$AD$8</f>
        <v>44774</v>
      </c>
      <c r="AE556" s="669">
        <f>$AE$8</f>
        <v>45142</v>
      </c>
      <c r="AF556" s="669">
        <f>$AF$8</f>
        <v>45672</v>
      </c>
      <c r="AG556" s="669" t="str">
        <f>$AG$8</f>
        <v>-</v>
      </c>
      <c r="AH556"/>
      <c r="AI556" s="668" t="s">
        <v>52</v>
      </c>
      <c r="AJ556" s="669">
        <v>43252</v>
      </c>
      <c r="AK556" s="669">
        <f>$X$8</f>
        <v>43465</v>
      </c>
      <c r="AL556" s="669">
        <f>$Y$8</f>
        <v>43800</v>
      </c>
      <c r="AM556" s="669">
        <f>$Z$8</f>
        <v>43862</v>
      </c>
      <c r="AN556" s="669">
        <f>$AA$8</f>
        <v>44013</v>
      </c>
      <c r="AO556" s="669">
        <f>$AB$8</f>
        <v>44166</v>
      </c>
      <c r="AP556" s="669">
        <f>$AC$8</f>
        <v>44531</v>
      </c>
      <c r="AQ556" s="669">
        <f>$AD$8</f>
        <v>44774</v>
      </c>
      <c r="AR556" s="669">
        <f>$AE$8</f>
        <v>45142</v>
      </c>
      <c r="AS556" s="669">
        <f>$AF$8</f>
        <v>45672</v>
      </c>
      <c r="AT556" s="2"/>
      <c r="AU556" s="668" t="s">
        <v>52</v>
      </c>
      <c r="AV556" s="669">
        <v>43252</v>
      </c>
      <c r="AW556" s="669">
        <f>$X$8</f>
        <v>43465</v>
      </c>
      <c r="AX556" s="669">
        <f>$Y$8</f>
        <v>43800</v>
      </c>
      <c r="AY556" s="669">
        <f>$Z$8</f>
        <v>43862</v>
      </c>
      <c r="AZ556" s="669">
        <f>$AA$8</f>
        <v>44013</v>
      </c>
      <c r="BA556" s="669">
        <v>44166</v>
      </c>
      <c r="BB556" s="669">
        <f>$AC$8</f>
        <v>44531</v>
      </c>
      <c r="BC556" s="669">
        <f>$AD$8</f>
        <v>44774</v>
      </c>
      <c r="BD556" s="669">
        <f>$AE$8</f>
        <v>45142</v>
      </c>
      <c r="BE556" s="669">
        <f>$AF$8</f>
        <v>45672</v>
      </c>
      <c r="DE556" s="2"/>
      <c r="DF556" s="2"/>
      <c r="DG556" s="1060" t="str">
        <f>$DG$8</f>
        <v>TRC (2025)</v>
      </c>
      <c r="DH556" s="811" t="str">
        <f>$DH$8</f>
        <v>Benefit Lookup</v>
      </c>
      <c r="DI556" s="811" t="str">
        <f>$DI$8</f>
        <v>Benefits (2025 $)</v>
      </c>
      <c r="DJ556" s="1172" t="str">
        <f>$DJ$8</f>
        <v>Incremental Cost (2025 $)</v>
      </c>
    </row>
    <row r="557" spans="1:114">
      <c r="B557" s="1454">
        <f t="shared" ref="B557:B611" si="141">VALUE(LEFT(C557,6))</f>
        <v>804300</v>
      </c>
      <c r="C557" s="1637" t="s">
        <v>680</v>
      </c>
      <c r="D557" s="1639" t="s">
        <v>135</v>
      </c>
      <c r="E557" s="480" t="s">
        <v>681</v>
      </c>
      <c r="F557" s="687">
        <f>ROUND(F573*G573*H573,2)</f>
        <v>3272.26</v>
      </c>
      <c r="G557" s="463" t="s">
        <v>682</v>
      </c>
      <c r="H557" s="464">
        <f>VLOOKUP(G557,'CP FACTORS'!$A$26:$B$38,2,FALSE)</f>
        <v>1.379439E-4</v>
      </c>
      <c r="I557" s="481">
        <f t="shared" ref="I557:I563" si="142">ROUND(H557*F557,6)</f>
        <v>0.45138800000000001</v>
      </c>
      <c r="J557" s="499">
        <v>13</v>
      </c>
      <c r="K557" s="2016">
        <v>778</v>
      </c>
      <c r="L557" s="509" t="s">
        <v>62</v>
      </c>
      <c r="N557" s="1942"/>
      <c r="O557" s="1942"/>
      <c r="V557" s="1445" t="s">
        <v>45</v>
      </c>
      <c r="W557" s="55">
        <v>3272.2560000000003</v>
      </c>
      <c r="X557" s="55">
        <v>3272.2560000000003</v>
      </c>
      <c r="Y557" s="55">
        <v>3272.2560000000003</v>
      </c>
      <c r="Z557" s="55">
        <v>3272.2560000000003</v>
      </c>
      <c r="AA557" s="55">
        <v>3272.2560000000003</v>
      </c>
      <c r="AB557" s="648">
        <v>3272.26</v>
      </c>
      <c r="AC557" s="737">
        <v>3272.26</v>
      </c>
      <c r="AD557" s="737">
        <v>3272.26</v>
      </c>
      <c r="AE557" s="737">
        <v>3272.26</v>
      </c>
      <c r="AF557" s="737">
        <f t="shared" ref="AF557:AF563" si="143">F557</f>
        <v>3272.26</v>
      </c>
      <c r="AG557" s="71"/>
      <c r="AH557"/>
      <c r="AI557" s="1445" t="s">
        <v>49</v>
      </c>
      <c r="AJ557" s="20">
        <v>13</v>
      </c>
      <c r="AK557" s="20">
        <v>13</v>
      </c>
      <c r="AL557" s="20">
        <v>13</v>
      </c>
      <c r="AM557" s="20">
        <v>13</v>
      </c>
      <c r="AN557" s="20">
        <v>13</v>
      </c>
      <c r="AO557" s="650">
        <v>13</v>
      </c>
      <c r="AP557" s="709">
        <v>13</v>
      </c>
      <c r="AQ557" s="709">
        <v>13</v>
      </c>
      <c r="AR557" s="709">
        <v>13</v>
      </c>
      <c r="AS557" s="709">
        <v>13</v>
      </c>
      <c r="AU557" s="1445" t="s">
        <v>50</v>
      </c>
      <c r="AV557" s="710">
        <v>700</v>
      </c>
      <c r="AW557" s="710">
        <v>700</v>
      </c>
      <c r="AX557" s="710">
        <v>700</v>
      </c>
      <c r="AY557" s="710">
        <v>700</v>
      </c>
      <c r="AZ557" s="710">
        <v>700</v>
      </c>
      <c r="BA557" s="689">
        <v>700</v>
      </c>
      <c r="BB557" s="689">
        <v>700</v>
      </c>
      <c r="BC557" s="689">
        <v>700</v>
      </c>
      <c r="BD557" s="689">
        <v>700</v>
      </c>
      <c r="BE557" s="773">
        <v>778</v>
      </c>
      <c r="DG557" s="1062">
        <f t="shared" ref="DG557:DG563" si="144">(DI557)/(DJ557)</f>
        <v>2.718076455610043</v>
      </c>
      <c r="DH557" s="1400" t="str">
        <f t="shared" ref="DH557:DH563" si="145">CONCATENATE(G557," ",J557," Year EUL")</f>
        <v>Air Comp BUS 13 Year EUL</v>
      </c>
      <c r="DI557" s="198">
        <f>(INDEX('Avoided Cost Benefits'!$B$4:$B$865,MATCH(DH557,'Avoided Cost Benefits'!$A$4:$A$865,0)))*F557</f>
        <v>2114.6634824646135</v>
      </c>
      <c r="DJ557" s="1169">
        <f t="shared" ref="DJ557:DJ563" si="146">K557/(1.0686^(2025-2025))</f>
        <v>778</v>
      </c>
    </row>
    <row r="558" spans="1:114">
      <c r="B558" s="1454">
        <f t="shared" si="141"/>
        <v>804350</v>
      </c>
      <c r="C558" s="1637" t="s">
        <v>683</v>
      </c>
      <c r="D558" s="1639" t="s">
        <v>135</v>
      </c>
      <c r="E558" s="480" t="s">
        <v>684</v>
      </c>
      <c r="F558" s="687">
        <f t="shared" ref="F558:F563" si="147">ROUND(F574*G574*H574,2)</f>
        <v>2418.62</v>
      </c>
      <c r="G558" s="463" t="s">
        <v>682</v>
      </c>
      <c r="H558" s="464">
        <f>VLOOKUP(G558,'CP FACTORS'!$A$26:$B$38,2,FALSE)</f>
        <v>1.379439E-4</v>
      </c>
      <c r="I558" s="481">
        <f t="shared" si="142"/>
        <v>0.33363399999999999</v>
      </c>
      <c r="J558" s="499">
        <v>13</v>
      </c>
      <c r="K558" s="2016">
        <v>778</v>
      </c>
      <c r="L558" s="509" t="s">
        <v>62</v>
      </c>
      <c r="N558" s="1942"/>
      <c r="O558" s="1942"/>
      <c r="V558" s="1445" t="s">
        <v>45</v>
      </c>
      <c r="W558" s="55">
        <v>2418.6240000000003</v>
      </c>
      <c r="X558" s="55">
        <v>2418.6240000000003</v>
      </c>
      <c r="Y558" s="55">
        <v>2418.6240000000003</v>
      </c>
      <c r="Z558" s="55">
        <v>2418.6240000000003</v>
      </c>
      <c r="AA558" s="55">
        <v>2418.6240000000003</v>
      </c>
      <c r="AB558" s="648">
        <v>2418.62</v>
      </c>
      <c r="AC558" s="737">
        <v>2418.62</v>
      </c>
      <c r="AD558" s="737">
        <v>2418.62</v>
      </c>
      <c r="AE558" s="737">
        <v>2418.62</v>
      </c>
      <c r="AF558" s="737">
        <f t="shared" si="143"/>
        <v>2418.62</v>
      </c>
      <c r="AG558" s="71"/>
      <c r="AH558"/>
      <c r="AI558" s="1445" t="s">
        <v>49</v>
      </c>
      <c r="AJ558" s="20">
        <v>13</v>
      </c>
      <c r="AK558" s="20">
        <v>13</v>
      </c>
      <c r="AL558" s="20">
        <v>13</v>
      </c>
      <c r="AM558" s="20">
        <v>13</v>
      </c>
      <c r="AN558" s="20">
        <v>13</v>
      </c>
      <c r="AO558" s="650">
        <v>13</v>
      </c>
      <c r="AP558" s="709">
        <v>13</v>
      </c>
      <c r="AQ558" s="709">
        <v>13</v>
      </c>
      <c r="AR558" s="709">
        <v>13</v>
      </c>
      <c r="AS558" s="709">
        <v>13</v>
      </c>
      <c r="AU558" s="1445" t="s">
        <v>50</v>
      </c>
      <c r="AV558" s="710">
        <v>700</v>
      </c>
      <c r="AW558" s="710">
        <v>700</v>
      </c>
      <c r="AX558" s="710">
        <v>700</v>
      </c>
      <c r="AY558" s="710">
        <v>700</v>
      </c>
      <c r="AZ558" s="710">
        <v>700</v>
      </c>
      <c r="BA558" s="689">
        <v>700</v>
      </c>
      <c r="BB558" s="689">
        <v>700</v>
      </c>
      <c r="BC558" s="689">
        <v>700</v>
      </c>
      <c r="BD558" s="689">
        <v>700</v>
      </c>
      <c r="BE558" s="773">
        <v>778</v>
      </c>
      <c r="DG558" s="1063">
        <f t="shared" si="144"/>
        <v>2.0090072540285804</v>
      </c>
      <c r="DH558" s="673" t="str">
        <f t="shared" si="145"/>
        <v>Air Comp BUS 13 Year EUL</v>
      </c>
      <c r="DI558" s="655">
        <f>(INDEX('Avoided Cost Benefits'!$B$4:$B$865,MATCH(DH558,'Avoided Cost Benefits'!$A$4:$A$865,0)))*F558</f>
        <v>1563.0076436342354</v>
      </c>
      <c r="DJ558" s="1170">
        <f t="shared" si="146"/>
        <v>778</v>
      </c>
    </row>
    <row r="559" spans="1:114">
      <c r="B559" s="1454">
        <f t="shared" si="141"/>
        <v>804400</v>
      </c>
      <c r="C559" s="1637" t="s">
        <v>685</v>
      </c>
      <c r="D559" s="1639" t="s">
        <v>135</v>
      </c>
      <c r="E559" s="480" t="s">
        <v>686</v>
      </c>
      <c r="F559" s="687">
        <f t="shared" si="147"/>
        <v>2703.17</v>
      </c>
      <c r="G559" s="463" t="s">
        <v>682</v>
      </c>
      <c r="H559" s="464">
        <f>VLOOKUP(G559,'CP FACTORS'!$A$26:$B$38,2,FALSE)</f>
        <v>1.379439E-4</v>
      </c>
      <c r="I559" s="481">
        <f t="shared" si="142"/>
        <v>0.372886</v>
      </c>
      <c r="J559" s="499">
        <v>13</v>
      </c>
      <c r="K559" s="2016">
        <v>778</v>
      </c>
      <c r="L559" s="509" t="s">
        <v>62</v>
      </c>
      <c r="N559" s="1942"/>
      <c r="O559" s="1942"/>
      <c r="V559" s="1445" t="s">
        <v>45</v>
      </c>
      <c r="W559" s="55">
        <v>2703.1679999999997</v>
      </c>
      <c r="X559" s="55">
        <v>2703.1679999999997</v>
      </c>
      <c r="Y559" s="55">
        <v>2703.1679999999997</v>
      </c>
      <c r="Z559" s="55">
        <v>2703.1679999999997</v>
      </c>
      <c r="AA559" s="55">
        <v>2703.1679999999997</v>
      </c>
      <c r="AB559" s="648">
        <v>2703.17</v>
      </c>
      <c r="AC559" s="737">
        <v>2703.17</v>
      </c>
      <c r="AD559" s="737">
        <v>2703.17</v>
      </c>
      <c r="AE559" s="737">
        <v>2703.17</v>
      </c>
      <c r="AF559" s="737">
        <f t="shared" si="143"/>
        <v>2703.17</v>
      </c>
      <c r="AG559" s="71"/>
      <c r="AH559"/>
      <c r="AI559" s="1445" t="s">
        <v>49</v>
      </c>
      <c r="AJ559" s="20">
        <v>13</v>
      </c>
      <c r="AK559" s="20">
        <v>13</v>
      </c>
      <c r="AL559" s="20">
        <v>13</v>
      </c>
      <c r="AM559" s="20">
        <v>13</v>
      </c>
      <c r="AN559" s="20">
        <v>13</v>
      </c>
      <c r="AO559" s="650">
        <v>13</v>
      </c>
      <c r="AP559" s="709">
        <v>13</v>
      </c>
      <c r="AQ559" s="709">
        <v>13</v>
      </c>
      <c r="AR559" s="709">
        <v>13</v>
      </c>
      <c r="AS559" s="709">
        <v>13</v>
      </c>
      <c r="AU559" s="1445" t="s">
        <v>50</v>
      </c>
      <c r="AV559" s="710">
        <v>700</v>
      </c>
      <c r="AW559" s="710">
        <v>700</v>
      </c>
      <c r="AX559" s="710">
        <v>700</v>
      </c>
      <c r="AY559" s="710">
        <v>700</v>
      </c>
      <c r="AZ559" s="710">
        <v>700</v>
      </c>
      <c r="BA559" s="689">
        <v>700</v>
      </c>
      <c r="BB559" s="689">
        <v>700</v>
      </c>
      <c r="BC559" s="689">
        <v>700</v>
      </c>
      <c r="BD559" s="689">
        <v>700</v>
      </c>
      <c r="BE559" s="773">
        <v>778</v>
      </c>
      <c r="DG559" s="1063">
        <f t="shared" si="144"/>
        <v>2.2453664233622632</v>
      </c>
      <c r="DH559" s="673" t="str">
        <f t="shared" si="145"/>
        <v>Air Comp BUS 13 Year EUL</v>
      </c>
      <c r="DI559" s="655">
        <f>(INDEX('Avoided Cost Benefits'!$B$4:$B$865,MATCH(DH559,'Avoided Cost Benefits'!$A$4:$A$865,0)))*F559</f>
        <v>1746.8950773758409</v>
      </c>
      <c r="DJ559" s="1170">
        <f t="shared" si="146"/>
        <v>778</v>
      </c>
    </row>
    <row r="560" spans="1:114">
      <c r="B560" s="1454">
        <f t="shared" si="141"/>
        <v>804450</v>
      </c>
      <c r="C560" s="1637" t="s">
        <v>687</v>
      </c>
      <c r="D560" s="1639" t="s">
        <v>135</v>
      </c>
      <c r="E560" s="480" t="s">
        <v>688</v>
      </c>
      <c r="F560" s="687">
        <f t="shared" si="147"/>
        <v>978.12</v>
      </c>
      <c r="G560" s="463" t="s">
        <v>682</v>
      </c>
      <c r="H560" s="464">
        <f>VLOOKUP(G560,'CP FACTORS'!$A$26:$B$38,2,FALSE)</f>
        <v>1.379439E-4</v>
      </c>
      <c r="I560" s="481">
        <f t="shared" si="142"/>
        <v>0.13492599999999999</v>
      </c>
      <c r="J560" s="499">
        <v>13</v>
      </c>
      <c r="K560" s="2016">
        <v>778</v>
      </c>
      <c r="L560" s="509" t="s">
        <v>62</v>
      </c>
      <c r="N560" s="1942"/>
      <c r="O560" s="1942"/>
      <c r="V560" s="1445" t="s">
        <v>45</v>
      </c>
      <c r="W560" s="55">
        <v>978.12</v>
      </c>
      <c r="X560" s="55">
        <v>978.12</v>
      </c>
      <c r="Y560" s="55">
        <v>978.12</v>
      </c>
      <c r="Z560" s="55">
        <v>978.12</v>
      </c>
      <c r="AA560" s="55">
        <v>978.12</v>
      </c>
      <c r="AB560" s="648">
        <v>978.12</v>
      </c>
      <c r="AC560" s="737">
        <v>978.12</v>
      </c>
      <c r="AD560" s="737">
        <v>978.12</v>
      </c>
      <c r="AE560" s="737">
        <v>978.12</v>
      </c>
      <c r="AF560" s="737">
        <f t="shared" si="143"/>
        <v>978.12</v>
      </c>
      <c r="AG560" s="71"/>
      <c r="AH560"/>
      <c r="AI560" s="1445" t="s">
        <v>49</v>
      </c>
      <c r="AJ560" s="20">
        <v>13</v>
      </c>
      <c r="AK560" s="20">
        <v>13</v>
      </c>
      <c r="AL560" s="20">
        <v>13</v>
      </c>
      <c r="AM560" s="20">
        <v>13</v>
      </c>
      <c r="AN560" s="20">
        <v>13</v>
      </c>
      <c r="AO560" s="650">
        <v>13</v>
      </c>
      <c r="AP560" s="709">
        <v>13</v>
      </c>
      <c r="AQ560" s="709">
        <v>13</v>
      </c>
      <c r="AR560" s="709">
        <v>13</v>
      </c>
      <c r="AS560" s="709">
        <v>13</v>
      </c>
      <c r="AU560" s="1445" t="s">
        <v>50</v>
      </c>
      <c r="AV560" s="710">
        <v>700</v>
      </c>
      <c r="AW560" s="710">
        <v>700</v>
      </c>
      <c r="AX560" s="710">
        <v>700</v>
      </c>
      <c r="AY560" s="710">
        <v>700</v>
      </c>
      <c r="AZ560" s="710">
        <v>700</v>
      </c>
      <c r="BA560" s="689">
        <v>700</v>
      </c>
      <c r="BB560" s="689">
        <v>700</v>
      </c>
      <c r="BC560" s="689">
        <v>700</v>
      </c>
      <c r="BD560" s="689">
        <v>700</v>
      </c>
      <c r="BE560" s="773">
        <v>778</v>
      </c>
      <c r="DG560" s="1063">
        <f t="shared" si="144"/>
        <v>0.81246751259413841</v>
      </c>
      <c r="DH560" s="673" t="str">
        <f t="shared" si="145"/>
        <v>Air Comp BUS 13 Year EUL</v>
      </c>
      <c r="DI560" s="655">
        <f>(INDEX('Avoided Cost Benefits'!$B$4:$B$865,MATCH(DH560,'Avoided Cost Benefits'!$A$4:$A$865,0)))*F560</f>
        <v>632.09972479823966</v>
      </c>
      <c r="DJ560" s="1170">
        <f t="shared" si="146"/>
        <v>778</v>
      </c>
    </row>
    <row r="561" spans="1:114">
      <c r="B561" s="1454">
        <f t="shared" si="141"/>
        <v>804500</v>
      </c>
      <c r="C561" s="1637" t="s">
        <v>689</v>
      </c>
      <c r="D561" s="1639" t="s">
        <v>135</v>
      </c>
      <c r="E561" s="480" t="s">
        <v>690</v>
      </c>
      <c r="F561" s="687">
        <f t="shared" si="147"/>
        <v>978.12</v>
      </c>
      <c r="G561" s="463" t="s">
        <v>682</v>
      </c>
      <c r="H561" s="464">
        <f>VLOOKUP(G561,'CP FACTORS'!$A$26:$B$38,2,FALSE)</f>
        <v>1.379439E-4</v>
      </c>
      <c r="I561" s="481">
        <f t="shared" si="142"/>
        <v>0.13492599999999999</v>
      </c>
      <c r="J561" s="499">
        <v>13</v>
      </c>
      <c r="K561" s="2016">
        <v>778</v>
      </c>
      <c r="L561" s="509" t="s">
        <v>62</v>
      </c>
      <c r="N561" s="1942"/>
      <c r="O561" s="1942"/>
      <c r="V561" s="1445" t="s">
        <v>45</v>
      </c>
      <c r="W561" s="55">
        <v>978.12</v>
      </c>
      <c r="X561" s="55">
        <v>978.12</v>
      </c>
      <c r="Y561" s="55">
        <v>978.12</v>
      </c>
      <c r="Z561" s="55">
        <v>978.12</v>
      </c>
      <c r="AA561" s="55">
        <v>978.12</v>
      </c>
      <c r="AB561" s="648">
        <v>978.12</v>
      </c>
      <c r="AC561" s="737">
        <v>978.12</v>
      </c>
      <c r="AD561" s="737">
        <v>978.12</v>
      </c>
      <c r="AE561" s="737">
        <v>978.12</v>
      </c>
      <c r="AF561" s="737">
        <f t="shared" si="143"/>
        <v>978.12</v>
      </c>
      <c r="AG561" s="71"/>
      <c r="AH561"/>
      <c r="AI561" s="1445" t="s">
        <v>49</v>
      </c>
      <c r="AJ561" s="20">
        <v>13</v>
      </c>
      <c r="AK561" s="20">
        <v>13</v>
      </c>
      <c r="AL561" s="20">
        <v>13</v>
      </c>
      <c r="AM561" s="20">
        <v>13</v>
      </c>
      <c r="AN561" s="20">
        <v>13</v>
      </c>
      <c r="AO561" s="650">
        <v>13</v>
      </c>
      <c r="AP561" s="709">
        <v>13</v>
      </c>
      <c r="AQ561" s="709">
        <v>13</v>
      </c>
      <c r="AR561" s="709">
        <v>13</v>
      </c>
      <c r="AS561" s="709">
        <v>13</v>
      </c>
      <c r="AU561" s="1445" t="s">
        <v>50</v>
      </c>
      <c r="AV561" s="710">
        <v>700</v>
      </c>
      <c r="AW561" s="710">
        <v>700</v>
      </c>
      <c r="AX561" s="710">
        <v>700</v>
      </c>
      <c r="AY561" s="710">
        <v>700</v>
      </c>
      <c r="AZ561" s="710">
        <v>700</v>
      </c>
      <c r="BA561" s="689">
        <v>700</v>
      </c>
      <c r="BB561" s="689">
        <v>700</v>
      </c>
      <c r="BC561" s="689">
        <v>700</v>
      </c>
      <c r="BD561" s="689">
        <v>700</v>
      </c>
      <c r="BE561" s="773">
        <v>778</v>
      </c>
      <c r="DG561" s="1063">
        <f t="shared" si="144"/>
        <v>0.81246751259413841</v>
      </c>
      <c r="DH561" s="673" t="str">
        <f t="shared" si="145"/>
        <v>Air Comp BUS 13 Year EUL</v>
      </c>
      <c r="DI561" s="655">
        <f>(INDEX('Avoided Cost Benefits'!$B$4:$B$865,MATCH(DH561,'Avoided Cost Benefits'!$A$4:$A$865,0)))*F561</f>
        <v>632.09972479823966</v>
      </c>
      <c r="DJ561" s="1170">
        <f t="shared" si="146"/>
        <v>778</v>
      </c>
    </row>
    <row r="562" spans="1:114">
      <c r="B562" s="1454">
        <f t="shared" si="141"/>
        <v>804550</v>
      </c>
      <c r="C562" s="1637" t="s">
        <v>691</v>
      </c>
      <c r="D562" s="1639" t="s">
        <v>135</v>
      </c>
      <c r="E562" s="480" t="s">
        <v>692</v>
      </c>
      <c r="F562" s="687">
        <f t="shared" si="147"/>
        <v>2720.95</v>
      </c>
      <c r="G562" s="463" t="s">
        <v>682</v>
      </c>
      <c r="H562" s="464">
        <f>VLOOKUP(G562,'CP FACTORS'!$A$26:$B$38,2,FALSE)</f>
        <v>1.379439E-4</v>
      </c>
      <c r="I562" s="481">
        <f t="shared" si="142"/>
        <v>0.375338</v>
      </c>
      <c r="J562" s="499">
        <v>13</v>
      </c>
      <c r="K562" s="2016">
        <v>778</v>
      </c>
      <c r="L562" s="509" t="s">
        <v>62</v>
      </c>
      <c r="N562" s="1942"/>
      <c r="O562" s="1942"/>
      <c r="V562" s="1445" t="s">
        <v>45</v>
      </c>
      <c r="W562" s="55">
        <v>2720.9519999999998</v>
      </c>
      <c r="X562" s="55">
        <v>2720.9519999999998</v>
      </c>
      <c r="Y562" s="55">
        <v>2720.9519999999998</v>
      </c>
      <c r="Z562" s="55">
        <v>2720.9519999999998</v>
      </c>
      <c r="AA562" s="55">
        <v>2720.9519999999998</v>
      </c>
      <c r="AB562" s="648">
        <v>2720.95</v>
      </c>
      <c r="AC562" s="737">
        <v>2720.95</v>
      </c>
      <c r="AD562" s="737">
        <v>2720.95</v>
      </c>
      <c r="AE562" s="737">
        <v>2720.95</v>
      </c>
      <c r="AF562" s="737">
        <f t="shared" si="143"/>
        <v>2720.95</v>
      </c>
      <c r="AG562" s="71"/>
      <c r="AH562"/>
      <c r="AI562" s="1445" t="s">
        <v>49</v>
      </c>
      <c r="AJ562" s="20">
        <v>13</v>
      </c>
      <c r="AK562" s="20">
        <v>13</v>
      </c>
      <c r="AL562" s="20">
        <v>13</v>
      </c>
      <c r="AM562" s="20">
        <v>13</v>
      </c>
      <c r="AN562" s="20">
        <v>13</v>
      </c>
      <c r="AO562" s="650">
        <v>13</v>
      </c>
      <c r="AP562" s="709">
        <v>13</v>
      </c>
      <c r="AQ562" s="709">
        <v>13</v>
      </c>
      <c r="AR562" s="709">
        <v>13</v>
      </c>
      <c r="AS562" s="709">
        <v>13</v>
      </c>
      <c r="AU562" s="1445" t="s">
        <v>50</v>
      </c>
      <c r="AV562" s="710">
        <v>700</v>
      </c>
      <c r="AW562" s="710">
        <v>700</v>
      </c>
      <c r="AX562" s="710">
        <v>700</v>
      </c>
      <c r="AY562" s="710">
        <v>700</v>
      </c>
      <c r="AZ562" s="710">
        <v>700</v>
      </c>
      <c r="BA562" s="689">
        <v>700</v>
      </c>
      <c r="BB562" s="689">
        <v>700</v>
      </c>
      <c r="BC562" s="689">
        <v>700</v>
      </c>
      <c r="BD562" s="689">
        <v>700</v>
      </c>
      <c r="BE562" s="773">
        <v>778</v>
      </c>
      <c r="DG562" s="1063">
        <f t="shared" si="144"/>
        <v>2.2601352373870491</v>
      </c>
      <c r="DH562" s="673" t="str">
        <f t="shared" si="145"/>
        <v>Air Comp BUS 13 Year EUL</v>
      </c>
      <c r="DI562" s="655">
        <f>(INDEX('Avoided Cost Benefits'!$B$4:$B$865,MATCH(DH562,'Avoided Cost Benefits'!$A$4:$A$865,0)))*F562</f>
        <v>1758.3852146871243</v>
      </c>
      <c r="DJ562" s="1170">
        <f t="shared" si="146"/>
        <v>778</v>
      </c>
    </row>
    <row r="563" spans="1:114">
      <c r="B563" s="1454">
        <f t="shared" si="141"/>
        <v>804600</v>
      </c>
      <c r="C563" s="1637" t="s">
        <v>693</v>
      </c>
      <c r="D563" s="1639" t="s">
        <v>135</v>
      </c>
      <c r="E563" s="480" t="s">
        <v>694</v>
      </c>
      <c r="F563" s="687">
        <f t="shared" si="147"/>
        <v>3165.55</v>
      </c>
      <c r="G563" s="463" t="s">
        <v>682</v>
      </c>
      <c r="H563" s="464">
        <f>VLOOKUP(G563,'CP FACTORS'!$A$26:$B$38,2,FALSE)</f>
        <v>1.379439E-4</v>
      </c>
      <c r="I563" s="481">
        <f t="shared" si="142"/>
        <v>0.436668</v>
      </c>
      <c r="J563" s="499">
        <v>13</v>
      </c>
      <c r="K563" s="2016">
        <v>778</v>
      </c>
      <c r="L563" s="509" t="s">
        <v>62</v>
      </c>
      <c r="N563" s="1942"/>
      <c r="O563" s="1942"/>
      <c r="V563" s="1445" t="s">
        <v>45</v>
      </c>
      <c r="W563" s="55">
        <v>3165.5520000000001</v>
      </c>
      <c r="X563" s="55">
        <v>3165.5520000000001</v>
      </c>
      <c r="Y563" s="55">
        <v>3165.5520000000001</v>
      </c>
      <c r="Z563" s="55">
        <v>3165.5520000000001</v>
      </c>
      <c r="AA563" s="55">
        <v>3165.5520000000001</v>
      </c>
      <c r="AB563" s="648">
        <v>3165.55</v>
      </c>
      <c r="AC563" s="737">
        <v>3165.55</v>
      </c>
      <c r="AD563" s="737">
        <v>3165.55</v>
      </c>
      <c r="AE563" s="737">
        <v>3165.55</v>
      </c>
      <c r="AF563" s="737">
        <f t="shared" si="143"/>
        <v>3165.55</v>
      </c>
      <c r="AG563" s="71"/>
      <c r="AH563"/>
      <c r="AI563" s="1445" t="s">
        <v>49</v>
      </c>
      <c r="AJ563" s="20">
        <v>13</v>
      </c>
      <c r="AK563" s="20">
        <v>13</v>
      </c>
      <c r="AL563" s="20">
        <v>13</v>
      </c>
      <c r="AM563" s="20">
        <v>13</v>
      </c>
      <c r="AN563" s="20">
        <v>13</v>
      </c>
      <c r="AO563" s="650">
        <v>13</v>
      </c>
      <c r="AP563" s="709">
        <v>13</v>
      </c>
      <c r="AQ563" s="709">
        <v>13</v>
      </c>
      <c r="AR563" s="709">
        <v>13</v>
      </c>
      <c r="AS563" s="709">
        <v>13</v>
      </c>
      <c r="AU563" s="1445" t="s">
        <v>50</v>
      </c>
      <c r="AV563" s="710">
        <v>700</v>
      </c>
      <c r="AW563" s="710">
        <v>700</v>
      </c>
      <c r="AX563" s="710">
        <v>700</v>
      </c>
      <c r="AY563" s="710">
        <v>700</v>
      </c>
      <c r="AZ563" s="710">
        <v>700</v>
      </c>
      <c r="BA563" s="689">
        <v>700</v>
      </c>
      <c r="BB563" s="689">
        <v>700</v>
      </c>
      <c r="BC563" s="689">
        <v>700</v>
      </c>
      <c r="BD563" s="689">
        <v>700</v>
      </c>
      <c r="BE563" s="773">
        <v>778</v>
      </c>
      <c r="DG563" s="1064">
        <f t="shared" si="144"/>
        <v>2.629438652202567</v>
      </c>
      <c r="DH563" s="673" t="str">
        <f t="shared" si="145"/>
        <v>Air Comp BUS 13 Year EUL</v>
      </c>
      <c r="DI563" s="1066">
        <f>(INDEX('Avoided Cost Benefits'!$B$4:$B$865,MATCH(DH563,'Avoided Cost Benefits'!$A$4:$A$865,0)))*F563</f>
        <v>2045.7032714135971</v>
      </c>
      <c r="DJ563" s="1171">
        <f t="shared" si="146"/>
        <v>778</v>
      </c>
    </row>
    <row r="564" spans="1:114" outlineLevel="1">
      <c r="B564" s="1454"/>
      <c r="D564" s="77" t="s">
        <v>118</v>
      </c>
      <c r="E564" s="113" t="s">
        <v>695</v>
      </c>
      <c r="F564" s="1923"/>
      <c r="G564" s="8"/>
      <c r="H564" s="471"/>
      <c r="I564" s="8"/>
      <c r="J564" s="8"/>
      <c r="K564" s="8"/>
    </row>
    <row r="565" spans="1:114" outlineLevel="1">
      <c r="B565" s="1454"/>
      <c r="D565" s="8" t="s">
        <v>120</v>
      </c>
      <c r="E565" s="8"/>
      <c r="F565" s="8"/>
      <c r="G565" s="8"/>
      <c r="H565" s="471"/>
      <c r="I565" s="8"/>
      <c r="J565" s="8"/>
      <c r="K565" s="8"/>
    </row>
    <row r="566" spans="1:114" outlineLevel="1">
      <c r="B566" s="1454"/>
      <c r="D566" s="472"/>
      <c r="G566" s="265"/>
      <c r="H566" s="473"/>
    </row>
    <row r="567" spans="1:114" outlineLevel="1">
      <c r="B567" s="1454"/>
      <c r="D567" s="472"/>
      <c r="G567" s="265"/>
      <c r="H567" s="473"/>
    </row>
    <row r="568" spans="1:114" outlineLevel="1">
      <c r="B568" s="1454"/>
      <c r="D568" s="472"/>
      <c r="G568" s="265"/>
      <c r="H568" s="473"/>
      <c r="M568" s="8"/>
    </row>
    <row r="569" spans="1:114" outlineLevel="1">
      <c r="B569" s="1454"/>
      <c r="D569" s="472"/>
      <c r="G569" s="265"/>
      <c r="H569" s="473"/>
      <c r="M569" s="8"/>
    </row>
    <row r="570" spans="1:114" outlineLevel="1">
      <c r="B570" s="1454"/>
      <c r="D570" s="472"/>
      <c r="G570" s="265"/>
      <c r="H570" s="473"/>
      <c r="M570" s="8"/>
    </row>
    <row r="571" spans="1:114" outlineLevel="1">
      <c r="B571" s="1454"/>
      <c r="D571" s="472"/>
      <c r="G571" s="265"/>
      <c r="H571" s="473"/>
    </row>
    <row r="572" spans="1:114" s="9" customFormat="1" outlineLevel="1">
      <c r="A572" s="2"/>
      <c r="B572" s="1454"/>
      <c r="C572" s="66"/>
      <c r="D572" s="1365" t="s">
        <v>42</v>
      </c>
      <c r="E572" s="1365" t="s">
        <v>275</v>
      </c>
      <c r="F572" s="33" t="s">
        <v>696</v>
      </c>
      <c r="G572" s="1365" t="s">
        <v>697</v>
      </c>
      <c r="H572" s="1365" t="s">
        <v>173</v>
      </c>
      <c r="I572" s="265"/>
      <c r="J572" s="122"/>
      <c r="K572" s="122"/>
      <c r="L572" s="122"/>
      <c r="M572" s="122"/>
      <c r="N572" s="122"/>
      <c r="O572" s="122"/>
      <c r="P572" s="122"/>
      <c r="Q572" s="122"/>
      <c r="R572" s="122"/>
      <c r="S572" s="122"/>
      <c r="T572" s="122"/>
      <c r="U572" s="122"/>
      <c r="DE572" s="2"/>
      <c r="DF572" s="2"/>
      <c r="DG572" s="1065"/>
      <c r="DH572" s="122"/>
      <c r="DI572" s="122"/>
      <c r="DJ572" s="1168"/>
    </row>
    <row r="573" spans="1:114" outlineLevel="1">
      <c r="B573" s="1454"/>
      <c r="D573" s="679" t="str">
        <f>C557</f>
        <v>804300_2024_12_</v>
      </c>
      <c r="E573" s="679" t="str">
        <f t="shared" ref="E573:E579" si="148">E557</f>
        <v>No Loss Condensate Drain (Reciprocating - On/off Control)</v>
      </c>
      <c r="F573" s="35">
        <v>3</v>
      </c>
      <c r="G573" s="36">
        <v>0.184</v>
      </c>
      <c r="H573" s="2059">
        <v>5928</v>
      </c>
    </row>
    <row r="574" spans="1:114" outlineLevel="1">
      <c r="B574" s="1454"/>
      <c r="D574" s="679" t="str">
        <f t="shared" ref="D574:D579" si="149">C558</f>
        <v>804350_2024_12_</v>
      </c>
      <c r="E574" s="679" t="str">
        <f t="shared" si="148"/>
        <v>No Loss Condensate Drain (Reciprocating - Load/Unload)</v>
      </c>
      <c r="F574" s="35">
        <v>3</v>
      </c>
      <c r="G574" s="36">
        <v>0.13600000000000001</v>
      </c>
      <c r="H574" s="2059">
        <v>5928</v>
      </c>
    </row>
    <row r="575" spans="1:114" outlineLevel="1">
      <c r="B575" s="1454"/>
      <c r="D575" s="679" t="str">
        <f t="shared" si="149"/>
        <v>804400_2024_12_</v>
      </c>
      <c r="E575" s="679" t="str">
        <f t="shared" si="148"/>
        <v>No Loss Condensate Drain (Screw - Load/Unload)</v>
      </c>
      <c r="F575" s="35">
        <v>3</v>
      </c>
      <c r="G575" s="36">
        <v>0.152</v>
      </c>
      <c r="H575" s="2059">
        <v>5928</v>
      </c>
    </row>
    <row r="576" spans="1:114" outlineLevel="1">
      <c r="B576" s="1454"/>
      <c r="D576" s="679" t="str">
        <f t="shared" si="149"/>
        <v>804450_2024_12_</v>
      </c>
      <c r="E576" s="679" t="str">
        <f t="shared" si="148"/>
        <v>No Loss Condensate Drain (Screw - Inlet Modulation)</v>
      </c>
      <c r="F576" s="35">
        <v>3</v>
      </c>
      <c r="G576" s="36">
        <v>5.5E-2</v>
      </c>
      <c r="H576" s="2059">
        <v>5928</v>
      </c>
    </row>
    <row r="577" spans="1:114" outlineLevel="1">
      <c r="B577" s="1454"/>
      <c r="D577" s="679" t="str">
        <f t="shared" si="149"/>
        <v>804500_2024_12_</v>
      </c>
      <c r="E577" s="679" t="str">
        <f t="shared" si="148"/>
        <v>No Loss Condensate Drain (Screw - Inlet Modulation w/ Unloading)</v>
      </c>
      <c r="F577" s="35">
        <v>3</v>
      </c>
      <c r="G577" s="36">
        <v>5.5E-2</v>
      </c>
      <c r="H577" s="2059">
        <v>5928</v>
      </c>
    </row>
    <row r="578" spans="1:114" outlineLevel="1">
      <c r="B578" s="1454"/>
      <c r="D578" s="679" t="str">
        <f t="shared" si="149"/>
        <v>804550_2024_12_</v>
      </c>
      <c r="E578" s="679" t="str">
        <f t="shared" si="148"/>
        <v>No Loss Condensate Drain (Screw - Variable Displacement)</v>
      </c>
      <c r="F578" s="35">
        <v>3</v>
      </c>
      <c r="G578" s="36">
        <v>0.153</v>
      </c>
      <c r="H578" s="2059">
        <v>5928</v>
      </c>
    </row>
    <row r="579" spans="1:114" outlineLevel="1">
      <c r="B579" s="1454"/>
      <c r="D579" s="679" t="str">
        <f t="shared" si="149"/>
        <v>804600_2024_12_</v>
      </c>
      <c r="E579" s="679" t="str">
        <f t="shared" si="148"/>
        <v>No Loss Condensate Drain (Screw - VFD)</v>
      </c>
      <c r="F579" s="35">
        <v>3</v>
      </c>
      <c r="G579" s="36">
        <v>0.17799999999999999</v>
      </c>
      <c r="H579" s="2059">
        <v>5928</v>
      </c>
    </row>
    <row r="580" spans="1:114">
      <c r="B580" s="1454"/>
    </row>
    <row r="581" spans="1:114">
      <c r="B581" s="1454"/>
    </row>
    <row r="582" spans="1:114" s="9" customFormat="1" ht="30">
      <c r="A582" s="2"/>
      <c r="B582" s="1454"/>
      <c r="C582" s="10" t="s">
        <v>42</v>
      </c>
      <c r="D582" s="10" t="s">
        <v>43</v>
      </c>
      <c r="E582" s="1432" t="s">
        <v>44</v>
      </c>
      <c r="F582" s="1432" t="s">
        <v>45</v>
      </c>
      <c r="G582" s="1432" t="s">
        <v>46</v>
      </c>
      <c r="H582" s="11" t="s">
        <v>47</v>
      </c>
      <c r="I582" s="1432" t="s">
        <v>48</v>
      </c>
      <c r="J582" s="1432" t="s">
        <v>49</v>
      </c>
      <c r="K582" s="10" t="s">
        <v>50</v>
      </c>
      <c r="L582" s="10" t="s">
        <v>51</v>
      </c>
      <c r="M582" s="265"/>
      <c r="N582" s="521"/>
      <c r="O582" s="505"/>
      <c r="P582" s="506"/>
      <c r="Q582" s="122"/>
      <c r="R582" s="122"/>
      <c r="S582" s="122"/>
      <c r="T582" s="122"/>
      <c r="U582" s="122"/>
      <c r="V582" s="668" t="s">
        <v>52</v>
      </c>
      <c r="W582" s="669">
        <f>$W$8</f>
        <v>43252</v>
      </c>
      <c r="X582" s="669">
        <f>$X$8</f>
        <v>43465</v>
      </c>
      <c r="Y582" s="669">
        <f>$Y$8</f>
        <v>43800</v>
      </c>
      <c r="Z582" s="669">
        <f>$Z$8</f>
        <v>43862</v>
      </c>
      <c r="AA582" s="669">
        <f>$AA$8</f>
        <v>44013</v>
      </c>
      <c r="AB582" s="669">
        <v>44166</v>
      </c>
      <c r="AC582" s="669">
        <f>$AC$8</f>
        <v>44531</v>
      </c>
      <c r="AD582" s="669">
        <f>$AD$8</f>
        <v>44774</v>
      </c>
      <c r="AE582" s="669">
        <f>$AE$8</f>
        <v>45142</v>
      </c>
      <c r="AF582" s="669">
        <f>$AF$8</f>
        <v>45672</v>
      </c>
      <c r="AG582" s="669" t="str">
        <f>$AG$8</f>
        <v>-</v>
      </c>
      <c r="AH582"/>
      <c r="AI582" s="668" t="s">
        <v>52</v>
      </c>
      <c r="AJ582" s="669">
        <v>43252</v>
      </c>
      <c r="AK582" s="669">
        <f>$X$8</f>
        <v>43465</v>
      </c>
      <c r="AL582" s="669">
        <f>$Y$8</f>
        <v>43800</v>
      </c>
      <c r="AM582" s="669">
        <f>$Z$8</f>
        <v>43862</v>
      </c>
      <c r="AN582" s="669">
        <f>$AA$8</f>
        <v>44013</v>
      </c>
      <c r="AO582" s="669">
        <f>$AB$8</f>
        <v>44166</v>
      </c>
      <c r="AP582" s="669">
        <f>$AC$8</f>
        <v>44531</v>
      </c>
      <c r="AQ582" s="669">
        <f>$AD$8</f>
        <v>44774</v>
      </c>
      <c r="AR582" s="669">
        <f>$AE$8</f>
        <v>45142</v>
      </c>
      <c r="AS582" s="669">
        <f>$AF$8</f>
        <v>45672</v>
      </c>
      <c r="AT582" s="2"/>
      <c r="AU582" s="668" t="s">
        <v>52</v>
      </c>
      <c r="AV582" s="669">
        <v>43252</v>
      </c>
      <c r="AW582" s="669">
        <f>$X$8</f>
        <v>43465</v>
      </c>
      <c r="AX582" s="669">
        <f>$Y$8</f>
        <v>43800</v>
      </c>
      <c r="AY582" s="669">
        <f>$Z$8</f>
        <v>43862</v>
      </c>
      <c r="AZ582" s="669">
        <f>$AA$8</f>
        <v>44013</v>
      </c>
      <c r="BA582" s="669">
        <v>44166</v>
      </c>
      <c r="BB582" s="669">
        <f>$AC$8</f>
        <v>44531</v>
      </c>
      <c r="BC582" s="669">
        <f>$AD$8</f>
        <v>44774</v>
      </c>
      <c r="BD582" s="669">
        <f>$AE$8</f>
        <v>45142</v>
      </c>
      <c r="BE582" s="669">
        <f>$AF$8</f>
        <v>45672</v>
      </c>
      <c r="DE582" s="2"/>
      <c r="DF582" s="2"/>
      <c r="DG582" s="1060" t="str">
        <f>$DG$8</f>
        <v>TRC (2025)</v>
      </c>
      <c r="DH582" s="811" t="str">
        <f>$DH$8</f>
        <v>Benefit Lookup</v>
      </c>
      <c r="DI582" s="811" t="str">
        <f>$DI$8</f>
        <v>Benefits (2025 $)</v>
      </c>
      <c r="DJ582" s="1172" t="str">
        <f>$DJ$8</f>
        <v>Incremental Cost (2025 $)</v>
      </c>
    </row>
    <row r="583" spans="1:114">
      <c r="B583" s="1454">
        <f t="shared" si="141"/>
        <v>804650</v>
      </c>
      <c r="C583" s="1637" t="s">
        <v>698</v>
      </c>
      <c r="D583" s="1639" t="s">
        <v>135</v>
      </c>
      <c r="E583" s="480" t="s">
        <v>699</v>
      </c>
      <c r="F583" s="1922">
        <f>ROUND((F599*G599)*H599*I599*J599,2)</f>
        <v>1633.16</v>
      </c>
      <c r="G583" s="463" t="s">
        <v>682</v>
      </c>
      <c r="H583" s="1640">
        <f>VLOOKUP(G583,'CP FACTORS'!$A$26:$B$38,2,FALSE)</f>
        <v>1.379439E-4</v>
      </c>
      <c r="I583" s="1481">
        <f t="shared" ref="I583:I589" si="150">ROUND(H583*F583,6)</f>
        <v>0.22528400000000001</v>
      </c>
      <c r="J583" s="499">
        <v>15</v>
      </c>
      <c r="K583" s="2038">
        <v>59</v>
      </c>
      <c r="L583" s="509" t="s">
        <v>62</v>
      </c>
      <c r="V583" s="1445" t="s">
        <v>45</v>
      </c>
      <c r="W583" s="1955">
        <v>1547.2080000000001</v>
      </c>
      <c r="X583" s="1955">
        <v>1547.2080000000001</v>
      </c>
      <c r="Y583" s="1955">
        <v>1547.2080000000001</v>
      </c>
      <c r="Z583" s="1955">
        <v>1547.2080000000001</v>
      </c>
      <c r="AA583" s="1955">
        <v>1547.2080000000001</v>
      </c>
      <c r="AB583" s="1956">
        <v>1547.21</v>
      </c>
      <c r="AC583" s="1957">
        <v>1547.21</v>
      </c>
      <c r="AD583" s="1957">
        <v>1547.21</v>
      </c>
      <c r="AE583" s="1957">
        <v>1547.21</v>
      </c>
      <c r="AF583" s="1957">
        <f t="shared" ref="AF583:AF589" si="151">F583</f>
        <v>1633.16</v>
      </c>
      <c r="AG583" s="71"/>
      <c r="AH583"/>
      <c r="AI583" s="1445" t="s">
        <v>49</v>
      </c>
      <c r="AJ583" s="20">
        <v>15</v>
      </c>
      <c r="AK583" s="20">
        <v>15</v>
      </c>
      <c r="AL583" s="20">
        <v>15</v>
      </c>
      <c r="AM583" s="20">
        <v>15</v>
      </c>
      <c r="AN583" s="20">
        <v>15</v>
      </c>
      <c r="AO583" s="650">
        <v>15</v>
      </c>
      <c r="AP583" s="709">
        <v>15</v>
      </c>
      <c r="AQ583" s="709">
        <v>15</v>
      </c>
      <c r="AR583" s="709">
        <v>15</v>
      </c>
      <c r="AS583" s="709">
        <v>15</v>
      </c>
      <c r="AU583" s="1445" t="s">
        <v>50</v>
      </c>
      <c r="AV583" s="710">
        <v>77</v>
      </c>
      <c r="AW583" s="710">
        <v>77</v>
      </c>
      <c r="AX583" s="710">
        <v>77</v>
      </c>
      <c r="AY583" s="710">
        <v>77</v>
      </c>
      <c r="AZ583" s="710">
        <v>77</v>
      </c>
      <c r="BA583" s="689">
        <v>77</v>
      </c>
      <c r="BB583" s="689">
        <v>77</v>
      </c>
      <c r="BC583" s="689">
        <v>77</v>
      </c>
      <c r="BD583" s="689">
        <v>77</v>
      </c>
      <c r="BE583" s="773">
        <v>59</v>
      </c>
      <c r="DG583" s="1062">
        <f t="shared" ref="DG583:DG589" si="152">(DI583)/(DJ583)</f>
        <v>19.739175135871012</v>
      </c>
      <c r="DH583" s="1400" t="str">
        <f t="shared" ref="DH583:DH589" si="153">CONCATENATE(G583," ",J583," Year EUL")</f>
        <v>Air Comp BUS 15 Year EUL</v>
      </c>
      <c r="DI583" s="198">
        <f>(INDEX('Avoided Cost Benefits'!$B$4:$B$865,MATCH(DH583,'Avoided Cost Benefits'!$A$4:$A$865,0)))*F583</f>
        <v>1164.6113330163896</v>
      </c>
      <c r="DJ583" s="1169">
        <f t="shared" ref="DJ583:DJ589" si="154">K583/(1.0686^(2025-2025))</f>
        <v>59</v>
      </c>
    </row>
    <row r="584" spans="1:114">
      <c r="B584" s="1454">
        <f t="shared" si="141"/>
        <v>804700</v>
      </c>
      <c r="C584" s="1637" t="s">
        <v>700</v>
      </c>
      <c r="D584" s="1639" t="s">
        <v>135</v>
      </c>
      <c r="E584" s="480" t="s">
        <v>701</v>
      </c>
      <c r="F584" s="1922">
        <f t="shared" ref="F584:F589" si="155">ROUND((F600*G600)*H600*I600*J600,2)</f>
        <v>1208.54</v>
      </c>
      <c r="G584" s="463" t="s">
        <v>682</v>
      </c>
      <c r="H584" s="1640">
        <f>VLOOKUP(G584,'CP FACTORS'!$A$26:$B$38,2,FALSE)</f>
        <v>1.379439E-4</v>
      </c>
      <c r="I584" s="1481">
        <f t="shared" si="150"/>
        <v>0.166711</v>
      </c>
      <c r="J584" s="499">
        <v>15</v>
      </c>
      <c r="K584" s="2038">
        <v>59</v>
      </c>
      <c r="L584" s="509" t="s">
        <v>62</v>
      </c>
      <c r="V584" s="1445" t="s">
        <v>45</v>
      </c>
      <c r="W584" s="1955">
        <v>1203.3840000000002</v>
      </c>
      <c r="X584" s="1955">
        <v>1203.3840000000002</v>
      </c>
      <c r="Y584" s="1955">
        <v>1203.3840000000002</v>
      </c>
      <c r="Z584" s="1955">
        <v>1203.3840000000002</v>
      </c>
      <c r="AA584" s="1955">
        <v>1203.3840000000002</v>
      </c>
      <c r="AB584" s="1956">
        <v>1203.3800000000001</v>
      </c>
      <c r="AC584" s="1957">
        <v>1203.3800000000001</v>
      </c>
      <c r="AD584" s="1957">
        <v>1203.3800000000001</v>
      </c>
      <c r="AE584" s="1957">
        <v>1203.3800000000001</v>
      </c>
      <c r="AF584" s="1957">
        <f t="shared" si="151"/>
        <v>1208.54</v>
      </c>
      <c r="AG584" s="71"/>
      <c r="AH584"/>
      <c r="AI584" s="1445" t="s">
        <v>49</v>
      </c>
      <c r="AJ584" s="20">
        <v>15</v>
      </c>
      <c r="AK584" s="20">
        <v>15</v>
      </c>
      <c r="AL584" s="20">
        <v>15</v>
      </c>
      <c r="AM584" s="20">
        <v>15</v>
      </c>
      <c r="AN584" s="20">
        <v>15</v>
      </c>
      <c r="AO584" s="650">
        <v>15</v>
      </c>
      <c r="AP584" s="709">
        <v>15</v>
      </c>
      <c r="AQ584" s="709">
        <v>15</v>
      </c>
      <c r="AR584" s="709">
        <v>15</v>
      </c>
      <c r="AS584" s="709">
        <v>15</v>
      </c>
      <c r="AU584" s="1445" t="s">
        <v>50</v>
      </c>
      <c r="AV584" s="710">
        <v>77</v>
      </c>
      <c r="AW584" s="710">
        <v>77</v>
      </c>
      <c r="AX584" s="710">
        <v>77</v>
      </c>
      <c r="AY584" s="710">
        <v>77</v>
      </c>
      <c r="AZ584" s="710">
        <v>77</v>
      </c>
      <c r="BA584" s="689">
        <v>77</v>
      </c>
      <c r="BB584" s="689">
        <v>77</v>
      </c>
      <c r="BC584" s="689">
        <v>77</v>
      </c>
      <c r="BD584" s="689">
        <v>77</v>
      </c>
      <c r="BE584" s="773">
        <v>59</v>
      </c>
      <c r="DG584" s="1063">
        <f t="shared" si="152"/>
        <v>14.607008938931608</v>
      </c>
      <c r="DH584" s="673" t="str">
        <f t="shared" si="153"/>
        <v>Air Comp BUS 15 Year EUL</v>
      </c>
      <c r="DI584" s="655">
        <f>(INDEX('Avoided Cost Benefits'!$B$4:$B$865,MATCH(DH584,'Avoided Cost Benefits'!$A$4:$A$865,0)))*F584</f>
        <v>861.8135273969649</v>
      </c>
      <c r="DJ584" s="1170">
        <f t="shared" si="154"/>
        <v>59</v>
      </c>
    </row>
    <row r="585" spans="1:114">
      <c r="B585" s="1454">
        <f t="shared" si="141"/>
        <v>804750</v>
      </c>
      <c r="C585" s="1637" t="s">
        <v>702</v>
      </c>
      <c r="D585" s="1639" t="s">
        <v>135</v>
      </c>
      <c r="E585" s="480" t="s">
        <v>703</v>
      </c>
      <c r="F585" s="1922">
        <f t="shared" si="155"/>
        <v>1192.21</v>
      </c>
      <c r="G585" s="463" t="s">
        <v>682</v>
      </c>
      <c r="H585" s="1640">
        <f>VLOOKUP(G585,'CP FACTORS'!$A$26:$B$38,2,FALSE)</f>
        <v>1.379439E-4</v>
      </c>
      <c r="I585" s="1481">
        <f t="shared" si="150"/>
        <v>0.16445799999999999</v>
      </c>
      <c r="J585" s="499">
        <v>15</v>
      </c>
      <c r="K585" s="2038">
        <v>59</v>
      </c>
      <c r="L585" s="509" t="s">
        <v>62</v>
      </c>
      <c r="V585" s="1445" t="s">
        <v>45</v>
      </c>
      <c r="W585" s="1955">
        <v>1289.3399999999999</v>
      </c>
      <c r="X585" s="1955">
        <v>1289.3399999999999</v>
      </c>
      <c r="Y585" s="1955">
        <v>1289.3399999999999</v>
      </c>
      <c r="Z585" s="1955">
        <v>1289.3399999999999</v>
      </c>
      <c r="AA585" s="1955">
        <v>1289.3399999999999</v>
      </c>
      <c r="AB585" s="1956">
        <v>1289.3399999999999</v>
      </c>
      <c r="AC585" s="1957">
        <v>1289.3399999999999</v>
      </c>
      <c r="AD585" s="1957">
        <v>1289.3399999999999</v>
      </c>
      <c r="AE585" s="1957">
        <v>1289.3399999999999</v>
      </c>
      <c r="AF585" s="1957">
        <f t="shared" si="151"/>
        <v>1192.21</v>
      </c>
      <c r="AG585" s="71"/>
      <c r="AH585"/>
      <c r="AI585" s="1445" t="s">
        <v>49</v>
      </c>
      <c r="AJ585" s="20">
        <v>15</v>
      </c>
      <c r="AK585" s="20">
        <v>15</v>
      </c>
      <c r="AL585" s="20">
        <v>15</v>
      </c>
      <c r="AM585" s="20">
        <v>15</v>
      </c>
      <c r="AN585" s="20">
        <v>15</v>
      </c>
      <c r="AO585" s="650">
        <v>15</v>
      </c>
      <c r="AP585" s="709">
        <v>15</v>
      </c>
      <c r="AQ585" s="709">
        <v>15</v>
      </c>
      <c r="AR585" s="709">
        <v>15</v>
      </c>
      <c r="AS585" s="709">
        <v>15</v>
      </c>
      <c r="AU585" s="1445" t="s">
        <v>50</v>
      </c>
      <c r="AV585" s="710">
        <v>77</v>
      </c>
      <c r="AW585" s="710">
        <v>77</v>
      </c>
      <c r="AX585" s="710">
        <v>77</v>
      </c>
      <c r="AY585" s="710">
        <v>77</v>
      </c>
      <c r="AZ585" s="710">
        <v>77</v>
      </c>
      <c r="BA585" s="689">
        <v>77</v>
      </c>
      <c r="BB585" s="689">
        <v>77</v>
      </c>
      <c r="BC585" s="689">
        <v>77</v>
      </c>
      <c r="BD585" s="689">
        <v>77</v>
      </c>
      <c r="BE585" s="773">
        <v>59</v>
      </c>
      <c r="DG585" s="1063">
        <f t="shared" si="152"/>
        <v>14.409636525959964</v>
      </c>
      <c r="DH585" s="673" t="str">
        <f t="shared" si="153"/>
        <v>Air Comp BUS 15 Year EUL</v>
      </c>
      <c r="DI585" s="655">
        <f>(INDEX('Avoided Cost Benefits'!$B$4:$B$865,MATCH(DH585,'Avoided Cost Benefits'!$A$4:$A$865,0)))*F585</f>
        <v>850.16855503163788</v>
      </c>
      <c r="DJ585" s="1170">
        <f t="shared" si="154"/>
        <v>59</v>
      </c>
    </row>
    <row r="586" spans="1:114">
      <c r="B586" s="1454">
        <f t="shared" si="141"/>
        <v>804800</v>
      </c>
      <c r="C586" s="1637" t="s">
        <v>704</v>
      </c>
      <c r="D586" s="1639" t="s">
        <v>135</v>
      </c>
      <c r="E586" s="480" t="s">
        <v>705</v>
      </c>
      <c r="F586" s="1922">
        <f t="shared" si="155"/>
        <v>473.62</v>
      </c>
      <c r="G586" s="463" t="s">
        <v>682</v>
      </c>
      <c r="H586" s="1640">
        <f>VLOOKUP(G586,'CP FACTORS'!$A$26:$B$38,2,FALSE)</f>
        <v>1.379439E-4</v>
      </c>
      <c r="I586" s="1481">
        <f t="shared" si="150"/>
        <v>6.5333000000000002E-2</v>
      </c>
      <c r="J586" s="499">
        <v>15</v>
      </c>
      <c r="K586" s="2038">
        <v>59</v>
      </c>
      <c r="L586" s="509" t="s">
        <v>62</v>
      </c>
      <c r="V586" s="1445" t="s">
        <v>45</v>
      </c>
      <c r="W586" s="1955">
        <v>515.73599999999999</v>
      </c>
      <c r="X586" s="1955">
        <v>515.73599999999999</v>
      </c>
      <c r="Y586" s="1955">
        <v>515.73599999999999</v>
      </c>
      <c r="Z586" s="1955">
        <v>515.73599999999999</v>
      </c>
      <c r="AA586" s="1955">
        <v>515.73599999999999</v>
      </c>
      <c r="AB586" s="1956">
        <v>515.74</v>
      </c>
      <c r="AC586" s="1957">
        <v>515.74</v>
      </c>
      <c r="AD586" s="1957">
        <v>515.74</v>
      </c>
      <c r="AE586" s="1957">
        <v>515.74</v>
      </c>
      <c r="AF586" s="1957">
        <f t="shared" si="151"/>
        <v>473.62</v>
      </c>
      <c r="AG586" s="71"/>
      <c r="AH586"/>
      <c r="AI586" s="1445" t="s">
        <v>49</v>
      </c>
      <c r="AJ586" s="20">
        <v>15</v>
      </c>
      <c r="AK586" s="20">
        <v>15</v>
      </c>
      <c r="AL586" s="20">
        <v>15</v>
      </c>
      <c r="AM586" s="20">
        <v>15</v>
      </c>
      <c r="AN586" s="20">
        <v>15</v>
      </c>
      <c r="AO586" s="650">
        <v>15</v>
      </c>
      <c r="AP586" s="709">
        <v>15</v>
      </c>
      <c r="AQ586" s="709">
        <v>15</v>
      </c>
      <c r="AR586" s="709">
        <v>15</v>
      </c>
      <c r="AS586" s="709">
        <v>15</v>
      </c>
      <c r="AU586" s="1445" t="s">
        <v>50</v>
      </c>
      <c r="AV586" s="710">
        <v>77</v>
      </c>
      <c r="AW586" s="710">
        <v>77</v>
      </c>
      <c r="AX586" s="710">
        <v>77</v>
      </c>
      <c r="AY586" s="710">
        <v>77</v>
      </c>
      <c r="AZ586" s="710">
        <v>77</v>
      </c>
      <c r="BA586" s="689">
        <v>77</v>
      </c>
      <c r="BB586" s="689">
        <v>77</v>
      </c>
      <c r="BC586" s="689">
        <v>77</v>
      </c>
      <c r="BD586" s="689">
        <v>77</v>
      </c>
      <c r="BE586" s="773">
        <v>59</v>
      </c>
      <c r="DG586" s="1063">
        <f t="shared" si="152"/>
        <v>5.7244043007734859</v>
      </c>
      <c r="DH586" s="673" t="str">
        <f t="shared" si="153"/>
        <v>Air Comp BUS 15 Year EUL</v>
      </c>
      <c r="DI586" s="655">
        <f>(INDEX('Avoided Cost Benefits'!$B$4:$B$865,MATCH(DH586,'Avoided Cost Benefits'!$A$4:$A$865,0)))*F586</f>
        <v>337.73985374563568</v>
      </c>
      <c r="DJ586" s="1170">
        <f t="shared" si="154"/>
        <v>59</v>
      </c>
    </row>
    <row r="587" spans="1:114">
      <c r="B587" s="1454">
        <f t="shared" si="141"/>
        <v>804850</v>
      </c>
      <c r="C587" s="1637" t="s">
        <v>706</v>
      </c>
      <c r="D587" s="1639" t="s">
        <v>135</v>
      </c>
      <c r="E587" s="480" t="s">
        <v>707</v>
      </c>
      <c r="F587" s="1922">
        <f t="shared" si="155"/>
        <v>1208.54</v>
      </c>
      <c r="G587" s="463" t="s">
        <v>682</v>
      </c>
      <c r="H587" s="1640">
        <f>VLOOKUP(G587,'CP FACTORS'!$A$26:$B$38,2,FALSE)</f>
        <v>1.379439E-4</v>
      </c>
      <c r="I587" s="1481">
        <f t="shared" si="150"/>
        <v>0.166711</v>
      </c>
      <c r="J587" s="499">
        <v>15</v>
      </c>
      <c r="K587" s="2038">
        <v>59</v>
      </c>
      <c r="L587" s="509" t="s">
        <v>62</v>
      </c>
      <c r="V587" s="1445" t="s">
        <v>45</v>
      </c>
      <c r="W587" s="1955">
        <v>515.73599999999999</v>
      </c>
      <c r="X587" s="1955">
        <v>515.73599999999999</v>
      </c>
      <c r="Y587" s="1955">
        <v>515.73599999999999</v>
      </c>
      <c r="Z587" s="1955">
        <v>515.73599999999999</v>
      </c>
      <c r="AA587" s="1955">
        <v>515.73599999999999</v>
      </c>
      <c r="AB587" s="1956">
        <v>515.74</v>
      </c>
      <c r="AC587" s="1957">
        <v>515.74</v>
      </c>
      <c r="AD587" s="1957">
        <v>515.74</v>
      </c>
      <c r="AE587" s="1957">
        <v>515.74</v>
      </c>
      <c r="AF587" s="1957">
        <f t="shared" si="151"/>
        <v>1208.54</v>
      </c>
      <c r="AG587" s="71"/>
      <c r="AH587"/>
      <c r="AI587" s="1445" t="s">
        <v>49</v>
      </c>
      <c r="AJ587" s="20">
        <v>15</v>
      </c>
      <c r="AK587" s="20">
        <v>15</v>
      </c>
      <c r="AL587" s="20">
        <v>15</v>
      </c>
      <c r="AM587" s="20">
        <v>15</v>
      </c>
      <c r="AN587" s="20">
        <v>15</v>
      </c>
      <c r="AO587" s="650">
        <v>15</v>
      </c>
      <c r="AP587" s="709">
        <v>15</v>
      </c>
      <c r="AQ587" s="709">
        <v>15</v>
      </c>
      <c r="AR587" s="709">
        <v>15</v>
      </c>
      <c r="AS587" s="709">
        <v>15</v>
      </c>
      <c r="AU587" s="1445" t="s">
        <v>50</v>
      </c>
      <c r="AV587" s="710">
        <v>77</v>
      </c>
      <c r="AW587" s="710">
        <v>77</v>
      </c>
      <c r="AX587" s="710">
        <v>77</v>
      </c>
      <c r="AY587" s="710">
        <v>77</v>
      </c>
      <c r="AZ587" s="710">
        <v>77</v>
      </c>
      <c r="BA587" s="689">
        <v>77</v>
      </c>
      <c r="BB587" s="689">
        <v>77</v>
      </c>
      <c r="BC587" s="689">
        <v>77</v>
      </c>
      <c r="BD587" s="689">
        <v>77</v>
      </c>
      <c r="BE587" s="773">
        <v>59</v>
      </c>
      <c r="DG587" s="1063">
        <f t="shared" si="152"/>
        <v>14.607008938931608</v>
      </c>
      <c r="DH587" s="673" t="str">
        <f t="shared" si="153"/>
        <v>Air Comp BUS 15 Year EUL</v>
      </c>
      <c r="DI587" s="655">
        <f>(INDEX('Avoided Cost Benefits'!$B$4:$B$865,MATCH(DH587,'Avoided Cost Benefits'!$A$4:$A$865,0)))*F587</f>
        <v>861.8135273969649</v>
      </c>
      <c r="DJ587" s="1170">
        <f t="shared" si="154"/>
        <v>59</v>
      </c>
    </row>
    <row r="588" spans="1:114">
      <c r="B588" s="1454">
        <f t="shared" si="141"/>
        <v>804900</v>
      </c>
      <c r="C588" s="1637" t="s">
        <v>708</v>
      </c>
      <c r="D588" s="1639" t="s">
        <v>135</v>
      </c>
      <c r="E588" s="480" t="s">
        <v>709</v>
      </c>
      <c r="F588" s="1922">
        <f t="shared" si="155"/>
        <v>979.9</v>
      </c>
      <c r="G588" s="463" t="s">
        <v>682</v>
      </c>
      <c r="H588" s="1640">
        <f>VLOOKUP(G588,'CP FACTORS'!$A$26:$B$38,2,FALSE)</f>
        <v>1.379439E-4</v>
      </c>
      <c r="I588" s="1481">
        <f t="shared" si="150"/>
        <v>0.13517100000000001</v>
      </c>
      <c r="J588" s="499">
        <v>15</v>
      </c>
      <c r="K588" s="2038">
        <v>59</v>
      </c>
      <c r="L588" s="509" t="s">
        <v>62</v>
      </c>
      <c r="V588" s="1445" t="s">
        <v>45</v>
      </c>
      <c r="W588" s="1955">
        <v>1289.3399999999999</v>
      </c>
      <c r="X588" s="1955">
        <v>1289.3399999999999</v>
      </c>
      <c r="Y588" s="1955">
        <v>1289.3399999999999</v>
      </c>
      <c r="Z588" s="1955">
        <v>1289.3399999999999</v>
      </c>
      <c r="AA588" s="1955">
        <v>1289.3399999999999</v>
      </c>
      <c r="AB588" s="1956">
        <v>1289.3399999999999</v>
      </c>
      <c r="AC588" s="1957">
        <v>1289.3399999999999</v>
      </c>
      <c r="AD588" s="1957">
        <v>1289.3399999999999</v>
      </c>
      <c r="AE588" s="1957">
        <v>1289.3399999999999</v>
      </c>
      <c r="AF588" s="1957">
        <f t="shared" si="151"/>
        <v>979.9</v>
      </c>
      <c r="AG588" s="71"/>
      <c r="AH588"/>
      <c r="AI588" s="1445" t="s">
        <v>49</v>
      </c>
      <c r="AJ588" s="20">
        <v>15</v>
      </c>
      <c r="AK588" s="20">
        <v>15</v>
      </c>
      <c r="AL588" s="20">
        <v>15</v>
      </c>
      <c r="AM588" s="20">
        <v>15</v>
      </c>
      <c r="AN588" s="20">
        <v>15</v>
      </c>
      <c r="AO588" s="650">
        <v>15</v>
      </c>
      <c r="AP588" s="709">
        <v>15</v>
      </c>
      <c r="AQ588" s="709">
        <v>15</v>
      </c>
      <c r="AR588" s="709">
        <v>15</v>
      </c>
      <c r="AS588" s="709">
        <v>15</v>
      </c>
      <c r="AU588" s="1445" t="s">
        <v>50</v>
      </c>
      <c r="AV588" s="710">
        <v>77</v>
      </c>
      <c r="AW588" s="710">
        <v>77</v>
      </c>
      <c r="AX588" s="710">
        <v>77</v>
      </c>
      <c r="AY588" s="710">
        <v>77</v>
      </c>
      <c r="AZ588" s="710">
        <v>77</v>
      </c>
      <c r="BA588" s="689">
        <v>77</v>
      </c>
      <c r="BB588" s="689">
        <v>77</v>
      </c>
      <c r="BC588" s="689">
        <v>77</v>
      </c>
      <c r="BD588" s="689">
        <v>77</v>
      </c>
      <c r="BE588" s="773">
        <v>59</v>
      </c>
      <c r="DG588" s="1063">
        <f t="shared" si="152"/>
        <v>11.843553427490265</v>
      </c>
      <c r="DH588" s="673" t="str">
        <f t="shared" si="153"/>
        <v>Air Comp BUS 15 Year EUL</v>
      </c>
      <c r="DI588" s="655">
        <f>(INDEX('Avoided Cost Benefits'!$B$4:$B$865,MATCH(DH588,'Avoided Cost Benefits'!$A$4:$A$865,0)))*F588</f>
        <v>698.76965222192564</v>
      </c>
      <c r="DJ588" s="1170">
        <f t="shared" si="154"/>
        <v>59</v>
      </c>
    </row>
    <row r="589" spans="1:114">
      <c r="B589" s="1454">
        <f t="shared" si="141"/>
        <v>804950</v>
      </c>
      <c r="C589" s="1637" t="s">
        <v>710</v>
      </c>
      <c r="D589" s="1639" t="s">
        <v>135</v>
      </c>
      <c r="E589" s="480" t="s">
        <v>711</v>
      </c>
      <c r="F589" s="1922">
        <f t="shared" si="155"/>
        <v>1584.17</v>
      </c>
      <c r="G589" s="463" t="s">
        <v>682</v>
      </c>
      <c r="H589" s="1640">
        <f>VLOOKUP(G589,'CP FACTORS'!$A$26:$B$38,2,FALSE)</f>
        <v>1.379439E-4</v>
      </c>
      <c r="I589" s="1481">
        <f t="shared" si="150"/>
        <v>0.218527</v>
      </c>
      <c r="J589" s="499">
        <v>15</v>
      </c>
      <c r="K589" s="2038">
        <v>59</v>
      </c>
      <c r="L589" s="509" t="s">
        <v>62</v>
      </c>
      <c r="V589" s="1445" t="s">
        <v>45</v>
      </c>
      <c r="W589" s="1955">
        <v>1547.2080000000001</v>
      </c>
      <c r="X589" s="1955">
        <v>1547.2080000000001</v>
      </c>
      <c r="Y589" s="1955">
        <v>1547.2080000000001</v>
      </c>
      <c r="Z589" s="1955">
        <v>1547.2080000000001</v>
      </c>
      <c r="AA589" s="1955">
        <v>1547.2080000000001</v>
      </c>
      <c r="AB589" s="1956">
        <v>1547.21</v>
      </c>
      <c r="AC589" s="1957">
        <v>1547.21</v>
      </c>
      <c r="AD589" s="1957">
        <v>1547.21</v>
      </c>
      <c r="AE589" s="1957">
        <v>1547.21</v>
      </c>
      <c r="AF589" s="1957">
        <f t="shared" si="151"/>
        <v>1584.17</v>
      </c>
      <c r="AG589" s="71"/>
      <c r="AH589"/>
      <c r="AI589" s="1445" t="s">
        <v>49</v>
      </c>
      <c r="AJ589" s="20">
        <v>15</v>
      </c>
      <c r="AK589" s="20">
        <v>15</v>
      </c>
      <c r="AL589" s="20">
        <v>15</v>
      </c>
      <c r="AM589" s="20">
        <v>15</v>
      </c>
      <c r="AN589" s="20">
        <v>15</v>
      </c>
      <c r="AO589" s="650">
        <v>15</v>
      </c>
      <c r="AP589" s="709">
        <v>15</v>
      </c>
      <c r="AQ589" s="709">
        <v>15</v>
      </c>
      <c r="AR589" s="709">
        <v>15</v>
      </c>
      <c r="AS589" s="709">
        <v>15</v>
      </c>
      <c r="AU589" s="1445" t="s">
        <v>50</v>
      </c>
      <c r="AV589" s="710">
        <v>77</v>
      </c>
      <c r="AW589" s="710">
        <v>77</v>
      </c>
      <c r="AX589" s="710">
        <v>77</v>
      </c>
      <c r="AY589" s="710">
        <v>77</v>
      </c>
      <c r="AZ589" s="710">
        <v>77</v>
      </c>
      <c r="BA589" s="689">
        <v>77</v>
      </c>
      <c r="BB589" s="689">
        <v>77</v>
      </c>
      <c r="BC589" s="689">
        <v>77</v>
      </c>
      <c r="BD589" s="689">
        <v>77</v>
      </c>
      <c r="BE589" s="773">
        <v>59</v>
      </c>
      <c r="DG589" s="1064">
        <f t="shared" si="152"/>
        <v>19.147057896956071</v>
      </c>
      <c r="DH589" s="673" t="str">
        <f t="shared" si="153"/>
        <v>Air Comp BUS 15 Year EUL</v>
      </c>
      <c r="DI589" s="1066">
        <f>(INDEX('Avoided Cost Benefits'!$B$4:$B$865,MATCH(DH589,'Avoided Cost Benefits'!$A$4:$A$865,0)))*F589</f>
        <v>1129.6764159204081</v>
      </c>
      <c r="DJ589" s="1171">
        <f t="shared" si="154"/>
        <v>59</v>
      </c>
    </row>
    <row r="590" spans="1:114" outlineLevel="1">
      <c r="B590" s="1454"/>
      <c r="D590" s="77" t="s">
        <v>118</v>
      </c>
      <c r="E590" s="113" t="s">
        <v>712</v>
      </c>
      <c r="F590" s="1923"/>
      <c r="G590" s="8"/>
      <c r="H590" s="471"/>
      <c r="I590" s="8"/>
      <c r="J590" s="8"/>
      <c r="K590" s="1930" t="s">
        <v>713</v>
      </c>
    </row>
    <row r="591" spans="1:114" outlineLevel="1">
      <c r="B591" s="1454"/>
      <c r="D591" s="8" t="s">
        <v>120</v>
      </c>
      <c r="E591" s="8"/>
      <c r="F591" s="8"/>
      <c r="G591" s="8"/>
      <c r="H591" s="471"/>
      <c r="I591" s="8"/>
      <c r="J591" s="8"/>
      <c r="K591" s="8"/>
    </row>
    <row r="592" spans="1:114" outlineLevel="1">
      <c r="B592" s="1454"/>
      <c r="D592" s="472"/>
      <c r="G592" s="265"/>
      <c r="H592" s="473"/>
    </row>
    <row r="593" spans="1:114" outlineLevel="1">
      <c r="B593" s="1454"/>
      <c r="D593" s="472"/>
      <c r="G593" s="265"/>
      <c r="H593" s="473"/>
    </row>
    <row r="594" spans="1:114" outlineLevel="1">
      <c r="B594" s="1454"/>
      <c r="D594" s="472"/>
      <c r="G594" s="265"/>
      <c r="H594" s="473"/>
      <c r="M594" s="8"/>
    </row>
    <row r="595" spans="1:114" outlineLevel="1">
      <c r="B595" s="1454"/>
      <c r="D595" s="472"/>
      <c r="G595" s="265"/>
      <c r="H595" s="473"/>
      <c r="M595" s="8"/>
    </row>
    <row r="596" spans="1:114" outlineLevel="1">
      <c r="B596" s="1454"/>
      <c r="D596" s="472"/>
      <c r="G596" s="265"/>
      <c r="H596" s="473"/>
    </row>
    <row r="597" spans="1:114" outlineLevel="1">
      <c r="B597" s="1454"/>
      <c r="D597" s="472"/>
      <c r="G597" s="265"/>
      <c r="H597" s="473"/>
    </row>
    <row r="598" spans="1:114" s="9" customFormat="1" outlineLevel="1">
      <c r="A598" s="2"/>
      <c r="B598" s="1454"/>
      <c r="C598" s="66"/>
      <c r="D598" s="1365" t="s">
        <v>42</v>
      </c>
      <c r="E598" s="1365" t="s">
        <v>275</v>
      </c>
      <c r="F598" s="33" t="s">
        <v>714</v>
      </c>
      <c r="G598" s="1365" t="s">
        <v>715</v>
      </c>
      <c r="H598" s="1365" t="s">
        <v>716</v>
      </c>
      <c r="I598" s="1365" t="s">
        <v>717</v>
      </c>
      <c r="J598" s="1365" t="s">
        <v>173</v>
      </c>
      <c r="K598" s="1968" t="s">
        <v>718</v>
      </c>
      <c r="L598" s="265"/>
      <c r="M598" s="265"/>
      <c r="N598" s="122"/>
      <c r="O598" s="122"/>
      <c r="P598" s="122"/>
      <c r="Q598" s="122"/>
      <c r="R598" s="122"/>
      <c r="S598" s="122"/>
      <c r="T598" s="122"/>
      <c r="U598" s="122"/>
      <c r="V598" s="668" t="s">
        <v>52</v>
      </c>
      <c r="W598" s="669">
        <f>$W$8</f>
        <v>43252</v>
      </c>
      <c r="X598" s="669">
        <f>$X$8</f>
        <v>43465</v>
      </c>
      <c r="Y598" s="669">
        <f>$Y$8</f>
        <v>43800</v>
      </c>
      <c r="Z598" s="669">
        <f>$Z$8</f>
        <v>43862</v>
      </c>
      <c r="AA598" s="669">
        <f>$AA$8</f>
        <v>44013</v>
      </c>
      <c r="AB598" s="669">
        <v>44166</v>
      </c>
      <c r="AC598" s="669">
        <f>$AC$8</f>
        <v>44531</v>
      </c>
      <c r="AD598" s="669">
        <f>$AD$8</f>
        <v>44774</v>
      </c>
      <c r="AE598" s="669">
        <f>$AE$8</f>
        <v>45142</v>
      </c>
      <c r="AF598" s="669">
        <f>$AF$8</f>
        <v>45672</v>
      </c>
      <c r="AG598" s="669" t="str">
        <f>$AG$8</f>
        <v>-</v>
      </c>
      <c r="AH598"/>
      <c r="AI598" s="668" t="s">
        <v>52</v>
      </c>
      <c r="AJ598" s="669">
        <v>43252</v>
      </c>
      <c r="AK598" s="669">
        <f>$X$8</f>
        <v>43465</v>
      </c>
      <c r="AL598" s="669">
        <f>$Y$8</f>
        <v>43800</v>
      </c>
      <c r="AM598" s="669">
        <f>$Z$8</f>
        <v>43862</v>
      </c>
      <c r="AN598" s="669">
        <f>$AA$8</f>
        <v>44013</v>
      </c>
      <c r="AO598" s="669">
        <f>$AB$8</f>
        <v>44166</v>
      </c>
      <c r="AP598" s="669">
        <f>$AC$8</f>
        <v>44531</v>
      </c>
      <c r="AQ598" s="669">
        <f>$AD$8</f>
        <v>44774</v>
      </c>
      <c r="AR598" s="669">
        <f>$AE$8</f>
        <v>45142</v>
      </c>
      <c r="AS598" s="669">
        <f>$AF$8</f>
        <v>45672</v>
      </c>
      <c r="AT598" s="2"/>
      <c r="AU598" s="668" t="s">
        <v>52</v>
      </c>
      <c r="AV598" s="669">
        <v>43252</v>
      </c>
      <c r="AW598" s="669">
        <f>$X$8</f>
        <v>43465</v>
      </c>
      <c r="AX598" s="669">
        <f>$Y$8</f>
        <v>43800</v>
      </c>
      <c r="AY598" s="669">
        <f>$Z$8</f>
        <v>43862</v>
      </c>
      <c r="AZ598" s="669">
        <f>$AA$8</f>
        <v>44013</v>
      </c>
      <c r="BA598" s="669">
        <v>44166</v>
      </c>
      <c r="BB598" s="669">
        <f>$AC$8</f>
        <v>44531</v>
      </c>
      <c r="BC598" s="669">
        <f>$AD$8</f>
        <v>44774</v>
      </c>
      <c r="BD598" s="669">
        <f>$AE$8</f>
        <v>45142</v>
      </c>
      <c r="BE598" s="669">
        <f>$AF$8</f>
        <v>45672</v>
      </c>
      <c r="DG598" s="1065"/>
      <c r="DH598" s="122"/>
      <c r="DI598" s="122"/>
      <c r="DJ598" s="1168"/>
    </row>
    <row r="599" spans="1:114" outlineLevel="1">
      <c r="B599" s="1454"/>
      <c r="D599" s="679" t="str">
        <f>C583</f>
        <v>804650_2024_12_</v>
      </c>
      <c r="E599" s="679" t="str">
        <f t="shared" ref="E599:E605" si="156">E583</f>
        <v>Compressed Air Nozzle (Reciprocating - On/off Control)</v>
      </c>
      <c r="F599" s="2040">
        <v>58</v>
      </c>
      <c r="G599" s="37">
        <v>0.5</v>
      </c>
      <c r="H599" s="1994">
        <f t="shared" ref="H599:H605" si="157">0.19*K599</f>
        <v>0.19</v>
      </c>
      <c r="I599" s="2051">
        <v>0.05</v>
      </c>
      <c r="J599" s="2059">
        <v>5928</v>
      </c>
      <c r="K599" s="2060">
        <v>1</v>
      </c>
      <c r="V599" s="1445" t="s">
        <v>718</v>
      </c>
      <c r="W599" s="1955"/>
      <c r="X599" s="1955"/>
      <c r="Y599" s="1955"/>
      <c r="Z599" s="1955"/>
      <c r="AA599" s="1955"/>
      <c r="AB599" s="1956"/>
      <c r="AC599" s="1957"/>
      <c r="AD599" s="1957"/>
      <c r="AE599" s="1957"/>
      <c r="AF599" s="1995">
        <v>1</v>
      </c>
      <c r="AG599" s="71"/>
      <c r="AH599"/>
      <c r="AI599" s="1445"/>
      <c r="AJ599" s="20"/>
      <c r="AK599" s="20"/>
      <c r="AL599" s="20"/>
      <c r="AM599" s="20"/>
      <c r="AN599" s="20"/>
      <c r="AO599" s="650"/>
      <c r="AP599" s="709"/>
      <c r="AQ599" s="709"/>
      <c r="AR599" s="709"/>
      <c r="AS599" s="709"/>
      <c r="AU599" s="1445"/>
      <c r="AV599" s="710"/>
      <c r="AW599" s="710"/>
      <c r="AX599" s="710"/>
      <c r="AY599" s="710"/>
      <c r="AZ599" s="710"/>
      <c r="BA599" s="689"/>
      <c r="BB599" s="689"/>
      <c r="BC599" s="689"/>
      <c r="BD599" s="689"/>
      <c r="BE599" s="689"/>
    </row>
    <row r="600" spans="1:114" outlineLevel="1">
      <c r="B600" s="1454"/>
      <c r="D600" s="679" t="str">
        <f t="shared" ref="D600:D605" si="158">C584</f>
        <v>804700_2024_12_</v>
      </c>
      <c r="E600" s="679" t="str">
        <f t="shared" si="156"/>
        <v>Compressed Air Nozzle (Reciprocating - Load/Unload)</v>
      </c>
      <c r="F600" s="2040">
        <v>58</v>
      </c>
      <c r="G600" s="37">
        <v>0.5</v>
      </c>
      <c r="H600" s="1994">
        <f t="shared" si="157"/>
        <v>0.1406</v>
      </c>
      <c r="I600" s="2051">
        <v>0.05</v>
      </c>
      <c r="J600" s="2059">
        <v>5928</v>
      </c>
      <c r="K600" s="2060">
        <v>0.74</v>
      </c>
      <c r="V600" s="1445" t="s">
        <v>718</v>
      </c>
      <c r="W600" s="1955"/>
      <c r="X600" s="1955"/>
      <c r="Y600" s="1955"/>
      <c r="Z600" s="1955"/>
      <c r="AA600" s="1955"/>
      <c r="AB600" s="1956"/>
      <c r="AC600" s="1957"/>
      <c r="AD600" s="1957"/>
      <c r="AE600" s="1957"/>
      <c r="AF600" s="1995">
        <v>0.74</v>
      </c>
      <c r="AG600" s="71"/>
      <c r="AH600"/>
      <c r="AI600" s="1445"/>
      <c r="AJ600" s="20"/>
      <c r="AK600" s="20"/>
      <c r="AL600" s="20"/>
      <c r="AM600" s="20"/>
      <c r="AN600" s="20"/>
      <c r="AO600" s="650"/>
      <c r="AP600" s="709"/>
      <c r="AQ600" s="709"/>
      <c r="AR600" s="709"/>
      <c r="AS600" s="709"/>
      <c r="AU600" s="1445"/>
      <c r="AV600" s="710"/>
      <c r="AW600" s="710"/>
      <c r="AX600" s="710"/>
      <c r="AY600" s="710"/>
      <c r="AZ600" s="710"/>
      <c r="BA600" s="689"/>
      <c r="BB600" s="689"/>
      <c r="BC600" s="689"/>
      <c r="BD600" s="689"/>
      <c r="BE600" s="689"/>
    </row>
    <row r="601" spans="1:114" outlineLevel="1">
      <c r="B601" s="1454"/>
      <c r="D601" s="679" t="str">
        <f t="shared" si="158"/>
        <v>804750_2024_12_</v>
      </c>
      <c r="E601" s="679" t="str">
        <f t="shared" si="156"/>
        <v>Compressed Air Nozzle (Screw - Load/Unload)</v>
      </c>
      <c r="F601" s="2040">
        <v>58</v>
      </c>
      <c r="G601" s="37">
        <v>0.5</v>
      </c>
      <c r="H601" s="1994">
        <f t="shared" si="157"/>
        <v>0.13869999999999999</v>
      </c>
      <c r="I601" s="2051">
        <v>0.05</v>
      </c>
      <c r="J601" s="2059">
        <v>5928</v>
      </c>
      <c r="K601" s="2060">
        <v>0.73</v>
      </c>
      <c r="V601" s="1445" t="s">
        <v>718</v>
      </c>
      <c r="W601" s="1955"/>
      <c r="X601" s="1955"/>
      <c r="Y601" s="1955"/>
      <c r="Z601" s="1955"/>
      <c r="AA601" s="1955"/>
      <c r="AB601" s="1956"/>
      <c r="AC601" s="1957"/>
      <c r="AD601" s="1957"/>
      <c r="AE601" s="1957"/>
      <c r="AF601" s="1995">
        <v>0.73</v>
      </c>
      <c r="AG601" s="71"/>
      <c r="AH601"/>
      <c r="AI601" s="1445"/>
      <c r="AJ601" s="20"/>
      <c r="AK601" s="20"/>
      <c r="AL601" s="20"/>
      <c r="AM601" s="20"/>
      <c r="AN601" s="20"/>
      <c r="AO601" s="650"/>
      <c r="AP601" s="709"/>
      <c r="AQ601" s="709"/>
      <c r="AR601" s="709"/>
      <c r="AS601" s="709"/>
      <c r="AU601" s="1445"/>
      <c r="AV601" s="710"/>
      <c r="AW601" s="710"/>
      <c r="AX601" s="710"/>
      <c r="AY601" s="710"/>
      <c r="AZ601" s="710"/>
      <c r="BA601" s="689"/>
      <c r="BB601" s="689"/>
      <c r="BC601" s="689"/>
      <c r="BD601" s="689"/>
      <c r="BE601" s="689"/>
    </row>
    <row r="602" spans="1:114" outlineLevel="1">
      <c r="B602" s="1454"/>
      <c r="D602" s="679" t="str">
        <f t="shared" si="158"/>
        <v>804800_2024_12_</v>
      </c>
      <c r="E602" s="679" t="str">
        <f t="shared" si="156"/>
        <v>Compressed Air Nozzle (Screw - Inlet Modulation)</v>
      </c>
      <c r="F602" s="2040">
        <v>58</v>
      </c>
      <c r="G602" s="37">
        <v>0.5</v>
      </c>
      <c r="H602" s="1994">
        <f t="shared" si="157"/>
        <v>5.5099999999999996E-2</v>
      </c>
      <c r="I602" s="2051">
        <v>0.05</v>
      </c>
      <c r="J602" s="2059">
        <v>5928</v>
      </c>
      <c r="K602" s="2060">
        <v>0.28999999999999998</v>
      </c>
      <c r="V602" s="1445" t="s">
        <v>718</v>
      </c>
      <c r="W602" s="1955"/>
      <c r="X602" s="1955"/>
      <c r="Y602" s="1955"/>
      <c r="Z602" s="1955"/>
      <c r="AA602" s="1955"/>
      <c r="AB602" s="1956"/>
      <c r="AC602" s="1957"/>
      <c r="AD602" s="1957"/>
      <c r="AE602" s="1957"/>
      <c r="AF602" s="1995">
        <v>0.28999999999999998</v>
      </c>
      <c r="AG602" s="71"/>
      <c r="AH602"/>
      <c r="AI602" s="1445"/>
      <c r="AJ602" s="20"/>
      <c r="AK602" s="20"/>
      <c r="AL602" s="20"/>
      <c r="AM602" s="20"/>
      <c r="AN602" s="20"/>
      <c r="AO602" s="650"/>
      <c r="AP602" s="709"/>
      <c r="AQ602" s="709"/>
      <c r="AR602" s="709"/>
      <c r="AS602" s="709"/>
      <c r="AU602" s="1445"/>
      <c r="AV602" s="710"/>
      <c r="AW602" s="710"/>
      <c r="AX602" s="710"/>
      <c r="AY602" s="710"/>
      <c r="AZ602" s="710"/>
      <c r="BA602" s="689"/>
      <c r="BB602" s="689"/>
      <c r="BC602" s="689"/>
      <c r="BD602" s="689"/>
      <c r="BE602" s="689"/>
    </row>
    <row r="603" spans="1:114" outlineLevel="1">
      <c r="B603" s="1454"/>
      <c r="D603" s="679" t="str">
        <f t="shared" si="158"/>
        <v>804850_2024_12_</v>
      </c>
      <c r="E603" s="679" t="str">
        <f t="shared" si="156"/>
        <v>Compressed Air Nozzle (Screw - Inlet Modulation w/ blowdown)</v>
      </c>
      <c r="F603" s="2040">
        <v>58</v>
      </c>
      <c r="G603" s="37">
        <v>0.5</v>
      </c>
      <c r="H603" s="1994">
        <f t="shared" si="157"/>
        <v>0.1406</v>
      </c>
      <c r="I603" s="2051">
        <v>0.05</v>
      </c>
      <c r="J603" s="2059">
        <v>5928</v>
      </c>
      <c r="K603" s="2060">
        <v>0.74</v>
      </c>
      <c r="V603" s="1445" t="s">
        <v>718</v>
      </c>
      <c r="W603" s="1955"/>
      <c r="X603" s="1955"/>
      <c r="Y603" s="1955"/>
      <c r="Z603" s="1955"/>
      <c r="AA603" s="1955"/>
      <c r="AB603" s="1956"/>
      <c r="AC603" s="1957"/>
      <c r="AD603" s="1957"/>
      <c r="AE603" s="1957"/>
      <c r="AF603" s="1995">
        <v>0.74</v>
      </c>
      <c r="AG603" s="71"/>
      <c r="AH603"/>
      <c r="AI603" s="1445"/>
      <c r="AJ603" s="20"/>
      <c r="AK603" s="20"/>
      <c r="AL603" s="20"/>
      <c r="AM603" s="20"/>
      <c r="AN603" s="20"/>
      <c r="AO603" s="650"/>
      <c r="AP603" s="709"/>
      <c r="AQ603" s="709"/>
      <c r="AR603" s="709"/>
      <c r="AS603" s="709"/>
      <c r="AU603" s="1445"/>
      <c r="AV603" s="710"/>
      <c r="AW603" s="710"/>
      <c r="AX603" s="710"/>
      <c r="AY603" s="710"/>
      <c r="AZ603" s="710"/>
      <c r="BA603" s="689"/>
      <c r="BB603" s="689"/>
      <c r="BC603" s="689"/>
      <c r="BD603" s="689"/>
      <c r="BE603" s="689"/>
    </row>
    <row r="604" spans="1:114" outlineLevel="1">
      <c r="B604" s="1454"/>
      <c r="D604" s="679" t="str">
        <f t="shared" si="158"/>
        <v>804900_2024_12_</v>
      </c>
      <c r="E604" s="679" t="str">
        <f t="shared" si="156"/>
        <v>Compressed Air Nozzle (Screw - Variable Displacement)</v>
      </c>
      <c r="F604" s="2040">
        <v>58</v>
      </c>
      <c r="G604" s="37">
        <v>0.5</v>
      </c>
      <c r="H604" s="1994">
        <f t="shared" si="157"/>
        <v>0.11399999999999999</v>
      </c>
      <c r="I604" s="2051">
        <v>0.05</v>
      </c>
      <c r="J604" s="2059">
        <v>5928</v>
      </c>
      <c r="K604" s="2060">
        <v>0.6</v>
      </c>
      <c r="V604" s="1445" t="s">
        <v>718</v>
      </c>
      <c r="W604" s="1955"/>
      <c r="X604" s="1955"/>
      <c r="Y604" s="1955"/>
      <c r="Z604" s="1955"/>
      <c r="AA604" s="1955"/>
      <c r="AB604" s="1956"/>
      <c r="AC604" s="1957"/>
      <c r="AD604" s="1957"/>
      <c r="AE604" s="1957"/>
      <c r="AF604" s="1995">
        <v>0.6</v>
      </c>
      <c r="AG604" s="71"/>
      <c r="AH604"/>
      <c r="AI604" s="1445"/>
      <c r="AJ604" s="20"/>
      <c r="AK604" s="20"/>
      <c r="AL604" s="20"/>
      <c r="AM604" s="20"/>
      <c r="AN604" s="20"/>
      <c r="AO604" s="650"/>
      <c r="AP604" s="709"/>
      <c r="AQ604" s="709"/>
      <c r="AR604" s="709"/>
      <c r="AS604" s="709"/>
      <c r="AU604" s="1445"/>
      <c r="AV604" s="710"/>
      <c r="AW604" s="710"/>
      <c r="AX604" s="710"/>
      <c r="AY604" s="710"/>
      <c r="AZ604" s="710"/>
      <c r="BA604" s="689"/>
      <c r="BB604" s="689"/>
      <c r="BC604" s="689"/>
      <c r="BD604" s="689"/>
      <c r="BE604" s="689"/>
    </row>
    <row r="605" spans="1:114" outlineLevel="1">
      <c r="B605" s="1454"/>
      <c r="D605" s="679" t="str">
        <f t="shared" si="158"/>
        <v>804950_2024_12_</v>
      </c>
      <c r="E605" s="679" t="str">
        <f t="shared" si="156"/>
        <v>Compressed Air Nozzle (Screw - VFD)</v>
      </c>
      <c r="F605" s="2040">
        <v>58</v>
      </c>
      <c r="G605" s="37">
        <v>0.5</v>
      </c>
      <c r="H605" s="1994">
        <f t="shared" si="157"/>
        <v>0.18429999999999999</v>
      </c>
      <c r="I605" s="2051">
        <v>0.05</v>
      </c>
      <c r="J605" s="2059">
        <v>5928</v>
      </c>
      <c r="K605" s="2060">
        <v>0.97</v>
      </c>
      <c r="V605" s="1445" t="s">
        <v>718</v>
      </c>
      <c r="W605" s="1955"/>
      <c r="X605" s="1955"/>
      <c r="Y605" s="1955"/>
      <c r="Z605" s="1955"/>
      <c r="AA605" s="1955"/>
      <c r="AB605" s="1956"/>
      <c r="AC605" s="1957"/>
      <c r="AD605" s="1957"/>
      <c r="AE605" s="1957"/>
      <c r="AF605" s="1995">
        <v>0.97</v>
      </c>
      <c r="AG605" s="71"/>
      <c r="AH605"/>
      <c r="AI605" s="1445"/>
      <c r="AJ605" s="20"/>
      <c r="AK605" s="20"/>
      <c r="AL605" s="20"/>
      <c r="AM605" s="20"/>
      <c r="AN605" s="20"/>
      <c r="AO605" s="650"/>
      <c r="AP605" s="709"/>
      <c r="AQ605" s="709"/>
      <c r="AR605" s="709"/>
      <c r="AS605" s="709"/>
      <c r="AU605" s="1445"/>
      <c r="AV605" s="710"/>
      <c r="AW605" s="710"/>
      <c r="AX605" s="710"/>
      <c r="AY605" s="710"/>
      <c r="AZ605" s="710"/>
      <c r="BA605" s="689"/>
      <c r="BB605" s="689"/>
      <c r="BC605" s="689"/>
      <c r="BD605" s="689"/>
      <c r="BE605" s="689"/>
    </row>
    <row r="606" spans="1:114">
      <c r="B606" s="1454"/>
    </row>
    <row r="607" spans="1:114">
      <c r="B607" s="1454"/>
    </row>
    <row r="608" spans="1:114" s="9" customFormat="1" ht="30">
      <c r="A608" s="2"/>
      <c r="B608" s="1454"/>
      <c r="C608" s="10" t="s">
        <v>42</v>
      </c>
      <c r="D608" s="10" t="s">
        <v>43</v>
      </c>
      <c r="E608" s="1432" t="s">
        <v>44</v>
      </c>
      <c r="F608" s="1432" t="s">
        <v>382</v>
      </c>
      <c r="G608" s="1432" t="s">
        <v>46</v>
      </c>
      <c r="H608" s="11" t="s">
        <v>47</v>
      </c>
      <c r="I608" s="1432" t="s">
        <v>48</v>
      </c>
      <c r="J608" s="1432" t="s">
        <v>49</v>
      </c>
      <c r="K608" s="10" t="s">
        <v>719</v>
      </c>
      <c r="L608" s="10" t="s">
        <v>51</v>
      </c>
      <c r="M608" s="265"/>
      <c r="N608" s="521"/>
      <c r="O608" s="505"/>
      <c r="P608" s="506"/>
      <c r="Q608" s="122"/>
      <c r="R608" s="122"/>
      <c r="S608" s="122"/>
      <c r="T608" s="122"/>
      <c r="U608" s="122"/>
      <c r="V608" s="668" t="s">
        <v>52</v>
      </c>
      <c r="W608" s="669">
        <f>$W$8</f>
        <v>43252</v>
      </c>
      <c r="X608" s="669">
        <f>$X$8</f>
        <v>43465</v>
      </c>
      <c r="Y608" s="669">
        <f>$Y$8</f>
        <v>43800</v>
      </c>
      <c r="Z608" s="669">
        <f>$Z$8</f>
        <v>43862</v>
      </c>
      <c r="AA608" s="669">
        <f>$AA$8</f>
        <v>44013</v>
      </c>
      <c r="AB608" s="669">
        <v>44166</v>
      </c>
      <c r="AC608" s="669">
        <f>$AC$8</f>
        <v>44531</v>
      </c>
      <c r="AD608" s="669">
        <f>$AD$8</f>
        <v>44774</v>
      </c>
      <c r="AE608" s="669">
        <f>$AE$8</f>
        <v>45142</v>
      </c>
      <c r="AF608" s="669">
        <f>$AF$8</f>
        <v>45672</v>
      </c>
      <c r="AG608" s="669" t="str">
        <f>$AG$8</f>
        <v>-</v>
      </c>
      <c r="AH608"/>
      <c r="AI608" s="668" t="s">
        <v>52</v>
      </c>
      <c r="AJ608" s="669">
        <v>43252</v>
      </c>
      <c r="AK608" s="669">
        <f>$X$8</f>
        <v>43465</v>
      </c>
      <c r="AL608" s="669">
        <f>$Y$8</f>
        <v>43800</v>
      </c>
      <c r="AM608" s="669">
        <f>$Z$8</f>
        <v>43862</v>
      </c>
      <c r="AN608" s="669">
        <f>$AA$8</f>
        <v>44013</v>
      </c>
      <c r="AO608" s="669">
        <f>$AB$8</f>
        <v>44166</v>
      </c>
      <c r="AP608" s="669">
        <f>$AC$8</f>
        <v>44531</v>
      </c>
      <c r="AQ608" s="669">
        <f>$AD$8</f>
        <v>44774</v>
      </c>
      <c r="AR608" s="669">
        <f>$AE$8</f>
        <v>45142</v>
      </c>
      <c r="AS608" s="669">
        <f>$AF$8</f>
        <v>45672</v>
      </c>
      <c r="AT608" s="2"/>
      <c r="AU608" s="668" t="s">
        <v>52</v>
      </c>
      <c r="AV608" s="669">
        <v>43252</v>
      </c>
      <c r="AW608" s="669">
        <f>$X$8</f>
        <v>43465</v>
      </c>
      <c r="AX608" s="669">
        <f>$Y$8</f>
        <v>43800</v>
      </c>
      <c r="AY608" s="669">
        <f>$Z$8</f>
        <v>43862</v>
      </c>
      <c r="AZ608" s="669">
        <f>$AA$8</f>
        <v>44013</v>
      </c>
      <c r="BA608" s="669">
        <v>44166</v>
      </c>
      <c r="BB608" s="669">
        <f>$AC$8</f>
        <v>44531</v>
      </c>
      <c r="BC608" s="669">
        <f>$AD$8</f>
        <v>44774</v>
      </c>
      <c r="BD608" s="669">
        <f>$AE$8</f>
        <v>45142</v>
      </c>
      <c r="BE608" s="669">
        <f>$AF$8</f>
        <v>45672</v>
      </c>
      <c r="DG608" s="1060" t="str">
        <f>$DG$8</f>
        <v>TRC (2025)</v>
      </c>
      <c r="DH608" s="811" t="str">
        <f>$DH$8</f>
        <v>Benefit Lookup</v>
      </c>
      <c r="DI608" s="811" t="str">
        <f>$DI$8</f>
        <v>Benefits (2025 $)</v>
      </c>
      <c r="DJ608" s="1172" t="str">
        <f>$DJ$8</f>
        <v>Incremental Cost (2025 $)</v>
      </c>
    </row>
    <row r="609" spans="1:117">
      <c r="B609" s="1454">
        <f t="shared" si="141"/>
        <v>805000</v>
      </c>
      <c r="C609" s="1637" t="s">
        <v>720</v>
      </c>
      <c r="D609" s="1639" t="s">
        <v>135</v>
      </c>
      <c r="E609" s="480" t="s">
        <v>721</v>
      </c>
      <c r="F609" s="20">
        <f>ROUND(0.9*F621*G621*(H621-I621),2)</f>
        <v>949.38</v>
      </c>
      <c r="G609" s="463" t="s">
        <v>682</v>
      </c>
      <c r="H609" s="464">
        <f>VLOOKUP(G609,'CP FACTORS'!$A$26:$B$38,2,FALSE)</f>
        <v>1.379439E-4</v>
      </c>
      <c r="I609" s="508">
        <f>ROUND(H609*F609,6)</f>
        <v>0.13096099999999999</v>
      </c>
      <c r="J609" s="499">
        <v>10</v>
      </c>
      <c r="K609" s="2001">
        <f>L621/K621</f>
        <v>202.28779999999998</v>
      </c>
      <c r="L609" s="509" t="s">
        <v>386</v>
      </c>
      <c r="V609" s="1414" t="s">
        <v>382</v>
      </c>
      <c r="W609" s="55">
        <v>987.01200000000028</v>
      </c>
      <c r="X609" s="55">
        <v>3272.2560000000003</v>
      </c>
      <c r="Y609" s="55">
        <v>3272.2560000000003</v>
      </c>
      <c r="Z609" s="55">
        <v>3272.2560000000003</v>
      </c>
      <c r="AA609" s="55">
        <v>3272.2560000000003</v>
      </c>
      <c r="AB609" s="648">
        <v>987.01</v>
      </c>
      <c r="AC609" s="737">
        <v>987.01</v>
      </c>
      <c r="AD609" s="737">
        <v>987.01</v>
      </c>
      <c r="AE609" s="1943">
        <v>949.38</v>
      </c>
      <c r="AF609" s="737">
        <f>F609</f>
        <v>949.38</v>
      </c>
      <c r="AG609" s="71"/>
      <c r="AH609"/>
      <c r="AI609" s="1414" t="s">
        <v>49</v>
      </c>
      <c r="AJ609" s="671">
        <v>10</v>
      </c>
      <c r="AK609" s="671">
        <v>10</v>
      </c>
      <c r="AL609" s="671">
        <v>10</v>
      </c>
      <c r="AM609" s="671">
        <v>10</v>
      </c>
      <c r="AN609" s="671">
        <v>10</v>
      </c>
      <c r="AO609" s="54">
        <v>10</v>
      </c>
      <c r="AP609" s="709">
        <v>10</v>
      </c>
      <c r="AQ609" s="709">
        <v>10</v>
      </c>
      <c r="AR609" s="709">
        <v>10</v>
      </c>
      <c r="AS609" s="709">
        <v>10</v>
      </c>
      <c r="AU609" s="1414" t="str">
        <f>K608</f>
        <v>Inc. Cost per HP</v>
      </c>
      <c r="AV609" s="672">
        <v>1573</v>
      </c>
      <c r="AW609" s="672">
        <v>1573</v>
      </c>
      <c r="AX609" s="672">
        <v>1573</v>
      </c>
      <c r="AY609" s="672">
        <v>1573</v>
      </c>
      <c r="AZ609" s="689" t="s">
        <v>722</v>
      </c>
      <c r="BA609" s="689" t="s">
        <v>722</v>
      </c>
      <c r="BB609" s="689" t="s">
        <v>722</v>
      </c>
      <c r="BC609" s="689" t="s">
        <v>722</v>
      </c>
      <c r="BD609" s="1954" t="s">
        <v>723</v>
      </c>
      <c r="BE609" s="1953">
        <f>K609</f>
        <v>202.28779999999998</v>
      </c>
      <c r="DG609" s="1067">
        <f>(DI609)/(DJ609)</f>
        <v>1.3755919890352668</v>
      </c>
      <c r="DH609" s="1400" t="str">
        <f>CONCATENATE(G609," ",J609," Year EUL")</f>
        <v>Air Comp BUS 10 Year EUL</v>
      </c>
      <c r="DI609" s="813">
        <f>(INDEX('Avoided Cost Benefits'!$B$4:$B$865,MATCH(DH609,'Avoided Cost Benefits'!$A$4:$A$865,0)))*F609*DJ612</f>
        <v>3037.3071117898689</v>
      </c>
      <c r="DJ609" s="874">
        <f>(127*DJ612+1446)/(1.0686^(2025-2025))</f>
        <v>2208</v>
      </c>
    </row>
    <row r="610" spans="1:117">
      <c r="B610" s="1454">
        <f t="shared" si="141"/>
        <v>805001</v>
      </c>
      <c r="C610" s="1637" t="s">
        <v>724</v>
      </c>
      <c r="D610" s="1639" t="s">
        <v>135</v>
      </c>
      <c r="E610" s="480" t="s">
        <v>725</v>
      </c>
      <c r="F610" s="20">
        <f>ROUND(0.9*F622*G622*(H622-I622),2)</f>
        <v>949.38</v>
      </c>
      <c r="G610" s="463" t="s">
        <v>682</v>
      </c>
      <c r="H610" s="464">
        <f>VLOOKUP(G610,'CP FACTORS'!$A$26:$B$38,2,FALSE)</f>
        <v>1.379439E-4</v>
      </c>
      <c r="I610" s="508">
        <f>ROUND(H610*F610,6)</f>
        <v>0.13096099999999999</v>
      </c>
      <c r="J610" s="499">
        <v>10</v>
      </c>
      <c r="K610" s="2001">
        <f>L622/K622</f>
        <v>202.28779999999998</v>
      </c>
      <c r="L610" s="509" t="s">
        <v>386</v>
      </c>
      <c r="V610" s="1414" t="s">
        <v>382</v>
      </c>
      <c r="W610" s="55"/>
      <c r="X610" s="55"/>
      <c r="Y610" s="55"/>
      <c r="Z610" s="55"/>
      <c r="AA610" s="55"/>
      <c r="AB610" s="55"/>
      <c r="AC610" s="55"/>
      <c r="AD610" s="55"/>
      <c r="AE610" s="1943">
        <v>949.38</v>
      </c>
      <c r="AF610" s="737">
        <f>F610</f>
        <v>949.38</v>
      </c>
      <c r="AG610" s="71"/>
      <c r="AH610"/>
      <c r="AI610" s="1414" t="s">
        <v>49</v>
      </c>
      <c r="AJ610" s="671"/>
      <c r="AK610" s="671"/>
      <c r="AL610" s="671"/>
      <c r="AM610" s="671"/>
      <c r="AN610" s="671"/>
      <c r="AO610" s="54"/>
      <c r="AP610" s="709"/>
      <c r="AQ610" s="709"/>
      <c r="AR610" s="709">
        <v>10</v>
      </c>
      <c r="AS610" s="709">
        <v>10</v>
      </c>
      <c r="AU610" s="1414">
        <f>K609</f>
        <v>202.28779999999998</v>
      </c>
      <c r="AV610" s="672"/>
      <c r="AW610" s="672"/>
      <c r="AX610" s="672"/>
      <c r="AY610" s="672"/>
      <c r="AZ610" s="689"/>
      <c r="BA610" s="689"/>
      <c r="BB610" s="689"/>
      <c r="BC610" s="689"/>
      <c r="BD610" s="1954" t="s">
        <v>723</v>
      </c>
      <c r="BE610" s="1953">
        <f t="shared" ref="BE610:BE611" si="159">K610</f>
        <v>202.28779999999998</v>
      </c>
      <c r="DG610" s="1067">
        <f>(DI610)/(DJ610)</f>
        <v>1.3755919890352668</v>
      </c>
      <c r="DH610" s="1400" t="str">
        <f>CONCATENATE(G610," ",J610," Year EUL")</f>
        <v>Air Comp BUS 10 Year EUL</v>
      </c>
      <c r="DI610" s="813">
        <f>(INDEX('Avoided Cost Benefits'!$B$4:$B$865,MATCH(DH610,'Avoided Cost Benefits'!$A$4:$A$865,0)))*F610*DJ612</f>
        <v>3037.3071117898689</v>
      </c>
      <c r="DJ610" s="874">
        <f>(127*DJ612+1446)/(1.0686^(2025-2025))</f>
        <v>2208</v>
      </c>
    </row>
    <row r="611" spans="1:117">
      <c r="B611" s="1454">
        <f t="shared" si="141"/>
        <v>805002</v>
      </c>
      <c r="C611" s="1637" t="s">
        <v>726</v>
      </c>
      <c r="D611" s="1639" t="s">
        <v>135</v>
      </c>
      <c r="E611" s="480" t="s">
        <v>727</v>
      </c>
      <c r="F611" s="20">
        <f>ROUND(0.9*F623*G623*(H623-I623),2)</f>
        <v>1052.02</v>
      </c>
      <c r="G611" s="463" t="s">
        <v>682</v>
      </c>
      <c r="H611" s="464">
        <f>VLOOKUP(G611,'CP FACTORS'!$A$26:$B$38,2,FALSE)</f>
        <v>1.379439E-4</v>
      </c>
      <c r="I611" s="508">
        <f>ROUND(H611*F611,6)</f>
        <v>0.14512</v>
      </c>
      <c r="J611" s="499">
        <v>10</v>
      </c>
      <c r="K611" s="2001">
        <f>L623/K623</f>
        <v>202.28779999999998</v>
      </c>
      <c r="L611" s="509" t="s">
        <v>386</v>
      </c>
      <c r="V611" s="1414" t="s">
        <v>382</v>
      </c>
      <c r="W611" s="55"/>
      <c r="X611" s="55"/>
      <c r="Y611" s="55"/>
      <c r="Z611" s="55"/>
      <c r="AA611" s="55"/>
      <c r="AB611" s="55"/>
      <c r="AC611" s="55"/>
      <c r="AD611" s="55"/>
      <c r="AE611" s="1943">
        <v>1052.02</v>
      </c>
      <c r="AF611" s="737">
        <f>F611</f>
        <v>1052.02</v>
      </c>
      <c r="AG611" s="71"/>
      <c r="AH611"/>
      <c r="AI611" s="1414" t="s">
        <v>49</v>
      </c>
      <c r="AJ611" s="671"/>
      <c r="AK611" s="671"/>
      <c r="AL611" s="671"/>
      <c r="AM611" s="671"/>
      <c r="AN611" s="671"/>
      <c r="AO611" s="54"/>
      <c r="AP611" s="709"/>
      <c r="AQ611" s="709"/>
      <c r="AR611" s="709">
        <v>10</v>
      </c>
      <c r="AS611" s="709">
        <v>10</v>
      </c>
      <c r="AU611" s="1414">
        <f>K610</f>
        <v>202.28779999999998</v>
      </c>
      <c r="AV611" s="672"/>
      <c r="AW611" s="672"/>
      <c r="AX611" s="672"/>
      <c r="AY611" s="672"/>
      <c r="AZ611" s="689"/>
      <c r="BA611" s="689"/>
      <c r="BB611" s="689"/>
      <c r="BC611" s="689"/>
      <c r="BD611" s="1954" t="s">
        <v>723</v>
      </c>
      <c r="BE611" s="1953">
        <f t="shared" si="159"/>
        <v>202.28779999999998</v>
      </c>
      <c r="DG611" s="1067">
        <f>(DI611)/(DJ611)</f>
        <v>1.5243109021728725</v>
      </c>
      <c r="DH611" s="1400" t="str">
        <f>CONCATENATE(G611," ",J611," Year EUL")</f>
        <v>Air Comp BUS 10 Year EUL</v>
      </c>
      <c r="DI611" s="813">
        <f>(INDEX('Avoided Cost Benefits'!$B$4:$B$865,MATCH(DH611,'Avoided Cost Benefits'!$A$4:$A$865,0)))*F611*DJ612</f>
        <v>3365.6784719977022</v>
      </c>
      <c r="DJ611" s="874">
        <f>(127*DJ612+1446)/(1.0686^(2025-2025))</f>
        <v>2208</v>
      </c>
    </row>
    <row r="612" spans="1:117" outlineLevel="1">
      <c r="B612" s="1454"/>
      <c r="D612" s="77" t="s">
        <v>118</v>
      </c>
      <c r="E612" s="113" t="s">
        <v>728</v>
      </c>
      <c r="F612" s="8"/>
      <c r="G612" s="8"/>
      <c r="H612" s="471"/>
      <c r="I612" s="8"/>
      <c r="J612" s="8"/>
      <c r="K612" s="1952"/>
      <c r="DJ612" s="1168">
        <v>6</v>
      </c>
      <c r="DK612" s="265" t="s">
        <v>729</v>
      </c>
    </row>
    <row r="613" spans="1:117" outlineLevel="1">
      <c r="B613" s="1454"/>
      <c r="D613" s="8" t="s">
        <v>120</v>
      </c>
      <c r="E613" s="8"/>
      <c r="F613" s="8"/>
      <c r="G613" s="8"/>
      <c r="H613" s="471"/>
      <c r="I613" s="8"/>
      <c r="J613" s="8"/>
      <c r="K613" s="8"/>
    </row>
    <row r="614" spans="1:117" outlineLevel="1">
      <c r="B614" s="1454"/>
      <c r="D614" s="472"/>
      <c r="G614" s="265"/>
      <c r="H614" s="473"/>
    </row>
    <row r="615" spans="1:117" outlineLevel="1">
      <c r="B615" s="1454"/>
      <c r="D615" s="472"/>
      <c r="G615" s="265"/>
      <c r="H615" s="473"/>
    </row>
    <row r="616" spans="1:117" outlineLevel="1">
      <c r="B616" s="1454"/>
      <c r="D616" s="472"/>
      <c r="G616" s="265"/>
      <c r="H616" s="473"/>
      <c r="M616" s="8"/>
    </row>
    <row r="617" spans="1:117" outlineLevel="1">
      <c r="B617" s="1454"/>
      <c r="D617" s="472"/>
      <c r="G617" s="265"/>
      <c r="H617" s="473"/>
      <c r="M617" s="8"/>
    </row>
    <row r="618" spans="1:117" outlineLevel="1">
      <c r="B618" s="1454"/>
      <c r="D618" s="472"/>
      <c r="G618" s="265"/>
      <c r="H618" s="473"/>
      <c r="M618" s="8"/>
    </row>
    <row r="619" spans="1:117" outlineLevel="1">
      <c r="B619" s="1454"/>
      <c r="D619" s="472"/>
      <c r="G619" s="265"/>
      <c r="H619" s="473"/>
    </row>
    <row r="620" spans="1:117" s="9" customFormat="1" ht="30" outlineLevel="1">
      <c r="A620" s="2"/>
      <c r="B620" s="1454"/>
      <c r="C620" s="66"/>
      <c r="D620" s="1365" t="s">
        <v>42</v>
      </c>
      <c r="E620" s="1365" t="s">
        <v>275</v>
      </c>
      <c r="F620" s="33" t="s">
        <v>730</v>
      </c>
      <c r="G620" s="1365" t="s">
        <v>173</v>
      </c>
      <c r="H620" s="1365" t="s">
        <v>731</v>
      </c>
      <c r="I620" s="1365" t="s">
        <v>732</v>
      </c>
      <c r="J620" s="1968" t="s">
        <v>517</v>
      </c>
      <c r="K620" s="1968" t="s">
        <v>733</v>
      </c>
      <c r="L620" s="1968" t="s">
        <v>734</v>
      </c>
      <c r="M620" s="122"/>
      <c r="N620" s="122"/>
      <c r="O620" s="122"/>
      <c r="P620" s="122"/>
      <c r="Q620" s="122"/>
      <c r="R620" s="122"/>
      <c r="S620" s="122"/>
      <c r="T620" s="122"/>
      <c r="U620" s="122"/>
      <c r="DG620" s="1065"/>
      <c r="DH620" s="122"/>
      <c r="DI620" s="122"/>
      <c r="DJ620" s="1168"/>
    </row>
    <row r="621" spans="1:117" outlineLevel="1">
      <c r="B621" s="1454"/>
      <c r="D621" s="679" t="str">
        <f>C609</f>
        <v>805000_2024_12_</v>
      </c>
      <c r="E621" s="679" t="str">
        <f>E609</f>
        <v>VSD Air Compressor 5-40 HP</v>
      </c>
      <c r="F621" s="2040">
        <v>1</v>
      </c>
      <c r="G621" s="2061">
        <v>5702</v>
      </c>
      <c r="H621" s="523">
        <v>0.89</v>
      </c>
      <c r="I621" s="524">
        <v>0.70499999999999996</v>
      </c>
      <c r="J621" s="2002">
        <v>100</v>
      </c>
      <c r="K621" s="2002">
        <v>100</v>
      </c>
      <c r="L621" s="2003">
        <f>((127*K621)+1446)*1.43</f>
        <v>20228.78</v>
      </c>
      <c r="DL621" s="38"/>
      <c r="DM621" s="38"/>
    </row>
    <row r="622" spans="1:117" outlineLevel="1">
      <c r="B622" s="1454"/>
      <c r="D622" s="679" t="str">
        <f>C610</f>
        <v>805001_2024_12_</v>
      </c>
      <c r="E622" s="679" t="str">
        <f>E610</f>
        <v>VSD Air Compressor &gt;40-&lt;50 HP</v>
      </c>
      <c r="F622" s="2040">
        <v>1</v>
      </c>
      <c r="G622" s="2061">
        <v>5702</v>
      </c>
      <c r="H622" s="523">
        <v>0.88600000000000001</v>
      </c>
      <c r="I622" s="524">
        <v>0.70099999999999996</v>
      </c>
      <c r="J622" s="2002">
        <v>100</v>
      </c>
      <c r="K622" s="2002">
        <v>100</v>
      </c>
      <c r="L622" s="2003">
        <f>((127*K622)+1446)*1.43</f>
        <v>20228.78</v>
      </c>
      <c r="DL622" s="38"/>
      <c r="DM622" s="38"/>
    </row>
    <row r="623" spans="1:117" outlineLevel="1">
      <c r="B623" s="1454"/>
      <c r="D623" s="679" t="str">
        <f>C611</f>
        <v>805002_2024_12_</v>
      </c>
      <c r="E623" s="679" t="str">
        <f>E611</f>
        <v>VSD Air Compressor 50-200 HP</v>
      </c>
      <c r="F623" s="2040">
        <v>1</v>
      </c>
      <c r="G623" s="2061">
        <v>5702</v>
      </c>
      <c r="H623" s="523">
        <v>0.86299999999999999</v>
      </c>
      <c r="I623" s="524">
        <v>0.65800000000000003</v>
      </c>
      <c r="J623" s="2002">
        <v>100</v>
      </c>
      <c r="K623" s="2002">
        <v>100</v>
      </c>
      <c r="L623" s="2003">
        <f>((127*K623)+1446)*1.43</f>
        <v>20228.78</v>
      </c>
      <c r="DL623" s="38"/>
      <c r="DM623" s="38"/>
    </row>
    <row r="624" spans="1:117" ht="18.75">
      <c r="B624" s="1454"/>
      <c r="L624" s="2004" t="s">
        <v>735</v>
      </c>
      <c r="M624" s="38"/>
      <c r="N624" s="38"/>
      <c r="O624" s="38"/>
    </row>
    <row r="625" spans="1:114">
      <c r="B625" s="1454"/>
      <c r="DG625" s="1058" t="s">
        <v>736</v>
      </c>
    </row>
    <row r="626" spans="1:114" s="3044" customFormat="1" ht="30">
      <c r="A626" s="3517"/>
      <c r="B626" s="2208"/>
      <c r="C626" s="3570" t="s">
        <v>42</v>
      </c>
      <c r="D626" s="3570" t="s">
        <v>43</v>
      </c>
      <c r="E626" s="2280" t="s">
        <v>44</v>
      </c>
      <c r="F626" s="2280" t="s">
        <v>737</v>
      </c>
      <c r="G626" s="2280" t="s">
        <v>46</v>
      </c>
      <c r="H626" s="3571" t="s">
        <v>47</v>
      </c>
      <c r="I626" s="2280" t="s">
        <v>48</v>
      </c>
      <c r="J626" s="2280" t="s">
        <v>49</v>
      </c>
      <c r="K626" s="3570" t="s">
        <v>50</v>
      </c>
      <c r="L626" s="3570" t="s">
        <v>51</v>
      </c>
      <c r="N626" s="3750"/>
      <c r="O626" s="3751"/>
      <c r="P626" s="3752"/>
      <c r="Q626" s="2697"/>
      <c r="R626" s="2697"/>
      <c r="S626" s="2697"/>
      <c r="T626" s="2697"/>
      <c r="U626" s="2697"/>
      <c r="V626" s="2704" t="s">
        <v>52</v>
      </c>
      <c r="W626" s="2705">
        <f>$W$8</f>
        <v>43252</v>
      </c>
      <c r="X626" s="2705">
        <f>$X$8</f>
        <v>43465</v>
      </c>
      <c r="Y626" s="2705">
        <f>$Y$8</f>
        <v>43800</v>
      </c>
      <c r="Z626" s="2705">
        <f>$Z$8</f>
        <v>43862</v>
      </c>
      <c r="AA626" s="2705">
        <f>$AA$8</f>
        <v>44013</v>
      </c>
      <c r="AB626" s="2705">
        <v>44166</v>
      </c>
      <c r="AC626" s="2705">
        <f>$AC$8</f>
        <v>44531</v>
      </c>
      <c r="AD626" s="2705">
        <f>$AD$8</f>
        <v>44774</v>
      </c>
      <c r="AE626" s="2705">
        <f>$AE$8</f>
        <v>45142</v>
      </c>
      <c r="AF626" s="2705">
        <f>$AF$8</f>
        <v>45672</v>
      </c>
      <c r="AG626" s="2705" t="str">
        <f>$AG$8</f>
        <v>-</v>
      </c>
      <c r="AH626" s="2237"/>
      <c r="AI626" s="2704" t="s">
        <v>52</v>
      </c>
      <c r="AJ626" s="2705">
        <v>43252</v>
      </c>
      <c r="AK626" s="2705">
        <f>$X$8</f>
        <v>43465</v>
      </c>
      <c r="AL626" s="2705">
        <f>$Y$8</f>
        <v>43800</v>
      </c>
      <c r="AM626" s="2705">
        <f>$Z$8</f>
        <v>43862</v>
      </c>
      <c r="AN626" s="2705">
        <f>$AA$8</f>
        <v>44013</v>
      </c>
      <c r="AO626" s="2705">
        <f>$AB$8</f>
        <v>44166</v>
      </c>
      <c r="AP626" s="2705">
        <f>$AC$8</f>
        <v>44531</v>
      </c>
      <c r="AQ626" s="2705">
        <f>$AD$8</f>
        <v>44774</v>
      </c>
      <c r="AR626" s="2705">
        <f>$AE$8</f>
        <v>45142</v>
      </c>
      <c r="AS626" s="2705">
        <f>$AF$8</f>
        <v>45672</v>
      </c>
      <c r="AT626" s="3517"/>
      <c r="AU626" s="2704" t="s">
        <v>52</v>
      </c>
      <c r="AV626" s="2705">
        <v>43252</v>
      </c>
      <c r="AW626" s="2705">
        <f>$X$8</f>
        <v>43465</v>
      </c>
      <c r="AX626" s="2705">
        <f>$Y$8</f>
        <v>43800</v>
      </c>
      <c r="AY626" s="2705">
        <f>$Z$8</f>
        <v>43862</v>
      </c>
      <c r="AZ626" s="2705">
        <f>$AA$8</f>
        <v>44013</v>
      </c>
      <c r="BA626" s="2705">
        <v>44166</v>
      </c>
      <c r="BB626" s="2705">
        <f>$AC$8</f>
        <v>44531</v>
      </c>
      <c r="BC626" s="2705">
        <f>$AD$8</f>
        <v>44774</v>
      </c>
      <c r="BD626" s="2705">
        <f>$AE$8</f>
        <v>45142</v>
      </c>
      <c r="BE626" s="2705">
        <f>$AF$8</f>
        <v>45672</v>
      </c>
      <c r="DE626" s="3517"/>
      <c r="DF626" s="3517"/>
      <c r="DG626" s="2749" t="str">
        <f>$DG$8</f>
        <v>TRC (2025)</v>
      </c>
      <c r="DH626" s="2750" t="str">
        <f>$DH$8</f>
        <v>Benefit Lookup</v>
      </c>
      <c r="DI626" s="2750" t="str">
        <f>$DI$8</f>
        <v>Benefits (2025 $)</v>
      </c>
      <c r="DJ626" s="3572" t="str">
        <f>$DJ$8</f>
        <v>Incremental Cost (2025 $)</v>
      </c>
    </row>
    <row r="627" spans="1:114" s="3517" customFormat="1">
      <c r="B627" s="2208">
        <f t="shared" ref="B627:B633" si="160">VALUE(LEFT(C627,6))</f>
        <v>805020</v>
      </c>
      <c r="C627" s="3499" t="s">
        <v>738</v>
      </c>
      <c r="D627" s="3509" t="str">
        <f t="shared" ref="D627:D633" si="161">$D$98</f>
        <v>BSS</v>
      </c>
      <c r="E627" s="3574" t="s">
        <v>739</v>
      </c>
      <c r="F627" s="3510">
        <f>ROUND(F643*G643*H643,2)</f>
        <v>1126.32</v>
      </c>
      <c r="G627" s="3503" t="s">
        <v>682</v>
      </c>
      <c r="H627" s="3511">
        <f>VLOOKUP(G627,'CP FACTORS'!$A$26:$B$38,2,FALSE)</f>
        <v>1.379439E-4</v>
      </c>
      <c r="I627" s="3769">
        <f t="shared" ref="I627:I633" si="162">ROUND(H627*F627,6)</f>
        <v>0.15536900000000001</v>
      </c>
      <c r="J627" s="3692">
        <v>2</v>
      </c>
      <c r="K627" s="3576" t="s">
        <v>740</v>
      </c>
      <c r="L627" s="3717" t="s">
        <v>741</v>
      </c>
      <c r="M627" s="3528"/>
      <c r="N627" s="3528"/>
      <c r="O627" s="3528"/>
      <c r="P627" s="3528"/>
      <c r="Q627" s="3528"/>
      <c r="R627" s="3528"/>
      <c r="S627" s="3528"/>
      <c r="T627" s="3528"/>
      <c r="U627" s="3528"/>
      <c r="V627" s="2244" t="s">
        <v>737</v>
      </c>
      <c r="W627" s="2709"/>
      <c r="X627" s="2709"/>
      <c r="Y627" s="2709"/>
      <c r="Z627" s="2709"/>
      <c r="AA627" s="2709"/>
      <c r="AB627" s="3258"/>
      <c r="AC627" s="2552"/>
      <c r="AD627" s="3619">
        <v>1090.75</v>
      </c>
      <c r="AE627" s="3247">
        <v>1090.75</v>
      </c>
      <c r="AF627" s="3247">
        <f t="shared" ref="AF627:AF633" si="163">F627</f>
        <v>1126.32</v>
      </c>
      <c r="AG627" s="2724"/>
      <c r="AH627" s="2237"/>
      <c r="AI627" s="2244" t="s">
        <v>49</v>
      </c>
      <c r="AJ627" s="3506"/>
      <c r="AK627" s="3506"/>
      <c r="AL627" s="3506"/>
      <c r="AM627" s="3506"/>
      <c r="AN627" s="3506"/>
      <c r="AO627" s="2930"/>
      <c r="AP627" s="3761"/>
      <c r="AQ627" s="3762">
        <v>2</v>
      </c>
      <c r="AR627" s="3761">
        <v>2</v>
      </c>
      <c r="AS627" s="3761">
        <v>2</v>
      </c>
      <c r="AU627" s="2244" t="s">
        <v>50</v>
      </c>
      <c r="AV627" s="3524"/>
      <c r="AW627" s="3524"/>
      <c r="AX627" s="3524"/>
      <c r="AY627" s="3524"/>
      <c r="AZ627" s="3524"/>
      <c r="BA627" s="3523"/>
      <c r="BB627" s="3523"/>
      <c r="BC627" s="3589">
        <v>50</v>
      </c>
      <c r="BD627" s="3523">
        <v>50</v>
      </c>
      <c r="BE627" s="3523">
        <v>50</v>
      </c>
      <c r="CG627" s="2237"/>
      <c r="CH627" s="2237"/>
      <c r="CI627" s="2237"/>
      <c r="CJ627" s="2237"/>
      <c r="CW627" s="2237"/>
      <c r="CX627" s="2237"/>
      <c r="CY627" s="2237"/>
      <c r="CZ627" s="2237"/>
      <c r="DG627" s="2418" t="str">
        <f>IFERROR((DI627)/(DJ627),"n/a")</f>
        <v>n/a</v>
      </c>
      <c r="DH627" s="2419" t="str">
        <f t="shared" ref="DH627:DH633" si="164">CONCATENATE(G627," ",J627," Year EUL")</f>
        <v>Air Comp BUS 2 Year EUL</v>
      </c>
      <c r="DI627" s="3677">
        <f>(INDEX('Avoided Cost Benefits'!$B$4:$B$865,MATCH(DH627,'Avoided Cost Benefits'!$A$4:$A$865,0)))*F627</f>
        <v>149.60429919216566</v>
      </c>
      <c r="DJ627" s="2424">
        <f t="shared" ref="DJ627:DJ633" si="165">IFERROR(K627/(1.0686^(2025-2025)),0)</f>
        <v>0</v>
      </c>
    </row>
    <row r="628" spans="1:114" s="3517" customFormat="1">
      <c r="B628" s="2208">
        <f t="shared" si="160"/>
        <v>805022</v>
      </c>
      <c r="C628" s="3499" t="s">
        <v>742</v>
      </c>
      <c r="D628" s="3509" t="str">
        <f t="shared" si="161"/>
        <v>BSS</v>
      </c>
      <c r="E628" s="3574" t="s">
        <v>743</v>
      </c>
      <c r="F628" s="3510">
        <f t="shared" ref="F628:F633" si="166">ROUND(F644*G644*H644,2)</f>
        <v>833.48</v>
      </c>
      <c r="G628" s="3503" t="s">
        <v>682</v>
      </c>
      <c r="H628" s="3511">
        <f>VLOOKUP(G628,'CP FACTORS'!$A$26:$B$38,2,FALSE)</f>
        <v>1.379439E-4</v>
      </c>
      <c r="I628" s="3769">
        <f t="shared" si="162"/>
        <v>0.11497300000000001</v>
      </c>
      <c r="J628" s="3692">
        <v>2</v>
      </c>
      <c r="K628" s="3576" t="s">
        <v>740</v>
      </c>
      <c r="L628" s="3717" t="s">
        <v>741</v>
      </c>
      <c r="M628" s="3528"/>
      <c r="N628" s="3528"/>
      <c r="O628" s="3528"/>
      <c r="P628" s="3528"/>
      <c r="Q628" s="3528"/>
      <c r="R628" s="3528"/>
      <c r="S628" s="3528"/>
      <c r="T628" s="3528"/>
      <c r="U628" s="3528"/>
      <c r="V628" s="2244" t="s">
        <v>737</v>
      </c>
      <c r="W628" s="2709"/>
      <c r="X628" s="2709"/>
      <c r="Y628" s="2709"/>
      <c r="Z628" s="2709"/>
      <c r="AA628" s="2709"/>
      <c r="AB628" s="3258"/>
      <c r="AC628" s="2552"/>
      <c r="AD628" s="3619">
        <v>806.21</v>
      </c>
      <c r="AE628" s="3247">
        <v>806.21</v>
      </c>
      <c r="AF628" s="3247">
        <f t="shared" si="163"/>
        <v>833.48</v>
      </c>
      <c r="AG628" s="2724"/>
      <c r="AH628" s="2237"/>
      <c r="AI628" s="2244" t="s">
        <v>49</v>
      </c>
      <c r="AJ628" s="3506"/>
      <c r="AK628" s="3506"/>
      <c r="AL628" s="3506"/>
      <c r="AM628" s="3506"/>
      <c r="AN628" s="3506"/>
      <c r="AO628" s="2930"/>
      <c r="AP628" s="3761"/>
      <c r="AQ628" s="3762">
        <v>2</v>
      </c>
      <c r="AR628" s="3761">
        <v>2</v>
      </c>
      <c r="AS628" s="3761">
        <v>2</v>
      </c>
      <c r="AU628" s="2244" t="s">
        <v>50</v>
      </c>
      <c r="AV628" s="3524"/>
      <c r="AW628" s="3524"/>
      <c r="AX628" s="3524"/>
      <c r="AY628" s="3524"/>
      <c r="AZ628" s="3524"/>
      <c r="BA628" s="3523"/>
      <c r="BB628" s="3523"/>
      <c r="BC628" s="3589">
        <v>50</v>
      </c>
      <c r="BD628" s="3523">
        <v>50</v>
      </c>
      <c r="BE628" s="3523">
        <v>50</v>
      </c>
      <c r="CG628" s="2237"/>
      <c r="CH628" s="2237"/>
      <c r="CI628" s="2237"/>
      <c r="CJ628" s="2237"/>
      <c r="CW628" s="2237"/>
      <c r="CX628" s="2237"/>
      <c r="CY628" s="2237"/>
      <c r="CZ628" s="2237"/>
      <c r="DG628" s="2418" t="str">
        <f>IFERROR((DI628)/(DJ628),"n/a")</f>
        <v>n/a</v>
      </c>
      <c r="DH628" s="2423" t="str">
        <f t="shared" si="164"/>
        <v>Air Comp BUS 2 Year EUL</v>
      </c>
      <c r="DI628" s="3660">
        <f>(INDEX('Avoided Cost Benefits'!$B$4:$B$865,MATCH(DH628,'Avoided Cost Benefits'!$A$4:$A$865,0)))*F628</f>
        <v>110.70760644460388</v>
      </c>
      <c r="DJ628" s="2424">
        <f t="shared" si="165"/>
        <v>0</v>
      </c>
    </row>
    <row r="629" spans="1:114" s="3517" customFormat="1">
      <c r="B629" s="2208">
        <f t="shared" si="160"/>
        <v>805024</v>
      </c>
      <c r="C629" s="3499" t="s">
        <v>744</v>
      </c>
      <c r="D629" s="3509" t="str">
        <f t="shared" si="161"/>
        <v>BSS</v>
      </c>
      <c r="E629" s="3574" t="s">
        <v>745</v>
      </c>
      <c r="F629" s="3510">
        <f t="shared" si="166"/>
        <v>822.21</v>
      </c>
      <c r="G629" s="3503" t="s">
        <v>682</v>
      </c>
      <c r="H629" s="3511">
        <f>VLOOKUP(G629,'CP FACTORS'!$A$26:$B$38,2,FALSE)</f>
        <v>1.379439E-4</v>
      </c>
      <c r="I629" s="3769">
        <f t="shared" si="162"/>
        <v>0.11341900000000001</v>
      </c>
      <c r="J629" s="3692">
        <v>2</v>
      </c>
      <c r="K629" s="3576" t="s">
        <v>740</v>
      </c>
      <c r="L629" s="3717" t="s">
        <v>741</v>
      </c>
      <c r="M629" s="3528"/>
      <c r="N629" s="3528"/>
      <c r="O629" s="3528"/>
      <c r="P629" s="3528"/>
      <c r="Q629" s="3528"/>
      <c r="R629" s="3528"/>
      <c r="S629" s="3528"/>
      <c r="T629" s="3528"/>
      <c r="U629" s="3528"/>
      <c r="V629" s="2244" t="s">
        <v>737</v>
      </c>
      <c r="W629" s="2709"/>
      <c r="X629" s="2709"/>
      <c r="Y629" s="2709"/>
      <c r="Z629" s="2709"/>
      <c r="AA629" s="2709"/>
      <c r="AB629" s="3258"/>
      <c r="AC629" s="2552"/>
      <c r="AD629" s="3619">
        <v>901.06</v>
      </c>
      <c r="AE629" s="3247">
        <v>901.06</v>
      </c>
      <c r="AF629" s="3247">
        <f t="shared" si="163"/>
        <v>822.21</v>
      </c>
      <c r="AG629" s="2724"/>
      <c r="AH629" s="2237"/>
      <c r="AI629" s="2244" t="s">
        <v>49</v>
      </c>
      <c r="AJ629" s="3506"/>
      <c r="AK629" s="3506"/>
      <c r="AL629" s="3506"/>
      <c r="AM629" s="3506"/>
      <c r="AN629" s="3506"/>
      <c r="AO629" s="2930"/>
      <c r="AP629" s="3761"/>
      <c r="AQ629" s="3762">
        <v>2</v>
      </c>
      <c r="AR629" s="3761">
        <v>2</v>
      </c>
      <c r="AS629" s="3761">
        <v>2</v>
      </c>
      <c r="AU629" s="2244" t="s">
        <v>50</v>
      </c>
      <c r="AV629" s="3524"/>
      <c r="AW629" s="3524"/>
      <c r="AX629" s="3524"/>
      <c r="AY629" s="3524"/>
      <c r="AZ629" s="3524"/>
      <c r="BA629" s="3523"/>
      <c r="BB629" s="3523"/>
      <c r="BC629" s="3589">
        <v>50</v>
      </c>
      <c r="BD629" s="3523">
        <v>50</v>
      </c>
      <c r="BE629" s="3523">
        <v>50</v>
      </c>
      <c r="CG629" s="2237"/>
      <c r="CH629" s="2237"/>
      <c r="CI629" s="2237"/>
      <c r="CJ629" s="2237"/>
      <c r="CW629" s="2237"/>
      <c r="CX629" s="2237"/>
      <c r="CY629" s="2237"/>
      <c r="CZ629" s="2237"/>
      <c r="DG629" s="2418" t="str">
        <f t="shared" ref="DG629:DG633" si="167">IFERROR((DI629)/(DJ629),"n/a")</f>
        <v>n/a</v>
      </c>
      <c r="DH629" s="2423" t="str">
        <f t="shared" si="164"/>
        <v>Air Comp BUS 2 Year EUL</v>
      </c>
      <c r="DI629" s="3660">
        <f>(INDEX('Avoided Cost Benefits'!$B$4:$B$865,MATCH(DH629,'Avoided Cost Benefits'!$A$4:$A$865,0)))*F629</f>
        <v>109.2106602375795</v>
      </c>
      <c r="DJ629" s="2424">
        <f t="shared" si="165"/>
        <v>0</v>
      </c>
    </row>
    <row r="630" spans="1:114" s="3517" customFormat="1">
      <c r="B630" s="2208">
        <f t="shared" si="160"/>
        <v>805026</v>
      </c>
      <c r="C630" s="3499" t="s">
        <v>746</v>
      </c>
      <c r="D630" s="3509" t="str">
        <f t="shared" si="161"/>
        <v>BSS</v>
      </c>
      <c r="E630" s="3574" t="s">
        <v>747</v>
      </c>
      <c r="F630" s="3510">
        <f t="shared" si="166"/>
        <v>326.63</v>
      </c>
      <c r="G630" s="3503" t="s">
        <v>682</v>
      </c>
      <c r="H630" s="3511">
        <f>VLOOKUP(G630,'CP FACTORS'!$A$26:$B$38,2,FALSE)</f>
        <v>1.379439E-4</v>
      </c>
      <c r="I630" s="3769">
        <f t="shared" si="162"/>
        <v>4.5057E-2</v>
      </c>
      <c r="J630" s="3692">
        <v>2</v>
      </c>
      <c r="K630" s="3576" t="s">
        <v>740</v>
      </c>
      <c r="L630" s="3717" t="s">
        <v>741</v>
      </c>
      <c r="M630" s="3528"/>
      <c r="N630" s="3528"/>
      <c r="O630" s="3528"/>
      <c r="P630" s="3528"/>
      <c r="Q630" s="3528"/>
      <c r="R630" s="3528"/>
      <c r="S630" s="3528"/>
      <c r="T630" s="3528"/>
      <c r="U630" s="3528"/>
      <c r="V630" s="2244" t="s">
        <v>737</v>
      </c>
      <c r="W630" s="2709"/>
      <c r="X630" s="2709"/>
      <c r="Y630" s="2709"/>
      <c r="Z630" s="2709"/>
      <c r="AA630" s="2709"/>
      <c r="AB630" s="3258"/>
      <c r="AC630" s="2552"/>
      <c r="AD630" s="3619">
        <v>326.04000000000002</v>
      </c>
      <c r="AE630" s="3247">
        <v>326.04000000000002</v>
      </c>
      <c r="AF630" s="3247">
        <f t="shared" si="163"/>
        <v>326.63</v>
      </c>
      <c r="AG630" s="2724"/>
      <c r="AH630" s="2237"/>
      <c r="AI630" s="2244" t="s">
        <v>49</v>
      </c>
      <c r="AJ630" s="3506"/>
      <c r="AK630" s="3506"/>
      <c r="AL630" s="3506"/>
      <c r="AM630" s="3506"/>
      <c r="AN630" s="3506"/>
      <c r="AO630" s="2930"/>
      <c r="AP630" s="3761"/>
      <c r="AQ630" s="3762">
        <v>2</v>
      </c>
      <c r="AR630" s="3761">
        <v>2</v>
      </c>
      <c r="AS630" s="3761">
        <v>2</v>
      </c>
      <c r="AU630" s="2244" t="s">
        <v>50</v>
      </c>
      <c r="AV630" s="3524"/>
      <c r="AW630" s="3524"/>
      <c r="AX630" s="3524"/>
      <c r="AY630" s="3524"/>
      <c r="AZ630" s="3524"/>
      <c r="BA630" s="3523"/>
      <c r="BB630" s="3523"/>
      <c r="BC630" s="3589">
        <v>50</v>
      </c>
      <c r="BD630" s="3523">
        <v>50</v>
      </c>
      <c r="BE630" s="3523">
        <v>50</v>
      </c>
      <c r="CG630" s="2237"/>
      <c r="CH630" s="2237"/>
      <c r="CI630" s="2237"/>
      <c r="CJ630" s="2237"/>
      <c r="CW630" s="2237"/>
      <c r="CX630" s="2237"/>
      <c r="CY630" s="2237"/>
      <c r="CZ630" s="2237"/>
      <c r="DG630" s="2418" t="str">
        <f t="shared" si="167"/>
        <v>n/a</v>
      </c>
      <c r="DH630" s="2423" t="str">
        <f t="shared" si="164"/>
        <v>Air Comp BUS 2 Year EUL</v>
      </c>
      <c r="DI630" s="3660">
        <f>(INDEX('Avoided Cost Benefits'!$B$4:$B$865,MATCH(DH630,'Avoided Cost Benefits'!$A$4:$A$865,0)))*F630</f>
        <v>43.384874853626918</v>
      </c>
      <c r="DJ630" s="2424">
        <f t="shared" si="165"/>
        <v>0</v>
      </c>
    </row>
    <row r="631" spans="1:114" s="3517" customFormat="1">
      <c r="B631" s="2208">
        <f t="shared" si="160"/>
        <v>805028</v>
      </c>
      <c r="C631" s="3499" t="s">
        <v>748</v>
      </c>
      <c r="D631" s="3509" t="str">
        <f t="shared" si="161"/>
        <v>BSS</v>
      </c>
      <c r="E631" s="3574" t="s">
        <v>749</v>
      </c>
      <c r="F631" s="3510">
        <f t="shared" si="166"/>
        <v>833.48</v>
      </c>
      <c r="G631" s="3503" t="s">
        <v>682</v>
      </c>
      <c r="H631" s="3511">
        <f>VLOOKUP(G631,'CP FACTORS'!$A$26:$B$38,2,FALSE)</f>
        <v>1.379439E-4</v>
      </c>
      <c r="I631" s="3769">
        <f t="shared" si="162"/>
        <v>0.11497300000000001</v>
      </c>
      <c r="J631" s="3692">
        <v>2</v>
      </c>
      <c r="K631" s="3576" t="s">
        <v>740</v>
      </c>
      <c r="L631" s="3717" t="s">
        <v>741</v>
      </c>
      <c r="M631" s="3528"/>
      <c r="N631" s="3528"/>
      <c r="O631" s="3528"/>
      <c r="P631" s="3528"/>
      <c r="Q631" s="3528"/>
      <c r="R631" s="3528"/>
      <c r="S631" s="3528"/>
      <c r="T631" s="3528"/>
      <c r="U631" s="3528"/>
      <c r="V631" s="2244" t="s">
        <v>737</v>
      </c>
      <c r="W631" s="2709"/>
      <c r="X631" s="2709"/>
      <c r="Y631" s="2709"/>
      <c r="Z631" s="2709"/>
      <c r="AA631" s="2709"/>
      <c r="AB631" s="3258"/>
      <c r="AC631" s="2552"/>
      <c r="AD631" s="3619">
        <v>326.04000000000002</v>
      </c>
      <c r="AE631" s="3247">
        <v>326.04000000000002</v>
      </c>
      <c r="AF631" s="3247">
        <f t="shared" si="163"/>
        <v>833.48</v>
      </c>
      <c r="AG631" s="2724"/>
      <c r="AH631" s="2237"/>
      <c r="AI631" s="2244" t="s">
        <v>49</v>
      </c>
      <c r="AJ631" s="3506"/>
      <c r="AK631" s="3506"/>
      <c r="AL631" s="3506"/>
      <c r="AM631" s="3506"/>
      <c r="AN631" s="3506"/>
      <c r="AO631" s="2930"/>
      <c r="AP631" s="3761"/>
      <c r="AQ631" s="3762">
        <v>2</v>
      </c>
      <c r="AR631" s="3761">
        <v>2</v>
      </c>
      <c r="AS631" s="3761">
        <v>2</v>
      </c>
      <c r="AU631" s="2244" t="s">
        <v>50</v>
      </c>
      <c r="AV631" s="3524"/>
      <c r="AW631" s="3524"/>
      <c r="AX631" s="3524"/>
      <c r="AY631" s="3524"/>
      <c r="AZ631" s="3524"/>
      <c r="BA631" s="3523"/>
      <c r="BB631" s="3523"/>
      <c r="BC631" s="3589">
        <v>50</v>
      </c>
      <c r="BD631" s="3523">
        <v>50</v>
      </c>
      <c r="BE631" s="3523">
        <v>50</v>
      </c>
      <c r="CG631" s="2237"/>
      <c r="CH631" s="2237"/>
      <c r="CI631" s="2237"/>
      <c r="CJ631" s="2237"/>
      <c r="CW631" s="2237"/>
      <c r="CX631" s="2237"/>
      <c r="CY631" s="2237"/>
      <c r="CZ631" s="2237"/>
      <c r="DG631" s="2418" t="str">
        <f t="shared" si="167"/>
        <v>n/a</v>
      </c>
      <c r="DH631" s="2423" t="str">
        <f t="shared" si="164"/>
        <v>Air Comp BUS 2 Year EUL</v>
      </c>
      <c r="DI631" s="3660">
        <f>(INDEX('Avoided Cost Benefits'!$B$4:$B$865,MATCH(DH631,'Avoided Cost Benefits'!$A$4:$A$865,0)))*F631</f>
        <v>110.70760644460388</v>
      </c>
      <c r="DJ631" s="2424">
        <f t="shared" si="165"/>
        <v>0</v>
      </c>
    </row>
    <row r="632" spans="1:114" s="3517" customFormat="1">
      <c r="B632" s="2208">
        <f t="shared" si="160"/>
        <v>805030</v>
      </c>
      <c r="C632" s="3499" t="s">
        <v>750</v>
      </c>
      <c r="D632" s="3509" t="str">
        <f t="shared" si="161"/>
        <v>BSS</v>
      </c>
      <c r="E632" s="3574" t="s">
        <v>751</v>
      </c>
      <c r="F632" s="3510">
        <f t="shared" si="166"/>
        <v>675.79</v>
      </c>
      <c r="G632" s="3503" t="s">
        <v>682</v>
      </c>
      <c r="H632" s="3511">
        <f>VLOOKUP(G632,'CP FACTORS'!$A$26:$B$38,2,FALSE)</f>
        <v>1.379439E-4</v>
      </c>
      <c r="I632" s="3769">
        <f t="shared" si="162"/>
        <v>9.3220999999999998E-2</v>
      </c>
      <c r="J632" s="3692">
        <v>2</v>
      </c>
      <c r="K632" s="3576" t="s">
        <v>740</v>
      </c>
      <c r="L632" s="3717" t="s">
        <v>741</v>
      </c>
      <c r="M632" s="3528"/>
      <c r="N632" s="3528"/>
      <c r="O632" s="3528"/>
      <c r="P632" s="3528"/>
      <c r="Q632" s="3528"/>
      <c r="R632" s="3528"/>
      <c r="S632" s="3528"/>
      <c r="T632" s="3528"/>
      <c r="U632" s="3528"/>
      <c r="V632" s="2244" t="s">
        <v>737</v>
      </c>
      <c r="W632" s="2709"/>
      <c r="X632" s="2709"/>
      <c r="Y632" s="2709"/>
      <c r="Z632" s="2709"/>
      <c r="AA632" s="2709"/>
      <c r="AB632" s="3258"/>
      <c r="AC632" s="2552"/>
      <c r="AD632" s="3619">
        <v>906.98</v>
      </c>
      <c r="AE632" s="3247">
        <v>906.98</v>
      </c>
      <c r="AF632" s="3247">
        <f t="shared" si="163"/>
        <v>675.79</v>
      </c>
      <c r="AG632" s="2724"/>
      <c r="AH632" s="2237"/>
      <c r="AI632" s="2244" t="s">
        <v>49</v>
      </c>
      <c r="AJ632" s="3506"/>
      <c r="AK632" s="3506"/>
      <c r="AL632" s="3506"/>
      <c r="AM632" s="3506"/>
      <c r="AN632" s="3506"/>
      <c r="AO632" s="2930"/>
      <c r="AP632" s="3761"/>
      <c r="AQ632" s="3762">
        <v>2</v>
      </c>
      <c r="AR632" s="3761">
        <v>2</v>
      </c>
      <c r="AS632" s="3761">
        <v>2</v>
      </c>
      <c r="AU632" s="2244" t="s">
        <v>50</v>
      </c>
      <c r="AV632" s="3524"/>
      <c r="AW632" s="3524"/>
      <c r="AX632" s="3524"/>
      <c r="AY632" s="3524"/>
      <c r="AZ632" s="3524"/>
      <c r="BA632" s="3523"/>
      <c r="BB632" s="3523"/>
      <c r="BC632" s="3589">
        <v>50</v>
      </c>
      <c r="BD632" s="3523">
        <v>50</v>
      </c>
      <c r="BE632" s="3523">
        <v>50</v>
      </c>
      <c r="CG632" s="2237"/>
      <c r="CH632" s="2237"/>
      <c r="CI632" s="2237"/>
      <c r="CJ632" s="2237"/>
      <c r="CW632" s="2237"/>
      <c r="CX632" s="2237"/>
      <c r="CY632" s="2237"/>
      <c r="CZ632" s="2237"/>
      <c r="DG632" s="2418" t="str">
        <f t="shared" si="167"/>
        <v>n/a</v>
      </c>
      <c r="DH632" s="2423" t="str">
        <f t="shared" si="164"/>
        <v>Air Comp BUS 2 Year EUL</v>
      </c>
      <c r="DI632" s="3660">
        <f>(INDEX('Avoided Cost Benefits'!$B$4:$B$865,MATCH(DH632,'Avoided Cost Benefits'!$A$4:$A$865,0)))*F632</f>
        <v>89.762313863798596</v>
      </c>
      <c r="DJ632" s="2424">
        <f t="shared" si="165"/>
        <v>0</v>
      </c>
    </row>
    <row r="633" spans="1:114" s="3517" customFormat="1">
      <c r="B633" s="2208">
        <f t="shared" si="160"/>
        <v>805032</v>
      </c>
      <c r="C633" s="3499" t="s">
        <v>752</v>
      </c>
      <c r="D633" s="3509" t="str">
        <f t="shared" si="161"/>
        <v>BSS</v>
      </c>
      <c r="E633" s="3574" t="s">
        <v>753</v>
      </c>
      <c r="F633" s="3510">
        <f t="shared" si="166"/>
        <v>1092.53</v>
      </c>
      <c r="G633" s="3503" t="s">
        <v>682</v>
      </c>
      <c r="H633" s="3511">
        <f>VLOOKUP(G633,'CP FACTORS'!$A$26:$B$38,2,FALSE)</f>
        <v>1.379439E-4</v>
      </c>
      <c r="I633" s="3769">
        <f t="shared" si="162"/>
        <v>0.15070800000000001</v>
      </c>
      <c r="J633" s="3692">
        <v>2</v>
      </c>
      <c r="K633" s="3576" t="s">
        <v>740</v>
      </c>
      <c r="L633" s="3717" t="s">
        <v>741</v>
      </c>
      <c r="M633" s="3528"/>
      <c r="N633" s="3528"/>
      <c r="O633" s="3528"/>
      <c r="P633" s="3528"/>
      <c r="Q633" s="3528"/>
      <c r="R633" s="3528"/>
      <c r="S633" s="3528"/>
      <c r="T633" s="3528"/>
      <c r="U633" s="3528"/>
      <c r="V633" s="2244" t="s">
        <v>737</v>
      </c>
      <c r="W633" s="2709"/>
      <c r="X633" s="2709"/>
      <c r="Y633" s="2709"/>
      <c r="Z633" s="2709"/>
      <c r="AA633" s="2709"/>
      <c r="AB633" s="3258"/>
      <c r="AC633" s="2552"/>
      <c r="AD633" s="3619">
        <v>1055.18</v>
      </c>
      <c r="AE633" s="3247">
        <v>1055.18</v>
      </c>
      <c r="AF633" s="3247">
        <f t="shared" si="163"/>
        <v>1092.53</v>
      </c>
      <c r="AG633" s="2724"/>
      <c r="AH633" s="2237"/>
      <c r="AI633" s="2244" t="s">
        <v>49</v>
      </c>
      <c r="AJ633" s="3506"/>
      <c r="AK633" s="3506"/>
      <c r="AL633" s="3506"/>
      <c r="AM633" s="3506"/>
      <c r="AN633" s="3506"/>
      <c r="AO633" s="2930"/>
      <c r="AP633" s="3761"/>
      <c r="AQ633" s="3762">
        <v>2</v>
      </c>
      <c r="AR633" s="3761">
        <v>2</v>
      </c>
      <c r="AS633" s="3761">
        <v>2</v>
      </c>
      <c r="AU633" s="2244" t="s">
        <v>50</v>
      </c>
      <c r="AV633" s="3524"/>
      <c r="AW633" s="3524"/>
      <c r="AX633" s="3524"/>
      <c r="AY633" s="3524"/>
      <c r="AZ633" s="3524"/>
      <c r="BA633" s="3523"/>
      <c r="BB633" s="3523"/>
      <c r="BC633" s="3589">
        <v>50</v>
      </c>
      <c r="BD633" s="3523">
        <v>50</v>
      </c>
      <c r="BE633" s="3523">
        <v>50</v>
      </c>
      <c r="CG633" s="2237"/>
      <c r="CH633" s="2237"/>
      <c r="CI633" s="2237"/>
      <c r="CJ633" s="2237"/>
      <c r="CW633" s="2237"/>
      <c r="CX633" s="2237"/>
      <c r="CY633" s="2237"/>
      <c r="CZ633" s="2237"/>
      <c r="DG633" s="2418" t="str">
        <f t="shared" si="167"/>
        <v>n/a</v>
      </c>
      <c r="DH633" s="2423" t="str">
        <f t="shared" si="164"/>
        <v>Air Comp BUS 2 Year EUL</v>
      </c>
      <c r="DI633" s="3678">
        <f>(INDEX('Avoided Cost Benefits'!$B$4:$B$865,MATCH(DH633,'Avoided Cost Benefits'!$A$4:$A$865,0)))*F633</f>
        <v>145.11611708610053</v>
      </c>
      <c r="DJ633" s="2431">
        <f t="shared" si="165"/>
        <v>0</v>
      </c>
    </row>
    <row r="634" spans="1:114" s="3517" customFormat="1" outlineLevel="1">
      <c r="B634" s="3528"/>
      <c r="C634" s="3564"/>
      <c r="D634" s="2624" t="s">
        <v>118</v>
      </c>
      <c r="E634" s="2360" t="s">
        <v>754</v>
      </c>
      <c r="F634" s="3564"/>
      <c r="G634" s="3564"/>
      <c r="H634" s="3679"/>
      <c r="I634" s="3564"/>
      <c r="J634" s="3564"/>
      <c r="K634" s="3564"/>
      <c r="L634" s="3528"/>
      <c r="M634" s="3528"/>
      <c r="N634" s="3528"/>
      <c r="O634" s="3528"/>
      <c r="P634" s="3528"/>
      <c r="Q634" s="3528"/>
      <c r="R634" s="3528"/>
      <c r="S634" s="3528"/>
      <c r="T634" s="3528"/>
      <c r="U634" s="3528"/>
      <c r="AD634" s="3770"/>
      <c r="AE634" s="3770"/>
      <c r="AF634" s="3770"/>
      <c r="CG634" s="2237"/>
      <c r="CH634" s="2237"/>
      <c r="CI634" s="2237"/>
      <c r="CJ634" s="2237"/>
      <c r="CW634" s="2237"/>
      <c r="CX634" s="2237"/>
      <c r="CY634" s="2237"/>
      <c r="CZ634" s="2237"/>
      <c r="DG634" s="3551"/>
      <c r="DH634" s="3528"/>
      <c r="DI634" s="3528"/>
      <c r="DJ634" s="3552"/>
    </row>
    <row r="635" spans="1:114" s="3517" customFormat="1" outlineLevel="1">
      <c r="B635" s="3528"/>
      <c r="C635" s="3564"/>
      <c r="D635" s="3564" t="s">
        <v>120</v>
      </c>
      <c r="E635" s="3564"/>
      <c r="F635" s="3564"/>
      <c r="G635" s="3564"/>
      <c r="H635" s="3679"/>
      <c r="I635" s="3564"/>
      <c r="J635" s="3564"/>
      <c r="K635" s="3564"/>
      <c r="L635" s="3528"/>
      <c r="M635" s="3528"/>
      <c r="N635" s="3528"/>
      <c r="O635" s="3528"/>
      <c r="P635" s="3528"/>
      <c r="Q635" s="3528"/>
      <c r="R635" s="3528"/>
      <c r="S635" s="3528"/>
      <c r="T635" s="3528"/>
      <c r="U635" s="3528"/>
      <c r="AD635" s="3770"/>
      <c r="AE635" s="3770"/>
      <c r="AF635" s="3770"/>
      <c r="CG635" s="2237"/>
      <c r="CH635" s="2237"/>
      <c r="CI635" s="2237"/>
      <c r="CJ635" s="2237"/>
      <c r="CW635" s="2237"/>
      <c r="CX635" s="2237"/>
      <c r="CY635" s="2237"/>
      <c r="CZ635" s="2237"/>
      <c r="DG635" s="3551"/>
      <c r="DH635" s="3528"/>
      <c r="DI635" s="3528"/>
      <c r="DJ635" s="3552"/>
    </row>
    <row r="636" spans="1:114" s="3517" customFormat="1" outlineLevel="1">
      <c r="B636" s="3528"/>
      <c r="C636" s="3564"/>
      <c r="D636" s="3680"/>
      <c r="E636" s="3528"/>
      <c r="F636" s="3528"/>
      <c r="G636" s="3528"/>
      <c r="H636" s="3569"/>
      <c r="I636" s="3528"/>
      <c r="J636" s="3528"/>
      <c r="K636" s="3528"/>
      <c r="L636" s="3528"/>
      <c r="M636" s="3528"/>
      <c r="N636" s="3528"/>
      <c r="O636" s="3528"/>
      <c r="P636" s="3528"/>
      <c r="Q636" s="3528"/>
      <c r="R636" s="3528"/>
      <c r="S636" s="3528"/>
      <c r="T636" s="3528"/>
      <c r="U636" s="3528"/>
      <c r="CG636" s="2237"/>
      <c r="CH636" s="2237"/>
      <c r="CI636" s="2237"/>
      <c r="CJ636" s="2237"/>
      <c r="CW636" s="2237"/>
      <c r="CX636" s="2237"/>
      <c r="CY636" s="2237"/>
      <c r="CZ636" s="2237"/>
      <c r="DG636" s="3551"/>
      <c r="DH636" s="3528"/>
      <c r="DI636" s="3528"/>
      <c r="DJ636" s="3552"/>
    </row>
    <row r="637" spans="1:114" s="3517" customFormat="1" outlineLevel="1">
      <c r="B637" s="3528"/>
      <c r="C637" s="3564"/>
      <c r="D637" s="3680"/>
      <c r="E637" s="3528"/>
      <c r="F637" s="3528"/>
      <c r="G637" s="3528"/>
      <c r="H637" s="3569"/>
      <c r="I637" s="3528"/>
      <c r="J637" s="3528"/>
      <c r="K637" s="3528"/>
      <c r="L637" s="3528"/>
      <c r="M637" s="3528"/>
      <c r="N637" s="3528"/>
      <c r="O637" s="3528"/>
      <c r="P637" s="3528"/>
      <c r="Q637" s="3528"/>
      <c r="R637" s="3528"/>
      <c r="S637" s="3528"/>
      <c r="T637" s="3528"/>
      <c r="U637" s="3528"/>
      <c r="CG637" s="2237"/>
      <c r="CH637" s="2237"/>
      <c r="CI637" s="2237"/>
      <c r="CJ637" s="2237"/>
      <c r="CW637" s="2237"/>
      <c r="CX637" s="2237"/>
      <c r="CY637" s="2237"/>
      <c r="CZ637" s="2237"/>
      <c r="DG637" s="3551"/>
      <c r="DH637" s="3528"/>
      <c r="DI637" s="3528"/>
      <c r="DJ637" s="3552"/>
    </row>
    <row r="638" spans="1:114" s="3517" customFormat="1" outlineLevel="1">
      <c r="B638" s="3528"/>
      <c r="C638" s="3564"/>
      <c r="D638" s="3680"/>
      <c r="E638" s="3528"/>
      <c r="F638" s="3528"/>
      <c r="G638" s="3528"/>
      <c r="H638" s="3528"/>
      <c r="I638" s="3528"/>
      <c r="J638" s="3528"/>
      <c r="K638" s="3528"/>
      <c r="L638" s="3528"/>
      <c r="M638" s="3564"/>
      <c r="N638" s="3528"/>
      <c r="O638" s="3528"/>
      <c r="P638" s="3528"/>
      <c r="Q638" s="3528"/>
      <c r="R638" s="3528"/>
      <c r="S638" s="3528"/>
      <c r="T638" s="3528"/>
      <c r="U638" s="3528"/>
      <c r="CG638" s="2237"/>
      <c r="CH638" s="2237"/>
      <c r="CI638" s="2237"/>
      <c r="CJ638" s="2237"/>
      <c r="CW638" s="2237"/>
      <c r="CX638" s="2237"/>
      <c r="CY638" s="2237"/>
      <c r="CZ638" s="2237"/>
      <c r="DG638" s="3551"/>
      <c r="DH638" s="3528"/>
      <c r="DI638" s="3528"/>
      <c r="DJ638" s="3552"/>
    </row>
    <row r="639" spans="1:114" s="3517" customFormat="1" outlineLevel="1">
      <c r="B639" s="3528"/>
      <c r="C639" s="3564"/>
      <c r="D639" s="3680"/>
      <c r="E639" s="3528"/>
      <c r="F639" s="3528"/>
      <c r="G639" s="3528"/>
      <c r="H639" s="3528"/>
      <c r="I639" s="3528"/>
      <c r="J639" s="3528"/>
      <c r="K639" s="3528"/>
      <c r="L639" s="3528"/>
      <c r="M639" s="3564"/>
      <c r="N639" s="3528"/>
      <c r="O639" s="3528"/>
      <c r="P639" s="3528"/>
      <c r="Q639" s="3528"/>
      <c r="R639" s="3528"/>
      <c r="S639" s="3528"/>
      <c r="T639" s="3528"/>
      <c r="U639" s="3528"/>
      <c r="CG639" s="2237"/>
      <c r="CH639" s="2237"/>
      <c r="CI639" s="2237"/>
      <c r="CJ639" s="2237"/>
      <c r="CW639" s="2237"/>
      <c r="CX639" s="2237"/>
      <c r="CY639" s="2237"/>
      <c r="CZ639" s="2237"/>
      <c r="DG639" s="3551"/>
      <c r="DH639" s="3528"/>
      <c r="DI639" s="3528"/>
      <c r="DJ639" s="3552"/>
    </row>
    <row r="640" spans="1:114" s="3517" customFormat="1" outlineLevel="1">
      <c r="B640" s="3528"/>
      <c r="C640" s="3564"/>
      <c r="D640" s="3680"/>
      <c r="E640" s="3528"/>
      <c r="F640" s="3528"/>
      <c r="G640" s="3528"/>
      <c r="H640" s="3528"/>
      <c r="I640" s="3528"/>
      <c r="J640" s="3528"/>
      <c r="K640" s="3528"/>
      <c r="L640" s="3528"/>
      <c r="M640" s="3564"/>
      <c r="N640" s="3528"/>
      <c r="O640" s="3528"/>
      <c r="P640" s="3528"/>
      <c r="Q640" s="3528"/>
      <c r="R640" s="3528"/>
      <c r="S640" s="3528"/>
      <c r="T640" s="3528"/>
      <c r="U640" s="3528"/>
      <c r="CG640" s="2237"/>
      <c r="CH640" s="2237"/>
      <c r="CI640" s="2237"/>
      <c r="CJ640" s="2237"/>
      <c r="CW640" s="2237"/>
      <c r="CX640" s="2237"/>
      <c r="CY640" s="2237"/>
      <c r="CZ640" s="2237"/>
      <c r="DG640" s="3551"/>
      <c r="DH640" s="3528"/>
      <c r="DI640" s="3528"/>
      <c r="DJ640" s="3552"/>
    </row>
    <row r="641" spans="1:114" s="3517" customFormat="1" outlineLevel="1">
      <c r="B641" s="3528"/>
      <c r="C641" s="3564"/>
      <c r="D641" s="3680"/>
      <c r="E641" s="3528"/>
      <c r="F641" s="3528"/>
      <c r="G641" s="3528"/>
      <c r="H641" s="3528"/>
      <c r="I641" s="3528"/>
      <c r="J641" s="3528"/>
      <c r="K641" s="3528"/>
      <c r="L641" s="3528"/>
      <c r="M641" s="3528"/>
      <c r="N641" s="3528"/>
      <c r="O641" s="3528"/>
      <c r="P641" s="3528"/>
      <c r="Q641" s="3528"/>
      <c r="R641" s="3528"/>
      <c r="S641" s="3528"/>
      <c r="T641" s="3528"/>
      <c r="U641" s="3528"/>
      <c r="CG641" s="2237"/>
      <c r="CH641" s="2237"/>
      <c r="CI641" s="2237"/>
      <c r="CJ641" s="2237"/>
      <c r="CW641" s="2237"/>
      <c r="CX641" s="2237"/>
      <c r="CY641" s="2237"/>
      <c r="CZ641" s="2237"/>
      <c r="DG641" s="3551"/>
      <c r="DH641" s="3528"/>
      <c r="DI641" s="3528"/>
      <c r="DJ641" s="3552"/>
    </row>
    <row r="642" spans="1:114" s="3044" customFormat="1" ht="30" outlineLevel="1">
      <c r="A642" s="3517"/>
      <c r="B642" s="2697"/>
      <c r="C642" s="2086"/>
      <c r="D642" s="3682" t="s">
        <v>42</v>
      </c>
      <c r="E642" s="3682" t="s">
        <v>275</v>
      </c>
      <c r="F642" s="3756" t="s">
        <v>696</v>
      </c>
      <c r="G642" s="3682" t="s">
        <v>716</v>
      </c>
      <c r="H642" s="3682" t="s">
        <v>173</v>
      </c>
      <c r="I642" s="3682" t="s">
        <v>755</v>
      </c>
      <c r="J642" s="3745" t="s">
        <v>718</v>
      </c>
      <c r="K642" s="2697"/>
      <c r="L642" s="2697"/>
      <c r="M642" s="2697"/>
      <c r="N642" s="2697"/>
      <c r="O642" s="2697"/>
      <c r="P642" s="2697"/>
      <c r="Q642" s="2697"/>
      <c r="R642" s="2697"/>
      <c r="S642" s="2697"/>
      <c r="T642" s="2697"/>
      <c r="U642" s="2697"/>
      <c r="V642" s="2640" t="s">
        <v>52</v>
      </c>
      <c r="W642" s="2641">
        <f>$W$8</f>
        <v>43252</v>
      </c>
      <c r="X642" s="2641">
        <f>$X$8</f>
        <v>43465</v>
      </c>
      <c r="Y642" s="2641">
        <f>$Y$8</f>
        <v>43800</v>
      </c>
      <c r="Z642" s="2641">
        <f>$Z$8</f>
        <v>43862</v>
      </c>
      <c r="AA642" s="2641">
        <f>$AA$8</f>
        <v>44013</v>
      </c>
      <c r="AB642" s="2641">
        <v>44166</v>
      </c>
      <c r="AC642" s="2641">
        <f>$AC$8</f>
        <v>44531</v>
      </c>
      <c r="AD642" s="2641">
        <f>$AD$8</f>
        <v>44774</v>
      </c>
      <c r="AE642" s="2641">
        <f>$AE$8</f>
        <v>45142</v>
      </c>
      <c r="AF642" s="2641">
        <f>$AF$8</f>
        <v>45672</v>
      </c>
      <c r="AG642" s="2641" t="str">
        <f>$AG$8</f>
        <v>-</v>
      </c>
      <c r="DG642" s="3597"/>
      <c r="DH642" s="2697"/>
      <c r="DI642" s="2697"/>
      <c r="DJ642" s="3552"/>
    </row>
    <row r="643" spans="1:114" s="3517" customFormat="1" outlineLevel="1">
      <c r="B643" s="3528"/>
      <c r="C643" s="3564"/>
      <c r="D643" s="3598" t="str">
        <f>C627</f>
        <v>805020_2024_12_</v>
      </c>
      <c r="E643" s="3598" t="str">
        <f t="shared" ref="E643:E649" si="168">E627</f>
        <v>Leak Repair  (Reciprocating - On/off Control)</v>
      </c>
      <c r="F643" s="3771">
        <v>1</v>
      </c>
      <c r="G643" s="3772">
        <f t="shared" ref="G643:G649" si="169">0.19*J643</f>
        <v>0.19</v>
      </c>
      <c r="H643" s="3773">
        <v>5928</v>
      </c>
      <c r="I643" s="4013" t="s">
        <v>756</v>
      </c>
      <c r="J643" s="3774">
        <v>1</v>
      </c>
      <c r="K643" s="3528"/>
      <c r="L643" s="3528"/>
      <c r="M643" s="3528"/>
      <c r="N643" s="3528"/>
      <c r="O643" s="3528"/>
      <c r="P643" s="3528"/>
      <c r="Q643" s="3528"/>
      <c r="R643" s="3528"/>
      <c r="S643" s="3528"/>
      <c r="T643" s="3528"/>
      <c r="U643" s="3528"/>
      <c r="V643" s="2244" t="s">
        <v>718</v>
      </c>
      <c r="W643" s="3775"/>
      <c r="X643" s="3775"/>
      <c r="Y643" s="3775"/>
      <c r="Z643" s="3775"/>
      <c r="AA643" s="3775"/>
      <c r="AB643" s="3249"/>
      <c r="AC643" s="3776"/>
      <c r="AD643" s="3776"/>
      <c r="AE643" s="3776"/>
      <c r="AF643" s="3777">
        <v>1</v>
      </c>
      <c r="AG643" s="2413"/>
      <c r="CG643" s="2237"/>
      <c r="CH643" s="2237"/>
      <c r="CI643" s="2237"/>
      <c r="CJ643" s="2237"/>
      <c r="CW643" s="2237"/>
      <c r="CX643" s="2237"/>
      <c r="CY643" s="2237"/>
      <c r="CZ643" s="2237"/>
      <c r="DG643" s="3551"/>
      <c r="DH643" s="3528"/>
      <c r="DI643" s="3528"/>
      <c r="DJ643" s="3552"/>
    </row>
    <row r="644" spans="1:114" s="3517" customFormat="1" outlineLevel="1">
      <c r="B644" s="3528"/>
      <c r="C644" s="3564"/>
      <c r="D644" s="3598" t="str">
        <f t="shared" ref="D644:D649" si="170">C628</f>
        <v>805022_2024_12_</v>
      </c>
      <c r="E644" s="3598" t="str">
        <f t="shared" si="168"/>
        <v>Leak Repair (Reciprocating - Load/Unload)</v>
      </c>
      <c r="F644" s="3771">
        <v>1</v>
      </c>
      <c r="G644" s="3772">
        <f t="shared" si="169"/>
        <v>0.1406</v>
      </c>
      <c r="H644" s="3773">
        <v>5928</v>
      </c>
      <c r="I644" s="4014"/>
      <c r="J644" s="3774">
        <v>0.74</v>
      </c>
      <c r="K644" s="3528"/>
      <c r="L644" s="3528"/>
      <c r="M644" s="3528"/>
      <c r="N644" s="3528"/>
      <c r="O644" s="3528"/>
      <c r="P644" s="3528"/>
      <c r="Q644" s="3528"/>
      <c r="R644" s="3528"/>
      <c r="S644" s="3528"/>
      <c r="T644" s="3528"/>
      <c r="U644" s="3528"/>
      <c r="V644" s="2244" t="s">
        <v>718</v>
      </c>
      <c r="W644" s="3775"/>
      <c r="X644" s="3775"/>
      <c r="Y644" s="3775"/>
      <c r="Z644" s="3775"/>
      <c r="AA644" s="3775"/>
      <c r="AB644" s="3249"/>
      <c r="AC644" s="3776"/>
      <c r="AD644" s="3776"/>
      <c r="AE644" s="3776"/>
      <c r="AF644" s="3777">
        <v>0.74</v>
      </c>
      <c r="AG644" s="2413"/>
      <c r="CG644" s="2237"/>
      <c r="CH644" s="2237"/>
      <c r="CI644" s="2237"/>
      <c r="CJ644" s="2237"/>
      <c r="CW644" s="2237"/>
      <c r="CX644" s="2237"/>
      <c r="CY644" s="2237"/>
      <c r="CZ644" s="2237"/>
      <c r="DG644" s="3551"/>
      <c r="DH644" s="3528"/>
      <c r="DI644" s="3528"/>
      <c r="DJ644" s="3552"/>
    </row>
    <row r="645" spans="1:114" s="3517" customFormat="1" outlineLevel="1">
      <c r="B645" s="3528"/>
      <c r="C645" s="3564"/>
      <c r="D645" s="3598" t="str">
        <f t="shared" si="170"/>
        <v>805024_2024_12_</v>
      </c>
      <c r="E645" s="3598" t="str">
        <f t="shared" si="168"/>
        <v>Leak Repair (Screw - Load/Unload)</v>
      </c>
      <c r="F645" s="3771">
        <v>1</v>
      </c>
      <c r="G645" s="3772">
        <f t="shared" si="169"/>
        <v>0.13869999999999999</v>
      </c>
      <c r="H645" s="3773">
        <v>5928</v>
      </c>
      <c r="I645" s="4014"/>
      <c r="J645" s="3774">
        <v>0.73</v>
      </c>
      <c r="K645" s="3528"/>
      <c r="L645" s="3528"/>
      <c r="M645" s="3528"/>
      <c r="N645" s="3528"/>
      <c r="O645" s="3528"/>
      <c r="P645" s="3528"/>
      <c r="Q645" s="3528"/>
      <c r="R645" s="3528"/>
      <c r="S645" s="3528"/>
      <c r="T645" s="3528"/>
      <c r="U645" s="3528"/>
      <c r="V645" s="2244" t="s">
        <v>718</v>
      </c>
      <c r="W645" s="3775"/>
      <c r="X645" s="3775"/>
      <c r="Y645" s="3775"/>
      <c r="Z645" s="3775"/>
      <c r="AA645" s="3775"/>
      <c r="AB645" s="3249"/>
      <c r="AC645" s="3776"/>
      <c r="AD645" s="3776"/>
      <c r="AE645" s="3776"/>
      <c r="AF645" s="3777">
        <v>0.73</v>
      </c>
      <c r="AG645" s="2413"/>
      <c r="CG645" s="2237"/>
      <c r="CH645" s="2237"/>
      <c r="CI645" s="2237"/>
      <c r="CJ645" s="2237"/>
      <c r="CW645" s="2237"/>
      <c r="CX645" s="2237"/>
      <c r="CY645" s="2237"/>
      <c r="CZ645" s="2237"/>
      <c r="DG645" s="3551"/>
      <c r="DH645" s="3528"/>
      <c r="DI645" s="3528"/>
      <c r="DJ645" s="3552"/>
    </row>
    <row r="646" spans="1:114" s="3517" customFormat="1" outlineLevel="1">
      <c r="B646" s="3528"/>
      <c r="C646" s="3564"/>
      <c r="D646" s="3598" t="str">
        <f t="shared" si="170"/>
        <v>805026_2024_12_</v>
      </c>
      <c r="E646" s="3598" t="str">
        <f t="shared" si="168"/>
        <v>Leak Repair (Screw - Inlet Modulation)</v>
      </c>
      <c r="F646" s="3771">
        <v>1</v>
      </c>
      <c r="G646" s="3772">
        <f t="shared" si="169"/>
        <v>5.5099999999999996E-2</v>
      </c>
      <c r="H646" s="3773">
        <v>5928</v>
      </c>
      <c r="I646" s="4014"/>
      <c r="J646" s="3774">
        <v>0.28999999999999998</v>
      </c>
      <c r="K646" s="3528"/>
      <c r="L646" s="3528"/>
      <c r="M646" s="3528"/>
      <c r="N646" s="3528"/>
      <c r="O646" s="3528"/>
      <c r="P646" s="3528"/>
      <c r="Q646" s="3528"/>
      <c r="R646" s="3528"/>
      <c r="S646" s="3528"/>
      <c r="T646" s="3528"/>
      <c r="U646" s="3528"/>
      <c r="V646" s="2244" t="s">
        <v>718</v>
      </c>
      <c r="W646" s="3775"/>
      <c r="X646" s="3775"/>
      <c r="Y646" s="3775"/>
      <c r="Z646" s="3775"/>
      <c r="AA646" s="3775"/>
      <c r="AB646" s="3249"/>
      <c r="AC646" s="3776"/>
      <c r="AD646" s="3776"/>
      <c r="AE646" s="3776"/>
      <c r="AF646" s="3777">
        <v>0.28999999999999998</v>
      </c>
      <c r="AG646" s="2413"/>
      <c r="CG646" s="2237"/>
      <c r="CH646" s="2237"/>
      <c r="CI646" s="2237"/>
      <c r="CJ646" s="2237"/>
      <c r="CW646" s="2237"/>
      <c r="CX646" s="2237"/>
      <c r="CY646" s="2237"/>
      <c r="CZ646" s="2237"/>
      <c r="DG646" s="3551"/>
      <c r="DH646" s="3528"/>
      <c r="DI646" s="3528"/>
      <c r="DJ646" s="3552"/>
    </row>
    <row r="647" spans="1:114" s="3517" customFormat="1" outlineLevel="1">
      <c r="B647" s="3528"/>
      <c r="C647" s="3564"/>
      <c r="D647" s="3598" t="str">
        <f t="shared" si="170"/>
        <v>805028_2024_12_</v>
      </c>
      <c r="E647" s="3598" t="str">
        <f t="shared" si="168"/>
        <v>Leak Repair (Screw - Inlet Modulation w/ Blowdown)</v>
      </c>
      <c r="F647" s="3771">
        <v>1</v>
      </c>
      <c r="G647" s="3772">
        <f t="shared" si="169"/>
        <v>0.1406</v>
      </c>
      <c r="H647" s="3773">
        <v>5928</v>
      </c>
      <c r="I647" s="4014"/>
      <c r="J647" s="3774">
        <v>0.74</v>
      </c>
      <c r="K647" s="3528"/>
      <c r="L647" s="3528"/>
      <c r="M647" s="3528"/>
      <c r="N647" s="3528"/>
      <c r="O647" s="3528"/>
      <c r="P647" s="3528"/>
      <c r="Q647" s="3528"/>
      <c r="R647" s="3528"/>
      <c r="S647" s="3528"/>
      <c r="T647" s="3528"/>
      <c r="U647" s="3528"/>
      <c r="V647" s="2244" t="s">
        <v>718</v>
      </c>
      <c r="W647" s="3775"/>
      <c r="X647" s="3775"/>
      <c r="Y647" s="3775"/>
      <c r="Z647" s="3775"/>
      <c r="AA647" s="3775"/>
      <c r="AB647" s="3249"/>
      <c r="AC647" s="3776"/>
      <c r="AD647" s="3776"/>
      <c r="AE647" s="3776"/>
      <c r="AF647" s="3777">
        <v>0.74</v>
      </c>
      <c r="AG647" s="2413"/>
      <c r="CG647" s="2237"/>
      <c r="CH647" s="2237"/>
      <c r="CI647" s="2237"/>
      <c r="CJ647" s="2237"/>
      <c r="CW647" s="2237"/>
      <c r="CX647" s="2237"/>
      <c r="CY647" s="2237"/>
      <c r="CZ647" s="2237"/>
      <c r="DG647" s="3551"/>
      <c r="DH647" s="3528"/>
      <c r="DI647" s="3528"/>
      <c r="DJ647" s="3552"/>
    </row>
    <row r="648" spans="1:114" s="3517" customFormat="1" outlineLevel="1">
      <c r="B648" s="3528"/>
      <c r="C648" s="3564"/>
      <c r="D648" s="3598" t="str">
        <f t="shared" si="170"/>
        <v>805030_2024_12_</v>
      </c>
      <c r="E648" s="3598" t="str">
        <f t="shared" si="168"/>
        <v>Leak Repair (Screw - Variable Displacement)</v>
      </c>
      <c r="F648" s="3771">
        <v>1</v>
      </c>
      <c r="G648" s="3772">
        <f t="shared" si="169"/>
        <v>0.11399999999999999</v>
      </c>
      <c r="H648" s="3773">
        <v>5928</v>
      </c>
      <c r="I648" s="4014"/>
      <c r="J648" s="3774">
        <v>0.6</v>
      </c>
      <c r="K648" s="3528"/>
      <c r="L648" s="3528"/>
      <c r="M648" s="3528"/>
      <c r="N648" s="3528"/>
      <c r="O648" s="3528"/>
      <c r="P648" s="3528"/>
      <c r="Q648" s="3528"/>
      <c r="R648" s="3528"/>
      <c r="S648" s="3528"/>
      <c r="T648" s="3528"/>
      <c r="U648" s="3528"/>
      <c r="V648" s="2244" t="s">
        <v>718</v>
      </c>
      <c r="W648" s="3775"/>
      <c r="X648" s="3775"/>
      <c r="Y648" s="3775"/>
      <c r="Z648" s="3775"/>
      <c r="AA648" s="3775"/>
      <c r="AB648" s="3249"/>
      <c r="AC648" s="3776"/>
      <c r="AD648" s="3776"/>
      <c r="AE648" s="3776"/>
      <c r="AF648" s="3777">
        <v>0.6</v>
      </c>
      <c r="AG648" s="2413"/>
      <c r="CG648" s="2237"/>
      <c r="CH648" s="2237"/>
      <c r="CI648" s="2237"/>
      <c r="CJ648" s="2237"/>
      <c r="CW648" s="2237"/>
      <c r="CX648" s="2237"/>
      <c r="CY648" s="2237"/>
      <c r="CZ648" s="2237"/>
      <c r="DG648" s="3551"/>
      <c r="DH648" s="3528"/>
      <c r="DI648" s="3528"/>
      <c r="DJ648" s="3552"/>
    </row>
    <row r="649" spans="1:114" s="3517" customFormat="1" outlineLevel="1">
      <c r="B649" s="3528"/>
      <c r="C649" s="3564"/>
      <c r="D649" s="3598" t="str">
        <f t="shared" si="170"/>
        <v>805032_2024_12_</v>
      </c>
      <c r="E649" s="3598" t="str">
        <f t="shared" si="168"/>
        <v>Leak Repair  (Screw - VFD)</v>
      </c>
      <c r="F649" s="3771">
        <v>1</v>
      </c>
      <c r="G649" s="3772">
        <f t="shared" si="169"/>
        <v>0.18429999999999999</v>
      </c>
      <c r="H649" s="3773">
        <v>5928</v>
      </c>
      <c r="I649" s="4015"/>
      <c r="J649" s="3774">
        <v>0.97</v>
      </c>
      <c r="K649" s="3528"/>
      <c r="L649" s="3528"/>
      <c r="M649" s="3528"/>
      <c r="N649" s="3528"/>
      <c r="O649" s="3528"/>
      <c r="P649" s="3528"/>
      <c r="Q649" s="3528"/>
      <c r="R649" s="3528"/>
      <c r="S649" s="3528"/>
      <c r="T649" s="3528"/>
      <c r="U649" s="3528"/>
      <c r="V649" s="2244" t="s">
        <v>718</v>
      </c>
      <c r="W649" s="3775"/>
      <c r="X649" s="3775"/>
      <c r="Y649" s="3775"/>
      <c r="Z649" s="3775"/>
      <c r="AA649" s="3775"/>
      <c r="AB649" s="3249"/>
      <c r="AC649" s="3776"/>
      <c r="AD649" s="3776"/>
      <c r="AE649" s="3776"/>
      <c r="AF649" s="3777">
        <v>0.97</v>
      </c>
      <c r="AG649" s="2413"/>
      <c r="CG649" s="2237"/>
      <c r="CH649" s="2237"/>
      <c r="CI649" s="2237"/>
      <c r="CJ649" s="2237"/>
      <c r="CW649" s="2237"/>
      <c r="CX649" s="2237"/>
      <c r="CY649" s="2237"/>
      <c r="CZ649" s="2237"/>
      <c r="DG649" s="3551"/>
      <c r="DH649" s="3528"/>
      <c r="DI649" s="3528"/>
      <c r="DJ649" s="3552"/>
    </row>
    <row r="650" spans="1:114" s="3517" customFormat="1" outlineLevel="1">
      <c r="B650" s="3528"/>
      <c r="C650" s="3564"/>
      <c r="D650" s="3564"/>
      <c r="E650" s="3528"/>
      <c r="F650" s="3528"/>
      <c r="G650" s="3663"/>
      <c r="H650" s="3691"/>
      <c r="I650" s="3528"/>
      <c r="J650" s="3528"/>
      <c r="K650" s="3528"/>
      <c r="L650" s="3528"/>
      <c r="M650" s="3528"/>
      <c r="N650" s="3528"/>
      <c r="O650" s="3528"/>
      <c r="P650" s="3528"/>
      <c r="Q650" s="3528"/>
      <c r="R650" s="3528"/>
      <c r="S650" s="3528"/>
      <c r="T650" s="3528"/>
      <c r="U650" s="3528"/>
      <c r="CG650" s="2237"/>
      <c r="CH650" s="2237"/>
      <c r="CI650" s="2237"/>
      <c r="CJ650" s="2237"/>
      <c r="CW650" s="2237"/>
      <c r="CX650" s="2237"/>
      <c r="CY650" s="2237"/>
      <c r="CZ650" s="2237"/>
      <c r="DG650" s="3551"/>
      <c r="DH650" s="3528"/>
      <c r="DI650" s="3528"/>
      <c r="DJ650" s="3552"/>
    </row>
    <row r="651" spans="1:114" s="3517" customFormat="1">
      <c r="B651" s="3528"/>
      <c r="C651" s="3564"/>
      <c r="D651" s="3564"/>
      <c r="E651" s="3528"/>
      <c r="F651" s="3528"/>
      <c r="G651" s="3663"/>
      <c r="H651" s="3691"/>
      <c r="I651" s="3528"/>
      <c r="J651" s="3528"/>
      <c r="K651" s="3528"/>
      <c r="L651" s="3528"/>
      <c r="M651" s="3528"/>
      <c r="N651" s="3528"/>
      <c r="O651" s="3528"/>
      <c r="P651" s="3528"/>
      <c r="Q651" s="3528"/>
      <c r="R651" s="3528"/>
      <c r="S651" s="3528"/>
      <c r="T651" s="3528"/>
      <c r="U651" s="3528"/>
      <c r="CG651" s="2237"/>
      <c r="CH651" s="2237"/>
      <c r="CI651" s="2237"/>
      <c r="CJ651" s="2237"/>
      <c r="CW651" s="2237"/>
      <c r="CX651" s="2237"/>
      <c r="CY651" s="2237"/>
      <c r="CZ651" s="2237"/>
      <c r="DG651" s="3551"/>
      <c r="DH651" s="3528"/>
      <c r="DI651" s="3528"/>
      <c r="DJ651" s="3552"/>
    </row>
    <row r="652" spans="1:114" s="3517" customFormat="1">
      <c r="B652" s="3528"/>
      <c r="C652" s="3564"/>
      <c r="D652" s="3564"/>
      <c r="E652" s="3528"/>
      <c r="F652" s="3528"/>
      <c r="G652" s="3663"/>
      <c r="H652" s="3691"/>
      <c r="I652" s="3528"/>
      <c r="J652" s="3528"/>
      <c r="K652" s="3528"/>
      <c r="L652" s="3528"/>
      <c r="M652" s="3528"/>
      <c r="N652" s="3528"/>
      <c r="O652" s="3528"/>
      <c r="P652" s="3528"/>
      <c r="Q652" s="3528"/>
      <c r="R652" s="3528"/>
      <c r="S652" s="3528"/>
      <c r="T652" s="3528"/>
      <c r="U652" s="3528"/>
      <c r="CG652" s="2237"/>
      <c r="CH652" s="2237"/>
      <c r="CI652" s="2237"/>
      <c r="CJ652" s="2237"/>
      <c r="CW652" s="2237"/>
      <c r="CX652" s="2237"/>
      <c r="CY652" s="2237"/>
      <c r="CZ652" s="2237"/>
      <c r="DG652" s="3551"/>
      <c r="DH652" s="3528"/>
      <c r="DI652" s="3528"/>
      <c r="DJ652" s="3552"/>
    </row>
    <row r="653" spans="1:114" s="3564" customFormat="1">
      <c r="A653" s="3517"/>
      <c r="B653" s="3998" t="s">
        <v>757</v>
      </c>
      <c r="C653" s="3999"/>
      <c r="D653" s="3999"/>
      <c r="E653" s="3999"/>
      <c r="F653" s="3999"/>
      <c r="G653" s="3999"/>
      <c r="H653" s="3999"/>
      <c r="I653" s="4834"/>
      <c r="J653" s="4834"/>
      <c r="K653" s="4834"/>
      <c r="L653" s="4834"/>
      <c r="M653" s="4835"/>
      <c r="N653" s="4835"/>
      <c r="O653" s="4836"/>
      <c r="V653" s="2203" t="str">
        <f>B653</f>
        <v>Combination Oven</v>
      </c>
      <c r="W653" s="2204"/>
      <c r="X653" s="2204"/>
      <c r="Y653" s="2204"/>
      <c r="Z653" s="2204"/>
      <c r="AA653" s="2204"/>
      <c r="AB653" s="2204"/>
      <c r="AC653" s="2204"/>
      <c r="AD653" s="2204"/>
      <c r="AE653" s="2204"/>
      <c r="AF653" s="2204"/>
      <c r="AG653" s="2204"/>
      <c r="AH653" s="2204"/>
      <c r="AI653" s="3474"/>
      <c r="AJ653" s="3517"/>
      <c r="AK653" s="3517"/>
      <c r="AL653" s="3517"/>
      <c r="AM653" s="3517"/>
      <c r="AN653" s="3517"/>
      <c r="AO653" s="3517"/>
      <c r="AP653" s="3517"/>
      <c r="AQ653" s="3517"/>
      <c r="AR653" s="3517"/>
      <c r="AS653" s="3517"/>
      <c r="AT653" s="3517"/>
      <c r="AU653" s="3517"/>
      <c r="DG653" s="3669"/>
      <c r="DJ653" s="3567"/>
    </row>
    <row r="654" spans="1:114" s="3517" customFormat="1">
      <c r="B654" s="3528"/>
      <c r="C654" s="3564"/>
      <c r="D654" s="3670"/>
      <c r="E654" s="3564"/>
      <c r="F654" s="3564"/>
      <c r="G654" s="3564"/>
      <c r="H654" s="3671"/>
      <c r="I654" s="3564"/>
      <c r="J654" s="3564"/>
      <c r="K654" s="3564"/>
      <c r="L654" s="3564"/>
      <c r="M654" s="3528"/>
      <c r="N654" s="3528"/>
      <c r="O654" s="3528"/>
      <c r="P654" s="3564"/>
      <c r="Q654" s="3564"/>
      <c r="R654" s="3564"/>
      <c r="S654" s="3564"/>
      <c r="T654" s="3564"/>
      <c r="U654" s="3564"/>
      <c r="V654" s="2237"/>
      <c r="W654" s="2237"/>
      <c r="X654" s="2237"/>
      <c r="Y654" s="2237"/>
      <c r="Z654" s="2237"/>
      <c r="AA654" s="2237"/>
      <c r="AB654" s="2237"/>
      <c r="AC654" s="2237"/>
      <c r="AD654" s="2237"/>
      <c r="AE654" s="2237"/>
      <c r="AF654" s="2237"/>
      <c r="AG654" s="2237"/>
      <c r="AH654" s="2237"/>
      <c r="AI654" s="2237"/>
      <c r="AJ654" s="2723"/>
      <c r="AK654" s="2723"/>
      <c r="AL654" s="2723"/>
      <c r="AM654" s="2723"/>
      <c r="AN654" s="2723"/>
      <c r="AO654" s="2723"/>
      <c r="AP654" s="2723"/>
      <c r="AQ654" s="2723"/>
      <c r="AR654" s="2723"/>
      <c r="AS654" s="2723"/>
      <c r="AT654" s="2723"/>
      <c r="AU654" s="2723"/>
      <c r="CG654" s="2237"/>
      <c r="CH654" s="2237"/>
      <c r="CI654" s="2237"/>
      <c r="CJ654" s="2237"/>
      <c r="CW654" s="2237"/>
      <c r="CX654" s="2237"/>
      <c r="CY654" s="2237"/>
      <c r="CZ654" s="2237"/>
      <c r="DG654" s="3551"/>
      <c r="DH654" s="3528"/>
      <c r="DI654" s="3528"/>
      <c r="DJ654" s="3552"/>
    </row>
    <row r="655" spans="1:114" s="3044" customFormat="1" ht="30">
      <c r="A655" s="3517"/>
      <c r="B655" s="2086"/>
      <c r="C655" s="3570" t="s">
        <v>42</v>
      </c>
      <c r="D655" s="3570" t="s">
        <v>43</v>
      </c>
      <c r="E655" s="2280" t="s">
        <v>44</v>
      </c>
      <c r="F655" s="2280" t="s">
        <v>45</v>
      </c>
      <c r="G655" s="2280" t="s">
        <v>46</v>
      </c>
      <c r="H655" s="3571" t="s">
        <v>47</v>
      </c>
      <c r="I655" s="2280" t="s">
        <v>48</v>
      </c>
      <c r="J655" s="2280" t="s">
        <v>49</v>
      </c>
      <c r="K655" s="3570" t="s">
        <v>50</v>
      </c>
      <c r="L655" s="3570" t="s">
        <v>51</v>
      </c>
      <c r="M655" s="3528"/>
      <c r="N655" s="3528"/>
      <c r="O655" s="3528"/>
      <c r="P655" s="2697"/>
      <c r="Q655" s="2697"/>
      <c r="R655" s="2697"/>
      <c r="S655" s="2697"/>
      <c r="T655" s="2697"/>
      <c r="U655" s="2697"/>
      <c r="V655" s="2640" t="s">
        <v>52</v>
      </c>
      <c r="W655" s="2641">
        <f>$W$8</f>
        <v>43252</v>
      </c>
      <c r="X655" s="2641">
        <f>$X$8</f>
        <v>43465</v>
      </c>
      <c r="Y655" s="2641">
        <f>$Y$8</f>
        <v>43800</v>
      </c>
      <c r="Z655" s="2641">
        <f>$Z$8</f>
        <v>43862</v>
      </c>
      <c r="AA655" s="2641">
        <f>$AA$8</f>
        <v>44013</v>
      </c>
      <c r="AB655" s="2641">
        <v>44166</v>
      </c>
      <c r="AC655" s="2641">
        <f>$AC$8</f>
        <v>44531</v>
      </c>
      <c r="AD655" s="2641">
        <f>$AD$8</f>
        <v>44774</v>
      </c>
      <c r="AE655" s="2641">
        <f>$AE$8</f>
        <v>45142</v>
      </c>
      <c r="AF655" s="2641">
        <f>$AF$8</f>
        <v>45672</v>
      </c>
      <c r="AG655" s="2641" t="str">
        <f>$AG$8</f>
        <v>-</v>
      </c>
      <c r="AH655" s="2237"/>
      <c r="AI655" s="2640" t="s">
        <v>52</v>
      </c>
      <c r="AJ655" s="2641">
        <v>43252</v>
      </c>
      <c r="AK655" s="2641">
        <f>$X$8</f>
        <v>43465</v>
      </c>
      <c r="AL655" s="2641">
        <f>$Y$8</f>
        <v>43800</v>
      </c>
      <c r="AM655" s="2641">
        <f>$Z$8</f>
        <v>43862</v>
      </c>
      <c r="AN655" s="2641">
        <f>$AA$8</f>
        <v>44013</v>
      </c>
      <c r="AO655" s="2641">
        <f>$AB$8</f>
        <v>44166</v>
      </c>
      <c r="AP655" s="2641">
        <f>$AC$8</f>
        <v>44531</v>
      </c>
      <c r="AQ655" s="2641">
        <f>$AD$8</f>
        <v>44774</v>
      </c>
      <c r="AR655" s="2641">
        <f>$AE$8</f>
        <v>45142</v>
      </c>
      <c r="AS655" s="2641">
        <f>$AF$8</f>
        <v>45672</v>
      </c>
      <c r="AT655" s="3517"/>
      <c r="AU655" s="2640" t="s">
        <v>52</v>
      </c>
      <c r="AV655" s="2641">
        <v>43252</v>
      </c>
      <c r="AW655" s="2641">
        <f>$X$8</f>
        <v>43465</v>
      </c>
      <c r="AX655" s="2641">
        <f>$Y$8</f>
        <v>43800</v>
      </c>
      <c r="AY655" s="2641">
        <f>$Z$8</f>
        <v>43862</v>
      </c>
      <c r="AZ655" s="2641">
        <f>$AA$8</f>
        <v>44013</v>
      </c>
      <c r="BA655" s="2641">
        <v>44166</v>
      </c>
      <c r="BB655" s="2641">
        <f>$AC$8</f>
        <v>44531</v>
      </c>
      <c r="BC655" s="2641">
        <f>$AD$8</f>
        <v>44774</v>
      </c>
      <c r="BD655" s="2641">
        <f>$AE$8</f>
        <v>45142</v>
      </c>
      <c r="BE655" s="2641">
        <f>$AF$8</f>
        <v>45672</v>
      </c>
      <c r="DG655" s="2749" t="str">
        <f>$DG$8</f>
        <v>TRC (2025)</v>
      </c>
      <c r="DH655" s="2750" t="str">
        <f>$DH$8</f>
        <v>Benefit Lookup</v>
      </c>
      <c r="DI655" s="2750" t="str">
        <f>$DI$8</f>
        <v>Benefits (2025 $)</v>
      </c>
      <c r="DJ655" s="3572" t="str">
        <f>$DJ$8</f>
        <v>Incremental Cost (2025 $)</v>
      </c>
    </row>
    <row r="656" spans="1:114" s="3517" customFormat="1">
      <c r="B656" s="2208">
        <f t="shared" ref="B656:B657" si="171">VALUE(LEFT(C656,6))</f>
        <v>805050</v>
      </c>
      <c r="C656" s="3499" t="s">
        <v>758</v>
      </c>
      <c r="D656" s="3509" t="str">
        <f t="shared" ref="D656:D657" si="172">$D$98</f>
        <v>BSS</v>
      </c>
      <c r="E656" s="3639" t="s">
        <v>759</v>
      </c>
      <c r="F656" s="3613">
        <f>ROUND(((F669*(G669/H669-G669/I669)*J669)+(F669*(K669/L669-K669/M669)*N669)+((O669*((F673-F669/G673)*J669))-(I673*((F673-F669/L673)*J669)))+((P669*((F673-F669/H673)*N669))-(M673*((F673-F669/K673)*N669)))+Q669)*N673/1000,2)</f>
        <v>6506.42</v>
      </c>
      <c r="G656" s="3503" t="s">
        <v>407</v>
      </c>
      <c r="H656" s="3511">
        <f>VLOOKUP(G656,'CP FACTORS'!$A$26:$B$38,2,FALSE)</f>
        <v>1.998949E-4</v>
      </c>
      <c r="I656" s="3769">
        <f>ROUND(H656*F656,6)</f>
        <v>1.3006</v>
      </c>
      <c r="J656" s="3112">
        <v>12</v>
      </c>
      <c r="K656" s="3625">
        <v>1628</v>
      </c>
      <c r="L656" s="3717" t="s">
        <v>62</v>
      </c>
      <c r="M656" s="3528"/>
      <c r="N656" s="3528"/>
      <c r="O656" s="3528"/>
      <c r="P656" s="3528"/>
      <c r="Q656" s="3528"/>
      <c r="R656" s="3528"/>
      <c r="S656" s="3528"/>
      <c r="T656" s="3528"/>
      <c r="U656" s="3528"/>
      <c r="V656" s="2244" t="s">
        <v>45</v>
      </c>
      <c r="W656" s="3702">
        <v>6372.3047989987854</v>
      </c>
      <c r="X656" s="3702">
        <v>6372.3047989987854</v>
      </c>
      <c r="Y656" s="3702">
        <v>6372.3047989987854</v>
      </c>
      <c r="Z656" s="3702">
        <v>6372.3047989987854</v>
      </c>
      <c r="AA656" s="3702">
        <v>6372.3047989987854</v>
      </c>
      <c r="AB656" s="3618">
        <v>6372.3</v>
      </c>
      <c r="AC656" s="3619">
        <v>6372.3</v>
      </c>
      <c r="AD656" s="3619">
        <v>6372.3</v>
      </c>
      <c r="AE656" s="3619">
        <v>6372.3</v>
      </c>
      <c r="AF656" s="3619">
        <f>F656</f>
        <v>6506.42</v>
      </c>
      <c r="AG656" s="2413"/>
      <c r="AH656" s="2237"/>
      <c r="AI656" s="2244" t="s">
        <v>49</v>
      </c>
      <c r="AJ656" s="3506">
        <v>12</v>
      </c>
      <c r="AK656" s="3506">
        <v>12</v>
      </c>
      <c r="AL656" s="3506">
        <v>12</v>
      </c>
      <c r="AM656" s="3506">
        <v>12</v>
      </c>
      <c r="AN656" s="3506">
        <v>12</v>
      </c>
      <c r="AO656" s="3518">
        <v>12</v>
      </c>
      <c r="AP656" s="3518">
        <v>12</v>
      </c>
      <c r="AQ656" s="3518">
        <v>12</v>
      </c>
      <c r="AR656" s="3518">
        <v>12</v>
      </c>
      <c r="AS656" s="3518">
        <v>12</v>
      </c>
      <c r="AU656" s="2244" t="s">
        <v>50</v>
      </c>
      <c r="AV656" s="3521">
        <v>4300</v>
      </c>
      <c r="AW656" s="3521">
        <v>4300</v>
      </c>
      <c r="AX656" s="3521">
        <v>4300</v>
      </c>
      <c r="AY656" s="3521">
        <v>4300</v>
      </c>
      <c r="AZ656" s="3521">
        <v>4300</v>
      </c>
      <c r="BA656" s="3522">
        <v>4300</v>
      </c>
      <c r="BB656" s="3522">
        <v>4300</v>
      </c>
      <c r="BC656" s="3522">
        <v>4300</v>
      </c>
      <c r="BD656" s="3522">
        <v>4300</v>
      </c>
      <c r="BE656" s="3522">
        <v>4300</v>
      </c>
      <c r="CG656" s="2237"/>
      <c r="CH656" s="2237"/>
      <c r="CI656" s="2237"/>
      <c r="CJ656" s="2237"/>
      <c r="CW656" s="2237"/>
      <c r="CX656" s="2237"/>
      <c r="CY656" s="2237"/>
      <c r="CZ656" s="2237"/>
      <c r="DG656" s="2418">
        <f>(DI656)/(DJ656)</f>
        <v>2.815608314514535</v>
      </c>
      <c r="DH656" s="2419" t="str">
        <f>CONCATENATE(G656," ",J656," Year EUL")</f>
        <v>Cooking BUS 12 Year EUL</v>
      </c>
      <c r="DI656" s="3677">
        <f>(INDEX('Avoided Cost Benefits'!$B$4:$B$865,MATCH(DH656,'Avoided Cost Benefits'!$A$4:$A$865,0)))*F656</f>
        <v>4583.8103360296627</v>
      </c>
      <c r="DJ656" s="2421">
        <f>K656/(1.0686^(2025-2025))</f>
        <v>1628</v>
      </c>
    </row>
    <row r="657" spans="1:114" s="3517" customFormat="1">
      <c r="B657" s="2208">
        <f t="shared" si="171"/>
        <v>805100</v>
      </c>
      <c r="C657" s="3499" t="s">
        <v>760</v>
      </c>
      <c r="D657" s="3509" t="str">
        <f t="shared" si="172"/>
        <v>BSS</v>
      </c>
      <c r="E657" s="3639" t="s">
        <v>761</v>
      </c>
      <c r="F657" s="3613">
        <f>ROUND(((F670*(G670/H670-G670/I670)*J670)+(F670*(K670/L670-K670/M670)*N670)+((O670*((F674-F670/G674)*J670))-(I674*((F674-F670/L674)*J670)))+((P670*((F674-F670/H674)*N670))-(M674*((F674-F670/K674)*N670)))+Q670)*N674/1000,2)</f>
        <v>1582.27</v>
      </c>
      <c r="G657" s="3503" t="s">
        <v>407</v>
      </c>
      <c r="H657" s="3511">
        <f>VLOOKUP(G657,'CP FACTORS'!$A$26:$B$38,2,FALSE)</f>
        <v>1.998949E-4</v>
      </c>
      <c r="I657" s="3769">
        <f>ROUND(H657*F657,6)</f>
        <v>0.31628800000000001</v>
      </c>
      <c r="J657" s="2687">
        <v>12</v>
      </c>
      <c r="K657" s="3625">
        <v>565</v>
      </c>
      <c r="L657" s="3717" t="s">
        <v>62</v>
      </c>
      <c r="M657" s="3528"/>
      <c r="N657" s="3528"/>
      <c r="O657" s="3528"/>
      <c r="P657" s="3528"/>
      <c r="Q657" s="3528"/>
      <c r="R657" s="3528"/>
      <c r="S657" s="3528"/>
      <c r="T657" s="3528"/>
      <c r="U657" s="3528"/>
      <c r="V657" s="2244" t="s">
        <v>45</v>
      </c>
      <c r="W657" s="3702">
        <v>11743.624493752814</v>
      </c>
      <c r="X657" s="3702">
        <v>11743.624493752814</v>
      </c>
      <c r="Y657" s="3702">
        <v>11743.624493752814</v>
      </c>
      <c r="Z657" s="3702">
        <v>11743.624493752814</v>
      </c>
      <c r="AA657" s="3702">
        <v>11743.624493752814</v>
      </c>
      <c r="AB657" s="3618">
        <v>11743.62</v>
      </c>
      <c r="AC657" s="3619">
        <v>11743.62</v>
      </c>
      <c r="AD657" s="3619">
        <v>11743.62</v>
      </c>
      <c r="AE657" s="3619">
        <v>11743.62</v>
      </c>
      <c r="AF657" s="3619">
        <f>F657</f>
        <v>1582.27</v>
      </c>
      <c r="AG657" s="2413"/>
      <c r="AH657" s="2237"/>
      <c r="AI657" s="2244" t="s">
        <v>49</v>
      </c>
      <c r="AJ657" s="3506">
        <v>12</v>
      </c>
      <c r="AK657" s="3506">
        <v>12</v>
      </c>
      <c r="AL657" s="3506">
        <v>12</v>
      </c>
      <c r="AM657" s="3506">
        <v>12</v>
      </c>
      <c r="AN657" s="3506">
        <v>12</v>
      </c>
      <c r="AO657" s="3518">
        <v>12</v>
      </c>
      <c r="AP657" s="3518">
        <v>12</v>
      </c>
      <c r="AQ657" s="3518">
        <v>12</v>
      </c>
      <c r="AR657" s="3518">
        <v>12</v>
      </c>
      <c r="AS657" s="3518">
        <v>12</v>
      </c>
      <c r="AU657" s="2244" t="s">
        <v>50</v>
      </c>
      <c r="AV657" s="3521">
        <v>4300</v>
      </c>
      <c r="AW657" s="3521">
        <v>4300</v>
      </c>
      <c r="AX657" s="3521">
        <v>4300</v>
      </c>
      <c r="AY657" s="3521">
        <v>4300</v>
      </c>
      <c r="AZ657" s="3521">
        <v>4300</v>
      </c>
      <c r="BA657" s="3522">
        <v>4300</v>
      </c>
      <c r="BB657" s="3522">
        <v>4300</v>
      </c>
      <c r="BC657" s="3522">
        <v>4300</v>
      </c>
      <c r="BD657" s="3522">
        <v>4300</v>
      </c>
      <c r="BE657" s="3522">
        <v>4300</v>
      </c>
      <c r="CG657" s="2237"/>
      <c r="CH657" s="2237"/>
      <c r="CI657" s="2237"/>
      <c r="CJ657" s="2237"/>
      <c r="CW657" s="2237"/>
      <c r="CX657" s="2237"/>
      <c r="CY657" s="2237"/>
      <c r="CZ657" s="2237"/>
      <c r="DG657" s="2429">
        <f>(DI657)/(DJ657)</f>
        <v>1.9729527811481542</v>
      </c>
      <c r="DH657" s="2423" t="str">
        <f>CONCATENATE(G657," ",J657," Year EUL")</f>
        <v>Cooking BUS 12 Year EUL</v>
      </c>
      <c r="DI657" s="3678">
        <f>(INDEX('Avoided Cost Benefits'!$B$4:$B$865,MATCH(DH657,'Avoided Cost Benefits'!$A$4:$A$865,0)))*F657</f>
        <v>1114.7183213487071</v>
      </c>
      <c r="DJ657" s="2431">
        <f>K657/(1.0686^(2025-2025))</f>
        <v>565</v>
      </c>
    </row>
    <row r="658" spans="1:114" s="3517" customFormat="1" outlineLevel="1">
      <c r="C658" s="3564"/>
      <c r="D658" s="2624" t="s">
        <v>118</v>
      </c>
      <c r="E658" s="2360" t="s">
        <v>762</v>
      </c>
      <c r="F658" s="3778"/>
      <c r="G658" s="3564"/>
      <c r="H658" s="3679"/>
      <c r="I658" s="3564"/>
      <c r="J658" s="3564"/>
      <c r="K658" s="3564"/>
      <c r="L658" s="3528"/>
      <c r="M658" s="3528"/>
      <c r="N658" s="3528"/>
      <c r="O658" s="3528"/>
      <c r="P658" s="3528"/>
      <c r="Q658" s="3528"/>
      <c r="R658" s="3528"/>
      <c r="S658" s="3528"/>
      <c r="T658" s="3528"/>
      <c r="U658" s="3528"/>
      <c r="CG658" s="2237"/>
      <c r="CH658" s="2237"/>
      <c r="CI658" s="2237"/>
      <c r="CJ658" s="2237"/>
      <c r="CW658" s="2237"/>
      <c r="CX658" s="2237"/>
      <c r="CY658" s="2237"/>
      <c r="CZ658" s="2237"/>
      <c r="DG658" s="3551"/>
      <c r="DH658" s="3528"/>
      <c r="DI658" s="3528"/>
      <c r="DJ658" s="3552"/>
    </row>
    <row r="659" spans="1:114" s="3517" customFormat="1" outlineLevel="1">
      <c r="C659" s="3564"/>
      <c r="D659" s="3564" t="s">
        <v>120</v>
      </c>
      <c r="E659" s="2086" t="s">
        <v>763</v>
      </c>
      <c r="F659" s="3778"/>
      <c r="G659" s="3564"/>
      <c r="H659" s="3679"/>
      <c r="I659" s="3564"/>
      <c r="J659" s="3564"/>
      <c r="K659" s="2086"/>
      <c r="L659" s="3528"/>
      <c r="M659" s="3528"/>
      <c r="N659" s="3528"/>
      <c r="O659" s="3528"/>
      <c r="P659" s="3528"/>
      <c r="Q659" s="3528"/>
      <c r="R659" s="3528"/>
      <c r="S659" s="3528"/>
      <c r="T659" s="3528"/>
      <c r="U659" s="3528"/>
      <c r="CG659" s="2237"/>
      <c r="CH659" s="2237"/>
      <c r="CI659" s="2237"/>
      <c r="CJ659" s="2237"/>
      <c r="CW659" s="2237"/>
      <c r="CX659" s="2237"/>
      <c r="CY659" s="2237"/>
      <c r="CZ659" s="2237"/>
      <c r="DG659" s="3551"/>
      <c r="DH659" s="3528"/>
      <c r="DI659" s="3528"/>
      <c r="DJ659" s="3552"/>
    </row>
    <row r="660" spans="1:114" s="3517" customFormat="1" outlineLevel="1">
      <c r="C660" s="3564"/>
      <c r="D660" s="3680"/>
      <c r="E660" s="2086"/>
      <c r="F660" s="2086"/>
      <c r="G660" s="3528"/>
      <c r="H660" s="3569"/>
      <c r="I660" s="3528"/>
      <c r="J660" s="3528"/>
      <c r="K660" s="3528"/>
      <c r="L660" s="3528"/>
      <c r="M660" s="3528"/>
      <c r="N660" s="3528"/>
      <c r="O660" s="3528"/>
      <c r="P660" s="3528"/>
      <c r="Q660" s="3528"/>
      <c r="R660" s="3528"/>
      <c r="S660" s="3528"/>
      <c r="T660" s="3528"/>
      <c r="U660" s="3528"/>
      <c r="CG660" s="2237"/>
      <c r="CH660" s="2237"/>
      <c r="CI660" s="2237"/>
      <c r="CJ660" s="2237"/>
      <c r="CW660" s="2237"/>
      <c r="CX660" s="2237"/>
      <c r="CY660" s="2237"/>
      <c r="CZ660" s="2237"/>
      <c r="DG660" s="3551"/>
      <c r="DH660" s="3528"/>
      <c r="DI660" s="3528"/>
      <c r="DJ660" s="3552"/>
    </row>
    <row r="661" spans="1:114" s="3517" customFormat="1" outlineLevel="1">
      <c r="C661" s="3564"/>
      <c r="D661" s="3680"/>
      <c r="E661" s="2086"/>
      <c r="F661" s="2086"/>
      <c r="G661" s="3528"/>
      <c r="H661" s="3569"/>
      <c r="I661" s="3528"/>
      <c r="J661" s="3528"/>
      <c r="K661" s="3528"/>
      <c r="L661" s="3528"/>
      <c r="M661" s="3528"/>
      <c r="N661" s="3528"/>
      <c r="O661" s="3528"/>
      <c r="P661" s="3528"/>
      <c r="Q661" s="3528"/>
      <c r="R661" s="3528"/>
      <c r="S661" s="3528"/>
      <c r="T661" s="3528"/>
      <c r="U661" s="3528"/>
      <c r="CG661" s="2237"/>
      <c r="CH661" s="2237"/>
      <c r="CI661" s="2237"/>
      <c r="CJ661" s="2237"/>
      <c r="CW661" s="2237"/>
      <c r="CX661" s="2237"/>
      <c r="CY661" s="2237"/>
      <c r="CZ661" s="2237"/>
      <c r="DG661" s="3551"/>
      <c r="DH661" s="3528"/>
      <c r="DI661" s="3528"/>
      <c r="DJ661" s="3552"/>
    </row>
    <row r="662" spans="1:114" s="3517" customFormat="1" outlineLevel="1">
      <c r="C662" s="3564"/>
      <c r="D662" s="3680"/>
      <c r="E662" s="2086"/>
      <c r="F662" s="2086"/>
      <c r="G662" s="3528"/>
      <c r="H662" s="3569"/>
      <c r="I662" s="3528"/>
      <c r="J662" s="3528"/>
      <c r="K662" s="3528"/>
      <c r="L662" s="3528"/>
      <c r="M662" s="3528"/>
      <c r="N662" s="3528"/>
      <c r="O662" s="3528"/>
      <c r="P662" s="3528"/>
      <c r="Q662" s="3528"/>
      <c r="R662" s="3528"/>
      <c r="S662" s="3528"/>
      <c r="T662" s="3528"/>
      <c r="U662" s="3528"/>
      <c r="CG662" s="2237"/>
      <c r="CH662" s="2237"/>
      <c r="CI662" s="2237"/>
      <c r="CJ662" s="2237"/>
      <c r="CW662" s="2237"/>
      <c r="CX662" s="2237"/>
      <c r="CY662" s="2237"/>
      <c r="CZ662" s="2237"/>
      <c r="DG662" s="3551"/>
      <c r="DH662" s="3528"/>
      <c r="DI662" s="3528"/>
      <c r="DJ662" s="3552"/>
    </row>
    <row r="663" spans="1:114" s="3517" customFormat="1" outlineLevel="1">
      <c r="C663" s="3564"/>
      <c r="D663" s="3680"/>
      <c r="E663" s="3528"/>
      <c r="F663" s="3528"/>
      <c r="G663" s="3528"/>
      <c r="H663" s="3569"/>
      <c r="I663" s="3528"/>
      <c r="J663" s="3528"/>
      <c r="K663" s="3528"/>
      <c r="L663" s="3528"/>
      <c r="M663" s="3528"/>
      <c r="N663" s="3528"/>
      <c r="O663" s="3528"/>
      <c r="P663" s="4011"/>
      <c r="Q663" s="4011"/>
      <c r="R663" s="3528"/>
      <c r="S663" s="3528"/>
      <c r="T663" s="3528"/>
      <c r="U663" s="3528"/>
      <c r="CG663" s="2237"/>
      <c r="CH663" s="2237"/>
      <c r="CI663" s="2237"/>
      <c r="CJ663" s="2237"/>
      <c r="CW663" s="2237"/>
      <c r="CX663" s="2237"/>
      <c r="CY663" s="2237"/>
      <c r="CZ663" s="2237"/>
      <c r="DG663" s="3551"/>
      <c r="DH663" s="3528"/>
      <c r="DI663" s="3528"/>
      <c r="DJ663" s="3552"/>
    </row>
    <row r="664" spans="1:114" s="3517" customFormat="1" outlineLevel="1">
      <c r="C664" s="3564"/>
      <c r="D664" s="3680"/>
      <c r="E664" s="3528"/>
      <c r="F664" s="3528"/>
      <c r="G664" s="3528"/>
      <c r="H664" s="3569"/>
      <c r="I664" s="3528"/>
      <c r="J664" s="3528"/>
      <c r="K664" s="3528"/>
      <c r="L664" s="3528"/>
      <c r="M664" s="3564"/>
      <c r="N664" s="3528"/>
      <c r="O664" s="3528"/>
      <c r="P664" s="4011"/>
      <c r="Q664" s="4011"/>
      <c r="R664" s="3528"/>
      <c r="S664" s="3528"/>
      <c r="T664" s="3528"/>
      <c r="U664" s="3528"/>
      <c r="CG664" s="2237"/>
      <c r="CH664" s="2237"/>
      <c r="CI664" s="2237"/>
      <c r="CJ664" s="2237"/>
      <c r="CW664" s="2237"/>
      <c r="CX664" s="2237"/>
      <c r="CY664" s="2237"/>
      <c r="CZ664" s="2237"/>
      <c r="DG664" s="3551"/>
      <c r="DH664" s="3528"/>
      <c r="DI664" s="3528"/>
      <c r="DJ664" s="3552"/>
    </row>
    <row r="665" spans="1:114" s="3517" customFormat="1" outlineLevel="1">
      <c r="C665" s="3564"/>
      <c r="D665" s="3680"/>
      <c r="E665" s="3528"/>
      <c r="F665" s="3528"/>
      <c r="G665" s="3528"/>
      <c r="H665" s="3569"/>
      <c r="I665" s="3528"/>
      <c r="J665" s="3528"/>
      <c r="K665" s="3528"/>
      <c r="L665" s="3528"/>
      <c r="M665" s="3564"/>
      <c r="N665" s="3528"/>
      <c r="O665" s="3528"/>
      <c r="P665" s="4011"/>
      <c r="Q665" s="4011"/>
      <c r="R665" s="3528"/>
      <c r="S665" s="3528"/>
      <c r="T665" s="3528"/>
      <c r="U665" s="3528"/>
      <c r="CG665" s="2237"/>
      <c r="CH665" s="2237"/>
      <c r="CI665" s="2237"/>
      <c r="CJ665" s="2237"/>
      <c r="CW665" s="2237"/>
      <c r="CX665" s="2237"/>
      <c r="CY665" s="2237"/>
      <c r="CZ665" s="2237"/>
      <c r="DG665" s="3551"/>
      <c r="DH665" s="3528"/>
      <c r="DI665" s="3528"/>
      <c r="DJ665" s="3552"/>
    </row>
    <row r="666" spans="1:114" s="3517" customFormat="1" outlineLevel="1">
      <c r="C666" s="3564"/>
      <c r="D666" s="3680"/>
      <c r="E666" s="3528"/>
      <c r="F666" s="3528"/>
      <c r="G666" s="3528"/>
      <c r="H666" s="3569"/>
      <c r="I666" s="3528"/>
      <c r="J666" s="3528"/>
      <c r="K666" s="3528"/>
      <c r="L666" s="3528"/>
      <c r="M666" s="3564"/>
      <c r="N666" s="3528"/>
      <c r="O666" s="3528"/>
      <c r="P666" s="3528"/>
      <c r="Q666" s="3528"/>
      <c r="R666" s="3528"/>
      <c r="S666" s="3528"/>
      <c r="T666" s="3528"/>
      <c r="U666" s="3528"/>
      <c r="W666" s="3517" t="s">
        <v>764</v>
      </c>
      <c r="CG666" s="2237"/>
      <c r="CH666" s="2237"/>
      <c r="CI666" s="2237"/>
      <c r="CJ666" s="2237"/>
      <c r="CW666" s="2237"/>
      <c r="CX666" s="2237"/>
      <c r="CY666" s="2237"/>
      <c r="CZ666" s="2237"/>
      <c r="DG666" s="3551"/>
      <c r="DH666" s="3528"/>
      <c r="DI666" s="3528"/>
      <c r="DJ666" s="3552"/>
    </row>
    <row r="667" spans="1:114" s="3517" customFormat="1" outlineLevel="1">
      <c r="C667" s="3564"/>
      <c r="D667" s="3680"/>
      <c r="E667" s="3528"/>
      <c r="F667" s="3528"/>
      <c r="G667" s="3528"/>
      <c r="H667" s="3569"/>
      <c r="I667" s="3528"/>
      <c r="J667" s="3528"/>
      <c r="K667" s="3528"/>
      <c r="L667" s="3528"/>
      <c r="M667" s="3528"/>
      <c r="N667" s="3528"/>
      <c r="O667" s="3528"/>
      <c r="P667" s="3528"/>
      <c r="Q667" s="3528"/>
      <c r="R667" s="3528"/>
      <c r="S667" s="3528"/>
      <c r="T667" s="3528"/>
      <c r="U667" s="3528"/>
      <c r="CG667" s="2237"/>
      <c r="CH667" s="2237"/>
      <c r="CI667" s="2237"/>
      <c r="CJ667" s="2237"/>
      <c r="CW667" s="2237"/>
      <c r="CX667" s="2237"/>
      <c r="CY667" s="2237"/>
      <c r="CZ667" s="2237"/>
      <c r="DG667" s="3551"/>
      <c r="DH667" s="3528"/>
      <c r="DI667" s="3528"/>
      <c r="DJ667" s="3552"/>
    </row>
    <row r="668" spans="1:114" s="3044" customFormat="1" ht="30" outlineLevel="1">
      <c r="A668" s="3517"/>
      <c r="C668" s="2086"/>
      <c r="D668" s="3682" t="s">
        <v>42</v>
      </c>
      <c r="E668" s="3682" t="s">
        <v>275</v>
      </c>
      <c r="F668" s="3725" t="s">
        <v>765</v>
      </c>
      <c r="G668" s="3682" t="s">
        <v>766</v>
      </c>
      <c r="H668" s="3682" t="s">
        <v>767</v>
      </c>
      <c r="I668" s="3682" t="s">
        <v>768</v>
      </c>
      <c r="J668" s="3682" t="s">
        <v>769</v>
      </c>
      <c r="K668" s="3682" t="s">
        <v>770</v>
      </c>
      <c r="L668" s="3682" t="s">
        <v>771</v>
      </c>
      <c r="M668" s="3682" t="s">
        <v>772</v>
      </c>
      <c r="N668" s="3779" t="s">
        <v>773</v>
      </c>
      <c r="O668" s="3779" t="s">
        <v>774</v>
      </c>
      <c r="P668" s="3779" t="s">
        <v>775</v>
      </c>
      <c r="Q668" s="3745" t="s">
        <v>776</v>
      </c>
      <c r="R668" s="2697"/>
      <c r="S668" s="2697"/>
      <c r="T668" s="2697"/>
      <c r="U668" s="2697"/>
      <c r="V668" s="2640" t="s">
        <v>52</v>
      </c>
      <c r="W668" s="2641">
        <f>$W$8</f>
        <v>43252</v>
      </c>
      <c r="X668" s="2641">
        <f>$X$8</f>
        <v>43465</v>
      </c>
      <c r="Y668" s="2641">
        <f>$Y$8</f>
        <v>43800</v>
      </c>
      <c r="Z668" s="2641">
        <f>$Z$8</f>
        <v>43862</v>
      </c>
      <c r="AA668" s="2641">
        <f>$AA$8</f>
        <v>44013</v>
      </c>
      <c r="AB668" s="2641">
        <v>44166</v>
      </c>
      <c r="AC668" s="2641">
        <f>$AC$8</f>
        <v>44531</v>
      </c>
      <c r="AD668" s="2641">
        <f>$AD$8</f>
        <v>44774</v>
      </c>
      <c r="AE668" s="2641">
        <f>$AE$8</f>
        <v>45142</v>
      </c>
      <c r="AF668" s="2641">
        <f>$AF$8</f>
        <v>45672</v>
      </c>
      <c r="AG668" s="2641" t="str">
        <f>$AG$8</f>
        <v>-</v>
      </c>
      <c r="AH668" s="2237"/>
      <c r="AI668" s="2640" t="s">
        <v>52</v>
      </c>
      <c r="AJ668" s="2641">
        <v>43252</v>
      </c>
      <c r="AK668" s="2641">
        <f>$X$8</f>
        <v>43465</v>
      </c>
      <c r="AL668" s="2641">
        <f>$Y$8</f>
        <v>43800</v>
      </c>
      <c r="AM668" s="2641">
        <f>$Z$8</f>
        <v>43862</v>
      </c>
      <c r="AN668" s="2641">
        <f>$AA$8</f>
        <v>44013</v>
      </c>
      <c r="AO668" s="2641">
        <f>$AB$8</f>
        <v>44166</v>
      </c>
      <c r="AP668" s="2641">
        <f>$AC$8</f>
        <v>44531</v>
      </c>
      <c r="AQ668" s="2641">
        <f>$AD$8</f>
        <v>44774</v>
      </c>
      <c r="AR668" s="2641">
        <f>$AE$8</f>
        <v>45142</v>
      </c>
      <c r="AS668" s="2641">
        <f>$AF$8</f>
        <v>45672</v>
      </c>
      <c r="AT668" s="3517"/>
      <c r="AU668" s="2640" t="s">
        <v>52</v>
      </c>
      <c r="AV668" s="2641">
        <v>43252</v>
      </c>
      <c r="AW668" s="2641">
        <f>$X$8</f>
        <v>43465</v>
      </c>
      <c r="AX668" s="2641">
        <f>$Y$8</f>
        <v>43800</v>
      </c>
      <c r="AY668" s="2641">
        <f>$Z$8</f>
        <v>43862</v>
      </c>
      <c r="AZ668" s="2641">
        <f>$AA$8</f>
        <v>44013</v>
      </c>
      <c r="BA668" s="2641">
        <v>44166</v>
      </c>
      <c r="BB668" s="2641">
        <f>$AC$8</f>
        <v>44531</v>
      </c>
      <c r="BC668" s="2641">
        <f>$AD$8</f>
        <v>44774</v>
      </c>
      <c r="BD668" s="2641">
        <f>$AE$8</f>
        <v>45142</v>
      </c>
      <c r="BE668" s="2641">
        <f>$AF$8</f>
        <v>45672</v>
      </c>
      <c r="BG668" s="2640" t="s">
        <v>52</v>
      </c>
      <c r="BH668" s="2641">
        <v>43252</v>
      </c>
      <c r="BI668" s="2641">
        <f>$X$8</f>
        <v>43465</v>
      </c>
      <c r="BJ668" s="2641">
        <f>$Y$8</f>
        <v>43800</v>
      </c>
      <c r="BK668" s="2641">
        <f>$Z$8</f>
        <v>43862</v>
      </c>
      <c r="BL668" s="2641">
        <f>$AA$8</f>
        <v>44013</v>
      </c>
      <c r="BM668" s="2641">
        <v>44166</v>
      </c>
      <c r="BN668" s="2641">
        <f>$AC$8</f>
        <v>44531</v>
      </c>
      <c r="BO668" s="2641">
        <f>$AD$8</f>
        <v>44774</v>
      </c>
      <c r="BP668" s="2641">
        <f>$AE$8</f>
        <v>45142</v>
      </c>
      <c r="BQ668" s="2641">
        <f>$AF$8</f>
        <v>45672</v>
      </c>
      <c r="BT668" s="2640" t="s">
        <v>52</v>
      </c>
      <c r="BU668" s="2641">
        <v>43252</v>
      </c>
      <c r="BV668" s="2641">
        <f>$X$8</f>
        <v>43465</v>
      </c>
      <c r="BW668" s="2641">
        <f>$Y$8</f>
        <v>43800</v>
      </c>
      <c r="BX668" s="2641">
        <f>$Z$8</f>
        <v>43862</v>
      </c>
      <c r="BY668" s="2641">
        <f>$AA$8</f>
        <v>44013</v>
      </c>
      <c r="BZ668" s="2641">
        <v>44166</v>
      </c>
      <c r="CA668" s="2641">
        <f>$AC$8</f>
        <v>44531</v>
      </c>
      <c r="CB668" s="2641">
        <f>$AD$8</f>
        <v>44774</v>
      </c>
      <c r="CC668" s="2641">
        <f>$AE$8</f>
        <v>45142</v>
      </c>
      <c r="CD668" s="2641">
        <f>$AF$8</f>
        <v>45672</v>
      </c>
      <c r="CF668" s="2640" t="s">
        <v>52</v>
      </c>
      <c r="CG668" s="2641">
        <v>43252</v>
      </c>
      <c r="CH668" s="2641">
        <f>$X$8</f>
        <v>43465</v>
      </c>
      <c r="CI668" s="2641">
        <f>$Y$8</f>
        <v>43800</v>
      </c>
      <c r="CJ668" s="2641">
        <f>$Z$8</f>
        <v>43862</v>
      </c>
      <c r="CK668" s="2641">
        <f>$AA$8</f>
        <v>44013</v>
      </c>
      <c r="CL668" s="2641">
        <v>44166</v>
      </c>
      <c r="CM668" s="2641">
        <f>$AC$8</f>
        <v>44531</v>
      </c>
      <c r="CN668" s="2641">
        <f>$AD$8</f>
        <v>44774</v>
      </c>
      <c r="CO668" s="2641">
        <f>$AE$8</f>
        <v>45142</v>
      </c>
      <c r="CP668" s="2641">
        <f>$AF$8</f>
        <v>45672</v>
      </c>
      <c r="DE668" s="3597"/>
      <c r="DF668" s="2697"/>
      <c r="DG668" s="2697"/>
      <c r="DH668" s="3552"/>
    </row>
    <row r="669" spans="1:114" s="3517" customFormat="1" outlineLevel="1">
      <c r="C669" s="3564"/>
      <c r="D669" s="3598" t="str">
        <f>C656</f>
        <v>805050_2024_12_</v>
      </c>
      <c r="E669" s="3598" t="str">
        <f>E656</f>
        <v xml:space="preserve">Combination Oven (Pan Capacity  5 - 40) </v>
      </c>
      <c r="F669" s="3726">
        <v>200</v>
      </c>
      <c r="G669" s="3780">
        <v>73.2</v>
      </c>
      <c r="H669" s="3781">
        <v>0.72</v>
      </c>
      <c r="I669" s="3782">
        <v>0.78</v>
      </c>
      <c r="J669" s="3781">
        <v>0.5</v>
      </c>
      <c r="K669" s="3783">
        <v>30.8</v>
      </c>
      <c r="L669" s="3782">
        <v>0.51800000000000002</v>
      </c>
      <c r="M669" s="3781">
        <v>0.55000000000000004</v>
      </c>
      <c r="N669" s="2783">
        <f>1-J669</f>
        <v>0.5</v>
      </c>
      <c r="O669" s="3711">
        <v>1320</v>
      </c>
      <c r="P669" s="3711">
        <v>5260</v>
      </c>
      <c r="Q669" s="3784">
        <v>1500</v>
      </c>
      <c r="R669" s="3785"/>
      <c r="S669" s="3785"/>
      <c r="T669" s="3528"/>
      <c r="U669" s="3528"/>
      <c r="V669" s="2244" t="s">
        <v>768</v>
      </c>
      <c r="W669" s="3720">
        <v>0.76</v>
      </c>
      <c r="X669" s="3720">
        <v>0.76</v>
      </c>
      <c r="Y669" s="3720">
        <v>0.76</v>
      </c>
      <c r="Z669" s="3720">
        <v>0.76</v>
      </c>
      <c r="AA669" s="3720">
        <v>0.76</v>
      </c>
      <c r="AB669" s="3720">
        <v>0.76</v>
      </c>
      <c r="AC669" s="3720">
        <v>0.76</v>
      </c>
      <c r="AD669" s="3720">
        <v>0.76</v>
      </c>
      <c r="AE669" s="3720">
        <v>0.76</v>
      </c>
      <c r="AF669" s="3374">
        <v>0.78</v>
      </c>
      <c r="AG669" s="2413"/>
      <c r="AH669" s="2237"/>
      <c r="AI669" s="2244" t="s">
        <v>771</v>
      </c>
      <c r="AJ669" s="3516">
        <v>0.49</v>
      </c>
      <c r="AK669" s="3516">
        <v>0.49</v>
      </c>
      <c r="AL669" s="3516">
        <v>0.49</v>
      </c>
      <c r="AM669" s="3516">
        <v>0.49</v>
      </c>
      <c r="AN669" s="3516">
        <v>0.49</v>
      </c>
      <c r="AO669" s="3516">
        <v>0.49</v>
      </c>
      <c r="AP669" s="3516">
        <v>0.49</v>
      </c>
      <c r="AQ669" s="3516">
        <v>0.49</v>
      </c>
      <c r="AR669" s="3516">
        <v>0.49</v>
      </c>
      <c r="AS669" s="2529">
        <v>0.51800000000000002</v>
      </c>
      <c r="AU669" s="2244" t="s">
        <v>774</v>
      </c>
      <c r="AV669" s="3786">
        <v>1320</v>
      </c>
      <c r="AW669" s="3786">
        <v>1320</v>
      </c>
      <c r="AX669" s="3786">
        <v>1320</v>
      </c>
      <c r="AY669" s="3786">
        <v>1320</v>
      </c>
      <c r="AZ669" s="3786">
        <v>1320</v>
      </c>
      <c r="BA669" s="3786">
        <v>1320</v>
      </c>
      <c r="BB669" s="3786">
        <v>1320</v>
      </c>
      <c r="BC669" s="3786">
        <v>1320</v>
      </c>
      <c r="BD669" s="3786">
        <v>1320</v>
      </c>
      <c r="BE669" s="3786">
        <v>1320</v>
      </c>
      <c r="BG669" s="2244" t="s">
        <v>775</v>
      </c>
      <c r="BH669" s="3786">
        <v>5260</v>
      </c>
      <c r="BI669" s="3786">
        <v>5260</v>
      </c>
      <c r="BJ669" s="3786">
        <v>5260</v>
      </c>
      <c r="BK669" s="3786">
        <v>5260</v>
      </c>
      <c r="BL669" s="3786">
        <v>5260</v>
      </c>
      <c r="BM669" s="3786">
        <v>5260</v>
      </c>
      <c r="BN669" s="3786">
        <v>5260</v>
      </c>
      <c r="BO669" s="3786">
        <v>5260</v>
      </c>
      <c r="BP669" s="3786">
        <v>5260</v>
      </c>
      <c r="BQ669" s="3786">
        <v>5260</v>
      </c>
      <c r="BT669" s="2244"/>
      <c r="BU669" s="3524"/>
      <c r="BV669" s="3524"/>
      <c r="BW669" s="3524"/>
      <c r="BX669" s="3524"/>
      <c r="BY669" s="3524"/>
      <c r="BZ669" s="3523"/>
      <c r="CA669" s="3523"/>
      <c r="CB669" s="3523"/>
      <c r="CC669" s="3523"/>
      <c r="CD669" s="3783"/>
      <c r="CE669" s="2237"/>
      <c r="CF669" s="2409" t="s">
        <v>777</v>
      </c>
      <c r="CG669" s="3521"/>
      <c r="CH669" s="3521"/>
      <c r="CI669" s="3521"/>
      <c r="CJ669" s="3521"/>
      <c r="CK669" s="3521"/>
      <c r="CL669" s="3522"/>
      <c r="CM669" s="3522"/>
      <c r="CN669" s="3522"/>
      <c r="CO669" s="3522"/>
      <c r="CP669" s="3787">
        <v>1500</v>
      </c>
      <c r="CU669" s="2237"/>
      <c r="CV669" s="2237"/>
      <c r="CW669" s="2237"/>
      <c r="CX669" s="2237"/>
      <c r="DE669" s="3551"/>
      <c r="DF669" s="3528"/>
      <c r="DG669" s="3528"/>
      <c r="DH669" s="3552"/>
    </row>
    <row r="670" spans="1:114" s="3517" customFormat="1" outlineLevel="1">
      <c r="C670" s="3564"/>
      <c r="D670" s="3643" t="str">
        <f>C657</f>
        <v>805100_2024_12_</v>
      </c>
      <c r="E670" s="3643" t="str">
        <f>E657</f>
        <v>Combination Oven (Pan Capacity &lt; 5 )</v>
      </c>
      <c r="F670" s="3788">
        <v>125</v>
      </c>
      <c r="G670" s="3789">
        <v>73.2</v>
      </c>
      <c r="H670" s="3782">
        <v>0.64800000000000002</v>
      </c>
      <c r="I670" s="3782">
        <v>0.7</v>
      </c>
      <c r="J670" s="3782">
        <v>0.5</v>
      </c>
      <c r="K670" s="3787">
        <v>30.8</v>
      </c>
      <c r="L670" s="3782">
        <v>0.47399999999999998</v>
      </c>
      <c r="M670" s="3782">
        <v>0.51</v>
      </c>
      <c r="N670" s="3460">
        <f>1-J670</f>
        <v>0.5</v>
      </c>
      <c r="O670" s="3749">
        <v>680</v>
      </c>
      <c r="P670" s="3749">
        <v>2090</v>
      </c>
      <c r="Q670" s="3784">
        <v>0</v>
      </c>
      <c r="R670" s="3528"/>
      <c r="S670" s="3528"/>
      <c r="T670" s="3528"/>
      <c r="U670" s="3528"/>
      <c r="V670" s="2244" t="s">
        <v>768</v>
      </c>
      <c r="W670" s="3720"/>
      <c r="X670" s="3720"/>
      <c r="Y670" s="3720"/>
      <c r="Z670" s="3720"/>
      <c r="AA670" s="3720"/>
      <c r="AB670" s="3720"/>
      <c r="AC670" s="3720"/>
      <c r="AD670" s="3720"/>
      <c r="AE670" s="3720"/>
      <c r="AF670" s="3374">
        <v>0.7</v>
      </c>
      <c r="AG670" s="2413"/>
      <c r="AH670" s="2237"/>
      <c r="AI670" s="2244" t="s">
        <v>771</v>
      </c>
      <c r="AJ670" s="3506"/>
      <c r="AK670" s="3506"/>
      <c r="AL670" s="3506"/>
      <c r="AM670" s="3506"/>
      <c r="AN670" s="3506"/>
      <c r="AO670" s="3506"/>
      <c r="AP670" s="3506"/>
      <c r="AQ670" s="3506"/>
      <c r="AR670" s="3506"/>
      <c r="AS670" s="2529">
        <v>0.47399999999999998</v>
      </c>
      <c r="AU670" s="2244" t="s">
        <v>774</v>
      </c>
      <c r="AV670" s="3786"/>
      <c r="AW670" s="3786"/>
      <c r="AX670" s="3786"/>
      <c r="AY670" s="3786"/>
      <c r="AZ670" s="3786"/>
      <c r="BA670" s="3786"/>
      <c r="BB670" s="3786"/>
      <c r="BC670" s="3786"/>
      <c r="BD670" s="3786"/>
      <c r="BE670" s="3790">
        <v>680</v>
      </c>
      <c r="BG670" s="2244" t="s">
        <v>775</v>
      </c>
      <c r="BH670" s="3786"/>
      <c r="BI670" s="3786"/>
      <c r="BJ670" s="3786"/>
      <c r="BK670" s="3786"/>
      <c r="BL670" s="3786"/>
      <c r="BM670" s="3786"/>
      <c r="BN670" s="3786"/>
      <c r="BO670" s="3786"/>
      <c r="BP670" s="3786"/>
      <c r="BQ670" s="3790">
        <v>2090</v>
      </c>
      <c r="BT670" s="2244"/>
      <c r="BU670" s="3524"/>
      <c r="BV670" s="3524"/>
      <c r="BW670" s="3524"/>
      <c r="BX670" s="3524"/>
      <c r="BY670" s="3524"/>
      <c r="BZ670" s="3523"/>
      <c r="CA670" s="3523"/>
      <c r="CB670" s="3523"/>
      <c r="CC670" s="3523"/>
      <c r="CD670" s="3783"/>
      <c r="CE670" s="2237"/>
      <c r="CF670" s="2409" t="s">
        <v>777</v>
      </c>
      <c r="CG670" s="3521"/>
      <c r="CH670" s="3521"/>
      <c r="CI670" s="3521"/>
      <c r="CJ670" s="3521"/>
      <c r="CK670" s="3521"/>
      <c r="CL670" s="3522"/>
      <c r="CM670" s="3522"/>
      <c r="CN670" s="3522"/>
      <c r="CO670" s="3522"/>
      <c r="CP670" s="3787">
        <v>0</v>
      </c>
      <c r="CU670" s="2237"/>
      <c r="CV670" s="2237"/>
      <c r="CW670" s="2237"/>
      <c r="CX670" s="2237"/>
      <c r="DE670" s="3551"/>
      <c r="DF670" s="3528"/>
      <c r="DG670" s="3528"/>
      <c r="DH670" s="3552"/>
    </row>
    <row r="671" spans="1:114" s="3517" customFormat="1" outlineLevel="1">
      <c r="C671" s="3564"/>
      <c r="D671" s="3791"/>
      <c r="E671" s="3791"/>
      <c r="F671" s="3791"/>
      <c r="G671" s="3792"/>
      <c r="H671" s="3793"/>
      <c r="I671" s="3793"/>
      <c r="J671" s="3793"/>
      <c r="K671" s="3794"/>
      <c r="L671" s="3793"/>
      <c r="M671" s="3793"/>
      <c r="N671" s="3795"/>
      <c r="O671" s="3796"/>
      <c r="P671" s="3796"/>
      <c r="Q671" s="3796"/>
      <c r="R671" s="3797"/>
      <c r="S671" s="3797"/>
      <c r="T671" s="3798"/>
      <c r="U671" s="3797"/>
      <c r="DG671" s="3551"/>
      <c r="DH671" s="3528"/>
      <c r="DI671" s="3528"/>
      <c r="DJ671" s="3552"/>
    </row>
    <row r="672" spans="1:114" s="3517" customFormat="1" ht="30" outlineLevel="1">
      <c r="C672" s="3564"/>
      <c r="D672" s="3682" t="s">
        <v>42</v>
      </c>
      <c r="E672" s="3682" t="s">
        <v>275</v>
      </c>
      <c r="F672" s="3779" t="s">
        <v>778</v>
      </c>
      <c r="G672" s="3779" t="s">
        <v>779</v>
      </c>
      <c r="H672" s="3779" t="s">
        <v>780</v>
      </c>
      <c r="I672" s="3779" t="s">
        <v>781</v>
      </c>
      <c r="J672" s="2280" t="s">
        <v>782</v>
      </c>
      <c r="K672" s="2280" t="s">
        <v>783</v>
      </c>
      <c r="L672" s="2280" t="s">
        <v>784</v>
      </c>
      <c r="M672" s="2280" t="s">
        <v>785</v>
      </c>
      <c r="N672" s="2280" t="s">
        <v>421</v>
      </c>
      <c r="O672" s="3796"/>
      <c r="P672" s="3796"/>
      <c r="Q672" s="3796"/>
      <c r="R672" s="3792"/>
      <c r="S672" s="3799"/>
      <c r="T672" s="3798"/>
      <c r="U672" s="3797"/>
      <c r="V672" s="2640" t="s">
        <v>52</v>
      </c>
      <c r="W672" s="2641">
        <f>$W$8</f>
        <v>43252</v>
      </c>
      <c r="X672" s="2641">
        <f>$X$8</f>
        <v>43465</v>
      </c>
      <c r="Y672" s="2641">
        <f>$Y$8</f>
        <v>43800</v>
      </c>
      <c r="Z672" s="2641">
        <f>$Z$8</f>
        <v>43862</v>
      </c>
      <c r="AA672" s="2641">
        <f>$AA$8</f>
        <v>44013</v>
      </c>
      <c r="AB672" s="2641">
        <v>44166</v>
      </c>
      <c r="AC672" s="2641">
        <f>$AC$8</f>
        <v>44531</v>
      </c>
      <c r="AD672" s="2641">
        <f>$AD$8</f>
        <v>44774</v>
      </c>
      <c r="AE672" s="2641">
        <f>$AE$8</f>
        <v>45142</v>
      </c>
      <c r="AF672" s="2641">
        <f>$AF$8</f>
        <v>45672</v>
      </c>
      <c r="AG672" s="2641" t="str">
        <f>$AG$8</f>
        <v>-</v>
      </c>
      <c r="AH672" s="2237"/>
      <c r="AI672" s="2640" t="s">
        <v>52</v>
      </c>
      <c r="AJ672" s="2641">
        <v>43252</v>
      </c>
      <c r="AK672" s="2641">
        <f>$X$8</f>
        <v>43465</v>
      </c>
      <c r="AL672" s="2641">
        <f>$Y$8</f>
        <v>43800</v>
      </c>
      <c r="AM672" s="2641">
        <f>$Z$8</f>
        <v>43862</v>
      </c>
      <c r="AN672" s="2641">
        <f>$AA$8</f>
        <v>44013</v>
      </c>
      <c r="AO672" s="2641">
        <f>$AB$8</f>
        <v>44166</v>
      </c>
      <c r="AP672" s="2641">
        <f>$AC$8</f>
        <v>44531</v>
      </c>
      <c r="AQ672" s="2641">
        <f>$AD$8</f>
        <v>44774</v>
      </c>
      <c r="AR672" s="2641">
        <f>$AE$8</f>
        <v>45142</v>
      </c>
      <c r="AS672" s="2641">
        <f>$AF$8</f>
        <v>45672</v>
      </c>
      <c r="AU672" s="2640" t="s">
        <v>52</v>
      </c>
      <c r="AV672" s="2641">
        <v>43252</v>
      </c>
      <c r="AW672" s="2641">
        <f>$X$8</f>
        <v>43465</v>
      </c>
      <c r="AX672" s="2641">
        <f>$Y$8</f>
        <v>43800</v>
      </c>
      <c r="AY672" s="2641">
        <f>$Z$8</f>
        <v>43862</v>
      </c>
      <c r="AZ672" s="2641">
        <f>$AA$8</f>
        <v>44013</v>
      </c>
      <c r="BA672" s="2641">
        <v>44166</v>
      </c>
      <c r="BB672" s="2641">
        <f>$AC$8</f>
        <v>44531</v>
      </c>
      <c r="BC672" s="2641">
        <f>$AD$8</f>
        <v>44774</v>
      </c>
      <c r="BD672" s="2641">
        <f>$AE$8</f>
        <v>45142</v>
      </c>
      <c r="BE672" s="2641">
        <f>$AF$8</f>
        <v>45672</v>
      </c>
      <c r="DG672" s="3551"/>
      <c r="DH672" s="3528"/>
      <c r="DI672" s="3528"/>
      <c r="DJ672" s="3552"/>
    </row>
    <row r="673" spans="1:114" s="3517" customFormat="1" outlineLevel="1">
      <c r="C673" s="3564"/>
      <c r="D673" s="3598" t="str">
        <f>C656</f>
        <v>805050_2024_12_</v>
      </c>
      <c r="E673" s="3598" t="str">
        <f>E656</f>
        <v xml:space="preserve">Combination Oven (Pan Capacity  5 - 40) </v>
      </c>
      <c r="F673" s="3711">
        <v>12</v>
      </c>
      <c r="G673" s="3711">
        <v>107</v>
      </c>
      <c r="H673" s="3715">
        <v>151</v>
      </c>
      <c r="I673" s="3800">
        <f>(0.083*J673+0.35)*1000</f>
        <v>2010.0000000000002</v>
      </c>
      <c r="J673" s="3715">
        <v>20</v>
      </c>
      <c r="K673" s="3715">
        <v>247</v>
      </c>
      <c r="L673" s="3715">
        <v>174</v>
      </c>
      <c r="M673" s="3801">
        <f>(0.05*J673+0.55)*1000</f>
        <v>1550</v>
      </c>
      <c r="N673" s="3708">
        <v>365.25</v>
      </c>
      <c r="O673" s="3796"/>
      <c r="P673" s="3796"/>
      <c r="Q673" s="3796"/>
      <c r="R673" s="3792"/>
      <c r="S673" s="3799"/>
      <c r="T673" s="3798"/>
      <c r="U673" s="3797"/>
      <c r="V673" s="2244" t="s">
        <v>781</v>
      </c>
      <c r="W673" s="3702">
        <v>1299</v>
      </c>
      <c r="X673" s="3702">
        <v>1299</v>
      </c>
      <c r="Y673" s="3702">
        <v>1299</v>
      </c>
      <c r="Z673" s="3702">
        <v>1299</v>
      </c>
      <c r="AA673" s="3702">
        <v>1299</v>
      </c>
      <c r="AB673" s="3702">
        <v>1299</v>
      </c>
      <c r="AC673" s="3702">
        <v>1299</v>
      </c>
      <c r="AD673" s="3702">
        <v>1299</v>
      </c>
      <c r="AE673" s="3702">
        <v>1299</v>
      </c>
      <c r="AF673" s="3619">
        <v>2010.0000000000002</v>
      </c>
      <c r="AG673" s="2413"/>
      <c r="AH673" s="2237"/>
      <c r="AI673" s="2244"/>
      <c r="AJ673" s="3506"/>
      <c r="AK673" s="3506"/>
      <c r="AL673" s="3506"/>
      <c r="AM673" s="3506"/>
      <c r="AN673" s="3506"/>
      <c r="AO673" s="3518"/>
      <c r="AP673" s="3518"/>
      <c r="AQ673" s="3518"/>
      <c r="AR673" s="3518"/>
      <c r="AS673" s="3518"/>
      <c r="AU673" s="2244"/>
      <c r="AV673" s="3521"/>
      <c r="AW673" s="3521"/>
      <c r="AX673" s="3521"/>
      <c r="AY673" s="3521"/>
      <c r="AZ673" s="3521"/>
      <c r="BA673" s="3522"/>
      <c r="BB673" s="3522"/>
      <c r="BC673" s="3522"/>
      <c r="BD673" s="3522"/>
      <c r="BE673" s="3522"/>
      <c r="DG673" s="3551"/>
      <c r="DH673" s="3528"/>
      <c r="DI673" s="3528"/>
      <c r="DJ673" s="3552"/>
    </row>
    <row r="674" spans="1:114" s="3517" customFormat="1" outlineLevel="1">
      <c r="C674" s="3564"/>
      <c r="D674" s="3598" t="str">
        <f>C657</f>
        <v>805100_2024_12_</v>
      </c>
      <c r="E674" s="3598" t="str">
        <f>E657</f>
        <v>Combination Oven (Pan Capacity &lt; 5 )</v>
      </c>
      <c r="F674" s="3711">
        <v>12</v>
      </c>
      <c r="G674" s="3711">
        <v>29</v>
      </c>
      <c r="H674" s="3715">
        <v>45</v>
      </c>
      <c r="I674" s="3800">
        <f>(0.05*J674+0.55)*1000</f>
        <v>650</v>
      </c>
      <c r="J674" s="3715">
        <v>2</v>
      </c>
      <c r="K674" s="3715">
        <v>59</v>
      </c>
      <c r="L674" s="3715">
        <v>37</v>
      </c>
      <c r="M674" s="3801">
        <f>(0.6*J674)*1000</f>
        <v>1200</v>
      </c>
      <c r="N674" s="3708">
        <v>365.25</v>
      </c>
      <c r="O674" s="3528"/>
      <c r="P674" s="3528"/>
      <c r="Q674" s="3528"/>
      <c r="R674" s="3802"/>
      <c r="S674" s="3803"/>
      <c r="T674" s="3528"/>
      <c r="U674" s="3528"/>
      <c r="V674" s="2244" t="s">
        <v>781</v>
      </c>
      <c r="W674" s="3702"/>
      <c r="X674" s="3702"/>
      <c r="Y674" s="3702"/>
      <c r="Z674" s="3702"/>
      <c r="AA674" s="3702"/>
      <c r="AB674" s="3702"/>
      <c r="AC674" s="3702"/>
      <c r="AD674" s="3702"/>
      <c r="AE674" s="3702"/>
      <c r="AF674" s="3619">
        <v>650</v>
      </c>
      <c r="AG674" s="2413"/>
      <c r="AH674" s="2237"/>
      <c r="AI674" s="2244"/>
      <c r="AJ674" s="3506"/>
      <c r="AK674" s="3506"/>
      <c r="AL674" s="3506"/>
      <c r="AM674" s="3506"/>
      <c r="AN674" s="3506"/>
      <c r="AO674" s="3518"/>
      <c r="AP674" s="3518"/>
      <c r="AQ674" s="3518"/>
      <c r="AR674" s="3518"/>
      <c r="AS674" s="3518"/>
      <c r="AU674" s="2244"/>
      <c r="AV674" s="3521"/>
      <c r="AW674" s="3521"/>
      <c r="AX674" s="3521"/>
      <c r="AY674" s="3521"/>
      <c r="AZ674" s="3521"/>
      <c r="BA674" s="3522"/>
      <c r="BB674" s="3522"/>
      <c r="BC674" s="3522"/>
      <c r="BD674" s="3522"/>
      <c r="BE674" s="3522"/>
      <c r="CG674" s="2237"/>
      <c r="CH674" s="2237"/>
      <c r="CI674" s="2237"/>
      <c r="CJ674" s="2237"/>
      <c r="CW674" s="2237"/>
      <c r="CX674" s="2237"/>
      <c r="CY674" s="2237"/>
      <c r="CZ674" s="2237"/>
      <c r="DG674" s="3551"/>
      <c r="DH674" s="3528"/>
      <c r="DI674" s="3528"/>
      <c r="DJ674" s="3552"/>
    </row>
    <row r="675" spans="1:114" s="3517" customFormat="1">
      <c r="C675" s="3564"/>
      <c r="D675" s="3564"/>
      <c r="E675" s="3528"/>
      <c r="F675" s="3528"/>
      <c r="G675" s="4016" t="s">
        <v>786</v>
      </c>
      <c r="H675" s="4017"/>
      <c r="I675" s="4017"/>
      <c r="J675" s="4017"/>
      <c r="K675" s="4017"/>
      <c r="L675" s="4017"/>
      <c r="M675" s="4017"/>
      <c r="N675" s="4017"/>
      <c r="O675" s="3528"/>
      <c r="P675" s="3528"/>
      <c r="Q675" s="3528"/>
      <c r="R675" s="3528"/>
      <c r="S675" s="3528"/>
      <c r="T675" s="3528"/>
      <c r="U675" s="3528"/>
      <c r="CG675" s="2237"/>
      <c r="CH675" s="2237"/>
      <c r="CI675" s="2237"/>
      <c r="CJ675" s="2237"/>
      <c r="CW675" s="2237"/>
      <c r="CX675" s="2237"/>
      <c r="CY675" s="2237"/>
      <c r="CZ675" s="2237"/>
      <c r="DG675" s="3551"/>
      <c r="DH675" s="3528"/>
      <c r="DI675" s="3528"/>
      <c r="DJ675" s="3552"/>
    </row>
    <row r="676" spans="1:114" s="3564" customFormat="1">
      <c r="A676" s="3517"/>
      <c r="B676" s="3998" t="s">
        <v>787</v>
      </c>
      <c r="C676" s="3999"/>
      <c r="D676" s="3999"/>
      <c r="E676" s="3999"/>
      <c r="F676" s="3999"/>
      <c r="G676" s="3999"/>
      <c r="H676" s="3999"/>
      <c r="I676" s="4831"/>
      <c r="J676" s="4831"/>
      <c r="K676" s="4831"/>
      <c r="L676" s="4831"/>
      <c r="M676" s="4832"/>
      <c r="N676" s="4832"/>
      <c r="O676" s="4833"/>
      <c r="V676" s="2203" t="str">
        <f>B676</f>
        <v>Fryer</v>
      </c>
      <c r="W676" s="2204"/>
      <c r="X676" s="2204"/>
      <c r="Y676" s="2204"/>
      <c r="Z676" s="2204"/>
      <c r="AA676" s="2204"/>
      <c r="AB676" s="2204"/>
      <c r="AC676" s="2204"/>
      <c r="AD676" s="2204"/>
      <c r="AE676" s="2204"/>
      <c r="AF676" s="2204"/>
      <c r="AG676" s="2204"/>
      <c r="AH676" s="2204"/>
      <c r="AI676" s="3474"/>
      <c r="AJ676" s="3517"/>
      <c r="AK676" s="3517"/>
      <c r="AL676" s="3517"/>
      <c r="AM676" s="3517"/>
      <c r="AN676" s="3517"/>
      <c r="AO676" s="3517"/>
      <c r="AP676" s="3517"/>
      <c r="AQ676" s="3517"/>
      <c r="AR676" s="3517"/>
      <c r="AS676" s="3517"/>
      <c r="AT676" s="3517"/>
      <c r="AU676" s="3517"/>
      <c r="DG676" s="3669"/>
      <c r="DJ676" s="3567"/>
    </row>
    <row r="677" spans="1:114" s="3517" customFormat="1">
      <c r="C677" s="3564"/>
      <c r="D677" s="3670"/>
      <c r="E677" s="3564"/>
      <c r="F677" s="3564"/>
      <c r="G677" s="3564"/>
      <c r="H677" s="3671"/>
      <c r="I677" s="3564"/>
      <c r="J677" s="3564"/>
      <c r="K677" s="3564"/>
      <c r="L677" s="3564"/>
      <c r="M677" s="3528"/>
      <c r="N677" s="3528"/>
      <c r="O677" s="3528"/>
      <c r="P677" s="3564"/>
      <c r="Q677" s="3564"/>
      <c r="R677" s="3564"/>
      <c r="S677" s="3564"/>
      <c r="T677" s="3564"/>
      <c r="U677" s="3564"/>
      <c r="V677" s="2237"/>
      <c r="W677" s="2237"/>
      <c r="X677" s="2237"/>
      <c r="Y677" s="2237"/>
      <c r="Z677" s="2237"/>
      <c r="AA677" s="2237"/>
      <c r="AB677" s="2237"/>
      <c r="AC677" s="2237"/>
      <c r="AD677" s="2237"/>
      <c r="AE677" s="2237"/>
      <c r="AF677" s="2237"/>
      <c r="AG677" s="2237"/>
      <c r="AH677" s="2237"/>
      <c r="AI677" s="2237"/>
      <c r="AJ677" s="2723"/>
      <c r="AK677" s="2723"/>
      <c r="AL677" s="2723"/>
      <c r="AM677" s="2723"/>
      <c r="AN677" s="2723"/>
      <c r="AO677" s="2723"/>
      <c r="AP677" s="2723"/>
      <c r="AQ677" s="2723"/>
      <c r="AR677" s="2723"/>
      <c r="AS677" s="2723"/>
      <c r="AT677" s="2723"/>
      <c r="AU677" s="2723"/>
      <c r="CG677" s="2237"/>
      <c r="CH677" s="2237"/>
      <c r="CI677" s="2237"/>
      <c r="CJ677" s="2237"/>
      <c r="CW677" s="2237"/>
      <c r="CX677" s="2237"/>
      <c r="CY677" s="2237"/>
      <c r="CZ677" s="2237"/>
      <c r="DG677" s="3804" t="s">
        <v>788</v>
      </c>
      <c r="DH677" s="3528"/>
      <c r="DI677" s="3528"/>
      <c r="DJ677" s="3552"/>
    </row>
    <row r="678" spans="1:114" s="3044" customFormat="1" ht="30">
      <c r="A678" s="3517"/>
      <c r="B678" s="2723"/>
      <c r="C678" s="3570" t="s">
        <v>42</v>
      </c>
      <c r="D678" s="3570" t="s">
        <v>43</v>
      </c>
      <c r="E678" s="2280" t="s">
        <v>44</v>
      </c>
      <c r="F678" s="2280" t="s">
        <v>45</v>
      </c>
      <c r="G678" s="2280" t="s">
        <v>46</v>
      </c>
      <c r="H678" s="3571" t="s">
        <v>47</v>
      </c>
      <c r="I678" s="2280" t="s">
        <v>48</v>
      </c>
      <c r="J678" s="2280" t="s">
        <v>49</v>
      </c>
      <c r="K678" s="3570" t="s">
        <v>50</v>
      </c>
      <c r="L678" s="3570" t="s">
        <v>51</v>
      </c>
      <c r="M678" s="3528"/>
      <c r="N678" s="3528"/>
      <c r="O678" s="3528"/>
      <c r="P678" s="2697"/>
      <c r="Q678" s="2697"/>
      <c r="R678" s="2697"/>
      <c r="S678" s="2697"/>
      <c r="T678" s="2697"/>
      <c r="U678" s="2697"/>
      <c r="V678" s="2640" t="s">
        <v>52</v>
      </c>
      <c r="W678" s="2641">
        <f>$W$8</f>
        <v>43252</v>
      </c>
      <c r="X678" s="2641">
        <f>$X$8</f>
        <v>43465</v>
      </c>
      <c r="Y678" s="2641">
        <f>$Y$8</f>
        <v>43800</v>
      </c>
      <c r="Z678" s="2641">
        <f>$Z$8</f>
        <v>43862</v>
      </c>
      <c r="AA678" s="2641">
        <f>$AA$8</f>
        <v>44013</v>
      </c>
      <c r="AB678" s="2641">
        <v>44166</v>
      </c>
      <c r="AC678" s="2641">
        <f>$AC$8</f>
        <v>44531</v>
      </c>
      <c r="AD678" s="2641">
        <f>$AD$8</f>
        <v>44774</v>
      </c>
      <c r="AE678" s="2641">
        <f>$AE$8</f>
        <v>45142</v>
      </c>
      <c r="AF678" s="2641">
        <f>$AF$8</f>
        <v>45672</v>
      </c>
      <c r="AG678" s="2641" t="str">
        <f>$AG$8</f>
        <v>-</v>
      </c>
      <c r="AH678" s="2237"/>
      <c r="AI678" s="2640" t="s">
        <v>52</v>
      </c>
      <c r="AJ678" s="2641">
        <v>43252</v>
      </c>
      <c r="AK678" s="2641">
        <f>$X$8</f>
        <v>43465</v>
      </c>
      <c r="AL678" s="2641">
        <f>$Y$8</f>
        <v>43800</v>
      </c>
      <c r="AM678" s="2641">
        <f>$Z$8</f>
        <v>43862</v>
      </c>
      <c r="AN678" s="2641">
        <f>$AA$8</f>
        <v>44013</v>
      </c>
      <c r="AO678" s="2641">
        <f>$AB$8</f>
        <v>44166</v>
      </c>
      <c r="AP678" s="2641">
        <f>$AC$8</f>
        <v>44531</v>
      </c>
      <c r="AQ678" s="2641">
        <f>$AD$8</f>
        <v>44774</v>
      </c>
      <c r="AR678" s="2641">
        <f>$AE$8</f>
        <v>45142</v>
      </c>
      <c r="AS678" s="2641">
        <f>$AF$8</f>
        <v>45672</v>
      </c>
      <c r="AT678" s="3517"/>
      <c r="AU678" s="2640" t="s">
        <v>52</v>
      </c>
      <c r="AV678" s="2641">
        <v>43252</v>
      </c>
      <c r="AW678" s="2641">
        <f>$X$8</f>
        <v>43465</v>
      </c>
      <c r="AX678" s="2641">
        <f>$Y$8</f>
        <v>43800</v>
      </c>
      <c r="AY678" s="2641">
        <f>$Z$8</f>
        <v>43862</v>
      </c>
      <c r="AZ678" s="2641">
        <f>$AA$8</f>
        <v>44013</v>
      </c>
      <c r="BA678" s="2641">
        <v>44166</v>
      </c>
      <c r="BB678" s="2641">
        <f>$AC$8</f>
        <v>44531</v>
      </c>
      <c r="BC678" s="2641">
        <f>$AD$8</f>
        <v>44774</v>
      </c>
      <c r="BD678" s="2641">
        <f>$AE$8</f>
        <v>45142</v>
      </c>
      <c r="BE678" s="2641">
        <f>$AF$8</f>
        <v>45672</v>
      </c>
      <c r="DG678" s="2749" t="str">
        <f>$DG$8</f>
        <v>TRC (2025)</v>
      </c>
      <c r="DH678" s="2750" t="str">
        <f>$DH$8</f>
        <v>Benefit Lookup</v>
      </c>
      <c r="DI678" s="2750" t="str">
        <f>$DI$8</f>
        <v>Benefits (2025 $)</v>
      </c>
      <c r="DJ678" s="3572" t="str">
        <f>$DJ$8</f>
        <v>Incremental Cost (2025 $)</v>
      </c>
    </row>
    <row r="679" spans="1:114" s="3517" customFormat="1">
      <c r="B679" s="2208">
        <f t="shared" ref="B679:B680" si="173">VALUE(LEFT(C679,6))</f>
        <v>805150</v>
      </c>
      <c r="C679" s="3499" t="s">
        <v>789</v>
      </c>
      <c r="D679" s="3509" t="str">
        <f t="shared" ref="D679:D680" si="174">$D$98</f>
        <v>BSS</v>
      </c>
      <c r="E679" s="3574" t="s">
        <v>790</v>
      </c>
      <c r="F679" s="3510">
        <f>ROUND((((G690*(I690-J690/K690))-(H690*(I690-J690/L690)))+((J690*M690/N690)-(J690*M690/O690))+P690)*F690/1000,2)</f>
        <v>3310.75</v>
      </c>
      <c r="G679" s="3503" t="s">
        <v>407</v>
      </c>
      <c r="H679" s="3511">
        <f>VLOOKUP(G679,'CP FACTORS'!$A$26:$B$38,2,FALSE)</f>
        <v>1.998949E-4</v>
      </c>
      <c r="I679" s="3769">
        <f>ROUND(H679*F679,6)</f>
        <v>0.661802</v>
      </c>
      <c r="J679" s="3112">
        <v>12</v>
      </c>
      <c r="K679" s="3513">
        <v>1500</v>
      </c>
      <c r="L679" s="3717" t="s">
        <v>62</v>
      </c>
      <c r="M679" s="3528"/>
      <c r="N679" s="3528"/>
      <c r="O679" s="3528"/>
      <c r="P679" s="3528"/>
      <c r="Q679" s="3528"/>
      <c r="R679" s="3528"/>
      <c r="S679" s="3528"/>
      <c r="T679" s="3528"/>
      <c r="U679" s="3528"/>
      <c r="V679" s="2244" t="s">
        <v>45</v>
      </c>
      <c r="W679" s="3224">
        <v>952.30910027472578</v>
      </c>
      <c r="X679" s="3224">
        <v>952.30910027472578</v>
      </c>
      <c r="Y679" s="3224">
        <v>952.30910027472578</v>
      </c>
      <c r="Z679" s="3224">
        <v>952.30910027472578</v>
      </c>
      <c r="AA679" s="3224">
        <v>952.30910027472578</v>
      </c>
      <c r="AB679" s="3222">
        <v>952.31</v>
      </c>
      <c r="AC679" s="3374">
        <v>952.31</v>
      </c>
      <c r="AD679" s="3374">
        <v>952.31</v>
      </c>
      <c r="AE679" s="3374">
        <v>952.31</v>
      </c>
      <c r="AF679" s="3374">
        <v>3310.75</v>
      </c>
      <c r="AG679" s="2413"/>
      <c r="AH679" s="2237"/>
      <c r="AI679" s="2244" t="s">
        <v>49</v>
      </c>
      <c r="AJ679" s="3506">
        <v>12</v>
      </c>
      <c r="AK679" s="3506">
        <v>12</v>
      </c>
      <c r="AL679" s="3506">
        <v>12</v>
      </c>
      <c r="AM679" s="3506">
        <v>12</v>
      </c>
      <c r="AN679" s="3506">
        <v>12</v>
      </c>
      <c r="AO679" s="3518">
        <v>12</v>
      </c>
      <c r="AP679" s="3518">
        <v>12</v>
      </c>
      <c r="AQ679" s="3518">
        <v>12</v>
      </c>
      <c r="AR679" s="3518">
        <v>12</v>
      </c>
      <c r="AS679" s="3518">
        <v>12</v>
      </c>
      <c r="AU679" s="2244" t="s">
        <v>50</v>
      </c>
      <c r="AV679" s="3521">
        <v>210</v>
      </c>
      <c r="AW679" s="3521">
        <v>210</v>
      </c>
      <c r="AX679" s="3521">
        <v>210</v>
      </c>
      <c r="AY679" s="3521">
        <v>210</v>
      </c>
      <c r="AZ679" s="3521">
        <v>210</v>
      </c>
      <c r="BA679" s="3522">
        <v>210</v>
      </c>
      <c r="BB679" s="3522">
        <v>210</v>
      </c>
      <c r="BC679" s="3522">
        <v>210</v>
      </c>
      <c r="BD679" s="3522">
        <v>210</v>
      </c>
      <c r="BE679" s="3589">
        <v>1500</v>
      </c>
      <c r="CG679" s="2237"/>
      <c r="CH679" s="2237"/>
      <c r="CI679" s="2237"/>
      <c r="CJ679" s="2237"/>
      <c r="CW679" s="2237"/>
      <c r="CX679" s="2237"/>
      <c r="CY679" s="2237"/>
      <c r="CZ679" s="2237"/>
      <c r="DG679" s="2418">
        <f>(DI679)/(DJ679)</f>
        <v>1.5549616194476847</v>
      </c>
      <c r="DH679" s="2419" t="str">
        <f>CONCATENATE(G679," ",J679," Year EUL")</f>
        <v>Cooking BUS 12 Year EUL</v>
      </c>
      <c r="DI679" s="3677">
        <f>(INDEX('Avoided Cost Benefits'!$B$4:$B$865,MATCH(DH679,'Avoided Cost Benefits'!$A$4:$A$865,0)))*F679</f>
        <v>2332.4424291715272</v>
      </c>
      <c r="DJ679" s="2421">
        <f>K679/(1.0686^(2025-2025))</f>
        <v>1500</v>
      </c>
    </row>
    <row r="680" spans="1:114" s="3517" customFormat="1">
      <c r="B680" s="2208">
        <f t="shared" si="173"/>
        <v>805200</v>
      </c>
      <c r="C680" s="3499" t="s">
        <v>791</v>
      </c>
      <c r="D680" s="3509" t="str">
        <f t="shared" si="174"/>
        <v>BSS</v>
      </c>
      <c r="E680" s="3574" t="s">
        <v>792</v>
      </c>
      <c r="F680" s="3510">
        <f>ROUND((((G691*(I691-J691/K691))-(H691*(I691-J691/L691)))+((J691*M691/N691)-(J691*M691/O691))+P691)*F691/1000,2)</f>
        <v>2720.46</v>
      </c>
      <c r="G680" s="3503" t="s">
        <v>407</v>
      </c>
      <c r="H680" s="3511">
        <f>VLOOKUP(G680,'CP FACTORS'!$A$26:$B$38,2,FALSE)</f>
        <v>1.998949E-4</v>
      </c>
      <c r="I680" s="3769">
        <f>ROUND(H680*F680,6)</f>
        <v>0.54380600000000001</v>
      </c>
      <c r="J680" s="2687">
        <v>12</v>
      </c>
      <c r="K680" s="3513">
        <v>500</v>
      </c>
      <c r="L680" s="3717" t="s">
        <v>62</v>
      </c>
      <c r="M680" s="3528"/>
      <c r="N680" s="3528"/>
      <c r="O680" s="3528"/>
      <c r="P680" s="3528"/>
      <c r="Q680" s="3528"/>
      <c r="R680" s="3528"/>
      <c r="S680" s="3528"/>
      <c r="T680" s="3528"/>
      <c r="U680" s="3528"/>
      <c r="V680" s="2244" t="s">
        <v>45</v>
      </c>
      <c r="W680" s="3224">
        <v>2537.8352678571446</v>
      </c>
      <c r="X680" s="3224">
        <v>2537.8352678571446</v>
      </c>
      <c r="Y680" s="3224">
        <v>2537.8352678571446</v>
      </c>
      <c r="Z680" s="3224">
        <v>2537.8352678571446</v>
      </c>
      <c r="AA680" s="3224">
        <v>2537.8352678571446</v>
      </c>
      <c r="AB680" s="3222">
        <v>2537.84</v>
      </c>
      <c r="AC680" s="3374">
        <v>2537.84</v>
      </c>
      <c r="AD680" s="3374">
        <v>2537.84</v>
      </c>
      <c r="AE680" s="3374">
        <v>2537.84</v>
      </c>
      <c r="AF680" s="3374">
        <v>2720.46</v>
      </c>
      <c r="AG680" s="2413"/>
      <c r="AH680" s="2237"/>
      <c r="AI680" s="2244" t="s">
        <v>49</v>
      </c>
      <c r="AJ680" s="3506">
        <v>12</v>
      </c>
      <c r="AK680" s="3506">
        <v>12</v>
      </c>
      <c r="AL680" s="3506">
        <v>12</v>
      </c>
      <c r="AM680" s="3506">
        <v>12</v>
      </c>
      <c r="AN680" s="3506">
        <v>12</v>
      </c>
      <c r="AO680" s="3518">
        <v>12</v>
      </c>
      <c r="AP680" s="3518">
        <v>12</v>
      </c>
      <c r="AQ680" s="3518">
        <v>12</v>
      </c>
      <c r="AR680" s="3518">
        <v>12</v>
      </c>
      <c r="AS680" s="3518">
        <v>12</v>
      </c>
      <c r="AU680" s="2244" t="s">
        <v>50</v>
      </c>
      <c r="AV680" s="3521">
        <v>0</v>
      </c>
      <c r="AW680" s="3521">
        <v>0</v>
      </c>
      <c r="AX680" s="3521">
        <v>0</v>
      </c>
      <c r="AY680" s="3521">
        <v>0</v>
      </c>
      <c r="AZ680" s="3521">
        <v>0</v>
      </c>
      <c r="BA680" s="3522">
        <v>0</v>
      </c>
      <c r="BB680" s="3522">
        <v>0</v>
      </c>
      <c r="BC680" s="3522">
        <v>0</v>
      </c>
      <c r="BD680" s="3522">
        <v>0</v>
      </c>
      <c r="BE680" s="3589">
        <v>500</v>
      </c>
      <c r="CG680" s="2237"/>
      <c r="CH680" s="2237"/>
      <c r="CI680" s="2237"/>
      <c r="CJ680" s="2237"/>
      <c r="CW680" s="2237"/>
      <c r="CX680" s="2237"/>
      <c r="CY680" s="2237"/>
      <c r="CZ680" s="2237"/>
      <c r="DG680" s="2418">
        <f t="shared" ref="DG680" si="175">IFERROR((DI680)/(DJ680),"n/a")</f>
        <v>3.8331594538180007</v>
      </c>
      <c r="DH680" s="2423" t="str">
        <f>CONCATENATE(G680," ",J680," Year EUL")</f>
        <v>Cooking BUS 12 Year EUL</v>
      </c>
      <c r="DI680" s="3678">
        <f>(INDEX('Avoided Cost Benefits'!$B$4:$B$865,MATCH(DH680,'Avoided Cost Benefits'!$A$4:$A$865,0)))*F680</f>
        <v>1916.5797269090003</v>
      </c>
      <c r="DJ680" s="2431">
        <f>K680/(1.0686^(2025-2025))</f>
        <v>500</v>
      </c>
    </row>
    <row r="681" spans="1:114" s="3517" customFormat="1" outlineLevel="1">
      <c r="C681" s="3564"/>
      <c r="D681" s="2624" t="s">
        <v>118</v>
      </c>
      <c r="E681" s="2360" t="s">
        <v>793</v>
      </c>
      <c r="F681" s="3805">
        <f>2698-F680</f>
        <v>-22.460000000000036</v>
      </c>
      <c r="G681" s="3564"/>
      <c r="H681" s="3679"/>
      <c r="I681" s="3564"/>
      <c r="J681" s="3564"/>
      <c r="K681" s="3564"/>
      <c r="L681" s="3528"/>
      <c r="M681" s="3528"/>
      <c r="N681" s="3528"/>
      <c r="O681" s="3528"/>
      <c r="P681" s="3528"/>
      <c r="Q681" s="3528"/>
      <c r="R681" s="3528"/>
      <c r="S681" s="3528"/>
      <c r="T681" s="3528"/>
      <c r="U681" s="3528"/>
      <c r="CG681" s="2237"/>
      <c r="CH681" s="2237"/>
      <c r="CI681" s="2237"/>
      <c r="CJ681" s="2237"/>
      <c r="CW681" s="2237"/>
      <c r="CX681" s="2237"/>
      <c r="CY681" s="2237"/>
      <c r="CZ681" s="2237"/>
      <c r="DG681" s="3551"/>
      <c r="DH681" s="3528"/>
      <c r="DI681" s="3528"/>
      <c r="DJ681" s="3552"/>
    </row>
    <row r="682" spans="1:114" s="3517" customFormat="1" outlineLevel="1">
      <c r="C682" s="3564"/>
      <c r="D682" s="3564" t="s">
        <v>120</v>
      </c>
      <c r="E682" s="2086"/>
      <c r="F682" s="3805">
        <f>F679-3274</f>
        <v>36.75</v>
      </c>
      <c r="G682" s="3564"/>
      <c r="H682" s="3679"/>
      <c r="I682" s="3564"/>
      <c r="J682" s="3564"/>
      <c r="K682" s="2086"/>
      <c r="L682" s="3528"/>
      <c r="M682" s="3528"/>
      <c r="N682" s="3528"/>
      <c r="O682" s="3528"/>
      <c r="P682" s="3528"/>
      <c r="Q682" s="3528"/>
      <c r="R682" s="3528"/>
      <c r="S682" s="3528"/>
      <c r="T682" s="3528"/>
      <c r="U682" s="3528"/>
      <c r="CG682" s="2237"/>
      <c r="CH682" s="2237"/>
      <c r="CI682" s="2237"/>
      <c r="CJ682" s="2237"/>
      <c r="CW682" s="2237"/>
      <c r="CX682" s="2237"/>
      <c r="CY682" s="2237"/>
      <c r="CZ682" s="2237"/>
      <c r="DG682" s="3551"/>
      <c r="DH682" s="3528"/>
      <c r="DI682" s="3528"/>
      <c r="DJ682" s="3552"/>
    </row>
    <row r="683" spans="1:114" s="3517" customFormat="1" outlineLevel="1">
      <c r="C683" s="3564"/>
      <c r="D683" s="3680"/>
      <c r="E683" s="2086"/>
      <c r="F683" s="2086"/>
      <c r="G683" s="3528"/>
      <c r="H683" s="3569"/>
      <c r="I683" s="3528"/>
      <c r="J683" s="3528"/>
      <c r="K683" s="3528"/>
      <c r="L683" s="3528"/>
      <c r="M683" s="3528"/>
      <c r="N683" s="3528"/>
      <c r="O683" s="3528"/>
      <c r="P683" s="3528"/>
      <c r="Q683" s="3528"/>
      <c r="R683" s="3528"/>
      <c r="S683" s="3528"/>
      <c r="T683" s="3528"/>
      <c r="U683" s="3528"/>
      <c r="CG683" s="2237"/>
      <c r="CH683" s="2237"/>
      <c r="CI683" s="2237"/>
      <c r="CJ683" s="2237"/>
      <c r="CW683" s="2237"/>
      <c r="CX683" s="2237"/>
      <c r="CY683" s="2237"/>
      <c r="CZ683" s="2237"/>
      <c r="DG683" s="3551"/>
      <c r="DH683" s="3528"/>
      <c r="DI683" s="3528"/>
      <c r="DJ683" s="3552"/>
    </row>
    <row r="684" spans="1:114" s="3517" customFormat="1" outlineLevel="1">
      <c r="C684" s="3564"/>
      <c r="D684" s="3680"/>
      <c r="E684" s="3528"/>
      <c r="F684" s="3528"/>
      <c r="G684" s="3528"/>
      <c r="H684" s="3569"/>
      <c r="I684" s="3528"/>
      <c r="J684" s="3528"/>
      <c r="K684" s="3528"/>
      <c r="L684" s="3528"/>
      <c r="M684" s="3528"/>
      <c r="N684" s="3528"/>
      <c r="O684" s="3528"/>
      <c r="P684" s="4011"/>
      <c r="Q684" s="4011"/>
      <c r="R684" s="3528"/>
      <c r="S684" s="3528"/>
      <c r="T684" s="3528"/>
      <c r="U684" s="3528"/>
      <c r="CG684" s="2237"/>
      <c r="CH684" s="2237"/>
      <c r="CI684" s="2237"/>
      <c r="CJ684" s="2237"/>
      <c r="CW684" s="2237"/>
      <c r="CX684" s="2237"/>
      <c r="CY684" s="2237"/>
      <c r="CZ684" s="2237"/>
      <c r="DG684" s="3551"/>
      <c r="DH684" s="3528"/>
      <c r="DI684" s="3528"/>
      <c r="DJ684" s="3552"/>
    </row>
    <row r="685" spans="1:114" s="3517" customFormat="1" outlineLevel="1">
      <c r="C685" s="3564"/>
      <c r="D685" s="3680"/>
      <c r="E685" s="3528"/>
      <c r="F685" s="3528"/>
      <c r="G685" s="3528"/>
      <c r="H685" s="3569"/>
      <c r="I685" s="3528"/>
      <c r="J685" s="3528"/>
      <c r="K685" s="3528"/>
      <c r="L685" s="3528"/>
      <c r="M685" s="3564"/>
      <c r="N685" s="3528"/>
      <c r="O685" s="3528"/>
      <c r="P685" s="4011"/>
      <c r="Q685" s="4011"/>
      <c r="R685" s="3528"/>
      <c r="S685" s="3528"/>
      <c r="T685" s="3528"/>
      <c r="U685" s="3528"/>
      <c r="CG685" s="2237"/>
      <c r="CH685" s="2237"/>
      <c r="CI685" s="2237"/>
      <c r="CJ685" s="2237"/>
      <c r="CW685" s="2237"/>
      <c r="CX685" s="2237"/>
      <c r="CY685" s="2237"/>
      <c r="CZ685" s="2237"/>
      <c r="DG685" s="3551"/>
      <c r="DH685" s="3528"/>
      <c r="DI685" s="3528"/>
      <c r="DJ685" s="3552"/>
    </row>
    <row r="686" spans="1:114" s="3517" customFormat="1" outlineLevel="1">
      <c r="C686" s="3564"/>
      <c r="D686" s="3680"/>
      <c r="E686" s="3528"/>
      <c r="F686" s="3528"/>
      <c r="G686" s="3528"/>
      <c r="H686" s="3569"/>
      <c r="I686" s="3528"/>
      <c r="J686" s="3528"/>
      <c r="K686" s="3528"/>
      <c r="L686" s="3528"/>
      <c r="M686" s="3564"/>
      <c r="N686" s="3528"/>
      <c r="O686" s="3528"/>
      <c r="P686" s="4011"/>
      <c r="Q686" s="4011"/>
      <c r="R686" s="3528"/>
      <c r="S686" s="3528"/>
      <c r="T686" s="3528"/>
      <c r="U686" s="3528"/>
      <c r="CG686" s="2237"/>
      <c r="CH686" s="2237"/>
      <c r="CI686" s="2237"/>
      <c r="CJ686" s="2237"/>
      <c r="CW686" s="2237"/>
      <c r="CX686" s="2237"/>
      <c r="CY686" s="2237"/>
      <c r="CZ686" s="2237"/>
      <c r="DG686" s="3551"/>
      <c r="DH686" s="3528"/>
      <c r="DI686" s="3528"/>
      <c r="DJ686" s="3552"/>
    </row>
    <row r="687" spans="1:114" s="3517" customFormat="1" outlineLevel="1">
      <c r="C687" s="3564"/>
      <c r="D687" s="3680"/>
      <c r="E687" s="3528"/>
      <c r="F687" s="3528"/>
      <c r="G687" s="3528"/>
      <c r="H687" s="3569"/>
      <c r="I687" s="3528"/>
      <c r="J687" s="3528"/>
      <c r="K687" s="3528"/>
      <c r="L687" s="3528"/>
      <c r="M687" s="3564"/>
      <c r="N687" s="3528"/>
      <c r="O687" s="3528"/>
      <c r="P687" s="3528"/>
      <c r="Q687" s="3528"/>
      <c r="R687" s="3528"/>
      <c r="S687" s="3528"/>
      <c r="T687" s="3528"/>
      <c r="U687" s="3528"/>
      <c r="CG687" s="2237"/>
      <c r="CH687" s="2237"/>
      <c r="CI687" s="2237"/>
      <c r="CJ687" s="2237"/>
      <c r="CW687" s="2237"/>
      <c r="CX687" s="2237"/>
      <c r="CY687" s="2237"/>
      <c r="CZ687" s="2237"/>
      <c r="DG687" s="3551"/>
      <c r="DH687" s="3528"/>
      <c r="DI687" s="3528"/>
      <c r="DJ687" s="3552"/>
    </row>
    <row r="688" spans="1:114" s="3517" customFormat="1" outlineLevel="1">
      <c r="C688" s="3564"/>
      <c r="D688" s="3680"/>
      <c r="E688" s="3528"/>
      <c r="F688" s="3528"/>
      <c r="G688" s="3528"/>
      <c r="H688" s="3569"/>
      <c r="I688" s="3528"/>
      <c r="J688" s="3528"/>
      <c r="K688" s="3528"/>
      <c r="L688" s="3528"/>
      <c r="M688" s="3528"/>
      <c r="N688" s="3528"/>
      <c r="O688" s="3528"/>
      <c r="P688" s="3528"/>
      <c r="Q688" s="3528"/>
      <c r="R688" s="3528"/>
      <c r="S688" s="3528"/>
      <c r="T688" s="3528"/>
      <c r="U688" s="3528"/>
      <c r="CG688" s="2237"/>
      <c r="CH688" s="2237"/>
      <c r="CI688" s="2237"/>
      <c r="CJ688" s="2237"/>
      <c r="CW688" s="2237"/>
      <c r="CX688" s="2237"/>
      <c r="CY688" s="2237"/>
      <c r="CZ688" s="2237"/>
      <c r="DG688" s="3551"/>
      <c r="DH688" s="3528"/>
      <c r="DI688" s="3528"/>
      <c r="DJ688" s="3552"/>
    </row>
    <row r="689" spans="1:114" s="3044" customFormat="1" ht="30" outlineLevel="1">
      <c r="A689" s="3517"/>
      <c r="C689" s="2086"/>
      <c r="D689" s="3682" t="s">
        <v>42</v>
      </c>
      <c r="E689" s="3682" t="s">
        <v>275</v>
      </c>
      <c r="F689" s="3725" t="s">
        <v>421</v>
      </c>
      <c r="G689" s="3682" t="s">
        <v>794</v>
      </c>
      <c r="H689" s="3682" t="s">
        <v>795</v>
      </c>
      <c r="I689" s="3682" t="s">
        <v>778</v>
      </c>
      <c r="J689" s="3682" t="s">
        <v>796</v>
      </c>
      <c r="K689" s="3682" t="s">
        <v>797</v>
      </c>
      <c r="L689" s="3682" t="s">
        <v>798</v>
      </c>
      <c r="M689" s="3682" t="s">
        <v>799</v>
      </c>
      <c r="N689" s="3779" t="s">
        <v>800</v>
      </c>
      <c r="O689" s="3779" t="s">
        <v>801</v>
      </c>
      <c r="P689" s="3745" t="s">
        <v>776</v>
      </c>
      <c r="Q689" s="2697"/>
      <c r="R689" s="2697"/>
      <c r="S689" s="2697"/>
      <c r="T689" s="2697"/>
      <c r="U689" s="2697"/>
      <c r="V689" s="2640" t="s">
        <v>52</v>
      </c>
      <c r="W689" s="2641">
        <f>$W$8</f>
        <v>43252</v>
      </c>
      <c r="X689" s="2641">
        <f>$X$8</f>
        <v>43465</v>
      </c>
      <c r="Y689" s="2641">
        <f>$Y$8</f>
        <v>43800</v>
      </c>
      <c r="Z689" s="2641">
        <f>$Z$8</f>
        <v>43862</v>
      </c>
      <c r="AA689" s="2641">
        <f>$AA$8</f>
        <v>44013</v>
      </c>
      <c r="AB689" s="2641">
        <v>44166</v>
      </c>
      <c r="AC689" s="2641">
        <f>$AC$8</f>
        <v>44531</v>
      </c>
      <c r="AD689" s="2641">
        <f>$AD$8</f>
        <v>44774</v>
      </c>
      <c r="AE689" s="2641">
        <f>$AE$8</f>
        <v>45142</v>
      </c>
      <c r="AF689" s="2641">
        <f>$AF$8</f>
        <v>45672</v>
      </c>
      <c r="AG689" s="2641" t="str">
        <f>$AG$8</f>
        <v>-</v>
      </c>
      <c r="AH689" s="2237"/>
      <c r="AI689" s="2640" t="s">
        <v>52</v>
      </c>
      <c r="AJ689" s="2641">
        <v>43252</v>
      </c>
      <c r="AK689" s="2641">
        <f>$X$8</f>
        <v>43465</v>
      </c>
      <c r="AL689" s="2641">
        <f>$Y$8</f>
        <v>43800</v>
      </c>
      <c r="AM689" s="2641">
        <f>$Z$8</f>
        <v>43862</v>
      </c>
      <c r="AN689" s="2641">
        <f>$AA$8</f>
        <v>44013</v>
      </c>
      <c r="AO689" s="2641">
        <f>$AB$8</f>
        <v>44166</v>
      </c>
      <c r="AP689" s="2641">
        <f>$AC$8</f>
        <v>44531</v>
      </c>
      <c r="AQ689" s="2641">
        <f>$AD$8</f>
        <v>44774</v>
      </c>
      <c r="AR689" s="2641">
        <f>$AE$8</f>
        <v>45142</v>
      </c>
      <c r="AS689" s="2641">
        <f>$AF$8</f>
        <v>45672</v>
      </c>
      <c r="AT689" s="3517"/>
      <c r="AU689" s="2640" t="s">
        <v>52</v>
      </c>
      <c r="AV689" s="2641">
        <v>43252</v>
      </c>
      <c r="AW689" s="2641">
        <f>$X$8</f>
        <v>43465</v>
      </c>
      <c r="AX689" s="2641">
        <f>$Y$8</f>
        <v>43800</v>
      </c>
      <c r="AY689" s="2641">
        <f>$Z$8</f>
        <v>43862</v>
      </c>
      <c r="AZ689" s="2641">
        <f>$AA$8</f>
        <v>44013</v>
      </c>
      <c r="BA689" s="2641">
        <v>44166</v>
      </c>
      <c r="BB689" s="2641">
        <f>$AC$8</f>
        <v>44531</v>
      </c>
      <c r="BC689" s="2641">
        <f>$AD$8</f>
        <v>44774</v>
      </c>
      <c r="BD689" s="2641">
        <f>$AE$8</f>
        <v>45142</v>
      </c>
      <c r="BE689" s="2641">
        <f>$AF$8</f>
        <v>45672</v>
      </c>
      <c r="BG689" s="2640" t="s">
        <v>52</v>
      </c>
      <c r="BH689" s="2641">
        <f>$W$8</f>
        <v>43252</v>
      </c>
      <c r="BI689" s="2641">
        <f>$X$8</f>
        <v>43465</v>
      </c>
      <c r="BJ689" s="2641">
        <f>$Y$8</f>
        <v>43800</v>
      </c>
      <c r="BK689" s="2641">
        <f>$Z$8</f>
        <v>43862</v>
      </c>
      <c r="BL689" s="2641">
        <f>$AA$8</f>
        <v>44013</v>
      </c>
      <c r="BM689" s="2641">
        <v>44166</v>
      </c>
      <c r="BN689" s="2641">
        <f>$AC$8</f>
        <v>44531</v>
      </c>
      <c r="BO689" s="2641">
        <f>$AD$8</f>
        <v>44774</v>
      </c>
      <c r="BP689" s="2641">
        <f>$AE$8</f>
        <v>45142</v>
      </c>
      <c r="BQ689" s="2641">
        <f>$AF$8</f>
        <v>45672</v>
      </c>
      <c r="BR689" s="2641" t="str">
        <f>$AG$8</f>
        <v>-</v>
      </c>
      <c r="BS689" s="2237"/>
      <c r="BT689" s="2640" t="s">
        <v>52</v>
      </c>
      <c r="BU689" s="2641">
        <v>43252</v>
      </c>
      <c r="BV689" s="2641">
        <f>$X$8</f>
        <v>43465</v>
      </c>
      <c r="BW689" s="2641">
        <f>$Y$8</f>
        <v>43800</v>
      </c>
      <c r="BX689" s="2641">
        <f>$Z$8</f>
        <v>43862</v>
      </c>
      <c r="BY689" s="2641">
        <f>$AA$8</f>
        <v>44013</v>
      </c>
      <c r="BZ689" s="2641">
        <f>$AB$8</f>
        <v>44166</v>
      </c>
      <c r="CA689" s="2641">
        <f>$AC$8</f>
        <v>44531</v>
      </c>
      <c r="CB689" s="2641">
        <f>$AD$8</f>
        <v>44774</v>
      </c>
      <c r="CC689" s="2641">
        <f>$AE$8</f>
        <v>45142</v>
      </c>
      <c r="CD689" s="2641">
        <f>$AF$8</f>
        <v>45672</v>
      </c>
      <c r="CE689" s="3517"/>
      <c r="CF689" s="2640" t="s">
        <v>52</v>
      </c>
      <c r="CG689" s="2641">
        <v>43252</v>
      </c>
      <c r="CH689" s="2641">
        <f>$X$8</f>
        <v>43465</v>
      </c>
      <c r="CI689" s="2641">
        <f>$Y$8</f>
        <v>43800</v>
      </c>
      <c r="CJ689" s="2641">
        <f>$Z$8</f>
        <v>43862</v>
      </c>
      <c r="CK689" s="2641">
        <f>$AA$8</f>
        <v>44013</v>
      </c>
      <c r="CL689" s="2641">
        <v>44166</v>
      </c>
      <c r="CM689" s="2641">
        <f>$AC$8</f>
        <v>44531</v>
      </c>
      <c r="CN689" s="2641">
        <f>$AD$8</f>
        <v>44774</v>
      </c>
      <c r="CO689" s="2641">
        <f>$AE$8</f>
        <v>45142</v>
      </c>
      <c r="CP689" s="2641">
        <f>$AF$8</f>
        <v>45672</v>
      </c>
      <c r="CR689" s="2640" t="s">
        <v>52</v>
      </c>
      <c r="CS689" s="2641">
        <f>$W$8</f>
        <v>43252</v>
      </c>
      <c r="CT689" s="2641">
        <f>$X$8</f>
        <v>43465</v>
      </c>
      <c r="CU689" s="2641">
        <f>$Y$8</f>
        <v>43800</v>
      </c>
      <c r="CV689" s="2641">
        <f>$Z$8</f>
        <v>43862</v>
      </c>
      <c r="CW689" s="2641">
        <f>$AA$8</f>
        <v>44013</v>
      </c>
      <c r="CX689" s="2641">
        <v>44166</v>
      </c>
      <c r="CY689" s="2641">
        <f>$AC$8</f>
        <v>44531</v>
      </c>
      <c r="CZ689" s="2641">
        <f>$AD$8</f>
        <v>44774</v>
      </c>
      <c r="DA689" s="2641">
        <f>$AE$8</f>
        <v>45142</v>
      </c>
      <c r="DB689" s="2641">
        <f>$AF$8</f>
        <v>45672</v>
      </c>
      <c r="DC689" s="2641" t="str">
        <f>$AG$8</f>
        <v>-</v>
      </c>
      <c r="DH689" s="2697"/>
      <c r="DI689" s="2697"/>
      <c r="DJ689" s="3552"/>
    </row>
    <row r="690" spans="1:114" s="3517" customFormat="1" outlineLevel="1">
      <c r="C690" s="3564"/>
      <c r="D690" s="3598" t="str">
        <f>C679</f>
        <v>805150_2024_12_</v>
      </c>
      <c r="E690" s="3598" t="str">
        <f>E679</f>
        <v>Standard Open Deep-Fat Fryer</v>
      </c>
      <c r="F690" s="3806">
        <v>365.25</v>
      </c>
      <c r="G690" s="3807">
        <v>1200</v>
      </c>
      <c r="H690" s="3808">
        <v>800</v>
      </c>
      <c r="I690" s="3809">
        <v>16</v>
      </c>
      <c r="J690" s="3809">
        <v>150</v>
      </c>
      <c r="K690" s="3810">
        <v>65</v>
      </c>
      <c r="L690" s="3809">
        <v>70</v>
      </c>
      <c r="M690" s="3810">
        <v>167</v>
      </c>
      <c r="N690" s="2794">
        <v>0.75</v>
      </c>
      <c r="O690" s="3645">
        <v>0.83</v>
      </c>
      <c r="P690" s="3784">
        <v>500</v>
      </c>
      <c r="Q690" s="3528"/>
      <c r="R690" s="3528"/>
      <c r="S690" s="3528"/>
      <c r="T690" s="3528"/>
      <c r="U690" s="3528"/>
      <c r="V690" s="2244" t="s">
        <v>794</v>
      </c>
      <c r="W690" s="3224">
        <v>1050</v>
      </c>
      <c r="X690" s="3224">
        <v>1050</v>
      </c>
      <c r="Y690" s="3224">
        <v>1050</v>
      </c>
      <c r="Z690" s="3224">
        <v>1050</v>
      </c>
      <c r="AA690" s="3224">
        <v>1050</v>
      </c>
      <c r="AB690" s="3224">
        <v>1050</v>
      </c>
      <c r="AC690" s="3224">
        <v>1050</v>
      </c>
      <c r="AD690" s="3224">
        <v>1050</v>
      </c>
      <c r="AE690" s="3224">
        <v>1050</v>
      </c>
      <c r="AF690" s="3374">
        <v>1200</v>
      </c>
      <c r="AG690" s="2413"/>
      <c r="AH690" s="2237"/>
      <c r="AI690" s="2244" t="s">
        <v>795</v>
      </c>
      <c r="AJ690" s="3506">
        <v>1000</v>
      </c>
      <c r="AK690" s="3506">
        <v>1000</v>
      </c>
      <c r="AL690" s="3506">
        <v>1000</v>
      </c>
      <c r="AM690" s="3506">
        <v>1000</v>
      </c>
      <c r="AN690" s="3506">
        <v>1000</v>
      </c>
      <c r="AO690" s="3506">
        <v>1000</v>
      </c>
      <c r="AP690" s="3506">
        <v>1000</v>
      </c>
      <c r="AQ690" s="3506">
        <v>1000</v>
      </c>
      <c r="AR690" s="3506">
        <v>1000</v>
      </c>
      <c r="AS690" s="3762">
        <v>800</v>
      </c>
      <c r="AU690" s="2244" t="s">
        <v>797</v>
      </c>
      <c r="AV690" s="3763">
        <v>65</v>
      </c>
      <c r="AW690" s="3763">
        <v>65</v>
      </c>
      <c r="AX690" s="3763">
        <v>65</v>
      </c>
      <c r="AY690" s="3763">
        <v>65</v>
      </c>
      <c r="AZ690" s="3763">
        <v>65</v>
      </c>
      <c r="BA690" s="3763">
        <v>65</v>
      </c>
      <c r="BB690" s="3763">
        <v>65</v>
      </c>
      <c r="BC690" s="3763">
        <v>65</v>
      </c>
      <c r="BD690" s="3763">
        <v>65</v>
      </c>
      <c r="BE690" s="3763">
        <v>65</v>
      </c>
      <c r="BG690" s="2244" t="s">
        <v>800</v>
      </c>
      <c r="BH690" s="3811">
        <v>0.75</v>
      </c>
      <c r="BI690" s="3811">
        <v>0.75</v>
      </c>
      <c r="BJ690" s="3811">
        <v>0.75</v>
      </c>
      <c r="BK690" s="3811">
        <v>0.75</v>
      </c>
      <c r="BL690" s="3811">
        <v>0.75</v>
      </c>
      <c r="BM690" s="3811">
        <v>0.75</v>
      </c>
      <c r="BN690" s="3811">
        <v>0.75</v>
      </c>
      <c r="BO690" s="3811">
        <v>0.75</v>
      </c>
      <c r="BP690" s="3811">
        <v>0.75</v>
      </c>
      <c r="BQ690" s="3811">
        <v>0.75</v>
      </c>
      <c r="BR690" s="2413"/>
      <c r="BS690" s="2237"/>
      <c r="BT690" s="2244" t="s">
        <v>801</v>
      </c>
      <c r="BU690" s="3811">
        <v>0.8</v>
      </c>
      <c r="BV690" s="3811">
        <v>0.8</v>
      </c>
      <c r="BW690" s="3811">
        <v>0.8</v>
      </c>
      <c r="BX690" s="3811">
        <v>0.8</v>
      </c>
      <c r="BY690" s="3811">
        <v>0.8</v>
      </c>
      <c r="BZ690" s="3811">
        <v>0.8</v>
      </c>
      <c r="CA690" s="3811">
        <v>0.8</v>
      </c>
      <c r="CB690" s="3811">
        <v>0.8</v>
      </c>
      <c r="CC690" s="3811">
        <v>0.8</v>
      </c>
      <c r="CD690" s="3812">
        <v>0.83</v>
      </c>
      <c r="CF690" s="2409" t="s">
        <v>777</v>
      </c>
      <c r="CG690" s="3521"/>
      <c r="CH690" s="3521"/>
      <c r="CI690" s="3521"/>
      <c r="CJ690" s="3521"/>
      <c r="CK690" s="3521"/>
      <c r="CL690" s="3522"/>
      <c r="CM690" s="3522"/>
      <c r="CN690" s="3522"/>
      <c r="CO690" s="3522"/>
      <c r="CP690" s="3787">
        <v>500</v>
      </c>
      <c r="CR690" s="2244"/>
      <c r="CS690" s="3224"/>
      <c r="CT690" s="3224"/>
      <c r="CU690" s="3224"/>
      <c r="CV690" s="3224"/>
      <c r="CW690" s="3224"/>
      <c r="CX690" s="3222"/>
      <c r="CY690" s="3374"/>
      <c r="CZ690" s="3374"/>
      <c r="DA690" s="3374"/>
      <c r="DB690" s="3374"/>
      <c r="DC690" s="2413"/>
      <c r="DG690" s="3551"/>
      <c r="DH690" s="3528"/>
      <c r="DI690" s="3528"/>
      <c r="DJ690" s="3552"/>
    </row>
    <row r="691" spans="1:114" s="3517" customFormat="1" outlineLevel="1">
      <c r="C691" s="3564"/>
      <c r="D691" s="3598" t="str">
        <f>C680</f>
        <v>805200_2024_12_</v>
      </c>
      <c r="E691" s="3598" t="str">
        <f>E680</f>
        <v>Large Vat Open Deep-Fat Fryer</v>
      </c>
      <c r="F691" s="3806">
        <v>365.25</v>
      </c>
      <c r="G691" s="3813">
        <v>1350</v>
      </c>
      <c r="H691" s="3809">
        <v>1100</v>
      </c>
      <c r="I691" s="3809">
        <v>12</v>
      </c>
      <c r="J691" s="3809">
        <v>150</v>
      </c>
      <c r="K691" s="3810">
        <v>100</v>
      </c>
      <c r="L691" s="3809">
        <v>110</v>
      </c>
      <c r="M691" s="3810">
        <v>167</v>
      </c>
      <c r="N691" s="2794">
        <v>0.7</v>
      </c>
      <c r="O691" s="3628">
        <v>0.8</v>
      </c>
      <c r="P691" s="3784">
        <v>500</v>
      </c>
      <c r="Q691" s="3528"/>
      <c r="R691" s="3528"/>
      <c r="S691" s="3528"/>
      <c r="T691" s="3528"/>
      <c r="U691" s="3528"/>
      <c r="V691" s="2244" t="s">
        <v>794</v>
      </c>
      <c r="W691" s="3224">
        <v>1350</v>
      </c>
      <c r="X691" s="3224">
        <v>1350</v>
      </c>
      <c r="Y691" s="3224">
        <v>1350</v>
      </c>
      <c r="Z691" s="3224">
        <v>1350</v>
      </c>
      <c r="AA691" s="3224">
        <v>1350</v>
      </c>
      <c r="AB691" s="3224">
        <v>1350</v>
      </c>
      <c r="AC691" s="3224">
        <v>1350</v>
      </c>
      <c r="AD691" s="3224">
        <v>1350</v>
      </c>
      <c r="AE691" s="3224">
        <v>1350</v>
      </c>
      <c r="AF691" s="3374">
        <v>1350</v>
      </c>
      <c r="AG691" s="2413"/>
      <c r="AH691" s="2237"/>
      <c r="AI691" s="2244" t="s">
        <v>795</v>
      </c>
      <c r="AJ691" s="3506">
        <v>1100</v>
      </c>
      <c r="AK691" s="3506">
        <v>1100</v>
      </c>
      <c r="AL691" s="3506">
        <v>1100</v>
      </c>
      <c r="AM691" s="3506">
        <v>1100</v>
      </c>
      <c r="AN691" s="3506">
        <v>1100</v>
      </c>
      <c r="AO691" s="3506">
        <v>1100</v>
      </c>
      <c r="AP691" s="3506">
        <v>1100</v>
      </c>
      <c r="AQ691" s="3506">
        <v>1100</v>
      </c>
      <c r="AR691" s="3506">
        <v>1100</v>
      </c>
      <c r="AS691" s="3761">
        <v>1100</v>
      </c>
      <c r="AU691" s="2244" t="s">
        <v>797</v>
      </c>
      <c r="AV691" s="3763">
        <v>100</v>
      </c>
      <c r="AW691" s="3763">
        <v>100</v>
      </c>
      <c r="AX691" s="3763">
        <v>100</v>
      </c>
      <c r="AY691" s="3763">
        <v>100</v>
      </c>
      <c r="AZ691" s="3763">
        <v>100</v>
      </c>
      <c r="BA691" s="3763">
        <v>100</v>
      </c>
      <c r="BB691" s="3763">
        <v>100</v>
      </c>
      <c r="BC691" s="3763">
        <v>100</v>
      </c>
      <c r="BD691" s="3763">
        <v>100</v>
      </c>
      <c r="BE691" s="3763">
        <v>100</v>
      </c>
      <c r="BG691" s="2244" t="s">
        <v>800</v>
      </c>
      <c r="BH691" s="3811">
        <v>0.7</v>
      </c>
      <c r="BI691" s="3811">
        <v>0.7</v>
      </c>
      <c r="BJ691" s="3811">
        <v>0.7</v>
      </c>
      <c r="BK691" s="3811">
        <v>0.7</v>
      </c>
      <c r="BL691" s="3811">
        <v>0.7</v>
      </c>
      <c r="BM691" s="3811">
        <v>0.7</v>
      </c>
      <c r="BN691" s="3811">
        <v>0.7</v>
      </c>
      <c r="BO691" s="3811">
        <v>0.7</v>
      </c>
      <c r="BP691" s="3811">
        <v>0.7</v>
      </c>
      <c r="BQ691" s="3811">
        <v>0.7</v>
      </c>
      <c r="BR691" s="2413"/>
      <c r="BS691" s="2237"/>
      <c r="BT691" s="2244" t="s">
        <v>801</v>
      </c>
      <c r="BU691" s="3811">
        <v>0.8</v>
      </c>
      <c r="BV691" s="3811">
        <v>0.8</v>
      </c>
      <c r="BW691" s="3811">
        <v>0.8</v>
      </c>
      <c r="BX691" s="3811">
        <v>0.8</v>
      </c>
      <c r="BY691" s="3811">
        <v>0.8</v>
      </c>
      <c r="BZ691" s="3811">
        <v>0.8</v>
      </c>
      <c r="CA691" s="3811">
        <v>0.8</v>
      </c>
      <c r="CB691" s="3811">
        <v>0.8</v>
      </c>
      <c r="CC691" s="3811">
        <v>0.8</v>
      </c>
      <c r="CD691" s="3812">
        <v>0.8</v>
      </c>
      <c r="CF691" s="2409" t="s">
        <v>777</v>
      </c>
      <c r="CG691" s="3521"/>
      <c r="CH691" s="3521"/>
      <c r="CI691" s="3521"/>
      <c r="CJ691" s="3521"/>
      <c r="CK691" s="3521"/>
      <c r="CL691" s="3522"/>
      <c r="CM691" s="3522"/>
      <c r="CN691" s="3522"/>
      <c r="CO691" s="3522"/>
      <c r="CP691" s="3787">
        <v>500</v>
      </c>
      <c r="CR691" s="2244"/>
      <c r="CS691" s="3224"/>
      <c r="CT691" s="3224"/>
      <c r="CU691" s="3224"/>
      <c r="CV691" s="3224"/>
      <c r="CW691" s="3224"/>
      <c r="CX691" s="3222"/>
      <c r="CY691" s="3374"/>
      <c r="CZ691" s="3374"/>
      <c r="DA691" s="3374"/>
      <c r="DB691" s="3374"/>
      <c r="DC691" s="2413"/>
      <c r="DG691" s="3551"/>
      <c r="DH691" s="3528"/>
      <c r="DI691" s="3528"/>
      <c r="DJ691" s="3552"/>
    </row>
    <row r="692" spans="1:114" s="3517" customFormat="1">
      <c r="C692" s="3564"/>
      <c r="D692" s="3564"/>
      <c r="E692" s="3528"/>
      <c r="F692" s="3528"/>
      <c r="G692" s="3663"/>
      <c r="H692" s="3691"/>
      <c r="I692" s="3528"/>
      <c r="J692" s="3528"/>
      <c r="K692" s="3528"/>
      <c r="L692" s="3528"/>
      <c r="M692" s="3528"/>
      <c r="N692" s="3528"/>
      <c r="O692" s="3528"/>
      <c r="P692" s="3528"/>
      <c r="Q692" s="3528"/>
      <c r="R692" s="3528"/>
      <c r="S692" s="3528"/>
      <c r="T692" s="3528"/>
      <c r="U692" s="3528"/>
      <c r="CG692" s="2237"/>
      <c r="CH692" s="2237"/>
      <c r="CI692" s="2237"/>
      <c r="CJ692" s="2237"/>
      <c r="CW692" s="2237"/>
      <c r="CX692" s="2237"/>
      <c r="CY692" s="2237"/>
      <c r="CZ692" s="2237"/>
      <c r="DG692" s="3597"/>
      <c r="DH692" s="3528"/>
      <c r="DI692" s="3528"/>
      <c r="DJ692" s="3552"/>
    </row>
    <row r="693" spans="1:114" s="3517" customFormat="1">
      <c r="C693" s="3564"/>
      <c r="D693" s="3564"/>
      <c r="E693" s="3528"/>
      <c r="F693" s="3528"/>
      <c r="G693" s="3663"/>
      <c r="H693" s="3691"/>
      <c r="I693" s="3528"/>
      <c r="J693" s="3528"/>
      <c r="K693" s="3528"/>
      <c r="L693" s="3528"/>
      <c r="M693" s="3528"/>
      <c r="N693" s="3528"/>
      <c r="O693" s="3528"/>
      <c r="P693" s="3528"/>
      <c r="Q693" s="3528"/>
      <c r="R693" s="3528"/>
      <c r="S693" s="3528"/>
      <c r="T693" s="3528"/>
      <c r="U693" s="3528"/>
      <c r="CG693" s="2237"/>
      <c r="CH693" s="2237"/>
      <c r="CI693" s="2237"/>
      <c r="CJ693" s="2237"/>
      <c r="CW693" s="2237"/>
      <c r="CX693" s="2237"/>
      <c r="CY693" s="2237"/>
      <c r="CZ693" s="2237"/>
      <c r="DG693" s="3551"/>
      <c r="DH693" s="3528"/>
      <c r="DI693" s="3528"/>
      <c r="DJ693" s="3552"/>
    </row>
    <row r="694" spans="1:114" s="3564" customFormat="1">
      <c r="A694" s="3517"/>
      <c r="B694" s="3998" t="s">
        <v>802</v>
      </c>
      <c r="C694" s="3999"/>
      <c r="D694" s="3999"/>
      <c r="E694" s="3999"/>
      <c r="F694" s="3999"/>
      <c r="G694" s="3999"/>
      <c r="H694" s="3999"/>
      <c r="I694" s="4831"/>
      <c r="J694" s="4831"/>
      <c r="K694" s="4831"/>
      <c r="L694" s="4831"/>
      <c r="M694" s="4832"/>
      <c r="N694" s="4832"/>
      <c r="O694" s="4833"/>
      <c r="V694" s="2203" t="str">
        <f>B694</f>
        <v>Convection Oven</v>
      </c>
      <c r="W694" s="2204"/>
      <c r="X694" s="2204"/>
      <c r="Y694" s="2204"/>
      <c r="Z694" s="2204"/>
      <c r="AA694" s="2204"/>
      <c r="AB694" s="2204"/>
      <c r="AC694" s="2204"/>
      <c r="AD694" s="2204"/>
      <c r="AE694" s="2204"/>
      <c r="AF694" s="2204"/>
      <c r="AG694" s="2204"/>
      <c r="AH694" s="2204"/>
      <c r="AI694" s="3474"/>
      <c r="AJ694" s="3517"/>
      <c r="AK694" s="3517"/>
      <c r="AL694" s="3517"/>
      <c r="AM694" s="3517"/>
      <c r="AN694" s="3517"/>
      <c r="AO694" s="3517"/>
      <c r="AP694" s="3517"/>
      <c r="AQ694" s="3517"/>
      <c r="AR694" s="3517"/>
      <c r="AS694" s="3517"/>
      <c r="AT694" s="3517"/>
      <c r="AU694" s="3517"/>
      <c r="DG694" s="3669"/>
      <c r="DJ694" s="3567"/>
    </row>
    <row r="695" spans="1:114" s="3517" customFormat="1">
      <c r="C695" s="3564"/>
      <c r="D695" s="3670"/>
      <c r="E695" s="3564"/>
      <c r="F695" s="3564"/>
      <c r="G695" s="3564"/>
      <c r="H695" s="3671"/>
      <c r="I695" s="3564"/>
      <c r="J695" s="3564"/>
      <c r="K695" s="3564"/>
      <c r="L695" s="3564"/>
      <c r="M695" s="3528"/>
      <c r="N695" s="3528"/>
      <c r="O695" s="3528"/>
      <c r="P695" s="3564"/>
      <c r="Q695" s="3564"/>
      <c r="R695" s="3564"/>
      <c r="S695" s="3564"/>
      <c r="T695" s="3564"/>
      <c r="U695" s="3564"/>
      <c r="V695" s="2237"/>
      <c r="W695" s="2237"/>
      <c r="X695" s="2237"/>
      <c r="Y695" s="2237"/>
      <c r="Z695" s="2237"/>
      <c r="AA695" s="2237"/>
      <c r="AB695" s="2237"/>
      <c r="AC695" s="2237"/>
      <c r="AD695" s="2237"/>
      <c r="AE695" s="2237"/>
      <c r="AF695" s="2237"/>
      <c r="AG695" s="2237"/>
      <c r="AH695" s="2237"/>
      <c r="AI695" s="2237"/>
      <c r="AJ695" s="2723"/>
      <c r="AK695" s="2723"/>
      <c r="AL695" s="2723"/>
      <c r="AM695" s="2723"/>
      <c r="AN695" s="2723"/>
      <c r="AO695" s="2723"/>
      <c r="AP695" s="2723"/>
      <c r="AQ695" s="2723"/>
      <c r="AR695" s="2723"/>
      <c r="AS695" s="2723"/>
      <c r="AT695" s="2723"/>
      <c r="AU695" s="2723"/>
      <c r="CG695" s="2237"/>
      <c r="CH695" s="2237"/>
      <c r="CI695" s="2237"/>
      <c r="CJ695" s="2237"/>
      <c r="CW695" s="2237"/>
      <c r="CX695" s="2237"/>
      <c r="CY695" s="2237"/>
      <c r="CZ695" s="2237"/>
      <c r="DG695" s="3804" t="s">
        <v>788</v>
      </c>
      <c r="DH695" s="3528"/>
      <c r="DI695" s="3528"/>
      <c r="DJ695" s="3552"/>
    </row>
    <row r="696" spans="1:114" s="3044" customFormat="1" ht="30">
      <c r="A696" s="3517"/>
      <c r="B696" s="2723"/>
      <c r="C696" s="3570" t="s">
        <v>42</v>
      </c>
      <c r="D696" s="3570" t="s">
        <v>43</v>
      </c>
      <c r="E696" s="2280" t="s">
        <v>44</v>
      </c>
      <c r="F696" s="2280" t="s">
        <v>45</v>
      </c>
      <c r="G696" s="2280" t="s">
        <v>46</v>
      </c>
      <c r="H696" s="3571" t="s">
        <v>47</v>
      </c>
      <c r="I696" s="2280" t="s">
        <v>48</v>
      </c>
      <c r="J696" s="2280" t="s">
        <v>49</v>
      </c>
      <c r="K696" s="3570" t="s">
        <v>50</v>
      </c>
      <c r="L696" s="3570" t="s">
        <v>51</v>
      </c>
      <c r="M696" s="3528"/>
      <c r="N696" s="3528"/>
      <c r="O696" s="3528"/>
      <c r="P696" s="2697"/>
      <c r="Q696" s="2697"/>
      <c r="R696" s="2697"/>
      <c r="S696" s="2697"/>
      <c r="T696" s="2697"/>
      <c r="U696" s="2697"/>
      <c r="V696" s="2640" t="s">
        <v>52</v>
      </c>
      <c r="W696" s="2641">
        <f>$W$8</f>
        <v>43252</v>
      </c>
      <c r="X696" s="2641">
        <f>$X$8</f>
        <v>43465</v>
      </c>
      <c r="Y696" s="2641">
        <f>$Y$8</f>
        <v>43800</v>
      </c>
      <c r="Z696" s="2641">
        <f>$Z$8</f>
        <v>43862</v>
      </c>
      <c r="AA696" s="2641">
        <f>$AA$8</f>
        <v>44013</v>
      </c>
      <c r="AB696" s="2641">
        <v>44166</v>
      </c>
      <c r="AC696" s="2641">
        <f>$AC$8</f>
        <v>44531</v>
      </c>
      <c r="AD696" s="2641">
        <f>$AD$8</f>
        <v>44774</v>
      </c>
      <c r="AE696" s="2641">
        <f>$AE$8</f>
        <v>45142</v>
      </c>
      <c r="AF696" s="2641">
        <f>$AF$8</f>
        <v>45672</v>
      </c>
      <c r="AG696" s="2641" t="str">
        <f>$AG$8</f>
        <v>-</v>
      </c>
      <c r="AH696" s="2237"/>
      <c r="AI696" s="2640" t="s">
        <v>52</v>
      </c>
      <c r="AJ696" s="2641">
        <v>43252</v>
      </c>
      <c r="AK696" s="2641">
        <f>$X$8</f>
        <v>43465</v>
      </c>
      <c r="AL696" s="2641">
        <f>$Y$8</f>
        <v>43800</v>
      </c>
      <c r="AM696" s="2641">
        <f>$Z$8</f>
        <v>43862</v>
      </c>
      <c r="AN696" s="2641">
        <f>$AA$8</f>
        <v>44013</v>
      </c>
      <c r="AO696" s="2641">
        <f>$AB$8</f>
        <v>44166</v>
      </c>
      <c r="AP696" s="2641">
        <f>$AC$8</f>
        <v>44531</v>
      </c>
      <c r="AQ696" s="2641">
        <f>$AD$8</f>
        <v>44774</v>
      </c>
      <c r="AR696" s="2641">
        <f>$AE$8</f>
        <v>45142</v>
      </c>
      <c r="AS696" s="2641">
        <f>$AF$8</f>
        <v>45672</v>
      </c>
      <c r="AT696" s="3517"/>
      <c r="AU696" s="2640" t="s">
        <v>52</v>
      </c>
      <c r="AV696" s="2641">
        <v>43252</v>
      </c>
      <c r="AW696" s="2641">
        <f>$X$8</f>
        <v>43465</v>
      </c>
      <c r="AX696" s="2641">
        <f>$Y$8</f>
        <v>43800</v>
      </c>
      <c r="AY696" s="2641">
        <f>$Z$8</f>
        <v>43862</v>
      </c>
      <c r="AZ696" s="2641">
        <f>$AA$8</f>
        <v>44013</v>
      </c>
      <c r="BA696" s="2641">
        <v>44166</v>
      </c>
      <c r="BB696" s="2641">
        <f>$AC$8</f>
        <v>44531</v>
      </c>
      <c r="BC696" s="2641">
        <f>$AD$8</f>
        <v>44774</v>
      </c>
      <c r="BD696" s="2641">
        <f>$AE$8</f>
        <v>45142</v>
      </c>
      <c r="BE696" s="2641">
        <f>$AF$8</f>
        <v>45672</v>
      </c>
      <c r="DG696" s="2749" t="str">
        <f>$DG$8</f>
        <v>TRC (2025)</v>
      </c>
      <c r="DH696" s="2750" t="str">
        <f>$DH$8</f>
        <v>Benefit Lookup</v>
      </c>
      <c r="DI696" s="2750" t="str">
        <f>$DI$8</f>
        <v>Benefits (2025 $)</v>
      </c>
      <c r="DJ696" s="3572" t="str">
        <f>$DJ$8</f>
        <v>Incremental Cost (2025 $)</v>
      </c>
    </row>
    <row r="697" spans="1:114" s="3517" customFormat="1">
      <c r="B697" s="2208">
        <f t="shared" ref="B697:B699" si="176">VALUE(LEFT(C697,6))</f>
        <v>805250</v>
      </c>
      <c r="C697" s="3499" t="s">
        <v>803</v>
      </c>
      <c r="D697" s="3509" t="str">
        <f t="shared" ref="D697:D699" si="177">$D$98</f>
        <v>BSS</v>
      </c>
      <c r="E697" s="3574" t="s">
        <v>804</v>
      </c>
      <c r="F697" s="3510">
        <f>ROUND((((G709*(I709-J709/K709))-(H709*(I709-J709/L709)))+((J709*M709/N709)-(J709*M709/O709))+P709)*F709/1000,2)</f>
        <v>1090.32</v>
      </c>
      <c r="G697" s="3503" t="s">
        <v>407</v>
      </c>
      <c r="H697" s="3511">
        <f>VLOOKUP(G697,'CP FACTORS'!$A$26:$B$38,2,FALSE)</f>
        <v>1.998949E-4</v>
      </c>
      <c r="I697" s="3769">
        <f>ROUND(H697*F697,6)</f>
        <v>0.217949</v>
      </c>
      <c r="J697" s="3112">
        <v>12</v>
      </c>
      <c r="K697" s="3513">
        <v>1191</v>
      </c>
      <c r="L697" s="3717" t="s">
        <v>62</v>
      </c>
      <c r="M697" s="3528"/>
      <c r="N697" s="3528"/>
      <c r="O697" s="3528"/>
      <c r="P697" s="3528"/>
      <c r="Q697" s="3528"/>
      <c r="R697" s="3528"/>
      <c r="S697" s="3528"/>
      <c r="T697" s="3528"/>
      <c r="U697" s="3528"/>
      <c r="V697" s="2244" t="s">
        <v>45</v>
      </c>
      <c r="W697" s="3224">
        <v>1938.467533405561</v>
      </c>
      <c r="X697" s="3224">
        <v>1938.467533405561</v>
      </c>
      <c r="Y697" s="3224">
        <v>1938.467533405561</v>
      </c>
      <c r="Z697" s="3224">
        <v>1938.467533405561</v>
      </c>
      <c r="AA697" s="3224">
        <v>1938.467533405561</v>
      </c>
      <c r="AB697" s="3222">
        <v>1938.47</v>
      </c>
      <c r="AC697" s="3374">
        <v>1938.47</v>
      </c>
      <c r="AD697" s="3374">
        <v>1938.47</v>
      </c>
      <c r="AE697" s="3374">
        <v>1938.47</v>
      </c>
      <c r="AF697" s="3374">
        <f>F697</f>
        <v>1090.32</v>
      </c>
      <c r="AG697" s="2413"/>
      <c r="AH697" s="2237"/>
      <c r="AI697" s="2244" t="s">
        <v>49</v>
      </c>
      <c r="AJ697" s="3506">
        <v>12</v>
      </c>
      <c r="AK697" s="3506">
        <v>12</v>
      </c>
      <c r="AL697" s="3506">
        <v>12</v>
      </c>
      <c r="AM697" s="3506">
        <v>12</v>
      </c>
      <c r="AN697" s="3506">
        <v>12</v>
      </c>
      <c r="AO697" s="3518">
        <v>12</v>
      </c>
      <c r="AP697" s="3518">
        <v>12</v>
      </c>
      <c r="AQ697" s="3518">
        <v>12</v>
      </c>
      <c r="AR697" s="3518">
        <v>12</v>
      </c>
      <c r="AS697" s="3518">
        <v>12</v>
      </c>
      <c r="AU697" s="2244" t="s">
        <v>50</v>
      </c>
      <c r="AV697" s="3521">
        <v>0</v>
      </c>
      <c r="AW697" s="3521">
        <v>0</v>
      </c>
      <c r="AX697" s="3521">
        <v>0</v>
      </c>
      <c r="AY697" s="3521">
        <v>0</v>
      </c>
      <c r="AZ697" s="3521">
        <v>0</v>
      </c>
      <c r="BA697" s="3522">
        <v>0</v>
      </c>
      <c r="BB697" s="3522">
        <v>0</v>
      </c>
      <c r="BC697" s="3522">
        <v>0</v>
      </c>
      <c r="BD697" s="3522">
        <v>0</v>
      </c>
      <c r="BE697" s="3522">
        <f>K697</f>
        <v>1191</v>
      </c>
      <c r="CG697" s="2237"/>
      <c r="CH697" s="2237"/>
      <c r="CI697" s="2237"/>
      <c r="CJ697" s="2237"/>
      <c r="CW697" s="2237"/>
      <c r="CX697" s="2237"/>
      <c r="CY697" s="2237"/>
      <c r="CZ697" s="2237"/>
      <c r="DG697" s="2418">
        <f t="shared" ref="DG697:DG699" si="178">IFERROR((DI697)/(DJ697),"n/a")</f>
        <v>0.64495106218035236</v>
      </c>
      <c r="DH697" s="2419" t="str">
        <f>CONCATENATE(G697," ",J697," Year EUL")</f>
        <v>Cooking BUS 12 Year EUL</v>
      </c>
      <c r="DI697" s="3677">
        <f>(INDEX('Avoided Cost Benefits'!$B$4:$B$865,MATCH(DH697,'Avoided Cost Benefits'!$A$4:$A$865,0)))*F697</f>
        <v>768.13671505679963</v>
      </c>
      <c r="DJ697" s="2421">
        <f>K697/(1.0686^(2025-2025))</f>
        <v>1191</v>
      </c>
    </row>
    <row r="698" spans="1:114" s="3517" customFormat="1">
      <c r="B698" s="2208">
        <f>VALUE(LEFT(C698,6))</f>
        <v>805275</v>
      </c>
      <c r="C698" s="3499" t="s">
        <v>805</v>
      </c>
      <c r="D698" s="3509" t="str">
        <f t="shared" si="177"/>
        <v>BSS</v>
      </c>
      <c r="E698" s="3639" t="s">
        <v>806</v>
      </c>
      <c r="F698" s="3510">
        <f t="shared" ref="F698:F699" si="179">ROUND((((G710*(I710-J710/K710))-(H710*(I710-J710/L710)))+((J710*M710/N710)-(J710*M710/O710))+P710)*F710/1000,2)</f>
        <v>4576.38</v>
      </c>
      <c r="G698" s="3509" t="s">
        <v>407</v>
      </c>
      <c r="H698" s="3511">
        <f>VLOOKUP(G698,'CP FACTORS'!$A$26:$B$38,2,FALSE)</f>
        <v>1.998949E-4</v>
      </c>
      <c r="I698" s="3575">
        <f>ROUND(H698*F698,6)</f>
        <v>0.91479500000000002</v>
      </c>
      <c r="J698" s="3110">
        <v>13</v>
      </c>
      <c r="K698" s="3513">
        <v>1192</v>
      </c>
      <c r="L698" s="3717" t="s">
        <v>62</v>
      </c>
      <c r="M698" s="3528"/>
      <c r="N698" s="3528"/>
      <c r="O698" s="3528"/>
      <c r="P698" s="3528"/>
      <c r="Q698" s="3528"/>
      <c r="R698" s="3528"/>
      <c r="S698" s="3528"/>
      <c r="T698" s="3528"/>
      <c r="U698" s="3528"/>
      <c r="V698" s="2244" t="s">
        <v>45</v>
      </c>
      <c r="W698" s="3224"/>
      <c r="X698" s="3224"/>
      <c r="Y698" s="3224"/>
      <c r="Z698" s="3224"/>
      <c r="AA698" s="3224"/>
      <c r="AB698" s="3222"/>
      <c r="AC698" s="3374"/>
      <c r="AD698" s="3374"/>
      <c r="AE698" s="3374"/>
      <c r="AF698" s="3374">
        <f>F698</f>
        <v>4576.38</v>
      </c>
      <c r="AG698" s="2413"/>
      <c r="AH698" s="2237"/>
      <c r="AI698" s="2244" t="s">
        <v>49</v>
      </c>
      <c r="AJ698" s="3506"/>
      <c r="AK698" s="3506"/>
      <c r="AL698" s="3506"/>
      <c r="AM698" s="3506"/>
      <c r="AN698" s="3506"/>
      <c r="AO698" s="3518"/>
      <c r="AP698" s="3518"/>
      <c r="AQ698" s="3518"/>
      <c r="AR698" s="3518"/>
      <c r="AS698" s="3518">
        <v>12</v>
      </c>
      <c r="AU698" s="2244" t="s">
        <v>50</v>
      </c>
      <c r="AV698" s="3521"/>
      <c r="AW698" s="3521"/>
      <c r="AX698" s="3521"/>
      <c r="AY698" s="3521"/>
      <c r="AZ698" s="3521"/>
      <c r="BA698" s="3522"/>
      <c r="BB698" s="3522"/>
      <c r="BC698" s="3522"/>
      <c r="BD698" s="3522"/>
      <c r="BE698" s="3522">
        <f t="shared" ref="BE698:BE699" si="180">K698</f>
        <v>1192</v>
      </c>
      <c r="CG698" s="2237"/>
      <c r="CH698" s="2237"/>
      <c r="CI698" s="2237"/>
      <c r="CJ698" s="2237"/>
      <c r="CW698" s="2237"/>
      <c r="CX698" s="2237"/>
      <c r="CY698" s="2237"/>
      <c r="CZ698" s="2237"/>
      <c r="DG698" s="2418">
        <f>IFERROR((DI698)/(DJ698),"n/a")</f>
        <v>2.8646615482996909</v>
      </c>
      <c r="DH698" s="2419" t="str">
        <f>CONCATENATE(G698," ",J698," Year EUL")</f>
        <v>Cooking BUS 13 Year EUL</v>
      </c>
      <c r="DI698" s="3814">
        <f>(INDEX('Avoided Cost Benefits'!$B$4:$B$865,MATCH(DH698,'Avoided Cost Benefits'!$A$4:$A$865,0)))*F698</f>
        <v>3414.6765655732315</v>
      </c>
      <c r="DJ698" s="2740">
        <f>K698/(1.0686^(2025-2025))</f>
        <v>1192</v>
      </c>
    </row>
    <row r="699" spans="1:114" s="3517" customFormat="1">
      <c r="B699" s="2208">
        <f t="shared" si="176"/>
        <v>805300</v>
      </c>
      <c r="C699" s="3499" t="s">
        <v>807</v>
      </c>
      <c r="D699" s="3509" t="str">
        <f t="shared" si="177"/>
        <v>BSS</v>
      </c>
      <c r="E699" s="3574" t="s">
        <v>808</v>
      </c>
      <c r="F699" s="3510">
        <f t="shared" si="179"/>
        <v>2491</v>
      </c>
      <c r="G699" s="3503" t="s">
        <v>407</v>
      </c>
      <c r="H699" s="3511">
        <f>VLOOKUP(G699,'CP FACTORS'!$A$26:$B$38,2,FALSE)</f>
        <v>1.998949E-4</v>
      </c>
      <c r="I699" s="3769">
        <f>ROUND(H699*F699,6)</f>
        <v>0.49793799999999999</v>
      </c>
      <c r="J699" s="2687">
        <v>12</v>
      </c>
      <c r="K699" s="3513">
        <v>828</v>
      </c>
      <c r="L699" s="3717" t="s">
        <v>62</v>
      </c>
      <c r="M699" s="3528"/>
      <c r="N699" s="3528"/>
      <c r="O699" s="3528"/>
      <c r="P699" s="3528"/>
      <c r="Q699" s="3528"/>
      <c r="R699" s="3528"/>
      <c r="S699" s="3528"/>
      <c r="T699" s="3528"/>
      <c r="U699" s="3528"/>
      <c r="V699" s="2244" t="s">
        <v>45</v>
      </c>
      <c r="W699" s="3224">
        <v>192.1061005247166</v>
      </c>
      <c r="X699" s="3224">
        <v>192.1061005247166</v>
      </c>
      <c r="Y699" s="3224">
        <v>192.1061005247166</v>
      </c>
      <c r="Z699" s="3224">
        <v>192.1061005247166</v>
      </c>
      <c r="AA699" s="3224">
        <v>192.1061005247166</v>
      </c>
      <c r="AB699" s="3222">
        <v>192.11</v>
      </c>
      <c r="AC699" s="3374">
        <v>192.11</v>
      </c>
      <c r="AD699" s="3374">
        <v>192.11</v>
      </c>
      <c r="AE699" s="3374">
        <v>192.11</v>
      </c>
      <c r="AF699" s="3374">
        <f>F699</f>
        <v>2491</v>
      </c>
      <c r="AG699" s="2413"/>
      <c r="AH699" s="2237"/>
      <c r="AI699" s="2244" t="s">
        <v>49</v>
      </c>
      <c r="AJ699" s="3506">
        <v>12</v>
      </c>
      <c r="AK699" s="3506">
        <v>12</v>
      </c>
      <c r="AL699" s="3506">
        <v>12</v>
      </c>
      <c r="AM699" s="3506">
        <v>12</v>
      </c>
      <c r="AN699" s="3506">
        <v>12</v>
      </c>
      <c r="AO699" s="3518">
        <v>12</v>
      </c>
      <c r="AP699" s="3518">
        <v>12</v>
      </c>
      <c r="AQ699" s="3518">
        <v>12</v>
      </c>
      <c r="AR699" s="3518">
        <v>12</v>
      </c>
      <c r="AS699" s="3518">
        <v>12</v>
      </c>
      <c r="AU699" s="2244" t="s">
        <v>50</v>
      </c>
      <c r="AV699" s="3521">
        <v>0</v>
      </c>
      <c r="AW699" s="3521">
        <v>0</v>
      </c>
      <c r="AX699" s="3521">
        <v>0</v>
      </c>
      <c r="AY699" s="3521">
        <v>0</v>
      </c>
      <c r="AZ699" s="3521">
        <v>0</v>
      </c>
      <c r="BA699" s="3522">
        <v>0</v>
      </c>
      <c r="BB699" s="3522">
        <v>0</v>
      </c>
      <c r="BC699" s="3522">
        <v>0</v>
      </c>
      <c r="BD699" s="3522">
        <v>0</v>
      </c>
      <c r="BE699" s="3522">
        <f t="shared" si="180"/>
        <v>828</v>
      </c>
      <c r="CG699" s="2237"/>
      <c r="CH699" s="2237"/>
      <c r="CI699" s="2237"/>
      <c r="CJ699" s="2237"/>
      <c r="CW699" s="2237"/>
      <c r="CX699" s="2237"/>
      <c r="CY699" s="2237"/>
      <c r="CZ699" s="2237"/>
      <c r="DG699" s="2418">
        <f t="shared" si="178"/>
        <v>2.1194732322595269</v>
      </c>
      <c r="DH699" s="2423" t="str">
        <f>CONCATENATE(G699," ",J699," Year EUL")</f>
        <v>Cooking BUS 12 Year EUL</v>
      </c>
      <c r="DI699" s="3678">
        <f>(INDEX('Avoided Cost Benefits'!$B$4:$B$865,MATCH(DH699,'Avoided Cost Benefits'!$A$4:$A$865,0)))*F699</f>
        <v>1754.9238363108884</v>
      </c>
      <c r="DJ699" s="2431">
        <f>K699/(1.0686^(2025-2025))</f>
        <v>828</v>
      </c>
    </row>
    <row r="700" spans="1:114" s="3517" customFormat="1" outlineLevel="1">
      <c r="C700" s="3564"/>
      <c r="D700" s="2624" t="s">
        <v>118</v>
      </c>
      <c r="E700" s="2360" t="s">
        <v>809</v>
      </c>
      <c r="F700" s="3564"/>
      <c r="G700" s="3564"/>
      <c r="H700" s="3679"/>
      <c r="I700" s="3564"/>
      <c r="J700" s="3564"/>
      <c r="K700" s="3564"/>
      <c r="L700" s="3528"/>
      <c r="M700" s="3528"/>
      <c r="N700" s="3528"/>
      <c r="O700" s="3528"/>
      <c r="P700" s="3528"/>
      <c r="Q700" s="3528"/>
      <c r="R700" s="3528"/>
      <c r="S700" s="3528"/>
      <c r="T700" s="3528"/>
      <c r="U700" s="3528"/>
      <c r="CG700" s="2237"/>
      <c r="CH700" s="2237"/>
      <c r="CI700" s="2237"/>
      <c r="CJ700" s="2237"/>
      <c r="CW700" s="2237"/>
      <c r="CX700" s="2237"/>
      <c r="CY700" s="2237"/>
      <c r="CZ700" s="2237"/>
      <c r="DG700" s="3551"/>
      <c r="DH700" s="3528"/>
      <c r="DI700" s="3528"/>
      <c r="DJ700" s="3552"/>
    </row>
    <row r="701" spans="1:114" s="3517" customFormat="1" outlineLevel="1">
      <c r="C701" s="3564"/>
      <c r="D701" s="3564" t="s">
        <v>120</v>
      </c>
      <c r="E701" s="2086"/>
      <c r="F701" s="3564"/>
      <c r="G701" s="3564"/>
      <c r="H701" s="3679"/>
      <c r="I701" s="3564"/>
      <c r="J701" s="3564"/>
      <c r="K701" s="2086"/>
      <c r="L701" s="3528"/>
      <c r="M701" s="3528"/>
      <c r="N701" s="3528"/>
      <c r="O701" s="3528"/>
      <c r="P701" s="3528"/>
      <c r="Q701" s="3528"/>
      <c r="R701" s="3528"/>
      <c r="S701" s="3528"/>
      <c r="T701" s="3528"/>
      <c r="U701" s="3528"/>
      <c r="CG701" s="2237"/>
      <c r="CH701" s="2237"/>
      <c r="CI701" s="2237"/>
      <c r="CJ701" s="2237"/>
      <c r="CW701" s="2237"/>
      <c r="CX701" s="2237"/>
      <c r="CY701" s="2237"/>
      <c r="CZ701" s="2237"/>
      <c r="DG701" s="3551"/>
      <c r="DH701" s="3528"/>
      <c r="DI701" s="3528"/>
      <c r="DJ701" s="3552"/>
    </row>
    <row r="702" spans="1:114" s="3517" customFormat="1" outlineLevel="1">
      <c r="C702" s="3564"/>
      <c r="D702" s="3680"/>
      <c r="E702" s="2086"/>
      <c r="F702" s="2086"/>
      <c r="G702" s="3528"/>
      <c r="H702" s="3569"/>
      <c r="I702" s="3528"/>
      <c r="J702" s="3528"/>
      <c r="K702" s="3528"/>
      <c r="L702" s="3528"/>
      <c r="M702" s="3528"/>
      <c r="N702" s="3528"/>
      <c r="O702" s="3528"/>
      <c r="P702" s="3528"/>
      <c r="Q702" s="3528"/>
      <c r="R702" s="3528"/>
      <c r="S702" s="3528"/>
      <c r="T702" s="3528"/>
      <c r="U702" s="3528"/>
      <c r="CG702" s="2237"/>
      <c r="CH702" s="2237"/>
      <c r="CI702" s="2237"/>
      <c r="CJ702" s="2237"/>
      <c r="CW702" s="2237"/>
      <c r="CX702" s="2237"/>
      <c r="CY702" s="2237"/>
      <c r="CZ702" s="2237"/>
      <c r="DG702" s="3551"/>
      <c r="DH702" s="3528"/>
      <c r="DI702" s="3528"/>
      <c r="DJ702" s="3552"/>
    </row>
    <row r="703" spans="1:114" s="3517" customFormat="1" outlineLevel="1">
      <c r="C703" s="3564"/>
      <c r="D703" s="3680"/>
      <c r="E703" s="3528"/>
      <c r="F703" s="3528"/>
      <c r="G703" s="3528"/>
      <c r="H703" s="3569"/>
      <c r="I703" s="3528"/>
      <c r="J703" s="3528"/>
      <c r="K703" s="3528"/>
      <c r="L703" s="3528"/>
      <c r="M703" s="3528"/>
      <c r="N703" s="3528"/>
      <c r="O703" s="3528"/>
      <c r="P703" s="4011"/>
      <c r="Q703" s="4011"/>
      <c r="R703" s="3528"/>
      <c r="S703" s="3528"/>
      <c r="T703" s="3528"/>
      <c r="U703" s="3528"/>
      <c r="CG703" s="2237"/>
      <c r="CH703" s="2237"/>
      <c r="CI703" s="2237"/>
      <c r="CJ703" s="2237"/>
      <c r="CW703" s="2237"/>
      <c r="CX703" s="2237"/>
      <c r="CY703" s="2237"/>
      <c r="CZ703" s="2237"/>
      <c r="DG703" s="3551"/>
      <c r="DH703" s="3528"/>
      <c r="DI703" s="3528"/>
      <c r="DJ703" s="3552"/>
    </row>
    <row r="704" spans="1:114" s="3517" customFormat="1" outlineLevel="1">
      <c r="C704" s="3564"/>
      <c r="D704" s="3680"/>
      <c r="E704" s="3528"/>
      <c r="F704" s="3528"/>
      <c r="G704" s="3528"/>
      <c r="H704" s="3569"/>
      <c r="I704" s="3528"/>
      <c r="J704" s="3528"/>
      <c r="K704" s="3528"/>
      <c r="L704" s="3528"/>
      <c r="M704" s="3564"/>
      <c r="N704" s="3528"/>
      <c r="O704" s="3528"/>
      <c r="P704" s="4011"/>
      <c r="Q704" s="4011"/>
      <c r="R704" s="3528"/>
      <c r="S704" s="3528"/>
      <c r="T704" s="3528"/>
      <c r="U704" s="3528"/>
      <c r="CG704" s="2237"/>
      <c r="CH704" s="2237"/>
      <c r="CI704" s="2237"/>
      <c r="CJ704" s="2237"/>
      <c r="CW704" s="2237"/>
      <c r="CX704" s="2237"/>
      <c r="CY704" s="2237"/>
      <c r="CZ704" s="2237"/>
      <c r="DG704" s="3551"/>
      <c r="DH704" s="3528"/>
      <c r="DI704" s="3528"/>
      <c r="DJ704" s="3552"/>
    </row>
    <row r="705" spans="1:132" s="3517" customFormat="1" outlineLevel="1">
      <c r="C705" s="3564"/>
      <c r="D705" s="3680"/>
      <c r="E705" s="3528"/>
      <c r="F705" s="3528"/>
      <c r="G705" s="3528"/>
      <c r="H705" s="3569"/>
      <c r="I705" s="3528"/>
      <c r="J705" s="3528"/>
      <c r="K705" s="3528"/>
      <c r="L705" s="3528"/>
      <c r="M705" s="3564"/>
      <c r="N705" s="3528"/>
      <c r="O705" s="3528"/>
      <c r="P705" s="4011"/>
      <c r="Q705" s="4011"/>
      <c r="R705" s="3528"/>
      <c r="S705" s="3528"/>
      <c r="T705" s="3528"/>
      <c r="U705" s="3528"/>
      <c r="CG705" s="2237"/>
      <c r="CH705" s="2237"/>
      <c r="CI705" s="2237"/>
      <c r="CJ705" s="2237"/>
      <c r="CW705" s="2237"/>
      <c r="CX705" s="2237"/>
      <c r="CY705" s="2237"/>
      <c r="CZ705" s="2237"/>
      <c r="DG705" s="3551"/>
      <c r="DH705" s="3528"/>
      <c r="DI705" s="3528"/>
      <c r="DJ705" s="3552"/>
    </row>
    <row r="706" spans="1:132" s="3517" customFormat="1" outlineLevel="1">
      <c r="C706" s="3564"/>
      <c r="D706" s="3680"/>
      <c r="E706" s="3528"/>
      <c r="F706" s="3528"/>
      <c r="G706" s="3528"/>
      <c r="H706" s="3569"/>
      <c r="I706" s="3528"/>
      <c r="J706" s="3528"/>
      <c r="K706" s="3528"/>
      <c r="L706" s="3528"/>
      <c r="M706" s="3564"/>
      <c r="N706" s="3528"/>
      <c r="O706" s="3528"/>
      <c r="P706" s="3528"/>
      <c r="Q706" s="3528"/>
      <c r="R706" s="3528"/>
      <c r="S706" s="3528"/>
      <c r="T706" s="3528"/>
      <c r="U706" s="3528"/>
      <c r="CG706" s="2237"/>
      <c r="CH706" s="2237"/>
      <c r="CI706" s="2237"/>
      <c r="CJ706" s="2237"/>
      <c r="CW706" s="2237"/>
      <c r="CX706" s="2237"/>
      <c r="CY706" s="2237"/>
      <c r="CZ706" s="2237"/>
      <c r="DG706" s="3551"/>
      <c r="DH706" s="3528"/>
      <c r="DI706" s="3528"/>
      <c r="DJ706" s="3552"/>
    </row>
    <row r="707" spans="1:132" s="3517" customFormat="1" outlineLevel="1">
      <c r="C707" s="3564"/>
      <c r="D707" s="3680"/>
      <c r="E707" s="3528"/>
      <c r="F707" s="3528"/>
      <c r="G707" s="3528"/>
      <c r="H707" s="3569"/>
      <c r="I707" s="3528"/>
      <c r="J707" s="3528"/>
      <c r="K707" s="3528"/>
      <c r="L707" s="3528"/>
      <c r="M707" s="3528"/>
      <c r="N707" s="3528"/>
      <c r="O707" s="3528"/>
      <c r="P707" s="3528"/>
      <c r="Q707" s="3528"/>
      <c r="R707" s="3528"/>
      <c r="S707" s="3528"/>
      <c r="T707" s="3528"/>
      <c r="U707" s="3528"/>
      <c r="CG707" s="2237"/>
      <c r="CH707" s="2237"/>
      <c r="CI707" s="2237"/>
      <c r="CJ707" s="2237"/>
      <c r="CW707" s="2237"/>
      <c r="CX707" s="2237"/>
      <c r="CY707" s="2237"/>
      <c r="CZ707" s="2237"/>
      <c r="DG707" s="3551"/>
      <c r="DH707" s="3528"/>
      <c r="DI707" s="3528"/>
      <c r="DJ707" s="3552"/>
    </row>
    <row r="708" spans="1:132" s="3044" customFormat="1" ht="30" outlineLevel="1">
      <c r="A708" s="3517"/>
      <c r="C708" s="2086"/>
      <c r="D708" s="3682" t="s">
        <v>42</v>
      </c>
      <c r="E708" s="3682" t="s">
        <v>275</v>
      </c>
      <c r="F708" s="3725" t="s">
        <v>421</v>
      </c>
      <c r="G708" s="3682" t="s">
        <v>794</v>
      </c>
      <c r="H708" s="3682" t="s">
        <v>795</v>
      </c>
      <c r="I708" s="3682" t="s">
        <v>778</v>
      </c>
      <c r="J708" s="3682" t="s">
        <v>796</v>
      </c>
      <c r="K708" s="3682" t="s">
        <v>797</v>
      </c>
      <c r="L708" s="3682" t="s">
        <v>798</v>
      </c>
      <c r="M708" s="3682" t="s">
        <v>799</v>
      </c>
      <c r="N708" s="3779" t="s">
        <v>800</v>
      </c>
      <c r="O708" s="3779" t="s">
        <v>801</v>
      </c>
      <c r="P708" s="3745" t="s">
        <v>776</v>
      </c>
      <c r="Q708" s="2697"/>
      <c r="R708" s="2697"/>
      <c r="S708" s="2697"/>
      <c r="T708" s="2697"/>
      <c r="U708" s="2697"/>
      <c r="V708" s="2640" t="s">
        <v>52</v>
      </c>
      <c r="W708" s="2641">
        <f>$W$8</f>
        <v>43252</v>
      </c>
      <c r="X708" s="2641">
        <f>$X$8</f>
        <v>43465</v>
      </c>
      <c r="Y708" s="2641">
        <f>$Y$8</f>
        <v>43800</v>
      </c>
      <c r="Z708" s="2641">
        <f>$Z$8</f>
        <v>43862</v>
      </c>
      <c r="AA708" s="2641">
        <f>$AA$8</f>
        <v>44013</v>
      </c>
      <c r="AB708" s="2641">
        <v>44166</v>
      </c>
      <c r="AC708" s="2641">
        <f>$AC$8</f>
        <v>44531</v>
      </c>
      <c r="AD708" s="2641">
        <f>$AD$8</f>
        <v>44774</v>
      </c>
      <c r="AE708" s="2641">
        <f>$AE$8</f>
        <v>45142</v>
      </c>
      <c r="AF708" s="2641">
        <f>$AF$8</f>
        <v>45672</v>
      </c>
      <c r="AG708" s="2641" t="str">
        <f>$AG$8</f>
        <v>-</v>
      </c>
      <c r="AH708" s="2237"/>
      <c r="AI708" s="2640" t="s">
        <v>52</v>
      </c>
      <c r="AJ708" s="2641">
        <v>43252</v>
      </c>
      <c r="AK708" s="2641">
        <f>$X$8</f>
        <v>43465</v>
      </c>
      <c r="AL708" s="2641">
        <f>$Y$8</f>
        <v>43800</v>
      </c>
      <c r="AM708" s="2641">
        <f>$Z$8</f>
        <v>43862</v>
      </c>
      <c r="AN708" s="2641">
        <f>$AA$8</f>
        <v>44013</v>
      </c>
      <c r="AO708" s="2641">
        <f>$AB$8</f>
        <v>44166</v>
      </c>
      <c r="AP708" s="2641">
        <f>$AC$8</f>
        <v>44531</v>
      </c>
      <c r="AQ708" s="2641">
        <f>$AD$8</f>
        <v>44774</v>
      </c>
      <c r="AR708" s="2641">
        <f>$AE$8</f>
        <v>45142</v>
      </c>
      <c r="AS708" s="2641">
        <f>$AF$8</f>
        <v>45672</v>
      </c>
      <c r="AT708" s="3517"/>
      <c r="AU708" s="2640" t="s">
        <v>52</v>
      </c>
      <c r="AV708" s="2641">
        <v>43252</v>
      </c>
      <c r="AW708" s="2641">
        <f>$X$8</f>
        <v>43465</v>
      </c>
      <c r="AX708" s="2641">
        <f>$Y$8</f>
        <v>43800</v>
      </c>
      <c r="AY708" s="2641">
        <f>$Z$8</f>
        <v>43862</v>
      </c>
      <c r="AZ708" s="2641">
        <f>$AA$8</f>
        <v>44013</v>
      </c>
      <c r="BA708" s="2641">
        <v>44166</v>
      </c>
      <c r="BB708" s="2641">
        <f>$AC$8</f>
        <v>44531</v>
      </c>
      <c r="BC708" s="2641">
        <f>$AD$8</f>
        <v>44774</v>
      </c>
      <c r="BD708" s="2641">
        <f>$AE$8</f>
        <v>45142</v>
      </c>
      <c r="BE708" s="2641">
        <f>$AF$8</f>
        <v>45672</v>
      </c>
      <c r="BG708" s="2640" t="s">
        <v>52</v>
      </c>
      <c r="BH708" s="2641">
        <f>$W$8</f>
        <v>43252</v>
      </c>
      <c r="BI708" s="2641">
        <f>$X$8</f>
        <v>43465</v>
      </c>
      <c r="BJ708" s="2641">
        <f>$Y$8</f>
        <v>43800</v>
      </c>
      <c r="BK708" s="2641">
        <f>$Z$8</f>
        <v>43862</v>
      </c>
      <c r="BL708" s="2641">
        <f>$AA$8</f>
        <v>44013</v>
      </c>
      <c r="BM708" s="2641">
        <v>44166</v>
      </c>
      <c r="BN708" s="2641">
        <f>$AC$8</f>
        <v>44531</v>
      </c>
      <c r="BO708" s="2641">
        <f>$AD$8</f>
        <v>44774</v>
      </c>
      <c r="BP708" s="2641">
        <f>$AE$8</f>
        <v>45142</v>
      </c>
      <c r="BQ708" s="2641">
        <f>$AF$8</f>
        <v>45672</v>
      </c>
      <c r="BR708" s="2641" t="str">
        <f>$AG$8</f>
        <v>-</v>
      </c>
      <c r="BS708" s="2237"/>
      <c r="BT708" s="2640" t="s">
        <v>52</v>
      </c>
      <c r="BU708" s="2641">
        <v>43252</v>
      </c>
      <c r="BV708" s="2641">
        <f>$X$8</f>
        <v>43465</v>
      </c>
      <c r="BW708" s="2641">
        <f>$Y$8</f>
        <v>43800</v>
      </c>
      <c r="BX708" s="2641">
        <f>$Z$8</f>
        <v>43862</v>
      </c>
      <c r="BY708" s="2641">
        <f>$AA$8</f>
        <v>44013</v>
      </c>
      <c r="BZ708" s="2641">
        <f>$AB$8</f>
        <v>44166</v>
      </c>
      <c r="CA708" s="2641">
        <f>$AC$8</f>
        <v>44531</v>
      </c>
      <c r="CB708" s="2641">
        <f>$AD$8</f>
        <v>44774</v>
      </c>
      <c r="CC708" s="2641">
        <f>$AE$8</f>
        <v>45142</v>
      </c>
      <c r="CD708" s="2641">
        <f>$AF$8</f>
        <v>45672</v>
      </c>
      <c r="CE708" s="3517"/>
      <c r="CF708" s="2640" t="s">
        <v>52</v>
      </c>
      <c r="CG708" s="2641">
        <v>43252</v>
      </c>
      <c r="CH708" s="2641">
        <f>$X$8</f>
        <v>43465</v>
      </c>
      <c r="CI708" s="2641">
        <f>$Y$8</f>
        <v>43800</v>
      </c>
      <c r="CJ708" s="2641">
        <f>$Z$8</f>
        <v>43862</v>
      </c>
      <c r="CK708" s="2641">
        <f>$AA$8</f>
        <v>44013</v>
      </c>
      <c r="CL708" s="2641">
        <v>44166</v>
      </c>
      <c r="CM708" s="2641">
        <f>$AC$8</f>
        <v>44531</v>
      </c>
      <c r="CN708" s="2641">
        <f>$AD$8</f>
        <v>44774</v>
      </c>
      <c r="CO708" s="2641">
        <f>$AE$8</f>
        <v>45142</v>
      </c>
      <c r="CP708" s="2641">
        <f>$AF$8</f>
        <v>45672</v>
      </c>
      <c r="CR708" s="2640" t="s">
        <v>52</v>
      </c>
      <c r="CS708" s="2641">
        <f>$W$8</f>
        <v>43252</v>
      </c>
      <c r="CT708" s="2641">
        <f>$X$8</f>
        <v>43465</v>
      </c>
      <c r="CU708" s="2641">
        <f>$Y$8</f>
        <v>43800</v>
      </c>
      <c r="CV708" s="2641">
        <f>$Z$8</f>
        <v>43862</v>
      </c>
      <c r="CW708" s="2641">
        <f>$AA$8</f>
        <v>44013</v>
      </c>
      <c r="CX708" s="2641">
        <v>44166</v>
      </c>
      <c r="CY708" s="2641">
        <f>$AC$8</f>
        <v>44531</v>
      </c>
      <c r="CZ708" s="2641">
        <f>$AD$8</f>
        <v>44774</v>
      </c>
      <c r="DA708" s="2641">
        <f>$AE$8</f>
        <v>45142</v>
      </c>
      <c r="DB708" s="2641">
        <f>$AF$8</f>
        <v>45672</v>
      </c>
      <c r="DC708" s="2641" t="str">
        <f>$AG$8</f>
        <v>-</v>
      </c>
      <c r="DD708" s="2237"/>
      <c r="DE708" s="3517"/>
      <c r="DF708" s="3517"/>
      <c r="DG708" s="3551"/>
      <c r="DH708" s="3528"/>
      <c r="DI708" s="3528"/>
      <c r="DJ708" s="3552"/>
      <c r="DK708" s="3517"/>
      <c r="DL708" s="3517"/>
      <c r="DM708" s="3517"/>
      <c r="DN708" s="3517"/>
      <c r="DO708" s="3517"/>
      <c r="DP708" s="3517"/>
      <c r="DQ708" s="3517"/>
      <c r="DR708" s="3517"/>
      <c r="DS708" s="3517"/>
      <c r="DT708" s="3517"/>
      <c r="DU708" s="3517"/>
      <c r="DV708" s="3517"/>
      <c r="DW708" s="3517"/>
      <c r="DX708" s="3517"/>
      <c r="DY708" s="3517"/>
      <c r="DZ708" s="3517"/>
      <c r="EA708" s="3517"/>
      <c r="EB708" s="3517"/>
    </row>
    <row r="709" spans="1:132" s="3517" customFormat="1" outlineLevel="1">
      <c r="C709" s="3564"/>
      <c r="D709" s="3643" t="str">
        <f>C697</f>
        <v>805250_2024_12_</v>
      </c>
      <c r="E709" s="3643" t="s">
        <v>804</v>
      </c>
      <c r="F709" s="3815">
        <v>365.25</v>
      </c>
      <c r="G709" s="3807">
        <v>1630</v>
      </c>
      <c r="H709" s="3808">
        <v>1400</v>
      </c>
      <c r="I709" s="3808">
        <v>12</v>
      </c>
      <c r="J709" s="3808">
        <v>100</v>
      </c>
      <c r="K709" s="3784">
        <v>101.54</v>
      </c>
      <c r="L709" s="3808">
        <v>97.95</v>
      </c>
      <c r="M709" s="3787">
        <v>73.2</v>
      </c>
      <c r="N709" s="2795">
        <v>0.74370000000000003</v>
      </c>
      <c r="O709" s="3645">
        <v>0.76</v>
      </c>
      <c r="P709" s="3787">
        <f>1550-1360</f>
        <v>190</v>
      </c>
      <c r="Q709" s="3528"/>
      <c r="R709" s="3528"/>
      <c r="S709" s="3528"/>
      <c r="T709" s="3528"/>
      <c r="U709" s="3528"/>
      <c r="V709" s="2244" t="s">
        <v>794</v>
      </c>
      <c r="W709" s="3224">
        <v>2000</v>
      </c>
      <c r="X709" s="3224">
        <v>2000</v>
      </c>
      <c r="Y709" s="3224">
        <v>2000</v>
      </c>
      <c r="Z709" s="3224">
        <v>2000</v>
      </c>
      <c r="AA709" s="3224">
        <v>2000</v>
      </c>
      <c r="AB709" s="3224">
        <v>2000</v>
      </c>
      <c r="AC709" s="3224">
        <v>2000</v>
      </c>
      <c r="AD709" s="3224">
        <v>2000</v>
      </c>
      <c r="AE709" s="3224">
        <v>2000</v>
      </c>
      <c r="AF709" s="3374">
        <v>1630</v>
      </c>
      <c r="AG709" s="2413"/>
      <c r="AH709" s="2237"/>
      <c r="AI709" s="2244" t="s">
        <v>795</v>
      </c>
      <c r="AJ709" s="3506">
        <v>1600</v>
      </c>
      <c r="AK709" s="3506">
        <v>1600</v>
      </c>
      <c r="AL709" s="3506">
        <v>1600</v>
      </c>
      <c r="AM709" s="3506">
        <v>1600</v>
      </c>
      <c r="AN709" s="3506">
        <v>1600</v>
      </c>
      <c r="AO709" s="3506">
        <v>1600</v>
      </c>
      <c r="AP709" s="3506">
        <v>1600</v>
      </c>
      <c r="AQ709" s="3506">
        <v>1600</v>
      </c>
      <c r="AR709" s="3506">
        <v>1600</v>
      </c>
      <c r="AS709" s="3762">
        <v>1400</v>
      </c>
      <c r="AU709" s="2244" t="s">
        <v>797</v>
      </c>
      <c r="AV709" s="3763">
        <v>90</v>
      </c>
      <c r="AW709" s="3763">
        <v>90</v>
      </c>
      <c r="AX709" s="3763">
        <v>90</v>
      </c>
      <c r="AY709" s="3763">
        <v>90</v>
      </c>
      <c r="AZ709" s="3763">
        <v>90</v>
      </c>
      <c r="BA709" s="3763">
        <v>90</v>
      </c>
      <c r="BB709" s="3763">
        <v>90</v>
      </c>
      <c r="BC709" s="3763">
        <v>90</v>
      </c>
      <c r="BD709" s="3763">
        <v>90</v>
      </c>
      <c r="BE709" s="3816">
        <v>101.54</v>
      </c>
      <c r="BG709" s="2244" t="s">
        <v>800</v>
      </c>
      <c r="BH709" s="3811">
        <v>0.65</v>
      </c>
      <c r="BI709" s="3811">
        <v>0.65</v>
      </c>
      <c r="BJ709" s="3811">
        <v>0.65</v>
      </c>
      <c r="BK709" s="3811">
        <v>0.65</v>
      </c>
      <c r="BL709" s="3811">
        <v>0.65</v>
      </c>
      <c r="BM709" s="3811">
        <v>0.65</v>
      </c>
      <c r="BN709" s="3811">
        <v>0.65</v>
      </c>
      <c r="BO709" s="3811">
        <v>0.65</v>
      </c>
      <c r="BP709" s="3811">
        <v>0.65</v>
      </c>
      <c r="BQ709" s="3812">
        <v>0.74370000000000003</v>
      </c>
      <c r="BR709" s="2413"/>
      <c r="BS709" s="2237"/>
      <c r="BT709" s="2244" t="s">
        <v>801</v>
      </c>
      <c r="BU709" s="3811">
        <v>0.71</v>
      </c>
      <c r="BV709" s="3811">
        <v>0.71</v>
      </c>
      <c r="BW709" s="3811">
        <v>0.71</v>
      </c>
      <c r="BX709" s="3811">
        <v>0.71</v>
      </c>
      <c r="BY709" s="3811">
        <v>0.71</v>
      </c>
      <c r="BZ709" s="3811">
        <v>0.71</v>
      </c>
      <c r="CA709" s="3811">
        <v>0.71</v>
      </c>
      <c r="CB709" s="3811">
        <v>0.71</v>
      </c>
      <c r="CC709" s="3811">
        <v>0.71</v>
      </c>
      <c r="CD709" s="3812">
        <v>0.76</v>
      </c>
      <c r="CF709" s="2409" t="s">
        <v>777</v>
      </c>
      <c r="CG709" s="3521"/>
      <c r="CH709" s="3521"/>
      <c r="CI709" s="3521"/>
      <c r="CJ709" s="3521"/>
      <c r="CK709" s="3521"/>
      <c r="CL709" s="3522"/>
      <c r="CM709" s="3522"/>
      <c r="CN709" s="3522"/>
      <c r="CO709" s="3522"/>
      <c r="CP709" s="3787">
        <f>1550-1360</f>
        <v>190</v>
      </c>
      <c r="CR709" s="2244"/>
      <c r="CS709" s="3224"/>
      <c r="CT709" s="3224"/>
      <c r="CU709" s="3224"/>
      <c r="CV709" s="3224"/>
      <c r="CW709" s="3224"/>
      <c r="CX709" s="3222"/>
      <c r="CY709" s="3374"/>
      <c r="CZ709" s="3374"/>
      <c r="DA709" s="3374"/>
      <c r="DB709" s="3374"/>
      <c r="DC709" s="2413"/>
      <c r="DD709" s="2237"/>
      <c r="DG709" s="3551"/>
      <c r="DH709" s="3528"/>
      <c r="DI709" s="3528"/>
      <c r="DJ709" s="3552"/>
    </row>
    <row r="710" spans="1:132" s="3517" customFormat="1" outlineLevel="1">
      <c r="C710" s="3564"/>
      <c r="D710" s="3643" t="str">
        <f>C698</f>
        <v>805275_2024_12_</v>
      </c>
      <c r="E710" s="3643" t="s">
        <v>806</v>
      </c>
      <c r="F710" s="3815">
        <v>365.25</v>
      </c>
      <c r="G710" s="3807">
        <v>2000</v>
      </c>
      <c r="H710" s="3808">
        <v>1000</v>
      </c>
      <c r="I710" s="3808">
        <v>12</v>
      </c>
      <c r="J710" s="3808">
        <v>100</v>
      </c>
      <c r="K710" s="3784">
        <v>68</v>
      </c>
      <c r="L710" s="3808">
        <v>60</v>
      </c>
      <c r="M710" s="3787">
        <v>73.2</v>
      </c>
      <c r="N710" s="2795">
        <v>0.65</v>
      </c>
      <c r="O710" s="3645">
        <v>0.76</v>
      </c>
      <c r="P710" s="3787">
        <f>1563-1389</f>
        <v>174</v>
      </c>
      <c r="Q710" s="3528"/>
      <c r="R710" s="3528"/>
      <c r="S710" s="3528"/>
      <c r="T710" s="3528"/>
      <c r="U710" s="3528"/>
      <c r="V710" s="2244" t="s">
        <v>794</v>
      </c>
      <c r="W710" s="3224"/>
      <c r="X710" s="3224"/>
      <c r="Y710" s="3224"/>
      <c r="Z710" s="3224"/>
      <c r="AA710" s="3224"/>
      <c r="AB710" s="3224"/>
      <c r="AC710" s="3224"/>
      <c r="AD710" s="3224"/>
      <c r="AE710" s="3224"/>
      <c r="AF710" s="3374">
        <v>2000</v>
      </c>
      <c r="AG710" s="2413"/>
      <c r="AH710" s="2237"/>
      <c r="AI710" s="2244" t="s">
        <v>795</v>
      </c>
      <c r="AJ710" s="3506"/>
      <c r="AK710" s="3506"/>
      <c r="AL710" s="3506"/>
      <c r="AM710" s="3506"/>
      <c r="AN710" s="3506"/>
      <c r="AO710" s="3506"/>
      <c r="AP710" s="3506"/>
      <c r="AQ710" s="3506"/>
      <c r="AR710" s="3506"/>
      <c r="AS710" s="3762">
        <v>1000</v>
      </c>
      <c r="AU710" s="2244" t="s">
        <v>797</v>
      </c>
      <c r="AV710" s="3763"/>
      <c r="AW710" s="3763"/>
      <c r="AX710" s="3763"/>
      <c r="AY710" s="3763"/>
      <c r="AZ710" s="3763"/>
      <c r="BA710" s="3763"/>
      <c r="BB710" s="3763"/>
      <c r="BC710" s="3763"/>
      <c r="BD710" s="3763"/>
      <c r="BE710" s="3816">
        <v>68</v>
      </c>
      <c r="BG710" s="2244" t="s">
        <v>800</v>
      </c>
      <c r="BH710" s="3811"/>
      <c r="BI710" s="3811"/>
      <c r="BJ710" s="3811"/>
      <c r="BK710" s="3811"/>
      <c r="BL710" s="3811"/>
      <c r="BM710" s="3811"/>
      <c r="BN710" s="3811"/>
      <c r="BO710" s="3811"/>
      <c r="BP710" s="3811"/>
      <c r="BQ710" s="3812">
        <v>0.65</v>
      </c>
      <c r="BR710" s="2413"/>
      <c r="BS710" s="2237"/>
      <c r="BT710" s="2244" t="s">
        <v>801</v>
      </c>
      <c r="BU710" s="3811"/>
      <c r="BV710" s="3811"/>
      <c r="BW710" s="3811"/>
      <c r="BX710" s="3811"/>
      <c r="BY710" s="3811"/>
      <c r="BZ710" s="3811"/>
      <c r="CA710" s="3811"/>
      <c r="CB710" s="3811"/>
      <c r="CC710" s="3811"/>
      <c r="CD710" s="3812">
        <v>0.76</v>
      </c>
      <c r="CF710" s="2409" t="s">
        <v>777</v>
      </c>
      <c r="CG710" s="3521"/>
      <c r="CH710" s="3521"/>
      <c r="CI710" s="3521"/>
      <c r="CJ710" s="3521"/>
      <c r="CK710" s="3521"/>
      <c r="CL710" s="3522"/>
      <c r="CM710" s="3522"/>
      <c r="CN710" s="3522"/>
      <c r="CO710" s="3522"/>
      <c r="CP710" s="3787">
        <f>1563-1389</f>
        <v>174</v>
      </c>
      <c r="CR710" s="2244"/>
      <c r="CS710" s="3224"/>
      <c r="CT710" s="3224"/>
      <c r="CU710" s="3224"/>
      <c r="CV710" s="3224"/>
      <c r="CW710" s="3224"/>
      <c r="CX710" s="3222"/>
      <c r="CY710" s="3374"/>
      <c r="CZ710" s="3374"/>
      <c r="DA710" s="3374"/>
      <c r="DB710" s="3374"/>
      <c r="DC710" s="2413"/>
      <c r="DD710" s="2237"/>
      <c r="DG710" s="3551"/>
      <c r="DH710" s="3528"/>
      <c r="DI710" s="3528"/>
      <c r="DJ710" s="3552"/>
    </row>
    <row r="711" spans="1:132" s="3517" customFormat="1" outlineLevel="1">
      <c r="C711" s="3564"/>
      <c r="D711" s="3598" t="str">
        <f>C699</f>
        <v>805300_2024_12_</v>
      </c>
      <c r="E711" s="3598" t="s">
        <v>808</v>
      </c>
      <c r="F711" s="3806">
        <v>365.25</v>
      </c>
      <c r="G711" s="3807">
        <v>1510</v>
      </c>
      <c r="H711" s="3809">
        <v>1000</v>
      </c>
      <c r="I711" s="3809">
        <v>12</v>
      </c>
      <c r="J711" s="3809">
        <v>100</v>
      </c>
      <c r="K711" s="3810">
        <v>44.78</v>
      </c>
      <c r="L711" s="3808">
        <v>41.64</v>
      </c>
      <c r="M711" s="3783">
        <v>73.2</v>
      </c>
      <c r="N711" s="2795">
        <v>0.63549999999999995</v>
      </c>
      <c r="O711" s="3628">
        <v>0.70669999999999999</v>
      </c>
      <c r="P711" s="3787">
        <f>1510-1000</f>
        <v>510</v>
      </c>
      <c r="Q711" s="3528"/>
      <c r="R711" s="3528"/>
      <c r="S711" s="3528"/>
      <c r="T711" s="3528"/>
      <c r="U711" s="3528"/>
      <c r="V711" s="2244" t="s">
        <v>794</v>
      </c>
      <c r="W711" s="3224">
        <v>1030</v>
      </c>
      <c r="X711" s="3224">
        <v>1030</v>
      </c>
      <c r="Y711" s="3224">
        <v>1030</v>
      </c>
      <c r="Z711" s="3224">
        <v>1030</v>
      </c>
      <c r="AA711" s="3224">
        <v>1030</v>
      </c>
      <c r="AB711" s="3224">
        <v>1030</v>
      </c>
      <c r="AC711" s="3224">
        <v>1030</v>
      </c>
      <c r="AD711" s="3224">
        <v>1030</v>
      </c>
      <c r="AE711" s="3224">
        <v>1030</v>
      </c>
      <c r="AF711" s="3374">
        <v>1510</v>
      </c>
      <c r="AG711" s="2413"/>
      <c r="AH711" s="2237"/>
      <c r="AI711" s="2244" t="s">
        <v>795</v>
      </c>
      <c r="AJ711" s="3506">
        <v>1000</v>
      </c>
      <c r="AK711" s="3506">
        <v>1000</v>
      </c>
      <c r="AL711" s="3506">
        <v>1000</v>
      </c>
      <c r="AM711" s="3506">
        <v>1000</v>
      </c>
      <c r="AN711" s="3506">
        <v>1000</v>
      </c>
      <c r="AO711" s="3506">
        <v>1000</v>
      </c>
      <c r="AP711" s="3506">
        <v>1000</v>
      </c>
      <c r="AQ711" s="3506">
        <v>1000</v>
      </c>
      <c r="AR711" s="3506">
        <v>1000</v>
      </c>
      <c r="AS711" s="3518">
        <v>1000</v>
      </c>
      <c r="AU711" s="2244" t="s">
        <v>797</v>
      </c>
      <c r="AV711" s="3763">
        <v>45</v>
      </c>
      <c r="AW711" s="3763">
        <v>45</v>
      </c>
      <c r="AX711" s="3763">
        <v>45</v>
      </c>
      <c r="AY711" s="3763">
        <v>45</v>
      </c>
      <c r="AZ711" s="3763">
        <v>45</v>
      </c>
      <c r="BA711" s="3763">
        <v>45</v>
      </c>
      <c r="BB711" s="3763">
        <v>45</v>
      </c>
      <c r="BC711" s="3763">
        <v>45</v>
      </c>
      <c r="BD711" s="3763">
        <v>45</v>
      </c>
      <c r="BE711" s="3763">
        <v>44.78</v>
      </c>
      <c r="BG711" s="2244" t="s">
        <v>800</v>
      </c>
      <c r="BH711" s="3811">
        <v>0.68</v>
      </c>
      <c r="BI711" s="3811">
        <v>0.68</v>
      </c>
      <c r="BJ711" s="3811">
        <v>0.68</v>
      </c>
      <c r="BK711" s="3811">
        <v>0.68</v>
      </c>
      <c r="BL711" s="3811">
        <v>0.68</v>
      </c>
      <c r="BM711" s="3811">
        <v>0.68</v>
      </c>
      <c r="BN711" s="3811">
        <v>0.68</v>
      </c>
      <c r="BO711" s="3811">
        <v>0.68</v>
      </c>
      <c r="BP711" s="3811">
        <v>0.68</v>
      </c>
      <c r="BQ711" s="3812">
        <v>0.63549999999999995</v>
      </c>
      <c r="BR711" s="2413"/>
      <c r="BS711" s="2237"/>
      <c r="BT711" s="2244" t="s">
        <v>801</v>
      </c>
      <c r="BU711" s="3811">
        <v>0.71</v>
      </c>
      <c r="BV711" s="3811">
        <v>0.71</v>
      </c>
      <c r="BW711" s="3811">
        <v>0.71</v>
      </c>
      <c r="BX711" s="3811">
        <v>0.71</v>
      </c>
      <c r="BY711" s="3811">
        <v>0.71</v>
      </c>
      <c r="BZ711" s="3811">
        <v>0.71</v>
      </c>
      <c r="CA711" s="3811">
        <v>0.71</v>
      </c>
      <c r="CB711" s="3811">
        <v>0.71</v>
      </c>
      <c r="CC711" s="3811">
        <v>0.71</v>
      </c>
      <c r="CD711" s="3812">
        <v>0.70669999999999999</v>
      </c>
      <c r="CF711" s="2409" t="s">
        <v>777</v>
      </c>
      <c r="CG711" s="3521"/>
      <c r="CH711" s="3521"/>
      <c r="CI711" s="3521"/>
      <c r="CJ711" s="3521"/>
      <c r="CK711" s="3521"/>
      <c r="CL711" s="3522"/>
      <c r="CM711" s="3522"/>
      <c r="CN711" s="3522"/>
      <c r="CO711" s="3522"/>
      <c r="CP711" s="3787">
        <f>1510-1000</f>
        <v>510</v>
      </c>
      <c r="CR711" s="2244"/>
      <c r="CS711" s="3224"/>
      <c r="CT711" s="3224"/>
      <c r="CU711" s="3224"/>
      <c r="CV711" s="3224"/>
      <c r="CW711" s="3224"/>
      <c r="CX711" s="3222"/>
      <c r="CY711" s="3374"/>
      <c r="CZ711" s="3374"/>
      <c r="DA711" s="3374"/>
      <c r="DB711" s="3374"/>
      <c r="DC711" s="2413"/>
      <c r="DD711" s="2237"/>
      <c r="DG711" s="3551"/>
      <c r="DH711" s="3528"/>
      <c r="DI711" s="3528"/>
      <c r="DJ711" s="3552"/>
    </row>
    <row r="712" spans="1:132" s="3517" customFormat="1">
      <c r="C712" s="3564"/>
      <c r="D712" s="3564"/>
      <c r="E712" s="3528"/>
      <c r="F712" s="3528"/>
      <c r="G712" s="3663"/>
      <c r="H712" s="3691"/>
      <c r="I712" s="3528"/>
      <c r="J712" s="3528"/>
      <c r="K712" s="3528"/>
      <c r="L712" s="3528"/>
      <c r="M712" s="3528"/>
      <c r="N712" s="3528"/>
      <c r="O712" s="3528"/>
      <c r="P712" s="3528"/>
      <c r="Q712" s="3528"/>
      <c r="R712" s="3528"/>
      <c r="S712" s="3528"/>
      <c r="T712" s="3528"/>
      <c r="U712" s="3528"/>
      <c r="CG712" s="2237"/>
      <c r="CH712" s="2237"/>
      <c r="CI712" s="2237"/>
      <c r="CJ712" s="2237"/>
      <c r="CW712" s="2237"/>
      <c r="CX712" s="2237"/>
      <c r="CY712" s="2237"/>
      <c r="CZ712" s="2237"/>
      <c r="DG712" s="3597"/>
      <c r="DH712" s="3528"/>
      <c r="DI712" s="3528"/>
      <c r="DJ712" s="3552"/>
    </row>
    <row r="713" spans="1:132" s="3517" customFormat="1">
      <c r="C713" s="3564"/>
      <c r="D713" s="3564"/>
      <c r="E713" s="3528"/>
      <c r="F713" s="3528"/>
      <c r="G713" s="3663"/>
      <c r="H713" s="3691"/>
      <c r="I713" s="3528"/>
      <c r="J713" s="3528"/>
      <c r="K713" s="3528"/>
      <c r="L713" s="3528"/>
      <c r="M713" s="3528"/>
      <c r="N713" s="3528"/>
      <c r="O713" s="3528"/>
      <c r="P713" s="3528"/>
      <c r="Q713" s="3528"/>
      <c r="R713" s="3528"/>
      <c r="S713" s="3528"/>
      <c r="T713" s="3528"/>
      <c r="U713" s="3528"/>
      <c r="CG713" s="2237"/>
      <c r="CH713" s="2237"/>
      <c r="CI713" s="2237"/>
      <c r="CJ713" s="2237"/>
      <c r="CW713" s="2237"/>
      <c r="CX713" s="2237"/>
      <c r="CY713" s="2237"/>
      <c r="CZ713" s="2237"/>
      <c r="DG713" s="3551"/>
      <c r="DH713" s="3528"/>
      <c r="DI713" s="3528"/>
      <c r="DJ713" s="3552"/>
    </row>
    <row r="714" spans="1:132" s="3564" customFormat="1">
      <c r="A714" s="3517"/>
      <c r="B714" s="3998" t="s">
        <v>810</v>
      </c>
      <c r="C714" s="3999"/>
      <c r="D714" s="3999"/>
      <c r="E714" s="3999"/>
      <c r="F714" s="3999"/>
      <c r="G714" s="3999"/>
      <c r="H714" s="3999"/>
      <c r="I714" s="4831"/>
      <c r="J714" s="4831"/>
      <c r="K714" s="4831"/>
      <c r="L714" s="4831"/>
      <c r="M714" s="4832"/>
      <c r="N714" s="4832"/>
      <c r="O714" s="4833"/>
      <c r="V714" s="2203" t="str">
        <f>B714</f>
        <v>Griddle</v>
      </c>
      <c r="W714" s="2204"/>
      <c r="X714" s="2204"/>
      <c r="Y714" s="2204"/>
      <c r="Z714" s="2204"/>
      <c r="AA714" s="2204"/>
      <c r="AB714" s="2204"/>
      <c r="AC714" s="2204"/>
      <c r="AD714" s="2204"/>
      <c r="AE714" s="2204"/>
      <c r="AF714" s="2204"/>
      <c r="AG714" s="2204"/>
      <c r="AH714" s="2204"/>
      <c r="AI714" s="3474"/>
      <c r="AJ714" s="3517"/>
      <c r="AK714" s="3517"/>
      <c r="AL714" s="3517"/>
      <c r="AM714" s="3517"/>
      <c r="AN714" s="3517"/>
      <c r="AO714" s="3517"/>
      <c r="AP714" s="3517"/>
      <c r="AQ714" s="3517"/>
      <c r="AR714" s="3517"/>
      <c r="AS714" s="3517"/>
      <c r="AT714" s="3517"/>
      <c r="AU714" s="3517"/>
      <c r="DG714" s="3669"/>
      <c r="DJ714" s="3567"/>
    </row>
    <row r="715" spans="1:132" s="3517" customFormat="1">
      <c r="C715" s="3564"/>
      <c r="D715" s="3670"/>
      <c r="E715" s="3564"/>
      <c r="F715" s="3564"/>
      <c r="G715" s="3564"/>
      <c r="H715" s="3671"/>
      <c r="I715" s="3564"/>
      <c r="J715" s="3564"/>
      <c r="K715" s="3564"/>
      <c r="L715" s="3564"/>
      <c r="M715" s="3528"/>
      <c r="N715" s="3528"/>
      <c r="O715" s="3528"/>
      <c r="P715" s="3564"/>
      <c r="Q715" s="3564"/>
      <c r="R715" s="3564"/>
      <c r="S715" s="3564"/>
      <c r="T715" s="3564"/>
      <c r="U715" s="3564"/>
      <c r="V715" s="2237"/>
      <c r="W715" s="2237"/>
      <c r="X715" s="2237"/>
      <c r="Y715" s="2237"/>
      <c r="Z715" s="2237"/>
      <c r="AA715" s="2237"/>
      <c r="AB715" s="2237"/>
      <c r="AC715" s="2237"/>
      <c r="AD715" s="2237"/>
      <c r="AE715" s="2237"/>
      <c r="AF715" s="2237"/>
      <c r="AG715" s="2237"/>
      <c r="AH715" s="2237"/>
      <c r="AI715" s="2237"/>
      <c r="AJ715" s="2723"/>
      <c r="AK715" s="2723"/>
      <c r="AL715" s="2723"/>
      <c r="AM715" s="2723"/>
      <c r="AN715" s="2723"/>
      <c r="AO715" s="2723"/>
      <c r="AP715" s="2723"/>
      <c r="AQ715" s="2723"/>
      <c r="AR715" s="2723"/>
      <c r="AS715" s="2723"/>
      <c r="AT715" s="2723"/>
      <c r="AU715" s="2723"/>
      <c r="CG715" s="2237"/>
      <c r="CH715" s="2237"/>
      <c r="CI715" s="2237"/>
      <c r="CJ715" s="2237"/>
      <c r="CW715" s="2237"/>
      <c r="CX715" s="2237"/>
      <c r="CY715" s="2237"/>
      <c r="CZ715" s="2237"/>
      <c r="DG715" s="3804" t="s">
        <v>788</v>
      </c>
      <c r="DH715" s="3528"/>
      <c r="DI715" s="3528"/>
      <c r="DJ715" s="3552"/>
    </row>
    <row r="716" spans="1:132" s="3044" customFormat="1" ht="30">
      <c r="A716" s="3517"/>
      <c r="B716" s="2723"/>
      <c r="C716" s="3570" t="s">
        <v>42</v>
      </c>
      <c r="D716" s="3570" t="s">
        <v>43</v>
      </c>
      <c r="E716" s="2280" t="s">
        <v>44</v>
      </c>
      <c r="F716" s="2280" t="s">
        <v>45</v>
      </c>
      <c r="G716" s="2280" t="s">
        <v>46</v>
      </c>
      <c r="H716" s="3571" t="s">
        <v>47</v>
      </c>
      <c r="I716" s="2280" t="s">
        <v>48</v>
      </c>
      <c r="J716" s="2280" t="s">
        <v>49</v>
      </c>
      <c r="K716" s="3570" t="s">
        <v>50</v>
      </c>
      <c r="L716" s="3570" t="s">
        <v>51</v>
      </c>
      <c r="M716" s="3528"/>
      <c r="N716" s="3528"/>
      <c r="O716" s="3528"/>
      <c r="P716" s="2697"/>
      <c r="Q716" s="2697"/>
      <c r="R716" s="2697"/>
      <c r="S716" s="2697"/>
      <c r="T716" s="2697"/>
      <c r="U716" s="2697"/>
      <c r="V716" s="2640" t="s">
        <v>52</v>
      </c>
      <c r="W716" s="2641">
        <f>$W$8</f>
        <v>43252</v>
      </c>
      <c r="X716" s="2641">
        <f>$X$8</f>
        <v>43465</v>
      </c>
      <c r="Y716" s="2641">
        <f>$Y$8</f>
        <v>43800</v>
      </c>
      <c r="Z716" s="2641">
        <f>$Z$8</f>
        <v>43862</v>
      </c>
      <c r="AA716" s="2641">
        <f>$AA$8</f>
        <v>44013</v>
      </c>
      <c r="AB716" s="2641">
        <v>44166</v>
      </c>
      <c r="AC716" s="2641">
        <f>$AC$8</f>
        <v>44531</v>
      </c>
      <c r="AD716" s="2641">
        <f>$AD$8</f>
        <v>44774</v>
      </c>
      <c r="AE716" s="2641">
        <f>$AE$8</f>
        <v>45142</v>
      </c>
      <c r="AF716" s="2641">
        <f>$AF$8</f>
        <v>45672</v>
      </c>
      <c r="AG716" s="2641" t="str">
        <f>$AG$8</f>
        <v>-</v>
      </c>
      <c r="AH716" s="2237"/>
      <c r="AI716" s="2640" t="s">
        <v>52</v>
      </c>
      <c r="AJ716" s="2641">
        <v>43252</v>
      </c>
      <c r="AK716" s="2641">
        <f>$X$8</f>
        <v>43465</v>
      </c>
      <c r="AL716" s="2641">
        <f>$Y$8</f>
        <v>43800</v>
      </c>
      <c r="AM716" s="2641">
        <f>$Z$8</f>
        <v>43862</v>
      </c>
      <c r="AN716" s="2641">
        <f>$AA$8</f>
        <v>44013</v>
      </c>
      <c r="AO716" s="2641">
        <f>$AB$8</f>
        <v>44166</v>
      </c>
      <c r="AP716" s="2641">
        <f>$AC$8</f>
        <v>44531</v>
      </c>
      <c r="AQ716" s="2641">
        <f>$AD$8</f>
        <v>44774</v>
      </c>
      <c r="AR716" s="2641">
        <f>$AE$8</f>
        <v>45142</v>
      </c>
      <c r="AS716" s="2641">
        <f>$AF$8</f>
        <v>45672</v>
      </c>
      <c r="AT716" s="3517"/>
      <c r="AU716" s="2640" t="s">
        <v>52</v>
      </c>
      <c r="AV716" s="2641">
        <v>43252</v>
      </c>
      <c r="AW716" s="2641">
        <f>$X$8</f>
        <v>43465</v>
      </c>
      <c r="AX716" s="2641">
        <f>$Y$8</f>
        <v>43800</v>
      </c>
      <c r="AY716" s="2641">
        <f>$Z$8</f>
        <v>43862</v>
      </c>
      <c r="AZ716" s="2641">
        <f>$AA$8</f>
        <v>44013</v>
      </c>
      <c r="BA716" s="2641">
        <v>44166</v>
      </c>
      <c r="BB716" s="2641">
        <f>$AC$8</f>
        <v>44531</v>
      </c>
      <c r="BC716" s="2641">
        <f>$AD$8</f>
        <v>44774</v>
      </c>
      <c r="BD716" s="2641">
        <f>$AE$8</f>
        <v>45142</v>
      </c>
      <c r="BE716" s="2641">
        <f>$AF$8</f>
        <v>45672</v>
      </c>
      <c r="DG716" s="2749" t="str">
        <f>$DG$8</f>
        <v>TRC (2025)</v>
      </c>
      <c r="DH716" s="2750" t="str">
        <f>$DH$8</f>
        <v>Benefit Lookup</v>
      </c>
      <c r="DI716" s="2750" t="str">
        <f>$DI$8</f>
        <v>Benefits (2025 $)</v>
      </c>
      <c r="DJ716" s="3572" t="str">
        <f>$DJ$8</f>
        <v>Incremental Cost (2025 $)</v>
      </c>
    </row>
    <row r="717" spans="1:132" s="3517" customFormat="1">
      <c r="B717" s="2208">
        <f t="shared" ref="B717" si="181">VALUE(LEFT(C717,6))</f>
        <v>805350</v>
      </c>
      <c r="C717" s="3499" t="s">
        <v>811</v>
      </c>
      <c r="D717" s="3509" t="str">
        <f t="shared" ref="D717" si="182">$D$98</f>
        <v>BSS</v>
      </c>
      <c r="E717" s="3574" t="s">
        <v>812</v>
      </c>
      <c r="F717" s="3510">
        <f>ROUND(((((G727*I727*J727)*(K727-L727/M727))-((H727*I727*J727)*(K727-L727/N727)))+((L727*O727/P727)-(L727*O727/Q727))+R727)*F727/1000,2)</f>
        <v>2640.88</v>
      </c>
      <c r="G717" s="3503" t="s">
        <v>407</v>
      </c>
      <c r="H717" s="3511">
        <f>VLOOKUP(G717,'CP FACTORS'!$A$26:$B$38,2,FALSE)</f>
        <v>1.998949E-4</v>
      </c>
      <c r="I717" s="3769">
        <f>ROUND(H717*F717,6)</f>
        <v>0.52789799999999998</v>
      </c>
      <c r="J717" s="2687">
        <v>12</v>
      </c>
      <c r="K717" s="3513">
        <v>850</v>
      </c>
      <c r="L717" s="3717" t="s">
        <v>62</v>
      </c>
      <c r="M717" s="3528"/>
      <c r="N717" s="3528"/>
      <c r="O717" s="3528"/>
      <c r="P717" s="3528"/>
      <c r="Q717" s="3528"/>
      <c r="R717" s="3528"/>
      <c r="S717" s="3528"/>
      <c r="T717" s="3528"/>
      <c r="U717" s="3528"/>
      <c r="V717" s="2244" t="s">
        <v>45</v>
      </c>
      <c r="W717" s="3224">
        <v>1910.3779120879103</v>
      </c>
      <c r="X717" s="3224">
        <v>1910.3779120879103</v>
      </c>
      <c r="Y717" s="3224">
        <v>1910.3779120879103</v>
      </c>
      <c r="Z717" s="3224">
        <v>1910.3779120879103</v>
      </c>
      <c r="AA717" s="3224">
        <v>1910.3779120879103</v>
      </c>
      <c r="AB717" s="3222">
        <v>1910.38</v>
      </c>
      <c r="AC717" s="3374">
        <v>1910.38</v>
      </c>
      <c r="AD717" s="3374">
        <v>1910.38</v>
      </c>
      <c r="AE717" s="3374">
        <v>1910.38</v>
      </c>
      <c r="AF717" s="3374">
        <f>F717</f>
        <v>2640.88</v>
      </c>
      <c r="AG717" s="2413"/>
      <c r="AH717" s="2237"/>
      <c r="AI717" s="2244" t="s">
        <v>49</v>
      </c>
      <c r="AJ717" s="3506">
        <v>12</v>
      </c>
      <c r="AK717" s="3506">
        <v>12</v>
      </c>
      <c r="AL717" s="3506">
        <v>12</v>
      </c>
      <c r="AM717" s="3506">
        <v>12</v>
      </c>
      <c r="AN717" s="3506">
        <v>12</v>
      </c>
      <c r="AO717" s="3518">
        <v>12</v>
      </c>
      <c r="AP717" s="3518">
        <v>12</v>
      </c>
      <c r="AQ717" s="3518">
        <v>12</v>
      </c>
      <c r="AR717" s="3518">
        <v>12</v>
      </c>
      <c r="AS717" s="3518">
        <v>12</v>
      </c>
      <c r="AU717" s="2244" t="s">
        <v>50</v>
      </c>
      <c r="AV717" s="3521">
        <v>0</v>
      </c>
      <c r="AW717" s="3521">
        <v>0</v>
      </c>
      <c r="AX717" s="3521">
        <v>0</v>
      </c>
      <c r="AY717" s="3521">
        <v>0</v>
      </c>
      <c r="AZ717" s="3521">
        <v>0</v>
      </c>
      <c r="BA717" s="3522">
        <v>0</v>
      </c>
      <c r="BB717" s="3522">
        <v>0</v>
      </c>
      <c r="BC717" s="3522">
        <v>0</v>
      </c>
      <c r="BD717" s="3522">
        <v>0</v>
      </c>
      <c r="BE717" s="3589">
        <v>850</v>
      </c>
      <c r="CG717" s="2237"/>
      <c r="CH717" s="2237"/>
      <c r="CI717" s="2237"/>
      <c r="CJ717" s="2237"/>
      <c r="CW717" s="2237"/>
      <c r="CX717" s="2237"/>
      <c r="CY717" s="2237"/>
      <c r="CZ717" s="2237"/>
      <c r="DG717" s="2418">
        <f t="shared" ref="DG717" si="183">IFERROR((DI717)/(DJ717),"n/a")</f>
        <v>2.1888413634196988</v>
      </c>
      <c r="DH717" s="2419" t="str">
        <f>CONCATENATE(G717," ",J717," Year EUL")</f>
        <v>Cooking BUS 12 Year EUL</v>
      </c>
      <c r="DI717" s="3695">
        <f>(INDEX('Avoided Cost Benefits'!$B$4:$B$865,MATCH(DH717,'Avoided Cost Benefits'!$A$4:$A$865,0)))*F717</f>
        <v>1860.5151589067439</v>
      </c>
      <c r="DJ717" s="2605">
        <f>K717/(1.0686^(2025-2025))</f>
        <v>850</v>
      </c>
    </row>
    <row r="718" spans="1:132" s="3517" customFormat="1" outlineLevel="1">
      <c r="B718" s="2208"/>
      <c r="C718" s="3564"/>
      <c r="D718" s="2624" t="s">
        <v>118</v>
      </c>
      <c r="E718" s="2360" t="s">
        <v>813</v>
      </c>
      <c r="F718" s="3564"/>
      <c r="G718" s="3564"/>
      <c r="H718" s="3679"/>
      <c r="I718" s="3564"/>
      <c r="J718" s="3564"/>
      <c r="K718" s="3528"/>
      <c r="L718" s="3528"/>
      <c r="M718" s="3528"/>
      <c r="N718" s="3528"/>
      <c r="O718" s="3528"/>
      <c r="P718" s="3528"/>
      <c r="Q718" s="3528"/>
      <c r="R718" s="3528"/>
      <c r="S718" s="3528"/>
      <c r="T718" s="3528"/>
      <c r="U718" s="3528"/>
      <c r="BE718" s="3517" t="s">
        <v>814</v>
      </c>
      <c r="CG718" s="2237"/>
      <c r="CH718" s="2237"/>
      <c r="CI718" s="2237"/>
      <c r="CJ718" s="2237"/>
      <c r="CW718" s="2237"/>
      <c r="CX718" s="2237"/>
      <c r="CY718" s="2237"/>
      <c r="CZ718" s="2237"/>
      <c r="DG718" s="3551"/>
      <c r="DH718" s="3528"/>
      <c r="DI718" s="3528"/>
      <c r="DJ718" s="3552"/>
    </row>
    <row r="719" spans="1:132" s="3517" customFormat="1" outlineLevel="1">
      <c r="C719" s="3564"/>
      <c r="D719" s="3564" t="s">
        <v>120</v>
      </c>
      <c r="E719" s="2086"/>
      <c r="F719" s="3564"/>
      <c r="G719" s="3564"/>
      <c r="H719" s="3679"/>
      <c r="I719" s="3564"/>
      <c r="J719" s="3564"/>
      <c r="K719" s="2086"/>
      <c r="L719" s="3528"/>
      <c r="M719" s="3528"/>
      <c r="N719" s="3528"/>
      <c r="O719" s="3528"/>
      <c r="P719" s="3528"/>
      <c r="Q719" s="3528"/>
      <c r="R719" s="3528"/>
      <c r="S719" s="3528"/>
      <c r="T719" s="3528"/>
      <c r="U719" s="3528"/>
      <c r="CG719" s="2237"/>
      <c r="CH719" s="2237"/>
      <c r="CI719" s="2237"/>
      <c r="CJ719" s="2237"/>
      <c r="CW719" s="2237"/>
      <c r="CX719" s="2237"/>
      <c r="CY719" s="2237"/>
      <c r="CZ719" s="2237"/>
      <c r="DG719" s="3551"/>
      <c r="DH719" s="3528"/>
      <c r="DI719" s="3528"/>
      <c r="DJ719" s="3552"/>
    </row>
    <row r="720" spans="1:132" s="3517" customFormat="1" outlineLevel="1">
      <c r="C720" s="3564"/>
      <c r="D720" s="3680"/>
      <c r="E720" s="2086"/>
      <c r="F720" s="2086"/>
      <c r="G720" s="3528"/>
      <c r="H720" s="3569"/>
      <c r="I720" s="3528"/>
      <c r="J720" s="3528"/>
      <c r="K720" s="3528"/>
      <c r="L720" s="3528"/>
      <c r="M720" s="3528"/>
      <c r="N720" s="3528"/>
      <c r="O720" s="3528"/>
      <c r="P720" s="3528"/>
      <c r="Q720" s="3528"/>
      <c r="R720" s="3528"/>
      <c r="S720" s="3528"/>
      <c r="T720" s="3528"/>
      <c r="U720" s="3528"/>
      <c r="CG720" s="2237"/>
      <c r="CH720" s="2237"/>
      <c r="CI720" s="2237"/>
      <c r="CJ720" s="2237"/>
      <c r="CW720" s="2237"/>
      <c r="CX720" s="2237"/>
      <c r="CY720" s="2237"/>
      <c r="CZ720" s="2237"/>
      <c r="DG720" s="3551"/>
      <c r="DH720" s="3528"/>
      <c r="DI720" s="3528"/>
      <c r="DJ720" s="3552"/>
    </row>
    <row r="721" spans="1:114" s="3517" customFormat="1" outlineLevel="1">
      <c r="C721" s="3564"/>
      <c r="D721" s="3680"/>
      <c r="E721" s="3528"/>
      <c r="F721" s="3528"/>
      <c r="G721" s="3528"/>
      <c r="H721" s="3569"/>
      <c r="I721" s="3528"/>
      <c r="J721" s="3528"/>
      <c r="K721" s="3528"/>
      <c r="L721" s="3528"/>
      <c r="M721" s="3528"/>
      <c r="N721" s="3528"/>
      <c r="O721" s="3528"/>
      <c r="P721" s="4011"/>
      <c r="Q721" s="4011"/>
      <c r="R721" s="3528"/>
      <c r="S721" s="3528"/>
      <c r="T721" s="3528"/>
      <c r="U721" s="3528"/>
      <c r="CG721" s="2237"/>
      <c r="CH721" s="2237"/>
      <c r="CI721" s="2237"/>
      <c r="CJ721" s="2237"/>
      <c r="CW721" s="2237"/>
      <c r="CX721" s="2237"/>
      <c r="CY721" s="2237"/>
      <c r="CZ721" s="2237"/>
      <c r="DG721" s="3551"/>
      <c r="DH721" s="3528"/>
      <c r="DI721" s="3528"/>
      <c r="DJ721" s="3552"/>
    </row>
    <row r="722" spans="1:114" s="3517" customFormat="1" outlineLevel="1">
      <c r="C722" s="3564"/>
      <c r="D722" s="3680"/>
      <c r="E722" s="3528"/>
      <c r="F722" s="3528"/>
      <c r="G722" s="3528"/>
      <c r="H722" s="3569"/>
      <c r="I722" s="3528"/>
      <c r="J722" s="3528"/>
      <c r="K722" s="3528"/>
      <c r="L722" s="3528"/>
      <c r="M722" s="3564"/>
      <c r="N722" s="3528"/>
      <c r="O722" s="3528"/>
      <c r="P722" s="4011"/>
      <c r="Q722" s="4011"/>
      <c r="R722" s="3528"/>
      <c r="S722" s="3528"/>
      <c r="T722" s="3528"/>
      <c r="U722" s="3528"/>
      <c r="CG722" s="2237"/>
      <c r="CH722" s="2237"/>
      <c r="CI722" s="2237"/>
      <c r="CJ722" s="2237"/>
      <c r="CW722" s="2237"/>
      <c r="CX722" s="2237"/>
      <c r="CY722" s="2237"/>
      <c r="CZ722" s="2237"/>
      <c r="DG722" s="3551"/>
      <c r="DH722" s="3528"/>
      <c r="DI722" s="3528"/>
      <c r="DJ722" s="3552"/>
    </row>
    <row r="723" spans="1:114" s="3517" customFormat="1" outlineLevel="1">
      <c r="C723" s="3564"/>
      <c r="D723" s="3680"/>
      <c r="E723" s="3528"/>
      <c r="F723" s="3528"/>
      <c r="G723" s="3528"/>
      <c r="H723" s="3569"/>
      <c r="I723" s="3528"/>
      <c r="J723" s="3528"/>
      <c r="K723" s="3528"/>
      <c r="L723" s="3528"/>
      <c r="M723" s="3564"/>
      <c r="N723" s="3528"/>
      <c r="O723" s="3528"/>
      <c r="P723" s="4011"/>
      <c r="Q723" s="4011"/>
      <c r="R723" s="3528"/>
      <c r="S723" s="3528"/>
      <c r="T723" s="3528"/>
      <c r="U723" s="3528"/>
      <c r="CG723" s="2237"/>
      <c r="CH723" s="2237"/>
      <c r="CI723" s="2237"/>
      <c r="CJ723" s="2237"/>
      <c r="CW723" s="2237"/>
      <c r="CX723" s="2237"/>
      <c r="CY723" s="2237"/>
      <c r="CZ723" s="2237"/>
      <c r="DG723" s="3551"/>
      <c r="DH723" s="3528"/>
      <c r="DI723" s="3528"/>
      <c r="DJ723" s="3552"/>
    </row>
    <row r="724" spans="1:114" s="3517" customFormat="1" outlineLevel="1">
      <c r="C724" s="3564"/>
      <c r="D724" s="3680"/>
      <c r="E724" s="3528"/>
      <c r="F724" s="3528"/>
      <c r="G724" s="3528"/>
      <c r="H724" s="3569"/>
      <c r="I724" s="3528"/>
      <c r="J724" s="3528"/>
      <c r="K724" s="3528"/>
      <c r="L724" s="3528"/>
      <c r="M724" s="3564"/>
      <c r="N724" s="3528"/>
      <c r="O724" s="3528"/>
      <c r="P724" s="3528"/>
      <c r="Q724" s="3528"/>
      <c r="R724" s="3528"/>
      <c r="S724" s="3528"/>
      <c r="T724" s="3528"/>
      <c r="U724" s="3528"/>
      <c r="CG724" s="2237"/>
      <c r="CH724" s="2237"/>
      <c r="CI724" s="2237"/>
      <c r="CJ724" s="2237"/>
      <c r="CW724" s="2237"/>
      <c r="CX724" s="2237"/>
      <c r="CY724" s="2237"/>
      <c r="CZ724" s="2237"/>
      <c r="DG724" s="3551"/>
      <c r="DH724" s="3528"/>
      <c r="DI724" s="3528"/>
      <c r="DJ724" s="3552"/>
    </row>
    <row r="725" spans="1:114" s="3517" customFormat="1" outlineLevel="1">
      <c r="C725" s="3564"/>
      <c r="D725" s="3680"/>
      <c r="E725" s="3528"/>
      <c r="F725" s="3528"/>
      <c r="G725" s="3528"/>
      <c r="H725" s="3569"/>
      <c r="I725" s="3528"/>
      <c r="J725" s="3528"/>
      <c r="K725" s="3528"/>
      <c r="L725" s="3528"/>
      <c r="M725" s="3528"/>
      <c r="N725" s="3528"/>
      <c r="O725" s="3528"/>
      <c r="P725" s="3528"/>
      <c r="Q725" s="3528"/>
      <c r="R725" s="3528"/>
      <c r="S725" s="3528"/>
      <c r="T725" s="3528"/>
      <c r="U725" s="3528"/>
      <c r="CG725" s="2237"/>
      <c r="CH725" s="2237"/>
      <c r="CI725" s="2237"/>
      <c r="CJ725" s="2237"/>
      <c r="CW725" s="2237"/>
      <c r="CX725" s="2237"/>
      <c r="CY725" s="2237"/>
      <c r="CZ725" s="2237"/>
      <c r="DG725" s="3551"/>
      <c r="DH725" s="3528"/>
      <c r="DI725" s="3528"/>
      <c r="DJ725" s="3552"/>
    </row>
    <row r="726" spans="1:114" s="3044" customFormat="1" ht="30" outlineLevel="1">
      <c r="A726" s="3517"/>
      <c r="C726" s="2086"/>
      <c r="D726" s="3682" t="s">
        <v>42</v>
      </c>
      <c r="E726" s="3682" t="s">
        <v>275</v>
      </c>
      <c r="F726" s="3725" t="s">
        <v>421</v>
      </c>
      <c r="G726" s="3682" t="s">
        <v>815</v>
      </c>
      <c r="H726" s="3682" t="s">
        <v>816</v>
      </c>
      <c r="I726" s="3682" t="s">
        <v>817</v>
      </c>
      <c r="J726" s="3682" t="s">
        <v>818</v>
      </c>
      <c r="K726" s="3682" t="s">
        <v>778</v>
      </c>
      <c r="L726" s="3682" t="s">
        <v>819</v>
      </c>
      <c r="M726" s="3682" t="s">
        <v>797</v>
      </c>
      <c r="N726" s="3779" t="s">
        <v>798</v>
      </c>
      <c r="O726" s="3779" t="s">
        <v>799</v>
      </c>
      <c r="P726" s="3779" t="s">
        <v>800</v>
      </c>
      <c r="Q726" s="2280" t="s">
        <v>801</v>
      </c>
      <c r="R726" s="3745" t="s">
        <v>776</v>
      </c>
      <c r="S726" s="2697"/>
      <c r="T726" s="2697"/>
      <c r="U726" s="2697"/>
      <c r="V726" s="2640" t="s">
        <v>52</v>
      </c>
      <c r="W726" s="2641">
        <f>$W$8</f>
        <v>43252</v>
      </c>
      <c r="X726" s="2641">
        <f>$X$8</f>
        <v>43465</v>
      </c>
      <c r="Y726" s="2641">
        <f>$Y$8</f>
        <v>43800</v>
      </c>
      <c r="Z726" s="2641">
        <f>$Z$8</f>
        <v>43862</v>
      </c>
      <c r="AA726" s="2641">
        <f>$AA$8</f>
        <v>44013</v>
      </c>
      <c r="AB726" s="2641">
        <v>44166</v>
      </c>
      <c r="AC726" s="2641">
        <f>$AC$8</f>
        <v>44531</v>
      </c>
      <c r="AD726" s="2641">
        <f>$AD$8</f>
        <v>44774</v>
      </c>
      <c r="AE726" s="2641">
        <f>$AE$8</f>
        <v>45142</v>
      </c>
      <c r="AF726" s="2641">
        <f>$AF$8</f>
        <v>45672</v>
      </c>
      <c r="AG726" s="2641" t="str">
        <f>$AG$8</f>
        <v>-</v>
      </c>
      <c r="DG726" s="3597"/>
      <c r="DH726" s="2697"/>
      <c r="DI726" s="2697"/>
      <c r="DJ726" s="3552"/>
    </row>
    <row r="727" spans="1:114" s="3517" customFormat="1" outlineLevel="1">
      <c r="C727" s="3564"/>
      <c r="D727" s="3598" t="str">
        <f>C717</f>
        <v>805350_2024_12_</v>
      </c>
      <c r="E727" s="3598" t="str">
        <f>E717</f>
        <v>Griddle, single sided</v>
      </c>
      <c r="F727" s="3806">
        <v>365.25</v>
      </c>
      <c r="G727" s="3813">
        <v>400</v>
      </c>
      <c r="H727" s="3809">
        <v>320</v>
      </c>
      <c r="I727" s="3809">
        <v>3</v>
      </c>
      <c r="J727" s="3809">
        <v>2</v>
      </c>
      <c r="K727" s="3809">
        <v>12</v>
      </c>
      <c r="L727" s="3809">
        <v>100</v>
      </c>
      <c r="M727" s="3783">
        <v>35</v>
      </c>
      <c r="N727" s="3817">
        <v>40</v>
      </c>
      <c r="O727" s="2821">
        <v>139</v>
      </c>
      <c r="P727" s="2794">
        <v>0.65</v>
      </c>
      <c r="Q727" s="3628">
        <v>0.7</v>
      </c>
      <c r="R727" s="3787">
        <f>4000-2000</f>
        <v>2000</v>
      </c>
      <c r="S727" s="3528"/>
      <c r="T727" s="3528"/>
      <c r="U727" s="3528"/>
      <c r="V727" s="2244" t="s">
        <v>777</v>
      </c>
      <c r="W727" s="3224"/>
      <c r="X727" s="3224"/>
      <c r="Y727" s="3224"/>
      <c r="Z727" s="3224"/>
      <c r="AA727" s="3224"/>
      <c r="AB727" s="3222"/>
      <c r="AC727" s="3374"/>
      <c r="AD727" s="3374"/>
      <c r="AE727" s="3374"/>
      <c r="AF727" s="3374">
        <v>2000</v>
      </c>
      <c r="AG727" s="2413"/>
      <c r="CG727" s="2237"/>
      <c r="CH727" s="2237"/>
      <c r="CI727" s="2237"/>
      <c r="CJ727" s="2237"/>
      <c r="CW727" s="2237"/>
      <c r="CX727" s="2237"/>
      <c r="CY727" s="2237"/>
      <c r="CZ727" s="2237"/>
      <c r="DG727" s="3551"/>
      <c r="DH727" s="3528"/>
      <c r="DI727" s="3528"/>
      <c r="DJ727" s="3552"/>
    </row>
    <row r="728" spans="1:114" s="3517" customFormat="1">
      <c r="C728" s="3564"/>
      <c r="D728" s="3564"/>
      <c r="E728" s="3528"/>
      <c r="F728" s="3528"/>
      <c r="G728" s="3663"/>
      <c r="H728" s="3691"/>
      <c r="I728" s="3528"/>
      <c r="J728" s="3528"/>
      <c r="K728" s="3528"/>
      <c r="L728" s="3528"/>
      <c r="M728" s="3528"/>
      <c r="N728" s="3528"/>
      <c r="O728" s="3528"/>
      <c r="P728" s="3528"/>
      <c r="Q728" s="3528"/>
      <c r="R728" s="3528"/>
      <c r="S728" s="3528"/>
      <c r="T728" s="3528"/>
      <c r="U728" s="3528"/>
      <c r="CG728" s="2237"/>
      <c r="CH728" s="2237"/>
      <c r="CI728" s="2237"/>
      <c r="CJ728" s="2237"/>
      <c r="CW728" s="2237"/>
      <c r="CX728" s="2237"/>
      <c r="CY728" s="2237"/>
      <c r="CZ728" s="2237"/>
      <c r="DG728" s="3551"/>
      <c r="DH728" s="3528"/>
      <c r="DI728" s="3528"/>
      <c r="DJ728" s="3552"/>
    </row>
    <row r="729" spans="1:114" s="3517" customFormat="1">
      <c r="C729" s="3564"/>
      <c r="D729" s="3564"/>
      <c r="E729" s="3528"/>
      <c r="F729" s="3528"/>
      <c r="G729" s="3663"/>
      <c r="H729" s="3691"/>
      <c r="I729" s="3528"/>
      <c r="J729" s="3528"/>
      <c r="K729" s="3528"/>
      <c r="L729" s="3528"/>
      <c r="M729" s="3528"/>
      <c r="N729" s="3528"/>
      <c r="O729" s="3528"/>
      <c r="P729" s="3528"/>
      <c r="Q729" s="3528"/>
      <c r="R729" s="3528"/>
      <c r="S729" s="3528"/>
      <c r="T729" s="3528"/>
      <c r="U729" s="3528"/>
      <c r="CG729" s="2237"/>
      <c r="CH729" s="2237"/>
      <c r="CI729" s="2237"/>
      <c r="CJ729" s="2237"/>
      <c r="CW729" s="2237"/>
      <c r="CX729" s="2237"/>
      <c r="CY729" s="2237"/>
      <c r="CZ729" s="2237"/>
      <c r="DG729" s="3551"/>
      <c r="DH729" s="3528"/>
      <c r="DI729" s="3528"/>
      <c r="DJ729" s="3552"/>
    </row>
    <row r="730" spans="1:114" s="8" customFormat="1">
      <c r="A730" s="2"/>
      <c r="B730" s="3996" t="s">
        <v>820</v>
      </c>
      <c r="C730" s="3997"/>
      <c r="D730" s="3997"/>
      <c r="E730" s="3997"/>
      <c r="F730" s="3997"/>
      <c r="G730" s="3997"/>
      <c r="H730" s="3997"/>
      <c r="I730" s="4828"/>
      <c r="J730" s="4828"/>
      <c r="K730" s="4828"/>
      <c r="L730" s="4828"/>
      <c r="M730" s="4829"/>
      <c r="N730" s="4829"/>
      <c r="O730" s="4830"/>
      <c r="V730" s="1363" t="str">
        <f>B730</f>
        <v>Kitchen Demand Ventilation Controls</v>
      </c>
      <c r="W730" s="1364"/>
      <c r="X730" s="1364"/>
      <c r="Y730" s="1364"/>
      <c r="Z730" s="1364"/>
      <c r="AA730" s="1364"/>
      <c r="AB730" s="1364"/>
      <c r="AC730" s="1364"/>
      <c r="AD730" s="1364"/>
      <c r="AE730" s="1364"/>
      <c r="AF730" s="1364"/>
      <c r="AG730" s="1364"/>
      <c r="AH730" s="1364"/>
      <c r="AI730" s="1397"/>
      <c r="AJ730" s="2"/>
      <c r="AK730" s="2"/>
      <c r="AL730" s="2"/>
      <c r="AM730" s="2"/>
      <c r="AN730" s="2"/>
      <c r="AO730" s="2"/>
      <c r="AP730" s="2"/>
      <c r="AQ730" s="2"/>
      <c r="AR730" s="2"/>
      <c r="AS730" s="2"/>
      <c r="AT730" s="2"/>
      <c r="AU730" s="2"/>
      <c r="DG730" s="24"/>
      <c r="DJ730" s="1102"/>
    </row>
    <row r="731" spans="1:114">
      <c r="D731" s="461"/>
      <c r="E731" s="8"/>
      <c r="F731" s="8"/>
      <c r="G731" s="8"/>
      <c r="H731" s="462"/>
      <c r="I731" s="8"/>
      <c r="J731" s="8"/>
      <c r="K731" s="8"/>
      <c r="L731" s="8"/>
      <c r="P731" s="8"/>
      <c r="Q731" s="8"/>
      <c r="R731" s="8"/>
      <c r="S731" s="8"/>
      <c r="T731" s="8"/>
      <c r="U731" s="8"/>
      <c r="V731"/>
      <c r="W731"/>
      <c r="X731"/>
      <c r="Y731"/>
      <c r="Z731"/>
      <c r="AA731"/>
      <c r="AB731"/>
      <c r="AC731"/>
      <c r="AD731"/>
      <c r="AE731"/>
      <c r="AF731"/>
      <c r="AG731"/>
      <c r="AH731"/>
      <c r="AI731"/>
      <c r="AJ731" s="7"/>
      <c r="AK731" s="7"/>
      <c r="AL731" s="7"/>
      <c r="AM731" s="7"/>
      <c r="AN731" s="7"/>
      <c r="AO731" s="7"/>
      <c r="AP731" s="7"/>
      <c r="AQ731" s="7"/>
      <c r="AR731" s="7"/>
      <c r="AS731" s="7"/>
      <c r="AT731" s="7"/>
      <c r="AU731" s="7"/>
    </row>
    <row r="732" spans="1:114" s="9" customFormat="1" ht="30">
      <c r="A732" s="2"/>
      <c r="B732" s="7"/>
      <c r="C732" s="10" t="s">
        <v>42</v>
      </c>
      <c r="D732" s="10" t="s">
        <v>43</v>
      </c>
      <c r="E732" s="1432" t="s">
        <v>44</v>
      </c>
      <c r="F732" s="1432" t="s">
        <v>382</v>
      </c>
      <c r="G732" s="1432" t="s">
        <v>46</v>
      </c>
      <c r="H732" s="11" t="s">
        <v>47</v>
      </c>
      <c r="I732" s="1432" t="s">
        <v>48</v>
      </c>
      <c r="J732" s="1432" t="s">
        <v>49</v>
      </c>
      <c r="K732" s="10" t="s">
        <v>821</v>
      </c>
      <c r="L732" s="10" t="s">
        <v>51</v>
      </c>
      <c r="M732" s="265"/>
      <c r="N732" s="265"/>
      <c r="O732" s="265"/>
      <c r="P732" s="122"/>
      <c r="Q732" s="122"/>
      <c r="R732" s="122"/>
      <c r="S732" s="122"/>
      <c r="T732" s="122"/>
      <c r="U732" s="122"/>
      <c r="V732" s="668" t="s">
        <v>52</v>
      </c>
      <c r="W732" s="669">
        <f>$W$8</f>
        <v>43252</v>
      </c>
      <c r="X732" s="669">
        <f>$X$8</f>
        <v>43465</v>
      </c>
      <c r="Y732" s="669">
        <f>$Y$8</f>
        <v>43800</v>
      </c>
      <c r="Z732" s="669">
        <f>$Z$8</f>
        <v>43862</v>
      </c>
      <c r="AA732" s="669">
        <f>$AA$8</f>
        <v>44013</v>
      </c>
      <c r="AB732" s="669">
        <v>44166</v>
      </c>
      <c r="AC732" s="669">
        <f>$AC$8</f>
        <v>44531</v>
      </c>
      <c r="AD732" s="669">
        <f>$AD$8</f>
        <v>44774</v>
      </c>
      <c r="AE732" s="669">
        <f>$AE$8</f>
        <v>45142</v>
      </c>
      <c r="AF732" s="669">
        <f>$AF$8</f>
        <v>45672</v>
      </c>
      <c r="AG732" s="669" t="str">
        <f>$AG$8</f>
        <v>-</v>
      </c>
      <c r="AH732"/>
      <c r="AI732" s="668" t="s">
        <v>52</v>
      </c>
      <c r="AJ732" s="669">
        <v>43252</v>
      </c>
      <c r="AK732" s="669">
        <f>$X$8</f>
        <v>43465</v>
      </c>
      <c r="AL732" s="669">
        <f>$Y$8</f>
        <v>43800</v>
      </c>
      <c r="AM732" s="669">
        <f>$Z$8</f>
        <v>43862</v>
      </c>
      <c r="AN732" s="669">
        <f>$AA$8</f>
        <v>44013</v>
      </c>
      <c r="AO732" s="669">
        <f>$AB$8</f>
        <v>44166</v>
      </c>
      <c r="AP732" s="669">
        <f>$AC$8</f>
        <v>44531</v>
      </c>
      <c r="AQ732" s="669">
        <f>$AD$8</f>
        <v>44774</v>
      </c>
      <c r="AR732" s="669">
        <f>$AE$8</f>
        <v>45142</v>
      </c>
      <c r="AS732" s="669">
        <f>$AF$8</f>
        <v>45672</v>
      </c>
      <c r="AT732" s="2"/>
      <c r="AU732" s="668" t="s">
        <v>52</v>
      </c>
      <c r="AV732" s="669">
        <v>43252</v>
      </c>
      <c r="AW732" s="669">
        <f>$X$8</f>
        <v>43465</v>
      </c>
      <c r="AX732" s="669">
        <f>$Y$8</f>
        <v>43800</v>
      </c>
      <c r="AY732" s="669">
        <f>$Z$8</f>
        <v>43862</v>
      </c>
      <c r="AZ732" s="669">
        <f>$AA$8</f>
        <v>44013</v>
      </c>
      <c r="BA732" s="669">
        <v>44166</v>
      </c>
      <c r="BB732" s="669">
        <f>$AC$8</f>
        <v>44531</v>
      </c>
      <c r="BC732" s="669">
        <f>$AD$8</f>
        <v>44774</v>
      </c>
      <c r="BD732" s="669">
        <f>$AE$8</f>
        <v>45142</v>
      </c>
      <c r="BE732" s="669">
        <f>$AF$8</f>
        <v>45672</v>
      </c>
      <c r="DG732" s="1060" t="str">
        <f>$DG$8</f>
        <v>TRC (2025)</v>
      </c>
      <c r="DH732" s="811" t="str">
        <f>$DH$8</f>
        <v>Benefit Lookup</v>
      </c>
      <c r="DI732" s="811" t="str">
        <f>$DI$8</f>
        <v>Benefits (2025 $)</v>
      </c>
      <c r="DJ732" s="1172" t="str">
        <f>$DJ$8</f>
        <v>Incremental Cost (2025 $)</v>
      </c>
    </row>
    <row r="733" spans="1:114">
      <c r="B733" s="1454">
        <f t="shared" ref="B733:B734" si="184">VALUE(LEFT(C733,6))</f>
        <v>805405</v>
      </c>
      <c r="C733" s="688" t="s">
        <v>822</v>
      </c>
      <c r="D733" s="1639" t="s">
        <v>135</v>
      </c>
      <c r="E733" s="685" t="s">
        <v>823</v>
      </c>
      <c r="F733" s="418">
        <f>ROUND(F744*G744,2)</f>
        <v>4197</v>
      </c>
      <c r="G733" s="463" t="s">
        <v>407</v>
      </c>
      <c r="H733" s="464">
        <f>VLOOKUP(G733,'CP FACTORS'!$A$26:$B$38,2,FALSE)</f>
        <v>1.998949E-4</v>
      </c>
      <c r="I733" s="686">
        <f>F733*H733</f>
        <v>0.83895889530000001</v>
      </c>
      <c r="J733" s="103">
        <v>15</v>
      </c>
      <c r="K733" s="2035">
        <v>1991</v>
      </c>
      <c r="L733" s="509" t="s">
        <v>386</v>
      </c>
      <c r="V733" s="1414" t="s">
        <v>45</v>
      </c>
      <c r="W733" s="55"/>
      <c r="X733" s="55"/>
      <c r="Y733" s="55"/>
      <c r="Z733" s="55"/>
      <c r="AA733" s="58">
        <v>4486</v>
      </c>
      <c r="AB733" s="648">
        <v>4197</v>
      </c>
      <c r="AC733" s="737">
        <v>4197</v>
      </c>
      <c r="AD733" s="737">
        <v>4197</v>
      </c>
      <c r="AE733" s="737">
        <v>4197</v>
      </c>
      <c r="AF733" s="737">
        <v>4197</v>
      </c>
      <c r="AG733" s="71"/>
      <c r="AH733"/>
      <c r="AI733" s="1414" t="s">
        <v>49</v>
      </c>
      <c r="AJ733" s="671"/>
      <c r="AK733" s="671"/>
      <c r="AL733" s="671"/>
      <c r="AM733" s="71"/>
      <c r="AN733" s="676">
        <v>15</v>
      </c>
      <c r="AO733" s="709">
        <v>15</v>
      </c>
      <c r="AP733" s="709">
        <v>15</v>
      </c>
      <c r="AQ733" s="709">
        <v>15</v>
      </c>
      <c r="AR733" s="709">
        <v>15</v>
      </c>
      <c r="AS733" s="709">
        <v>15</v>
      </c>
      <c r="AU733" s="1414" t="s">
        <v>50</v>
      </c>
      <c r="AV733" s="672"/>
      <c r="AW733" s="672"/>
      <c r="AX733" s="672"/>
      <c r="AY733" s="672"/>
      <c r="AZ733" s="42">
        <v>1991</v>
      </c>
      <c r="BA733" s="689">
        <v>1991</v>
      </c>
      <c r="BB733" s="689">
        <v>1991</v>
      </c>
      <c r="BC733" s="689">
        <v>1991</v>
      </c>
      <c r="BD733" s="689">
        <v>1991</v>
      </c>
      <c r="BE733" s="689">
        <v>1991</v>
      </c>
      <c r="DG733" s="1067">
        <f>(DI733)/(DJ733)</f>
        <v>1.7359796272251358</v>
      </c>
      <c r="DH733" s="1400" t="str">
        <f>CONCATENATE(G733," ",J733," Year EUL")</f>
        <v>Cooking BUS 15 Year EUL</v>
      </c>
      <c r="DI733" s="1068">
        <f>(INDEX('Avoided Cost Benefits'!$B$4:$B$865,MATCH(DH733,'Avoided Cost Benefits'!$A$4:$A$865,0)))*F733</f>
        <v>3456.3354378052454</v>
      </c>
      <c r="DJ733" s="1178">
        <f>K733/(1.0686^(2025-2025))</f>
        <v>1991</v>
      </c>
    </row>
    <row r="734" spans="1:114" s="3517" customFormat="1">
      <c r="B734" s="2208">
        <f t="shared" si="184"/>
        <v>805410</v>
      </c>
      <c r="C734" s="3573" t="s">
        <v>824</v>
      </c>
      <c r="D734" s="3509" t="str">
        <f t="shared" ref="D734" si="185">$D$98</f>
        <v>BSS</v>
      </c>
      <c r="E734" s="3574" t="s">
        <v>825</v>
      </c>
      <c r="F734" s="3516">
        <f>ROUND(F745*G745,2)</f>
        <v>4197</v>
      </c>
      <c r="G734" s="3503" t="s">
        <v>407</v>
      </c>
      <c r="H734" s="3504">
        <f>VLOOKUP(G734,'CP FACTORS'!$A$26:$B$38,2,FALSE)</f>
        <v>1.998949E-4</v>
      </c>
      <c r="I734" s="3818">
        <f>F734*H734</f>
        <v>0.83895889530000001</v>
      </c>
      <c r="J734" s="2687">
        <v>15</v>
      </c>
      <c r="K734" s="3576">
        <v>1991</v>
      </c>
      <c r="L734" s="3717" t="s">
        <v>386</v>
      </c>
      <c r="M734" s="3528"/>
      <c r="N734" s="3528"/>
      <c r="O734" s="3528"/>
      <c r="P734" s="3528"/>
      <c r="Q734" s="3528"/>
      <c r="R734" s="3528"/>
      <c r="S734" s="3528"/>
      <c r="T734" s="3528"/>
      <c r="U734" s="3528"/>
      <c r="V734" s="2460" t="str">
        <f>V733</f>
        <v>kWh Annual Savings</v>
      </c>
      <c r="W734" s="3224"/>
      <c r="X734" s="3224"/>
      <c r="Y734" s="3224"/>
      <c r="Z734" s="2413"/>
      <c r="AA734" s="3510">
        <v>4486</v>
      </c>
      <c r="AB734" s="3222">
        <v>4197</v>
      </c>
      <c r="AC734" s="3374">
        <v>4197</v>
      </c>
      <c r="AD734" s="3374">
        <v>4197</v>
      </c>
      <c r="AE734" s="3374">
        <v>4197</v>
      </c>
      <c r="AF734" s="3374">
        <v>4197</v>
      </c>
      <c r="AG734" s="2413"/>
      <c r="AH734" s="2237"/>
      <c r="AI734" s="2460" t="s">
        <v>49</v>
      </c>
      <c r="AJ734" s="3620"/>
      <c r="AK734" s="3620"/>
      <c r="AL734" s="3620"/>
      <c r="AM734" s="2413"/>
      <c r="AN734" s="2724">
        <v>15</v>
      </c>
      <c r="AO734" s="3518">
        <v>15</v>
      </c>
      <c r="AP734" s="3518">
        <v>15</v>
      </c>
      <c r="AQ734" s="3518">
        <v>15</v>
      </c>
      <c r="AR734" s="3518">
        <v>15</v>
      </c>
      <c r="AS734" s="3518">
        <v>15</v>
      </c>
      <c r="AU734" s="2460" t="s">
        <v>50</v>
      </c>
      <c r="AV734" s="3622"/>
      <c r="AW734" s="3622"/>
      <c r="AX734" s="3622"/>
      <c r="AY734" s="3622"/>
      <c r="AZ734" s="3819">
        <v>1991</v>
      </c>
      <c r="BA734" s="3522">
        <v>1991</v>
      </c>
      <c r="BB734" s="3522">
        <v>1991</v>
      </c>
      <c r="BC734" s="3522">
        <v>1991</v>
      </c>
      <c r="BD734" s="3522">
        <v>1991</v>
      </c>
      <c r="BE734" s="3522">
        <v>1991</v>
      </c>
      <c r="CG734" s="2237"/>
      <c r="CH734" s="2237"/>
      <c r="CI734" s="2237"/>
      <c r="CJ734" s="2237"/>
      <c r="CW734" s="2237"/>
      <c r="CX734" s="2237"/>
      <c r="CY734" s="2237"/>
      <c r="CZ734" s="2237"/>
      <c r="DG734" s="2603">
        <f>(DI734)/(DJ734)</f>
        <v>1.7359796272251358</v>
      </c>
      <c r="DH734" s="2419" t="str">
        <f>CONCATENATE(G734," ",J734," Year EUL")</f>
        <v>Cooking BUS 15 Year EUL</v>
      </c>
      <c r="DI734" s="3695">
        <f>(INDEX('Avoided Cost Benefits'!$B$4:$B$865,MATCH(DH734,'Avoided Cost Benefits'!$A$4:$A$865,0)))*F734</f>
        <v>3456.3354378052454</v>
      </c>
      <c r="DJ734" s="2605">
        <f>K734/(1.0686^(2025-2025))</f>
        <v>1991</v>
      </c>
    </row>
    <row r="735" spans="1:114" outlineLevel="1">
      <c r="D735" s="77" t="s">
        <v>118</v>
      </c>
      <c r="E735" s="113" t="s">
        <v>826</v>
      </c>
      <c r="F735" s="8"/>
      <c r="G735" s="8"/>
      <c r="H735" s="471"/>
      <c r="I735" s="8"/>
      <c r="J735" s="8"/>
    </row>
    <row r="736" spans="1:114" outlineLevel="1">
      <c r="D736" s="8" t="s">
        <v>120</v>
      </c>
      <c r="E736" s="66"/>
      <c r="F736" s="8"/>
      <c r="G736" s="8"/>
      <c r="H736" s="471"/>
      <c r="I736" s="8"/>
      <c r="J736" s="8"/>
      <c r="K736" s="66"/>
    </row>
    <row r="737" spans="1:114" outlineLevel="1">
      <c r="D737" s="472"/>
      <c r="E737" s="66"/>
      <c r="F737" s="66"/>
      <c r="G737" s="265"/>
      <c r="H737" s="473"/>
    </row>
    <row r="738" spans="1:114" outlineLevel="1">
      <c r="D738" s="472"/>
      <c r="G738" s="265"/>
      <c r="H738" s="473"/>
      <c r="P738" s="4018"/>
      <c r="Q738" s="4018"/>
    </row>
    <row r="739" spans="1:114" outlineLevel="1">
      <c r="D739" s="472"/>
      <c r="G739" s="265"/>
      <c r="H739" s="473"/>
      <c r="M739" s="8"/>
      <c r="P739" s="4018"/>
      <c r="Q739" s="4018"/>
    </row>
    <row r="740" spans="1:114" outlineLevel="1">
      <c r="D740" s="472"/>
      <c r="G740" s="265"/>
      <c r="H740" s="473"/>
      <c r="M740" s="8"/>
      <c r="P740" s="4018"/>
      <c r="Q740" s="4018"/>
    </row>
    <row r="741" spans="1:114" outlineLevel="1">
      <c r="D741" s="472"/>
      <c r="G741" s="265"/>
      <c r="H741" s="473"/>
      <c r="M741" s="8"/>
    </row>
    <row r="742" spans="1:114" outlineLevel="1">
      <c r="D742" s="472"/>
      <c r="G742" s="265"/>
      <c r="H742" s="473"/>
    </row>
    <row r="743" spans="1:114" s="9" customFormat="1" outlineLevel="1">
      <c r="A743" s="2"/>
      <c r="C743" s="66"/>
      <c r="D743" s="1365" t="s">
        <v>42</v>
      </c>
      <c r="E743" s="1365" t="s">
        <v>275</v>
      </c>
      <c r="F743" s="32" t="s">
        <v>827</v>
      </c>
      <c r="G743" s="1365" t="s">
        <v>517</v>
      </c>
      <c r="H743" s="473"/>
      <c r="I743" s="265"/>
      <c r="J743" s="122"/>
      <c r="K743" s="122"/>
      <c r="L743" s="122"/>
      <c r="M743" s="122"/>
      <c r="N743" s="122"/>
      <c r="O743" s="122"/>
      <c r="P743" s="122"/>
      <c r="Q743" s="122"/>
      <c r="R743" s="122"/>
      <c r="S743" s="122"/>
      <c r="T743" s="122"/>
      <c r="U743" s="122"/>
      <c r="DG743" s="1065"/>
      <c r="DH743" s="122"/>
      <c r="DI743" s="122"/>
      <c r="DJ743" s="1168"/>
    </row>
    <row r="744" spans="1:114" outlineLevel="1">
      <c r="D744" s="679" t="str">
        <f>C733</f>
        <v>805405_2020_07_</v>
      </c>
      <c r="E744" s="679" t="str">
        <f>E733</f>
        <v>Kitchen Demand Ventilation Controls, Retrofit</v>
      </c>
      <c r="F744" s="687">
        <v>4197</v>
      </c>
      <c r="G744" s="502">
        <v>1</v>
      </c>
      <c r="H744" s="473"/>
    </row>
    <row r="745" spans="1:114" s="3517" customFormat="1" outlineLevel="1">
      <c r="C745" s="3564"/>
      <c r="D745" s="3598" t="str">
        <f>C734</f>
        <v>805410_2020_07_</v>
      </c>
      <c r="E745" s="3598" t="str">
        <f>E734</f>
        <v>Kitchen Demand Ventilation Controls, New</v>
      </c>
      <c r="F745" s="3820">
        <v>4197</v>
      </c>
      <c r="G745" s="3813">
        <v>1</v>
      </c>
      <c r="H745" s="3569"/>
      <c r="I745" s="3528"/>
      <c r="J745" s="3528"/>
      <c r="K745" s="3528"/>
      <c r="L745" s="3528"/>
      <c r="M745" s="3528"/>
      <c r="N745" s="3528"/>
      <c r="O745" s="3528"/>
      <c r="P745" s="3528"/>
      <c r="Q745" s="3528"/>
      <c r="R745" s="3528"/>
      <c r="S745" s="3528"/>
      <c r="T745" s="3528"/>
      <c r="U745" s="3528"/>
      <c r="CG745" s="2237"/>
      <c r="CH745" s="2237"/>
      <c r="CI745" s="2237"/>
      <c r="CJ745" s="2237"/>
      <c r="CW745" s="2237"/>
      <c r="CX745" s="2237"/>
      <c r="CY745" s="2237"/>
      <c r="CZ745" s="2237"/>
      <c r="DG745" s="3551"/>
      <c r="DH745" s="3528"/>
      <c r="DI745" s="3528"/>
      <c r="DJ745" s="3552"/>
    </row>
    <row r="748" spans="1:114" s="3564" customFormat="1">
      <c r="A748" s="3517"/>
      <c r="B748" s="3998" t="s">
        <v>828</v>
      </c>
      <c r="C748" s="3999"/>
      <c r="D748" s="3999"/>
      <c r="E748" s="3999"/>
      <c r="F748" s="3999"/>
      <c r="G748" s="3999"/>
      <c r="H748" s="3999"/>
      <c r="I748" s="4831"/>
      <c r="J748" s="4831"/>
      <c r="K748" s="4831"/>
      <c r="L748" s="4831"/>
      <c r="M748" s="4832"/>
      <c r="N748" s="4832"/>
      <c r="O748" s="4833"/>
      <c r="V748" s="2203" t="str">
        <f>B748</f>
        <v>Pre-Rinse Spray Valve</v>
      </c>
      <c r="W748" s="2204"/>
      <c r="X748" s="2204"/>
      <c r="Y748" s="2204"/>
      <c r="Z748" s="2204"/>
      <c r="AA748" s="2204"/>
      <c r="AB748" s="2204"/>
      <c r="AC748" s="2204"/>
      <c r="AD748" s="2204"/>
      <c r="AE748" s="2204"/>
      <c r="AF748" s="2204"/>
      <c r="AG748" s="2204"/>
      <c r="AH748" s="2204"/>
      <c r="AI748" s="3474"/>
      <c r="AJ748" s="3517"/>
      <c r="AK748" s="3517"/>
      <c r="AL748" s="3517"/>
      <c r="AM748" s="3517"/>
      <c r="AN748" s="3517"/>
      <c r="AO748" s="3517"/>
      <c r="AP748" s="3517"/>
      <c r="AQ748" s="3517"/>
      <c r="AR748" s="3517"/>
      <c r="AS748" s="3517"/>
      <c r="AT748" s="3517"/>
      <c r="AU748" s="3517"/>
      <c r="DG748" s="3669"/>
      <c r="DJ748" s="3567"/>
    </row>
    <row r="749" spans="1:114" s="3517" customFormat="1">
      <c r="C749" s="3564"/>
      <c r="D749" s="3670"/>
      <c r="E749" s="3564"/>
      <c r="F749" s="3564"/>
      <c r="G749" s="3564"/>
      <c r="H749" s="3671"/>
      <c r="I749" s="3564"/>
      <c r="J749" s="3564"/>
      <c r="K749" s="3564"/>
      <c r="L749" s="3564"/>
      <c r="M749" s="3528"/>
      <c r="N749" s="3528"/>
      <c r="O749" s="3528"/>
      <c r="P749" s="3564"/>
      <c r="Q749" s="3564"/>
      <c r="R749" s="3564"/>
      <c r="S749" s="3564"/>
      <c r="T749" s="3564"/>
      <c r="U749" s="3564"/>
      <c r="V749" s="2237"/>
      <c r="W749" s="2237"/>
      <c r="X749" s="2237"/>
      <c r="Y749" s="2237"/>
      <c r="Z749" s="2237"/>
      <c r="AA749" s="2237"/>
      <c r="AB749" s="2237"/>
      <c r="AC749" s="2237"/>
      <c r="AD749" s="2237"/>
      <c r="AE749" s="2237"/>
      <c r="AF749" s="2237"/>
      <c r="AG749" s="2237"/>
      <c r="AH749" s="2237"/>
      <c r="AI749" s="2237"/>
      <c r="AJ749" s="2723"/>
      <c r="AK749" s="2723"/>
      <c r="AL749" s="2723"/>
      <c r="AM749" s="2723"/>
      <c r="AN749" s="2723"/>
      <c r="AO749" s="2723"/>
      <c r="AP749" s="2723"/>
      <c r="AQ749" s="2723"/>
      <c r="AR749" s="2723"/>
      <c r="AS749" s="2723"/>
      <c r="AT749" s="2723"/>
      <c r="AU749" s="2723"/>
      <c r="CG749" s="2237"/>
      <c r="CH749" s="2237"/>
      <c r="CI749" s="2237"/>
      <c r="CJ749" s="2237"/>
      <c r="CW749" s="2237"/>
      <c r="CX749" s="2237"/>
      <c r="CY749" s="2237"/>
      <c r="CZ749" s="2237"/>
      <c r="DG749" s="3551"/>
      <c r="DH749" s="3528"/>
      <c r="DI749" s="3528"/>
      <c r="DJ749" s="3552"/>
    </row>
    <row r="750" spans="1:114" s="3044" customFormat="1" ht="30">
      <c r="A750" s="3517"/>
      <c r="B750" s="2723"/>
      <c r="C750" s="3570" t="s">
        <v>42</v>
      </c>
      <c r="D750" s="3570" t="s">
        <v>43</v>
      </c>
      <c r="E750" s="2280" t="s">
        <v>44</v>
      </c>
      <c r="F750" s="2280" t="s">
        <v>829</v>
      </c>
      <c r="G750" s="2280" t="s">
        <v>46</v>
      </c>
      <c r="H750" s="3571" t="s">
        <v>47</v>
      </c>
      <c r="I750" s="2280" t="s">
        <v>48</v>
      </c>
      <c r="J750" s="2280" t="s">
        <v>49</v>
      </c>
      <c r="K750" s="3570" t="s">
        <v>50</v>
      </c>
      <c r="L750" s="3570" t="s">
        <v>51</v>
      </c>
      <c r="M750" s="3528"/>
      <c r="N750" s="3528"/>
      <c r="O750" s="3528"/>
      <c r="P750" s="2697"/>
      <c r="Q750" s="2697"/>
      <c r="R750" s="2697"/>
      <c r="S750" s="2697"/>
      <c r="T750" s="2697"/>
      <c r="U750" s="2697"/>
      <c r="V750" s="2640" t="s">
        <v>52</v>
      </c>
      <c r="W750" s="2641">
        <f>$W$8</f>
        <v>43252</v>
      </c>
      <c r="X750" s="2641">
        <f>$X$8</f>
        <v>43465</v>
      </c>
      <c r="Y750" s="2641">
        <f>$Y$8</f>
        <v>43800</v>
      </c>
      <c r="Z750" s="2641">
        <f>$Z$8</f>
        <v>43862</v>
      </c>
      <c r="AA750" s="2641">
        <f>$AA$8</f>
        <v>44013</v>
      </c>
      <c r="AB750" s="2641">
        <v>44166</v>
      </c>
      <c r="AC750" s="2641">
        <f>$AC$8</f>
        <v>44531</v>
      </c>
      <c r="AD750" s="2641">
        <f>$AD$8</f>
        <v>44774</v>
      </c>
      <c r="AE750" s="2641">
        <f>$AE$8</f>
        <v>45142</v>
      </c>
      <c r="AF750" s="2641">
        <f>$AF$8</f>
        <v>45672</v>
      </c>
      <c r="AG750" s="2641" t="str">
        <f>$AG$8</f>
        <v>-</v>
      </c>
      <c r="AH750" s="2237"/>
      <c r="AI750" s="2640" t="s">
        <v>52</v>
      </c>
      <c r="AJ750" s="2641">
        <v>43252</v>
      </c>
      <c r="AK750" s="2641">
        <f>$X$8</f>
        <v>43465</v>
      </c>
      <c r="AL750" s="2641">
        <f>$Y$8</f>
        <v>43800</v>
      </c>
      <c r="AM750" s="2641">
        <f>$Z$8</f>
        <v>43862</v>
      </c>
      <c r="AN750" s="2641">
        <f>$AA$8</f>
        <v>44013</v>
      </c>
      <c r="AO750" s="2641">
        <f>$AB$8</f>
        <v>44166</v>
      </c>
      <c r="AP750" s="2641">
        <f>$AC$8</f>
        <v>44531</v>
      </c>
      <c r="AQ750" s="2641">
        <f>$AD$8</f>
        <v>44774</v>
      </c>
      <c r="AR750" s="2641">
        <f>$AE$8</f>
        <v>45142</v>
      </c>
      <c r="AS750" s="2641">
        <f>$AF$8</f>
        <v>45672</v>
      </c>
      <c r="AT750" s="3517"/>
      <c r="AU750" s="2640" t="s">
        <v>52</v>
      </c>
      <c r="AV750" s="2641">
        <v>43252</v>
      </c>
      <c r="AW750" s="2641">
        <f>$X$8</f>
        <v>43465</v>
      </c>
      <c r="AX750" s="2641">
        <f>$Y$8</f>
        <v>43800</v>
      </c>
      <c r="AY750" s="2641">
        <f>$Z$8</f>
        <v>43862</v>
      </c>
      <c r="AZ750" s="2641">
        <f>$AA$8</f>
        <v>44013</v>
      </c>
      <c r="BA750" s="2641">
        <v>44166</v>
      </c>
      <c r="BB750" s="2641">
        <f>$AC$8</f>
        <v>44531</v>
      </c>
      <c r="BC750" s="2641">
        <f>$AD$8</f>
        <v>44774</v>
      </c>
      <c r="BD750" s="2641">
        <f>$AE$8</f>
        <v>45142</v>
      </c>
      <c r="BE750" s="2641">
        <f>$AF$8</f>
        <v>45672</v>
      </c>
      <c r="DG750" s="2749" t="str">
        <f>$DG$8</f>
        <v>TRC (2025)</v>
      </c>
      <c r="DH750" s="2750" t="str">
        <f>$DH$8</f>
        <v>Benefit Lookup</v>
      </c>
      <c r="DI750" s="2750" t="str">
        <f>$DI$8</f>
        <v>Benefits (2025 $)</v>
      </c>
      <c r="DJ750" s="3572" t="str">
        <f>$DJ$8</f>
        <v>Incremental Cost (2025 $)</v>
      </c>
    </row>
    <row r="751" spans="1:114" s="3517" customFormat="1">
      <c r="B751" s="2208">
        <f t="shared" ref="B751" si="186">VALUE(LEFT(C751,6))</f>
        <v>805450</v>
      </c>
      <c r="C751" s="3499" t="s">
        <v>830</v>
      </c>
      <c r="D751" s="3509" t="str">
        <f t="shared" ref="D751" si="187">$D$98</f>
        <v>BSS</v>
      </c>
      <c r="E751" s="3574" t="s">
        <v>828</v>
      </c>
      <c r="F751" s="3510">
        <f>ROUND(F761*8.33*1*(K761-L761)*((1/M761)/3413),2)</f>
        <v>4698.46</v>
      </c>
      <c r="G751" s="3503" t="s">
        <v>407</v>
      </c>
      <c r="H751" s="3504">
        <f>VLOOKUP(G751,'CP FACTORS'!$A$26:$B$38,2,FALSE)</f>
        <v>1.998949E-4</v>
      </c>
      <c r="I751" s="3575">
        <f>ROUND(H751*F751,6)</f>
        <v>0.93919799999999998</v>
      </c>
      <c r="J751" s="2687">
        <v>5</v>
      </c>
      <c r="K751" s="3821">
        <v>92.9</v>
      </c>
      <c r="L751" s="3717" t="s">
        <v>62</v>
      </c>
      <c r="M751" s="3528"/>
      <c r="N751" s="3528"/>
      <c r="O751" s="3528"/>
      <c r="P751" s="3528"/>
      <c r="Q751" s="3528"/>
      <c r="R751" s="3528"/>
      <c r="S751" s="3528"/>
      <c r="T751" s="3528"/>
      <c r="U751" s="3528"/>
      <c r="V751" s="2244" t="s">
        <v>45</v>
      </c>
      <c r="W751" s="3718">
        <v>5786.527002576564</v>
      </c>
      <c r="X751" s="3718">
        <v>5786.527002576564</v>
      </c>
      <c r="Y751" s="3718">
        <v>5786.527002576564</v>
      </c>
      <c r="Z751" s="3718">
        <v>5786.527002576564</v>
      </c>
      <c r="AA751" s="3718">
        <v>5786.527002576564</v>
      </c>
      <c r="AB751" s="3618">
        <v>5786.53</v>
      </c>
      <c r="AC751" s="3619">
        <v>5786.53</v>
      </c>
      <c r="AD751" s="3619">
        <v>5786.53</v>
      </c>
      <c r="AE751" s="3619">
        <v>5786.53</v>
      </c>
      <c r="AF751" s="3619">
        <f>F751</f>
        <v>4698.46</v>
      </c>
      <c r="AG751" s="2413"/>
      <c r="AH751" s="2237"/>
      <c r="AI751" s="2244" t="s">
        <v>49</v>
      </c>
      <c r="AJ751" s="3506">
        <v>5</v>
      </c>
      <c r="AK751" s="3506">
        <v>5</v>
      </c>
      <c r="AL751" s="3506">
        <v>5</v>
      </c>
      <c r="AM751" s="3506">
        <v>5</v>
      </c>
      <c r="AN751" s="3506">
        <v>5</v>
      </c>
      <c r="AO751" s="3518">
        <v>5</v>
      </c>
      <c r="AP751" s="3518">
        <v>5</v>
      </c>
      <c r="AQ751" s="3518">
        <v>5</v>
      </c>
      <c r="AR751" s="3518">
        <v>5</v>
      </c>
      <c r="AS751" s="3518">
        <v>5</v>
      </c>
      <c r="AU751" s="2244" t="s">
        <v>50</v>
      </c>
      <c r="AV751" s="3521">
        <v>92.9</v>
      </c>
      <c r="AW751" s="3521">
        <v>92.9</v>
      </c>
      <c r="AX751" s="3521">
        <v>92.9</v>
      </c>
      <c r="AY751" s="3521">
        <v>92.9</v>
      </c>
      <c r="AZ751" s="3521">
        <v>92.9</v>
      </c>
      <c r="BA751" s="3522">
        <v>92.9</v>
      </c>
      <c r="BB751" s="3522">
        <v>92.9</v>
      </c>
      <c r="BC751" s="3522">
        <v>92.9</v>
      </c>
      <c r="BD751" s="3522">
        <v>92.9</v>
      </c>
      <c r="BE751" s="3522">
        <v>92.9</v>
      </c>
      <c r="CG751" s="2237"/>
      <c r="CH751" s="2237"/>
      <c r="CI751" s="2237"/>
      <c r="CJ751" s="2237"/>
      <c r="CW751" s="2237"/>
      <c r="CX751" s="2237"/>
      <c r="CY751" s="2237"/>
      <c r="CZ751" s="2237"/>
      <c r="DG751" s="2603">
        <f>(DI751)/(DJ751)</f>
        <v>17.416785515440349</v>
      </c>
      <c r="DH751" s="2419" t="str">
        <f>CONCATENATE(G751," ",J751," Year EUL")</f>
        <v>Cooking BUS 5 Year EUL</v>
      </c>
      <c r="DI751" s="3695">
        <f>(INDEX('Avoided Cost Benefits'!$B$4:$B$865,MATCH(DH751,'Avoided Cost Benefits'!$A$4:$A$865,0)))*F751</f>
        <v>1618.0193743844084</v>
      </c>
      <c r="DJ751" s="3257">
        <f>K751/(1.0686^(2025-2025))</f>
        <v>92.9</v>
      </c>
    </row>
    <row r="752" spans="1:114" s="3517" customFormat="1" outlineLevel="1">
      <c r="B752" s="2208"/>
      <c r="C752" s="3564"/>
      <c r="D752" s="2624" t="s">
        <v>118</v>
      </c>
      <c r="E752" s="2360" t="s">
        <v>831</v>
      </c>
      <c r="F752" s="3564"/>
      <c r="G752" s="3564"/>
      <c r="H752" s="3679"/>
      <c r="I752" s="3564"/>
      <c r="J752" s="3564"/>
      <c r="K752" s="3564"/>
      <c r="L752" s="3528"/>
      <c r="M752" s="3528"/>
      <c r="N752" s="3528"/>
      <c r="O752" s="3528"/>
      <c r="P752" s="3528"/>
      <c r="Q752" s="3528"/>
      <c r="R752" s="3528"/>
      <c r="S752" s="3528"/>
      <c r="T752" s="3528"/>
      <c r="U752" s="3528"/>
      <c r="CG752" s="2237"/>
      <c r="CH752" s="2237"/>
      <c r="CI752" s="2237"/>
      <c r="CJ752" s="2237"/>
      <c r="CW752" s="2237"/>
      <c r="CX752" s="2237"/>
      <c r="CY752" s="2237"/>
      <c r="CZ752" s="2237"/>
      <c r="DG752" s="3551"/>
      <c r="DH752" s="3528"/>
      <c r="DI752" s="3528"/>
      <c r="DJ752" s="3552"/>
    </row>
    <row r="753" spans="1:114" s="3517" customFormat="1" outlineLevel="1">
      <c r="C753" s="3564"/>
      <c r="D753" s="3564" t="s">
        <v>120</v>
      </c>
      <c r="E753" s="2086"/>
      <c r="F753" s="3564"/>
      <c r="G753" s="3564"/>
      <c r="H753" s="3679"/>
      <c r="I753" s="3564"/>
      <c r="J753" s="3564"/>
      <c r="K753" s="2086"/>
      <c r="L753" s="3528"/>
      <c r="M753" s="3528"/>
      <c r="N753" s="3528"/>
      <c r="O753" s="3528"/>
      <c r="P753" s="3528"/>
      <c r="Q753" s="3528"/>
      <c r="R753" s="3528"/>
      <c r="S753" s="3528"/>
      <c r="T753" s="3528"/>
      <c r="U753" s="3528"/>
      <c r="CG753" s="2237"/>
      <c r="CH753" s="2237"/>
      <c r="CI753" s="2237"/>
      <c r="CJ753" s="2237"/>
      <c r="CW753" s="2237"/>
      <c r="CX753" s="2237"/>
      <c r="CY753" s="2237"/>
      <c r="CZ753" s="2237"/>
      <c r="DG753" s="3551"/>
      <c r="DH753" s="3528"/>
      <c r="DI753" s="3528"/>
      <c r="DJ753" s="3552"/>
    </row>
    <row r="754" spans="1:114" s="3517" customFormat="1" outlineLevel="1">
      <c r="C754" s="3564"/>
      <c r="D754" s="3680"/>
      <c r="E754" s="2086"/>
      <c r="F754" s="2086"/>
      <c r="G754" s="3528"/>
      <c r="H754" s="3569"/>
      <c r="I754" s="3528"/>
      <c r="J754" s="3528"/>
      <c r="K754" s="3528"/>
      <c r="L754" s="3528"/>
      <c r="M754" s="3528"/>
      <c r="N754" s="3528"/>
      <c r="O754" s="3528"/>
      <c r="P754" s="3528"/>
      <c r="Q754" s="3528"/>
      <c r="R754" s="3528"/>
      <c r="S754" s="3528"/>
      <c r="T754" s="3528"/>
      <c r="U754" s="3528"/>
      <c r="CG754" s="2237"/>
      <c r="CH754" s="2237"/>
      <c r="CI754" s="2237"/>
      <c r="CJ754" s="2237"/>
      <c r="CW754" s="2237"/>
      <c r="CX754" s="2237"/>
      <c r="CY754" s="2237"/>
      <c r="CZ754" s="2237"/>
      <c r="DG754" s="3551"/>
      <c r="DH754" s="3528"/>
      <c r="DI754" s="3528"/>
      <c r="DJ754" s="3552"/>
    </row>
    <row r="755" spans="1:114" s="3517" customFormat="1" ht="15" customHeight="1" outlineLevel="1">
      <c r="C755" s="3564"/>
      <c r="D755" s="3680"/>
      <c r="E755" s="3528"/>
      <c r="F755" s="3528"/>
      <c r="G755" s="3528"/>
      <c r="H755" s="3569"/>
      <c r="I755" s="3528"/>
      <c r="J755" s="3528"/>
      <c r="K755" s="3528"/>
      <c r="L755" s="3528"/>
      <c r="M755" s="3528"/>
      <c r="N755" s="3528"/>
      <c r="O755" s="3528"/>
      <c r="P755" s="3822"/>
      <c r="Q755" s="3822"/>
      <c r="R755" s="3528"/>
      <c r="S755" s="3528"/>
      <c r="T755" s="3528"/>
      <c r="U755" s="3528"/>
      <c r="CG755" s="2237"/>
      <c r="CH755" s="2237"/>
      <c r="CI755" s="2237"/>
      <c r="CJ755" s="2237"/>
      <c r="CW755" s="2237"/>
      <c r="CX755" s="2237"/>
      <c r="CY755" s="2237"/>
      <c r="CZ755" s="2237"/>
      <c r="DG755" s="3551"/>
      <c r="DH755" s="3528"/>
      <c r="DI755" s="3528"/>
      <c r="DJ755" s="3552"/>
    </row>
    <row r="756" spans="1:114" s="3517" customFormat="1" ht="15" customHeight="1" outlineLevel="1">
      <c r="C756" s="3564"/>
      <c r="D756" s="3680"/>
      <c r="E756" s="3528"/>
      <c r="F756" s="3528"/>
      <c r="G756" s="3528"/>
      <c r="H756" s="3569"/>
      <c r="I756" s="3528"/>
      <c r="J756" s="3528"/>
      <c r="K756" s="3528"/>
      <c r="L756" s="3528"/>
      <c r="M756" s="3564"/>
      <c r="N756" s="3528"/>
      <c r="O756" s="3528"/>
      <c r="P756" s="3822"/>
      <c r="Q756" s="3822"/>
      <c r="R756" s="3528"/>
      <c r="S756" s="3528"/>
      <c r="T756" s="3528"/>
      <c r="U756" s="3528"/>
      <c r="CG756" s="2237"/>
      <c r="CH756" s="2237"/>
      <c r="CI756" s="2237"/>
      <c r="CJ756" s="2237"/>
      <c r="CW756" s="2237"/>
      <c r="CX756" s="2237"/>
      <c r="CY756" s="2237"/>
      <c r="CZ756" s="2237"/>
      <c r="DG756" s="3551"/>
      <c r="DH756" s="3528"/>
      <c r="DI756" s="3528"/>
      <c r="DJ756" s="3552"/>
    </row>
    <row r="757" spans="1:114" s="3517" customFormat="1" ht="15" customHeight="1" outlineLevel="1">
      <c r="C757" s="3564"/>
      <c r="D757" s="3680"/>
      <c r="E757" s="3528"/>
      <c r="F757" s="3528"/>
      <c r="G757" s="3528"/>
      <c r="H757" s="3569"/>
      <c r="I757" s="3528"/>
      <c r="J757" s="3528"/>
      <c r="K757" s="3528"/>
      <c r="L757" s="3528"/>
      <c r="M757" s="3564"/>
      <c r="N757" s="3528"/>
      <c r="O757" s="3528"/>
      <c r="P757" s="3822"/>
      <c r="Q757" s="3822"/>
      <c r="R757" s="3528"/>
      <c r="S757" s="3528"/>
      <c r="T757" s="3528"/>
      <c r="U757" s="3528"/>
      <c r="CG757" s="2237"/>
      <c r="CH757" s="2237"/>
      <c r="CI757" s="2237"/>
      <c r="CJ757" s="2237"/>
      <c r="CW757" s="2237"/>
      <c r="CX757" s="2237"/>
      <c r="CY757" s="2237"/>
      <c r="CZ757" s="2237"/>
      <c r="DG757" s="3551"/>
      <c r="DH757" s="3528"/>
      <c r="DI757" s="3528"/>
      <c r="DJ757" s="3552"/>
    </row>
    <row r="758" spans="1:114" s="3517" customFormat="1" outlineLevel="1">
      <c r="C758" s="3564"/>
      <c r="D758" s="3680"/>
      <c r="E758" s="3528"/>
      <c r="F758" s="3528"/>
      <c r="G758" s="3528"/>
      <c r="H758" s="3569"/>
      <c r="I758" s="3528"/>
      <c r="J758" s="3528"/>
      <c r="K758" s="3528"/>
      <c r="L758" s="3528"/>
      <c r="M758" s="3564"/>
      <c r="N758" s="3528"/>
      <c r="O758" s="3528"/>
      <c r="P758" s="3528"/>
      <c r="Q758" s="3528"/>
      <c r="R758" s="3528"/>
      <c r="S758" s="3528"/>
      <c r="T758" s="3528"/>
      <c r="U758" s="3528"/>
      <c r="CG758" s="2237"/>
      <c r="CH758" s="2237"/>
      <c r="CI758" s="2237"/>
      <c r="CJ758" s="2237"/>
      <c r="CW758" s="2237"/>
      <c r="CX758" s="2237"/>
      <c r="CY758" s="2237"/>
      <c r="CZ758" s="2237"/>
      <c r="DG758" s="3551"/>
      <c r="DH758" s="3528"/>
      <c r="DI758" s="3528"/>
      <c r="DJ758" s="3552"/>
    </row>
    <row r="759" spans="1:114" s="3517" customFormat="1" outlineLevel="1">
      <c r="C759" s="3564"/>
      <c r="D759" s="3680"/>
      <c r="E759" s="3528"/>
      <c r="F759" s="3528"/>
      <c r="G759" s="3528"/>
      <c r="H759" s="3569"/>
      <c r="I759" s="3528"/>
      <c r="J759" s="3528"/>
      <c r="K759" s="3528"/>
      <c r="L759" s="3528"/>
      <c r="M759" s="3528"/>
      <c r="N759" s="3528"/>
      <c r="O759" s="3528"/>
      <c r="P759" s="3528"/>
      <c r="Q759" s="3528"/>
      <c r="R759" s="3528"/>
      <c r="S759" s="3528"/>
      <c r="T759" s="3528"/>
      <c r="U759" s="3528"/>
      <c r="CG759" s="2237"/>
      <c r="CH759" s="2237"/>
      <c r="CI759" s="2237"/>
      <c r="CJ759" s="2237"/>
      <c r="CW759" s="2237"/>
      <c r="CX759" s="2237"/>
      <c r="CY759" s="2237"/>
      <c r="CZ759" s="2237"/>
      <c r="DG759" s="3551"/>
      <c r="DH759" s="3528"/>
      <c r="DI759" s="3528"/>
      <c r="DJ759" s="3552"/>
    </row>
    <row r="760" spans="1:114" s="3044" customFormat="1" outlineLevel="1">
      <c r="A760" s="3517"/>
      <c r="C760" s="2086"/>
      <c r="D760" s="3682" t="s">
        <v>42</v>
      </c>
      <c r="E760" s="3682" t="s">
        <v>275</v>
      </c>
      <c r="F760" s="3725" t="s">
        <v>832</v>
      </c>
      <c r="G760" s="3682" t="s">
        <v>833</v>
      </c>
      <c r="H760" s="3682" t="s">
        <v>834</v>
      </c>
      <c r="I760" s="3682" t="s">
        <v>835</v>
      </c>
      <c r="J760" s="3682" t="s">
        <v>836</v>
      </c>
      <c r="K760" s="3682" t="s">
        <v>345</v>
      </c>
      <c r="L760" s="3682" t="s">
        <v>837</v>
      </c>
      <c r="M760" s="3682" t="s">
        <v>838</v>
      </c>
      <c r="N760" s="2697"/>
      <c r="O760" s="2697"/>
      <c r="P760" s="2697"/>
      <c r="Q760" s="2697"/>
      <c r="R760" s="2697"/>
      <c r="S760" s="2697"/>
      <c r="T760" s="2697"/>
      <c r="U760" s="2697"/>
      <c r="V760" s="2640" t="s">
        <v>52</v>
      </c>
      <c r="W760" s="2641">
        <f>$W$8</f>
        <v>43252</v>
      </c>
      <c r="X760" s="2641">
        <f>$X$8</f>
        <v>43465</v>
      </c>
      <c r="Y760" s="2641">
        <f>$Y$8</f>
        <v>43800</v>
      </c>
      <c r="Z760" s="2641">
        <f>$Z$8</f>
        <v>43862</v>
      </c>
      <c r="AA760" s="2641">
        <f>$AA$8</f>
        <v>44013</v>
      </c>
      <c r="AB760" s="2641">
        <v>44166</v>
      </c>
      <c r="AC760" s="2641">
        <f>$AC$8</f>
        <v>44531</v>
      </c>
      <c r="AD760" s="2641">
        <f>$AD$8</f>
        <v>44774</v>
      </c>
      <c r="AE760" s="2641">
        <f>$AE$8</f>
        <v>45142</v>
      </c>
      <c r="AF760" s="2641">
        <f>$AF$8</f>
        <v>45672</v>
      </c>
      <c r="AG760" s="2641" t="str">
        <f>$AG$8</f>
        <v>-</v>
      </c>
      <c r="AH760" s="2237"/>
      <c r="AI760" s="2640" t="s">
        <v>52</v>
      </c>
      <c r="AJ760" s="2641">
        <v>43252</v>
      </c>
      <c r="AK760" s="2641">
        <f>$X$8</f>
        <v>43465</v>
      </c>
      <c r="AL760" s="2641">
        <f>$Y$8</f>
        <v>43800</v>
      </c>
      <c r="AM760" s="2641">
        <f>$Z$8</f>
        <v>43862</v>
      </c>
      <c r="AN760" s="2641">
        <f>$AA$8</f>
        <v>44013</v>
      </c>
      <c r="AO760" s="2641">
        <f>$AB$8</f>
        <v>44166</v>
      </c>
      <c r="AP760" s="2641">
        <f>$AC$8</f>
        <v>44531</v>
      </c>
      <c r="AQ760" s="2641">
        <f>$AD$8</f>
        <v>44774</v>
      </c>
      <c r="AR760" s="2641">
        <f>$AE$8</f>
        <v>45142</v>
      </c>
      <c r="AS760" s="2641">
        <f>$AF$8</f>
        <v>45672</v>
      </c>
      <c r="AT760" s="3517"/>
      <c r="AU760" s="2640" t="s">
        <v>52</v>
      </c>
      <c r="AV760" s="2641">
        <v>43252</v>
      </c>
      <c r="AW760" s="2641">
        <f>$X$8</f>
        <v>43465</v>
      </c>
      <c r="AX760" s="2641">
        <f>$Y$8</f>
        <v>43800</v>
      </c>
      <c r="AY760" s="2641">
        <f>$Z$8</f>
        <v>43862</v>
      </c>
      <c r="AZ760" s="2641">
        <f>$AA$8</f>
        <v>44013</v>
      </c>
      <c r="BA760" s="2641">
        <v>44166</v>
      </c>
      <c r="BB760" s="2641">
        <f>$AC$8</f>
        <v>44531</v>
      </c>
      <c r="BC760" s="2641">
        <f>$AD$8</f>
        <v>44774</v>
      </c>
      <c r="BD760" s="2641">
        <f>$AE$8</f>
        <v>45142</v>
      </c>
      <c r="BE760" s="2641">
        <f>$AF$8</f>
        <v>45672</v>
      </c>
      <c r="BG760" s="2640" t="s">
        <v>52</v>
      </c>
      <c r="BH760" s="2641">
        <v>43252</v>
      </c>
      <c r="BI760" s="2641">
        <f>$X$8</f>
        <v>43465</v>
      </c>
      <c r="BJ760" s="2641">
        <f>$Y$8</f>
        <v>43800</v>
      </c>
      <c r="BK760" s="2641">
        <f>$Z$8</f>
        <v>43862</v>
      </c>
      <c r="BL760" s="2641">
        <f>$AA$8</f>
        <v>44013</v>
      </c>
      <c r="BM760" s="2641">
        <v>44166</v>
      </c>
      <c r="BN760" s="2641">
        <f>$AC$8</f>
        <v>44531</v>
      </c>
      <c r="BO760" s="2641">
        <f>$AD$8</f>
        <v>44774</v>
      </c>
      <c r="BP760" s="2641">
        <f>$AE$8</f>
        <v>45142</v>
      </c>
      <c r="BQ760" s="2641">
        <f>$AF$8</f>
        <v>45672</v>
      </c>
      <c r="DG760" s="3597"/>
      <c r="DH760" s="2697"/>
      <c r="DI760" s="2697"/>
      <c r="DJ760" s="3552"/>
    </row>
    <row r="761" spans="1:114" s="3517" customFormat="1" outlineLevel="1">
      <c r="C761" s="3564"/>
      <c r="D761" s="3598" t="str">
        <f>C751</f>
        <v>805450_2024_12_</v>
      </c>
      <c r="E761" s="3598" t="str">
        <f>E751</f>
        <v>Pre-Rinse Spray Valve</v>
      </c>
      <c r="F761" s="3823">
        <f>(G761-H761)*60*I761*J761</f>
        <v>26676.000000000004</v>
      </c>
      <c r="G761" s="2056">
        <v>1.6</v>
      </c>
      <c r="H761" s="3824">
        <v>0.65</v>
      </c>
      <c r="I761" s="3825">
        <v>1.5</v>
      </c>
      <c r="J761" s="3825">
        <v>312</v>
      </c>
      <c r="K761" s="3824">
        <f>L761+70</f>
        <v>129.30000000000001</v>
      </c>
      <c r="L761" s="3824">
        <v>59.3</v>
      </c>
      <c r="M761" s="3781">
        <v>0.97</v>
      </c>
      <c r="N761" s="3528"/>
      <c r="O761" s="3528"/>
      <c r="P761" s="3528"/>
      <c r="Q761" s="3528"/>
      <c r="R761" s="3528"/>
      <c r="S761" s="3528"/>
      <c r="T761" s="3528"/>
      <c r="U761" s="3528"/>
      <c r="V761" s="2460" t="s">
        <v>832</v>
      </c>
      <c r="W761" s="3224">
        <v>32853.599999999991</v>
      </c>
      <c r="X761" s="3224">
        <v>32853.599999999991</v>
      </c>
      <c r="Y761" s="3224">
        <v>32853.599999999991</v>
      </c>
      <c r="Z761" s="3224">
        <v>32853.599999999991</v>
      </c>
      <c r="AA761" s="3224">
        <v>32853.599999999991</v>
      </c>
      <c r="AB761" s="3222">
        <v>32853.599999999991</v>
      </c>
      <c r="AC761" s="3374">
        <v>32853.599999999991</v>
      </c>
      <c r="AD761" s="3374">
        <v>32853.599999999991</v>
      </c>
      <c r="AE761" s="3374">
        <v>32853.599999999991</v>
      </c>
      <c r="AF761" s="3258">
        <v>26676.000000000004</v>
      </c>
      <c r="AG761" s="2413"/>
      <c r="AH761" s="2237"/>
      <c r="AI761" s="2244" t="s">
        <v>833</v>
      </c>
      <c r="AJ761" s="3516">
        <v>2.23</v>
      </c>
      <c r="AK761" s="3516">
        <v>2.23</v>
      </c>
      <c r="AL761" s="3516">
        <v>2.23</v>
      </c>
      <c r="AM761" s="3516">
        <v>2.23</v>
      </c>
      <c r="AN761" s="3516">
        <v>2.23</v>
      </c>
      <c r="AO761" s="3516">
        <v>2.23</v>
      </c>
      <c r="AP761" s="3516">
        <v>2.23</v>
      </c>
      <c r="AQ761" s="3516">
        <v>2.23</v>
      </c>
      <c r="AR761" s="3516">
        <v>2.23</v>
      </c>
      <c r="AS761" s="2709">
        <v>1.6</v>
      </c>
      <c r="AU761" s="2244" t="s">
        <v>834</v>
      </c>
      <c r="AV761" s="3223">
        <v>1.06</v>
      </c>
      <c r="AW761" s="3223">
        <v>1.06</v>
      </c>
      <c r="AX761" s="3223">
        <v>1.06</v>
      </c>
      <c r="AY761" s="3223">
        <v>1.06</v>
      </c>
      <c r="AZ761" s="3223">
        <v>1.06</v>
      </c>
      <c r="BA761" s="3223">
        <v>1.06</v>
      </c>
      <c r="BB761" s="3223">
        <v>1.06</v>
      </c>
      <c r="BC761" s="3223">
        <v>1.06</v>
      </c>
      <c r="BD761" s="3223">
        <v>1.06</v>
      </c>
      <c r="BE761" s="2709">
        <v>0.65</v>
      </c>
      <c r="BG761" s="2244" t="s">
        <v>837</v>
      </c>
      <c r="BH761" s="3518">
        <v>57.9</v>
      </c>
      <c r="BI761" s="3518">
        <v>57.9</v>
      </c>
      <c r="BJ761" s="3518">
        <v>57.9</v>
      </c>
      <c r="BK761" s="3518">
        <v>57.9</v>
      </c>
      <c r="BL761" s="3518">
        <v>57.9</v>
      </c>
      <c r="BM761" s="3518">
        <v>57.9</v>
      </c>
      <c r="BN761" s="3518">
        <v>57.9</v>
      </c>
      <c r="BO761" s="3518">
        <v>57.9</v>
      </c>
      <c r="BP761" s="3518">
        <v>57.9</v>
      </c>
      <c r="BQ761" s="3762">
        <v>59.3</v>
      </c>
      <c r="CG761" s="2237"/>
      <c r="CH761" s="2237"/>
      <c r="CI761" s="2237"/>
      <c r="CJ761" s="2237"/>
      <c r="CW761" s="2237"/>
      <c r="CX761" s="2237"/>
      <c r="CY761" s="2237"/>
      <c r="CZ761" s="2237"/>
      <c r="DG761" s="3551"/>
      <c r="DH761" s="3528"/>
      <c r="DI761" s="3528"/>
      <c r="DJ761" s="3552"/>
    </row>
    <row r="762" spans="1:114" s="3517" customFormat="1">
      <c r="C762" s="3564"/>
      <c r="D762" s="3564"/>
      <c r="E762" s="3528"/>
      <c r="F762" s="3528"/>
      <c r="G762" s="3688" t="s">
        <v>839</v>
      </c>
      <c r="H762" s="3689" t="s">
        <v>840</v>
      </c>
      <c r="I762" s="3528"/>
      <c r="J762" s="3528"/>
      <c r="K762" s="3528"/>
      <c r="L762" s="3528"/>
      <c r="M762" s="3528"/>
      <c r="N762" s="3528"/>
      <c r="O762" s="3528"/>
      <c r="P762" s="3528"/>
      <c r="Q762" s="3528"/>
      <c r="R762" s="3528"/>
      <c r="S762" s="3528"/>
      <c r="T762" s="3528"/>
      <c r="U762" s="3528"/>
      <c r="CG762" s="2237"/>
      <c r="CH762" s="2237"/>
      <c r="CI762" s="2237"/>
      <c r="CJ762" s="2237"/>
      <c r="CW762" s="2237"/>
      <c r="CX762" s="2237"/>
      <c r="CY762" s="2237"/>
      <c r="CZ762" s="2237"/>
      <c r="DG762" s="3551"/>
      <c r="DH762" s="3528"/>
      <c r="DI762" s="3528"/>
      <c r="DJ762" s="3552"/>
    </row>
    <row r="763" spans="1:114" s="3517" customFormat="1">
      <c r="C763" s="3564"/>
      <c r="D763" s="3564"/>
      <c r="E763" s="3528"/>
      <c r="F763" s="3528"/>
      <c r="G763" s="3663"/>
      <c r="H763" s="3691"/>
      <c r="I763" s="3528"/>
      <c r="J763" s="3528"/>
      <c r="K763" s="3528"/>
      <c r="L763" s="3528"/>
      <c r="M763" s="3528"/>
      <c r="N763" s="3528"/>
      <c r="O763" s="3528"/>
      <c r="P763" s="3528"/>
      <c r="Q763" s="3528"/>
      <c r="R763" s="3528"/>
      <c r="S763" s="3528"/>
      <c r="T763" s="3528"/>
      <c r="U763" s="3528"/>
      <c r="CG763" s="2237"/>
      <c r="CH763" s="2237"/>
      <c r="CI763" s="2237"/>
      <c r="CJ763" s="2237"/>
      <c r="CW763" s="2237"/>
      <c r="CX763" s="2237"/>
      <c r="CY763" s="2237"/>
      <c r="CZ763" s="2237"/>
      <c r="DG763" s="3551"/>
      <c r="DH763" s="3528"/>
      <c r="DI763" s="3528"/>
      <c r="DJ763" s="3552"/>
    </row>
    <row r="764" spans="1:114" s="3564" customFormat="1">
      <c r="A764" s="3517"/>
      <c r="B764" s="3998" t="s">
        <v>841</v>
      </c>
      <c r="C764" s="3999"/>
      <c r="D764" s="3999"/>
      <c r="E764" s="3999"/>
      <c r="F764" s="3999"/>
      <c r="G764" s="3999"/>
      <c r="H764" s="3999"/>
      <c r="I764" s="4831"/>
      <c r="J764" s="4831"/>
      <c r="K764" s="4831"/>
      <c r="L764" s="4831"/>
      <c r="M764" s="4832"/>
      <c r="N764" s="4832"/>
      <c r="O764" s="4833"/>
      <c r="V764" s="2203" t="str">
        <f>B764</f>
        <v>Low Flow Faucet Aerator</v>
      </c>
      <c r="W764" s="2204"/>
      <c r="X764" s="2204"/>
      <c r="Y764" s="2204"/>
      <c r="Z764" s="2204"/>
      <c r="AA764" s="2204"/>
      <c r="AB764" s="2204"/>
      <c r="AC764" s="2204"/>
      <c r="AD764" s="2204"/>
      <c r="AE764" s="2204"/>
      <c r="AF764" s="2204"/>
      <c r="AG764" s="2204"/>
      <c r="AH764" s="2204"/>
      <c r="AI764" s="3474"/>
      <c r="AJ764" s="3517"/>
      <c r="AK764" s="3517"/>
      <c r="AL764" s="3517"/>
      <c r="AM764" s="3517"/>
      <c r="AN764" s="3517"/>
      <c r="AO764" s="3517"/>
      <c r="AP764" s="3517"/>
      <c r="AQ764" s="3517"/>
      <c r="AR764" s="3517"/>
      <c r="AS764" s="3517"/>
      <c r="AT764" s="3517"/>
      <c r="AU764" s="3517"/>
      <c r="DG764" s="3669"/>
      <c r="DJ764" s="3567"/>
    </row>
    <row r="765" spans="1:114" s="3517" customFormat="1">
      <c r="C765" s="3564"/>
      <c r="D765" s="3670"/>
      <c r="E765" s="3564"/>
      <c r="F765" s="3564"/>
      <c r="G765" s="3564"/>
      <c r="H765" s="3671"/>
      <c r="I765" s="3564"/>
      <c r="J765" s="3564"/>
      <c r="K765" s="3564"/>
      <c r="L765" s="3564"/>
      <c r="M765" s="3528"/>
      <c r="N765" s="3528"/>
      <c r="O765" s="3528"/>
      <c r="P765" s="3564"/>
      <c r="Q765" s="3564"/>
      <c r="R765" s="3564"/>
      <c r="S765" s="3564"/>
      <c r="T765" s="3564"/>
      <c r="U765" s="3564"/>
      <c r="V765" s="2237"/>
      <c r="W765" s="2237"/>
      <c r="X765" s="2237"/>
      <c r="Y765" s="2237"/>
      <c r="Z765" s="2237"/>
      <c r="AA765" s="2237"/>
      <c r="AB765" s="2237"/>
      <c r="AC765" s="2237"/>
      <c r="AD765" s="2237"/>
      <c r="AE765" s="2237"/>
      <c r="AF765" s="2237"/>
      <c r="AG765" s="2237"/>
      <c r="AH765" s="2237"/>
      <c r="AI765" s="2237"/>
      <c r="AJ765" s="2723"/>
      <c r="AK765" s="2723"/>
      <c r="AL765" s="2723"/>
      <c r="AM765" s="2723"/>
      <c r="AN765" s="2723"/>
      <c r="AO765" s="2723"/>
      <c r="AP765" s="2723"/>
      <c r="AQ765" s="2723"/>
      <c r="AR765" s="2723"/>
      <c r="AS765" s="2723"/>
      <c r="AT765" s="2723"/>
      <c r="AU765" s="2723"/>
      <c r="CG765" s="2237"/>
      <c r="CH765" s="2237"/>
      <c r="CI765" s="2237"/>
      <c r="CJ765" s="2237"/>
      <c r="CW765" s="2237"/>
      <c r="CX765" s="2237"/>
      <c r="CY765" s="2237"/>
      <c r="CZ765" s="2237"/>
      <c r="DG765" s="3551"/>
      <c r="DH765" s="3528"/>
      <c r="DI765" s="3528"/>
      <c r="DJ765" s="3552"/>
    </row>
    <row r="766" spans="1:114" s="3044" customFormat="1" ht="30">
      <c r="A766" s="3517"/>
      <c r="B766" s="2723"/>
      <c r="C766" s="3570" t="s">
        <v>42</v>
      </c>
      <c r="D766" s="3570" t="s">
        <v>43</v>
      </c>
      <c r="E766" s="2280" t="s">
        <v>44</v>
      </c>
      <c r="F766" s="2280" t="s">
        <v>829</v>
      </c>
      <c r="G766" s="2280" t="s">
        <v>46</v>
      </c>
      <c r="H766" s="3571" t="s">
        <v>47</v>
      </c>
      <c r="I766" s="2280" t="s">
        <v>48</v>
      </c>
      <c r="J766" s="2280" t="s">
        <v>49</v>
      </c>
      <c r="K766" s="3570" t="s">
        <v>50</v>
      </c>
      <c r="L766" s="3570" t="s">
        <v>51</v>
      </c>
      <c r="M766" s="3528"/>
      <c r="N766" s="3528"/>
      <c r="O766" s="3528"/>
      <c r="P766" s="2697"/>
      <c r="Q766" s="2697"/>
      <c r="R766" s="2697"/>
      <c r="S766" s="2697"/>
      <c r="T766" s="2697"/>
      <c r="U766" s="2697"/>
      <c r="V766" s="2640" t="s">
        <v>52</v>
      </c>
      <c r="W766" s="2641">
        <f>$W$8</f>
        <v>43252</v>
      </c>
      <c r="X766" s="2641">
        <f>$X$8</f>
        <v>43465</v>
      </c>
      <c r="Y766" s="2641">
        <f>$Y$8</f>
        <v>43800</v>
      </c>
      <c r="Z766" s="2641">
        <f>$Z$8</f>
        <v>43862</v>
      </c>
      <c r="AA766" s="2641">
        <f>$AA$8</f>
        <v>44013</v>
      </c>
      <c r="AB766" s="2641">
        <v>44166</v>
      </c>
      <c r="AC766" s="2641">
        <f>$AC$8</f>
        <v>44531</v>
      </c>
      <c r="AD766" s="2641">
        <f>$AD$8</f>
        <v>44774</v>
      </c>
      <c r="AE766" s="2641">
        <f>$AE$8</f>
        <v>45142</v>
      </c>
      <c r="AF766" s="2641">
        <f>$AF$8</f>
        <v>45672</v>
      </c>
      <c r="AG766" s="2641" t="str">
        <f>$AG$8</f>
        <v>-</v>
      </c>
      <c r="AH766" s="2237"/>
      <c r="AI766" s="2640" t="s">
        <v>52</v>
      </c>
      <c r="AJ766" s="2641">
        <v>43252</v>
      </c>
      <c r="AK766" s="2641">
        <f>$X$8</f>
        <v>43465</v>
      </c>
      <c r="AL766" s="2641">
        <f>$Y$8</f>
        <v>43800</v>
      </c>
      <c r="AM766" s="2641">
        <f>$Z$8</f>
        <v>43862</v>
      </c>
      <c r="AN766" s="2641">
        <f>$AA$8</f>
        <v>44013</v>
      </c>
      <c r="AO766" s="2641">
        <f>$AB$8</f>
        <v>44166</v>
      </c>
      <c r="AP766" s="2641">
        <f>$AC$8</f>
        <v>44531</v>
      </c>
      <c r="AQ766" s="2641">
        <f>$AD$8</f>
        <v>44774</v>
      </c>
      <c r="AR766" s="2641">
        <f>$AE$8</f>
        <v>45142</v>
      </c>
      <c r="AS766" s="2641">
        <f>$AF$8</f>
        <v>45672</v>
      </c>
      <c r="AT766" s="3517"/>
      <c r="AU766" s="2640" t="s">
        <v>52</v>
      </c>
      <c r="AV766" s="2641">
        <v>43252</v>
      </c>
      <c r="AW766" s="2641">
        <f>$X$8</f>
        <v>43465</v>
      </c>
      <c r="AX766" s="2641">
        <f>$Y$8</f>
        <v>43800</v>
      </c>
      <c r="AY766" s="2641">
        <f>$Z$8</f>
        <v>43862</v>
      </c>
      <c r="AZ766" s="2641">
        <f>$AA$8</f>
        <v>44013</v>
      </c>
      <c r="BA766" s="2641">
        <v>44166</v>
      </c>
      <c r="BB766" s="2641">
        <f>$AC$8</f>
        <v>44531</v>
      </c>
      <c r="BC766" s="2641">
        <f>$AD$8</f>
        <v>44774</v>
      </c>
      <c r="BD766" s="2641">
        <f>$AE$8</f>
        <v>45142</v>
      </c>
      <c r="BE766" s="2641">
        <f>$AF$8</f>
        <v>45672</v>
      </c>
      <c r="DG766" s="2749" t="str">
        <f>$DG$8</f>
        <v>TRC (2025)</v>
      </c>
      <c r="DH766" s="2750" t="str">
        <f>$DH$8</f>
        <v>Benefit Lookup</v>
      </c>
      <c r="DI766" s="2750" t="str">
        <f>$DI$8</f>
        <v>Benefits (2025 $)</v>
      </c>
      <c r="DJ766" s="3572" t="str">
        <f>$DJ$8</f>
        <v>Incremental Cost (2025 $)</v>
      </c>
    </row>
    <row r="767" spans="1:114" s="3517" customFormat="1">
      <c r="B767" s="2208">
        <f t="shared" ref="B767" si="188">VALUE(LEFT(C767,6))</f>
        <v>805500</v>
      </c>
      <c r="C767" s="3499" t="s">
        <v>842</v>
      </c>
      <c r="D767" s="3509" t="str">
        <f t="shared" ref="D767" si="189">$D$98</f>
        <v>BSS</v>
      </c>
      <c r="E767" s="3574" t="s">
        <v>841</v>
      </c>
      <c r="F767" s="3510">
        <f>ROUND(F777*((G777-H777)/G777)*I777*J777*N777,2)</f>
        <v>125.64</v>
      </c>
      <c r="G767" s="3503" t="s">
        <v>326</v>
      </c>
      <c r="H767" s="3504">
        <f>VLOOKUP(G767,'CP FACTORS'!$A$26:$B$38,2,FALSE)</f>
        <v>1.811545E-4</v>
      </c>
      <c r="I767" s="3575">
        <f>ROUND(H767*F767,6)</f>
        <v>2.2759999999999999E-2</v>
      </c>
      <c r="J767" s="2664">
        <v>10</v>
      </c>
      <c r="K767" s="3821">
        <v>8</v>
      </c>
      <c r="L767" s="3717" t="s">
        <v>62</v>
      </c>
      <c r="M767" s="3528"/>
      <c r="N767" s="3528"/>
      <c r="O767" s="3528"/>
      <c r="P767" s="3528"/>
      <c r="Q767" s="3528"/>
      <c r="R767" s="3528"/>
      <c r="S767" s="3528"/>
      <c r="T767" s="3528"/>
      <c r="U767" s="3528"/>
      <c r="V767" s="2460" t="s">
        <v>45</v>
      </c>
      <c r="W767" s="3224">
        <v>86.631740914419709</v>
      </c>
      <c r="X767" s="3224">
        <v>86.631740914419709</v>
      </c>
      <c r="Y767" s="3224">
        <v>86.631740914419709</v>
      </c>
      <c r="Z767" s="3224">
        <v>86.631740914419709</v>
      </c>
      <c r="AA767" s="3224">
        <v>86.631740914419709</v>
      </c>
      <c r="AB767" s="3222">
        <v>86.63</v>
      </c>
      <c r="AC767" s="3374">
        <v>86.63</v>
      </c>
      <c r="AD767" s="3374">
        <v>86.63</v>
      </c>
      <c r="AE767" s="3374">
        <v>86.63</v>
      </c>
      <c r="AF767" s="3258">
        <f>F767</f>
        <v>125.64</v>
      </c>
      <c r="AG767" s="2413"/>
      <c r="AH767" s="2237"/>
      <c r="AI767" s="2244" t="s">
        <v>49</v>
      </c>
      <c r="AJ767" s="3506">
        <v>9</v>
      </c>
      <c r="AK767" s="3506">
        <v>9</v>
      </c>
      <c r="AL767" s="3506">
        <v>9</v>
      </c>
      <c r="AM767" s="3506">
        <v>9</v>
      </c>
      <c r="AN767" s="3506">
        <v>9</v>
      </c>
      <c r="AO767" s="3518">
        <v>9</v>
      </c>
      <c r="AP767" s="3518">
        <v>9</v>
      </c>
      <c r="AQ767" s="3518">
        <v>9</v>
      </c>
      <c r="AR767" s="3518">
        <v>9</v>
      </c>
      <c r="AS767" s="2724">
        <v>10</v>
      </c>
      <c r="AU767" s="2244" t="s">
        <v>50</v>
      </c>
      <c r="AV767" s="3521">
        <v>8</v>
      </c>
      <c r="AW767" s="3521">
        <v>8</v>
      </c>
      <c r="AX767" s="3521">
        <v>8</v>
      </c>
      <c r="AY767" s="3521">
        <v>8</v>
      </c>
      <c r="AZ767" s="3521">
        <v>8</v>
      </c>
      <c r="BA767" s="3522">
        <v>8</v>
      </c>
      <c r="BB767" s="3522">
        <v>8</v>
      </c>
      <c r="BC767" s="3522">
        <v>8</v>
      </c>
      <c r="BD767" s="3522">
        <v>8</v>
      </c>
      <c r="BE767" s="3522">
        <v>8</v>
      </c>
      <c r="CG767" s="2237"/>
      <c r="CH767" s="2237"/>
      <c r="CI767" s="2237"/>
      <c r="CJ767" s="2237"/>
      <c r="CW767" s="2237"/>
      <c r="CX767" s="2237"/>
      <c r="CY767" s="2237"/>
      <c r="CZ767" s="2237"/>
      <c r="DG767" s="2603">
        <f>(DI767)/(DJ767)</f>
        <v>9.7970179238085429</v>
      </c>
      <c r="DH767" s="2419" t="str">
        <f>CONCATENATE(G767," ",J767," Year EUL")</f>
        <v>Water Heating BUS 10 Year EUL</v>
      </c>
      <c r="DI767" s="3695">
        <f>(INDEX('Avoided Cost Benefits'!$B$4:$B$865,MATCH(DH767,'Avoided Cost Benefits'!$A$4:$A$865,0)))*F767</f>
        <v>78.376143390468343</v>
      </c>
      <c r="DJ767" s="3257">
        <f>K767/(1.0686^(2025-2025))</f>
        <v>8</v>
      </c>
    </row>
    <row r="768" spans="1:114" s="3517" customFormat="1" outlineLevel="1">
      <c r="C768" s="3564"/>
      <c r="D768" s="2624" t="s">
        <v>118</v>
      </c>
      <c r="E768" s="2360" t="s">
        <v>843</v>
      </c>
      <c r="F768" s="3564"/>
      <c r="G768" s="3564"/>
      <c r="H768" s="3679"/>
      <c r="I768" s="3564"/>
      <c r="J768" s="3564"/>
      <c r="K768" s="3564"/>
      <c r="L768" s="3528"/>
      <c r="M768" s="3528"/>
      <c r="N768" s="3528"/>
      <c r="O768" s="3528"/>
      <c r="P768" s="3528"/>
      <c r="Q768" s="3528"/>
      <c r="R768" s="3528"/>
      <c r="S768" s="3528"/>
      <c r="T768" s="3528"/>
      <c r="U768" s="3528"/>
      <c r="CG768" s="2237"/>
      <c r="CH768" s="2237"/>
      <c r="CI768" s="2237"/>
      <c r="CJ768" s="2237"/>
      <c r="CW768" s="2237"/>
      <c r="CX768" s="2237"/>
      <c r="CY768" s="2237"/>
      <c r="CZ768" s="2237"/>
      <c r="DG768" s="3551"/>
      <c r="DH768" s="3528"/>
      <c r="DI768" s="3528"/>
      <c r="DJ768" s="3552"/>
    </row>
    <row r="769" spans="1:114" s="3517" customFormat="1" outlineLevel="1">
      <c r="C769" s="3564"/>
      <c r="D769" s="3564" t="s">
        <v>120</v>
      </c>
      <c r="E769" s="2086"/>
      <c r="F769" s="3564"/>
      <c r="G769" s="3564"/>
      <c r="H769" s="3679"/>
      <c r="I769" s="3564"/>
      <c r="J769" s="3564"/>
      <c r="K769" s="2086"/>
      <c r="L769" s="3528"/>
      <c r="M769" s="3528"/>
      <c r="N769" s="3528"/>
      <c r="O769" s="3528"/>
      <c r="P769" s="3528"/>
      <c r="Q769" s="3528"/>
      <c r="R769" s="3528"/>
      <c r="S769" s="3528"/>
      <c r="T769" s="3528"/>
      <c r="U769" s="3528"/>
      <c r="CG769" s="2237"/>
      <c r="CH769" s="2237"/>
      <c r="CI769" s="2237"/>
      <c r="CJ769" s="2237"/>
      <c r="CW769" s="2237"/>
      <c r="CX769" s="2237"/>
      <c r="CY769" s="2237"/>
      <c r="CZ769" s="2237"/>
      <c r="DG769" s="3551"/>
      <c r="DH769" s="3528"/>
      <c r="DI769" s="3528"/>
      <c r="DJ769" s="3552"/>
    </row>
    <row r="770" spans="1:114" s="3517" customFormat="1" outlineLevel="1">
      <c r="C770" s="3564"/>
      <c r="D770" s="3680"/>
      <c r="E770" s="2086"/>
      <c r="F770" s="2086"/>
      <c r="G770" s="3528"/>
      <c r="H770" s="3569"/>
      <c r="I770" s="3528"/>
      <c r="J770" s="3528"/>
      <c r="K770" s="3528"/>
      <c r="L770" s="3528"/>
      <c r="M770" s="3528"/>
      <c r="N770" s="3528"/>
      <c r="O770" s="3528"/>
      <c r="P770" s="3528"/>
      <c r="Q770" s="3528"/>
      <c r="R770" s="3528"/>
      <c r="S770" s="3528"/>
      <c r="T770" s="3528"/>
      <c r="U770" s="3528"/>
      <c r="CG770" s="2237"/>
      <c r="CH770" s="2237"/>
      <c r="CI770" s="2237"/>
      <c r="CJ770" s="2237"/>
      <c r="CW770" s="2237"/>
      <c r="CX770" s="2237"/>
      <c r="CY770" s="2237"/>
      <c r="CZ770" s="2237"/>
      <c r="DG770" s="3551"/>
      <c r="DH770" s="3528"/>
      <c r="DI770" s="3528"/>
      <c r="DJ770" s="3552"/>
    </row>
    <row r="771" spans="1:114" s="3517" customFormat="1" outlineLevel="1">
      <c r="C771" s="3564"/>
      <c r="D771" s="3680"/>
      <c r="E771" s="3528"/>
      <c r="F771" s="3528"/>
      <c r="G771" s="3528"/>
      <c r="H771" s="3569"/>
      <c r="I771" s="3528"/>
      <c r="J771" s="3528"/>
      <c r="K771" s="3528"/>
      <c r="L771" s="3528"/>
      <c r="M771" s="3528"/>
      <c r="N771" s="3528"/>
      <c r="O771" s="3528"/>
      <c r="P771" s="4011"/>
      <c r="Q771" s="4011"/>
      <c r="R771" s="3528"/>
      <c r="S771" s="3528"/>
      <c r="T771" s="3528"/>
      <c r="U771" s="3528"/>
      <c r="CG771" s="2237"/>
      <c r="CH771" s="2237"/>
      <c r="CI771" s="2237"/>
      <c r="CJ771" s="2237"/>
      <c r="CW771" s="2237"/>
      <c r="CX771" s="2237"/>
      <c r="CY771" s="2237"/>
      <c r="CZ771" s="2237"/>
      <c r="DG771" s="3551"/>
      <c r="DH771" s="3528"/>
      <c r="DI771" s="3528"/>
      <c r="DJ771" s="3552"/>
    </row>
    <row r="772" spans="1:114" s="3517" customFormat="1" outlineLevel="1">
      <c r="C772" s="3564"/>
      <c r="D772" s="3680"/>
      <c r="E772" s="3528"/>
      <c r="F772" s="3528"/>
      <c r="G772" s="3528"/>
      <c r="H772" s="3569"/>
      <c r="I772" s="3528"/>
      <c r="J772" s="3528"/>
      <c r="K772" s="3528"/>
      <c r="L772" s="3528"/>
      <c r="M772" s="3564"/>
      <c r="N772" s="3528"/>
      <c r="O772" s="3528"/>
      <c r="P772" s="4011"/>
      <c r="Q772" s="4011"/>
      <c r="R772" s="3528"/>
      <c r="S772" s="3528"/>
      <c r="T772" s="3528"/>
      <c r="U772" s="3528"/>
      <c r="CG772" s="2237"/>
      <c r="CH772" s="2237"/>
      <c r="CI772" s="2237"/>
      <c r="CJ772" s="2237"/>
      <c r="CW772" s="2237"/>
      <c r="CX772" s="2237"/>
      <c r="CY772" s="2237"/>
      <c r="CZ772" s="2237"/>
      <c r="DG772" s="3551"/>
      <c r="DH772" s="3528"/>
      <c r="DI772" s="3528"/>
      <c r="DJ772" s="3552"/>
    </row>
    <row r="773" spans="1:114" s="3517" customFormat="1" outlineLevel="1">
      <c r="C773" s="3564"/>
      <c r="D773" s="3680"/>
      <c r="E773" s="3528"/>
      <c r="F773" s="3528"/>
      <c r="G773" s="3528"/>
      <c r="H773" s="3569"/>
      <c r="I773" s="3528"/>
      <c r="J773" s="3528"/>
      <c r="K773" s="3528"/>
      <c r="L773" s="3528"/>
      <c r="M773" s="3564"/>
      <c r="N773" s="3528"/>
      <c r="O773" s="3528"/>
      <c r="P773" s="4011"/>
      <c r="Q773" s="4011"/>
      <c r="R773" s="3528"/>
      <c r="S773" s="3528"/>
      <c r="T773" s="3528"/>
      <c r="U773" s="3528"/>
      <c r="CG773" s="2237"/>
      <c r="CH773" s="2237"/>
      <c r="CI773" s="2237"/>
      <c r="CJ773" s="2237"/>
      <c r="CW773" s="2237"/>
      <c r="CX773" s="2237"/>
      <c r="CY773" s="2237"/>
      <c r="CZ773" s="2237"/>
      <c r="DG773" s="3551"/>
      <c r="DH773" s="3528"/>
      <c r="DI773" s="3528"/>
      <c r="DJ773" s="3552"/>
    </row>
    <row r="774" spans="1:114" s="3517" customFormat="1" outlineLevel="1">
      <c r="C774" s="3564"/>
      <c r="D774" s="3680"/>
      <c r="E774" s="3528"/>
      <c r="F774" s="3528"/>
      <c r="G774" s="3528"/>
      <c r="H774" s="3569"/>
      <c r="I774" s="3528"/>
      <c r="J774" s="3528"/>
      <c r="K774" s="3528"/>
      <c r="L774" s="3528"/>
      <c r="M774" s="3564"/>
      <c r="N774" s="3528"/>
      <c r="O774" s="3528"/>
      <c r="P774" s="3528"/>
      <c r="Q774" s="3528"/>
      <c r="R774" s="3528"/>
      <c r="S774" s="3528"/>
      <c r="T774" s="3528"/>
      <c r="U774" s="3528"/>
      <c r="CG774" s="2237"/>
      <c r="CH774" s="2237"/>
      <c r="CI774" s="2237"/>
      <c r="CJ774" s="2237"/>
      <c r="CW774" s="2237"/>
      <c r="CX774" s="2237"/>
      <c r="CY774" s="2237"/>
      <c r="CZ774" s="2237"/>
      <c r="DG774" s="3551"/>
      <c r="DH774" s="3528"/>
      <c r="DI774" s="3528"/>
      <c r="DJ774" s="3552"/>
    </row>
    <row r="775" spans="1:114" s="3517" customFormat="1" outlineLevel="1">
      <c r="C775" s="3564"/>
      <c r="D775" s="3680"/>
      <c r="E775" s="3528"/>
      <c r="F775" s="3528"/>
      <c r="G775" s="3528"/>
      <c r="H775" s="3569"/>
      <c r="I775" s="3528"/>
      <c r="J775" s="3528"/>
      <c r="K775" s="3528"/>
      <c r="L775" s="3528"/>
      <c r="M775" s="3528"/>
      <c r="N775" s="3528"/>
      <c r="O775" s="3528"/>
      <c r="P775" s="3528"/>
      <c r="Q775" s="3528"/>
      <c r="R775" s="3528"/>
      <c r="S775" s="3528"/>
      <c r="T775" s="3528"/>
      <c r="U775" s="3528"/>
      <c r="CG775" s="2237"/>
      <c r="CH775" s="2237"/>
      <c r="CI775" s="2237"/>
      <c r="CJ775" s="2237"/>
      <c r="CW775" s="2237"/>
      <c r="CX775" s="2237"/>
      <c r="CY775" s="2237"/>
      <c r="CZ775" s="2237"/>
      <c r="DG775" s="3551"/>
      <c r="DH775" s="3528"/>
      <c r="DI775" s="3528"/>
      <c r="DJ775" s="3552"/>
    </row>
    <row r="776" spans="1:114" s="3044" customFormat="1" ht="30" outlineLevel="1">
      <c r="A776" s="3517"/>
      <c r="C776" s="2086"/>
      <c r="D776" s="3682" t="s">
        <v>42</v>
      </c>
      <c r="E776" s="3682" t="s">
        <v>275</v>
      </c>
      <c r="F776" s="3725" t="s">
        <v>660</v>
      </c>
      <c r="G776" s="3682" t="s">
        <v>844</v>
      </c>
      <c r="H776" s="3682" t="s">
        <v>845</v>
      </c>
      <c r="I776" s="3682" t="s">
        <v>846</v>
      </c>
      <c r="J776" s="3682" t="s">
        <v>847</v>
      </c>
      <c r="K776" s="3682" t="s">
        <v>848</v>
      </c>
      <c r="L776" s="3682" t="s">
        <v>849</v>
      </c>
      <c r="M776" s="3682" t="s">
        <v>850</v>
      </c>
      <c r="N776" s="3682" t="s">
        <v>128</v>
      </c>
      <c r="O776" s="2697"/>
      <c r="P776" s="2697"/>
      <c r="Q776" s="2697"/>
      <c r="R776" s="2697"/>
      <c r="S776" s="2697"/>
      <c r="T776" s="2697"/>
      <c r="U776" s="2697"/>
      <c r="V776" s="2640" t="s">
        <v>52</v>
      </c>
      <c r="W776" s="2641">
        <f>$W$8</f>
        <v>43252</v>
      </c>
      <c r="X776" s="2641">
        <f>$X$8</f>
        <v>43465</v>
      </c>
      <c r="Y776" s="2641">
        <f>$Y$8</f>
        <v>43800</v>
      </c>
      <c r="Z776" s="2641">
        <f>$Z$8</f>
        <v>43862</v>
      </c>
      <c r="AA776" s="2641">
        <f>$AA$8</f>
        <v>44013</v>
      </c>
      <c r="AB776" s="2641">
        <v>44166</v>
      </c>
      <c r="AC776" s="2641">
        <f>$AC$8</f>
        <v>44531</v>
      </c>
      <c r="AD776" s="2641">
        <f>$AD$8</f>
        <v>44774</v>
      </c>
      <c r="AE776" s="2641">
        <f>$AE$8</f>
        <v>45142</v>
      </c>
      <c r="AF776" s="2641">
        <f>$AF$8</f>
        <v>45672</v>
      </c>
      <c r="AG776" s="2641" t="str">
        <f>$AG$8</f>
        <v>-</v>
      </c>
      <c r="AH776" s="2237"/>
      <c r="AI776" s="2640" t="s">
        <v>52</v>
      </c>
      <c r="AJ776" s="2641">
        <v>43252</v>
      </c>
      <c r="AK776" s="2641">
        <f>$X$8</f>
        <v>43465</v>
      </c>
      <c r="AL776" s="2641">
        <f>$Y$8</f>
        <v>43800</v>
      </c>
      <c r="AM776" s="2641">
        <f>$Z$8</f>
        <v>43862</v>
      </c>
      <c r="AN776" s="2641">
        <f>$AA$8</f>
        <v>44013</v>
      </c>
      <c r="AO776" s="2641">
        <f>$AB$8</f>
        <v>44166</v>
      </c>
      <c r="AP776" s="2641">
        <f>$AC$8</f>
        <v>44531</v>
      </c>
      <c r="AQ776" s="2641">
        <f>$AD$8</f>
        <v>44774</v>
      </c>
      <c r="AR776" s="2641">
        <f>$AE$8</f>
        <v>45142</v>
      </c>
      <c r="AS776" s="2641">
        <f>$AF$8</f>
        <v>45672</v>
      </c>
      <c r="AT776" s="3517"/>
      <c r="AU776" s="2640" t="s">
        <v>52</v>
      </c>
      <c r="AV776" s="2641">
        <v>43252</v>
      </c>
      <c r="AW776" s="2641">
        <f>$X$8</f>
        <v>43465</v>
      </c>
      <c r="AX776" s="2641">
        <f>$Y$8</f>
        <v>43800</v>
      </c>
      <c r="AY776" s="2641">
        <f>$Z$8</f>
        <v>43862</v>
      </c>
      <c r="AZ776" s="2641">
        <f>$AA$8</f>
        <v>44013</v>
      </c>
      <c r="BA776" s="2641">
        <v>44166</v>
      </c>
      <c r="BB776" s="2641">
        <f>$AC$8</f>
        <v>44531</v>
      </c>
      <c r="BC776" s="2641">
        <f>$AD$8</f>
        <v>44774</v>
      </c>
      <c r="BD776" s="2641">
        <f>$AE$8</f>
        <v>45142</v>
      </c>
      <c r="BE776" s="2641">
        <f>$AF$8</f>
        <v>45672</v>
      </c>
      <c r="BG776" s="2640" t="s">
        <v>52</v>
      </c>
      <c r="BH776" s="2641">
        <v>43252</v>
      </c>
      <c r="BI776" s="2641">
        <f>$X$8</f>
        <v>43465</v>
      </c>
      <c r="BJ776" s="2641">
        <f>$Y$8</f>
        <v>43800</v>
      </c>
      <c r="BK776" s="2641">
        <f>$Z$8</f>
        <v>43862</v>
      </c>
      <c r="BL776" s="2641">
        <f>$AA$8</f>
        <v>44013</v>
      </c>
      <c r="BM776" s="2641">
        <v>44166</v>
      </c>
      <c r="BN776" s="2641">
        <f>$AC$8</f>
        <v>44531</v>
      </c>
      <c r="BO776" s="2641">
        <f>$AD$8</f>
        <v>44774</v>
      </c>
      <c r="BP776" s="2641">
        <f>$AE$8</f>
        <v>45142</v>
      </c>
      <c r="BQ776" s="2641">
        <f>$AF$8</f>
        <v>45672</v>
      </c>
      <c r="DG776" s="3597"/>
      <c r="DH776" s="2697"/>
      <c r="DI776" s="2697"/>
      <c r="DJ776" s="3552"/>
    </row>
    <row r="777" spans="1:114" s="3517" customFormat="1" outlineLevel="1">
      <c r="C777" s="3564"/>
      <c r="D777" s="3598" t="str">
        <f>C767</f>
        <v>805500_2024_12_</v>
      </c>
      <c r="E777" s="3598" t="str">
        <f>E767</f>
        <v>Low Flow Faucet Aerator</v>
      </c>
      <c r="F777" s="3826">
        <v>1</v>
      </c>
      <c r="G777" s="2056">
        <v>2.2000000000000002</v>
      </c>
      <c r="H777" s="3824">
        <v>1.5</v>
      </c>
      <c r="I777" s="3809">
        <v>5000</v>
      </c>
      <c r="J777" s="3827">
        <f>(8.33*1*(K777-L777))/(M777*3412)</f>
        <v>7.8971277842907403E-2</v>
      </c>
      <c r="K777" s="3784">
        <v>91</v>
      </c>
      <c r="L777" s="3787">
        <v>59.3</v>
      </c>
      <c r="M777" s="3324">
        <v>0.98</v>
      </c>
      <c r="N777" s="3810">
        <v>1</v>
      </c>
      <c r="O777" s="3528" t="s">
        <v>851</v>
      </c>
      <c r="P777" s="3528"/>
      <c r="Q777" s="3528"/>
      <c r="R777" s="3528"/>
      <c r="S777" s="3528"/>
      <c r="T777" s="3528"/>
      <c r="U777" s="3528"/>
      <c r="V777" s="2460" t="s">
        <v>844</v>
      </c>
      <c r="W777" s="3224">
        <v>1.2</v>
      </c>
      <c r="X777" s="3224">
        <v>1.2</v>
      </c>
      <c r="Y777" s="3224">
        <v>1.2</v>
      </c>
      <c r="Z777" s="3224">
        <v>1.2</v>
      </c>
      <c r="AA777" s="3224">
        <v>1.2</v>
      </c>
      <c r="AB777" s="3222">
        <v>1.2</v>
      </c>
      <c r="AC777" s="3374">
        <v>1.2</v>
      </c>
      <c r="AD777" s="3374">
        <v>1.2</v>
      </c>
      <c r="AE777" s="3374">
        <v>1.2</v>
      </c>
      <c r="AF777" s="3258">
        <v>2.2000000000000002</v>
      </c>
      <c r="AG777" s="2413"/>
      <c r="AH777" s="2237"/>
      <c r="AI777" s="2244" t="s">
        <v>845</v>
      </c>
      <c r="AJ777" s="3506">
        <v>0.94</v>
      </c>
      <c r="AK777" s="3506">
        <v>0.94</v>
      </c>
      <c r="AL777" s="3506">
        <v>0.94</v>
      </c>
      <c r="AM777" s="3506">
        <v>0.94</v>
      </c>
      <c r="AN777" s="3506">
        <v>0.94</v>
      </c>
      <c r="AO777" s="3518">
        <v>0.94</v>
      </c>
      <c r="AP777" s="3518">
        <v>0.94</v>
      </c>
      <c r="AQ777" s="3518">
        <v>0.94</v>
      </c>
      <c r="AR777" s="3518">
        <v>0.94</v>
      </c>
      <c r="AS777" s="2724">
        <v>1.5</v>
      </c>
      <c r="AU777" s="2244" t="s">
        <v>848</v>
      </c>
      <c r="AV777" s="3518">
        <v>90</v>
      </c>
      <c r="AW777" s="3518">
        <v>90</v>
      </c>
      <c r="AX777" s="3518">
        <v>90</v>
      </c>
      <c r="AY777" s="3518">
        <v>90</v>
      </c>
      <c r="AZ777" s="3518">
        <v>90</v>
      </c>
      <c r="BA777" s="3518">
        <v>90</v>
      </c>
      <c r="BB777" s="3518">
        <v>90</v>
      </c>
      <c r="BC777" s="3518">
        <v>90</v>
      </c>
      <c r="BD777" s="3518">
        <v>90</v>
      </c>
      <c r="BE777" s="3762">
        <v>91</v>
      </c>
      <c r="BG777" s="2244" t="s">
        <v>849</v>
      </c>
      <c r="BH777" s="3518">
        <v>57.9</v>
      </c>
      <c r="BI777" s="3518">
        <v>57.9</v>
      </c>
      <c r="BJ777" s="3518">
        <v>57.9</v>
      </c>
      <c r="BK777" s="3518">
        <v>57.9</v>
      </c>
      <c r="BL777" s="3518">
        <v>57.9</v>
      </c>
      <c r="BM777" s="3518">
        <v>57.9</v>
      </c>
      <c r="BN777" s="3518">
        <v>57.9</v>
      </c>
      <c r="BO777" s="3518">
        <v>57.9</v>
      </c>
      <c r="BP777" s="3518">
        <v>57.9</v>
      </c>
      <c r="BQ777" s="3762">
        <v>59.3</v>
      </c>
      <c r="CG777" s="2237"/>
      <c r="CH777" s="2237"/>
      <c r="CI777" s="2237"/>
      <c r="CJ777" s="2237"/>
      <c r="CW777" s="2237"/>
      <c r="CX777" s="2237"/>
      <c r="CY777" s="2237"/>
      <c r="CZ777" s="2237"/>
      <c r="DG777" s="3551"/>
      <c r="DH777" s="3528"/>
      <c r="DI777" s="3528"/>
      <c r="DJ777" s="3552"/>
    </row>
    <row r="778" spans="1:114" s="3517" customFormat="1">
      <c r="C778" s="3564"/>
      <c r="D778" s="3564"/>
      <c r="E778" s="3528"/>
      <c r="F778" s="3528"/>
      <c r="G778" s="3663"/>
      <c r="H778" s="3691"/>
      <c r="I778" s="3528"/>
      <c r="J778" s="3528"/>
      <c r="K778" s="3528"/>
      <c r="L778" s="3528"/>
      <c r="M778" s="3528"/>
      <c r="N778" s="3528"/>
      <c r="O778" s="3528"/>
      <c r="P778" s="3528"/>
      <c r="Q778" s="3528"/>
      <c r="R778" s="3528"/>
      <c r="S778" s="3528"/>
      <c r="T778" s="3528"/>
      <c r="U778" s="3528"/>
      <c r="CG778" s="2237"/>
      <c r="CH778" s="2237"/>
      <c r="CI778" s="2237"/>
      <c r="CJ778" s="2237"/>
      <c r="CW778" s="2237"/>
      <c r="CX778" s="2237"/>
      <c r="CY778" s="2237"/>
      <c r="CZ778" s="2237"/>
      <c r="DG778" s="3551"/>
      <c r="DH778" s="3528"/>
      <c r="DI778" s="3528"/>
      <c r="DJ778" s="3552"/>
    </row>
    <row r="779" spans="1:114" s="3517" customFormat="1">
      <c r="C779" s="3564"/>
      <c r="D779" s="3564"/>
      <c r="E779" s="3528"/>
      <c r="F779" s="3528"/>
      <c r="G779" s="3663"/>
      <c r="H779" s="3691"/>
      <c r="I779" s="3528"/>
      <c r="J779" s="3528"/>
      <c r="K779" s="3528"/>
      <c r="L779" s="3528"/>
      <c r="M779" s="3528"/>
      <c r="N779" s="3528"/>
      <c r="O779" s="3528"/>
      <c r="P779" s="3528"/>
      <c r="Q779" s="3528"/>
      <c r="R779" s="3528"/>
      <c r="S779" s="3528"/>
      <c r="T779" s="3528"/>
      <c r="U779" s="3528"/>
      <c r="CG779" s="2237"/>
      <c r="CH779" s="2237"/>
      <c r="CI779" s="2237"/>
      <c r="CJ779" s="2237"/>
      <c r="CW779" s="2237"/>
      <c r="CX779" s="2237"/>
      <c r="CY779" s="2237"/>
      <c r="CZ779" s="2237"/>
      <c r="DG779" s="3551"/>
      <c r="DH779" s="3528"/>
      <c r="DI779" s="3528"/>
      <c r="DJ779" s="3552"/>
    </row>
    <row r="780" spans="1:114" s="3564" customFormat="1">
      <c r="A780" s="3517"/>
      <c r="B780" s="3998" t="s">
        <v>852</v>
      </c>
      <c r="C780" s="3999"/>
      <c r="D780" s="3999"/>
      <c r="E780" s="3999"/>
      <c r="F780" s="3999"/>
      <c r="G780" s="3999"/>
      <c r="H780" s="3999"/>
      <c r="I780" s="4831"/>
      <c r="J780" s="4831"/>
      <c r="K780" s="4831"/>
      <c r="L780" s="4831"/>
      <c r="M780" s="4832"/>
      <c r="N780" s="4832"/>
      <c r="O780" s="4833"/>
      <c r="V780" s="2203" t="str">
        <f>B780</f>
        <v>Circulator Pump</v>
      </c>
      <c r="W780" s="2204"/>
      <c r="X780" s="2204"/>
      <c r="Y780" s="2204"/>
      <c r="Z780" s="2204"/>
      <c r="AA780" s="2204"/>
      <c r="AB780" s="2204"/>
      <c r="AC780" s="2204"/>
      <c r="AD780" s="2204"/>
      <c r="AE780" s="2204"/>
      <c r="AF780" s="2204"/>
      <c r="AG780" s="2204"/>
      <c r="AH780" s="2204"/>
      <c r="AI780" s="3474"/>
      <c r="AJ780" s="3517"/>
      <c r="AK780" s="3517"/>
      <c r="AL780" s="3517"/>
      <c r="AM780" s="3517"/>
      <c r="AN780" s="3517"/>
      <c r="AO780" s="3517"/>
      <c r="AP780" s="3517"/>
      <c r="AQ780" s="3517"/>
      <c r="AR780" s="3517"/>
      <c r="AS780" s="3517"/>
      <c r="AT780" s="3517"/>
      <c r="AU780" s="3517"/>
      <c r="DG780" s="3669"/>
      <c r="DJ780" s="3567"/>
    </row>
    <row r="781" spans="1:114" s="3517" customFormat="1">
      <c r="C781" s="3564"/>
      <c r="D781" s="3670"/>
      <c r="E781" s="3564"/>
      <c r="F781" s="3564"/>
      <c r="G781" s="3564"/>
      <c r="H781" s="3671"/>
      <c r="I781" s="3564"/>
      <c r="J781" s="3564"/>
      <c r="K781" s="3564"/>
      <c r="L781" s="3564"/>
      <c r="M781" s="3528"/>
      <c r="N781" s="3528"/>
      <c r="O781" s="3528"/>
      <c r="P781" s="3564"/>
      <c r="Q781" s="3564"/>
      <c r="R781" s="3564"/>
      <c r="S781" s="3564"/>
      <c r="T781" s="3564"/>
      <c r="U781" s="3564"/>
      <c r="V781" s="2237"/>
      <c r="W781" s="2237"/>
      <c r="X781" s="2237"/>
      <c r="Y781" s="2237"/>
      <c r="Z781" s="2237"/>
      <c r="AA781" s="2237"/>
      <c r="AB781" s="2237"/>
      <c r="AC781" s="2237"/>
      <c r="AD781" s="2237"/>
      <c r="AE781" s="2237"/>
      <c r="AF781" s="2237"/>
      <c r="AG781" s="2237"/>
      <c r="AH781" s="2237"/>
      <c r="AI781" s="2237"/>
      <c r="AJ781" s="2723"/>
      <c r="AK781" s="2723"/>
      <c r="AL781" s="2723"/>
      <c r="AM781" s="2723"/>
      <c r="AN781" s="2723"/>
      <c r="AO781" s="2723"/>
      <c r="AP781" s="2723"/>
      <c r="AQ781" s="2723"/>
      <c r="AR781" s="2723"/>
      <c r="AS781" s="2723"/>
      <c r="AT781" s="2723"/>
      <c r="AU781" s="2723"/>
      <c r="CG781" s="2237"/>
      <c r="CH781" s="2237"/>
      <c r="CI781" s="2237"/>
      <c r="CJ781" s="2237"/>
      <c r="CW781" s="2237"/>
      <c r="CX781" s="2237"/>
      <c r="CY781" s="2237"/>
      <c r="CZ781" s="2237"/>
      <c r="DG781" s="3551"/>
      <c r="DH781" s="3528"/>
      <c r="DI781" s="3528"/>
      <c r="DJ781" s="3552"/>
    </row>
    <row r="782" spans="1:114" s="3044" customFormat="1" ht="30">
      <c r="A782" s="3517"/>
      <c r="B782" s="2723"/>
      <c r="C782" s="3570" t="s">
        <v>42</v>
      </c>
      <c r="D782" s="3570" t="s">
        <v>43</v>
      </c>
      <c r="E782" s="2280" t="s">
        <v>44</v>
      </c>
      <c r="F782" s="2280" t="s">
        <v>829</v>
      </c>
      <c r="G782" s="2280" t="s">
        <v>46</v>
      </c>
      <c r="H782" s="3571" t="s">
        <v>47</v>
      </c>
      <c r="I782" s="2280" t="s">
        <v>48</v>
      </c>
      <c r="J782" s="2280" t="s">
        <v>49</v>
      </c>
      <c r="K782" s="3570" t="s">
        <v>50</v>
      </c>
      <c r="L782" s="3570" t="s">
        <v>51</v>
      </c>
      <c r="M782" s="3528"/>
      <c r="N782" s="3528"/>
      <c r="O782" s="3528"/>
      <c r="P782" s="2697"/>
      <c r="Q782" s="2697"/>
      <c r="R782" s="2697"/>
      <c r="S782" s="2697"/>
      <c r="T782" s="2697"/>
      <c r="U782" s="2697"/>
      <c r="V782" s="2640" t="s">
        <v>52</v>
      </c>
      <c r="W782" s="2641">
        <f>$W$8</f>
        <v>43252</v>
      </c>
      <c r="X782" s="2641">
        <f>$X$8</f>
        <v>43465</v>
      </c>
      <c r="Y782" s="2641">
        <f>$Y$8</f>
        <v>43800</v>
      </c>
      <c r="Z782" s="2641">
        <f>$Z$8</f>
        <v>43862</v>
      </c>
      <c r="AA782" s="2641">
        <f>$AA$8</f>
        <v>44013</v>
      </c>
      <c r="AB782" s="2641">
        <v>44166</v>
      </c>
      <c r="AC782" s="2641">
        <f>$AC$8</f>
        <v>44531</v>
      </c>
      <c r="AD782" s="2641">
        <f>$AD$8</f>
        <v>44774</v>
      </c>
      <c r="AE782" s="2641">
        <f>$AE$8</f>
        <v>45142</v>
      </c>
      <c r="AF782" s="2641">
        <f>$AF$8</f>
        <v>45672</v>
      </c>
      <c r="AG782" s="2641" t="str">
        <f>$AG$8</f>
        <v>-</v>
      </c>
      <c r="AH782" s="2237"/>
      <c r="AI782" s="2640" t="s">
        <v>52</v>
      </c>
      <c r="AJ782" s="2641">
        <v>43252</v>
      </c>
      <c r="AK782" s="2641">
        <f>$X$8</f>
        <v>43465</v>
      </c>
      <c r="AL782" s="2641">
        <f>$Y$8</f>
        <v>43800</v>
      </c>
      <c r="AM782" s="2641">
        <f>$Z$8</f>
        <v>43862</v>
      </c>
      <c r="AN782" s="2641">
        <f>$AA$8</f>
        <v>44013</v>
      </c>
      <c r="AO782" s="2641">
        <f>$AB$8</f>
        <v>44166</v>
      </c>
      <c r="AP782" s="2641">
        <f>$AC$8</f>
        <v>44531</v>
      </c>
      <c r="AQ782" s="2641">
        <f>$AD$8</f>
        <v>44774</v>
      </c>
      <c r="AR782" s="2641">
        <f>$AE$8</f>
        <v>45142</v>
      </c>
      <c r="AS782" s="2641">
        <f>$AF$8</f>
        <v>45672</v>
      </c>
      <c r="AT782" s="3517"/>
      <c r="AU782" s="2640" t="s">
        <v>52</v>
      </c>
      <c r="AV782" s="2641">
        <v>43252</v>
      </c>
      <c r="AW782" s="2641">
        <f>$X$8</f>
        <v>43465</v>
      </c>
      <c r="AX782" s="2641">
        <f>$Y$8</f>
        <v>43800</v>
      </c>
      <c r="AY782" s="2641">
        <f>$Z$8</f>
        <v>43862</v>
      </c>
      <c r="AZ782" s="2641">
        <f>$AA$8</f>
        <v>44013</v>
      </c>
      <c r="BA782" s="2641">
        <v>44166</v>
      </c>
      <c r="BB782" s="2641">
        <f>$AC$8</f>
        <v>44531</v>
      </c>
      <c r="BC782" s="2641">
        <f>$AD$8</f>
        <v>44774</v>
      </c>
      <c r="BD782" s="2641">
        <f>$AE$8</f>
        <v>45142</v>
      </c>
      <c r="BE782" s="2641">
        <f>$AF$8</f>
        <v>45672</v>
      </c>
      <c r="DG782" s="2749" t="str">
        <f>$DG$8</f>
        <v>TRC (2025)</v>
      </c>
      <c r="DH782" s="2750" t="str">
        <f>$DH$8</f>
        <v>Benefit Lookup</v>
      </c>
      <c r="DI782" s="2750" t="str">
        <f>$DI$8</f>
        <v>Benefits (2025 $)</v>
      </c>
      <c r="DJ782" s="3572" t="str">
        <f>$DJ$8</f>
        <v>Incremental Cost (2025 $)</v>
      </c>
    </row>
    <row r="783" spans="1:114" s="3517" customFormat="1">
      <c r="B783" s="2208">
        <f t="shared" ref="B783" si="190">VALUE(LEFT(C783,6))</f>
        <v>805550</v>
      </c>
      <c r="C783" s="3573" t="s">
        <v>853</v>
      </c>
      <c r="D783" s="3509" t="str">
        <f t="shared" ref="D783" si="191">$D$98</f>
        <v>BSS</v>
      </c>
      <c r="E783" s="3574" t="s">
        <v>852</v>
      </c>
      <c r="F783" s="3516">
        <f>ROUND(651,2)</f>
        <v>651</v>
      </c>
      <c r="G783" s="3503" t="s">
        <v>87</v>
      </c>
      <c r="H783" s="3504">
        <f>VLOOKUP(G783,'CP FACTORS'!$A$26:$B$38,2,FALSE)</f>
        <v>1.379439E-4</v>
      </c>
      <c r="I783" s="3769">
        <f>ROUND(H783*F783,6)</f>
        <v>8.9801000000000006E-2</v>
      </c>
      <c r="J783" s="2687">
        <v>15</v>
      </c>
      <c r="K783" s="3576">
        <v>1200</v>
      </c>
      <c r="L783" s="3717" t="s">
        <v>62</v>
      </c>
      <c r="M783" s="3528"/>
      <c r="N783" s="3528"/>
      <c r="O783" s="3528"/>
      <c r="P783" s="3528"/>
      <c r="Q783" s="3528"/>
      <c r="R783" s="3528"/>
      <c r="S783" s="3528"/>
      <c r="T783" s="3528"/>
      <c r="U783" s="3528"/>
      <c r="V783" s="2460" t="s">
        <v>45</v>
      </c>
      <c r="W783" s="3224">
        <v>651</v>
      </c>
      <c r="X783" s="3224">
        <v>651</v>
      </c>
      <c r="Y783" s="3224">
        <v>651</v>
      </c>
      <c r="Z783" s="3224">
        <v>651</v>
      </c>
      <c r="AA783" s="3224">
        <v>651</v>
      </c>
      <c r="AB783" s="3222">
        <v>651</v>
      </c>
      <c r="AC783" s="3374">
        <v>651</v>
      </c>
      <c r="AD783" s="3374">
        <v>651</v>
      </c>
      <c r="AE783" s="3374">
        <v>651</v>
      </c>
      <c r="AF783" s="3374">
        <v>651</v>
      </c>
      <c r="AG783" s="2413"/>
      <c r="AH783" s="2237"/>
      <c r="AI783" s="2244" t="s">
        <v>49</v>
      </c>
      <c r="AJ783" s="3506">
        <v>15</v>
      </c>
      <c r="AK783" s="3506">
        <v>15</v>
      </c>
      <c r="AL783" s="3506">
        <v>15</v>
      </c>
      <c r="AM783" s="3506">
        <v>15</v>
      </c>
      <c r="AN783" s="3506">
        <v>15</v>
      </c>
      <c r="AO783" s="3518">
        <v>15</v>
      </c>
      <c r="AP783" s="3518">
        <v>15</v>
      </c>
      <c r="AQ783" s="3518">
        <v>15</v>
      </c>
      <c r="AR783" s="3518">
        <v>15</v>
      </c>
      <c r="AS783" s="3518">
        <v>15</v>
      </c>
      <c r="AU783" s="2244" t="s">
        <v>50</v>
      </c>
      <c r="AV783" s="3521">
        <v>1200</v>
      </c>
      <c r="AW783" s="3521">
        <v>1200</v>
      </c>
      <c r="AX783" s="3521">
        <v>1200</v>
      </c>
      <c r="AY783" s="3521">
        <v>1200</v>
      </c>
      <c r="AZ783" s="3521">
        <v>1200</v>
      </c>
      <c r="BA783" s="3522">
        <v>1200</v>
      </c>
      <c r="BB783" s="3522">
        <v>1200</v>
      </c>
      <c r="BC783" s="3522">
        <v>1200</v>
      </c>
      <c r="BD783" s="3522">
        <v>1200</v>
      </c>
      <c r="BE783" s="3522">
        <v>1200</v>
      </c>
      <c r="CG783" s="2237"/>
      <c r="CH783" s="2237"/>
      <c r="CI783" s="2237"/>
      <c r="CJ783" s="2237"/>
      <c r="CW783" s="2237"/>
      <c r="CX783" s="2237"/>
      <c r="CY783" s="2237"/>
      <c r="CZ783" s="2237"/>
      <c r="DG783" s="2603">
        <f>(DI783)/(DJ783)</f>
        <v>0.38685838996876687</v>
      </c>
      <c r="DH783" s="2419" t="str">
        <f>CONCATENATE(G783," ",J783," Year EUL")</f>
        <v>Miscellaneous BUS 15 Year EUL</v>
      </c>
      <c r="DI783" s="3695">
        <f>(INDEX('Avoided Cost Benefits'!$B$4:$B$865,MATCH(DH783,'Avoided Cost Benefits'!$A$4:$A$865,0)))*F783</f>
        <v>464.23006796252025</v>
      </c>
      <c r="DJ783" s="2605">
        <f>K783/(1.0686^(2025-2025))</f>
        <v>1200</v>
      </c>
    </row>
    <row r="784" spans="1:114" s="3517" customFormat="1" outlineLevel="1">
      <c r="C784" s="3564"/>
      <c r="D784" s="2624" t="s">
        <v>118</v>
      </c>
      <c r="E784" s="2360" t="s">
        <v>854</v>
      </c>
      <c r="F784" s="3564"/>
      <c r="G784" s="3564"/>
      <c r="H784" s="3679"/>
      <c r="I784" s="3564"/>
      <c r="J784" s="3564"/>
      <c r="K784" s="3528"/>
      <c r="L784" s="3528"/>
      <c r="M784" s="3528"/>
      <c r="N784" s="3528"/>
      <c r="O784" s="3528"/>
      <c r="P784" s="3528"/>
      <c r="Q784" s="3528"/>
      <c r="R784" s="3528"/>
      <c r="S784" s="3528"/>
      <c r="T784" s="3528"/>
      <c r="U784" s="3528"/>
      <c r="CG784" s="2237"/>
      <c r="CH784" s="2237"/>
      <c r="CI784" s="2237"/>
      <c r="CJ784" s="2237"/>
      <c r="CW784" s="2237"/>
      <c r="CX784" s="2237"/>
      <c r="CY784" s="2237"/>
      <c r="CZ784" s="2237"/>
      <c r="DG784" s="3551"/>
      <c r="DH784" s="3528"/>
      <c r="DI784" s="3528"/>
      <c r="DJ784" s="3552"/>
    </row>
    <row r="785" spans="1:114" s="3517" customFormat="1" outlineLevel="1">
      <c r="C785" s="3564"/>
      <c r="D785" s="3564" t="s">
        <v>120</v>
      </c>
      <c r="E785" s="2086"/>
      <c r="F785" s="3564"/>
      <c r="G785" s="3564"/>
      <c r="H785" s="3679"/>
      <c r="I785" s="3564"/>
      <c r="J785" s="3564"/>
      <c r="K785" s="2086"/>
      <c r="L785" s="3528"/>
      <c r="M785" s="3528"/>
      <c r="N785" s="3528"/>
      <c r="O785" s="3528"/>
      <c r="P785" s="3528"/>
      <c r="Q785" s="3528"/>
      <c r="R785" s="3528"/>
      <c r="S785" s="3528"/>
      <c r="T785" s="3528"/>
      <c r="U785" s="3528"/>
      <c r="CG785" s="2237"/>
      <c r="CH785" s="2237"/>
      <c r="CI785" s="2237"/>
      <c r="CJ785" s="2237"/>
      <c r="CW785" s="2237"/>
      <c r="CX785" s="2237"/>
      <c r="CY785" s="2237"/>
      <c r="CZ785" s="2237"/>
      <c r="DG785" s="3551"/>
      <c r="DH785" s="3528"/>
      <c r="DI785" s="3528"/>
      <c r="DJ785" s="3552"/>
    </row>
    <row r="786" spans="1:114" s="3517" customFormat="1" outlineLevel="1">
      <c r="C786" s="3564"/>
      <c r="D786" s="3680"/>
      <c r="E786" s="2086"/>
      <c r="F786" s="2086"/>
      <c r="G786" s="3528"/>
      <c r="H786" s="3569"/>
      <c r="I786" s="3528"/>
      <c r="J786" s="3528"/>
      <c r="K786" s="3528"/>
      <c r="L786" s="3528"/>
      <c r="M786" s="3528"/>
      <c r="N786" s="3528"/>
      <c r="O786" s="3528"/>
      <c r="P786" s="3528"/>
      <c r="Q786" s="3528"/>
      <c r="R786" s="3528"/>
      <c r="S786" s="3528"/>
      <c r="T786" s="3528"/>
      <c r="U786" s="3528"/>
      <c r="CG786" s="2237"/>
      <c r="CH786" s="2237"/>
      <c r="CI786" s="2237"/>
      <c r="CJ786" s="2237"/>
      <c r="CW786" s="2237"/>
      <c r="CX786" s="2237"/>
      <c r="CY786" s="2237"/>
      <c r="CZ786" s="2237"/>
      <c r="DG786" s="3551"/>
      <c r="DH786" s="3528"/>
      <c r="DI786" s="3528"/>
      <c r="DJ786" s="3552"/>
    </row>
    <row r="787" spans="1:114" s="3517" customFormat="1" outlineLevel="1">
      <c r="C787" s="3564"/>
      <c r="D787" s="3680"/>
      <c r="E787" s="3528"/>
      <c r="F787" s="3528"/>
      <c r="G787" s="3528"/>
      <c r="H787" s="3569"/>
      <c r="I787" s="3528"/>
      <c r="J787" s="3528"/>
      <c r="K787" s="3528"/>
      <c r="L787" s="3528"/>
      <c r="M787" s="3528"/>
      <c r="N787" s="3528"/>
      <c r="O787" s="3528"/>
      <c r="P787" s="4011"/>
      <c r="Q787" s="4011"/>
      <c r="R787" s="3528"/>
      <c r="S787" s="3528"/>
      <c r="T787" s="3528"/>
      <c r="U787" s="3528"/>
      <c r="CG787" s="2237"/>
      <c r="CH787" s="2237"/>
      <c r="CI787" s="2237"/>
      <c r="CJ787" s="2237"/>
      <c r="CW787" s="2237"/>
      <c r="CX787" s="2237"/>
      <c r="CY787" s="2237"/>
      <c r="CZ787" s="2237"/>
      <c r="DG787" s="3551"/>
      <c r="DH787" s="3528"/>
      <c r="DI787" s="3528"/>
      <c r="DJ787" s="3552"/>
    </row>
    <row r="788" spans="1:114" s="3517" customFormat="1" outlineLevel="1">
      <c r="C788" s="3564"/>
      <c r="D788" s="3680"/>
      <c r="E788" s="3528"/>
      <c r="F788" s="3528"/>
      <c r="G788" s="3528"/>
      <c r="H788" s="3569"/>
      <c r="I788" s="3528"/>
      <c r="J788" s="3528"/>
      <c r="K788" s="3528"/>
      <c r="L788" s="3528"/>
      <c r="M788" s="3564"/>
      <c r="N788" s="3528"/>
      <c r="O788" s="3528"/>
      <c r="P788" s="4011"/>
      <c r="Q788" s="4011"/>
      <c r="R788" s="3528"/>
      <c r="S788" s="3528"/>
      <c r="T788" s="3528"/>
      <c r="U788" s="3528"/>
      <c r="CG788" s="2237"/>
      <c r="CH788" s="2237"/>
      <c r="CI788" s="2237"/>
      <c r="CJ788" s="2237"/>
      <c r="CW788" s="2237"/>
      <c r="CX788" s="2237"/>
      <c r="CY788" s="2237"/>
      <c r="CZ788" s="2237"/>
      <c r="DG788" s="3551"/>
      <c r="DH788" s="3528"/>
      <c r="DI788" s="3528"/>
      <c r="DJ788" s="3552"/>
    </row>
    <row r="789" spans="1:114" s="3517" customFormat="1" outlineLevel="1">
      <c r="C789" s="3564"/>
      <c r="D789" s="3680"/>
      <c r="E789" s="3528"/>
      <c r="F789" s="3528"/>
      <c r="G789" s="3528"/>
      <c r="H789" s="3569"/>
      <c r="I789" s="3528"/>
      <c r="J789" s="3528"/>
      <c r="K789" s="3528"/>
      <c r="L789" s="3528"/>
      <c r="M789" s="3564"/>
      <c r="N789" s="3528"/>
      <c r="O789" s="3528"/>
      <c r="P789" s="4011"/>
      <c r="Q789" s="4011"/>
      <c r="R789" s="3528"/>
      <c r="S789" s="3528"/>
      <c r="T789" s="3528"/>
      <c r="U789" s="3528"/>
      <c r="CG789" s="2237"/>
      <c r="CH789" s="2237"/>
      <c r="CI789" s="2237"/>
      <c r="CJ789" s="2237"/>
      <c r="CW789" s="2237"/>
      <c r="CX789" s="2237"/>
      <c r="CY789" s="2237"/>
      <c r="CZ789" s="2237"/>
      <c r="DG789" s="3551"/>
      <c r="DH789" s="3528"/>
      <c r="DI789" s="3528"/>
      <c r="DJ789" s="3552"/>
    </row>
    <row r="790" spans="1:114" s="3517" customFormat="1" outlineLevel="1">
      <c r="C790" s="3564"/>
      <c r="D790" s="3680"/>
      <c r="E790" s="3528"/>
      <c r="F790" s="3528"/>
      <c r="G790" s="3528"/>
      <c r="H790" s="3569"/>
      <c r="I790" s="3528"/>
      <c r="J790" s="3528"/>
      <c r="K790" s="3528"/>
      <c r="L790" s="3528"/>
      <c r="M790" s="3564"/>
      <c r="N790" s="3528"/>
      <c r="O790" s="3528"/>
      <c r="P790" s="3528"/>
      <c r="Q790" s="3528"/>
      <c r="R790" s="3528"/>
      <c r="S790" s="3528"/>
      <c r="T790" s="3528"/>
      <c r="U790" s="3528"/>
      <c r="CG790" s="2237"/>
      <c r="CH790" s="2237"/>
      <c r="CI790" s="2237"/>
      <c r="CJ790" s="2237"/>
      <c r="CW790" s="2237"/>
      <c r="CX790" s="2237"/>
      <c r="CY790" s="2237"/>
      <c r="CZ790" s="2237"/>
      <c r="DG790" s="3551"/>
      <c r="DH790" s="3528"/>
      <c r="DI790" s="3528"/>
      <c r="DJ790" s="3552"/>
    </row>
    <row r="791" spans="1:114" s="3517" customFormat="1" outlineLevel="1">
      <c r="C791" s="3564"/>
      <c r="D791" s="3680"/>
      <c r="E791" s="3528"/>
      <c r="F791" s="3528"/>
      <c r="G791" s="3528"/>
      <c r="H791" s="3569"/>
      <c r="I791" s="3528"/>
      <c r="J791" s="3528"/>
      <c r="K791" s="3528"/>
      <c r="L791" s="3528"/>
      <c r="M791" s="3528"/>
      <c r="N791" s="3528"/>
      <c r="O791" s="3528"/>
      <c r="P791" s="3528"/>
      <c r="Q791" s="3528"/>
      <c r="R791" s="3528"/>
      <c r="S791" s="3528"/>
      <c r="T791" s="3528"/>
      <c r="U791" s="3528"/>
      <c r="CG791" s="2237"/>
      <c r="CH791" s="2237"/>
      <c r="CI791" s="2237"/>
      <c r="CJ791" s="2237"/>
      <c r="CW791" s="2237"/>
      <c r="CX791" s="2237"/>
      <c r="CY791" s="2237"/>
      <c r="CZ791" s="2237"/>
      <c r="DG791" s="3551"/>
      <c r="DH791" s="3528"/>
      <c r="DI791" s="3528"/>
      <c r="DJ791" s="3552"/>
    </row>
    <row r="792" spans="1:114" s="3044" customFormat="1" outlineLevel="1">
      <c r="A792" s="3517"/>
      <c r="C792" s="2086"/>
      <c r="D792" s="3682" t="s">
        <v>42</v>
      </c>
      <c r="E792" s="3682" t="s">
        <v>275</v>
      </c>
      <c r="F792" s="2697"/>
      <c r="G792" s="2697"/>
      <c r="H792" s="2697"/>
      <c r="I792" s="2697"/>
      <c r="J792" s="2697"/>
      <c r="K792" s="2697"/>
      <c r="L792" s="2697"/>
      <c r="M792" s="2697"/>
      <c r="N792" s="2697"/>
      <c r="O792" s="2697"/>
      <c r="P792" s="2697"/>
      <c r="Q792" s="2697"/>
      <c r="R792" s="2697"/>
      <c r="S792" s="2697"/>
      <c r="T792" s="2697"/>
      <c r="U792" s="2697"/>
      <c r="DG792" s="3597"/>
      <c r="DH792" s="2697"/>
      <c r="DI792" s="2697"/>
      <c r="DJ792" s="3552"/>
    </row>
    <row r="793" spans="1:114" s="3517" customFormat="1" outlineLevel="1">
      <c r="C793" s="3564"/>
      <c r="D793" s="3598" t="str">
        <f>C783</f>
        <v>805550_2019_12_</v>
      </c>
      <c r="E793" s="3598" t="str">
        <f>E783</f>
        <v>Circulator Pump</v>
      </c>
      <c r="F793" s="3528"/>
      <c r="G793" s="3528"/>
      <c r="H793" s="3528"/>
      <c r="I793" s="3528"/>
      <c r="J793" s="3528"/>
      <c r="K793" s="3528"/>
      <c r="L793" s="3528"/>
      <c r="M793" s="3528"/>
      <c r="N793" s="3528"/>
      <c r="O793" s="3528"/>
      <c r="P793" s="3528"/>
      <c r="Q793" s="3528"/>
      <c r="R793" s="3528"/>
      <c r="S793" s="3528"/>
      <c r="T793" s="3528"/>
      <c r="U793" s="3528"/>
      <c r="CG793" s="2237"/>
      <c r="CH793" s="2237"/>
      <c r="CI793" s="2237"/>
      <c r="CJ793" s="2237"/>
      <c r="CW793" s="2237"/>
      <c r="CX793" s="2237"/>
      <c r="CY793" s="2237"/>
      <c r="CZ793" s="2237"/>
      <c r="DG793" s="3551"/>
      <c r="DH793" s="3528"/>
      <c r="DI793" s="3528"/>
      <c r="DJ793" s="3552"/>
    </row>
    <row r="794" spans="1:114" s="3517" customFormat="1">
      <c r="C794" s="3564"/>
      <c r="D794" s="3564"/>
      <c r="E794" s="3528"/>
      <c r="F794" s="3528"/>
      <c r="G794" s="3663"/>
      <c r="H794" s="3691"/>
      <c r="I794" s="3528"/>
      <c r="J794" s="3528"/>
      <c r="K794" s="3528"/>
      <c r="L794" s="3528"/>
      <c r="M794" s="3528"/>
      <c r="N794" s="3528"/>
      <c r="O794" s="3528"/>
      <c r="P794" s="3528"/>
      <c r="Q794" s="3528"/>
      <c r="R794" s="3528"/>
      <c r="S794" s="3528"/>
      <c r="T794" s="3528"/>
      <c r="U794" s="3528"/>
      <c r="CG794" s="2237"/>
      <c r="CH794" s="2237"/>
      <c r="CI794" s="2237"/>
      <c r="CJ794" s="2237"/>
      <c r="CW794" s="2237"/>
      <c r="CX794" s="2237"/>
      <c r="CY794" s="2237"/>
      <c r="CZ794" s="2237"/>
      <c r="DG794" s="3551"/>
      <c r="DH794" s="3528"/>
      <c r="DI794" s="3528"/>
      <c r="DJ794" s="3552"/>
    </row>
    <row r="795" spans="1:114" s="3517" customFormat="1">
      <c r="C795" s="3564"/>
      <c r="D795" s="3564"/>
      <c r="E795" s="3528"/>
      <c r="F795" s="3528"/>
      <c r="G795" s="3663"/>
      <c r="H795" s="3691"/>
      <c r="I795" s="3528"/>
      <c r="J795" s="3528"/>
      <c r="K795" s="3528"/>
      <c r="L795" s="3528"/>
      <c r="M795" s="3528"/>
      <c r="N795" s="3528"/>
      <c r="O795" s="3528"/>
      <c r="P795" s="3528"/>
      <c r="Q795" s="3528"/>
      <c r="R795" s="3528"/>
      <c r="S795" s="3528"/>
      <c r="T795" s="3528"/>
      <c r="U795" s="3528"/>
      <c r="CG795" s="2237"/>
      <c r="CH795" s="2237"/>
      <c r="CI795" s="2237"/>
      <c r="CJ795" s="2237"/>
      <c r="CW795" s="2237"/>
      <c r="CX795" s="2237"/>
      <c r="CY795" s="2237"/>
      <c r="CZ795" s="2237"/>
      <c r="DG795" s="3551"/>
      <c r="DH795" s="3528"/>
      <c r="DI795" s="3528"/>
      <c r="DJ795" s="3552"/>
    </row>
    <row r="796" spans="1:114" s="3564" customFormat="1">
      <c r="A796" s="3517"/>
      <c r="B796" s="3998" t="s">
        <v>855</v>
      </c>
      <c r="C796" s="3999"/>
      <c r="D796" s="3999"/>
      <c r="E796" s="3999"/>
      <c r="F796" s="3999"/>
      <c r="G796" s="3999"/>
      <c r="H796" s="3999"/>
      <c r="I796" s="4831"/>
      <c r="J796" s="4831"/>
      <c r="K796" s="4831"/>
      <c r="L796" s="4831"/>
      <c r="M796" s="4832"/>
      <c r="N796" s="4832"/>
      <c r="O796" s="4833"/>
      <c r="V796" s="2203" t="str">
        <f>B796</f>
        <v>Small Commercial Programmable Thermostats</v>
      </c>
      <c r="W796" s="2204"/>
      <c r="X796" s="2204"/>
      <c r="Y796" s="2204"/>
      <c r="Z796" s="2204"/>
      <c r="AA796" s="2204"/>
      <c r="AB796" s="2204"/>
      <c r="AC796" s="2204"/>
      <c r="AD796" s="2204"/>
      <c r="AE796" s="2204"/>
      <c r="AF796" s="2204"/>
      <c r="AG796" s="2204"/>
      <c r="AH796" s="2204"/>
      <c r="AI796" s="3474"/>
      <c r="AJ796" s="3517"/>
      <c r="AK796" s="3517"/>
      <c r="AL796" s="3517"/>
      <c r="AM796" s="3517"/>
      <c r="AN796" s="3517"/>
      <c r="AO796" s="3517"/>
      <c r="AP796" s="3517"/>
      <c r="AQ796" s="3517"/>
      <c r="AR796" s="3517"/>
      <c r="AS796" s="3517"/>
      <c r="AT796" s="3517"/>
      <c r="AU796" s="3517"/>
      <c r="DG796" s="3669"/>
      <c r="DJ796" s="3567"/>
    </row>
    <row r="797" spans="1:114" s="3517" customFormat="1">
      <c r="C797" s="3564"/>
      <c r="D797" s="3670"/>
      <c r="E797" s="3564"/>
      <c r="F797" s="3564"/>
      <c r="G797" s="3564"/>
      <c r="H797" s="3671"/>
      <c r="I797" s="3564"/>
      <c r="J797" s="3564"/>
      <c r="K797" s="3564"/>
      <c r="L797" s="3564"/>
      <c r="M797" s="3528"/>
      <c r="N797" s="3528"/>
      <c r="O797" s="3528"/>
      <c r="P797" s="3564"/>
      <c r="Q797" s="3564"/>
      <c r="R797" s="3564"/>
      <c r="S797" s="3564"/>
      <c r="T797" s="3564"/>
      <c r="U797" s="3564"/>
      <c r="V797" s="2237"/>
      <c r="W797" s="2237"/>
      <c r="X797" s="2237"/>
      <c r="Y797" s="2237"/>
      <c r="Z797" s="2237"/>
      <c r="AA797" s="2237"/>
      <c r="AB797" s="2237"/>
      <c r="AC797" s="2237"/>
      <c r="AD797" s="2237"/>
      <c r="AE797" s="2237"/>
      <c r="AF797" s="2237"/>
      <c r="AG797" s="2237"/>
      <c r="AH797" s="2237"/>
      <c r="AI797" s="2237"/>
      <c r="AJ797" s="2723"/>
      <c r="AK797" s="2723"/>
      <c r="AL797" s="2723"/>
      <c r="AM797" s="2723"/>
      <c r="AN797" s="2723"/>
      <c r="AO797" s="2723"/>
      <c r="AP797" s="2723"/>
      <c r="AQ797" s="2723"/>
      <c r="AR797" s="2723"/>
      <c r="AS797" s="2723"/>
      <c r="AT797" s="2723"/>
      <c r="AU797" s="2723"/>
      <c r="CG797" s="2237"/>
      <c r="CH797" s="2237"/>
      <c r="CI797" s="2237"/>
      <c r="CJ797" s="2237"/>
      <c r="CW797" s="2237"/>
      <c r="CX797" s="2237"/>
      <c r="CY797" s="2237"/>
      <c r="CZ797" s="2237"/>
      <c r="DG797" s="3804" t="s">
        <v>856</v>
      </c>
      <c r="DH797" s="3528"/>
      <c r="DI797" s="3528"/>
      <c r="DJ797" s="3552"/>
    </row>
    <row r="798" spans="1:114" s="3044" customFormat="1" ht="30">
      <c r="A798" s="3517"/>
      <c r="B798" s="2723"/>
      <c r="C798" s="3570" t="s">
        <v>42</v>
      </c>
      <c r="D798" s="3570" t="s">
        <v>43</v>
      </c>
      <c r="E798" s="2280" t="s">
        <v>44</v>
      </c>
      <c r="F798" s="2280" t="s">
        <v>857</v>
      </c>
      <c r="G798" s="2280" t="s">
        <v>46</v>
      </c>
      <c r="H798" s="3571" t="s">
        <v>47</v>
      </c>
      <c r="I798" s="2280" t="s">
        <v>48</v>
      </c>
      <c r="J798" s="2280" t="s">
        <v>49</v>
      </c>
      <c r="K798" s="3570" t="s">
        <v>362</v>
      </c>
      <c r="L798" s="3570" t="s">
        <v>51</v>
      </c>
      <c r="M798" s="3528"/>
      <c r="N798" s="3528"/>
      <c r="O798" s="3528"/>
      <c r="P798" s="2697"/>
      <c r="Q798" s="2697"/>
      <c r="R798" s="2697"/>
      <c r="S798" s="2697"/>
      <c r="T798" s="2697"/>
      <c r="U798" s="2697"/>
      <c r="V798" s="2640" t="s">
        <v>52</v>
      </c>
      <c r="W798" s="2641">
        <f>$W$8</f>
        <v>43252</v>
      </c>
      <c r="X798" s="2641">
        <f>$X$8</f>
        <v>43465</v>
      </c>
      <c r="Y798" s="2641">
        <f>$Y$8</f>
        <v>43800</v>
      </c>
      <c r="Z798" s="2641">
        <f>$Z$8</f>
        <v>43862</v>
      </c>
      <c r="AA798" s="2641">
        <f>$AA$8</f>
        <v>44013</v>
      </c>
      <c r="AB798" s="2641">
        <v>44166</v>
      </c>
      <c r="AC798" s="2641">
        <f>$AC$8</f>
        <v>44531</v>
      </c>
      <c r="AD798" s="2641">
        <f>$AD$8</f>
        <v>44774</v>
      </c>
      <c r="AE798" s="2641">
        <f>$AE$8</f>
        <v>45142</v>
      </c>
      <c r="AF798" s="2641">
        <f>$AF$8</f>
        <v>45672</v>
      </c>
      <c r="AG798" s="2641" t="str">
        <f>$AG$8</f>
        <v>-</v>
      </c>
      <c r="AH798" s="2237"/>
      <c r="AI798" s="2640" t="s">
        <v>52</v>
      </c>
      <c r="AJ798" s="2641">
        <v>43252</v>
      </c>
      <c r="AK798" s="2641">
        <f>$X$8</f>
        <v>43465</v>
      </c>
      <c r="AL798" s="2641">
        <f>$Y$8</f>
        <v>43800</v>
      </c>
      <c r="AM798" s="2641">
        <f>$Z$8</f>
        <v>43862</v>
      </c>
      <c r="AN798" s="2641">
        <f>$AA$8</f>
        <v>44013</v>
      </c>
      <c r="AO798" s="2641">
        <f>$AB$8</f>
        <v>44166</v>
      </c>
      <c r="AP798" s="2641">
        <f>$AC$8</f>
        <v>44531</v>
      </c>
      <c r="AQ798" s="2641">
        <f>$AD$8</f>
        <v>44774</v>
      </c>
      <c r="AR798" s="2641">
        <f>$AE$8</f>
        <v>45142</v>
      </c>
      <c r="AS798" s="2641">
        <f>$AF$8</f>
        <v>45672</v>
      </c>
      <c r="AT798" s="3517"/>
      <c r="AU798" s="2640" t="s">
        <v>52</v>
      </c>
      <c r="AV798" s="2641">
        <v>43252</v>
      </c>
      <c r="AW798" s="2641">
        <f>$X$8</f>
        <v>43465</v>
      </c>
      <c r="AX798" s="2641">
        <f>$Y$8</f>
        <v>43800</v>
      </c>
      <c r="AY798" s="2641">
        <f>$Z$8</f>
        <v>43862</v>
      </c>
      <c r="AZ798" s="2641">
        <f>$AA$8</f>
        <v>44013</v>
      </c>
      <c r="BA798" s="2641">
        <v>44166</v>
      </c>
      <c r="BB798" s="2641">
        <f>$AC$8</f>
        <v>44531</v>
      </c>
      <c r="BC798" s="2641">
        <f>$AD$8</f>
        <v>44774</v>
      </c>
      <c r="BD798" s="2641">
        <f>$AE$8</f>
        <v>45142</v>
      </c>
      <c r="BE798" s="2641">
        <f>$AF$8</f>
        <v>45672</v>
      </c>
      <c r="DG798" s="2749" t="str">
        <f>$DG$8</f>
        <v>TRC (2025)</v>
      </c>
      <c r="DH798" s="2750" t="str">
        <f>$DH$8</f>
        <v>Benefit Lookup</v>
      </c>
      <c r="DI798" s="2750" t="str">
        <f>$DI$8</f>
        <v>Benefits (2025 $)</v>
      </c>
      <c r="DJ798" s="3572" t="str">
        <f>$DJ$8</f>
        <v>Incremental Cost (2025 $)</v>
      </c>
    </row>
    <row r="799" spans="1:114" s="3517" customFormat="1">
      <c r="B799" s="2208">
        <f t="shared" ref="B799" si="192">VALUE(LEFT(C799,6))</f>
        <v>805600</v>
      </c>
      <c r="C799" s="3499" t="s">
        <v>858</v>
      </c>
      <c r="D799" s="3509" t="str">
        <f t="shared" ref="D799" si="193">$D$98</f>
        <v>BSS</v>
      </c>
      <c r="E799" s="3574" t="s">
        <v>855</v>
      </c>
      <c r="F799" s="3502">
        <f>ROUND((F809*H809*I809)/G809,2)*0</f>
        <v>0</v>
      </c>
      <c r="G799" s="3503" t="s">
        <v>459</v>
      </c>
      <c r="H799" s="3504">
        <f>VLOOKUP(G799,'CP FACTORS'!$A$26:$B$38,2,FALSE)</f>
        <v>9.1068400000000004E-4</v>
      </c>
      <c r="I799" s="3769">
        <f>ROUND(H799*F799,6)</f>
        <v>0</v>
      </c>
      <c r="J799" s="2687">
        <v>8</v>
      </c>
      <c r="K799" s="3828">
        <v>160</v>
      </c>
      <c r="L799" s="3717" t="s">
        <v>62</v>
      </c>
      <c r="M799" s="3528"/>
      <c r="N799" s="3528"/>
      <c r="O799" s="3528"/>
      <c r="P799" s="3528"/>
      <c r="Q799" s="3528"/>
      <c r="R799" s="3528"/>
      <c r="S799" s="3528"/>
      <c r="T799" s="3528"/>
      <c r="U799" s="3528"/>
      <c r="V799" s="2460" t="str">
        <f>F798</f>
        <v>kWh Annual Savings (per sqft)</v>
      </c>
      <c r="W799" s="3224">
        <v>2.8899999999999999E-2</v>
      </c>
      <c r="X799" s="3224">
        <v>2.8899999999999999E-2</v>
      </c>
      <c r="Y799" s="3224">
        <v>2.8899999999999999E-2</v>
      </c>
      <c r="Z799" s="3224">
        <v>2.8899999999999999E-2</v>
      </c>
      <c r="AA799" s="3224">
        <v>2.8899999999999999E-2</v>
      </c>
      <c r="AB799" s="3222">
        <v>0.03</v>
      </c>
      <c r="AC799" s="3374">
        <v>0.03</v>
      </c>
      <c r="AD799" s="3374">
        <v>0.03</v>
      </c>
      <c r="AE799" s="3374">
        <v>0.03</v>
      </c>
      <c r="AF799" s="3374">
        <f>F799</f>
        <v>0</v>
      </c>
      <c r="AG799" s="2413"/>
      <c r="AH799" s="2237"/>
      <c r="AI799" s="2244" t="s">
        <v>49</v>
      </c>
      <c r="AJ799" s="3506">
        <v>8</v>
      </c>
      <c r="AK799" s="3506">
        <v>8</v>
      </c>
      <c r="AL799" s="3506">
        <v>8</v>
      </c>
      <c r="AM799" s="3506">
        <v>8</v>
      </c>
      <c r="AN799" s="3506">
        <v>8</v>
      </c>
      <c r="AO799" s="3518">
        <v>8</v>
      </c>
      <c r="AP799" s="3518">
        <v>8</v>
      </c>
      <c r="AQ799" s="3518">
        <v>8</v>
      </c>
      <c r="AR799" s="3518">
        <v>8</v>
      </c>
      <c r="AS799" s="3518">
        <v>8</v>
      </c>
      <c r="AU799" s="2244" t="s">
        <v>50</v>
      </c>
      <c r="AV799" s="3521">
        <v>181</v>
      </c>
      <c r="AW799" s="3521">
        <v>181</v>
      </c>
      <c r="AX799" s="3521">
        <v>181</v>
      </c>
      <c r="AY799" s="3521">
        <v>181</v>
      </c>
      <c r="AZ799" s="3521">
        <v>181</v>
      </c>
      <c r="BA799" s="3522">
        <v>181</v>
      </c>
      <c r="BB799" s="3522">
        <v>181</v>
      </c>
      <c r="BC799" s="3522">
        <v>181</v>
      </c>
      <c r="BD799" s="3522">
        <v>181</v>
      </c>
      <c r="BE799" s="3829">
        <f>K799</f>
        <v>160</v>
      </c>
      <c r="CG799" s="2237"/>
      <c r="CH799" s="2237"/>
      <c r="CI799" s="2237"/>
      <c r="CJ799" s="2237"/>
      <c r="CW799" s="2237"/>
      <c r="CX799" s="2237"/>
      <c r="CY799" s="2237"/>
      <c r="CZ799" s="2237"/>
      <c r="DG799" s="2603">
        <f>(DI799)/(DJ799)</f>
        <v>0</v>
      </c>
      <c r="DH799" s="2419" t="str">
        <f>CONCATENATE(G799," ",J799," Year EUL")</f>
        <v>Cooling BUS 8 Year EUL</v>
      </c>
      <c r="DI799" s="3695">
        <f>(INDEX('Avoided Cost Benefits'!$B$4:$B$865,MATCH(DH799,'Avoided Cost Benefits'!$A$4:$A$865,0)))*F799</f>
        <v>0</v>
      </c>
      <c r="DJ799" s="3257">
        <f>K799/(1.0686^(2025-2025))</f>
        <v>160</v>
      </c>
    </row>
    <row r="800" spans="1:114" s="3517" customFormat="1" outlineLevel="1">
      <c r="C800" s="3564"/>
      <c r="D800" s="2624" t="s">
        <v>118</v>
      </c>
      <c r="E800" s="2360" t="s">
        <v>859</v>
      </c>
      <c r="F800" s="3564"/>
      <c r="G800" s="3564"/>
      <c r="H800" s="3679"/>
      <c r="I800" s="3564"/>
      <c r="J800" s="3564"/>
      <c r="K800" s="3564"/>
      <c r="L800" s="3528"/>
      <c r="M800" s="3528"/>
      <c r="N800" s="3528"/>
      <c r="O800" s="3528"/>
      <c r="P800" s="3528"/>
      <c r="Q800" s="3528"/>
      <c r="R800" s="3528"/>
      <c r="S800" s="3528"/>
      <c r="T800" s="3528"/>
      <c r="U800" s="3528"/>
      <c r="CG800" s="2237"/>
      <c r="CH800" s="2237"/>
      <c r="CI800" s="2237"/>
      <c r="CJ800" s="2237"/>
      <c r="CW800" s="2237"/>
      <c r="CX800" s="2237"/>
      <c r="CY800" s="2237"/>
      <c r="CZ800" s="2237"/>
      <c r="DG800" s="3551"/>
      <c r="DH800" s="3528"/>
      <c r="DI800" s="3528"/>
      <c r="DJ800" s="3552"/>
    </row>
    <row r="801" spans="1:114" s="3517" customFormat="1" outlineLevel="1">
      <c r="C801" s="3564"/>
      <c r="D801" s="3564" t="s">
        <v>120</v>
      </c>
      <c r="E801" s="2086"/>
      <c r="F801" s="3564"/>
      <c r="G801" s="3564"/>
      <c r="H801" s="3679"/>
      <c r="I801" s="3564"/>
      <c r="J801" s="3564"/>
      <c r="K801" s="2086"/>
      <c r="L801" s="3528"/>
      <c r="M801" s="3528"/>
      <c r="N801" s="3528"/>
      <c r="O801" s="3528"/>
      <c r="P801" s="3528"/>
      <c r="Q801" s="3528"/>
      <c r="R801" s="3528"/>
      <c r="S801" s="3528"/>
      <c r="T801" s="3528"/>
      <c r="U801" s="3528"/>
      <c r="CG801" s="2237"/>
      <c r="CH801" s="2237"/>
      <c r="CI801" s="2237"/>
      <c r="CJ801" s="2237"/>
      <c r="CW801" s="2237"/>
      <c r="CX801" s="2237"/>
      <c r="CY801" s="2237"/>
      <c r="CZ801" s="2237"/>
      <c r="DG801" s="3551"/>
      <c r="DH801" s="3528"/>
      <c r="DI801" s="3528"/>
      <c r="DJ801" s="3552"/>
    </row>
    <row r="802" spans="1:114" s="3517" customFormat="1" outlineLevel="1">
      <c r="C802" s="3564"/>
      <c r="D802" s="3680"/>
      <c r="E802" s="2086"/>
      <c r="F802" s="2086"/>
      <c r="G802" s="3528"/>
      <c r="H802" s="3569"/>
      <c r="I802" s="3528"/>
      <c r="J802" s="3528"/>
      <c r="K802" s="3528"/>
      <c r="L802" s="3528"/>
      <c r="M802" s="3528"/>
      <c r="N802" s="3528"/>
      <c r="O802" s="3528"/>
      <c r="P802" s="3528"/>
      <c r="Q802" s="3528"/>
      <c r="R802" s="3528"/>
      <c r="S802" s="3528"/>
      <c r="T802" s="3528"/>
      <c r="U802" s="3528"/>
      <c r="CG802" s="2237"/>
      <c r="CH802" s="2237"/>
      <c r="CI802" s="2237"/>
      <c r="CJ802" s="2237"/>
      <c r="CW802" s="2237"/>
      <c r="CX802" s="2237"/>
      <c r="CY802" s="2237"/>
      <c r="CZ802" s="2237"/>
      <c r="DG802" s="3551"/>
      <c r="DH802" s="3528"/>
      <c r="DI802" s="3528"/>
      <c r="DJ802" s="3552"/>
    </row>
    <row r="803" spans="1:114" s="3517" customFormat="1" outlineLevel="1">
      <c r="C803" s="3564"/>
      <c r="D803" s="3680"/>
      <c r="E803" s="3528"/>
      <c r="F803" s="3528"/>
      <c r="G803" s="3528"/>
      <c r="H803" s="3569"/>
      <c r="I803" s="3528"/>
      <c r="J803" s="3528"/>
      <c r="K803" s="3528"/>
      <c r="L803" s="3528"/>
      <c r="M803" s="3528"/>
      <c r="N803" s="3528"/>
      <c r="O803" s="3528"/>
      <c r="P803" s="4011"/>
      <c r="Q803" s="4011"/>
      <c r="R803" s="3528"/>
      <c r="S803" s="3528"/>
      <c r="T803" s="3528"/>
      <c r="U803" s="3528"/>
      <c r="CG803" s="2237"/>
      <c r="CH803" s="2237"/>
      <c r="CI803" s="2237"/>
      <c r="CJ803" s="2237"/>
      <c r="CW803" s="2237"/>
      <c r="CX803" s="2237"/>
      <c r="CY803" s="2237"/>
      <c r="CZ803" s="2237"/>
      <c r="DG803" s="3551"/>
      <c r="DH803" s="3528"/>
      <c r="DI803" s="3528"/>
      <c r="DJ803" s="3552"/>
    </row>
    <row r="804" spans="1:114" s="3517" customFormat="1" outlineLevel="1">
      <c r="C804" s="3564"/>
      <c r="D804" s="3680"/>
      <c r="E804" s="3528"/>
      <c r="F804" s="3528"/>
      <c r="G804" s="3528"/>
      <c r="H804" s="3569"/>
      <c r="I804" s="3528"/>
      <c r="J804" s="3528"/>
      <c r="K804" s="3528"/>
      <c r="L804" s="3528"/>
      <c r="M804" s="3564"/>
      <c r="N804" s="3528"/>
      <c r="O804" s="3528"/>
      <c r="P804" s="4011"/>
      <c r="Q804" s="4011"/>
      <c r="R804" s="3528"/>
      <c r="S804" s="3528"/>
      <c r="T804" s="3528"/>
      <c r="U804" s="3528"/>
      <c r="CG804" s="2237"/>
      <c r="CH804" s="2237"/>
      <c r="CI804" s="2237"/>
      <c r="CJ804" s="2237"/>
      <c r="CW804" s="2237"/>
      <c r="CX804" s="2237"/>
      <c r="CY804" s="2237"/>
      <c r="CZ804" s="2237"/>
      <c r="DG804" s="3551"/>
      <c r="DH804" s="3528"/>
      <c r="DI804" s="3528"/>
      <c r="DJ804" s="3552"/>
    </row>
    <row r="805" spans="1:114" s="3517" customFormat="1" outlineLevel="1">
      <c r="C805" s="3564"/>
      <c r="D805" s="3680"/>
      <c r="E805" s="3528"/>
      <c r="F805" s="3528"/>
      <c r="G805" s="3528"/>
      <c r="H805" s="3569"/>
      <c r="I805" s="3528"/>
      <c r="J805" s="3528"/>
      <c r="K805" s="3528"/>
      <c r="L805" s="3528"/>
      <c r="M805" s="3564"/>
      <c r="N805" s="3528"/>
      <c r="O805" s="3528"/>
      <c r="P805" s="4011"/>
      <c r="Q805" s="4011"/>
      <c r="R805" s="3528"/>
      <c r="S805" s="3528"/>
      <c r="T805" s="3528"/>
      <c r="U805" s="3528"/>
      <c r="CG805" s="2237"/>
      <c r="CH805" s="2237"/>
      <c r="CI805" s="2237"/>
      <c r="CJ805" s="2237"/>
      <c r="CW805" s="2237"/>
      <c r="CX805" s="2237"/>
      <c r="CY805" s="2237"/>
      <c r="CZ805" s="2237"/>
      <c r="DG805" s="3551"/>
      <c r="DH805" s="3528"/>
      <c r="DI805" s="3528"/>
      <c r="DJ805" s="3552"/>
    </row>
    <row r="806" spans="1:114" s="3517" customFormat="1" outlineLevel="1">
      <c r="C806" s="3564"/>
      <c r="D806" s="3680"/>
      <c r="E806" s="3528"/>
      <c r="F806" s="3528"/>
      <c r="G806" s="3528"/>
      <c r="H806" s="3569"/>
      <c r="I806" s="3528"/>
      <c r="J806" s="3528"/>
      <c r="K806" s="3528"/>
      <c r="L806" s="3528"/>
      <c r="M806" s="3564"/>
      <c r="N806" s="3528"/>
      <c r="O806" s="3528"/>
      <c r="P806" s="3528"/>
      <c r="Q806" s="3528"/>
      <c r="R806" s="3528"/>
      <c r="S806" s="3528"/>
      <c r="T806" s="3528"/>
      <c r="U806" s="3528"/>
      <c r="CG806" s="2237"/>
      <c r="CH806" s="2237"/>
      <c r="CI806" s="2237"/>
      <c r="CJ806" s="2237"/>
      <c r="CW806" s="2237"/>
      <c r="CX806" s="2237"/>
      <c r="CY806" s="2237"/>
      <c r="CZ806" s="2237"/>
      <c r="DG806" s="3551"/>
      <c r="DH806" s="3528"/>
      <c r="DI806" s="3528"/>
      <c r="DJ806" s="3552"/>
    </row>
    <row r="807" spans="1:114" s="3517" customFormat="1" outlineLevel="1">
      <c r="C807" s="3564"/>
      <c r="D807" s="3680"/>
      <c r="E807" s="3528"/>
      <c r="F807" s="3528"/>
      <c r="G807" s="3528"/>
      <c r="H807" s="3569"/>
      <c r="I807" s="3528"/>
      <c r="J807" s="3528"/>
      <c r="K807" s="3528"/>
      <c r="L807" s="3528"/>
      <c r="M807" s="3528"/>
      <c r="N807" s="3528"/>
      <c r="O807" s="3528"/>
      <c r="P807" s="3528"/>
      <c r="Q807" s="3528"/>
      <c r="R807" s="3528"/>
      <c r="S807" s="3528"/>
      <c r="T807" s="3528"/>
      <c r="U807" s="3528"/>
      <c r="CG807" s="2237"/>
      <c r="CH807" s="2237"/>
      <c r="CI807" s="2237"/>
      <c r="CJ807" s="2237"/>
      <c r="CW807" s="2237"/>
      <c r="CX807" s="2237"/>
      <c r="CY807" s="2237"/>
      <c r="CZ807" s="2237"/>
      <c r="DG807" s="3551"/>
      <c r="DH807" s="3528"/>
      <c r="DI807" s="3528"/>
      <c r="DJ807" s="3552"/>
    </row>
    <row r="808" spans="1:114" s="3044" customFormat="1" ht="30" outlineLevel="1">
      <c r="A808" s="3517"/>
      <c r="C808" s="2086"/>
      <c r="D808" s="3682" t="s">
        <v>42</v>
      </c>
      <c r="E808" s="3682" t="s">
        <v>275</v>
      </c>
      <c r="F808" s="3725" t="s">
        <v>860</v>
      </c>
      <c r="G808" s="3682" t="s">
        <v>861</v>
      </c>
      <c r="H808" s="3682" t="s">
        <v>862</v>
      </c>
      <c r="I808" s="3682" t="s">
        <v>863</v>
      </c>
      <c r="J808" s="2697"/>
      <c r="K808" s="2697"/>
      <c r="L808" s="2697"/>
      <c r="M808" s="2697"/>
      <c r="N808" s="2697"/>
      <c r="O808" s="2697"/>
      <c r="P808" s="2697"/>
      <c r="Q808" s="2697"/>
      <c r="R808" s="2697"/>
      <c r="S808" s="2697"/>
      <c r="T808" s="2697"/>
      <c r="U808" s="2697"/>
      <c r="DG808" s="3597"/>
      <c r="DH808" s="2697"/>
      <c r="DI808" s="2697"/>
      <c r="DJ808" s="3552"/>
    </row>
    <row r="809" spans="1:114" s="3517" customFormat="1" outlineLevel="1">
      <c r="C809" s="3564"/>
      <c r="D809" s="3598" t="str">
        <f>C799</f>
        <v>805600_2024_12_</v>
      </c>
      <c r="E809" s="3598" t="str">
        <f>E799</f>
        <v>Small Commercial Programmable Thermostats</v>
      </c>
      <c r="F809" s="3697">
        <v>1</v>
      </c>
      <c r="G809" s="3708">
        <v>10</v>
      </c>
      <c r="H809" s="3830">
        <v>0.57799999999999996</v>
      </c>
      <c r="I809" s="3781">
        <v>0.5</v>
      </c>
      <c r="J809" s="3528"/>
      <c r="K809" s="3528"/>
      <c r="L809" s="3528"/>
      <c r="M809" s="3528"/>
      <c r="N809" s="3528"/>
      <c r="O809" s="3528"/>
      <c r="P809" s="3528"/>
      <c r="Q809" s="3528"/>
      <c r="R809" s="3528"/>
      <c r="S809" s="3528"/>
      <c r="T809" s="3528"/>
      <c r="U809" s="3528"/>
      <c r="CG809" s="2237"/>
      <c r="CH809" s="2237"/>
      <c r="CI809" s="2237"/>
      <c r="CJ809" s="2237"/>
      <c r="CW809" s="2237"/>
      <c r="CX809" s="2237"/>
      <c r="CY809" s="2237"/>
      <c r="CZ809" s="2237"/>
      <c r="DG809" s="3551"/>
      <c r="DH809" s="3528"/>
      <c r="DI809" s="3528"/>
      <c r="DJ809" s="3552"/>
    </row>
    <row r="810" spans="1:114" s="3517" customFormat="1">
      <c r="C810" s="3564"/>
      <c r="D810" s="3564"/>
      <c r="E810" s="3528"/>
      <c r="F810" s="3528"/>
      <c r="G810" s="3663"/>
      <c r="H810" s="3691"/>
      <c r="I810" s="3528"/>
      <c r="J810" s="3528"/>
      <c r="K810" s="3528"/>
      <c r="L810" s="3528"/>
      <c r="M810" s="3528"/>
      <c r="N810" s="3528"/>
      <c r="O810" s="3528"/>
      <c r="P810" s="3528"/>
      <c r="Q810" s="3528"/>
      <c r="R810" s="3528"/>
      <c r="S810" s="3528"/>
      <c r="T810" s="3528"/>
      <c r="U810" s="3528"/>
      <c r="CG810" s="2237"/>
      <c r="CH810" s="2237"/>
      <c r="CI810" s="2237"/>
      <c r="CJ810" s="2237"/>
      <c r="CW810" s="2237"/>
      <c r="CX810" s="2237"/>
      <c r="CY810" s="2237"/>
      <c r="CZ810" s="2237"/>
      <c r="DG810" s="3551"/>
      <c r="DH810" s="3528"/>
      <c r="DI810" s="3528"/>
      <c r="DJ810" s="3552"/>
    </row>
    <row r="811" spans="1:114" s="3517" customFormat="1">
      <c r="C811" s="3564"/>
      <c r="D811" s="3564"/>
      <c r="E811" s="3528"/>
      <c r="F811" s="3528"/>
      <c r="G811" s="3663"/>
      <c r="H811" s="3691"/>
      <c r="I811" s="3528"/>
      <c r="J811" s="3528"/>
      <c r="K811" s="3528"/>
      <c r="L811" s="3528"/>
      <c r="M811" s="3528"/>
      <c r="N811" s="3528"/>
      <c r="O811" s="3528"/>
      <c r="P811" s="3528"/>
      <c r="Q811" s="3528"/>
      <c r="R811" s="3528"/>
      <c r="S811" s="3528"/>
      <c r="T811" s="3528"/>
      <c r="U811" s="3528"/>
      <c r="CG811" s="2237"/>
      <c r="CH811" s="2237"/>
      <c r="CI811" s="2237"/>
      <c r="CJ811" s="2237"/>
      <c r="CW811" s="2237"/>
      <c r="CX811" s="2237"/>
      <c r="CY811" s="2237"/>
      <c r="CZ811" s="2237"/>
      <c r="DG811" s="3551"/>
      <c r="DH811" s="3528"/>
      <c r="DI811" s="3528"/>
      <c r="DJ811" s="3552"/>
    </row>
    <row r="812" spans="1:114" s="8" customFormat="1">
      <c r="A812" s="2"/>
      <c r="B812" s="3996" t="s">
        <v>864</v>
      </c>
      <c r="C812" s="3997"/>
      <c r="D812" s="3997"/>
      <c r="E812" s="3997"/>
      <c r="F812" s="3997"/>
      <c r="G812" s="3997"/>
      <c r="H812" s="3997"/>
      <c r="I812" s="4825"/>
      <c r="J812" s="4825"/>
      <c r="K812" s="4825"/>
      <c r="L812" s="4825"/>
      <c r="M812" s="4826"/>
      <c r="N812" s="4826"/>
      <c r="O812" s="4827"/>
      <c r="V812" s="1363" t="str">
        <f>B812</f>
        <v>Demand Controlled Ventilation</v>
      </c>
      <c r="W812" s="1364"/>
      <c r="X812" s="1364"/>
      <c r="Y812" s="1364"/>
      <c r="Z812" s="1364"/>
      <c r="AA812" s="1364"/>
      <c r="AB812" s="1364"/>
      <c r="AC812" s="1364"/>
      <c r="AD812" s="1364"/>
      <c r="AE812" s="1364"/>
      <c r="AF812" s="1364"/>
      <c r="AG812" s="1364"/>
      <c r="AH812" s="1364"/>
      <c r="AI812" s="1397"/>
      <c r="AJ812" s="2"/>
      <c r="AK812" s="2"/>
      <c r="AL812" s="2"/>
      <c r="AM812" s="2"/>
      <c r="AN812" s="2"/>
      <c r="AO812" s="2"/>
      <c r="AP812" s="2"/>
      <c r="AQ812" s="2"/>
      <c r="AR812" s="2"/>
      <c r="AS812" s="2"/>
      <c r="AT812" s="2"/>
      <c r="AU812" s="2"/>
      <c r="DG812" s="24"/>
      <c r="DJ812" s="1102"/>
    </row>
    <row r="813" spans="1:114">
      <c r="D813" s="461"/>
      <c r="E813" s="8"/>
      <c r="F813" s="8"/>
      <c r="G813" s="8"/>
      <c r="H813" s="462"/>
      <c r="I813" s="8"/>
      <c r="J813" s="8"/>
      <c r="K813" s="8"/>
      <c r="L813" s="8"/>
      <c r="P813" s="8"/>
      <c r="Q813" s="8"/>
      <c r="R813" s="8"/>
      <c r="S813" s="8"/>
      <c r="T813" s="8"/>
      <c r="U813" s="8"/>
      <c r="V813"/>
      <c r="W813"/>
      <c r="X813"/>
      <c r="Y813"/>
      <c r="Z813"/>
      <c r="AA813"/>
      <c r="AB813"/>
      <c r="AC813"/>
      <c r="AD813"/>
      <c r="AE813"/>
      <c r="AF813"/>
      <c r="AG813"/>
      <c r="AH813"/>
      <c r="AI813"/>
      <c r="AJ813" s="7"/>
      <c r="AK813" s="7"/>
      <c r="AL813" s="7"/>
      <c r="AM813" s="7"/>
      <c r="AN813" s="7"/>
      <c r="AO813" s="7"/>
      <c r="AP813" s="7"/>
      <c r="AQ813" s="7"/>
      <c r="AR813" s="7"/>
      <c r="AS813" s="7"/>
      <c r="AT813" s="7"/>
      <c r="AU813" s="7"/>
      <c r="DG813" s="1058" t="s">
        <v>736</v>
      </c>
    </row>
    <row r="814" spans="1:114" s="9" customFormat="1" ht="30">
      <c r="A814" s="2"/>
      <c r="B814" s="7"/>
      <c r="C814" s="10" t="s">
        <v>42</v>
      </c>
      <c r="D814" s="10" t="s">
        <v>43</v>
      </c>
      <c r="E814" s="1432" t="s">
        <v>44</v>
      </c>
      <c r="F814" s="1432" t="s">
        <v>857</v>
      </c>
      <c r="G814" s="1432" t="s">
        <v>46</v>
      </c>
      <c r="H814" s="11" t="s">
        <v>47</v>
      </c>
      <c r="I814" s="1432" t="s">
        <v>48</v>
      </c>
      <c r="J814" s="1432" t="s">
        <v>49</v>
      </c>
      <c r="K814" s="10" t="s">
        <v>50</v>
      </c>
      <c r="L814" s="10" t="s">
        <v>51</v>
      </c>
      <c r="M814" s="265"/>
      <c r="N814" s="521"/>
      <c r="O814" s="505"/>
      <c r="P814" s="506"/>
      <c r="Q814" s="122"/>
      <c r="R814" s="122"/>
      <c r="S814" s="122"/>
      <c r="T814" s="122"/>
      <c r="U814" s="122"/>
      <c r="V814" s="668" t="s">
        <v>52</v>
      </c>
      <c r="W814" s="669">
        <f>$W$8</f>
        <v>43252</v>
      </c>
      <c r="X814" s="669">
        <f>$X$8</f>
        <v>43465</v>
      </c>
      <c r="Y814" s="669">
        <f>$Y$8</f>
        <v>43800</v>
      </c>
      <c r="Z814" s="669">
        <f>$Z$8</f>
        <v>43862</v>
      </c>
      <c r="AA814" s="669">
        <f>$AA$8</f>
        <v>44013</v>
      </c>
      <c r="AB814" s="669">
        <v>44166</v>
      </c>
      <c r="AC814" s="669">
        <f>$AC$8</f>
        <v>44531</v>
      </c>
      <c r="AD814" s="669">
        <f>$AD$8</f>
        <v>44774</v>
      </c>
      <c r="AE814" s="669">
        <f>$AE$8</f>
        <v>45142</v>
      </c>
      <c r="AF814" s="669">
        <f>$AF$8</f>
        <v>45672</v>
      </c>
      <c r="AG814" s="669" t="str">
        <f>$AG$8</f>
        <v>-</v>
      </c>
      <c r="AH814"/>
      <c r="AI814" s="668" t="s">
        <v>52</v>
      </c>
      <c r="AJ814" s="669">
        <v>43252</v>
      </c>
      <c r="AK814" s="669">
        <f>$X$8</f>
        <v>43465</v>
      </c>
      <c r="AL814" s="669">
        <f>$Y$8</f>
        <v>43800</v>
      </c>
      <c r="AM814" s="669">
        <f>$Z$8</f>
        <v>43862</v>
      </c>
      <c r="AN814" s="669">
        <f>$AA$8</f>
        <v>44013</v>
      </c>
      <c r="AO814" s="669">
        <f>$AB$8</f>
        <v>44166</v>
      </c>
      <c r="AP814" s="669">
        <f>$AC$8</f>
        <v>44531</v>
      </c>
      <c r="AQ814" s="669">
        <f>$AD$8</f>
        <v>44774</v>
      </c>
      <c r="AR814" s="669">
        <f>$AE$8</f>
        <v>45142</v>
      </c>
      <c r="AS814" s="669">
        <f>$AF$8</f>
        <v>45672</v>
      </c>
      <c r="AT814" s="2"/>
      <c r="AU814" s="668" t="s">
        <v>52</v>
      </c>
      <c r="AV814" s="669">
        <v>43252</v>
      </c>
      <c r="AW814" s="669">
        <f>$X$8</f>
        <v>43465</v>
      </c>
      <c r="AX814" s="669">
        <f>$Y$8</f>
        <v>43800</v>
      </c>
      <c r="AY814" s="669">
        <f>$Z$8</f>
        <v>43862</v>
      </c>
      <c r="AZ814" s="669">
        <f>$AA$8</f>
        <v>44013</v>
      </c>
      <c r="BA814" s="669">
        <v>44166</v>
      </c>
      <c r="BB814" s="669">
        <f>$AC$8</f>
        <v>44531</v>
      </c>
      <c r="BC814" s="669">
        <f>$AD$8</f>
        <v>44774</v>
      </c>
      <c r="BD814" s="669">
        <f>$AE$8</f>
        <v>45142</v>
      </c>
      <c r="BE814" s="669">
        <f>$AF$8</f>
        <v>45672</v>
      </c>
      <c r="DG814" s="1060" t="str">
        <f>$DG$8</f>
        <v>TRC (2025)</v>
      </c>
      <c r="DH814" s="811" t="str">
        <f>$DH$8</f>
        <v>Benefit Lookup</v>
      </c>
      <c r="DI814" s="811" t="str">
        <f>$DI$8</f>
        <v>Benefits (2025 $)</v>
      </c>
      <c r="DJ814" s="1172" t="str">
        <f>$DJ$8</f>
        <v>Incremental Cost (2025 $)</v>
      </c>
    </row>
    <row r="815" spans="1:114">
      <c r="B815" s="1454">
        <f t="shared" ref="B815:B817" si="194">VALUE(LEFT(C815,6))</f>
        <v>805650</v>
      </c>
      <c r="C815" s="688" t="s">
        <v>865</v>
      </c>
      <c r="D815" s="1639" t="s">
        <v>135</v>
      </c>
      <c r="E815" s="480" t="s">
        <v>866</v>
      </c>
      <c r="F815" s="418">
        <f>ROUND((F827/1000)*G827+(F827/1000)*H827,2)</f>
        <v>0.67</v>
      </c>
      <c r="G815" s="463" t="s">
        <v>459</v>
      </c>
      <c r="H815" s="464">
        <f>VLOOKUP(G815,'CP FACTORS'!$A$26:$B$38,2,FALSE)</f>
        <v>9.1068400000000004E-4</v>
      </c>
      <c r="I815" s="481">
        <f>ROUND(H815*F815,6)</f>
        <v>6.0999999999999997E-4</v>
      </c>
      <c r="J815" s="499">
        <v>10</v>
      </c>
      <c r="K815" s="2035" t="s">
        <v>740</v>
      </c>
      <c r="L815" s="509" t="s">
        <v>867</v>
      </c>
      <c r="V815" s="1414" t="str">
        <f>F814</f>
        <v>kWh Annual Savings (per sqft)</v>
      </c>
      <c r="W815" s="55">
        <v>0.66500000000000004</v>
      </c>
      <c r="X815" s="55">
        <v>0.66500000000000004</v>
      </c>
      <c r="Y815" s="55">
        <v>0.66500000000000004</v>
      </c>
      <c r="Z815" s="55">
        <v>0.66500000000000004</v>
      </c>
      <c r="AA815" s="55">
        <v>0.66500000000000004</v>
      </c>
      <c r="AB815" s="648">
        <v>0.67</v>
      </c>
      <c r="AC815" s="737">
        <v>0.67</v>
      </c>
      <c r="AD815" s="737">
        <v>0.67</v>
      </c>
      <c r="AE815" s="737">
        <v>0.67</v>
      </c>
      <c r="AF815" s="737">
        <v>0.67</v>
      </c>
      <c r="AG815" s="71"/>
      <c r="AH815"/>
      <c r="AI815" s="1445" t="s">
        <v>49</v>
      </c>
      <c r="AJ815" s="20">
        <v>10</v>
      </c>
      <c r="AK815" s="20">
        <v>10</v>
      </c>
      <c r="AL815" s="20">
        <v>10</v>
      </c>
      <c r="AM815" s="20">
        <v>10</v>
      </c>
      <c r="AN815" s="20">
        <v>10</v>
      </c>
      <c r="AO815" s="54">
        <v>10</v>
      </c>
      <c r="AP815" s="54">
        <v>10</v>
      </c>
      <c r="AQ815" s="54">
        <v>10</v>
      </c>
      <c r="AR815" s="54">
        <v>10</v>
      </c>
      <c r="AS815" s="54">
        <v>10</v>
      </c>
      <c r="AU815" s="1445" t="s">
        <v>50</v>
      </c>
      <c r="AV815" s="710" t="s">
        <v>740</v>
      </c>
      <c r="AW815" s="710" t="s">
        <v>740</v>
      </c>
      <c r="AX815" s="710" t="s">
        <v>740</v>
      </c>
      <c r="AY815" s="710" t="s">
        <v>740</v>
      </c>
      <c r="AZ815" s="710" t="s">
        <v>740</v>
      </c>
      <c r="BA815" s="689" t="s">
        <v>740</v>
      </c>
      <c r="BB815" s="689" t="s">
        <v>740</v>
      </c>
      <c r="BC815" s="689" t="s">
        <v>740</v>
      </c>
      <c r="BD815" s="689" t="s">
        <v>740</v>
      </c>
      <c r="BE815" s="689" t="str">
        <f t="shared" ref="BE815:BE817" si="195">K815</f>
        <v>Actual</v>
      </c>
      <c r="DG815" s="1062" t="str">
        <f>IFERROR((DI815)/(DJ815),"n/a")</f>
        <v>n/a</v>
      </c>
      <c r="DH815" s="1400" t="str">
        <f>CONCATENATE(G815," ",J815," Year EUL")</f>
        <v>Cooling BUS 10 Year EUL</v>
      </c>
      <c r="DI815" s="198">
        <f>(INDEX('Avoided Cost Benefits'!$B$4:$B$864,MATCH(DH815,'Avoided Cost Benefits'!$A$4:$A$864,0)))*F815</f>
        <v>0.96382681093578204</v>
      </c>
      <c r="DJ815" s="1169">
        <f>IFERROR(K815/(1.0686^(2025-2025)),0)</f>
        <v>0</v>
      </c>
    </row>
    <row r="816" spans="1:114">
      <c r="B816" s="1454">
        <f t="shared" si="194"/>
        <v>805700</v>
      </c>
      <c r="C816" s="688" t="s">
        <v>868</v>
      </c>
      <c r="D816" s="1639" t="s">
        <v>135</v>
      </c>
      <c r="E816" s="480" t="s">
        <v>869</v>
      </c>
      <c r="F816" s="418">
        <f>ROUND((F828/1000)*G828+(F828/1000)*H828,2)</f>
        <v>1.9</v>
      </c>
      <c r="G816" s="463" t="s">
        <v>459</v>
      </c>
      <c r="H816" s="464">
        <f>VLOOKUP(G816,'CP FACTORS'!$A$26:$B$38,2,FALSE)</f>
        <v>9.1068400000000004E-4</v>
      </c>
      <c r="I816" s="481">
        <f>ROUND(H816*F816,6)</f>
        <v>1.73E-3</v>
      </c>
      <c r="J816" s="499">
        <v>10</v>
      </c>
      <c r="K816" s="2035" t="s">
        <v>740</v>
      </c>
      <c r="L816" s="509" t="s">
        <v>867</v>
      </c>
      <c r="V816" s="1414" t="str">
        <f>V815</f>
        <v>kWh Annual Savings (per sqft)</v>
      </c>
      <c r="W816" s="55">
        <v>1.895</v>
      </c>
      <c r="X816" s="55">
        <v>1.895</v>
      </c>
      <c r="Y816" s="55">
        <v>1.895</v>
      </c>
      <c r="Z816" s="55">
        <v>1.895</v>
      </c>
      <c r="AA816" s="55">
        <v>1.895</v>
      </c>
      <c r="AB816" s="648">
        <v>1.9</v>
      </c>
      <c r="AC816" s="737">
        <v>1.9</v>
      </c>
      <c r="AD816" s="737">
        <v>1.9</v>
      </c>
      <c r="AE816" s="737">
        <v>1.9</v>
      </c>
      <c r="AF816" s="737">
        <v>1.9</v>
      </c>
      <c r="AG816" s="71"/>
      <c r="AH816"/>
      <c r="AI816" s="1445" t="s">
        <v>49</v>
      </c>
      <c r="AJ816" s="20">
        <v>10</v>
      </c>
      <c r="AK816" s="20">
        <v>10</v>
      </c>
      <c r="AL816" s="20">
        <v>10</v>
      </c>
      <c r="AM816" s="20">
        <v>10</v>
      </c>
      <c r="AN816" s="20">
        <v>10</v>
      </c>
      <c r="AO816" s="54">
        <v>10</v>
      </c>
      <c r="AP816" s="54">
        <v>10</v>
      </c>
      <c r="AQ816" s="54">
        <v>10</v>
      </c>
      <c r="AR816" s="54">
        <v>10</v>
      </c>
      <c r="AS816" s="54">
        <v>10</v>
      </c>
      <c r="AU816" s="1445" t="s">
        <v>50</v>
      </c>
      <c r="AV816" s="710" t="s">
        <v>740</v>
      </c>
      <c r="AW816" s="710" t="s">
        <v>740</v>
      </c>
      <c r="AX816" s="710" t="s">
        <v>740</v>
      </c>
      <c r="AY816" s="710" t="s">
        <v>740</v>
      </c>
      <c r="AZ816" s="710" t="s">
        <v>740</v>
      </c>
      <c r="BA816" s="689" t="s">
        <v>740</v>
      </c>
      <c r="BB816" s="689" t="s">
        <v>740</v>
      </c>
      <c r="BC816" s="689" t="s">
        <v>740</v>
      </c>
      <c r="BD816" s="689" t="s">
        <v>740</v>
      </c>
      <c r="BE816" s="689" t="str">
        <f t="shared" si="195"/>
        <v>Actual</v>
      </c>
      <c r="DG816" s="1062" t="str">
        <f>IFERROR((DI816)/(DJ816),"n/a")</f>
        <v>n/a</v>
      </c>
      <c r="DH816" s="673" t="str">
        <f>CONCATENATE(G816," ",J816," Year EUL")</f>
        <v>Cooling BUS 10 Year EUL</v>
      </c>
      <c r="DI816" s="655">
        <f>(INDEX('Avoided Cost Benefits'!$B$4:$B$864,MATCH(DH816,'Avoided Cost Benefits'!$A$4:$A$864,0)))*F816</f>
        <v>2.7332402101163966</v>
      </c>
      <c r="DJ816" s="1170">
        <f>IFERROR(K816/(1.0686^(2025-2025)),0)</f>
        <v>0</v>
      </c>
    </row>
    <row r="817" spans="1:114">
      <c r="B817" s="1454">
        <f t="shared" si="194"/>
        <v>805750</v>
      </c>
      <c r="C817" s="688" t="s">
        <v>870</v>
      </c>
      <c r="D817" s="1639" t="s">
        <v>135</v>
      </c>
      <c r="E817" s="480" t="s">
        <v>871</v>
      </c>
      <c r="F817" s="418">
        <f>ROUND((F829/1000)*G829+(F829/1000)*H829,2)</f>
        <v>1.08</v>
      </c>
      <c r="G817" s="463" t="s">
        <v>459</v>
      </c>
      <c r="H817" s="464">
        <f>VLOOKUP(G817,'CP FACTORS'!$A$26:$B$38,2,FALSE)</f>
        <v>9.1068400000000004E-4</v>
      </c>
      <c r="I817" s="481">
        <f>ROUND(H817*F817,6)</f>
        <v>9.8400000000000007E-4</v>
      </c>
      <c r="J817" s="499">
        <v>10</v>
      </c>
      <c r="K817" s="2035" t="s">
        <v>740</v>
      </c>
      <c r="L817" s="509" t="s">
        <v>867</v>
      </c>
      <c r="V817" s="1414" t="str">
        <f>V816</f>
        <v>kWh Annual Savings (per sqft)</v>
      </c>
      <c r="W817" s="55">
        <v>1.0750000000000002</v>
      </c>
      <c r="X817" s="55">
        <v>1.0750000000000002</v>
      </c>
      <c r="Y817" s="55">
        <v>1.0750000000000002</v>
      </c>
      <c r="Z817" s="55">
        <v>1.0750000000000002</v>
      </c>
      <c r="AA817" s="55">
        <v>1.0750000000000002</v>
      </c>
      <c r="AB817" s="648">
        <v>1.08</v>
      </c>
      <c r="AC817" s="737">
        <v>1.08</v>
      </c>
      <c r="AD817" s="737">
        <v>1.08</v>
      </c>
      <c r="AE817" s="737">
        <v>1.08</v>
      </c>
      <c r="AF817" s="737">
        <v>1.08</v>
      </c>
      <c r="AG817" s="71"/>
      <c r="AH817"/>
      <c r="AI817" s="1445" t="s">
        <v>49</v>
      </c>
      <c r="AJ817" s="20">
        <v>10</v>
      </c>
      <c r="AK817" s="20">
        <v>10</v>
      </c>
      <c r="AL817" s="20">
        <v>10</v>
      </c>
      <c r="AM817" s="20">
        <v>10</v>
      </c>
      <c r="AN817" s="20">
        <v>10</v>
      </c>
      <c r="AO817" s="54">
        <v>10</v>
      </c>
      <c r="AP817" s="54">
        <v>10</v>
      </c>
      <c r="AQ817" s="54">
        <v>10</v>
      </c>
      <c r="AR817" s="54">
        <v>10</v>
      </c>
      <c r="AS817" s="54">
        <v>10</v>
      </c>
      <c r="AU817" s="1445" t="s">
        <v>50</v>
      </c>
      <c r="AV817" s="710" t="s">
        <v>740</v>
      </c>
      <c r="AW817" s="710" t="s">
        <v>740</v>
      </c>
      <c r="AX817" s="710" t="s">
        <v>740</v>
      </c>
      <c r="AY817" s="710" t="s">
        <v>740</v>
      </c>
      <c r="AZ817" s="710" t="s">
        <v>740</v>
      </c>
      <c r="BA817" s="689" t="s">
        <v>740</v>
      </c>
      <c r="BB817" s="689" t="s">
        <v>740</v>
      </c>
      <c r="BC817" s="689" t="s">
        <v>740</v>
      </c>
      <c r="BD817" s="689" t="s">
        <v>740</v>
      </c>
      <c r="BE817" s="689" t="str">
        <f t="shared" si="195"/>
        <v>Actual</v>
      </c>
      <c r="DG817" s="1062" t="str">
        <f>IFERROR((DI817)/(DJ817),"n/a")</f>
        <v>n/a</v>
      </c>
      <c r="DH817" s="673" t="str">
        <f>CONCATENATE(G817," ",J817," Year EUL")</f>
        <v>Cooling BUS 10 Year EUL</v>
      </c>
      <c r="DI817" s="1066">
        <f>(INDEX('Avoided Cost Benefits'!$B$4:$B$864,MATCH(DH817,'Avoided Cost Benefits'!$A$4:$A$864,0)))*F817</f>
        <v>1.5536312773293204</v>
      </c>
      <c r="DJ817" s="1171">
        <f>IFERROR(K817/(1.0686^(2025-2025)),0)</f>
        <v>0</v>
      </c>
    </row>
    <row r="818" spans="1:114" outlineLevel="1">
      <c r="D818" s="77" t="s">
        <v>118</v>
      </c>
      <c r="E818" s="1591" t="s">
        <v>859</v>
      </c>
      <c r="F818" s="8"/>
      <c r="G818" s="8"/>
      <c r="H818" s="471"/>
      <c r="I818" s="8"/>
      <c r="J818" s="8"/>
      <c r="K818" s="8"/>
    </row>
    <row r="819" spans="1:114" outlineLevel="1">
      <c r="D819" s="8" t="s">
        <v>120</v>
      </c>
      <c r="E819" s="8"/>
      <c r="F819" s="8"/>
      <c r="G819" s="8"/>
      <c r="H819" s="471"/>
      <c r="I819" s="8"/>
      <c r="J819" s="8"/>
      <c r="K819" s="8"/>
    </row>
    <row r="820" spans="1:114" outlineLevel="1">
      <c r="D820" s="527"/>
      <c r="G820" s="265"/>
      <c r="H820" s="473"/>
    </row>
    <row r="821" spans="1:114" outlineLevel="1">
      <c r="D821" s="527"/>
      <c r="G821" s="265"/>
      <c r="H821" s="473"/>
    </row>
    <row r="822" spans="1:114" outlineLevel="1">
      <c r="D822" s="527"/>
      <c r="G822" s="265"/>
      <c r="H822" s="473"/>
      <c r="M822" s="8"/>
    </row>
    <row r="823" spans="1:114" outlineLevel="1">
      <c r="D823" s="527"/>
      <c r="G823" s="265"/>
      <c r="H823" s="473"/>
      <c r="M823" s="8"/>
    </row>
    <row r="824" spans="1:114" outlineLevel="1">
      <c r="D824" s="472"/>
      <c r="G824" s="265"/>
      <c r="H824" s="473"/>
      <c r="M824" s="8"/>
    </row>
    <row r="825" spans="1:114" outlineLevel="1">
      <c r="D825" s="472"/>
      <c r="G825" s="265"/>
      <c r="H825" s="473"/>
    </row>
    <row r="826" spans="1:114" s="9" customFormat="1" outlineLevel="1">
      <c r="A826" s="2"/>
      <c r="C826" s="66"/>
      <c r="D826" s="1365" t="s">
        <v>42</v>
      </c>
      <c r="E826" s="1365" t="s">
        <v>275</v>
      </c>
      <c r="F826" s="33" t="s">
        <v>872</v>
      </c>
      <c r="G826" s="1365" t="s">
        <v>873</v>
      </c>
      <c r="H826" s="1365" t="s">
        <v>874</v>
      </c>
      <c r="I826" s="122"/>
      <c r="J826" s="122"/>
      <c r="K826" s="122"/>
      <c r="L826" s="122"/>
      <c r="M826" s="122"/>
      <c r="N826" s="122"/>
      <c r="O826" s="122"/>
      <c r="P826" s="122"/>
      <c r="Q826" s="122"/>
      <c r="R826" s="122"/>
      <c r="S826" s="122"/>
      <c r="T826" s="122"/>
      <c r="U826" s="122"/>
      <c r="DG826" s="1065"/>
      <c r="DH826" s="122"/>
      <c r="DI826" s="122"/>
      <c r="DJ826" s="1168"/>
    </row>
    <row r="827" spans="1:114" outlineLevel="1">
      <c r="D827" s="679" t="str">
        <f>C815</f>
        <v>805650_2019_12_</v>
      </c>
      <c r="E827" s="679" t="str">
        <f>E815</f>
        <v>Demand Controlled Ventillation (Gas Heat)</v>
      </c>
      <c r="F827" s="2040">
        <v>1</v>
      </c>
      <c r="G827" s="35">
        <v>665</v>
      </c>
      <c r="H827" s="522">
        <v>0</v>
      </c>
    </row>
    <row r="828" spans="1:114" outlineLevel="1">
      <c r="D828" s="679" t="str">
        <f>C816</f>
        <v>805700_2019_12_</v>
      </c>
      <c r="E828" s="679" t="str">
        <f>E816</f>
        <v>Demand Controlled Ventillation (Electric Heat)</v>
      </c>
      <c r="F828" s="2040">
        <v>1</v>
      </c>
      <c r="G828" s="35">
        <v>665</v>
      </c>
      <c r="H828" s="522">
        <v>1230</v>
      </c>
    </row>
    <row r="829" spans="1:114" outlineLevel="1">
      <c r="D829" s="679" t="str">
        <f>C817</f>
        <v>805750_2019_12_</v>
      </c>
      <c r="E829" s="679" t="str">
        <f>E817</f>
        <v>Demand Controlled Ventillation (Heat Pump)</v>
      </c>
      <c r="F829" s="2040">
        <v>1</v>
      </c>
      <c r="G829" s="35">
        <v>665</v>
      </c>
      <c r="H829" s="522">
        <v>410</v>
      </c>
    </row>
    <row r="832" spans="1:114" s="8" customFormat="1">
      <c r="A832" s="2"/>
      <c r="B832" s="3996" t="s">
        <v>875</v>
      </c>
      <c r="C832" s="3997"/>
      <c r="D832" s="3997"/>
      <c r="E832" s="3997"/>
      <c r="F832" s="3997"/>
      <c r="G832" s="3997"/>
      <c r="H832" s="3997"/>
      <c r="I832" s="4828"/>
      <c r="J832" s="4828"/>
      <c r="K832" s="4828"/>
      <c r="L832" s="4828"/>
      <c r="M832" s="4829"/>
      <c r="N832" s="4829"/>
      <c r="O832" s="4830"/>
      <c r="V832" s="1363" t="str">
        <f>B832</f>
        <v>Advanced RTU Controls</v>
      </c>
      <c r="W832" s="1364"/>
      <c r="X832" s="1364"/>
      <c r="Y832" s="1364"/>
      <c r="Z832" s="1364"/>
      <c r="AA832" s="1364"/>
      <c r="AB832" s="1364"/>
      <c r="AC832" s="1364"/>
      <c r="AD832" s="1364"/>
      <c r="AE832" s="1364"/>
      <c r="AF832" s="1364"/>
      <c r="AG832" s="1364"/>
      <c r="AH832" s="1364"/>
      <c r="AI832" s="1397"/>
      <c r="AJ832" s="2"/>
      <c r="AK832" s="2"/>
      <c r="AL832" s="2"/>
      <c r="AM832" s="2"/>
      <c r="AN832" s="2"/>
      <c r="AO832" s="2"/>
      <c r="AP832" s="2"/>
      <c r="AQ832" s="2"/>
      <c r="AR832" s="2"/>
      <c r="AS832" s="2"/>
      <c r="AT832" s="2"/>
      <c r="AU832" s="2"/>
      <c r="DG832" s="24"/>
      <c r="DJ832" s="1102"/>
    </row>
    <row r="833" spans="1:114">
      <c r="D833" s="461"/>
      <c r="E833" s="8"/>
      <c r="F833" s="8"/>
      <c r="G833" s="8"/>
      <c r="H833" s="462"/>
      <c r="I833" s="8"/>
      <c r="J833" s="8"/>
      <c r="K833" s="8"/>
      <c r="L833" s="8"/>
      <c r="P833" s="8"/>
      <c r="Q833" s="8"/>
      <c r="R833" s="8"/>
      <c r="S833" s="8"/>
      <c r="T833" s="8"/>
      <c r="U833" s="8"/>
      <c r="V833"/>
      <c r="W833"/>
      <c r="X833"/>
      <c r="Y833"/>
      <c r="Z833"/>
      <c r="AA833"/>
      <c r="AB833"/>
      <c r="AC833"/>
      <c r="AD833"/>
      <c r="AE833"/>
      <c r="AF833"/>
      <c r="AG833"/>
      <c r="AH833"/>
      <c r="AI833"/>
      <c r="AJ833" s="7"/>
      <c r="AK833" s="7"/>
      <c r="AL833" s="7"/>
      <c r="AM833" s="7"/>
      <c r="AN833" s="7"/>
      <c r="AO833" s="7"/>
      <c r="AP833" s="7"/>
      <c r="AQ833" s="7"/>
      <c r="AR833" s="7"/>
      <c r="AS833" s="7"/>
      <c r="AT833" s="7"/>
      <c r="AU833" s="7"/>
      <c r="DG833" s="1058" t="s">
        <v>381</v>
      </c>
    </row>
    <row r="834" spans="1:114" s="9" customFormat="1" ht="30">
      <c r="A834" s="2"/>
      <c r="B834" s="7"/>
      <c r="C834" s="10" t="s">
        <v>42</v>
      </c>
      <c r="D834" s="10" t="s">
        <v>43</v>
      </c>
      <c r="E834" s="1432" t="s">
        <v>44</v>
      </c>
      <c r="F834" s="1432" t="s">
        <v>382</v>
      </c>
      <c r="G834" s="1432" t="s">
        <v>46</v>
      </c>
      <c r="H834" s="11" t="s">
        <v>47</v>
      </c>
      <c r="I834" s="1432" t="s">
        <v>48</v>
      </c>
      <c r="J834" s="1432" t="s">
        <v>49</v>
      </c>
      <c r="K834" s="10" t="s">
        <v>362</v>
      </c>
      <c r="L834" s="10" t="s">
        <v>51</v>
      </c>
      <c r="M834" s="265"/>
      <c r="N834" s="265"/>
      <c r="O834" s="265"/>
      <c r="P834" s="122"/>
      <c r="Q834" s="122"/>
      <c r="R834" s="122"/>
      <c r="S834" s="122"/>
      <c r="T834" s="122"/>
      <c r="U834" s="122"/>
      <c r="V834" s="668" t="s">
        <v>52</v>
      </c>
      <c r="W834" s="669">
        <f>$W$8</f>
        <v>43252</v>
      </c>
      <c r="X834" s="669">
        <f>$X$8</f>
        <v>43465</v>
      </c>
      <c r="Y834" s="669">
        <f>$Y$8</f>
        <v>43800</v>
      </c>
      <c r="Z834" s="669">
        <f>$Z$8</f>
        <v>43862</v>
      </c>
      <c r="AA834" s="669">
        <f>$AA$8</f>
        <v>44013</v>
      </c>
      <c r="AB834" s="669">
        <v>44166</v>
      </c>
      <c r="AC834" s="669">
        <f>$AC$8</f>
        <v>44531</v>
      </c>
      <c r="AD834" s="669">
        <f>$AD$8</f>
        <v>44774</v>
      </c>
      <c r="AE834" s="669">
        <f>$AE$8</f>
        <v>45142</v>
      </c>
      <c r="AF834" s="669">
        <f>$AF$8</f>
        <v>45672</v>
      </c>
      <c r="AG834" s="669" t="str">
        <f>$AG$8</f>
        <v>-</v>
      </c>
      <c r="AH834"/>
      <c r="AI834" s="668" t="s">
        <v>52</v>
      </c>
      <c r="AJ834" s="669">
        <v>43252</v>
      </c>
      <c r="AK834" s="669">
        <f>$X$8</f>
        <v>43465</v>
      </c>
      <c r="AL834" s="669">
        <f>$Y$8</f>
        <v>43800</v>
      </c>
      <c r="AM834" s="669">
        <f>$Z$8</f>
        <v>43862</v>
      </c>
      <c r="AN834" s="669">
        <f>$AA$8</f>
        <v>44013</v>
      </c>
      <c r="AO834" s="669">
        <f>$AB$8</f>
        <v>44166</v>
      </c>
      <c r="AP834" s="669">
        <f>$AC$8</f>
        <v>44531</v>
      </c>
      <c r="AQ834" s="669">
        <f>$AD$8</f>
        <v>44774</v>
      </c>
      <c r="AR834" s="669">
        <f>$AE$8</f>
        <v>45142</v>
      </c>
      <c r="AS834" s="669">
        <f>$AF$8</f>
        <v>45672</v>
      </c>
      <c r="AT834" s="2"/>
      <c r="AU834" s="668" t="s">
        <v>52</v>
      </c>
      <c r="AV834" s="669">
        <v>43252</v>
      </c>
      <c r="AW834" s="669">
        <f>$X$8</f>
        <v>43465</v>
      </c>
      <c r="AX834" s="669">
        <f>$Y$8</f>
        <v>43800</v>
      </c>
      <c r="AY834" s="669">
        <f>$Z$8</f>
        <v>43862</v>
      </c>
      <c r="AZ834" s="669">
        <f>$AA$8</f>
        <v>44013</v>
      </c>
      <c r="BA834" s="669">
        <v>44166</v>
      </c>
      <c r="BB834" s="669">
        <f>$AC$8</f>
        <v>44531</v>
      </c>
      <c r="BC834" s="669">
        <f>$AD$8</f>
        <v>44774</v>
      </c>
      <c r="BD834" s="669">
        <f>$AE$8</f>
        <v>45142</v>
      </c>
      <c r="BE834" s="669">
        <f>$AF$8</f>
        <v>45672</v>
      </c>
      <c r="DG834" s="1060" t="str">
        <f>$DG$8</f>
        <v>TRC (2025)</v>
      </c>
      <c r="DH834" s="811" t="str">
        <f>$DH$8</f>
        <v>Benefit Lookup</v>
      </c>
      <c r="DI834" s="811" t="str">
        <f>$DI$8</f>
        <v>Benefits (2025 $)</v>
      </c>
      <c r="DJ834" s="1172" t="str">
        <f>$DJ$8</f>
        <v>Incremental Cost (2025 $)</v>
      </c>
    </row>
    <row r="835" spans="1:114">
      <c r="B835" s="1454">
        <f t="shared" ref="B835" si="196">VALUE(LEFT(C835,6))</f>
        <v>805800</v>
      </c>
      <c r="C835" s="688" t="s">
        <v>876</v>
      </c>
      <c r="D835" s="1639" t="s">
        <v>135</v>
      </c>
      <c r="E835" s="480" t="s">
        <v>875</v>
      </c>
      <c r="F835" s="418">
        <f>ROUND(F845*G845*H845,2)</f>
        <v>3779.33</v>
      </c>
      <c r="G835" s="463" t="s">
        <v>488</v>
      </c>
      <c r="H835" s="464">
        <f>VLOOKUP(G835,'CP FACTORS'!$A$26:$B$38,2,FALSE)</f>
        <v>4.4398300000000001E-4</v>
      </c>
      <c r="I835" s="481">
        <f>ROUND(H835*F835,6)</f>
        <v>1.6779580000000001</v>
      </c>
      <c r="J835" s="103">
        <v>15</v>
      </c>
      <c r="K835" s="2020">
        <v>4038</v>
      </c>
      <c r="L835" s="509" t="s">
        <v>62</v>
      </c>
      <c r="V835" s="1414" t="str">
        <f>F834</f>
        <v>kWh Annual Savings (per HP)</v>
      </c>
      <c r="W835" s="55">
        <v>3779.3340000000003</v>
      </c>
      <c r="X835" s="55">
        <v>3779.3340000000003</v>
      </c>
      <c r="Y835" s="55">
        <v>3779.3340000000003</v>
      </c>
      <c r="Z835" s="55">
        <v>3779.3340000000003</v>
      </c>
      <c r="AA835" s="55">
        <v>3779.3340000000003</v>
      </c>
      <c r="AB835" s="648">
        <v>3779.33</v>
      </c>
      <c r="AC835" s="737">
        <v>3779.33</v>
      </c>
      <c r="AD835" s="737">
        <v>3779.33</v>
      </c>
      <c r="AE835" s="737">
        <v>3779.33</v>
      </c>
      <c r="AF835" s="737">
        <v>3779.33</v>
      </c>
      <c r="AG835" s="71"/>
      <c r="AH835"/>
      <c r="AI835" s="1445" t="s">
        <v>49</v>
      </c>
      <c r="AJ835" s="20">
        <v>15</v>
      </c>
      <c r="AK835" s="20">
        <v>15</v>
      </c>
      <c r="AL835" s="20">
        <v>15</v>
      </c>
      <c r="AM835" s="20">
        <v>15</v>
      </c>
      <c r="AN835" s="20">
        <v>15</v>
      </c>
      <c r="AO835" s="54">
        <v>15</v>
      </c>
      <c r="AP835" s="709">
        <v>15</v>
      </c>
      <c r="AQ835" s="709">
        <v>15</v>
      </c>
      <c r="AR835" s="709">
        <v>15</v>
      </c>
      <c r="AS835" s="709">
        <v>15</v>
      </c>
      <c r="AU835" s="1445" t="s">
        <v>50</v>
      </c>
      <c r="AV835" s="710">
        <v>4038</v>
      </c>
      <c r="AW835" s="710">
        <v>4038</v>
      </c>
      <c r="AX835" s="710">
        <v>4038</v>
      </c>
      <c r="AY835" s="710">
        <v>4038</v>
      </c>
      <c r="AZ835" s="710">
        <v>4038</v>
      </c>
      <c r="BA835" s="689">
        <v>4038</v>
      </c>
      <c r="BB835" s="689">
        <v>4038</v>
      </c>
      <c r="BC835" s="689">
        <v>4038</v>
      </c>
      <c r="BD835" s="689">
        <v>4038</v>
      </c>
      <c r="BE835" s="689">
        <v>4038</v>
      </c>
      <c r="DG835" s="1067">
        <f>(DI835)/(DJ835)</f>
        <v>1.1412362084060232</v>
      </c>
      <c r="DH835" s="1400" t="str">
        <f>CONCATENATE(G835," ",J835," Year EUL")</f>
        <v>HVAC BUS 15 Year EUL</v>
      </c>
      <c r="DI835" s="1068">
        <f>(INDEX('Avoided Cost Benefits'!$B$4:$B$864,MATCH(DH835,'Avoided Cost Benefits'!$A$4:$A$864,0)))*F835</f>
        <v>4608.311809543522</v>
      </c>
      <c r="DJ835" s="1177">
        <f>K835/(1.0686^(2025-2025))</f>
        <v>4038</v>
      </c>
    </row>
    <row r="836" spans="1:114" outlineLevel="1">
      <c r="D836" s="77" t="s">
        <v>118</v>
      </c>
      <c r="E836" s="1591" t="s">
        <v>877</v>
      </c>
      <c r="F836" s="8"/>
      <c r="G836" s="8"/>
      <c r="H836" s="471"/>
      <c r="I836" s="8"/>
      <c r="J836" s="8"/>
      <c r="K836" s="8"/>
      <c r="V836" s="1414" t="str">
        <f>V835</f>
        <v>kWh Annual Savings (per HP)</v>
      </c>
      <c r="W836" s="55">
        <v>3779.3340000000003</v>
      </c>
      <c r="X836" s="55">
        <v>3779.3340000000003</v>
      </c>
      <c r="Y836" s="55">
        <v>3779.3340000000003</v>
      </c>
      <c r="Z836" s="55">
        <v>3779.3340000000003</v>
      </c>
      <c r="AA836" s="55">
        <v>3779.3340000000003</v>
      </c>
      <c r="AB836" s="648">
        <v>0</v>
      </c>
      <c r="AC836" s="71"/>
      <c r="AD836" s="71"/>
      <c r="AE836" s="71"/>
      <c r="AF836" s="71"/>
      <c r="AG836" s="71"/>
      <c r="AH836"/>
      <c r="AI836"/>
      <c r="AJ836"/>
      <c r="AK836"/>
      <c r="AL836"/>
      <c r="AM836"/>
      <c r="AN836"/>
      <c r="AO836"/>
      <c r="AP836"/>
      <c r="AQ836"/>
      <c r="AR836"/>
      <c r="AS836"/>
      <c r="AT836"/>
      <c r="AU836"/>
      <c r="AV836"/>
      <c r="AW836"/>
      <c r="AX836"/>
      <c r="AY836"/>
      <c r="AZ836"/>
      <c r="BA836"/>
      <c r="BB836"/>
      <c r="BC836"/>
      <c r="BD836"/>
      <c r="BE836"/>
      <c r="BF836"/>
      <c r="BG836"/>
      <c r="BH836"/>
      <c r="BI836"/>
      <c r="BJ836"/>
      <c r="BK836"/>
    </row>
    <row r="837" spans="1:114" outlineLevel="1">
      <c r="D837" s="8" t="s">
        <v>120</v>
      </c>
      <c r="E837" s="66"/>
      <c r="F837" s="8"/>
      <c r="G837" s="8"/>
      <c r="H837" s="471"/>
      <c r="I837" s="8"/>
      <c r="J837" s="8"/>
      <c r="K837" s="66"/>
    </row>
    <row r="838" spans="1:114" ht="18" customHeight="1" outlineLevel="1">
      <c r="D838" s="472"/>
      <c r="E838" s="66"/>
      <c r="F838" s="66"/>
      <c r="G838" s="265"/>
      <c r="H838" s="473"/>
    </row>
    <row r="839" spans="1:114" outlineLevel="1">
      <c r="D839" s="472"/>
      <c r="G839" s="265"/>
      <c r="H839" s="473"/>
      <c r="P839" s="4018"/>
      <c r="Q839" s="4018"/>
    </row>
    <row r="840" spans="1:114" outlineLevel="1">
      <c r="D840" s="472"/>
      <c r="G840" s="265"/>
      <c r="H840" s="473"/>
      <c r="M840" s="8"/>
      <c r="P840" s="4018"/>
      <c r="Q840" s="4018"/>
    </row>
    <row r="841" spans="1:114" outlineLevel="1">
      <c r="D841" s="472"/>
      <c r="G841" s="265"/>
      <c r="H841" s="473"/>
      <c r="M841" s="8"/>
      <c r="P841" s="4018"/>
      <c r="Q841" s="4018"/>
    </row>
    <row r="842" spans="1:114" outlineLevel="1">
      <c r="D842" s="472"/>
      <c r="G842" s="265"/>
      <c r="H842" s="473"/>
      <c r="M842" s="8"/>
    </row>
    <row r="843" spans="1:114" outlineLevel="1">
      <c r="D843" s="472"/>
      <c r="G843" s="265"/>
      <c r="H843" s="473"/>
    </row>
    <row r="844" spans="1:114" s="9" customFormat="1" outlineLevel="1">
      <c r="A844" s="2"/>
      <c r="C844" s="66"/>
      <c r="D844" s="1365" t="s">
        <v>42</v>
      </c>
      <c r="E844" s="1365" t="s">
        <v>275</v>
      </c>
      <c r="F844" s="32" t="s">
        <v>878</v>
      </c>
      <c r="G844" s="1365" t="s">
        <v>879</v>
      </c>
      <c r="H844" s="1365" t="s">
        <v>880</v>
      </c>
      <c r="I844" s="122"/>
      <c r="J844" s="122"/>
      <c r="K844" s="122"/>
      <c r="L844" s="122"/>
      <c r="M844" s="122"/>
      <c r="N844" s="122"/>
      <c r="O844" s="122"/>
      <c r="P844" s="122"/>
      <c r="Q844" s="122"/>
      <c r="R844" s="122"/>
      <c r="S844" s="122"/>
      <c r="T844" s="122"/>
      <c r="U844" s="122"/>
      <c r="DG844" s="1065"/>
      <c r="DH844" s="122"/>
      <c r="DI844" s="122"/>
      <c r="DJ844" s="1168"/>
    </row>
    <row r="845" spans="1:114" outlineLevel="1">
      <c r="D845" s="679" t="str">
        <f>C835</f>
        <v>805800_2019_12_</v>
      </c>
      <c r="E845" s="679" t="str">
        <f>E835</f>
        <v>Advanced RTU Controls</v>
      </c>
      <c r="F845" s="2040">
        <v>1</v>
      </c>
      <c r="G845" s="528">
        <v>0.55800000000000005</v>
      </c>
      <c r="H845" s="2061">
        <v>6773</v>
      </c>
    </row>
    <row r="848" spans="1:114" s="3564" customFormat="1">
      <c r="A848" s="3517"/>
      <c r="B848" s="3998" t="s">
        <v>881</v>
      </c>
      <c r="C848" s="3999"/>
      <c r="D848" s="3999"/>
      <c r="E848" s="3999"/>
      <c r="F848" s="3999"/>
      <c r="G848" s="3999"/>
      <c r="H848" s="3999"/>
      <c r="I848" s="4831"/>
      <c r="J848" s="4831"/>
      <c r="K848" s="4831"/>
      <c r="L848" s="4831"/>
      <c r="M848" s="4832"/>
      <c r="N848" s="4832"/>
      <c r="O848" s="4833"/>
      <c r="V848" s="2204" t="str">
        <f>B848</f>
        <v>PTAC &amp; PTHP</v>
      </c>
      <c r="W848" s="2204"/>
      <c r="X848" s="2204"/>
      <c r="Y848" s="2204"/>
      <c r="Z848" s="2204"/>
      <c r="AA848" s="2204"/>
      <c r="AB848" s="2204"/>
      <c r="AC848" s="2204"/>
      <c r="AD848" s="2204"/>
      <c r="AE848" s="2204"/>
      <c r="AF848" s="2204"/>
      <c r="AG848" s="2204"/>
      <c r="AH848" s="2204"/>
      <c r="AI848" s="3474"/>
      <c r="AJ848" s="3517"/>
      <c r="AK848" s="3517"/>
      <c r="AL848" s="3517"/>
      <c r="AM848" s="3517"/>
      <c r="AN848" s="3517"/>
      <c r="AO848" s="3517"/>
      <c r="AP848" s="3517"/>
      <c r="AQ848" s="3517"/>
      <c r="AR848" s="3517"/>
      <c r="AS848" s="3517"/>
      <c r="AT848" s="3517"/>
      <c r="AU848" s="3517"/>
      <c r="DG848" s="3669"/>
      <c r="DJ848" s="3567"/>
    </row>
    <row r="849" spans="1:114" s="3517" customFormat="1">
      <c r="C849" s="3564"/>
      <c r="D849" s="3670"/>
      <c r="E849" s="3564"/>
      <c r="F849" s="3564"/>
      <c r="G849" s="3564"/>
      <c r="H849" s="3671"/>
      <c r="I849" s="3564"/>
      <c r="J849" s="3564"/>
      <c r="K849" s="3564"/>
      <c r="L849" s="3564"/>
      <c r="M849" s="3528"/>
      <c r="N849" s="3528"/>
      <c r="O849" s="3528"/>
      <c r="P849" s="3564"/>
      <c r="Q849" s="3564"/>
      <c r="R849" s="3564"/>
      <c r="S849" s="3564"/>
      <c r="T849" s="3564"/>
      <c r="U849" s="3564"/>
      <c r="V849" s="2237"/>
      <c r="W849" s="2237"/>
      <c r="X849" s="2237"/>
      <c r="Y849" s="2237"/>
      <c r="Z849" s="2237"/>
      <c r="AA849" s="2237"/>
      <c r="AB849" s="2237"/>
      <c r="AC849" s="2237"/>
      <c r="AD849" s="2237"/>
      <c r="AE849" s="2237"/>
      <c r="AF849" s="2237"/>
      <c r="AG849" s="2237"/>
      <c r="AH849" s="2237"/>
      <c r="AI849" s="2237"/>
      <c r="AJ849" s="2723"/>
      <c r="AK849" s="2723"/>
      <c r="AL849" s="2723"/>
      <c r="AM849" s="2723"/>
      <c r="AN849" s="2723"/>
      <c r="AO849" s="2723"/>
      <c r="AP849" s="2723"/>
      <c r="AQ849" s="2723"/>
      <c r="AR849" s="2723"/>
      <c r="AS849" s="2723"/>
      <c r="AT849" s="2723"/>
      <c r="AU849" s="2723"/>
      <c r="CG849" s="2237"/>
      <c r="CH849" s="2237"/>
      <c r="CI849" s="2237"/>
      <c r="CJ849" s="2237"/>
      <c r="CW849" s="2237"/>
      <c r="CX849" s="2237"/>
      <c r="CY849" s="2237"/>
      <c r="CZ849" s="2237"/>
      <c r="DG849" s="3551"/>
      <c r="DH849" s="3528"/>
      <c r="DI849" s="3528"/>
      <c r="DJ849" s="3552"/>
    </row>
    <row r="850" spans="1:114" s="3044" customFormat="1" ht="45">
      <c r="A850" s="3517"/>
      <c r="B850" s="2723"/>
      <c r="C850" s="3570" t="s">
        <v>42</v>
      </c>
      <c r="D850" s="3570" t="s">
        <v>43</v>
      </c>
      <c r="E850" s="2280" t="s">
        <v>44</v>
      </c>
      <c r="F850" s="2280" t="s">
        <v>882</v>
      </c>
      <c r="G850" s="2280" t="s">
        <v>883</v>
      </c>
      <c r="H850" s="2280" t="s">
        <v>46</v>
      </c>
      <c r="I850" s="3571" t="s">
        <v>47</v>
      </c>
      <c r="J850" s="2280" t="s">
        <v>884</v>
      </c>
      <c r="K850" s="2280" t="s">
        <v>885</v>
      </c>
      <c r="L850" s="2280" t="s">
        <v>49</v>
      </c>
      <c r="M850" s="3570" t="s">
        <v>590</v>
      </c>
      <c r="N850" s="3570" t="s">
        <v>51</v>
      </c>
      <c r="O850" s="3528"/>
      <c r="P850" s="3528"/>
      <c r="Q850" s="3528"/>
      <c r="R850" s="2697"/>
      <c r="S850" s="2697"/>
      <c r="T850" s="2697"/>
      <c r="U850" s="2697"/>
      <c r="V850" s="2640" t="s">
        <v>52</v>
      </c>
      <c r="W850" s="2641">
        <f>$W$8</f>
        <v>43252</v>
      </c>
      <c r="X850" s="2641">
        <f>$X$8</f>
        <v>43465</v>
      </c>
      <c r="Y850" s="2641">
        <f>$Y$8</f>
        <v>43800</v>
      </c>
      <c r="Z850" s="2641">
        <f>$Z$8</f>
        <v>43862</v>
      </c>
      <c r="AA850" s="2641">
        <f>$AA$8</f>
        <v>44013</v>
      </c>
      <c r="AB850" s="2641">
        <v>44166</v>
      </c>
      <c r="AC850" s="2641">
        <f>$AC$8</f>
        <v>44531</v>
      </c>
      <c r="AD850" s="2641">
        <f>$AD$8</f>
        <v>44774</v>
      </c>
      <c r="AE850" s="2641">
        <f>$AE$8</f>
        <v>45142</v>
      </c>
      <c r="AF850" s="2641">
        <f>$AF$8</f>
        <v>45672</v>
      </c>
      <c r="AG850" s="2641" t="str">
        <f>$AG$8</f>
        <v>-</v>
      </c>
      <c r="AH850" s="2237"/>
      <c r="AI850" s="2640" t="s">
        <v>52</v>
      </c>
      <c r="AJ850" s="2641">
        <v>43252</v>
      </c>
      <c r="AK850" s="2641">
        <f>$X$8</f>
        <v>43465</v>
      </c>
      <c r="AL850" s="2641">
        <f>$Y$8</f>
        <v>43800</v>
      </c>
      <c r="AM850" s="2641">
        <f>$Z$8</f>
        <v>43862</v>
      </c>
      <c r="AN850" s="2641">
        <f>$AA$8</f>
        <v>44013</v>
      </c>
      <c r="AO850" s="2641">
        <f>$AB$8</f>
        <v>44166</v>
      </c>
      <c r="AP850" s="2641">
        <f>$AC$8</f>
        <v>44531</v>
      </c>
      <c r="AQ850" s="2641">
        <f>$AD$8</f>
        <v>44774</v>
      </c>
      <c r="AR850" s="2641">
        <f>$AE$8</f>
        <v>45142</v>
      </c>
      <c r="AS850" s="2641">
        <f>$AF$8</f>
        <v>45672</v>
      </c>
      <c r="AT850" s="2237"/>
      <c r="AU850" s="2640" t="s">
        <v>52</v>
      </c>
      <c r="AV850" s="2641">
        <v>43252</v>
      </c>
      <c r="AW850" s="2641">
        <f>$X$8</f>
        <v>43465</v>
      </c>
      <c r="AX850" s="2641">
        <f>$Y$8</f>
        <v>43800</v>
      </c>
      <c r="AY850" s="2641">
        <f>$Z$8</f>
        <v>43862</v>
      </c>
      <c r="AZ850" s="2641">
        <f>$AA$8</f>
        <v>44013</v>
      </c>
      <c r="BA850" s="2641">
        <v>44166</v>
      </c>
      <c r="BB850" s="2641">
        <f>$AC$8</f>
        <v>44531</v>
      </c>
      <c r="BC850" s="2641">
        <f>$AD$8</f>
        <v>44774</v>
      </c>
      <c r="BD850" s="2641">
        <f>$AE$8</f>
        <v>45142</v>
      </c>
      <c r="BE850" s="2641">
        <f>$AF$8</f>
        <v>45672</v>
      </c>
      <c r="BF850" s="3517"/>
      <c r="BG850" s="2640" t="s">
        <v>52</v>
      </c>
      <c r="BH850" s="2641">
        <v>43252</v>
      </c>
      <c r="BI850" s="2641">
        <f>$X$8</f>
        <v>43465</v>
      </c>
      <c r="BJ850" s="2641">
        <f>$Y$8</f>
        <v>43800</v>
      </c>
      <c r="BK850" s="2641">
        <f>$Z$8</f>
        <v>43862</v>
      </c>
      <c r="BL850" s="2641">
        <f>$AA$8</f>
        <v>44013</v>
      </c>
      <c r="BM850" s="2641">
        <v>44166</v>
      </c>
      <c r="BN850" s="2641">
        <f>$AC$8</f>
        <v>44531</v>
      </c>
      <c r="BO850" s="2641">
        <f>$AD$8</f>
        <v>44774</v>
      </c>
      <c r="BP850" s="2641">
        <f>$AE$8</f>
        <v>45142</v>
      </c>
      <c r="BQ850" s="2641">
        <f>$AF$8</f>
        <v>45672</v>
      </c>
      <c r="DG850" s="2749" t="str">
        <f>$DG$8</f>
        <v>TRC (2025)</v>
      </c>
      <c r="DH850" s="2750" t="str">
        <f>$DH$8</f>
        <v>Benefit Lookup</v>
      </c>
      <c r="DI850" s="2750" t="str">
        <f>$DI$8</f>
        <v>Benefits (2025 $)</v>
      </c>
      <c r="DJ850" s="3572" t="str">
        <f>$DJ$8</f>
        <v>Incremental Cost (2025 $)</v>
      </c>
    </row>
    <row r="851" spans="1:114" s="3517" customFormat="1">
      <c r="B851" s="2208">
        <f t="shared" ref="B851:B852" si="197">VALUE(LEFT(C851,6))</f>
        <v>805850</v>
      </c>
      <c r="C851" s="3573" t="s">
        <v>886</v>
      </c>
      <c r="D851" s="3509" t="str">
        <f t="shared" ref="D851:D852" si="198">$D$98</f>
        <v>BSS</v>
      </c>
      <c r="E851" s="3574" t="s">
        <v>887</v>
      </c>
      <c r="F851" s="3516">
        <f>ROUND((F862*(1/I862-1/K862)*G862)+((L862/3.412)*(1/M862-1/O862)*H862),2)</f>
        <v>411.27</v>
      </c>
      <c r="G851" s="3506">
        <f>(F862*(1/J862-1/K862)*G862)+((L862/3.412)*(1/N862-1/O862)*H862)</f>
        <v>10.53878231859869</v>
      </c>
      <c r="H851" s="3503" t="s">
        <v>459</v>
      </c>
      <c r="I851" s="3504">
        <v>9.1068395835808389E-4</v>
      </c>
      <c r="J851" s="3831">
        <f>ROUND(I851*(F851-((L862/3.412)*(1/M862-1/O862)*H862)),6)</f>
        <v>0.37453700000000001</v>
      </c>
      <c r="K851" s="3832">
        <f>ROUND(I851*(G851-((L862/3.412)*(1/N862-1/O862)*H862)),6)</f>
        <v>9.5969999999999996E-3</v>
      </c>
      <c r="L851" s="3112">
        <v>15</v>
      </c>
      <c r="M851" s="3576">
        <v>1047</v>
      </c>
      <c r="N851" s="3717" t="s">
        <v>461</v>
      </c>
      <c r="O851" s="3528"/>
      <c r="P851" s="3528"/>
      <c r="Q851" s="3528"/>
      <c r="R851" s="3528"/>
      <c r="S851" s="3528"/>
      <c r="T851" s="3528"/>
      <c r="U851" s="3528"/>
      <c r="V851" s="2460" t="str">
        <f>F850</f>
        <v>kWh Annual Savings (per ton) first 5 years</v>
      </c>
      <c r="W851" s="3224">
        <v>411.27272727272731</v>
      </c>
      <c r="X851" s="3224">
        <v>411.27272727272731</v>
      </c>
      <c r="Y851" s="3224">
        <v>411.27272727272731</v>
      </c>
      <c r="Z851" s="3224">
        <v>411.27272727272731</v>
      </c>
      <c r="AA851" s="3224">
        <v>411.27272727272731</v>
      </c>
      <c r="AB851" s="3222">
        <v>411.27</v>
      </c>
      <c r="AC851" s="3374">
        <v>411.27</v>
      </c>
      <c r="AD851" s="3374">
        <v>411.27</v>
      </c>
      <c r="AE851" s="3374">
        <v>411.27</v>
      </c>
      <c r="AF851" s="3374">
        <v>411.27</v>
      </c>
      <c r="AG851" s="2413"/>
      <c r="AH851" s="2237"/>
      <c r="AI851" s="2244" t="str">
        <f>G850</f>
        <v>kWh Annual Savings (per ton) next ten years</v>
      </c>
      <c r="AJ851" s="3224">
        <v>10.53878231859869</v>
      </c>
      <c r="AK851" s="3224">
        <v>10.53878231859869</v>
      </c>
      <c r="AL851" s="3224">
        <v>10.53878231859869</v>
      </c>
      <c r="AM851" s="3224">
        <v>10.53878231859869</v>
      </c>
      <c r="AN851" s="3224">
        <v>10.53878231859869</v>
      </c>
      <c r="AO851" s="3223">
        <v>10.53878231859869</v>
      </c>
      <c r="AP851" s="3222">
        <v>10.53878231859869</v>
      </c>
      <c r="AQ851" s="3222">
        <v>10.53878231859869</v>
      </c>
      <c r="AR851" s="3222">
        <v>10.53878231859869</v>
      </c>
      <c r="AS851" s="3222">
        <v>10.53878231859869</v>
      </c>
      <c r="AT851" s="2237"/>
      <c r="AU851" s="2244" t="s">
        <v>49</v>
      </c>
      <c r="AV851" s="3833">
        <v>15</v>
      </c>
      <c r="AW851" s="3833">
        <v>15</v>
      </c>
      <c r="AX851" s="3833">
        <v>15</v>
      </c>
      <c r="AY851" s="3833">
        <v>15</v>
      </c>
      <c r="AZ851" s="3833">
        <v>15</v>
      </c>
      <c r="BA851" s="3833">
        <v>15</v>
      </c>
      <c r="BB851" s="3833">
        <v>15</v>
      </c>
      <c r="BC851" s="3833">
        <v>15</v>
      </c>
      <c r="BD851" s="3833">
        <v>15</v>
      </c>
      <c r="BE851" s="3833">
        <v>15</v>
      </c>
      <c r="BG851" s="2244" t="s">
        <v>50</v>
      </c>
      <c r="BH851" s="3723">
        <v>1047</v>
      </c>
      <c r="BI851" s="3723">
        <v>1047</v>
      </c>
      <c r="BJ851" s="3723">
        <v>1047</v>
      </c>
      <c r="BK851" s="3723">
        <v>1047</v>
      </c>
      <c r="BL851" s="3723">
        <v>1047</v>
      </c>
      <c r="BM851" s="3723">
        <v>1047</v>
      </c>
      <c r="BN851" s="3723">
        <v>1047</v>
      </c>
      <c r="BO851" s="3723">
        <v>1047</v>
      </c>
      <c r="BP851" s="3723">
        <v>1047</v>
      </c>
      <c r="BQ851" s="3723">
        <v>1047</v>
      </c>
      <c r="CG851" s="2237"/>
      <c r="CH851" s="2237"/>
      <c r="CI851" s="2237"/>
      <c r="CJ851" s="2237"/>
      <c r="CW851" s="2237"/>
      <c r="CX851" s="2237"/>
      <c r="CY851" s="2237"/>
      <c r="CZ851" s="2237"/>
      <c r="DG851" s="2418">
        <f>(DI851)/(DJ851)</f>
        <v>0.75965058818827769</v>
      </c>
      <c r="DH851" s="2419" t="str">
        <f>CONCATENATE(H851," ",L851," Year EUL")</f>
        <v>Cooling BUS 15 Year EUL</v>
      </c>
      <c r="DI851" s="3677">
        <f>(INDEX('Avoided Cost Benefits'!$B$4:$B$864,MATCH(DH851,'Avoided Cost Benefits'!$A$4:$A$864,0)))*F851</f>
        <v>795.35416583312679</v>
      </c>
      <c r="DJ851" s="2421">
        <f>M851/(1.0686^(2025-2025))</f>
        <v>1047</v>
      </c>
    </row>
    <row r="852" spans="1:114" s="3517" customFormat="1">
      <c r="B852" s="2208">
        <f t="shared" si="197"/>
        <v>805900</v>
      </c>
      <c r="C852" s="3573" t="s">
        <v>888</v>
      </c>
      <c r="D852" s="3509" t="str">
        <f t="shared" si="198"/>
        <v>BSS</v>
      </c>
      <c r="E852" s="3574" t="s">
        <v>889</v>
      </c>
      <c r="F852" s="3516">
        <f>ROUND((F863*(1/I863-1/K863)*G863)+((L863/3.412)*(1/M863-1/O863)*H863),2)</f>
        <v>715.42</v>
      </c>
      <c r="G852" s="3506">
        <f>(F863*(1/J863-1/K863)*G863)+((L863/3.412)*(1/N863-1/O863)*H863)</f>
        <v>94.156769449209634</v>
      </c>
      <c r="H852" s="3503" t="s">
        <v>459</v>
      </c>
      <c r="I852" s="3504">
        <v>9.1068395835808389E-4</v>
      </c>
      <c r="J852" s="3831">
        <f>ROUND(I852*(F852-((L863/3.412)*(1/M863-1/O863)*H863)),6)</f>
        <v>0.37453599999999998</v>
      </c>
      <c r="K852" s="3832">
        <f>ROUND(I852*(G852-((L863/3.412)*(1/N863-1/O863)*H863)),6)</f>
        <v>1.9373000000000001E-2</v>
      </c>
      <c r="L852" s="2687">
        <v>15</v>
      </c>
      <c r="M852" s="3576">
        <v>1047</v>
      </c>
      <c r="N852" s="3717" t="s">
        <v>461</v>
      </c>
      <c r="O852" s="3528"/>
      <c r="P852" s="3528"/>
      <c r="Q852" s="3528"/>
      <c r="R852" s="3528"/>
      <c r="S852" s="3528"/>
      <c r="T852" s="3528"/>
      <c r="U852" s="3528"/>
      <c r="V852" s="2460" t="str">
        <f>F850</f>
        <v>kWh Annual Savings (per ton) first 5 years</v>
      </c>
      <c r="W852" s="3224">
        <v>715.42344173997162</v>
      </c>
      <c r="X852" s="3224">
        <v>715.42344173997162</v>
      </c>
      <c r="Y852" s="3224">
        <v>715.42344173997162</v>
      </c>
      <c r="Z852" s="3224">
        <v>715.42344173997162</v>
      </c>
      <c r="AA852" s="3224">
        <v>715.42344173997162</v>
      </c>
      <c r="AB852" s="3222">
        <v>715.42</v>
      </c>
      <c r="AC852" s="3374">
        <v>715.42</v>
      </c>
      <c r="AD852" s="3374">
        <v>715.42</v>
      </c>
      <c r="AE852" s="3374">
        <v>715.42</v>
      </c>
      <c r="AF852" s="3374">
        <v>715.42</v>
      </c>
      <c r="AG852" s="2413"/>
      <c r="AH852" s="2237"/>
      <c r="AI852" s="2244" t="str">
        <f>AI851</f>
        <v>kWh Annual Savings (per ton) next ten years</v>
      </c>
      <c r="AJ852" s="3224">
        <v>177.09378296037951</v>
      </c>
      <c r="AK852" s="3224">
        <v>177.09378296037951</v>
      </c>
      <c r="AL852" s="3224">
        <v>177.09378296037951</v>
      </c>
      <c r="AM852" s="3224">
        <v>177.09378296037951</v>
      </c>
      <c r="AN852" s="3224">
        <v>177.09378296037951</v>
      </c>
      <c r="AO852" s="3223">
        <v>177.09378296037951</v>
      </c>
      <c r="AP852" s="3222">
        <v>177.09378296037951</v>
      </c>
      <c r="AQ852" s="3222">
        <v>177.09378296037951</v>
      </c>
      <c r="AR852" s="3222">
        <v>177.09378296037951</v>
      </c>
      <c r="AS852" s="3222">
        <v>177.09378296037951</v>
      </c>
      <c r="AT852" s="2237"/>
      <c r="AU852" s="2244" t="s">
        <v>49</v>
      </c>
      <c r="AV852" s="3072">
        <v>15</v>
      </c>
      <c r="AW852" s="3072">
        <v>15</v>
      </c>
      <c r="AX852" s="3072">
        <v>15</v>
      </c>
      <c r="AY852" s="3072">
        <v>15</v>
      </c>
      <c r="AZ852" s="3072">
        <v>15</v>
      </c>
      <c r="BA852" s="3072">
        <v>15</v>
      </c>
      <c r="BB852" s="3072">
        <v>15</v>
      </c>
      <c r="BC852" s="3072">
        <v>15</v>
      </c>
      <c r="BD852" s="3072">
        <v>15</v>
      </c>
      <c r="BE852" s="3072">
        <v>15</v>
      </c>
      <c r="BG852" s="2244" t="s">
        <v>50</v>
      </c>
      <c r="BH852" s="3723">
        <v>1047</v>
      </c>
      <c r="BI852" s="3723">
        <v>1047</v>
      </c>
      <c r="BJ852" s="3723">
        <v>1047</v>
      </c>
      <c r="BK852" s="3723">
        <v>1047</v>
      </c>
      <c r="BL852" s="3723">
        <v>1047</v>
      </c>
      <c r="BM852" s="3723">
        <v>1047</v>
      </c>
      <c r="BN852" s="3723">
        <v>1047</v>
      </c>
      <c r="BO852" s="3723">
        <v>1047</v>
      </c>
      <c r="BP852" s="3723">
        <v>1047</v>
      </c>
      <c r="BQ852" s="3723">
        <v>1047</v>
      </c>
      <c r="CG852" s="2237"/>
      <c r="CH852" s="2237"/>
      <c r="CI852" s="2237"/>
      <c r="CJ852" s="2237"/>
      <c r="CW852" s="2237"/>
      <c r="CX852" s="2237"/>
      <c r="CY852" s="2237"/>
      <c r="CZ852" s="2237"/>
      <c r="DG852" s="2429">
        <f>(DI852)/(DJ852)</f>
        <v>1.3214414467421831</v>
      </c>
      <c r="DH852" s="2423" t="str">
        <f>CONCATENATE(H852," ",L852," Year EUL")</f>
        <v>Cooling BUS 15 Year EUL</v>
      </c>
      <c r="DI852" s="3678">
        <f>(INDEX('Avoided Cost Benefits'!$B$4:$B$864,MATCH(DH852,'Avoided Cost Benefits'!$A$4:$A$864,0)))*F852</f>
        <v>1383.5491947390658</v>
      </c>
      <c r="DJ852" s="2431">
        <f>M852/(1.0686^(2025-2025))</f>
        <v>1047</v>
      </c>
    </row>
    <row r="853" spans="1:114" s="3517" customFormat="1" outlineLevel="1">
      <c r="C853" s="3564"/>
      <c r="D853" s="3564" t="s">
        <v>118</v>
      </c>
      <c r="E853" s="3564" t="s">
        <v>535</v>
      </c>
      <c r="F853" s="3564"/>
      <c r="G853" s="3564"/>
      <c r="H853" s="3679"/>
      <c r="I853" s="3564"/>
      <c r="J853" s="3564"/>
      <c r="K853" s="3564"/>
      <c r="L853" s="3528"/>
      <c r="M853" s="3528"/>
      <c r="N853" s="3528"/>
      <c r="O853" s="3528"/>
      <c r="P853" s="3528"/>
      <c r="Q853" s="3528"/>
      <c r="R853" s="3528"/>
      <c r="S853" s="3528"/>
      <c r="T853" s="3528"/>
      <c r="U853" s="3528"/>
      <c r="CG853" s="2237"/>
      <c r="CH853" s="2237"/>
      <c r="CI853" s="2237"/>
      <c r="CJ853" s="2237"/>
      <c r="CW853" s="2237"/>
      <c r="CX853" s="2237"/>
      <c r="CY853" s="2237"/>
      <c r="CZ853" s="2237"/>
      <c r="DG853" s="3551"/>
      <c r="DH853" s="3528"/>
      <c r="DI853" s="3528"/>
      <c r="DJ853" s="3552"/>
    </row>
    <row r="854" spans="1:114" s="3517" customFormat="1" outlineLevel="1">
      <c r="C854" s="3564"/>
      <c r="D854" s="3564" t="s">
        <v>120</v>
      </c>
      <c r="E854" s="2086"/>
      <c r="F854" s="3564"/>
      <c r="G854" s="3564"/>
      <c r="H854" s="3679"/>
      <c r="I854" s="3564"/>
      <c r="J854" s="3564"/>
      <c r="K854" s="2086"/>
      <c r="L854" s="3528"/>
      <c r="M854" s="3528"/>
      <c r="N854" s="3528"/>
      <c r="O854" s="3528"/>
      <c r="P854" s="3528"/>
      <c r="Q854" s="3528"/>
      <c r="R854" s="3528"/>
      <c r="S854" s="3528"/>
      <c r="T854" s="3528"/>
      <c r="U854" s="3528"/>
      <c r="CG854" s="2237"/>
      <c r="CH854" s="2237"/>
      <c r="CI854" s="2237"/>
      <c r="CJ854" s="2237"/>
      <c r="CW854" s="2237"/>
      <c r="CX854" s="2237"/>
      <c r="CY854" s="2237"/>
      <c r="CZ854" s="2237"/>
      <c r="DG854" s="3551"/>
      <c r="DH854" s="3528"/>
      <c r="DI854" s="3528"/>
      <c r="DJ854" s="3552"/>
    </row>
    <row r="855" spans="1:114" s="3517" customFormat="1" outlineLevel="1">
      <c r="C855" s="3564"/>
      <c r="D855" s="3680"/>
      <c r="E855" s="2086"/>
      <c r="F855" s="2086"/>
      <c r="G855" s="3528"/>
      <c r="H855" s="3569"/>
      <c r="I855" s="3528"/>
      <c r="J855" s="3528"/>
      <c r="K855" s="3528"/>
      <c r="L855" s="3528"/>
      <c r="M855" s="3528"/>
      <c r="N855" s="3528"/>
      <c r="O855" s="3528"/>
      <c r="P855" s="3528"/>
      <c r="Q855" s="3528"/>
      <c r="R855" s="3528"/>
      <c r="S855" s="3528"/>
      <c r="T855" s="3528"/>
      <c r="U855" s="3528"/>
      <c r="CG855" s="2237"/>
      <c r="CH855" s="2237"/>
      <c r="CI855" s="2237"/>
      <c r="CJ855" s="2237"/>
      <c r="CW855" s="2237"/>
      <c r="CX855" s="2237"/>
      <c r="CY855" s="2237"/>
      <c r="CZ855" s="2237"/>
      <c r="DG855" s="3551"/>
      <c r="DH855" s="3528"/>
      <c r="DI855" s="3528"/>
      <c r="DJ855" s="3552"/>
    </row>
    <row r="856" spans="1:114" s="3517" customFormat="1" outlineLevel="1">
      <c r="C856" s="3564"/>
      <c r="D856" s="3680"/>
      <c r="E856" s="3528"/>
      <c r="F856" s="3528"/>
      <c r="G856" s="3528"/>
      <c r="H856" s="3569"/>
      <c r="I856" s="3528"/>
      <c r="J856" s="3528"/>
      <c r="K856" s="3528"/>
      <c r="L856" s="3528"/>
      <c r="M856" s="3528"/>
      <c r="N856" s="3528"/>
      <c r="O856" s="3528"/>
      <c r="P856" s="4011"/>
      <c r="Q856" s="4011"/>
      <c r="R856" s="3528"/>
      <c r="S856" s="3528"/>
      <c r="T856" s="3528"/>
      <c r="U856" s="3528"/>
      <c r="CG856" s="2237"/>
      <c r="CH856" s="2237"/>
      <c r="CI856" s="2237"/>
      <c r="CJ856" s="2237"/>
      <c r="CW856" s="2237"/>
      <c r="CX856" s="2237"/>
      <c r="CY856" s="2237"/>
      <c r="CZ856" s="2237"/>
      <c r="DG856" s="3551"/>
      <c r="DH856" s="3528"/>
      <c r="DI856" s="3528"/>
      <c r="DJ856" s="3552"/>
    </row>
    <row r="857" spans="1:114" s="3517" customFormat="1" outlineLevel="1">
      <c r="C857" s="3564"/>
      <c r="D857" s="3680"/>
      <c r="E857" s="3528"/>
      <c r="F857" s="3528"/>
      <c r="G857" s="3528"/>
      <c r="H857" s="3569"/>
      <c r="I857" s="3528"/>
      <c r="J857" s="3528"/>
      <c r="K857" s="3528"/>
      <c r="L857" s="3528"/>
      <c r="M857" s="3564"/>
      <c r="N857" s="3528"/>
      <c r="O857" s="3528"/>
      <c r="P857" s="4011"/>
      <c r="Q857" s="4011"/>
      <c r="R857" s="3528"/>
      <c r="S857" s="3528"/>
      <c r="T857" s="3528"/>
      <c r="U857" s="3528"/>
      <c r="CG857" s="2237"/>
      <c r="CH857" s="2237"/>
      <c r="CI857" s="2237"/>
      <c r="CJ857" s="2237"/>
      <c r="CW857" s="2237"/>
      <c r="CX857" s="2237"/>
      <c r="CY857" s="2237"/>
      <c r="CZ857" s="2237"/>
      <c r="DG857" s="3551"/>
      <c r="DH857" s="3528"/>
      <c r="DI857" s="3528"/>
      <c r="DJ857" s="3552"/>
    </row>
    <row r="858" spans="1:114" s="3517" customFormat="1" outlineLevel="1">
      <c r="C858" s="3564"/>
      <c r="D858" s="3680"/>
      <c r="E858" s="3528"/>
      <c r="F858" s="3528"/>
      <c r="G858" s="3528"/>
      <c r="H858" s="3569"/>
      <c r="I858" s="3528"/>
      <c r="J858" s="3528"/>
      <c r="K858" s="3528"/>
      <c r="L858" s="3528"/>
      <c r="M858" s="3564"/>
      <c r="N858" s="3528"/>
      <c r="O858" s="3528"/>
      <c r="P858" s="4011"/>
      <c r="Q858" s="4011"/>
      <c r="R858" s="3528"/>
      <c r="S858" s="3528"/>
      <c r="T858" s="3528"/>
      <c r="U858" s="3528"/>
      <c r="CG858" s="2237"/>
      <c r="CH858" s="2237"/>
      <c r="CI858" s="2237"/>
      <c r="CJ858" s="2237"/>
      <c r="CW858" s="2237"/>
      <c r="CX858" s="2237"/>
      <c r="CY858" s="2237"/>
      <c r="CZ858" s="2237"/>
      <c r="DG858" s="3551"/>
      <c r="DH858" s="3528"/>
      <c r="DI858" s="3528"/>
      <c r="DJ858" s="3552"/>
    </row>
    <row r="859" spans="1:114" s="3517" customFormat="1" outlineLevel="1">
      <c r="C859" s="3564"/>
      <c r="D859" s="3680"/>
      <c r="E859" s="3528"/>
      <c r="F859" s="3528"/>
      <c r="G859" s="3528"/>
      <c r="H859" s="3569"/>
      <c r="I859" s="3528"/>
      <c r="J859" s="3528"/>
      <c r="K859" s="3528"/>
      <c r="L859" s="3528"/>
      <c r="M859" s="3564"/>
      <c r="N859" s="3528"/>
      <c r="O859" s="3528"/>
      <c r="P859" s="3528"/>
      <c r="Q859" s="3528"/>
      <c r="R859" s="3528"/>
      <c r="S859" s="3528"/>
      <c r="T859" s="3528"/>
      <c r="U859" s="3528"/>
      <c r="CG859" s="2237"/>
      <c r="CH859" s="2237"/>
      <c r="CI859" s="2237"/>
      <c r="CJ859" s="2237"/>
      <c r="CW859" s="2237"/>
      <c r="CX859" s="2237"/>
      <c r="CY859" s="2237"/>
      <c r="CZ859" s="2237"/>
      <c r="DG859" s="3551"/>
      <c r="DH859" s="3528"/>
      <c r="DI859" s="3528"/>
      <c r="DJ859" s="3552"/>
    </row>
    <row r="860" spans="1:114" s="3517" customFormat="1" outlineLevel="1">
      <c r="C860" s="3564"/>
      <c r="D860" s="3680"/>
      <c r="E860" s="3528"/>
      <c r="F860" s="3528"/>
      <c r="G860" s="3528"/>
      <c r="H860" s="3569"/>
      <c r="I860" s="3528"/>
      <c r="J860" s="3528"/>
      <c r="K860" s="3528"/>
      <c r="L860" s="3528"/>
      <c r="M860" s="3528"/>
      <c r="N860" s="3528"/>
      <c r="O860" s="3528"/>
      <c r="P860" s="3528"/>
      <c r="Q860" s="3528"/>
      <c r="R860" s="3528"/>
      <c r="S860" s="3528"/>
      <c r="T860" s="3528"/>
      <c r="U860" s="3528"/>
      <c r="CG860" s="2237"/>
      <c r="CH860" s="2237"/>
      <c r="CI860" s="2237"/>
      <c r="CJ860" s="2237"/>
      <c r="CW860" s="2237"/>
      <c r="CX860" s="2237"/>
      <c r="CY860" s="2237"/>
      <c r="CZ860" s="2237"/>
      <c r="DG860" s="3551"/>
      <c r="DH860" s="3528"/>
      <c r="DI860" s="3528"/>
      <c r="DJ860" s="3552"/>
    </row>
    <row r="861" spans="1:114" s="3044" customFormat="1" outlineLevel="1">
      <c r="A861" s="3517"/>
      <c r="C861" s="2086"/>
      <c r="D861" s="3682" t="s">
        <v>42</v>
      </c>
      <c r="E861" s="3682" t="s">
        <v>275</v>
      </c>
      <c r="F861" s="3725" t="s">
        <v>890</v>
      </c>
      <c r="G861" s="3682" t="s">
        <v>891</v>
      </c>
      <c r="H861" s="3682" t="s">
        <v>892</v>
      </c>
      <c r="I861" s="3682" t="s">
        <v>861</v>
      </c>
      <c r="J861" s="3682" t="s">
        <v>893</v>
      </c>
      <c r="K861" s="3682" t="s">
        <v>577</v>
      </c>
      <c r="L861" s="3682" t="s">
        <v>894</v>
      </c>
      <c r="M861" s="3682" t="s">
        <v>895</v>
      </c>
      <c r="N861" s="3779" t="s">
        <v>579</v>
      </c>
      <c r="O861" s="3779" t="s">
        <v>580</v>
      </c>
      <c r="P861" s="2697"/>
      <c r="Q861" s="2697"/>
      <c r="R861" s="2697"/>
      <c r="S861" s="2697"/>
      <c r="T861" s="2697"/>
      <c r="U861" s="2697"/>
      <c r="DG861" s="3597"/>
      <c r="DH861" s="2697"/>
      <c r="DI861" s="2697"/>
      <c r="DJ861" s="3552"/>
    </row>
    <row r="862" spans="1:114" s="3517" customFormat="1" outlineLevel="1">
      <c r="C862" s="3564"/>
      <c r="D862" s="3598" t="str">
        <f>C851</f>
        <v>805850_2019_12_</v>
      </c>
      <c r="E862" s="3598" t="str">
        <f>E851</f>
        <v>PTAC</v>
      </c>
      <c r="F862" s="3697">
        <v>12</v>
      </c>
      <c r="G862" s="3813">
        <v>1053</v>
      </c>
      <c r="H862" s="3810">
        <v>0</v>
      </c>
      <c r="I862" s="3834">
        <v>8.1</v>
      </c>
      <c r="J862" s="3783">
        <v>10.9</v>
      </c>
      <c r="K862" s="3809">
        <v>11</v>
      </c>
      <c r="L862" s="3809">
        <v>12</v>
      </c>
      <c r="M862" s="3834">
        <v>2.6</v>
      </c>
      <c r="N862" s="3835">
        <v>1</v>
      </c>
      <c r="O862" s="3836">
        <v>1</v>
      </c>
      <c r="P862" s="3528" t="s">
        <v>896</v>
      </c>
      <c r="Q862" s="3528"/>
      <c r="R862" s="3528"/>
      <c r="S862" s="3528"/>
      <c r="T862" s="3528"/>
      <c r="U862" s="3528"/>
      <c r="CG862" s="2237"/>
      <c r="CH862" s="2237"/>
      <c r="CI862" s="2237"/>
      <c r="CJ862" s="2237"/>
      <c r="CW862" s="2237"/>
      <c r="CX862" s="2237"/>
      <c r="CY862" s="2237"/>
      <c r="CZ862" s="2237"/>
      <c r="DG862" s="3551"/>
      <c r="DH862" s="3528"/>
      <c r="DI862" s="3528"/>
      <c r="DJ862" s="3552"/>
    </row>
    <row r="863" spans="1:114" s="3517" customFormat="1" outlineLevel="1">
      <c r="C863" s="3564"/>
      <c r="D863" s="3598" t="str">
        <f>C852</f>
        <v>805900_2019_12_</v>
      </c>
      <c r="E863" s="3598" t="str">
        <f>E852</f>
        <v>PTHP</v>
      </c>
      <c r="F863" s="3697">
        <v>12</v>
      </c>
      <c r="G863" s="3813">
        <v>1053</v>
      </c>
      <c r="H863" s="3810">
        <v>1060</v>
      </c>
      <c r="I863" s="3834">
        <v>8.1</v>
      </c>
      <c r="J863" s="3783">
        <v>10.8</v>
      </c>
      <c r="K863" s="3809">
        <v>11</v>
      </c>
      <c r="L863" s="3809">
        <v>12</v>
      </c>
      <c r="M863" s="3834">
        <v>2.6</v>
      </c>
      <c r="N863" s="3835">
        <v>3.1</v>
      </c>
      <c r="O863" s="3836">
        <v>3.3</v>
      </c>
      <c r="P863" s="3528" t="s">
        <v>897</v>
      </c>
      <c r="Q863" s="3528"/>
      <c r="R863" s="3528"/>
      <c r="S863" s="3528"/>
      <c r="T863" s="3528"/>
      <c r="U863" s="3528"/>
      <c r="CG863" s="2237"/>
      <c r="CH863" s="2237"/>
      <c r="CI863" s="2237"/>
      <c r="CJ863" s="2237"/>
      <c r="CW863" s="2237"/>
      <c r="CX863" s="2237"/>
      <c r="CY863" s="2237"/>
      <c r="CZ863" s="2237"/>
      <c r="DG863" s="3551"/>
      <c r="DH863" s="3528"/>
      <c r="DI863" s="3528"/>
      <c r="DJ863" s="3552"/>
    </row>
    <row r="864" spans="1:114" s="3517" customFormat="1">
      <c r="C864" s="3564"/>
      <c r="D864" s="3564"/>
      <c r="E864" s="3528"/>
      <c r="F864" s="3528"/>
      <c r="G864" s="3663"/>
      <c r="H864" s="3691"/>
      <c r="I864" s="3528"/>
      <c r="J864" s="3528"/>
      <c r="K864" s="3528"/>
      <c r="L864" s="3528"/>
      <c r="M864" s="3528"/>
      <c r="N864" s="3528"/>
      <c r="O864" s="3528"/>
      <c r="P864" s="3528"/>
      <c r="Q864" s="3528"/>
      <c r="R864" s="3528"/>
      <c r="S864" s="3528"/>
      <c r="T864" s="3528"/>
      <c r="U864" s="3528"/>
      <c r="CG864" s="2237"/>
      <c r="CH864" s="2237"/>
      <c r="CI864" s="2237"/>
      <c r="CJ864" s="2237"/>
      <c r="CW864" s="2237"/>
      <c r="CX864" s="2237"/>
      <c r="CY864" s="2237"/>
      <c r="CZ864" s="2237"/>
      <c r="DG864" s="3551"/>
      <c r="DH864" s="3528"/>
      <c r="DI864" s="3528"/>
      <c r="DJ864" s="3552"/>
    </row>
    <row r="865" spans="1:114" s="3517" customFormat="1">
      <c r="C865" s="3564"/>
      <c r="D865" s="3564"/>
      <c r="E865" s="3528"/>
      <c r="F865" s="3528"/>
      <c r="G865" s="3663"/>
      <c r="H865" s="3691"/>
      <c r="I865" s="3528"/>
      <c r="J865" s="3528"/>
      <c r="K865" s="3528"/>
      <c r="L865" s="3528"/>
      <c r="M865" s="3528"/>
      <c r="N865" s="3528"/>
      <c r="O865" s="3528"/>
      <c r="P865" s="3528"/>
      <c r="Q865" s="3528"/>
      <c r="R865" s="3528"/>
      <c r="S865" s="3528"/>
      <c r="T865" s="3528"/>
      <c r="U865" s="3528"/>
      <c r="CG865" s="2237"/>
      <c r="CH865" s="2237"/>
      <c r="CI865" s="2237"/>
      <c r="CJ865" s="2237"/>
      <c r="CW865" s="2237"/>
      <c r="CX865" s="2237"/>
      <c r="CY865" s="2237"/>
      <c r="CZ865" s="2237"/>
      <c r="DG865" s="3551"/>
      <c r="DH865" s="3528"/>
      <c r="DI865" s="3528"/>
      <c r="DJ865" s="3552"/>
    </row>
    <row r="866" spans="1:114" s="3564" customFormat="1">
      <c r="A866" s="3517"/>
      <c r="B866" s="3998" t="s">
        <v>898</v>
      </c>
      <c r="C866" s="3999"/>
      <c r="D866" s="3999"/>
      <c r="E866" s="3999"/>
      <c r="F866" s="3999"/>
      <c r="G866" s="3999"/>
      <c r="H866" s="3999"/>
      <c r="I866" s="4831"/>
      <c r="J866" s="4831"/>
      <c r="K866" s="4831"/>
      <c r="L866" s="4831"/>
      <c r="M866" s="4832"/>
      <c r="N866" s="4832"/>
      <c r="O866" s="4833"/>
      <c r="V866" s="2203" t="str">
        <f>B866</f>
        <v>Refrigerated Beverage Vending Machine</v>
      </c>
      <c r="W866" s="2204"/>
      <c r="X866" s="2204"/>
      <c r="Y866" s="2204"/>
      <c r="Z866" s="2204"/>
      <c r="AA866" s="2204"/>
      <c r="AB866" s="2204"/>
      <c r="AC866" s="2204"/>
      <c r="AD866" s="2204"/>
      <c r="AE866" s="2204"/>
      <c r="AF866" s="2204"/>
      <c r="AG866" s="2204"/>
      <c r="AH866" s="2204"/>
      <c r="AI866" s="3474"/>
      <c r="AJ866" s="3517"/>
      <c r="AK866" s="3517"/>
      <c r="AL866" s="3517"/>
      <c r="AM866" s="3517"/>
      <c r="AN866" s="3517"/>
      <c r="AO866" s="3517"/>
      <c r="AP866" s="3517"/>
      <c r="AQ866" s="3517"/>
      <c r="AR866" s="3517"/>
      <c r="AS866" s="3517"/>
      <c r="AT866" s="3517"/>
      <c r="AU866" s="3517"/>
      <c r="DG866" s="3669"/>
      <c r="DJ866" s="3567"/>
    </row>
    <row r="867" spans="1:114" s="3517" customFormat="1">
      <c r="C867" s="3564"/>
      <c r="D867" s="3670"/>
      <c r="E867" s="3564"/>
      <c r="F867" s="3564"/>
      <c r="G867" s="3564"/>
      <c r="H867" s="3671"/>
      <c r="I867" s="3564"/>
      <c r="J867" s="3564"/>
      <c r="K867" s="3564"/>
      <c r="L867" s="3564"/>
      <c r="M867" s="3528"/>
      <c r="N867" s="3528"/>
      <c r="O867" s="3528"/>
      <c r="P867" s="3564"/>
      <c r="Q867" s="3564"/>
      <c r="R867" s="3564"/>
      <c r="S867" s="3564"/>
      <c r="T867" s="3564"/>
      <c r="U867" s="3564"/>
      <c r="V867" s="2237"/>
      <c r="W867" s="2237"/>
      <c r="X867" s="2237"/>
      <c r="Y867" s="2237"/>
      <c r="Z867" s="2237"/>
      <c r="AA867" s="2237"/>
      <c r="AB867" s="2237"/>
      <c r="AC867" s="2237"/>
      <c r="AD867" s="2237"/>
      <c r="AE867" s="2237"/>
      <c r="AF867" s="2237"/>
      <c r="AG867" s="2237"/>
      <c r="AH867" s="2237"/>
      <c r="AI867" s="2237"/>
      <c r="AJ867" s="2723"/>
      <c r="AK867" s="2723"/>
      <c r="AL867" s="2723"/>
      <c r="AM867" s="2723"/>
      <c r="AN867" s="2723"/>
      <c r="AO867" s="2723"/>
      <c r="AP867" s="2723"/>
      <c r="AQ867" s="2723"/>
      <c r="AR867" s="2723"/>
      <c r="AS867" s="2723"/>
      <c r="AT867" s="2723"/>
      <c r="AU867" s="2723"/>
      <c r="CG867" s="2237"/>
      <c r="CH867" s="2237"/>
      <c r="CI867" s="2237"/>
      <c r="CJ867" s="2237"/>
      <c r="CW867" s="2237"/>
      <c r="CX867" s="2237"/>
      <c r="CY867" s="2237"/>
      <c r="CZ867" s="2237"/>
      <c r="DG867" s="3804" t="s">
        <v>899</v>
      </c>
      <c r="DH867" s="3528"/>
      <c r="DI867" s="3528"/>
      <c r="DJ867" s="3552"/>
    </row>
    <row r="868" spans="1:114" s="3044" customFormat="1" ht="30">
      <c r="A868" s="3517"/>
      <c r="B868" s="2723"/>
      <c r="C868" s="3570" t="s">
        <v>42</v>
      </c>
      <c r="D868" s="3570" t="s">
        <v>43</v>
      </c>
      <c r="E868" s="2280" t="s">
        <v>44</v>
      </c>
      <c r="F868" s="2280" t="s">
        <v>900</v>
      </c>
      <c r="G868" s="2280" t="s">
        <v>46</v>
      </c>
      <c r="H868" s="3571" t="s">
        <v>47</v>
      </c>
      <c r="I868" s="2280" t="s">
        <v>48</v>
      </c>
      <c r="J868" s="2280" t="s">
        <v>49</v>
      </c>
      <c r="K868" s="3570" t="s">
        <v>50</v>
      </c>
      <c r="L868" s="3570" t="s">
        <v>51</v>
      </c>
      <c r="M868" s="3528"/>
      <c r="N868" s="3528"/>
      <c r="O868" s="3528"/>
      <c r="P868" s="2697"/>
      <c r="Q868" s="2697"/>
      <c r="R868" s="2697"/>
      <c r="S868" s="2697"/>
      <c r="T868" s="2697"/>
      <c r="U868" s="2697"/>
      <c r="V868" s="2640" t="s">
        <v>52</v>
      </c>
      <c r="W868" s="2641">
        <f>$W$8</f>
        <v>43252</v>
      </c>
      <c r="X868" s="2641">
        <f>$X$8</f>
        <v>43465</v>
      </c>
      <c r="Y868" s="2641">
        <f>$Y$8</f>
        <v>43800</v>
      </c>
      <c r="Z868" s="2641">
        <f>$Z$8</f>
        <v>43862</v>
      </c>
      <c r="AA868" s="2641">
        <f>$AA$8</f>
        <v>44013</v>
      </c>
      <c r="AB868" s="2641">
        <v>44166</v>
      </c>
      <c r="AC868" s="2641">
        <f>$AC$8</f>
        <v>44531</v>
      </c>
      <c r="AD868" s="2641">
        <f>$AD$8</f>
        <v>44774</v>
      </c>
      <c r="AE868" s="2641">
        <f>$AE$8</f>
        <v>45142</v>
      </c>
      <c r="AF868" s="2641">
        <f>$AF$8</f>
        <v>45672</v>
      </c>
      <c r="AG868" s="2641" t="str">
        <f>$AG$8</f>
        <v>-</v>
      </c>
      <c r="AH868" s="2237"/>
      <c r="AI868" s="2640" t="s">
        <v>52</v>
      </c>
      <c r="AJ868" s="2641">
        <v>43252</v>
      </c>
      <c r="AK868" s="2641">
        <f>$X$8</f>
        <v>43465</v>
      </c>
      <c r="AL868" s="2641">
        <f>$Y$8</f>
        <v>43800</v>
      </c>
      <c r="AM868" s="2641">
        <f>$Z$8</f>
        <v>43862</v>
      </c>
      <c r="AN868" s="2641">
        <f>$AA$8</f>
        <v>44013</v>
      </c>
      <c r="AO868" s="2641">
        <f>$AB$8</f>
        <v>44166</v>
      </c>
      <c r="AP868" s="2641">
        <f>$AC$8</f>
        <v>44531</v>
      </c>
      <c r="AQ868" s="2641">
        <f>$AD$8</f>
        <v>44774</v>
      </c>
      <c r="AR868" s="2641">
        <f>$AE$8</f>
        <v>45142</v>
      </c>
      <c r="AS868" s="2641">
        <f>$AF$8</f>
        <v>45672</v>
      </c>
      <c r="AT868" s="3517"/>
      <c r="AU868" s="2640" t="s">
        <v>52</v>
      </c>
      <c r="AV868" s="2641">
        <v>43252</v>
      </c>
      <c r="AW868" s="2641">
        <f>$X$8</f>
        <v>43465</v>
      </c>
      <c r="AX868" s="2641">
        <f>$Y$8</f>
        <v>43800</v>
      </c>
      <c r="AY868" s="2641">
        <f>$Z$8</f>
        <v>43862</v>
      </c>
      <c r="AZ868" s="2641">
        <f>$AA$8</f>
        <v>44013</v>
      </c>
      <c r="BA868" s="2641">
        <v>44166</v>
      </c>
      <c r="BB868" s="2641">
        <f>$AC$8</f>
        <v>44531</v>
      </c>
      <c r="BC868" s="2641">
        <f>$AD$8</f>
        <v>44774</v>
      </c>
      <c r="BD868" s="2641">
        <f>$AE$8</f>
        <v>45142</v>
      </c>
      <c r="BE868" s="2641">
        <f>$AF$8</f>
        <v>45672</v>
      </c>
      <c r="DG868" s="2749" t="str">
        <f>$DG$8</f>
        <v>TRC (2025)</v>
      </c>
      <c r="DH868" s="2750" t="str">
        <f>$DH$8</f>
        <v>Benefit Lookup</v>
      </c>
      <c r="DI868" s="2750" t="str">
        <f>$DI$8</f>
        <v>Benefits (2025 $)</v>
      </c>
      <c r="DJ868" s="3572" t="str">
        <f>$DJ$8</f>
        <v>Incremental Cost (2025 $)</v>
      </c>
    </row>
    <row r="869" spans="1:114" s="3517" customFormat="1">
      <c r="B869" s="2208">
        <f t="shared" ref="B869:B870" si="199">VALUE(LEFT(C869,6))</f>
        <v>805950</v>
      </c>
      <c r="C869" s="3499" t="s">
        <v>901</v>
      </c>
      <c r="D869" s="3509" t="str">
        <f t="shared" ref="D869:D870" si="200">$D$98</f>
        <v>BSS</v>
      </c>
      <c r="E869" s="3574" t="s">
        <v>902</v>
      </c>
      <c r="F869" s="3516">
        <f>ROUND((F880-G880)*H880,2)</f>
        <v>0.13</v>
      </c>
      <c r="G869" s="3503" t="s">
        <v>235</v>
      </c>
      <c r="H869" s="3504">
        <f>VLOOKUP(G869,'CP FACTORS'!$A$26:$B$38,2,FALSE)</f>
        <v>1.3573829999999999E-4</v>
      </c>
      <c r="I869" s="3769">
        <f>ROUND(H869*F869,6)</f>
        <v>1.8E-5</v>
      </c>
      <c r="J869" s="3112">
        <v>12</v>
      </c>
      <c r="K869" s="3513">
        <v>125</v>
      </c>
      <c r="L869" s="3717" t="s">
        <v>62</v>
      </c>
      <c r="M869" s="3528"/>
      <c r="N869" s="3528"/>
      <c r="O869" s="3528"/>
      <c r="P869" s="3528"/>
      <c r="Q869" s="3528"/>
      <c r="R869" s="3528"/>
      <c r="S869" s="3528"/>
      <c r="T869" s="3528"/>
      <c r="U869" s="3528"/>
      <c r="V869" s="2460" t="s">
        <v>900</v>
      </c>
      <c r="W869" s="3224">
        <v>0.13070000000000048</v>
      </c>
      <c r="X869" s="3224">
        <v>0.13070000000000048</v>
      </c>
      <c r="Y869" s="3224">
        <v>0.13070000000000048</v>
      </c>
      <c r="Z869" s="3224">
        <v>0.13070000000000048</v>
      </c>
      <c r="AA869" s="3224">
        <v>0.13070000000000048</v>
      </c>
      <c r="AB869" s="3222">
        <v>0.13</v>
      </c>
      <c r="AC869" s="3374">
        <v>0.13</v>
      </c>
      <c r="AD869" s="3374">
        <v>0.13</v>
      </c>
      <c r="AE869" s="3374">
        <v>0.13</v>
      </c>
      <c r="AF869" s="3374">
        <v>0.13</v>
      </c>
      <c r="AG869" s="2413"/>
      <c r="AH869" s="2237"/>
      <c r="AI869" s="2244" t="s">
        <v>49</v>
      </c>
      <c r="AJ869" s="3506">
        <v>12</v>
      </c>
      <c r="AK869" s="3506">
        <v>12</v>
      </c>
      <c r="AL869" s="3506">
        <v>12</v>
      </c>
      <c r="AM869" s="3506">
        <v>12</v>
      </c>
      <c r="AN869" s="3506">
        <v>12</v>
      </c>
      <c r="AO869" s="3518">
        <v>12</v>
      </c>
      <c r="AP869" s="3518">
        <v>12</v>
      </c>
      <c r="AQ869" s="3518">
        <v>12</v>
      </c>
      <c r="AR869" s="3518">
        <v>12</v>
      </c>
      <c r="AS869" s="3518">
        <v>12</v>
      </c>
      <c r="AU869" s="2244" t="s">
        <v>50</v>
      </c>
      <c r="AV869" s="3521">
        <v>140</v>
      </c>
      <c r="AW869" s="3521">
        <v>140</v>
      </c>
      <c r="AX869" s="3521">
        <v>140</v>
      </c>
      <c r="AY869" s="3521">
        <v>140</v>
      </c>
      <c r="AZ869" s="3521">
        <v>140</v>
      </c>
      <c r="BA869" s="3522">
        <v>140</v>
      </c>
      <c r="BB869" s="3522">
        <v>140</v>
      </c>
      <c r="BC869" s="3522">
        <v>140</v>
      </c>
      <c r="BD869" s="3522">
        <v>140</v>
      </c>
      <c r="BE869" s="3829">
        <f t="shared" ref="BE869:BE870" si="201">K869</f>
        <v>125</v>
      </c>
      <c r="CG869" s="2237"/>
      <c r="CH869" s="2237"/>
      <c r="CI869" s="2237"/>
      <c r="CJ869" s="2237"/>
      <c r="CW869" s="2237"/>
      <c r="CX869" s="2237"/>
      <c r="CY869" s="2237"/>
      <c r="CZ869" s="2237"/>
      <c r="DG869" s="2418">
        <f>(DI869)/(DJ869)</f>
        <v>6.3020634021562977E-4</v>
      </c>
      <c r="DH869" s="2419" t="str">
        <f>CONCATENATE(G869," ",J869," Year EUL")</f>
        <v>Refrigeration BUS 12 Year EUL</v>
      </c>
      <c r="DI869" s="3677">
        <f>(INDEX('Avoided Cost Benefits'!$B$4:$B$864,MATCH(DH869,'Avoided Cost Benefits'!$A$4:$A$864,0)))*F869</f>
        <v>7.8775792526953728E-2</v>
      </c>
      <c r="DJ869" s="2421">
        <f>K869/(1.0686^(2025-2025))</f>
        <v>125</v>
      </c>
    </row>
    <row r="870" spans="1:114" s="3517" customFormat="1">
      <c r="B870" s="2208">
        <f t="shared" si="199"/>
        <v>806000</v>
      </c>
      <c r="C870" s="3499" t="s">
        <v>903</v>
      </c>
      <c r="D870" s="3509" t="str">
        <f t="shared" si="200"/>
        <v>BSS</v>
      </c>
      <c r="E870" s="3574" t="s">
        <v>904</v>
      </c>
      <c r="F870" s="3516">
        <f>ROUND((F881-G881)*H881,2)</f>
        <v>0.32</v>
      </c>
      <c r="G870" s="3503" t="s">
        <v>235</v>
      </c>
      <c r="H870" s="3504">
        <f>VLOOKUP(G870,'CP FACTORS'!$A$26:$B$38,2,FALSE)</f>
        <v>1.3573829999999999E-4</v>
      </c>
      <c r="I870" s="3769">
        <f>ROUND(H870*F870,6)</f>
        <v>4.3000000000000002E-5</v>
      </c>
      <c r="J870" s="2687">
        <v>12</v>
      </c>
      <c r="K870" s="3513">
        <v>125</v>
      </c>
      <c r="L870" s="3717" t="s">
        <v>62</v>
      </c>
      <c r="M870" s="3528"/>
      <c r="N870" s="3528"/>
      <c r="O870" s="3528"/>
      <c r="P870" s="3528"/>
      <c r="Q870" s="3528"/>
      <c r="R870" s="3528"/>
      <c r="S870" s="3528"/>
      <c r="T870" s="3528"/>
      <c r="U870" s="3528"/>
      <c r="V870" s="2460" t="s">
        <v>900</v>
      </c>
      <c r="W870" s="3224">
        <v>0.32330000000000014</v>
      </c>
      <c r="X870" s="3224">
        <v>0.32330000000000014</v>
      </c>
      <c r="Y870" s="3224">
        <v>0.32330000000000014</v>
      </c>
      <c r="Z870" s="3224">
        <v>0.32330000000000014</v>
      </c>
      <c r="AA870" s="3224">
        <v>0.32330000000000014</v>
      </c>
      <c r="AB870" s="3222">
        <v>0.32</v>
      </c>
      <c r="AC870" s="3374">
        <v>0.32</v>
      </c>
      <c r="AD870" s="3374">
        <v>0.32</v>
      </c>
      <c r="AE870" s="3374">
        <v>0.32</v>
      </c>
      <c r="AF870" s="3374">
        <v>0.32</v>
      </c>
      <c r="AG870" s="2413"/>
      <c r="AH870" s="2237"/>
      <c r="AI870" s="2244" t="s">
        <v>49</v>
      </c>
      <c r="AJ870" s="3506">
        <v>12</v>
      </c>
      <c r="AK870" s="3506">
        <v>12</v>
      </c>
      <c r="AL870" s="3506">
        <v>12</v>
      </c>
      <c r="AM870" s="3506">
        <v>12</v>
      </c>
      <c r="AN870" s="3506">
        <v>12</v>
      </c>
      <c r="AO870" s="3518">
        <v>12</v>
      </c>
      <c r="AP870" s="3518">
        <v>12</v>
      </c>
      <c r="AQ870" s="3518">
        <v>12</v>
      </c>
      <c r="AR870" s="3518">
        <v>12</v>
      </c>
      <c r="AS870" s="3518">
        <v>12</v>
      </c>
      <c r="AU870" s="2244" t="s">
        <v>50</v>
      </c>
      <c r="AV870" s="3521">
        <v>140</v>
      </c>
      <c r="AW870" s="3521">
        <v>140</v>
      </c>
      <c r="AX870" s="3521">
        <v>140</v>
      </c>
      <c r="AY870" s="3521">
        <v>140</v>
      </c>
      <c r="AZ870" s="3521">
        <v>140</v>
      </c>
      <c r="BA870" s="3522">
        <v>140</v>
      </c>
      <c r="BB870" s="3522">
        <v>140</v>
      </c>
      <c r="BC870" s="3522">
        <v>140</v>
      </c>
      <c r="BD870" s="3522">
        <v>140</v>
      </c>
      <c r="BE870" s="3829">
        <f t="shared" si="201"/>
        <v>125</v>
      </c>
      <c r="CG870" s="2237"/>
      <c r="CH870" s="2237"/>
      <c r="CI870" s="2237"/>
      <c r="CJ870" s="2237"/>
      <c r="CW870" s="2237"/>
      <c r="CX870" s="2237"/>
      <c r="CY870" s="2237"/>
      <c r="CZ870" s="2237"/>
      <c r="DG870" s="2429">
        <f>(DI870)/(DJ870)</f>
        <v>1.5512771451461657E-3</v>
      </c>
      <c r="DH870" s="2423" t="str">
        <f>CONCATENATE(G870," ",J870," Year EUL")</f>
        <v>Refrigeration BUS 12 Year EUL</v>
      </c>
      <c r="DI870" s="3678">
        <f>(INDEX('Avoided Cost Benefits'!$B$4:$B$864,MATCH(DH870,'Avoided Cost Benefits'!$A$4:$A$864,0)))*F870</f>
        <v>0.19390964314327072</v>
      </c>
      <c r="DJ870" s="2431">
        <f>K870/(1.0686^(2025-2025))</f>
        <v>125</v>
      </c>
    </row>
    <row r="871" spans="1:114" s="3517" customFormat="1" outlineLevel="1">
      <c r="C871" s="3564"/>
      <c r="D871" s="3564" t="s">
        <v>118</v>
      </c>
      <c r="E871" s="3564" t="s">
        <v>905</v>
      </c>
      <c r="F871" s="3564"/>
      <c r="G871" s="3564"/>
      <c r="H871" s="3679"/>
      <c r="I871" s="3564"/>
      <c r="J871" s="3564"/>
      <c r="K871" s="3564"/>
      <c r="L871" s="3528"/>
      <c r="M871" s="3528"/>
      <c r="N871" s="3528"/>
      <c r="O871" s="3528"/>
      <c r="P871" s="3528"/>
      <c r="Q871" s="3528"/>
      <c r="R871" s="3528"/>
      <c r="S871" s="3528"/>
      <c r="T871" s="3528"/>
      <c r="U871" s="3528"/>
      <c r="CG871" s="2237"/>
      <c r="CH871" s="2237"/>
      <c r="CI871" s="2237"/>
      <c r="CJ871" s="2237"/>
      <c r="CW871" s="2237"/>
      <c r="CX871" s="2237"/>
      <c r="CY871" s="2237"/>
      <c r="CZ871" s="2237"/>
      <c r="DG871" s="3551"/>
      <c r="DH871" s="3528"/>
      <c r="DI871" s="3528"/>
      <c r="DJ871" s="3552"/>
    </row>
    <row r="872" spans="1:114" s="3517" customFormat="1" outlineLevel="1">
      <c r="C872" s="3564"/>
      <c r="D872" s="3564" t="s">
        <v>120</v>
      </c>
      <c r="E872" s="2086"/>
      <c r="F872" s="3564"/>
      <c r="G872" s="3564"/>
      <c r="H872" s="3679"/>
      <c r="I872" s="3564"/>
      <c r="J872" s="3564"/>
      <c r="K872" s="2086"/>
      <c r="L872" s="3528"/>
      <c r="M872" s="3528"/>
      <c r="N872" s="3528"/>
      <c r="O872" s="3528"/>
      <c r="P872" s="3528"/>
      <c r="Q872" s="3528"/>
      <c r="R872" s="3528"/>
      <c r="S872" s="3528"/>
      <c r="T872" s="3528"/>
      <c r="U872" s="3528"/>
      <c r="CG872" s="2237"/>
      <c r="CH872" s="2237"/>
      <c r="CI872" s="2237"/>
      <c r="CJ872" s="2237"/>
      <c r="CW872" s="2237"/>
      <c r="CX872" s="2237"/>
      <c r="CY872" s="2237"/>
      <c r="CZ872" s="2237"/>
      <c r="DG872" s="3551"/>
      <c r="DH872" s="3528"/>
      <c r="DI872" s="3528"/>
      <c r="DJ872" s="3552"/>
    </row>
    <row r="873" spans="1:114" s="3517" customFormat="1" outlineLevel="1">
      <c r="C873" s="3564"/>
      <c r="D873" s="3680"/>
      <c r="E873" s="2086"/>
      <c r="F873" s="2086"/>
      <c r="G873" s="3528"/>
      <c r="H873" s="3569"/>
      <c r="I873" s="3528"/>
      <c r="J873" s="3528"/>
      <c r="K873" s="3528"/>
      <c r="L873" s="3528"/>
      <c r="M873" s="3528"/>
      <c r="N873" s="3528"/>
      <c r="O873" s="3528"/>
      <c r="P873" s="3528"/>
      <c r="Q873" s="3528"/>
      <c r="R873" s="3528"/>
      <c r="S873" s="3528"/>
      <c r="T873" s="3528"/>
      <c r="U873" s="3528"/>
      <c r="CG873" s="2237"/>
      <c r="CH873" s="2237"/>
      <c r="CI873" s="2237"/>
      <c r="CJ873" s="2237"/>
      <c r="CW873" s="2237"/>
      <c r="CX873" s="2237"/>
      <c r="CY873" s="2237"/>
      <c r="CZ873" s="2237"/>
      <c r="DG873" s="3551"/>
      <c r="DH873" s="3528"/>
      <c r="DI873" s="3528"/>
      <c r="DJ873" s="3552"/>
    </row>
    <row r="874" spans="1:114" s="3517" customFormat="1" outlineLevel="1">
      <c r="C874" s="3564"/>
      <c r="D874" s="3680"/>
      <c r="E874" s="3528"/>
      <c r="F874" s="3528"/>
      <c r="G874" s="3528"/>
      <c r="H874" s="3569"/>
      <c r="I874" s="3528"/>
      <c r="J874" s="3528"/>
      <c r="K874" s="3528"/>
      <c r="L874" s="3528"/>
      <c r="M874" s="3528"/>
      <c r="N874" s="3528"/>
      <c r="O874" s="3528"/>
      <c r="P874" s="4011"/>
      <c r="Q874" s="4011"/>
      <c r="R874" s="3528"/>
      <c r="S874" s="3528"/>
      <c r="T874" s="3528"/>
      <c r="U874" s="3528"/>
      <c r="CG874" s="2237"/>
      <c r="CH874" s="2237"/>
      <c r="CI874" s="2237"/>
      <c r="CJ874" s="2237"/>
      <c r="CW874" s="2237"/>
      <c r="CX874" s="2237"/>
      <c r="CY874" s="2237"/>
      <c r="CZ874" s="2237"/>
      <c r="DG874" s="3551"/>
      <c r="DH874" s="3528"/>
      <c r="DI874" s="3528"/>
      <c r="DJ874" s="3552"/>
    </row>
    <row r="875" spans="1:114" s="3517" customFormat="1" outlineLevel="1">
      <c r="C875" s="3564"/>
      <c r="D875" s="3680"/>
      <c r="E875" s="3528"/>
      <c r="F875" s="3528"/>
      <c r="G875" s="3528"/>
      <c r="H875" s="3569"/>
      <c r="I875" s="3528"/>
      <c r="J875" s="3528"/>
      <c r="K875" s="3528"/>
      <c r="L875" s="3528"/>
      <c r="M875" s="3564"/>
      <c r="N875" s="3528"/>
      <c r="O875" s="3528"/>
      <c r="P875" s="4011"/>
      <c r="Q875" s="4011"/>
      <c r="R875" s="3528"/>
      <c r="S875" s="3528"/>
      <c r="T875" s="3528"/>
      <c r="U875" s="3528"/>
      <c r="CG875" s="2237"/>
      <c r="CH875" s="2237"/>
      <c r="CI875" s="2237"/>
      <c r="CJ875" s="2237"/>
      <c r="CW875" s="2237"/>
      <c r="CX875" s="2237"/>
      <c r="CY875" s="2237"/>
      <c r="CZ875" s="2237"/>
      <c r="DG875" s="3551"/>
      <c r="DH875" s="3528"/>
      <c r="DI875" s="3528"/>
      <c r="DJ875" s="3552"/>
    </row>
    <row r="876" spans="1:114" s="3517" customFormat="1" outlineLevel="1">
      <c r="C876" s="3564"/>
      <c r="D876" s="3680"/>
      <c r="E876" s="3528"/>
      <c r="F876" s="3528"/>
      <c r="G876" s="3528"/>
      <c r="H876" s="3569"/>
      <c r="I876" s="3528"/>
      <c r="J876" s="3528"/>
      <c r="K876" s="3528"/>
      <c r="L876" s="3528"/>
      <c r="M876" s="3564"/>
      <c r="N876" s="3528"/>
      <c r="O876" s="3528"/>
      <c r="P876" s="4011"/>
      <c r="Q876" s="4011"/>
      <c r="R876" s="3528"/>
      <c r="S876" s="3528"/>
      <c r="T876" s="3528"/>
      <c r="U876" s="3528"/>
      <c r="CG876" s="2237"/>
      <c r="CH876" s="2237"/>
      <c r="CI876" s="2237"/>
      <c r="CJ876" s="2237"/>
      <c r="CW876" s="2237"/>
      <c r="CX876" s="2237"/>
      <c r="CY876" s="2237"/>
      <c r="CZ876" s="2237"/>
      <c r="DG876" s="3551"/>
      <c r="DH876" s="3528"/>
      <c r="DI876" s="3528"/>
      <c r="DJ876" s="3552"/>
    </row>
    <row r="877" spans="1:114" s="3517" customFormat="1" outlineLevel="1">
      <c r="C877" s="3564"/>
      <c r="D877" s="3680"/>
      <c r="E877" s="3528"/>
      <c r="F877" s="3528"/>
      <c r="G877" s="3528"/>
      <c r="H877" s="3569"/>
      <c r="I877" s="3528"/>
      <c r="J877" s="3528"/>
      <c r="K877" s="3528"/>
      <c r="L877" s="3528"/>
      <c r="M877" s="3564"/>
      <c r="N877" s="3528"/>
      <c r="O877" s="3528"/>
      <c r="P877" s="3528"/>
      <c r="Q877" s="3528"/>
      <c r="R877" s="3528"/>
      <c r="S877" s="3528"/>
      <c r="T877" s="3528"/>
      <c r="U877" s="3528"/>
      <c r="CG877" s="2237"/>
      <c r="CH877" s="2237"/>
      <c r="CI877" s="2237"/>
      <c r="CJ877" s="2237"/>
      <c r="CW877" s="2237"/>
      <c r="CX877" s="2237"/>
      <c r="CY877" s="2237"/>
      <c r="CZ877" s="2237"/>
      <c r="DG877" s="3551"/>
      <c r="DH877" s="3528"/>
      <c r="DI877" s="3528"/>
      <c r="DJ877" s="3552"/>
    </row>
    <row r="878" spans="1:114" s="3517" customFormat="1" outlineLevel="1">
      <c r="C878" s="3564"/>
      <c r="D878" s="3680"/>
      <c r="E878" s="3528"/>
      <c r="F878" s="3528"/>
      <c r="G878" s="3528"/>
      <c r="H878" s="3569"/>
      <c r="I878" s="3528"/>
      <c r="J878" s="3528"/>
      <c r="K878" s="3528"/>
      <c r="L878" s="3528"/>
      <c r="M878" s="3528"/>
      <c r="N878" s="3528"/>
      <c r="O878" s="3528"/>
      <c r="P878" s="3528"/>
      <c r="Q878" s="3528"/>
      <c r="R878" s="3528"/>
      <c r="S878" s="3528"/>
      <c r="T878" s="3528"/>
      <c r="U878" s="3528"/>
      <c r="CG878" s="2237"/>
      <c r="CH878" s="2237"/>
      <c r="CI878" s="2237"/>
      <c r="CJ878" s="2237"/>
      <c r="CW878" s="2237"/>
      <c r="CX878" s="2237"/>
      <c r="CY878" s="2237"/>
      <c r="CZ878" s="2237"/>
      <c r="DG878" s="3551"/>
      <c r="DH878" s="3528"/>
      <c r="DI878" s="3528"/>
      <c r="DJ878" s="3552"/>
    </row>
    <row r="879" spans="1:114" s="3044" customFormat="1" outlineLevel="1">
      <c r="A879" s="3517"/>
      <c r="C879" s="2086"/>
      <c r="D879" s="3682" t="s">
        <v>42</v>
      </c>
      <c r="E879" s="3682" t="s">
        <v>275</v>
      </c>
      <c r="F879" s="3725" t="s">
        <v>906</v>
      </c>
      <c r="G879" s="3682" t="s">
        <v>907</v>
      </c>
      <c r="H879" s="3682" t="s">
        <v>285</v>
      </c>
      <c r="I879" s="3682" t="s">
        <v>421</v>
      </c>
      <c r="J879" s="2697"/>
      <c r="K879" s="2697"/>
      <c r="L879" s="2697"/>
      <c r="M879" s="2697"/>
      <c r="N879" s="2697"/>
      <c r="O879" s="2697"/>
      <c r="P879" s="2697"/>
      <c r="Q879" s="2697"/>
      <c r="R879" s="2697"/>
      <c r="S879" s="2697"/>
      <c r="T879" s="2697"/>
      <c r="U879" s="2697"/>
      <c r="DG879" s="3597"/>
      <c r="DH879" s="2697"/>
      <c r="DI879" s="2697"/>
      <c r="DJ879" s="3552"/>
    </row>
    <row r="880" spans="1:114" s="3517" customFormat="1" outlineLevel="1">
      <c r="C880" s="3564"/>
      <c r="D880" s="3598" t="str">
        <f>C869</f>
        <v>805950_2024_12_</v>
      </c>
      <c r="E880" s="3598" t="str">
        <f>E869</f>
        <v>Refrigerated Beverage Vending Machine (Class A)</v>
      </c>
      <c r="F880" s="3837">
        <f>0.055*H880+2.56</f>
        <v>2.6150000000000002</v>
      </c>
      <c r="G880" s="3838">
        <f>0.0523*H880+2.432</f>
        <v>2.4842999999999997</v>
      </c>
      <c r="H880" s="3809">
        <v>1</v>
      </c>
      <c r="I880" s="3783">
        <v>365.25</v>
      </c>
      <c r="J880" s="3528"/>
      <c r="K880" s="3528"/>
      <c r="L880" s="3528"/>
      <c r="M880" s="3528"/>
      <c r="N880" s="3528"/>
      <c r="O880" s="3528"/>
      <c r="P880" s="3528"/>
      <c r="Q880" s="3528"/>
      <c r="R880" s="3528"/>
      <c r="S880" s="3528"/>
      <c r="T880" s="3528"/>
      <c r="U880" s="3528"/>
      <c r="CG880" s="2237"/>
      <c r="CH880" s="2237"/>
      <c r="CI880" s="2237"/>
      <c r="CJ880" s="2237"/>
      <c r="CW880" s="2237"/>
      <c r="CX880" s="2237"/>
      <c r="CY880" s="2237"/>
      <c r="CZ880" s="2237"/>
      <c r="DG880" s="3551"/>
      <c r="DH880" s="3528"/>
      <c r="DI880" s="3528"/>
      <c r="DJ880" s="3552"/>
    </row>
    <row r="881" spans="1:114" s="3517" customFormat="1" outlineLevel="1">
      <c r="C881" s="3564"/>
      <c r="D881" s="3598" t="str">
        <f>C870</f>
        <v>806000_2024_12_</v>
      </c>
      <c r="E881" s="3598" t="str">
        <f>E870</f>
        <v>Refrigerated Beverage Vending Machine (Class B)</v>
      </c>
      <c r="F881" s="3837">
        <f>0.073*H881+3.16</f>
        <v>3.2330000000000001</v>
      </c>
      <c r="G881" s="3838">
        <f>0.0657*H881+2.844</f>
        <v>2.9097</v>
      </c>
      <c r="H881" s="3809">
        <v>1</v>
      </c>
      <c r="I881" s="3783">
        <v>365.25</v>
      </c>
      <c r="J881" s="3528"/>
      <c r="K881" s="3528"/>
      <c r="L881" s="3528"/>
      <c r="M881" s="3528"/>
      <c r="N881" s="3528"/>
      <c r="O881" s="3528"/>
      <c r="P881" s="3528"/>
      <c r="Q881" s="3528"/>
      <c r="R881" s="3528"/>
      <c r="S881" s="3528"/>
      <c r="T881" s="3528"/>
      <c r="U881" s="3528"/>
      <c r="CG881" s="2237"/>
      <c r="CH881" s="2237"/>
      <c r="CI881" s="2237"/>
      <c r="CJ881" s="2237"/>
      <c r="CW881" s="2237"/>
      <c r="CX881" s="2237"/>
      <c r="CY881" s="2237"/>
      <c r="CZ881" s="2237"/>
      <c r="DG881" s="3551"/>
      <c r="DH881" s="3528"/>
      <c r="DI881" s="3528"/>
      <c r="DJ881" s="3552"/>
    </row>
    <row r="882" spans="1:114" s="3517" customFormat="1">
      <c r="C882" s="3564"/>
      <c r="D882" s="3564"/>
      <c r="E882" s="3528"/>
      <c r="F882" s="3528"/>
      <c r="G882" s="3663"/>
      <c r="H882" s="3691"/>
      <c r="I882" s="3528"/>
      <c r="J882" s="3528"/>
      <c r="K882" s="3528"/>
      <c r="L882" s="3528"/>
      <c r="M882" s="3528"/>
      <c r="N882" s="3528"/>
      <c r="O882" s="3528"/>
      <c r="P882" s="3528"/>
      <c r="Q882" s="3528"/>
      <c r="R882" s="3528"/>
      <c r="S882" s="3528"/>
      <c r="T882" s="3528"/>
      <c r="U882" s="3528"/>
      <c r="CG882" s="2237"/>
      <c r="CH882" s="2237"/>
      <c r="CI882" s="2237"/>
      <c r="CJ882" s="2237"/>
      <c r="CW882" s="2237"/>
      <c r="CX882" s="2237"/>
      <c r="CY882" s="2237"/>
      <c r="CZ882" s="2237"/>
      <c r="DG882" s="3551"/>
      <c r="DH882" s="3528"/>
      <c r="DI882" s="3528"/>
      <c r="DJ882" s="3552"/>
    </row>
    <row r="883" spans="1:114" s="3517" customFormat="1">
      <c r="C883" s="3564"/>
      <c r="D883" s="3564"/>
      <c r="E883" s="3528"/>
      <c r="F883" s="3528"/>
      <c r="G883" s="3663"/>
      <c r="H883" s="3691"/>
      <c r="I883" s="3528"/>
      <c r="J883" s="3528"/>
      <c r="K883" s="3528"/>
      <c r="L883" s="3528"/>
      <c r="M883" s="3528"/>
      <c r="N883" s="3528"/>
      <c r="O883" s="3528"/>
      <c r="P883" s="3528"/>
      <c r="Q883" s="3528"/>
      <c r="R883" s="3528"/>
      <c r="S883" s="3528"/>
      <c r="T883" s="3528"/>
      <c r="U883" s="3528"/>
      <c r="CG883" s="2237"/>
      <c r="CH883" s="2237"/>
      <c r="CI883" s="2237"/>
      <c r="CJ883" s="2237"/>
      <c r="CW883" s="2237"/>
      <c r="CX883" s="2237"/>
      <c r="CY883" s="2237"/>
      <c r="CZ883" s="2237"/>
      <c r="DG883" s="3551"/>
      <c r="DH883" s="3528"/>
      <c r="DI883" s="3528"/>
      <c r="DJ883" s="3552"/>
    </row>
    <row r="884" spans="1:114" s="3564" customFormat="1">
      <c r="A884" s="3517"/>
      <c r="B884" s="3998" t="s">
        <v>908</v>
      </c>
      <c r="C884" s="3999"/>
      <c r="D884" s="3999"/>
      <c r="E884" s="3999"/>
      <c r="F884" s="3999"/>
      <c r="G884" s="3999"/>
      <c r="H884" s="3999"/>
      <c r="I884" s="4831"/>
      <c r="J884" s="4831"/>
      <c r="K884" s="4831"/>
      <c r="L884" s="4831"/>
      <c r="M884" s="4832"/>
      <c r="N884" s="4832"/>
      <c r="O884" s="4833"/>
      <c r="V884" s="2203" t="str">
        <f>B884</f>
        <v>ECM for Walk-in &amp; Reach-in Coolers/Freezers</v>
      </c>
      <c r="W884" s="2204"/>
      <c r="X884" s="2204"/>
      <c r="Y884" s="2204"/>
      <c r="Z884" s="2204"/>
      <c r="AA884" s="2204"/>
      <c r="AB884" s="2204"/>
      <c r="AC884" s="2204"/>
      <c r="AD884" s="2204"/>
      <c r="AE884" s="2204"/>
      <c r="AF884" s="2204"/>
      <c r="AG884" s="2204"/>
      <c r="AH884" s="2204"/>
      <c r="AI884" s="3474"/>
      <c r="AJ884" s="3517"/>
      <c r="AK884" s="3517"/>
      <c r="AL884" s="3517"/>
      <c r="AM884" s="3517"/>
      <c r="AN884" s="3517"/>
      <c r="AO884" s="3517"/>
      <c r="AP884" s="3517"/>
      <c r="AQ884" s="3517"/>
      <c r="AR884" s="3517"/>
      <c r="AS884" s="3517"/>
      <c r="AT884" s="3517"/>
      <c r="AU884" s="3517"/>
      <c r="DG884" s="3669"/>
      <c r="DJ884" s="3567"/>
    </row>
    <row r="885" spans="1:114" s="3517" customFormat="1">
      <c r="C885" s="3564"/>
      <c r="D885" s="3670"/>
      <c r="E885" s="3564"/>
      <c r="F885" s="3564"/>
      <c r="G885" s="3564"/>
      <c r="H885" s="3671"/>
      <c r="I885" s="3564"/>
      <c r="J885" s="3564"/>
      <c r="K885" s="3564"/>
      <c r="L885" s="3564"/>
      <c r="M885" s="3528"/>
      <c r="N885" s="3528"/>
      <c r="O885" s="3528"/>
      <c r="P885" s="3564"/>
      <c r="Q885" s="3564"/>
      <c r="R885" s="3564"/>
      <c r="S885" s="3564"/>
      <c r="T885" s="3564"/>
      <c r="U885" s="3564"/>
      <c r="V885" s="2237"/>
      <c r="W885" s="2237"/>
      <c r="X885" s="2237"/>
      <c r="Y885" s="2237"/>
      <c r="Z885" s="2237"/>
      <c r="AA885" s="2237"/>
      <c r="AB885" s="2237"/>
      <c r="AC885" s="2237"/>
      <c r="AD885" s="2237"/>
      <c r="AE885" s="2237"/>
      <c r="AF885" s="2237"/>
      <c r="AG885" s="2237"/>
      <c r="AH885" s="2237"/>
      <c r="AI885" s="2237"/>
      <c r="AJ885" s="2723"/>
      <c r="AK885" s="2723"/>
      <c r="AL885" s="2723"/>
      <c r="AM885" s="2723"/>
      <c r="AN885" s="2723"/>
      <c r="AO885" s="2723"/>
      <c r="AP885" s="2723"/>
      <c r="AQ885" s="2723"/>
      <c r="AR885" s="2723"/>
      <c r="AS885" s="2723"/>
      <c r="AT885" s="2723"/>
      <c r="AU885" s="2723"/>
      <c r="CG885" s="2237"/>
      <c r="CH885" s="2237"/>
      <c r="CI885" s="2237"/>
      <c r="CJ885" s="2237"/>
      <c r="CW885" s="2237"/>
      <c r="CX885" s="2237"/>
      <c r="CY885" s="2237"/>
      <c r="CZ885" s="2237"/>
      <c r="DG885" s="3551"/>
      <c r="DH885" s="3528"/>
      <c r="DI885" s="3528"/>
      <c r="DJ885" s="3552"/>
    </row>
    <row r="886" spans="1:114" s="3044" customFormat="1" ht="30">
      <c r="A886" s="3517"/>
      <c r="B886" s="2723"/>
      <c r="C886" s="3570" t="s">
        <v>42</v>
      </c>
      <c r="D886" s="3570" t="s">
        <v>43</v>
      </c>
      <c r="E886" s="2280" t="s">
        <v>44</v>
      </c>
      <c r="F886" s="2280" t="s">
        <v>909</v>
      </c>
      <c r="G886" s="2280" t="s">
        <v>46</v>
      </c>
      <c r="H886" s="3571" t="s">
        <v>47</v>
      </c>
      <c r="I886" s="2280" t="s">
        <v>48</v>
      </c>
      <c r="J886" s="2280" t="s">
        <v>49</v>
      </c>
      <c r="K886" s="3570" t="s">
        <v>910</v>
      </c>
      <c r="L886" s="3570" t="s">
        <v>51</v>
      </c>
      <c r="M886" s="3528"/>
      <c r="N886" s="3528"/>
      <c r="O886" s="3528"/>
      <c r="P886" s="2697"/>
      <c r="Q886" s="2697"/>
      <c r="R886" s="2697"/>
      <c r="S886" s="2697"/>
      <c r="T886" s="2697"/>
      <c r="U886" s="2697"/>
      <c r="V886" s="2640" t="s">
        <v>52</v>
      </c>
      <c r="W886" s="2641">
        <f>$W$8</f>
        <v>43252</v>
      </c>
      <c r="X886" s="2641">
        <f>$X$8</f>
        <v>43465</v>
      </c>
      <c r="Y886" s="2641">
        <f>$Y$8</f>
        <v>43800</v>
      </c>
      <c r="Z886" s="2641">
        <f>$Z$8</f>
        <v>43862</v>
      </c>
      <c r="AA886" s="2641">
        <f>$AA$8</f>
        <v>44013</v>
      </c>
      <c r="AB886" s="2641">
        <v>44166</v>
      </c>
      <c r="AC886" s="2641">
        <f>$AC$8</f>
        <v>44531</v>
      </c>
      <c r="AD886" s="2641">
        <f>$AD$8</f>
        <v>44774</v>
      </c>
      <c r="AE886" s="2641">
        <f>$AE$8</f>
        <v>45142</v>
      </c>
      <c r="AF886" s="2641">
        <f>$AF$8</f>
        <v>45672</v>
      </c>
      <c r="AG886" s="2641" t="str">
        <f>$AG$8</f>
        <v>-</v>
      </c>
      <c r="AH886" s="2237"/>
      <c r="AI886" s="2640" t="s">
        <v>52</v>
      </c>
      <c r="AJ886" s="2641">
        <v>43252</v>
      </c>
      <c r="AK886" s="2641">
        <f>$X$8</f>
        <v>43465</v>
      </c>
      <c r="AL886" s="2641">
        <f>$Y$8</f>
        <v>43800</v>
      </c>
      <c r="AM886" s="2641">
        <f>$Z$8</f>
        <v>43862</v>
      </c>
      <c r="AN886" s="2641">
        <f>$AA$8</f>
        <v>44013</v>
      </c>
      <c r="AO886" s="2641">
        <f>$AB$8</f>
        <v>44166</v>
      </c>
      <c r="AP886" s="2641">
        <f>$AC$8</f>
        <v>44531</v>
      </c>
      <c r="AQ886" s="2641">
        <f>$AD$8</f>
        <v>44774</v>
      </c>
      <c r="AR886" s="2641">
        <f>$AE$8</f>
        <v>45142</v>
      </c>
      <c r="AS886" s="2641">
        <f>$AF$8</f>
        <v>45672</v>
      </c>
      <c r="AT886" s="3517"/>
      <c r="AU886" s="2640" t="s">
        <v>52</v>
      </c>
      <c r="AV886" s="2641">
        <v>43252</v>
      </c>
      <c r="AW886" s="2641">
        <f>$X$8</f>
        <v>43465</v>
      </c>
      <c r="AX886" s="2641">
        <f>$Y$8</f>
        <v>43800</v>
      </c>
      <c r="AY886" s="2641">
        <f>$Z$8</f>
        <v>43862</v>
      </c>
      <c r="AZ886" s="2641">
        <f>$AA$8</f>
        <v>44013</v>
      </c>
      <c r="BA886" s="2641">
        <v>44166</v>
      </c>
      <c r="BB886" s="2641">
        <f>$AC$8</f>
        <v>44531</v>
      </c>
      <c r="BC886" s="2641">
        <f>$AD$8</f>
        <v>44774</v>
      </c>
      <c r="BD886" s="2641">
        <f>$AE$8</f>
        <v>45142</v>
      </c>
      <c r="BE886" s="2641">
        <f>$AF$8</f>
        <v>45672</v>
      </c>
      <c r="DG886" s="2749" t="str">
        <f>$DG$8</f>
        <v>TRC (2025)</v>
      </c>
      <c r="DH886" s="2750" t="str">
        <f>$DH$8</f>
        <v>Benefit Lookup</v>
      </c>
      <c r="DI886" s="2750" t="str">
        <f>$DI$8</f>
        <v>Benefits (2025 $)</v>
      </c>
      <c r="DJ886" s="3572" t="str">
        <f>$DJ$8</f>
        <v>Incremental Cost (2025 $)</v>
      </c>
    </row>
    <row r="887" spans="1:114" s="3517" customFormat="1">
      <c r="B887" s="2208">
        <f t="shared" ref="B887" si="202">VALUE(LEFT(C887,6))</f>
        <v>806050</v>
      </c>
      <c r="C887" s="3499" t="s">
        <v>911</v>
      </c>
      <c r="D887" s="3509" t="str">
        <f t="shared" ref="D887:D888" si="203">$D$98</f>
        <v>BSS</v>
      </c>
      <c r="E887" s="3639" t="s">
        <v>912</v>
      </c>
      <c r="F887" s="3516">
        <f>ROUND(F898*G898,2)</f>
        <v>1409</v>
      </c>
      <c r="G887" s="3503" t="s">
        <v>87</v>
      </c>
      <c r="H887" s="3504">
        <f>VLOOKUP(G887,'CP FACTORS'!$A$26:$B$38,2,FALSE)</f>
        <v>1.379439E-4</v>
      </c>
      <c r="I887" s="3769">
        <f>ROUND(H887*F887,6)</f>
        <v>0.19436300000000001</v>
      </c>
      <c r="J887" s="2687">
        <v>15</v>
      </c>
      <c r="K887" s="3513">
        <v>358</v>
      </c>
      <c r="L887" s="3717" t="s">
        <v>913</v>
      </c>
      <c r="M887" s="3528"/>
      <c r="N887" s="3528"/>
      <c r="O887" s="3528"/>
      <c r="P887" s="3528"/>
      <c r="Q887" s="3528"/>
      <c r="R887" s="3528"/>
      <c r="S887" s="3528"/>
      <c r="T887" s="3528"/>
      <c r="U887" s="3528"/>
      <c r="V887" s="2460" t="s">
        <v>45</v>
      </c>
      <c r="W887" s="3224">
        <v>1409</v>
      </c>
      <c r="X887" s="3224">
        <v>1409</v>
      </c>
      <c r="Y887" s="3224">
        <v>1409</v>
      </c>
      <c r="Z887" s="3224">
        <v>1409</v>
      </c>
      <c r="AA887" s="3224">
        <v>1409</v>
      </c>
      <c r="AB887" s="3222">
        <v>1409</v>
      </c>
      <c r="AC887" s="3374">
        <v>1409</v>
      </c>
      <c r="AD887" s="3374">
        <v>1409</v>
      </c>
      <c r="AE887" s="3374">
        <v>1409</v>
      </c>
      <c r="AF887" s="3374">
        <v>1409</v>
      </c>
      <c r="AG887" s="2413"/>
      <c r="AH887" s="2237"/>
      <c r="AI887" s="2244" t="s">
        <v>49</v>
      </c>
      <c r="AJ887" s="3506">
        <v>15</v>
      </c>
      <c r="AK887" s="3506">
        <v>15</v>
      </c>
      <c r="AL887" s="3506">
        <v>15</v>
      </c>
      <c r="AM887" s="3506">
        <v>15</v>
      </c>
      <c r="AN887" s="3506">
        <v>15</v>
      </c>
      <c r="AO887" s="3518">
        <v>15</v>
      </c>
      <c r="AP887" s="3518">
        <v>15</v>
      </c>
      <c r="AQ887" s="3518">
        <v>15</v>
      </c>
      <c r="AR887" s="3518">
        <v>15</v>
      </c>
      <c r="AS887" s="3518">
        <v>15</v>
      </c>
      <c r="AU887" s="2244" t="s">
        <v>50</v>
      </c>
      <c r="AV887" s="3521">
        <v>177</v>
      </c>
      <c r="AW887" s="3521">
        <v>177</v>
      </c>
      <c r="AX887" s="3521">
        <v>177</v>
      </c>
      <c r="AY887" s="3521">
        <v>177</v>
      </c>
      <c r="AZ887" s="3521">
        <v>177</v>
      </c>
      <c r="BA887" s="3522">
        <v>177</v>
      </c>
      <c r="BB887" s="3522">
        <v>177</v>
      </c>
      <c r="BC887" s="3522">
        <v>177</v>
      </c>
      <c r="BD887" s="3522">
        <v>177</v>
      </c>
      <c r="BE887" s="3829">
        <f>K887</f>
        <v>358</v>
      </c>
      <c r="CG887" s="2237"/>
      <c r="CH887" s="2237"/>
      <c r="CI887" s="2237"/>
      <c r="CJ887" s="2237"/>
      <c r="CW887" s="2237"/>
      <c r="CX887" s="2237"/>
      <c r="CY887" s="2237"/>
      <c r="CZ887" s="2237"/>
      <c r="DG887" s="2603">
        <f>(DI887)/(DJ887)</f>
        <v>2.8065982105707206</v>
      </c>
      <c r="DH887" s="2419" t="str">
        <f>CONCATENATE(G887," ",J887," Year EUL")</f>
        <v>Miscellaneous BUS 15 Year EUL</v>
      </c>
      <c r="DI887" s="3695">
        <f>(INDEX('Avoided Cost Benefits'!$B$4:$B$864,MATCH(DH887,'Avoided Cost Benefits'!$A$4:$A$864,0)))*F887</f>
        <v>1004.762159384318</v>
      </c>
      <c r="DJ887" s="2605">
        <f>K887/(1.0686^(2025-2025))</f>
        <v>358</v>
      </c>
    </row>
    <row r="888" spans="1:114" s="3517" customFormat="1">
      <c r="B888" s="2208">
        <f>VALUE(LEFT(C888,6))</f>
        <v>806055</v>
      </c>
      <c r="C888" s="3499" t="s">
        <v>914</v>
      </c>
      <c r="D888" s="3509" t="str">
        <f t="shared" si="203"/>
        <v>BSS</v>
      </c>
      <c r="E888" s="3639" t="s">
        <v>915</v>
      </c>
      <c r="F888" s="3510">
        <f>ROUND(F898*G898,2)</f>
        <v>1409</v>
      </c>
      <c r="G888" s="3509" t="s">
        <v>87</v>
      </c>
      <c r="H888" s="3511">
        <f>VLOOKUP(G888,'CP FACTORS'!$A$26:$B$38,2,FALSE)</f>
        <v>1.379439E-4</v>
      </c>
      <c r="I888" s="3575">
        <f>ROUND(H888*F888,6)</f>
        <v>0.19436300000000001</v>
      </c>
      <c r="J888" s="2664">
        <v>15</v>
      </c>
      <c r="K888" s="3513">
        <v>208</v>
      </c>
      <c r="L888" s="3732" t="s">
        <v>913</v>
      </c>
      <c r="M888" s="3528"/>
      <c r="N888" s="3528"/>
      <c r="O888" s="3528"/>
      <c r="P888" s="3528"/>
      <c r="Q888" s="3528"/>
      <c r="R888" s="3528"/>
      <c r="S888" s="3528"/>
      <c r="T888" s="3528"/>
      <c r="U888" s="3528"/>
      <c r="V888" s="2460" t="s">
        <v>45</v>
      </c>
      <c r="W888" s="3224"/>
      <c r="X888" s="3224"/>
      <c r="Y888" s="3224"/>
      <c r="Z888" s="3224"/>
      <c r="AA888" s="3224"/>
      <c r="AB888" s="3222"/>
      <c r="AC888" s="3374"/>
      <c r="AD888" s="3374"/>
      <c r="AE888" s="3374"/>
      <c r="AF888" s="3374">
        <v>1409</v>
      </c>
      <c r="AG888" s="2413"/>
      <c r="AH888" s="2237"/>
      <c r="AI888" s="2244" t="s">
        <v>49</v>
      </c>
      <c r="AJ888" s="3506"/>
      <c r="AK888" s="3506"/>
      <c r="AL888" s="3506"/>
      <c r="AM888" s="3506"/>
      <c r="AN888" s="3506"/>
      <c r="AO888" s="3518"/>
      <c r="AP888" s="3518"/>
      <c r="AQ888" s="3518"/>
      <c r="AR888" s="3518"/>
      <c r="AS888" s="3518">
        <v>15</v>
      </c>
      <c r="AU888" s="2244" t="s">
        <v>50</v>
      </c>
      <c r="AV888" s="3521"/>
      <c r="AW888" s="3521"/>
      <c r="AX888" s="3521"/>
      <c r="AY888" s="3521"/>
      <c r="AZ888" s="3521"/>
      <c r="BA888" s="3522"/>
      <c r="BB888" s="3522"/>
      <c r="BC888" s="3522"/>
      <c r="BD888" s="3522"/>
      <c r="BE888" s="3589">
        <v>208</v>
      </c>
      <c r="CG888" s="2237"/>
      <c r="CH888" s="2237"/>
      <c r="CI888" s="2237"/>
      <c r="CJ888" s="2237"/>
      <c r="CW888" s="2237"/>
      <c r="CX888" s="2237"/>
      <c r="CY888" s="2237"/>
      <c r="CZ888" s="2237"/>
      <c r="DG888" s="2603">
        <f>(DI888)/(DJ888)</f>
        <v>4.8305873047322985</v>
      </c>
      <c r="DH888" s="2419" t="str">
        <f>CONCATENATE(G888," ",J888," Year EUL")</f>
        <v>Miscellaneous BUS 15 Year EUL</v>
      </c>
      <c r="DI888" s="3839">
        <f>(INDEX('Avoided Cost Benefits'!$B$4:$B$864,MATCH(DH888,'Avoided Cost Benefits'!$A$4:$A$864,0)))*F888</f>
        <v>1004.762159384318</v>
      </c>
      <c r="DJ888" s="3734">
        <f>K888/(1.0686^(2025-2025))</f>
        <v>208</v>
      </c>
    </row>
    <row r="889" spans="1:114" s="3517" customFormat="1" outlineLevel="1">
      <c r="C889" s="3564"/>
      <c r="D889" s="3564" t="s">
        <v>118</v>
      </c>
      <c r="E889" s="3564" t="s">
        <v>916</v>
      </c>
      <c r="F889" s="3564"/>
      <c r="G889" s="3564"/>
      <c r="H889" s="3679"/>
      <c r="I889" s="3564"/>
      <c r="J889" s="3564"/>
      <c r="K889" s="3528"/>
      <c r="L889" s="3528"/>
      <c r="M889" s="3528"/>
      <c r="N889" s="3528"/>
      <c r="O889" s="3528"/>
      <c r="P889" s="3528"/>
      <c r="Q889" s="3528"/>
      <c r="R889" s="3528"/>
      <c r="S889" s="3528"/>
      <c r="T889" s="3528"/>
      <c r="U889" s="3528"/>
      <c r="CG889" s="2237"/>
      <c r="CH889" s="2237"/>
      <c r="CI889" s="2237"/>
      <c r="CJ889" s="2237"/>
      <c r="CW889" s="2237"/>
      <c r="CX889" s="2237"/>
      <c r="CY889" s="2237"/>
      <c r="CZ889" s="2237"/>
      <c r="DG889" s="3551"/>
      <c r="DH889" s="3528"/>
      <c r="DI889" s="3528"/>
      <c r="DJ889" s="3552"/>
    </row>
    <row r="890" spans="1:114" s="3517" customFormat="1" outlineLevel="1">
      <c r="C890" s="3564"/>
      <c r="D890" s="3564" t="s">
        <v>120</v>
      </c>
      <c r="E890" s="2086"/>
      <c r="F890" s="3564"/>
      <c r="G890" s="3564"/>
      <c r="H890" s="3679"/>
      <c r="I890" s="3564"/>
      <c r="J890" s="3564"/>
      <c r="K890" s="2086"/>
      <c r="L890" s="3528"/>
      <c r="M890" s="3528"/>
      <c r="N890" s="3528"/>
      <c r="O890" s="3528"/>
      <c r="P890" s="3528"/>
      <c r="Q890" s="3528"/>
      <c r="R890" s="3528"/>
      <c r="S890" s="3528"/>
      <c r="T890" s="3528"/>
      <c r="U890" s="3528"/>
      <c r="W890" s="3517" t="s">
        <v>917</v>
      </c>
      <c r="CG890" s="2237"/>
      <c r="CH890" s="2237"/>
      <c r="CI890" s="2237"/>
      <c r="CJ890" s="2237"/>
      <c r="CW890" s="2237"/>
      <c r="CX890" s="2237"/>
      <c r="CY890" s="2237"/>
      <c r="CZ890" s="2237"/>
      <c r="DG890" s="3551"/>
      <c r="DH890" s="3528"/>
      <c r="DI890" s="3528"/>
      <c r="DJ890" s="3552"/>
    </row>
    <row r="891" spans="1:114" s="3517" customFormat="1" outlineLevel="1">
      <c r="C891" s="3564"/>
      <c r="D891" s="3680"/>
      <c r="E891" s="2086"/>
      <c r="F891" s="2086"/>
      <c r="G891" s="3528"/>
      <c r="H891" s="3569"/>
      <c r="I891" s="3528"/>
      <c r="J891" s="3528"/>
      <c r="K891" s="3528"/>
      <c r="L891" s="3528"/>
      <c r="M891" s="3528"/>
      <c r="N891" s="3528"/>
      <c r="O891" s="3528"/>
      <c r="P891" s="3528"/>
      <c r="Q891" s="3528"/>
      <c r="R891" s="3528"/>
      <c r="S891" s="3528"/>
      <c r="T891" s="3528"/>
      <c r="U891" s="3528"/>
      <c r="CG891" s="2237"/>
      <c r="CH891" s="2237"/>
      <c r="CI891" s="2237"/>
      <c r="CJ891" s="2237"/>
      <c r="CW891" s="2237"/>
      <c r="CX891" s="2237"/>
      <c r="CY891" s="2237"/>
      <c r="CZ891" s="2237"/>
      <c r="DG891" s="3551"/>
      <c r="DH891" s="3528"/>
      <c r="DI891" s="3528"/>
      <c r="DJ891" s="3552"/>
    </row>
    <row r="892" spans="1:114" s="3517" customFormat="1" outlineLevel="1">
      <c r="C892" s="3564"/>
      <c r="D892" s="3680"/>
      <c r="E892" s="3528"/>
      <c r="F892" s="3528"/>
      <c r="G892" s="3528"/>
      <c r="H892" s="3569"/>
      <c r="I892" s="3528"/>
      <c r="J892" s="3528"/>
      <c r="K892" s="3528"/>
      <c r="L892" s="3528"/>
      <c r="M892" s="3528"/>
      <c r="N892" s="3528"/>
      <c r="O892" s="3528"/>
      <c r="P892" s="4011"/>
      <c r="Q892" s="4011"/>
      <c r="R892" s="3528"/>
      <c r="S892" s="3528"/>
      <c r="T892" s="3528"/>
      <c r="U892" s="3528"/>
      <c r="CG892" s="2237"/>
      <c r="CH892" s="2237"/>
      <c r="CI892" s="2237"/>
      <c r="CJ892" s="2237"/>
      <c r="CW892" s="2237"/>
      <c r="CX892" s="2237"/>
      <c r="CY892" s="2237"/>
      <c r="CZ892" s="2237"/>
      <c r="DG892" s="3551"/>
      <c r="DH892" s="3528"/>
      <c r="DI892" s="3528"/>
      <c r="DJ892" s="3552"/>
    </row>
    <row r="893" spans="1:114" s="3517" customFormat="1" outlineLevel="1">
      <c r="C893" s="3564"/>
      <c r="D893" s="3680"/>
      <c r="E893" s="3528"/>
      <c r="F893" s="3528"/>
      <c r="G893" s="3528"/>
      <c r="H893" s="3569"/>
      <c r="I893" s="3528"/>
      <c r="J893" s="3528"/>
      <c r="K893" s="3528"/>
      <c r="L893" s="3528"/>
      <c r="M893" s="3564"/>
      <c r="N893" s="3528"/>
      <c r="O893" s="3528"/>
      <c r="P893" s="4011"/>
      <c r="Q893" s="4011"/>
      <c r="R893" s="3528"/>
      <c r="S893" s="3528"/>
      <c r="T893" s="3528"/>
      <c r="U893" s="3528"/>
      <c r="CG893" s="2237"/>
      <c r="CH893" s="2237"/>
      <c r="CI893" s="2237"/>
      <c r="CJ893" s="2237"/>
      <c r="CW893" s="2237"/>
      <c r="CX893" s="2237"/>
      <c r="CY893" s="2237"/>
      <c r="CZ893" s="2237"/>
      <c r="DG893" s="3551"/>
      <c r="DH893" s="3528"/>
      <c r="DI893" s="3528"/>
      <c r="DJ893" s="3552"/>
    </row>
    <row r="894" spans="1:114" s="3517" customFormat="1" outlineLevel="1">
      <c r="C894" s="3564"/>
      <c r="D894" s="3680"/>
      <c r="E894" s="3528"/>
      <c r="F894" s="3528"/>
      <c r="G894" s="3528"/>
      <c r="H894" s="3569"/>
      <c r="I894" s="3528"/>
      <c r="J894" s="3528"/>
      <c r="K894" s="3528"/>
      <c r="L894" s="3528"/>
      <c r="M894" s="3564"/>
      <c r="N894" s="3528"/>
      <c r="O894" s="3528"/>
      <c r="P894" s="4011"/>
      <c r="Q894" s="4011"/>
      <c r="R894" s="3528"/>
      <c r="S894" s="3528"/>
      <c r="T894" s="3528"/>
      <c r="U894" s="3528"/>
      <c r="CG894" s="2237"/>
      <c r="CH894" s="2237"/>
      <c r="CI894" s="2237"/>
      <c r="CJ894" s="2237"/>
      <c r="CW894" s="2237"/>
      <c r="CX894" s="2237"/>
      <c r="CY894" s="2237"/>
      <c r="CZ894" s="2237"/>
      <c r="DG894" s="3551"/>
      <c r="DH894" s="3528"/>
      <c r="DI894" s="3528"/>
      <c r="DJ894" s="3552"/>
    </row>
    <row r="895" spans="1:114" s="3517" customFormat="1" outlineLevel="1">
      <c r="C895" s="3564"/>
      <c r="D895" s="3680"/>
      <c r="E895" s="3528"/>
      <c r="F895" s="3528"/>
      <c r="G895" s="3528"/>
      <c r="H895" s="3569"/>
      <c r="I895" s="3528"/>
      <c r="J895" s="3528"/>
      <c r="K895" s="3528"/>
      <c r="L895" s="3528"/>
      <c r="M895" s="3564"/>
      <c r="N895" s="3528"/>
      <c r="O895" s="3528"/>
      <c r="P895" s="3528"/>
      <c r="Q895" s="3528"/>
      <c r="R895" s="3528"/>
      <c r="S895" s="3528"/>
      <c r="T895" s="3528"/>
      <c r="U895" s="3528"/>
      <c r="CG895" s="2237"/>
      <c r="CH895" s="2237"/>
      <c r="CI895" s="2237"/>
      <c r="CJ895" s="2237"/>
      <c r="CW895" s="2237"/>
      <c r="CX895" s="2237"/>
      <c r="CY895" s="2237"/>
      <c r="CZ895" s="2237"/>
      <c r="DG895" s="3551"/>
      <c r="DH895" s="3528"/>
      <c r="DI895" s="3528"/>
      <c r="DJ895" s="3552"/>
    </row>
    <row r="896" spans="1:114" s="3517" customFormat="1" outlineLevel="1">
      <c r="C896" s="3564"/>
      <c r="D896" s="3680"/>
      <c r="E896" s="3528"/>
      <c r="F896" s="3528"/>
      <c r="G896" s="3528"/>
      <c r="H896" s="3569"/>
      <c r="I896" s="3528"/>
      <c r="J896" s="3528"/>
      <c r="K896" s="3528"/>
      <c r="L896" s="3528"/>
      <c r="M896" s="3528"/>
      <c r="N896" s="3528"/>
      <c r="O896" s="3528"/>
      <c r="P896" s="3528"/>
      <c r="Q896" s="3528"/>
      <c r="R896" s="3528"/>
      <c r="S896" s="3528"/>
      <c r="T896" s="3528"/>
      <c r="U896" s="3528"/>
      <c r="CG896" s="2237"/>
      <c r="CH896" s="2237"/>
      <c r="CI896" s="2237"/>
      <c r="CJ896" s="2237"/>
      <c r="CW896" s="2237"/>
      <c r="CX896" s="2237"/>
      <c r="CY896" s="2237"/>
      <c r="CZ896" s="2237"/>
      <c r="DG896" s="3551"/>
      <c r="DH896" s="3528"/>
      <c r="DI896" s="3528"/>
      <c r="DJ896" s="3552"/>
    </row>
    <row r="897" spans="1:114" s="3044" customFormat="1" outlineLevel="1">
      <c r="A897" s="3517"/>
      <c r="C897" s="2086"/>
      <c r="D897" s="3682" t="s">
        <v>42</v>
      </c>
      <c r="E897" s="3682" t="s">
        <v>275</v>
      </c>
      <c r="F897" s="3725" t="s">
        <v>918</v>
      </c>
      <c r="G897" s="3682" t="s">
        <v>919</v>
      </c>
      <c r="H897" s="2697"/>
      <c r="I897" s="2697"/>
      <c r="J897" s="2697"/>
      <c r="K897" s="2697"/>
      <c r="L897" s="2697"/>
      <c r="M897" s="2697"/>
      <c r="N897" s="2697"/>
      <c r="O897" s="2697"/>
      <c r="P897" s="2697"/>
      <c r="Q897" s="2697"/>
      <c r="R897" s="2697"/>
      <c r="S897" s="2697"/>
      <c r="T897" s="2697"/>
      <c r="U897" s="2697"/>
      <c r="DG897" s="3597"/>
      <c r="DH897" s="2697"/>
      <c r="DI897" s="2697"/>
      <c r="DJ897" s="3552"/>
    </row>
    <row r="898" spans="1:114" s="3517" customFormat="1" outlineLevel="1">
      <c r="C898" s="3564"/>
      <c r="D898" s="3598" t="str">
        <f>C887</f>
        <v>806050_2024_12_</v>
      </c>
      <c r="E898" s="3598" t="str">
        <f>E887</f>
        <v>ECM for Walk-in &amp; Reach-in Coolers</v>
      </c>
      <c r="F898" s="3697">
        <v>1409</v>
      </c>
      <c r="G898" s="3813">
        <v>1</v>
      </c>
      <c r="H898" s="3528"/>
      <c r="I898" s="3528"/>
      <c r="J898" s="3528"/>
      <c r="K898" s="3528"/>
      <c r="L898" s="3528"/>
      <c r="M898" s="3528"/>
      <c r="N898" s="3528"/>
      <c r="O898" s="3528"/>
      <c r="P898" s="3528"/>
      <c r="Q898" s="3528"/>
      <c r="R898" s="3528"/>
      <c r="S898" s="3528"/>
      <c r="T898" s="3528"/>
      <c r="U898" s="3528"/>
      <c r="CG898" s="2237"/>
      <c r="CH898" s="2237"/>
      <c r="CI898" s="2237"/>
      <c r="CJ898" s="2237"/>
      <c r="CW898" s="2237"/>
      <c r="CX898" s="2237"/>
      <c r="CY898" s="2237"/>
      <c r="CZ898" s="2237"/>
      <c r="DG898" s="3551"/>
      <c r="DH898" s="3528"/>
      <c r="DI898" s="3528"/>
      <c r="DJ898" s="3552"/>
    </row>
    <row r="899" spans="1:114" s="3517" customFormat="1">
      <c r="C899" s="3564"/>
      <c r="D899" s="3564"/>
      <c r="E899" s="3528"/>
      <c r="F899" s="3528"/>
      <c r="G899" s="3663"/>
      <c r="H899" s="3691"/>
      <c r="I899" s="3528"/>
      <c r="J899" s="3528"/>
      <c r="K899" s="3528"/>
      <c r="L899" s="3528"/>
      <c r="M899" s="3528"/>
      <c r="N899" s="3528"/>
      <c r="O899" s="3528"/>
      <c r="P899" s="3528"/>
      <c r="Q899" s="3528"/>
      <c r="R899" s="3528"/>
      <c r="S899" s="3528"/>
      <c r="T899" s="3528"/>
      <c r="U899" s="3528"/>
      <c r="CG899" s="2237"/>
      <c r="CH899" s="2237"/>
      <c r="CI899" s="2237"/>
      <c r="CJ899" s="2237"/>
      <c r="CW899" s="2237"/>
      <c r="CX899" s="2237"/>
      <c r="CY899" s="2237"/>
      <c r="CZ899" s="2237"/>
      <c r="DG899" s="3551"/>
      <c r="DH899" s="3528"/>
      <c r="DI899" s="3528"/>
      <c r="DJ899" s="3552"/>
    </row>
    <row r="900" spans="1:114" s="3517" customFormat="1">
      <c r="C900" s="3564"/>
      <c r="D900" s="3564"/>
      <c r="E900" s="3528"/>
      <c r="F900" s="3528"/>
      <c r="G900" s="3663"/>
      <c r="H900" s="3691"/>
      <c r="I900" s="3528"/>
      <c r="J900" s="3528"/>
      <c r="K900" s="3528"/>
      <c r="L900" s="3528"/>
      <c r="M900" s="3528"/>
      <c r="N900" s="3528"/>
      <c r="O900" s="3528"/>
      <c r="P900" s="3528"/>
      <c r="Q900" s="3528"/>
      <c r="R900" s="3528"/>
      <c r="S900" s="3528"/>
      <c r="T900" s="3528"/>
      <c r="U900" s="3528"/>
      <c r="CG900" s="2237"/>
      <c r="CH900" s="2237"/>
      <c r="CI900" s="2237"/>
      <c r="CJ900" s="2237"/>
      <c r="CW900" s="2237"/>
      <c r="CX900" s="2237"/>
      <c r="CY900" s="2237"/>
      <c r="CZ900" s="2237"/>
      <c r="DG900" s="3551"/>
      <c r="DH900" s="3528"/>
      <c r="DI900" s="3528"/>
      <c r="DJ900" s="3552"/>
    </row>
    <row r="901" spans="1:114">
      <c r="B901" s="4004" t="s">
        <v>920</v>
      </c>
      <c r="C901" s="4005"/>
      <c r="D901" s="4005"/>
      <c r="E901" s="4005"/>
      <c r="F901" s="4005"/>
      <c r="G901" s="4005"/>
      <c r="H901" s="4005"/>
      <c r="I901" s="4005"/>
      <c r="J901" s="4005"/>
      <c r="K901" s="4005"/>
      <c r="L901" s="4005"/>
      <c r="M901" s="4005"/>
      <c r="N901" s="4005"/>
      <c r="O901" s="4019"/>
      <c r="V901" s="1363" t="str">
        <f>B901</f>
        <v>High Volume Low Speed Fans</v>
      </c>
      <c r="W901" s="1364"/>
      <c r="X901" s="1364"/>
      <c r="Y901" s="1364"/>
      <c r="Z901" s="1364"/>
      <c r="AA901" s="1364"/>
      <c r="AB901" s="1364"/>
      <c r="AC901" s="1364"/>
      <c r="AD901" s="1364"/>
      <c r="AE901" s="1364"/>
      <c r="AF901" s="1364"/>
      <c r="AG901" s="1364"/>
      <c r="AH901" s="1364"/>
      <c r="AI901" s="1397"/>
      <c r="AV901" s="8"/>
      <c r="AW901" s="8"/>
      <c r="AX901" s="8"/>
      <c r="AY901" s="8"/>
      <c r="AZ901" s="8"/>
      <c r="BA901" s="8"/>
      <c r="BB901" s="8"/>
      <c r="BC901" s="8"/>
      <c r="BD901" s="8"/>
      <c r="BE901" s="8"/>
    </row>
    <row r="902" spans="1:114">
      <c r="B902" s="265"/>
      <c r="V902"/>
      <c r="W902"/>
      <c r="X902"/>
      <c r="Y902"/>
      <c r="Z902"/>
      <c r="AA902"/>
      <c r="AB902"/>
      <c r="AC902"/>
      <c r="AD902"/>
      <c r="AE902"/>
      <c r="AF902"/>
      <c r="AG902"/>
      <c r="AH902"/>
      <c r="AI902"/>
      <c r="AJ902" s="7"/>
      <c r="AK902" s="7"/>
      <c r="AL902" s="7"/>
      <c r="AM902" s="7"/>
      <c r="AN902" s="7"/>
      <c r="AO902" s="7"/>
      <c r="AP902" s="7"/>
      <c r="AQ902" s="7"/>
      <c r="AR902" s="7"/>
      <c r="AS902" s="7"/>
      <c r="AT902" s="7"/>
      <c r="AU902" s="7"/>
    </row>
    <row r="903" spans="1:114" ht="30">
      <c r="B903" s="265"/>
      <c r="C903" s="10" t="s">
        <v>42</v>
      </c>
      <c r="D903" s="10" t="s">
        <v>43</v>
      </c>
      <c r="E903" s="1432" t="s">
        <v>44</v>
      </c>
      <c r="F903" s="1432" t="s">
        <v>921</v>
      </c>
      <c r="G903" s="1432" t="s">
        <v>46</v>
      </c>
      <c r="H903" s="11" t="s">
        <v>47</v>
      </c>
      <c r="I903" s="1432" t="s">
        <v>48</v>
      </c>
      <c r="J903" s="1432" t="s">
        <v>49</v>
      </c>
      <c r="K903" s="10" t="s">
        <v>50</v>
      </c>
      <c r="L903" s="10" t="s">
        <v>51</v>
      </c>
      <c r="V903" s="668" t="s">
        <v>52</v>
      </c>
      <c r="W903" s="669">
        <f>$W$8</f>
        <v>43252</v>
      </c>
      <c r="X903" s="669">
        <f>$X$8</f>
        <v>43465</v>
      </c>
      <c r="Y903" s="669">
        <f>$Y$8</f>
        <v>43800</v>
      </c>
      <c r="Z903" s="669">
        <f>$Z$8</f>
        <v>43862</v>
      </c>
      <c r="AA903" s="669">
        <f>$AA$8</f>
        <v>44013</v>
      </c>
      <c r="AB903" s="669">
        <v>44166</v>
      </c>
      <c r="AC903" s="669">
        <f>$AC$8</f>
        <v>44531</v>
      </c>
      <c r="AD903" s="669">
        <f>$AD$8</f>
        <v>44774</v>
      </c>
      <c r="AE903" s="669">
        <f>$AE$8</f>
        <v>45142</v>
      </c>
      <c r="AF903" s="669">
        <f>$AF$8</f>
        <v>45672</v>
      </c>
      <c r="AG903" s="669" t="str">
        <f>$AG$8</f>
        <v>-</v>
      </c>
      <c r="AH903"/>
      <c r="AI903" s="668" t="s">
        <v>52</v>
      </c>
      <c r="AJ903" s="669">
        <v>43252</v>
      </c>
      <c r="AK903" s="669">
        <f>$X$8</f>
        <v>43465</v>
      </c>
      <c r="AL903" s="669">
        <f>$Y$8</f>
        <v>43800</v>
      </c>
      <c r="AM903" s="669">
        <f>$Z$8</f>
        <v>43862</v>
      </c>
      <c r="AN903" s="669">
        <f>$AA$8</f>
        <v>44013</v>
      </c>
      <c r="AO903" s="669">
        <f>$AB$8</f>
        <v>44166</v>
      </c>
      <c r="AP903" s="669">
        <f>$AC$8</f>
        <v>44531</v>
      </c>
      <c r="AQ903" s="669">
        <f>$AD$8</f>
        <v>44774</v>
      </c>
      <c r="AR903" s="669">
        <f>$AE$8</f>
        <v>45142</v>
      </c>
      <c r="AS903" s="669">
        <f>$AF$8</f>
        <v>45672</v>
      </c>
      <c r="AU903" s="668" t="s">
        <v>52</v>
      </c>
      <c r="AV903" s="669">
        <v>43252</v>
      </c>
      <c r="AW903" s="669">
        <f>$X$8</f>
        <v>43465</v>
      </c>
      <c r="AX903" s="669">
        <f>$Y$8</f>
        <v>43800</v>
      </c>
      <c r="AY903" s="669">
        <f>$Z$8</f>
        <v>43862</v>
      </c>
      <c r="AZ903" s="669">
        <f>$AA$8</f>
        <v>44013</v>
      </c>
      <c r="BA903" s="669">
        <v>44166</v>
      </c>
      <c r="BB903" s="669">
        <f>$AC$8</f>
        <v>44531</v>
      </c>
      <c r="BC903" s="669">
        <f>$AD$8</f>
        <v>44774</v>
      </c>
      <c r="BD903" s="669">
        <f>$AE$8</f>
        <v>45142</v>
      </c>
      <c r="BE903" s="669">
        <f>$AF$8</f>
        <v>45672</v>
      </c>
      <c r="DG903" s="1060" t="str">
        <f>$DG$8</f>
        <v>TRC (2025)</v>
      </c>
      <c r="DH903" s="811" t="str">
        <f>$DH$8</f>
        <v>Benefit Lookup</v>
      </c>
      <c r="DI903" s="811" t="str">
        <f>$DI$8</f>
        <v>Benefits (2025 $)</v>
      </c>
      <c r="DJ903" s="1172" t="str">
        <f>$DJ$8</f>
        <v>Incremental Cost (2025 $)</v>
      </c>
    </row>
    <row r="904" spans="1:114">
      <c r="B904" s="1454">
        <f t="shared" ref="B904:B905" si="204">VALUE(LEFT(C904,6))</f>
        <v>806090</v>
      </c>
      <c r="C904" s="1637" t="s">
        <v>922</v>
      </c>
      <c r="D904" s="1639" t="s">
        <v>135</v>
      </c>
      <c r="E904" s="1638" t="s">
        <v>923</v>
      </c>
      <c r="F904" s="665">
        <f>ROUND(F914*G914,2)</f>
        <v>3218</v>
      </c>
      <c r="G904" s="1639" t="s">
        <v>488</v>
      </c>
      <c r="H904" s="1640">
        <f>VLOOKUP(G904,'CP FACTORS'!$A$26:$B$38,2,FALSE)</f>
        <v>4.4398300000000001E-4</v>
      </c>
      <c r="I904" s="1969">
        <f>F904*H904</f>
        <v>1.428737294</v>
      </c>
      <c r="J904" s="39">
        <v>10</v>
      </c>
      <c r="K904" s="2016">
        <v>4072</v>
      </c>
      <c r="L904" s="1641" t="s">
        <v>62</v>
      </c>
      <c r="V904" s="1414" t="s">
        <v>45</v>
      </c>
      <c r="W904" s="55"/>
      <c r="X904" s="55"/>
      <c r="Y904" s="55"/>
      <c r="Z904" s="71"/>
      <c r="AA904" s="678"/>
      <c r="AB904" s="648"/>
      <c r="AC904" s="737"/>
      <c r="AD904" s="737"/>
      <c r="AE904" s="737"/>
      <c r="AF904" s="737">
        <v>3218</v>
      </c>
      <c r="AG904" s="71"/>
      <c r="AH904"/>
      <c r="AI904" s="1414" t="s">
        <v>49</v>
      </c>
      <c r="AJ904" s="671"/>
      <c r="AK904" s="671"/>
      <c r="AL904" s="671"/>
      <c r="AM904" s="71"/>
      <c r="AN904" s="682"/>
      <c r="AO904" s="709"/>
      <c r="AP904" s="709"/>
      <c r="AQ904" s="709"/>
      <c r="AR904" s="709"/>
      <c r="AS904" s="56">
        <v>10</v>
      </c>
      <c r="AU904" s="1414" t="s">
        <v>50</v>
      </c>
      <c r="AV904" s="672"/>
      <c r="AW904" s="672"/>
      <c r="AX904" s="672"/>
      <c r="AY904" s="71"/>
      <c r="AZ904" s="684"/>
      <c r="BA904" s="689"/>
      <c r="BB904" s="689"/>
      <c r="BC904" s="689"/>
      <c r="BD904" s="689"/>
      <c r="BE904" s="773">
        <v>4072</v>
      </c>
      <c r="DG904" s="1062">
        <f>(DI904)/(DJ904)</f>
        <v>0.71821819439734769</v>
      </c>
      <c r="DH904" s="1400" t="str">
        <f>CONCATENATE(G904," ",J904," Year EUL")</f>
        <v>HVAC BUS 10 Year EUL</v>
      </c>
      <c r="DI904" s="445">
        <f>(INDEX('Avoided Cost Benefits'!$B$4:$B$864,MATCH(DH904,'Avoided Cost Benefits'!$A$4:$A$864,0)))*F904</f>
        <v>2924.5844875859998</v>
      </c>
      <c r="DJ904" s="1169">
        <f>K904/(1.0686^(2025-2025))</f>
        <v>4072</v>
      </c>
    </row>
    <row r="905" spans="1:114">
      <c r="B905" s="1454">
        <f t="shared" si="204"/>
        <v>806095</v>
      </c>
      <c r="C905" s="1637" t="s">
        <v>924</v>
      </c>
      <c r="D905" s="1639" t="s">
        <v>135</v>
      </c>
      <c r="E905" s="1638" t="s">
        <v>925</v>
      </c>
      <c r="F905" s="665">
        <f>ROUND(F915*G915,2)</f>
        <v>4938</v>
      </c>
      <c r="G905" s="1639" t="s">
        <v>488</v>
      </c>
      <c r="H905" s="1640">
        <f>VLOOKUP(G905,'CP FACTORS'!$A$26:$B$38,2,FALSE)</f>
        <v>4.4398300000000001E-4</v>
      </c>
      <c r="I905" s="1969">
        <f>F905*H905</f>
        <v>2.1923880540000003</v>
      </c>
      <c r="J905" s="39">
        <v>10</v>
      </c>
      <c r="K905" s="2016">
        <v>4110</v>
      </c>
      <c r="L905" s="1641" t="s">
        <v>62</v>
      </c>
      <c r="V905" s="1414" t="s">
        <v>45</v>
      </c>
      <c r="W905" s="55"/>
      <c r="X905" s="55"/>
      <c r="Y905" s="55"/>
      <c r="Z905" s="71"/>
      <c r="AA905" s="678"/>
      <c r="AB905" s="648"/>
      <c r="AC905" s="737"/>
      <c r="AD905" s="737"/>
      <c r="AE905" s="737"/>
      <c r="AF905" s="737">
        <v>4938</v>
      </c>
      <c r="AG905" s="71"/>
      <c r="AH905"/>
      <c r="AI905" s="1414" t="s">
        <v>49</v>
      </c>
      <c r="AJ905" s="671"/>
      <c r="AK905" s="671"/>
      <c r="AL905" s="671"/>
      <c r="AM905" s="71"/>
      <c r="AN905" s="682"/>
      <c r="AO905" s="709"/>
      <c r="AP905" s="709"/>
      <c r="AQ905" s="709"/>
      <c r="AR905" s="709"/>
      <c r="AS905" s="56">
        <v>10</v>
      </c>
      <c r="AU905" s="1414" t="s">
        <v>50</v>
      </c>
      <c r="AV905" s="672"/>
      <c r="AW905" s="672"/>
      <c r="AX905" s="672"/>
      <c r="AY905" s="71"/>
      <c r="AZ905" s="684"/>
      <c r="BA905" s="689"/>
      <c r="BB905" s="689"/>
      <c r="BC905" s="689"/>
      <c r="BD905" s="689"/>
      <c r="BE905" s="773">
        <v>4110</v>
      </c>
      <c r="DG905" s="1062">
        <f>(DI905)/(DJ905)</f>
        <v>1.0919113895302781</v>
      </c>
      <c r="DH905" s="1400" t="str">
        <f>CONCATENATE(G905," ",J905," Year EUL")</f>
        <v>HVAC BUS 10 Year EUL</v>
      </c>
      <c r="DI905" s="445">
        <f>(INDEX('Avoided Cost Benefits'!$B$4:$B$864,MATCH(DH905,'Avoided Cost Benefits'!$A$4:$A$864,0)))*F905</f>
        <v>4487.7558109694428</v>
      </c>
      <c r="DJ905" s="1169">
        <f>K905/(1.0686^(2025-2025))</f>
        <v>4110</v>
      </c>
    </row>
    <row r="906" spans="1:114">
      <c r="B906" s="1454">
        <f t="shared" ref="B906:B908" si="205">VALUE(LEFT(C906,6))</f>
        <v>806100</v>
      </c>
      <c r="C906" s="688" t="s">
        <v>926</v>
      </c>
      <c r="D906" s="1639" t="s">
        <v>135</v>
      </c>
      <c r="E906" s="480" t="s">
        <v>927</v>
      </c>
      <c r="F906" s="20">
        <f>ROUND(F916*G916,2)</f>
        <v>6577</v>
      </c>
      <c r="G906" s="463" t="s">
        <v>488</v>
      </c>
      <c r="H906" s="464">
        <f>VLOOKUP(G906,'CP FACTORS'!$A$26:$B$38,2,FALSE)</f>
        <v>4.4398300000000001E-4</v>
      </c>
      <c r="I906" s="529">
        <f>F906*H906</f>
        <v>2.9200761910000002</v>
      </c>
      <c r="J906" s="103">
        <v>10</v>
      </c>
      <c r="K906" s="2035">
        <v>4150</v>
      </c>
      <c r="L906" s="509" t="s">
        <v>62</v>
      </c>
      <c r="V906" s="1414" t="s">
        <v>45</v>
      </c>
      <c r="W906" s="55"/>
      <c r="X906" s="55"/>
      <c r="Y906" s="55"/>
      <c r="Z906" s="71"/>
      <c r="AA906" s="678">
        <v>6577</v>
      </c>
      <c r="AB906" s="648">
        <v>6577</v>
      </c>
      <c r="AC906" s="737">
        <v>6577</v>
      </c>
      <c r="AD906" s="737">
        <v>6577</v>
      </c>
      <c r="AE906" s="737">
        <v>6577</v>
      </c>
      <c r="AF906" s="737">
        <v>6577</v>
      </c>
      <c r="AG906" s="71"/>
      <c r="AH906"/>
      <c r="AI906" s="1414" t="s">
        <v>49</v>
      </c>
      <c r="AJ906" s="671"/>
      <c r="AK906" s="671"/>
      <c r="AL906" s="671"/>
      <c r="AM906" s="71"/>
      <c r="AN906" s="682">
        <v>10</v>
      </c>
      <c r="AO906" s="709">
        <v>10</v>
      </c>
      <c r="AP906" s="709">
        <v>10</v>
      </c>
      <c r="AQ906" s="709">
        <v>10</v>
      </c>
      <c r="AR906" s="709">
        <v>10</v>
      </c>
      <c r="AS906" s="709">
        <v>10</v>
      </c>
      <c r="AU906" s="1414" t="s">
        <v>50</v>
      </c>
      <c r="AV906" s="672"/>
      <c r="AW906" s="672"/>
      <c r="AX906" s="672"/>
      <c r="AY906" s="71"/>
      <c r="AZ906" s="684">
        <v>4150</v>
      </c>
      <c r="BA906" s="689">
        <v>4150</v>
      </c>
      <c r="BB906" s="689">
        <v>4150</v>
      </c>
      <c r="BC906" s="689">
        <v>4150</v>
      </c>
      <c r="BD906" s="689">
        <v>4150</v>
      </c>
      <c r="BE906" s="689">
        <v>4150</v>
      </c>
      <c r="DG906" s="1062">
        <f>(DI906)/(DJ906)</f>
        <v>1.4403163062332454</v>
      </c>
      <c r="DH906" s="1400" t="str">
        <f>CONCATENATE(G906," ",J906," Year EUL")</f>
        <v>HVAC BUS 10 Year EUL</v>
      </c>
      <c r="DI906" s="445">
        <f>(INDEX('Avoided Cost Benefits'!$B$4:$B$864,MATCH(DH906,'Avoided Cost Benefits'!$A$4:$A$864,0)))*F906</f>
        <v>5977.3126708679683</v>
      </c>
      <c r="DJ906" s="1169">
        <f>K906/(1.0686^(2025-2025))</f>
        <v>4150</v>
      </c>
    </row>
    <row r="907" spans="1:114">
      <c r="B907" s="1454">
        <f t="shared" si="205"/>
        <v>806110</v>
      </c>
      <c r="C907" s="688" t="s">
        <v>928</v>
      </c>
      <c r="D907" s="1639" t="s">
        <v>135</v>
      </c>
      <c r="E907" s="480" t="s">
        <v>929</v>
      </c>
      <c r="F907" s="20">
        <f>ROUND(F917*G917,2)</f>
        <v>8543</v>
      </c>
      <c r="G907" s="463" t="s">
        <v>488</v>
      </c>
      <c r="H907" s="464">
        <f>VLOOKUP(G907,'CP FACTORS'!$A$26:$B$38,2,FALSE)</f>
        <v>4.4398300000000001E-4</v>
      </c>
      <c r="I907" s="529">
        <f>F907*H907</f>
        <v>3.7929467690000003</v>
      </c>
      <c r="J907" s="103">
        <v>10</v>
      </c>
      <c r="K907" s="2035">
        <v>4180</v>
      </c>
      <c r="L907" s="509" t="s">
        <v>62</v>
      </c>
      <c r="V907" s="1414" t="s">
        <v>45</v>
      </c>
      <c r="W907" s="55"/>
      <c r="X907" s="55"/>
      <c r="Y907" s="55"/>
      <c r="Z907" s="71"/>
      <c r="AA907" s="678">
        <v>8543</v>
      </c>
      <c r="AB907" s="648">
        <v>8543</v>
      </c>
      <c r="AC907" s="737">
        <v>8543</v>
      </c>
      <c r="AD907" s="737">
        <v>8543</v>
      </c>
      <c r="AE907" s="737">
        <v>8543</v>
      </c>
      <c r="AF907" s="737">
        <v>8543</v>
      </c>
      <c r="AG907" s="71"/>
      <c r="AH907"/>
      <c r="AI907" s="1414" t="s">
        <v>49</v>
      </c>
      <c r="AJ907" s="671"/>
      <c r="AK907" s="671"/>
      <c r="AL907" s="671"/>
      <c r="AM907" s="71"/>
      <c r="AN907" s="682">
        <v>10</v>
      </c>
      <c r="AO907" s="709">
        <v>10</v>
      </c>
      <c r="AP907" s="709">
        <v>10</v>
      </c>
      <c r="AQ907" s="709">
        <v>10</v>
      </c>
      <c r="AR907" s="709">
        <v>10</v>
      </c>
      <c r="AS907" s="709">
        <v>10</v>
      </c>
      <c r="AU907" s="1414" t="s">
        <v>50</v>
      </c>
      <c r="AV907" s="672"/>
      <c r="AW907" s="672"/>
      <c r="AX907" s="672"/>
      <c r="AY907" s="71"/>
      <c r="AZ907" s="684">
        <v>4180</v>
      </c>
      <c r="BA907" s="689">
        <v>4180</v>
      </c>
      <c r="BB907" s="689">
        <v>4180</v>
      </c>
      <c r="BC907" s="689">
        <v>4180</v>
      </c>
      <c r="BD907" s="689">
        <v>4180</v>
      </c>
      <c r="BE907" s="689">
        <v>4180</v>
      </c>
      <c r="DG907" s="1069">
        <f>(DI907)/(DJ907)</f>
        <v>1.8574291498365354</v>
      </c>
      <c r="DH907" s="673" t="str">
        <f>CONCATENATE(G907," ",J907," Year EUL")</f>
        <v>HVAC BUS 10 Year EUL</v>
      </c>
      <c r="DI907" s="445">
        <f>(INDEX('Avoided Cost Benefits'!$B$4:$B$864,MATCH(DH907,'Avoided Cost Benefits'!$A$4:$A$864,0)))*F907</f>
        <v>7764.0538463167177</v>
      </c>
      <c r="DJ907" s="1170">
        <f>K907/(1.0686^(2025-2025))</f>
        <v>4180</v>
      </c>
    </row>
    <row r="908" spans="1:114">
      <c r="B908" s="1454">
        <f t="shared" si="205"/>
        <v>806120</v>
      </c>
      <c r="C908" s="688" t="s">
        <v>930</v>
      </c>
      <c r="D908" s="1639" t="s">
        <v>135</v>
      </c>
      <c r="E908" s="480" t="s">
        <v>931</v>
      </c>
      <c r="F908" s="20">
        <f>ROUND(F918*G918,2)</f>
        <v>10018</v>
      </c>
      <c r="G908" s="463" t="s">
        <v>488</v>
      </c>
      <c r="H908" s="464">
        <f>VLOOKUP(G908,'CP FACTORS'!$A$26:$B$38,2,FALSE)</f>
        <v>4.4398300000000001E-4</v>
      </c>
      <c r="I908" s="529">
        <f>F908*H908</f>
        <v>4.4478216939999999</v>
      </c>
      <c r="J908" s="103">
        <v>10</v>
      </c>
      <c r="K908" s="2035">
        <v>4225</v>
      </c>
      <c r="L908" s="509" t="s">
        <v>62</v>
      </c>
      <c r="V908" s="1414" t="s">
        <v>45</v>
      </c>
      <c r="W908" s="55"/>
      <c r="X908" s="55"/>
      <c r="Y908" s="55"/>
      <c r="Z908" s="71"/>
      <c r="AA908" s="678">
        <v>10018</v>
      </c>
      <c r="AB908" s="648">
        <v>10018</v>
      </c>
      <c r="AC908" s="737">
        <v>10018</v>
      </c>
      <c r="AD908" s="737">
        <v>10018</v>
      </c>
      <c r="AE908" s="737">
        <v>10018</v>
      </c>
      <c r="AF908" s="737">
        <v>10018</v>
      </c>
      <c r="AG908" s="71"/>
      <c r="AH908"/>
      <c r="AI908" s="1414" t="s">
        <v>49</v>
      </c>
      <c r="AJ908" s="671"/>
      <c r="AK908" s="671"/>
      <c r="AL908" s="671"/>
      <c r="AM908" s="71"/>
      <c r="AN908" s="682">
        <v>10</v>
      </c>
      <c r="AO908" s="709">
        <v>10</v>
      </c>
      <c r="AP908" s="709">
        <v>10</v>
      </c>
      <c r="AQ908" s="709">
        <v>10</v>
      </c>
      <c r="AR908" s="709">
        <v>10</v>
      </c>
      <c r="AS908" s="709">
        <v>10</v>
      </c>
      <c r="AU908" s="1414" t="s">
        <v>50</v>
      </c>
      <c r="AV908" s="672"/>
      <c r="AW908" s="672"/>
      <c r="AX908" s="672"/>
      <c r="AY908" s="71"/>
      <c r="AZ908" s="684">
        <v>4225</v>
      </c>
      <c r="BA908" s="689">
        <v>4225</v>
      </c>
      <c r="BB908" s="689">
        <v>4225</v>
      </c>
      <c r="BC908" s="689">
        <v>4225</v>
      </c>
      <c r="BD908" s="689">
        <v>4225</v>
      </c>
      <c r="BE908" s="689">
        <v>4225</v>
      </c>
      <c r="DG908" s="1070">
        <f>(DI908)/(DJ908)</f>
        <v>2.1549264232359064</v>
      </c>
      <c r="DH908" s="673" t="str">
        <f>CONCATENATE(G908," ",J908," Year EUL")</f>
        <v>HVAC BUS 10 Year EUL</v>
      </c>
      <c r="DI908" s="445">
        <f>(INDEX('Avoided Cost Benefits'!$B$4:$B$864,MATCH(DH908,'Avoided Cost Benefits'!$A$4:$A$864,0)))*F908</f>
        <v>9104.5641381717051</v>
      </c>
      <c r="DJ908" s="1171">
        <f>K908/(1.0686^(2025-2025))</f>
        <v>4225</v>
      </c>
    </row>
    <row r="909" spans="1:114" outlineLevel="1">
      <c r="B909" s="265"/>
      <c r="D909" s="8" t="s">
        <v>118</v>
      </c>
      <c r="E909" s="1634" t="s">
        <v>932</v>
      </c>
    </row>
    <row r="910" spans="1:114" outlineLevel="1">
      <c r="B910" s="265"/>
    </row>
    <row r="911" spans="1:114" outlineLevel="1">
      <c r="B911" s="265"/>
    </row>
    <row r="912" spans="1:114" outlineLevel="1">
      <c r="B912" s="265"/>
    </row>
    <row r="913" spans="1:114" outlineLevel="1">
      <c r="B913" s="265"/>
      <c r="D913" s="1365" t="s">
        <v>42</v>
      </c>
      <c r="E913" s="1365" t="s">
        <v>275</v>
      </c>
      <c r="F913" s="32" t="s">
        <v>933</v>
      </c>
      <c r="G913" s="1365" t="s">
        <v>934</v>
      </c>
    </row>
    <row r="914" spans="1:114" outlineLevel="1">
      <c r="B914" s="265"/>
      <c r="D914" s="1041" t="str">
        <f>C904</f>
        <v>806090_2024_12_</v>
      </c>
      <c r="E914" s="1638" t="str">
        <f>E904</f>
        <v>High Volume Low Speed Fan, 16</v>
      </c>
      <c r="F914" s="665">
        <v>3218</v>
      </c>
      <c r="G914" s="1630">
        <v>1</v>
      </c>
    </row>
    <row r="915" spans="1:114" outlineLevel="1">
      <c r="B915" s="265"/>
      <c r="D915" s="1041" t="str">
        <f>C905</f>
        <v>806095_2024_12_</v>
      </c>
      <c r="E915" s="1638" t="str">
        <f>E905</f>
        <v>High Volume Low Speed Fan, 18</v>
      </c>
      <c r="F915" s="665">
        <v>4938</v>
      </c>
      <c r="G915" s="1630">
        <v>1</v>
      </c>
    </row>
    <row r="916" spans="1:114" outlineLevel="1">
      <c r="B916" s="265"/>
      <c r="D916" s="679" t="str">
        <f>C906</f>
        <v>806100_2020_07_</v>
      </c>
      <c r="E916" s="480" t="str">
        <f>E906</f>
        <v>High Volume Low Speed Fan, 20</v>
      </c>
      <c r="F916" s="20">
        <v>6577</v>
      </c>
      <c r="G916" s="502">
        <v>1</v>
      </c>
    </row>
    <row r="917" spans="1:114" outlineLevel="1">
      <c r="B917" s="265"/>
      <c r="D917" s="679" t="str">
        <f>C907</f>
        <v>806110_2020_07_</v>
      </c>
      <c r="E917" s="480" t="str">
        <f>E907</f>
        <v>High Volume Low Speed Fan, 22</v>
      </c>
      <c r="F917" s="20">
        <v>8543</v>
      </c>
      <c r="G917" s="502">
        <v>1</v>
      </c>
    </row>
    <row r="918" spans="1:114" outlineLevel="1">
      <c r="B918" s="265"/>
      <c r="D918" s="679" t="str">
        <f>C908</f>
        <v>806120_2020_07_</v>
      </c>
      <c r="E918" s="480" t="str">
        <f>E908</f>
        <v>High Volume Low Speed Fan, 24</v>
      </c>
      <c r="F918" s="20">
        <v>10018</v>
      </c>
      <c r="G918" s="502">
        <v>1</v>
      </c>
    </row>
    <row r="919" spans="1:114" outlineLevel="1">
      <c r="B919" s="265"/>
      <c r="D919" s="526"/>
      <c r="E919" s="479"/>
      <c r="F919" s="2177"/>
      <c r="G919" s="2178"/>
    </row>
    <row r="920" spans="1:114">
      <c r="B920" s="265"/>
    </row>
    <row r="921" spans="1:114" s="8" customFormat="1">
      <c r="A921" s="2"/>
      <c r="B921" s="3996" t="s">
        <v>935</v>
      </c>
      <c r="C921" s="3997"/>
      <c r="D921" s="3997"/>
      <c r="E921" s="3997"/>
      <c r="F921" s="3997"/>
      <c r="G921" s="3997"/>
      <c r="H921" s="3997"/>
      <c r="I921" s="4828"/>
      <c r="J921" s="4828"/>
      <c r="K921" s="4828"/>
      <c r="L921" s="4828"/>
      <c r="M921" s="4829"/>
      <c r="N921" s="4829"/>
      <c r="O921" s="4830"/>
      <c r="V921" s="1363" t="str">
        <f>B921</f>
        <v>Custom Measure</v>
      </c>
      <c r="W921" s="1364"/>
      <c r="X921" s="1364"/>
      <c r="Y921" s="1364"/>
      <c r="Z921" s="1364"/>
      <c r="AA921" s="1364"/>
      <c r="AB921" s="1364"/>
      <c r="AC921" s="1364"/>
      <c r="AD921" s="1364"/>
      <c r="AE921" s="1364"/>
      <c r="AF921" s="1364"/>
      <c r="AG921" s="1364"/>
      <c r="AH921" s="1364"/>
      <c r="AI921" s="1397"/>
      <c r="AJ921" s="2"/>
      <c r="AK921" s="2"/>
      <c r="AL921" s="2"/>
      <c r="AM921" s="2"/>
      <c r="AN921" s="2"/>
      <c r="AO921" s="2"/>
      <c r="AP921" s="2"/>
      <c r="AQ921" s="2"/>
      <c r="AR921" s="2"/>
      <c r="AS921" s="2"/>
      <c r="AT921" s="2"/>
      <c r="AU921" s="2"/>
      <c r="DG921" s="24"/>
      <c r="DJ921" s="1102"/>
    </row>
    <row r="922" spans="1:114">
      <c r="D922" s="461"/>
      <c r="E922" s="8"/>
      <c r="F922" s="8"/>
      <c r="G922" s="8"/>
      <c r="H922" s="462"/>
      <c r="I922" s="8"/>
      <c r="J922" s="8"/>
      <c r="K922" s="8"/>
      <c r="L922" s="8"/>
      <c r="P922" s="8"/>
      <c r="Q922" s="8"/>
      <c r="R922" s="8"/>
      <c r="S922" s="8"/>
      <c r="T922" s="8"/>
      <c r="U922" s="8"/>
      <c r="V922"/>
      <c r="W922"/>
      <c r="X922"/>
      <c r="Y922"/>
      <c r="Z922"/>
      <c r="AA922"/>
      <c r="AB922"/>
      <c r="AC922"/>
      <c r="AD922"/>
      <c r="AE922"/>
      <c r="AF922"/>
      <c r="AG922"/>
      <c r="AH922"/>
      <c r="AI922"/>
      <c r="AJ922" s="7"/>
      <c r="AK922" s="7"/>
      <c r="AL922" s="7"/>
      <c r="AM922" s="7"/>
      <c r="AN922" s="7"/>
      <c r="AO922" s="7"/>
      <c r="AP922" s="7"/>
      <c r="AQ922" s="7"/>
      <c r="AR922" s="7"/>
      <c r="AS922" s="7"/>
      <c r="AT922" s="7"/>
      <c r="AU922" s="7"/>
    </row>
    <row r="923" spans="1:114" s="9" customFormat="1" ht="30">
      <c r="A923" s="2"/>
      <c r="B923" s="7"/>
      <c r="C923" s="10" t="s">
        <v>42</v>
      </c>
      <c r="D923" s="10" t="s">
        <v>43</v>
      </c>
      <c r="E923" s="1432" t="s">
        <v>44</v>
      </c>
      <c r="F923" s="1432" t="s">
        <v>909</v>
      </c>
      <c r="G923" s="1432" t="s">
        <v>46</v>
      </c>
      <c r="H923" s="11" t="s">
        <v>47</v>
      </c>
      <c r="I923" s="1432" t="s">
        <v>48</v>
      </c>
      <c r="J923" s="1432" t="s">
        <v>49</v>
      </c>
      <c r="K923" s="10" t="s">
        <v>50</v>
      </c>
      <c r="L923" s="10" t="s">
        <v>51</v>
      </c>
      <c r="M923" s="265"/>
      <c r="N923" s="265"/>
      <c r="O923" s="265"/>
      <c r="P923" s="122"/>
      <c r="Q923" s="122"/>
      <c r="R923" s="122"/>
      <c r="S923" s="122"/>
      <c r="T923" s="122"/>
      <c r="U923" s="122"/>
      <c r="V923" s="668" t="s">
        <v>52</v>
      </c>
      <c r="W923" s="669">
        <f>$W$8</f>
        <v>43252</v>
      </c>
      <c r="X923" s="669">
        <f>$X$8</f>
        <v>43465</v>
      </c>
      <c r="Y923" s="669">
        <f>$Y$8</f>
        <v>43800</v>
      </c>
      <c r="Z923" s="669">
        <f>$Z$8</f>
        <v>43862</v>
      </c>
      <c r="AA923" s="669">
        <f>$AA$8</f>
        <v>44013</v>
      </c>
      <c r="AB923" s="669">
        <v>44166</v>
      </c>
      <c r="AC923" s="669">
        <f>$AC$8</f>
        <v>44531</v>
      </c>
      <c r="AD923" s="669">
        <f>$AD$8</f>
        <v>44774</v>
      </c>
      <c r="AE923" s="669">
        <f>$AE$8</f>
        <v>45142</v>
      </c>
      <c r="AF923" s="669">
        <f>$AF$8</f>
        <v>45672</v>
      </c>
      <c r="AG923" s="669" t="str">
        <f>$AG$8</f>
        <v>-</v>
      </c>
      <c r="AH923"/>
      <c r="AI923" s="668" t="s">
        <v>52</v>
      </c>
      <c r="AJ923" s="669">
        <v>43252</v>
      </c>
      <c r="AK923" s="669">
        <f>$X$8</f>
        <v>43465</v>
      </c>
      <c r="AL923" s="669">
        <f>$Y$8</f>
        <v>43800</v>
      </c>
      <c r="AM923" s="669">
        <f>$Z$8</f>
        <v>43862</v>
      </c>
      <c r="AN923" s="669">
        <f>$AA$8</f>
        <v>44013</v>
      </c>
      <c r="AO923" s="669">
        <f>$AB$8</f>
        <v>44166</v>
      </c>
      <c r="AP923" s="669">
        <f>$AC$8</f>
        <v>44531</v>
      </c>
      <c r="AQ923" s="669">
        <f>$AD$8</f>
        <v>44774</v>
      </c>
      <c r="AR923" s="669">
        <f>$AE$8</f>
        <v>45142</v>
      </c>
      <c r="AS923" s="669">
        <f>$AF$8</f>
        <v>45672</v>
      </c>
      <c r="AT923" s="2"/>
      <c r="AU923" s="668" t="s">
        <v>52</v>
      </c>
      <c r="AV923" s="669">
        <v>43252</v>
      </c>
      <c r="AW923" s="669">
        <f>$X$8</f>
        <v>43465</v>
      </c>
      <c r="AX923" s="669">
        <f>$Y$8</f>
        <v>43800</v>
      </c>
      <c r="AY923" s="669">
        <f>$Z$8</f>
        <v>43862</v>
      </c>
      <c r="AZ923" s="669">
        <f>$AA$8</f>
        <v>44013</v>
      </c>
      <c r="BA923" s="669">
        <v>44166</v>
      </c>
      <c r="BB923" s="669">
        <f>$AC$8</f>
        <v>44531</v>
      </c>
      <c r="BC923" s="669">
        <f>$AD$8</f>
        <v>44774</v>
      </c>
      <c r="BD923" s="669">
        <f>$AE$8</f>
        <v>45142</v>
      </c>
      <c r="BE923" s="669">
        <f>$AF$8</f>
        <v>45672</v>
      </c>
      <c r="DG923" s="1060" t="str">
        <f>$DG$8</f>
        <v>TRC (2025)</v>
      </c>
      <c r="DH923" s="811" t="str">
        <f>$DH$8</f>
        <v>Benefit Lookup</v>
      </c>
      <c r="DI923" s="811" t="str">
        <f>$DI$8</f>
        <v>Benefits (2025 $)</v>
      </c>
      <c r="DJ923" s="1172" t="str">
        <f>$DJ$8</f>
        <v>Incremental Cost (2025 $)</v>
      </c>
    </row>
    <row r="924" spans="1:114">
      <c r="B924" s="1454">
        <f t="shared" ref="B924" si="206">VALUE(LEFT(C924,6))</f>
        <v>999999</v>
      </c>
      <c r="C924" s="688" t="s">
        <v>936</v>
      </c>
      <c r="D924" s="1639" t="s">
        <v>937</v>
      </c>
      <c r="E924" s="1638" t="s">
        <v>938</v>
      </c>
      <c r="F924" s="20" t="s">
        <v>937</v>
      </c>
      <c r="G924" s="463" t="s">
        <v>939</v>
      </c>
      <c r="H924" s="464" t="s">
        <v>939</v>
      </c>
      <c r="I924" s="529" t="s">
        <v>937</v>
      </c>
      <c r="J924" s="103" t="s">
        <v>937</v>
      </c>
      <c r="K924" s="103" t="s">
        <v>937</v>
      </c>
      <c r="L924" s="509" t="s">
        <v>937</v>
      </c>
      <c r="V924" s="1414" t="s">
        <v>45</v>
      </c>
      <c r="W924" s="839"/>
      <c r="X924" s="839"/>
      <c r="Y924" s="670" t="s">
        <v>937</v>
      </c>
      <c r="Z924" s="55" t="s">
        <v>937</v>
      </c>
      <c r="AA924" s="55" t="s">
        <v>937</v>
      </c>
      <c r="AB924" s="648" t="s">
        <v>937</v>
      </c>
      <c r="AC924" s="737" t="s">
        <v>937</v>
      </c>
      <c r="AD924" s="737" t="s">
        <v>937</v>
      </c>
      <c r="AE924" s="689" t="s">
        <v>937</v>
      </c>
      <c r="AF924" s="689" t="s">
        <v>937</v>
      </c>
      <c r="AG924" s="676"/>
      <c r="AH924" s="41"/>
      <c r="AI924" s="1445" t="s">
        <v>49</v>
      </c>
      <c r="AJ924" s="839"/>
      <c r="AK924" s="839"/>
      <c r="AL924" s="670" t="s">
        <v>937</v>
      </c>
      <c r="AM924" s="20" t="s">
        <v>937</v>
      </c>
      <c r="AN924" s="20" t="s">
        <v>937</v>
      </c>
      <c r="AO924" s="19" t="s">
        <v>937</v>
      </c>
      <c r="AP924" s="19" t="s">
        <v>937</v>
      </c>
      <c r="AQ924" s="19" t="s">
        <v>937</v>
      </c>
      <c r="AR924" s="689" t="s">
        <v>937</v>
      </c>
      <c r="AS924" s="689" t="s">
        <v>937</v>
      </c>
      <c r="AT924" s="38"/>
      <c r="AU924" s="1445" t="s">
        <v>50</v>
      </c>
      <c r="AV924" s="839"/>
      <c r="AW924" s="839"/>
      <c r="AX924" s="670" t="s">
        <v>937</v>
      </c>
      <c r="AY924" s="20" t="s">
        <v>937</v>
      </c>
      <c r="AZ924" s="20" t="s">
        <v>937</v>
      </c>
      <c r="BA924" s="689" t="s">
        <v>937</v>
      </c>
      <c r="BB924" s="689" t="s">
        <v>937</v>
      </c>
      <c r="BC924" s="689" t="s">
        <v>937</v>
      </c>
      <c r="BD924" s="689" t="s">
        <v>937</v>
      </c>
      <c r="BE924" s="689" t="s">
        <v>937</v>
      </c>
      <c r="DG924" s="1071" t="s">
        <v>937</v>
      </c>
      <c r="DH924" s="128" t="str">
        <f>CONCATENATE(G924," ",J924," Year EUL")</f>
        <v>Variable Custom Year EUL</v>
      </c>
      <c r="DI924" s="1068" t="s">
        <v>937</v>
      </c>
      <c r="DJ924" s="874" t="s">
        <v>937</v>
      </c>
    </row>
    <row r="925" spans="1:114">
      <c r="B925" s="1454">
        <f t="shared" ref="B925" si="207">VALUE(LEFT(C925,6))</f>
        <v>999999</v>
      </c>
      <c r="C925" s="688" t="s">
        <v>936</v>
      </c>
      <c r="D925" s="1639" t="s">
        <v>937</v>
      </c>
      <c r="E925" s="1638" t="s">
        <v>940</v>
      </c>
      <c r="F925" s="20" t="s">
        <v>937</v>
      </c>
      <c r="G925" s="463" t="s">
        <v>939</v>
      </c>
      <c r="H925" s="464" t="s">
        <v>939</v>
      </c>
      <c r="I925" s="529" t="s">
        <v>937</v>
      </c>
      <c r="J925" s="103" t="s">
        <v>937</v>
      </c>
      <c r="K925" s="103" t="s">
        <v>937</v>
      </c>
      <c r="L925" s="509" t="s">
        <v>937</v>
      </c>
      <c r="V925" s="1414" t="s">
        <v>45</v>
      </c>
      <c r="W925" s="839"/>
      <c r="X925" s="839"/>
      <c r="Y925" s="670" t="s">
        <v>937</v>
      </c>
      <c r="Z925" s="55" t="s">
        <v>937</v>
      </c>
      <c r="AA925" s="55" t="s">
        <v>937</v>
      </c>
      <c r="AB925" s="648" t="s">
        <v>937</v>
      </c>
      <c r="AC925" s="737" t="s">
        <v>937</v>
      </c>
      <c r="AD925" s="737" t="s">
        <v>937</v>
      </c>
      <c r="AE925" s="689" t="s">
        <v>937</v>
      </c>
      <c r="AF925" s="689" t="s">
        <v>937</v>
      </c>
      <c r="AG925" s="676"/>
      <c r="AH925" s="41"/>
      <c r="AI925" s="1445" t="s">
        <v>49</v>
      </c>
      <c r="AJ925" s="839"/>
      <c r="AK925" s="839"/>
      <c r="AL925" s="670" t="s">
        <v>937</v>
      </c>
      <c r="AM925" s="20" t="s">
        <v>937</v>
      </c>
      <c r="AN925" s="20" t="s">
        <v>937</v>
      </c>
      <c r="AO925" s="19" t="s">
        <v>937</v>
      </c>
      <c r="AP925" s="19" t="s">
        <v>937</v>
      </c>
      <c r="AQ925" s="19" t="s">
        <v>937</v>
      </c>
      <c r="AR925" s="689" t="s">
        <v>937</v>
      </c>
      <c r="AS925" s="689" t="s">
        <v>937</v>
      </c>
      <c r="AT925" s="38"/>
      <c r="AU925" s="1445" t="s">
        <v>50</v>
      </c>
      <c r="AV925" s="839"/>
      <c r="AW925" s="839"/>
      <c r="AX925" s="670" t="s">
        <v>937</v>
      </c>
      <c r="AY925" s="20" t="s">
        <v>937</v>
      </c>
      <c r="AZ925" s="20" t="s">
        <v>937</v>
      </c>
      <c r="BA925" s="689" t="s">
        <v>937</v>
      </c>
      <c r="BB925" s="689" t="s">
        <v>937</v>
      </c>
      <c r="BC925" s="689" t="s">
        <v>937</v>
      </c>
      <c r="BD925" s="689" t="s">
        <v>937</v>
      </c>
      <c r="BE925" s="689" t="s">
        <v>937</v>
      </c>
      <c r="DG925" s="1071" t="s">
        <v>937</v>
      </c>
      <c r="DH925" s="128" t="str">
        <f>CONCATENATE(G925," ",J925," Year EUL")</f>
        <v>Variable Custom Year EUL</v>
      </c>
      <c r="DI925" s="1068" t="s">
        <v>937</v>
      </c>
      <c r="DJ925" s="874" t="s">
        <v>937</v>
      </c>
    </row>
    <row r="926" spans="1:114">
      <c r="B926" s="1454">
        <f t="shared" ref="B926:B934" si="208">VALUE(LEFT(C926,6))</f>
        <v>999999</v>
      </c>
      <c r="C926" s="688" t="s">
        <v>936</v>
      </c>
      <c r="D926" s="1639" t="s">
        <v>937</v>
      </c>
      <c r="E926" s="1638" t="s">
        <v>941</v>
      </c>
      <c r="F926" s="20" t="s">
        <v>937</v>
      </c>
      <c r="G926" s="463" t="s">
        <v>939</v>
      </c>
      <c r="H926" s="464" t="s">
        <v>939</v>
      </c>
      <c r="I926" s="529" t="s">
        <v>937</v>
      </c>
      <c r="J926" s="103" t="s">
        <v>937</v>
      </c>
      <c r="K926" s="103" t="s">
        <v>937</v>
      </c>
      <c r="L926" s="509" t="s">
        <v>937</v>
      </c>
      <c r="V926" s="1414" t="s">
        <v>45</v>
      </c>
      <c r="W926" s="839"/>
      <c r="X926" s="839"/>
      <c r="Y926" s="670" t="s">
        <v>937</v>
      </c>
      <c r="Z926" s="55" t="s">
        <v>937</v>
      </c>
      <c r="AA926" s="55" t="s">
        <v>937</v>
      </c>
      <c r="AB926" s="648" t="s">
        <v>937</v>
      </c>
      <c r="AC926" s="737" t="s">
        <v>937</v>
      </c>
      <c r="AD926" s="737" t="s">
        <v>937</v>
      </c>
      <c r="AE926" s="689" t="s">
        <v>937</v>
      </c>
      <c r="AF926" s="689" t="s">
        <v>937</v>
      </c>
      <c r="AG926" s="676"/>
      <c r="AH926" s="41"/>
      <c r="AI926" s="1445" t="s">
        <v>49</v>
      </c>
      <c r="AJ926" s="839"/>
      <c r="AK926" s="839"/>
      <c r="AL926" s="670" t="s">
        <v>937</v>
      </c>
      <c r="AM926" s="20" t="s">
        <v>937</v>
      </c>
      <c r="AN926" s="20" t="s">
        <v>937</v>
      </c>
      <c r="AO926" s="19" t="s">
        <v>937</v>
      </c>
      <c r="AP926" s="19" t="s">
        <v>937</v>
      </c>
      <c r="AQ926" s="19" t="s">
        <v>937</v>
      </c>
      <c r="AR926" s="689" t="s">
        <v>937</v>
      </c>
      <c r="AS926" s="689" t="s">
        <v>937</v>
      </c>
      <c r="AT926" s="38"/>
      <c r="AU926" s="1445" t="s">
        <v>50</v>
      </c>
      <c r="AV926" s="839"/>
      <c r="AW926" s="839"/>
      <c r="AX926" s="670" t="s">
        <v>937</v>
      </c>
      <c r="AY926" s="20" t="s">
        <v>937</v>
      </c>
      <c r="AZ926" s="20" t="s">
        <v>937</v>
      </c>
      <c r="BA926" s="689" t="s">
        <v>937</v>
      </c>
      <c r="BB926" s="689" t="s">
        <v>937</v>
      </c>
      <c r="BC926" s="689" t="s">
        <v>937</v>
      </c>
      <c r="BD926" s="689" t="s">
        <v>937</v>
      </c>
      <c r="BE926" s="689" t="s">
        <v>937</v>
      </c>
      <c r="DG926" s="1071" t="s">
        <v>937</v>
      </c>
      <c r="DH926" s="128" t="str">
        <f t="shared" ref="DH926:DH934" si="209">CONCATENATE(G926," ",J926," Year EUL")</f>
        <v>Variable Custom Year EUL</v>
      </c>
      <c r="DI926" s="1068" t="s">
        <v>937</v>
      </c>
      <c r="DJ926" s="874" t="s">
        <v>937</v>
      </c>
    </row>
    <row r="927" spans="1:114">
      <c r="B927" s="1454">
        <f t="shared" si="208"/>
        <v>999999</v>
      </c>
      <c r="C927" s="688" t="s">
        <v>936</v>
      </c>
      <c r="D927" s="1639" t="s">
        <v>937</v>
      </c>
      <c r="E927" s="1638" t="s">
        <v>942</v>
      </c>
      <c r="F927" s="20" t="s">
        <v>937</v>
      </c>
      <c r="G927" s="463" t="s">
        <v>939</v>
      </c>
      <c r="H927" s="464" t="s">
        <v>939</v>
      </c>
      <c r="I927" s="529" t="s">
        <v>937</v>
      </c>
      <c r="J927" s="103" t="s">
        <v>937</v>
      </c>
      <c r="K927" s="103" t="s">
        <v>937</v>
      </c>
      <c r="L927" s="509" t="s">
        <v>937</v>
      </c>
      <c r="V927" s="1414" t="s">
        <v>45</v>
      </c>
      <c r="W927" s="839"/>
      <c r="X927" s="839"/>
      <c r="Y927" s="670" t="s">
        <v>937</v>
      </c>
      <c r="Z927" s="55" t="s">
        <v>937</v>
      </c>
      <c r="AA927" s="55" t="s">
        <v>937</v>
      </c>
      <c r="AB927" s="648" t="s">
        <v>937</v>
      </c>
      <c r="AC927" s="737" t="s">
        <v>937</v>
      </c>
      <c r="AD927" s="737" t="s">
        <v>937</v>
      </c>
      <c r="AE927" s="689" t="s">
        <v>937</v>
      </c>
      <c r="AF927" s="689" t="s">
        <v>937</v>
      </c>
      <c r="AG927" s="676"/>
      <c r="AH927" s="41"/>
      <c r="AI927" s="1445" t="s">
        <v>49</v>
      </c>
      <c r="AJ927" s="839"/>
      <c r="AK927" s="839"/>
      <c r="AL927" s="670" t="s">
        <v>937</v>
      </c>
      <c r="AM927" s="20" t="s">
        <v>937</v>
      </c>
      <c r="AN927" s="20" t="s">
        <v>937</v>
      </c>
      <c r="AO927" s="19" t="s">
        <v>937</v>
      </c>
      <c r="AP927" s="19" t="s">
        <v>937</v>
      </c>
      <c r="AQ927" s="19" t="s">
        <v>937</v>
      </c>
      <c r="AR927" s="689" t="s">
        <v>937</v>
      </c>
      <c r="AS927" s="689" t="s">
        <v>937</v>
      </c>
      <c r="AT927" s="38"/>
      <c r="AU927" s="1445" t="s">
        <v>50</v>
      </c>
      <c r="AV927" s="839"/>
      <c r="AW927" s="839"/>
      <c r="AX927" s="670" t="s">
        <v>937</v>
      </c>
      <c r="AY927" s="20" t="s">
        <v>937</v>
      </c>
      <c r="AZ927" s="20" t="s">
        <v>937</v>
      </c>
      <c r="BA927" s="689" t="s">
        <v>937</v>
      </c>
      <c r="BB927" s="689" t="s">
        <v>937</v>
      </c>
      <c r="BC927" s="689" t="s">
        <v>937</v>
      </c>
      <c r="BD927" s="689" t="s">
        <v>937</v>
      </c>
      <c r="BE927" s="689" t="s">
        <v>937</v>
      </c>
      <c r="DG927" s="1071" t="s">
        <v>937</v>
      </c>
      <c r="DH927" s="128" t="str">
        <f t="shared" si="209"/>
        <v>Variable Custom Year EUL</v>
      </c>
      <c r="DI927" s="1068" t="s">
        <v>937</v>
      </c>
      <c r="DJ927" s="874" t="s">
        <v>937</v>
      </c>
    </row>
    <row r="928" spans="1:114">
      <c r="B928" s="1454">
        <f t="shared" si="208"/>
        <v>999999</v>
      </c>
      <c r="C928" s="688" t="s">
        <v>936</v>
      </c>
      <c r="D928" s="1639" t="s">
        <v>937</v>
      </c>
      <c r="E928" s="1638" t="s">
        <v>943</v>
      </c>
      <c r="F928" s="20" t="s">
        <v>937</v>
      </c>
      <c r="G928" s="463" t="s">
        <v>939</v>
      </c>
      <c r="H928" s="464" t="s">
        <v>939</v>
      </c>
      <c r="I928" s="529" t="s">
        <v>937</v>
      </c>
      <c r="J928" s="103" t="s">
        <v>937</v>
      </c>
      <c r="K928" s="103" t="s">
        <v>937</v>
      </c>
      <c r="L928" s="509" t="s">
        <v>937</v>
      </c>
      <c r="V928" s="1414" t="s">
        <v>45</v>
      </c>
      <c r="W928" s="839"/>
      <c r="X928" s="839"/>
      <c r="Y928" s="670" t="s">
        <v>937</v>
      </c>
      <c r="Z928" s="55" t="s">
        <v>937</v>
      </c>
      <c r="AA928" s="55" t="s">
        <v>937</v>
      </c>
      <c r="AB928" s="648" t="s">
        <v>937</v>
      </c>
      <c r="AC928" s="737" t="s">
        <v>937</v>
      </c>
      <c r="AD928" s="737" t="s">
        <v>937</v>
      </c>
      <c r="AE928" s="689" t="s">
        <v>937</v>
      </c>
      <c r="AF928" s="689" t="s">
        <v>937</v>
      </c>
      <c r="AG928" s="676"/>
      <c r="AH928" s="41"/>
      <c r="AI928" s="1445" t="s">
        <v>49</v>
      </c>
      <c r="AJ928" s="839"/>
      <c r="AK928" s="839"/>
      <c r="AL928" s="670" t="s">
        <v>937</v>
      </c>
      <c r="AM928" s="20" t="s">
        <v>937</v>
      </c>
      <c r="AN928" s="20" t="s">
        <v>937</v>
      </c>
      <c r="AO928" s="19" t="s">
        <v>937</v>
      </c>
      <c r="AP928" s="19" t="s">
        <v>937</v>
      </c>
      <c r="AQ928" s="19" t="s">
        <v>937</v>
      </c>
      <c r="AR928" s="689" t="s">
        <v>937</v>
      </c>
      <c r="AS928" s="689" t="s">
        <v>937</v>
      </c>
      <c r="AT928" s="38"/>
      <c r="AU928" s="1445" t="s">
        <v>50</v>
      </c>
      <c r="AV928" s="839"/>
      <c r="AW928" s="839"/>
      <c r="AX928" s="670" t="s">
        <v>937</v>
      </c>
      <c r="AY928" s="20" t="s">
        <v>937</v>
      </c>
      <c r="AZ928" s="20" t="s">
        <v>937</v>
      </c>
      <c r="BA928" s="689" t="s">
        <v>937</v>
      </c>
      <c r="BB928" s="689" t="s">
        <v>937</v>
      </c>
      <c r="BC928" s="689" t="s">
        <v>937</v>
      </c>
      <c r="BD928" s="689" t="s">
        <v>937</v>
      </c>
      <c r="BE928" s="689" t="s">
        <v>937</v>
      </c>
      <c r="DG928" s="1071" t="s">
        <v>937</v>
      </c>
      <c r="DH928" s="128" t="str">
        <f t="shared" si="209"/>
        <v>Variable Custom Year EUL</v>
      </c>
      <c r="DI928" s="1068" t="s">
        <v>937</v>
      </c>
      <c r="DJ928" s="874" t="s">
        <v>937</v>
      </c>
    </row>
    <row r="929" spans="2:114">
      <c r="B929" s="1454">
        <f t="shared" si="208"/>
        <v>999999</v>
      </c>
      <c r="C929" s="688" t="s">
        <v>936</v>
      </c>
      <c r="D929" s="1639" t="s">
        <v>937</v>
      </c>
      <c r="E929" s="1638" t="s">
        <v>944</v>
      </c>
      <c r="F929" s="20" t="s">
        <v>937</v>
      </c>
      <c r="G929" s="463" t="s">
        <v>939</v>
      </c>
      <c r="H929" s="464" t="s">
        <v>939</v>
      </c>
      <c r="I929" s="529" t="s">
        <v>937</v>
      </c>
      <c r="J929" s="103" t="s">
        <v>937</v>
      </c>
      <c r="K929" s="103" t="s">
        <v>937</v>
      </c>
      <c r="L929" s="509" t="s">
        <v>937</v>
      </c>
      <c r="V929" s="1414" t="s">
        <v>45</v>
      </c>
      <c r="W929" s="839"/>
      <c r="X929" s="839"/>
      <c r="Y929" s="670" t="s">
        <v>937</v>
      </c>
      <c r="Z929" s="55" t="s">
        <v>937</v>
      </c>
      <c r="AA929" s="55" t="s">
        <v>937</v>
      </c>
      <c r="AB929" s="648" t="s">
        <v>937</v>
      </c>
      <c r="AC929" s="737" t="s">
        <v>937</v>
      </c>
      <c r="AD929" s="737" t="s">
        <v>937</v>
      </c>
      <c r="AE929" s="689" t="s">
        <v>937</v>
      </c>
      <c r="AF929" s="689" t="s">
        <v>937</v>
      </c>
      <c r="AG929" s="676"/>
      <c r="AH929" s="41"/>
      <c r="AI929" s="1445" t="s">
        <v>49</v>
      </c>
      <c r="AJ929" s="839"/>
      <c r="AK929" s="839"/>
      <c r="AL929" s="670" t="s">
        <v>937</v>
      </c>
      <c r="AM929" s="20" t="s">
        <v>937</v>
      </c>
      <c r="AN929" s="20" t="s">
        <v>937</v>
      </c>
      <c r="AO929" s="19" t="s">
        <v>937</v>
      </c>
      <c r="AP929" s="19" t="s">
        <v>937</v>
      </c>
      <c r="AQ929" s="19" t="s">
        <v>937</v>
      </c>
      <c r="AR929" s="689" t="s">
        <v>937</v>
      </c>
      <c r="AS929" s="689" t="s">
        <v>937</v>
      </c>
      <c r="AT929" s="38"/>
      <c r="AU929" s="1445" t="s">
        <v>50</v>
      </c>
      <c r="AV929" s="839"/>
      <c r="AW929" s="839"/>
      <c r="AX929" s="670" t="s">
        <v>937</v>
      </c>
      <c r="AY929" s="20" t="s">
        <v>937</v>
      </c>
      <c r="AZ929" s="20" t="s">
        <v>937</v>
      </c>
      <c r="BA929" s="689" t="s">
        <v>937</v>
      </c>
      <c r="BB929" s="689" t="s">
        <v>937</v>
      </c>
      <c r="BC929" s="689" t="s">
        <v>937</v>
      </c>
      <c r="BD929" s="689" t="s">
        <v>937</v>
      </c>
      <c r="BE929" s="689" t="s">
        <v>937</v>
      </c>
      <c r="DG929" s="1071" t="s">
        <v>937</v>
      </c>
      <c r="DH929" s="128" t="str">
        <f t="shared" si="209"/>
        <v>Variable Custom Year EUL</v>
      </c>
      <c r="DI929" s="1068" t="s">
        <v>937</v>
      </c>
      <c r="DJ929" s="874" t="s">
        <v>937</v>
      </c>
    </row>
    <row r="930" spans="2:114">
      <c r="B930" s="1454">
        <f t="shared" si="208"/>
        <v>999999</v>
      </c>
      <c r="C930" s="688" t="s">
        <v>936</v>
      </c>
      <c r="D930" s="1639" t="s">
        <v>937</v>
      </c>
      <c r="E930" s="1638" t="s">
        <v>945</v>
      </c>
      <c r="F930" s="20" t="s">
        <v>937</v>
      </c>
      <c r="G930" s="463" t="s">
        <v>939</v>
      </c>
      <c r="H930" s="464" t="s">
        <v>939</v>
      </c>
      <c r="I930" s="529" t="s">
        <v>937</v>
      </c>
      <c r="J930" s="103" t="s">
        <v>937</v>
      </c>
      <c r="K930" s="103" t="s">
        <v>937</v>
      </c>
      <c r="L930" s="509" t="s">
        <v>937</v>
      </c>
      <c r="V930" s="1414" t="s">
        <v>45</v>
      </c>
      <c r="W930" s="839"/>
      <c r="X930" s="839"/>
      <c r="Y930" s="670" t="s">
        <v>937</v>
      </c>
      <c r="Z930" s="55" t="s">
        <v>937</v>
      </c>
      <c r="AA930" s="55" t="s">
        <v>937</v>
      </c>
      <c r="AB930" s="648" t="s">
        <v>937</v>
      </c>
      <c r="AC930" s="737" t="s">
        <v>937</v>
      </c>
      <c r="AD930" s="737" t="s">
        <v>937</v>
      </c>
      <c r="AE930" s="689" t="s">
        <v>937</v>
      </c>
      <c r="AF930" s="689" t="s">
        <v>937</v>
      </c>
      <c r="AG930" s="676"/>
      <c r="AH930" s="41"/>
      <c r="AI930" s="1445" t="s">
        <v>49</v>
      </c>
      <c r="AJ930" s="839"/>
      <c r="AK930" s="839"/>
      <c r="AL930" s="670" t="s">
        <v>937</v>
      </c>
      <c r="AM930" s="20" t="s">
        <v>937</v>
      </c>
      <c r="AN930" s="20" t="s">
        <v>937</v>
      </c>
      <c r="AO930" s="19" t="s">
        <v>937</v>
      </c>
      <c r="AP930" s="19" t="s">
        <v>937</v>
      </c>
      <c r="AQ930" s="19" t="s">
        <v>937</v>
      </c>
      <c r="AR930" s="689" t="s">
        <v>937</v>
      </c>
      <c r="AS930" s="689" t="s">
        <v>937</v>
      </c>
      <c r="AT930" s="38"/>
      <c r="AU930" s="1445" t="s">
        <v>50</v>
      </c>
      <c r="AV930" s="839"/>
      <c r="AW930" s="839"/>
      <c r="AX930" s="670" t="s">
        <v>937</v>
      </c>
      <c r="AY930" s="20" t="s">
        <v>937</v>
      </c>
      <c r="AZ930" s="20" t="s">
        <v>937</v>
      </c>
      <c r="BA930" s="689" t="s">
        <v>937</v>
      </c>
      <c r="BB930" s="689" t="s">
        <v>937</v>
      </c>
      <c r="BC930" s="689" t="s">
        <v>937</v>
      </c>
      <c r="BD930" s="689" t="s">
        <v>937</v>
      </c>
      <c r="BE930" s="689" t="s">
        <v>937</v>
      </c>
      <c r="DG930" s="1071" t="s">
        <v>937</v>
      </c>
      <c r="DH930" s="128" t="str">
        <f t="shared" si="209"/>
        <v>Variable Custom Year EUL</v>
      </c>
      <c r="DI930" s="1068" t="s">
        <v>937</v>
      </c>
      <c r="DJ930" s="874" t="s">
        <v>937</v>
      </c>
    </row>
    <row r="931" spans="2:114">
      <c r="B931" s="1454">
        <f t="shared" si="208"/>
        <v>999999</v>
      </c>
      <c r="C931" s="688" t="s">
        <v>936</v>
      </c>
      <c r="D931" s="1639" t="s">
        <v>937</v>
      </c>
      <c r="E931" s="1638" t="s">
        <v>946</v>
      </c>
      <c r="F931" s="20" t="s">
        <v>937</v>
      </c>
      <c r="G931" s="463" t="s">
        <v>939</v>
      </c>
      <c r="H931" s="464" t="s">
        <v>939</v>
      </c>
      <c r="I931" s="529" t="s">
        <v>937</v>
      </c>
      <c r="J931" s="103" t="s">
        <v>937</v>
      </c>
      <c r="K931" s="103" t="s">
        <v>937</v>
      </c>
      <c r="L931" s="509" t="s">
        <v>937</v>
      </c>
      <c r="V931" s="1414" t="s">
        <v>45</v>
      </c>
      <c r="W931" s="839"/>
      <c r="X931" s="839"/>
      <c r="Y931" s="670" t="s">
        <v>937</v>
      </c>
      <c r="Z931" s="55" t="s">
        <v>937</v>
      </c>
      <c r="AA931" s="55" t="s">
        <v>937</v>
      </c>
      <c r="AB931" s="648" t="s">
        <v>937</v>
      </c>
      <c r="AC931" s="737" t="s">
        <v>937</v>
      </c>
      <c r="AD931" s="737" t="s">
        <v>937</v>
      </c>
      <c r="AE931" s="689" t="s">
        <v>937</v>
      </c>
      <c r="AF931" s="689" t="s">
        <v>937</v>
      </c>
      <c r="AG931" s="676"/>
      <c r="AH931" s="41"/>
      <c r="AI931" s="1445" t="s">
        <v>49</v>
      </c>
      <c r="AJ931" s="839"/>
      <c r="AK931" s="839"/>
      <c r="AL931" s="670" t="s">
        <v>937</v>
      </c>
      <c r="AM931" s="20" t="s">
        <v>937</v>
      </c>
      <c r="AN931" s="20" t="s">
        <v>937</v>
      </c>
      <c r="AO931" s="19" t="s">
        <v>937</v>
      </c>
      <c r="AP931" s="19" t="s">
        <v>937</v>
      </c>
      <c r="AQ931" s="19" t="s">
        <v>937</v>
      </c>
      <c r="AR931" s="689" t="s">
        <v>937</v>
      </c>
      <c r="AS931" s="689" t="s">
        <v>937</v>
      </c>
      <c r="AT931" s="38"/>
      <c r="AU931" s="1445" t="s">
        <v>50</v>
      </c>
      <c r="AV931" s="839"/>
      <c r="AW931" s="839"/>
      <c r="AX931" s="670" t="s">
        <v>937</v>
      </c>
      <c r="AY931" s="20" t="s">
        <v>937</v>
      </c>
      <c r="AZ931" s="20" t="s">
        <v>937</v>
      </c>
      <c r="BA931" s="689" t="s">
        <v>937</v>
      </c>
      <c r="BB931" s="689" t="s">
        <v>937</v>
      </c>
      <c r="BC931" s="689" t="s">
        <v>937</v>
      </c>
      <c r="BD931" s="689" t="s">
        <v>937</v>
      </c>
      <c r="BE931" s="689" t="s">
        <v>937</v>
      </c>
      <c r="DG931" s="1071" t="s">
        <v>937</v>
      </c>
      <c r="DH931" s="128" t="str">
        <f t="shared" si="209"/>
        <v>Variable Custom Year EUL</v>
      </c>
      <c r="DI931" s="1068" t="s">
        <v>937</v>
      </c>
      <c r="DJ931" s="874" t="s">
        <v>937</v>
      </c>
    </row>
    <row r="932" spans="2:114">
      <c r="B932" s="1454">
        <f t="shared" si="208"/>
        <v>999999</v>
      </c>
      <c r="C932" s="688" t="s">
        <v>936</v>
      </c>
      <c r="D932" s="1639" t="s">
        <v>937</v>
      </c>
      <c r="E932" s="1638" t="s">
        <v>947</v>
      </c>
      <c r="F932" s="20" t="s">
        <v>937</v>
      </c>
      <c r="G932" s="463" t="s">
        <v>939</v>
      </c>
      <c r="H932" s="464" t="s">
        <v>939</v>
      </c>
      <c r="I932" s="529" t="s">
        <v>937</v>
      </c>
      <c r="J932" s="103" t="s">
        <v>937</v>
      </c>
      <c r="K932" s="103" t="s">
        <v>937</v>
      </c>
      <c r="L932" s="509" t="s">
        <v>937</v>
      </c>
      <c r="V932" s="1414" t="s">
        <v>45</v>
      </c>
      <c r="W932" s="839"/>
      <c r="X932" s="839"/>
      <c r="Y932" s="670" t="s">
        <v>937</v>
      </c>
      <c r="Z932" s="55" t="s">
        <v>937</v>
      </c>
      <c r="AA932" s="55" t="s">
        <v>937</v>
      </c>
      <c r="AB932" s="648" t="s">
        <v>937</v>
      </c>
      <c r="AC932" s="737" t="s">
        <v>937</v>
      </c>
      <c r="AD932" s="737" t="s">
        <v>937</v>
      </c>
      <c r="AE932" s="689" t="s">
        <v>937</v>
      </c>
      <c r="AF932" s="689" t="s">
        <v>937</v>
      </c>
      <c r="AG932" s="676"/>
      <c r="AH932" s="41"/>
      <c r="AI932" s="1445" t="s">
        <v>49</v>
      </c>
      <c r="AJ932" s="839"/>
      <c r="AK932" s="839"/>
      <c r="AL932" s="670" t="s">
        <v>937</v>
      </c>
      <c r="AM932" s="20" t="s">
        <v>937</v>
      </c>
      <c r="AN932" s="20" t="s">
        <v>937</v>
      </c>
      <c r="AO932" s="19" t="s">
        <v>937</v>
      </c>
      <c r="AP932" s="19" t="s">
        <v>937</v>
      </c>
      <c r="AQ932" s="19" t="s">
        <v>937</v>
      </c>
      <c r="AR932" s="689" t="s">
        <v>937</v>
      </c>
      <c r="AS932" s="689" t="s">
        <v>937</v>
      </c>
      <c r="AT932" s="38"/>
      <c r="AU932" s="1445" t="s">
        <v>50</v>
      </c>
      <c r="AV932" s="839"/>
      <c r="AW932" s="839"/>
      <c r="AX932" s="670" t="s">
        <v>937</v>
      </c>
      <c r="AY932" s="20" t="s">
        <v>937</v>
      </c>
      <c r="AZ932" s="20" t="s">
        <v>937</v>
      </c>
      <c r="BA932" s="689" t="s">
        <v>937</v>
      </c>
      <c r="BB932" s="689" t="s">
        <v>937</v>
      </c>
      <c r="BC932" s="689" t="s">
        <v>937</v>
      </c>
      <c r="BD932" s="689" t="s">
        <v>937</v>
      </c>
      <c r="BE932" s="689" t="s">
        <v>937</v>
      </c>
      <c r="DG932" s="1071" t="s">
        <v>937</v>
      </c>
      <c r="DH932" s="128" t="str">
        <f t="shared" si="209"/>
        <v>Variable Custom Year EUL</v>
      </c>
      <c r="DI932" s="1068" t="s">
        <v>937</v>
      </c>
      <c r="DJ932" s="874" t="s">
        <v>937</v>
      </c>
    </row>
    <row r="933" spans="2:114">
      <c r="B933" s="1454">
        <f t="shared" si="208"/>
        <v>999999</v>
      </c>
      <c r="C933" s="688" t="s">
        <v>936</v>
      </c>
      <c r="D933" s="1639" t="s">
        <v>937</v>
      </c>
      <c r="E933" s="1638" t="s">
        <v>948</v>
      </c>
      <c r="F933" s="20" t="s">
        <v>937</v>
      </c>
      <c r="G933" s="463" t="s">
        <v>939</v>
      </c>
      <c r="H933" s="464" t="s">
        <v>939</v>
      </c>
      <c r="I933" s="529" t="s">
        <v>937</v>
      </c>
      <c r="J933" s="103" t="s">
        <v>937</v>
      </c>
      <c r="K933" s="103" t="s">
        <v>937</v>
      </c>
      <c r="L933" s="509" t="s">
        <v>937</v>
      </c>
      <c r="V933" s="1414" t="s">
        <v>45</v>
      </c>
      <c r="W933" s="839"/>
      <c r="X933" s="839"/>
      <c r="Y933" s="670" t="s">
        <v>937</v>
      </c>
      <c r="Z933" s="55" t="s">
        <v>937</v>
      </c>
      <c r="AA933" s="55" t="s">
        <v>937</v>
      </c>
      <c r="AB933" s="648" t="s">
        <v>937</v>
      </c>
      <c r="AC933" s="737" t="s">
        <v>937</v>
      </c>
      <c r="AD933" s="737" t="s">
        <v>937</v>
      </c>
      <c r="AE933" s="689" t="s">
        <v>937</v>
      </c>
      <c r="AF933" s="689" t="s">
        <v>937</v>
      </c>
      <c r="AG933" s="676"/>
      <c r="AH933" s="41"/>
      <c r="AI933" s="1445" t="s">
        <v>49</v>
      </c>
      <c r="AJ933" s="839"/>
      <c r="AK933" s="839"/>
      <c r="AL933" s="670" t="s">
        <v>937</v>
      </c>
      <c r="AM933" s="20" t="s">
        <v>937</v>
      </c>
      <c r="AN933" s="20" t="s">
        <v>937</v>
      </c>
      <c r="AO933" s="19" t="s">
        <v>937</v>
      </c>
      <c r="AP933" s="19" t="s">
        <v>937</v>
      </c>
      <c r="AQ933" s="19" t="s">
        <v>937</v>
      </c>
      <c r="AR933" s="689" t="s">
        <v>937</v>
      </c>
      <c r="AS933" s="689" t="s">
        <v>937</v>
      </c>
      <c r="AT933" s="38"/>
      <c r="AU933" s="1445" t="s">
        <v>50</v>
      </c>
      <c r="AV933" s="839"/>
      <c r="AW933" s="839"/>
      <c r="AX933" s="670" t="s">
        <v>937</v>
      </c>
      <c r="AY933" s="20" t="s">
        <v>937</v>
      </c>
      <c r="AZ933" s="20" t="s">
        <v>937</v>
      </c>
      <c r="BA933" s="689" t="s">
        <v>937</v>
      </c>
      <c r="BB933" s="689" t="s">
        <v>937</v>
      </c>
      <c r="BC933" s="689" t="s">
        <v>937</v>
      </c>
      <c r="BD933" s="689" t="s">
        <v>937</v>
      </c>
      <c r="BE933" s="689" t="s">
        <v>937</v>
      </c>
      <c r="DG933" s="1071" t="s">
        <v>937</v>
      </c>
      <c r="DH933" s="128" t="str">
        <f t="shared" si="209"/>
        <v>Variable Custom Year EUL</v>
      </c>
      <c r="DI933" s="1068" t="s">
        <v>937</v>
      </c>
      <c r="DJ933" s="874" t="s">
        <v>937</v>
      </c>
    </row>
    <row r="934" spans="2:114">
      <c r="B934" s="1454">
        <f t="shared" si="208"/>
        <v>999999</v>
      </c>
      <c r="C934" s="688" t="s">
        <v>936</v>
      </c>
      <c r="D934" s="1639" t="s">
        <v>937</v>
      </c>
      <c r="E934" s="1638" t="s">
        <v>949</v>
      </c>
      <c r="F934" s="20" t="s">
        <v>937</v>
      </c>
      <c r="G934" s="463" t="s">
        <v>939</v>
      </c>
      <c r="H934" s="464" t="s">
        <v>939</v>
      </c>
      <c r="I934" s="529" t="s">
        <v>937</v>
      </c>
      <c r="J934" s="103" t="s">
        <v>937</v>
      </c>
      <c r="K934" s="103" t="s">
        <v>937</v>
      </c>
      <c r="L934" s="509" t="s">
        <v>937</v>
      </c>
      <c r="V934" s="1414" t="s">
        <v>45</v>
      </c>
      <c r="W934" s="839"/>
      <c r="X934" s="839"/>
      <c r="Y934" s="670" t="s">
        <v>937</v>
      </c>
      <c r="Z934" s="55" t="s">
        <v>937</v>
      </c>
      <c r="AA934" s="55" t="s">
        <v>937</v>
      </c>
      <c r="AB934" s="648" t="s">
        <v>937</v>
      </c>
      <c r="AC934" s="737" t="s">
        <v>937</v>
      </c>
      <c r="AD934" s="737" t="s">
        <v>937</v>
      </c>
      <c r="AE934" s="689" t="s">
        <v>937</v>
      </c>
      <c r="AF934" s="689" t="s">
        <v>937</v>
      </c>
      <c r="AG934" s="676"/>
      <c r="AH934" s="41"/>
      <c r="AI934" s="1445" t="s">
        <v>49</v>
      </c>
      <c r="AJ934" s="839"/>
      <c r="AK934" s="839"/>
      <c r="AL934" s="670" t="s">
        <v>937</v>
      </c>
      <c r="AM934" s="20" t="s">
        <v>937</v>
      </c>
      <c r="AN934" s="20" t="s">
        <v>937</v>
      </c>
      <c r="AO934" s="19" t="s">
        <v>937</v>
      </c>
      <c r="AP934" s="19" t="s">
        <v>937</v>
      </c>
      <c r="AQ934" s="19" t="s">
        <v>937</v>
      </c>
      <c r="AR934" s="689" t="s">
        <v>937</v>
      </c>
      <c r="AS934" s="689" t="s">
        <v>937</v>
      </c>
      <c r="AT934" s="38"/>
      <c r="AU934" s="1445" t="s">
        <v>50</v>
      </c>
      <c r="AV934" s="839"/>
      <c r="AW934" s="839"/>
      <c r="AX934" s="670" t="s">
        <v>937</v>
      </c>
      <c r="AY934" s="20" t="s">
        <v>937</v>
      </c>
      <c r="AZ934" s="20" t="s">
        <v>937</v>
      </c>
      <c r="BA934" s="689" t="s">
        <v>937</v>
      </c>
      <c r="BB934" s="689" t="s">
        <v>937</v>
      </c>
      <c r="BC934" s="689" t="s">
        <v>937</v>
      </c>
      <c r="BD934" s="689" t="s">
        <v>937</v>
      </c>
      <c r="BE934" s="689" t="s">
        <v>937</v>
      </c>
      <c r="DG934" s="1071" t="s">
        <v>937</v>
      </c>
      <c r="DH934" s="128" t="str">
        <f t="shared" si="209"/>
        <v>Variable Custom Year EUL</v>
      </c>
      <c r="DI934" s="1068" t="s">
        <v>937</v>
      </c>
      <c r="DJ934" s="874" t="s">
        <v>937</v>
      </c>
    </row>
    <row r="935" spans="2:114" outlineLevel="1">
      <c r="D935" s="8" t="s">
        <v>118</v>
      </c>
      <c r="E935" s="8" t="s">
        <v>950</v>
      </c>
    </row>
    <row r="936" spans="2:114" outlineLevel="1"/>
  </sheetData>
  <autoFilter ref="A1:A5141" xr:uid="{00000000-0001-0000-0B00-000000000000}"/>
  <mergeCells count="55">
    <mergeCell ref="P892:Q894"/>
    <mergeCell ref="B921:O921"/>
    <mergeCell ref="P839:Q841"/>
    <mergeCell ref="B848:O848"/>
    <mergeCell ref="P856:Q858"/>
    <mergeCell ref="B866:O866"/>
    <mergeCell ref="P874:Q876"/>
    <mergeCell ref="B884:O884"/>
    <mergeCell ref="B901:O901"/>
    <mergeCell ref="B832:O832"/>
    <mergeCell ref="B730:O730"/>
    <mergeCell ref="P738:Q740"/>
    <mergeCell ref="B748:O748"/>
    <mergeCell ref="B764:O764"/>
    <mergeCell ref="P771:Q773"/>
    <mergeCell ref="B780:O780"/>
    <mergeCell ref="P787:Q789"/>
    <mergeCell ref="B796:O796"/>
    <mergeCell ref="P803:Q805"/>
    <mergeCell ref="B812:O812"/>
    <mergeCell ref="P721:Q723"/>
    <mergeCell ref="M455:O458"/>
    <mergeCell ref="B514:O514"/>
    <mergeCell ref="B554:O554"/>
    <mergeCell ref="B653:O653"/>
    <mergeCell ref="P663:Q665"/>
    <mergeCell ref="B676:O676"/>
    <mergeCell ref="P684:Q686"/>
    <mergeCell ref="B694:O694"/>
    <mergeCell ref="P703:Q705"/>
    <mergeCell ref="B714:O714"/>
    <mergeCell ref="I643:I649"/>
    <mergeCell ref="G675:N675"/>
    <mergeCell ref="O53:S58"/>
    <mergeCell ref="B77:O77"/>
    <mergeCell ref="B261:O261"/>
    <mergeCell ref="M278:O282"/>
    <mergeCell ref="B291:O291"/>
    <mergeCell ref="I181:J181"/>
    <mergeCell ref="M181:N181"/>
    <mergeCell ref="E3:G3"/>
    <mergeCell ref="H3:J3"/>
    <mergeCell ref="D4:J4"/>
    <mergeCell ref="B6:O6"/>
    <mergeCell ref="A1:Q1"/>
    <mergeCell ref="DI424:DJ424"/>
    <mergeCell ref="DK424:DL424"/>
    <mergeCell ref="B123:O123"/>
    <mergeCell ref="B95:O95"/>
    <mergeCell ref="B196:O196"/>
    <mergeCell ref="B150:O150"/>
    <mergeCell ref="B215:O215"/>
    <mergeCell ref="B243:O243"/>
    <mergeCell ref="B316:O316"/>
    <mergeCell ref="B336:O336"/>
  </mergeCells>
  <phoneticPr fontId="73" type="noConversion"/>
  <conditionalFormatting sqref="D35:E35 E223:E224 D225">
    <cfRule type="cellIs" dxfId="651" priority="170" operator="equal">
      <formula>"x"</formula>
    </cfRule>
  </conditionalFormatting>
  <conditionalFormatting sqref="D81:E81">
    <cfRule type="cellIs" dxfId="650" priority="169" operator="equal">
      <formula>"x"</formula>
    </cfRule>
  </conditionalFormatting>
  <conditionalFormatting sqref="D104:E104">
    <cfRule type="cellIs" dxfId="649" priority="168" operator="equal">
      <formula>"x"</formula>
    </cfRule>
  </conditionalFormatting>
  <conditionalFormatting sqref="D131:E131">
    <cfRule type="cellIs" dxfId="648" priority="167" operator="equal">
      <formula>"x"</formula>
    </cfRule>
  </conditionalFormatting>
  <conditionalFormatting sqref="D173:E173">
    <cfRule type="cellIs" dxfId="647" priority="166" operator="equal">
      <formula>"x"</formula>
    </cfRule>
  </conditionalFormatting>
  <conditionalFormatting sqref="D201:E201">
    <cfRule type="cellIs" dxfId="646" priority="165" operator="equal">
      <formula>"x"</formula>
    </cfRule>
  </conditionalFormatting>
  <conditionalFormatting sqref="D248:E248">
    <cfRule type="cellIs" dxfId="645" priority="163" operator="equal">
      <formula>"x"</formula>
    </cfRule>
  </conditionalFormatting>
  <conditionalFormatting sqref="D265:E265">
    <cfRule type="cellIs" dxfId="644" priority="162" operator="equal">
      <formula>"x"</formula>
    </cfRule>
  </conditionalFormatting>
  <conditionalFormatting sqref="D279:E279">
    <cfRule type="cellIs" dxfId="643" priority="161" operator="equal">
      <formula>"x"</formula>
    </cfRule>
  </conditionalFormatting>
  <conditionalFormatting sqref="D299:E299">
    <cfRule type="cellIs" dxfId="642" priority="160" operator="equal">
      <formula>"x"</formula>
    </cfRule>
  </conditionalFormatting>
  <conditionalFormatting sqref="D322:E322">
    <cfRule type="cellIs" dxfId="641" priority="159" operator="equal">
      <formula>"x"</formula>
    </cfRule>
  </conditionalFormatting>
  <conditionalFormatting sqref="D341:E341">
    <cfRule type="cellIs" dxfId="640" priority="158" operator="equal">
      <formula>"x"</formula>
    </cfRule>
  </conditionalFormatting>
  <conditionalFormatting sqref="D358:E358">
    <cfRule type="cellIs" dxfId="639" priority="157" operator="equal">
      <formula>"x"</formula>
    </cfRule>
  </conditionalFormatting>
  <conditionalFormatting sqref="D375:E375">
    <cfRule type="cellIs" dxfId="638" priority="156" operator="equal">
      <formula>"x"</formula>
    </cfRule>
  </conditionalFormatting>
  <conditionalFormatting sqref="D409:E409">
    <cfRule type="cellIs" dxfId="637" priority="155" operator="equal">
      <formula>"x"</formula>
    </cfRule>
  </conditionalFormatting>
  <conditionalFormatting sqref="D434:E434">
    <cfRule type="cellIs" dxfId="636" priority="154" operator="equal">
      <formula>"x"</formula>
    </cfRule>
  </conditionalFormatting>
  <conditionalFormatting sqref="D457:E457">
    <cfRule type="cellIs" dxfId="635" priority="153" operator="equal">
      <formula>"x"</formula>
    </cfRule>
  </conditionalFormatting>
  <conditionalFormatting sqref="D476:E476">
    <cfRule type="cellIs" dxfId="634" priority="152" operator="equal">
      <formula>"x"</formula>
    </cfRule>
  </conditionalFormatting>
  <conditionalFormatting sqref="D496:E496">
    <cfRule type="cellIs" dxfId="633" priority="85" operator="equal">
      <formula>"x"</formula>
    </cfRule>
  </conditionalFormatting>
  <conditionalFormatting sqref="D521:E521">
    <cfRule type="cellIs" dxfId="632" priority="151" operator="equal">
      <formula>"x"</formula>
    </cfRule>
  </conditionalFormatting>
  <conditionalFormatting sqref="D540:E540">
    <cfRule type="cellIs" dxfId="631" priority="150" operator="equal">
      <formula>"x"</formula>
    </cfRule>
  </conditionalFormatting>
  <conditionalFormatting sqref="D564:E564">
    <cfRule type="cellIs" dxfId="630" priority="149" operator="equal">
      <formula>"x"</formula>
    </cfRule>
  </conditionalFormatting>
  <conditionalFormatting sqref="D590:E590">
    <cfRule type="cellIs" dxfId="629" priority="148" operator="equal">
      <formula>"x"</formula>
    </cfRule>
  </conditionalFormatting>
  <conditionalFormatting sqref="D612:E612">
    <cfRule type="cellIs" dxfId="628" priority="147" operator="equal">
      <formula>"x"</formula>
    </cfRule>
  </conditionalFormatting>
  <conditionalFormatting sqref="D634:E634">
    <cfRule type="cellIs" dxfId="627" priority="146" operator="equal">
      <formula>"x"</formula>
    </cfRule>
  </conditionalFormatting>
  <conditionalFormatting sqref="D658:E658">
    <cfRule type="cellIs" dxfId="626" priority="145" operator="equal">
      <formula>"x"</formula>
    </cfRule>
  </conditionalFormatting>
  <conditionalFormatting sqref="D681:E681">
    <cfRule type="cellIs" dxfId="625" priority="144" operator="equal">
      <formula>"x"</formula>
    </cfRule>
  </conditionalFormatting>
  <conditionalFormatting sqref="D700:E700">
    <cfRule type="cellIs" dxfId="624" priority="143" operator="equal">
      <formula>"x"</formula>
    </cfRule>
  </conditionalFormatting>
  <conditionalFormatting sqref="D718:E718">
    <cfRule type="cellIs" dxfId="623" priority="142" operator="equal">
      <formula>"x"</formula>
    </cfRule>
  </conditionalFormatting>
  <conditionalFormatting sqref="D735:E735">
    <cfRule type="cellIs" dxfId="622" priority="141" operator="equal">
      <formula>"x"</formula>
    </cfRule>
  </conditionalFormatting>
  <conditionalFormatting sqref="D752:E752">
    <cfRule type="cellIs" dxfId="621" priority="140" operator="equal">
      <formula>"x"</formula>
    </cfRule>
  </conditionalFormatting>
  <conditionalFormatting sqref="D768:E768">
    <cfRule type="cellIs" dxfId="620" priority="139" operator="equal">
      <formula>"x"</formula>
    </cfRule>
  </conditionalFormatting>
  <conditionalFormatting sqref="D784:E784">
    <cfRule type="cellIs" dxfId="619" priority="138" operator="equal">
      <formula>"x"</formula>
    </cfRule>
  </conditionalFormatting>
  <conditionalFormatting sqref="D800:E800">
    <cfRule type="cellIs" dxfId="618" priority="137" operator="equal">
      <formula>"x"</formula>
    </cfRule>
  </conditionalFormatting>
  <conditionalFormatting sqref="D818:E818">
    <cfRule type="cellIs" dxfId="617" priority="136" operator="equal">
      <formula>"x"</formula>
    </cfRule>
  </conditionalFormatting>
  <conditionalFormatting sqref="D836:E836">
    <cfRule type="cellIs" dxfId="616" priority="135" operator="equal">
      <formula>"x"</formula>
    </cfRule>
  </conditionalFormatting>
  <conditionalFormatting sqref="AB9:AB25 BA9:BA28 AB27:AB28 AB30:AB31 BA30:BA31 AB33 BA33 AB49:AB65 BA49:BA65 BM49:BM65 CL49:CL65 CY49:CY65 AB67:AB68 BA67:BA68 BM67:BM68 CL67:CL68 CY67:CY68 AB70:AB71 BA70:BA71 BM70:BM71 CL70:CL71 CY70:CY71 AB73 BA73 BM73 CL73 CY73 AB126:AC130 AC141:AC145 AP141:AP145 AB153:AE171 AB184:AF193 AC537:AF539 AC549:AF551 AC656:AF657 AF669:AF670 AF673:AF674">
    <cfRule type="cellIs" dxfId="615" priority="332" operator="notEqual">
      <formula>AA9</formula>
    </cfRule>
  </conditionalFormatting>
  <conditionalFormatting sqref="AB426:AB433">
    <cfRule type="cellIs" dxfId="614" priority="89" operator="notEqual">
      <formula>AA426</formula>
    </cfRule>
  </conditionalFormatting>
  <conditionalFormatting sqref="AB445:AB451">
    <cfRule type="cellIs" dxfId="613" priority="62" operator="notEqual">
      <formula>AA445</formula>
    </cfRule>
  </conditionalFormatting>
  <conditionalFormatting sqref="AB455">
    <cfRule type="cellIs" dxfId="612" priority="110" operator="notEqual">
      <formula>AA455</formula>
    </cfRule>
  </conditionalFormatting>
  <conditionalFormatting sqref="AB98:AC102">
    <cfRule type="cellIs" dxfId="611" priority="285" operator="notEqual">
      <formula>AA98</formula>
    </cfRule>
  </conditionalFormatting>
  <conditionalFormatting sqref="AB115:AD119">
    <cfRule type="cellIs" dxfId="610" priority="234" operator="notEqual">
      <formula>AA115</formula>
    </cfRule>
  </conditionalFormatting>
  <conditionalFormatting sqref="AB404:AD408">
    <cfRule type="cellIs" dxfId="609" priority="106" operator="notEqual">
      <formula>AA404</formula>
    </cfRule>
  </conditionalFormatting>
  <conditionalFormatting sqref="AB418:AD422">
    <cfRule type="cellIs" dxfId="608" priority="67" operator="notEqual">
      <formula>AA418</formula>
    </cfRule>
  </conditionalFormatting>
  <conditionalFormatting sqref="AC49:AC74">
    <cfRule type="cellIs" dxfId="607" priority="288" operator="notEqual">
      <formula>AB49</formula>
    </cfRule>
  </conditionalFormatting>
  <conditionalFormatting sqref="AC80">
    <cfRule type="cellIs" dxfId="606" priority="287" operator="notEqual">
      <formula>AB80</formula>
    </cfRule>
  </conditionalFormatting>
  <conditionalFormatting sqref="AC455:AD456">
    <cfRule type="cellIs" dxfId="605" priority="104" operator="notEqual">
      <formula>AB455</formula>
    </cfRule>
  </conditionalFormatting>
  <conditionalFormatting sqref="AC609:AD609">
    <cfRule type="cellIs" dxfId="604" priority="107" operator="notEqual">
      <formula>AB609</formula>
    </cfRule>
  </conditionalFormatting>
  <conditionalFormatting sqref="AC924:AD934">
    <cfRule type="cellIs" dxfId="603" priority="1" operator="notEqual">
      <formula>AB924</formula>
    </cfRule>
  </conditionalFormatting>
  <conditionalFormatting sqref="AC199:AE200">
    <cfRule type="cellIs" dxfId="602" priority="129" operator="notEqual">
      <formula>AB199</formula>
    </cfRule>
  </conditionalFormatting>
  <conditionalFormatting sqref="AC218:AE224">
    <cfRule type="cellIs" dxfId="601" priority="128" operator="notEqual">
      <formula>AB218</formula>
    </cfRule>
  </conditionalFormatting>
  <conditionalFormatting sqref="AC246:AE247">
    <cfRule type="cellIs" dxfId="600" priority="127" operator="notEqual">
      <formula>AB246</formula>
    </cfRule>
  </conditionalFormatting>
  <conditionalFormatting sqref="AC264:AE264">
    <cfRule type="cellIs" dxfId="599" priority="126" operator="notEqual">
      <formula>AB264</formula>
    </cfRule>
  </conditionalFormatting>
  <conditionalFormatting sqref="AC278:AE278">
    <cfRule type="cellIs" dxfId="598" priority="109" operator="notEqual">
      <formula>AB278</formula>
    </cfRule>
  </conditionalFormatting>
  <conditionalFormatting sqref="AC294:AE298">
    <cfRule type="cellIs" dxfId="597" priority="103" operator="notEqual">
      <formula>AB294</formula>
    </cfRule>
  </conditionalFormatting>
  <conditionalFormatting sqref="AC313:AE313">
    <cfRule type="cellIs" dxfId="596" priority="77" operator="notEqual">
      <formula>AB313</formula>
    </cfRule>
  </conditionalFormatting>
  <conditionalFormatting sqref="AC354:AE357">
    <cfRule type="cellIs" dxfId="595" priority="97" operator="notEqual">
      <formula>AB354</formula>
    </cfRule>
  </conditionalFormatting>
  <conditionalFormatting sqref="AC761:AE761">
    <cfRule type="cellIs" dxfId="594" priority="10" operator="notEqual">
      <formula>AB761</formula>
    </cfRule>
  </conditionalFormatting>
  <conditionalFormatting sqref="AC767:AE767">
    <cfRule type="cellIs" dxfId="593" priority="248" operator="notEqual">
      <formula>AB767</formula>
    </cfRule>
  </conditionalFormatting>
  <conditionalFormatting sqref="AC777:AE777">
    <cfRule type="cellIs" dxfId="592" priority="11" operator="notEqual">
      <formula>AB777</formula>
    </cfRule>
  </conditionalFormatting>
  <conditionalFormatting sqref="AC92:AF92">
    <cfRule type="cellIs" dxfId="591" priority="133" operator="notEqual">
      <formula>AB92</formula>
    </cfRule>
  </conditionalFormatting>
  <conditionalFormatting sqref="AC257:AF258">
    <cfRule type="cellIs" dxfId="590" priority="83" operator="notEqual">
      <formula>AB257</formula>
    </cfRule>
  </conditionalFormatting>
  <conditionalFormatting sqref="AC319:AF321">
    <cfRule type="cellIs" dxfId="589" priority="102" operator="notEqual">
      <formula>AB319</formula>
    </cfRule>
  </conditionalFormatting>
  <conditionalFormatting sqref="AC331:AF333">
    <cfRule type="cellIs" dxfId="588" priority="70" operator="notEqual">
      <formula>AB331</formula>
    </cfRule>
  </conditionalFormatting>
  <conditionalFormatting sqref="AC367:AF370">
    <cfRule type="cellIs" dxfId="587" priority="69" operator="notEqual">
      <formula>AB367</formula>
    </cfRule>
  </conditionalFormatting>
  <conditionalFormatting sqref="AC374:AF374">
    <cfRule type="cellIs" dxfId="586" priority="108" operator="notEqual">
      <formula>AB374</formula>
    </cfRule>
  </conditionalFormatting>
  <conditionalFormatting sqref="AC517:AF520">
    <cfRule type="cellIs" dxfId="585" priority="101" operator="notEqual">
      <formula>AB517</formula>
    </cfRule>
  </conditionalFormatting>
  <conditionalFormatting sqref="AC530:AF533">
    <cfRule type="cellIs" dxfId="584" priority="56" operator="notEqual">
      <formula>AB530</formula>
    </cfRule>
  </conditionalFormatting>
  <conditionalFormatting sqref="AC557:AF563">
    <cfRule type="cellIs" dxfId="583" priority="99" operator="notEqual">
      <formula>AB557</formula>
    </cfRule>
  </conditionalFormatting>
  <conditionalFormatting sqref="AC583:AF589">
    <cfRule type="cellIs" dxfId="582" priority="98" operator="notEqual">
      <formula>AB583</formula>
    </cfRule>
  </conditionalFormatting>
  <conditionalFormatting sqref="AC599:AF605">
    <cfRule type="cellIs" dxfId="581" priority="54" operator="notEqual">
      <formula>AB599</formula>
    </cfRule>
  </conditionalFormatting>
  <conditionalFormatting sqref="AC627:AF633">
    <cfRule type="cellIs" dxfId="580" priority="90" operator="notEqual">
      <formula>AB627</formula>
    </cfRule>
  </conditionalFormatting>
  <conditionalFormatting sqref="AC643:AF649">
    <cfRule type="cellIs" dxfId="579" priority="14" operator="notEqual">
      <formula>AB643</formula>
    </cfRule>
  </conditionalFormatting>
  <conditionalFormatting sqref="AC679:AF680">
    <cfRule type="cellIs" dxfId="578" priority="113" operator="notEqual">
      <formula>AB679</formula>
    </cfRule>
  </conditionalFormatting>
  <conditionalFormatting sqref="AC697:AF699">
    <cfRule type="cellIs" dxfId="577" priority="15" operator="notEqual">
      <formula>AB697</formula>
    </cfRule>
  </conditionalFormatting>
  <conditionalFormatting sqref="AC717:AF717">
    <cfRule type="cellIs" dxfId="576" priority="115" operator="notEqual">
      <formula>AB717</formula>
    </cfRule>
  </conditionalFormatting>
  <conditionalFormatting sqref="AC727:AF727">
    <cfRule type="cellIs" dxfId="575" priority="6" operator="notEqual">
      <formula>AB727</formula>
    </cfRule>
  </conditionalFormatting>
  <conditionalFormatting sqref="AC733:AF734">
    <cfRule type="cellIs" dxfId="574" priority="116" operator="notEqual">
      <formula>AB733</formula>
    </cfRule>
  </conditionalFormatting>
  <conditionalFormatting sqref="AC751:AF751">
    <cfRule type="cellIs" dxfId="573" priority="117" operator="notEqual">
      <formula>AB751</formula>
    </cfRule>
  </conditionalFormatting>
  <conditionalFormatting sqref="AC783:AF783">
    <cfRule type="cellIs" dxfId="572" priority="118" operator="notEqual">
      <formula>AB783</formula>
    </cfRule>
  </conditionalFormatting>
  <conditionalFormatting sqref="AC799:AF799">
    <cfRule type="cellIs" dxfId="571" priority="119" operator="notEqual">
      <formula>AB799</formula>
    </cfRule>
  </conditionalFormatting>
  <conditionalFormatting sqref="AC815:AF817">
    <cfRule type="cellIs" dxfId="570" priority="120" operator="notEqual">
      <formula>AB815</formula>
    </cfRule>
  </conditionalFormatting>
  <conditionalFormatting sqref="AC835:AF835">
    <cfRule type="cellIs" dxfId="569" priority="121" operator="notEqual">
      <formula>AB835</formula>
    </cfRule>
  </conditionalFormatting>
  <conditionalFormatting sqref="AC851:AF852">
    <cfRule type="cellIs" dxfId="568" priority="122" operator="notEqual">
      <formula>AB851</formula>
    </cfRule>
  </conditionalFormatting>
  <conditionalFormatting sqref="AC869:AF870">
    <cfRule type="cellIs" dxfId="567" priority="123" operator="notEqual">
      <formula>AB869</formula>
    </cfRule>
  </conditionalFormatting>
  <conditionalFormatting sqref="AC887:AF888">
    <cfRule type="cellIs" dxfId="566" priority="124" operator="notEqual">
      <formula>AB887</formula>
    </cfRule>
  </conditionalFormatting>
  <conditionalFormatting sqref="AC904:AF908">
    <cfRule type="cellIs" dxfId="565" priority="78" operator="notEqual">
      <formula>AB904</formula>
    </cfRule>
  </conditionalFormatting>
  <conditionalFormatting sqref="AF9:AF34 AF126:AF130">
    <cfRule type="expression" dxfId="564" priority="50">
      <formula>AND(AF9=AE9,AE9&lt;&gt;"")</formula>
    </cfRule>
    <cfRule type="expression" dxfId="563" priority="51">
      <formula>AF9&lt;&gt;AE9</formula>
    </cfRule>
  </conditionalFormatting>
  <conditionalFormatting sqref="AF80">
    <cfRule type="expression" dxfId="562" priority="49">
      <formula>AF80&lt;&gt;AE80</formula>
    </cfRule>
    <cfRule type="expression" dxfId="561" priority="48">
      <formula>AND(AF80=AE80,AE80&lt;&gt;"")</formula>
    </cfRule>
  </conditionalFormatting>
  <conditionalFormatting sqref="AF98:AF102">
    <cfRule type="expression" dxfId="560" priority="47">
      <formula>AF98&lt;&gt;AE98</formula>
    </cfRule>
    <cfRule type="expression" dxfId="559" priority="46">
      <formula>AND(AF98=AE98,AE98&lt;&gt;"")</formula>
    </cfRule>
  </conditionalFormatting>
  <conditionalFormatting sqref="AF153:AF171">
    <cfRule type="expression" dxfId="558" priority="43">
      <formula>AF153&lt;&gt;AE153</formula>
    </cfRule>
    <cfRule type="expression" dxfId="557" priority="42">
      <formula>AND(AF153=AE153,AE153&lt;&gt;"")</formula>
    </cfRule>
  </conditionalFormatting>
  <conditionalFormatting sqref="AF199:AF200">
    <cfRule type="expression" dxfId="556" priority="40">
      <formula>AND(AF199=AE199,AE199&lt;&gt;"")</formula>
    </cfRule>
    <cfRule type="expression" dxfId="555" priority="41">
      <formula>AF199&lt;&gt;AE199</formula>
    </cfRule>
  </conditionalFormatting>
  <conditionalFormatting sqref="AF218:AF224">
    <cfRule type="expression" dxfId="554" priority="39">
      <formula>AF218&lt;&gt;AE218</formula>
    </cfRule>
    <cfRule type="expression" dxfId="553" priority="38">
      <formula>AND(AF218=AE218,AE218&lt;&gt;"")</formula>
    </cfRule>
  </conditionalFormatting>
  <conditionalFormatting sqref="AF234:AF238 AC239:AF240">
    <cfRule type="cellIs" dxfId="552" priority="71" operator="notEqual">
      <formula>AB234</formula>
    </cfRule>
  </conditionalFormatting>
  <conditionalFormatting sqref="AF246:AF247">
    <cfRule type="expression" dxfId="551" priority="35">
      <formula>AF246&lt;&gt;AE246</formula>
    </cfRule>
    <cfRule type="expression" dxfId="550" priority="34">
      <formula>AND(AF246=AE246,AE246&lt;&gt;"")</formula>
    </cfRule>
  </conditionalFormatting>
  <conditionalFormatting sqref="AF264">
    <cfRule type="expression" dxfId="549" priority="33">
      <formula>AF264&lt;&gt;AE264</formula>
    </cfRule>
    <cfRule type="expression" dxfId="548" priority="32">
      <formula>AND(AF264=AE264,AE264&lt;&gt;"")</formula>
    </cfRule>
  </conditionalFormatting>
  <conditionalFormatting sqref="AF278">
    <cfRule type="expression" dxfId="547" priority="31">
      <formula>AF278&lt;&gt;AE278</formula>
    </cfRule>
    <cfRule type="expression" dxfId="546" priority="30">
      <formula>AND(AF278=AE278,AE278&lt;&gt;"")</formula>
    </cfRule>
  </conditionalFormatting>
  <conditionalFormatting sqref="AF294:AF298">
    <cfRule type="expression" dxfId="545" priority="29">
      <formula>AF294&lt;&gt;AE294</formula>
    </cfRule>
    <cfRule type="expression" dxfId="544" priority="28">
      <formula>AND(AF294=AE294,AE294&lt;&gt;"")</formula>
    </cfRule>
  </conditionalFormatting>
  <conditionalFormatting sqref="AF309:AF313">
    <cfRule type="expression" dxfId="543" priority="26">
      <formula>AND(AF309=AE309,AE309&lt;&gt;"")</formula>
    </cfRule>
    <cfRule type="expression" dxfId="542" priority="27">
      <formula>AF309&lt;&gt;AE309</formula>
    </cfRule>
  </conditionalFormatting>
  <conditionalFormatting sqref="AF339:AF340">
    <cfRule type="expression" dxfId="541" priority="25">
      <formula>AF339&lt;&gt;AE339</formula>
    </cfRule>
    <cfRule type="expression" dxfId="540" priority="24">
      <formula>AND(AF339=AE339,AE339&lt;&gt;"")</formula>
    </cfRule>
  </conditionalFormatting>
  <conditionalFormatting sqref="AF350">
    <cfRule type="cellIs" dxfId="539" priority="75" operator="notEqual">
      <formula>AE350</formula>
    </cfRule>
  </conditionalFormatting>
  <conditionalFormatting sqref="AF354:AF357">
    <cfRule type="expression" dxfId="538" priority="23">
      <formula>AF354&lt;&gt;AE354</formula>
    </cfRule>
    <cfRule type="expression" dxfId="537" priority="22">
      <formula>AND(AF354=AE354,AE354&lt;&gt;"")</formula>
    </cfRule>
  </conditionalFormatting>
  <conditionalFormatting sqref="AF404:AF408">
    <cfRule type="expression" dxfId="536" priority="21">
      <formula>AF404&lt;&gt;AE404</formula>
    </cfRule>
    <cfRule type="expression" dxfId="535" priority="20">
      <formula>AND(AF404=AE404,AE404&lt;&gt;"")</formula>
    </cfRule>
  </conditionalFormatting>
  <conditionalFormatting sqref="AF426:AF433">
    <cfRule type="expression" dxfId="534" priority="18">
      <formula>AND(AF426=AE426,AE426&lt;&gt;"")</formula>
    </cfRule>
    <cfRule type="expression" dxfId="533" priority="19">
      <formula>AF426&lt;&gt;AE426</formula>
    </cfRule>
  </conditionalFormatting>
  <conditionalFormatting sqref="AF455:AF456">
    <cfRule type="expression" dxfId="532" priority="16">
      <formula>AND(AF455=AE455,AE455&lt;&gt;"")</formula>
    </cfRule>
    <cfRule type="expression" dxfId="531" priority="17">
      <formula>AF455&lt;&gt;AE455</formula>
    </cfRule>
  </conditionalFormatting>
  <conditionalFormatting sqref="AF609:AF611">
    <cfRule type="cellIs" dxfId="530" priority="91" operator="notEqual">
      <formula>AE609</formula>
    </cfRule>
  </conditionalFormatting>
  <conditionalFormatting sqref="AF690:AF691">
    <cfRule type="cellIs" dxfId="529" priority="5" operator="notEqual">
      <formula>AE690</formula>
    </cfRule>
  </conditionalFormatting>
  <conditionalFormatting sqref="AF709:AF711">
    <cfRule type="cellIs" dxfId="528" priority="9" operator="notEqual">
      <formula>AE709</formula>
    </cfRule>
  </conditionalFormatting>
  <conditionalFormatting sqref="AO9:AO33">
    <cfRule type="cellIs" dxfId="527" priority="295" operator="notEqual">
      <formula>AN9</formula>
    </cfRule>
  </conditionalFormatting>
  <conditionalFormatting sqref="AO49:AP74">
    <cfRule type="cellIs" dxfId="526" priority="224" operator="notEqual">
      <formula>AN49</formula>
    </cfRule>
  </conditionalFormatting>
  <conditionalFormatting sqref="AO426:AQ433">
    <cfRule type="cellIs" dxfId="525" priority="86" operator="notEqual">
      <formula>AN426</formula>
    </cfRule>
  </conditionalFormatting>
  <conditionalFormatting sqref="AO444:AQ451">
    <cfRule type="cellIs" dxfId="524" priority="60" operator="notEqual">
      <formula>AN444</formula>
    </cfRule>
  </conditionalFormatting>
  <conditionalFormatting sqref="AO404:AS408">
    <cfRule type="cellIs" dxfId="523" priority="92" operator="notEqual">
      <formula>AN404</formula>
    </cfRule>
  </conditionalFormatting>
  <conditionalFormatting sqref="AO418:AS422">
    <cfRule type="cellIs" dxfId="522" priority="65" operator="notEqual">
      <formula>AN418</formula>
    </cfRule>
  </conditionalFormatting>
  <conditionalFormatting sqref="AP115:AR119">
    <cfRule type="cellIs" dxfId="521" priority="194" operator="notEqual">
      <formula>AO115</formula>
    </cfRule>
  </conditionalFormatting>
  <conditionalFormatting sqref="AP367:AS370">
    <cfRule type="cellIs" dxfId="520" priority="68" operator="notEqual">
      <formula>AO367</formula>
    </cfRule>
  </conditionalFormatting>
  <conditionalFormatting sqref="AR354:AS357 AR374:AS374">
    <cfRule type="cellIs" dxfId="519" priority="96" operator="notEqual">
      <formula>AQ354</formula>
    </cfRule>
  </conditionalFormatting>
  <conditionalFormatting sqref="AS74">
    <cfRule type="cellIs" dxfId="518" priority="134" operator="notEqual">
      <formula>AR74</formula>
    </cfRule>
  </conditionalFormatting>
  <conditionalFormatting sqref="AS309:AS312 AP313:AS313">
    <cfRule type="cellIs" dxfId="517" priority="81" operator="notEqual">
      <formula>AO309</formula>
    </cfRule>
  </conditionalFormatting>
  <conditionalFormatting sqref="AS350">
    <cfRule type="cellIs" dxfId="516" priority="74" operator="notEqual">
      <formula>AR350</formula>
    </cfRule>
  </conditionalFormatting>
  <conditionalFormatting sqref="BA426:BA433">
    <cfRule type="cellIs" dxfId="515" priority="87" operator="notEqual">
      <formula>AZ426</formula>
    </cfRule>
  </conditionalFormatting>
  <conditionalFormatting sqref="BA444:BA451">
    <cfRule type="cellIs" dxfId="514" priority="61" operator="notEqual">
      <formula>AZ444</formula>
    </cfRule>
  </conditionalFormatting>
  <conditionalFormatting sqref="BA404:BE408">
    <cfRule type="cellIs" dxfId="513" priority="93" operator="notEqual">
      <formula>AZ404</formula>
    </cfRule>
  </conditionalFormatting>
  <conditionalFormatting sqref="BA418:BE422">
    <cfRule type="cellIs" dxfId="512" priority="66" operator="notEqual">
      <formula>AZ418</formula>
    </cfRule>
  </conditionalFormatting>
  <conditionalFormatting sqref="BB49:BB74">
    <cfRule type="cellIs" dxfId="511" priority="290" operator="notEqual">
      <formula>BA49</formula>
    </cfRule>
  </conditionalFormatting>
  <conditionalFormatting sqref="BB9:BC34">
    <cfRule type="cellIs" dxfId="510" priority="219" operator="notEqual">
      <formula>BA9</formula>
    </cfRule>
  </conditionalFormatting>
  <conditionalFormatting sqref="BB309:BE313">
    <cfRule type="cellIs" dxfId="509" priority="76" operator="notEqual">
      <formula>BA309</formula>
    </cfRule>
  </conditionalFormatting>
  <conditionalFormatting sqref="BE350">
    <cfRule type="cellIs" dxfId="508" priority="73" operator="notEqual">
      <formula>BD350</formula>
    </cfRule>
  </conditionalFormatting>
  <conditionalFormatting sqref="BM426:BQ433">
    <cfRule type="cellIs" dxfId="507" priority="95" operator="notEqual">
      <formula>BL426</formula>
    </cfRule>
  </conditionalFormatting>
  <conditionalFormatting sqref="BM444:BQ451">
    <cfRule type="cellIs" dxfId="506" priority="64" operator="notEqual">
      <formula>BL444</formula>
    </cfRule>
  </conditionalFormatting>
  <conditionalFormatting sqref="BN49:BN74">
    <cfRule type="cellIs" dxfId="505" priority="291" operator="notEqual">
      <formula>BM49</formula>
    </cfRule>
  </conditionalFormatting>
  <conditionalFormatting sqref="BQ350">
    <cfRule type="cellIs" dxfId="504" priority="72" operator="notEqual">
      <formula>BP350</formula>
    </cfRule>
  </conditionalFormatting>
  <conditionalFormatting sqref="BZ426:CD433">
    <cfRule type="cellIs" dxfId="503" priority="94" operator="notEqual">
      <formula>BY426</formula>
    </cfRule>
  </conditionalFormatting>
  <conditionalFormatting sqref="CD444:CD450 BZ451:CD451">
    <cfRule type="cellIs" dxfId="502" priority="63" operator="notEqual">
      <formula>BY444</formula>
    </cfRule>
  </conditionalFormatting>
  <conditionalFormatting sqref="CM49:CN74">
    <cfRule type="cellIs" dxfId="501" priority="220" operator="notEqual">
      <formula>CL49</formula>
    </cfRule>
  </conditionalFormatting>
  <conditionalFormatting sqref="CP444 CL445:CP451">
    <cfRule type="cellIs" dxfId="500" priority="59" operator="notEqual">
      <formula>CK444</formula>
    </cfRule>
  </conditionalFormatting>
  <conditionalFormatting sqref="CY690:DB691">
    <cfRule type="cellIs" dxfId="499" priority="4" operator="notEqual">
      <formula>CX690</formula>
    </cfRule>
  </conditionalFormatting>
  <conditionalFormatting sqref="CY709:DB711">
    <cfRule type="cellIs" dxfId="498" priority="7" operator="notEqual">
      <formula>CX709</formula>
    </cfRule>
  </conditionalFormatting>
  <conditionalFormatting sqref="CZ49:DA74">
    <cfRule type="cellIs" dxfId="497" priority="221" operator="notEqual">
      <formula>CY49</formula>
    </cfRule>
  </conditionalFormatting>
  <conditionalFormatting sqref="DB444 CX445:DB451">
    <cfRule type="cellIs" dxfId="496" priority="58" operator="notEqual">
      <formula>CW444</formula>
    </cfRule>
  </conditionalFormatting>
  <conditionalFormatting sqref="DN444 DJ445:DN451">
    <cfRule type="cellIs" dxfId="495" priority="57" operator="notEqual">
      <formula>DI444</formula>
    </cfRule>
  </conditionalFormatting>
  <pageMargins left="0.7" right="0.7" top="0.75" bottom="0.75" header="0.3" footer="0.3"/>
  <pageSetup scale="39" fitToHeight="0" orientation="landscape" r:id="rId1"/>
  <rowBreaks count="4" manualBreakCount="4">
    <brk id="148" max="17" man="1"/>
    <brk id="334" max="17" man="1"/>
    <brk id="552" max="17" man="1"/>
    <brk id="746" max="17"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rgb="FFFF9999"/>
    <pageSetUpPr fitToPage="1"/>
  </sheetPr>
  <dimension ref="A1:DK5406"/>
  <sheetViews>
    <sheetView topLeftCell="A149" zoomScale="110" zoomScaleNormal="110" workbookViewId="0">
      <selection activeCell="A386" sqref="A386"/>
    </sheetView>
  </sheetViews>
  <sheetFormatPr defaultColWidth="9.28515625" defaultRowHeight="15" outlineLevelRow="1"/>
  <cols>
    <col min="1" max="1" width="4.42578125" style="66" customWidth="1"/>
    <col min="2" max="2" width="8.7109375" style="66" customWidth="1"/>
    <col min="3" max="3" width="24.28515625" style="346" customWidth="1"/>
    <col min="4" max="4" width="34" style="65" customWidth="1"/>
    <col min="5" max="5" width="62.7109375" style="65" customWidth="1"/>
    <col min="6" max="6" width="22.28515625" style="64" customWidth="1"/>
    <col min="7" max="7" width="37.28515625" style="66" customWidth="1"/>
    <col min="8" max="8" width="27.140625" style="66" customWidth="1"/>
    <col min="9" max="9" width="56" style="66" customWidth="1"/>
    <col min="10" max="10" width="11.7109375" style="66" customWidth="1"/>
    <col min="11" max="11" width="22.5703125" style="66" bestFit="1" customWidth="1"/>
    <col min="12" max="12" width="14.5703125" style="66" customWidth="1"/>
    <col min="13" max="13" width="14.28515625" style="66" customWidth="1"/>
    <col min="14" max="14" width="10.5703125" style="66" customWidth="1"/>
    <col min="15" max="15" width="14.28515625" style="66" customWidth="1"/>
    <col min="16" max="16" width="12.28515625" style="66" bestFit="1" customWidth="1"/>
    <col min="17" max="17" width="2.28515625" style="66" customWidth="1"/>
    <col min="18" max="18" width="1.42578125" style="66" customWidth="1"/>
    <col min="19" max="21" width="9.28515625" style="66" customWidth="1"/>
    <col min="22" max="22" width="26.5703125" style="7" customWidth="1"/>
    <col min="23" max="23" width="13.7109375" style="7" customWidth="1"/>
    <col min="24" max="24" width="18.42578125" style="7" customWidth="1"/>
    <col min="25" max="25" width="16.7109375" style="7" customWidth="1"/>
    <col min="26" max="26" width="19.28515625" style="7" bestFit="1" customWidth="1"/>
    <col min="27" max="27" width="13.7109375" style="7" customWidth="1"/>
    <col min="28" max="28" width="18.5703125" style="7" bestFit="1" customWidth="1"/>
    <col min="29" max="29" width="17.7109375" style="7" customWidth="1"/>
    <col min="30" max="31" width="13.7109375" style="7" customWidth="1"/>
    <col min="32" max="32" width="18.5703125" style="7" customWidth="1"/>
    <col min="33" max="33" width="13.7109375" style="7" customWidth="1"/>
    <col min="34" max="34" width="9.28515625" style="7" customWidth="1"/>
    <col min="35" max="35" width="15.5703125" style="7" customWidth="1"/>
    <col min="36" max="37" width="20" style="7" bestFit="1" customWidth="1"/>
    <col min="38" max="39" width="15.5703125" style="7" customWidth="1"/>
    <col min="40" max="40" width="16.7109375" style="7" bestFit="1" customWidth="1"/>
    <col min="41" max="41" width="17.28515625" style="7" bestFit="1" customWidth="1"/>
    <col min="42" max="43" width="15.5703125" style="7" customWidth="1"/>
    <col min="44" max="44" width="19.28515625" style="7" customWidth="1"/>
    <col min="45" max="45" width="15.5703125" style="7" customWidth="1"/>
    <col min="46" max="52" width="9.28515625" style="7" customWidth="1"/>
    <col min="53" max="110" width="18.28515625" style="7" customWidth="1"/>
    <col min="111" max="111" width="12" style="1073" bestFit="1" customWidth="1"/>
    <col min="112" max="112" width="39.28515625" style="66" customWidth="1"/>
    <col min="113" max="113" width="11.7109375" style="66" customWidth="1"/>
    <col min="114" max="114" width="17.5703125" style="1102" bestFit="1" customWidth="1"/>
    <col min="115" max="16384" width="9.28515625" style="7"/>
  </cols>
  <sheetData>
    <row r="1" spans="1:114" s="2" customFormat="1" ht="18.75">
      <c r="A1" s="4078" t="s">
        <v>951</v>
      </c>
      <c r="B1" s="4079"/>
      <c r="C1" s="4080"/>
      <c r="D1" s="4079"/>
      <c r="E1" s="4079"/>
      <c r="F1" s="4079"/>
      <c r="G1" s="4079"/>
      <c r="H1" s="4079"/>
      <c r="I1" s="4079"/>
      <c r="J1" s="4079"/>
      <c r="K1" s="4079"/>
      <c r="L1" s="4079"/>
      <c r="M1" s="4079"/>
      <c r="N1" s="4079"/>
      <c r="O1" s="4079"/>
      <c r="P1" s="4079"/>
      <c r="Q1" s="1361"/>
      <c r="R1" s="265"/>
      <c r="S1" s="265"/>
      <c r="T1" s="265"/>
      <c r="U1" s="265"/>
      <c r="V1" s="4"/>
      <c r="W1" s="5"/>
      <c r="X1" s="5"/>
      <c r="Y1" s="6"/>
      <c r="Z1" s="6"/>
      <c r="AA1" s="6"/>
      <c r="AB1" s="6"/>
      <c r="AC1" s="6"/>
      <c r="AD1" s="6"/>
      <c r="AE1" s="6"/>
      <c r="AF1" s="6"/>
      <c r="AG1" s="6"/>
      <c r="AH1" s="6"/>
      <c r="DG1" s="1100"/>
      <c r="DH1" s="265"/>
      <c r="DI1" s="265"/>
      <c r="DJ1" s="1168"/>
    </row>
    <row r="2" spans="1:114" s="2" customFormat="1" ht="30" hidden="1" customHeight="1" outlineLevel="1">
      <c r="A2" s="265"/>
      <c r="B2" s="457"/>
      <c r="C2" s="60"/>
      <c r="D2" s="4003" t="s">
        <v>39</v>
      </c>
      <c r="E2" s="4081"/>
      <c r="F2" s="4082"/>
      <c r="G2" s="4082"/>
      <c r="H2" s="4082"/>
      <c r="I2" s="4082"/>
      <c r="J2" s="4082"/>
      <c r="K2" s="264"/>
      <c r="L2" s="264"/>
      <c r="M2" s="265"/>
      <c r="N2" s="265"/>
      <c r="O2" s="265"/>
      <c r="P2" s="265"/>
      <c r="Q2" s="265"/>
      <c r="R2" s="265"/>
      <c r="S2" s="265"/>
      <c r="T2" s="265"/>
      <c r="U2" s="265"/>
      <c r="V2" s="1504"/>
      <c r="W2" s="1504"/>
      <c r="X2" s="1504"/>
      <c r="Y2" s="1504"/>
      <c r="Z2" s="1504"/>
      <c r="AA2" s="1504"/>
      <c r="AB2" s="1504"/>
      <c r="AC2" s="1504"/>
      <c r="AD2" s="1504"/>
      <c r="AE2" s="1504"/>
      <c r="AF2" s="1504"/>
      <c r="AG2" s="1504"/>
      <c r="AH2" s="1504"/>
      <c r="AI2" s="1504"/>
      <c r="DG2" s="1100"/>
      <c r="DH2" s="265"/>
      <c r="DI2" s="265"/>
      <c r="DJ2" s="1168"/>
    </row>
    <row r="3" spans="1:114" s="2" customFormat="1" ht="33.75" customHeight="1" collapsed="1">
      <c r="A3" s="265"/>
      <c r="B3" s="265"/>
      <c r="C3" s="61"/>
      <c r="D3" s="62"/>
      <c r="E3" s="62"/>
      <c r="F3" s="61"/>
      <c r="G3" s="61"/>
      <c r="H3" s="61"/>
      <c r="I3" s="61"/>
      <c r="J3" s="61"/>
      <c r="K3" s="265"/>
      <c r="L3" s="265"/>
      <c r="M3" s="265"/>
      <c r="N3" s="265"/>
      <c r="O3" s="265"/>
      <c r="P3" s="265"/>
      <c r="Q3" s="265"/>
      <c r="R3" s="265"/>
      <c r="S3" s="265"/>
      <c r="T3" s="265"/>
      <c r="U3" s="265"/>
      <c r="V3" s="1504"/>
      <c r="W3" s="1504"/>
      <c r="X3" s="1504"/>
      <c r="Y3" s="1504"/>
      <c r="Z3" s="1504"/>
      <c r="AA3" s="1504"/>
      <c r="AB3" s="1504"/>
      <c r="AC3" s="1504"/>
      <c r="AD3" s="1504"/>
      <c r="AE3" s="1504"/>
      <c r="AF3" s="1504"/>
      <c r="AG3" s="1504"/>
      <c r="AH3" s="1504"/>
      <c r="AI3" s="1504"/>
      <c r="DG3" s="1100"/>
      <c r="DH3" s="265"/>
      <c r="DI3" s="265"/>
      <c r="DJ3" s="1168"/>
    </row>
    <row r="4" spans="1:114" s="52" customFormat="1">
      <c r="B4" s="4066" t="s">
        <v>952</v>
      </c>
      <c r="C4" s="4067"/>
      <c r="D4" s="4067"/>
      <c r="E4" s="4067"/>
      <c r="F4" s="4067"/>
      <c r="G4" s="4067"/>
      <c r="H4" s="4067"/>
      <c r="I4" s="4826"/>
      <c r="J4" s="4826"/>
      <c r="K4" s="4826"/>
      <c r="L4" s="4826"/>
      <c r="M4" s="4826"/>
      <c r="N4" s="4826"/>
      <c r="O4" s="4827"/>
      <c r="V4" s="4066" t="str">
        <f>B4</f>
        <v>Heat Pump Water Heater</v>
      </c>
      <c r="W4" s="4067"/>
      <c r="X4" s="4067"/>
      <c r="Y4" s="4067"/>
      <c r="Z4" s="4067"/>
      <c r="AA4" s="4067"/>
      <c r="AB4" s="4067"/>
      <c r="AC4" s="4837"/>
      <c r="AD4" s="4837"/>
      <c r="AE4" s="4837"/>
      <c r="AF4" s="4837"/>
      <c r="AG4" s="4837"/>
      <c r="AH4" s="4837"/>
      <c r="AI4" s="4838"/>
      <c r="DG4" s="63"/>
      <c r="DI4" s="265"/>
      <c r="DJ4" s="1102"/>
    </row>
    <row r="5" spans="1:114">
      <c r="C5" s="64"/>
      <c r="DI5" s="265"/>
      <c r="DJ5" s="1187"/>
    </row>
    <row r="6" spans="1:114" s="9" customFormat="1" ht="33">
      <c r="A6" s="122"/>
      <c r="B6" s="122"/>
      <c r="C6" s="1371" t="s">
        <v>42</v>
      </c>
      <c r="D6" s="1371" t="s">
        <v>953</v>
      </c>
      <c r="E6" s="1371" t="s">
        <v>44</v>
      </c>
      <c r="F6" s="1371" t="s">
        <v>45</v>
      </c>
      <c r="G6" s="1371" t="s">
        <v>46</v>
      </c>
      <c r="H6" s="1371" t="s">
        <v>47</v>
      </c>
      <c r="I6" s="1371" t="s">
        <v>954</v>
      </c>
      <c r="J6" s="1371" t="s">
        <v>955</v>
      </c>
      <c r="K6" s="1371" t="s">
        <v>956</v>
      </c>
      <c r="L6" s="1371" t="s">
        <v>957</v>
      </c>
      <c r="M6" s="1371" t="s">
        <v>48</v>
      </c>
      <c r="N6" s="1371" t="s">
        <v>49</v>
      </c>
      <c r="O6" s="1371" t="s">
        <v>50</v>
      </c>
      <c r="P6" s="1371" t="s">
        <v>51</v>
      </c>
      <c r="Q6" s="122"/>
      <c r="R6" s="122"/>
      <c r="S6" s="122"/>
      <c r="T6" s="122"/>
      <c r="U6" s="122"/>
      <c r="V6" s="668" t="s">
        <v>52</v>
      </c>
      <c r="W6" s="669">
        <v>43252</v>
      </c>
      <c r="X6" s="669">
        <v>43465</v>
      </c>
      <c r="Y6" s="669">
        <v>43800</v>
      </c>
      <c r="Z6" s="669">
        <v>43862</v>
      </c>
      <c r="AA6" s="669">
        <v>44013</v>
      </c>
      <c r="AB6" s="669">
        <v>44166</v>
      </c>
      <c r="AC6" s="669">
        <v>44531</v>
      </c>
      <c r="AD6" s="669">
        <v>44774</v>
      </c>
      <c r="AE6" s="669">
        <v>45139</v>
      </c>
      <c r="AF6" s="669">
        <f>'Deemed Savings Tbl Revision Log'!C17</f>
        <v>45672</v>
      </c>
      <c r="AG6" s="669" t="s">
        <v>53</v>
      </c>
      <c r="DG6" s="2089" t="s">
        <v>54</v>
      </c>
      <c r="DH6" s="1378" t="s">
        <v>55</v>
      </c>
      <c r="DI6" s="169" t="s">
        <v>56</v>
      </c>
      <c r="DJ6" s="2181" t="s">
        <v>57</v>
      </c>
    </row>
    <row r="7" spans="1:114" ht="15.75" customHeight="1">
      <c r="A7" s="533"/>
      <c r="B7" s="1454">
        <f>VALUE(LEFT(C7,6))</f>
        <v>250050</v>
      </c>
      <c r="C7" s="1588" t="s">
        <v>958</v>
      </c>
      <c r="D7" s="105" t="s">
        <v>959</v>
      </c>
      <c r="E7" s="68" t="s">
        <v>960</v>
      </c>
      <c r="F7" s="2116">
        <f>ROUND((((((1/F16)-(1/F17))*F18*F19*F20*F21*(F22-F23)*F24)/F25)-(J7)+I7)*F40,2)</f>
        <v>2396.2600000000002</v>
      </c>
      <c r="G7" s="1414" t="s">
        <v>961</v>
      </c>
      <c r="H7" s="69">
        <f>VLOOKUP(G7,'CP FACTORS'!$A$3:$B$38, 2, FALSE)</f>
        <v>8.8731800000000003E-5</v>
      </c>
      <c r="I7" s="2117">
        <f>(((1-1/F17)*F18*F19*F20*F21*(F22-F23)*F24)*F26*F27*F35/(F29*F25))*F36</f>
        <v>380.51597358938926</v>
      </c>
      <c r="J7" s="2117">
        <f>(((1-1/F17)*F18*F19*F20*F21*(F22-F23)*F24)*F26*F28/(F34*F25))*F37</f>
        <v>187.07094426254071</v>
      </c>
      <c r="K7" s="2117">
        <f>(((1-1/F17)*F18*F19*F20*F21*(F22-F23)*F24)*F26*F28/(F30*F25))*F38</f>
        <v>152.6604919412847</v>
      </c>
      <c r="L7" s="2117">
        <f>(((1-1/F17)*F18*F19*F20*F21*(F22-F23)*F24)*F26*F28/(F32*F25)*F39)</f>
        <v>113.43086392528012</v>
      </c>
      <c r="M7" s="2118">
        <f>ROUND(F7*H7,6)</f>
        <v>0.21262400000000001</v>
      </c>
      <c r="N7" s="70">
        <f>F41</f>
        <v>13</v>
      </c>
      <c r="O7" s="2119">
        <f>F42</f>
        <v>1199</v>
      </c>
      <c r="P7" s="629" t="s">
        <v>62</v>
      </c>
      <c r="R7" s="532"/>
      <c r="V7" s="356" t="str">
        <f>F6</f>
        <v>kWh Annual Savings</v>
      </c>
      <c r="W7" s="383">
        <v>3736.4662164914935</v>
      </c>
      <c r="X7" s="70">
        <v>2506.58000131569</v>
      </c>
      <c r="Y7" s="2117">
        <v>2296.31</v>
      </c>
      <c r="Z7" s="356">
        <v>2296.31</v>
      </c>
      <c r="AA7" s="356">
        <v>2296.31</v>
      </c>
      <c r="AB7" s="676">
        <v>2276.14</v>
      </c>
      <c r="AC7" s="356">
        <v>2276.14</v>
      </c>
      <c r="AD7" s="356">
        <v>2276.14</v>
      </c>
      <c r="AE7" s="356">
        <v>2276.14</v>
      </c>
      <c r="AF7" s="271">
        <f>IF(F7&lt;&gt;"",F7,"")</f>
        <v>2396.2600000000002</v>
      </c>
      <c r="AG7" s="356"/>
      <c r="AH7" s="121"/>
      <c r="AU7" s="1505"/>
      <c r="DG7" s="2093">
        <f>(DI7)/(DJ7)</f>
        <v>1.1871774588443991</v>
      </c>
      <c r="DH7" s="128" t="str">
        <f>CONCATENATE(G7," ",N7," Year EUL")</f>
        <v>Water Heating RES 13 Year EUL</v>
      </c>
      <c r="DI7" s="2094">
        <f>(INDEX('Avoided Cost Benefits'!$B$4:$B$865,MATCH(DH7,'Avoided Cost Benefits'!$A$4:$A$865,0)))*F7</f>
        <v>1423.4257731544344</v>
      </c>
      <c r="DJ7" s="1177">
        <f>O7/(1.0686^(2025-2025))</f>
        <v>1199</v>
      </c>
    </row>
    <row r="8" spans="1:114" ht="15" hidden="1" customHeight="1" outlineLevel="1">
      <c r="A8" s="533"/>
      <c r="C8" s="64"/>
      <c r="D8" s="77" t="s">
        <v>118</v>
      </c>
      <c r="E8" s="1590" t="s">
        <v>962</v>
      </c>
      <c r="F8" s="2171"/>
      <c r="J8" s="1073"/>
      <c r="L8" s="122"/>
      <c r="AU8" s="1505"/>
      <c r="DJ8" s="1187"/>
    </row>
    <row r="9" spans="1:114" ht="15" hidden="1" customHeight="1" outlineLevel="1">
      <c r="A9" s="533"/>
      <c r="B9" s="75"/>
      <c r="C9" s="73"/>
      <c r="D9" s="77" t="s">
        <v>963</v>
      </c>
      <c r="E9" s="77" t="s">
        <v>964</v>
      </c>
      <c r="F9" s="2172"/>
      <c r="G9" s="75"/>
      <c r="H9" s="2095"/>
      <c r="I9" s="52"/>
      <c r="J9" s="52"/>
      <c r="K9" s="52"/>
      <c r="L9" s="122"/>
      <c r="AU9" s="1505"/>
      <c r="DJ9" s="1187"/>
    </row>
    <row r="10" spans="1:114" ht="15" hidden="1" customHeight="1" outlineLevel="1">
      <c r="A10" s="533"/>
      <c r="B10" s="75"/>
      <c r="C10" s="73"/>
      <c r="D10" s="2095"/>
      <c r="E10" s="77" t="s">
        <v>965</v>
      </c>
      <c r="F10" s="2172"/>
      <c r="G10" s="75"/>
      <c r="H10" s="75"/>
      <c r="I10" s="75"/>
      <c r="L10" s="2096"/>
      <c r="AU10" s="1505"/>
      <c r="DJ10" s="1187"/>
    </row>
    <row r="11" spans="1:114" ht="15" hidden="1" customHeight="1" outlineLevel="1">
      <c r="A11" s="533"/>
      <c r="B11" s="75"/>
      <c r="C11" s="73"/>
      <c r="D11" s="77"/>
      <c r="E11" s="77"/>
      <c r="F11" s="2172"/>
      <c r="G11" s="75"/>
      <c r="H11" s="75"/>
      <c r="I11" s="75"/>
      <c r="L11" s="122"/>
      <c r="AU11" s="1505"/>
      <c r="DJ11" s="1187"/>
    </row>
    <row r="12" spans="1:114" ht="15" hidden="1" customHeight="1" outlineLevel="1">
      <c r="A12" s="533"/>
      <c r="B12" s="75"/>
      <c r="C12" s="73"/>
      <c r="D12" s="77"/>
      <c r="E12" s="77" t="s">
        <v>966</v>
      </c>
      <c r="F12" s="2172"/>
      <c r="G12" s="75"/>
      <c r="H12" s="75"/>
      <c r="I12" s="75"/>
      <c r="L12" s="122"/>
      <c r="AU12" s="1505"/>
      <c r="DJ12" s="1187"/>
    </row>
    <row r="13" spans="1:114" ht="15" hidden="1" customHeight="1" outlineLevel="1">
      <c r="A13" s="533"/>
      <c r="B13" s="75"/>
      <c r="C13" s="73"/>
      <c r="D13" s="77"/>
      <c r="E13" s="77"/>
      <c r="F13" s="2172"/>
      <c r="G13" s="75"/>
      <c r="H13" s="75"/>
      <c r="I13" s="75"/>
      <c r="L13" s="122"/>
      <c r="AU13" s="1505"/>
      <c r="DJ13" s="1187"/>
    </row>
    <row r="14" spans="1:114" ht="15" hidden="1" customHeight="1" outlineLevel="1">
      <c r="A14" s="533"/>
      <c r="B14" s="75"/>
      <c r="C14" s="73"/>
      <c r="D14" s="77"/>
      <c r="E14" s="77"/>
      <c r="F14" s="2172"/>
      <c r="G14" s="75"/>
      <c r="H14" s="75"/>
      <c r="I14" s="75"/>
      <c r="L14" s="122"/>
      <c r="AU14" s="1505"/>
      <c r="DJ14" s="1187"/>
    </row>
    <row r="15" spans="1:114" s="9" customFormat="1" ht="15" hidden="1" customHeight="1" outlineLevel="1">
      <c r="A15" s="533"/>
      <c r="B15" s="122"/>
      <c r="C15" s="64"/>
      <c r="D15" s="1443" t="s">
        <v>967</v>
      </c>
      <c r="E15" s="1443" t="s">
        <v>968</v>
      </c>
      <c r="F15" s="1371" t="s">
        <v>969</v>
      </c>
      <c r="G15" s="4068" t="s">
        <v>970</v>
      </c>
      <c r="H15" s="4068"/>
      <c r="I15" s="1429" t="s">
        <v>755</v>
      </c>
      <c r="J15" s="122"/>
      <c r="K15" s="122"/>
      <c r="L15" s="122"/>
      <c r="M15" s="122"/>
      <c r="N15" s="122"/>
      <c r="O15" s="122"/>
      <c r="P15" s="122"/>
      <c r="Q15" s="122"/>
      <c r="R15" s="122"/>
      <c r="S15" s="122"/>
      <c r="T15" s="122"/>
      <c r="U15" s="122"/>
      <c r="V15" s="668" t="s">
        <v>52</v>
      </c>
      <c r="W15" s="669">
        <v>43252</v>
      </c>
      <c r="X15" s="669">
        <f>$X$6</f>
        <v>43465</v>
      </c>
      <c r="Y15" s="669">
        <f>$Y$6</f>
        <v>43800</v>
      </c>
      <c r="Z15" s="669">
        <f>$Z$6</f>
        <v>43862</v>
      </c>
      <c r="AA15" s="669">
        <f>$AA$6</f>
        <v>44013</v>
      </c>
      <c r="AB15" s="669">
        <f>$AB$6</f>
        <v>44166</v>
      </c>
      <c r="AC15" s="669">
        <f>$AC$6</f>
        <v>44531</v>
      </c>
      <c r="AD15" s="669">
        <f>$AD$6</f>
        <v>44774</v>
      </c>
      <c r="AE15" s="669">
        <f>$AE$6</f>
        <v>45139</v>
      </c>
      <c r="AF15" s="669">
        <f>$AF$6</f>
        <v>45672</v>
      </c>
      <c r="AG15" s="669" t="str">
        <f>$AG$6</f>
        <v>-</v>
      </c>
      <c r="AU15" s="1505"/>
      <c r="DG15" s="1073"/>
      <c r="DH15" s="66"/>
      <c r="DI15" s="66"/>
      <c r="DJ15" s="1187"/>
    </row>
    <row r="16" spans="1:114" ht="39.6" hidden="1" customHeight="1" outlineLevel="1">
      <c r="A16" s="533"/>
      <c r="C16" s="64"/>
      <c r="D16" s="2108" t="s">
        <v>971</v>
      </c>
      <c r="E16" s="2108" t="s">
        <v>972</v>
      </c>
      <c r="F16" s="2120">
        <v>0.92069999999999996</v>
      </c>
      <c r="G16" s="4069" t="s">
        <v>973</v>
      </c>
      <c r="H16" s="4070"/>
      <c r="I16" s="2121"/>
      <c r="V16" s="2122" t="str">
        <f t="shared" ref="V16:V42" si="0">D16</f>
        <v>UEFBASE</v>
      </c>
      <c r="W16" s="2123">
        <v>0.9</v>
      </c>
      <c r="X16" s="2098">
        <v>0.94358243626061789</v>
      </c>
      <c r="Y16" s="2124">
        <v>0.94451470457134135</v>
      </c>
      <c r="Z16" s="2097">
        <v>0.94451470457134135</v>
      </c>
      <c r="AA16" s="2097">
        <v>0.94451470457134135</v>
      </c>
      <c r="AB16" s="2097">
        <v>0.94451470457134135</v>
      </c>
      <c r="AC16" s="2097">
        <v>0.94451470457134135</v>
      </c>
      <c r="AD16" s="2097">
        <v>0.94451470457134135</v>
      </c>
      <c r="AE16" s="2097">
        <v>0.94451470457134135</v>
      </c>
      <c r="AF16" s="271">
        <f t="shared" ref="AF16:AF42" si="1">IF(F16&lt;&gt;"",F16,"")</f>
        <v>0.92069999999999996</v>
      </c>
      <c r="AG16" s="2097"/>
      <c r="AU16" s="1505"/>
      <c r="DJ16" s="1187"/>
    </row>
    <row r="17" spans="1:114" ht="18" hidden="1" customHeight="1" outlineLevel="1">
      <c r="A17" s="533"/>
      <c r="C17" s="64"/>
      <c r="D17" s="2108" t="s">
        <v>974</v>
      </c>
      <c r="E17" s="2108" t="s">
        <v>975</v>
      </c>
      <c r="F17" s="2125">
        <v>3.4379630138240294</v>
      </c>
      <c r="G17" s="4070" t="s">
        <v>976</v>
      </c>
      <c r="H17" s="4071"/>
      <c r="I17" s="2121" t="s">
        <v>977</v>
      </c>
      <c r="J17" s="122"/>
      <c r="V17" s="2122" t="str">
        <f t="shared" si="0"/>
        <v>UEFEE</v>
      </c>
      <c r="W17" s="1506">
        <v>3.14</v>
      </c>
      <c r="X17" s="79">
        <v>3.255169603721936</v>
      </c>
      <c r="Y17" s="2126">
        <v>3.4379630138240294</v>
      </c>
      <c r="Z17" s="80">
        <v>3.4379630138240294</v>
      </c>
      <c r="AA17" s="80">
        <v>3.4379630138240294</v>
      </c>
      <c r="AB17" s="1507">
        <v>3.4379630138240294</v>
      </c>
      <c r="AC17" s="80">
        <v>3.4379630138240294</v>
      </c>
      <c r="AD17" s="80">
        <v>3.4379630138240294</v>
      </c>
      <c r="AE17" s="1507">
        <v>3.4379630138240294</v>
      </c>
      <c r="AF17" s="271">
        <f t="shared" si="1"/>
        <v>3.4379630138240294</v>
      </c>
      <c r="AG17" s="1507"/>
      <c r="AU17" s="1505"/>
      <c r="DJ17" s="1187"/>
    </row>
    <row r="18" spans="1:114" ht="120" hidden="1" customHeight="1" outlineLevel="1">
      <c r="A18" s="533"/>
      <c r="C18" s="64"/>
      <c r="D18" s="2108" t="s">
        <v>978</v>
      </c>
      <c r="E18" s="2108" t="s">
        <v>979</v>
      </c>
      <c r="F18" s="2127">
        <v>17.600000000000001</v>
      </c>
      <c r="G18" s="4071" t="s">
        <v>980</v>
      </c>
      <c r="H18" s="4071"/>
      <c r="I18" s="2121" t="s">
        <v>981</v>
      </c>
      <c r="J18" s="122"/>
      <c r="V18" s="2122" t="str">
        <f t="shared" si="0"/>
        <v>GPD</v>
      </c>
      <c r="W18" s="78">
        <f>64/W19</f>
        <v>23.970037453183522</v>
      </c>
      <c r="X18" s="79">
        <v>17.600000000000001</v>
      </c>
      <c r="Y18" s="1506">
        <v>17.600000000000001</v>
      </c>
      <c r="Z18" s="80">
        <v>17.600000000000001</v>
      </c>
      <c r="AA18" s="80">
        <v>17.600000000000001</v>
      </c>
      <c r="AB18" s="80">
        <v>17.600000000000001</v>
      </c>
      <c r="AC18" s="80">
        <v>17.600000000000001</v>
      </c>
      <c r="AD18" s="80">
        <v>17.600000000000001</v>
      </c>
      <c r="AE18" s="80">
        <v>17.600000000000001</v>
      </c>
      <c r="AF18" s="271">
        <f t="shared" si="1"/>
        <v>17.600000000000001</v>
      </c>
      <c r="AG18" s="80"/>
      <c r="AU18" s="1505"/>
      <c r="DJ18" s="1187"/>
    </row>
    <row r="19" spans="1:114" ht="33.75" hidden="1" customHeight="1" outlineLevel="1">
      <c r="A19" s="533"/>
      <c r="C19" s="64"/>
      <c r="D19" s="2108" t="s">
        <v>982</v>
      </c>
      <c r="E19" s="2108" t="s">
        <v>983</v>
      </c>
      <c r="F19" s="2125">
        <v>2.6500604229607121</v>
      </c>
      <c r="G19" s="4071" t="s">
        <v>984</v>
      </c>
      <c r="H19" s="4071"/>
      <c r="I19" s="2121" t="s">
        <v>985</v>
      </c>
      <c r="J19" s="122"/>
      <c r="V19" s="2122" t="str">
        <f t="shared" si="0"/>
        <v>Household</v>
      </c>
      <c r="W19" s="78">
        <v>2.67</v>
      </c>
      <c r="X19" s="79">
        <v>2.6599441340781969</v>
      </c>
      <c r="Y19" s="2126">
        <v>2.6500604229607121</v>
      </c>
      <c r="Z19" s="80">
        <v>2.6500604229607121</v>
      </c>
      <c r="AA19" s="80">
        <v>2.6500604229607121</v>
      </c>
      <c r="AB19" s="80">
        <v>2.6500604229607121</v>
      </c>
      <c r="AC19" s="80">
        <v>2.6500604229607121</v>
      </c>
      <c r="AD19" s="80">
        <v>2.6500604229607121</v>
      </c>
      <c r="AE19" s="80">
        <v>2.6500604229607121</v>
      </c>
      <c r="AF19" s="271">
        <f t="shared" si="1"/>
        <v>2.6500604229607121</v>
      </c>
      <c r="AG19" s="80"/>
      <c r="AU19" s="1505"/>
      <c r="DJ19" s="1187"/>
    </row>
    <row r="20" spans="1:114" ht="15" hidden="1" customHeight="1" outlineLevel="1">
      <c r="A20" s="533"/>
      <c r="C20" s="64"/>
      <c r="D20" s="2128">
        <v>365.25</v>
      </c>
      <c r="E20" s="2108" t="s">
        <v>986</v>
      </c>
      <c r="F20" s="1802">
        <v>365.25</v>
      </c>
      <c r="G20" s="4071" t="s">
        <v>987</v>
      </c>
      <c r="H20" s="4071"/>
      <c r="I20" s="2121" t="s">
        <v>977</v>
      </c>
      <c r="J20" s="122"/>
      <c r="V20" s="2122">
        <f t="shared" si="0"/>
        <v>365.25</v>
      </c>
      <c r="W20" s="1535">
        <v>365</v>
      </c>
      <c r="X20" s="1413">
        <v>365.25</v>
      </c>
      <c r="Y20" s="1413">
        <v>365.25</v>
      </c>
      <c r="Z20" s="1413">
        <v>365.25</v>
      </c>
      <c r="AA20" s="1413">
        <v>365.25</v>
      </c>
      <c r="AB20" s="1516">
        <v>365.25</v>
      </c>
      <c r="AC20" s="1413">
        <v>365.25</v>
      </c>
      <c r="AD20" s="1413">
        <v>365.25</v>
      </c>
      <c r="AE20" s="1516">
        <v>365.25</v>
      </c>
      <c r="AF20" s="271">
        <f t="shared" si="1"/>
        <v>365.25</v>
      </c>
      <c r="AG20" s="1516"/>
      <c r="AU20" s="1505"/>
      <c r="DJ20" s="1187"/>
    </row>
    <row r="21" spans="1:114" ht="15" hidden="1" customHeight="1" outlineLevel="1">
      <c r="A21" s="533"/>
      <c r="C21" s="64"/>
      <c r="D21" s="2108" t="s">
        <v>988</v>
      </c>
      <c r="E21" s="2108" t="s">
        <v>989</v>
      </c>
      <c r="F21" s="2127">
        <v>8.33</v>
      </c>
      <c r="G21" s="4071" t="s">
        <v>990</v>
      </c>
      <c r="H21" s="4071"/>
      <c r="I21" s="2121" t="s">
        <v>977</v>
      </c>
      <c r="J21" s="64"/>
      <c r="V21" s="2122" t="str">
        <f t="shared" si="0"/>
        <v>Den</v>
      </c>
      <c r="W21" s="1506">
        <v>8.33</v>
      </c>
      <c r="X21" s="1516">
        <v>8.33</v>
      </c>
      <c r="Y21" s="1516">
        <v>8.33</v>
      </c>
      <c r="Z21" s="1413">
        <v>8.33</v>
      </c>
      <c r="AA21" s="1413">
        <v>8.33</v>
      </c>
      <c r="AB21" s="1507">
        <v>8.33</v>
      </c>
      <c r="AC21" s="80">
        <v>8.33</v>
      </c>
      <c r="AD21" s="80">
        <v>8.33</v>
      </c>
      <c r="AE21" s="1507">
        <v>8.33</v>
      </c>
      <c r="AF21" s="271">
        <f t="shared" si="1"/>
        <v>8.33</v>
      </c>
      <c r="AG21" s="1507"/>
      <c r="AU21" s="1505"/>
      <c r="DJ21" s="1187"/>
    </row>
    <row r="22" spans="1:114" ht="15" hidden="1" customHeight="1" outlineLevel="1">
      <c r="A22" s="533"/>
      <c r="C22" s="64"/>
      <c r="D22" s="2108" t="s">
        <v>991</v>
      </c>
      <c r="E22" s="2108" t="s">
        <v>992</v>
      </c>
      <c r="F22" s="1802">
        <v>125</v>
      </c>
      <c r="G22" s="4071" t="s">
        <v>993</v>
      </c>
      <c r="H22" s="4071"/>
      <c r="I22" s="2121" t="s">
        <v>977</v>
      </c>
      <c r="J22" s="64"/>
      <c r="V22" s="2122" t="str">
        <f t="shared" si="0"/>
        <v>HWT</v>
      </c>
      <c r="W22" s="1535">
        <v>135</v>
      </c>
      <c r="X22" s="81">
        <v>125</v>
      </c>
      <c r="Y22" s="1516">
        <v>125</v>
      </c>
      <c r="Z22" s="1413">
        <v>125</v>
      </c>
      <c r="AA22" s="1413">
        <v>125</v>
      </c>
      <c r="AB22" s="1516">
        <v>125</v>
      </c>
      <c r="AC22" s="1413">
        <v>125</v>
      </c>
      <c r="AD22" s="1413">
        <v>125</v>
      </c>
      <c r="AE22" s="1516">
        <v>125</v>
      </c>
      <c r="AF22" s="271">
        <f t="shared" si="1"/>
        <v>125</v>
      </c>
      <c r="AG22" s="1516"/>
      <c r="AU22" s="1505"/>
      <c r="DJ22" s="1187"/>
    </row>
    <row r="23" spans="1:114" ht="30" hidden="1" customHeight="1" outlineLevel="1">
      <c r="A23" s="533"/>
      <c r="C23" s="64"/>
      <c r="D23" s="2108" t="s">
        <v>994</v>
      </c>
      <c r="E23" s="2108" t="s">
        <v>995</v>
      </c>
      <c r="F23" s="1735">
        <v>58.4</v>
      </c>
      <c r="G23" s="4070" t="s">
        <v>996</v>
      </c>
      <c r="H23" s="4070"/>
      <c r="I23" s="2121" t="s">
        <v>977</v>
      </c>
      <c r="J23" s="64"/>
      <c r="V23" s="2122" t="str">
        <f t="shared" si="0"/>
        <v>CWT</v>
      </c>
      <c r="W23" s="1535">
        <v>61.3</v>
      </c>
      <c r="X23" s="81">
        <v>57.898000000000003</v>
      </c>
      <c r="Y23" s="1516">
        <v>57.898000000000003</v>
      </c>
      <c r="Z23" s="1413">
        <v>57.898000000000003</v>
      </c>
      <c r="AA23" s="1413">
        <v>57.898000000000003</v>
      </c>
      <c r="AB23" s="1516">
        <v>57.898000000000003</v>
      </c>
      <c r="AC23" s="1413">
        <v>57.898000000000003</v>
      </c>
      <c r="AD23" s="1413">
        <v>57.898000000000003</v>
      </c>
      <c r="AE23" s="1516">
        <v>57.898000000000003</v>
      </c>
      <c r="AF23" s="271">
        <f t="shared" si="1"/>
        <v>58.4</v>
      </c>
      <c r="AG23" s="1516"/>
      <c r="AU23" s="1505"/>
      <c r="DJ23" s="1187"/>
    </row>
    <row r="24" spans="1:114" ht="18" hidden="1" customHeight="1" outlineLevel="1">
      <c r="A24" s="533"/>
      <c r="C24" s="64"/>
      <c r="D24" s="2108" t="s">
        <v>997</v>
      </c>
      <c r="E24" s="2108" t="s">
        <v>998</v>
      </c>
      <c r="F24" s="1802">
        <v>1</v>
      </c>
      <c r="G24" s="4071" t="s">
        <v>999</v>
      </c>
      <c r="H24" s="4071"/>
      <c r="I24" s="2121" t="s">
        <v>977</v>
      </c>
      <c r="V24" s="2122" t="str">
        <f t="shared" si="0"/>
        <v>CP</v>
      </c>
      <c r="W24" s="1535">
        <v>1</v>
      </c>
      <c r="X24" s="1516">
        <v>1</v>
      </c>
      <c r="Y24" s="1535">
        <v>1</v>
      </c>
      <c r="Z24" s="1413">
        <v>1</v>
      </c>
      <c r="AA24" s="1413">
        <v>1</v>
      </c>
      <c r="AB24" s="1516">
        <v>1</v>
      </c>
      <c r="AC24" s="1413">
        <v>1</v>
      </c>
      <c r="AD24" s="1413">
        <v>1</v>
      </c>
      <c r="AE24" s="1516">
        <v>1</v>
      </c>
      <c r="AF24" s="271">
        <f t="shared" si="1"/>
        <v>1</v>
      </c>
      <c r="AG24" s="1516"/>
      <c r="AU24" s="1505"/>
      <c r="DJ24" s="1187"/>
    </row>
    <row r="25" spans="1:114" ht="15" hidden="1" customHeight="1" outlineLevel="1">
      <c r="A25" s="533"/>
      <c r="C25" s="64"/>
      <c r="D25" s="2108">
        <v>3412</v>
      </c>
      <c r="E25" s="2108"/>
      <c r="F25" s="1803">
        <v>3412</v>
      </c>
      <c r="G25" s="4071" t="s">
        <v>1000</v>
      </c>
      <c r="H25" s="4071"/>
      <c r="I25" s="2121" t="s">
        <v>1001</v>
      </c>
      <c r="V25" s="2122">
        <f t="shared" si="0"/>
        <v>3412</v>
      </c>
      <c r="W25" s="1536">
        <v>3412</v>
      </c>
      <c r="X25" s="1514">
        <v>3412</v>
      </c>
      <c r="Y25" s="1536">
        <v>3412</v>
      </c>
      <c r="Z25" s="600">
        <v>3412</v>
      </c>
      <c r="AA25" s="600">
        <v>3412</v>
      </c>
      <c r="AB25" s="1514">
        <v>3412</v>
      </c>
      <c r="AC25" s="600">
        <v>3412</v>
      </c>
      <c r="AD25" s="600">
        <v>3412</v>
      </c>
      <c r="AE25" s="1514">
        <v>3412</v>
      </c>
      <c r="AF25" s="271">
        <f t="shared" si="1"/>
        <v>3412</v>
      </c>
      <c r="AG25" s="1514"/>
      <c r="AU25" s="1505"/>
      <c r="DJ25" s="1187"/>
    </row>
    <row r="26" spans="1:114" ht="30" hidden="1" customHeight="1" outlineLevel="1">
      <c r="A26" s="533"/>
      <c r="C26" s="64"/>
      <c r="D26" s="83" t="s">
        <v>518</v>
      </c>
      <c r="E26" s="2108" t="s">
        <v>1002</v>
      </c>
      <c r="F26" s="1667">
        <v>0.81</v>
      </c>
      <c r="G26" s="4071" t="s">
        <v>1003</v>
      </c>
      <c r="H26" s="4071"/>
      <c r="I26" s="2121" t="s">
        <v>1004</v>
      </c>
      <c r="V26" s="2122" t="str">
        <f t="shared" si="0"/>
        <v>LF</v>
      </c>
      <c r="W26" s="2129">
        <v>1</v>
      </c>
      <c r="X26" s="692">
        <v>0.5</v>
      </c>
      <c r="Y26" s="692">
        <v>0.81</v>
      </c>
      <c r="Z26" s="345">
        <v>0.81</v>
      </c>
      <c r="AA26" s="345">
        <v>0.81</v>
      </c>
      <c r="AB26" s="2099">
        <v>0.81</v>
      </c>
      <c r="AC26" s="345">
        <v>0.81</v>
      </c>
      <c r="AD26" s="345">
        <v>0.81</v>
      </c>
      <c r="AE26" s="2099">
        <v>0.81</v>
      </c>
      <c r="AF26" s="271">
        <f t="shared" si="1"/>
        <v>0.81</v>
      </c>
      <c r="AG26" s="2099"/>
      <c r="AU26" s="1505"/>
      <c r="DJ26" s="1187"/>
    </row>
    <row r="27" spans="1:114" ht="30" hidden="1" customHeight="1" outlineLevel="1">
      <c r="A27" s="533"/>
      <c r="C27" s="64"/>
      <c r="D27" s="2130" t="s">
        <v>1005</v>
      </c>
      <c r="E27" s="2108" t="s">
        <v>1006</v>
      </c>
      <c r="F27" s="1662">
        <v>0.53</v>
      </c>
      <c r="G27" s="4070" t="s">
        <v>1007</v>
      </c>
      <c r="H27" s="4070"/>
      <c r="I27" s="2121" t="s">
        <v>1008</v>
      </c>
      <c r="V27" s="2122" t="str">
        <f t="shared" si="0"/>
        <v>WHFC</v>
      </c>
      <c r="W27" s="2131">
        <v>0.4</v>
      </c>
      <c r="X27" s="2132">
        <v>0.53</v>
      </c>
      <c r="Y27" s="2133">
        <v>0.53</v>
      </c>
      <c r="Z27" s="2101">
        <v>0.53</v>
      </c>
      <c r="AA27" s="2101">
        <v>0.53</v>
      </c>
      <c r="AB27" s="2100">
        <v>0.53</v>
      </c>
      <c r="AC27" s="2101">
        <v>0.53</v>
      </c>
      <c r="AD27" s="2101">
        <v>0.53</v>
      </c>
      <c r="AE27" s="2100">
        <v>0.53</v>
      </c>
      <c r="AF27" s="271">
        <f t="shared" si="1"/>
        <v>0.53</v>
      </c>
      <c r="AG27" s="2100"/>
      <c r="AU27" s="1505"/>
      <c r="DJ27" s="1187"/>
    </row>
    <row r="28" spans="1:114" ht="150" hidden="1" customHeight="1" outlineLevel="1">
      <c r="A28" s="533"/>
      <c r="C28" s="64"/>
      <c r="D28" s="2134" t="s">
        <v>1009</v>
      </c>
      <c r="E28" s="2108" t="s">
        <v>1010</v>
      </c>
      <c r="F28" s="1662">
        <v>0.43</v>
      </c>
      <c r="G28" s="4070" t="s">
        <v>1011</v>
      </c>
      <c r="H28" s="4070"/>
      <c r="I28" s="2108" t="s">
        <v>1012</v>
      </c>
      <c r="V28" s="2122" t="str">
        <f t="shared" si="0"/>
        <v>WHFH</v>
      </c>
      <c r="W28" s="2131">
        <v>0.57999999999999996</v>
      </c>
      <c r="X28" s="2132">
        <v>0.43</v>
      </c>
      <c r="Y28" s="2133">
        <v>0.43</v>
      </c>
      <c r="Z28" s="2101">
        <v>0.43</v>
      </c>
      <c r="AA28" s="2101">
        <v>0.43</v>
      </c>
      <c r="AB28" s="2100">
        <v>0.43</v>
      </c>
      <c r="AC28" s="2101">
        <v>0.43</v>
      </c>
      <c r="AD28" s="2101">
        <v>0.43</v>
      </c>
      <c r="AE28" s="2100">
        <v>0.43</v>
      </c>
      <c r="AF28" s="271">
        <f t="shared" si="1"/>
        <v>0.43</v>
      </c>
      <c r="AG28" s="2100"/>
      <c r="AU28" s="1505"/>
      <c r="DJ28" s="1187"/>
    </row>
    <row r="29" spans="1:114" ht="90" hidden="1" customHeight="1" outlineLevel="1">
      <c r="A29" s="533"/>
      <c r="C29" s="64"/>
      <c r="D29" s="2135" t="s">
        <v>1013</v>
      </c>
      <c r="E29" s="2108" t="s">
        <v>1014</v>
      </c>
      <c r="F29" s="1667">
        <v>2.8</v>
      </c>
      <c r="G29" s="4071" t="s">
        <v>1015</v>
      </c>
      <c r="H29" s="4071"/>
      <c r="I29" s="2108" t="s">
        <v>1016</v>
      </c>
      <c r="V29" s="2122" t="str">
        <f t="shared" si="0"/>
        <v>COPcool</v>
      </c>
      <c r="W29" s="2129">
        <v>2.8</v>
      </c>
      <c r="X29" s="2099">
        <v>2.8</v>
      </c>
      <c r="Y29" s="2129">
        <v>2.8</v>
      </c>
      <c r="Z29" s="345">
        <v>2.8</v>
      </c>
      <c r="AA29" s="345">
        <v>2.8</v>
      </c>
      <c r="AB29" s="2099">
        <v>2.8</v>
      </c>
      <c r="AC29" s="345">
        <v>2.8</v>
      </c>
      <c r="AD29" s="345">
        <v>2.8</v>
      </c>
      <c r="AE29" s="2099">
        <v>2.8</v>
      </c>
      <c r="AF29" s="271">
        <f t="shared" si="1"/>
        <v>2.8</v>
      </c>
      <c r="AG29" s="2099"/>
      <c r="AU29" s="1505"/>
      <c r="DJ29" s="1187"/>
    </row>
    <row r="30" spans="1:114" ht="15" hidden="1" customHeight="1" outlineLevel="1">
      <c r="A30" s="533"/>
      <c r="C30" s="64"/>
      <c r="D30" s="4083" t="s">
        <v>1017</v>
      </c>
      <c r="E30" s="2102" t="s">
        <v>377</v>
      </c>
      <c r="F30" s="2136">
        <v>1</v>
      </c>
      <c r="G30" s="4072"/>
      <c r="H30" s="4072"/>
      <c r="I30" s="4076" t="s">
        <v>1018</v>
      </c>
      <c r="V30" s="4073" t="s">
        <v>1017</v>
      </c>
      <c r="W30" s="2129">
        <v>1</v>
      </c>
      <c r="X30" s="2099">
        <v>1</v>
      </c>
      <c r="Y30" s="2129">
        <v>1</v>
      </c>
      <c r="Z30" s="345">
        <v>1</v>
      </c>
      <c r="AA30" s="345">
        <v>1</v>
      </c>
      <c r="AB30" s="2099">
        <v>1</v>
      </c>
      <c r="AC30" s="345">
        <v>1</v>
      </c>
      <c r="AD30" s="345">
        <v>1</v>
      </c>
      <c r="AE30" s="2099">
        <v>1</v>
      </c>
      <c r="AF30" s="271">
        <f t="shared" si="1"/>
        <v>1</v>
      </c>
      <c r="AG30" s="2099"/>
      <c r="AU30" s="1505"/>
      <c r="DJ30" s="1187"/>
    </row>
    <row r="31" spans="1:114" ht="15" hidden="1" customHeight="1" outlineLevel="1">
      <c r="A31" s="533"/>
      <c r="C31" s="64"/>
      <c r="D31" s="4083"/>
      <c r="E31" s="2102" t="s">
        <v>1019</v>
      </c>
      <c r="F31" s="2137">
        <v>1.44</v>
      </c>
      <c r="G31" s="4072"/>
      <c r="H31" s="4072"/>
      <c r="I31" s="4077"/>
      <c r="V31" s="4074"/>
      <c r="W31" s="2138">
        <v>1.7</v>
      </c>
      <c r="X31" s="2138">
        <v>1.7</v>
      </c>
      <c r="Y31" s="2138">
        <v>1.7</v>
      </c>
      <c r="Z31" s="576">
        <v>1.7</v>
      </c>
      <c r="AA31" s="576">
        <v>1.7</v>
      </c>
      <c r="AB31" s="1511">
        <v>1.7</v>
      </c>
      <c r="AC31" s="576">
        <v>1.7</v>
      </c>
      <c r="AD31" s="576">
        <v>1.7</v>
      </c>
      <c r="AE31" s="2138">
        <v>1.7</v>
      </c>
      <c r="AF31" s="271">
        <f t="shared" si="1"/>
        <v>1.44</v>
      </c>
      <c r="AG31" s="2138"/>
      <c r="AU31" s="1505"/>
      <c r="DJ31" s="1187"/>
    </row>
    <row r="32" spans="1:114" ht="15" hidden="1" customHeight="1" outlineLevel="1">
      <c r="A32" s="533"/>
      <c r="C32" s="64"/>
      <c r="D32" s="4083"/>
      <c r="E32" s="2102" t="s">
        <v>1020</v>
      </c>
      <c r="F32" s="2137">
        <v>1.62</v>
      </c>
      <c r="G32" s="4072"/>
      <c r="H32" s="4072"/>
      <c r="I32" s="4077"/>
      <c r="V32" s="4074"/>
      <c r="W32" s="2138">
        <v>1.92</v>
      </c>
      <c r="X32" s="2139">
        <v>1.92</v>
      </c>
      <c r="Y32" s="2139">
        <v>1.92</v>
      </c>
      <c r="Z32" s="576">
        <v>1.92</v>
      </c>
      <c r="AA32" s="576">
        <v>1.92</v>
      </c>
      <c r="AB32" s="1511">
        <v>1.92</v>
      </c>
      <c r="AC32" s="576">
        <v>1.92</v>
      </c>
      <c r="AD32" s="576">
        <v>1.92</v>
      </c>
      <c r="AE32" s="1511">
        <v>1.92</v>
      </c>
      <c r="AF32" s="271">
        <f t="shared" si="1"/>
        <v>1.62</v>
      </c>
      <c r="AG32" s="1511"/>
      <c r="AU32" s="1505"/>
      <c r="DJ32" s="1187"/>
    </row>
    <row r="33" spans="1:114" ht="15" hidden="1" customHeight="1" outlineLevel="1">
      <c r="A33" s="533"/>
      <c r="C33" s="64"/>
      <c r="D33" s="4083"/>
      <c r="E33" s="2102" t="s">
        <v>1021</v>
      </c>
      <c r="F33" s="2137">
        <v>1.74</v>
      </c>
      <c r="G33" s="4072"/>
      <c r="H33" s="4072"/>
      <c r="I33" s="4077"/>
      <c r="V33" s="4074"/>
      <c r="W33" s="2138">
        <v>2.04</v>
      </c>
      <c r="X33" s="1511">
        <v>2.04</v>
      </c>
      <c r="Y33" s="1511">
        <v>2.04</v>
      </c>
      <c r="Z33" s="576">
        <v>2.04</v>
      </c>
      <c r="AA33" s="576">
        <v>2.04</v>
      </c>
      <c r="AB33" s="1511">
        <v>2.04</v>
      </c>
      <c r="AC33" s="576">
        <v>2.04</v>
      </c>
      <c r="AD33" s="576">
        <v>2.04</v>
      </c>
      <c r="AE33" s="1511">
        <v>2.04</v>
      </c>
      <c r="AF33" s="271">
        <f t="shared" si="1"/>
        <v>1.74</v>
      </c>
      <c r="AG33" s="1511"/>
      <c r="AU33" s="1505"/>
      <c r="DJ33" s="1187"/>
    </row>
    <row r="34" spans="1:114" ht="15" hidden="1" customHeight="1" outlineLevel="1">
      <c r="A34" s="533"/>
      <c r="C34" s="64"/>
      <c r="D34" s="4083"/>
      <c r="E34" s="2103" t="s">
        <v>1022</v>
      </c>
      <c r="F34" s="2137">
        <v>1.28</v>
      </c>
      <c r="G34" s="4072"/>
      <c r="H34" s="4072"/>
      <c r="I34" s="4077"/>
      <c r="V34" s="4075"/>
      <c r="W34" s="2138"/>
      <c r="X34" s="1511"/>
      <c r="Y34" s="1511"/>
      <c r="Z34" s="576"/>
      <c r="AA34" s="576"/>
      <c r="AB34" s="1511"/>
      <c r="AC34" s="576"/>
      <c r="AD34" s="576"/>
      <c r="AE34" s="1511"/>
      <c r="AF34" s="271">
        <f t="shared" si="1"/>
        <v>1.28</v>
      </c>
      <c r="AG34" s="1511"/>
      <c r="AU34" s="1505"/>
      <c r="DJ34" s="1187"/>
    </row>
    <row r="35" spans="1:114" ht="54.75" hidden="1" customHeight="1" outlineLevel="1">
      <c r="A35" s="533"/>
      <c r="C35" s="64"/>
      <c r="D35" s="634" t="s">
        <v>1023</v>
      </c>
      <c r="E35" s="1372" t="s">
        <v>1024</v>
      </c>
      <c r="F35" s="2140">
        <v>1.33</v>
      </c>
      <c r="G35" s="4090" t="s">
        <v>1025</v>
      </c>
      <c r="H35" s="4072"/>
      <c r="I35" s="2121" t="s">
        <v>1004</v>
      </c>
      <c r="V35" s="2122" t="str">
        <f t="shared" si="0"/>
        <v>LM</v>
      </c>
      <c r="W35" s="2129">
        <v>3</v>
      </c>
      <c r="X35" s="271">
        <v>3.52039106145252</v>
      </c>
      <c r="Y35" s="693">
        <v>1.3299999999999965</v>
      </c>
      <c r="Z35" s="345">
        <v>1.3299999999999965</v>
      </c>
      <c r="AA35" s="345">
        <v>1.3299999999999965</v>
      </c>
      <c r="AB35" s="2099">
        <v>1.33</v>
      </c>
      <c r="AC35" s="345">
        <v>1.33</v>
      </c>
      <c r="AD35" s="345">
        <v>1.33</v>
      </c>
      <c r="AE35" s="2099">
        <v>1.33</v>
      </c>
      <c r="AF35" s="271">
        <f t="shared" si="1"/>
        <v>1.33</v>
      </c>
      <c r="AG35" s="2099"/>
      <c r="AU35" s="1505"/>
      <c r="DJ35" s="1187"/>
    </row>
    <row r="36" spans="1:114" ht="15" hidden="1" customHeight="1" outlineLevel="1">
      <c r="A36" s="533"/>
      <c r="C36" s="64"/>
      <c r="D36" s="634" t="s">
        <v>352</v>
      </c>
      <c r="E36" s="1372" t="s">
        <v>1026</v>
      </c>
      <c r="F36" s="1662">
        <v>0.95</v>
      </c>
      <c r="G36" s="4072" t="s">
        <v>1027</v>
      </c>
      <c r="H36" s="4072"/>
      <c r="I36" s="2121"/>
      <c r="V36" s="2122" t="str">
        <f t="shared" si="0"/>
        <v>%Cool</v>
      </c>
      <c r="W36" s="2131">
        <v>0.91</v>
      </c>
      <c r="X36" s="2100">
        <v>1</v>
      </c>
      <c r="Y36" s="2131">
        <v>1</v>
      </c>
      <c r="Z36" s="2101">
        <v>1</v>
      </c>
      <c r="AA36" s="2101">
        <v>1</v>
      </c>
      <c r="AB36" s="714">
        <v>0.95</v>
      </c>
      <c r="AC36" s="2101">
        <v>0.95</v>
      </c>
      <c r="AD36" s="2101">
        <v>0.95</v>
      </c>
      <c r="AE36" s="2100">
        <v>0.95</v>
      </c>
      <c r="AF36" s="271">
        <f t="shared" si="1"/>
        <v>0.95</v>
      </c>
      <c r="AG36" s="2100"/>
      <c r="AU36" s="1505"/>
      <c r="DJ36" s="1187"/>
    </row>
    <row r="37" spans="1:114" ht="15" hidden="1" customHeight="1" outlineLevel="1">
      <c r="A37" s="533"/>
      <c r="C37" s="64"/>
      <c r="D37" s="2104" t="s">
        <v>353</v>
      </c>
      <c r="E37" s="1156" t="s">
        <v>1028</v>
      </c>
      <c r="F37" s="1677">
        <v>0.35</v>
      </c>
      <c r="G37" s="4090" t="s">
        <v>1029</v>
      </c>
      <c r="H37" s="4072"/>
      <c r="I37" s="2121"/>
      <c r="V37" s="634" t="s">
        <v>353</v>
      </c>
      <c r="W37" s="2131"/>
      <c r="X37" s="2100"/>
      <c r="Y37" s="2131"/>
      <c r="Z37" s="2101"/>
      <c r="AA37" s="2101"/>
      <c r="AB37" s="714"/>
      <c r="AC37" s="2101"/>
      <c r="AD37" s="2101"/>
      <c r="AE37" s="2100"/>
      <c r="AF37" s="271">
        <f t="shared" si="1"/>
        <v>0.35</v>
      </c>
      <c r="AG37" s="2100"/>
      <c r="AU37" s="1505"/>
      <c r="DJ37" s="1187"/>
    </row>
    <row r="38" spans="1:114" ht="30" hidden="1" customHeight="1" outlineLevel="1">
      <c r="A38" s="533"/>
      <c r="C38" s="64"/>
      <c r="D38" s="1372" t="s">
        <v>1030</v>
      </c>
      <c r="E38" s="1372" t="s">
        <v>1031</v>
      </c>
      <c r="F38" s="2141">
        <v>0.2231404958677686</v>
      </c>
      <c r="G38" s="4072" t="s">
        <v>1032</v>
      </c>
      <c r="H38" s="4072"/>
      <c r="I38" s="2121" t="s">
        <v>977</v>
      </c>
      <c r="V38" s="2122" t="str">
        <f t="shared" si="0"/>
        <v xml:space="preserve">%ElectricHeat - Electric Resistance Saturation </v>
      </c>
      <c r="W38" s="2142">
        <v>0.375</v>
      </c>
      <c r="X38" s="2105">
        <v>0.375</v>
      </c>
      <c r="Y38" s="2124">
        <v>0.2231404958677686</v>
      </c>
      <c r="Z38" s="2097">
        <v>0.2231404958677686</v>
      </c>
      <c r="AA38" s="2097">
        <v>0.2231404958677686</v>
      </c>
      <c r="AB38" s="2105">
        <v>0.2231404958677686</v>
      </c>
      <c r="AC38" s="2097">
        <v>0.2231404958677686</v>
      </c>
      <c r="AD38" s="2097">
        <v>0.2231404958677686</v>
      </c>
      <c r="AE38" s="2105">
        <v>0.2231404958677686</v>
      </c>
      <c r="AF38" s="271">
        <f t="shared" si="1"/>
        <v>0.2231404958677686</v>
      </c>
      <c r="AG38" s="2105"/>
      <c r="AU38" s="1505"/>
      <c r="DJ38" s="1187"/>
    </row>
    <row r="39" spans="1:114" ht="30.75" hidden="1" customHeight="1" outlineLevel="1">
      <c r="A39" s="533"/>
      <c r="C39" s="64"/>
      <c r="D39" s="1372" t="s">
        <v>1033</v>
      </c>
      <c r="E39" s="1372" t="s">
        <v>1034</v>
      </c>
      <c r="F39" s="2141">
        <v>0.26859504132231404</v>
      </c>
      <c r="G39" s="4072" t="s">
        <v>1032</v>
      </c>
      <c r="H39" s="4072"/>
      <c r="I39" s="2121" t="s">
        <v>1035</v>
      </c>
      <c r="V39" s="2122" t="str">
        <f t="shared" si="0"/>
        <v>%ElectricHeat - Heat Pump Saturation</v>
      </c>
      <c r="W39" s="2142">
        <v>0.42199999999999999</v>
      </c>
      <c r="X39" s="2105">
        <v>0.42199999999999999</v>
      </c>
      <c r="Y39" s="2124">
        <v>0.26859504132231404</v>
      </c>
      <c r="Z39" s="2097">
        <v>0.26859504132231404</v>
      </c>
      <c r="AA39" s="2097">
        <v>0.26859504132231404</v>
      </c>
      <c r="AB39" s="2105">
        <v>0.26859504132231404</v>
      </c>
      <c r="AC39" s="2097">
        <v>0.26859504132231404</v>
      </c>
      <c r="AD39" s="2097">
        <v>0.26859504132231404</v>
      </c>
      <c r="AE39" s="2105">
        <v>0.26859504132231404</v>
      </c>
      <c r="AF39" s="271">
        <f t="shared" si="1"/>
        <v>0.26859504132231404</v>
      </c>
      <c r="AG39" s="2105"/>
      <c r="AU39" s="1505"/>
      <c r="DJ39" s="1187"/>
    </row>
    <row r="40" spans="1:114" ht="15" hidden="1" customHeight="1" outlineLevel="1">
      <c r="A40" s="533"/>
      <c r="C40" s="64"/>
      <c r="D40" s="1372" t="s">
        <v>128</v>
      </c>
      <c r="E40" s="1372" t="s">
        <v>1036</v>
      </c>
      <c r="F40" s="1661">
        <v>1</v>
      </c>
      <c r="G40" s="4072" t="s">
        <v>1037</v>
      </c>
      <c r="H40" s="4072"/>
      <c r="I40" s="2121" t="s">
        <v>977</v>
      </c>
      <c r="V40" s="2122" t="str">
        <f t="shared" si="0"/>
        <v>ISR</v>
      </c>
      <c r="W40" s="85">
        <v>1</v>
      </c>
      <c r="X40" s="86">
        <v>1</v>
      </c>
      <c r="Y40" s="86">
        <v>1</v>
      </c>
      <c r="Z40" s="102">
        <v>1</v>
      </c>
      <c r="AA40" s="102">
        <v>1</v>
      </c>
      <c r="AB40" s="86">
        <v>1</v>
      </c>
      <c r="AC40" s="102">
        <v>1</v>
      </c>
      <c r="AD40" s="102">
        <v>1</v>
      </c>
      <c r="AE40" s="86">
        <v>1</v>
      </c>
      <c r="AF40" s="271">
        <f t="shared" si="1"/>
        <v>1</v>
      </c>
      <c r="AG40" s="86"/>
      <c r="AU40" s="1505"/>
      <c r="DJ40" s="1187"/>
    </row>
    <row r="41" spans="1:114" ht="44.65" hidden="1" customHeight="1" outlineLevel="1">
      <c r="A41" s="533"/>
      <c r="C41" s="64"/>
      <c r="D41" s="1372" t="str">
        <f>N6</f>
        <v>EUL</v>
      </c>
      <c r="E41" s="1372" t="str">
        <f>'Energy Effic. Kits Deemed Table'!E34</f>
        <v>Effective Useful Life</v>
      </c>
      <c r="F41" s="2143">
        <v>13</v>
      </c>
      <c r="G41" s="4090" t="s">
        <v>1038</v>
      </c>
      <c r="H41" s="4090"/>
      <c r="I41" s="2121"/>
      <c r="V41" s="2122" t="str">
        <f t="shared" si="0"/>
        <v>EUL</v>
      </c>
      <c r="W41" s="2144">
        <v>13</v>
      </c>
      <c r="X41" s="2144">
        <v>13</v>
      </c>
      <c r="Y41" s="2144">
        <v>13</v>
      </c>
      <c r="Z41" s="103">
        <v>13</v>
      </c>
      <c r="AA41" s="103">
        <v>13</v>
      </c>
      <c r="AB41" s="34">
        <v>13</v>
      </c>
      <c r="AC41" s="103">
        <v>13</v>
      </c>
      <c r="AD41" s="103">
        <v>13</v>
      </c>
      <c r="AE41" s="2144">
        <v>13</v>
      </c>
      <c r="AF41" s="271">
        <f t="shared" si="1"/>
        <v>13</v>
      </c>
      <c r="AG41" s="2144"/>
      <c r="AU41" s="1505"/>
      <c r="DJ41" s="1187"/>
    </row>
    <row r="42" spans="1:114" ht="15" hidden="1" customHeight="1" outlineLevel="1">
      <c r="A42" s="533"/>
      <c r="C42" s="64"/>
      <c r="D42" s="1372" t="str">
        <f>O6</f>
        <v>Inc. Cost</v>
      </c>
      <c r="E42" s="1372" t="e">
        <f>'HVAC Deemed Table'!#REF!</f>
        <v>#REF!</v>
      </c>
      <c r="F42" s="2145">
        <v>1199</v>
      </c>
      <c r="G42" s="4090" t="s">
        <v>1039</v>
      </c>
      <c r="H42" s="4090"/>
      <c r="I42" s="2121" t="s">
        <v>62</v>
      </c>
      <c r="V42" s="2122" t="str">
        <f t="shared" si="0"/>
        <v>Inc. Cost</v>
      </c>
      <c r="W42" s="298">
        <v>588</v>
      </c>
      <c r="X42" s="298">
        <v>588</v>
      </c>
      <c r="Y42" s="298">
        <v>588</v>
      </c>
      <c r="Z42" s="742">
        <v>588</v>
      </c>
      <c r="AA42" s="742">
        <v>588</v>
      </c>
      <c r="AB42" s="275">
        <v>588</v>
      </c>
      <c r="AC42" s="742">
        <v>588</v>
      </c>
      <c r="AD42" s="742">
        <v>588</v>
      </c>
      <c r="AE42" s="298">
        <v>588</v>
      </c>
      <c r="AF42" s="271">
        <f t="shared" si="1"/>
        <v>1199</v>
      </c>
      <c r="AG42" s="298"/>
      <c r="AU42" s="1505"/>
      <c r="DJ42" s="1187"/>
    </row>
    <row r="43" spans="1:114" collapsed="1">
      <c r="A43" s="533"/>
      <c r="C43" s="64"/>
      <c r="D43" s="2106"/>
      <c r="E43" s="2106"/>
      <c r="F43" s="2107"/>
      <c r="G43" s="2107"/>
      <c r="H43" s="2107"/>
      <c r="I43" s="2107"/>
      <c r="J43" s="2107"/>
      <c r="K43" s="2107"/>
      <c r="L43" s="2107"/>
      <c r="M43" s="2107"/>
      <c r="N43" s="2107"/>
      <c r="O43" s="2107"/>
      <c r="X43" s="1508"/>
      <c r="Y43" s="1508"/>
      <c r="Z43" s="1508"/>
      <c r="AA43" s="1508"/>
      <c r="AU43" s="1505"/>
      <c r="DJ43" s="1187"/>
    </row>
    <row r="44" spans="1:114">
      <c r="A44" s="533"/>
      <c r="C44" s="64"/>
      <c r="X44" s="1508"/>
      <c r="Y44" s="1508"/>
      <c r="Z44" s="1508"/>
      <c r="AA44" s="1508"/>
      <c r="AU44" s="1505"/>
      <c r="DJ44" s="1187"/>
    </row>
    <row r="45" spans="1:114">
      <c r="A45" s="533"/>
      <c r="B45" s="4066" t="s">
        <v>1040</v>
      </c>
      <c r="C45" s="4067"/>
      <c r="D45" s="4067"/>
      <c r="E45" s="4067"/>
      <c r="F45" s="4067"/>
      <c r="G45" s="4067"/>
      <c r="H45" s="4067"/>
      <c r="I45" s="4826"/>
      <c r="J45" s="4826"/>
      <c r="K45" s="4826"/>
      <c r="L45" s="4826"/>
      <c r="M45" s="4826"/>
      <c r="N45" s="4826"/>
      <c r="O45" s="4827"/>
      <c r="P45" s="283"/>
      <c r="Q45" s="283"/>
      <c r="V45" s="4066" t="str">
        <f>B45</f>
        <v>Learning Thermostat / Advanced Thermostat</v>
      </c>
      <c r="W45" s="4067"/>
      <c r="X45" s="4067"/>
      <c r="Y45" s="4067"/>
      <c r="Z45" s="4067"/>
      <c r="AA45" s="4067"/>
      <c r="AB45" s="4067"/>
      <c r="AC45" s="4837"/>
      <c r="AD45" s="4837"/>
      <c r="AE45" s="4837"/>
      <c r="AF45" s="4837"/>
      <c r="AG45" s="4837"/>
      <c r="AH45" s="4837"/>
      <c r="AI45" s="4838"/>
      <c r="AU45" s="1505"/>
      <c r="DJ45" s="1187"/>
    </row>
    <row r="46" spans="1:114">
      <c r="A46" s="533"/>
      <c r="B46" s="579"/>
      <c r="C46" s="281"/>
      <c r="E46" s="2206" t="s">
        <v>1041</v>
      </c>
      <c r="F46" s="2173"/>
      <c r="G46" s="282"/>
      <c r="H46" s="282"/>
      <c r="I46" s="282"/>
      <c r="J46" s="282"/>
      <c r="K46" s="282"/>
      <c r="L46" s="584"/>
      <c r="M46" s="283"/>
      <c r="N46" s="283"/>
      <c r="O46" s="283"/>
      <c r="P46" s="283"/>
      <c r="Q46" s="283"/>
      <c r="AU46" s="1505"/>
      <c r="DJ46" s="1187"/>
    </row>
    <row r="47" spans="1:114" ht="30">
      <c r="A47" s="533"/>
      <c r="B47" s="579"/>
      <c r="C47" s="1371" t="s">
        <v>42</v>
      </c>
      <c r="D47" s="1371" t="s">
        <v>953</v>
      </c>
      <c r="E47" s="1371" t="s">
        <v>44</v>
      </c>
      <c r="F47" s="1371" t="s">
        <v>45</v>
      </c>
      <c r="G47" s="1371" t="s">
        <v>46</v>
      </c>
      <c r="H47" s="1371" t="s">
        <v>47</v>
      </c>
      <c r="I47" s="1371" t="s">
        <v>48</v>
      </c>
      <c r="J47" s="1383" t="s">
        <v>49</v>
      </c>
      <c r="K47" s="1371" t="s">
        <v>50</v>
      </c>
      <c r="L47" s="1371" t="s">
        <v>51</v>
      </c>
      <c r="M47" s="52"/>
      <c r="N47" s="52"/>
      <c r="O47" s="283"/>
      <c r="P47" s="283"/>
      <c r="Q47" s="283"/>
      <c r="V47" s="668" t="s">
        <v>52</v>
      </c>
      <c r="W47" s="669">
        <v>43252</v>
      </c>
      <c r="X47" s="669">
        <f>$X$6</f>
        <v>43465</v>
      </c>
      <c r="Y47" s="669">
        <f>$Y$6</f>
        <v>43800</v>
      </c>
      <c r="Z47" s="669">
        <f>$Z$6</f>
        <v>43862</v>
      </c>
      <c r="AA47" s="669">
        <f>$AA$6</f>
        <v>44013</v>
      </c>
      <c r="AB47" s="669">
        <f>$AB$6</f>
        <v>44166</v>
      </c>
      <c r="AC47" s="669">
        <f>$AC$6</f>
        <v>44531</v>
      </c>
      <c r="AD47" s="669">
        <f>$AD$6</f>
        <v>44774</v>
      </c>
      <c r="AE47" s="669">
        <f>$AE$6</f>
        <v>45139</v>
      </c>
      <c r="AF47" s="669">
        <f>$AF$6</f>
        <v>45672</v>
      </c>
      <c r="AG47" s="669" t="str">
        <f>$AG$6</f>
        <v>-</v>
      </c>
      <c r="AU47" s="1505"/>
      <c r="DG47" s="2089" t="str">
        <f>$DG$6</f>
        <v>TRC (2025)</v>
      </c>
      <c r="DH47" s="2089" t="str">
        <f>$DH$6</f>
        <v>Benefit Lookup</v>
      </c>
      <c r="DI47" s="2090" t="str">
        <f>$DI$6</f>
        <v>Benefits (2025 $)</v>
      </c>
      <c r="DJ47" s="2181" t="str">
        <f>$DJ$6</f>
        <v>Incremental Cost (2025 $)</v>
      </c>
    </row>
    <row r="48" spans="1:114">
      <c r="A48" s="533"/>
      <c r="B48" s="1454">
        <f>VALUE(LEFT(C48,6))</f>
        <v>250100</v>
      </c>
      <c r="C48" s="1588" t="s">
        <v>1042</v>
      </c>
      <c r="D48" s="40" t="s">
        <v>1043</v>
      </c>
      <c r="E48" s="187" t="s">
        <v>1044</v>
      </c>
      <c r="F48" s="1564">
        <f>ROUND(F124*((F132*F134*1/F136)/1000)*F137*F113,2)*0</f>
        <v>0</v>
      </c>
      <c r="G48" s="1401" t="s">
        <v>1045</v>
      </c>
      <c r="H48" s="69">
        <f>VLOOKUP(G48,'CP FACTORS'!$A$3:$B$38, 2, FALSE)</f>
        <v>9.4741810000000004E-4</v>
      </c>
      <c r="I48" s="2146">
        <f t="shared" ref="I48:I71" si="2">ROUND(H48*F48,6)</f>
        <v>0</v>
      </c>
      <c r="J48" s="134">
        <f t="shared" ref="J48:J71" si="3">$F$147</f>
        <v>11</v>
      </c>
      <c r="K48" s="985">
        <f>$F$148</f>
        <v>79</v>
      </c>
      <c r="L48" s="986" t="s">
        <v>62</v>
      </c>
      <c r="M48" s="283"/>
      <c r="N48" s="1565"/>
      <c r="O48" s="52"/>
      <c r="P48" s="52"/>
      <c r="Q48" s="533"/>
      <c r="R48" s="532"/>
      <c r="V48" s="356" t="str">
        <f t="shared" ref="V48:V71" si="4">$F$47</f>
        <v>kWh Annual Savings</v>
      </c>
      <c r="W48" s="87">
        <v>192.51692307692309</v>
      </c>
      <c r="X48" s="88">
        <v>187.92922225947771</v>
      </c>
      <c r="Y48" s="89">
        <v>187.46</v>
      </c>
      <c r="Z48" s="704">
        <v>187.46</v>
      </c>
      <c r="AA48" s="704">
        <v>187.46</v>
      </c>
      <c r="AB48" s="682">
        <v>185.21</v>
      </c>
      <c r="AC48" s="1552">
        <v>190.21</v>
      </c>
      <c r="AD48" s="1519">
        <v>190.21</v>
      </c>
      <c r="AE48" s="1519">
        <v>190.21</v>
      </c>
      <c r="AF48" s="271">
        <f t="shared" ref="AF48:AF71" si="5">IF(F48&lt;&gt;"",F48,"")</f>
        <v>0</v>
      </c>
      <c r="AG48" s="356"/>
      <c r="AH48" s="121"/>
      <c r="AU48" s="1505"/>
      <c r="DG48" s="1471">
        <f>(DI48+DI49)/(DJ48+DJ49)</f>
        <v>0</v>
      </c>
      <c r="DH48" s="132" t="str">
        <f t="shared" ref="DH48:DH71" si="6">CONCATENATE(G48," ",J48," Year EUL")</f>
        <v>Cooling RES 11 Year EUL</v>
      </c>
      <c r="DI48" s="1010">
        <f>(INDEX('Avoided Cost Benefits'!$B$4:$B$865,MATCH(DH48,'Avoided Cost Benefits'!$A$4:$A$865,0)))*F48</f>
        <v>0</v>
      </c>
      <c r="DJ48" s="1169">
        <f t="shared" ref="DJ48:DJ71" si="7">K48/(1.0686^(2025-2025))</f>
        <v>79</v>
      </c>
    </row>
    <row r="49" spans="1:114">
      <c r="A49" s="533"/>
      <c r="B49" s="1454">
        <f t="shared" ref="B49:B71" si="8">VALUE(LEFT(C49,6))</f>
        <v>250100</v>
      </c>
      <c r="C49" s="1588" t="s">
        <v>1042</v>
      </c>
      <c r="D49" s="40" t="s">
        <v>1043</v>
      </c>
      <c r="E49" s="673" t="s">
        <v>1044</v>
      </c>
      <c r="F49" s="1564">
        <f>ROUND(F81*F89*F101*F109*F113+F115*F123*29.3,2)*0</f>
        <v>0</v>
      </c>
      <c r="G49" s="1401" t="s">
        <v>1046</v>
      </c>
      <c r="H49" s="69">
        <f>VLOOKUP(G49,'CP FACTORS'!$A$3:$B$38, 2, FALSE)</f>
        <v>0</v>
      </c>
      <c r="I49" s="2146">
        <f t="shared" si="2"/>
        <v>0</v>
      </c>
      <c r="J49" s="134">
        <f t="shared" si="3"/>
        <v>11</v>
      </c>
      <c r="K49" s="985"/>
      <c r="L49" s="986" t="s">
        <v>62</v>
      </c>
      <c r="M49" s="283"/>
      <c r="N49" s="1565"/>
      <c r="O49" s="52"/>
      <c r="P49" s="90"/>
      <c r="Q49" s="533"/>
      <c r="R49" s="532"/>
      <c r="V49" s="356" t="str">
        <f t="shared" si="4"/>
        <v>kWh Annual Savings</v>
      </c>
      <c r="W49" s="87">
        <v>661.9754064</v>
      </c>
      <c r="X49" s="88">
        <v>552.61606399999994</v>
      </c>
      <c r="Y49" s="89">
        <v>557.16</v>
      </c>
      <c r="Z49" s="704">
        <v>557.16</v>
      </c>
      <c r="AA49" s="704">
        <v>557.16</v>
      </c>
      <c r="AB49" s="682">
        <v>550.48</v>
      </c>
      <c r="AC49" s="1519">
        <v>550.48</v>
      </c>
      <c r="AD49" s="1519">
        <v>550.48</v>
      </c>
      <c r="AE49" s="1519">
        <v>550.48</v>
      </c>
      <c r="AF49" s="271">
        <f t="shared" si="5"/>
        <v>0</v>
      </c>
      <c r="AG49" s="356"/>
      <c r="AH49" s="121"/>
      <c r="AU49" s="1505"/>
      <c r="DG49" s="1472"/>
      <c r="DH49" s="933" t="str">
        <f t="shared" si="6"/>
        <v>Heating RES 11 Year EUL</v>
      </c>
      <c r="DI49" s="556">
        <f>(INDEX('Avoided Cost Benefits'!$B$4:$B$865,MATCH(DH49,'Avoided Cost Benefits'!$A$4:$A$865,0)))*F49</f>
        <v>0</v>
      </c>
      <c r="DJ49" s="1170">
        <f t="shared" si="7"/>
        <v>0</v>
      </c>
    </row>
    <row r="50" spans="1:114">
      <c r="A50" s="533"/>
      <c r="B50" s="1454">
        <f t="shared" si="8"/>
        <v>250101</v>
      </c>
      <c r="C50" s="1588" t="s">
        <v>1047</v>
      </c>
      <c r="D50" s="40" t="s">
        <v>959</v>
      </c>
      <c r="E50" s="187" t="s">
        <v>1048</v>
      </c>
      <c r="F50" s="1564">
        <f>ROUND(F125*((F132*F135*1/F136)/1000)*F137*F113,2)*0</f>
        <v>0</v>
      </c>
      <c r="G50" s="1401" t="s">
        <v>1045</v>
      </c>
      <c r="H50" s="69">
        <f>VLOOKUP(G50,'CP FACTORS'!$A$3:$B$38, 2, FALSE)</f>
        <v>9.4741810000000004E-4</v>
      </c>
      <c r="I50" s="2146">
        <f t="shared" si="2"/>
        <v>0</v>
      </c>
      <c r="J50" s="134">
        <f t="shared" si="3"/>
        <v>11</v>
      </c>
      <c r="K50" s="985">
        <f>$F$148</f>
        <v>79</v>
      </c>
      <c r="L50" s="986" t="s">
        <v>62</v>
      </c>
      <c r="M50" s="283"/>
      <c r="N50" s="1565"/>
      <c r="O50" s="52"/>
      <c r="P50" s="90"/>
      <c r="Q50" s="533"/>
      <c r="R50" s="532"/>
      <c r="V50" s="356" t="str">
        <f t="shared" si="4"/>
        <v>kWh Annual Savings</v>
      </c>
      <c r="W50" s="87"/>
      <c r="X50" s="88"/>
      <c r="Y50" s="89">
        <v>187.46</v>
      </c>
      <c r="Z50" s="704">
        <v>187.46</v>
      </c>
      <c r="AA50" s="704">
        <v>187.46</v>
      </c>
      <c r="AB50" s="682">
        <v>185.21</v>
      </c>
      <c r="AC50" s="1552">
        <v>190.21</v>
      </c>
      <c r="AD50" s="1519">
        <v>190.21</v>
      </c>
      <c r="AE50" s="1519">
        <v>190.21</v>
      </c>
      <c r="AF50" s="271">
        <f t="shared" si="5"/>
        <v>0</v>
      </c>
      <c r="AG50" s="356"/>
      <c r="AH50" s="121"/>
      <c r="AU50" s="1505"/>
      <c r="DG50" s="1472">
        <f>(DI50+DI51)/(DJ50+DJ51)</f>
        <v>0</v>
      </c>
      <c r="DH50" s="132" t="str">
        <f t="shared" si="6"/>
        <v>Cooling RES 11 Year EUL</v>
      </c>
      <c r="DI50" s="556">
        <f>(INDEX('Avoided Cost Benefits'!$B$4:$B$865,MATCH(DH50,'Avoided Cost Benefits'!$A$4:$A$865,0)))*F50</f>
        <v>0</v>
      </c>
      <c r="DJ50" s="1170">
        <f t="shared" si="7"/>
        <v>79</v>
      </c>
    </row>
    <row r="51" spans="1:114">
      <c r="A51" s="533"/>
      <c r="B51" s="1454">
        <f t="shared" si="8"/>
        <v>250101</v>
      </c>
      <c r="C51" s="1588" t="s">
        <v>1047</v>
      </c>
      <c r="D51" s="40" t="s">
        <v>959</v>
      </c>
      <c r="E51" s="673" t="s">
        <v>1048</v>
      </c>
      <c r="F51" s="1564">
        <f>ROUND(F82*F90*F102*F109*F113+F115*F123*29.3,2)*0</f>
        <v>0</v>
      </c>
      <c r="G51" s="1401" t="s">
        <v>1046</v>
      </c>
      <c r="H51" s="69">
        <f>VLOOKUP(G51,'CP FACTORS'!$A$3:$B$38, 2, FALSE)</f>
        <v>0</v>
      </c>
      <c r="I51" s="2146">
        <f t="shared" si="2"/>
        <v>0</v>
      </c>
      <c r="J51" s="134">
        <f t="shared" si="3"/>
        <v>11</v>
      </c>
      <c r="K51" s="985"/>
      <c r="L51" s="986" t="s">
        <v>62</v>
      </c>
      <c r="M51" s="283"/>
      <c r="N51" s="1565"/>
      <c r="O51" s="52"/>
      <c r="P51" s="90"/>
      <c r="Q51" s="533"/>
      <c r="R51" s="532"/>
      <c r="V51" s="356" t="str">
        <f t="shared" si="4"/>
        <v>kWh Annual Savings</v>
      </c>
      <c r="W51" s="87"/>
      <c r="X51" s="88"/>
      <c r="Y51" s="89">
        <v>362.16</v>
      </c>
      <c r="Z51" s="704">
        <v>362.16</v>
      </c>
      <c r="AA51" s="704">
        <v>362.16</v>
      </c>
      <c r="AB51" s="682">
        <v>357.82</v>
      </c>
      <c r="AC51" s="1519">
        <v>357.82</v>
      </c>
      <c r="AD51" s="1519">
        <v>357.82</v>
      </c>
      <c r="AE51" s="1519">
        <v>357.82</v>
      </c>
      <c r="AF51" s="271">
        <f t="shared" si="5"/>
        <v>0</v>
      </c>
      <c r="AG51" s="356"/>
      <c r="AH51" s="121"/>
      <c r="AU51" s="1505"/>
      <c r="DG51" s="1472"/>
      <c r="DH51" s="933" t="str">
        <f t="shared" si="6"/>
        <v>Heating RES 11 Year EUL</v>
      </c>
      <c r="DI51" s="556">
        <f>(INDEX('Avoided Cost Benefits'!$B$4:$B$865,MATCH(DH51,'Avoided Cost Benefits'!$A$4:$A$865,0)))*F51</f>
        <v>0</v>
      </c>
      <c r="DJ51" s="1170">
        <f t="shared" si="7"/>
        <v>0</v>
      </c>
    </row>
    <row r="52" spans="1:114">
      <c r="A52" s="533"/>
      <c r="B52" s="1454">
        <f t="shared" si="8"/>
        <v>250102</v>
      </c>
      <c r="C52" s="2714" t="s">
        <v>1049</v>
      </c>
      <c r="D52" s="3033" t="str">
        <f>CONCATENATE(D50,"_CompE")</f>
        <v>MFIE_CompE</v>
      </c>
      <c r="E52" s="2521" t="str">
        <f>CONCATENATE(E50,"_CompE")</f>
        <v>Learning Thermostat - ASHP heating/cooling MF_CompE</v>
      </c>
      <c r="F52" s="2715">
        <f>ROUND(F125*((F133*F135*1/F136)/1000)*F137*F113,2)*0</f>
        <v>0</v>
      </c>
      <c r="G52" s="2497" t="s">
        <v>1045</v>
      </c>
      <c r="H52" s="2213">
        <f>VLOOKUP(G52,'CP FACTORS'!$A$3:$B$38, 2, FALSE)</f>
        <v>9.4741810000000004E-4</v>
      </c>
      <c r="I52" s="3034">
        <f t="shared" si="2"/>
        <v>0</v>
      </c>
      <c r="J52" s="2582">
        <f t="shared" si="3"/>
        <v>11</v>
      </c>
      <c r="K52" s="2718">
        <f>$F$148</f>
        <v>79</v>
      </c>
      <c r="L52" s="2719" t="s">
        <v>62</v>
      </c>
      <c r="M52" s="283"/>
      <c r="N52" s="1565"/>
      <c r="O52" s="52"/>
      <c r="P52" s="90"/>
      <c r="Q52" s="533"/>
      <c r="R52" s="532"/>
      <c r="V52" s="2413" t="str">
        <f t="shared" si="4"/>
        <v>kWh Annual Savings</v>
      </c>
      <c r="W52" s="3035"/>
      <c r="X52" s="2567"/>
      <c r="Y52" s="2725">
        <v>136.33000000000001</v>
      </c>
      <c r="Z52" s="2800">
        <v>136.33000000000001</v>
      </c>
      <c r="AA52" s="2800">
        <v>136.33000000000001</v>
      </c>
      <c r="AB52" s="2554">
        <v>134.69999999999999</v>
      </c>
      <c r="AC52" s="2663">
        <v>138.33000000000001</v>
      </c>
      <c r="AD52" s="2686">
        <v>138.33000000000001</v>
      </c>
      <c r="AE52" s="2686">
        <v>138.33000000000001</v>
      </c>
      <c r="AF52" s="2236">
        <f t="shared" si="5"/>
        <v>0</v>
      </c>
      <c r="AG52" s="356"/>
      <c r="AH52" s="121"/>
      <c r="AU52" s="1505"/>
      <c r="DG52" s="3036">
        <f>(DI52+DI53)/(DJ52+DJ53)</f>
        <v>0</v>
      </c>
      <c r="DH52" s="2557" t="str">
        <f t="shared" si="6"/>
        <v>Cooling RES 11 Year EUL</v>
      </c>
      <c r="DI52" s="2336">
        <f>(INDEX('Avoided Cost Benefits'!$B$4:$B$865,MATCH(DH52,'Avoided Cost Benefits'!$A$4:$A$865,0)))*F52</f>
        <v>0</v>
      </c>
      <c r="DJ52" s="2424">
        <f t="shared" si="7"/>
        <v>79</v>
      </c>
    </row>
    <row r="53" spans="1:114">
      <c r="A53" s="533"/>
      <c r="B53" s="1454">
        <f t="shared" si="8"/>
        <v>250102</v>
      </c>
      <c r="C53" s="2714" t="s">
        <v>1049</v>
      </c>
      <c r="D53" s="3033" t="str">
        <f>CONCATENATE(D51,"_CompE")</f>
        <v>MFIE_CompE</v>
      </c>
      <c r="E53" s="2522" t="str">
        <f>CONCATENATE(E51,"_CompE")</f>
        <v>Learning Thermostat - ASHP heating/cooling MF_CompE</v>
      </c>
      <c r="F53" s="2715">
        <f>ROUND(F82*F91*F102*F109*F113+F115*F123*29.3,2)*0</f>
        <v>0</v>
      </c>
      <c r="G53" s="2497" t="s">
        <v>1046</v>
      </c>
      <c r="H53" s="2213">
        <f>VLOOKUP(G53,'CP FACTORS'!$A$3:$B$38, 2, FALSE)</f>
        <v>0</v>
      </c>
      <c r="I53" s="3034">
        <f t="shared" si="2"/>
        <v>0</v>
      </c>
      <c r="J53" s="2582">
        <f t="shared" si="3"/>
        <v>11</v>
      </c>
      <c r="K53" s="2718"/>
      <c r="L53" s="2719" t="s">
        <v>62</v>
      </c>
      <c r="M53" s="283"/>
      <c r="N53" s="1565"/>
      <c r="O53" s="52"/>
      <c r="P53" s="90"/>
      <c r="Q53" s="533"/>
      <c r="R53" s="532"/>
      <c r="V53" s="2413" t="str">
        <f t="shared" si="4"/>
        <v>kWh Annual Savings</v>
      </c>
      <c r="W53" s="3035"/>
      <c r="X53" s="2567"/>
      <c r="Y53" s="2725">
        <v>123.22</v>
      </c>
      <c r="Z53" s="2800">
        <v>123.22</v>
      </c>
      <c r="AA53" s="2800">
        <v>123.22</v>
      </c>
      <c r="AB53" s="2554">
        <v>121.74</v>
      </c>
      <c r="AC53" s="2686">
        <v>121.74</v>
      </c>
      <c r="AD53" s="2686">
        <v>121.74</v>
      </c>
      <c r="AE53" s="2686">
        <v>121.74</v>
      </c>
      <c r="AF53" s="2236">
        <f t="shared" si="5"/>
        <v>0</v>
      </c>
      <c r="AG53" s="356"/>
      <c r="AH53" s="121"/>
      <c r="AU53" s="1505"/>
      <c r="DG53" s="3036"/>
      <c r="DH53" s="2558" t="str">
        <f t="shared" si="6"/>
        <v>Heating RES 11 Year EUL</v>
      </c>
      <c r="DI53" s="2336">
        <f>(INDEX('Avoided Cost Benefits'!$B$4:$B$865,MATCH(DH53,'Avoided Cost Benefits'!$A$4:$A$865,0)))*F53</f>
        <v>0</v>
      </c>
      <c r="DJ53" s="2424">
        <f t="shared" si="7"/>
        <v>0</v>
      </c>
    </row>
    <row r="54" spans="1:114">
      <c r="A54" s="533"/>
      <c r="B54" s="1454">
        <f t="shared" si="8"/>
        <v>250150</v>
      </c>
      <c r="C54" s="1588" t="s">
        <v>1050</v>
      </c>
      <c r="D54" s="40" t="s">
        <v>959</v>
      </c>
      <c r="E54" s="187" t="s">
        <v>1051</v>
      </c>
      <c r="F54" s="1564">
        <f>ROUND(F126*((F132*F135*1/F136)/1000)*F137*F113,2)*0</f>
        <v>0</v>
      </c>
      <c r="G54" s="1401" t="s">
        <v>1045</v>
      </c>
      <c r="H54" s="69">
        <f>VLOOKUP(G54,'CP FACTORS'!$A$3:$B$38, 2, FALSE)</f>
        <v>9.4741810000000004E-4</v>
      </c>
      <c r="I54" s="2146">
        <f t="shared" si="2"/>
        <v>0</v>
      </c>
      <c r="J54" s="134">
        <f t="shared" si="3"/>
        <v>11</v>
      </c>
      <c r="K54" s="985">
        <f>$F$148</f>
        <v>79</v>
      </c>
      <c r="L54" s="986" t="s">
        <v>62</v>
      </c>
      <c r="M54" s="283"/>
      <c r="N54" s="1565"/>
      <c r="O54" s="52"/>
      <c r="P54" s="91"/>
      <c r="Q54" s="533"/>
      <c r="R54" s="532"/>
      <c r="V54" s="356" t="str">
        <f t="shared" si="4"/>
        <v>kWh Annual Savings</v>
      </c>
      <c r="W54" s="87">
        <v>192.51692307692309</v>
      </c>
      <c r="X54" s="88">
        <v>122.15399446866051</v>
      </c>
      <c r="Y54" s="89">
        <v>187.46</v>
      </c>
      <c r="Z54" s="704">
        <v>187.46</v>
      </c>
      <c r="AA54" s="704">
        <v>187.46</v>
      </c>
      <c r="AB54" s="682">
        <v>185.21</v>
      </c>
      <c r="AC54" s="1552">
        <v>190.21</v>
      </c>
      <c r="AD54" s="1519">
        <v>190.21</v>
      </c>
      <c r="AE54" s="1519">
        <v>190.21</v>
      </c>
      <c r="AF54" s="271">
        <f t="shared" si="5"/>
        <v>0</v>
      </c>
      <c r="AG54" s="356"/>
      <c r="AH54" s="121"/>
      <c r="AU54" s="1505"/>
      <c r="DG54" s="1472">
        <f>(DI54+DI55)/(DJ54+DJ55)</f>
        <v>0</v>
      </c>
      <c r="DH54" s="132" t="str">
        <f t="shared" si="6"/>
        <v>Cooling RES 11 Year EUL</v>
      </c>
      <c r="DI54" s="556">
        <f>(INDEX('Avoided Cost Benefits'!$B$4:$B$865,MATCH(DH54,'Avoided Cost Benefits'!$A$4:$A$865,0)))*F54</f>
        <v>0</v>
      </c>
      <c r="DJ54" s="1170">
        <f t="shared" si="7"/>
        <v>79</v>
      </c>
    </row>
    <row r="55" spans="1:114">
      <c r="A55" s="533"/>
      <c r="B55" s="1454">
        <f t="shared" si="8"/>
        <v>250150</v>
      </c>
      <c r="C55" s="1588" t="s">
        <v>1050</v>
      </c>
      <c r="D55" s="40" t="s">
        <v>959</v>
      </c>
      <c r="E55" s="673" t="s">
        <v>1051</v>
      </c>
      <c r="F55" s="1564">
        <f>ROUND(F83*F92*F103*F109*F113+F117*F123*29.3,2)*0</f>
        <v>0</v>
      </c>
      <c r="G55" s="1401" t="s">
        <v>1046</v>
      </c>
      <c r="H55" s="69">
        <f>VLOOKUP(G55,'CP FACTORS'!$A$3:$B$38, 2, FALSE)</f>
        <v>0</v>
      </c>
      <c r="I55" s="2146">
        <f t="shared" si="2"/>
        <v>0</v>
      </c>
      <c r="J55" s="134">
        <f t="shared" si="3"/>
        <v>11</v>
      </c>
      <c r="K55" s="985"/>
      <c r="L55" s="986" t="s">
        <v>62</v>
      </c>
      <c r="M55" s="283"/>
      <c r="N55" s="1565"/>
      <c r="O55" s="52"/>
      <c r="P55" s="52"/>
      <c r="Q55" s="533"/>
      <c r="R55" s="532"/>
      <c r="V55" s="356" t="str">
        <f t="shared" si="4"/>
        <v>kWh Annual Savings</v>
      </c>
      <c r="W55" s="87">
        <v>710.41841416</v>
      </c>
      <c r="X55" s="88">
        <v>617.03664664150949</v>
      </c>
      <c r="Y55" s="89">
        <v>615.61</v>
      </c>
      <c r="Z55" s="704">
        <v>615.61</v>
      </c>
      <c r="AA55" s="704">
        <v>615.61</v>
      </c>
      <c r="AB55" s="682">
        <v>608.22</v>
      </c>
      <c r="AC55" s="1519">
        <v>608.22</v>
      </c>
      <c r="AD55" s="1519">
        <v>608.22</v>
      </c>
      <c r="AE55" s="1519">
        <v>608.22</v>
      </c>
      <c r="AF55" s="271">
        <f t="shared" si="5"/>
        <v>0</v>
      </c>
      <c r="AG55" s="356"/>
      <c r="AH55" s="121"/>
      <c r="AU55" s="1505"/>
      <c r="DG55" s="1472"/>
      <c r="DH55" s="933" t="str">
        <f t="shared" si="6"/>
        <v>Heating RES 11 Year EUL</v>
      </c>
      <c r="DI55" s="556">
        <f>(INDEX('Avoided Cost Benefits'!$B$4:$B$865,MATCH(DH55,'Avoided Cost Benefits'!$A$4:$A$865,0)))*F55</f>
        <v>0</v>
      </c>
      <c r="DJ55" s="1170">
        <f t="shared" si="7"/>
        <v>0</v>
      </c>
    </row>
    <row r="56" spans="1:114" ht="30">
      <c r="A56" s="533"/>
      <c r="B56" s="1454">
        <f t="shared" si="8"/>
        <v>250151</v>
      </c>
      <c r="C56" s="2714" t="s">
        <v>1052</v>
      </c>
      <c r="D56" s="3033" t="str">
        <f>CONCATENATE(D54,"_CompE")</f>
        <v>MFIE_CompE</v>
      </c>
      <c r="E56" s="2521" t="str">
        <f>CONCATENATE(E54,"_CompE")</f>
        <v>Learning Thermostat - electric furnace heating / central AC MF_CompE</v>
      </c>
      <c r="F56" s="2715">
        <f>ROUND(F126*((F133*F135*1/F136)/1000)*F137*F113,2)*0</f>
        <v>0</v>
      </c>
      <c r="G56" s="2497" t="s">
        <v>1045</v>
      </c>
      <c r="H56" s="2213">
        <f>VLOOKUP(G56,'CP FACTORS'!$A$3:$B$38, 2, FALSE)</f>
        <v>9.4741810000000004E-4</v>
      </c>
      <c r="I56" s="3034">
        <f t="shared" si="2"/>
        <v>0</v>
      </c>
      <c r="J56" s="2582">
        <f t="shared" si="3"/>
        <v>11</v>
      </c>
      <c r="K56" s="2718">
        <f>$F$148</f>
        <v>79</v>
      </c>
      <c r="L56" s="2719" t="s">
        <v>62</v>
      </c>
      <c r="M56" s="283"/>
      <c r="N56" s="1565"/>
      <c r="O56" s="52"/>
      <c r="P56" s="52"/>
      <c r="Q56" s="533"/>
      <c r="R56" s="532"/>
      <c r="V56" s="2413" t="str">
        <f t="shared" si="4"/>
        <v>kWh Annual Savings</v>
      </c>
      <c r="W56" s="3035"/>
      <c r="X56" s="2567"/>
      <c r="Y56" s="2725">
        <v>136.33000000000001</v>
      </c>
      <c r="Z56" s="2800">
        <v>136.33000000000001</v>
      </c>
      <c r="AA56" s="2800">
        <v>136.33000000000001</v>
      </c>
      <c r="AB56" s="2554">
        <v>134.69999999999999</v>
      </c>
      <c r="AC56" s="2663">
        <v>138.33000000000001</v>
      </c>
      <c r="AD56" s="2686">
        <v>138.33000000000001</v>
      </c>
      <c r="AE56" s="2686">
        <v>138.33000000000001</v>
      </c>
      <c r="AF56" s="2236">
        <f t="shared" si="5"/>
        <v>0</v>
      </c>
      <c r="AG56" s="356"/>
      <c r="AH56" s="121"/>
      <c r="AU56" s="1505"/>
      <c r="DG56" s="3036">
        <f>(DI56+DI57)/(DJ56+DJ57)</f>
        <v>0</v>
      </c>
      <c r="DH56" s="2557" t="str">
        <f t="shared" si="6"/>
        <v>Cooling RES 11 Year EUL</v>
      </c>
      <c r="DI56" s="2336">
        <f>(INDEX('Avoided Cost Benefits'!$B$4:$B$865,MATCH(DH56,'Avoided Cost Benefits'!$A$4:$A$865,0)))*F56</f>
        <v>0</v>
      </c>
      <c r="DJ56" s="2424">
        <f t="shared" si="7"/>
        <v>79</v>
      </c>
    </row>
    <row r="57" spans="1:114" ht="30">
      <c r="A57" s="533"/>
      <c r="B57" s="1454">
        <f t="shared" si="8"/>
        <v>250151</v>
      </c>
      <c r="C57" s="2714" t="s">
        <v>1052</v>
      </c>
      <c r="D57" s="3033" t="str">
        <f>CONCATENATE(D55,"_CompE")</f>
        <v>MFIE_CompE</v>
      </c>
      <c r="E57" s="2522" t="str">
        <f>CONCATENATE(E55,"_CompE")</f>
        <v>Learning Thermostat - electric furnace heating / central AC MF_CompE</v>
      </c>
      <c r="F57" s="2715">
        <f>ROUND(F83*F93*F103*F109*F113+F117*F123*29.3,2)*0</f>
        <v>0</v>
      </c>
      <c r="G57" s="2497" t="s">
        <v>1046</v>
      </c>
      <c r="H57" s="2213">
        <f>VLOOKUP(G57,'CP FACTORS'!$A$3:$B$38, 2, FALSE)</f>
        <v>0</v>
      </c>
      <c r="I57" s="3034">
        <f t="shared" si="2"/>
        <v>0</v>
      </c>
      <c r="J57" s="2582">
        <f t="shared" si="3"/>
        <v>11</v>
      </c>
      <c r="K57" s="2722"/>
      <c r="L57" s="2719" t="s">
        <v>62</v>
      </c>
      <c r="M57" s="283"/>
      <c r="N57" s="1565"/>
      <c r="O57" s="52"/>
      <c r="P57" s="52"/>
      <c r="Q57" s="533"/>
      <c r="R57" s="532"/>
      <c r="V57" s="2413" t="str">
        <f t="shared" si="4"/>
        <v>kWh Annual Savings</v>
      </c>
      <c r="W57" s="3035"/>
      <c r="X57" s="2567"/>
      <c r="Y57" s="2725">
        <v>209.45</v>
      </c>
      <c r="Z57" s="2800">
        <v>209.45</v>
      </c>
      <c r="AA57" s="2800">
        <v>209.45</v>
      </c>
      <c r="AB57" s="2554">
        <v>206.94</v>
      </c>
      <c r="AC57" s="2686">
        <v>206.94</v>
      </c>
      <c r="AD57" s="2686">
        <v>206.94</v>
      </c>
      <c r="AE57" s="2686">
        <v>206.94</v>
      </c>
      <c r="AF57" s="2236">
        <f t="shared" si="5"/>
        <v>0</v>
      </c>
      <c r="AG57" s="356"/>
      <c r="AH57" s="121"/>
      <c r="AU57" s="1505"/>
      <c r="DG57" s="3036"/>
      <c r="DH57" s="2558" t="str">
        <f t="shared" si="6"/>
        <v>Heating RES 11 Year EUL</v>
      </c>
      <c r="DI57" s="2336">
        <f>(INDEX('Avoided Cost Benefits'!$B$4:$B$865,MATCH(DH57,'Avoided Cost Benefits'!$A$4:$A$865,0)))*F57</f>
        <v>0</v>
      </c>
      <c r="DJ57" s="2424">
        <f t="shared" si="7"/>
        <v>0</v>
      </c>
    </row>
    <row r="58" spans="1:114">
      <c r="A58" s="533"/>
      <c r="B58" s="1454">
        <f t="shared" si="8"/>
        <v>250250</v>
      </c>
      <c r="C58" s="1588" t="s">
        <v>1053</v>
      </c>
      <c r="D58" s="40" t="s">
        <v>1043</v>
      </c>
      <c r="E58" s="187" t="s">
        <v>1054</v>
      </c>
      <c r="F58" s="1564">
        <f>ROUND(F127*((F132*F134*1/F136)/1000)*F137*F113,2)*0</f>
        <v>0</v>
      </c>
      <c r="G58" s="1401" t="s">
        <v>1045</v>
      </c>
      <c r="H58" s="69">
        <f>VLOOKUP(G58,'CP FACTORS'!$A$3:$B$38, 2, FALSE)</f>
        <v>9.4741810000000004E-4</v>
      </c>
      <c r="I58" s="2146">
        <f t="shared" si="2"/>
        <v>0</v>
      </c>
      <c r="J58" s="134">
        <f t="shared" si="3"/>
        <v>11</v>
      </c>
      <c r="K58" s="985">
        <f>$F$148</f>
        <v>79</v>
      </c>
      <c r="L58" s="986" t="s">
        <v>62</v>
      </c>
      <c r="M58" s="283"/>
      <c r="N58" s="1565"/>
      <c r="O58" s="52"/>
      <c r="P58" s="52"/>
      <c r="Q58" s="533"/>
      <c r="R58" s="532"/>
      <c r="V58" s="356" t="str">
        <f t="shared" si="4"/>
        <v>kWh Annual Savings</v>
      </c>
      <c r="W58" s="87">
        <v>192.51692307692309</v>
      </c>
      <c r="X58" s="88">
        <v>187.92922225947771</v>
      </c>
      <c r="Y58" s="89">
        <v>187.46</v>
      </c>
      <c r="Z58" s="704">
        <v>187.46</v>
      </c>
      <c r="AA58" s="704">
        <v>187.46</v>
      </c>
      <c r="AB58" s="682">
        <v>185.21</v>
      </c>
      <c r="AC58" s="1552">
        <v>190.21</v>
      </c>
      <c r="AD58" s="1519">
        <v>190.21</v>
      </c>
      <c r="AE58" s="1519">
        <v>190.21</v>
      </c>
      <c r="AF58" s="271">
        <f t="shared" si="5"/>
        <v>0</v>
      </c>
      <c r="AG58" s="356"/>
      <c r="AH58" s="121"/>
      <c r="AU58" s="1505"/>
      <c r="DG58" s="1472">
        <f>(DI58+DI59)/(DJ58+DJ59)</f>
        <v>0</v>
      </c>
      <c r="DH58" s="132" t="str">
        <f t="shared" si="6"/>
        <v>Cooling RES 11 Year EUL</v>
      </c>
      <c r="DI58" s="556">
        <f>(INDEX('Avoided Cost Benefits'!$B$4:$B$865,MATCH(DH58,'Avoided Cost Benefits'!$A$4:$A$865,0)))*F58</f>
        <v>0</v>
      </c>
      <c r="DJ58" s="1170">
        <f t="shared" si="7"/>
        <v>79</v>
      </c>
    </row>
    <row r="59" spans="1:114">
      <c r="A59" s="533"/>
      <c r="B59" s="1454">
        <f t="shared" si="8"/>
        <v>250250</v>
      </c>
      <c r="C59" s="1588" t="s">
        <v>1053</v>
      </c>
      <c r="D59" s="40" t="s">
        <v>1043</v>
      </c>
      <c r="E59" s="673" t="s">
        <v>1054</v>
      </c>
      <c r="F59" s="1564">
        <f>ROUND(F84*F94*F104*F109*F113+F118*F123*29.3,2)*0</f>
        <v>0</v>
      </c>
      <c r="G59" s="1401" t="s">
        <v>1046</v>
      </c>
      <c r="H59" s="69">
        <f>VLOOKUP(G59,'CP FACTORS'!$A$3:$B$38, 2, FALSE)</f>
        <v>0</v>
      </c>
      <c r="I59" s="2146">
        <f t="shared" si="2"/>
        <v>0</v>
      </c>
      <c r="J59" s="134">
        <f t="shared" si="3"/>
        <v>11</v>
      </c>
      <c r="K59" s="985"/>
      <c r="L59" s="986" t="s">
        <v>62</v>
      </c>
      <c r="M59" s="283"/>
      <c r="N59" s="1565"/>
      <c r="O59" s="52"/>
      <c r="P59" s="52"/>
      <c r="Q59" s="533"/>
      <c r="R59" s="532"/>
      <c r="V59" s="356" t="str">
        <f t="shared" si="4"/>
        <v>kWh Annual Savings</v>
      </c>
      <c r="W59" s="87">
        <v>1092.9514064</v>
      </c>
      <c r="X59" s="88">
        <v>949.28714867924521</v>
      </c>
      <c r="Y59" s="89">
        <v>947.09</v>
      </c>
      <c r="Z59" s="704">
        <v>947.09</v>
      </c>
      <c r="AA59" s="704">
        <v>947.09</v>
      </c>
      <c r="AB59" s="682">
        <v>935.72</v>
      </c>
      <c r="AC59" s="1519">
        <v>935.72</v>
      </c>
      <c r="AD59" s="1519">
        <v>935.72</v>
      </c>
      <c r="AE59" s="1519">
        <v>935.72</v>
      </c>
      <c r="AF59" s="271">
        <f t="shared" si="5"/>
        <v>0</v>
      </c>
      <c r="AG59" s="356"/>
      <c r="AH59" s="121"/>
      <c r="AU59" s="1505"/>
      <c r="DG59" s="1472"/>
      <c r="DH59" s="933" t="str">
        <f t="shared" si="6"/>
        <v>Heating RES 11 Year EUL</v>
      </c>
      <c r="DI59" s="556">
        <f>(INDEX('Avoided Cost Benefits'!$B$4:$B$865,MATCH(DH59,'Avoided Cost Benefits'!$A$4:$A$865,0)))*F59</f>
        <v>0</v>
      </c>
      <c r="DJ59" s="1170">
        <f t="shared" si="7"/>
        <v>0</v>
      </c>
    </row>
    <row r="60" spans="1:114">
      <c r="A60" s="533"/>
      <c r="B60" s="1454">
        <f t="shared" si="8"/>
        <v>250350</v>
      </c>
      <c r="C60" s="1588" t="s">
        <v>1055</v>
      </c>
      <c r="D60" s="40" t="s">
        <v>1043</v>
      </c>
      <c r="E60" s="187" t="s">
        <v>1056</v>
      </c>
      <c r="F60" s="1564">
        <f>ROUND(F128*((F132*F134*1/F136)/1000)*F137*F113,2)*0</f>
        <v>0</v>
      </c>
      <c r="G60" s="1401" t="s">
        <v>1045</v>
      </c>
      <c r="H60" s="69">
        <f>VLOOKUP(G60,'CP FACTORS'!$A$3:$B$38, 2, FALSE)</f>
        <v>9.4741810000000004E-4</v>
      </c>
      <c r="I60" s="2146">
        <f t="shared" si="2"/>
        <v>0</v>
      </c>
      <c r="J60" s="134">
        <f t="shared" si="3"/>
        <v>11</v>
      </c>
      <c r="K60" s="985">
        <f>$F$148</f>
        <v>79</v>
      </c>
      <c r="L60" s="986" t="s">
        <v>62</v>
      </c>
      <c r="M60" s="283"/>
      <c r="N60" s="1565"/>
      <c r="O60" s="52"/>
      <c r="P60" s="90"/>
      <c r="Q60" s="533"/>
      <c r="R60" s="532"/>
      <c r="V60" s="356" t="str">
        <f t="shared" si="4"/>
        <v>kWh Annual Savings</v>
      </c>
      <c r="W60" s="87">
        <v>192.51692307692309</v>
      </c>
      <c r="X60" s="88">
        <v>187.92922225947771</v>
      </c>
      <c r="Y60" s="89">
        <v>187.46</v>
      </c>
      <c r="Z60" s="704">
        <v>187.46</v>
      </c>
      <c r="AA60" s="704">
        <v>187.46</v>
      </c>
      <c r="AB60" s="682">
        <v>185.21</v>
      </c>
      <c r="AC60" s="1552">
        <v>190.21</v>
      </c>
      <c r="AD60" s="1519">
        <v>190.21</v>
      </c>
      <c r="AE60" s="1519">
        <v>190.21</v>
      </c>
      <c r="AF60" s="271">
        <f t="shared" si="5"/>
        <v>0</v>
      </c>
      <c r="AG60" s="356"/>
      <c r="AH60" s="121"/>
      <c r="AU60" s="1505"/>
      <c r="DG60" s="1472">
        <f>(DI60+DI61)/(DJ60+DJ61)</f>
        <v>0</v>
      </c>
      <c r="DH60" s="132" t="str">
        <f t="shared" si="6"/>
        <v>Cooling RES 11 Year EUL</v>
      </c>
      <c r="DI60" s="556">
        <f>(INDEX('Avoided Cost Benefits'!$B$4:$B$865,MATCH(DH60,'Avoided Cost Benefits'!$A$4:$A$865,0)))*F60</f>
        <v>0</v>
      </c>
      <c r="DJ60" s="1170">
        <f t="shared" si="7"/>
        <v>79</v>
      </c>
    </row>
    <row r="61" spans="1:114">
      <c r="A61" s="533"/>
      <c r="B61" s="1454">
        <f t="shared" si="8"/>
        <v>250350</v>
      </c>
      <c r="C61" s="1588" t="s">
        <v>1055</v>
      </c>
      <c r="D61" s="40" t="s">
        <v>1043</v>
      </c>
      <c r="E61" s="673" t="s">
        <v>1056</v>
      </c>
      <c r="F61" s="1564">
        <f>ROUND(F85*F95*F105*F109*F113+F119*F123*29.3,2)*0</f>
        <v>0</v>
      </c>
      <c r="G61" s="1401" t="s">
        <v>1046</v>
      </c>
      <c r="H61" s="69">
        <f>VLOOKUP(G61,'CP FACTORS'!$A$3:$B$38, 2, FALSE)</f>
        <v>0</v>
      </c>
      <c r="I61" s="2146">
        <f t="shared" si="2"/>
        <v>0</v>
      </c>
      <c r="J61" s="134">
        <f t="shared" si="3"/>
        <v>11</v>
      </c>
      <c r="K61" s="985"/>
      <c r="L61" s="986" t="s">
        <v>62</v>
      </c>
      <c r="M61" s="283"/>
      <c r="N61" s="1565"/>
      <c r="O61" s="52"/>
      <c r="P61" s="91"/>
      <c r="Q61" s="533"/>
      <c r="R61" s="532"/>
      <c r="V61" s="356" t="str">
        <f t="shared" si="4"/>
        <v>kWh Annual Savings</v>
      </c>
      <c r="W61" s="87">
        <v>46.295406399999997</v>
      </c>
      <c r="X61" s="87">
        <v>41.992474552808346</v>
      </c>
      <c r="Y61" s="89">
        <v>41.85</v>
      </c>
      <c r="Z61" s="704">
        <v>41.85</v>
      </c>
      <c r="AA61" s="704">
        <v>41.85</v>
      </c>
      <c r="AB61" s="682">
        <v>41.35</v>
      </c>
      <c r="AC61" s="1519">
        <v>41.35</v>
      </c>
      <c r="AD61" s="1519">
        <v>41.35</v>
      </c>
      <c r="AE61" s="1519">
        <v>41.35</v>
      </c>
      <c r="AF61" s="271">
        <f t="shared" si="5"/>
        <v>0</v>
      </c>
      <c r="AG61" s="356"/>
      <c r="AH61" s="121"/>
      <c r="AU61" s="1505"/>
      <c r="DG61" s="1472"/>
      <c r="DH61" s="933" t="str">
        <f t="shared" si="6"/>
        <v>Heating RES 11 Year EUL</v>
      </c>
      <c r="DI61" s="556">
        <f>(INDEX('Avoided Cost Benefits'!$B$4:$B$865,MATCH(DH61,'Avoided Cost Benefits'!$A$4:$A$865,0)))*F61</f>
        <v>0</v>
      </c>
      <c r="DJ61" s="1170">
        <f t="shared" si="7"/>
        <v>0</v>
      </c>
    </row>
    <row r="62" spans="1:114">
      <c r="A62" s="533"/>
      <c r="B62" s="1454">
        <f t="shared" si="8"/>
        <v>250351</v>
      </c>
      <c r="C62" s="1588" t="s">
        <v>1057</v>
      </c>
      <c r="D62" s="40" t="s">
        <v>959</v>
      </c>
      <c r="E62" s="187" t="s">
        <v>1058</v>
      </c>
      <c r="F62" s="1564">
        <f>ROUND(F129*((F132*F135*1/F136)/1000)*F137*F113,2)*0</f>
        <v>0</v>
      </c>
      <c r="G62" s="1401" t="s">
        <v>1045</v>
      </c>
      <c r="H62" s="69">
        <f>VLOOKUP(G62,'CP FACTORS'!$A$3:$B$38, 2, FALSE)</f>
        <v>9.4741810000000004E-4</v>
      </c>
      <c r="I62" s="2146">
        <f t="shared" si="2"/>
        <v>0</v>
      </c>
      <c r="J62" s="134">
        <f t="shared" si="3"/>
        <v>11</v>
      </c>
      <c r="K62" s="985">
        <f>$F$148</f>
        <v>79</v>
      </c>
      <c r="L62" s="986" t="s">
        <v>62</v>
      </c>
      <c r="M62" s="283"/>
      <c r="N62" s="1565"/>
      <c r="O62" s="52"/>
      <c r="P62" s="91"/>
      <c r="Q62" s="533"/>
      <c r="R62" s="532"/>
      <c r="V62" s="356" t="str">
        <f t="shared" si="4"/>
        <v>kWh Annual Savings</v>
      </c>
      <c r="W62" s="87"/>
      <c r="X62" s="87"/>
      <c r="Y62" s="89">
        <v>136.33000000000001</v>
      </c>
      <c r="Z62" s="704">
        <v>136.33000000000001</v>
      </c>
      <c r="AA62" s="704">
        <v>136.33000000000001</v>
      </c>
      <c r="AB62" s="682">
        <v>185.21</v>
      </c>
      <c r="AC62" s="1552">
        <v>190.21</v>
      </c>
      <c r="AD62" s="1519">
        <v>190.21</v>
      </c>
      <c r="AE62" s="1519">
        <v>190.21</v>
      </c>
      <c r="AF62" s="271">
        <f t="shared" si="5"/>
        <v>0</v>
      </c>
      <c r="AG62" s="356"/>
      <c r="AH62" s="121"/>
      <c r="AU62" s="1505"/>
      <c r="DG62" s="1472">
        <f>(DI62+DI63)/(DJ62+DJ63)</f>
        <v>0</v>
      </c>
      <c r="DH62" s="132" t="str">
        <f t="shared" si="6"/>
        <v>Cooling RES 11 Year EUL</v>
      </c>
      <c r="DI62" s="556">
        <f>(INDEX('Avoided Cost Benefits'!$B$4:$B$865,MATCH(DH62,'Avoided Cost Benefits'!$A$4:$A$865,0)))*F62</f>
        <v>0</v>
      </c>
      <c r="DJ62" s="1170">
        <f t="shared" si="7"/>
        <v>79</v>
      </c>
    </row>
    <row r="63" spans="1:114">
      <c r="A63" s="533"/>
      <c r="B63" s="1454">
        <f t="shared" si="8"/>
        <v>250351</v>
      </c>
      <c r="C63" s="1588" t="s">
        <v>1057</v>
      </c>
      <c r="D63" s="40" t="s">
        <v>959</v>
      </c>
      <c r="E63" s="673" t="s">
        <v>1058</v>
      </c>
      <c r="F63" s="1564">
        <f>ROUND(F86*F96*F106*F109*F113+F120*F123*29.3,2)*0</f>
        <v>0</v>
      </c>
      <c r="G63" s="1401" t="s">
        <v>1046</v>
      </c>
      <c r="H63" s="69">
        <f>VLOOKUP(G63,'CP FACTORS'!$A$3:$B$38, 2, FALSE)</f>
        <v>0</v>
      </c>
      <c r="I63" s="2146">
        <f t="shared" si="2"/>
        <v>0</v>
      </c>
      <c r="J63" s="134">
        <f t="shared" si="3"/>
        <v>11</v>
      </c>
      <c r="K63" s="985"/>
      <c r="L63" s="986" t="s">
        <v>62</v>
      </c>
      <c r="M63" s="283"/>
      <c r="N63" s="1565"/>
      <c r="O63" s="52"/>
      <c r="P63" s="91"/>
      <c r="Q63" s="533"/>
      <c r="R63" s="532"/>
      <c r="V63" s="356" t="str">
        <f t="shared" si="4"/>
        <v>kWh Annual Savings</v>
      </c>
      <c r="W63" s="87"/>
      <c r="X63" s="87"/>
      <c r="Y63" s="89">
        <v>27.2</v>
      </c>
      <c r="Z63" s="704">
        <v>27.2</v>
      </c>
      <c r="AA63" s="704">
        <v>27.2</v>
      </c>
      <c r="AB63" s="682">
        <v>26.88</v>
      </c>
      <c r="AC63" s="1519">
        <v>26.88</v>
      </c>
      <c r="AD63" s="1519">
        <v>26.88</v>
      </c>
      <c r="AE63" s="1519">
        <v>26.88</v>
      </c>
      <c r="AF63" s="271">
        <f t="shared" si="5"/>
        <v>0</v>
      </c>
      <c r="AG63" s="356"/>
      <c r="AH63" s="121"/>
      <c r="AU63" s="1505"/>
      <c r="DG63" s="1472"/>
      <c r="DH63" s="933" t="str">
        <f t="shared" si="6"/>
        <v>Heating RES 11 Year EUL</v>
      </c>
      <c r="DI63" s="556">
        <f>(INDEX('Avoided Cost Benefits'!$B$4:$B$865,MATCH(DH63,'Avoided Cost Benefits'!$A$4:$A$865,0)))*F63</f>
        <v>0</v>
      </c>
      <c r="DJ63" s="1170">
        <f t="shared" si="7"/>
        <v>0</v>
      </c>
    </row>
    <row r="64" spans="1:114">
      <c r="A64" s="533"/>
      <c r="B64" s="1454">
        <f t="shared" si="8"/>
        <v>250352</v>
      </c>
      <c r="C64" s="2714" t="s">
        <v>1059</v>
      </c>
      <c r="D64" s="3033" t="str">
        <f>CONCATENATE(D62,"_CompE")</f>
        <v>MFIE_CompE</v>
      </c>
      <c r="E64" s="2521" t="s">
        <v>1060</v>
      </c>
      <c r="F64" s="2715">
        <f>ROUND(F129*((F133*F135*1/F136)/1000)*F137*F113,2)*0</f>
        <v>0</v>
      </c>
      <c r="G64" s="1401" t="s">
        <v>1045</v>
      </c>
      <c r="H64" s="69">
        <f>VLOOKUP(G64,'CP FACTORS'!$A$3:$B$38, 2, FALSE)</f>
        <v>9.4741810000000004E-4</v>
      </c>
      <c r="I64" s="2146">
        <f t="shared" si="2"/>
        <v>0</v>
      </c>
      <c r="J64" s="134">
        <f t="shared" si="3"/>
        <v>11</v>
      </c>
      <c r="K64" s="985">
        <f>$F$148</f>
        <v>79</v>
      </c>
      <c r="L64" s="986" t="s">
        <v>62</v>
      </c>
      <c r="M64" s="283"/>
      <c r="N64" s="1565"/>
      <c r="O64" s="52"/>
      <c r="P64" s="91"/>
      <c r="Q64" s="533"/>
      <c r="R64" s="532"/>
      <c r="V64" s="2413" t="str">
        <f t="shared" si="4"/>
        <v>kWh Annual Savings</v>
      </c>
      <c r="W64" s="3035"/>
      <c r="X64" s="3035"/>
      <c r="Y64" s="2725">
        <v>136.33000000000001</v>
      </c>
      <c r="Z64" s="2800">
        <v>136.33000000000001</v>
      </c>
      <c r="AA64" s="2800">
        <v>136.33000000000001</v>
      </c>
      <c r="AB64" s="2554">
        <v>134.69999999999999</v>
      </c>
      <c r="AC64" s="2663">
        <v>138.33000000000001</v>
      </c>
      <c r="AD64" s="2686">
        <v>138.33000000000001</v>
      </c>
      <c r="AE64" s="2686">
        <v>138.33000000000001</v>
      </c>
      <c r="AF64" s="2236">
        <f t="shared" si="5"/>
        <v>0</v>
      </c>
      <c r="AG64" s="356"/>
      <c r="AH64" s="121"/>
      <c r="AU64" s="1505"/>
      <c r="DG64" s="1472">
        <f>(DI64+DI65)/(DJ64+DJ65)</f>
        <v>0</v>
      </c>
      <c r="DH64" s="132" t="str">
        <f t="shared" si="6"/>
        <v>Cooling RES 11 Year EUL</v>
      </c>
      <c r="DI64" s="556">
        <f>(INDEX('Avoided Cost Benefits'!$B$4:$B$865,MATCH(DH64,'Avoided Cost Benefits'!$A$4:$A$865,0)))*F64</f>
        <v>0</v>
      </c>
      <c r="DJ64" s="1170">
        <f t="shared" si="7"/>
        <v>79</v>
      </c>
    </row>
    <row r="65" spans="1:114">
      <c r="A65" s="533"/>
      <c r="B65" s="1454">
        <f t="shared" si="8"/>
        <v>250352</v>
      </c>
      <c r="C65" s="2714" t="s">
        <v>1059</v>
      </c>
      <c r="D65" s="3033" t="str">
        <f>CONCATENATE(D63,"_CompE")</f>
        <v>MFIE_CompE</v>
      </c>
      <c r="E65" s="2522" t="s">
        <v>1060</v>
      </c>
      <c r="F65" s="2715">
        <f>ROUND(F86*F97*F106*F109*F113+F120*F123*29.3,2)*0</f>
        <v>0</v>
      </c>
      <c r="G65" s="1401" t="s">
        <v>1046</v>
      </c>
      <c r="H65" s="69">
        <f>VLOOKUP(G65,'CP FACTORS'!$A$3:$B$38, 2, FALSE)</f>
        <v>0</v>
      </c>
      <c r="I65" s="2146">
        <f t="shared" si="2"/>
        <v>0</v>
      </c>
      <c r="J65" s="134">
        <f t="shared" si="3"/>
        <v>11</v>
      </c>
      <c r="K65" s="985"/>
      <c r="L65" s="986" t="s">
        <v>62</v>
      </c>
      <c r="M65" s="283"/>
      <c r="N65" s="1565"/>
      <c r="O65" s="52"/>
      <c r="P65" s="91"/>
      <c r="Q65" s="533"/>
      <c r="R65" s="532"/>
      <c r="V65" s="2413" t="str">
        <f t="shared" si="4"/>
        <v>kWh Annual Savings</v>
      </c>
      <c r="W65" s="3035"/>
      <c r="X65" s="3035"/>
      <c r="Y65" s="2725">
        <v>27.2</v>
      </c>
      <c r="Z65" s="2800">
        <v>27.2</v>
      </c>
      <c r="AA65" s="2800">
        <v>27.2</v>
      </c>
      <c r="AB65" s="2554">
        <v>26.88</v>
      </c>
      <c r="AC65" s="2686">
        <v>26.88</v>
      </c>
      <c r="AD65" s="2686">
        <v>26.88</v>
      </c>
      <c r="AE65" s="2686">
        <v>26.88</v>
      </c>
      <c r="AF65" s="2236">
        <f t="shared" si="5"/>
        <v>0</v>
      </c>
      <c r="AG65" s="356"/>
      <c r="AH65" s="121"/>
      <c r="AU65" s="1505"/>
      <c r="DG65" s="1472"/>
      <c r="DH65" s="933" t="str">
        <f t="shared" si="6"/>
        <v>Heating RES 11 Year EUL</v>
      </c>
      <c r="DI65" s="556">
        <f>(INDEX('Avoided Cost Benefits'!$B$4:$B$865,MATCH(DH65,'Avoided Cost Benefits'!$A$4:$A$865,0)))*F65</f>
        <v>0</v>
      </c>
      <c r="DJ65" s="1170">
        <f t="shared" si="7"/>
        <v>0</v>
      </c>
    </row>
    <row r="66" spans="1:114">
      <c r="A66" s="533"/>
      <c r="B66" s="1454">
        <f t="shared" si="8"/>
        <v>250450</v>
      </c>
      <c r="C66" s="1588" t="s">
        <v>1061</v>
      </c>
      <c r="D66" s="40" t="s">
        <v>1062</v>
      </c>
      <c r="E66" s="187" t="s">
        <v>1063</v>
      </c>
      <c r="F66" s="1564">
        <f>ROUND(F130*((F132*F134*1/F136)/1000)*F137*F113,2)*0</f>
        <v>0</v>
      </c>
      <c r="G66" s="1401" t="s">
        <v>1045</v>
      </c>
      <c r="H66" s="69">
        <f>VLOOKUP(G66,'CP FACTORS'!$A$3:$B$38, 2, FALSE)</f>
        <v>9.4741810000000004E-4</v>
      </c>
      <c r="I66" s="2146">
        <f t="shared" si="2"/>
        <v>0</v>
      </c>
      <c r="J66" s="134">
        <f t="shared" si="3"/>
        <v>11</v>
      </c>
      <c r="K66" s="985">
        <f>$F$148</f>
        <v>79</v>
      </c>
      <c r="L66" s="986" t="s">
        <v>62</v>
      </c>
      <c r="M66" s="283"/>
      <c r="N66" s="1565"/>
      <c r="O66" s="52"/>
      <c r="P66" s="52"/>
      <c r="Q66" s="533"/>
      <c r="R66" s="532"/>
      <c r="V66" s="356" t="str">
        <f t="shared" si="4"/>
        <v>kWh Annual Savings</v>
      </c>
      <c r="W66" s="87">
        <v>192.51692307692309</v>
      </c>
      <c r="X66" s="88">
        <v>187.92922225947771</v>
      </c>
      <c r="Y66" s="89">
        <v>187.46</v>
      </c>
      <c r="Z66" s="704">
        <v>187.46</v>
      </c>
      <c r="AA66" s="704">
        <v>187.46</v>
      </c>
      <c r="AB66" s="682">
        <v>185.21</v>
      </c>
      <c r="AC66" s="1552">
        <v>190.21</v>
      </c>
      <c r="AD66" s="1519">
        <v>190.21</v>
      </c>
      <c r="AE66" s="1519">
        <v>190.21</v>
      </c>
      <c r="AF66" s="271">
        <f t="shared" si="5"/>
        <v>0</v>
      </c>
      <c r="AG66" s="356"/>
      <c r="AH66" s="121"/>
      <c r="AU66" s="1505"/>
      <c r="DG66" s="1472">
        <f>(DI66+DI67)/(DJ66+DJ67)</f>
        <v>0</v>
      </c>
      <c r="DH66" s="132" t="str">
        <f t="shared" si="6"/>
        <v>Cooling RES 11 Year EUL</v>
      </c>
      <c r="DI66" s="556">
        <f>(INDEX('Avoided Cost Benefits'!$B$4:$B$865,MATCH(DH66,'Avoided Cost Benefits'!$A$4:$A$865,0)))*F66</f>
        <v>0</v>
      </c>
      <c r="DJ66" s="1170">
        <f t="shared" si="7"/>
        <v>79</v>
      </c>
    </row>
    <row r="67" spans="1:114">
      <c r="A67" s="533"/>
      <c r="B67" s="1454">
        <f t="shared" si="8"/>
        <v>250450</v>
      </c>
      <c r="C67" s="1588" t="s">
        <v>1061</v>
      </c>
      <c r="D67" s="40" t="s">
        <v>1062</v>
      </c>
      <c r="E67" s="673" t="s">
        <v>1063</v>
      </c>
      <c r="F67" s="1564">
        <f>ROUND(F87*F98*F107*F109*F113+F121*F123*29.3,2)*0</f>
        <v>0</v>
      </c>
      <c r="G67" s="1401" t="s">
        <v>1046</v>
      </c>
      <c r="H67" s="69">
        <f>VLOOKUP(G67,'CP FACTORS'!$A$3:$B$38, 2, FALSE)</f>
        <v>0</v>
      </c>
      <c r="I67" s="2146">
        <f t="shared" si="2"/>
        <v>0</v>
      </c>
      <c r="J67" s="134">
        <f t="shared" si="3"/>
        <v>11</v>
      </c>
      <c r="K67" s="985"/>
      <c r="L67" s="986" t="s">
        <v>62</v>
      </c>
      <c r="M67" s="283"/>
      <c r="N67" s="1565"/>
      <c r="O67" s="283"/>
      <c r="P67" s="283"/>
      <c r="Q67" s="533"/>
      <c r="R67" s="532"/>
      <c r="V67" s="356" t="str">
        <f t="shared" si="4"/>
        <v>kWh Annual Savings</v>
      </c>
      <c r="W67" s="87">
        <v>377.56641415999997</v>
      </c>
      <c r="X67" s="88">
        <v>226.28150936736847</v>
      </c>
      <c r="Y67" s="89">
        <v>160.49</v>
      </c>
      <c r="Z67" s="704">
        <v>160.49</v>
      </c>
      <c r="AA67" s="704">
        <v>160.49</v>
      </c>
      <c r="AB67" s="682">
        <v>158.56</v>
      </c>
      <c r="AC67" s="1552">
        <v>276.79000000000002</v>
      </c>
      <c r="AD67" s="1519">
        <v>276.79000000000002</v>
      </c>
      <c r="AE67" s="1519">
        <v>276.79000000000002</v>
      </c>
      <c r="AF67" s="271">
        <f t="shared" si="5"/>
        <v>0</v>
      </c>
      <c r="AG67" s="356"/>
      <c r="AH67" s="121"/>
      <c r="AU67" s="1505"/>
      <c r="DG67" s="1472"/>
      <c r="DH67" s="933" t="str">
        <f t="shared" si="6"/>
        <v>Heating RES 11 Year EUL</v>
      </c>
      <c r="DI67" s="556">
        <f>(INDEX('Avoided Cost Benefits'!$B$4:$B$865,MATCH(DH67,'Avoided Cost Benefits'!$A$4:$A$865,0)))*F67</f>
        <v>0</v>
      </c>
      <c r="DJ67" s="1170">
        <f t="shared" si="7"/>
        <v>0</v>
      </c>
    </row>
    <row r="68" spans="1:114">
      <c r="A68" s="533"/>
      <c r="B68" s="1454">
        <f t="shared" si="8"/>
        <v>250451</v>
      </c>
      <c r="C68" s="2714" t="s">
        <v>1064</v>
      </c>
      <c r="D68" s="2460" t="s">
        <v>1065</v>
      </c>
      <c r="E68" s="2495" t="s">
        <v>1066</v>
      </c>
      <c r="F68" s="2715">
        <f>ROUND(F131*((F132*F135*1/F136)/1000)*F137*F113,2)*0</f>
        <v>0</v>
      </c>
      <c r="G68" s="2497" t="s">
        <v>1045</v>
      </c>
      <c r="H68" s="2213">
        <f>VLOOKUP(G68,'CP FACTORS'!$A$3:$B$38, 2, FALSE)</f>
        <v>9.4741810000000004E-4</v>
      </c>
      <c r="I68" s="3034">
        <f t="shared" si="2"/>
        <v>0</v>
      </c>
      <c r="J68" s="2582">
        <f t="shared" si="3"/>
        <v>11</v>
      </c>
      <c r="K68" s="2718">
        <f>$F$148</f>
        <v>79</v>
      </c>
      <c r="L68" s="2719" t="s">
        <v>62</v>
      </c>
      <c r="M68" s="283"/>
      <c r="N68" s="1565"/>
      <c r="O68" s="283"/>
      <c r="P68" s="283"/>
      <c r="Q68" s="533"/>
      <c r="R68" s="532"/>
      <c r="V68" s="2413" t="str">
        <f t="shared" si="4"/>
        <v>kWh Annual Savings</v>
      </c>
      <c r="W68" s="3035"/>
      <c r="X68" s="2567"/>
      <c r="Y68" s="2725">
        <v>136.33000000000001</v>
      </c>
      <c r="Z68" s="2800">
        <v>136.33000000000001</v>
      </c>
      <c r="AA68" s="2800">
        <v>136.33000000000001</v>
      </c>
      <c r="AB68" s="2554">
        <v>185.21</v>
      </c>
      <c r="AC68" s="2663">
        <v>190.21</v>
      </c>
      <c r="AD68" s="2686">
        <v>190.21</v>
      </c>
      <c r="AE68" s="2686">
        <v>190.21</v>
      </c>
      <c r="AF68" s="2236">
        <f t="shared" si="5"/>
        <v>0</v>
      </c>
      <c r="AG68" s="356"/>
      <c r="AH68" s="121"/>
      <c r="AU68" s="1505"/>
      <c r="DG68" s="3036">
        <f>(DI68+DI69)/(DJ68+DJ69)</f>
        <v>0</v>
      </c>
      <c r="DH68" s="2557" t="str">
        <f t="shared" si="6"/>
        <v>Cooling RES 11 Year EUL</v>
      </c>
      <c r="DI68" s="2336">
        <f>(INDEX('Avoided Cost Benefits'!$B$4:$B$865,MATCH(DH68,'Avoided Cost Benefits'!$A$4:$A$865,0)))*F68</f>
        <v>0</v>
      </c>
      <c r="DJ68" s="2424">
        <f t="shared" si="7"/>
        <v>79</v>
      </c>
    </row>
    <row r="69" spans="1:114">
      <c r="A69" s="533"/>
      <c r="B69" s="1454">
        <f t="shared" si="8"/>
        <v>250451</v>
      </c>
      <c r="C69" s="2714" t="s">
        <v>1064</v>
      </c>
      <c r="D69" s="2460" t="s">
        <v>1065</v>
      </c>
      <c r="E69" s="2423" t="s">
        <v>1066</v>
      </c>
      <c r="F69" s="2715">
        <f>ROUND(F88*F99*F108*F109*F113+F122*F123*29.3,2)*0</f>
        <v>0</v>
      </c>
      <c r="G69" s="2497" t="s">
        <v>1046</v>
      </c>
      <c r="H69" s="2213">
        <f>VLOOKUP(G69,'CP FACTORS'!$A$3:$B$38, 2, FALSE)</f>
        <v>0</v>
      </c>
      <c r="I69" s="3034">
        <f t="shared" si="2"/>
        <v>0</v>
      </c>
      <c r="J69" s="2582">
        <f t="shared" si="3"/>
        <v>11</v>
      </c>
      <c r="K69" s="2718"/>
      <c r="L69" s="2719" t="s">
        <v>62</v>
      </c>
      <c r="M69" s="283"/>
      <c r="N69" s="1565"/>
      <c r="O69" s="283"/>
      <c r="P69" s="283"/>
      <c r="Q69" s="533"/>
      <c r="R69" s="532"/>
      <c r="V69" s="2413" t="str">
        <f t="shared" si="4"/>
        <v>kWh Annual Savings</v>
      </c>
      <c r="W69" s="3035"/>
      <c r="X69" s="2567"/>
      <c r="Y69" s="2725">
        <v>104.32</v>
      </c>
      <c r="Z69" s="2800">
        <v>104.32</v>
      </c>
      <c r="AA69" s="2800">
        <v>104.32</v>
      </c>
      <c r="AB69" s="2554">
        <v>103.06</v>
      </c>
      <c r="AC69" s="2663">
        <v>179.91</v>
      </c>
      <c r="AD69" s="2686">
        <v>179.91</v>
      </c>
      <c r="AE69" s="2686">
        <v>179.91</v>
      </c>
      <c r="AF69" s="2236">
        <f t="shared" si="5"/>
        <v>0</v>
      </c>
      <c r="AG69" s="356"/>
      <c r="AH69" s="121"/>
      <c r="AU69" s="1505"/>
      <c r="DG69" s="3036"/>
      <c r="DH69" s="2558" t="str">
        <f t="shared" si="6"/>
        <v>Heating RES 11 Year EUL</v>
      </c>
      <c r="DI69" s="2336">
        <f>(INDEX('Avoided Cost Benefits'!$B$4:$B$865,MATCH(DH69,'Avoided Cost Benefits'!$A$4:$A$865,0)))*F69</f>
        <v>0</v>
      </c>
      <c r="DJ69" s="2424">
        <f t="shared" si="7"/>
        <v>0</v>
      </c>
    </row>
    <row r="70" spans="1:114">
      <c r="A70" s="533"/>
      <c r="B70" s="1454">
        <f t="shared" si="8"/>
        <v>250452</v>
      </c>
      <c r="C70" s="2714" t="s">
        <v>1067</v>
      </c>
      <c r="D70" s="3033" t="str">
        <f>CONCATENATE(D68,"_CompE")</f>
        <v>Efficient Products_CompE</v>
      </c>
      <c r="E70" s="2521" t="s">
        <v>1068</v>
      </c>
      <c r="F70" s="2715">
        <f>ROUND(F131*((F133*F135*1/F136)/1000)*F137*F113,2)*0</f>
        <v>0</v>
      </c>
      <c r="G70" s="2497" t="s">
        <v>1045</v>
      </c>
      <c r="H70" s="2213">
        <f>VLOOKUP(G70,'CP FACTORS'!$A$3:$B$38, 2, FALSE)</f>
        <v>9.4741810000000004E-4</v>
      </c>
      <c r="I70" s="3034">
        <f t="shared" si="2"/>
        <v>0</v>
      </c>
      <c r="J70" s="2582">
        <f t="shared" si="3"/>
        <v>11</v>
      </c>
      <c r="K70" s="2718">
        <f>$F$148</f>
        <v>79</v>
      </c>
      <c r="L70" s="2719" t="s">
        <v>62</v>
      </c>
      <c r="M70" s="283"/>
      <c r="N70" s="1565"/>
      <c r="O70" s="283"/>
      <c r="P70" s="283"/>
      <c r="Q70" s="533"/>
      <c r="R70" s="532"/>
      <c r="V70" s="2413" t="str">
        <f t="shared" si="4"/>
        <v>kWh Annual Savings</v>
      </c>
      <c r="W70" s="3035"/>
      <c r="X70" s="2567"/>
      <c r="Y70" s="2725">
        <v>136.33000000000001</v>
      </c>
      <c r="Z70" s="2800">
        <v>136.33000000000001</v>
      </c>
      <c r="AA70" s="2800">
        <v>136.33000000000001</v>
      </c>
      <c r="AB70" s="2554">
        <v>134.69999999999999</v>
      </c>
      <c r="AC70" s="2663">
        <v>138.33000000000001</v>
      </c>
      <c r="AD70" s="2686">
        <v>138.33000000000001</v>
      </c>
      <c r="AE70" s="2686">
        <v>138.33000000000001</v>
      </c>
      <c r="AF70" s="2236">
        <f t="shared" si="5"/>
        <v>0</v>
      </c>
      <c r="AG70" s="356"/>
      <c r="AH70" s="121"/>
      <c r="AU70" s="1505"/>
      <c r="DG70" s="3036">
        <f>(DI70+DI71)/(DJ70+DJ71)</f>
        <v>0</v>
      </c>
      <c r="DH70" s="2557" t="str">
        <f t="shared" si="6"/>
        <v>Cooling RES 11 Year EUL</v>
      </c>
      <c r="DI70" s="2336">
        <f>(INDEX('Avoided Cost Benefits'!$B$4:$B$865,MATCH(DH70,'Avoided Cost Benefits'!$A$4:$A$865,0)))*F70</f>
        <v>0</v>
      </c>
      <c r="DJ70" s="2424">
        <f t="shared" si="7"/>
        <v>79</v>
      </c>
    </row>
    <row r="71" spans="1:114">
      <c r="A71" s="533"/>
      <c r="B71" s="1454">
        <f t="shared" si="8"/>
        <v>250452</v>
      </c>
      <c r="C71" s="2714" t="s">
        <v>1067</v>
      </c>
      <c r="D71" s="2460" t="str">
        <f>CONCATENATE(D69,"_CompE")</f>
        <v>Efficient Products_CompE</v>
      </c>
      <c r="E71" s="2522" t="s">
        <v>1068</v>
      </c>
      <c r="F71" s="2715">
        <f>ROUND(F88*F100*F108*F109*F113+F122*F123*29.3,2)*0</f>
        <v>0</v>
      </c>
      <c r="G71" s="2497" t="s">
        <v>1046</v>
      </c>
      <c r="H71" s="2213">
        <f>VLOOKUP(G71,'CP FACTORS'!$A$3:$B$38, 2, FALSE)</f>
        <v>0</v>
      </c>
      <c r="I71" s="3034">
        <f t="shared" si="2"/>
        <v>0</v>
      </c>
      <c r="J71" s="2582">
        <f t="shared" si="3"/>
        <v>11</v>
      </c>
      <c r="K71" s="2718"/>
      <c r="L71" s="2719" t="s">
        <v>62</v>
      </c>
      <c r="M71" s="283"/>
      <c r="N71" s="1565"/>
      <c r="O71" s="283"/>
      <c r="P71" s="283"/>
      <c r="Q71" s="533"/>
      <c r="R71" s="532"/>
      <c r="V71" s="2413" t="str">
        <f t="shared" si="4"/>
        <v>kWh Annual Savings</v>
      </c>
      <c r="W71" s="3035"/>
      <c r="X71" s="2567"/>
      <c r="Y71" s="2725">
        <v>50.49</v>
      </c>
      <c r="Z71" s="2800">
        <v>50.49</v>
      </c>
      <c r="AA71" s="2800">
        <v>50.49</v>
      </c>
      <c r="AB71" s="2554">
        <v>49.89</v>
      </c>
      <c r="AC71" s="2663">
        <v>73.09</v>
      </c>
      <c r="AD71" s="2686">
        <v>73.09</v>
      </c>
      <c r="AE71" s="2686">
        <v>73.09</v>
      </c>
      <c r="AF71" s="2236">
        <f t="shared" si="5"/>
        <v>0</v>
      </c>
      <c r="AG71" s="356"/>
      <c r="AH71" s="121"/>
      <c r="AU71" s="1505"/>
      <c r="DG71" s="3037"/>
      <c r="DH71" s="2558" t="str">
        <f t="shared" si="6"/>
        <v>Heating RES 11 Year EUL</v>
      </c>
      <c r="DI71" s="2430">
        <f>(INDEX('Avoided Cost Benefits'!$B$4:$B$865,MATCH(DH71,'Avoided Cost Benefits'!$A$4:$A$865,0)))*F71</f>
        <v>0</v>
      </c>
      <c r="DJ71" s="2431">
        <f t="shared" si="7"/>
        <v>0</v>
      </c>
    </row>
    <row r="72" spans="1:114" ht="15" hidden="1" customHeight="1" outlineLevel="1">
      <c r="A72" s="533"/>
      <c r="B72" s="579"/>
      <c r="C72" s="281"/>
      <c r="D72" s="77" t="s">
        <v>118</v>
      </c>
      <c r="E72" s="77" t="s">
        <v>1069</v>
      </c>
      <c r="F72" s="281" t="s">
        <v>1070</v>
      </c>
      <c r="G72" s="283"/>
      <c r="H72" s="283"/>
      <c r="I72" s="283"/>
      <c r="J72" s="283"/>
      <c r="K72" s="283"/>
      <c r="L72" s="283"/>
      <c r="M72" s="283"/>
      <c r="N72" s="1565"/>
      <c r="O72" s="283"/>
      <c r="P72" s="283"/>
      <c r="Q72" s="533"/>
      <c r="AU72" s="1505"/>
      <c r="DJ72" s="1187"/>
    </row>
    <row r="73" spans="1:114" s="1509" customFormat="1" ht="15" hidden="1" customHeight="1" outlineLevel="1">
      <c r="A73" s="533"/>
      <c r="B73" s="579"/>
      <c r="C73" s="281"/>
      <c r="D73" s="74" t="s">
        <v>963</v>
      </c>
      <c r="E73" s="133" t="s">
        <v>1071</v>
      </c>
      <c r="F73" s="541"/>
      <c r="G73" s="283"/>
      <c r="H73" s="283"/>
      <c r="I73" s="283"/>
      <c r="J73" s="283"/>
      <c r="K73" s="283"/>
      <c r="L73" s="283"/>
      <c r="M73" s="283"/>
      <c r="N73" s="1565"/>
      <c r="O73" s="283"/>
      <c r="P73" s="283"/>
      <c r="Q73" s="75"/>
      <c r="R73" s="75"/>
      <c r="S73" s="75"/>
      <c r="T73" s="75"/>
      <c r="U73" s="75"/>
      <c r="V73" s="92"/>
      <c r="AU73" s="1505"/>
      <c r="DG73" s="1074"/>
      <c r="DH73" s="75"/>
      <c r="DI73" s="75"/>
      <c r="DJ73" s="1187"/>
    </row>
    <row r="74" spans="1:114" s="1509" customFormat="1" ht="18" hidden="1" customHeight="1" outlineLevel="1">
      <c r="A74" s="533"/>
      <c r="B74" s="579"/>
      <c r="C74" s="281"/>
      <c r="D74" s="1566" t="s">
        <v>1072</v>
      </c>
      <c r="E74" s="1566" t="s">
        <v>1073</v>
      </c>
      <c r="F74" s="2174"/>
      <c r="G74" s="1567"/>
      <c r="H74" s="1567"/>
      <c r="I74" s="1567"/>
      <c r="J74" s="1567"/>
      <c r="K74" s="1567"/>
      <c r="L74" s="1567"/>
      <c r="M74" s="283"/>
      <c r="N74" s="1565"/>
      <c r="O74" s="283"/>
      <c r="P74" s="532"/>
      <c r="Q74" s="75"/>
      <c r="R74" s="75"/>
      <c r="S74" s="75"/>
      <c r="T74" s="75"/>
      <c r="U74" s="75"/>
      <c r="AU74" s="1505"/>
      <c r="DG74" s="1074"/>
      <c r="DH74" s="75"/>
      <c r="DI74" s="75"/>
      <c r="DJ74" s="1187"/>
    </row>
    <row r="75" spans="1:114" s="1509" customFormat="1" ht="18" hidden="1" customHeight="1" outlineLevel="1">
      <c r="A75" s="533"/>
      <c r="B75" s="579"/>
      <c r="C75" s="281"/>
      <c r="D75" s="1566"/>
      <c r="E75" s="1566" t="s">
        <v>1074</v>
      </c>
      <c r="F75" s="2174"/>
      <c r="G75" s="1567"/>
      <c r="H75" s="1567"/>
      <c r="I75" s="1567"/>
      <c r="J75" s="1567"/>
      <c r="K75" s="1567"/>
      <c r="L75" s="1567"/>
      <c r="M75" s="283"/>
      <c r="N75" s="1565"/>
      <c r="O75" s="283"/>
      <c r="P75" s="532"/>
      <c r="Q75" s="75"/>
      <c r="R75" s="75"/>
      <c r="S75" s="75"/>
      <c r="T75" s="75"/>
      <c r="U75" s="75"/>
      <c r="AU75" s="1505"/>
      <c r="DG75" s="1074"/>
      <c r="DH75" s="75"/>
      <c r="DI75" s="75"/>
      <c r="DJ75" s="1187"/>
    </row>
    <row r="76" spans="1:114" s="1509" customFormat="1" ht="18" hidden="1" customHeight="1" outlineLevel="1">
      <c r="A76" s="533"/>
      <c r="B76" s="579"/>
      <c r="C76" s="281"/>
      <c r="D76" s="1566"/>
      <c r="E76" s="1566" t="s">
        <v>1075</v>
      </c>
      <c r="F76" s="2174"/>
      <c r="G76" s="1567"/>
      <c r="H76" s="1567"/>
      <c r="I76" s="1567"/>
      <c r="J76" s="1567"/>
      <c r="K76" s="1567"/>
      <c r="L76" s="1567"/>
      <c r="M76" s="283"/>
      <c r="N76" s="1565"/>
      <c r="O76" s="283"/>
      <c r="P76" s="532"/>
      <c r="Q76" s="75"/>
      <c r="R76" s="75"/>
      <c r="S76" s="75"/>
      <c r="T76" s="75"/>
      <c r="U76" s="75"/>
      <c r="AU76" s="1505"/>
      <c r="DG76" s="1074"/>
      <c r="DH76" s="75"/>
      <c r="DI76" s="75"/>
      <c r="DJ76" s="1187"/>
    </row>
    <row r="77" spans="1:114" s="1509" customFormat="1" ht="18" hidden="1" customHeight="1" outlineLevel="1">
      <c r="A77" s="533"/>
      <c r="B77" s="579"/>
      <c r="C77" s="281"/>
      <c r="D77" s="1566"/>
      <c r="E77" s="1566" t="s">
        <v>1076</v>
      </c>
      <c r="F77" s="2174"/>
      <c r="G77" s="1567"/>
      <c r="H77" s="1567"/>
      <c r="I77" s="1567"/>
      <c r="J77" s="1567"/>
      <c r="K77" s="1567"/>
      <c r="L77" s="1567"/>
      <c r="M77" s="283"/>
      <c r="N77" s="1565"/>
      <c r="O77" s="283"/>
      <c r="P77" s="532"/>
      <c r="Q77" s="75"/>
      <c r="R77" s="75"/>
      <c r="S77" s="75"/>
      <c r="T77" s="75"/>
      <c r="U77" s="75"/>
      <c r="AU77" s="1505"/>
      <c r="DG77" s="1074"/>
      <c r="DH77" s="75"/>
      <c r="DI77" s="75"/>
      <c r="DJ77" s="1187"/>
    </row>
    <row r="78" spans="1:114" s="1509" customFormat="1" ht="18" hidden="1" customHeight="1" outlineLevel="1">
      <c r="A78" s="533"/>
      <c r="B78" s="579"/>
      <c r="C78" s="281"/>
      <c r="D78" s="1566"/>
      <c r="E78" s="1566"/>
      <c r="F78" s="2174"/>
      <c r="G78" s="1567"/>
      <c r="H78" s="1567"/>
      <c r="I78" s="75"/>
      <c r="J78" s="1567"/>
      <c r="K78" s="1567"/>
      <c r="L78" s="1567"/>
      <c r="M78" s="283"/>
      <c r="N78" s="1565"/>
      <c r="O78" s="283"/>
      <c r="P78" s="532"/>
      <c r="Q78" s="75"/>
      <c r="R78" s="75"/>
      <c r="S78" s="75"/>
      <c r="T78" s="75"/>
      <c r="U78" s="75"/>
      <c r="X78" s="2091" t="s">
        <v>1077</v>
      </c>
      <c r="AU78" s="1505"/>
      <c r="DG78" s="1074"/>
      <c r="DH78" s="75"/>
      <c r="DI78" s="75"/>
      <c r="DJ78" s="1187"/>
    </row>
    <row r="79" spans="1:114" s="1509" customFormat="1" ht="15" hidden="1" customHeight="1" outlineLevel="1">
      <c r="A79" s="533"/>
      <c r="B79" s="579"/>
      <c r="C79" s="281"/>
      <c r="D79" s="133"/>
      <c r="E79" s="133"/>
      <c r="F79" s="281"/>
      <c r="G79" s="283"/>
      <c r="H79" s="283"/>
      <c r="I79" s="283"/>
      <c r="J79" s="283"/>
      <c r="K79" s="283"/>
      <c r="L79" s="283"/>
      <c r="M79" s="283"/>
      <c r="N79" s="1565"/>
      <c r="O79" s="283"/>
      <c r="P79" s="283"/>
      <c r="Q79" s="283"/>
      <c r="R79" s="75"/>
      <c r="S79" s="75"/>
      <c r="T79" s="75"/>
      <c r="U79" s="75"/>
      <c r="AU79" s="1505"/>
      <c r="DG79" s="1074"/>
      <c r="DH79" s="75"/>
      <c r="DI79" s="75"/>
      <c r="DJ79" s="1187"/>
    </row>
    <row r="80" spans="1:114" ht="15" hidden="1" customHeight="1" outlineLevel="1">
      <c r="A80" s="533"/>
      <c r="B80" s="579"/>
      <c r="C80" s="281"/>
      <c r="D80" s="1443" t="s">
        <v>1078</v>
      </c>
      <c r="E80" s="1443" t="s">
        <v>967</v>
      </c>
      <c r="F80" s="1371" t="s">
        <v>969</v>
      </c>
      <c r="G80" s="1371" t="s">
        <v>970</v>
      </c>
      <c r="H80" s="1371" t="s">
        <v>1079</v>
      </c>
      <c r="I80" s="1371" t="s">
        <v>1079</v>
      </c>
      <c r="J80" s="283"/>
      <c r="M80" s="52"/>
      <c r="N80" s="1565"/>
      <c r="O80" s="283"/>
      <c r="P80" s="283"/>
      <c r="Q80" s="283"/>
      <c r="V80" s="668" t="s">
        <v>52</v>
      </c>
      <c r="W80" s="669">
        <v>43252</v>
      </c>
      <c r="X80" s="669">
        <f>$X$6</f>
        <v>43465</v>
      </c>
      <c r="Y80" s="669">
        <f>$Y$6</f>
        <v>43800</v>
      </c>
      <c r="Z80" s="669">
        <f>$Z$6</f>
        <v>43862</v>
      </c>
      <c r="AA80" s="669">
        <f>$AA$6</f>
        <v>44013</v>
      </c>
      <c r="AB80" s="669">
        <f>$AB$6</f>
        <v>44166</v>
      </c>
      <c r="AC80" s="669">
        <f>$AC$6</f>
        <v>44531</v>
      </c>
      <c r="AD80" s="669">
        <f>$AD$6</f>
        <v>44774</v>
      </c>
      <c r="AE80" s="669">
        <f>$AE$6</f>
        <v>45139</v>
      </c>
      <c r="AF80" s="669">
        <f>$AF$6</f>
        <v>45672</v>
      </c>
      <c r="AG80" s="669" t="str">
        <f>$AG$6</f>
        <v>-</v>
      </c>
      <c r="AH80" s="1509"/>
      <c r="AU80" s="1505"/>
      <c r="DJ80" s="1187"/>
    </row>
    <row r="81" spans="1:114" ht="15" hidden="1" customHeight="1" outlineLevel="1">
      <c r="A81" s="533"/>
      <c r="B81" s="579"/>
      <c r="C81" s="281"/>
      <c r="D81" s="4084" t="s">
        <v>353</v>
      </c>
      <c r="E81" s="128" t="str">
        <f>E48</f>
        <v>Learning Thermostat - ASHP heating/cooling SF</v>
      </c>
      <c r="F81" s="1709">
        <v>1</v>
      </c>
      <c r="G81" s="4059" t="s">
        <v>1080</v>
      </c>
      <c r="H81" s="4060"/>
      <c r="I81" s="1430"/>
      <c r="J81" s="283"/>
      <c r="N81" s="1565"/>
      <c r="O81" s="283"/>
      <c r="P81" s="283"/>
      <c r="Q81" s="283"/>
      <c r="V81" s="4087" t="str">
        <f>D81</f>
        <v>%ElectricHeat</v>
      </c>
      <c r="W81" s="287">
        <v>1</v>
      </c>
      <c r="X81" s="287">
        <v>1</v>
      </c>
      <c r="Y81" s="287">
        <v>1</v>
      </c>
      <c r="Z81" s="146">
        <v>1</v>
      </c>
      <c r="AA81" s="146">
        <v>1</v>
      </c>
      <c r="AB81" s="146">
        <v>1</v>
      </c>
      <c r="AC81" s="190">
        <v>1</v>
      </c>
      <c r="AD81" s="190">
        <v>1</v>
      </c>
      <c r="AE81" s="190">
        <v>1</v>
      </c>
      <c r="AF81" s="271">
        <f t="shared" ref="AF81:AF112" si="9">IF(F81&lt;&gt;"",F81,"")</f>
        <v>1</v>
      </c>
      <c r="AG81" s="287"/>
      <c r="AH81" s="1509"/>
      <c r="AU81" s="1505"/>
      <c r="DJ81" s="1187"/>
    </row>
    <row r="82" spans="1:114" ht="15" hidden="1" customHeight="1" outlineLevel="1">
      <c r="A82" s="533"/>
      <c r="B82" s="579"/>
      <c r="C82" s="281"/>
      <c r="D82" s="4085"/>
      <c r="E82" s="128" t="str">
        <f>E50</f>
        <v>Learning Thermostat - ASHP heating/cooling MF</v>
      </c>
      <c r="F82" s="1709">
        <v>1</v>
      </c>
      <c r="G82" s="4059" t="s">
        <v>1080</v>
      </c>
      <c r="H82" s="4060"/>
      <c r="I82" s="1430"/>
      <c r="J82" s="283"/>
      <c r="N82" s="1565"/>
      <c r="O82" s="283"/>
      <c r="P82" s="283"/>
      <c r="Q82" s="283"/>
      <c r="V82" s="4088"/>
      <c r="W82" s="287"/>
      <c r="X82" s="287"/>
      <c r="Y82" s="287">
        <v>1</v>
      </c>
      <c r="Z82" s="146">
        <v>1</v>
      </c>
      <c r="AA82" s="146">
        <v>1</v>
      </c>
      <c r="AB82" s="146">
        <v>1</v>
      </c>
      <c r="AC82" s="190">
        <v>1</v>
      </c>
      <c r="AD82" s="190">
        <v>1</v>
      </c>
      <c r="AE82" s="190">
        <v>1</v>
      </c>
      <c r="AF82" s="271">
        <f t="shared" si="9"/>
        <v>1</v>
      </c>
      <c r="AG82" s="287"/>
      <c r="AH82" s="1509"/>
      <c r="AU82" s="1505"/>
      <c r="DJ82" s="1187"/>
    </row>
    <row r="83" spans="1:114" ht="15" hidden="1" customHeight="1" outlineLevel="1">
      <c r="A83" s="533"/>
      <c r="B83" s="579"/>
      <c r="C83" s="281"/>
      <c r="D83" s="4085"/>
      <c r="E83" s="128" t="str">
        <f>E54</f>
        <v>Learning Thermostat - electric furnace heating / central AC MF</v>
      </c>
      <c r="F83" s="1709">
        <v>1</v>
      </c>
      <c r="G83" s="4059" t="s">
        <v>1080</v>
      </c>
      <c r="H83" s="4060"/>
      <c r="I83" s="1430"/>
      <c r="J83" s="283"/>
      <c r="N83" s="1565"/>
      <c r="O83" s="283"/>
      <c r="P83" s="283"/>
      <c r="Q83" s="283"/>
      <c r="V83" s="4088"/>
      <c r="W83" s="287">
        <v>1</v>
      </c>
      <c r="X83" s="287">
        <v>1</v>
      </c>
      <c r="Y83" s="287">
        <v>1</v>
      </c>
      <c r="Z83" s="146">
        <v>1</v>
      </c>
      <c r="AA83" s="146">
        <v>1</v>
      </c>
      <c r="AB83" s="146">
        <v>1</v>
      </c>
      <c r="AC83" s="190">
        <v>1</v>
      </c>
      <c r="AD83" s="190">
        <v>1</v>
      </c>
      <c r="AE83" s="190">
        <v>1</v>
      </c>
      <c r="AF83" s="271">
        <f t="shared" si="9"/>
        <v>1</v>
      </c>
      <c r="AG83" s="287"/>
      <c r="AH83" s="1509"/>
      <c r="AU83" s="1505"/>
      <c r="DJ83" s="1187"/>
    </row>
    <row r="84" spans="1:114" ht="15" hidden="1" customHeight="1" outlineLevel="1">
      <c r="A84" s="533"/>
      <c r="B84" s="579"/>
      <c r="C84" s="281"/>
      <c r="D84" s="4085"/>
      <c r="E84" s="1411" t="str">
        <f>E58</f>
        <v>Learning Thermostat - electric furnace heating / central AC SF</v>
      </c>
      <c r="F84" s="1709">
        <v>1</v>
      </c>
      <c r="G84" s="4059" t="s">
        <v>1080</v>
      </c>
      <c r="H84" s="4060"/>
      <c r="I84" s="1430"/>
      <c r="J84" s="283"/>
      <c r="N84" s="1565"/>
      <c r="O84" s="283"/>
      <c r="P84" s="283"/>
      <c r="Q84" s="283"/>
      <c r="V84" s="4088"/>
      <c r="W84" s="287">
        <v>1</v>
      </c>
      <c r="X84" s="287">
        <v>1</v>
      </c>
      <c r="Y84" s="287">
        <v>1</v>
      </c>
      <c r="Z84" s="146">
        <v>1</v>
      </c>
      <c r="AA84" s="146">
        <v>1</v>
      </c>
      <c r="AB84" s="146">
        <v>1</v>
      </c>
      <c r="AC84" s="190">
        <v>1</v>
      </c>
      <c r="AD84" s="190">
        <v>1</v>
      </c>
      <c r="AE84" s="190">
        <v>1</v>
      </c>
      <c r="AF84" s="271">
        <f t="shared" si="9"/>
        <v>1</v>
      </c>
      <c r="AG84" s="287"/>
      <c r="AH84" s="1509"/>
      <c r="AU84" s="1505"/>
      <c r="DJ84" s="1187"/>
    </row>
    <row r="85" spans="1:114" ht="15" hidden="1" customHeight="1" outlineLevel="1">
      <c r="A85" s="533"/>
      <c r="B85" s="579"/>
      <c r="C85" s="281"/>
      <c r="D85" s="4085"/>
      <c r="E85" s="1411" t="str">
        <f>E60</f>
        <v>Learning Thermostat - Gas Heated / central AC SF**</v>
      </c>
      <c r="F85" s="1709">
        <v>0</v>
      </c>
      <c r="G85" s="4059" t="s">
        <v>1080</v>
      </c>
      <c r="H85" s="4060"/>
      <c r="I85" s="1430"/>
      <c r="J85" s="283"/>
      <c r="N85" s="1565"/>
      <c r="O85" s="283"/>
      <c r="P85" s="283"/>
      <c r="Q85" s="283"/>
      <c r="V85" s="4088"/>
      <c r="W85" s="287">
        <v>0</v>
      </c>
      <c r="X85" s="287">
        <v>0</v>
      </c>
      <c r="Y85" s="287">
        <v>0</v>
      </c>
      <c r="Z85" s="146">
        <v>0</v>
      </c>
      <c r="AA85" s="146">
        <v>0</v>
      </c>
      <c r="AB85" s="146">
        <v>0</v>
      </c>
      <c r="AC85" s="190">
        <v>0</v>
      </c>
      <c r="AD85" s="190">
        <v>0</v>
      </c>
      <c r="AE85" s="190">
        <v>0</v>
      </c>
      <c r="AF85" s="271">
        <f t="shared" si="9"/>
        <v>0</v>
      </c>
      <c r="AG85" s="287"/>
      <c r="AH85" s="1509"/>
      <c r="AU85" s="1505"/>
      <c r="DJ85" s="1187"/>
    </row>
    <row r="86" spans="1:114" ht="15" hidden="1" customHeight="1" outlineLevel="1">
      <c r="A86" s="533"/>
      <c r="B86" s="579"/>
      <c r="C86" s="281"/>
      <c r="D86" s="4085"/>
      <c r="E86" s="1411" t="str">
        <f>E62</f>
        <v>Learning Thermostat - Gas Heated / central AC MF**</v>
      </c>
      <c r="F86" s="1709">
        <v>0</v>
      </c>
      <c r="G86" s="4059" t="s">
        <v>1080</v>
      </c>
      <c r="H86" s="4060"/>
      <c r="I86" s="1430"/>
      <c r="J86" s="283"/>
      <c r="N86" s="1565"/>
      <c r="O86" s="283"/>
      <c r="P86" s="283"/>
      <c r="Q86" s="283"/>
      <c r="V86" s="4088"/>
      <c r="W86" s="287"/>
      <c r="X86" s="287"/>
      <c r="Y86" s="1460">
        <v>0</v>
      </c>
      <c r="Z86" s="146">
        <v>0</v>
      </c>
      <c r="AA86" s="146">
        <v>0</v>
      </c>
      <c r="AB86" s="146">
        <v>0</v>
      </c>
      <c r="AC86" s="190">
        <v>0</v>
      </c>
      <c r="AD86" s="190">
        <v>0</v>
      </c>
      <c r="AE86" s="190">
        <v>0</v>
      </c>
      <c r="AF86" s="271">
        <f t="shared" si="9"/>
        <v>0</v>
      </c>
      <c r="AG86" s="287"/>
      <c r="AH86" s="1509"/>
      <c r="AU86" s="1505"/>
      <c r="DJ86" s="1187"/>
    </row>
    <row r="87" spans="1:114" ht="15" hidden="1" customHeight="1" outlineLevel="1">
      <c r="A87" s="533"/>
      <c r="B87" s="579"/>
      <c r="C87" s="281"/>
      <c r="D87" s="4085"/>
      <c r="E87" s="1411" t="str">
        <f>E66</f>
        <v>Learning Thermostat - Unknown SF**</v>
      </c>
      <c r="F87" s="1709">
        <v>0.33</v>
      </c>
      <c r="G87" s="4091" t="s">
        <v>1081</v>
      </c>
      <c r="H87" s="4092"/>
      <c r="I87" s="1430"/>
      <c r="J87" s="283"/>
      <c r="N87" s="1565"/>
      <c r="O87" s="283"/>
      <c r="P87" s="283"/>
      <c r="Q87" s="283"/>
      <c r="V87" s="4088"/>
      <c r="W87" s="287">
        <v>0.35</v>
      </c>
      <c r="X87" s="192">
        <v>0.2446317798632098</v>
      </c>
      <c r="Y87" s="93">
        <v>0.16428797970187123</v>
      </c>
      <c r="Z87" s="715">
        <v>0.16428797970187123</v>
      </c>
      <c r="AA87" s="715">
        <v>0.16428797970187123</v>
      </c>
      <c r="AB87" s="146">
        <v>0.16428797970187123</v>
      </c>
      <c r="AC87" s="192">
        <v>0.33</v>
      </c>
      <c r="AD87" s="190">
        <v>0.33</v>
      </c>
      <c r="AE87" s="190">
        <v>0.33</v>
      </c>
      <c r="AF87" s="271">
        <f t="shared" si="9"/>
        <v>0.33</v>
      </c>
      <c r="AG87" s="287"/>
      <c r="AH87" s="1509"/>
      <c r="AU87" s="1505"/>
      <c r="DJ87" s="1187"/>
    </row>
    <row r="88" spans="1:114" ht="15" hidden="1" customHeight="1" outlineLevel="1">
      <c r="A88" s="533"/>
      <c r="B88" s="579"/>
      <c r="C88" s="281"/>
      <c r="D88" s="4086"/>
      <c r="E88" s="2777" t="str">
        <f>E68</f>
        <v>Learning Thermostat - Unknown MF**</v>
      </c>
      <c r="F88" s="2347">
        <v>0.33</v>
      </c>
      <c r="G88" s="4093"/>
      <c r="H88" s="4094"/>
      <c r="I88" s="1430"/>
      <c r="J88" s="283"/>
      <c r="N88" s="1565"/>
      <c r="O88" s="283"/>
      <c r="P88" s="283"/>
      <c r="Q88" s="283"/>
      <c r="V88" s="4089"/>
      <c r="W88" s="2793"/>
      <c r="X88" s="2797"/>
      <c r="Y88" s="3038">
        <v>0.16428797970187123</v>
      </c>
      <c r="Z88" s="3039">
        <v>0.16428797970187123</v>
      </c>
      <c r="AA88" s="3039">
        <v>0.16428797970187123</v>
      </c>
      <c r="AB88" s="2794">
        <v>0.16428797970187123</v>
      </c>
      <c r="AC88" s="2797">
        <v>0.33</v>
      </c>
      <c r="AD88" s="2789">
        <v>0.33</v>
      </c>
      <c r="AE88" s="2789">
        <v>0.33</v>
      </c>
      <c r="AF88" s="2236">
        <f t="shared" si="9"/>
        <v>0.33</v>
      </c>
      <c r="AG88" s="287"/>
      <c r="AH88" s="1509"/>
      <c r="AU88" s="1505"/>
      <c r="DJ88" s="1187"/>
    </row>
    <row r="89" spans="1:114" ht="15" hidden="1" customHeight="1" outlineLevel="1">
      <c r="A89" s="533"/>
      <c r="B89" s="579"/>
      <c r="C89" s="281"/>
      <c r="D89" s="4084" t="s">
        <v>1082</v>
      </c>
      <c r="E89" s="128" t="str">
        <f>$E$81</f>
        <v>Learning Thermostat - ASHP heating/cooling SF</v>
      </c>
      <c r="F89" s="1723">
        <v>8354.8764478764479</v>
      </c>
      <c r="G89" s="4101" t="s">
        <v>1083</v>
      </c>
      <c r="H89" s="4102"/>
      <c r="I89" s="4097" t="s">
        <v>1084</v>
      </c>
      <c r="J89" s="283"/>
      <c r="N89" s="1565"/>
      <c r="O89" s="283"/>
      <c r="P89" s="283"/>
      <c r="Q89" s="283"/>
      <c r="V89" s="4087" t="str">
        <f>D89</f>
        <v>HeatingConsumption_Electric</v>
      </c>
      <c r="W89" s="279">
        <v>8320</v>
      </c>
      <c r="X89" s="311">
        <f>206570/25</f>
        <v>8262.7999999999993</v>
      </c>
      <c r="Y89" s="311">
        <v>8354.8764478764479</v>
      </c>
      <c r="Z89" s="337">
        <v>8354.8764478764479</v>
      </c>
      <c r="AA89" s="337">
        <v>8354.8764478764479</v>
      </c>
      <c r="AB89" s="337">
        <v>8354.8764478764479</v>
      </c>
      <c r="AC89" s="337">
        <v>8354.8764478764479</v>
      </c>
      <c r="AD89" s="337">
        <v>8354.8764478764479</v>
      </c>
      <c r="AE89" s="337">
        <v>8354.8764478764479</v>
      </c>
      <c r="AF89" s="271">
        <f t="shared" si="9"/>
        <v>8354.8764478764479</v>
      </c>
      <c r="AG89" s="279"/>
      <c r="AH89" s="1509"/>
      <c r="AU89" s="1505"/>
      <c r="DJ89" s="1187"/>
    </row>
    <row r="90" spans="1:114" ht="15" hidden="1" customHeight="1" outlineLevel="1">
      <c r="A90" s="533"/>
      <c r="B90" s="579"/>
      <c r="C90" s="281"/>
      <c r="D90" s="4085"/>
      <c r="E90" s="128" t="str">
        <f>$E$82</f>
        <v>Learning Thermostat - ASHP heating/cooling MF</v>
      </c>
      <c r="F90" s="1723">
        <v>8355</v>
      </c>
      <c r="G90" s="4103"/>
      <c r="H90" s="4104"/>
      <c r="I90" s="4098"/>
      <c r="J90" s="283"/>
      <c r="N90" s="1565"/>
      <c r="O90" s="283"/>
      <c r="P90" s="283"/>
      <c r="Q90" s="283"/>
      <c r="V90" s="4088"/>
      <c r="W90" s="279"/>
      <c r="X90" s="311"/>
      <c r="Y90" s="311">
        <v>8355</v>
      </c>
      <c r="Z90" s="337">
        <v>8355</v>
      </c>
      <c r="AA90" s="337">
        <v>8355</v>
      </c>
      <c r="AB90" s="337">
        <v>8355</v>
      </c>
      <c r="AC90" s="337">
        <v>8355</v>
      </c>
      <c r="AD90" s="337">
        <v>8355</v>
      </c>
      <c r="AE90" s="337">
        <v>8355</v>
      </c>
      <c r="AF90" s="271">
        <f t="shared" si="9"/>
        <v>8355</v>
      </c>
      <c r="AG90" s="279"/>
      <c r="AH90" s="1509"/>
      <c r="AU90" s="1505"/>
      <c r="DJ90" s="1187"/>
    </row>
    <row r="91" spans="1:114" ht="15" hidden="1" customHeight="1" outlineLevel="1">
      <c r="A91" s="533"/>
      <c r="B91" s="579"/>
      <c r="C91" s="281"/>
      <c r="D91" s="4085"/>
      <c r="E91" s="1380" t="str">
        <f>E52</f>
        <v>Learning Thermostat - ASHP heating/cooling MF_CompE</v>
      </c>
      <c r="F91" s="1723">
        <f>(509/1496)*F90</f>
        <v>2842.7105614973266</v>
      </c>
      <c r="G91" s="4103"/>
      <c r="H91" s="4104"/>
      <c r="I91" s="4098"/>
      <c r="J91" s="283"/>
      <c r="N91" s="1565"/>
      <c r="O91" s="283"/>
      <c r="P91" s="283"/>
      <c r="Q91" s="283"/>
      <c r="V91" s="4088"/>
      <c r="W91" s="279"/>
      <c r="X91" s="311"/>
      <c r="Y91" s="311">
        <v>2842.7105614973266</v>
      </c>
      <c r="Z91" s="337">
        <v>2842.7105614973266</v>
      </c>
      <c r="AA91" s="337">
        <v>2842.7105614973266</v>
      </c>
      <c r="AB91" s="337">
        <v>2842.7105614973266</v>
      </c>
      <c r="AC91" s="337">
        <f>(509/1496)*AC90</f>
        <v>2842.7105614973266</v>
      </c>
      <c r="AD91" s="337">
        <v>2842.7105614973266</v>
      </c>
      <c r="AE91" s="337">
        <v>2842.7105614973266</v>
      </c>
      <c r="AF91" s="271">
        <f t="shared" si="9"/>
        <v>2842.7105614973266</v>
      </c>
      <c r="AG91" s="279"/>
      <c r="AH91" s="1509"/>
      <c r="AU91" s="1505"/>
      <c r="DJ91" s="1187"/>
    </row>
    <row r="92" spans="1:114" ht="15" hidden="1" customHeight="1" outlineLevel="1">
      <c r="A92" s="533"/>
      <c r="B92" s="579"/>
      <c r="C92" s="281"/>
      <c r="D92" s="4085"/>
      <c r="E92" s="128" t="str">
        <f>$E$83</f>
        <v>Learning Thermostat - electric furnace heating / central AC MF</v>
      </c>
      <c r="F92" s="1723">
        <v>14201.965811965812</v>
      </c>
      <c r="G92" s="4103"/>
      <c r="H92" s="4104"/>
      <c r="I92" s="4099"/>
      <c r="J92" s="283"/>
      <c r="N92" s="1565"/>
      <c r="O92" s="283"/>
      <c r="P92" s="283"/>
      <c r="Q92" s="283"/>
      <c r="V92" s="4088"/>
      <c r="W92" s="279">
        <f>14144</f>
        <v>14144</v>
      </c>
      <c r="X92" s="311">
        <f>X94</f>
        <v>14193.886792452829</v>
      </c>
      <c r="Y92" s="311">
        <v>14201.965811965812</v>
      </c>
      <c r="Z92" s="337">
        <v>14201.965811965812</v>
      </c>
      <c r="AA92" s="337">
        <v>14201.965811965812</v>
      </c>
      <c r="AB92" s="337">
        <v>14201.965811965812</v>
      </c>
      <c r="AC92" s="337">
        <v>14201.965811965812</v>
      </c>
      <c r="AD92" s="337">
        <v>14201.965811965812</v>
      </c>
      <c r="AE92" s="337">
        <v>14201.965811965812</v>
      </c>
      <c r="AF92" s="271">
        <f t="shared" si="9"/>
        <v>14201.965811965812</v>
      </c>
      <c r="AG92" s="279"/>
      <c r="AH92" s="1509"/>
      <c r="AI92" s="1494" t="s">
        <v>1085</v>
      </c>
      <c r="AJ92" s="2092">
        <v>17940</v>
      </c>
      <c r="AK92" s="2092">
        <v>10553</v>
      </c>
      <c r="AL92" s="2092">
        <v>17017</v>
      </c>
      <c r="AU92" s="1505"/>
      <c r="DJ92" s="1187"/>
    </row>
    <row r="93" spans="1:114" ht="30" hidden="1" customHeight="1" outlineLevel="1">
      <c r="A93" s="533"/>
      <c r="B93" s="579"/>
      <c r="C93" s="281"/>
      <c r="D93" s="4085"/>
      <c r="E93" s="2472" t="str">
        <f>E56</f>
        <v>Learning Thermostat - electric furnace heating / central AC MF_CompE</v>
      </c>
      <c r="F93" s="2778">
        <f>(509/1496)*F92</f>
        <v>4832.0859614241972</v>
      </c>
      <c r="G93" s="4103"/>
      <c r="H93" s="4104"/>
      <c r="I93" s="4099"/>
      <c r="J93" s="283"/>
      <c r="N93" s="1565"/>
      <c r="O93" s="283"/>
      <c r="P93" s="283"/>
      <c r="Q93" s="283"/>
      <c r="V93" s="4088"/>
      <c r="W93" s="2586"/>
      <c r="X93" s="2494"/>
      <c r="Y93" s="2494">
        <v>4832.0859614241972</v>
      </c>
      <c r="Z93" s="2821">
        <v>4832.0859614241972</v>
      </c>
      <c r="AA93" s="2821">
        <v>4832.0859614241972</v>
      </c>
      <c r="AB93" s="2821">
        <v>4832.0859614241972</v>
      </c>
      <c r="AC93" s="2821">
        <f>(509/1496)*AC92</f>
        <v>4832.0859614241972</v>
      </c>
      <c r="AD93" s="2821">
        <v>4832.0859614241972</v>
      </c>
      <c r="AE93" s="2821">
        <v>4832.0859614241972</v>
      </c>
      <c r="AF93" s="2236">
        <f t="shared" si="9"/>
        <v>4832.0859614241972</v>
      </c>
      <c r="AG93" s="279"/>
      <c r="AH93" s="1509"/>
      <c r="AI93" s="1494"/>
      <c r="AJ93" s="2092"/>
      <c r="AK93" s="2092"/>
      <c r="AL93" s="2092"/>
      <c r="AU93" s="1505"/>
      <c r="DJ93" s="1187"/>
    </row>
    <row r="94" spans="1:114" ht="15" hidden="1" customHeight="1" outlineLevel="1">
      <c r="A94" s="533"/>
      <c r="B94" s="579"/>
      <c r="C94" s="281"/>
      <c r="D94" s="4085"/>
      <c r="E94" s="128" t="str">
        <f>$E$84</f>
        <v>Learning Thermostat - electric furnace heating / central AC SF</v>
      </c>
      <c r="F94" s="1723">
        <v>14201.965811965812</v>
      </c>
      <c r="G94" s="4103"/>
      <c r="H94" s="4104"/>
      <c r="I94" s="4099"/>
      <c r="J94" s="283"/>
      <c r="N94" s="1565"/>
      <c r="O94" s="283"/>
      <c r="P94" s="283"/>
      <c r="Q94" s="283"/>
      <c r="V94" s="4088"/>
      <c r="W94" s="279">
        <v>14144</v>
      </c>
      <c r="X94" s="311">
        <f>752276/53</f>
        <v>14193.886792452829</v>
      </c>
      <c r="Y94" s="311">
        <v>14201.965811965812</v>
      </c>
      <c r="Z94" s="337">
        <v>14201.965811965812</v>
      </c>
      <c r="AA94" s="337">
        <v>14201.965811965812</v>
      </c>
      <c r="AB94" s="337">
        <v>14201.965811965812</v>
      </c>
      <c r="AC94" s="337">
        <v>14201.965811965812</v>
      </c>
      <c r="AD94" s="337">
        <v>14201.965811965812</v>
      </c>
      <c r="AE94" s="337">
        <v>14201.965811965812</v>
      </c>
      <c r="AF94" s="271">
        <f t="shared" si="9"/>
        <v>14201.965811965812</v>
      </c>
      <c r="AG94" s="279"/>
      <c r="AH94" s="1509"/>
      <c r="AI94" s="1494" t="s">
        <v>1086</v>
      </c>
      <c r="AJ94" s="1494">
        <v>19664</v>
      </c>
      <c r="AK94" s="1494">
        <v>11567</v>
      </c>
      <c r="AL94" s="1494">
        <v>18652</v>
      </c>
      <c r="AU94" s="1505"/>
      <c r="DJ94" s="1187"/>
    </row>
    <row r="95" spans="1:114" ht="15" hidden="1" customHeight="1" outlineLevel="1">
      <c r="A95" s="533"/>
      <c r="B95" s="579"/>
      <c r="C95" s="281"/>
      <c r="D95" s="4085"/>
      <c r="E95" s="128" t="str">
        <f>$E$85</f>
        <v>Learning Thermostat - Gas Heated / central AC SF**</v>
      </c>
      <c r="F95" s="1680">
        <v>0</v>
      </c>
      <c r="G95" s="4103"/>
      <c r="H95" s="4104"/>
      <c r="I95" s="4099"/>
      <c r="J95" s="283"/>
      <c r="N95" s="1565"/>
      <c r="O95" s="283"/>
      <c r="P95" s="283"/>
      <c r="Q95" s="283"/>
      <c r="V95" s="4088"/>
      <c r="W95" s="279">
        <v>0</v>
      </c>
      <c r="X95" s="301">
        <v>0</v>
      </c>
      <c r="Y95" s="315">
        <v>0</v>
      </c>
      <c r="Z95" s="337">
        <v>0</v>
      </c>
      <c r="AA95" s="337">
        <v>0</v>
      </c>
      <c r="AB95" s="337">
        <v>0</v>
      </c>
      <c r="AC95" s="337">
        <v>0</v>
      </c>
      <c r="AD95" s="337">
        <v>0</v>
      </c>
      <c r="AE95" s="337">
        <v>0</v>
      </c>
      <c r="AF95" s="271">
        <f t="shared" si="9"/>
        <v>0</v>
      </c>
      <c r="AG95" s="279"/>
      <c r="AH95" s="1509"/>
      <c r="AI95" s="1494" t="s">
        <v>1087</v>
      </c>
      <c r="AJ95" s="2092">
        <v>13502</v>
      </c>
      <c r="AK95" s="2092">
        <v>7943</v>
      </c>
      <c r="AL95" s="2092">
        <v>12807</v>
      </c>
      <c r="AU95" s="1505"/>
      <c r="DJ95" s="1187"/>
    </row>
    <row r="96" spans="1:114" ht="15" hidden="1" customHeight="1" outlineLevel="1">
      <c r="A96" s="533"/>
      <c r="B96" s="579"/>
      <c r="C96" s="281"/>
      <c r="D96" s="4085"/>
      <c r="E96" s="128" t="str">
        <f>$E$86</f>
        <v>Learning Thermostat - Gas Heated / central AC MF**</v>
      </c>
      <c r="F96" s="1680">
        <v>0</v>
      </c>
      <c r="G96" s="4103"/>
      <c r="H96" s="4104"/>
      <c r="I96" s="4099"/>
      <c r="J96" s="283"/>
      <c r="N96" s="1565"/>
      <c r="O96" s="283"/>
      <c r="P96" s="283"/>
      <c r="Q96" s="283"/>
      <c r="V96" s="4088"/>
      <c r="W96" s="279"/>
      <c r="X96" s="301"/>
      <c r="Y96" s="311">
        <v>0</v>
      </c>
      <c r="Z96" s="337">
        <v>0</v>
      </c>
      <c r="AA96" s="337">
        <v>0</v>
      </c>
      <c r="AB96" s="337">
        <v>0</v>
      </c>
      <c r="AC96" s="337">
        <v>0</v>
      </c>
      <c r="AD96" s="337">
        <v>0</v>
      </c>
      <c r="AE96" s="337">
        <v>0</v>
      </c>
      <c r="AF96" s="271">
        <f t="shared" si="9"/>
        <v>0</v>
      </c>
      <c r="AG96" s="279"/>
      <c r="AH96" s="1509"/>
      <c r="AI96" s="1494"/>
      <c r="AJ96" s="2092"/>
      <c r="AK96" s="2092"/>
      <c r="AL96" s="2092"/>
      <c r="AU96" s="1505"/>
      <c r="DJ96" s="1187"/>
    </row>
    <row r="97" spans="1:114" ht="15" hidden="1" customHeight="1" outlineLevel="1">
      <c r="A97" s="533"/>
      <c r="B97" s="579"/>
      <c r="C97" s="281"/>
      <c r="D97" s="4085"/>
      <c r="E97" s="2472" t="str">
        <f>E64</f>
        <v>Learning Thermostat - Gas Heated / central AC MF_CompE**</v>
      </c>
      <c r="F97" s="2485">
        <f>(509/1496)*F96</f>
        <v>0</v>
      </c>
      <c r="G97" s="4103"/>
      <c r="H97" s="4104"/>
      <c r="I97" s="4099"/>
      <c r="J97" s="283"/>
      <c r="N97" s="1565"/>
      <c r="O97" s="283"/>
      <c r="P97" s="283"/>
      <c r="Q97" s="283"/>
      <c r="V97" s="4088"/>
      <c r="W97" s="2586"/>
      <c r="X97" s="2587"/>
      <c r="Y97" s="2494">
        <v>0</v>
      </c>
      <c r="Z97" s="2821">
        <v>0</v>
      </c>
      <c r="AA97" s="2821">
        <v>0</v>
      </c>
      <c r="AB97" s="2821">
        <v>0</v>
      </c>
      <c r="AC97" s="2821">
        <f>(509/1496)*AC96</f>
        <v>0</v>
      </c>
      <c r="AD97" s="2821">
        <v>0</v>
      </c>
      <c r="AE97" s="2821">
        <v>0</v>
      </c>
      <c r="AF97" s="2236">
        <f t="shared" si="9"/>
        <v>0</v>
      </c>
      <c r="AG97" s="279"/>
      <c r="AH97" s="1509"/>
      <c r="AI97" s="1494"/>
      <c r="AJ97" s="2092"/>
      <c r="AK97" s="2092"/>
      <c r="AL97" s="2092"/>
      <c r="AU97" s="1505"/>
      <c r="DJ97" s="1187"/>
    </row>
    <row r="98" spans="1:114" ht="15" hidden="1" customHeight="1" outlineLevel="1">
      <c r="A98" s="533"/>
      <c r="B98" s="579"/>
      <c r="C98" s="281"/>
      <c r="D98" s="4085"/>
      <c r="E98" s="128" t="str">
        <f>$E$87</f>
        <v>Learning Thermostat - Unknown SF**</v>
      </c>
      <c r="F98" s="1723">
        <v>11456.0072529465</v>
      </c>
      <c r="G98" s="4103"/>
      <c r="H98" s="4104"/>
      <c r="I98" s="4099"/>
      <c r="J98" s="283"/>
      <c r="N98" s="1565"/>
      <c r="O98" s="283"/>
      <c r="P98" s="283"/>
      <c r="Q98" s="283"/>
      <c r="V98" s="4088"/>
      <c r="W98" s="301">
        <v>13416</v>
      </c>
      <c r="X98" s="94">
        <v>12382.71</v>
      </c>
      <c r="Y98" s="311">
        <v>11456.0072529465</v>
      </c>
      <c r="Z98" s="337">
        <v>11456.0072529465</v>
      </c>
      <c r="AA98" s="337">
        <v>11456.0072529465</v>
      </c>
      <c r="AB98" s="337">
        <v>11456.0072529465</v>
      </c>
      <c r="AC98" s="337">
        <v>11456.0072529465</v>
      </c>
      <c r="AD98" s="337">
        <v>11456.0072529465</v>
      </c>
      <c r="AE98" s="337">
        <v>11456.0072529465</v>
      </c>
      <c r="AF98" s="271">
        <f t="shared" si="9"/>
        <v>11456.0072529465</v>
      </c>
      <c r="AG98" s="279"/>
      <c r="AH98" s="1509"/>
      <c r="AI98" s="1494" t="s">
        <v>1088</v>
      </c>
      <c r="AJ98" s="2092">
        <v>14276</v>
      </c>
      <c r="AK98" s="2092">
        <v>8398</v>
      </c>
      <c r="AL98" s="2092">
        <v>13541</v>
      </c>
      <c r="AU98" s="1505"/>
      <c r="DJ98" s="1187"/>
    </row>
    <row r="99" spans="1:114" ht="15" hidden="1" customHeight="1" outlineLevel="1">
      <c r="A99" s="533"/>
      <c r="B99" s="579"/>
      <c r="C99" s="281"/>
      <c r="D99" s="4117"/>
      <c r="E99" s="2432" t="str">
        <f>$E$88</f>
        <v>Learning Thermostat - Unknown MF**</v>
      </c>
      <c r="F99" s="2778">
        <v>11456.0072529465</v>
      </c>
      <c r="G99" s="4103"/>
      <c r="H99" s="4104"/>
      <c r="I99" s="4099"/>
      <c r="J99" s="283"/>
      <c r="N99" s="1565"/>
      <c r="O99" s="283"/>
      <c r="P99" s="283"/>
      <c r="Q99" s="283"/>
      <c r="V99" s="4118"/>
      <c r="W99" s="2587"/>
      <c r="X99" s="3040"/>
      <c r="Y99" s="2494">
        <v>11456.0072529465</v>
      </c>
      <c r="Z99" s="2821">
        <v>11456.0072529465</v>
      </c>
      <c r="AA99" s="2821">
        <v>11456.0072529465</v>
      </c>
      <c r="AB99" s="2821">
        <v>11456.0072529465</v>
      </c>
      <c r="AC99" s="2821">
        <v>11456.0072529465</v>
      </c>
      <c r="AD99" s="2821">
        <v>11456.0072529465</v>
      </c>
      <c r="AE99" s="2821">
        <v>11456.0072529465</v>
      </c>
      <c r="AF99" s="2236">
        <f t="shared" si="9"/>
        <v>11456.0072529465</v>
      </c>
      <c r="AG99" s="279"/>
      <c r="AH99" s="1509"/>
      <c r="AI99" s="1494"/>
      <c r="AJ99" s="2092"/>
      <c r="AK99" s="2092"/>
      <c r="AL99" s="2092"/>
      <c r="AU99" s="1505"/>
      <c r="DJ99" s="1187"/>
    </row>
    <row r="100" spans="1:114" ht="15" hidden="1" customHeight="1" outlineLevel="1">
      <c r="A100" s="533"/>
      <c r="B100" s="579"/>
      <c r="C100" s="281"/>
      <c r="D100" s="4086"/>
      <c r="E100" s="2472" t="str">
        <f>E70</f>
        <v>Learning Thermostat - Unknown MF_CompE**</v>
      </c>
      <c r="F100" s="2778">
        <f>(509/1496)*F99</f>
        <v>3897.799259191022</v>
      </c>
      <c r="G100" s="4105"/>
      <c r="H100" s="4106"/>
      <c r="I100" s="4100"/>
      <c r="J100" s="283"/>
      <c r="N100" s="1565"/>
      <c r="O100" s="283"/>
      <c r="P100" s="283"/>
      <c r="Q100" s="283"/>
      <c r="V100" s="4089"/>
      <c r="W100" s="2587"/>
      <c r="X100" s="3040"/>
      <c r="Y100" s="2494">
        <v>3897.799259191022</v>
      </c>
      <c r="Z100" s="2821">
        <v>3897.799259191022</v>
      </c>
      <c r="AA100" s="2821">
        <v>3897.799259191022</v>
      </c>
      <c r="AB100" s="2821">
        <v>3897.799259191022</v>
      </c>
      <c r="AC100" s="2821">
        <f>(509/1496)*AC99</f>
        <v>3897.799259191022</v>
      </c>
      <c r="AD100" s="2821">
        <v>3897.799259191022</v>
      </c>
      <c r="AE100" s="2821">
        <v>3897.799259191022</v>
      </c>
      <c r="AF100" s="2236">
        <f t="shared" si="9"/>
        <v>3897.799259191022</v>
      </c>
      <c r="AG100" s="279"/>
      <c r="AH100" s="1509"/>
      <c r="AI100" s="1494"/>
      <c r="AJ100" s="2092"/>
      <c r="AK100" s="2092"/>
      <c r="AL100" s="2092"/>
      <c r="AU100" s="1505"/>
      <c r="DJ100" s="1187"/>
    </row>
    <row r="101" spans="1:114" ht="15" hidden="1" customHeight="1" outlineLevel="1">
      <c r="A101" s="533"/>
      <c r="B101" s="579"/>
      <c r="C101" s="281"/>
      <c r="D101" s="4084" t="s">
        <v>1089</v>
      </c>
      <c r="E101" s="128" t="str">
        <f>$E$81</f>
        <v>Learning Thermostat - ASHP heating/cooling SF</v>
      </c>
      <c r="F101" s="1685">
        <v>1</v>
      </c>
      <c r="G101" s="4059" t="s">
        <v>1080</v>
      </c>
      <c r="H101" s="4060"/>
      <c r="I101" s="1430"/>
      <c r="J101" s="283"/>
      <c r="N101" s="1565"/>
      <c r="O101" s="283"/>
      <c r="P101" s="283"/>
      <c r="Q101" s="283"/>
      <c r="V101" s="4087" t="str">
        <f>D101</f>
        <v>HF</v>
      </c>
      <c r="W101" s="287">
        <v>1</v>
      </c>
      <c r="X101" s="287">
        <v>1</v>
      </c>
      <c r="Y101" s="302">
        <v>1</v>
      </c>
      <c r="Z101" s="146">
        <v>1</v>
      </c>
      <c r="AA101" s="146">
        <v>1</v>
      </c>
      <c r="AB101" s="146">
        <v>1</v>
      </c>
      <c r="AC101" s="146">
        <v>1</v>
      </c>
      <c r="AD101" s="146">
        <v>1</v>
      </c>
      <c r="AE101" s="146">
        <v>1</v>
      </c>
      <c r="AF101" s="271">
        <f t="shared" si="9"/>
        <v>1</v>
      </c>
      <c r="AG101" s="287"/>
      <c r="AH101" s="1509"/>
      <c r="AI101" s="1494" t="s">
        <v>1090</v>
      </c>
      <c r="AJ101" s="2092">
        <v>14144</v>
      </c>
      <c r="AK101" s="2092">
        <v>8320</v>
      </c>
      <c r="AL101" s="2092">
        <v>13416</v>
      </c>
      <c r="AU101" s="1505"/>
      <c r="DJ101" s="1187"/>
    </row>
    <row r="102" spans="1:114" ht="15" hidden="1" customHeight="1" outlineLevel="1">
      <c r="A102" s="533"/>
      <c r="B102" s="579"/>
      <c r="C102" s="281"/>
      <c r="D102" s="4085"/>
      <c r="E102" s="128" t="str">
        <f>$E$82</f>
        <v>Learning Thermostat - ASHP heating/cooling MF</v>
      </c>
      <c r="F102" s="1685">
        <v>0.65</v>
      </c>
      <c r="G102" s="4059" t="s">
        <v>1080</v>
      </c>
      <c r="H102" s="4060"/>
      <c r="I102" s="1430"/>
      <c r="J102" s="283"/>
      <c r="N102" s="1565"/>
      <c r="O102" s="283"/>
      <c r="P102" s="283"/>
      <c r="Q102" s="283"/>
      <c r="V102" s="4088"/>
      <c r="W102" s="287"/>
      <c r="X102" s="287"/>
      <c r="Y102" s="192">
        <v>0.65</v>
      </c>
      <c r="Z102" s="146">
        <v>0.65</v>
      </c>
      <c r="AA102" s="146">
        <v>0.65</v>
      </c>
      <c r="AB102" s="146">
        <v>0.65</v>
      </c>
      <c r="AC102" s="146">
        <v>0.65</v>
      </c>
      <c r="AD102" s="146">
        <v>0.65</v>
      </c>
      <c r="AE102" s="146">
        <v>0.65</v>
      </c>
      <c r="AF102" s="271">
        <f t="shared" si="9"/>
        <v>0.65</v>
      </c>
      <c r="AG102" s="287"/>
      <c r="AH102" s="1509"/>
      <c r="AI102" s="1494"/>
      <c r="AJ102" s="2092"/>
      <c r="AK102" s="2092"/>
      <c r="AL102" s="2092"/>
      <c r="AU102" s="1505"/>
      <c r="DJ102" s="1187"/>
    </row>
    <row r="103" spans="1:114" ht="15" hidden="1" customHeight="1" outlineLevel="1">
      <c r="A103" s="533"/>
      <c r="B103" s="579"/>
      <c r="C103" s="281"/>
      <c r="D103" s="4085"/>
      <c r="E103" s="128" t="str">
        <f>$E$83</f>
        <v>Learning Thermostat - electric furnace heating / central AC MF</v>
      </c>
      <c r="F103" s="1685">
        <v>0.65</v>
      </c>
      <c r="G103" s="4059" t="s">
        <v>1080</v>
      </c>
      <c r="H103" s="4060"/>
      <c r="I103" s="1430"/>
      <c r="J103" s="283"/>
      <c r="N103" s="1565"/>
      <c r="O103" s="283"/>
      <c r="P103" s="283"/>
      <c r="Q103" s="283"/>
      <c r="V103" s="4088"/>
      <c r="W103" s="287">
        <v>0.65</v>
      </c>
      <c r="X103" s="287">
        <v>0.65</v>
      </c>
      <c r="Y103" s="302">
        <v>0.65</v>
      </c>
      <c r="Z103" s="146">
        <v>0.65</v>
      </c>
      <c r="AA103" s="146">
        <v>0.65</v>
      </c>
      <c r="AB103" s="146">
        <v>0.65</v>
      </c>
      <c r="AC103" s="146">
        <v>0.65</v>
      </c>
      <c r="AD103" s="146">
        <v>0.65</v>
      </c>
      <c r="AE103" s="146">
        <v>0.65</v>
      </c>
      <c r="AF103" s="271">
        <f t="shared" si="9"/>
        <v>0.65</v>
      </c>
      <c r="AG103" s="287"/>
      <c r="AH103" s="1509"/>
      <c r="AI103" s="1494" t="s">
        <v>1091</v>
      </c>
      <c r="AJ103" s="2092">
        <v>16272</v>
      </c>
      <c r="AK103" s="2092">
        <v>9572</v>
      </c>
      <c r="AL103" s="2092">
        <v>15435</v>
      </c>
      <c r="AU103" s="1505"/>
      <c r="DJ103" s="1187"/>
    </row>
    <row r="104" spans="1:114" ht="15" hidden="1" customHeight="1" outlineLevel="1">
      <c r="A104" s="533"/>
      <c r="B104" s="579"/>
      <c r="C104" s="281"/>
      <c r="D104" s="4085"/>
      <c r="E104" s="128" t="str">
        <f>$E$84</f>
        <v>Learning Thermostat - electric furnace heating / central AC SF</v>
      </c>
      <c r="F104" s="1685">
        <v>1</v>
      </c>
      <c r="G104" s="4059" t="s">
        <v>1080</v>
      </c>
      <c r="H104" s="4060"/>
      <c r="I104" s="1430"/>
      <c r="J104" s="283"/>
      <c r="N104" s="1565"/>
      <c r="O104" s="283"/>
      <c r="P104" s="283"/>
      <c r="Q104" s="283"/>
      <c r="V104" s="4088"/>
      <c r="W104" s="287">
        <v>1</v>
      </c>
      <c r="X104" s="287">
        <v>1</v>
      </c>
      <c r="Y104" s="302">
        <v>1</v>
      </c>
      <c r="Z104" s="146">
        <v>1</v>
      </c>
      <c r="AA104" s="146">
        <v>1</v>
      </c>
      <c r="AB104" s="146">
        <v>1</v>
      </c>
      <c r="AC104" s="146">
        <v>1</v>
      </c>
      <c r="AD104" s="146">
        <v>1</v>
      </c>
      <c r="AE104" s="146">
        <v>1</v>
      </c>
      <c r="AF104" s="271">
        <f t="shared" si="9"/>
        <v>1</v>
      </c>
      <c r="AG104" s="287"/>
      <c r="AH104" s="1509"/>
      <c r="AI104" s="1494" t="s">
        <v>1092</v>
      </c>
      <c r="AJ104" s="2092">
        <v>16184</v>
      </c>
      <c r="AK104" s="2092">
        <v>9520</v>
      </c>
      <c r="AL104" s="2092">
        <v>15351</v>
      </c>
      <c r="AU104" s="1505"/>
      <c r="DJ104" s="1187"/>
    </row>
    <row r="105" spans="1:114" ht="15" hidden="1" customHeight="1" outlineLevel="1">
      <c r="A105" s="533"/>
      <c r="B105" s="579"/>
      <c r="C105" s="281"/>
      <c r="D105" s="4085"/>
      <c r="E105" s="128" t="str">
        <f>$E$85</f>
        <v>Learning Thermostat - Gas Heated / central AC SF**</v>
      </c>
      <c r="F105" s="1685">
        <v>1</v>
      </c>
      <c r="G105" s="4059" t="s">
        <v>1080</v>
      </c>
      <c r="H105" s="4060"/>
      <c r="I105" s="1430"/>
      <c r="J105" s="283"/>
      <c r="N105" s="1565"/>
      <c r="O105" s="283"/>
      <c r="P105" s="283"/>
      <c r="Q105" s="283"/>
      <c r="V105" s="4088"/>
      <c r="W105" s="287">
        <v>1</v>
      </c>
      <c r="X105" s="287">
        <v>1</v>
      </c>
      <c r="Y105" s="287">
        <v>1</v>
      </c>
      <c r="Z105" s="146">
        <v>1</v>
      </c>
      <c r="AA105" s="146">
        <v>1</v>
      </c>
      <c r="AB105" s="146">
        <v>1</v>
      </c>
      <c r="AC105" s="146">
        <v>1</v>
      </c>
      <c r="AD105" s="146">
        <v>1</v>
      </c>
      <c r="AE105" s="146">
        <v>1</v>
      </c>
      <c r="AF105" s="271">
        <f t="shared" si="9"/>
        <v>1</v>
      </c>
      <c r="AG105" s="287"/>
      <c r="AH105" s="1509"/>
      <c r="AU105" s="1505"/>
      <c r="DJ105" s="1187"/>
    </row>
    <row r="106" spans="1:114" ht="15" hidden="1" customHeight="1" outlineLevel="1">
      <c r="A106" s="533"/>
      <c r="B106" s="579"/>
      <c r="C106" s="281"/>
      <c r="D106" s="4085"/>
      <c r="E106" s="128" t="str">
        <f>$E$86</f>
        <v>Learning Thermostat - Gas Heated / central AC MF**</v>
      </c>
      <c r="F106" s="1685">
        <v>0.65</v>
      </c>
      <c r="G106" s="4059"/>
      <c r="H106" s="4060"/>
      <c r="I106" s="1430"/>
      <c r="J106" s="283"/>
      <c r="N106" s="1565"/>
      <c r="O106" s="283"/>
      <c r="P106" s="283"/>
      <c r="Q106" s="283"/>
      <c r="V106" s="4088"/>
      <c r="W106" s="287"/>
      <c r="X106" s="287"/>
      <c r="Y106" s="1460">
        <v>0.65</v>
      </c>
      <c r="Z106" s="146">
        <v>0.65</v>
      </c>
      <c r="AA106" s="146">
        <v>0.65</v>
      </c>
      <c r="AB106" s="146">
        <v>0.65</v>
      </c>
      <c r="AC106" s="146">
        <v>0.65</v>
      </c>
      <c r="AD106" s="146">
        <v>0.65</v>
      </c>
      <c r="AE106" s="146">
        <v>0.65</v>
      </c>
      <c r="AF106" s="271">
        <f t="shared" si="9"/>
        <v>0.65</v>
      </c>
      <c r="AG106" s="287"/>
      <c r="AH106" s="1509"/>
      <c r="AU106" s="1505"/>
      <c r="DJ106" s="1187"/>
    </row>
    <row r="107" spans="1:114" ht="15" hidden="1" customHeight="1" outlineLevel="1">
      <c r="A107" s="533"/>
      <c r="B107" s="579"/>
      <c r="C107" s="281"/>
      <c r="D107" s="4085"/>
      <c r="E107" s="128" t="str">
        <f>$E$87</f>
        <v>Learning Thermostat - Unknown SF**</v>
      </c>
      <c r="F107" s="1685">
        <v>1</v>
      </c>
      <c r="G107" s="4091" t="s">
        <v>1093</v>
      </c>
      <c r="H107" s="4092"/>
      <c r="I107" s="1430"/>
      <c r="J107" s="283"/>
      <c r="N107" s="1565"/>
      <c r="O107" s="283"/>
      <c r="P107" s="283"/>
      <c r="Q107" s="283"/>
      <c r="V107" s="4088"/>
      <c r="W107" s="287">
        <v>1</v>
      </c>
      <c r="X107" s="95">
        <v>0.96572336230188205</v>
      </c>
      <c r="Y107" s="729">
        <v>1</v>
      </c>
      <c r="Z107" s="1577">
        <v>1</v>
      </c>
      <c r="AA107" s="1577">
        <v>1</v>
      </c>
      <c r="AB107" s="1577">
        <v>1</v>
      </c>
      <c r="AC107" s="1577">
        <v>1</v>
      </c>
      <c r="AD107" s="1577">
        <v>1</v>
      </c>
      <c r="AE107" s="1577">
        <v>1</v>
      </c>
      <c r="AF107" s="271">
        <f t="shared" si="9"/>
        <v>1</v>
      </c>
      <c r="AG107" s="287"/>
      <c r="AH107" s="1509"/>
      <c r="AJ107" s="1568"/>
      <c r="AU107" s="1505"/>
      <c r="DJ107" s="1187"/>
    </row>
    <row r="108" spans="1:114" ht="15" hidden="1" customHeight="1" outlineLevel="1">
      <c r="A108" s="533"/>
      <c r="B108" s="579"/>
      <c r="C108" s="281"/>
      <c r="D108" s="4086"/>
      <c r="E108" s="2432" t="str">
        <f>$E$88</f>
        <v>Learning Thermostat - Unknown MF**</v>
      </c>
      <c r="F108" s="2779">
        <v>0.65</v>
      </c>
      <c r="G108" s="4093"/>
      <c r="H108" s="4094"/>
      <c r="I108" s="1430"/>
      <c r="J108" s="283"/>
      <c r="N108" s="1565"/>
      <c r="O108" s="283"/>
      <c r="P108" s="283"/>
      <c r="Q108" s="283"/>
      <c r="V108" s="4089"/>
      <c r="W108" s="287"/>
      <c r="X108" s="95"/>
      <c r="Y108" s="2798">
        <v>0.65</v>
      </c>
      <c r="Z108" s="2819">
        <v>0.65</v>
      </c>
      <c r="AA108" s="2819">
        <v>0.65</v>
      </c>
      <c r="AB108" s="2819">
        <v>0.65</v>
      </c>
      <c r="AC108" s="2819">
        <v>0.65</v>
      </c>
      <c r="AD108" s="2819">
        <v>0.65</v>
      </c>
      <c r="AE108" s="2819">
        <v>0.65</v>
      </c>
      <c r="AF108" s="2236">
        <f t="shared" si="9"/>
        <v>0.65</v>
      </c>
      <c r="AG108" s="287"/>
      <c r="AH108" s="1509"/>
      <c r="AJ108" s="1568"/>
      <c r="AU108" s="1505"/>
      <c r="DJ108" s="1187"/>
    </row>
    <row r="109" spans="1:114" ht="45" hidden="1" customHeight="1" outlineLevel="1">
      <c r="A109" s="533"/>
      <c r="B109" s="579"/>
      <c r="C109" s="281"/>
      <c r="D109" s="4084" t="s">
        <v>1094</v>
      </c>
      <c r="E109" s="128" t="s">
        <v>1095</v>
      </c>
      <c r="F109" s="1804">
        <f>SUMPRODUCT(F110:F112,I110:I112)</f>
        <v>6.668717948717949E-2</v>
      </c>
      <c r="G109" s="4107" t="s">
        <v>1096</v>
      </c>
      <c r="H109" s="4108"/>
      <c r="I109" s="2147" t="s">
        <v>1097</v>
      </c>
      <c r="J109" s="283"/>
      <c r="N109" s="1565"/>
      <c r="O109" s="283"/>
      <c r="P109" s="283"/>
      <c r="Q109" s="283"/>
      <c r="V109" s="4087" t="str">
        <f>D109</f>
        <v>HeatingReduction</v>
      </c>
      <c r="W109" s="1575">
        <v>7.3999999999999996E-2</v>
      </c>
      <c r="X109" s="96">
        <v>6.6879999999999995E-2</v>
      </c>
      <c r="Y109" s="96">
        <v>6.668717948717949E-2</v>
      </c>
      <c r="Z109" s="716">
        <v>6.668717948717949E-2</v>
      </c>
      <c r="AA109" s="716">
        <v>6.668717948717949E-2</v>
      </c>
      <c r="AB109" s="1577">
        <v>6.668717948717949E-2</v>
      </c>
      <c r="AC109" s="1577">
        <f>SUMPRODUCT(AC110:AC112,AF110:AF112)</f>
        <v>1.0879999999999999E-2</v>
      </c>
      <c r="AD109" s="1577">
        <v>0</v>
      </c>
      <c r="AE109" s="1577">
        <v>0</v>
      </c>
      <c r="AF109" s="271">
        <f t="shared" si="9"/>
        <v>6.668717948717949E-2</v>
      </c>
      <c r="AG109" s="1575"/>
      <c r="AH109" s="1509"/>
      <c r="AJ109" s="1568"/>
      <c r="AU109" s="1505"/>
      <c r="DJ109" s="1187"/>
    </row>
    <row r="110" spans="1:114" ht="15" hidden="1" customHeight="1" outlineLevel="1">
      <c r="A110" s="533"/>
      <c r="B110" s="579"/>
      <c r="C110" s="281"/>
      <c r="D110" s="4085"/>
      <c r="E110" s="128" t="s">
        <v>1098</v>
      </c>
      <c r="F110" s="1804">
        <v>8.7999999999999995E-2</v>
      </c>
      <c r="G110" s="4109"/>
      <c r="H110" s="4110"/>
      <c r="I110" s="313">
        <v>0.42820512820512818</v>
      </c>
      <c r="J110" s="283"/>
      <c r="N110" s="1565"/>
      <c r="O110" s="283"/>
      <c r="P110" s="283"/>
      <c r="Q110" s="283"/>
      <c r="V110" s="4088"/>
      <c r="W110" s="1575"/>
      <c r="X110" s="96"/>
      <c r="Y110" s="96"/>
      <c r="Z110" s="716"/>
      <c r="AA110" s="716"/>
      <c r="AB110" s="95">
        <v>8.7999999999999995E-2</v>
      </c>
      <c r="AC110" s="1577">
        <v>8.7999999999999995E-2</v>
      </c>
      <c r="AD110" s="1577">
        <v>8.7999999999999995E-2</v>
      </c>
      <c r="AE110" s="1577">
        <v>8.7999999999999995E-2</v>
      </c>
      <c r="AF110" s="271">
        <f t="shared" si="9"/>
        <v>8.7999999999999995E-2</v>
      </c>
      <c r="AG110" s="1575"/>
      <c r="AH110" s="1509"/>
      <c r="AJ110" s="1568"/>
      <c r="AU110" s="1505"/>
      <c r="DJ110" s="1187"/>
    </row>
    <row r="111" spans="1:114" ht="15" hidden="1" customHeight="1" outlineLevel="1">
      <c r="A111" s="533"/>
      <c r="B111" s="579"/>
      <c r="C111" s="281"/>
      <c r="D111" s="4085"/>
      <c r="E111" s="128" t="s">
        <v>1099</v>
      </c>
      <c r="F111" s="1804">
        <v>5.6000000000000001E-2</v>
      </c>
      <c r="G111" s="4109"/>
      <c r="H111" s="4110"/>
      <c r="I111" s="313">
        <v>0.517948717948718</v>
      </c>
      <c r="J111" s="283"/>
      <c r="N111" s="1565"/>
      <c r="O111" s="283"/>
      <c r="P111" s="283"/>
      <c r="Q111" s="283"/>
      <c r="V111" s="4088"/>
      <c r="W111" s="1575"/>
      <c r="X111" s="96"/>
      <c r="Y111" s="96"/>
      <c r="Z111" s="716"/>
      <c r="AA111" s="716"/>
      <c r="AB111" s="95">
        <v>5.6000000000000001E-2</v>
      </c>
      <c r="AC111" s="1577">
        <v>5.6000000000000001E-2</v>
      </c>
      <c r="AD111" s="1577">
        <v>5.6000000000000001E-2</v>
      </c>
      <c r="AE111" s="1577">
        <v>5.6000000000000001E-2</v>
      </c>
      <c r="AF111" s="271">
        <f t="shared" si="9"/>
        <v>5.6000000000000001E-2</v>
      </c>
      <c r="AG111" s="1575"/>
      <c r="AH111" s="1509"/>
      <c r="AJ111" s="1568"/>
      <c r="AU111" s="1505"/>
      <c r="DJ111" s="1187"/>
    </row>
    <row r="112" spans="1:114" ht="15" hidden="1" customHeight="1" outlineLevel="1">
      <c r="A112" s="533"/>
      <c r="B112" s="579"/>
      <c r="C112" s="281"/>
      <c r="D112" s="4095"/>
      <c r="E112" s="128" t="s">
        <v>1100</v>
      </c>
      <c r="F112" s="1804">
        <v>0</v>
      </c>
      <c r="G112" s="4111"/>
      <c r="H112" s="4112"/>
      <c r="I112" s="313">
        <v>5.3846153846153849E-2</v>
      </c>
      <c r="J112" s="283"/>
      <c r="N112" s="1565"/>
      <c r="O112" s="283"/>
      <c r="P112" s="283"/>
      <c r="Q112" s="283"/>
      <c r="V112" s="4096"/>
      <c r="W112" s="1575"/>
      <c r="X112" s="96"/>
      <c r="Y112" s="96"/>
      <c r="Z112" s="716"/>
      <c r="AA112" s="716"/>
      <c r="AB112" s="95">
        <v>0</v>
      </c>
      <c r="AC112" s="1577">
        <v>0</v>
      </c>
      <c r="AD112" s="1577">
        <v>0</v>
      </c>
      <c r="AE112" s="1577">
        <v>0</v>
      </c>
      <c r="AF112" s="271">
        <f t="shared" si="9"/>
        <v>0</v>
      </c>
      <c r="AG112" s="1575"/>
      <c r="AH112" s="1509"/>
      <c r="AJ112" s="1568"/>
      <c r="AU112" s="1505"/>
      <c r="DJ112" s="1187"/>
    </row>
    <row r="113" spans="1:114" ht="45" hidden="1" customHeight="1" outlineLevel="1">
      <c r="A113" s="533"/>
      <c r="B113" s="579"/>
      <c r="C113" s="281"/>
      <c r="D113" s="4084" t="s">
        <v>1101</v>
      </c>
      <c r="E113" s="128" t="s">
        <v>1102</v>
      </c>
      <c r="F113" s="1721">
        <v>0.98799999999999999</v>
      </c>
      <c r="G113" s="4113" t="s">
        <v>1103</v>
      </c>
      <c r="H113" s="4114"/>
      <c r="I113" s="1407" t="s">
        <v>1104</v>
      </c>
      <c r="J113" s="283"/>
      <c r="L113" s="534"/>
      <c r="N113" s="1565"/>
      <c r="O113" s="283"/>
      <c r="P113" s="283"/>
      <c r="Q113" s="283"/>
      <c r="V113" s="4087" t="str">
        <f>D113</f>
        <v>Eff_ISR</v>
      </c>
      <c r="W113" s="287">
        <v>1</v>
      </c>
      <c r="X113" s="302">
        <v>1</v>
      </c>
      <c r="Y113" s="313">
        <v>1</v>
      </c>
      <c r="Z113" s="146">
        <v>1</v>
      </c>
      <c r="AA113" s="146">
        <v>1</v>
      </c>
      <c r="AB113" s="95">
        <v>0.98799999999999999</v>
      </c>
      <c r="AC113" s="1577">
        <v>0.98799999999999999</v>
      </c>
      <c r="AD113" s="1577">
        <v>0.98799999999999999</v>
      </c>
      <c r="AE113" s="1577">
        <v>0.98799999999999999</v>
      </c>
      <c r="AF113" s="271">
        <f t="shared" ref="AF113:AF148" si="10">IF(F113&lt;&gt;"",F113,"")</f>
        <v>0.98799999999999999</v>
      </c>
      <c r="AG113" s="287"/>
      <c r="AH113" s="1509"/>
      <c r="AJ113" s="1568"/>
      <c r="AU113" s="1505"/>
      <c r="DJ113" s="1187"/>
    </row>
    <row r="114" spans="1:114" ht="36.75" hidden="1" customHeight="1" outlineLevel="1">
      <c r="A114" s="533"/>
      <c r="B114" s="579"/>
      <c r="C114" s="281"/>
      <c r="D114" s="4095"/>
      <c r="E114" s="2432" t="s">
        <v>1105</v>
      </c>
      <c r="F114" s="3021">
        <v>1</v>
      </c>
      <c r="G114" s="4115" t="s">
        <v>1106</v>
      </c>
      <c r="H114" s="4116"/>
      <c r="I114" s="1430"/>
      <c r="J114" s="283"/>
      <c r="L114" s="534"/>
      <c r="N114" s="1565"/>
      <c r="O114" s="283"/>
      <c r="P114" s="283"/>
      <c r="Q114" s="283"/>
      <c r="V114" s="4096"/>
      <c r="W114" s="2793"/>
      <c r="X114" s="3041"/>
      <c r="Y114" s="2820"/>
      <c r="Z114" s="2794"/>
      <c r="AA114" s="2794"/>
      <c r="AB114" s="2795">
        <v>1</v>
      </c>
      <c r="AC114" s="2794">
        <v>1</v>
      </c>
      <c r="AD114" s="2794">
        <v>1</v>
      </c>
      <c r="AE114" s="2794">
        <v>1</v>
      </c>
      <c r="AF114" s="2236">
        <f t="shared" si="10"/>
        <v>1</v>
      </c>
      <c r="AG114" s="287"/>
      <c r="AH114" s="1509"/>
      <c r="AJ114" s="1568"/>
      <c r="AU114" s="1505"/>
      <c r="DJ114" s="1187"/>
    </row>
    <row r="115" spans="1:114" ht="15" hidden="1" customHeight="1" outlineLevel="1">
      <c r="A115" s="533"/>
      <c r="B115" s="579"/>
      <c r="C115" s="281"/>
      <c r="D115" s="4084" t="s">
        <v>1107</v>
      </c>
      <c r="E115" s="128" t="str">
        <f>$E$81</f>
        <v>Learning Thermostat - ASHP heating/cooling SF</v>
      </c>
      <c r="F115" s="1724">
        <f>F138*F146*F101*F109*F113</f>
        <v>0</v>
      </c>
      <c r="G115" s="4101" t="s">
        <v>1108</v>
      </c>
      <c r="H115" s="4102"/>
      <c r="I115" s="1430"/>
      <c r="J115" s="283"/>
      <c r="N115" s="1565"/>
      <c r="O115" s="283"/>
      <c r="P115" s="283"/>
      <c r="Q115" s="283"/>
      <c r="V115" s="4087" t="str">
        <f>D115</f>
        <v>∆Therms</v>
      </c>
      <c r="W115" s="1497">
        <f>W138*W$146*W101*W$109*W$113</f>
        <v>50.32</v>
      </c>
      <c r="X115" s="1497">
        <f>X138*X$146*X101*X$109*X$113</f>
        <v>0</v>
      </c>
      <c r="Y115" s="1497">
        <v>0</v>
      </c>
      <c r="Z115" s="704">
        <v>0</v>
      </c>
      <c r="AA115" s="704">
        <v>0</v>
      </c>
      <c r="AB115" s="704">
        <v>0</v>
      </c>
      <c r="AC115" s="704">
        <f t="shared" ref="AC115:AC122" si="11">AC138*$F$146*AC101*$F$109*$F$113</f>
        <v>0</v>
      </c>
      <c r="AD115" s="704">
        <v>0</v>
      </c>
      <c r="AE115" s="704">
        <v>0</v>
      </c>
      <c r="AF115" s="271">
        <f t="shared" si="10"/>
        <v>0</v>
      </c>
      <c r="AG115" s="1497"/>
      <c r="AH115" s="1509"/>
      <c r="AU115" s="1505"/>
      <c r="DJ115" s="1187"/>
    </row>
    <row r="116" spans="1:114" ht="15" hidden="1" customHeight="1" outlineLevel="1">
      <c r="A116" s="533"/>
      <c r="B116" s="579"/>
      <c r="C116" s="281"/>
      <c r="D116" s="4085"/>
      <c r="E116" s="128" t="str">
        <f>$E$82</f>
        <v>Learning Thermostat - ASHP heating/cooling MF</v>
      </c>
      <c r="F116" s="1724">
        <f>F139*F146*F102*F109*F113</f>
        <v>0</v>
      </c>
      <c r="G116" s="4103"/>
      <c r="H116" s="4104"/>
      <c r="I116" s="1430"/>
      <c r="J116" s="283"/>
      <c r="N116" s="1565"/>
      <c r="O116" s="283"/>
      <c r="P116" s="283"/>
      <c r="Q116" s="283"/>
      <c r="V116" s="4088"/>
      <c r="W116" s="1497"/>
      <c r="X116" s="1497"/>
      <c r="Y116" s="205">
        <v>0</v>
      </c>
      <c r="Z116" s="704">
        <v>0</v>
      </c>
      <c r="AA116" s="704">
        <v>0</v>
      </c>
      <c r="AB116" s="704">
        <v>0</v>
      </c>
      <c r="AC116" s="704">
        <f t="shared" si="11"/>
        <v>0</v>
      </c>
      <c r="AD116" s="704">
        <v>0</v>
      </c>
      <c r="AE116" s="704">
        <v>0</v>
      </c>
      <c r="AF116" s="271">
        <f t="shared" si="10"/>
        <v>0</v>
      </c>
      <c r="AG116" s="1497"/>
      <c r="AH116" s="1509"/>
      <c r="AU116" s="1505"/>
      <c r="DJ116" s="1187"/>
    </row>
    <row r="117" spans="1:114" ht="15" hidden="1" customHeight="1" outlineLevel="1">
      <c r="A117" s="533"/>
      <c r="B117" s="579"/>
      <c r="C117" s="281"/>
      <c r="D117" s="4085"/>
      <c r="E117" s="128" t="str">
        <f>$E$83</f>
        <v>Learning Thermostat - electric furnace heating / central AC MF</v>
      </c>
      <c r="F117" s="1724">
        <f>F140*F146*F103*F109*F113</f>
        <v>0</v>
      </c>
      <c r="G117" s="4103"/>
      <c r="H117" s="4104"/>
      <c r="I117" s="1430"/>
      <c r="J117" s="283"/>
      <c r="N117" s="1565"/>
      <c r="O117" s="283"/>
      <c r="P117" s="283"/>
      <c r="Q117" s="283"/>
      <c r="V117" s="4088"/>
      <c r="W117" s="1497">
        <f t="shared" ref="W117:X119" si="12">W140*W$146*W103*W$109*W$113</f>
        <v>32.707999999999998</v>
      </c>
      <c r="X117" s="1497">
        <f t="shared" si="12"/>
        <v>0</v>
      </c>
      <c r="Y117" s="1497">
        <v>0</v>
      </c>
      <c r="Z117" s="704">
        <v>0</v>
      </c>
      <c r="AA117" s="704">
        <v>0</v>
      </c>
      <c r="AB117" s="704">
        <v>0</v>
      </c>
      <c r="AC117" s="704">
        <f t="shared" si="11"/>
        <v>0</v>
      </c>
      <c r="AD117" s="704">
        <v>0</v>
      </c>
      <c r="AE117" s="704">
        <v>0</v>
      </c>
      <c r="AF117" s="271">
        <f t="shared" si="10"/>
        <v>0</v>
      </c>
      <c r="AG117" s="1497"/>
      <c r="AH117" s="1509"/>
      <c r="AJ117" s="1568"/>
      <c r="AU117" s="1505"/>
      <c r="DJ117" s="1187"/>
    </row>
    <row r="118" spans="1:114" ht="15" hidden="1" customHeight="1" outlineLevel="1">
      <c r="A118" s="533"/>
      <c r="B118" s="579"/>
      <c r="C118" s="281"/>
      <c r="D118" s="4085"/>
      <c r="E118" s="128" t="str">
        <f>$E$84</f>
        <v>Learning Thermostat - electric furnace heating / central AC SF</v>
      </c>
      <c r="F118" s="1724">
        <f>F141*F146*F104*F109*F113</f>
        <v>0</v>
      </c>
      <c r="G118" s="4103"/>
      <c r="H118" s="4104"/>
      <c r="I118" s="1430"/>
      <c r="J118" s="283"/>
      <c r="N118" s="1565"/>
      <c r="O118" s="283"/>
      <c r="P118" s="283"/>
      <c r="Q118" s="283"/>
      <c r="V118" s="4088"/>
      <c r="W118" s="1497">
        <f t="shared" si="12"/>
        <v>50.32</v>
      </c>
      <c r="X118" s="1497">
        <f t="shared" si="12"/>
        <v>0</v>
      </c>
      <c r="Y118" s="1497">
        <v>0</v>
      </c>
      <c r="Z118" s="704">
        <v>0</v>
      </c>
      <c r="AA118" s="704">
        <v>0</v>
      </c>
      <c r="AB118" s="704">
        <v>0</v>
      </c>
      <c r="AC118" s="704">
        <f t="shared" si="11"/>
        <v>0</v>
      </c>
      <c r="AD118" s="704">
        <v>0</v>
      </c>
      <c r="AE118" s="704">
        <v>0</v>
      </c>
      <c r="AF118" s="271">
        <f t="shared" si="10"/>
        <v>0</v>
      </c>
      <c r="AG118" s="1497"/>
      <c r="AH118" s="1509"/>
      <c r="AJ118" s="1568"/>
      <c r="AU118" s="1505"/>
      <c r="DJ118" s="1187"/>
    </row>
    <row r="119" spans="1:114" ht="15" hidden="1" customHeight="1" outlineLevel="1">
      <c r="A119" s="533"/>
      <c r="B119" s="579"/>
      <c r="C119" s="281"/>
      <c r="D119" s="4085"/>
      <c r="E119" s="128" t="str">
        <f>$E$85</f>
        <v>Learning Thermostat - Gas Heated / central AC SF**</v>
      </c>
      <c r="F119" s="1724">
        <f>F142*F146*F105*F109*F113</f>
        <v>44.944257776146785</v>
      </c>
      <c r="G119" s="4103"/>
      <c r="H119" s="4104"/>
      <c r="I119" s="1430"/>
      <c r="J119" s="283"/>
      <c r="N119" s="1565"/>
      <c r="O119" s="283"/>
      <c r="P119" s="283"/>
      <c r="Q119" s="283"/>
      <c r="V119" s="4088"/>
      <c r="W119" s="1497">
        <f t="shared" si="12"/>
        <v>50.32</v>
      </c>
      <c r="X119" s="1497">
        <f t="shared" si="12"/>
        <v>45.643001839969074</v>
      </c>
      <c r="Y119" s="89">
        <v>45.490139449541282</v>
      </c>
      <c r="Z119" s="704">
        <v>45.490139449541282</v>
      </c>
      <c r="AA119" s="704">
        <v>45.490139449541282</v>
      </c>
      <c r="AB119" s="704">
        <v>44.944257776146785</v>
      </c>
      <c r="AC119" s="704">
        <f t="shared" si="11"/>
        <v>44.944257776146785</v>
      </c>
      <c r="AD119" s="704">
        <v>44.944257776146785</v>
      </c>
      <c r="AE119" s="704">
        <v>44.944257776146785</v>
      </c>
      <c r="AF119" s="271">
        <f t="shared" si="10"/>
        <v>44.944257776146785</v>
      </c>
      <c r="AG119" s="1497"/>
      <c r="AH119" s="1509"/>
      <c r="AJ119" s="1568"/>
      <c r="AU119" s="1505"/>
      <c r="DJ119" s="1187"/>
    </row>
    <row r="120" spans="1:114" ht="15" hidden="1" customHeight="1" outlineLevel="1">
      <c r="A120" s="533"/>
      <c r="B120" s="579"/>
      <c r="C120" s="281"/>
      <c r="D120" s="4085"/>
      <c r="E120" s="128" t="str">
        <f>$E$86</f>
        <v>Learning Thermostat - Gas Heated / central AC MF**</v>
      </c>
      <c r="F120" s="1724">
        <f>F143*F146*F106*F109*F113</f>
        <v>29.213767554495412</v>
      </c>
      <c r="G120" s="4103"/>
      <c r="H120" s="4104"/>
      <c r="I120" s="1430"/>
      <c r="J120" s="283"/>
      <c r="N120" s="1565"/>
      <c r="O120" s="283"/>
      <c r="P120" s="283"/>
      <c r="Q120" s="283"/>
      <c r="V120" s="4088"/>
      <c r="W120" s="1497"/>
      <c r="X120" s="1497"/>
      <c r="Y120" s="89">
        <v>29.568590642201833</v>
      </c>
      <c r="Z120" s="704">
        <v>29.568590642201833</v>
      </c>
      <c r="AA120" s="704">
        <v>29.568590642201833</v>
      </c>
      <c r="AB120" s="704">
        <v>29.213767554495412</v>
      </c>
      <c r="AC120" s="704">
        <f t="shared" si="11"/>
        <v>29.213767554495412</v>
      </c>
      <c r="AD120" s="704">
        <v>29.213767554495412</v>
      </c>
      <c r="AE120" s="704">
        <v>29.213767554495412</v>
      </c>
      <c r="AF120" s="271">
        <f t="shared" si="10"/>
        <v>29.213767554495412</v>
      </c>
      <c r="AG120" s="1497"/>
      <c r="AH120" s="1509"/>
      <c r="AJ120" s="1568"/>
      <c r="AU120" s="1505"/>
      <c r="DJ120" s="1187"/>
    </row>
    <row r="121" spans="1:114" ht="15" hidden="1" customHeight="1" outlineLevel="1">
      <c r="A121" s="533"/>
      <c r="B121" s="579"/>
      <c r="C121" s="281"/>
      <c r="D121" s="4085"/>
      <c r="E121" s="128" t="str">
        <f>$E$87</f>
        <v>Learning Thermostat - Unknown SF**</v>
      </c>
      <c r="F121" s="1724">
        <f>F144*F146*F107*F109*F113</f>
        <v>30.112652710018352</v>
      </c>
      <c r="G121" s="4103"/>
      <c r="H121" s="4104"/>
      <c r="I121" s="1430"/>
      <c r="J121" s="283"/>
      <c r="N121" s="1565"/>
      <c r="O121" s="283"/>
      <c r="P121" s="283"/>
      <c r="Q121" s="283"/>
      <c r="V121" s="4088"/>
      <c r="W121" s="1497">
        <f>W144*W$146*W107*W$109*W$113</f>
        <v>32.707999999999998</v>
      </c>
      <c r="X121" s="1497">
        <f>X144*X$146*X107*X$109*X$113</f>
        <v>33.295508064007585</v>
      </c>
      <c r="Y121" s="89">
        <v>37.134317317128989</v>
      </c>
      <c r="Z121" s="704">
        <v>37.134317317128989</v>
      </c>
      <c r="AA121" s="704">
        <v>37.134317317128989</v>
      </c>
      <c r="AB121" s="704">
        <v>37.56045646690351</v>
      </c>
      <c r="AC121" s="704">
        <f t="shared" si="11"/>
        <v>30.112652710018352</v>
      </c>
      <c r="AD121" s="704">
        <v>30.112652710018352</v>
      </c>
      <c r="AE121" s="704">
        <v>30.112652710018352</v>
      </c>
      <c r="AF121" s="271">
        <f t="shared" si="10"/>
        <v>30.112652710018352</v>
      </c>
      <c r="AG121" s="1497"/>
      <c r="AH121" s="1509"/>
      <c r="AU121" s="1505"/>
      <c r="DJ121" s="1187"/>
    </row>
    <row r="122" spans="1:114" ht="15" hidden="1" customHeight="1" outlineLevel="1">
      <c r="A122" s="533"/>
      <c r="B122" s="579"/>
      <c r="C122" s="281"/>
      <c r="D122" s="4086"/>
      <c r="E122" s="2432" t="str">
        <f>$E$88</f>
        <v>Learning Thermostat - Unknown MF**</v>
      </c>
      <c r="F122" s="2781">
        <f>F145*F146*F108*F109*F113</f>
        <v>19.573224261511925</v>
      </c>
      <c r="G122" s="4105"/>
      <c r="H122" s="4106"/>
      <c r="I122" s="1430"/>
      <c r="J122" s="283"/>
      <c r="N122" s="1565"/>
      <c r="O122" s="283"/>
      <c r="P122" s="283"/>
      <c r="Q122" s="283"/>
      <c r="V122" s="4089"/>
      <c r="W122" s="1497"/>
      <c r="X122" s="1497"/>
      <c r="Y122" s="2725">
        <v>24.137306256133844</v>
      </c>
      <c r="Z122" s="2800">
        <v>24.137306256133844</v>
      </c>
      <c r="AA122" s="2800">
        <v>24.137306256133844</v>
      </c>
      <c r="AB122" s="2800">
        <v>24.414296703487285</v>
      </c>
      <c r="AC122" s="2800">
        <f t="shared" si="11"/>
        <v>19.573224261511925</v>
      </c>
      <c r="AD122" s="2800">
        <v>19.573224261511925</v>
      </c>
      <c r="AE122" s="2800">
        <v>19.573224261511925</v>
      </c>
      <c r="AF122" s="2236">
        <f t="shared" si="10"/>
        <v>19.573224261511925</v>
      </c>
      <c r="AG122" s="1497"/>
      <c r="AH122" s="1509"/>
      <c r="AU122" s="1505"/>
      <c r="DJ122" s="1187"/>
    </row>
    <row r="123" spans="1:114" ht="27.75" hidden="1" customHeight="1" outlineLevel="1">
      <c r="A123" s="533"/>
      <c r="B123" s="579"/>
      <c r="C123" s="281"/>
      <c r="D123" s="1422" t="s">
        <v>1109</v>
      </c>
      <c r="E123" s="352" t="s">
        <v>1102</v>
      </c>
      <c r="F123" s="1684">
        <v>3.1399999999999997E-2</v>
      </c>
      <c r="G123" s="4119" t="s">
        <v>1110</v>
      </c>
      <c r="H123" s="4120"/>
      <c r="I123" s="1430" t="s">
        <v>1111</v>
      </c>
      <c r="J123" s="283"/>
      <c r="N123" s="1565"/>
      <c r="O123" s="283"/>
      <c r="P123" s="283"/>
      <c r="Q123" s="283"/>
      <c r="V123" s="1391" t="str">
        <f>D123</f>
        <v>Fe</v>
      </c>
      <c r="W123" s="291">
        <v>3.1399999999999997E-2</v>
      </c>
      <c r="X123" s="291">
        <v>3.1399999999999997E-2</v>
      </c>
      <c r="Y123" s="314">
        <v>3.1399999999999997E-2</v>
      </c>
      <c r="Z123" s="1569">
        <v>3.1399999999999997E-2</v>
      </c>
      <c r="AA123" s="1569">
        <v>3.1399999999999997E-2</v>
      </c>
      <c r="AB123" s="1569">
        <v>3.1399999999999997E-2</v>
      </c>
      <c r="AC123" s="1569">
        <v>3.1399999999999997E-2</v>
      </c>
      <c r="AD123" s="1569">
        <v>3.1399999999999997E-2</v>
      </c>
      <c r="AE123" s="1569">
        <v>3.1399999999999997E-2</v>
      </c>
      <c r="AF123" s="271">
        <f t="shared" si="10"/>
        <v>3.1399999999999997E-2</v>
      </c>
      <c r="AG123" s="291"/>
      <c r="AH123" s="1509"/>
      <c r="AJ123" s="1568"/>
      <c r="AU123" s="1505"/>
      <c r="DJ123" s="1187"/>
    </row>
    <row r="124" spans="1:114" ht="15" hidden="1" customHeight="1" outlineLevel="1">
      <c r="A124" s="533"/>
      <c r="B124" s="579"/>
      <c r="C124" s="281"/>
      <c r="D124" s="4084" t="s">
        <v>1112</v>
      </c>
      <c r="E124" s="128" t="str">
        <f>$E$81</f>
        <v>Learning Thermostat - ASHP heating/cooling SF</v>
      </c>
      <c r="F124" s="525">
        <v>1</v>
      </c>
      <c r="G124" s="4121" t="s">
        <v>1113</v>
      </c>
      <c r="H124" s="4122"/>
      <c r="I124" s="1430"/>
      <c r="J124" s="283"/>
      <c r="N124" s="1565"/>
      <c r="O124" s="283"/>
      <c r="P124" s="283"/>
      <c r="Q124" s="283"/>
      <c r="V124" s="4087" t="str">
        <f>D124</f>
        <v>%AC</v>
      </c>
      <c r="W124" s="287">
        <v>1</v>
      </c>
      <c r="X124" s="287">
        <v>1</v>
      </c>
      <c r="Y124" s="287">
        <v>1</v>
      </c>
      <c r="Z124" s="146">
        <v>1</v>
      </c>
      <c r="AA124" s="146">
        <v>1</v>
      </c>
      <c r="AB124" s="146">
        <v>1</v>
      </c>
      <c r="AC124" s="146">
        <v>1</v>
      </c>
      <c r="AD124" s="146">
        <v>1</v>
      </c>
      <c r="AE124" s="146">
        <v>1</v>
      </c>
      <c r="AF124" s="271">
        <f t="shared" si="10"/>
        <v>1</v>
      </c>
      <c r="AG124" s="287"/>
      <c r="AH124" s="1509"/>
      <c r="AJ124" s="1568"/>
      <c r="AU124" s="1505"/>
      <c r="DJ124" s="1187"/>
    </row>
    <row r="125" spans="1:114" ht="15" hidden="1" customHeight="1" outlineLevel="1">
      <c r="A125" s="533"/>
      <c r="B125" s="579"/>
      <c r="C125" s="281"/>
      <c r="D125" s="4085"/>
      <c r="E125" s="128" t="str">
        <f>$E$82</f>
        <v>Learning Thermostat - ASHP heating/cooling MF</v>
      </c>
      <c r="F125" s="525">
        <v>1</v>
      </c>
      <c r="G125" s="4123"/>
      <c r="H125" s="4124"/>
      <c r="I125" s="1430"/>
      <c r="J125" s="283"/>
      <c r="N125" s="1565"/>
      <c r="O125" s="283"/>
      <c r="P125" s="283"/>
      <c r="Q125" s="283"/>
      <c r="V125" s="4088"/>
      <c r="W125" s="287"/>
      <c r="X125" s="287"/>
      <c r="Y125" s="1460">
        <v>1</v>
      </c>
      <c r="Z125" s="146">
        <v>1</v>
      </c>
      <c r="AA125" s="146">
        <v>1</v>
      </c>
      <c r="AB125" s="146">
        <v>1</v>
      </c>
      <c r="AC125" s="146">
        <v>1</v>
      </c>
      <c r="AD125" s="146">
        <v>1</v>
      </c>
      <c r="AE125" s="146">
        <v>1</v>
      </c>
      <c r="AF125" s="271">
        <f t="shared" si="10"/>
        <v>1</v>
      </c>
      <c r="AG125" s="287"/>
      <c r="AH125" s="1509"/>
      <c r="AJ125" s="1568"/>
      <c r="AU125" s="1505"/>
      <c r="DJ125" s="1187"/>
    </row>
    <row r="126" spans="1:114" ht="15" hidden="1" customHeight="1" outlineLevel="1">
      <c r="A126" s="533"/>
      <c r="B126" s="579"/>
      <c r="C126" s="281"/>
      <c r="D126" s="4085"/>
      <c r="E126" s="128" t="str">
        <f>$E$83</f>
        <v>Learning Thermostat - electric furnace heating / central AC MF</v>
      </c>
      <c r="F126" s="525">
        <v>1</v>
      </c>
      <c r="G126" s="4123"/>
      <c r="H126" s="4124"/>
      <c r="I126" s="1430"/>
      <c r="J126" s="283"/>
      <c r="N126" s="1565"/>
      <c r="O126" s="283"/>
      <c r="P126" s="283"/>
      <c r="Q126" s="283"/>
      <c r="V126" s="4088"/>
      <c r="W126" s="287">
        <v>1</v>
      </c>
      <c r="X126" s="287">
        <v>1</v>
      </c>
      <c r="Y126" s="287">
        <v>1</v>
      </c>
      <c r="Z126" s="146">
        <v>1</v>
      </c>
      <c r="AA126" s="146">
        <v>1</v>
      </c>
      <c r="AB126" s="146">
        <v>1</v>
      </c>
      <c r="AC126" s="146">
        <v>1</v>
      </c>
      <c r="AD126" s="146">
        <v>1</v>
      </c>
      <c r="AE126" s="146">
        <v>1</v>
      </c>
      <c r="AF126" s="271">
        <f t="shared" si="10"/>
        <v>1</v>
      </c>
      <c r="AG126" s="287"/>
      <c r="AH126" s="1509"/>
      <c r="AJ126" s="1568"/>
      <c r="AU126" s="1505"/>
      <c r="DJ126" s="1187"/>
    </row>
    <row r="127" spans="1:114" ht="15" hidden="1" customHeight="1" outlineLevel="1">
      <c r="A127" s="533"/>
      <c r="B127" s="579"/>
      <c r="C127" s="281"/>
      <c r="D127" s="4085"/>
      <c r="E127" s="128" t="str">
        <f>$E$84</f>
        <v>Learning Thermostat - electric furnace heating / central AC SF</v>
      </c>
      <c r="F127" s="525">
        <v>1</v>
      </c>
      <c r="G127" s="4123"/>
      <c r="H127" s="4124"/>
      <c r="I127" s="1430"/>
      <c r="J127" s="283"/>
      <c r="N127" s="1565"/>
      <c r="O127" s="283"/>
      <c r="P127" s="283"/>
      <c r="Q127" s="283"/>
      <c r="V127" s="4088"/>
      <c r="W127" s="287">
        <v>1</v>
      </c>
      <c r="X127" s="287">
        <v>1</v>
      </c>
      <c r="Y127" s="287">
        <v>1</v>
      </c>
      <c r="Z127" s="146">
        <v>1</v>
      </c>
      <c r="AA127" s="146">
        <v>1</v>
      </c>
      <c r="AB127" s="146">
        <v>1</v>
      </c>
      <c r="AC127" s="146">
        <v>1</v>
      </c>
      <c r="AD127" s="146">
        <v>1</v>
      </c>
      <c r="AE127" s="146">
        <v>1</v>
      </c>
      <c r="AF127" s="271">
        <f t="shared" si="10"/>
        <v>1</v>
      </c>
      <c r="AG127" s="287"/>
      <c r="AH127" s="1509"/>
      <c r="AU127" s="1505"/>
      <c r="DJ127" s="1187"/>
    </row>
    <row r="128" spans="1:114" ht="15" hidden="1" customHeight="1" outlineLevel="1">
      <c r="A128" s="533"/>
      <c r="B128" s="579"/>
      <c r="C128" s="281"/>
      <c r="D128" s="4085"/>
      <c r="E128" s="128" t="str">
        <f>$E$85</f>
        <v>Learning Thermostat - Gas Heated / central AC SF**</v>
      </c>
      <c r="F128" s="525">
        <v>1</v>
      </c>
      <c r="G128" s="4123"/>
      <c r="H128" s="4124"/>
      <c r="I128" s="1430"/>
      <c r="J128" s="283"/>
      <c r="N128" s="1565"/>
      <c r="O128" s="283"/>
      <c r="P128" s="283"/>
      <c r="Q128" s="283"/>
      <c r="V128" s="4088"/>
      <c r="W128" s="287">
        <v>1</v>
      </c>
      <c r="X128" s="287">
        <v>1</v>
      </c>
      <c r="Y128" s="287">
        <v>1</v>
      </c>
      <c r="Z128" s="146">
        <v>1</v>
      </c>
      <c r="AA128" s="146">
        <v>1</v>
      </c>
      <c r="AB128" s="146">
        <v>1</v>
      </c>
      <c r="AC128" s="146">
        <v>1</v>
      </c>
      <c r="AD128" s="146">
        <v>1</v>
      </c>
      <c r="AE128" s="146">
        <v>1</v>
      </c>
      <c r="AF128" s="271">
        <f t="shared" si="10"/>
        <v>1</v>
      </c>
      <c r="AG128" s="287"/>
      <c r="AH128" s="1509"/>
      <c r="AJ128" s="1568"/>
      <c r="AU128" s="1505"/>
      <c r="DJ128" s="1187"/>
    </row>
    <row r="129" spans="1:114" ht="15" hidden="1" customHeight="1" outlineLevel="1">
      <c r="A129" s="533"/>
      <c r="B129" s="579"/>
      <c r="C129" s="281"/>
      <c r="D129" s="4085"/>
      <c r="E129" s="128" t="str">
        <f>$E$86</f>
        <v>Learning Thermostat - Gas Heated / central AC MF**</v>
      </c>
      <c r="F129" s="525">
        <v>1</v>
      </c>
      <c r="G129" s="4123"/>
      <c r="H129" s="4124"/>
      <c r="I129" s="1430"/>
      <c r="J129" s="283"/>
      <c r="N129" s="1565"/>
      <c r="O129" s="283"/>
      <c r="P129" s="283"/>
      <c r="Q129" s="283"/>
      <c r="V129" s="4088"/>
      <c r="W129" s="287"/>
      <c r="X129" s="287"/>
      <c r="Y129" s="1460">
        <v>1</v>
      </c>
      <c r="Z129" s="146">
        <v>1</v>
      </c>
      <c r="AA129" s="146">
        <v>1</v>
      </c>
      <c r="AB129" s="146">
        <v>1</v>
      </c>
      <c r="AC129" s="146">
        <v>1</v>
      </c>
      <c r="AD129" s="146">
        <v>1</v>
      </c>
      <c r="AE129" s="146">
        <v>1</v>
      </c>
      <c r="AF129" s="271">
        <f t="shared" si="10"/>
        <v>1</v>
      </c>
      <c r="AG129" s="287"/>
      <c r="AH129" s="1509"/>
      <c r="AJ129" s="1568"/>
      <c r="AU129" s="1505"/>
      <c r="DJ129" s="1187"/>
    </row>
    <row r="130" spans="1:114" ht="15" hidden="1" customHeight="1" outlineLevel="1">
      <c r="A130" s="533"/>
      <c r="B130" s="579"/>
      <c r="C130" s="281"/>
      <c r="D130" s="4085"/>
      <c r="E130" s="128" t="str">
        <f>$E$87</f>
        <v>Learning Thermostat - Unknown SF**</v>
      </c>
      <c r="F130" s="525">
        <v>1</v>
      </c>
      <c r="G130" s="4123"/>
      <c r="H130" s="4124"/>
      <c r="I130" s="1430"/>
      <c r="J130" s="283"/>
      <c r="N130" s="1565"/>
      <c r="O130" s="283"/>
      <c r="P130" s="283"/>
      <c r="Q130" s="283"/>
      <c r="V130" s="4088"/>
      <c r="W130" s="287">
        <v>1</v>
      </c>
      <c r="X130" s="287">
        <v>1</v>
      </c>
      <c r="Y130" s="287">
        <v>1</v>
      </c>
      <c r="Z130" s="146">
        <v>1</v>
      </c>
      <c r="AA130" s="146">
        <v>1</v>
      </c>
      <c r="AB130" s="146">
        <v>1</v>
      </c>
      <c r="AC130" s="146">
        <v>1</v>
      </c>
      <c r="AD130" s="146">
        <v>1</v>
      </c>
      <c r="AE130" s="146">
        <v>1</v>
      </c>
      <c r="AF130" s="271">
        <f t="shared" si="10"/>
        <v>1</v>
      </c>
      <c r="AG130" s="287"/>
      <c r="AH130" s="1509"/>
      <c r="AJ130" s="1568"/>
      <c r="AU130" s="1505"/>
      <c r="DJ130" s="1187"/>
    </row>
    <row r="131" spans="1:114" ht="15" hidden="1" customHeight="1" outlineLevel="1">
      <c r="A131" s="533"/>
      <c r="B131" s="579"/>
      <c r="C131" s="281"/>
      <c r="D131" s="4086"/>
      <c r="E131" s="2432" t="str">
        <f>$E$88</f>
        <v>Learning Thermostat - Unknown MF**</v>
      </c>
      <c r="F131" s="2783">
        <v>1</v>
      </c>
      <c r="G131" s="4125"/>
      <c r="H131" s="4126"/>
      <c r="I131" s="1430"/>
      <c r="J131" s="283"/>
      <c r="N131" s="1565"/>
      <c r="O131" s="283"/>
      <c r="P131" s="283"/>
      <c r="Q131" s="283"/>
      <c r="V131" s="4089"/>
      <c r="W131" s="287"/>
      <c r="X131" s="287"/>
      <c r="Y131" s="2796">
        <v>1</v>
      </c>
      <c r="Z131" s="2794">
        <v>1</v>
      </c>
      <c r="AA131" s="2794">
        <v>1</v>
      </c>
      <c r="AB131" s="2794">
        <v>1</v>
      </c>
      <c r="AC131" s="2794">
        <v>1</v>
      </c>
      <c r="AD131" s="2794">
        <v>1</v>
      </c>
      <c r="AE131" s="2794">
        <v>1</v>
      </c>
      <c r="AF131" s="2236">
        <f t="shared" si="10"/>
        <v>1</v>
      </c>
      <c r="AG131" s="287"/>
      <c r="AH131" s="1509"/>
      <c r="AJ131" s="1568"/>
      <c r="AU131" s="1505"/>
      <c r="DJ131" s="1187"/>
    </row>
    <row r="132" spans="1:114" ht="15" hidden="1" customHeight="1" outlineLevel="1">
      <c r="A132" s="533"/>
      <c r="B132" s="579"/>
      <c r="C132" s="281"/>
      <c r="D132" s="4084" t="s">
        <v>1114</v>
      </c>
      <c r="E132" s="352" t="s">
        <v>1115</v>
      </c>
      <c r="F132" s="1805">
        <v>869</v>
      </c>
      <c r="G132" s="4119" t="s">
        <v>1116</v>
      </c>
      <c r="H132" s="4120"/>
      <c r="I132" s="1430" t="s">
        <v>1117</v>
      </c>
      <c r="J132" s="283"/>
      <c r="N132" s="1565"/>
      <c r="O132" s="283"/>
      <c r="P132" s="283"/>
      <c r="Q132" s="283"/>
      <c r="V132" s="4087" t="str">
        <f>D132</f>
        <v>EFLH cool</v>
      </c>
      <c r="W132" s="1570">
        <v>869</v>
      </c>
      <c r="X132" s="1570">
        <v>869</v>
      </c>
      <c r="Y132" s="1571">
        <v>869</v>
      </c>
      <c r="Z132" s="1115">
        <v>869</v>
      </c>
      <c r="AA132" s="1115">
        <v>869</v>
      </c>
      <c r="AB132" s="1115">
        <v>869</v>
      </c>
      <c r="AC132" s="1115">
        <v>869</v>
      </c>
      <c r="AD132" s="1115">
        <v>869</v>
      </c>
      <c r="AE132" s="1115">
        <v>869</v>
      </c>
      <c r="AF132" s="271">
        <f t="shared" si="10"/>
        <v>869</v>
      </c>
      <c r="AG132" s="1570"/>
      <c r="AH132" s="1509"/>
      <c r="AJ132" s="1568"/>
      <c r="AU132" s="1505"/>
      <c r="DJ132" s="1187"/>
    </row>
    <row r="133" spans="1:114" ht="15" hidden="1" customHeight="1" outlineLevel="1">
      <c r="A133" s="533"/>
      <c r="B133" s="579"/>
      <c r="C133" s="281"/>
      <c r="D133" s="4086"/>
      <c r="E133" s="2782" t="s">
        <v>1118</v>
      </c>
      <c r="F133" s="2784">
        <v>632</v>
      </c>
      <c r="G133" s="4115" t="s">
        <v>1119</v>
      </c>
      <c r="H133" s="4116"/>
      <c r="I133" s="1430"/>
      <c r="J133" s="283"/>
      <c r="N133" s="1565"/>
      <c r="O133" s="283"/>
      <c r="P133" s="283"/>
      <c r="Q133" s="283"/>
      <c r="V133" s="4089"/>
      <c r="W133" s="1570"/>
      <c r="X133" s="1570"/>
      <c r="Y133" s="2807">
        <v>632</v>
      </c>
      <c r="Z133" s="2808">
        <v>632</v>
      </c>
      <c r="AA133" s="2808">
        <v>632</v>
      </c>
      <c r="AB133" s="2808">
        <v>632</v>
      </c>
      <c r="AC133" s="2808">
        <v>632</v>
      </c>
      <c r="AD133" s="2808">
        <v>632</v>
      </c>
      <c r="AE133" s="2808">
        <v>632</v>
      </c>
      <c r="AF133" s="2236">
        <f t="shared" si="10"/>
        <v>632</v>
      </c>
      <c r="AG133" s="1570"/>
      <c r="AH133" s="1509"/>
      <c r="AJ133" s="1568"/>
      <c r="AU133" s="1505"/>
      <c r="DJ133" s="1187"/>
    </row>
    <row r="134" spans="1:114" ht="15" hidden="1" customHeight="1" outlineLevel="1">
      <c r="A134" s="533"/>
      <c r="B134" s="579"/>
      <c r="C134" s="281"/>
      <c r="D134" s="128" t="s">
        <v>1120</v>
      </c>
      <c r="E134" s="352" t="s">
        <v>170</v>
      </c>
      <c r="F134" s="1723">
        <v>36000</v>
      </c>
      <c r="G134" s="4059" t="s">
        <v>1080</v>
      </c>
      <c r="H134" s="4060"/>
      <c r="I134" s="1430" t="s">
        <v>1121</v>
      </c>
      <c r="J134" s="283"/>
      <c r="N134" s="1565"/>
      <c r="O134" s="283"/>
      <c r="P134" s="283"/>
      <c r="Q134" s="283"/>
      <c r="V134" s="1572" t="str">
        <f>D134</f>
        <v>CapacityCool</v>
      </c>
      <c r="W134" s="1570">
        <v>36000</v>
      </c>
      <c r="X134" s="1571">
        <v>36065.201197692251</v>
      </c>
      <c r="Y134" s="1571">
        <v>36552.308373947715</v>
      </c>
      <c r="Z134" s="1115">
        <v>36552.308373947715</v>
      </c>
      <c r="AA134" s="1115">
        <v>36552.308373947715</v>
      </c>
      <c r="AB134" s="1115">
        <v>36552.308373947715</v>
      </c>
      <c r="AC134" s="1007">
        <v>36000</v>
      </c>
      <c r="AD134" s="1115">
        <v>36000</v>
      </c>
      <c r="AE134" s="1115">
        <v>36000</v>
      </c>
      <c r="AF134" s="271">
        <f t="shared" si="10"/>
        <v>36000</v>
      </c>
      <c r="AG134" s="1570"/>
      <c r="AH134" s="1509"/>
      <c r="AU134" s="1505"/>
      <c r="DJ134" s="1187"/>
    </row>
    <row r="135" spans="1:114" ht="15" hidden="1" customHeight="1" outlineLevel="1">
      <c r="A135" s="533"/>
      <c r="B135" s="579"/>
      <c r="C135" s="281"/>
      <c r="D135" s="128" t="s">
        <v>1120</v>
      </c>
      <c r="E135" s="352" t="s">
        <v>1122</v>
      </c>
      <c r="F135" s="1723">
        <v>36000</v>
      </c>
      <c r="G135" s="4059" t="s">
        <v>1080</v>
      </c>
      <c r="H135" s="4060"/>
      <c r="I135" s="1430" t="s">
        <v>1121</v>
      </c>
      <c r="J135" s="283"/>
      <c r="N135" s="1565"/>
      <c r="O135" s="283"/>
      <c r="P135" s="283"/>
      <c r="Q135" s="283"/>
      <c r="V135" s="1572" t="str">
        <f>D135</f>
        <v>CapacityCool</v>
      </c>
      <c r="W135" s="1570" t="s">
        <v>1123</v>
      </c>
      <c r="X135" s="1571">
        <f>X134*0.65</f>
        <v>23442.380778499963</v>
      </c>
      <c r="Y135" s="1571">
        <v>36552.308373947715</v>
      </c>
      <c r="Z135" s="1115">
        <v>36552.308373947715</v>
      </c>
      <c r="AA135" s="1115">
        <v>36552.308373947715</v>
      </c>
      <c r="AB135" s="1115">
        <v>36552</v>
      </c>
      <c r="AC135" s="1007">
        <v>36000</v>
      </c>
      <c r="AD135" s="1115">
        <v>36000</v>
      </c>
      <c r="AE135" s="1115">
        <v>36000</v>
      </c>
      <c r="AF135" s="271">
        <f t="shared" si="10"/>
        <v>36000</v>
      </c>
      <c r="AG135" s="1570"/>
      <c r="AH135" s="1509"/>
      <c r="AJ135" s="1568"/>
      <c r="AU135" s="1505"/>
      <c r="DJ135" s="1187"/>
    </row>
    <row r="136" spans="1:114" ht="30" hidden="1" customHeight="1" outlineLevel="1">
      <c r="A136" s="533"/>
      <c r="B136" s="579"/>
      <c r="C136" s="281"/>
      <c r="D136" s="1462" t="s">
        <v>1124</v>
      </c>
      <c r="E136" s="352" t="s">
        <v>1102</v>
      </c>
      <c r="F136" s="1671">
        <v>13.4</v>
      </c>
      <c r="G136" s="4127" t="s">
        <v>1125</v>
      </c>
      <c r="H136" s="4128"/>
      <c r="I136" s="1407" t="s">
        <v>1084</v>
      </c>
      <c r="J136" s="283"/>
      <c r="N136" s="1565"/>
      <c r="O136" s="283"/>
      <c r="P136" s="283"/>
      <c r="Q136" s="283"/>
      <c r="V136" s="1572" t="str">
        <f>D136</f>
        <v>SEER2</v>
      </c>
      <c r="W136" s="1570">
        <v>13</v>
      </c>
      <c r="X136" s="1570">
        <v>13.148148689111222</v>
      </c>
      <c r="Y136" s="97">
        <v>13.555486634175161</v>
      </c>
      <c r="Z136" s="717">
        <v>13.555486634175161</v>
      </c>
      <c r="AA136" s="717">
        <v>13.555486634175161</v>
      </c>
      <c r="AB136" s="1573">
        <v>13.555486634175161</v>
      </c>
      <c r="AC136" s="1574">
        <v>13</v>
      </c>
      <c r="AD136" s="1573">
        <v>13</v>
      </c>
      <c r="AE136" s="1573">
        <v>13</v>
      </c>
      <c r="AF136" s="271">
        <f t="shared" si="10"/>
        <v>13.4</v>
      </c>
      <c r="AG136" s="1570"/>
      <c r="AH136" s="1509"/>
      <c r="AJ136" s="1568"/>
      <c r="AU136" s="1505"/>
      <c r="DJ136" s="1187"/>
    </row>
    <row r="137" spans="1:114" ht="15" hidden="1" customHeight="1" outlineLevel="1">
      <c r="A137" s="533"/>
      <c r="B137" s="579"/>
      <c r="C137" s="281"/>
      <c r="D137" s="1422" t="s">
        <v>1126</v>
      </c>
      <c r="E137" s="352" t="s">
        <v>1102</v>
      </c>
      <c r="F137" s="1804">
        <v>0.08</v>
      </c>
      <c r="G137" s="4113" t="s">
        <v>1127</v>
      </c>
      <c r="H137" s="4114"/>
      <c r="I137" s="1430" t="s">
        <v>1111</v>
      </c>
      <c r="J137" s="283"/>
      <c r="N137" s="1565"/>
      <c r="O137" s="283"/>
      <c r="P137" s="283"/>
      <c r="Q137" s="283"/>
      <c r="V137" s="1391" t="str">
        <f>D137</f>
        <v>CoolingReduction</v>
      </c>
      <c r="W137" s="1575">
        <v>0.08</v>
      </c>
      <c r="X137" s="1575">
        <v>0.08</v>
      </c>
      <c r="Y137" s="1576">
        <v>0.08</v>
      </c>
      <c r="Z137" s="1577">
        <v>0.08</v>
      </c>
      <c r="AA137" s="1577">
        <v>0.08</v>
      </c>
      <c r="AB137" s="1577">
        <v>0.08</v>
      </c>
      <c r="AC137" s="1577">
        <v>0.08</v>
      </c>
      <c r="AD137" s="1577">
        <v>0.08</v>
      </c>
      <c r="AE137" s="1577">
        <v>0.08</v>
      </c>
      <c r="AF137" s="271">
        <f t="shared" si="10"/>
        <v>0.08</v>
      </c>
      <c r="AG137" s="1575"/>
      <c r="AH137" s="1509"/>
      <c r="AJ137" s="1568"/>
      <c r="AU137" s="1505"/>
      <c r="DJ137" s="1187"/>
    </row>
    <row r="138" spans="1:114" ht="15" hidden="1" customHeight="1" outlineLevel="1">
      <c r="A138" s="533"/>
      <c r="B138" s="579"/>
      <c r="C138" s="281"/>
      <c r="D138" s="4084" t="s">
        <v>1128</v>
      </c>
      <c r="E138" s="128" t="str">
        <f>$E$81</f>
        <v>Learning Thermostat - ASHP heating/cooling SF</v>
      </c>
      <c r="F138" s="1709">
        <v>0</v>
      </c>
      <c r="G138" s="4121" t="s">
        <v>1129</v>
      </c>
      <c r="H138" s="4122"/>
      <c r="I138" s="1430"/>
      <c r="J138" s="283"/>
      <c r="N138" s="1565"/>
      <c r="O138" s="283"/>
      <c r="P138" s="283"/>
      <c r="Q138" s="283"/>
      <c r="V138" s="4087" t="str">
        <f>D138</f>
        <v>%FossilHeat</v>
      </c>
      <c r="W138" s="287">
        <v>1</v>
      </c>
      <c r="X138" s="1460">
        <v>0</v>
      </c>
      <c r="Y138" s="313">
        <v>0</v>
      </c>
      <c r="Z138" s="146">
        <v>0</v>
      </c>
      <c r="AA138" s="146">
        <v>0</v>
      </c>
      <c r="AB138" s="146">
        <v>0</v>
      </c>
      <c r="AC138" s="146">
        <v>0</v>
      </c>
      <c r="AD138" s="146">
        <v>0</v>
      </c>
      <c r="AE138" s="146">
        <v>0</v>
      </c>
      <c r="AF138" s="271">
        <f t="shared" si="10"/>
        <v>0</v>
      </c>
      <c r="AG138" s="287"/>
      <c r="AH138" s="1509"/>
      <c r="AU138" s="1505"/>
      <c r="DJ138" s="1187"/>
    </row>
    <row r="139" spans="1:114" ht="15" hidden="1" customHeight="1" outlineLevel="1">
      <c r="A139" s="533"/>
      <c r="B139" s="579"/>
      <c r="C139" s="281"/>
      <c r="D139" s="4085"/>
      <c r="E139" s="128" t="str">
        <f>$E$82</f>
        <v>Learning Thermostat - ASHP heating/cooling MF</v>
      </c>
      <c r="F139" s="1709">
        <v>0</v>
      </c>
      <c r="G139" s="4123"/>
      <c r="H139" s="4124"/>
      <c r="I139" s="1430"/>
      <c r="J139" s="283"/>
      <c r="N139" s="1565"/>
      <c r="O139" s="283"/>
      <c r="P139" s="283"/>
      <c r="Q139" s="283"/>
      <c r="V139" s="4088"/>
      <c r="W139" s="287"/>
      <c r="X139" s="1460"/>
      <c r="Y139" s="1460">
        <v>0</v>
      </c>
      <c r="Z139" s="146">
        <v>0</v>
      </c>
      <c r="AA139" s="146">
        <v>0</v>
      </c>
      <c r="AB139" s="146">
        <v>0</v>
      </c>
      <c r="AC139" s="146">
        <v>0</v>
      </c>
      <c r="AD139" s="146">
        <v>0</v>
      </c>
      <c r="AE139" s="146">
        <v>0</v>
      </c>
      <c r="AF139" s="271">
        <f t="shared" si="10"/>
        <v>0</v>
      </c>
      <c r="AG139" s="287"/>
      <c r="AH139" s="1509"/>
      <c r="AU139" s="1505"/>
      <c r="DJ139" s="1187"/>
    </row>
    <row r="140" spans="1:114" ht="15" hidden="1" customHeight="1" outlineLevel="1">
      <c r="A140" s="533"/>
      <c r="B140" s="579"/>
      <c r="C140" s="281"/>
      <c r="D140" s="4085"/>
      <c r="E140" s="128" t="str">
        <f>$E$83</f>
        <v>Learning Thermostat - electric furnace heating / central AC MF</v>
      </c>
      <c r="F140" s="1709">
        <v>0</v>
      </c>
      <c r="G140" s="4123"/>
      <c r="H140" s="4124"/>
      <c r="I140" s="1430"/>
      <c r="J140" s="283"/>
      <c r="N140" s="1565"/>
      <c r="O140" s="283"/>
      <c r="P140" s="283"/>
      <c r="Q140" s="283"/>
      <c r="V140" s="4088"/>
      <c r="W140" s="287">
        <v>1</v>
      </c>
      <c r="X140" s="1460">
        <v>0</v>
      </c>
      <c r="Y140" s="313">
        <v>0</v>
      </c>
      <c r="Z140" s="146">
        <v>0</v>
      </c>
      <c r="AA140" s="146">
        <v>0</v>
      </c>
      <c r="AB140" s="146">
        <v>0</v>
      </c>
      <c r="AC140" s="146">
        <v>0</v>
      </c>
      <c r="AD140" s="146">
        <v>0</v>
      </c>
      <c r="AE140" s="146">
        <v>0</v>
      </c>
      <c r="AF140" s="271">
        <f t="shared" si="10"/>
        <v>0</v>
      </c>
      <c r="AG140" s="287"/>
      <c r="AH140" s="1509"/>
      <c r="AU140" s="1505"/>
      <c r="DJ140" s="1187"/>
    </row>
    <row r="141" spans="1:114" ht="15" hidden="1" customHeight="1" outlineLevel="1">
      <c r="A141" s="533"/>
      <c r="B141" s="579"/>
      <c r="C141" s="281"/>
      <c r="D141" s="4085"/>
      <c r="E141" s="128" t="str">
        <f>$E$84</f>
        <v>Learning Thermostat - electric furnace heating / central AC SF</v>
      </c>
      <c r="F141" s="1709">
        <v>0</v>
      </c>
      <c r="G141" s="4123"/>
      <c r="H141" s="4124"/>
      <c r="I141" s="1430"/>
      <c r="J141" s="283"/>
      <c r="N141" s="1565"/>
      <c r="O141" s="283"/>
      <c r="P141" s="283"/>
      <c r="Q141" s="283"/>
      <c r="V141" s="4088"/>
      <c r="W141" s="287">
        <v>1</v>
      </c>
      <c r="X141" s="1460">
        <v>0</v>
      </c>
      <c r="Y141" s="313">
        <v>0</v>
      </c>
      <c r="Z141" s="146">
        <v>0</v>
      </c>
      <c r="AA141" s="146">
        <v>0</v>
      </c>
      <c r="AB141" s="146">
        <v>0</v>
      </c>
      <c r="AC141" s="146">
        <v>0</v>
      </c>
      <c r="AD141" s="146">
        <v>0</v>
      </c>
      <c r="AE141" s="146">
        <v>0</v>
      </c>
      <c r="AF141" s="271">
        <f t="shared" si="10"/>
        <v>0</v>
      </c>
      <c r="AG141" s="287"/>
      <c r="AH141" s="1509"/>
      <c r="AU141" s="1505"/>
      <c r="DJ141" s="1187"/>
    </row>
    <row r="142" spans="1:114" ht="15" hidden="1" customHeight="1" outlineLevel="1">
      <c r="A142" s="533"/>
      <c r="B142" s="579"/>
      <c r="C142" s="281"/>
      <c r="D142" s="4085"/>
      <c r="E142" s="128" t="str">
        <f>$E$85</f>
        <v>Learning Thermostat - Gas Heated / central AC SF**</v>
      </c>
      <c r="F142" s="1709">
        <v>1</v>
      </c>
      <c r="G142" s="4123"/>
      <c r="H142" s="4124"/>
      <c r="I142" s="1430"/>
      <c r="J142" s="283"/>
      <c r="N142" s="1565"/>
      <c r="O142" s="283"/>
      <c r="P142" s="283"/>
      <c r="Q142" s="283"/>
      <c r="V142" s="4088"/>
      <c r="W142" s="287">
        <v>1</v>
      </c>
      <c r="X142" s="287">
        <v>1</v>
      </c>
      <c r="Y142" s="313">
        <v>1</v>
      </c>
      <c r="Z142" s="146">
        <v>1</v>
      </c>
      <c r="AA142" s="146">
        <v>1</v>
      </c>
      <c r="AB142" s="146">
        <v>1</v>
      </c>
      <c r="AC142" s="146">
        <v>1</v>
      </c>
      <c r="AD142" s="146">
        <v>1</v>
      </c>
      <c r="AE142" s="146">
        <v>1</v>
      </c>
      <c r="AF142" s="271">
        <f t="shared" si="10"/>
        <v>1</v>
      </c>
      <c r="AG142" s="287"/>
      <c r="AH142" s="1509"/>
      <c r="AU142" s="1505"/>
      <c r="DJ142" s="1187"/>
    </row>
    <row r="143" spans="1:114" ht="15" hidden="1" customHeight="1" outlineLevel="1">
      <c r="A143" s="533"/>
      <c r="B143" s="579"/>
      <c r="C143" s="281"/>
      <c r="D143" s="4085"/>
      <c r="E143" s="128" t="str">
        <f>$E$86</f>
        <v>Learning Thermostat - Gas Heated / central AC MF**</v>
      </c>
      <c r="F143" s="1709">
        <v>1</v>
      </c>
      <c r="G143" s="4125"/>
      <c r="H143" s="4126"/>
      <c r="I143" s="1430"/>
      <c r="J143" s="283"/>
      <c r="N143" s="1565"/>
      <c r="O143" s="283"/>
      <c r="P143" s="283"/>
      <c r="Q143" s="283"/>
      <c r="V143" s="4088"/>
      <c r="W143" s="287"/>
      <c r="X143" s="287"/>
      <c r="Y143" s="1460">
        <v>1</v>
      </c>
      <c r="Z143" s="146">
        <v>1</v>
      </c>
      <c r="AA143" s="146">
        <v>1</v>
      </c>
      <c r="AB143" s="146">
        <v>1</v>
      </c>
      <c r="AC143" s="146">
        <v>1</v>
      </c>
      <c r="AD143" s="146">
        <v>1</v>
      </c>
      <c r="AE143" s="146">
        <v>1</v>
      </c>
      <c r="AF143" s="271">
        <f t="shared" si="10"/>
        <v>1</v>
      </c>
      <c r="AG143" s="287"/>
      <c r="AH143" s="1509"/>
      <c r="AU143" s="1505"/>
      <c r="DJ143" s="1187"/>
    </row>
    <row r="144" spans="1:114" ht="14.65" hidden="1" customHeight="1" outlineLevel="1">
      <c r="A144" s="533"/>
      <c r="B144" s="579"/>
      <c r="C144" s="281"/>
      <c r="D144" s="4085"/>
      <c r="E144" s="128" t="str">
        <f>$E$87</f>
        <v>Learning Thermostat - Unknown SF**</v>
      </c>
      <c r="F144" s="1709">
        <v>0.67</v>
      </c>
      <c r="G144" s="4091" t="s">
        <v>1130</v>
      </c>
      <c r="H144" s="4092"/>
      <c r="I144" s="1430"/>
      <c r="J144" s="283"/>
      <c r="N144" s="1565"/>
      <c r="O144" s="283"/>
      <c r="P144" s="283"/>
      <c r="Q144" s="283"/>
      <c r="V144" s="4088"/>
      <c r="W144" s="287">
        <v>0.65</v>
      </c>
      <c r="X144" s="1460">
        <v>0.75536822013679017</v>
      </c>
      <c r="Y144" s="1460">
        <v>0.83571202029812874</v>
      </c>
      <c r="Z144" s="146">
        <v>0.83571202029812874</v>
      </c>
      <c r="AA144" s="146">
        <v>0.83571202029812874</v>
      </c>
      <c r="AB144" s="146">
        <v>0.83571202029812874</v>
      </c>
      <c r="AC144" s="147">
        <v>0.67</v>
      </c>
      <c r="AD144" s="146">
        <v>0.67</v>
      </c>
      <c r="AE144" s="146">
        <v>0.67</v>
      </c>
      <c r="AF144" s="271">
        <f t="shared" si="10"/>
        <v>0.67</v>
      </c>
      <c r="AG144" s="287"/>
      <c r="AH144" s="1509"/>
      <c r="AU144" s="1505"/>
      <c r="DJ144" s="1187"/>
    </row>
    <row r="145" spans="1:114" ht="14.65" hidden="1" customHeight="1" outlineLevel="1">
      <c r="A145" s="533"/>
      <c r="B145" s="579"/>
      <c r="C145" s="281"/>
      <c r="D145" s="4086"/>
      <c r="E145" s="2432" t="str">
        <f>$E$88</f>
        <v>Learning Thermostat - Unknown MF**</v>
      </c>
      <c r="F145" s="2347">
        <v>0.67</v>
      </c>
      <c r="G145" s="4093"/>
      <c r="H145" s="4094"/>
      <c r="I145" s="1430"/>
      <c r="J145" s="283"/>
      <c r="N145" s="1565"/>
      <c r="O145" s="283"/>
      <c r="P145" s="283"/>
      <c r="Q145" s="283"/>
      <c r="V145" s="4089"/>
      <c r="W145" s="287"/>
      <c r="X145" s="1460"/>
      <c r="Y145" s="2796">
        <v>0.83571202029812874</v>
      </c>
      <c r="Z145" s="2794">
        <v>0.83571202029812874</v>
      </c>
      <c r="AA145" s="2794">
        <v>0.83571202029812874</v>
      </c>
      <c r="AB145" s="2794">
        <v>0.83571202029812874</v>
      </c>
      <c r="AC145" s="2795">
        <v>0.67</v>
      </c>
      <c r="AD145" s="2794">
        <v>0.67</v>
      </c>
      <c r="AE145" s="2794">
        <v>0.67</v>
      </c>
      <c r="AF145" s="2236">
        <f t="shared" si="10"/>
        <v>0.67</v>
      </c>
      <c r="AG145" s="287"/>
      <c r="AH145" s="1509"/>
      <c r="AU145" s="1505"/>
      <c r="DJ145" s="1187"/>
    </row>
    <row r="146" spans="1:114" ht="29.1" hidden="1" customHeight="1" outlineLevel="1">
      <c r="A146" s="533"/>
      <c r="B146" s="579"/>
      <c r="C146" s="281"/>
      <c r="D146" s="1422" t="s">
        <v>1131</v>
      </c>
      <c r="E146" s="128" t="s">
        <v>1102</v>
      </c>
      <c r="F146" s="1680">
        <v>682.14220183486236</v>
      </c>
      <c r="G146" s="4113" t="s">
        <v>1132</v>
      </c>
      <c r="H146" s="4114"/>
      <c r="I146" s="1430" t="s">
        <v>1133</v>
      </c>
      <c r="J146" s="283"/>
      <c r="N146" s="1565"/>
      <c r="O146" s="283"/>
      <c r="P146" s="283"/>
      <c r="Q146" s="283"/>
      <c r="V146" s="1391" t="str">
        <f>D146</f>
        <v>HeatingConsumption_Gas</v>
      </c>
      <c r="W146" s="279">
        <v>680</v>
      </c>
      <c r="X146" s="300">
        <v>682.46115191341323</v>
      </c>
      <c r="Y146" s="300">
        <v>682.14220183486236</v>
      </c>
      <c r="Z146" s="337">
        <v>682.14220183486236</v>
      </c>
      <c r="AA146" s="337">
        <v>682.14220183486236</v>
      </c>
      <c r="AB146" s="337">
        <v>682.14220183486236</v>
      </c>
      <c r="AC146" s="337">
        <v>682.14220183486236</v>
      </c>
      <c r="AD146" s="337">
        <v>682.14220183486236</v>
      </c>
      <c r="AE146" s="337">
        <v>682.14220183486236</v>
      </c>
      <c r="AF146" s="271">
        <f t="shared" si="10"/>
        <v>682.14220183486236</v>
      </c>
      <c r="AG146" s="279"/>
      <c r="AH146" s="1509"/>
      <c r="AU146" s="1505"/>
      <c r="DJ146" s="1187"/>
    </row>
    <row r="147" spans="1:114" ht="15" hidden="1" customHeight="1" outlineLevel="1">
      <c r="A147" s="533"/>
      <c r="B147" s="579"/>
      <c r="C147" s="281"/>
      <c r="D147" s="1423" t="str">
        <f>$D$41</f>
        <v>EUL</v>
      </c>
      <c r="E147" s="1423" t="str">
        <f>$E$41</f>
        <v>Effective Useful Life</v>
      </c>
      <c r="F147" s="1800">
        <v>11</v>
      </c>
      <c r="G147" s="4119" t="s">
        <v>1134</v>
      </c>
      <c r="H147" s="4114"/>
      <c r="I147" s="1430"/>
      <c r="J147" s="283"/>
      <c r="N147" s="1565"/>
      <c r="O147" s="283"/>
      <c r="P147" s="283"/>
      <c r="Q147" s="283"/>
      <c r="V147" s="1441" t="str">
        <f>D147</f>
        <v>EUL</v>
      </c>
      <c r="W147" s="444">
        <v>10</v>
      </c>
      <c r="X147" s="444">
        <v>10</v>
      </c>
      <c r="Y147" s="444">
        <v>10</v>
      </c>
      <c r="Z147" s="337">
        <v>10</v>
      </c>
      <c r="AA147" s="337">
        <v>10</v>
      </c>
      <c r="AB147" s="337">
        <v>10</v>
      </c>
      <c r="AC147" s="337">
        <v>10</v>
      </c>
      <c r="AD147" s="337">
        <v>10</v>
      </c>
      <c r="AE147" s="337">
        <v>10</v>
      </c>
      <c r="AF147" s="271">
        <f t="shared" si="10"/>
        <v>11</v>
      </c>
      <c r="AG147" s="444"/>
      <c r="AH147" s="1509"/>
      <c r="AU147" s="1505"/>
      <c r="DJ147" s="1187"/>
    </row>
    <row r="148" spans="1:114" ht="15" hidden="1" customHeight="1" outlineLevel="1">
      <c r="A148" s="533"/>
      <c r="B148" s="579"/>
      <c r="C148" s="281"/>
      <c r="D148" s="1423" t="str">
        <f>$D$42</f>
        <v>Inc. Cost</v>
      </c>
      <c r="E148" s="1423" t="s">
        <v>1135</v>
      </c>
      <c r="F148" s="1806">
        <v>79</v>
      </c>
      <c r="G148" s="4119" t="s">
        <v>1134</v>
      </c>
      <c r="H148" s="4114"/>
      <c r="I148" s="1407"/>
      <c r="J148" s="283"/>
      <c r="N148" s="1565"/>
      <c r="O148" s="283"/>
      <c r="P148" s="283"/>
      <c r="Q148" s="283"/>
      <c r="V148" s="1441" t="str">
        <f>D148</f>
        <v>Inc. Cost</v>
      </c>
      <c r="W148" s="98">
        <v>175</v>
      </c>
      <c r="X148" s="98">
        <v>175</v>
      </c>
      <c r="Y148" s="98">
        <v>175</v>
      </c>
      <c r="Z148" s="98">
        <v>175</v>
      </c>
      <c r="AA148" s="98">
        <v>175</v>
      </c>
      <c r="AB148" s="718">
        <v>125</v>
      </c>
      <c r="AC148" s="98">
        <v>125</v>
      </c>
      <c r="AD148" s="98">
        <v>125</v>
      </c>
      <c r="AE148" s="98">
        <v>125</v>
      </c>
      <c r="AF148" s="271">
        <f t="shared" si="10"/>
        <v>79</v>
      </c>
      <c r="AG148" s="98"/>
      <c r="AH148" s="1509"/>
      <c r="AU148" s="1505"/>
      <c r="DJ148" s="1187"/>
    </row>
    <row r="149" spans="1:114" collapsed="1">
      <c r="A149" s="533"/>
      <c r="B149" s="579"/>
      <c r="C149" s="281"/>
      <c r="D149" s="133"/>
      <c r="E149" s="1406"/>
      <c r="F149" s="281"/>
      <c r="G149" s="283"/>
      <c r="H149" s="283"/>
      <c r="I149" s="283"/>
      <c r="J149" s="283"/>
      <c r="K149" s="283"/>
      <c r="L149" s="283"/>
      <c r="M149" s="283"/>
      <c r="N149" s="283"/>
      <c r="O149" s="283"/>
      <c r="P149" s="283"/>
      <c r="Q149" s="283"/>
      <c r="AH149" s="1509"/>
      <c r="AU149" s="1505"/>
      <c r="DJ149" s="1187"/>
    </row>
    <row r="150" spans="1:114">
      <c r="A150" s="533"/>
      <c r="C150" s="64"/>
      <c r="AH150" s="1509"/>
      <c r="AU150" s="1505"/>
      <c r="DJ150" s="1187"/>
    </row>
    <row r="151" spans="1:114" s="52" customFormat="1">
      <c r="A151" s="533"/>
      <c r="B151" s="4025" t="s">
        <v>1136</v>
      </c>
      <c r="C151" s="4026"/>
      <c r="D151" s="4026"/>
      <c r="E151" s="4026"/>
      <c r="F151" s="4026"/>
      <c r="G151" s="4026"/>
      <c r="H151" s="4026"/>
      <c r="I151" s="4817"/>
      <c r="J151" s="4817"/>
      <c r="K151" s="4817"/>
      <c r="L151" s="4817"/>
      <c r="M151" s="4817"/>
      <c r="N151" s="4817"/>
      <c r="O151" s="4818"/>
      <c r="V151" s="4040" t="str">
        <f>B151</f>
        <v>High Efficiency Pool Pumps</v>
      </c>
      <c r="W151" s="4041"/>
      <c r="X151" s="4041"/>
      <c r="Y151" s="4041"/>
      <c r="Z151" s="4041"/>
      <c r="AA151" s="4041"/>
      <c r="AB151" s="4041"/>
      <c r="AC151" s="4832"/>
      <c r="AD151" s="4832"/>
      <c r="AE151" s="4832"/>
      <c r="AF151" s="4832"/>
      <c r="AG151" s="4832"/>
      <c r="AH151" s="4832"/>
      <c r="AI151" s="4833"/>
      <c r="AU151" s="1505"/>
      <c r="DG151" s="63"/>
      <c r="DJ151" s="1187"/>
    </row>
    <row r="152" spans="1:114">
      <c r="A152" s="533"/>
      <c r="B152" s="2086"/>
      <c r="C152" s="2963"/>
      <c r="D152" s="2711"/>
      <c r="E152" s="2711"/>
      <c r="F152" s="2963"/>
      <c r="G152" s="2086"/>
      <c r="H152" s="2086"/>
      <c r="I152" s="2086"/>
      <c r="J152" s="2086"/>
      <c r="K152" s="2086"/>
      <c r="L152" s="2086"/>
      <c r="M152" s="2086"/>
      <c r="N152" s="2086"/>
      <c r="O152" s="2086"/>
      <c r="V152" s="2723"/>
      <c r="W152" s="2723"/>
      <c r="X152" s="2723"/>
      <c r="Y152" s="2723"/>
      <c r="Z152" s="2723"/>
      <c r="AA152" s="2723"/>
      <c r="AB152" s="2723"/>
      <c r="AC152" s="2723"/>
      <c r="AD152" s="2723"/>
      <c r="AE152" s="2723"/>
      <c r="AF152" s="2723"/>
      <c r="AG152" s="2723"/>
      <c r="AH152" s="3043"/>
      <c r="AI152" s="2723"/>
      <c r="AU152" s="1505"/>
      <c r="DJ152" s="1187"/>
    </row>
    <row r="153" spans="1:114" s="9" customFormat="1" ht="48.75" customHeight="1">
      <c r="A153" s="533"/>
      <c r="B153" s="2697"/>
      <c r="C153" s="2207" t="s">
        <v>42</v>
      </c>
      <c r="D153" s="2207" t="s">
        <v>953</v>
      </c>
      <c r="E153" s="2207" t="s">
        <v>44</v>
      </c>
      <c r="F153" s="2207" t="s">
        <v>45</v>
      </c>
      <c r="G153" s="2207" t="s">
        <v>46</v>
      </c>
      <c r="H153" s="2207" t="s">
        <v>47</v>
      </c>
      <c r="I153" s="2207" t="s">
        <v>1137</v>
      </c>
      <c r="J153" s="2207" t="s">
        <v>49</v>
      </c>
      <c r="K153" s="2207" t="s">
        <v>50</v>
      </c>
      <c r="L153" s="2207" t="s">
        <v>51</v>
      </c>
      <c r="M153" s="2697"/>
      <c r="N153" s="2697"/>
      <c r="O153" s="2697"/>
      <c r="P153" s="122"/>
      <c r="Q153" s="122"/>
      <c r="R153" s="122"/>
      <c r="S153" s="122"/>
      <c r="T153" s="122"/>
      <c r="U153" s="122"/>
      <c r="V153" s="2640" t="s">
        <v>52</v>
      </c>
      <c r="W153" s="2641">
        <v>43252</v>
      </c>
      <c r="X153" s="2641">
        <f>$X$6</f>
        <v>43465</v>
      </c>
      <c r="Y153" s="2641">
        <f>$Y$6</f>
        <v>43800</v>
      </c>
      <c r="Z153" s="2641">
        <f>$Z$6</f>
        <v>43862</v>
      </c>
      <c r="AA153" s="2641">
        <f>$AA$6</f>
        <v>44013</v>
      </c>
      <c r="AB153" s="2641">
        <f>$AB$6</f>
        <v>44166</v>
      </c>
      <c r="AC153" s="2641">
        <f>$AC$6</f>
        <v>44531</v>
      </c>
      <c r="AD153" s="2641">
        <f>$AD$6</f>
        <v>44774</v>
      </c>
      <c r="AE153" s="2641">
        <f>$AE$6</f>
        <v>45139</v>
      </c>
      <c r="AF153" s="2641">
        <f>$AF$6</f>
        <v>45672</v>
      </c>
      <c r="AG153" s="2641" t="str">
        <f>$AG$6</f>
        <v>-</v>
      </c>
      <c r="AH153" s="3043"/>
      <c r="AI153" s="3044"/>
      <c r="AU153" s="1505"/>
      <c r="DG153" s="3048" t="str">
        <f>$DG$6</f>
        <v>TRC (2025)</v>
      </c>
      <c r="DH153" s="3048" t="str">
        <f>$DH$6</f>
        <v>Benefit Lookup</v>
      </c>
      <c r="DI153" s="3049" t="str">
        <f>$DI$6</f>
        <v>Benefits (2025 $)</v>
      </c>
      <c r="DJ153" s="3050" t="str">
        <f>$DJ$6</f>
        <v>Incremental Cost (2025 $)</v>
      </c>
    </row>
    <row r="154" spans="1:114">
      <c r="A154" s="533"/>
      <c r="B154" s="2208">
        <f t="shared" ref="B154:B155" si="13">VALUE(LEFT(C154,6))</f>
        <v>250550</v>
      </c>
      <c r="C154" s="2589" t="s">
        <v>1138</v>
      </c>
      <c r="D154" s="2409" t="s">
        <v>1139</v>
      </c>
      <c r="E154" s="3042" t="s">
        <v>1140</v>
      </c>
      <c r="F154" s="2686">
        <f>ROUND(($F$164*$F$165*(1/$F$166-1/$F$167)*$F$169)/1000*$F$170,2)</f>
        <v>315.20999999999998</v>
      </c>
      <c r="G154" s="2460" t="s">
        <v>1141</v>
      </c>
      <c r="H154" s="2213">
        <f>VLOOKUP(G154,'CP FACTORS'!$A$3:$B$38, 2, FALSE)</f>
        <v>2.3544589999999999E-4</v>
      </c>
      <c r="I154" s="2502">
        <f>ROUND(H154*F154,6)</f>
        <v>7.4215000000000003E-2</v>
      </c>
      <c r="J154" s="2687">
        <f>$F$171</f>
        <v>10</v>
      </c>
      <c r="K154" s="2823">
        <f>F172</f>
        <v>314</v>
      </c>
      <c r="L154" s="2589" t="s">
        <v>62</v>
      </c>
      <c r="M154" s="2086"/>
      <c r="N154" s="2086"/>
      <c r="O154" s="2086"/>
      <c r="R154" s="532"/>
      <c r="V154" s="2684" t="s">
        <v>45</v>
      </c>
      <c r="W154" s="3045">
        <v>2052.8492712328771</v>
      </c>
      <c r="X154" s="3046">
        <v>2052.8492712328771</v>
      </c>
      <c r="Y154" s="3047">
        <v>2052.85</v>
      </c>
      <c r="Z154" s="3047">
        <v>2052.85</v>
      </c>
      <c r="AA154" s="3047">
        <v>2052.85</v>
      </c>
      <c r="AB154" s="3047">
        <v>2052.85</v>
      </c>
      <c r="AC154" s="2663">
        <v>315.20999999999998</v>
      </c>
      <c r="AD154" s="2686">
        <v>315.20999999999998</v>
      </c>
      <c r="AE154" s="2686">
        <v>315.20999999999998</v>
      </c>
      <c r="AF154" s="2236">
        <f>IF(F154&lt;&gt;"",F154,"")</f>
        <v>315.20999999999998</v>
      </c>
      <c r="AG154" s="2684"/>
      <c r="AH154" s="2728"/>
      <c r="AI154" s="2723"/>
      <c r="AU154" s="1505"/>
      <c r="DG154" s="3037">
        <f>(DI154)/(DJ154)</f>
        <v>0.60449854209882281</v>
      </c>
      <c r="DH154" s="2558" t="str">
        <f>CONCATENATE(G154," ",J154," Year EUL")</f>
        <v>Pool Spa RES 10 Year EUL</v>
      </c>
      <c r="DI154" s="2430">
        <f>(INDEX('Avoided Cost Benefits'!$B$4:$B$865,MATCH(DH154,'Avoided Cost Benefits'!$A$4:$A$865,0)))*F154</f>
        <v>189.81254221903038</v>
      </c>
      <c r="DJ154" s="2431">
        <f>K154/(1.0686^(2025-2025))</f>
        <v>314</v>
      </c>
    </row>
    <row r="155" spans="1:114">
      <c r="A155" s="533"/>
      <c r="B155" s="2208">
        <f t="shared" si="13"/>
        <v>250551</v>
      </c>
      <c r="C155" s="2589" t="s">
        <v>1142</v>
      </c>
      <c r="D155" s="2409" t="s">
        <v>1139</v>
      </c>
      <c r="E155" s="2688" t="s">
        <v>1143</v>
      </c>
      <c r="F155" s="2686">
        <f>ROUND(($F$164*$F$165*(1/$F$168-1/$F$167)*$F$169)/1000*$F$170,2)</f>
        <v>1478.34</v>
      </c>
      <c r="G155" s="2460" t="s">
        <v>1141</v>
      </c>
      <c r="H155" s="2213">
        <f>VLOOKUP(G155,'CP FACTORS'!$A$3:$B$38, 2, FALSE)</f>
        <v>2.3544589999999999E-4</v>
      </c>
      <c r="I155" s="2502">
        <f>ROUND(H155*F155,6)</f>
        <v>0.34806900000000002</v>
      </c>
      <c r="J155" s="2687">
        <f>$F$171</f>
        <v>10</v>
      </c>
      <c r="K155" s="2823">
        <f>F173</f>
        <v>549</v>
      </c>
      <c r="L155" s="2589" t="s">
        <v>62</v>
      </c>
      <c r="M155" s="2086"/>
      <c r="N155" s="2086"/>
      <c r="O155" s="2086"/>
      <c r="R155" s="532"/>
      <c r="V155" s="2684" t="s">
        <v>45</v>
      </c>
      <c r="W155" s="3045"/>
      <c r="X155" s="3046"/>
      <c r="Y155" s="3047"/>
      <c r="Z155" s="3047"/>
      <c r="AA155" s="3047"/>
      <c r="AB155" s="3047"/>
      <c r="AC155" s="2663">
        <v>1478.34</v>
      </c>
      <c r="AD155" s="2686">
        <v>1478.34</v>
      </c>
      <c r="AE155" s="2686">
        <v>1478.34</v>
      </c>
      <c r="AF155" s="2236">
        <f>IF(F155&lt;&gt;"",F155,"")</f>
        <v>1478.34</v>
      </c>
      <c r="AG155" s="2684"/>
      <c r="AH155" s="2728"/>
      <c r="AI155" s="2723"/>
      <c r="AU155" s="1505"/>
      <c r="DG155" s="3037">
        <f>(DI155)/(DJ155)</f>
        <v>1.6215371477509883</v>
      </c>
      <c r="DH155" s="2432" t="str">
        <f>CONCATENATE(G155," ",J155," Year EUL")</f>
        <v>Pool Spa RES 10 Year EUL</v>
      </c>
      <c r="DI155" s="2430">
        <f>(INDEX('Avoided Cost Benefits'!$B$4:$B$865,MATCH(DH155,'Avoided Cost Benefits'!$A$4:$A$865,0)))*F155</f>
        <v>890.22389411529264</v>
      </c>
      <c r="DJ155" s="2431">
        <f>K155/(1.0686^(2025-2025))</f>
        <v>549</v>
      </c>
    </row>
    <row r="156" spans="1:114" ht="15" hidden="1" customHeight="1" outlineLevel="1">
      <c r="A156" s="533"/>
      <c r="B156" s="1454"/>
      <c r="C156" s="108"/>
      <c r="D156" s="1445" t="s">
        <v>118</v>
      </c>
      <c r="E156" s="1374" t="s">
        <v>1144</v>
      </c>
      <c r="F156" s="1519"/>
      <c r="G156" s="1414"/>
      <c r="H156" s="69"/>
      <c r="I156" s="274"/>
      <c r="J156" s="103"/>
      <c r="K156" s="98"/>
      <c r="L156" s="108"/>
      <c r="R156" s="532"/>
      <c r="V156" s="109"/>
      <c r="W156" s="2148"/>
      <c r="X156" s="2149"/>
      <c r="Y156" s="2150"/>
      <c r="Z156" s="2150"/>
      <c r="AA156" s="2150"/>
      <c r="AB156" s="2150"/>
      <c r="AC156" s="1552"/>
      <c r="AD156" s="1519"/>
      <c r="AE156" s="1519"/>
      <c r="AF156" s="271"/>
      <c r="AG156" s="1494"/>
      <c r="AH156" s="121"/>
      <c r="AU156" s="1505"/>
      <c r="DJ156" s="1187"/>
    </row>
    <row r="157" spans="1:114" s="1509" customFormat="1" ht="15" hidden="1" customHeight="1" outlineLevel="1">
      <c r="A157" s="533"/>
      <c r="B157" s="66"/>
      <c r="C157" s="64"/>
      <c r="D157" s="2624" t="s">
        <v>963</v>
      </c>
      <c r="E157" s="2624" t="s">
        <v>1145</v>
      </c>
      <c r="F157" s="2151"/>
      <c r="G157" s="66"/>
      <c r="H157" s="66"/>
      <c r="I157" s="52"/>
      <c r="J157" s="52"/>
      <c r="K157" s="52"/>
      <c r="L157" s="66"/>
      <c r="M157" s="66"/>
      <c r="N157" s="66"/>
      <c r="O157" s="66"/>
      <c r="P157" s="66"/>
      <c r="Q157" s="66"/>
      <c r="R157" s="66"/>
      <c r="S157" s="66"/>
      <c r="T157" s="66"/>
      <c r="U157" s="66"/>
      <c r="V157" s="7"/>
      <c r="W157" s="7"/>
      <c r="X157" s="7"/>
      <c r="Y157" s="7"/>
      <c r="Z157" s="7"/>
      <c r="AA157" s="7"/>
      <c r="AB157" s="7"/>
      <c r="AC157" s="7"/>
      <c r="AD157" s="7"/>
      <c r="AE157" s="7"/>
      <c r="AF157" s="67"/>
      <c r="AG157" s="7"/>
      <c r="AI157" s="7"/>
      <c r="AJ157" s="7"/>
      <c r="AK157" s="7"/>
      <c r="AL157" s="7"/>
      <c r="AM157" s="7"/>
      <c r="AN157" s="7"/>
      <c r="AO157" s="7"/>
      <c r="AP157" s="7"/>
      <c r="AQ157" s="7"/>
      <c r="AR157" s="7"/>
      <c r="AS157" s="7"/>
      <c r="AU157" s="1505"/>
      <c r="DG157" s="1073"/>
      <c r="DH157" s="66"/>
      <c r="DI157" s="66"/>
      <c r="DJ157" s="1187"/>
    </row>
    <row r="158" spans="1:114" s="1509" customFormat="1" ht="15" hidden="1" customHeight="1" outlineLevel="1">
      <c r="A158" s="533"/>
      <c r="B158" s="75"/>
      <c r="C158" s="73"/>
      <c r="D158" s="2624"/>
      <c r="E158" s="2626" t="s">
        <v>1146</v>
      </c>
      <c r="F158" s="73"/>
      <c r="G158" s="75"/>
      <c r="H158" s="75"/>
      <c r="I158" s="75"/>
      <c r="J158" s="75"/>
      <c r="K158" s="75"/>
      <c r="L158" s="75"/>
      <c r="M158" s="75"/>
      <c r="N158" s="75"/>
      <c r="O158" s="75"/>
      <c r="P158" s="75"/>
      <c r="Q158" s="75"/>
      <c r="R158" s="75"/>
      <c r="S158" s="75"/>
      <c r="T158" s="75"/>
      <c r="U158" s="75"/>
      <c r="AU158" s="1505"/>
      <c r="DG158" s="1073"/>
      <c r="DH158" s="66"/>
      <c r="DI158" s="66"/>
      <c r="DJ158" s="1187"/>
    </row>
    <row r="159" spans="1:114" s="1509" customFormat="1" ht="15" hidden="1" customHeight="1" outlineLevel="1">
      <c r="A159" s="533"/>
      <c r="B159" s="75"/>
      <c r="C159" s="73"/>
      <c r="D159" s="3051"/>
      <c r="E159" s="2626" t="s">
        <v>966</v>
      </c>
      <c r="F159" s="2175"/>
      <c r="G159" s="75"/>
      <c r="H159" s="75"/>
      <c r="I159" s="75"/>
      <c r="J159" s="75"/>
      <c r="K159" s="75"/>
      <c r="L159" s="75"/>
      <c r="M159" s="75"/>
      <c r="N159" s="75"/>
      <c r="O159" s="75"/>
      <c r="P159" s="75"/>
      <c r="Q159" s="75"/>
      <c r="R159" s="75"/>
      <c r="S159" s="75"/>
      <c r="T159" s="75"/>
      <c r="U159" s="75"/>
      <c r="AU159" s="1505"/>
      <c r="DG159" s="1073"/>
      <c r="DH159" s="66"/>
      <c r="DI159" s="66"/>
      <c r="DJ159" s="1187"/>
    </row>
    <row r="160" spans="1:114" s="1509" customFormat="1" ht="15" hidden="1" customHeight="1" outlineLevel="1">
      <c r="A160" s="533"/>
      <c r="B160" s="75"/>
      <c r="C160" s="73"/>
      <c r="D160" s="100"/>
      <c r="E160" s="1453"/>
      <c r="F160" s="2175"/>
      <c r="G160" s="75"/>
      <c r="H160" s="75"/>
      <c r="I160" s="75"/>
      <c r="J160" s="75"/>
      <c r="K160" s="75"/>
      <c r="L160" s="52"/>
      <c r="M160" s="52"/>
      <c r="N160" s="52"/>
      <c r="O160" s="52"/>
      <c r="P160" s="52"/>
      <c r="Q160" s="75"/>
      <c r="R160" s="75"/>
      <c r="S160" s="75"/>
      <c r="T160" s="75"/>
      <c r="U160" s="75"/>
      <c r="AU160" s="1505"/>
      <c r="DG160" s="1073"/>
      <c r="DH160" s="66"/>
      <c r="DI160" s="66"/>
      <c r="DJ160" s="1187"/>
    </row>
    <row r="161" spans="1:114" s="1509" customFormat="1" ht="15" hidden="1" customHeight="1" outlineLevel="1">
      <c r="A161" s="533"/>
      <c r="B161" s="75"/>
      <c r="C161" s="73"/>
      <c r="D161" s="77"/>
      <c r="E161" s="77"/>
      <c r="F161" s="2175"/>
      <c r="G161" s="75"/>
      <c r="H161" s="75"/>
      <c r="I161" s="75"/>
      <c r="J161" s="75"/>
      <c r="K161" s="75"/>
      <c r="L161" s="52"/>
      <c r="M161" s="52"/>
      <c r="N161" s="52"/>
      <c r="O161" s="52"/>
      <c r="P161" s="52"/>
      <c r="Q161" s="75"/>
      <c r="R161" s="75"/>
      <c r="S161" s="75"/>
      <c r="T161" s="75"/>
      <c r="U161" s="75"/>
      <c r="AU161" s="1505"/>
      <c r="DG161" s="1073"/>
      <c r="DH161" s="66"/>
      <c r="DI161" s="66"/>
      <c r="DJ161" s="1187"/>
    </row>
    <row r="162" spans="1:114" s="1509" customFormat="1" ht="15" hidden="1" customHeight="1" outlineLevel="1">
      <c r="A162" s="533"/>
      <c r="B162" s="75"/>
      <c r="C162" s="73"/>
      <c r="D162" s="77"/>
      <c r="E162" s="77"/>
      <c r="F162" s="2175"/>
      <c r="G162" s="75"/>
      <c r="H162" s="75"/>
      <c r="I162" s="75"/>
      <c r="J162" s="75"/>
      <c r="K162" s="75"/>
      <c r="L162" s="52"/>
      <c r="M162" s="52"/>
      <c r="N162" s="52"/>
      <c r="O162" s="52"/>
      <c r="P162" s="52"/>
      <c r="Q162" s="75"/>
      <c r="R162" s="75"/>
      <c r="S162" s="75"/>
      <c r="T162" s="75"/>
      <c r="U162" s="75"/>
      <c r="V162" s="2640" t="s">
        <v>52</v>
      </c>
      <c r="W162" s="2152">
        <v>43252</v>
      </c>
      <c r="X162" s="2152">
        <f>$X$6</f>
        <v>43465</v>
      </c>
      <c r="Y162" s="2152">
        <f>$Y$6</f>
        <v>43800</v>
      </c>
      <c r="Z162" s="2152">
        <f>$Z$6</f>
        <v>43862</v>
      </c>
      <c r="AA162" s="2152">
        <f>$AA$6</f>
        <v>44013</v>
      </c>
      <c r="AB162" s="2152">
        <f>$AB$6</f>
        <v>44166</v>
      </c>
      <c r="AC162" s="2152">
        <f>$AC$6</f>
        <v>44531</v>
      </c>
      <c r="AD162" s="2152">
        <f>$AD$6</f>
        <v>44774</v>
      </c>
      <c r="AE162" s="2152">
        <f>$AE$6</f>
        <v>45139</v>
      </c>
      <c r="AF162" s="2152">
        <f>$AF$6</f>
        <v>45672</v>
      </c>
      <c r="AG162" s="2152" t="str">
        <f>$AG$6</f>
        <v>-</v>
      </c>
      <c r="AI162" s="2641">
        <v>43252</v>
      </c>
      <c r="AJ162" s="2641">
        <f>$Y$6</f>
        <v>43800</v>
      </c>
      <c r="AK162" s="2641">
        <f>$Y$6</f>
        <v>43800</v>
      </c>
      <c r="AL162" s="2641">
        <f>$Z$6</f>
        <v>43862</v>
      </c>
      <c r="AM162" s="2641">
        <f>$AA$6</f>
        <v>44013</v>
      </c>
      <c r="AN162" s="2641">
        <f>$AB$6</f>
        <v>44166</v>
      </c>
      <c r="AO162" s="2641">
        <f>$AC$6</f>
        <v>44531</v>
      </c>
      <c r="AP162" s="2641">
        <f>$AD$6</f>
        <v>44774</v>
      </c>
      <c r="AQ162" s="2641">
        <f>$AE$6</f>
        <v>45139</v>
      </c>
      <c r="AR162" s="2641">
        <f>$AF$6</f>
        <v>45672</v>
      </c>
      <c r="AS162" s="2641" t="str">
        <f>$AG$6</f>
        <v>-</v>
      </c>
      <c r="AU162" s="1505"/>
      <c r="DG162" s="1073"/>
      <c r="DH162" s="66"/>
      <c r="DI162" s="66"/>
      <c r="DJ162" s="1187"/>
    </row>
    <row r="163" spans="1:114" s="9" customFormat="1" ht="30" hidden="1" customHeight="1" outlineLevel="1">
      <c r="A163" s="533"/>
      <c r="B163" s="75"/>
      <c r="C163" s="73"/>
      <c r="D163" s="2303" t="s">
        <v>1078</v>
      </c>
      <c r="E163" s="2303" t="s">
        <v>967</v>
      </c>
      <c r="F163" s="2207" t="s">
        <v>1147</v>
      </c>
      <c r="G163" s="2207" t="s">
        <v>1147</v>
      </c>
      <c r="H163" s="4052" t="s">
        <v>755</v>
      </c>
      <c r="I163" s="4052"/>
      <c r="J163" s="75"/>
      <c r="K163" s="75"/>
      <c r="L163" s="52"/>
      <c r="M163" s="1404"/>
      <c r="N163" s="1404"/>
      <c r="O163" s="1404"/>
      <c r="P163" s="1404"/>
      <c r="Q163" s="75"/>
      <c r="R163" s="75"/>
      <c r="S163" s="75"/>
      <c r="T163" s="75"/>
      <c r="U163" s="75"/>
      <c r="V163" s="3061"/>
      <c r="W163" s="2153" t="s">
        <v>1148</v>
      </c>
      <c r="X163" s="2153" t="s">
        <v>1148</v>
      </c>
      <c r="Y163" s="2153" t="s">
        <v>1148</v>
      </c>
      <c r="Z163" s="2153" t="s">
        <v>1148</v>
      </c>
      <c r="AA163" s="2153" t="s">
        <v>1148</v>
      </c>
      <c r="AB163" s="2153" t="s">
        <v>1148</v>
      </c>
      <c r="AC163" s="2153" t="s">
        <v>1148</v>
      </c>
      <c r="AD163" s="2153" t="s">
        <v>1148</v>
      </c>
      <c r="AE163" s="2153" t="s">
        <v>1148</v>
      </c>
      <c r="AF163" s="2153" t="s">
        <v>1148</v>
      </c>
      <c r="AG163" s="2153" t="s">
        <v>1148</v>
      </c>
      <c r="AH163" s="1509"/>
      <c r="AI163" s="3063" t="s">
        <v>1147</v>
      </c>
      <c r="AJ163" s="3063" t="s">
        <v>1147</v>
      </c>
      <c r="AK163" s="3063" t="s">
        <v>1147</v>
      </c>
      <c r="AL163" s="3063" t="s">
        <v>1147</v>
      </c>
      <c r="AM163" s="3063" t="s">
        <v>1147</v>
      </c>
      <c r="AN163" s="3063" t="s">
        <v>1147</v>
      </c>
      <c r="AO163" s="3063" t="s">
        <v>1147</v>
      </c>
      <c r="AP163" s="3063" t="s">
        <v>1147</v>
      </c>
      <c r="AQ163" s="3063" t="s">
        <v>1147</v>
      </c>
      <c r="AR163" s="724" t="s">
        <v>969</v>
      </c>
      <c r="AS163" s="3063"/>
      <c r="AT163" s="1509"/>
      <c r="AU163" s="1505"/>
      <c r="DG163" s="1073"/>
      <c r="DH163" s="66"/>
      <c r="DI163" s="66"/>
      <c r="DJ163" s="1187"/>
    </row>
    <row r="164" spans="1:114" ht="39.950000000000003" hidden="1" customHeight="1" outlineLevel="1">
      <c r="A164" s="533"/>
      <c r="B164" s="122"/>
      <c r="C164" s="64"/>
      <c r="D164" s="2688" t="s">
        <v>1149</v>
      </c>
      <c r="E164" s="2688" t="s">
        <v>1150</v>
      </c>
      <c r="F164" s="3052">
        <v>22000</v>
      </c>
      <c r="G164" s="3053" t="s">
        <v>1151</v>
      </c>
      <c r="H164" s="4129"/>
      <c r="I164" s="4130"/>
      <c r="J164" s="75"/>
      <c r="K164" s="75"/>
      <c r="L164" s="122"/>
      <c r="M164" s="52"/>
      <c r="N164" s="52"/>
      <c r="O164" s="52"/>
      <c r="P164" s="52"/>
      <c r="Q164" s="122"/>
      <c r="R164" s="122"/>
      <c r="S164" s="122"/>
      <c r="T164" s="122"/>
      <c r="U164" s="122"/>
      <c r="V164" s="2690" t="str">
        <f t="shared" ref="V164:V172" si="14">D164</f>
        <v>Gallons</v>
      </c>
      <c r="W164" s="2156"/>
      <c r="X164" s="2156"/>
      <c r="Y164" s="2156"/>
      <c r="Z164" s="2156"/>
      <c r="AA164" s="2156"/>
      <c r="AB164" s="2156"/>
      <c r="AC164" s="2156"/>
      <c r="AD164" s="2156"/>
      <c r="AE164" s="2156"/>
      <c r="AF164" s="2156"/>
      <c r="AG164" s="2156"/>
      <c r="AI164" s="3064"/>
      <c r="AJ164" s="3064"/>
      <c r="AK164" s="3064"/>
      <c r="AL164" s="3064"/>
      <c r="AM164" s="3064"/>
      <c r="AN164" s="3065"/>
      <c r="AO164" s="3066">
        <v>22000</v>
      </c>
      <c r="AP164" s="3067">
        <v>22000</v>
      </c>
      <c r="AQ164" s="3067">
        <v>22000</v>
      </c>
      <c r="AR164" s="2236">
        <f t="shared" ref="AR164:AR173" si="15">IF(F164&lt;&gt;"",F164,"")</f>
        <v>22000</v>
      </c>
      <c r="AS164" s="3068"/>
      <c r="AT164" s="1509"/>
      <c r="AU164" s="1505"/>
      <c r="DJ164" s="1187"/>
    </row>
    <row r="165" spans="1:114" ht="39.950000000000003" hidden="1" customHeight="1" outlineLevel="1">
      <c r="A165" s="533"/>
      <c r="C165" s="64"/>
      <c r="D165" s="2688" t="s">
        <v>1152</v>
      </c>
      <c r="E165" s="2688" t="s">
        <v>1153</v>
      </c>
      <c r="F165" s="3054">
        <v>2</v>
      </c>
      <c r="G165" s="3055" t="s">
        <v>1151</v>
      </c>
      <c r="H165" s="4129"/>
      <c r="I165" s="4130"/>
      <c r="J165" s="75"/>
      <c r="K165" s="75"/>
      <c r="M165" s="2154"/>
      <c r="N165" s="2154"/>
      <c r="O165" s="2154"/>
      <c r="P165" s="2155"/>
      <c r="V165" s="2690" t="str">
        <f t="shared" si="14"/>
        <v>Turnovers</v>
      </c>
      <c r="W165" s="2156"/>
      <c r="X165" s="2156"/>
      <c r="Y165" s="2156"/>
      <c r="Z165" s="2156"/>
      <c r="AA165" s="2156"/>
      <c r="AB165" s="2156"/>
      <c r="AC165" s="2156"/>
      <c r="AD165" s="2156"/>
      <c r="AE165" s="2156"/>
      <c r="AF165" s="2156"/>
      <c r="AG165" s="2156"/>
      <c r="AI165" s="3064"/>
      <c r="AJ165" s="3064"/>
      <c r="AK165" s="3064"/>
      <c r="AL165" s="3064"/>
      <c r="AM165" s="3064"/>
      <c r="AN165" s="3065"/>
      <c r="AO165" s="3066">
        <v>2</v>
      </c>
      <c r="AP165" s="3067">
        <v>2</v>
      </c>
      <c r="AQ165" s="3067">
        <v>2</v>
      </c>
      <c r="AR165" s="2236">
        <f t="shared" si="15"/>
        <v>2</v>
      </c>
      <c r="AS165" s="3068"/>
      <c r="AT165" s="1509"/>
      <c r="AU165" s="1505"/>
      <c r="DJ165" s="1187"/>
    </row>
    <row r="166" spans="1:114" ht="105" hidden="1" customHeight="1" outlineLevel="1">
      <c r="A166" s="533"/>
      <c r="C166" s="64"/>
      <c r="D166" s="2688" t="s">
        <v>1154</v>
      </c>
      <c r="E166" s="2688" t="s">
        <v>1155</v>
      </c>
      <c r="F166" s="3052">
        <v>4.5999999999999996</v>
      </c>
      <c r="G166" s="3053" t="s">
        <v>1156</v>
      </c>
      <c r="H166" s="4129"/>
      <c r="I166" s="4130"/>
      <c r="J166" s="75"/>
      <c r="K166" s="75"/>
      <c r="M166" s="2154"/>
      <c r="N166" s="2154"/>
      <c r="O166" s="2154"/>
      <c r="P166" s="2155"/>
      <c r="V166" s="2690" t="str">
        <f t="shared" si="14"/>
        <v>WEFbase</v>
      </c>
      <c r="W166" s="2156"/>
      <c r="X166" s="2156"/>
      <c r="Y166" s="2156"/>
      <c r="Z166" s="2156"/>
      <c r="AA166" s="2156"/>
      <c r="AB166" s="2156"/>
      <c r="AC166" s="2156"/>
      <c r="AD166" s="2156"/>
      <c r="AE166" s="2156"/>
      <c r="AF166" s="2156"/>
      <c r="AG166" s="2156"/>
      <c r="AI166" s="3064"/>
      <c r="AJ166" s="3064"/>
      <c r="AK166" s="3064"/>
      <c r="AL166" s="3064"/>
      <c r="AM166" s="3064"/>
      <c r="AN166" s="3065"/>
      <c r="AO166" s="3069">
        <v>4.5999999999999996</v>
      </c>
      <c r="AP166" s="3070">
        <v>4.5999999999999996</v>
      </c>
      <c r="AQ166" s="3070">
        <v>4.5999999999999996</v>
      </c>
      <c r="AR166" s="2236">
        <f t="shared" si="15"/>
        <v>4.5999999999999996</v>
      </c>
      <c r="AS166" s="3068"/>
      <c r="AT166" s="1509"/>
      <c r="AU166" s="1505"/>
      <c r="DJ166" s="1187"/>
    </row>
    <row r="167" spans="1:114" ht="75" hidden="1" customHeight="1" outlineLevel="1">
      <c r="A167" s="533"/>
      <c r="C167" s="64"/>
      <c r="D167" s="2688" t="s">
        <v>1157</v>
      </c>
      <c r="E167" s="2688" t="s">
        <v>1158</v>
      </c>
      <c r="F167" s="3052">
        <v>6.31</v>
      </c>
      <c r="G167" s="3056" t="s">
        <v>1159</v>
      </c>
      <c r="H167" s="4129"/>
      <c r="I167" s="4130"/>
      <c r="J167" s="75"/>
      <c r="K167" s="75"/>
      <c r="M167" s="2154"/>
      <c r="N167" s="2154"/>
      <c r="O167" s="2154"/>
      <c r="P167" s="2155"/>
      <c r="V167" s="2690" t="str">
        <f t="shared" si="14"/>
        <v>WEFee</v>
      </c>
      <c r="W167" s="2156"/>
      <c r="X167" s="2156"/>
      <c r="Y167" s="2156"/>
      <c r="Z167" s="2156"/>
      <c r="AA167" s="2156"/>
      <c r="AB167" s="2156"/>
      <c r="AC167" s="2156"/>
      <c r="AD167" s="2156"/>
      <c r="AE167" s="2156"/>
      <c r="AF167" s="2156"/>
      <c r="AG167" s="2156"/>
      <c r="AI167" s="3064"/>
      <c r="AJ167" s="3064"/>
      <c r="AK167" s="3064"/>
      <c r="AL167" s="3064"/>
      <c r="AM167" s="3064"/>
      <c r="AN167" s="3065"/>
      <c r="AO167" s="3069">
        <v>6.31</v>
      </c>
      <c r="AP167" s="3070">
        <v>6.31</v>
      </c>
      <c r="AQ167" s="3070">
        <v>6.31</v>
      </c>
      <c r="AR167" s="2236">
        <f t="shared" si="15"/>
        <v>6.31</v>
      </c>
      <c r="AS167" s="3068"/>
      <c r="AT167" s="1509"/>
      <c r="AU167" s="1505"/>
      <c r="DJ167" s="1187"/>
    </row>
    <row r="168" spans="1:114" ht="54.75" hidden="1" customHeight="1" outlineLevel="1">
      <c r="A168" s="533"/>
      <c r="C168" s="64"/>
      <c r="D168" s="2688" t="s">
        <v>1160</v>
      </c>
      <c r="E168" s="2688" t="s">
        <v>1161</v>
      </c>
      <c r="F168" s="3052">
        <v>2.2999999999999998</v>
      </c>
      <c r="G168" s="3053" t="s">
        <v>1162</v>
      </c>
      <c r="H168" s="4129"/>
      <c r="I168" s="4130"/>
      <c r="J168" s="75"/>
      <c r="K168" s="75"/>
      <c r="M168" s="2154"/>
      <c r="N168" s="2154"/>
      <c r="O168" s="2154"/>
      <c r="P168" s="2155"/>
      <c r="V168" s="2690" t="str">
        <f t="shared" si="14"/>
        <v>EFexist</v>
      </c>
      <c r="W168" s="2156"/>
      <c r="X168" s="2156"/>
      <c r="Y168" s="2156"/>
      <c r="Z168" s="2156"/>
      <c r="AA168" s="2156"/>
      <c r="AB168" s="2156"/>
      <c r="AC168" s="2156"/>
      <c r="AD168" s="2156"/>
      <c r="AE168" s="2156"/>
      <c r="AF168" s="2156"/>
      <c r="AG168" s="2156"/>
      <c r="AI168" s="3064"/>
      <c r="AJ168" s="3064"/>
      <c r="AK168" s="3064"/>
      <c r="AL168" s="3064"/>
      <c r="AM168" s="3064"/>
      <c r="AN168" s="3065"/>
      <c r="AO168" s="3069">
        <v>2.2999999999999998</v>
      </c>
      <c r="AP168" s="3070">
        <v>2.2999999999999998</v>
      </c>
      <c r="AQ168" s="3070">
        <v>2.2999999999999998</v>
      </c>
      <c r="AR168" s="2236">
        <f t="shared" si="15"/>
        <v>2.2999999999999998</v>
      </c>
      <c r="AS168" s="3068"/>
      <c r="AT168" s="1509"/>
      <c r="AU168" s="1505"/>
      <c r="DJ168" s="1187"/>
    </row>
    <row r="169" spans="1:114" ht="29.65" hidden="1" customHeight="1" outlineLevel="1">
      <c r="A169" s="533"/>
      <c r="C169" s="64"/>
      <c r="D169" s="2688" t="s">
        <v>1163</v>
      </c>
      <c r="E169" s="2688" t="s">
        <v>1164</v>
      </c>
      <c r="F169" s="3057">
        <v>121.6</v>
      </c>
      <c r="G169" s="3058" t="s">
        <v>1165</v>
      </c>
      <c r="H169" s="4143"/>
      <c r="I169" s="4143"/>
      <c r="J169" s="75"/>
      <c r="K169" s="75"/>
      <c r="M169" s="2154"/>
      <c r="N169" s="2154"/>
      <c r="O169" s="2154"/>
      <c r="P169" s="2155"/>
      <c r="V169" s="2690" t="str">
        <f t="shared" si="14"/>
        <v>Daysoper</v>
      </c>
      <c r="W169" s="2157">
        <v>121.6</v>
      </c>
      <c r="X169" s="2157">
        <v>121.6</v>
      </c>
      <c r="Y169" s="2158">
        <v>121.6</v>
      </c>
      <c r="Z169" s="2158">
        <v>121.6</v>
      </c>
      <c r="AA169" s="2158">
        <v>121.6</v>
      </c>
      <c r="AB169" s="2157">
        <v>121.6</v>
      </c>
      <c r="AC169" s="2157"/>
      <c r="AD169" s="2157"/>
      <c r="AE169" s="2157"/>
      <c r="AF169" s="2157"/>
      <c r="AG169" s="2157"/>
      <c r="AH169" s="1509"/>
      <c r="AI169" s="3071">
        <v>121.6</v>
      </c>
      <c r="AJ169" s="3071">
        <v>121.6</v>
      </c>
      <c r="AK169" s="2443">
        <v>121.6</v>
      </c>
      <c r="AL169" s="2443">
        <v>121.6</v>
      </c>
      <c r="AM169" s="2443">
        <v>121.6</v>
      </c>
      <c r="AN169" s="2693">
        <v>121.6</v>
      </c>
      <c r="AO169" s="3071">
        <v>121.6</v>
      </c>
      <c r="AP169" s="2693">
        <v>121.6</v>
      </c>
      <c r="AQ169" s="2693">
        <v>121.6</v>
      </c>
      <c r="AR169" s="2236">
        <f t="shared" si="15"/>
        <v>121.6</v>
      </c>
      <c r="AS169" s="3071"/>
      <c r="AT169" s="1509"/>
      <c r="AU169" s="1505"/>
      <c r="DJ169" s="1187"/>
    </row>
    <row r="170" spans="1:114" ht="45" hidden="1" customHeight="1" outlineLevel="1">
      <c r="A170" s="533"/>
      <c r="C170" s="64"/>
      <c r="D170" s="2688" t="s">
        <v>128</v>
      </c>
      <c r="E170" s="2688" t="s">
        <v>1036</v>
      </c>
      <c r="F170" s="2355">
        <v>1</v>
      </c>
      <c r="G170" s="2688" t="s">
        <v>1037</v>
      </c>
      <c r="H170" s="4142" t="s">
        <v>977</v>
      </c>
      <c r="I170" s="4142"/>
      <c r="J170" s="75"/>
      <c r="K170" s="75"/>
      <c r="M170" s="2155"/>
      <c r="N170" s="2155"/>
      <c r="O170" s="2155"/>
      <c r="P170" s="2155"/>
      <c r="V170" s="2690" t="str">
        <f t="shared" si="14"/>
        <v>ISR</v>
      </c>
      <c r="W170" s="2156">
        <v>1</v>
      </c>
      <c r="X170" s="2156">
        <v>1</v>
      </c>
      <c r="Y170" s="2156">
        <v>1</v>
      </c>
      <c r="Z170" s="2156">
        <v>1</v>
      </c>
      <c r="AA170" s="2156">
        <v>1</v>
      </c>
      <c r="AB170" s="2156">
        <v>1</v>
      </c>
      <c r="AC170" s="2156"/>
      <c r="AD170" s="2156"/>
      <c r="AE170" s="2156"/>
      <c r="AF170" s="2156"/>
      <c r="AG170" s="2156"/>
      <c r="AI170" s="3068">
        <v>1</v>
      </c>
      <c r="AJ170" s="3068">
        <v>1</v>
      </c>
      <c r="AK170" s="3068">
        <v>1</v>
      </c>
      <c r="AL170" s="3068">
        <v>1</v>
      </c>
      <c r="AM170" s="3068">
        <v>1</v>
      </c>
      <c r="AN170" s="2646">
        <v>1</v>
      </c>
      <c r="AO170" s="2646">
        <v>1</v>
      </c>
      <c r="AP170" s="2646">
        <v>1</v>
      </c>
      <c r="AQ170" s="2646">
        <v>1</v>
      </c>
      <c r="AR170" s="2236">
        <f t="shared" si="15"/>
        <v>1</v>
      </c>
      <c r="AS170" s="3068"/>
      <c r="AT170" s="1509"/>
      <c r="AU170" s="1505"/>
      <c r="DJ170" s="1187"/>
    </row>
    <row r="171" spans="1:114" ht="15" hidden="1" customHeight="1" outlineLevel="1">
      <c r="A171" s="533"/>
      <c r="C171" s="64"/>
      <c r="D171" s="2822" t="str">
        <f>$D$41</f>
        <v>EUL</v>
      </c>
      <c r="E171" s="2822" t="str">
        <f>$E$41</f>
        <v>Effective Useful Life</v>
      </c>
      <c r="F171" s="3059">
        <v>10</v>
      </c>
      <c r="G171" s="2691" t="s">
        <v>1166</v>
      </c>
      <c r="H171" s="4142" t="s">
        <v>62</v>
      </c>
      <c r="I171" s="4142"/>
      <c r="J171" s="75"/>
      <c r="K171" s="75"/>
      <c r="M171" s="2155"/>
      <c r="N171" s="2155"/>
      <c r="O171" s="2155"/>
      <c r="P171" s="2155"/>
      <c r="V171" s="3062" t="str">
        <f t="shared" si="14"/>
        <v>EUL</v>
      </c>
      <c r="W171" s="2162">
        <v>10</v>
      </c>
      <c r="X171" s="2162">
        <v>10</v>
      </c>
      <c r="Y171" s="2162">
        <v>10</v>
      </c>
      <c r="Z171" s="2163">
        <v>10</v>
      </c>
      <c r="AA171" s="2163">
        <v>10</v>
      </c>
      <c r="AB171" s="2163">
        <v>10</v>
      </c>
      <c r="AC171" s="2163"/>
      <c r="AD171" s="2163"/>
      <c r="AE171" s="2163"/>
      <c r="AF171" s="2163"/>
      <c r="AG171" s="2163"/>
      <c r="AI171" s="3072">
        <v>10</v>
      </c>
      <c r="AJ171" s="3072">
        <v>10</v>
      </c>
      <c r="AK171" s="3072">
        <v>10</v>
      </c>
      <c r="AL171" s="3072">
        <v>10</v>
      </c>
      <c r="AM171" s="3072">
        <v>10</v>
      </c>
      <c r="AN171" s="2687">
        <v>10</v>
      </c>
      <c r="AO171" s="3071">
        <v>10</v>
      </c>
      <c r="AP171" s="2693">
        <v>10</v>
      </c>
      <c r="AQ171" s="2693">
        <v>10</v>
      </c>
      <c r="AR171" s="2236">
        <f t="shared" si="15"/>
        <v>10</v>
      </c>
      <c r="AS171" s="3073"/>
      <c r="AT171" s="1509"/>
      <c r="AU171" s="1505"/>
      <c r="DJ171" s="1187"/>
    </row>
    <row r="172" spans="1:114" ht="15" hidden="1" customHeight="1" outlineLevel="1">
      <c r="A172" s="533"/>
      <c r="C172" s="64"/>
      <c r="D172" s="4138" t="str">
        <f>$D$42</f>
        <v>Inc. Cost</v>
      </c>
      <c r="E172" s="4138" t="e">
        <f>$E$42</f>
        <v>#REF!</v>
      </c>
      <c r="F172" s="3060">
        <v>314</v>
      </c>
      <c r="G172" s="2688" t="s">
        <v>1167</v>
      </c>
      <c r="H172" s="4142" t="s">
        <v>62</v>
      </c>
      <c r="I172" s="4142"/>
      <c r="J172" s="75"/>
      <c r="K172" s="75"/>
      <c r="M172" s="2155"/>
      <c r="N172" s="2155"/>
      <c r="O172" s="2155"/>
      <c r="P172" s="2155"/>
      <c r="V172" s="4131" t="str">
        <f t="shared" si="14"/>
        <v>Inc. Cost</v>
      </c>
      <c r="W172" s="2164">
        <v>235</v>
      </c>
      <c r="X172" s="2164">
        <v>235</v>
      </c>
      <c r="Y172" s="2164">
        <v>235</v>
      </c>
      <c r="Z172" s="2165">
        <v>235</v>
      </c>
      <c r="AA172" s="2165">
        <v>235</v>
      </c>
      <c r="AB172" s="2165">
        <v>235</v>
      </c>
      <c r="AC172" s="2165"/>
      <c r="AD172" s="2165"/>
      <c r="AE172" s="2165"/>
      <c r="AF172" s="2165"/>
      <c r="AG172" s="2165"/>
      <c r="AI172" s="3074">
        <v>549</v>
      </c>
      <c r="AJ172" s="3074">
        <v>549</v>
      </c>
      <c r="AK172" s="3074">
        <v>549</v>
      </c>
      <c r="AL172" s="3074">
        <v>549</v>
      </c>
      <c r="AM172" s="3074">
        <v>549</v>
      </c>
      <c r="AN172" s="2823">
        <v>549</v>
      </c>
      <c r="AO172" s="2824">
        <v>314</v>
      </c>
      <c r="AP172" s="2823">
        <v>314</v>
      </c>
      <c r="AQ172" s="2823">
        <v>314</v>
      </c>
      <c r="AR172" s="2236">
        <f t="shared" si="15"/>
        <v>314</v>
      </c>
      <c r="AS172" s="3075"/>
      <c r="AT172" s="1509"/>
      <c r="AU172" s="1505"/>
      <c r="DJ172" s="1187"/>
    </row>
    <row r="173" spans="1:114" ht="15" hidden="1" customHeight="1" outlineLevel="1">
      <c r="A173" s="533"/>
      <c r="C173" s="64"/>
      <c r="D173" s="4139"/>
      <c r="E173" s="4139"/>
      <c r="F173" s="3060">
        <v>549</v>
      </c>
      <c r="G173" s="2688" t="s">
        <v>1168</v>
      </c>
      <c r="H173" s="4142" t="s">
        <v>62</v>
      </c>
      <c r="I173" s="4142"/>
      <c r="J173" s="75"/>
      <c r="K173" s="75"/>
      <c r="M173" s="2155"/>
      <c r="N173" s="2155"/>
      <c r="O173" s="2155"/>
      <c r="P173" s="2155"/>
      <c r="V173" s="4132"/>
      <c r="W173" s="2166"/>
      <c r="X173" s="2166"/>
      <c r="Y173" s="2166"/>
      <c r="Z173" s="2166"/>
      <c r="AA173" s="2166"/>
      <c r="AB173" s="2166"/>
      <c r="AC173" s="2165"/>
      <c r="AD173" s="2165"/>
      <c r="AE173" s="2165"/>
      <c r="AF173" s="2165"/>
      <c r="AG173" s="2165"/>
      <c r="AI173" s="3076"/>
      <c r="AJ173" s="3076"/>
      <c r="AK173" s="3076"/>
      <c r="AL173" s="3076"/>
      <c r="AM173" s="3076"/>
      <c r="AN173" s="3077"/>
      <c r="AO173" s="2824">
        <v>549</v>
      </c>
      <c r="AP173" s="2823">
        <v>549</v>
      </c>
      <c r="AQ173" s="2823">
        <v>549</v>
      </c>
      <c r="AR173" s="2236">
        <f t="shared" si="15"/>
        <v>549</v>
      </c>
      <c r="AS173" s="3075"/>
      <c r="AT173" s="1509"/>
      <c r="AU173" s="1505"/>
      <c r="DJ173" s="1187"/>
    </row>
    <row r="174" spans="1:114" collapsed="1">
      <c r="A174" s="533"/>
      <c r="C174" s="64"/>
      <c r="J174" s="75"/>
      <c r="K174" s="75"/>
      <c r="AT174" s="1509"/>
      <c r="AU174" s="1505"/>
    </row>
    <row r="175" spans="1:114">
      <c r="A175" s="533"/>
      <c r="C175" s="64"/>
      <c r="AT175" s="1509"/>
      <c r="AU175" s="1505"/>
    </row>
    <row r="176" spans="1:114">
      <c r="A176" s="533"/>
      <c r="B176" s="4025" t="s">
        <v>1169</v>
      </c>
      <c r="C176" s="4026"/>
      <c r="D176" s="4026"/>
      <c r="E176" s="4026"/>
      <c r="F176" s="4026"/>
      <c r="G176" s="4026"/>
      <c r="H176" s="4026"/>
      <c r="I176" s="4817"/>
      <c r="J176" s="4817"/>
      <c r="K176" s="4817"/>
      <c r="L176" s="4817"/>
      <c r="M176" s="4817"/>
      <c r="N176" s="4817"/>
      <c r="O176" s="4818"/>
      <c r="V176" s="4040" t="str">
        <f>B176</f>
        <v>Advanced Power Strips Tier 2  /  Advanced Control Stategies</v>
      </c>
      <c r="W176" s="4041"/>
      <c r="X176" s="4041"/>
      <c r="Y176" s="4041"/>
      <c r="Z176" s="4041"/>
      <c r="AA176" s="4041"/>
      <c r="AB176" s="4041"/>
      <c r="AC176" s="4832"/>
      <c r="AD176" s="4832"/>
      <c r="AE176" s="4832"/>
      <c r="AF176" s="4832"/>
      <c r="AG176" s="4832"/>
      <c r="AH176" s="4832"/>
      <c r="AI176" s="4833"/>
      <c r="AU176" s="1505"/>
    </row>
    <row r="177" spans="1:114">
      <c r="A177" s="533"/>
      <c r="B177" s="635"/>
      <c r="C177" s="2205"/>
      <c r="D177" s="2206"/>
      <c r="E177" s="2206"/>
      <c r="F177" s="2205"/>
      <c r="G177" s="635"/>
      <c r="H177" s="635"/>
      <c r="I177" s="635"/>
      <c r="J177" s="635"/>
      <c r="K177" s="635"/>
      <c r="L177" s="635"/>
      <c r="M177" s="2086"/>
      <c r="N177" s="2086"/>
      <c r="O177" s="2086"/>
      <c r="V177" s="2723"/>
      <c r="W177" s="2723"/>
      <c r="X177" s="2723"/>
      <c r="Y177" s="2723"/>
      <c r="Z177" s="2723"/>
      <c r="AA177" s="2723"/>
      <c r="AB177" s="2723"/>
      <c r="AC177" s="2723"/>
      <c r="AD177" s="2723"/>
      <c r="AE177" s="2723"/>
      <c r="AF177" s="2723"/>
      <c r="AG177" s="2723"/>
      <c r="AH177" s="2723"/>
      <c r="AI177" s="2723"/>
      <c r="AU177" s="1505"/>
    </row>
    <row r="178" spans="1:114" ht="30">
      <c r="A178" s="533"/>
      <c r="B178" s="635"/>
      <c r="C178" s="2207" t="s">
        <v>42</v>
      </c>
      <c r="D178" s="2207" t="s">
        <v>953</v>
      </c>
      <c r="E178" s="2207" t="s">
        <v>44</v>
      </c>
      <c r="F178" s="2207" t="s">
        <v>45</v>
      </c>
      <c r="G178" s="2207" t="s">
        <v>46</v>
      </c>
      <c r="H178" s="2207" t="s">
        <v>47</v>
      </c>
      <c r="I178" s="2207" t="s">
        <v>48</v>
      </c>
      <c r="J178" s="2207" t="s">
        <v>49</v>
      </c>
      <c r="K178" s="2207" t="s">
        <v>50</v>
      </c>
      <c r="L178" s="2207" t="s">
        <v>51</v>
      </c>
      <c r="M178" s="2086"/>
      <c r="N178" s="2086"/>
      <c r="O178" s="2086"/>
      <c r="V178" s="2640" t="s">
        <v>52</v>
      </c>
      <c r="W178" s="2641">
        <v>43252</v>
      </c>
      <c r="X178" s="2641">
        <f>$X$6</f>
        <v>43465</v>
      </c>
      <c r="Y178" s="2641">
        <f>$Y$6</f>
        <v>43800</v>
      </c>
      <c r="Z178" s="2641">
        <f>$Z$6</f>
        <v>43862</v>
      </c>
      <c r="AA178" s="2641">
        <f>$AA$6</f>
        <v>44013</v>
      </c>
      <c r="AB178" s="2641">
        <f>$AB$6</f>
        <v>44166</v>
      </c>
      <c r="AC178" s="2641">
        <f>$AC$6</f>
        <v>44531</v>
      </c>
      <c r="AD178" s="2641">
        <f>$AD$6</f>
        <v>44774</v>
      </c>
      <c r="AE178" s="2641">
        <f>$AE$6</f>
        <v>45139</v>
      </c>
      <c r="AF178" s="2641">
        <f>$AF$6</f>
        <v>45672</v>
      </c>
      <c r="AG178" s="2641" t="str">
        <f>$AG$6</f>
        <v>-</v>
      </c>
      <c r="AH178" s="2723"/>
      <c r="AI178" s="2723"/>
      <c r="AU178" s="1505"/>
      <c r="DG178" s="2750" t="str">
        <f>$DG$6</f>
        <v>TRC (2025)</v>
      </c>
      <c r="DH178" s="2750" t="str">
        <f>$DH$6</f>
        <v>Benefit Lookup</v>
      </c>
      <c r="DI178" s="2876" t="str">
        <f>$DI$6</f>
        <v>Benefits (2025 $)</v>
      </c>
      <c r="DJ178" s="2752" t="str">
        <f>$DJ$6</f>
        <v>Incremental Cost (2025 $)</v>
      </c>
    </row>
    <row r="179" spans="1:114" s="1510" customFormat="1">
      <c r="A179" s="533"/>
      <c r="B179" s="2208">
        <f t="shared" ref="B179:B180" si="16">VALUE(LEFT(C179,6))</f>
        <v>251000</v>
      </c>
      <c r="C179" s="2409" t="s">
        <v>1170</v>
      </c>
      <c r="D179" s="2409" t="s">
        <v>1139</v>
      </c>
      <c r="E179" s="1444" t="s">
        <v>1171</v>
      </c>
      <c r="F179" s="2663">
        <f>ROUND(G$188*G$189*G191, 2)</f>
        <v>174.84</v>
      </c>
      <c r="G179" s="3078" t="s">
        <v>1172</v>
      </c>
      <c r="H179" s="2247">
        <f>VLOOKUP(G179,'CP FACTORS'!$A$3:$B$38, 2, FALSE)</f>
        <v>1.148238E-4</v>
      </c>
      <c r="I179" s="3079">
        <f t="shared" ref="I179:I180" si="17">ROUND(H179*F179,6)</f>
        <v>2.0076E-2</v>
      </c>
      <c r="J179" s="2345">
        <f>$G$193</f>
        <v>10</v>
      </c>
      <c r="K179" s="2732">
        <f>$G$194</f>
        <v>65</v>
      </c>
      <c r="L179" s="2244" t="s">
        <v>62</v>
      </c>
      <c r="M179" s="3080"/>
      <c r="N179" s="3080"/>
      <c r="O179" s="3080"/>
      <c r="P179" s="107"/>
      <c r="Q179" s="107"/>
      <c r="R179" s="107"/>
      <c r="S179" s="107"/>
      <c r="T179" s="107"/>
      <c r="U179" s="107"/>
      <c r="V179" s="3083" t="s">
        <v>45</v>
      </c>
      <c r="W179" s="3045">
        <v>162</v>
      </c>
      <c r="X179" s="3045">
        <v>162</v>
      </c>
      <c r="Y179" s="3084">
        <v>162</v>
      </c>
      <c r="Z179" s="3084">
        <v>162</v>
      </c>
      <c r="AA179" s="3084">
        <v>162</v>
      </c>
      <c r="AB179" s="2663">
        <v>151.96</v>
      </c>
      <c r="AC179" s="3084">
        <v>151.96</v>
      </c>
      <c r="AD179" s="3084">
        <v>151.96</v>
      </c>
      <c r="AE179" s="3084">
        <v>151.96</v>
      </c>
      <c r="AF179" s="2236">
        <f t="shared" ref="AF179:AF182" si="18">IF(F179&lt;&gt;"",F179,"")</f>
        <v>174.84</v>
      </c>
      <c r="AG179" s="3045"/>
      <c r="AH179" s="3085"/>
      <c r="AI179" s="3085"/>
      <c r="AU179" s="1505"/>
      <c r="DG179" s="3086">
        <f t="shared" ref="DG179" si="19">(DI179)/(DJ179)</f>
        <v>1.3477748379720833</v>
      </c>
      <c r="DH179" s="2432" t="str">
        <f t="shared" ref="DH179:DH180" si="20">CONCATENATE(G179," ",J179," Year EUL")</f>
        <v>Miscellaneous RES 10 Year EUL</v>
      </c>
      <c r="DI179" s="2430">
        <f>(INDEX('Avoided Cost Benefits'!$B$4:$B$865,MATCH(DH179,'Avoided Cost Benefits'!$A$4:$A$865,0)))*F179</f>
        <v>87.605364468185414</v>
      </c>
      <c r="DJ179" s="2431">
        <f>K179/(1.0686^(2025-2025))</f>
        <v>65</v>
      </c>
    </row>
    <row r="180" spans="1:114" s="1510" customFormat="1">
      <c r="A180" s="533"/>
      <c r="B180" s="2208">
        <f t="shared" si="16"/>
        <v>251001</v>
      </c>
      <c r="C180" s="2409" t="s">
        <v>1173</v>
      </c>
      <c r="D180" s="2409" t="s">
        <v>1139</v>
      </c>
      <c r="E180" s="1444" t="s">
        <v>1174</v>
      </c>
      <c r="F180" s="2663">
        <f>ROUND(G$188*G$189*G192, 2)</f>
        <v>177.08</v>
      </c>
      <c r="G180" s="3078" t="s">
        <v>1172</v>
      </c>
      <c r="H180" s="2247">
        <f>VLOOKUP(G180,'CP FACTORS'!$A$3:$B$38, 2, FALSE)</f>
        <v>1.148238E-4</v>
      </c>
      <c r="I180" s="3079">
        <f t="shared" si="17"/>
        <v>2.0333E-2</v>
      </c>
      <c r="J180" s="2345">
        <f>$G$193</f>
        <v>10</v>
      </c>
      <c r="K180" s="2406">
        <f>$G$195</f>
        <v>60</v>
      </c>
      <c r="L180" s="2244" t="s">
        <v>62</v>
      </c>
      <c r="M180" s="3080"/>
      <c r="N180" s="3080"/>
      <c r="O180" s="3080"/>
      <c r="P180" s="107"/>
      <c r="Q180" s="107"/>
      <c r="R180" s="107"/>
      <c r="S180" s="107"/>
      <c r="T180" s="107"/>
      <c r="U180" s="107"/>
      <c r="V180" s="3083" t="s">
        <v>45</v>
      </c>
      <c r="W180" s="3045">
        <v>162</v>
      </c>
      <c r="X180" s="3045">
        <v>162</v>
      </c>
      <c r="Y180" s="3084">
        <v>162</v>
      </c>
      <c r="Z180" s="3084">
        <v>162</v>
      </c>
      <c r="AA180" s="3084">
        <v>162</v>
      </c>
      <c r="AB180" s="2663">
        <v>153.9</v>
      </c>
      <c r="AC180" s="3084">
        <v>153.9</v>
      </c>
      <c r="AD180" s="3084">
        <v>153.9</v>
      </c>
      <c r="AE180" s="3084">
        <v>153.9</v>
      </c>
      <c r="AF180" s="2236">
        <f t="shared" si="18"/>
        <v>177.08</v>
      </c>
      <c r="AG180" s="3045"/>
      <c r="AH180" s="3085"/>
      <c r="AI180" s="3085"/>
      <c r="AU180" s="1505"/>
      <c r="DG180" s="3086">
        <f>(DI180)/(DJ180)</f>
        <v>1.4787956550776209</v>
      </c>
      <c r="DH180" s="2432" t="str">
        <f t="shared" si="20"/>
        <v>Miscellaneous RES 10 Year EUL</v>
      </c>
      <c r="DI180" s="2430">
        <f>(INDEX('Avoided Cost Benefits'!$B$4:$B$865,MATCH(DH180,'Avoided Cost Benefits'!$A$4:$A$865,0)))*F180</f>
        <v>88.727739304657248</v>
      </c>
      <c r="DJ180" s="2431">
        <f>K180/(1.0686^(2025-2025))</f>
        <v>60</v>
      </c>
    </row>
    <row r="181" spans="1:114">
      <c r="A181" s="533"/>
      <c r="B181" s="2208">
        <f t="shared" ref="B181" si="21">VALUE(LEFT(C181,6))</f>
        <v>251002</v>
      </c>
      <c r="C181" s="2409" t="s">
        <v>1175</v>
      </c>
      <c r="D181" s="2409" t="s">
        <v>1139</v>
      </c>
      <c r="E181" s="1622" t="s">
        <v>1176</v>
      </c>
      <c r="F181" s="2663">
        <f>ROUND(G$188*G$190*G191, 2)</f>
        <v>109.28</v>
      </c>
      <c r="G181" s="3081" t="s">
        <v>1172</v>
      </c>
      <c r="H181" s="3082">
        <f>VLOOKUP(G181,'CP FACTORS'!$A$3:$B$38, 2, FALSE)</f>
        <v>1.148238E-4</v>
      </c>
      <c r="I181" s="3079">
        <f t="shared" ref="I181:I182" si="22">ROUND(H181*F181,6)</f>
        <v>1.2548E-2</v>
      </c>
      <c r="J181" s="2345">
        <f>$G$193</f>
        <v>10</v>
      </c>
      <c r="K181" s="2732">
        <f>$G$194</f>
        <v>65</v>
      </c>
      <c r="L181" s="2409" t="s">
        <v>62</v>
      </c>
      <c r="M181" s="2086"/>
      <c r="N181" s="2086"/>
      <c r="O181" s="2086"/>
      <c r="V181" s="3083" t="s">
        <v>45</v>
      </c>
      <c r="W181" s="3045"/>
      <c r="X181" s="3045"/>
      <c r="Y181" s="3084"/>
      <c r="Z181" s="3084"/>
      <c r="AA181" s="3084"/>
      <c r="AB181" s="2663"/>
      <c r="AC181" s="3084"/>
      <c r="AD181" s="3084"/>
      <c r="AE181" s="3084"/>
      <c r="AF181" s="2236">
        <f t="shared" si="18"/>
        <v>109.28</v>
      </c>
      <c r="AG181" s="3045"/>
      <c r="AH181" s="2723"/>
      <c r="AI181" s="2723"/>
      <c r="AU181" s="1505"/>
      <c r="DG181" s="3086">
        <f t="shared" ref="DG181" si="23">(DI181)/(DJ181)</f>
        <v>0.8423978168244638</v>
      </c>
      <c r="DH181" s="2432" t="str">
        <f t="shared" ref="DH181:DH182" si="24">CONCATENATE(G181," ",J181," Year EUL")</f>
        <v>Miscellaneous RES 10 Year EUL</v>
      </c>
      <c r="DI181" s="2430">
        <f>(INDEX('Avoided Cost Benefits'!$B$4:$B$865,MATCH(DH181,'Avoided Cost Benefits'!$A$4:$A$865,0)))*F181</f>
        <v>54.755858093590149</v>
      </c>
      <c r="DJ181" s="2431">
        <f>K181/(1.0686^(2025-2025))</f>
        <v>65</v>
      </c>
    </row>
    <row r="182" spans="1:114">
      <c r="A182" s="533"/>
      <c r="B182" s="2208">
        <f t="shared" ref="B182" si="25">VALUE(LEFT(C182,6))</f>
        <v>251003</v>
      </c>
      <c r="C182" s="2409" t="s">
        <v>1177</v>
      </c>
      <c r="D182" s="2409" t="s">
        <v>1139</v>
      </c>
      <c r="E182" s="1622" t="s">
        <v>1178</v>
      </c>
      <c r="F182" s="2663">
        <f>ROUND(G$188*G$190*G192, 2)</f>
        <v>110.68</v>
      </c>
      <c r="G182" s="3081" t="s">
        <v>1172</v>
      </c>
      <c r="H182" s="3082">
        <f>VLOOKUP(G182,'CP FACTORS'!$A$3:$B$38, 2, FALSE)</f>
        <v>1.148238E-4</v>
      </c>
      <c r="I182" s="3079">
        <f t="shared" si="22"/>
        <v>1.2709E-2</v>
      </c>
      <c r="J182" s="2345">
        <f>$G$193</f>
        <v>10</v>
      </c>
      <c r="K182" s="2732">
        <f>$G$195</f>
        <v>60</v>
      </c>
      <c r="L182" s="2409" t="s">
        <v>62</v>
      </c>
      <c r="M182" s="2086"/>
      <c r="N182" s="2086"/>
      <c r="O182" s="2086"/>
      <c r="V182" s="3083" t="s">
        <v>45</v>
      </c>
      <c r="W182" s="3045"/>
      <c r="X182" s="3045"/>
      <c r="Y182" s="3084"/>
      <c r="Z182" s="3084"/>
      <c r="AA182" s="3084"/>
      <c r="AB182" s="2663"/>
      <c r="AC182" s="3084"/>
      <c r="AD182" s="3084"/>
      <c r="AE182" s="3084"/>
      <c r="AF182" s="2236">
        <f t="shared" si="18"/>
        <v>110.68</v>
      </c>
      <c r="AG182" s="3045"/>
      <c r="AH182" s="2723"/>
      <c r="AI182" s="2723"/>
      <c r="AU182" s="1505"/>
      <c r="DG182" s="3086">
        <f>(DI182)/(DJ182)</f>
        <v>0.92428903943975083</v>
      </c>
      <c r="DH182" s="2432" t="str">
        <f t="shared" si="24"/>
        <v>Miscellaneous RES 10 Year EUL</v>
      </c>
      <c r="DI182" s="2430">
        <f>(INDEX('Avoided Cost Benefits'!$B$4:$B$865,MATCH(DH182,'Avoided Cost Benefits'!$A$4:$A$865,0)))*F182</f>
        <v>55.457342366385049</v>
      </c>
      <c r="DJ182" s="2431">
        <f>K182/(1.0686^(2025-2025))</f>
        <v>60</v>
      </c>
    </row>
    <row r="183" spans="1:114">
      <c r="A183" s="533"/>
      <c r="B183" s="1454"/>
      <c r="C183" s="1595"/>
      <c r="D183" s="1595"/>
      <c r="E183" s="2189"/>
      <c r="F183" s="2190"/>
      <c r="G183" s="2191"/>
      <c r="H183" s="2192"/>
      <c r="I183" s="2193"/>
      <c r="J183" s="408"/>
      <c r="K183" s="2194"/>
      <c r="L183" s="1595"/>
      <c r="V183" s="1510"/>
      <c r="W183" s="2195"/>
      <c r="X183" s="2195"/>
      <c r="Y183" s="2196"/>
      <c r="Z183" s="2196"/>
      <c r="AA183" s="2196"/>
      <c r="AB183" s="2190"/>
      <c r="AC183" s="2196"/>
      <c r="AD183" s="2196"/>
      <c r="AE183" s="2196"/>
      <c r="AF183" s="2197"/>
      <c r="AG183" s="2195"/>
      <c r="AU183" s="1505"/>
      <c r="DG183" s="2198"/>
      <c r="DH183" s="133"/>
      <c r="DI183" s="556"/>
      <c r="DJ183" s="1733"/>
    </row>
    <row r="184" spans="1:114" ht="15" hidden="1" customHeight="1" outlineLevel="1">
      <c r="A184" s="533"/>
      <c r="B184" s="1454"/>
      <c r="C184" s="51"/>
      <c r="D184" s="2624" t="s">
        <v>118</v>
      </c>
      <c r="E184" s="2624" t="s">
        <v>1179</v>
      </c>
      <c r="F184" s="51"/>
      <c r="G184" s="52"/>
      <c r="H184" s="52" t="s">
        <v>1180</v>
      </c>
      <c r="I184" s="52"/>
      <c r="J184" s="52"/>
      <c r="K184" s="52"/>
      <c r="L184" s="52"/>
      <c r="X184" s="2086" t="s">
        <v>1181</v>
      </c>
      <c r="Y184" s="2086" t="s">
        <v>1182</v>
      </c>
      <c r="AU184" s="1505"/>
    </row>
    <row r="185" spans="1:114" ht="15" hidden="1" customHeight="1" outlineLevel="1">
      <c r="A185" s="533"/>
      <c r="B185" s="1454"/>
      <c r="C185" s="51"/>
      <c r="D185" s="2624" t="s">
        <v>963</v>
      </c>
      <c r="E185" s="2624" t="s">
        <v>1183</v>
      </c>
      <c r="F185" s="51"/>
      <c r="G185" s="52"/>
      <c r="H185" s="52"/>
      <c r="I185" s="52"/>
      <c r="J185" s="52"/>
      <c r="K185" s="52"/>
      <c r="L185" s="52"/>
      <c r="AU185" s="1505"/>
    </row>
    <row r="186" spans="1:114" ht="15" hidden="1" customHeight="1" outlineLevel="1">
      <c r="A186" s="533"/>
      <c r="B186" s="1454"/>
      <c r="C186" s="51"/>
      <c r="D186" s="2206"/>
      <c r="E186" s="2626" t="s">
        <v>966</v>
      </c>
      <c r="F186" s="51"/>
      <c r="G186" s="52"/>
      <c r="H186" s="52"/>
      <c r="I186" s="52"/>
      <c r="J186" s="52"/>
      <c r="M186" s="1404"/>
      <c r="N186" s="1404"/>
      <c r="O186" s="1404"/>
      <c r="P186" s="1404"/>
      <c r="AU186" s="1505"/>
    </row>
    <row r="187" spans="1:114" ht="15" hidden="1" customHeight="1" outlineLevel="1">
      <c r="A187" s="533"/>
      <c r="B187" s="1454"/>
      <c r="C187" s="51"/>
      <c r="D187" s="2207" t="s">
        <v>1078</v>
      </c>
      <c r="E187" s="2207" t="s">
        <v>967</v>
      </c>
      <c r="F187" s="2207" t="s">
        <v>968</v>
      </c>
      <c r="G187" s="2207" t="s">
        <v>969</v>
      </c>
      <c r="H187" s="2207" t="s">
        <v>970</v>
      </c>
      <c r="I187" s="2207" t="s">
        <v>1184</v>
      </c>
      <c r="J187" s="52"/>
      <c r="M187" s="52"/>
      <c r="N187" s="52"/>
      <c r="O187" s="52"/>
      <c r="P187" s="52"/>
      <c r="V187" s="2640" t="s">
        <v>52</v>
      </c>
      <c r="W187" s="2641">
        <v>43252</v>
      </c>
      <c r="X187" s="2641">
        <f>$X$6</f>
        <v>43465</v>
      </c>
      <c r="Y187" s="2641">
        <f>$Y$6</f>
        <v>43800</v>
      </c>
      <c r="Z187" s="2641">
        <f>$Z$6</f>
        <v>43862</v>
      </c>
      <c r="AA187" s="2641">
        <f>$AA$6</f>
        <v>44013</v>
      </c>
      <c r="AB187" s="2641">
        <f>$AB$6</f>
        <v>44166</v>
      </c>
      <c r="AC187" s="2641">
        <f>$AC$6</f>
        <v>44531</v>
      </c>
      <c r="AD187" s="2641">
        <f>$AD$6</f>
        <v>44774</v>
      </c>
      <c r="AE187" s="2641">
        <f>$AE$6</f>
        <v>45139</v>
      </c>
      <c r="AF187" s="2641">
        <f>$AF$6</f>
        <v>45672</v>
      </c>
      <c r="AG187" s="2641" t="str">
        <f>$AG$6</f>
        <v>-</v>
      </c>
      <c r="AU187" s="1505"/>
    </row>
    <row r="188" spans="1:114" ht="135" hidden="1" customHeight="1" outlineLevel="1">
      <c r="A188" s="533"/>
      <c r="B188" s="1454"/>
      <c r="C188" s="51"/>
      <c r="D188" s="1444" t="s">
        <v>1185</v>
      </c>
      <c r="E188" s="2472" t="s">
        <v>1186</v>
      </c>
      <c r="F188" s="2244" t="s">
        <v>1102</v>
      </c>
      <c r="G188" s="2968">
        <v>466</v>
      </c>
      <c r="H188" s="3087" t="s">
        <v>1187</v>
      </c>
      <c r="I188" s="2244"/>
      <c r="J188" s="52"/>
      <c r="K188" s="52"/>
      <c r="L188" s="52"/>
      <c r="V188" s="1444" t="s">
        <v>1185</v>
      </c>
      <c r="W188" s="2733"/>
      <c r="X188" s="2733"/>
      <c r="Y188" s="2733"/>
      <c r="Z188" s="2733"/>
      <c r="AA188" s="2733"/>
      <c r="AB188" s="2733">
        <v>432</v>
      </c>
      <c r="AC188" s="3100">
        <v>432</v>
      </c>
      <c r="AD188" s="3100">
        <v>432</v>
      </c>
      <c r="AE188" s="3100">
        <v>432</v>
      </c>
      <c r="AF188" s="2236">
        <f t="shared" ref="AF188:AF195" si="26">IF(G188&lt;&gt;"",G188,"")</f>
        <v>466</v>
      </c>
      <c r="AG188" s="2244"/>
      <c r="AU188" s="1505"/>
    </row>
    <row r="189" spans="1:114" ht="60" hidden="1" customHeight="1" outlineLevel="1">
      <c r="A189" s="533"/>
      <c r="B189" s="1454"/>
      <c r="C189" s="51"/>
      <c r="D189" s="4135" t="s">
        <v>1188</v>
      </c>
      <c r="E189" s="3088" t="s">
        <v>1189</v>
      </c>
      <c r="F189" s="2589" t="s">
        <v>1190</v>
      </c>
      <c r="G189" s="2969">
        <v>0.4</v>
      </c>
      <c r="H189" s="3089" t="s">
        <v>1191</v>
      </c>
      <c r="I189" s="3090"/>
      <c r="M189" s="535"/>
      <c r="N189" s="64"/>
      <c r="O189" s="535"/>
      <c r="P189" s="64"/>
      <c r="V189" s="4140" t="str">
        <f>D189</f>
        <v>ERP</v>
      </c>
      <c r="W189" s="3101"/>
      <c r="X189" s="3102"/>
      <c r="Y189" s="3102"/>
      <c r="Z189" s="3102"/>
      <c r="AA189" s="3102"/>
      <c r="AB189" s="3101"/>
      <c r="AC189" s="3103"/>
      <c r="AD189" s="3103"/>
      <c r="AE189" s="3103"/>
      <c r="AF189" s="2236">
        <f t="shared" si="26"/>
        <v>0.4</v>
      </c>
      <c r="AG189" s="2684"/>
      <c r="AU189" s="1505"/>
    </row>
    <row r="190" spans="1:114" ht="60" hidden="1" customHeight="1" outlineLevel="1">
      <c r="A190" s="533"/>
      <c r="B190" s="1454"/>
      <c r="C190" s="51"/>
      <c r="D190" s="4136"/>
      <c r="E190" s="3088" t="s">
        <v>1189</v>
      </c>
      <c r="F190" s="2589" t="s">
        <v>1192</v>
      </c>
      <c r="G190" s="2969">
        <v>0.25</v>
      </c>
      <c r="H190" s="3089" t="s">
        <v>1193</v>
      </c>
      <c r="I190" s="3090"/>
      <c r="M190" s="535"/>
      <c r="N190" s="64"/>
      <c r="O190" s="535"/>
      <c r="P190" s="64"/>
      <c r="V190" s="4141"/>
      <c r="W190" s="3104"/>
      <c r="X190" s="3102"/>
      <c r="Y190" s="3102"/>
      <c r="Z190" s="3102"/>
      <c r="AA190" s="3102"/>
      <c r="AB190" s="3101"/>
      <c r="AC190" s="3103"/>
      <c r="AD190" s="3103"/>
      <c r="AE190" s="3103"/>
      <c r="AF190" s="2236">
        <f t="shared" si="26"/>
        <v>0.25</v>
      </c>
      <c r="AG190" s="2684"/>
      <c r="AU190" s="1505"/>
    </row>
    <row r="191" spans="1:114" ht="45" hidden="1" customHeight="1" outlineLevel="1">
      <c r="A191" s="533"/>
      <c r="B191" s="1454"/>
      <c r="C191" s="51"/>
      <c r="D191" s="4133" t="s">
        <v>128</v>
      </c>
      <c r="E191" s="4135" t="s">
        <v>1194</v>
      </c>
      <c r="F191" s="2589" t="s">
        <v>1195</v>
      </c>
      <c r="G191" s="2607">
        <v>0.93799999999999994</v>
      </c>
      <c r="H191" s="3091" t="s">
        <v>1037</v>
      </c>
      <c r="I191" s="3090"/>
      <c r="M191" s="535"/>
      <c r="N191" s="64"/>
      <c r="O191" s="535"/>
      <c r="P191" s="64"/>
      <c r="V191" s="4133" t="s">
        <v>128</v>
      </c>
      <c r="W191" s="3105"/>
      <c r="X191" s="3105"/>
      <c r="Y191" s="3105"/>
      <c r="Z191" s="3105"/>
      <c r="AA191" s="3105"/>
      <c r="AB191" s="3106">
        <v>0.93799999999999994</v>
      </c>
      <c r="AC191" s="3107">
        <v>0.93799999999999994</v>
      </c>
      <c r="AD191" s="3107">
        <v>0.93799999999999994</v>
      </c>
      <c r="AE191" s="3107">
        <v>0.93799999999999994</v>
      </c>
      <c r="AF191" s="2236">
        <f t="shared" si="26"/>
        <v>0.93799999999999994</v>
      </c>
      <c r="AG191" s="2684"/>
      <c r="AU191" s="1505"/>
    </row>
    <row r="192" spans="1:114" ht="60" hidden="1" customHeight="1" outlineLevel="1">
      <c r="A192" s="533"/>
      <c r="B192" s="1454"/>
      <c r="C192" s="51"/>
      <c r="D192" s="4134"/>
      <c r="E192" s="4136"/>
      <c r="F192" s="2589" t="s">
        <v>1196</v>
      </c>
      <c r="G192" s="2607">
        <v>0.95</v>
      </c>
      <c r="H192" s="3091" t="s">
        <v>1197</v>
      </c>
      <c r="I192" s="3090"/>
      <c r="M192" s="535"/>
      <c r="N192" s="64"/>
      <c r="O192" s="535"/>
      <c r="P192" s="64"/>
      <c r="V192" s="4134"/>
      <c r="W192" s="3105"/>
      <c r="X192" s="3105"/>
      <c r="Y192" s="3105"/>
      <c r="Z192" s="3105"/>
      <c r="AA192" s="3105"/>
      <c r="AB192" s="3108">
        <v>0.95</v>
      </c>
      <c r="AC192" s="3109">
        <v>0.95</v>
      </c>
      <c r="AD192" s="3109">
        <v>0.95</v>
      </c>
      <c r="AE192" s="3109">
        <v>0.95</v>
      </c>
      <c r="AF192" s="2236">
        <f t="shared" si="26"/>
        <v>0.95</v>
      </c>
      <c r="AG192" s="2684"/>
      <c r="AU192" s="1505"/>
    </row>
    <row r="193" spans="1:114" ht="45" hidden="1" customHeight="1" outlineLevel="1">
      <c r="A193" s="533"/>
      <c r="B193" s="1454"/>
      <c r="C193" s="51"/>
      <c r="D193" s="3092" t="s">
        <v>49</v>
      </c>
      <c r="E193" s="3092" t="s">
        <v>1198</v>
      </c>
      <c r="F193" s="3093" t="s">
        <v>1102</v>
      </c>
      <c r="G193" s="2974">
        <v>10</v>
      </c>
      <c r="H193" s="3089" t="s">
        <v>1199</v>
      </c>
      <c r="I193" s="1602" t="s">
        <v>62</v>
      </c>
      <c r="M193" s="535"/>
      <c r="N193" s="64"/>
      <c r="O193" s="535"/>
      <c r="P193" s="64"/>
      <c r="V193" s="3092" t="s">
        <v>49</v>
      </c>
      <c r="W193" s="3110"/>
      <c r="X193" s="3110"/>
      <c r="Y193" s="3110"/>
      <c r="Z193" s="3110"/>
      <c r="AA193" s="3110"/>
      <c r="AB193" s="3111">
        <v>10</v>
      </c>
      <c r="AC193" s="3112">
        <v>10</v>
      </c>
      <c r="AD193" s="3112">
        <v>10</v>
      </c>
      <c r="AE193" s="3112">
        <v>10</v>
      </c>
      <c r="AF193" s="2236">
        <f t="shared" si="26"/>
        <v>10</v>
      </c>
      <c r="AG193" s="2684"/>
      <c r="AI193" s="1520"/>
      <c r="AJ193" s="1520"/>
      <c r="AU193" s="1505"/>
    </row>
    <row r="194" spans="1:114" ht="30" hidden="1" outlineLevel="1">
      <c r="A194" s="533"/>
      <c r="B194" s="1454"/>
      <c r="C194" s="51"/>
      <c r="D194" s="4137" t="str">
        <f>$D$42</f>
        <v>Inc. Cost</v>
      </c>
      <c r="E194" s="4137" t="e">
        <f>$E$42</f>
        <v>#REF!</v>
      </c>
      <c r="F194" s="3094" t="s">
        <v>1195</v>
      </c>
      <c r="G194" s="2612">
        <v>65</v>
      </c>
      <c r="H194" s="3095" t="s">
        <v>1200</v>
      </c>
      <c r="I194" s="3096"/>
      <c r="M194" s="535"/>
      <c r="N194" s="64"/>
      <c r="O194" s="535"/>
      <c r="P194" s="64"/>
      <c r="V194" s="4137" t="str">
        <f>$D$42</f>
        <v>Inc. Cost</v>
      </c>
      <c r="W194" s="3113"/>
      <c r="X194" s="3113"/>
      <c r="Y194" s="3113"/>
      <c r="Z194" s="3113"/>
      <c r="AA194" s="3113"/>
      <c r="AB194" s="3114">
        <v>30</v>
      </c>
      <c r="AC194" s="3097">
        <v>30</v>
      </c>
      <c r="AD194" s="3097">
        <v>30</v>
      </c>
      <c r="AE194" s="3097">
        <v>30</v>
      </c>
      <c r="AF194" s="2236">
        <f t="shared" si="26"/>
        <v>65</v>
      </c>
      <c r="AG194" s="3115"/>
      <c r="AI194" s="1520"/>
      <c r="AJ194" s="1520"/>
      <c r="AU194" s="1505"/>
    </row>
    <row r="195" spans="1:114" ht="30" hidden="1" outlineLevel="1">
      <c r="A195" s="533"/>
      <c r="B195" s="1454"/>
      <c r="C195" s="51"/>
      <c r="D195" s="4137"/>
      <c r="E195" s="4137"/>
      <c r="F195" s="3097" t="s">
        <v>1196</v>
      </c>
      <c r="G195" s="3098">
        <v>60</v>
      </c>
      <c r="H195" s="3099" t="s">
        <v>1201</v>
      </c>
      <c r="I195" s="3099" t="s">
        <v>1201</v>
      </c>
      <c r="M195" s="535"/>
      <c r="N195" s="64"/>
      <c r="O195" s="535"/>
      <c r="P195" s="64"/>
      <c r="V195" s="4137"/>
      <c r="W195" s="3113"/>
      <c r="X195" s="3113"/>
      <c r="Y195" s="3113"/>
      <c r="Z195" s="3113"/>
      <c r="AA195" s="3113"/>
      <c r="AB195" s="3114">
        <v>60</v>
      </c>
      <c r="AC195" s="3097">
        <v>60</v>
      </c>
      <c r="AD195" s="3097">
        <v>60</v>
      </c>
      <c r="AE195" s="3097">
        <v>60</v>
      </c>
      <c r="AF195" s="2236">
        <f t="shared" si="26"/>
        <v>60</v>
      </c>
      <c r="AG195" s="3116"/>
      <c r="AI195" s="1520"/>
      <c r="AJ195" s="1520"/>
      <c r="AU195" s="1505"/>
    </row>
    <row r="196" spans="1:114" collapsed="1">
      <c r="A196" s="533"/>
      <c r="C196" s="51"/>
      <c r="D196" s="104"/>
      <c r="E196" s="104"/>
      <c r="F196" s="51"/>
      <c r="G196" s="52"/>
      <c r="H196" s="52"/>
      <c r="X196" s="67"/>
      <c r="AU196" s="1505"/>
    </row>
    <row r="197" spans="1:114">
      <c r="A197" s="533"/>
      <c r="C197" s="64"/>
      <c r="AU197" s="1505"/>
    </row>
    <row r="198" spans="1:114">
      <c r="A198" s="533"/>
      <c r="B198" s="4025" t="s">
        <v>1202</v>
      </c>
      <c r="C198" s="4026"/>
      <c r="D198" s="4026"/>
      <c r="E198" s="4026"/>
      <c r="F198" s="4026"/>
      <c r="G198" s="4026"/>
      <c r="H198" s="4026"/>
      <c r="I198" s="4817"/>
      <c r="J198" s="4817"/>
      <c r="K198" s="4817"/>
      <c r="L198" s="4817"/>
      <c r="M198" s="4817"/>
      <c r="N198" s="4817"/>
      <c r="O198" s="4818"/>
      <c r="V198" s="4040" t="str">
        <f>B198</f>
        <v>ENERGY STAR Air Purifier</v>
      </c>
      <c r="W198" s="4041"/>
      <c r="X198" s="4041"/>
      <c r="Y198" s="4041"/>
      <c r="Z198" s="4041"/>
      <c r="AA198" s="4041"/>
      <c r="AB198" s="4041"/>
      <c r="AC198" s="4832"/>
      <c r="AD198" s="4832"/>
      <c r="AE198" s="4832"/>
      <c r="AF198" s="4832"/>
      <c r="AG198" s="4832"/>
      <c r="AH198" s="4832"/>
      <c r="AI198" s="4833"/>
      <c r="AU198" s="1505"/>
      <c r="DJ198" s="1187"/>
    </row>
    <row r="199" spans="1:114">
      <c r="A199" s="533"/>
      <c r="B199" s="2086"/>
      <c r="C199" s="2963"/>
      <c r="D199" s="2711"/>
      <c r="E199" s="2711"/>
      <c r="F199" s="2963"/>
      <c r="G199" s="2086"/>
      <c r="H199" s="2086"/>
      <c r="I199" s="2086"/>
      <c r="J199" s="2086"/>
      <c r="K199" s="2086"/>
      <c r="L199" s="2086"/>
      <c r="M199" s="2086"/>
      <c r="N199" s="2086"/>
      <c r="O199" s="2086"/>
      <c r="V199" s="2723"/>
      <c r="W199" s="2723"/>
      <c r="X199" s="2723"/>
      <c r="Y199" s="2723"/>
      <c r="Z199" s="2723"/>
      <c r="AA199" s="2723"/>
      <c r="AB199" s="2723"/>
      <c r="AC199" s="2723"/>
      <c r="AD199" s="2723"/>
      <c r="AE199" s="2723"/>
      <c r="AF199" s="2723"/>
      <c r="AG199" s="2723"/>
      <c r="AH199" s="2723"/>
      <c r="AI199" s="2723"/>
      <c r="AU199" s="1505"/>
      <c r="DJ199" s="1187"/>
    </row>
    <row r="200" spans="1:114" ht="30">
      <c r="A200" s="533"/>
      <c r="B200" s="2086"/>
      <c r="C200" s="2207" t="s">
        <v>42</v>
      </c>
      <c r="D200" s="2207" t="s">
        <v>953</v>
      </c>
      <c r="E200" s="3117" t="s">
        <v>44</v>
      </c>
      <c r="F200" s="2207" t="s">
        <v>45</v>
      </c>
      <c r="G200" s="3117" t="s">
        <v>46</v>
      </c>
      <c r="H200" s="3117" t="s">
        <v>47</v>
      </c>
      <c r="I200" s="3117" t="s">
        <v>48</v>
      </c>
      <c r="J200" s="3117" t="s">
        <v>49</v>
      </c>
      <c r="K200" s="3117" t="s">
        <v>50</v>
      </c>
      <c r="L200" s="2207" t="s">
        <v>51</v>
      </c>
      <c r="M200" s="635"/>
      <c r="N200" s="635"/>
      <c r="O200" s="2086"/>
      <c r="V200" s="2640" t="s">
        <v>52</v>
      </c>
      <c r="W200" s="2641">
        <v>43252</v>
      </c>
      <c r="X200" s="2641">
        <f>$X$6</f>
        <v>43465</v>
      </c>
      <c r="Y200" s="2641">
        <f>$Y$6</f>
        <v>43800</v>
      </c>
      <c r="Z200" s="2641">
        <f>$Z$6</f>
        <v>43862</v>
      </c>
      <c r="AA200" s="2641">
        <f>$AA$6</f>
        <v>44013</v>
      </c>
      <c r="AB200" s="2641">
        <f>$AB$6</f>
        <v>44166</v>
      </c>
      <c r="AC200" s="2641">
        <f>$AC$6</f>
        <v>44531</v>
      </c>
      <c r="AD200" s="2641">
        <f>$AD$6</f>
        <v>44774</v>
      </c>
      <c r="AE200" s="2641">
        <f>$AE$6</f>
        <v>45139</v>
      </c>
      <c r="AF200" s="2641">
        <f>$AF$6</f>
        <v>45672</v>
      </c>
      <c r="AG200" s="2641" t="str">
        <f>$AG$6</f>
        <v>-</v>
      </c>
      <c r="AH200" s="2723"/>
      <c r="AI200" s="2723"/>
      <c r="AU200" s="1505"/>
      <c r="DG200" s="3048" t="str">
        <f>$DG$6</f>
        <v>TRC (2025)</v>
      </c>
      <c r="DH200" s="3048" t="str">
        <f>$DH$6</f>
        <v>Benefit Lookup</v>
      </c>
      <c r="DI200" s="3049" t="str">
        <f>$DI$6</f>
        <v>Benefits (2025 $)</v>
      </c>
      <c r="DJ200" s="3050" t="str">
        <f>$DJ$6</f>
        <v>Incremental Cost (2025 $)</v>
      </c>
    </row>
    <row r="201" spans="1:114">
      <c r="A201" s="533"/>
      <c r="B201" s="2208">
        <f t="shared" ref="B201:B204" si="27">VALUE(LEFT(C201,6))</f>
        <v>251051</v>
      </c>
      <c r="C201" s="2733" t="s">
        <v>1203</v>
      </c>
      <c r="D201" s="2409" t="s">
        <v>1139</v>
      </c>
      <c r="E201" s="2714" t="s">
        <v>1204</v>
      </c>
      <c r="F201" s="2663">
        <f>((G$234*(G210/(G214*1000))+(8760-G$234)*G218/1000)*G$236-
(G$234*(G222/(G226*1000))+(8760-G$234)*G230/1000))*G$237</f>
        <v>130.65805191993269</v>
      </c>
      <c r="G201" s="2887" t="s">
        <v>1205</v>
      </c>
      <c r="H201" s="2225">
        <f>VLOOKUP(G201,'CP FACTORS'!$A$3:$B$38, 2, FALSE)</f>
        <v>4.6608050000000002E-4</v>
      </c>
      <c r="I201" s="2481">
        <f>ROUND(H201*F201,6)</f>
        <v>6.0897E-2</v>
      </c>
      <c r="J201" s="2664">
        <f>G$238</f>
        <v>9</v>
      </c>
      <c r="K201" s="2665">
        <f>G243</f>
        <v>8.44</v>
      </c>
      <c r="L201" s="2459" t="s">
        <v>62</v>
      </c>
      <c r="M201" s="2086"/>
      <c r="N201" s="2701"/>
      <c r="O201" s="2966"/>
      <c r="R201" s="532"/>
      <c r="V201" s="1444" t="s">
        <v>1206</v>
      </c>
      <c r="W201" s="2733"/>
      <c r="X201" s="2733"/>
      <c r="Y201" s="2733"/>
      <c r="Z201" s="2733"/>
      <c r="AA201" s="2733"/>
      <c r="AB201" s="2733"/>
      <c r="AC201" s="3100"/>
      <c r="AD201" s="3100"/>
      <c r="AE201" s="3100"/>
      <c r="AF201" s="2236">
        <v>130.65805191993269</v>
      </c>
      <c r="AG201" s="2244"/>
      <c r="AH201" s="2728"/>
      <c r="AI201" s="2723"/>
      <c r="AU201" s="1505"/>
      <c r="DG201" s="3133">
        <f t="shared" ref="DG201:DG204" si="28">IFERROR((DI201)/(DJ201),0)</f>
        <v>13.513126894665204</v>
      </c>
      <c r="DH201" s="2432" t="str">
        <f t="shared" ref="DH201:DH204" si="29">CONCATENATE(G201," ",J201," Year EUL")</f>
        <v>HVAC RES 9 Year EUL</v>
      </c>
      <c r="DI201" s="2604">
        <f>(INDEX('Avoided Cost Benefits'!$B$4:$B$865,MATCH(DH201,'Avoided Cost Benefits'!$A$4:$A$865,0)))*F201</f>
        <v>114.05079099097432</v>
      </c>
      <c r="DJ201" s="2605">
        <f>K201/(1.0686^(2025-2025))</f>
        <v>8.44</v>
      </c>
    </row>
    <row r="202" spans="1:114" s="1509" customFormat="1">
      <c r="A202" s="533"/>
      <c r="B202" s="2208">
        <f t="shared" si="27"/>
        <v>251052</v>
      </c>
      <c r="C202" s="2733" t="s">
        <v>1207</v>
      </c>
      <c r="D202" s="2409" t="s">
        <v>1139</v>
      </c>
      <c r="E202" s="2714" t="s">
        <v>1208</v>
      </c>
      <c r="F202" s="2663">
        <f>((G$234*(G211/(G215*1000))+(8760-G$234)*G219/1000)*G$236-
(G$234*(G223/(G227*1000))+(8760-G$234)*G231/1000))*G$237</f>
        <v>224.86318964320154</v>
      </c>
      <c r="G202" s="2887" t="s">
        <v>1205</v>
      </c>
      <c r="H202" s="2225">
        <f>VLOOKUP(G202,'CP FACTORS'!$A$3:$B$38, 2, FALSE)</f>
        <v>4.6608050000000002E-4</v>
      </c>
      <c r="I202" s="2481">
        <f>ROUND(H202*F202,6)</f>
        <v>0.10480399999999999</v>
      </c>
      <c r="J202" s="2664">
        <f>G$238</f>
        <v>9</v>
      </c>
      <c r="K202" s="2665">
        <f>G244</f>
        <v>22.33</v>
      </c>
      <c r="L202" s="2459" t="s">
        <v>62</v>
      </c>
      <c r="M202" s="2086"/>
      <c r="N202" s="2086"/>
      <c r="O202" s="2086"/>
      <c r="P202" s="66"/>
      <c r="Q202" s="66"/>
      <c r="R202" s="66"/>
      <c r="S202" s="66"/>
      <c r="T202" s="66"/>
      <c r="U202" s="66"/>
      <c r="V202" s="1444" t="s">
        <v>1206</v>
      </c>
      <c r="W202" s="2733"/>
      <c r="X202" s="2733"/>
      <c r="Y202" s="2733"/>
      <c r="Z202" s="2733"/>
      <c r="AA202" s="2733"/>
      <c r="AB202" s="2733"/>
      <c r="AC202" s="3100"/>
      <c r="AD202" s="3100"/>
      <c r="AE202" s="3100"/>
      <c r="AF202" s="2236">
        <v>224.86318964320154</v>
      </c>
      <c r="AG202" s="2244"/>
      <c r="AH202" s="2723"/>
      <c r="AI202" s="2723"/>
      <c r="AU202" s="1505"/>
      <c r="DG202" s="3133">
        <f t="shared" si="28"/>
        <v>8.7900585249566419</v>
      </c>
      <c r="DH202" s="2432" t="str">
        <f t="shared" si="29"/>
        <v>HVAC RES 9 Year EUL</v>
      </c>
      <c r="DI202" s="2604">
        <f>(INDEX('Avoided Cost Benefits'!$B$4:$B$865,MATCH(DH202,'Avoided Cost Benefits'!$A$4:$A$865,0)))*F202</f>
        <v>196.2820068622818</v>
      </c>
      <c r="DJ202" s="2605">
        <f>K202/(1.0686^(2025-2025))</f>
        <v>22.33</v>
      </c>
    </row>
    <row r="203" spans="1:114" s="1509" customFormat="1">
      <c r="A203" s="533"/>
      <c r="B203" s="2208">
        <f t="shared" si="27"/>
        <v>251053</v>
      </c>
      <c r="C203" s="2733" t="s">
        <v>1209</v>
      </c>
      <c r="D203" s="2409" t="s">
        <v>1139</v>
      </c>
      <c r="E203" s="2714" t="s">
        <v>1210</v>
      </c>
      <c r="F203" s="2663">
        <f>((G$234*(G212/(G216*1000))+(8760-G$234)*G220/1000)*G$236-
(G$234*(G224/(G228*1000))+(8760-G$234)*G232/1000))*G$237</f>
        <v>296.65433124627413</v>
      </c>
      <c r="G203" s="2887" t="s">
        <v>1205</v>
      </c>
      <c r="H203" s="2225">
        <f>VLOOKUP(G203,'CP FACTORS'!$A$3:$B$38, 2, FALSE)</f>
        <v>4.6608050000000002E-4</v>
      </c>
      <c r="I203" s="2481">
        <f>ROUND(H203*F203,6)</f>
        <v>0.138265</v>
      </c>
      <c r="J203" s="2664">
        <f>G$238</f>
        <v>9</v>
      </c>
      <c r="K203" s="2665">
        <f>G245</f>
        <v>92.34</v>
      </c>
      <c r="L203" s="2459" t="s">
        <v>62</v>
      </c>
      <c r="M203" s="2086"/>
      <c r="N203" s="3118"/>
      <c r="O203" s="3118"/>
      <c r="P203" s="75"/>
      <c r="Q203" s="75"/>
      <c r="R203" s="75"/>
      <c r="S203" s="75"/>
      <c r="T203" s="75"/>
      <c r="U203" s="75"/>
      <c r="V203" s="1444" t="s">
        <v>1206</v>
      </c>
      <c r="W203" s="2733"/>
      <c r="X203" s="2733"/>
      <c r="Y203" s="2733"/>
      <c r="Z203" s="2733"/>
      <c r="AA203" s="2733"/>
      <c r="AB203" s="2733"/>
      <c r="AC203" s="3100"/>
      <c r="AD203" s="3100"/>
      <c r="AE203" s="3100"/>
      <c r="AF203" s="2236">
        <v>296.65433124627413</v>
      </c>
      <c r="AG203" s="2244"/>
      <c r="AH203" s="3043"/>
      <c r="AI203" s="3043"/>
      <c r="AU203" s="1505"/>
      <c r="DG203" s="3133">
        <f t="shared" si="28"/>
        <v>2.8042901485099554</v>
      </c>
      <c r="DH203" s="2432" t="str">
        <f t="shared" si="29"/>
        <v>HVAC RES 9 Year EUL</v>
      </c>
      <c r="DI203" s="2604">
        <f>(INDEX('Avoided Cost Benefits'!$B$4:$B$865,MATCH(DH203,'Avoided Cost Benefits'!$A$4:$A$865,0)))*F203</f>
        <v>258.94815231340931</v>
      </c>
      <c r="DJ203" s="2605">
        <f>K203/(1.0686^(2025-2025))</f>
        <v>92.34</v>
      </c>
    </row>
    <row r="204" spans="1:114" s="1509" customFormat="1">
      <c r="A204" s="533"/>
      <c r="B204" s="2208">
        <f t="shared" si="27"/>
        <v>251054</v>
      </c>
      <c r="C204" s="2733" t="s">
        <v>1211</v>
      </c>
      <c r="D204" s="2409" t="s">
        <v>1139</v>
      </c>
      <c r="E204" s="2714" t="s">
        <v>1212</v>
      </c>
      <c r="F204" s="2663">
        <f>((G$234*(G213/(G217*1000))+(8760-G$234)*G221/1000)*G$236-
(G$234*(G225/(G229*1000))+(8760-G$234)*G233/1000))*G$237</f>
        <v>558.89649179259254</v>
      </c>
      <c r="G204" s="2887" t="s">
        <v>1205</v>
      </c>
      <c r="H204" s="2225">
        <f>VLOOKUP(G204,'CP FACTORS'!$A$3:$B$38, 2, FALSE)</f>
        <v>4.6608050000000002E-4</v>
      </c>
      <c r="I204" s="2481">
        <f>ROUND(H204*F204,6)</f>
        <v>0.26049099999999997</v>
      </c>
      <c r="J204" s="2664">
        <f>G$238</f>
        <v>9</v>
      </c>
      <c r="K204" s="2665">
        <f>G246</f>
        <v>44.5</v>
      </c>
      <c r="L204" s="2459" t="s">
        <v>62</v>
      </c>
      <c r="M204" s="3118"/>
      <c r="N204" s="3118"/>
      <c r="O204" s="3118"/>
      <c r="P204" s="75"/>
      <c r="Q204" s="75"/>
      <c r="R204" s="75"/>
      <c r="S204" s="75"/>
      <c r="T204" s="75"/>
      <c r="U204" s="75"/>
      <c r="V204" s="1444" t="s">
        <v>1206</v>
      </c>
      <c r="W204" s="2733"/>
      <c r="X204" s="2733"/>
      <c r="Y204" s="2733"/>
      <c r="Z204" s="2733"/>
      <c r="AA204" s="2733"/>
      <c r="AB204" s="2733"/>
      <c r="AC204" s="3100"/>
      <c r="AD204" s="3100"/>
      <c r="AE204" s="3100"/>
      <c r="AF204" s="2236">
        <v>558.89649179259254</v>
      </c>
      <c r="AG204" s="2244"/>
      <c r="AH204" s="3043"/>
      <c r="AI204" s="3043"/>
      <c r="AU204" s="1505"/>
      <c r="DG204" s="3133">
        <f t="shared" si="28"/>
        <v>10.963103028812478</v>
      </c>
      <c r="DH204" s="2432" t="str">
        <f t="shared" si="29"/>
        <v>HVAC RES 9 Year EUL</v>
      </c>
      <c r="DI204" s="2604">
        <f>(INDEX('Avoided Cost Benefits'!$B$4:$B$865,MATCH(DH204,'Avoided Cost Benefits'!$A$4:$A$865,0)))*F204</f>
        <v>487.85808478215529</v>
      </c>
      <c r="DJ204" s="2605">
        <f>K204/(1.0686^(2025-2025))</f>
        <v>44.5</v>
      </c>
    </row>
    <row r="205" spans="1:114" s="1509" customFormat="1" ht="15" hidden="1" customHeight="1" outlineLevel="1">
      <c r="A205" s="533"/>
      <c r="B205" s="3118"/>
      <c r="C205" s="3119"/>
      <c r="D205" s="2624" t="s">
        <v>118</v>
      </c>
      <c r="E205" s="2993" t="s">
        <v>1213</v>
      </c>
      <c r="F205" s="3120"/>
      <c r="G205" s="3118"/>
      <c r="H205" s="3118"/>
      <c r="I205" s="3118"/>
      <c r="J205" s="3118"/>
      <c r="K205" s="3118"/>
      <c r="L205" s="3118"/>
      <c r="M205" s="3118"/>
      <c r="N205" s="3118"/>
      <c r="O205" s="3118"/>
      <c r="P205" s="75"/>
      <c r="Q205" s="75"/>
      <c r="R205" s="75"/>
      <c r="S205" s="75"/>
      <c r="T205" s="75"/>
      <c r="U205" s="75"/>
      <c r="V205" s="3118"/>
      <c r="W205" s="3118"/>
      <c r="X205" s="3118"/>
      <c r="Y205" s="3118"/>
      <c r="Z205" s="3118"/>
      <c r="AA205" s="3118"/>
      <c r="AB205" s="3118"/>
      <c r="AC205" s="3118"/>
      <c r="AD205" s="3118"/>
      <c r="AE205" s="3118"/>
      <c r="AF205" s="3118"/>
      <c r="AG205" s="3118"/>
      <c r="AH205" s="3043"/>
      <c r="AI205" s="3043"/>
      <c r="AU205" s="1505"/>
      <c r="DG205" s="1074"/>
      <c r="DH205" s="75"/>
      <c r="DI205" s="75"/>
      <c r="DJ205" s="1187"/>
    </row>
    <row r="206" spans="1:114" s="1509" customFormat="1" ht="15" hidden="1" customHeight="1" outlineLevel="1">
      <c r="A206" s="533"/>
      <c r="B206" s="3118"/>
      <c r="C206" s="2237"/>
      <c r="D206" s="2624" t="s">
        <v>963</v>
      </c>
      <c r="E206" s="2360" t="s">
        <v>1214</v>
      </c>
      <c r="F206" s="3120"/>
      <c r="G206" s="3118"/>
      <c r="H206" s="3118"/>
      <c r="I206" s="3118"/>
      <c r="J206" s="3118"/>
      <c r="K206" s="3118"/>
      <c r="L206" s="3118"/>
      <c r="M206" s="3118"/>
      <c r="N206" s="3118"/>
      <c r="O206" s="3118"/>
      <c r="P206" s="75"/>
      <c r="Q206" s="75"/>
      <c r="R206" s="75"/>
      <c r="S206" s="75"/>
      <c r="T206" s="75"/>
      <c r="U206" s="75"/>
      <c r="V206" s="3118"/>
      <c r="W206" s="3118"/>
      <c r="X206" s="3118"/>
      <c r="Y206" s="3118"/>
      <c r="Z206" s="3118"/>
      <c r="AA206" s="3118"/>
      <c r="AB206" s="3118"/>
      <c r="AC206" s="3118"/>
      <c r="AD206" s="3118"/>
      <c r="AE206" s="3118"/>
      <c r="AF206" s="3118"/>
      <c r="AG206" s="3118"/>
      <c r="AH206" s="3043"/>
      <c r="AI206" s="3043"/>
      <c r="AU206" s="1505"/>
      <c r="DG206" s="1074"/>
      <c r="DH206" s="75"/>
      <c r="DI206" s="75"/>
      <c r="DJ206" s="1187"/>
    </row>
    <row r="207" spans="1:114" s="1509" customFormat="1" ht="15" hidden="1" customHeight="1" outlineLevel="1">
      <c r="A207" s="533"/>
      <c r="B207" s="3118"/>
      <c r="C207" s="3119"/>
      <c r="D207" s="3043"/>
      <c r="E207" s="2626" t="s">
        <v>966</v>
      </c>
      <c r="F207" s="3119"/>
      <c r="G207" s="3118"/>
      <c r="H207" s="3118"/>
      <c r="I207" s="3118"/>
      <c r="J207" s="3118"/>
      <c r="K207" s="3118"/>
      <c r="L207" s="3118"/>
      <c r="M207" s="3118"/>
      <c r="N207" s="3118"/>
      <c r="O207" s="3118"/>
      <c r="P207" s="75"/>
      <c r="Q207" s="75"/>
      <c r="R207" s="75"/>
      <c r="S207" s="75"/>
      <c r="T207" s="75"/>
      <c r="U207" s="75"/>
      <c r="V207" s="3118"/>
      <c r="W207" s="3118"/>
      <c r="X207" s="3118"/>
      <c r="Y207" s="3118"/>
      <c r="Z207" s="3118"/>
      <c r="AA207" s="3118"/>
      <c r="AB207" s="3118"/>
      <c r="AC207" s="3118"/>
      <c r="AD207" s="3118"/>
      <c r="AE207" s="3118"/>
      <c r="AF207" s="3118"/>
      <c r="AG207" s="3118"/>
      <c r="AH207" s="3043"/>
      <c r="AI207" s="3043"/>
      <c r="AU207" s="1505"/>
      <c r="DG207" s="1074"/>
      <c r="DH207" s="75"/>
      <c r="DI207" s="75"/>
      <c r="DJ207" s="1187"/>
    </row>
    <row r="208" spans="1:114" ht="30.75" hidden="1" customHeight="1" outlineLevel="1">
      <c r="A208" s="533"/>
      <c r="B208" s="2697"/>
      <c r="C208" s="2963"/>
      <c r="D208" s="3121"/>
      <c r="E208" s="3121"/>
      <c r="F208" s="3121"/>
      <c r="G208" s="3121"/>
      <c r="H208" s="3121"/>
      <c r="I208" s="3121"/>
      <c r="J208" s="2086"/>
      <c r="K208" s="2086"/>
      <c r="L208" s="2086"/>
      <c r="M208" s="2086"/>
      <c r="N208" s="4042"/>
      <c r="O208" s="4042"/>
      <c r="P208" s="67"/>
      <c r="V208" s="2086"/>
      <c r="W208" s="2086"/>
      <c r="X208" s="2086"/>
      <c r="Y208" s="2086"/>
      <c r="Z208" s="2086"/>
      <c r="AA208" s="2086"/>
      <c r="AB208" s="2086"/>
      <c r="AC208" s="2086"/>
      <c r="AD208" s="2086"/>
      <c r="AE208" s="2086"/>
      <c r="AF208" s="2086"/>
      <c r="AG208" s="2086"/>
      <c r="AH208" s="2723"/>
      <c r="AI208" s="2723"/>
      <c r="AU208" s="1505"/>
      <c r="DJ208" s="1187"/>
    </row>
    <row r="209" spans="1:114" ht="37.5" hidden="1" customHeight="1" outlineLevel="1">
      <c r="A209" s="533"/>
      <c r="B209" s="2086"/>
      <c r="C209" s="2963"/>
      <c r="D209" s="2303" t="s">
        <v>1078</v>
      </c>
      <c r="E209" s="2303" t="s">
        <v>967</v>
      </c>
      <c r="F209" s="2207" t="s">
        <v>1215</v>
      </c>
      <c r="G209" s="2304" t="s">
        <v>969</v>
      </c>
      <c r="H209" s="4052" t="s">
        <v>970</v>
      </c>
      <c r="I209" s="4052"/>
      <c r="J209" s="2086"/>
      <c r="K209" s="2221"/>
      <c r="L209" s="2221"/>
      <c r="M209" s="3122"/>
      <c r="N209" s="3122"/>
      <c r="O209" s="3122"/>
      <c r="P209" s="67"/>
      <c r="V209" s="2640" t="s">
        <v>52</v>
      </c>
      <c r="W209" s="2641">
        <v>43252</v>
      </c>
      <c r="X209" s="2641">
        <f>$X$6</f>
        <v>43465</v>
      </c>
      <c r="Y209" s="2641">
        <f>$Y$6</f>
        <v>43800</v>
      </c>
      <c r="Z209" s="2641">
        <f>$Z$6</f>
        <v>43862</v>
      </c>
      <c r="AA209" s="2641">
        <f>$AA$6</f>
        <v>44013</v>
      </c>
      <c r="AB209" s="2641">
        <f>$AB$6</f>
        <v>44166</v>
      </c>
      <c r="AC209" s="2641">
        <f>$AC$6</f>
        <v>44531</v>
      </c>
      <c r="AD209" s="2641">
        <f>$AD$6</f>
        <v>44774</v>
      </c>
      <c r="AE209" s="2641">
        <f>$AE$6</f>
        <v>45139</v>
      </c>
      <c r="AF209" s="2641">
        <f>$AF$6</f>
        <v>45672</v>
      </c>
      <c r="AG209" s="2641" t="str">
        <f>$AG$6</f>
        <v>-</v>
      </c>
      <c r="AH209" s="2723"/>
      <c r="AI209" s="2723"/>
      <c r="AU209" s="1505"/>
      <c r="DJ209" s="1187"/>
    </row>
    <row r="210" spans="1:114" ht="31.5" hidden="1" customHeight="1" outlineLevel="1">
      <c r="A210" s="533"/>
      <c r="B210" s="2086"/>
      <c r="C210" s="2963"/>
      <c r="D210" s="3025" t="s">
        <v>1216</v>
      </c>
      <c r="E210" s="3025" t="s">
        <v>1217</v>
      </c>
      <c r="F210" s="2409" t="s">
        <v>1218</v>
      </c>
      <c r="G210" s="2757">
        <v>83.3</v>
      </c>
      <c r="H210" s="4020" t="s">
        <v>1219</v>
      </c>
      <c r="I210" s="4020"/>
      <c r="J210" s="2086"/>
      <c r="K210" s="2221"/>
      <c r="L210" s="2221"/>
      <c r="M210" s="3122"/>
      <c r="N210" s="3122"/>
      <c r="O210" s="3122"/>
      <c r="P210" s="67"/>
      <c r="V210" s="2707" t="s">
        <v>1216</v>
      </c>
      <c r="W210" s="2707"/>
      <c r="X210" s="2707"/>
      <c r="Y210" s="2707"/>
      <c r="Z210" s="2707"/>
      <c r="AA210" s="2707"/>
      <c r="AB210" s="2707"/>
      <c r="AC210" s="2707"/>
      <c r="AD210" s="2707"/>
      <c r="AE210" s="2707"/>
      <c r="AF210" s="2236">
        <f t="shared" ref="AF210:AF246" si="30">IF(G210&lt;&gt;"",G210,"")</f>
        <v>83.3</v>
      </c>
      <c r="AG210" s="2707"/>
      <c r="AH210" s="2723"/>
      <c r="AI210" s="2723"/>
      <c r="AU210" s="1505"/>
      <c r="DJ210" s="1187"/>
    </row>
    <row r="211" spans="1:114" ht="38.25" hidden="1" customHeight="1" outlineLevel="1">
      <c r="A211" s="533"/>
      <c r="B211" s="2086"/>
      <c r="C211" s="2963"/>
      <c r="D211" s="3025" t="s">
        <v>1216</v>
      </c>
      <c r="E211" s="3025" t="s">
        <v>1217</v>
      </c>
      <c r="F211" s="2409" t="s">
        <v>1220</v>
      </c>
      <c r="G211" s="2757">
        <v>127.6</v>
      </c>
      <c r="H211" s="4020" t="s">
        <v>1219</v>
      </c>
      <c r="I211" s="4020"/>
      <c r="J211" s="2086"/>
      <c r="K211" s="2221"/>
      <c r="L211" s="2221"/>
      <c r="M211" s="3122"/>
      <c r="N211" s="3122"/>
      <c r="O211" s="3122"/>
      <c r="P211" s="67"/>
      <c r="V211" s="2707" t="s">
        <v>1216</v>
      </c>
      <c r="W211" s="2707"/>
      <c r="X211" s="2707"/>
      <c r="Y211" s="2707"/>
      <c r="Z211" s="2707"/>
      <c r="AA211" s="2707"/>
      <c r="AB211" s="2707"/>
      <c r="AC211" s="2707"/>
      <c r="AD211" s="2707"/>
      <c r="AE211" s="2707"/>
      <c r="AF211" s="2236">
        <f t="shared" si="30"/>
        <v>127.6</v>
      </c>
      <c r="AG211" s="2707"/>
      <c r="AH211" s="2723"/>
      <c r="AI211" s="2723"/>
      <c r="AU211" s="1505"/>
      <c r="DJ211" s="1187"/>
    </row>
    <row r="212" spans="1:114" ht="15" hidden="1" customHeight="1" outlineLevel="1">
      <c r="A212" s="533"/>
      <c r="B212" s="2086"/>
      <c r="C212" s="2963"/>
      <c r="D212" s="3025" t="s">
        <v>1216</v>
      </c>
      <c r="E212" s="3025" t="s">
        <v>1217</v>
      </c>
      <c r="F212" s="2409" t="s">
        <v>1221</v>
      </c>
      <c r="G212" s="2757">
        <v>175.2</v>
      </c>
      <c r="H212" s="4020" t="s">
        <v>1219</v>
      </c>
      <c r="I212" s="4020"/>
      <c r="J212" s="2086"/>
      <c r="K212" s="2221"/>
      <c r="L212" s="2221"/>
      <c r="M212" s="3122"/>
      <c r="N212" s="3122"/>
      <c r="O212" s="3122"/>
      <c r="P212" s="67"/>
      <c r="V212" s="2707" t="s">
        <v>1216</v>
      </c>
      <c r="W212" s="2707"/>
      <c r="X212" s="2707"/>
      <c r="Y212" s="2707"/>
      <c r="Z212" s="2707"/>
      <c r="AA212" s="2707"/>
      <c r="AB212" s="2707"/>
      <c r="AC212" s="2707"/>
      <c r="AD212" s="2707"/>
      <c r="AE212" s="2707"/>
      <c r="AF212" s="2236">
        <f t="shared" si="30"/>
        <v>175.2</v>
      </c>
      <c r="AG212" s="2707"/>
      <c r="AH212" s="2723"/>
      <c r="AI212" s="2723"/>
      <c r="AU212" s="1505"/>
      <c r="DJ212" s="1187"/>
    </row>
    <row r="213" spans="1:114" ht="36.75" hidden="1" customHeight="1" outlineLevel="1">
      <c r="A213" s="533"/>
      <c r="B213" s="2086"/>
      <c r="C213" s="2963"/>
      <c r="D213" s="3123" t="s">
        <v>1216</v>
      </c>
      <c r="E213" s="1622" t="s">
        <v>1217</v>
      </c>
      <c r="F213" s="2409" t="s">
        <v>1222</v>
      </c>
      <c r="G213" s="2757">
        <v>292.89999999999998</v>
      </c>
      <c r="H213" s="4020" t="s">
        <v>1219</v>
      </c>
      <c r="I213" s="4020"/>
      <c r="J213" s="2086"/>
      <c r="K213" s="3124"/>
      <c r="L213" s="635"/>
      <c r="M213" s="635"/>
      <c r="N213" s="635"/>
      <c r="O213" s="635"/>
      <c r="P213" s="67"/>
      <c r="V213" s="2707" t="s">
        <v>1216</v>
      </c>
      <c r="W213" s="2707"/>
      <c r="X213" s="2707"/>
      <c r="Y213" s="2707"/>
      <c r="Z213" s="2707"/>
      <c r="AA213" s="2707"/>
      <c r="AB213" s="2707"/>
      <c r="AC213" s="2707"/>
      <c r="AD213" s="2707"/>
      <c r="AE213" s="2707"/>
      <c r="AF213" s="2236">
        <f t="shared" si="30"/>
        <v>292.89999999999998</v>
      </c>
      <c r="AG213" s="2707"/>
      <c r="AH213" s="2723"/>
      <c r="AI213" s="2723"/>
      <c r="AU213" s="1505"/>
      <c r="DJ213" s="1187"/>
    </row>
    <row r="214" spans="1:114" ht="15.75" hidden="1" customHeight="1" outlineLevel="1">
      <c r="A214" s="533"/>
      <c r="B214" s="2086"/>
      <c r="C214" s="2963"/>
      <c r="D214" s="3025" t="s">
        <v>1223</v>
      </c>
      <c r="E214" s="3025" t="s">
        <v>1224</v>
      </c>
      <c r="F214" s="2409" t="s">
        <v>1218</v>
      </c>
      <c r="G214" s="2757">
        <v>1.64</v>
      </c>
      <c r="H214" s="4020" t="s">
        <v>1219</v>
      </c>
      <c r="I214" s="4020"/>
      <c r="J214" s="2086"/>
      <c r="K214" s="3121"/>
      <c r="L214" s="3121"/>
      <c r="M214" s="3121"/>
      <c r="N214" s="635"/>
      <c r="O214" s="635"/>
      <c r="P214" s="67"/>
      <c r="V214" s="2707" t="s">
        <v>1223</v>
      </c>
      <c r="W214" s="2707"/>
      <c r="X214" s="2707"/>
      <c r="Y214" s="2707"/>
      <c r="Z214" s="2707"/>
      <c r="AA214" s="2707"/>
      <c r="AB214" s="2707"/>
      <c r="AC214" s="2707"/>
      <c r="AD214" s="2707"/>
      <c r="AE214" s="2707"/>
      <c r="AF214" s="2236">
        <f t="shared" si="30"/>
        <v>1.64</v>
      </c>
      <c r="AG214" s="2707"/>
      <c r="AH214" s="2723"/>
      <c r="AI214" s="2723"/>
      <c r="AU214" s="1505"/>
      <c r="DJ214" s="1187"/>
    </row>
    <row r="215" spans="1:114" ht="30" hidden="1" customHeight="1" outlineLevel="1">
      <c r="A215" s="533"/>
      <c r="B215" s="2086"/>
      <c r="C215" s="2963"/>
      <c r="D215" s="3025" t="s">
        <v>1223</v>
      </c>
      <c r="E215" s="3025" t="s">
        <v>1224</v>
      </c>
      <c r="F215" s="2409" t="s">
        <v>1220</v>
      </c>
      <c r="G215" s="2757">
        <v>1.83</v>
      </c>
      <c r="H215" s="4020" t="s">
        <v>1219</v>
      </c>
      <c r="I215" s="4020"/>
      <c r="J215" s="2086"/>
      <c r="K215" s="2221"/>
      <c r="L215" s="2221"/>
      <c r="M215" s="635"/>
      <c r="N215" s="635"/>
      <c r="O215" s="635"/>
      <c r="P215" s="67"/>
      <c r="V215" s="2707" t="s">
        <v>1223</v>
      </c>
      <c r="W215" s="2707"/>
      <c r="X215" s="2707"/>
      <c r="Y215" s="2707"/>
      <c r="Z215" s="2707"/>
      <c r="AA215" s="2707"/>
      <c r="AB215" s="2707"/>
      <c r="AC215" s="2707"/>
      <c r="AD215" s="2707"/>
      <c r="AE215" s="2707"/>
      <c r="AF215" s="2236">
        <f t="shared" si="30"/>
        <v>1.83</v>
      </c>
      <c r="AG215" s="2707"/>
      <c r="AH215" s="2723"/>
      <c r="AI215" s="2723"/>
      <c r="AU215" s="1505"/>
      <c r="DJ215" s="1187"/>
    </row>
    <row r="216" spans="1:114" ht="30" hidden="1" customHeight="1" outlineLevel="1">
      <c r="A216" s="533"/>
      <c r="B216" s="2086"/>
      <c r="C216" s="2963"/>
      <c r="D216" s="3025" t="s">
        <v>1223</v>
      </c>
      <c r="E216" s="3025" t="s">
        <v>1224</v>
      </c>
      <c r="F216" s="2409" t="s">
        <v>1221</v>
      </c>
      <c r="G216" s="2757">
        <v>1.94</v>
      </c>
      <c r="H216" s="4020" t="s">
        <v>1219</v>
      </c>
      <c r="I216" s="4020"/>
      <c r="J216" s="2086"/>
      <c r="K216" s="2221"/>
      <c r="L216" s="3125"/>
      <c r="M216" s="635"/>
      <c r="N216" s="2086"/>
      <c r="O216" s="2086"/>
      <c r="P216" s="67"/>
      <c r="V216" s="2707" t="s">
        <v>1223</v>
      </c>
      <c r="W216" s="2707"/>
      <c r="X216" s="2707"/>
      <c r="Y216" s="2707"/>
      <c r="Z216" s="2707"/>
      <c r="AA216" s="2707"/>
      <c r="AB216" s="2707"/>
      <c r="AC216" s="2707"/>
      <c r="AD216" s="2707"/>
      <c r="AE216" s="2707"/>
      <c r="AF216" s="2236">
        <f t="shared" si="30"/>
        <v>1.94</v>
      </c>
      <c r="AG216" s="2707"/>
      <c r="AH216" s="2723"/>
      <c r="AI216" s="2723"/>
      <c r="AU216" s="1505"/>
      <c r="DJ216" s="1187"/>
    </row>
    <row r="217" spans="1:114" ht="15" hidden="1" customHeight="1" outlineLevel="1">
      <c r="A217" s="533"/>
      <c r="B217" s="2086"/>
      <c r="C217" s="2963"/>
      <c r="D217" s="3025" t="s">
        <v>1223</v>
      </c>
      <c r="E217" s="3025" t="s">
        <v>1224</v>
      </c>
      <c r="F217" s="2409" t="s">
        <v>1222</v>
      </c>
      <c r="G217" s="2757">
        <v>1.89</v>
      </c>
      <c r="H217" s="4020" t="s">
        <v>1219</v>
      </c>
      <c r="I217" s="4020"/>
      <c r="J217" s="2086"/>
      <c r="K217" s="2221"/>
      <c r="L217" s="3125"/>
      <c r="M217" s="635"/>
      <c r="N217" s="2086"/>
      <c r="O217" s="2086"/>
      <c r="P217" s="67"/>
      <c r="V217" s="2707" t="s">
        <v>1223</v>
      </c>
      <c r="W217" s="2707"/>
      <c r="X217" s="2707"/>
      <c r="Y217" s="2707"/>
      <c r="Z217" s="2707"/>
      <c r="AA217" s="2707"/>
      <c r="AB217" s="2707"/>
      <c r="AC217" s="2707"/>
      <c r="AD217" s="2707"/>
      <c r="AE217" s="2707"/>
      <c r="AF217" s="2236">
        <f t="shared" si="30"/>
        <v>1.89</v>
      </c>
      <c r="AG217" s="2707"/>
      <c r="AH217" s="2723"/>
      <c r="AI217" s="2723"/>
      <c r="AU217" s="1505"/>
      <c r="DJ217" s="1187"/>
    </row>
    <row r="218" spans="1:114" ht="15" hidden="1" customHeight="1" outlineLevel="1">
      <c r="A218" s="533"/>
      <c r="B218" s="2086"/>
      <c r="C218" s="2963"/>
      <c r="D218" s="3025" t="s">
        <v>1225</v>
      </c>
      <c r="E218" s="3025" t="s">
        <v>1226</v>
      </c>
      <c r="F218" s="2409" t="s">
        <v>1218</v>
      </c>
      <c r="G218" s="2757">
        <v>2</v>
      </c>
      <c r="H218" s="4020" t="s">
        <v>1219</v>
      </c>
      <c r="I218" s="4020"/>
      <c r="J218" s="2086"/>
      <c r="K218" s="2221"/>
      <c r="L218" s="3125"/>
      <c r="M218" s="635"/>
      <c r="N218" s="2086"/>
      <c r="O218" s="2086"/>
      <c r="P218" s="67"/>
      <c r="V218" s="2707" t="s">
        <v>1225</v>
      </c>
      <c r="W218" s="2707"/>
      <c r="X218" s="2707"/>
      <c r="Y218" s="2707"/>
      <c r="Z218" s="2707"/>
      <c r="AA218" s="2707"/>
      <c r="AB218" s="2707"/>
      <c r="AC218" s="2707"/>
      <c r="AD218" s="2707"/>
      <c r="AE218" s="2707"/>
      <c r="AF218" s="2236">
        <f t="shared" si="30"/>
        <v>2</v>
      </c>
      <c r="AG218" s="2707"/>
      <c r="AH218" s="2723"/>
      <c r="AI218" s="2723"/>
      <c r="AU218" s="1505"/>
      <c r="DJ218" s="1187"/>
    </row>
    <row r="219" spans="1:114" ht="30" hidden="1" customHeight="1" outlineLevel="1">
      <c r="A219" s="533"/>
      <c r="B219" s="2086"/>
      <c r="C219" s="2963"/>
      <c r="D219" s="3025" t="s">
        <v>1225</v>
      </c>
      <c r="E219" s="3025" t="s">
        <v>1226</v>
      </c>
      <c r="F219" s="2409" t="s">
        <v>1220</v>
      </c>
      <c r="G219" s="2757">
        <v>2</v>
      </c>
      <c r="H219" s="4020" t="s">
        <v>1219</v>
      </c>
      <c r="I219" s="4020"/>
      <c r="J219" s="2086"/>
      <c r="K219" s="2221"/>
      <c r="L219" s="3125"/>
      <c r="M219" s="635"/>
      <c r="N219" s="2086"/>
      <c r="O219" s="2086"/>
      <c r="P219" s="67"/>
      <c r="V219" s="2707" t="s">
        <v>1225</v>
      </c>
      <c r="W219" s="2707"/>
      <c r="X219" s="2707"/>
      <c r="Y219" s="2707"/>
      <c r="Z219" s="2707"/>
      <c r="AA219" s="2707"/>
      <c r="AB219" s="2707"/>
      <c r="AC219" s="2707"/>
      <c r="AD219" s="2707"/>
      <c r="AE219" s="2707"/>
      <c r="AF219" s="2236">
        <f t="shared" si="30"/>
        <v>2</v>
      </c>
      <c r="AG219" s="2707"/>
      <c r="AH219" s="2723"/>
      <c r="AI219" s="2723"/>
      <c r="AU219" s="1505"/>
      <c r="DJ219" s="1187"/>
    </row>
    <row r="220" spans="1:114" ht="30" hidden="1" customHeight="1" outlineLevel="1">
      <c r="A220" s="533"/>
      <c r="B220" s="2086"/>
      <c r="C220" s="2963"/>
      <c r="D220" s="3126" t="s">
        <v>1225</v>
      </c>
      <c r="E220" s="3126" t="s">
        <v>1226</v>
      </c>
      <c r="F220" s="3127" t="s">
        <v>1221</v>
      </c>
      <c r="G220" s="2757">
        <v>2</v>
      </c>
      <c r="H220" s="4020" t="s">
        <v>1219</v>
      </c>
      <c r="I220" s="4020"/>
      <c r="J220" s="2112"/>
      <c r="K220" s="2228"/>
      <c r="L220" s="3128"/>
      <c r="M220" s="696"/>
      <c r="N220" s="2112"/>
      <c r="O220" s="2112"/>
      <c r="P220" s="67"/>
      <c r="V220" s="2707" t="s">
        <v>1225</v>
      </c>
      <c r="W220" s="2707"/>
      <c r="X220" s="2707"/>
      <c r="Y220" s="2707"/>
      <c r="Z220" s="2707"/>
      <c r="AA220" s="2707"/>
      <c r="AB220" s="2707"/>
      <c r="AC220" s="2707"/>
      <c r="AD220" s="2707"/>
      <c r="AE220" s="2707"/>
      <c r="AF220" s="2236">
        <f t="shared" si="30"/>
        <v>2</v>
      </c>
      <c r="AG220" s="2707"/>
      <c r="AH220" s="2723"/>
      <c r="AI220" s="2723"/>
      <c r="AU220" s="1505"/>
      <c r="DJ220" s="1187"/>
    </row>
    <row r="221" spans="1:114" ht="15" hidden="1" customHeight="1" outlineLevel="1">
      <c r="A221" s="533"/>
      <c r="B221" s="2086"/>
      <c r="C221" s="2963"/>
      <c r="D221" s="3126" t="s">
        <v>1225</v>
      </c>
      <c r="E221" s="3126" t="s">
        <v>1226</v>
      </c>
      <c r="F221" s="3127" t="s">
        <v>1222</v>
      </c>
      <c r="G221" s="2757">
        <v>2</v>
      </c>
      <c r="H221" s="4020" t="s">
        <v>1219</v>
      </c>
      <c r="I221" s="4020"/>
      <c r="J221" s="2112"/>
      <c r="K221" s="2228"/>
      <c r="L221" s="3128"/>
      <c r="M221" s="696"/>
      <c r="N221" s="2112"/>
      <c r="O221" s="2112"/>
      <c r="P221" s="67"/>
      <c r="V221" s="2707" t="s">
        <v>1225</v>
      </c>
      <c r="W221" s="2707"/>
      <c r="X221" s="2707"/>
      <c r="Y221" s="2707"/>
      <c r="Z221" s="2707"/>
      <c r="AA221" s="2707"/>
      <c r="AB221" s="2707"/>
      <c r="AC221" s="2707"/>
      <c r="AD221" s="2707"/>
      <c r="AE221" s="2707"/>
      <c r="AF221" s="2236">
        <f t="shared" si="30"/>
        <v>2</v>
      </c>
      <c r="AG221" s="2707"/>
      <c r="AH221" s="2723"/>
      <c r="AI221" s="2723"/>
      <c r="AU221" s="1505"/>
      <c r="DJ221" s="1187"/>
    </row>
    <row r="222" spans="1:114" ht="15" hidden="1" customHeight="1" outlineLevel="1">
      <c r="A222" s="533"/>
      <c r="B222" s="2086"/>
      <c r="C222" s="2963"/>
      <c r="D222" s="3126" t="s">
        <v>1227</v>
      </c>
      <c r="E222" s="3126" t="s">
        <v>1228</v>
      </c>
      <c r="F222" s="3127" t="s">
        <v>1218</v>
      </c>
      <c r="G222" s="2757">
        <v>83.3</v>
      </c>
      <c r="H222" s="4020" t="s">
        <v>1219</v>
      </c>
      <c r="I222" s="4020"/>
      <c r="J222" s="2112"/>
      <c r="K222" s="2228"/>
      <c r="L222" s="3128"/>
      <c r="M222" s="696"/>
      <c r="N222" s="2112"/>
      <c r="O222" s="2112"/>
      <c r="P222" s="67"/>
      <c r="V222" s="2707" t="s">
        <v>1227</v>
      </c>
      <c r="W222" s="2707"/>
      <c r="X222" s="2707"/>
      <c r="Y222" s="2707"/>
      <c r="Z222" s="2707"/>
      <c r="AA222" s="2707"/>
      <c r="AB222" s="2707"/>
      <c r="AC222" s="2707"/>
      <c r="AD222" s="2707"/>
      <c r="AE222" s="2707"/>
      <c r="AF222" s="2236">
        <f t="shared" si="30"/>
        <v>83.3</v>
      </c>
      <c r="AG222" s="2707"/>
      <c r="AH222" s="2723"/>
      <c r="AI222" s="2723"/>
      <c r="AU222" s="1505"/>
      <c r="DJ222" s="1187"/>
    </row>
    <row r="223" spans="1:114" ht="30" hidden="1" customHeight="1" outlineLevel="1">
      <c r="A223" s="533"/>
      <c r="B223" s="2086"/>
      <c r="C223" s="2963"/>
      <c r="D223" s="3126" t="s">
        <v>1227</v>
      </c>
      <c r="E223" s="3126" t="s">
        <v>1228</v>
      </c>
      <c r="F223" s="3127" t="s">
        <v>1220</v>
      </c>
      <c r="G223" s="2757">
        <v>127.6</v>
      </c>
      <c r="H223" s="4020" t="s">
        <v>1219</v>
      </c>
      <c r="I223" s="4020"/>
      <c r="J223" s="2112"/>
      <c r="K223" s="2228"/>
      <c r="L223" s="3128"/>
      <c r="M223" s="696"/>
      <c r="N223" s="2112"/>
      <c r="O223" s="2112"/>
      <c r="P223" s="67"/>
      <c r="V223" s="2707" t="s">
        <v>1227</v>
      </c>
      <c r="W223" s="2707"/>
      <c r="X223" s="2707"/>
      <c r="Y223" s="2707"/>
      <c r="Z223" s="2707"/>
      <c r="AA223" s="2707"/>
      <c r="AB223" s="2707"/>
      <c r="AC223" s="2707"/>
      <c r="AD223" s="2707"/>
      <c r="AE223" s="2707"/>
      <c r="AF223" s="2236">
        <f t="shared" si="30"/>
        <v>127.6</v>
      </c>
      <c r="AG223" s="2707"/>
      <c r="AH223" s="2723"/>
      <c r="AI223" s="2723"/>
      <c r="AU223" s="1505"/>
      <c r="DJ223" s="1187"/>
    </row>
    <row r="224" spans="1:114" ht="30" hidden="1" customHeight="1" outlineLevel="1">
      <c r="A224" s="533"/>
      <c r="B224" s="2086"/>
      <c r="C224" s="2963"/>
      <c r="D224" s="3126" t="s">
        <v>1227</v>
      </c>
      <c r="E224" s="3126" t="s">
        <v>1228</v>
      </c>
      <c r="F224" s="3127" t="s">
        <v>1221</v>
      </c>
      <c r="G224" s="2757">
        <v>175.2</v>
      </c>
      <c r="H224" s="4020" t="s">
        <v>1219</v>
      </c>
      <c r="I224" s="4020"/>
      <c r="J224" s="2112"/>
      <c r="K224" s="2228"/>
      <c r="L224" s="3128"/>
      <c r="M224" s="696"/>
      <c r="N224" s="2112"/>
      <c r="O224" s="2112"/>
      <c r="P224" s="67"/>
      <c r="V224" s="2707" t="s">
        <v>1227</v>
      </c>
      <c r="W224" s="2707"/>
      <c r="X224" s="2707"/>
      <c r="Y224" s="2707"/>
      <c r="Z224" s="2707"/>
      <c r="AA224" s="2707"/>
      <c r="AB224" s="2707"/>
      <c r="AC224" s="2707"/>
      <c r="AD224" s="2707"/>
      <c r="AE224" s="2707"/>
      <c r="AF224" s="2236">
        <f t="shared" si="30"/>
        <v>175.2</v>
      </c>
      <c r="AG224" s="2707"/>
      <c r="AH224" s="2723"/>
      <c r="AI224" s="2723"/>
      <c r="AU224" s="1505"/>
      <c r="DJ224" s="1187"/>
    </row>
    <row r="225" spans="1:114" ht="15" hidden="1" customHeight="1" outlineLevel="1">
      <c r="A225" s="533"/>
      <c r="B225" s="2086"/>
      <c r="C225" s="2963"/>
      <c r="D225" s="3126" t="s">
        <v>1227</v>
      </c>
      <c r="E225" s="3126" t="s">
        <v>1228</v>
      </c>
      <c r="F225" s="3127" t="s">
        <v>1222</v>
      </c>
      <c r="G225" s="2757">
        <v>292.89999999999998</v>
      </c>
      <c r="H225" s="4020" t="s">
        <v>1219</v>
      </c>
      <c r="I225" s="4020"/>
      <c r="J225" s="2112"/>
      <c r="K225" s="2228"/>
      <c r="L225" s="3128"/>
      <c r="M225" s="696"/>
      <c r="N225" s="2112"/>
      <c r="O225" s="2112"/>
      <c r="P225" s="67"/>
      <c r="V225" s="2707" t="s">
        <v>1227</v>
      </c>
      <c r="W225" s="2707"/>
      <c r="X225" s="2707"/>
      <c r="Y225" s="2707"/>
      <c r="Z225" s="2707"/>
      <c r="AA225" s="2707"/>
      <c r="AB225" s="2707"/>
      <c r="AC225" s="2707"/>
      <c r="AD225" s="2707"/>
      <c r="AE225" s="2707"/>
      <c r="AF225" s="2236">
        <f t="shared" si="30"/>
        <v>292.89999999999998</v>
      </c>
      <c r="AG225" s="2707"/>
      <c r="AH225" s="2723"/>
      <c r="AI225" s="2723"/>
      <c r="AU225" s="1505"/>
      <c r="DJ225" s="1187"/>
    </row>
    <row r="226" spans="1:114" ht="15" hidden="1" customHeight="1" outlineLevel="1">
      <c r="A226" s="533"/>
      <c r="B226" s="2086"/>
      <c r="C226" s="2963"/>
      <c r="D226" s="3126" t="s">
        <v>1229</v>
      </c>
      <c r="E226" s="3126" t="s">
        <v>1230</v>
      </c>
      <c r="F226" s="3127" t="s">
        <v>1218</v>
      </c>
      <c r="G226" s="2757">
        <v>2.9</v>
      </c>
      <c r="H226" s="4020" t="s">
        <v>1219</v>
      </c>
      <c r="I226" s="4020"/>
      <c r="J226" s="2112"/>
      <c r="K226" s="2228"/>
      <c r="L226" s="3128"/>
      <c r="M226" s="696"/>
      <c r="N226" s="2112"/>
      <c r="O226" s="2112"/>
      <c r="P226" s="67"/>
      <c r="V226" s="2707" t="s">
        <v>1229</v>
      </c>
      <c r="W226" s="2707"/>
      <c r="X226" s="2707"/>
      <c r="Y226" s="2707"/>
      <c r="Z226" s="2707"/>
      <c r="AA226" s="2707"/>
      <c r="AB226" s="2707"/>
      <c r="AC226" s="2707"/>
      <c r="AD226" s="2707"/>
      <c r="AE226" s="2707"/>
      <c r="AF226" s="2236">
        <f t="shared" si="30"/>
        <v>2.9</v>
      </c>
      <c r="AG226" s="2707"/>
      <c r="AH226" s="2723"/>
      <c r="AI226" s="2723"/>
      <c r="AU226" s="1505"/>
      <c r="DJ226" s="1187"/>
    </row>
    <row r="227" spans="1:114" ht="30" hidden="1" customHeight="1" outlineLevel="1">
      <c r="A227" s="533"/>
      <c r="B227" s="2086"/>
      <c r="C227" s="2963"/>
      <c r="D227" s="3126" t="s">
        <v>1229</v>
      </c>
      <c r="E227" s="3126" t="s">
        <v>1230</v>
      </c>
      <c r="F227" s="3127" t="s">
        <v>1220</v>
      </c>
      <c r="G227" s="2757">
        <v>4.08</v>
      </c>
      <c r="H227" s="4020" t="s">
        <v>1219</v>
      </c>
      <c r="I227" s="4020"/>
      <c r="J227" s="2112"/>
      <c r="K227" s="2228"/>
      <c r="L227" s="3128"/>
      <c r="M227" s="696"/>
      <c r="N227" s="2112"/>
      <c r="O227" s="2112"/>
      <c r="P227" s="67"/>
      <c r="V227" s="2707" t="s">
        <v>1229</v>
      </c>
      <c r="W227" s="2707"/>
      <c r="X227" s="2707"/>
      <c r="Y227" s="2707"/>
      <c r="Z227" s="2707"/>
      <c r="AA227" s="2707"/>
      <c r="AB227" s="2707"/>
      <c r="AC227" s="2707"/>
      <c r="AD227" s="2707"/>
      <c r="AE227" s="2707"/>
      <c r="AF227" s="2236">
        <f t="shared" si="30"/>
        <v>4.08</v>
      </c>
      <c r="AG227" s="2707"/>
      <c r="AH227" s="2723"/>
      <c r="AI227" s="2723"/>
      <c r="AU227" s="1505"/>
      <c r="DJ227" s="1187"/>
    </row>
    <row r="228" spans="1:114" ht="30" hidden="1" customHeight="1" outlineLevel="1">
      <c r="A228" s="533"/>
      <c r="B228" s="2086"/>
      <c r="C228" s="2963"/>
      <c r="D228" s="3126" t="s">
        <v>1229</v>
      </c>
      <c r="E228" s="3126" t="s">
        <v>1230</v>
      </c>
      <c r="F228" s="3127" t="s">
        <v>1221</v>
      </c>
      <c r="G228" s="2757">
        <v>4.47</v>
      </c>
      <c r="H228" s="4020" t="s">
        <v>1219</v>
      </c>
      <c r="I228" s="4020"/>
      <c r="J228" s="2112"/>
      <c r="K228" s="2228"/>
      <c r="L228" s="3128"/>
      <c r="M228" s="696"/>
      <c r="N228" s="2112"/>
      <c r="O228" s="2112"/>
      <c r="P228" s="67"/>
      <c r="V228" s="2707" t="s">
        <v>1229</v>
      </c>
      <c r="W228" s="2707"/>
      <c r="X228" s="2707"/>
      <c r="Y228" s="2707"/>
      <c r="Z228" s="2707"/>
      <c r="AA228" s="2707"/>
      <c r="AB228" s="2707"/>
      <c r="AC228" s="2707"/>
      <c r="AD228" s="2707"/>
      <c r="AE228" s="2707"/>
      <c r="AF228" s="2236">
        <f t="shared" si="30"/>
        <v>4.47</v>
      </c>
      <c r="AG228" s="2707"/>
      <c r="AH228" s="2723"/>
      <c r="AI228" s="2723"/>
      <c r="AU228" s="1505"/>
      <c r="DJ228" s="1187"/>
    </row>
    <row r="229" spans="1:114" ht="15" hidden="1" customHeight="1" outlineLevel="1">
      <c r="A229" s="533"/>
      <c r="B229" s="2086"/>
      <c r="C229" s="2963"/>
      <c r="D229" s="3126" t="s">
        <v>1229</v>
      </c>
      <c r="E229" s="3126" t="s">
        <v>1230</v>
      </c>
      <c r="F229" s="3127" t="s">
        <v>1222</v>
      </c>
      <c r="G229" s="2757">
        <v>5.05</v>
      </c>
      <c r="H229" s="4020" t="s">
        <v>1219</v>
      </c>
      <c r="I229" s="4020"/>
      <c r="J229" s="2112"/>
      <c r="K229" s="2228"/>
      <c r="L229" s="3128"/>
      <c r="M229" s="696"/>
      <c r="N229" s="2112"/>
      <c r="O229" s="2112"/>
      <c r="P229" s="67"/>
      <c r="V229" s="2707" t="s">
        <v>1229</v>
      </c>
      <c r="W229" s="2707"/>
      <c r="X229" s="2707"/>
      <c r="Y229" s="2707"/>
      <c r="Z229" s="2707"/>
      <c r="AA229" s="2707"/>
      <c r="AB229" s="2707"/>
      <c r="AC229" s="2707"/>
      <c r="AD229" s="2707"/>
      <c r="AE229" s="2707"/>
      <c r="AF229" s="2236">
        <f t="shared" si="30"/>
        <v>5.05</v>
      </c>
      <c r="AG229" s="2707"/>
      <c r="AH229" s="2723"/>
      <c r="AI229" s="2723"/>
      <c r="AU229" s="1505"/>
      <c r="DJ229" s="1187"/>
    </row>
    <row r="230" spans="1:114" ht="15" hidden="1" customHeight="1" outlineLevel="1">
      <c r="A230" s="533"/>
      <c r="B230" s="2086"/>
      <c r="C230" s="2963"/>
      <c r="D230" s="3126" t="s">
        <v>1231</v>
      </c>
      <c r="E230" s="3126" t="s">
        <v>1232</v>
      </c>
      <c r="F230" s="3127" t="s">
        <v>1218</v>
      </c>
      <c r="G230" s="2757">
        <v>0.47799999999999998</v>
      </c>
      <c r="H230" s="4020" t="s">
        <v>1219</v>
      </c>
      <c r="I230" s="4020"/>
      <c r="J230" s="2112"/>
      <c r="K230" s="2228"/>
      <c r="L230" s="3128"/>
      <c r="M230" s="696"/>
      <c r="N230" s="2112"/>
      <c r="O230" s="2112"/>
      <c r="P230" s="67"/>
      <c r="V230" s="2707" t="s">
        <v>1231</v>
      </c>
      <c r="W230" s="2707"/>
      <c r="X230" s="2707"/>
      <c r="Y230" s="2707"/>
      <c r="Z230" s="2707"/>
      <c r="AA230" s="2707"/>
      <c r="AB230" s="2707"/>
      <c r="AC230" s="2707"/>
      <c r="AD230" s="2707"/>
      <c r="AE230" s="2707"/>
      <c r="AF230" s="2236">
        <f t="shared" si="30"/>
        <v>0.47799999999999998</v>
      </c>
      <c r="AG230" s="2707"/>
      <c r="AH230" s="2723"/>
      <c r="AI230" s="2723"/>
      <c r="AU230" s="1505"/>
      <c r="DJ230" s="1187"/>
    </row>
    <row r="231" spans="1:114" ht="30" hidden="1" customHeight="1" outlineLevel="1">
      <c r="A231" s="533"/>
      <c r="B231" s="2086"/>
      <c r="C231" s="2963"/>
      <c r="D231" s="3126" t="s">
        <v>1231</v>
      </c>
      <c r="E231" s="3126" t="s">
        <v>1232</v>
      </c>
      <c r="F231" s="3127" t="s">
        <v>1220</v>
      </c>
      <c r="G231" s="2757">
        <v>0.32500000000000001</v>
      </c>
      <c r="H231" s="4020" t="s">
        <v>1219</v>
      </c>
      <c r="I231" s="4020"/>
      <c r="J231" s="2112"/>
      <c r="K231" s="2228"/>
      <c r="L231" s="3128"/>
      <c r="M231" s="696"/>
      <c r="N231" s="2112"/>
      <c r="O231" s="2112"/>
      <c r="P231" s="67"/>
      <c r="V231" s="2707" t="s">
        <v>1231</v>
      </c>
      <c r="W231" s="2707"/>
      <c r="X231" s="2707"/>
      <c r="Y231" s="2707"/>
      <c r="Z231" s="2707"/>
      <c r="AA231" s="2707"/>
      <c r="AB231" s="2707"/>
      <c r="AC231" s="2707"/>
      <c r="AD231" s="2707"/>
      <c r="AE231" s="2707"/>
      <c r="AF231" s="2236">
        <f t="shared" si="30"/>
        <v>0.32500000000000001</v>
      </c>
      <c r="AG231" s="2707"/>
      <c r="AH231" s="2723"/>
      <c r="AI231" s="2723"/>
      <c r="AU231" s="1505"/>
      <c r="DJ231" s="1187"/>
    </row>
    <row r="232" spans="1:114" ht="30" hidden="1" customHeight="1" outlineLevel="1">
      <c r="A232" s="533"/>
      <c r="B232" s="2086"/>
      <c r="C232" s="2963"/>
      <c r="D232" s="3126" t="s">
        <v>1231</v>
      </c>
      <c r="E232" s="3126" t="s">
        <v>1232</v>
      </c>
      <c r="F232" s="3127" t="s">
        <v>1221</v>
      </c>
      <c r="G232" s="2757">
        <v>0.56200000000000006</v>
      </c>
      <c r="H232" s="4020" t="s">
        <v>1219</v>
      </c>
      <c r="I232" s="4020"/>
      <c r="J232" s="2112"/>
      <c r="K232" s="2228"/>
      <c r="L232" s="3128"/>
      <c r="M232" s="696"/>
      <c r="N232" s="2112"/>
      <c r="O232" s="2112"/>
      <c r="P232" s="67"/>
      <c r="V232" s="2707" t="s">
        <v>1231</v>
      </c>
      <c r="W232" s="2707"/>
      <c r="X232" s="2707"/>
      <c r="Y232" s="2707"/>
      <c r="Z232" s="2707"/>
      <c r="AA232" s="2707"/>
      <c r="AB232" s="2707"/>
      <c r="AC232" s="2707"/>
      <c r="AD232" s="2707"/>
      <c r="AE232" s="2707"/>
      <c r="AF232" s="2236">
        <f t="shared" si="30"/>
        <v>0.56200000000000006</v>
      </c>
      <c r="AG232" s="2707"/>
      <c r="AH232" s="2723"/>
      <c r="AI232" s="2723"/>
      <c r="AU232" s="1505"/>
      <c r="DJ232" s="1187"/>
    </row>
    <row r="233" spans="1:114" ht="15" hidden="1" customHeight="1" outlineLevel="1">
      <c r="A233" s="533"/>
      <c r="B233" s="2086"/>
      <c r="C233" s="2963"/>
      <c r="D233" s="3126" t="s">
        <v>1231</v>
      </c>
      <c r="E233" s="3126" t="s">
        <v>1232</v>
      </c>
      <c r="F233" s="3127" t="s">
        <v>1222</v>
      </c>
      <c r="G233" s="2757">
        <v>0.63800000000000001</v>
      </c>
      <c r="H233" s="4020" t="s">
        <v>1219</v>
      </c>
      <c r="I233" s="4020"/>
      <c r="J233" s="2112"/>
      <c r="K233" s="2228"/>
      <c r="L233" s="3128"/>
      <c r="M233" s="696"/>
      <c r="N233" s="2112"/>
      <c r="O233" s="2112"/>
      <c r="P233" s="67"/>
      <c r="V233" s="2707" t="s">
        <v>1231</v>
      </c>
      <c r="W233" s="2707"/>
      <c r="X233" s="2707"/>
      <c r="Y233" s="2707"/>
      <c r="Z233" s="2707"/>
      <c r="AA233" s="2707"/>
      <c r="AB233" s="2707"/>
      <c r="AC233" s="2707"/>
      <c r="AD233" s="2707"/>
      <c r="AE233" s="2707"/>
      <c r="AF233" s="2236">
        <f t="shared" si="30"/>
        <v>0.63800000000000001</v>
      </c>
      <c r="AG233" s="2707"/>
      <c r="AH233" s="2723"/>
      <c r="AI233" s="2723"/>
      <c r="AU233" s="1505"/>
      <c r="DJ233" s="1187"/>
    </row>
    <row r="234" spans="1:114" ht="15" hidden="1" customHeight="1" outlineLevel="1">
      <c r="A234" s="533"/>
      <c r="B234" s="2086"/>
      <c r="C234" s="2963"/>
      <c r="D234" s="3126" t="s">
        <v>1233</v>
      </c>
      <c r="E234" s="3126" t="s">
        <v>1234</v>
      </c>
      <c r="F234" s="3127" t="s">
        <v>1102</v>
      </c>
      <c r="G234" s="2968">
        <v>5840</v>
      </c>
      <c r="H234" s="4020" t="s">
        <v>1235</v>
      </c>
      <c r="I234" s="4020"/>
      <c r="J234" s="2112"/>
      <c r="K234" s="2228"/>
      <c r="L234" s="3128"/>
      <c r="M234" s="696"/>
      <c r="N234" s="2112"/>
      <c r="O234" s="2112"/>
      <c r="P234" s="67"/>
      <c r="V234" s="2707" t="s">
        <v>1233</v>
      </c>
      <c r="W234" s="2707"/>
      <c r="X234" s="2707"/>
      <c r="Y234" s="2707"/>
      <c r="Z234" s="2707"/>
      <c r="AA234" s="2707"/>
      <c r="AB234" s="2707"/>
      <c r="AC234" s="2707"/>
      <c r="AD234" s="2707"/>
      <c r="AE234" s="2707"/>
      <c r="AF234" s="2236">
        <f t="shared" si="30"/>
        <v>5840</v>
      </c>
      <c r="AG234" s="2707"/>
      <c r="AH234" s="2723"/>
      <c r="AI234" s="2723"/>
      <c r="AU234" s="1505"/>
      <c r="DJ234" s="1187"/>
    </row>
    <row r="235" spans="1:114" ht="15" hidden="1" customHeight="1" outlineLevel="1">
      <c r="A235" s="533"/>
      <c r="B235" s="2086"/>
      <c r="C235" s="2963"/>
      <c r="D235" s="3126" t="s">
        <v>1236</v>
      </c>
      <c r="E235" s="3126" t="s">
        <v>1237</v>
      </c>
      <c r="F235" s="3127" t="s">
        <v>1238</v>
      </c>
      <c r="G235" s="3129">
        <v>1.25</v>
      </c>
      <c r="H235" s="4020" t="s">
        <v>1235</v>
      </c>
      <c r="I235" s="4020"/>
      <c r="J235" s="2112"/>
      <c r="K235" s="2228"/>
      <c r="L235" s="3128"/>
      <c r="M235" s="696"/>
      <c r="N235" s="2112"/>
      <c r="O235" s="2112"/>
      <c r="P235" s="67"/>
      <c r="V235" s="2707" t="s">
        <v>1236</v>
      </c>
      <c r="W235" s="2707"/>
      <c r="X235" s="2707"/>
      <c r="Y235" s="2707"/>
      <c r="Z235" s="2707"/>
      <c r="AA235" s="2707"/>
      <c r="AB235" s="2707"/>
      <c r="AC235" s="2707"/>
      <c r="AD235" s="2707"/>
      <c r="AE235" s="2707"/>
      <c r="AF235" s="2236">
        <f t="shared" si="30"/>
        <v>1.25</v>
      </c>
      <c r="AG235" s="2707"/>
      <c r="AH235" s="2723"/>
      <c r="AI235" s="2723"/>
      <c r="AU235" s="1505"/>
      <c r="DJ235" s="1187"/>
    </row>
    <row r="236" spans="1:114" ht="15" hidden="1" customHeight="1" outlineLevel="1">
      <c r="A236" s="533"/>
      <c r="B236" s="2086"/>
      <c r="C236" s="2963"/>
      <c r="D236" s="3126" t="s">
        <v>1236</v>
      </c>
      <c r="E236" s="3126" t="s">
        <v>1237</v>
      </c>
      <c r="F236" s="3127" t="s">
        <v>1239</v>
      </c>
      <c r="G236" s="3129">
        <v>1</v>
      </c>
      <c r="H236" s="4020" t="s">
        <v>1235</v>
      </c>
      <c r="I236" s="4020"/>
      <c r="J236" s="2112"/>
      <c r="K236" s="2228"/>
      <c r="L236" s="3128"/>
      <c r="M236" s="696"/>
      <c r="N236" s="2112"/>
      <c r="O236" s="2112"/>
      <c r="P236" s="67"/>
      <c r="V236" s="2707" t="s">
        <v>1236</v>
      </c>
      <c r="W236" s="2707"/>
      <c r="X236" s="2707"/>
      <c r="Y236" s="2707"/>
      <c r="Z236" s="2707"/>
      <c r="AA236" s="2707"/>
      <c r="AB236" s="2707"/>
      <c r="AC236" s="2707"/>
      <c r="AD236" s="2707"/>
      <c r="AE236" s="2707"/>
      <c r="AF236" s="2236">
        <f t="shared" si="30"/>
        <v>1</v>
      </c>
      <c r="AG236" s="2707"/>
      <c r="AH236" s="2723"/>
      <c r="AI236" s="2723"/>
      <c r="AU236" s="1505"/>
      <c r="DJ236" s="1187"/>
    </row>
    <row r="237" spans="1:114" ht="15" hidden="1" customHeight="1" outlineLevel="1">
      <c r="A237" s="533"/>
      <c r="B237" s="2086"/>
      <c r="C237" s="2963"/>
      <c r="D237" s="3126" t="s">
        <v>128</v>
      </c>
      <c r="E237" s="3126" t="s">
        <v>1240</v>
      </c>
      <c r="F237" s="3127" t="s">
        <v>1102</v>
      </c>
      <c r="G237" s="2757">
        <v>0.98</v>
      </c>
      <c r="H237" s="4020" t="s">
        <v>1241</v>
      </c>
      <c r="I237" s="4020"/>
      <c r="J237" s="2112"/>
      <c r="K237" s="2228"/>
      <c r="L237" s="3128"/>
      <c r="M237" s="696"/>
      <c r="N237" s="2112"/>
      <c r="O237" s="2112"/>
      <c r="P237" s="67"/>
      <c r="V237" s="2707" t="s">
        <v>128</v>
      </c>
      <c r="W237" s="2707"/>
      <c r="X237" s="2707"/>
      <c r="Y237" s="2707"/>
      <c r="Z237" s="2707"/>
      <c r="AA237" s="2707"/>
      <c r="AB237" s="2707"/>
      <c r="AC237" s="2707"/>
      <c r="AD237" s="2707"/>
      <c r="AE237" s="2707"/>
      <c r="AF237" s="2236">
        <f t="shared" si="30"/>
        <v>0.98</v>
      </c>
      <c r="AG237" s="2707"/>
      <c r="AH237" s="2723"/>
      <c r="AI237" s="2723"/>
      <c r="AU237" s="1505"/>
      <c r="DJ237" s="1187"/>
    </row>
    <row r="238" spans="1:114" ht="15" hidden="1" customHeight="1" outlineLevel="1">
      <c r="A238" s="533"/>
      <c r="B238" s="2086"/>
      <c r="C238" s="2963"/>
      <c r="D238" s="3126" t="s">
        <v>49</v>
      </c>
      <c r="E238" s="3126" t="s">
        <v>1198</v>
      </c>
      <c r="F238" s="3127" t="s">
        <v>1102</v>
      </c>
      <c r="G238" s="2968">
        <v>9</v>
      </c>
      <c r="H238" s="4020" t="s">
        <v>1242</v>
      </c>
      <c r="I238" s="4020"/>
      <c r="J238" s="2112"/>
      <c r="K238" s="2228"/>
      <c r="L238" s="3128"/>
      <c r="M238" s="696"/>
      <c r="N238" s="2112"/>
      <c r="O238" s="2112"/>
      <c r="P238" s="67"/>
      <c r="V238" s="2707" t="s">
        <v>49</v>
      </c>
      <c r="W238" s="2707"/>
      <c r="X238" s="2707"/>
      <c r="Y238" s="2707"/>
      <c r="Z238" s="2707"/>
      <c r="AA238" s="2707"/>
      <c r="AB238" s="2707"/>
      <c r="AC238" s="2707"/>
      <c r="AD238" s="2707"/>
      <c r="AE238" s="2707"/>
      <c r="AF238" s="2236">
        <f t="shared" si="30"/>
        <v>9</v>
      </c>
      <c r="AG238" s="2707"/>
      <c r="AH238" s="2723"/>
      <c r="AI238" s="2723"/>
      <c r="AU238" s="1505"/>
      <c r="DJ238" s="1187"/>
    </row>
    <row r="239" spans="1:114" ht="30" hidden="1" customHeight="1" outlineLevel="1">
      <c r="A239" s="533"/>
      <c r="B239" s="2086"/>
      <c r="C239" s="2963"/>
      <c r="D239" s="3126" t="s">
        <v>50</v>
      </c>
      <c r="E239" s="3126" t="s">
        <v>1135</v>
      </c>
      <c r="F239" s="3127" t="s">
        <v>1243</v>
      </c>
      <c r="G239" s="2612">
        <v>20.78</v>
      </c>
      <c r="H239" s="4020" t="s">
        <v>1219</v>
      </c>
      <c r="I239" s="4020"/>
      <c r="J239" s="2112"/>
      <c r="K239" s="2228"/>
      <c r="L239" s="3128"/>
      <c r="M239" s="696"/>
      <c r="N239" s="2112"/>
      <c r="O239" s="2112"/>
      <c r="P239" s="67"/>
      <c r="V239" s="2707" t="s">
        <v>50</v>
      </c>
      <c r="W239" s="2707"/>
      <c r="X239" s="2707"/>
      <c r="Y239" s="2707"/>
      <c r="Z239" s="2707"/>
      <c r="AA239" s="2707"/>
      <c r="AB239" s="2707"/>
      <c r="AC239" s="2707"/>
      <c r="AD239" s="2707"/>
      <c r="AE239" s="2707"/>
      <c r="AF239" s="2236">
        <f t="shared" si="30"/>
        <v>20.78</v>
      </c>
      <c r="AG239" s="2707"/>
      <c r="AH239" s="2723"/>
      <c r="AI239" s="2723"/>
      <c r="AU239" s="1505"/>
      <c r="DJ239" s="1187"/>
    </row>
    <row r="240" spans="1:114" ht="30" hidden="1" customHeight="1" outlineLevel="1">
      <c r="A240" s="533"/>
      <c r="B240" s="2086"/>
      <c r="C240" s="2963"/>
      <c r="D240" s="3126" t="s">
        <v>50</v>
      </c>
      <c r="E240" s="3126" t="s">
        <v>1135</v>
      </c>
      <c r="F240" s="3127" t="s">
        <v>1244</v>
      </c>
      <c r="G240" s="2612">
        <v>42.01</v>
      </c>
      <c r="H240" s="4020" t="s">
        <v>1219</v>
      </c>
      <c r="I240" s="4020"/>
      <c r="J240" s="2112"/>
      <c r="K240" s="2228"/>
      <c r="L240" s="3128"/>
      <c r="M240" s="696"/>
      <c r="N240" s="2112"/>
      <c r="O240" s="2112"/>
      <c r="P240" s="67"/>
      <c r="V240" s="2707" t="s">
        <v>50</v>
      </c>
      <c r="W240" s="2707"/>
      <c r="X240" s="2707"/>
      <c r="Y240" s="2707"/>
      <c r="Z240" s="2707"/>
      <c r="AA240" s="2707"/>
      <c r="AB240" s="2707"/>
      <c r="AC240" s="2707"/>
      <c r="AD240" s="2707"/>
      <c r="AE240" s="2707"/>
      <c r="AF240" s="2236">
        <f t="shared" si="30"/>
        <v>42.01</v>
      </c>
      <c r="AG240" s="2707"/>
      <c r="AH240" s="2723"/>
      <c r="AI240" s="2723"/>
      <c r="AU240" s="1505"/>
      <c r="DJ240" s="1187"/>
    </row>
    <row r="241" spans="1:115" ht="30" hidden="1" customHeight="1" outlineLevel="1">
      <c r="A241" s="533"/>
      <c r="B241" s="2086"/>
      <c r="C241" s="2963"/>
      <c r="D241" s="3126" t="s">
        <v>50</v>
      </c>
      <c r="E241" s="3126" t="s">
        <v>1135</v>
      </c>
      <c r="F241" s="3127" t="s">
        <v>1245</v>
      </c>
      <c r="G241" s="2612">
        <v>135.12</v>
      </c>
      <c r="H241" s="4020" t="s">
        <v>1219</v>
      </c>
      <c r="I241" s="4020"/>
      <c r="J241" s="2112"/>
      <c r="K241" s="2228"/>
      <c r="L241" s="3128"/>
      <c r="M241" s="696"/>
      <c r="N241" s="2112"/>
      <c r="O241" s="2112"/>
      <c r="P241" s="67"/>
      <c r="V241" s="2707" t="s">
        <v>50</v>
      </c>
      <c r="W241" s="2707"/>
      <c r="X241" s="2707"/>
      <c r="Y241" s="2707"/>
      <c r="Z241" s="2707"/>
      <c r="AA241" s="2707"/>
      <c r="AB241" s="2707"/>
      <c r="AC241" s="2707"/>
      <c r="AD241" s="2707"/>
      <c r="AE241" s="2707"/>
      <c r="AF241" s="2236">
        <f t="shared" si="30"/>
        <v>135.12</v>
      </c>
      <c r="AG241" s="2707"/>
      <c r="AH241" s="2723"/>
      <c r="AI241" s="2723"/>
      <c r="AU241" s="1505"/>
      <c r="DJ241" s="1187"/>
    </row>
    <row r="242" spans="1:115" ht="30" hidden="1" customHeight="1" outlineLevel="1">
      <c r="A242" s="533"/>
      <c r="B242" s="2086"/>
      <c r="C242" s="2963"/>
      <c r="D242" s="3126" t="s">
        <v>50</v>
      </c>
      <c r="E242" s="3126" t="s">
        <v>1135</v>
      </c>
      <c r="F242" s="3127" t="s">
        <v>1246</v>
      </c>
      <c r="G242" s="2612">
        <v>81.17</v>
      </c>
      <c r="H242" s="4020" t="s">
        <v>1219</v>
      </c>
      <c r="I242" s="4020"/>
      <c r="J242" s="2112"/>
      <c r="K242" s="2228"/>
      <c r="L242" s="3128"/>
      <c r="M242" s="696"/>
      <c r="N242" s="2112"/>
      <c r="O242" s="2112"/>
      <c r="P242" s="67"/>
      <c r="V242" s="2707" t="s">
        <v>50</v>
      </c>
      <c r="W242" s="2707"/>
      <c r="X242" s="2707"/>
      <c r="Y242" s="2707"/>
      <c r="Z242" s="2707"/>
      <c r="AA242" s="2707"/>
      <c r="AB242" s="2707"/>
      <c r="AC242" s="2707"/>
      <c r="AD242" s="2707"/>
      <c r="AE242" s="2707"/>
      <c r="AF242" s="2236">
        <f t="shared" si="30"/>
        <v>81.17</v>
      </c>
      <c r="AG242" s="2707"/>
      <c r="AH242" s="2723"/>
      <c r="AI242" s="2723"/>
      <c r="AU242" s="1505"/>
      <c r="DJ242" s="1187"/>
    </row>
    <row r="243" spans="1:115" ht="30" hidden="1" customHeight="1" outlineLevel="1">
      <c r="A243" s="533"/>
      <c r="B243" s="2086"/>
      <c r="C243" s="2963"/>
      <c r="D243" s="3126" t="s">
        <v>50</v>
      </c>
      <c r="E243" s="3126" t="s">
        <v>1135</v>
      </c>
      <c r="F243" s="3127" t="s">
        <v>1247</v>
      </c>
      <c r="G243" s="2612">
        <v>8.44</v>
      </c>
      <c r="H243" s="4020" t="s">
        <v>1219</v>
      </c>
      <c r="I243" s="4020"/>
      <c r="J243" s="2112"/>
      <c r="K243" s="2228"/>
      <c r="L243" s="3128"/>
      <c r="M243" s="696"/>
      <c r="N243" s="2112"/>
      <c r="O243" s="2112"/>
      <c r="P243" s="67"/>
      <c r="V243" s="2707" t="s">
        <v>50</v>
      </c>
      <c r="W243" s="2707"/>
      <c r="X243" s="2707"/>
      <c r="Y243" s="2707"/>
      <c r="Z243" s="2707"/>
      <c r="AA243" s="2707"/>
      <c r="AB243" s="2707"/>
      <c r="AC243" s="2707"/>
      <c r="AD243" s="2707"/>
      <c r="AE243" s="2707"/>
      <c r="AF243" s="2236">
        <f t="shared" si="30"/>
        <v>8.44</v>
      </c>
      <c r="AG243" s="2707"/>
      <c r="AH243" s="2723"/>
      <c r="AI243" s="2723"/>
      <c r="AU243" s="1505"/>
      <c r="DJ243" s="1187"/>
    </row>
    <row r="244" spans="1:115" ht="30" hidden="1" customHeight="1" outlineLevel="1">
      <c r="A244" s="533"/>
      <c r="B244" s="2086"/>
      <c r="C244" s="2963"/>
      <c r="D244" s="3126" t="s">
        <v>50</v>
      </c>
      <c r="E244" s="3126" t="s">
        <v>1135</v>
      </c>
      <c r="F244" s="3127" t="s">
        <v>1248</v>
      </c>
      <c r="G244" s="2612">
        <v>22.33</v>
      </c>
      <c r="H244" s="4020" t="s">
        <v>1219</v>
      </c>
      <c r="I244" s="4020"/>
      <c r="J244" s="2112"/>
      <c r="K244" s="2228"/>
      <c r="L244" s="3128"/>
      <c r="M244" s="696"/>
      <c r="N244" s="2112"/>
      <c r="O244" s="2112"/>
      <c r="P244" s="67"/>
      <c r="V244" s="2707" t="s">
        <v>50</v>
      </c>
      <c r="W244" s="2707"/>
      <c r="X244" s="2707"/>
      <c r="Y244" s="2707"/>
      <c r="Z244" s="2707"/>
      <c r="AA244" s="2707"/>
      <c r="AB244" s="2707"/>
      <c r="AC244" s="2707"/>
      <c r="AD244" s="2707"/>
      <c r="AE244" s="2707"/>
      <c r="AF244" s="2236">
        <f t="shared" si="30"/>
        <v>22.33</v>
      </c>
      <c r="AG244" s="2707"/>
      <c r="AH244" s="2723"/>
      <c r="AI244" s="2723"/>
      <c r="AU244" s="1505"/>
      <c r="DJ244" s="1187"/>
    </row>
    <row r="245" spans="1:115" ht="30" hidden="1" customHeight="1" outlineLevel="1">
      <c r="A245" s="533"/>
      <c r="B245" s="2086"/>
      <c r="C245" s="2963"/>
      <c r="D245" s="3126" t="s">
        <v>50</v>
      </c>
      <c r="E245" s="3126" t="s">
        <v>1135</v>
      </c>
      <c r="F245" s="3127" t="s">
        <v>1249</v>
      </c>
      <c r="G245" s="2612">
        <v>92.34</v>
      </c>
      <c r="H245" s="4020" t="s">
        <v>1219</v>
      </c>
      <c r="I245" s="4020"/>
      <c r="J245" s="2112"/>
      <c r="K245" s="2228"/>
      <c r="L245" s="3128"/>
      <c r="M245" s="696"/>
      <c r="N245" s="2112"/>
      <c r="O245" s="2112"/>
      <c r="P245" s="67"/>
      <c r="V245" s="2707" t="s">
        <v>50</v>
      </c>
      <c r="W245" s="2707"/>
      <c r="X245" s="2707"/>
      <c r="Y245" s="2707"/>
      <c r="Z245" s="2707"/>
      <c r="AA245" s="2707"/>
      <c r="AB245" s="2707"/>
      <c r="AC245" s="2707"/>
      <c r="AD245" s="2707"/>
      <c r="AE245" s="2707"/>
      <c r="AF245" s="2236">
        <f t="shared" si="30"/>
        <v>92.34</v>
      </c>
      <c r="AG245" s="2707"/>
      <c r="AH245" s="2723"/>
      <c r="AI245" s="2723"/>
      <c r="AU245" s="1505"/>
      <c r="DJ245" s="1187"/>
    </row>
    <row r="246" spans="1:115" ht="30" hidden="1" customHeight="1" outlineLevel="1">
      <c r="A246" s="533"/>
      <c r="B246" s="2086"/>
      <c r="C246" s="2963"/>
      <c r="D246" s="3126" t="s">
        <v>50</v>
      </c>
      <c r="E246" s="3126" t="s">
        <v>1135</v>
      </c>
      <c r="F246" s="3127" t="s">
        <v>1250</v>
      </c>
      <c r="G246" s="2612">
        <v>44.5</v>
      </c>
      <c r="H246" s="4020" t="s">
        <v>1219</v>
      </c>
      <c r="I246" s="4020"/>
      <c r="J246" s="2112"/>
      <c r="K246" s="2228"/>
      <c r="L246" s="3128"/>
      <c r="M246" s="696"/>
      <c r="N246" s="2112"/>
      <c r="O246" s="2112"/>
      <c r="P246" s="67"/>
      <c r="V246" s="2707" t="s">
        <v>50</v>
      </c>
      <c r="W246" s="2707"/>
      <c r="X246" s="2707"/>
      <c r="Y246" s="2707"/>
      <c r="Z246" s="2707"/>
      <c r="AA246" s="2707"/>
      <c r="AB246" s="2707"/>
      <c r="AC246" s="2707"/>
      <c r="AD246" s="2707"/>
      <c r="AE246" s="2707"/>
      <c r="AF246" s="2236">
        <f t="shared" si="30"/>
        <v>44.5</v>
      </c>
      <c r="AG246" s="2707"/>
      <c r="AH246" s="2723"/>
      <c r="AI246" s="2723"/>
      <c r="AU246" s="1505"/>
      <c r="DJ246" s="1187"/>
    </row>
    <row r="247" spans="1:115" collapsed="1">
      <c r="A247" s="533"/>
      <c r="B247" s="2086"/>
      <c r="C247" s="2963"/>
      <c r="D247" s="3130" t="s">
        <v>1251</v>
      </c>
      <c r="E247" s="3131"/>
      <c r="F247" s="3132"/>
      <c r="G247" s="2086"/>
      <c r="H247" s="2086"/>
      <c r="I247" s="2086"/>
      <c r="J247" s="2086"/>
      <c r="K247" s="2086"/>
      <c r="L247" s="2086"/>
      <c r="M247" s="2086"/>
      <c r="N247" s="2086"/>
      <c r="O247" s="2086"/>
      <c r="V247" s="2723" t="s">
        <v>1251</v>
      </c>
      <c r="W247" s="2723"/>
      <c r="X247" s="2086"/>
      <c r="Y247" s="2723"/>
      <c r="Z247" s="2723"/>
      <c r="AA247" s="2723"/>
      <c r="AB247" s="2723"/>
      <c r="AC247" s="2723"/>
      <c r="AD247" s="2723"/>
      <c r="AE247" s="2723"/>
      <c r="AF247" s="2723"/>
      <c r="AG247" s="2723"/>
      <c r="AH247" s="2723"/>
      <c r="AI247" s="2723"/>
      <c r="AU247" s="1505"/>
      <c r="DJ247" s="1187"/>
    </row>
    <row r="248" spans="1:115">
      <c r="A248" s="533"/>
      <c r="C248" s="64"/>
      <c r="D248" s="2168"/>
      <c r="E248" s="118"/>
      <c r="F248" s="2155"/>
      <c r="AU248" s="1505"/>
      <c r="DJ248" s="1187"/>
    </row>
    <row r="249" spans="1:115">
      <c r="A249" s="533"/>
      <c r="B249" s="4025" t="s">
        <v>1252</v>
      </c>
      <c r="C249" s="4026"/>
      <c r="D249" s="4026"/>
      <c r="E249" s="4026"/>
      <c r="F249" s="4026"/>
      <c r="G249" s="4026"/>
      <c r="H249" s="4026"/>
      <c r="I249" s="4817"/>
      <c r="J249" s="4817"/>
      <c r="K249" s="4817"/>
      <c r="L249" s="4817"/>
      <c r="M249" s="4817"/>
      <c r="N249" s="4817"/>
      <c r="O249" s="4818"/>
      <c r="V249" s="4040" t="str">
        <f>B249</f>
        <v>ENERGY STAR Dehumidifier</v>
      </c>
      <c r="W249" s="4041"/>
      <c r="X249" s="4041"/>
      <c r="Y249" s="4041"/>
      <c r="Z249" s="4041"/>
      <c r="AA249" s="4041"/>
      <c r="AB249" s="4041"/>
      <c r="AC249" s="4832"/>
      <c r="AD249" s="4832"/>
      <c r="AE249" s="4832"/>
      <c r="AF249" s="4832"/>
      <c r="AG249" s="4832"/>
      <c r="AH249" s="4832"/>
      <c r="AI249" s="4833"/>
      <c r="AU249" s="1505"/>
      <c r="DJ249" s="1187"/>
    </row>
    <row r="250" spans="1:115">
      <c r="A250" s="533"/>
      <c r="B250" s="2086"/>
      <c r="C250" s="2963"/>
      <c r="D250" s="2711"/>
      <c r="E250" s="2711"/>
      <c r="F250" s="2963"/>
      <c r="G250" s="2086"/>
      <c r="H250" s="2086"/>
      <c r="I250" s="2086"/>
      <c r="J250" s="2086"/>
      <c r="K250" s="2086"/>
      <c r="L250" s="2086"/>
      <c r="M250" s="2086"/>
      <c r="N250" s="2086"/>
      <c r="O250" s="2086"/>
      <c r="V250" s="2723"/>
      <c r="W250" s="2723"/>
      <c r="X250" s="2723"/>
      <c r="Y250" s="2723"/>
      <c r="Z250" s="2723"/>
      <c r="AA250" s="2723"/>
      <c r="AB250" s="2723"/>
      <c r="AC250" s="2723"/>
      <c r="AD250" s="2723"/>
      <c r="AE250" s="2723"/>
      <c r="AF250" s="2723"/>
      <c r="AG250" s="2723"/>
      <c r="AH250" s="2723"/>
      <c r="AI250" s="2723"/>
      <c r="AU250" s="1505"/>
      <c r="DJ250" s="1187"/>
    </row>
    <row r="251" spans="1:115" ht="30">
      <c r="A251" s="533"/>
      <c r="B251" s="635"/>
      <c r="C251" s="2207" t="s">
        <v>42</v>
      </c>
      <c r="D251" s="2207" t="s">
        <v>953</v>
      </c>
      <c r="E251" s="2207" t="s">
        <v>44</v>
      </c>
      <c r="F251" s="2207" t="s">
        <v>45</v>
      </c>
      <c r="G251" s="2207" t="s">
        <v>46</v>
      </c>
      <c r="H251" s="2207" t="s">
        <v>47</v>
      </c>
      <c r="I251" s="2207" t="s">
        <v>48</v>
      </c>
      <c r="J251" s="2207" t="s">
        <v>49</v>
      </c>
      <c r="K251" s="2207" t="s">
        <v>50</v>
      </c>
      <c r="L251" s="2207" t="s">
        <v>51</v>
      </c>
      <c r="M251" s="635"/>
      <c r="N251" s="635"/>
      <c r="O251" s="2086"/>
      <c r="V251" s="2640" t="s">
        <v>52</v>
      </c>
      <c r="W251" s="2641">
        <v>43252</v>
      </c>
      <c r="X251" s="2641">
        <f>$X$6</f>
        <v>43465</v>
      </c>
      <c r="Y251" s="2641">
        <f>$Y$6</f>
        <v>43800</v>
      </c>
      <c r="Z251" s="2641">
        <f>$Z$6</f>
        <v>43862</v>
      </c>
      <c r="AA251" s="2641">
        <f>$AA$6</f>
        <v>44013</v>
      </c>
      <c r="AB251" s="2641">
        <f>$AB$6</f>
        <v>44166</v>
      </c>
      <c r="AC251" s="2641">
        <f>$AC$6</f>
        <v>44531</v>
      </c>
      <c r="AD251" s="2641">
        <f>$AD$6</f>
        <v>44774</v>
      </c>
      <c r="AE251" s="2641">
        <f>$AE$6</f>
        <v>45139</v>
      </c>
      <c r="AF251" s="2641">
        <f>$AF$6</f>
        <v>45672</v>
      </c>
      <c r="AG251" s="2641" t="str">
        <f>$AG$6</f>
        <v>-</v>
      </c>
      <c r="AH251" s="2723"/>
      <c r="AI251" s="2723"/>
      <c r="AU251" s="1505"/>
      <c r="DG251" s="3048" t="str">
        <f>$DG$6</f>
        <v>TRC (2025)</v>
      </c>
      <c r="DH251" s="3048" t="str">
        <f>$DH$6</f>
        <v>Benefit Lookup</v>
      </c>
      <c r="DI251" s="3049" t="str">
        <f>$DI$6</f>
        <v>Benefits (2025 $)</v>
      </c>
      <c r="DJ251" s="3050" t="str">
        <f>$DJ$6</f>
        <v>Incremental Cost (2025 $)</v>
      </c>
    </row>
    <row r="252" spans="1:115" s="1510" customFormat="1">
      <c r="A252" s="533"/>
      <c r="B252" s="2208">
        <f t="shared" ref="B252:B253" si="31">VALUE(LEFT(C252,6))</f>
        <v>251100</v>
      </c>
      <c r="C252" s="2243" t="s">
        <v>1253</v>
      </c>
      <c r="D252" s="2409" t="s">
        <v>1139</v>
      </c>
      <c r="E252" s="1444" t="s">
        <v>1252</v>
      </c>
      <c r="F252" s="2663">
        <f>((((G$262 * 0.473) / 24) * G$275) * (G$277 / (G$266) - 1 / (G$270))) * G$278</f>
        <v>131.4264285714286</v>
      </c>
      <c r="G252" s="2254" t="s">
        <v>1045</v>
      </c>
      <c r="H252" s="2366">
        <f>VLOOKUP(G252,'CP FACTORS'!$A$3:$B$38, 2, FALSE)</f>
        <v>9.4741810000000004E-4</v>
      </c>
      <c r="I252" s="2481">
        <f>ROUND(H252*F252,6)</f>
        <v>0.124516</v>
      </c>
      <c r="J252" s="2252">
        <f>G$279</f>
        <v>12</v>
      </c>
      <c r="K252" s="2665">
        <f>G280</f>
        <v>10</v>
      </c>
      <c r="L252" s="2459" t="s">
        <v>62</v>
      </c>
      <c r="M252" s="3134"/>
      <c r="N252" s="2701"/>
      <c r="O252" s="3080"/>
      <c r="P252" s="107"/>
      <c r="Q252" s="107"/>
      <c r="R252" s="107"/>
      <c r="S252" s="107"/>
      <c r="T252" s="107"/>
      <c r="U252" s="107"/>
      <c r="V252" s="1444" t="s">
        <v>1206</v>
      </c>
      <c r="W252" s="3144">
        <v>204</v>
      </c>
      <c r="X252" s="3144">
        <v>204</v>
      </c>
      <c r="Y252" s="3145">
        <v>204</v>
      </c>
      <c r="Z252" s="3145">
        <v>204</v>
      </c>
      <c r="AA252" s="3145">
        <v>204</v>
      </c>
      <c r="AB252" s="3145">
        <v>204</v>
      </c>
      <c r="AC252" s="3145">
        <v>204</v>
      </c>
      <c r="AD252" s="3145">
        <v>204</v>
      </c>
      <c r="AE252" s="3145">
        <v>204</v>
      </c>
      <c r="AF252" s="2236">
        <f>IF(F252&lt;&gt;"",F252,"")</f>
        <v>131.4264285714286</v>
      </c>
      <c r="AG252" s="3083"/>
      <c r="AH252" s="3085"/>
      <c r="AI252" s="3085"/>
      <c r="AU252" s="1505"/>
      <c r="DG252" s="3133">
        <f>(DI252)/(DJ252)</f>
        <v>22.820619257748554</v>
      </c>
      <c r="DH252" s="2432" t="str">
        <f>CONCATENATE(G252," ",J252," Year EUL")</f>
        <v>Cooling RES 12 Year EUL</v>
      </c>
      <c r="DI252" s="2604">
        <f>(INDEX('Avoided Cost Benefits'!$B$4:$B$865,MATCH(DH252,'Avoided Cost Benefits'!$A$4:$A$865,0)))*F252</f>
        <v>228.20619257748552</v>
      </c>
      <c r="DJ252" s="2605">
        <f>K252/(1.0686^(2025-2025))</f>
        <v>10</v>
      </c>
    </row>
    <row r="253" spans="1:115">
      <c r="A253" s="533"/>
      <c r="B253" s="2208">
        <f t="shared" si="31"/>
        <v>251101</v>
      </c>
      <c r="C253" s="2243" t="s">
        <v>1254</v>
      </c>
      <c r="D253" s="2409" t="s">
        <v>1139</v>
      </c>
      <c r="E253" s="1622" t="s">
        <v>1255</v>
      </c>
      <c r="F253" s="2663">
        <f>((((G$262 * 0.473) / 24) * G$275) * (G$277 / (G$266) - 1 / (G$274))) * G$278</f>
        <v>188.42498719918078</v>
      </c>
      <c r="G253" s="2243" t="s">
        <v>1045</v>
      </c>
      <c r="H253" s="3135">
        <f>VLOOKUP(G253,'CP FACTORS'!$A$3:$B$38, 2, FALSE)</f>
        <v>9.4741810000000004E-4</v>
      </c>
      <c r="I253" s="2481">
        <f>ROUND(H253*F253,6)</f>
        <v>0.17851700000000001</v>
      </c>
      <c r="J253" s="2252">
        <f>G$279</f>
        <v>12</v>
      </c>
      <c r="K253" s="2665">
        <f>G281</f>
        <v>75</v>
      </c>
      <c r="L253" s="2459" t="s">
        <v>62</v>
      </c>
      <c r="M253" s="2086"/>
      <c r="N253" s="2086"/>
      <c r="O253" s="2086"/>
      <c r="V253" s="1444" t="s">
        <v>1206</v>
      </c>
      <c r="W253" s="3144"/>
      <c r="X253" s="3144"/>
      <c r="Y253" s="3145"/>
      <c r="Z253" s="3145"/>
      <c r="AA253" s="3145"/>
      <c r="AB253" s="3145"/>
      <c r="AC253" s="3145"/>
      <c r="AD253" s="3145"/>
      <c r="AE253" s="3145"/>
      <c r="AF253" s="2236">
        <f>IF(F253&lt;&gt;"",F253,"")</f>
        <v>188.42498719918078</v>
      </c>
      <c r="AG253" s="3083"/>
      <c r="AH253" s="2723"/>
      <c r="AI253" s="2723"/>
      <c r="AU253" s="1505"/>
      <c r="DG253" s="3133">
        <f>(DI253)/(DJ253)</f>
        <v>4.3623644937153738</v>
      </c>
      <c r="DH253" s="2432" t="str">
        <f>CONCATENATE(G253," ",J253," Year EUL")</f>
        <v>Cooling RES 12 Year EUL</v>
      </c>
      <c r="DI253" s="2604">
        <f>(INDEX('Avoided Cost Benefits'!$B$4:$B$865,MATCH(DH253,'Avoided Cost Benefits'!$A$4:$A$865,0)))*F253</f>
        <v>327.17733702865303</v>
      </c>
      <c r="DJ253" s="2605">
        <f>K253/(1.0686^(2025-2025))</f>
        <v>75</v>
      </c>
      <c r="DK253" s="1510"/>
    </row>
    <row r="254" spans="1:115" ht="15" hidden="1" customHeight="1" outlineLevel="1">
      <c r="A254" s="533"/>
      <c r="B254" s="2086"/>
      <c r="C254" s="3119"/>
      <c r="D254" s="2624" t="s">
        <v>118</v>
      </c>
      <c r="E254" s="2993" t="s">
        <v>1256</v>
      </c>
      <c r="F254" s="3119"/>
      <c r="G254" s="3118"/>
      <c r="H254" s="2086"/>
      <c r="I254" s="2086"/>
      <c r="J254" s="2086"/>
      <c r="K254" s="2086"/>
      <c r="L254" s="2086"/>
      <c r="M254" s="2086"/>
      <c r="N254" s="2086"/>
      <c r="O254" s="2086"/>
      <c r="V254" s="2723"/>
      <c r="W254" s="2723"/>
      <c r="X254" s="2723"/>
      <c r="Y254" s="2723"/>
      <c r="Z254" s="2723"/>
      <c r="AA254" s="2723"/>
      <c r="AB254" s="2723"/>
      <c r="AC254" s="2723"/>
      <c r="AD254" s="2723"/>
      <c r="AE254" s="2723"/>
      <c r="AF254" s="2723"/>
      <c r="AG254" s="2723"/>
      <c r="AH254" s="2723"/>
      <c r="AI254" s="2723"/>
      <c r="AU254" s="1505"/>
      <c r="DJ254" s="1187"/>
    </row>
    <row r="255" spans="1:115" ht="15" hidden="1" customHeight="1" outlineLevel="1">
      <c r="A255" s="533"/>
      <c r="B255" s="2086"/>
      <c r="C255" s="3119"/>
      <c r="D255" s="2624" t="s">
        <v>963</v>
      </c>
      <c r="E255" s="2624" t="s">
        <v>1257</v>
      </c>
      <c r="F255" s="3119"/>
      <c r="G255" s="3118"/>
      <c r="H255" s="2086"/>
      <c r="I255" s="2086"/>
      <c r="J255" s="2086"/>
      <c r="K255" s="2086"/>
      <c r="L255" s="2086"/>
      <c r="M255" s="2086"/>
      <c r="N255" s="2086"/>
      <c r="O255" s="2086"/>
      <c r="V255" s="2723"/>
      <c r="W255" s="2723"/>
      <c r="X255" s="2723"/>
      <c r="Y255" s="2723"/>
      <c r="Z255" s="2723"/>
      <c r="AA255" s="2723"/>
      <c r="AB255" s="2723"/>
      <c r="AC255" s="2723"/>
      <c r="AD255" s="2723"/>
      <c r="AE255" s="2723"/>
      <c r="AF255" s="2723"/>
      <c r="AG255" s="2723"/>
      <c r="AH255" s="2723"/>
      <c r="AI255" s="2723"/>
      <c r="AU255" s="1505"/>
      <c r="DJ255" s="1187"/>
    </row>
    <row r="256" spans="1:115" ht="15" hidden="1" customHeight="1" outlineLevel="1">
      <c r="A256" s="533"/>
      <c r="B256" s="2086"/>
      <c r="C256" s="3119"/>
      <c r="D256" s="2624"/>
      <c r="E256" s="2626" t="s">
        <v>966</v>
      </c>
      <c r="F256" s="3119"/>
      <c r="G256" s="3118"/>
      <c r="H256" s="2086"/>
      <c r="I256" s="2086"/>
      <c r="J256" s="2086"/>
      <c r="K256" s="2086"/>
      <c r="L256" s="2086"/>
      <c r="M256" s="2086"/>
      <c r="N256" s="2086"/>
      <c r="O256" s="2086"/>
      <c r="V256" s="2723"/>
      <c r="W256" s="2723"/>
      <c r="X256" s="2723"/>
      <c r="Y256" s="2723"/>
      <c r="Z256" s="2723"/>
      <c r="AA256" s="2723"/>
      <c r="AB256" s="2723"/>
      <c r="AC256" s="2723"/>
      <c r="AD256" s="2723"/>
      <c r="AE256" s="2723"/>
      <c r="AF256" s="2723"/>
      <c r="AG256" s="2723"/>
      <c r="AH256" s="2723"/>
      <c r="AI256" s="2723"/>
      <c r="AU256" s="1505"/>
      <c r="DJ256" s="1187"/>
    </row>
    <row r="257" spans="1:114" ht="15" hidden="1" customHeight="1" outlineLevel="1">
      <c r="A257" s="533"/>
      <c r="B257" s="2086"/>
      <c r="C257" s="2963"/>
      <c r="D257" s="2711"/>
      <c r="E257" s="2711"/>
      <c r="F257" s="2963"/>
      <c r="G257" s="2086"/>
      <c r="H257" s="2086"/>
      <c r="I257" s="2086"/>
      <c r="J257" s="2086"/>
      <c r="K257" s="2086"/>
      <c r="L257" s="2086"/>
      <c r="M257" s="2086"/>
      <c r="N257" s="2086"/>
      <c r="O257" s="2086"/>
      <c r="V257" s="2086"/>
      <c r="W257" s="2086"/>
      <c r="X257" s="2086"/>
      <c r="Y257" s="2086"/>
      <c r="Z257" s="2086"/>
      <c r="AA257" s="2086"/>
      <c r="AB257" s="2086"/>
      <c r="AC257" s="2086"/>
      <c r="AD257" s="2086"/>
      <c r="AE257" s="2086"/>
      <c r="AF257" s="2086"/>
      <c r="AG257" s="2086"/>
      <c r="AH257" s="2723"/>
      <c r="AI257" s="2723"/>
      <c r="AU257" s="1505"/>
      <c r="DJ257" s="1187"/>
    </row>
    <row r="258" spans="1:114" ht="15" hidden="1" customHeight="1" outlineLevel="1">
      <c r="A258" s="533"/>
      <c r="B258" s="2086"/>
      <c r="C258" s="2963"/>
      <c r="D258" s="2615" t="s">
        <v>1078</v>
      </c>
      <c r="E258" s="2615" t="s">
        <v>967</v>
      </c>
      <c r="F258" s="2616" t="s">
        <v>968</v>
      </c>
      <c r="G258" s="2369" t="s">
        <v>969</v>
      </c>
      <c r="H258" s="4061" t="s">
        <v>1079</v>
      </c>
      <c r="I258" s="4061"/>
      <c r="J258" s="2963"/>
      <c r="K258" s="2086"/>
      <c r="L258" s="2086"/>
      <c r="M258" s="635"/>
      <c r="N258" s="635"/>
      <c r="O258" s="2086"/>
      <c r="V258" s="2640" t="s">
        <v>52</v>
      </c>
      <c r="W258" s="2641">
        <v>43252</v>
      </c>
      <c r="X258" s="2641">
        <f>$X$6</f>
        <v>43465</v>
      </c>
      <c r="Y258" s="2641">
        <f>$Y$6</f>
        <v>43800</v>
      </c>
      <c r="Z258" s="2641">
        <f>$Z$6</f>
        <v>43862</v>
      </c>
      <c r="AA258" s="2641">
        <f>$AA$6</f>
        <v>44013</v>
      </c>
      <c r="AB258" s="2641">
        <f>$AB$6</f>
        <v>44166</v>
      </c>
      <c r="AC258" s="2641">
        <f>$AC$6</f>
        <v>44531</v>
      </c>
      <c r="AD258" s="2641">
        <f>$AD$6</f>
        <v>44774</v>
      </c>
      <c r="AE258" s="2641">
        <f>$AE$6</f>
        <v>45139</v>
      </c>
      <c r="AF258" s="2641">
        <f>$AF$6</f>
        <v>45672</v>
      </c>
      <c r="AG258" s="2641" t="str">
        <f>$AG$6</f>
        <v>-</v>
      </c>
      <c r="AH258" s="2723"/>
      <c r="AI258" s="2723"/>
      <c r="AU258" s="1505"/>
      <c r="DJ258" s="1187"/>
    </row>
    <row r="259" spans="1:114" ht="31.5" hidden="1" customHeight="1" outlineLevel="1">
      <c r="A259" s="533"/>
      <c r="B259" s="2086"/>
      <c r="C259" s="2963"/>
      <c r="D259" s="3136" t="s">
        <v>1258</v>
      </c>
      <c r="E259" s="3136" t="s">
        <v>1259</v>
      </c>
      <c r="F259" s="3137" t="s">
        <v>1260</v>
      </c>
      <c r="G259" s="2757">
        <v>20</v>
      </c>
      <c r="H259" s="4034" t="s">
        <v>1261</v>
      </c>
      <c r="I259" s="4034"/>
      <c r="J259" s="2963"/>
      <c r="K259" s="2086"/>
      <c r="L259" s="2086"/>
      <c r="M259" s="3121"/>
      <c r="N259" s="3121"/>
      <c r="O259" s="2086"/>
      <c r="V259" s="2707" t="s">
        <v>1258</v>
      </c>
      <c r="W259" s="2707"/>
      <c r="X259" s="2707"/>
      <c r="Y259" s="2707"/>
      <c r="Z259" s="2707"/>
      <c r="AA259" s="2707"/>
      <c r="AB259" s="2707"/>
      <c r="AC259" s="2707"/>
      <c r="AD259" s="2707"/>
      <c r="AE259" s="2707"/>
      <c r="AF259" s="2236">
        <f t="shared" ref="AF259:AF281" si="32">IF(G259&lt;&gt;"",G259,"")</f>
        <v>20</v>
      </c>
      <c r="AG259" s="2707"/>
      <c r="AH259" s="2723"/>
      <c r="AI259" s="2723"/>
      <c r="AU259" s="1505"/>
      <c r="DJ259" s="1187"/>
    </row>
    <row r="260" spans="1:114" ht="15" hidden="1" customHeight="1" outlineLevel="1">
      <c r="A260" s="533"/>
      <c r="B260" s="2086"/>
      <c r="C260" s="2963"/>
      <c r="D260" s="3136" t="s">
        <v>1258</v>
      </c>
      <c r="E260" s="3136" t="s">
        <v>1259</v>
      </c>
      <c r="F260" s="3137" t="s">
        <v>1262</v>
      </c>
      <c r="G260" s="2757">
        <v>37.5</v>
      </c>
      <c r="H260" s="4034" t="s">
        <v>1261</v>
      </c>
      <c r="I260" s="4034"/>
      <c r="J260" s="2963"/>
      <c r="K260" s="2086"/>
      <c r="L260" s="2086"/>
      <c r="M260" s="3121"/>
      <c r="N260" s="3121"/>
      <c r="O260" s="2086"/>
      <c r="V260" s="2707" t="s">
        <v>1258</v>
      </c>
      <c r="W260" s="2707"/>
      <c r="X260" s="2707"/>
      <c r="Y260" s="2707"/>
      <c r="Z260" s="2707"/>
      <c r="AA260" s="2707"/>
      <c r="AB260" s="2707"/>
      <c r="AC260" s="2707"/>
      <c r="AD260" s="2707"/>
      <c r="AE260" s="2707"/>
      <c r="AF260" s="2236">
        <f t="shared" si="32"/>
        <v>37.5</v>
      </c>
      <c r="AG260" s="2707"/>
      <c r="AH260" s="2723"/>
      <c r="AI260" s="2723"/>
      <c r="AU260" s="1505"/>
      <c r="DJ260" s="1187"/>
    </row>
    <row r="261" spans="1:114" ht="15.75" hidden="1" customHeight="1" outlineLevel="1">
      <c r="A261" s="533"/>
      <c r="B261" s="2086"/>
      <c r="C261" s="2963"/>
      <c r="D261" s="3136" t="s">
        <v>1258</v>
      </c>
      <c r="E261" s="3136" t="s">
        <v>1259</v>
      </c>
      <c r="F261" s="3137" t="s">
        <v>1263</v>
      </c>
      <c r="G261" s="2757">
        <v>102.5</v>
      </c>
      <c r="H261" s="4034" t="s">
        <v>1261</v>
      </c>
      <c r="I261" s="4034"/>
      <c r="J261" s="2963"/>
      <c r="K261" s="2086"/>
      <c r="L261" s="2086"/>
      <c r="M261" s="3121"/>
      <c r="N261" s="3121"/>
      <c r="O261" s="2086"/>
      <c r="V261" s="2707" t="s">
        <v>1258</v>
      </c>
      <c r="W261" s="2707"/>
      <c r="X261" s="2707"/>
      <c r="Y261" s="2707"/>
      <c r="Z261" s="2707"/>
      <c r="AA261" s="2707"/>
      <c r="AB261" s="2707"/>
      <c r="AC261" s="2707"/>
      <c r="AD261" s="2707"/>
      <c r="AE261" s="2707"/>
      <c r="AF261" s="2236">
        <f t="shared" si="32"/>
        <v>102.5</v>
      </c>
      <c r="AG261" s="2707"/>
      <c r="AH261" s="2723"/>
      <c r="AI261" s="2723"/>
      <c r="AU261" s="1505"/>
      <c r="DJ261" s="1187"/>
    </row>
    <row r="262" spans="1:114" ht="15" hidden="1" customHeight="1" outlineLevel="1">
      <c r="A262" s="533"/>
      <c r="B262" s="2086"/>
      <c r="C262" s="2963"/>
      <c r="D262" s="3136" t="s">
        <v>1258</v>
      </c>
      <c r="E262" s="3136" t="s">
        <v>1259</v>
      </c>
      <c r="F262" s="3137" t="s">
        <v>1264</v>
      </c>
      <c r="G262" s="2757">
        <v>38.9</v>
      </c>
      <c r="H262" s="4034" t="s">
        <v>1261</v>
      </c>
      <c r="I262" s="4034"/>
      <c r="J262" s="2963"/>
      <c r="K262" s="2086"/>
      <c r="L262" s="2086"/>
      <c r="M262" s="3121"/>
      <c r="N262" s="3121"/>
      <c r="O262" s="2086"/>
      <c r="V262" s="2707" t="s">
        <v>1258</v>
      </c>
      <c r="W262" s="2707"/>
      <c r="X262" s="2707"/>
      <c r="Y262" s="2707"/>
      <c r="Z262" s="2707"/>
      <c r="AA262" s="2707"/>
      <c r="AB262" s="2707"/>
      <c r="AC262" s="2707"/>
      <c r="AD262" s="2707"/>
      <c r="AE262" s="2707"/>
      <c r="AF262" s="2236">
        <f t="shared" si="32"/>
        <v>38.9</v>
      </c>
      <c r="AG262" s="2707"/>
      <c r="AH262" s="2723"/>
      <c r="AI262" s="2723"/>
      <c r="AU262" s="1505"/>
      <c r="DJ262" s="1187"/>
    </row>
    <row r="263" spans="1:114" ht="15" hidden="1" customHeight="1" outlineLevel="1">
      <c r="A263" s="533"/>
      <c r="B263" s="2086"/>
      <c r="C263" s="2963"/>
      <c r="D263" s="3136" t="s">
        <v>1265</v>
      </c>
      <c r="E263" s="3136" t="s">
        <v>1266</v>
      </c>
      <c r="F263" s="3137" t="s">
        <v>1260</v>
      </c>
      <c r="G263" s="2757">
        <v>1.3</v>
      </c>
      <c r="H263" s="4034" t="s">
        <v>1261</v>
      </c>
      <c r="I263" s="4034"/>
      <c r="J263" s="2963"/>
      <c r="K263" s="2086"/>
      <c r="L263" s="2086"/>
      <c r="M263" s="3138"/>
      <c r="N263" s="3138"/>
      <c r="O263" s="2086"/>
      <c r="V263" s="2707" t="s">
        <v>1265</v>
      </c>
      <c r="W263" s="2707"/>
      <c r="X263" s="2707"/>
      <c r="Y263" s="2707"/>
      <c r="Z263" s="2707"/>
      <c r="AA263" s="2707"/>
      <c r="AB263" s="2707"/>
      <c r="AC263" s="2707"/>
      <c r="AD263" s="2707"/>
      <c r="AE263" s="2707"/>
      <c r="AF263" s="2236">
        <f t="shared" si="32"/>
        <v>1.3</v>
      </c>
      <c r="AG263" s="2707"/>
      <c r="AH263" s="2723"/>
      <c r="AI263" s="2723"/>
      <c r="AU263" s="1505"/>
      <c r="DJ263" s="1187"/>
    </row>
    <row r="264" spans="1:114" ht="15" hidden="1" customHeight="1" outlineLevel="1">
      <c r="A264" s="533"/>
      <c r="B264" s="2086"/>
      <c r="C264" s="2963"/>
      <c r="D264" s="3136" t="s">
        <v>1265</v>
      </c>
      <c r="E264" s="3136" t="s">
        <v>1266</v>
      </c>
      <c r="F264" s="3137" t="s">
        <v>1262</v>
      </c>
      <c r="G264" s="2757">
        <v>1.6</v>
      </c>
      <c r="H264" s="4034" t="s">
        <v>1261</v>
      </c>
      <c r="I264" s="4034"/>
      <c r="J264" s="2963"/>
      <c r="K264" s="2086"/>
      <c r="L264" s="2086"/>
      <c r="M264" s="3138"/>
      <c r="N264" s="3138"/>
      <c r="O264" s="2086"/>
      <c r="V264" s="2707" t="s">
        <v>1265</v>
      </c>
      <c r="W264" s="2707"/>
      <c r="X264" s="2707"/>
      <c r="Y264" s="2707"/>
      <c r="Z264" s="2707"/>
      <c r="AA264" s="2707"/>
      <c r="AB264" s="2707"/>
      <c r="AC264" s="2707"/>
      <c r="AD264" s="2707"/>
      <c r="AE264" s="2707"/>
      <c r="AF264" s="2236">
        <f t="shared" si="32"/>
        <v>1.6</v>
      </c>
      <c r="AG264" s="2707"/>
      <c r="AH264" s="2723"/>
      <c r="AI264" s="2723"/>
      <c r="AU264" s="1505"/>
      <c r="DJ264" s="1187"/>
    </row>
    <row r="265" spans="1:114" ht="15" hidden="1" customHeight="1" outlineLevel="1">
      <c r="A265" s="533"/>
      <c r="B265" s="2086"/>
      <c r="C265" s="2963"/>
      <c r="D265" s="3136" t="s">
        <v>1265</v>
      </c>
      <c r="E265" s="3136" t="s">
        <v>1266</v>
      </c>
      <c r="F265" s="3137" t="s">
        <v>1263</v>
      </c>
      <c r="G265" s="2757">
        <v>2.8</v>
      </c>
      <c r="H265" s="4034" t="s">
        <v>1261</v>
      </c>
      <c r="I265" s="4034"/>
      <c r="J265" s="2963"/>
      <c r="K265" s="2086"/>
      <c r="L265" s="2086"/>
      <c r="M265" s="3121"/>
      <c r="N265" s="3121"/>
      <c r="O265" s="2086"/>
      <c r="V265" s="2707" t="s">
        <v>1265</v>
      </c>
      <c r="W265" s="2707"/>
      <c r="X265" s="2707"/>
      <c r="Y265" s="2707"/>
      <c r="Z265" s="2707"/>
      <c r="AA265" s="2707"/>
      <c r="AB265" s="2707"/>
      <c r="AC265" s="2707"/>
      <c r="AD265" s="2707"/>
      <c r="AE265" s="2707"/>
      <c r="AF265" s="2236">
        <f t="shared" si="32"/>
        <v>2.8</v>
      </c>
      <c r="AG265" s="2707"/>
      <c r="AH265" s="2723"/>
      <c r="AI265" s="2723"/>
      <c r="AU265" s="1505"/>
      <c r="DJ265" s="1187"/>
    </row>
    <row r="266" spans="1:114" ht="15" hidden="1" customHeight="1" outlineLevel="1">
      <c r="A266" s="533"/>
      <c r="B266" s="2086"/>
      <c r="C266" s="2963"/>
      <c r="D266" s="3136" t="s">
        <v>1265</v>
      </c>
      <c r="E266" s="3136" t="s">
        <v>1266</v>
      </c>
      <c r="F266" s="3137" t="s">
        <v>1264</v>
      </c>
      <c r="G266" s="2757">
        <v>1.54</v>
      </c>
      <c r="H266" s="4034" t="s">
        <v>1261</v>
      </c>
      <c r="I266" s="4034"/>
      <c r="J266" s="2963"/>
      <c r="K266" s="2086"/>
      <c r="L266" s="2086"/>
      <c r="M266" s="3121"/>
      <c r="N266" s="3121"/>
      <c r="O266" s="2086"/>
      <c r="V266" s="2707" t="s">
        <v>1265</v>
      </c>
      <c r="W266" s="2707"/>
      <c r="X266" s="2707"/>
      <c r="Y266" s="2707"/>
      <c r="Z266" s="2707"/>
      <c r="AA266" s="2707"/>
      <c r="AB266" s="2707"/>
      <c r="AC266" s="2707"/>
      <c r="AD266" s="2707"/>
      <c r="AE266" s="2707"/>
      <c r="AF266" s="2236">
        <f t="shared" si="32"/>
        <v>1.54</v>
      </c>
      <c r="AG266" s="2707"/>
      <c r="AH266" s="2723"/>
      <c r="AI266" s="2723"/>
      <c r="AU266" s="1505"/>
      <c r="DJ266" s="1187"/>
    </row>
    <row r="267" spans="1:114" ht="15" hidden="1" customHeight="1" outlineLevel="1">
      <c r="A267" s="533"/>
      <c r="B267" s="2086"/>
      <c r="C267" s="2963"/>
      <c r="D267" s="3136" t="s">
        <v>1267</v>
      </c>
      <c r="E267" s="3136" t="s">
        <v>1268</v>
      </c>
      <c r="F267" s="3137" t="s">
        <v>1269</v>
      </c>
      <c r="G267" s="2757">
        <v>1.57</v>
      </c>
      <c r="H267" s="4034" t="s">
        <v>1261</v>
      </c>
      <c r="I267" s="4034"/>
      <c r="J267" s="2963"/>
      <c r="K267" s="2086"/>
      <c r="L267" s="2086"/>
      <c r="M267" s="3121"/>
      <c r="N267" s="3121"/>
      <c r="O267" s="2086"/>
      <c r="V267" s="2707" t="s">
        <v>1267</v>
      </c>
      <c r="W267" s="2707"/>
      <c r="X267" s="2707"/>
      <c r="Y267" s="2707"/>
      <c r="Z267" s="2707"/>
      <c r="AA267" s="2707"/>
      <c r="AB267" s="2707"/>
      <c r="AC267" s="2707"/>
      <c r="AD267" s="2707"/>
      <c r="AE267" s="2707"/>
      <c r="AF267" s="2236">
        <f t="shared" si="32"/>
        <v>1.57</v>
      </c>
      <c r="AG267" s="2707"/>
      <c r="AH267" s="2723"/>
      <c r="AI267" s="2723"/>
      <c r="AU267" s="1505"/>
      <c r="DJ267" s="1187"/>
    </row>
    <row r="268" spans="1:114" ht="15" hidden="1" customHeight="1" outlineLevel="1">
      <c r="A268" s="533"/>
      <c r="B268" s="2086"/>
      <c r="C268" s="2963"/>
      <c r="D268" s="3136" t="s">
        <v>1267</v>
      </c>
      <c r="E268" s="3136" t="s">
        <v>1268</v>
      </c>
      <c r="F268" s="3137" t="s">
        <v>1270</v>
      </c>
      <c r="G268" s="2757">
        <v>1.8</v>
      </c>
      <c r="H268" s="4034" t="s">
        <v>1261</v>
      </c>
      <c r="I268" s="4034"/>
      <c r="J268" s="2963"/>
      <c r="K268" s="2086"/>
      <c r="L268" s="2086"/>
      <c r="M268" s="3121"/>
      <c r="N268" s="3121"/>
      <c r="O268" s="2086"/>
      <c r="V268" s="2707" t="s">
        <v>1267</v>
      </c>
      <c r="W268" s="2707"/>
      <c r="X268" s="2707"/>
      <c r="Y268" s="2707"/>
      <c r="Z268" s="2707"/>
      <c r="AA268" s="2707"/>
      <c r="AB268" s="2707"/>
      <c r="AC268" s="2707"/>
      <c r="AD268" s="2707"/>
      <c r="AE268" s="2707"/>
      <c r="AF268" s="2236">
        <f t="shared" si="32"/>
        <v>1.8</v>
      </c>
      <c r="AG268" s="2707"/>
      <c r="AH268" s="2723"/>
      <c r="AI268" s="2723"/>
      <c r="AU268" s="1505"/>
      <c r="DJ268" s="1187"/>
    </row>
    <row r="269" spans="1:114" ht="15" hidden="1" customHeight="1" outlineLevel="1">
      <c r="A269" s="533"/>
      <c r="B269" s="2086"/>
      <c r="C269" s="2963"/>
      <c r="D269" s="3136" t="s">
        <v>1267</v>
      </c>
      <c r="E269" s="3136" t="s">
        <v>1268</v>
      </c>
      <c r="F269" s="3137" t="s">
        <v>1271</v>
      </c>
      <c r="G269" s="2757">
        <v>3.3</v>
      </c>
      <c r="H269" s="4034" t="s">
        <v>1261</v>
      </c>
      <c r="I269" s="4034"/>
      <c r="J269" s="2963"/>
      <c r="K269" s="2086"/>
      <c r="L269" s="2086"/>
      <c r="M269" s="3138"/>
      <c r="N269" s="3138"/>
      <c r="O269" s="2086"/>
      <c r="V269" s="2707" t="s">
        <v>1267</v>
      </c>
      <c r="W269" s="2707"/>
      <c r="X269" s="2707"/>
      <c r="Y269" s="2707"/>
      <c r="Z269" s="2707"/>
      <c r="AA269" s="2707"/>
      <c r="AB269" s="2707"/>
      <c r="AC269" s="2707"/>
      <c r="AD269" s="2707"/>
      <c r="AE269" s="2707"/>
      <c r="AF269" s="2236">
        <f t="shared" si="32"/>
        <v>3.3</v>
      </c>
      <c r="AG269" s="2707"/>
      <c r="AH269" s="2723"/>
      <c r="AI269" s="2723"/>
      <c r="AU269" s="1505"/>
      <c r="DJ269" s="1187"/>
    </row>
    <row r="270" spans="1:114" ht="15" hidden="1" customHeight="1" outlineLevel="1">
      <c r="A270" s="533"/>
      <c r="B270" s="2086"/>
      <c r="C270" s="2963"/>
      <c r="D270" s="3136" t="s">
        <v>1267</v>
      </c>
      <c r="E270" s="3136" t="s">
        <v>1268</v>
      </c>
      <c r="F270" s="3137" t="s">
        <v>1272</v>
      </c>
      <c r="G270" s="2757">
        <v>1.75</v>
      </c>
      <c r="H270" s="4034" t="s">
        <v>1261</v>
      </c>
      <c r="I270" s="4034"/>
      <c r="J270" s="2963"/>
      <c r="K270" s="2086"/>
      <c r="L270" s="2086"/>
      <c r="M270" s="3138"/>
      <c r="N270" s="3138"/>
      <c r="O270" s="2086"/>
      <c r="V270" s="2707" t="s">
        <v>1267</v>
      </c>
      <c r="W270" s="2707"/>
      <c r="X270" s="2707"/>
      <c r="Y270" s="2707"/>
      <c r="Z270" s="2707"/>
      <c r="AA270" s="2707"/>
      <c r="AB270" s="2707"/>
      <c r="AC270" s="2707"/>
      <c r="AD270" s="2707"/>
      <c r="AE270" s="2707"/>
      <c r="AF270" s="2236">
        <f t="shared" si="32"/>
        <v>1.75</v>
      </c>
      <c r="AG270" s="2707"/>
      <c r="AH270" s="2723"/>
      <c r="AI270" s="2723"/>
      <c r="AU270" s="1505"/>
      <c r="DJ270" s="1187"/>
    </row>
    <row r="271" spans="1:114" ht="15" hidden="1" customHeight="1" outlineLevel="1">
      <c r="A271" s="533"/>
      <c r="B271" s="2086"/>
      <c r="C271" s="2963"/>
      <c r="D271" s="3136" t="s">
        <v>1267</v>
      </c>
      <c r="E271" s="3136" t="s">
        <v>1268</v>
      </c>
      <c r="F271" s="3137" t="s">
        <v>1273</v>
      </c>
      <c r="G271" s="2757">
        <v>1.7</v>
      </c>
      <c r="H271" s="4034" t="s">
        <v>1261</v>
      </c>
      <c r="I271" s="4034"/>
      <c r="J271" s="2963"/>
      <c r="K271" s="2086"/>
      <c r="L271" s="2086"/>
      <c r="M271" s="3121"/>
      <c r="N271" s="3121"/>
      <c r="O271" s="2086"/>
      <c r="V271" s="2707" t="s">
        <v>1267</v>
      </c>
      <c r="W271" s="2707"/>
      <c r="X271" s="2707"/>
      <c r="Y271" s="2707"/>
      <c r="Z271" s="2707"/>
      <c r="AA271" s="2707"/>
      <c r="AB271" s="2707"/>
      <c r="AC271" s="2707"/>
      <c r="AD271" s="2707"/>
      <c r="AE271" s="2707"/>
      <c r="AF271" s="2236">
        <f t="shared" si="32"/>
        <v>1.7</v>
      </c>
      <c r="AG271" s="2707"/>
      <c r="AH271" s="2723"/>
      <c r="AI271" s="2723"/>
      <c r="AU271" s="1505"/>
      <c r="DJ271" s="1187"/>
    </row>
    <row r="272" spans="1:114" ht="15" hidden="1" customHeight="1" outlineLevel="1">
      <c r="A272" s="533"/>
      <c r="B272" s="2086"/>
      <c r="C272" s="2963"/>
      <c r="D272" s="3136" t="s">
        <v>1267</v>
      </c>
      <c r="E272" s="3136" t="s">
        <v>1268</v>
      </c>
      <c r="F272" s="3137" t="s">
        <v>1274</v>
      </c>
      <c r="G272" s="2757">
        <v>1.9</v>
      </c>
      <c r="H272" s="4034" t="s">
        <v>1261</v>
      </c>
      <c r="I272" s="4034"/>
      <c r="J272" s="2963"/>
      <c r="K272" s="2086"/>
      <c r="L272" s="2086"/>
      <c r="M272" s="3121"/>
      <c r="N272" s="3121"/>
      <c r="O272" s="2086"/>
      <c r="V272" s="2707" t="s">
        <v>1267</v>
      </c>
      <c r="W272" s="2707"/>
      <c r="X272" s="2707"/>
      <c r="Y272" s="2707"/>
      <c r="Z272" s="2707"/>
      <c r="AA272" s="2707"/>
      <c r="AB272" s="2707"/>
      <c r="AC272" s="2707"/>
      <c r="AD272" s="2707"/>
      <c r="AE272" s="2707"/>
      <c r="AF272" s="2236">
        <f t="shared" si="32"/>
        <v>1.9</v>
      </c>
      <c r="AG272" s="2707"/>
      <c r="AH272" s="2723"/>
      <c r="AI272" s="2723"/>
      <c r="AU272" s="1505"/>
      <c r="DJ272" s="1187"/>
    </row>
    <row r="273" spans="1:114" ht="15" hidden="1" customHeight="1" outlineLevel="1">
      <c r="A273" s="533"/>
      <c r="B273" s="2086"/>
      <c r="C273" s="2963"/>
      <c r="D273" s="3136" t="s">
        <v>1267</v>
      </c>
      <c r="E273" s="3136" t="s">
        <v>1268</v>
      </c>
      <c r="F273" s="3137" t="s">
        <v>1275</v>
      </c>
      <c r="G273" s="2757">
        <v>3.4</v>
      </c>
      <c r="H273" s="4034" t="s">
        <v>1261</v>
      </c>
      <c r="I273" s="4034"/>
      <c r="J273" s="2963"/>
      <c r="K273" s="2086"/>
      <c r="L273" s="2086"/>
      <c r="M273" s="3121"/>
      <c r="N273" s="3121"/>
      <c r="O273" s="2086"/>
      <c r="V273" s="2707" t="s">
        <v>1267</v>
      </c>
      <c r="W273" s="2707"/>
      <c r="X273" s="2707"/>
      <c r="Y273" s="2707"/>
      <c r="Z273" s="2707"/>
      <c r="AA273" s="2707"/>
      <c r="AB273" s="2707"/>
      <c r="AC273" s="2707"/>
      <c r="AD273" s="2707"/>
      <c r="AE273" s="2707"/>
      <c r="AF273" s="2236">
        <f t="shared" si="32"/>
        <v>3.4</v>
      </c>
      <c r="AG273" s="2707"/>
      <c r="AH273" s="2723"/>
      <c r="AI273" s="2723"/>
      <c r="AU273" s="1505"/>
      <c r="DJ273" s="1187"/>
    </row>
    <row r="274" spans="1:114" ht="15" hidden="1" customHeight="1" outlineLevel="1">
      <c r="A274" s="533"/>
      <c r="B274" s="2086"/>
      <c r="C274" s="2963"/>
      <c r="D274" s="3136" t="s">
        <v>1267</v>
      </c>
      <c r="E274" s="3136" t="s">
        <v>1268</v>
      </c>
      <c r="F274" s="3137" t="s">
        <v>1276</v>
      </c>
      <c r="G274" s="2757">
        <v>1.86</v>
      </c>
      <c r="H274" s="4034" t="s">
        <v>1261</v>
      </c>
      <c r="I274" s="4034"/>
      <c r="J274" s="2963"/>
      <c r="K274" s="2086"/>
      <c r="L274" s="2086"/>
      <c r="M274" s="3121"/>
      <c r="N274" s="3121"/>
      <c r="O274" s="2086"/>
      <c r="V274" s="2707" t="s">
        <v>1267</v>
      </c>
      <c r="W274" s="2707"/>
      <c r="X274" s="2707"/>
      <c r="Y274" s="2707"/>
      <c r="Z274" s="2707"/>
      <c r="AA274" s="2707"/>
      <c r="AB274" s="2707"/>
      <c r="AC274" s="2707"/>
      <c r="AD274" s="2707"/>
      <c r="AE274" s="2707"/>
      <c r="AF274" s="2236">
        <f t="shared" si="32"/>
        <v>1.86</v>
      </c>
      <c r="AG274" s="2707"/>
      <c r="AH274" s="2723"/>
      <c r="AI274" s="2723"/>
      <c r="AU274" s="1505"/>
      <c r="DJ274" s="1187"/>
    </row>
    <row r="275" spans="1:114" ht="15" hidden="1" customHeight="1" outlineLevel="1">
      <c r="A275" s="533"/>
      <c r="B275" s="2086"/>
      <c r="C275" s="2963"/>
      <c r="D275" s="3136" t="s">
        <v>1233</v>
      </c>
      <c r="E275" s="3139" t="s">
        <v>1277</v>
      </c>
      <c r="F275" s="3137" t="s">
        <v>1102</v>
      </c>
      <c r="G275" s="3129">
        <v>2200</v>
      </c>
      <c r="H275" s="4034" t="s">
        <v>1261</v>
      </c>
      <c r="I275" s="4034"/>
      <c r="J275" s="2963"/>
      <c r="K275" s="2086"/>
      <c r="L275" s="2086"/>
      <c r="M275" s="3121"/>
      <c r="N275" s="3121"/>
      <c r="O275" s="2086"/>
      <c r="V275" s="2707" t="s">
        <v>1233</v>
      </c>
      <c r="W275" s="2707"/>
      <c r="X275" s="2707"/>
      <c r="Y275" s="2707"/>
      <c r="Z275" s="2707"/>
      <c r="AA275" s="2707"/>
      <c r="AB275" s="2707"/>
      <c r="AC275" s="2707"/>
      <c r="AD275" s="2707"/>
      <c r="AE275" s="2707"/>
      <c r="AF275" s="2236">
        <f t="shared" si="32"/>
        <v>2200</v>
      </c>
      <c r="AG275" s="2707"/>
      <c r="AH275" s="2723"/>
      <c r="AI275" s="2723"/>
      <c r="AU275" s="1505"/>
      <c r="DJ275" s="1187"/>
    </row>
    <row r="276" spans="1:114" ht="15" hidden="1" customHeight="1" outlineLevel="1">
      <c r="A276" s="533"/>
      <c r="B276" s="2086"/>
      <c r="C276" s="2963"/>
      <c r="D276" s="3140" t="s">
        <v>1236</v>
      </c>
      <c r="E276" s="3140" t="s">
        <v>1237</v>
      </c>
      <c r="F276" s="3141" t="s">
        <v>1238</v>
      </c>
      <c r="G276" s="3129">
        <v>1.0960000000000001</v>
      </c>
      <c r="H276" s="4034" t="s">
        <v>1261</v>
      </c>
      <c r="I276" s="4034"/>
      <c r="J276" s="2963"/>
      <c r="K276" s="2086"/>
      <c r="L276" s="2086"/>
      <c r="M276" s="3121"/>
      <c r="N276" s="3121"/>
      <c r="O276" s="2086"/>
      <c r="V276" s="2707" t="s">
        <v>1236</v>
      </c>
      <c r="W276" s="2707"/>
      <c r="X276" s="2707"/>
      <c r="Y276" s="2707"/>
      <c r="Z276" s="2707"/>
      <c r="AA276" s="2707"/>
      <c r="AB276" s="2707"/>
      <c r="AC276" s="2707"/>
      <c r="AD276" s="2707"/>
      <c r="AE276" s="2707"/>
      <c r="AF276" s="2236">
        <f t="shared" si="32"/>
        <v>1.0960000000000001</v>
      </c>
      <c r="AG276" s="2707"/>
      <c r="AH276" s="2723"/>
      <c r="AI276" s="2723"/>
      <c r="AU276" s="1505"/>
      <c r="DJ276" s="1187"/>
    </row>
    <row r="277" spans="1:114" ht="15" hidden="1" customHeight="1" outlineLevel="1">
      <c r="A277" s="533"/>
      <c r="B277" s="2086"/>
      <c r="C277" s="2963"/>
      <c r="D277" s="3140" t="s">
        <v>1236</v>
      </c>
      <c r="E277" s="3140" t="s">
        <v>1237</v>
      </c>
      <c r="F277" s="3141" t="s">
        <v>1239</v>
      </c>
      <c r="G277" s="3129">
        <v>1</v>
      </c>
      <c r="H277" s="4034" t="s">
        <v>1261</v>
      </c>
      <c r="I277" s="4034"/>
      <c r="J277" s="2963"/>
      <c r="K277" s="2086"/>
      <c r="L277" s="2086"/>
      <c r="M277" s="3121"/>
      <c r="N277" s="3121"/>
      <c r="O277" s="2086"/>
      <c r="V277" s="2707" t="s">
        <v>1236</v>
      </c>
      <c r="W277" s="2707"/>
      <c r="X277" s="2707"/>
      <c r="Y277" s="2707"/>
      <c r="Z277" s="2707"/>
      <c r="AA277" s="2707"/>
      <c r="AB277" s="2707"/>
      <c r="AC277" s="2707"/>
      <c r="AD277" s="2707"/>
      <c r="AE277" s="2707"/>
      <c r="AF277" s="2236">
        <f t="shared" si="32"/>
        <v>1</v>
      </c>
      <c r="AG277" s="2707"/>
      <c r="AH277" s="2723"/>
      <c r="AI277" s="2723"/>
      <c r="AU277" s="1505"/>
      <c r="DJ277" s="1187"/>
    </row>
    <row r="278" spans="1:114" ht="15" hidden="1" customHeight="1" outlineLevel="1">
      <c r="A278" s="533"/>
      <c r="B278" s="2086"/>
      <c r="C278" s="2963"/>
      <c r="D278" s="3136" t="s">
        <v>128</v>
      </c>
      <c r="E278" s="3126" t="s">
        <v>1240</v>
      </c>
      <c r="F278" s="3137" t="s">
        <v>1102</v>
      </c>
      <c r="G278" s="3001">
        <v>1</v>
      </c>
      <c r="H278" s="4034" t="s">
        <v>1278</v>
      </c>
      <c r="I278" s="4034"/>
      <c r="J278" s="2963"/>
      <c r="K278" s="2086"/>
      <c r="L278" s="2086"/>
      <c r="M278" s="3121"/>
      <c r="N278" s="3121"/>
      <c r="O278" s="2086"/>
      <c r="V278" s="2707" t="s">
        <v>128</v>
      </c>
      <c r="W278" s="2707"/>
      <c r="X278" s="2707"/>
      <c r="Y278" s="2707"/>
      <c r="Z278" s="2707"/>
      <c r="AA278" s="2707"/>
      <c r="AB278" s="2707"/>
      <c r="AC278" s="2707"/>
      <c r="AD278" s="2707"/>
      <c r="AE278" s="2707"/>
      <c r="AF278" s="2236">
        <f t="shared" si="32"/>
        <v>1</v>
      </c>
      <c r="AG278" s="2707"/>
      <c r="AH278" s="2723"/>
      <c r="AI278" s="2723"/>
      <c r="AU278" s="1505"/>
      <c r="DJ278" s="1187"/>
    </row>
    <row r="279" spans="1:114" ht="15" hidden="1" customHeight="1" outlineLevel="1">
      <c r="A279" s="533"/>
      <c r="B279" s="2086"/>
      <c r="C279" s="2963"/>
      <c r="D279" s="3142" t="s">
        <v>49</v>
      </c>
      <c r="E279" s="3142" t="s">
        <v>1198</v>
      </c>
      <c r="F279" s="3137" t="s">
        <v>1102</v>
      </c>
      <c r="G279" s="2968">
        <v>12</v>
      </c>
      <c r="H279" s="3136" t="s">
        <v>1279</v>
      </c>
      <c r="I279" s="3143"/>
      <c r="J279" s="2963"/>
      <c r="K279" s="2086"/>
      <c r="L279" s="2086"/>
      <c r="M279" s="3121"/>
      <c r="N279" s="3121"/>
      <c r="O279" s="2086"/>
      <c r="V279" s="2707" t="s">
        <v>49</v>
      </c>
      <c r="W279" s="2707"/>
      <c r="X279" s="2707"/>
      <c r="Y279" s="2707"/>
      <c r="Z279" s="2707"/>
      <c r="AA279" s="2707"/>
      <c r="AB279" s="2707"/>
      <c r="AC279" s="2707"/>
      <c r="AD279" s="2707"/>
      <c r="AE279" s="2707"/>
      <c r="AF279" s="2236">
        <f t="shared" si="32"/>
        <v>12</v>
      </c>
      <c r="AG279" s="2707"/>
      <c r="AH279" s="2723"/>
      <c r="AI279" s="2723"/>
      <c r="AU279" s="1505"/>
      <c r="DJ279" s="1187"/>
    </row>
    <row r="280" spans="1:114" ht="15" hidden="1" customHeight="1" outlineLevel="1">
      <c r="A280" s="533"/>
      <c r="B280" s="2086"/>
      <c r="C280" s="2963"/>
      <c r="D280" s="3142" t="s">
        <v>50</v>
      </c>
      <c r="E280" s="3142" t="s">
        <v>1280</v>
      </c>
      <c r="F280" s="3137" t="s">
        <v>1281</v>
      </c>
      <c r="G280" s="2612">
        <v>10</v>
      </c>
      <c r="H280" s="4034" t="s">
        <v>1261</v>
      </c>
      <c r="I280" s="4034"/>
      <c r="J280" s="2963"/>
      <c r="K280" s="2086"/>
      <c r="L280" s="2086"/>
      <c r="M280" s="3121"/>
      <c r="N280" s="3121"/>
      <c r="O280" s="2086"/>
      <c r="V280" s="2707" t="s">
        <v>50</v>
      </c>
      <c r="W280" s="2707"/>
      <c r="X280" s="2707"/>
      <c r="Y280" s="2707"/>
      <c r="Z280" s="2707"/>
      <c r="AA280" s="2707"/>
      <c r="AB280" s="2707"/>
      <c r="AC280" s="2707"/>
      <c r="AD280" s="2707"/>
      <c r="AE280" s="2707"/>
      <c r="AF280" s="2236">
        <f t="shared" si="32"/>
        <v>10</v>
      </c>
      <c r="AG280" s="2707"/>
      <c r="AH280" s="2723"/>
      <c r="AI280" s="2723"/>
      <c r="AU280" s="1505"/>
      <c r="DJ280" s="1187"/>
    </row>
    <row r="281" spans="1:114" ht="15" hidden="1" customHeight="1" outlineLevel="1">
      <c r="A281" s="533"/>
      <c r="B281" s="2086"/>
      <c r="C281" s="2963"/>
      <c r="D281" s="3142" t="s">
        <v>50</v>
      </c>
      <c r="E281" s="3142" t="s">
        <v>1280</v>
      </c>
      <c r="F281" s="3137" t="s">
        <v>1282</v>
      </c>
      <c r="G281" s="2612">
        <v>75</v>
      </c>
      <c r="H281" s="4034" t="s">
        <v>1261</v>
      </c>
      <c r="I281" s="4034"/>
      <c r="J281" s="2086"/>
      <c r="K281" s="2086"/>
      <c r="L281" s="2086"/>
      <c r="M281" s="2086"/>
      <c r="N281" s="2086"/>
      <c r="O281" s="2086"/>
      <c r="V281" s="2707" t="s">
        <v>50</v>
      </c>
      <c r="W281" s="2707"/>
      <c r="X281" s="2707"/>
      <c r="Y281" s="2707"/>
      <c r="Z281" s="2707"/>
      <c r="AA281" s="2707"/>
      <c r="AB281" s="2707"/>
      <c r="AC281" s="2707"/>
      <c r="AD281" s="2707"/>
      <c r="AE281" s="2707"/>
      <c r="AF281" s="2236">
        <f t="shared" si="32"/>
        <v>75</v>
      </c>
      <c r="AG281" s="2707"/>
      <c r="AH281" s="2723"/>
      <c r="AI281" s="2723"/>
      <c r="AU281" s="1505"/>
      <c r="DJ281" s="1187"/>
    </row>
    <row r="282" spans="1:114" ht="15" hidden="1" customHeight="1" outlineLevel="1">
      <c r="A282" s="533"/>
      <c r="B282" s="2086"/>
      <c r="C282" s="2963"/>
      <c r="D282" s="2711"/>
      <c r="E282" s="2711"/>
      <c r="F282" s="2963"/>
      <c r="G282" s="2086"/>
      <c r="H282" s="2086"/>
      <c r="I282" s="2086"/>
      <c r="J282" s="2086"/>
      <c r="K282" s="2086"/>
      <c r="L282" s="2086"/>
      <c r="M282" s="2086"/>
      <c r="N282" s="2086"/>
      <c r="O282" s="2086"/>
      <c r="V282" s="66"/>
      <c r="W282" s="66"/>
      <c r="X282" s="66"/>
      <c r="Y282" s="66"/>
      <c r="Z282" s="66"/>
      <c r="AA282" s="66"/>
      <c r="AB282" s="66"/>
      <c r="AC282" s="66"/>
      <c r="AD282" s="66"/>
      <c r="AE282" s="66"/>
      <c r="AF282" s="66"/>
      <c r="AG282" s="66"/>
      <c r="AU282" s="1505"/>
      <c r="DJ282" s="1187"/>
    </row>
    <row r="283" spans="1:114" collapsed="1">
      <c r="A283" s="533"/>
      <c r="B283" s="2086"/>
      <c r="C283" s="2963"/>
      <c r="D283" s="2711"/>
      <c r="E283" s="2711"/>
      <c r="F283" s="2963"/>
      <c r="G283" s="2086"/>
      <c r="H283" s="2086"/>
      <c r="I283" s="2086"/>
      <c r="J283" s="2086"/>
      <c r="K283" s="2086"/>
      <c r="L283" s="2086"/>
      <c r="M283" s="2086"/>
      <c r="N283" s="2086"/>
      <c r="O283" s="2086"/>
      <c r="AU283" s="1505"/>
      <c r="DJ283" s="1187"/>
    </row>
    <row r="284" spans="1:114">
      <c r="A284" s="533"/>
      <c r="B284" s="4025" t="s">
        <v>1283</v>
      </c>
      <c r="C284" s="4026"/>
      <c r="D284" s="4026"/>
      <c r="E284" s="4026"/>
      <c r="F284" s="4026"/>
      <c r="G284" s="4026"/>
      <c r="H284" s="4026"/>
      <c r="I284" s="4817"/>
      <c r="J284" s="4817"/>
      <c r="K284" s="4817"/>
      <c r="L284" s="4817"/>
      <c r="M284" s="4817"/>
      <c r="N284" s="4817"/>
      <c r="O284" s="4818"/>
      <c r="V284" s="4040" t="str">
        <f>B284</f>
        <v>Energy Star Room AC</v>
      </c>
      <c r="W284" s="4041"/>
      <c r="X284" s="4041"/>
      <c r="Y284" s="4041"/>
      <c r="Z284" s="4041"/>
      <c r="AA284" s="4041"/>
      <c r="AB284" s="4041"/>
      <c r="AC284" s="4832"/>
      <c r="AD284" s="4832"/>
      <c r="AE284" s="4832"/>
      <c r="AF284" s="4832"/>
      <c r="AG284" s="4832"/>
      <c r="AH284" s="4832"/>
      <c r="AI284" s="4833"/>
      <c r="AU284" s="1505"/>
      <c r="DJ284" s="1187"/>
    </row>
    <row r="285" spans="1:114">
      <c r="A285" s="533"/>
      <c r="B285" s="635"/>
      <c r="C285" s="2205"/>
      <c r="D285" s="2206"/>
      <c r="E285" s="2206"/>
      <c r="F285" s="2205"/>
      <c r="G285" s="635"/>
      <c r="H285" s="635"/>
      <c r="I285" s="635"/>
      <c r="J285" s="635"/>
      <c r="K285" s="635"/>
      <c r="L285" s="635"/>
      <c r="M285" s="635"/>
      <c r="N285" s="635"/>
      <c r="O285" s="635"/>
      <c r="V285" s="2723"/>
      <c r="W285" s="2723"/>
      <c r="X285" s="2723"/>
      <c r="Y285" s="2723"/>
      <c r="Z285" s="2723"/>
      <c r="AA285" s="2723"/>
      <c r="AB285" s="2723"/>
      <c r="AC285" s="2723"/>
      <c r="AD285" s="2723"/>
      <c r="AE285" s="2723"/>
      <c r="AF285" s="2723"/>
      <c r="AG285" s="2723"/>
      <c r="AH285" s="2723"/>
      <c r="AI285" s="2723"/>
      <c r="AU285" s="1505"/>
      <c r="DJ285" s="1187"/>
    </row>
    <row r="286" spans="1:114" ht="30">
      <c r="A286" s="533"/>
      <c r="B286" s="2697"/>
      <c r="C286" s="2207" t="s">
        <v>42</v>
      </c>
      <c r="D286" s="2207" t="s">
        <v>953</v>
      </c>
      <c r="E286" s="2207" t="s">
        <v>44</v>
      </c>
      <c r="F286" s="2207" t="s">
        <v>45</v>
      </c>
      <c r="G286" s="2207" t="s">
        <v>46</v>
      </c>
      <c r="H286" s="2207" t="s">
        <v>47</v>
      </c>
      <c r="I286" s="2207" t="s">
        <v>48</v>
      </c>
      <c r="J286" s="2207" t="s">
        <v>49</v>
      </c>
      <c r="K286" s="2207" t="s">
        <v>50</v>
      </c>
      <c r="L286" s="2207" t="s">
        <v>51</v>
      </c>
      <c r="M286" s="635"/>
      <c r="N286" s="635"/>
      <c r="O286" s="2697"/>
      <c r="V286" s="2640" t="s">
        <v>52</v>
      </c>
      <c r="W286" s="2641">
        <v>43252</v>
      </c>
      <c r="X286" s="2641">
        <f>$X$6</f>
        <v>43465</v>
      </c>
      <c r="Y286" s="2641">
        <f>$Y$6</f>
        <v>43800</v>
      </c>
      <c r="Z286" s="2641">
        <f>$Z$6</f>
        <v>43862</v>
      </c>
      <c r="AA286" s="2641">
        <f>$AA$6</f>
        <v>44013</v>
      </c>
      <c r="AB286" s="2641">
        <f>$AB$6</f>
        <v>44166</v>
      </c>
      <c r="AC286" s="2641">
        <f>$AC$6</f>
        <v>44531</v>
      </c>
      <c r="AD286" s="2641">
        <f>$AD$6</f>
        <v>44774</v>
      </c>
      <c r="AE286" s="2641">
        <f>$AE$6</f>
        <v>45139</v>
      </c>
      <c r="AF286" s="2641">
        <f>$AF$6</f>
        <v>45672</v>
      </c>
      <c r="AG286" s="2641" t="str">
        <f>$AG$6</f>
        <v>-</v>
      </c>
      <c r="AH286" s="2723"/>
      <c r="AI286" s="2723"/>
      <c r="AU286" s="1505"/>
      <c r="DG286" s="3048" t="str">
        <f>$DG$6</f>
        <v>TRC (2025)</v>
      </c>
      <c r="DH286" s="3048" t="str">
        <f>$DH$6</f>
        <v>Benefit Lookup</v>
      </c>
      <c r="DI286" s="3049" t="str">
        <f>$DI$6</f>
        <v>Benefits (2025 $)</v>
      </c>
      <c r="DJ286" s="3050" t="str">
        <f>$DJ$6</f>
        <v>Incremental Cost (2025 $)</v>
      </c>
    </row>
    <row r="287" spans="1:114">
      <c r="A287" s="533"/>
      <c r="B287" s="2208">
        <f t="shared" ref="B287:B288" si="33">VALUE(LEFT(C287,6))</f>
        <v>251150</v>
      </c>
      <c r="C287" s="2733" t="s">
        <v>1284</v>
      </c>
      <c r="D287" s="2409" t="s">
        <v>1139</v>
      </c>
      <c r="E287" s="2662" t="s">
        <v>1285</v>
      </c>
      <c r="F287" s="2663">
        <f>ROUND((F302*F298*(1/F299-1/F300)/1000)*F305,2)</f>
        <v>47.07</v>
      </c>
      <c r="G287" s="2460" t="s">
        <v>1045</v>
      </c>
      <c r="H287" s="2548">
        <f>VLOOKUP(G287,'CP FACTORS'!$A$3:$B$38, 2, FALSE)</f>
        <v>9.4741810000000004E-4</v>
      </c>
      <c r="I287" s="2481">
        <f>ROUND(H287*F287,6)</f>
        <v>4.4595000000000003E-2</v>
      </c>
      <c r="J287" s="2664">
        <f>$F$306</f>
        <v>12</v>
      </c>
      <c r="K287" s="2665">
        <f>$F$307</f>
        <v>40</v>
      </c>
      <c r="L287" s="2407" t="s">
        <v>62</v>
      </c>
      <c r="M287" s="2086"/>
      <c r="N287" s="2701"/>
      <c r="O287" s="2702"/>
      <c r="R287" s="532"/>
      <c r="V287" s="2684" t="s">
        <v>45</v>
      </c>
      <c r="W287" s="2685">
        <v>39.971901865754226</v>
      </c>
      <c r="X287" s="2687">
        <v>48.514633185797841</v>
      </c>
      <c r="Y287" s="2708">
        <v>49.46</v>
      </c>
      <c r="Z287" s="3157">
        <v>49.46</v>
      </c>
      <c r="AA287" s="3157">
        <v>49.46</v>
      </c>
      <c r="AB287" s="3157">
        <v>49.46</v>
      </c>
      <c r="AC287" s="3157">
        <v>49.46</v>
      </c>
      <c r="AD287" s="3157">
        <v>49.46</v>
      </c>
      <c r="AE287" s="3157">
        <v>49.46</v>
      </c>
      <c r="AF287" s="2236">
        <f>IF(F287&lt;&gt;"",F287,"")</f>
        <v>47.07</v>
      </c>
      <c r="AG287" s="2684"/>
      <c r="AH287" s="2728"/>
      <c r="AI287" s="2723"/>
      <c r="AU287" s="1505"/>
      <c r="DG287" s="3165">
        <f>(DI287)/(DJ287)</f>
        <v>2.0432849011765324</v>
      </c>
      <c r="DH287" s="2557" t="str">
        <f>CONCATENATE(G287," ",J287," Year EUL")</f>
        <v>Cooling RES 12 Year EUL</v>
      </c>
      <c r="DI287" s="2420">
        <f>(INDEX('Avoided Cost Benefits'!$B$4:$B$865,MATCH(DH287,'Avoided Cost Benefits'!$A$4:$A$865,0)))*F287</f>
        <v>81.731396047061295</v>
      </c>
      <c r="DJ287" s="2421">
        <f>K287/(1.0686^(2025-2025))</f>
        <v>40</v>
      </c>
    </row>
    <row r="288" spans="1:114">
      <c r="A288" s="533"/>
      <c r="B288" s="2208">
        <f t="shared" si="33"/>
        <v>251200</v>
      </c>
      <c r="C288" s="2733" t="s">
        <v>1286</v>
      </c>
      <c r="D288" s="2409" t="s">
        <v>1139</v>
      </c>
      <c r="E288" s="2662" t="s">
        <v>1287</v>
      </c>
      <c r="F288" s="2663">
        <f>ROUND((F302*F298*(1/F299-1/F300)/1000),2)</f>
        <v>48.3</v>
      </c>
      <c r="G288" s="2460" t="s">
        <v>1045</v>
      </c>
      <c r="H288" s="2548">
        <f>VLOOKUP(G288,'CP FACTORS'!$A$3:$B$38, 2, FALSE)</f>
        <v>9.4741810000000004E-4</v>
      </c>
      <c r="I288" s="2481">
        <f>ROUND(H288*F288,6)</f>
        <v>4.5760000000000002E-2</v>
      </c>
      <c r="J288" s="2664">
        <f>$F$306</f>
        <v>12</v>
      </c>
      <c r="K288" s="2665">
        <f>$F$307</f>
        <v>40</v>
      </c>
      <c r="L288" s="2407" t="s">
        <v>62</v>
      </c>
      <c r="M288" s="2086"/>
      <c r="N288" s="2701"/>
      <c r="O288" s="2702"/>
      <c r="R288" s="532"/>
      <c r="V288" s="2684" t="s">
        <v>45</v>
      </c>
      <c r="W288" s="2685">
        <v>40.971199412398086</v>
      </c>
      <c r="X288" s="2687">
        <v>49.727499015442788</v>
      </c>
      <c r="Y288" s="2708">
        <v>50.74</v>
      </c>
      <c r="Z288" s="3157">
        <v>50.74</v>
      </c>
      <c r="AA288" s="3157">
        <v>50.74</v>
      </c>
      <c r="AB288" s="3157">
        <v>50.74</v>
      </c>
      <c r="AC288" s="3157">
        <v>50.74</v>
      </c>
      <c r="AD288" s="3157">
        <v>50.74</v>
      </c>
      <c r="AE288" s="3157">
        <v>50.74</v>
      </c>
      <c r="AF288" s="2236">
        <f>IF(F288&lt;&gt;"",F288,"")</f>
        <v>48.3</v>
      </c>
      <c r="AG288" s="2684"/>
      <c r="AH288" s="2728"/>
      <c r="AI288" s="2723"/>
      <c r="AU288" s="1505"/>
      <c r="DG288" s="3037">
        <f>(DI288)/(DJ288)</f>
        <v>2.0966785792824836</v>
      </c>
      <c r="DH288" s="2432" t="str">
        <f>CONCATENATE(G288," ",J288," Year EUL")</f>
        <v>Cooling RES 12 Year EUL</v>
      </c>
      <c r="DI288" s="2430">
        <f>(INDEX('Avoided Cost Benefits'!$B$4:$B$865,MATCH(DH288,'Avoided Cost Benefits'!$A$4:$A$865,0)))*F288</f>
        <v>83.867143171299347</v>
      </c>
      <c r="DJ288" s="2431">
        <f>K288/(1.0686^(2025-2025))</f>
        <v>40</v>
      </c>
    </row>
    <row r="289" spans="1:114" ht="15" hidden="1" customHeight="1" outlineLevel="1">
      <c r="A289" s="533"/>
      <c r="B289" s="2697"/>
      <c r="C289" s="2963"/>
      <c r="D289" s="2624" t="s">
        <v>118</v>
      </c>
      <c r="E289" s="2624" t="s">
        <v>1288</v>
      </c>
      <c r="F289" s="3146"/>
      <c r="G289" s="2086"/>
      <c r="H289" s="2086"/>
      <c r="I289" s="635"/>
      <c r="J289" s="635"/>
      <c r="K289" s="635"/>
      <c r="L289" s="2086"/>
      <c r="M289" s="2697"/>
      <c r="N289" s="2697"/>
      <c r="O289" s="2697"/>
      <c r="V289" s="2723"/>
      <c r="W289" s="2723"/>
      <c r="X289" s="2723"/>
      <c r="Y289" s="2723"/>
      <c r="Z289" s="2723"/>
      <c r="AA289" s="2723"/>
      <c r="AB289" s="2723"/>
      <c r="AC289" s="2723"/>
      <c r="AD289" s="2723"/>
      <c r="AE289" s="2723"/>
      <c r="AF289" s="2723"/>
      <c r="AG289" s="2723"/>
      <c r="AH289" s="2723"/>
      <c r="AI289" s="2723"/>
      <c r="AU289" s="1505"/>
      <c r="DJ289" s="1187"/>
    </row>
    <row r="290" spans="1:114" ht="15" hidden="1" customHeight="1" outlineLevel="1">
      <c r="A290" s="533"/>
      <c r="B290" s="2697"/>
      <c r="C290" s="2963"/>
      <c r="D290" s="2624" t="s">
        <v>963</v>
      </c>
      <c r="E290" s="2624" t="s">
        <v>1289</v>
      </c>
      <c r="F290" s="3119"/>
      <c r="G290" s="2086"/>
      <c r="H290" s="2697"/>
      <c r="I290" s="635"/>
      <c r="J290" s="635"/>
      <c r="K290" s="635"/>
      <c r="L290" s="2086"/>
      <c r="M290" s="2697"/>
      <c r="N290" s="2697"/>
      <c r="O290" s="2697"/>
      <c r="V290" s="2723"/>
      <c r="W290" s="2723"/>
      <c r="X290" s="2723"/>
      <c r="Y290" s="2723"/>
      <c r="Z290" s="2723"/>
      <c r="AA290" s="2723"/>
      <c r="AB290" s="2723"/>
      <c r="AC290" s="2723"/>
      <c r="AD290" s="2723"/>
      <c r="AE290" s="2723"/>
      <c r="AF290" s="2723"/>
      <c r="AG290" s="2723"/>
      <c r="AH290" s="2723"/>
      <c r="AI290" s="2723"/>
      <c r="AU290" s="1505"/>
      <c r="DJ290" s="1187"/>
    </row>
    <row r="291" spans="1:114" ht="15" hidden="1" customHeight="1" outlineLevel="1">
      <c r="A291" s="533"/>
      <c r="B291" s="2697"/>
      <c r="C291" s="2963"/>
      <c r="D291" s="2206"/>
      <c r="E291" s="2626" t="s">
        <v>966</v>
      </c>
      <c r="F291" s="3119"/>
      <c r="G291" s="2086"/>
      <c r="H291" s="2697"/>
      <c r="I291" s="635"/>
      <c r="J291" s="635"/>
      <c r="K291" s="635"/>
      <c r="L291" s="2086"/>
      <c r="M291" s="2697"/>
      <c r="N291" s="2697"/>
      <c r="O291" s="2697"/>
      <c r="V291" s="2723"/>
      <c r="W291" s="2723"/>
      <c r="X291" s="2723"/>
      <c r="Y291" s="2723"/>
      <c r="Z291" s="2723"/>
      <c r="AA291" s="2723"/>
      <c r="AB291" s="2723"/>
      <c r="AC291" s="2723"/>
      <c r="AD291" s="2723"/>
      <c r="AE291" s="2723"/>
      <c r="AF291" s="2723"/>
      <c r="AG291" s="2723"/>
      <c r="AH291" s="2723"/>
      <c r="AI291" s="2723"/>
      <c r="AU291" s="1505"/>
      <c r="DJ291" s="1187"/>
    </row>
    <row r="292" spans="1:114" ht="15" hidden="1" customHeight="1" outlineLevel="1">
      <c r="A292" s="533"/>
      <c r="B292" s="2697"/>
      <c r="C292" s="2963"/>
      <c r="D292" s="2624"/>
      <c r="E292" s="2624"/>
      <c r="F292" s="3119"/>
      <c r="G292" s="2086"/>
      <c r="H292" s="2697"/>
      <c r="I292" s="635"/>
      <c r="J292" s="635"/>
      <c r="K292" s="635"/>
      <c r="L292" s="2086"/>
      <c r="M292" s="2697"/>
      <c r="N292" s="2697"/>
      <c r="O292" s="2697"/>
      <c r="V292" s="2723"/>
      <c r="W292" s="2723"/>
      <c r="X292" s="2723"/>
      <c r="Y292" s="2723"/>
      <c r="Z292" s="2723"/>
      <c r="AA292" s="2723"/>
      <c r="AB292" s="2723"/>
      <c r="AC292" s="2723"/>
      <c r="AD292" s="2723"/>
      <c r="AE292" s="2723"/>
      <c r="AF292" s="2723"/>
      <c r="AG292" s="2723"/>
      <c r="AH292" s="2723"/>
      <c r="AI292" s="2723"/>
      <c r="AU292" s="1505"/>
      <c r="DJ292" s="1187"/>
    </row>
    <row r="293" spans="1:114" ht="15" hidden="1" customHeight="1" outlineLevel="1">
      <c r="A293" s="533"/>
      <c r="B293" s="2697"/>
      <c r="C293" s="2963"/>
      <c r="D293" s="2624"/>
      <c r="E293" s="2624"/>
      <c r="F293" s="3119"/>
      <c r="G293" s="2086"/>
      <c r="H293" s="2697"/>
      <c r="I293" s="635"/>
      <c r="J293" s="635"/>
      <c r="K293" s="635"/>
      <c r="L293" s="2086"/>
      <c r="M293" s="2697"/>
      <c r="N293" s="2697"/>
      <c r="O293" s="2697"/>
      <c r="V293" s="2723"/>
      <c r="W293" s="2723"/>
      <c r="X293" s="2723"/>
      <c r="Y293" s="2723"/>
      <c r="Z293" s="2723"/>
      <c r="AA293" s="2723"/>
      <c r="AB293" s="2723"/>
      <c r="AC293" s="2723"/>
      <c r="AD293" s="2723"/>
      <c r="AE293" s="2723"/>
      <c r="AF293" s="2723"/>
      <c r="AG293" s="2723"/>
      <c r="AH293" s="2723"/>
      <c r="AI293" s="2723"/>
      <c r="AU293" s="1505"/>
      <c r="DJ293" s="1187"/>
    </row>
    <row r="294" spans="1:114" ht="15" hidden="1" customHeight="1" outlineLevel="1">
      <c r="A294" s="533"/>
      <c r="B294" s="2697"/>
      <c r="C294" s="2963"/>
      <c r="D294" s="2624"/>
      <c r="E294" s="2624"/>
      <c r="F294" s="3119"/>
      <c r="G294" s="2086"/>
      <c r="H294" s="635"/>
      <c r="I294" s="635"/>
      <c r="J294" s="635"/>
      <c r="K294" s="635"/>
      <c r="L294" s="2086"/>
      <c r="M294" s="2697"/>
      <c r="N294" s="2697"/>
      <c r="O294" s="2697"/>
      <c r="V294" s="2723"/>
      <c r="W294" s="2723"/>
      <c r="X294" s="2723"/>
      <c r="Y294" s="2723"/>
      <c r="Z294" s="2723"/>
      <c r="AA294" s="2723"/>
      <c r="AB294" s="2723"/>
      <c r="AC294" s="2723"/>
      <c r="AD294" s="2723"/>
      <c r="AE294" s="2723"/>
      <c r="AF294" s="2723"/>
      <c r="AG294" s="2723"/>
      <c r="AH294" s="2723"/>
      <c r="AI294" s="2723"/>
      <c r="AU294" s="1505"/>
      <c r="DJ294" s="1187"/>
    </row>
    <row r="295" spans="1:114" ht="15" hidden="1" customHeight="1" outlineLevel="1">
      <c r="A295" s="533"/>
      <c r="B295" s="2697"/>
      <c r="C295" s="2963"/>
      <c r="D295" s="2624"/>
      <c r="E295" s="2624"/>
      <c r="F295" s="3119"/>
      <c r="G295" s="2086"/>
      <c r="H295" s="2697"/>
      <c r="I295" s="2086"/>
      <c r="J295" s="2086"/>
      <c r="K295" s="2086"/>
      <c r="L295" s="2086"/>
      <c r="M295" s="2697"/>
      <c r="N295" s="2697"/>
      <c r="O295" s="2697"/>
      <c r="V295" s="2723"/>
      <c r="W295" s="2723"/>
      <c r="X295" s="2723"/>
      <c r="Y295" s="2723"/>
      <c r="Z295" s="2723"/>
      <c r="AA295" s="2723"/>
      <c r="AB295" s="2723"/>
      <c r="AC295" s="2723"/>
      <c r="AD295" s="2723"/>
      <c r="AE295" s="2723"/>
      <c r="AF295" s="2723"/>
      <c r="AG295" s="2723"/>
      <c r="AH295" s="2723"/>
      <c r="AI295" s="2723"/>
      <c r="AU295" s="1505"/>
      <c r="DJ295" s="1187"/>
    </row>
    <row r="296" spans="1:114" ht="15" hidden="1" customHeight="1" outlineLevel="1">
      <c r="A296" s="533"/>
      <c r="B296" s="2697"/>
      <c r="C296" s="2963"/>
      <c r="D296" s="2624"/>
      <c r="E296" s="2624"/>
      <c r="F296" s="3119"/>
      <c r="G296" s="2086"/>
      <c r="H296" s="2086"/>
      <c r="I296" s="2086"/>
      <c r="J296" s="2086"/>
      <c r="K296" s="2086"/>
      <c r="L296" s="2086"/>
      <c r="M296" s="2697"/>
      <c r="N296" s="2697"/>
      <c r="O296" s="2697"/>
      <c r="V296" s="2640" t="s">
        <v>52</v>
      </c>
      <c r="W296" s="2641">
        <v>43252</v>
      </c>
      <c r="X296" s="2641">
        <f>$X$6</f>
        <v>43465</v>
      </c>
      <c r="Y296" s="2641">
        <f>$Y$6</f>
        <v>43800</v>
      </c>
      <c r="Z296" s="2641">
        <f>$Z$6</f>
        <v>43862</v>
      </c>
      <c r="AA296" s="2641">
        <f>$AA$6</f>
        <v>44013</v>
      </c>
      <c r="AB296" s="2641">
        <f>$AB$6</f>
        <v>44166</v>
      </c>
      <c r="AC296" s="2641">
        <f>$AC$6</f>
        <v>44531</v>
      </c>
      <c r="AD296" s="2641">
        <f>$AD$6</f>
        <v>44774</v>
      </c>
      <c r="AE296" s="2641">
        <f>$AE$6</f>
        <v>45139</v>
      </c>
      <c r="AF296" s="2641">
        <f>$AF$6</f>
        <v>45672</v>
      </c>
      <c r="AG296" s="2641" t="str">
        <f>$AG$6</f>
        <v>-</v>
      </c>
      <c r="AH296" s="2723"/>
      <c r="AI296" s="2723"/>
      <c r="AU296" s="1505"/>
      <c r="DJ296" s="1187"/>
    </row>
    <row r="297" spans="1:114" ht="30" hidden="1" customHeight="1" outlineLevel="1">
      <c r="A297" s="533"/>
      <c r="B297" s="2697"/>
      <c r="C297" s="2963"/>
      <c r="D297" s="2303" t="s">
        <v>967</v>
      </c>
      <c r="E297" s="2207" t="s">
        <v>1290</v>
      </c>
      <c r="F297" s="2207" t="s">
        <v>1291</v>
      </c>
      <c r="G297" s="4052" t="s">
        <v>1184</v>
      </c>
      <c r="H297" s="4839"/>
      <c r="I297" s="4839"/>
      <c r="J297" s="2086"/>
      <c r="K297" s="2086"/>
      <c r="L297" s="2086"/>
      <c r="M297" s="635"/>
      <c r="N297" s="635"/>
      <c r="O297" s="2697"/>
      <c r="V297" s="3158"/>
      <c r="W297" s="3063" t="s">
        <v>1292</v>
      </c>
      <c r="X297" s="3063" t="s">
        <v>1292</v>
      </c>
      <c r="Y297" s="3063" t="s">
        <v>1292</v>
      </c>
      <c r="Z297" s="3063" t="s">
        <v>1292</v>
      </c>
      <c r="AA297" s="3063" t="s">
        <v>1292</v>
      </c>
      <c r="AB297" s="3063" t="s">
        <v>1292</v>
      </c>
      <c r="AC297" s="3063" t="s">
        <v>1292</v>
      </c>
      <c r="AD297" s="3063" t="s">
        <v>1292</v>
      </c>
      <c r="AE297" s="3063" t="s">
        <v>1292</v>
      </c>
      <c r="AF297" s="3063" t="s">
        <v>1292</v>
      </c>
      <c r="AG297" s="3063" t="s">
        <v>1292</v>
      </c>
      <c r="AH297" s="2723"/>
      <c r="AI297" s="2723"/>
      <c r="AU297" s="1505"/>
      <c r="DJ297" s="1187"/>
    </row>
    <row r="298" spans="1:114" ht="15" hidden="1" customHeight="1" outlineLevel="1">
      <c r="A298" s="533"/>
      <c r="B298" s="2697"/>
      <c r="C298" s="2963"/>
      <c r="D298" s="2688" t="s">
        <v>1293</v>
      </c>
      <c r="E298" s="2688" t="s">
        <v>1294</v>
      </c>
      <c r="F298" s="2689">
        <v>10328.926572223787</v>
      </c>
      <c r="G298" s="4053"/>
      <c r="H298" s="4054"/>
      <c r="I298" s="4054"/>
      <c r="J298" s="2086"/>
      <c r="K298" s="2086"/>
      <c r="L298" s="2086"/>
      <c r="M298" s="2086"/>
      <c r="N298" s="2086"/>
      <c r="O298" s="2697"/>
      <c r="V298" s="2690" t="s">
        <v>1293</v>
      </c>
      <c r="W298" s="3071">
        <v>9558.22711471611</v>
      </c>
      <c r="X298" s="2692">
        <v>10322.173207292981</v>
      </c>
      <c r="Y298" s="2692">
        <v>10328.926572223787</v>
      </c>
      <c r="Z298" s="2693">
        <v>10328.926572223787</v>
      </c>
      <c r="AA298" s="2693">
        <v>10328.926572223787</v>
      </c>
      <c r="AB298" s="2693">
        <v>10328.926572223787</v>
      </c>
      <c r="AC298" s="2693">
        <v>10328.926572223787</v>
      </c>
      <c r="AD298" s="2693">
        <v>10328.926572223787</v>
      </c>
      <c r="AE298" s="2693">
        <v>10328.926572223787</v>
      </c>
      <c r="AF298" s="2236">
        <f t="shared" ref="AF298:AF307" si="34">IF(F298&lt;&gt;"",F298,"")</f>
        <v>10328.926572223787</v>
      </c>
      <c r="AG298" s="2684"/>
      <c r="AH298" s="2723"/>
      <c r="AI298" s="2723"/>
      <c r="AU298" s="1505"/>
      <c r="DJ298" s="1187"/>
    </row>
    <row r="299" spans="1:114" ht="18" hidden="1" customHeight="1" outlineLevel="1">
      <c r="A299" s="533"/>
      <c r="B299" s="2697"/>
      <c r="C299" s="2963"/>
      <c r="D299" s="2688" t="s">
        <v>1295</v>
      </c>
      <c r="E299" s="2691" t="s">
        <v>1296</v>
      </c>
      <c r="F299" s="3147">
        <v>10.9</v>
      </c>
      <c r="G299" s="4050" t="s">
        <v>1297</v>
      </c>
      <c r="H299" s="4051"/>
      <c r="I299" s="4051"/>
      <c r="J299" s="2086"/>
      <c r="K299" s="2086"/>
      <c r="L299" s="2086"/>
      <c r="M299" s="2086"/>
      <c r="N299" s="2086"/>
      <c r="O299" s="2697"/>
      <c r="V299" s="2690" t="s">
        <v>1298</v>
      </c>
      <c r="W299" s="3071">
        <v>10.9</v>
      </c>
      <c r="X299" s="2692">
        <v>10.833666904931999</v>
      </c>
      <c r="Y299" s="2692">
        <v>10.826666666666537</v>
      </c>
      <c r="Z299" s="2693">
        <v>10.826666666666537</v>
      </c>
      <c r="AA299" s="2693">
        <v>10.826666666666537</v>
      </c>
      <c r="AB299" s="2693">
        <v>10.826666666666537</v>
      </c>
      <c r="AC299" s="2693">
        <v>10.826666666666537</v>
      </c>
      <c r="AD299" s="2693">
        <v>10.826666666666537</v>
      </c>
      <c r="AE299" s="2693">
        <v>10.826666666666537</v>
      </c>
      <c r="AF299" s="2236">
        <f t="shared" si="34"/>
        <v>10.9</v>
      </c>
      <c r="AG299" s="2684"/>
      <c r="AH299" s="2723"/>
      <c r="AI299" s="2723"/>
      <c r="AU299" s="1505"/>
      <c r="DJ299" s="1187"/>
    </row>
    <row r="300" spans="1:114" ht="46.5" hidden="1" customHeight="1" outlineLevel="1">
      <c r="A300" s="533"/>
      <c r="B300" s="2697"/>
      <c r="C300" s="2963"/>
      <c r="D300" s="2688" t="s">
        <v>1299</v>
      </c>
      <c r="E300" s="2691" t="s">
        <v>1296</v>
      </c>
      <c r="F300" s="3148">
        <v>12</v>
      </c>
      <c r="G300" s="4050" t="s">
        <v>1300</v>
      </c>
      <c r="H300" s="4051"/>
      <c r="I300" s="4051"/>
      <c r="J300" s="2086"/>
      <c r="K300" s="2086"/>
      <c r="L300" s="2086"/>
      <c r="M300" s="2086"/>
      <c r="N300" s="2086"/>
      <c r="O300" s="2697"/>
      <c r="V300" s="2690" t="s">
        <v>1301</v>
      </c>
      <c r="W300" s="3071">
        <v>11.9</v>
      </c>
      <c r="X300" s="2692">
        <v>11.955972333179155</v>
      </c>
      <c r="Y300" s="2692">
        <v>11.971947099252425</v>
      </c>
      <c r="Z300" s="2693">
        <v>11.971947099252425</v>
      </c>
      <c r="AA300" s="2693">
        <v>11.971947099252425</v>
      </c>
      <c r="AB300" s="2693">
        <v>11.971947099252425</v>
      </c>
      <c r="AC300" s="2693">
        <v>11.971947099252425</v>
      </c>
      <c r="AD300" s="2693">
        <v>11.971947099252425</v>
      </c>
      <c r="AE300" s="2693">
        <v>11.971947099252425</v>
      </c>
      <c r="AF300" s="2236">
        <f t="shared" si="34"/>
        <v>12</v>
      </c>
      <c r="AG300" s="2684"/>
      <c r="AH300" s="2723"/>
      <c r="AI300" s="2723"/>
      <c r="AU300" s="1505"/>
      <c r="DJ300" s="1187"/>
    </row>
    <row r="301" spans="1:114" ht="46.5" hidden="1" customHeight="1" outlineLevel="1">
      <c r="A301" s="533"/>
      <c r="B301" s="2697"/>
      <c r="C301" s="2963"/>
      <c r="D301" s="2688" t="s">
        <v>1302</v>
      </c>
      <c r="E301" s="2688"/>
      <c r="F301" s="3149" t="s">
        <v>1303</v>
      </c>
      <c r="G301" s="4053"/>
      <c r="H301" s="4054"/>
      <c r="I301" s="4054"/>
      <c r="J301" s="2086"/>
      <c r="K301" s="2086"/>
      <c r="L301" s="2086"/>
      <c r="M301" s="2086"/>
      <c r="N301" s="2086"/>
      <c r="O301" s="2697"/>
      <c r="V301" s="2690" t="s">
        <v>1304</v>
      </c>
      <c r="W301" s="3071"/>
      <c r="X301" s="3159"/>
      <c r="Y301" s="3159"/>
      <c r="Z301" s="2693"/>
      <c r="AA301" s="2693"/>
      <c r="AB301" s="2693"/>
      <c r="AC301" s="2693"/>
      <c r="AD301" s="2693"/>
      <c r="AE301" s="2693"/>
      <c r="AF301" s="2236" t="str">
        <f t="shared" si="34"/>
        <v>N/A</v>
      </c>
      <c r="AG301" s="2684"/>
      <c r="AH301" s="2723"/>
      <c r="AI301" s="2723"/>
      <c r="AU301" s="1505"/>
      <c r="DJ301" s="1187"/>
    </row>
    <row r="302" spans="1:114" ht="45" hidden="1" customHeight="1" outlineLevel="1">
      <c r="A302" s="533"/>
      <c r="B302" s="3150"/>
      <c r="C302" s="3151"/>
      <c r="D302" s="2688" t="s">
        <v>1305</v>
      </c>
      <c r="E302" s="2688" t="s">
        <v>1306</v>
      </c>
      <c r="F302" s="3057">
        <v>556</v>
      </c>
      <c r="G302" s="4053"/>
      <c r="H302" s="4054"/>
      <c r="I302" s="4054"/>
      <c r="J302" s="2086"/>
      <c r="K302" s="2086"/>
      <c r="L302" s="2086"/>
      <c r="M302" s="2086"/>
      <c r="N302" s="2086"/>
      <c r="O302" s="3150"/>
      <c r="V302" s="2690" t="s">
        <v>1307</v>
      </c>
      <c r="W302" s="3160">
        <v>556</v>
      </c>
      <c r="X302" s="3160">
        <v>556</v>
      </c>
      <c r="Y302" s="3160">
        <v>556</v>
      </c>
      <c r="Z302" s="2693">
        <v>556</v>
      </c>
      <c r="AA302" s="2693">
        <v>556</v>
      </c>
      <c r="AB302" s="2693">
        <v>556</v>
      </c>
      <c r="AC302" s="2693">
        <v>556</v>
      </c>
      <c r="AD302" s="2693">
        <v>556</v>
      </c>
      <c r="AE302" s="2693">
        <v>556</v>
      </c>
      <c r="AF302" s="2236">
        <f t="shared" si="34"/>
        <v>556</v>
      </c>
      <c r="AG302" s="2684"/>
      <c r="AH302" s="2723"/>
      <c r="AI302" s="2723"/>
      <c r="AU302" s="1505"/>
      <c r="DJ302" s="1187"/>
    </row>
    <row r="303" spans="1:114" ht="30" hidden="1" customHeight="1" outlineLevel="1">
      <c r="A303" s="533"/>
      <c r="B303" s="3150"/>
      <c r="C303" s="3151"/>
      <c r="D303" s="2688" t="s">
        <v>1308</v>
      </c>
      <c r="E303" s="2691" t="s">
        <v>1309</v>
      </c>
      <c r="F303" s="3057">
        <v>860</v>
      </c>
      <c r="G303" s="4053"/>
      <c r="H303" s="4054"/>
      <c r="I303" s="4054"/>
      <c r="J303" s="2086"/>
      <c r="K303" s="2086"/>
      <c r="L303" s="2086"/>
      <c r="M303" s="2086"/>
      <c r="N303" s="2086"/>
      <c r="O303" s="3150"/>
      <c r="V303" s="2690" t="s">
        <v>1310</v>
      </c>
      <c r="W303" s="3160">
        <v>860</v>
      </c>
      <c r="X303" s="3160">
        <v>860</v>
      </c>
      <c r="Y303" s="3160">
        <v>860</v>
      </c>
      <c r="Z303" s="2693">
        <v>860</v>
      </c>
      <c r="AA303" s="2693">
        <v>860</v>
      </c>
      <c r="AB303" s="2693">
        <v>860</v>
      </c>
      <c r="AC303" s="2693">
        <v>860</v>
      </c>
      <c r="AD303" s="2693">
        <v>860</v>
      </c>
      <c r="AE303" s="2693">
        <v>860</v>
      </c>
      <c r="AF303" s="2236">
        <f t="shared" si="34"/>
        <v>860</v>
      </c>
      <c r="AG303" s="2684"/>
      <c r="AH303" s="2723"/>
      <c r="AI303" s="2723"/>
      <c r="AU303" s="1505"/>
      <c r="DJ303" s="1187"/>
    </row>
    <row r="304" spans="1:114" ht="30" hidden="1" customHeight="1" outlineLevel="1">
      <c r="A304" s="533"/>
      <c r="B304" s="3150"/>
      <c r="C304" s="3151"/>
      <c r="D304" s="2688" t="s">
        <v>1311</v>
      </c>
      <c r="E304" s="2688" t="s">
        <v>950</v>
      </c>
      <c r="F304" s="3057">
        <v>1000</v>
      </c>
      <c r="G304" s="4053"/>
      <c r="H304" s="4054"/>
      <c r="I304" s="4054"/>
      <c r="J304" s="2086"/>
      <c r="K304" s="2086"/>
      <c r="L304" s="2086"/>
      <c r="M304" s="2086"/>
      <c r="N304" s="2086"/>
      <c r="O304" s="3150"/>
      <c r="V304" s="2690" t="s">
        <v>1311</v>
      </c>
      <c r="W304" s="3071">
        <v>1000</v>
      </c>
      <c r="X304" s="3071">
        <v>1000</v>
      </c>
      <c r="Y304" s="3071">
        <v>1000</v>
      </c>
      <c r="Z304" s="2693">
        <v>1000</v>
      </c>
      <c r="AA304" s="2693">
        <v>1000</v>
      </c>
      <c r="AB304" s="2693">
        <v>1000</v>
      </c>
      <c r="AC304" s="2693">
        <v>1000</v>
      </c>
      <c r="AD304" s="2693">
        <v>1000</v>
      </c>
      <c r="AE304" s="2693">
        <v>1000</v>
      </c>
      <c r="AF304" s="2236">
        <f t="shared" si="34"/>
        <v>1000</v>
      </c>
      <c r="AG304" s="2684"/>
      <c r="AH304" s="2723"/>
      <c r="AI304" s="2723"/>
      <c r="AU304" s="1505"/>
      <c r="DJ304" s="1187"/>
    </row>
    <row r="305" spans="1:114" ht="30" hidden="1" customHeight="1" outlineLevel="1">
      <c r="A305" s="533"/>
      <c r="B305" s="3150"/>
      <c r="C305" s="3151"/>
      <c r="D305" s="2688" t="s">
        <v>1036</v>
      </c>
      <c r="E305" s="2688" t="s">
        <v>1312</v>
      </c>
      <c r="F305" s="2913">
        <v>0.97468354430379744</v>
      </c>
      <c r="G305" s="4053" t="s">
        <v>1313</v>
      </c>
      <c r="H305" s="4054"/>
      <c r="I305" s="4054"/>
      <c r="J305" s="2086"/>
      <c r="K305" s="2086"/>
      <c r="L305" s="2086"/>
      <c r="M305" s="2086"/>
      <c r="N305" s="2086"/>
      <c r="O305" s="3150"/>
      <c r="V305" s="2690" t="s">
        <v>1036</v>
      </c>
      <c r="W305" s="3068">
        <v>0.97560975609756095</v>
      </c>
      <c r="X305" s="3068">
        <v>0.97560975609756095</v>
      </c>
      <c r="Y305" s="2645">
        <v>0.97468354430379744</v>
      </c>
      <c r="Z305" s="2646">
        <v>0.97468354430379744</v>
      </c>
      <c r="AA305" s="2646">
        <v>0.97468354430379744</v>
      </c>
      <c r="AB305" s="2646">
        <v>0.97468354430379744</v>
      </c>
      <c r="AC305" s="2646">
        <v>0.97468354430379744</v>
      </c>
      <c r="AD305" s="2646">
        <v>0.97468354430379744</v>
      </c>
      <c r="AE305" s="2646">
        <v>0.97468354430379744</v>
      </c>
      <c r="AF305" s="3161">
        <f t="shared" si="34"/>
        <v>0.97468354430379744</v>
      </c>
      <c r="AG305" s="2684"/>
      <c r="AH305" s="2723"/>
      <c r="AI305" s="2723"/>
      <c r="AU305" s="1505"/>
      <c r="DJ305" s="1187"/>
    </row>
    <row r="306" spans="1:114" ht="15" hidden="1" customHeight="1" outlineLevel="1">
      <c r="A306" s="533"/>
      <c r="B306" s="2086"/>
      <c r="C306" s="2963"/>
      <c r="D306" s="2822" t="str">
        <f>$D$41</f>
        <v>EUL</v>
      </c>
      <c r="E306" s="2822"/>
      <c r="F306" s="3152">
        <v>12</v>
      </c>
      <c r="G306" s="4053" t="s">
        <v>62</v>
      </c>
      <c r="H306" s="4054"/>
      <c r="I306" s="4054"/>
      <c r="J306" s="2086"/>
      <c r="K306" s="2086"/>
      <c r="L306" s="2086"/>
      <c r="M306" s="2086"/>
      <c r="N306" s="2086"/>
      <c r="O306" s="2086"/>
      <c r="V306" s="2690" t="str">
        <f>D306</f>
        <v>EUL</v>
      </c>
      <c r="W306" s="3162">
        <v>9</v>
      </c>
      <c r="X306" s="3162">
        <v>9</v>
      </c>
      <c r="Y306" s="3162">
        <v>10</v>
      </c>
      <c r="Z306" s="3163">
        <v>10</v>
      </c>
      <c r="AA306" s="3163">
        <v>10</v>
      </c>
      <c r="AB306" s="3163">
        <v>10</v>
      </c>
      <c r="AC306" s="3163">
        <v>10</v>
      </c>
      <c r="AD306" s="3163">
        <v>10</v>
      </c>
      <c r="AE306" s="3163">
        <v>10</v>
      </c>
      <c r="AF306" s="2236">
        <f t="shared" si="34"/>
        <v>12</v>
      </c>
      <c r="AG306" s="3162"/>
      <c r="AH306" s="2723"/>
      <c r="AI306" s="2723"/>
      <c r="AU306" s="1505"/>
      <c r="DJ306" s="1187"/>
    </row>
    <row r="307" spans="1:114" ht="15" hidden="1" customHeight="1" outlineLevel="1">
      <c r="A307" s="533"/>
      <c r="B307" s="2086"/>
      <c r="C307" s="2963"/>
      <c r="D307" s="2822" t="str">
        <f>$D$42</f>
        <v>Inc. Cost</v>
      </c>
      <c r="E307" s="2822"/>
      <c r="F307" s="3153">
        <v>40</v>
      </c>
      <c r="G307" s="4053" t="s">
        <v>62</v>
      </c>
      <c r="H307" s="4054"/>
      <c r="I307" s="4054"/>
      <c r="J307" s="2086"/>
      <c r="K307" s="2086"/>
      <c r="L307" s="2086"/>
      <c r="M307" s="2086"/>
      <c r="N307" s="2086"/>
      <c r="O307" s="2086"/>
      <c r="V307" s="2690" t="str">
        <f>D307</f>
        <v>Inc. Cost</v>
      </c>
      <c r="W307" s="3164">
        <v>20</v>
      </c>
      <c r="X307" s="3164">
        <v>20</v>
      </c>
      <c r="Y307" s="3164">
        <v>20</v>
      </c>
      <c r="Z307" s="2700">
        <v>20</v>
      </c>
      <c r="AA307" s="2700">
        <v>20</v>
      </c>
      <c r="AB307" s="2700">
        <v>20</v>
      </c>
      <c r="AC307" s="2700">
        <v>20</v>
      </c>
      <c r="AD307" s="2700">
        <v>20</v>
      </c>
      <c r="AE307" s="2700">
        <v>20</v>
      </c>
      <c r="AF307" s="2236">
        <f t="shared" si="34"/>
        <v>40</v>
      </c>
      <c r="AG307" s="3164"/>
      <c r="AH307" s="2723"/>
      <c r="AI307" s="2723"/>
      <c r="AU307" s="1505"/>
      <c r="DJ307" s="1187"/>
    </row>
    <row r="308" spans="1:114" ht="15" hidden="1" customHeight="1" outlineLevel="1">
      <c r="A308" s="533"/>
      <c r="B308" s="2086"/>
      <c r="C308" s="2963"/>
      <c r="D308" s="3154"/>
      <c r="E308" s="3154"/>
      <c r="F308" s="3155"/>
      <c r="G308" s="3156"/>
      <c r="H308" s="2086"/>
      <c r="I308" s="2086"/>
      <c r="J308" s="2086"/>
      <c r="K308" s="2086"/>
      <c r="L308" s="2086"/>
      <c r="M308" s="2086"/>
      <c r="N308" s="2086"/>
      <c r="O308" s="2086"/>
      <c r="AU308" s="1505"/>
      <c r="DJ308" s="1187"/>
    </row>
    <row r="309" spans="1:114" s="273" customFormat="1" ht="15" customHeight="1" collapsed="1">
      <c r="A309" s="533"/>
      <c r="B309" s="2086"/>
      <c r="C309" s="2703"/>
      <c r="D309" s="2754"/>
      <c r="E309" s="2754"/>
      <c r="F309" s="2703"/>
      <c r="G309" s="2696"/>
      <c r="H309" s="2696"/>
      <c r="I309" s="2696"/>
      <c r="J309" s="2696"/>
      <c r="K309" s="2696"/>
      <c r="L309" s="2696"/>
      <c r="M309" s="2696"/>
      <c r="N309" s="2696"/>
      <c r="O309" s="2696"/>
      <c r="P309" s="283"/>
      <c r="Q309" s="283"/>
      <c r="R309" s="283"/>
      <c r="S309" s="283"/>
      <c r="T309" s="283"/>
      <c r="U309" s="283"/>
      <c r="Y309" s="284"/>
      <c r="AK309" s="358"/>
      <c r="DG309" s="540"/>
      <c r="DH309" s="283"/>
      <c r="DI309" s="283"/>
      <c r="DJ309" s="1187"/>
    </row>
    <row r="310" spans="1:114" s="273" customFormat="1">
      <c r="A310" s="533"/>
      <c r="B310" s="4025" t="s">
        <v>1314</v>
      </c>
      <c r="C310" s="4026"/>
      <c r="D310" s="4026"/>
      <c r="E310" s="4026"/>
      <c r="F310" s="4026"/>
      <c r="G310" s="4026"/>
      <c r="H310" s="4026"/>
      <c r="I310" s="4817"/>
      <c r="J310" s="4817"/>
      <c r="K310" s="4817"/>
      <c r="L310" s="4817"/>
      <c r="M310" s="4817"/>
      <c r="N310" s="4817"/>
      <c r="O310" s="4817"/>
      <c r="P310" s="4817"/>
      <c r="Q310" s="4817"/>
      <c r="R310" s="4818"/>
      <c r="S310" s="283"/>
      <c r="T310" s="283"/>
      <c r="U310" s="283"/>
      <c r="V310" s="4040" t="str">
        <f>B310</f>
        <v xml:space="preserve">Low Flow Handheld Showerheads </v>
      </c>
      <c r="W310" s="4041"/>
      <c r="X310" s="4041"/>
      <c r="Y310" s="4041"/>
      <c r="Z310" s="4041"/>
      <c r="AA310" s="4041"/>
      <c r="AB310" s="4041"/>
      <c r="AC310" s="4832"/>
      <c r="AD310" s="4832"/>
      <c r="AE310" s="4832"/>
      <c r="AF310" s="4832"/>
      <c r="AG310" s="4832"/>
      <c r="AH310" s="4832"/>
      <c r="AI310" s="4833"/>
      <c r="AK310" s="358"/>
      <c r="DG310" s="540"/>
      <c r="DH310" s="283"/>
      <c r="DI310" s="283"/>
      <c r="DJ310" s="1187"/>
    </row>
    <row r="311" spans="1:114" s="273" customFormat="1">
      <c r="A311" s="533"/>
      <c r="B311" s="2086"/>
      <c r="C311" s="3166"/>
      <c r="D311" s="3167"/>
      <c r="E311" s="3167"/>
      <c r="F311" s="3168"/>
      <c r="G311" s="2712"/>
      <c r="H311" s="2712"/>
      <c r="I311" s="2712"/>
      <c r="J311" s="2712"/>
      <c r="K311" s="2712"/>
      <c r="L311" s="2713"/>
      <c r="M311" s="2696"/>
      <c r="N311" s="2696"/>
      <c r="O311" s="2696"/>
      <c r="P311" s="2696"/>
      <c r="Q311" s="2696"/>
      <c r="R311" s="2696"/>
      <c r="S311" s="283"/>
      <c r="T311" s="283"/>
      <c r="U311" s="283"/>
      <c r="V311" s="2229"/>
      <c r="W311" s="2229"/>
      <c r="X311" s="2229"/>
      <c r="Y311" s="2230"/>
      <c r="Z311" s="2229"/>
      <c r="AA311" s="2229"/>
      <c r="AB311" s="2229"/>
      <c r="AC311" s="2229"/>
      <c r="AD311" s="2229"/>
      <c r="AE311" s="2229"/>
      <c r="AF311" s="2229"/>
      <c r="AG311" s="2229"/>
      <c r="AH311" s="2229"/>
      <c r="AI311" s="2229"/>
      <c r="AK311" s="358"/>
      <c r="DG311" s="540"/>
      <c r="DH311" s="283"/>
      <c r="DI311" s="283"/>
      <c r="DJ311" s="1187"/>
    </row>
    <row r="312" spans="1:114" s="273" customFormat="1" ht="49.5" customHeight="1">
      <c r="A312" s="533"/>
      <c r="B312" s="2086"/>
      <c r="C312" s="2207" t="s">
        <v>42</v>
      </c>
      <c r="D312" s="2207" t="s">
        <v>953</v>
      </c>
      <c r="E312" s="2207" t="s">
        <v>44</v>
      </c>
      <c r="F312" s="2207" t="s">
        <v>1315</v>
      </c>
      <c r="G312" s="2207" t="s">
        <v>46</v>
      </c>
      <c r="H312" s="2207" t="s">
        <v>47</v>
      </c>
      <c r="I312" s="2207" t="s">
        <v>1316</v>
      </c>
      <c r="J312" s="2207" t="s">
        <v>48</v>
      </c>
      <c r="K312" s="2207" t="s">
        <v>49</v>
      </c>
      <c r="L312" s="2207" t="s">
        <v>50</v>
      </c>
      <c r="M312" s="2207" t="s">
        <v>51</v>
      </c>
      <c r="N312" s="2696"/>
      <c r="O312" s="2696"/>
      <c r="P312" s="2696"/>
      <c r="Q312" s="2696"/>
      <c r="R312" s="2696"/>
      <c r="S312" s="283"/>
      <c r="T312" s="283"/>
      <c r="U312" s="283"/>
      <c r="V312" s="2640" t="s">
        <v>52</v>
      </c>
      <c r="W312" s="2641">
        <f>W$6</f>
        <v>43252</v>
      </c>
      <c r="X312" s="2641">
        <f t="shared" ref="X312:AG312" si="35">X$6</f>
        <v>43465</v>
      </c>
      <c r="Y312" s="2642">
        <f t="shared" si="35"/>
        <v>43800</v>
      </c>
      <c r="Z312" s="2641">
        <f t="shared" si="35"/>
        <v>43862</v>
      </c>
      <c r="AA312" s="2641">
        <f t="shared" si="35"/>
        <v>44013</v>
      </c>
      <c r="AB312" s="2641">
        <f t="shared" si="35"/>
        <v>44166</v>
      </c>
      <c r="AC312" s="2641">
        <f t="shared" si="35"/>
        <v>44531</v>
      </c>
      <c r="AD312" s="2641">
        <f t="shared" si="35"/>
        <v>44774</v>
      </c>
      <c r="AE312" s="2641">
        <f t="shared" si="35"/>
        <v>45139</v>
      </c>
      <c r="AF312" s="2641">
        <f t="shared" si="35"/>
        <v>45672</v>
      </c>
      <c r="AG312" s="2641" t="str">
        <f t="shared" si="35"/>
        <v>-</v>
      </c>
      <c r="AH312" s="2229"/>
      <c r="AI312" s="2229"/>
      <c r="AK312" s="358"/>
      <c r="DG312" s="2506" t="str">
        <f>$DG$6</f>
        <v>TRC (2025)</v>
      </c>
      <c r="DH312" s="3048" t="str">
        <f>$DH$6</f>
        <v>Benefit Lookup</v>
      </c>
      <c r="DI312" s="3200" t="str">
        <f>$DI$6</f>
        <v>Benefits (2025 $)</v>
      </c>
      <c r="DJ312" s="3050" t="str">
        <f>$DJ$6</f>
        <v>Incremental Cost (2025 $)</v>
      </c>
    </row>
    <row r="313" spans="1:114" s="273" customFormat="1">
      <c r="A313" s="533"/>
      <c r="B313" s="2208">
        <f t="shared" ref="B313:B314" si="36">VALUE(LEFT(C313,6))</f>
        <v>251300</v>
      </c>
      <c r="C313" s="2478" t="s">
        <v>1317</v>
      </c>
      <c r="D313" s="2409" t="s">
        <v>1139</v>
      </c>
      <c r="E313" s="2432" t="s">
        <v>1318</v>
      </c>
      <c r="F313" s="2342">
        <f>ROUND(G324*(G325*G326-G327*G328)*G329*G331*G332/G333*I313*G342*G341,2)</f>
        <v>92.67</v>
      </c>
      <c r="G313" s="2408" t="s">
        <v>1319</v>
      </c>
      <c r="H313" s="2548">
        <f>VLOOKUP(G313,'CP FACTORS'!$A$3:$B$38, 2, FALSE)</f>
        <v>8.8731800000000003E-5</v>
      </c>
      <c r="I313" s="2363">
        <f>G335*G336*(G337-G338)/(G339*G340)</f>
        <v>0.1160902696365768</v>
      </c>
      <c r="J313" s="2549">
        <f>ROUND(F313*H313,6)</f>
        <v>8.2229999999999994E-3</v>
      </c>
      <c r="K313" s="2345">
        <f>$G$344</f>
        <v>10</v>
      </c>
      <c r="L313" s="2482">
        <f>G345</f>
        <v>15.02</v>
      </c>
      <c r="M313" s="2408" t="s">
        <v>62</v>
      </c>
      <c r="N313" s="2696"/>
      <c r="O313" s="2696"/>
      <c r="P313" s="2696"/>
      <c r="Q313" s="2696"/>
      <c r="R313" s="3169"/>
      <c r="S313" s="614"/>
      <c r="T313" s="283"/>
      <c r="U313" s="283"/>
      <c r="V313" s="2962" t="s">
        <v>1315</v>
      </c>
      <c r="W313" s="2414"/>
      <c r="X313" s="2415"/>
      <c r="Y313" s="2572"/>
      <c r="Z313" s="2573"/>
      <c r="AA313" s="2573"/>
      <c r="AB313" s="2573"/>
      <c r="AC313" s="2453"/>
      <c r="AD313" s="2453">
        <v>86.9</v>
      </c>
      <c r="AE313" s="2945">
        <v>86.9</v>
      </c>
      <c r="AF313" s="2236">
        <f>IF(F313&lt;&gt;"",F313,"")</f>
        <v>92.67</v>
      </c>
      <c r="AG313" s="3186"/>
      <c r="AH313" s="2728"/>
      <c r="AI313" s="2229"/>
      <c r="AK313" s="358"/>
      <c r="DG313" s="2506">
        <f>(DI313)/(DJ313)</f>
        <v>3.0311782417932105</v>
      </c>
      <c r="DH313" s="2432" t="str">
        <f>CONCATENATE(G313," ",K313," Year EUL")</f>
        <v>Water heating RES 10 Year EUL</v>
      </c>
      <c r="DI313" s="3201">
        <f>(INDEX('Avoided Cost Benefits'!$B$4:$B$865,MATCH(DH313,'Avoided Cost Benefits'!$A$4:$A$865,0)))*F313</f>
        <v>45.528297191734019</v>
      </c>
      <c r="DJ313" s="3202">
        <f>L313/(1.0686^(2025-2025))</f>
        <v>15.02</v>
      </c>
    </row>
    <row r="314" spans="1:114" s="273" customFormat="1">
      <c r="A314" s="533"/>
      <c r="B314" s="2208">
        <f t="shared" si="36"/>
        <v>251350</v>
      </c>
      <c r="C314" s="2584" t="s">
        <v>1320</v>
      </c>
      <c r="D314" s="2409" t="s">
        <v>1139</v>
      </c>
      <c r="E314" s="2419" t="s">
        <v>1321</v>
      </c>
      <c r="F314" s="3170">
        <f>ROUND(G324*(G325*G326-G327*G328)*G330*G331*G332/G334*I314*G343*G341,2)</f>
        <v>105.2</v>
      </c>
      <c r="G314" s="2497" t="s">
        <v>1319</v>
      </c>
      <c r="H314" s="2213">
        <f>VLOOKUP(G314,'CP FACTORS'!$A$3:$B$38, 2, FALSE)</f>
        <v>8.8731800000000003E-5</v>
      </c>
      <c r="I314" s="2585">
        <f>G335*G336*(G337-G338)/(G339*G340)</f>
        <v>0.1160902696365768</v>
      </c>
      <c r="J314" s="3171">
        <f>ROUND(F314*H314,6)</f>
        <v>9.3349999999999995E-3</v>
      </c>
      <c r="K314" s="2449">
        <f>$G$344</f>
        <v>10</v>
      </c>
      <c r="L314" s="2583">
        <f>G345</f>
        <v>15.02</v>
      </c>
      <c r="M314" s="2497" t="s">
        <v>62</v>
      </c>
      <c r="N314" s="2696"/>
      <c r="O314" s="2696"/>
      <c r="P314" s="2696"/>
      <c r="Q314" s="2696"/>
      <c r="R314" s="3169"/>
      <c r="S314" s="283"/>
      <c r="T314" s="283"/>
      <c r="U314" s="283"/>
      <c r="V314" s="2962" t="s">
        <v>1315</v>
      </c>
      <c r="W314" s="2414"/>
      <c r="X314" s="2415"/>
      <c r="Y314" s="2572"/>
      <c r="Z314" s="2573"/>
      <c r="AA314" s="2573"/>
      <c r="AB314" s="2573"/>
      <c r="AC314" s="3170"/>
      <c r="AD314" s="3170">
        <v>98.65</v>
      </c>
      <c r="AE314" s="3187">
        <v>98.65</v>
      </c>
      <c r="AF314" s="2236">
        <f>IF(F314&lt;&gt;"",F314,"")</f>
        <v>105.2</v>
      </c>
      <c r="AG314" s="3186"/>
      <c r="AH314" s="2728"/>
      <c r="AI314" s="2229"/>
      <c r="AK314" s="358"/>
      <c r="DG314" s="2506">
        <f>(DI314)/(DJ314)</f>
        <v>3.4410267728137018</v>
      </c>
      <c r="DH314" s="2432" t="str">
        <f>CONCATENATE(G314," ",K314," Year EUL")</f>
        <v>Water heating RES 10 Year EUL</v>
      </c>
      <c r="DI314" s="3201">
        <f>(INDEX('Avoided Cost Benefits'!$B$4:$B$865,MATCH(DH314,'Avoided Cost Benefits'!$A$4:$A$865,0)))*F314</f>
        <v>51.684222127661798</v>
      </c>
      <c r="DJ314" s="3202">
        <f>L314/(1.0686^(2025-2025))</f>
        <v>15.02</v>
      </c>
    </row>
    <row r="315" spans="1:114" s="273" customFormat="1" ht="15" hidden="1" customHeight="1" outlineLevel="1">
      <c r="A315" s="533"/>
      <c r="B315" s="2086"/>
      <c r="C315" s="2703"/>
      <c r="D315" s="2624" t="s">
        <v>118</v>
      </c>
      <c r="E315" s="2624" t="s">
        <v>1322</v>
      </c>
      <c r="F315" s="3172"/>
      <c r="G315" s="2703"/>
      <c r="H315" s="3173"/>
      <c r="I315" s="3174"/>
      <c r="J315" s="3174"/>
      <c r="K315" s="3174"/>
      <c r="L315" s="2696"/>
      <c r="M315" s="2696"/>
      <c r="N315" s="2696"/>
      <c r="O315" s="2696"/>
      <c r="P315" s="2696"/>
      <c r="Q315" s="2696"/>
      <c r="R315" s="2696"/>
      <c r="S315" s="283"/>
      <c r="T315" s="283"/>
      <c r="U315" s="283"/>
      <c r="V315" s="2237"/>
      <c r="W315" s="2237"/>
      <c r="X315" s="2237"/>
      <c r="Y315" s="2238"/>
      <c r="Z315" s="2237"/>
      <c r="AA315" s="2237"/>
      <c r="AB315" s="2237"/>
      <c r="AC315" s="2237"/>
      <c r="AD315" s="2237"/>
      <c r="AE315" s="2237"/>
      <c r="AF315" s="2237"/>
      <c r="AG315" s="2237"/>
      <c r="AH315" s="2229"/>
      <c r="AI315" s="2229"/>
      <c r="AK315" s="358"/>
      <c r="DG315" s="540"/>
      <c r="DH315" s="283"/>
      <c r="DI315" s="283"/>
      <c r="DJ315" s="1187"/>
    </row>
    <row r="316" spans="1:114" s="273" customFormat="1" ht="15" hidden="1" customHeight="1" outlineLevel="1">
      <c r="A316" s="533"/>
      <c r="B316" s="2086"/>
      <c r="C316" s="2703"/>
      <c r="D316" s="2696" t="s">
        <v>963</v>
      </c>
      <c r="E316" s="2696" t="s">
        <v>1323</v>
      </c>
      <c r="F316" s="2703"/>
      <c r="G316" s="2703"/>
      <c r="H316" s="3173"/>
      <c r="I316" s="3174"/>
      <c r="J316" s="3174"/>
      <c r="K316" s="3174"/>
      <c r="L316" s="2696"/>
      <c r="M316" s="2696"/>
      <c r="N316" s="2696"/>
      <c r="O316" s="2696"/>
      <c r="P316" s="2696"/>
      <c r="Q316" s="2696"/>
      <c r="R316" s="2696"/>
      <c r="S316" s="283"/>
      <c r="T316" s="283"/>
      <c r="U316" s="283"/>
      <c r="V316" s="2237"/>
      <c r="W316" s="2237"/>
      <c r="X316" s="2237"/>
      <c r="Y316" s="2238"/>
      <c r="Z316" s="2237"/>
      <c r="AA316" s="2237"/>
      <c r="AB316" s="2237"/>
      <c r="AC316" s="2237"/>
      <c r="AD316" s="2237"/>
      <c r="AE316" s="2237"/>
      <c r="AF316" s="2237"/>
      <c r="AG316" s="2237"/>
      <c r="AH316" s="2229"/>
      <c r="AI316" s="2229"/>
      <c r="AK316" s="358"/>
      <c r="DG316" s="540"/>
      <c r="DH316" s="283"/>
      <c r="DI316" s="283"/>
      <c r="DJ316" s="1187"/>
    </row>
    <row r="317" spans="1:114" s="273" customFormat="1" ht="15" hidden="1" customHeight="1" outlineLevel="1">
      <c r="A317" s="533"/>
      <c r="B317" s="2086"/>
      <c r="C317" s="2703"/>
      <c r="D317" s="2696"/>
      <c r="E317" s="2696" t="s">
        <v>966</v>
      </c>
      <c r="F317" s="2703"/>
      <c r="G317" s="2696"/>
      <c r="H317" s="2696"/>
      <c r="I317" s="2696"/>
      <c r="J317" s="2696"/>
      <c r="K317" s="2696"/>
      <c r="L317" s="2696"/>
      <c r="M317" s="2696"/>
      <c r="N317" s="2696"/>
      <c r="O317" s="2696"/>
      <c r="P317" s="2696"/>
      <c r="Q317" s="2696"/>
      <c r="R317" s="2696"/>
      <c r="S317" s="283"/>
      <c r="T317" s="283"/>
      <c r="U317" s="283"/>
      <c r="V317" s="2237"/>
      <c r="W317" s="2237"/>
      <c r="X317" s="2237"/>
      <c r="Y317" s="2238"/>
      <c r="Z317" s="2237"/>
      <c r="AA317" s="2237"/>
      <c r="AB317" s="2237"/>
      <c r="AC317" s="2237"/>
      <c r="AD317" s="2237"/>
      <c r="AE317" s="2237"/>
      <c r="AF317" s="2237"/>
      <c r="AG317" s="2237"/>
      <c r="AH317" s="2229"/>
      <c r="AI317" s="2229"/>
      <c r="AK317" s="358"/>
      <c r="DG317" s="540"/>
      <c r="DH317" s="283"/>
      <c r="DI317" s="283"/>
      <c r="DJ317" s="1187"/>
    </row>
    <row r="318" spans="1:114" s="273" customFormat="1" ht="15" hidden="1" customHeight="1" outlineLevel="1">
      <c r="A318" s="533"/>
      <c r="B318" s="2086"/>
      <c r="C318" s="3175"/>
      <c r="D318" s="2696"/>
      <c r="E318" s="2696" t="s">
        <v>1324</v>
      </c>
      <c r="F318" s="2703"/>
      <c r="G318" s="2696"/>
      <c r="H318" s="2696"/>
      <c r="I318" s="2696"/>
      <c r="J318" s="2696"/>
      <c r="K318" s="2696"/>
      <c r="L318" s="2696"/>
      <c r="M318" s="2696"/>
      <c r="N318" s="2696"/>
      <c r="O318" s="2696"/>
      <c r="P318" s="2696"/>
      <c r="Q318" s="2696"/>
      <c r="R318" s="2696"/>
      <c r="S318" s="283"/>
      <c r="T318" s="283"/>
      <c r="U318" s="283"/>
      <c r="V318" s="2237"/>
      <c r="W318" s="2237"/>
      <c r="X318" s="2237"/>
      <c r="Y318" s="2238"/>
      <c r="Z318" s="2237"/>
      <c r="AA318" s="2237"/>
      <c r="AB318" s="2237"/>
      <c r="AC318" s="2237"/>
      <c r="AD318" s="2237"/>
      <c r="AE318" s="2237"/>
      <c r="AF318" s="2237"/>
      <c r="AG318" s="2237"/>
      <c r="AH318" s="2229"/>
      <c r="AI318" s="2229"/>
      <c r="AK318" s="358"/>
      <c r="DG318" s="540"/>
      <c r="DH318" s="283"/>
      <c r="DI318" s="283"/>
      <c r="DJ318" s="1187"/>
    </row>
    <row r="319" spans="1:114" s="273" customFormat="1" ht="15" hidden="1" customHeight="1" outlineLevel="1">
      <c r="A319" s="533"/>
      <c r="B319" s="2086"/>
      <c r="C319" s="3176"/>
      <c r="D319" s="2696"/>
      <c r="E319" s="2696"/>
      <c r="F319" s="2703"/>
      <c r="G319" s="2696"/>
      <c r="H319" s="2696"/>
      <c r="I319" s="2696"/>
      <c r="J319" s="2696"/>
      <c r="K319" s="2696"/>
      <c r="L319" s="2696"/>
      <c r="M319" s="2696"/>
      <c r="N319" s="2696"/>
      <c r="O319" s="2696"/>
      <c r="P319" s="2696"/>
      <c r="Q319" s="2696"/>
      <c r="R319" s="2696"/>
      <c r="S319" s="283"/>
      <c r="T319" s="283"/>
      <c r="U319" s="283"/>
      <c r="V319" s="2237"/>
      <c r="W319" s="2237"/>
      <c r="X319" s="2237"/>
      <c r="Y319" s="2238"/>
      <c r="Z319" s="2237"/>
      <c r="AA319" s="2237"/>
      <c r="AB319" s="2237"/>
      <c r="AC319" s="2237"/>
      <c r="AD319" s="2237"/>
      <c r="AE319" s="2237"/>
      <c r="AF319" s="2237"/>
      <c r="AG319" s="2237"/>
      <c r="AH319" s="2229"/>
      <c r="AI319" s="2229"/>
      <c r="AK319" s="358"/>
      <c r="DG319" s="540"/>
      <c r="DH319" s="283"/>
      <c r="DI319" s="283"/>
      <c r="DJ319" s="1187"/>
    </row>
    <row r="320" spans="1:114" s="273" customFormat="1" ht="15" hidden="1" customHeight="1" outlineLevel="1">
      <c r="A320" s="533"/>
      <c r="B320" s="2086"/>
      <c r="C320" s="3176"/>
      <c r="D320" s="2696"/>
      <c r="E320" s="2696"/>
      <c r="F320" s="2703"/>
      <c r="G320" s="2696"/>
      <c r="H320" s="2696"/>
      <c r="I320" s="2696"/>
      <c r="J320" s="2696"/>
      <c r="K320" s="2696"/>
      <c r="L320" s="2696"/>
      <c r="M320" s="2696"/>
      <c r="N320" s="2696"/>
      <c r="O320" s="2696"/>
      <c r="P320" s="2696"/>
      <c r="Q320" s="2696"/>
      <c r="R320" s="2696"/>
      <c r="S320" s="283"/>
      <c r="T320" s="283"/>
      <c r="U320" s="283"/>
      <c r="V320" s="2237"/>
      <c r="W320" s="2237"/>
      <c r="X320" s="2237"/>
      <c r="Y320" s="2238"/>
      <c r="Z320" s="2237"/>
      <c r="AA320" s="2237"/>
      <c r="AB320" s="2237"/>
      <c r="AC320" s="2237"/>
      <c r="AD320" s="2237"/>
      <c r="AE320" s="2237"/>
      <c r="AF320" s="2237"/>
      <c r="AG320" s="2237"/>
      <c r="AH320" s="2229"/>
      <c r="AI320" s="2229"/>
      <c r="AK320" s="358"/>
      <c r="DG320" s="540"/>
      <c r="DH320" s="283"/>
      <c r="DI320" s="283"/>
      <c r="DJ320" s="1187"/>
    </row>
    <row r="321" spans="1:114" s="273" customFormat="1" ht="15" hidden="1" customHeight="1" outlineLevel="1">
      <c r="A321" s="533"/>
      <c r="B321" s="2086"/>
      <c r="C321" s="3176"/>
      <c r="D321" s="2696"/>
      <c r="E321" s="2696"/>
      <c r="F321" s="2703"/>
      <c r="G321" s="2696"/>
      <c r="H321" s="2696"/>
      <c r="I321" s="2696"/>
      <c r="J321" s="2696"/>
      <c r="K321" s="2696"/>
      <c r="L321" s="2696"/>
      <c r="M321" s="2696"/>
      <c r="N321" s="2696"/>
      <c r="O321" s="2696"/>
      <c r="P321" s="2696"/>
      <c r="Q321" s="2696"/>
      <c r="R321" s="2696"/>
      <c r="S321" s="283"/>
      <c r="T321" s="283"/>
      <c r="U321" s="283"/>
      <c r="V321" s="2237"/>
      <c r="W321" s="2237"/>
      <c r="X321" s="2237"/>
      <c r="Y321" s="2238"/>
      <c r="Z321" s="2237"/>
      <c r="AA321" s="2237"/>
      <c r="AB321" s="2237"/>
      <c r="AC321" s="2237"/>
      <c r="AD321" s="2237"/>
      <c r="AE321" s="2237"/>
      <c r="AF321" s="2237"/>
      <c r="AG321" s="2237"/>
      <c r="AH321" s="2229"/>
      <c r="AI321" s="2229"/>
      <c r="AK321" s="358"/>
      <c r="DG321" s="540"/>
      <c r="DH321" s="283"/>
      <c r="DI321" s="283"/>
      <c r="DJ321" s="1187"/>
    </row>
    <row r="322" spans="1:114" s="273" customFormat="1" ht="15" hidden="1" customHeight="1" outlineLevel="1">
      <c r="A322" s="533"/>
      <c r="B322" s="2086"/>
      <c r="C322" s="2703"/>
      <c r="D322" s="2696"/>
      <c r="E322" s="2696"/>
      <c r="F322" s="2703"/>
      <c r="G322" s="2696"/>
      <c r="H322" s="2696"/>
      <c r="I322" s="2696"/>
      <c r="J322" s="2696"/>
      <c r="K322" s="2696"/>
      <c r="L322" s="2696"/>
      <c r="M322" s="2696"/>
      <c r="N322" s="2696"/>
      <c r="O322" s="2696"/>
      <c r="P322" s="2696"/>
      <c r="Q322" s="2696"/>
      <c r="R322" s="2696"/>
      <c r="S322" s="283"/>
      <c r="T322" s="283"/>
      <c r="U322" s="283"/>
      <c r="V322" s="2237"/>
      <c r="W322" s="2237"/>
      <c r="X322" s="2237"/>
      <c r="Y322" s="2238"/>
      <c r="Z322" s="2237"/>
      <c r="AA322" s="2237"/>
      <c r="AB322" s="2237"/>
      <c r="AC322" s="2237"/>
      <c r="AD322" s="2237"/>
      <c r="AE322" s="2237"/>
      <c r="AF322" s="2237"/>
      <c r="AG322" s="2237"/>
      <c r="AH322" s="2229"/>
      <c r="AI322" s="2229"/>
      <c r="AK322" s="358"/>
      <c r="DG322" s="540"/>
      <c r="DH322" s="283"/>
      <c r="DI322" s="283"/>
      <c r="DJ322" s="1187"/>
    </row>
    <row r="323" spans="1:114" s="273" customFormat="1" ht="15" hidden="1" customHeight="1" outlineLevel="1">
      <c r="A323" s="533"/>
      <c r="B323" s="2086"/>
      <c r="C323" s="2703"/>
      <c r="D323" s="2303" t="s">
        <v>1078</v>
      </c>
      <c r="E323" s="2303" t="s">
        <v>967</v>
      </c>
      <c r="F323" s="2207" t="s">
        <v>1215</v>
      </c>
      <c r="G323" s="2304" t="s">
        <v>969</v>
      </c>
      <c r="H323" s="4052" t="s">
        <v>970</v>
      </c>
      <c r="I323" s="4052"/>
      <c r="J323" s="4052" t="s">
        <v>755</v>
      </c>
      <c r="K323" s="4052"/>
      <c r="L323" s="4052"/>
      <c r="M323" s="2696"/>
      <c r="N323" s="2696"/>
      <c r="O323" s="2696"/>
      <c r="P323" s="2696"/>
      <c r="Q323" s="2696"/>
      <c r="R323" s="2696"/>
      <c r="S323" s="283"/>
      <c r="T323" s="283"/>
      <c r="U323" s="283"/>
      <c r="V323" s="2640" t="s">
        <v>52</v>
      </c>
      <c r="W323" s="2641">
        <f>W$6</f>
        <v>43252</v>
      </c>
      <c r="X323" s="2641">
        <f t="shared" ref="X323:AG323" si="37">X$6</f>
        <v>43465</v>
      </c>
      <c r="Y323" s="2642">
        <f t="shared" si="37"/>
        <v>43800</v>
      </c>
      <c r="Z323" s="2641">
        <f t="shared" si="37"/>
        <v>43862</v>
      </c>
      <c r="AA323" s="2641">
        <f t="shared" si="37"/>
        <v>44013</v>
      </c>
      <c r="AB323" s="2641">
        <f t="shared" si="37"/>
        <v>44166</v>
      </c>
      <c r="AC323" s="2641">
        <f t="shared" si="37"/>
        <v>44531</v>
      </c>
      <c r="AD323" s="2641">
        <f t="shared" si="37"/>
        <v>44774</v>
      </c>
      <c r="AE323" s="2641">
        <f t="shared" si="37"/>
        <v>45139</v>
      </c>
      <c r="AF323" s="2641">
        <f t="shared" si="37"/>
        <v>45672</v>
      </c>
      <c r="AG323" s="2641" t="str">
        <f t="shared" si="37"/>
        <v>-</v>
      </c>
      <c r="AH323" s="2229"/>
      <c r="AI323" s="2229"/>
      <c r="AK323" s="358"/>
      <c r="DG323" s="540"/>
      <c r="DH323" s="283"/>
      <c r="DI323" s="283"/>
      <c r="DJ323" s="1187"/>
    </row>
    <row r="324" spans="1:114" s="273" customFormat="1" ht="30" hidden="1" customHeight="1" outlineLevel="1">
      <c r="A324" s="533"/>
      <c r="B324" s="2086"/>
      <c r="C324" s="2703"/>
      <c r="D324" s="2310" t="s">
        <v>1325</v>
      </c>
      <c r="E324" s="2310" t="s">
        <v>1326</v>
      </c>
      <c r="F324" s="2460"/>
      <c r="G324" s="2355">
        <v>0.42</v>
      </c>
      <c r="H324" s="4062" t="s">
        <v>1327</v>
      </c>
      <c r="I324" s="4062"/>
      <c r="J324" s="4063" t="s">
        <v>1328</v>
      </c>
      <c r="K324" s="4064"/>
      <c r="L324" s="4065"/>
      <c r="M324" s="2696"/>
      <c r="N324" s="2696"/>
      <c r="O324" s="2696"/>
      <c r="P324" s="2696"/>
      <c r="Q324" s="2696"/>
      <c r="R324" s="2696"/>
      <c r="S324" s="366"/>
      <c r="T324" s="283"/>
      <c r="U324" s="283"/>
      <c r="V324" s="2734" t="s">
        <v>1325</v>
      </c>
      <c r="W324" s="3188"/>
      <c r="X324" s="3188"/>
      <c r="Y324" s="3188"/>
      <c r="Z324" s="2850"/>
      <c r="AA324" s="2850"/>
      <c r="AB324" s="2850"/>
      <c r="AC324" s="2850"/>
      <c r="AD324" s="2849">
        <v>0.42</v>
      </c>
      <c r="AE324" s="2850">
        <v>0.42</v>
      </c>
      <c r="AF324" s="2236">
        <f t="shared" ref="AF324:AF345" si="38">IF(G324&lt;&gt;"",G324,"")</f>
        <v>0.42</v>
      </c>
      <c r="AG324" s="2850"/>
      <c r="AH324" s="2229"/>
      <c r="AI324" s="2229"/>
      <c r="AK324" s="358"/>
      <c r="DG324" s="540"/>
      <c r="DH324" s="283"/>
      <c r="DI324" s="283"/>
      <c r="DJ324" s="1187"/>
    </row>
    <row r="325" spans="1:114" s="273" customFormat="1" ht="51.75" hidden="1" customHeight="1" outlineLevel="1">
      <c r="A325" s="533"/>
      <c r="B325" s="2086"/>
      <c r="C325" s="2703"/>
      <c r="D325" s="2310" t="s">
        <v>1329</v>
      </c>
      <c r="E325" s="2310" t="s">
        <v>1330</v>
      </c>
      <c r="F325" s="2460"/>
      <c r="G325" s="2316">
        <v>2.35</v>
      </c>
      <c r="H325" s="4062" t="s">
        <v>1331</v>
      </c>
      <c r="I325" s="4062"/>
      <c r="J325" s="4043" t="s">
        <v>1332</v>
      </c>
      <c r="K325" s="4043"/>
      <c r="L325" s="4043"/>
      <c r="M325" s="2696"/>
      <c r="N325" s="2696"/>
      <c r="O325" s="2696"/>
      <c r="P325" s="2696"/>
      <c r="Q325" s="2696"/>
      <c r="R325" s="2696"/>
      <c r="S325" s="1404"/>
      <c r="T325" s="283"/>
      <c r="U325" s="283"/>
      <c r="V325" s="2734" t="str">
        <f>D325</f>
        <v>GPM_base</v>
      </c>
      <c r="W325" s="2854"/>
      <c r="X325" s="2459"/>
      <c r="Y325" s="3189"/>
      <c r="Z325" s="3190"/>
      <c r="AA325" s="3190"/>
      <c r="AB325" s="3190"/>
      <c r="AC325" s="3190"/>
      <c r="AD325" s="2235">
        <v>2.35</v>
      </c>
      <c r="AE325" s="2456">
        <v>2.35</v>
      </c>
      <c r="AF325" s="2236">
        <f t="shared" si="38"/>
        <v>2.35</v>
      </c>
      <c r="AG325" s="2460"/>
      <c r="AH325" s="2229"/>
      <c r="AI325" s="2229"/>
      <c r="AK325" s="358"/>
      <c r="DG325" s="540"/>
      <c r="DH325" s="283"/>
      <c r="DI325" s="283"/>
      <c r="DJ325" s="1187"/>
    </row>
    <row r="326" spans="1:114" s="273" customFormat="1" ht="75" hidden="1" customHeight="1" outlineLevel="1">
      <c r="A326" s="533"/>
      <c r="B326" s="2086"/>
      <c r="C326" s="2703"/>
      <c r="D326" s="2310" t="s">
        <v>1333</v>
      </c>
      <c r="E326" s="2306" t="s">
        <v>1334</v>
      </c>
      <c r="F326" s="2460"/>
      <c r="G326" s="3177">
        <v>7.8</v>
      </c>
      <c r="H326" s="4044" t="s">
        <v>1335</v>
      </c>
      <c r="I326" s="4044"/>
      <c r="J326" s="4043" t="s">
        <v>1336</v>
      </c>
      <c r="K326" s="4043"/>
      <c r="L326" s="4043"/>
      <c r="M326" s="2696"/>
      <c r="N326" s="2696"/>
      <c r="O326" s="2696"/>
      <c r="P326" s="2696"/>
      <c r="Q326" s="2696"/>
      <c r="R326" s="2696"/>
      <c r="S326" s="370"/>
      <c r="T326" s="283"/>
      <c r="U326" s="283"/>
      <c r="V326" s="2734" t="str">
        <f>D326</f>
        <v>L_base</v>
      </c>
      <c r="W326" s="3191"/>
      <c r="X326" s="3191"/>
      <c r="Y326" s="3191"/>
      <c r="Z326" s="3187"/>
      <c r="AA326" s="3187"/>
      <c r="AB326" s="3187"/>
      <c r="AC326" s="3187"/>
      <c r="AD326" s="3170">
        <v>7.8</v>
      </c>
      <c r="AE326" s="3187">
        <v>7.8</v>
      </c>
      <c r="AF326" s="2236">
        <f t="shared" si="38"/>
        <v>7.8</v>
      </c>
      <c r="AG326" s="3187"/>
      <c r="AH326" s="2229"/>
      <c r="AI326" s="2229"/>
      <c r="AK326" s="358"/>
      <c r="DG326" s="540"/>
      <c r="DH326" s="283"/>
      <c r="DI326" s="283"/>
      <c r="DJ326" s="1187"/>
    </row>
    <row r="327" spans="1:114" s="273" customFormat="1" ht="45" hidden="1" customHeight="1" outlineLevel="1">
      <c r="A327" s="533"/>
      <c r="B327" s="2086"/>
      <c r="C327" s="2703"/>
      <c r="D327" s="2310" t="s">
        <v>1337</v>
      </c>
      <c r="E327" s="2310" t="s">
        <v>1338</v>
      </c>
      <c r="F327" s="2460"/>
      <c r="G327" s="3178">
        <v>1.5</v>
      </c>
      <c r="H327" s="4062" t="s">
        <v>1331</v>
      </c>
      <c r="I327" s="4062"/>
      <c r="J327" s="4043" t="s">
        <v>1339</v>
      </c>
      <c r="K327" s="4043"/>
      <c r="L327" s="4043"/>
      <c r="M327" s="2696"/>
      <c r="N327" s="2696"/>
      <c r="O327" s="2696"/>
      <c r="P327" s="2696"/>
      <c r="Q327" s="2696"/>
      <c r="R327" s="2696"/>
      <c r="S327" s="1404"/>
      <c r="T327" s="283"/>
      <c r="U327" s="283"/>
      <c r="V327" s="2734" t="str">
        <f>D327</f>
        <v>GPM_low</v>
      </c>
      <c r="W327" s="2854"/>
      <c r="X327" s="2459"/>
      <c r="Y327" s="2459"/>
      <c r="Z327" s="2460"/>
      <c r="AA327" s="2460"/>
      <c r="AB327" s="2460"/>
      <c r="AC327" s="2460"/>
      <c r="AD327" s="2459">
        <v>1.5</v>
      </c>
      <c r="AE327" s="2460">
        <v>1.5</v>
      </c>
      <c r="AF327" s="2236">
        <f t="shared" si="38"/>
        <v>1.5</v>
      </c>
      <c r="AG327" s="2460"/>
      <c r="AH327" s="2229"/>
      <c r="AI327" s="2229"/>
      <c r="AK327" s="358"/>
      <c r="DG327" s="540"/>
      <c r="DH327" s="283"/>
      <c r="DI327" s="283"/>
      <c r="DJ327" s="1187"/>
    </row>
    <row r="328" spans="1:114" s="273" customFormat="1" ht="15" hidden="1" customHeight="1" outlineLevel="1">
      <c r="A328" s="533"/>
      <c r="B328" s="2086"/>
      <c r="C328" s="2703"/>
      <c r="D328" s="2310" t="s">
        <v>1340</v>
      </c>
      <c r="E328" s="2306" t="s">
        <v>1334</v>
      </c>
      <c r="F328" s="2460"/>
      <c r="G328" s="3177">
        <v>7.8</v>
      </c>
      <c r="H328" s="4044" t="s">
        <v>1335</v>
      </c>
      <c r="I328" s="4044"/>
      <c r="J328" s="4043" t="s">
        <v>1336</v>
      </c>
      <c r="K328" s="4043"/>
      <c r="L328" s="4043"/>
      <c r="M328" s="2696"/>
      <c r="N328" s="2696"/>
      <c r="O328" s="2696"/>
      <c r="P328" s="2696"/>
      <c r="Q328" s="2696"/>
      <c r="R328" s="2696"/>
      <c r="S328" s="370"/>
      <c r="T328" s="283"/>
      <c r="U328" s="283"/>
      <c r="V328" s="2734" t="str">
        <f>D328</f>
        <v>L_low</v>
      </c>
      <c r="W328" s="3191"/>
      <c r="X328" s="3191"/>
      <c r="Y328" s="3191"/>
      <c r="Z328" s="3187"/>
      <c r="AA328" s="3187"/>
      <c r="AB328" s="3187"/>
      <c r="AC328" s="3187"/>
      <c r="AD328" s="3170">
        <v>7.8</v>
      </c>
      <c r="AE328" s="3187">
        <v>7.8</v>
      </c>
      <c r="AF328" s="2236">
        <f t="shared" si="38"/>
        <v>7.8</v>
      </c>
      <c r="AG328" s="3187"/>
      <c r="AH328" s="2229"/>
      <c r="AI328" s="2229"/>
      <c r="AK328" s="358"/>
      <c r="DG328" s="540"/>
      <c r="DH328" s="283"/>
      <c r="DI328" s="283"/>
      <c r="DJ328" s="1187"/>
    </row>
    <row r="329" spans="1:114" s="273" customFormat="1" ht="15" hidden="1" customHeight="1" outlineLevel="1">
      <c r="A329" s="533"/>
      <c r="B329" s="2086"/>
      <c r="C329" s="2703"/>
      <c r="D329" s="4046" t="s">
        <v>982</v>
      </c>
      <c r="E329" s="4048" t="s">
        <v>1341</v>
      </c>
      <c r="F329" s="2460" t="s">
        <v>170</v>
      </c>
      <c r="G329" s="3177">
        <v>2.67</v>
      </c>
      <c r="H329" s="4021" t="s">
        <v>1342</v>
      </c>
      <c r="I329" s="4021"/>
      <c r="J329" s="4043" t="s">
        <v>1343</v>
      </c>
      <c r="K329" s="4043"/>
      <c r="L329" s="4043"/>
      <c r="M329" s="2696"/>
      <c r="N329" s="2696"/>
      <c r="O329" s="2696"/>
      <c r="P329" s="2696"/>
      <c r="Q329" s="2696"/>
      <c r="R329" s="2696"/>
      <c r="S329" s="370"/>
      <c r="T329" s="283"/>
      <c r="U329" s="283"/>
      <c r="V329" s="4056" t="str">
        <f>D329</f>
        <v>Household</v>
      </c>
      <c r="W329" s="3191"/>
      <c r="X329" s="3191"/>
      <c r="Y329" s="3191"/>
      <c r="Z329" s="3187"/>
      <c r="AA329" s="3187"/>
      <c r="AB329" s="3187"/>
      <c r="AC329" s="3187"/>
      <c r="AD329" s="3170">
        <v>2.67</v>
      </c>
      <c r="AE329" s="3187">
        <v>2.67</v>
      </c>
      <c r="AF329" s="2236">
        <f t="shared" si="38"/>
        <v>2.67</v>
      </c>
      <c r="AG329" s="3187"/>
      <c r="AH329" s="2229"/>
      <c r="AI329" s="2229"/>
      <c r="AK329" s="358"/>
      <c r="DG329" s="540"/>
      <c r="DH329" s="283"/>
      <c r="DI329" s="283"/>
      <c r="DJ329" s="1187"/>
    </row>
    <row r="330" spans="1:114" s="273" customFormat="1" ht="15" hidden="1" customHeight="1" outlineLevel="1">
      <c r="A330" s="533"/>
      <c r="B330" s="2086"/>
      <c r="C330" s="2703"/>
      <c r="D330" s="4047"/>
      <c r="E330" s="4049"/>
      <c r="F330" s="2460" t="s">
        <v>1122</v>
      </c>
      <c r="G330" s="3177">
        <v>2.0699999999999998</v>
      </c>
      <c r="H330" s="4021" t="s">
        <v>1344</v>
      </c>
      <c r="I330" s="4021"/>
      <c r="J330" s="4022" t="s">
        <v>1345</v>
      </c>
      <c r="K330" s="4022"/>
      <c r="L330" s="4022"/>
      <c r="M330" s="2696"/>
      <c r="N330" s="2696"/>
      <c r="O330" s="2696"/>
      <c r="P330" s="2696"/>
      <c r="Q330" s="2696"/>
      <c r="R330" s="2696"/>
      <c r="S330" s="370"/>
      <c r="T330" s="283"/>
      <c r="U330" s="283"/>
      <c r="V330" s="4057"/>
      <c r="W330" s="3191"/>
      <c r="X330" s="3170"/>
      <c r="Y330" s="3170"/>
      <c r="Z330" s="3187"/>
      <c r="AA330" s="3187"/>
      <c r="AB330" s="3187"/>
      <c r="AC330" s="3187"/>
      <c r="AD330" s="3170">
        <v>2.0699999999999998</v>
      </c>
      <c r="AE330" s="3187">
        <v>2.0699999999999998</v>
      </c>
      <c r="AF330" s="2236">
        <f t="shared" si="38"/>
        <v>2.0699999999999998</v>
      </c>
      <c r="AG330" s="3187"/>
      <c r="AH330" s="2229"/>
      <c r="AI330" s="2229"/>
      <c r="AK330" s="358"/>
      <c r="DG330" s="540"/>
      <c r="DH330" s="283"/>
      <c r="DI330" s="283"/>
      <c r="DJ330" s="1187"/>
    </row>
    <row r="331" spans="1:114" s="273" customFormat="1" ht="15" hidden="1" customHeight="1" outlineLevel="1">
      <c r="A331" s="533"/>
      <c r="B331" s="2086"/>
      <c r="C331" s="2703"/>
      <c r="D331" s="2310" t="s">
        <v>1346</v>
      </c>
      <c r="E331" s="2306" t="s">
        <v>1347</v>
      </c>
      <c r="F331" s="2460"/>
      <c r="G331" s="3177">
        <v>0.66</v>
      </c>
      <c r="H331" s="4044" t="s">
        <v>1348</v>
      </c>
      <c r="I331" s="4044"/>
      <c r="J331" s="4043"/>
      <c r="K331" s="4043"/>
      <c r="L331" s="4043"/>
      <c r="M331" s="2696"/>
      <c r="N331" s="2696"/>
      <c r="O331" s="2696"/>
      <c r="P331" s="2696"/>
      <c r="Q331" s="2696"/>
      <c r="R331" s="2696"/>
      <c r="S331" s="370"/>
      <c r="T331" s="283"/>
      <c r="U331" s="283"/>
      <c r="V331" s="2734" t="str">
        <f>D331</f>
        <v>SPDC</v>
      </c>
      <c r="W331" s="3191"/>
      <c r="X331" s="3191"/>
      <c r="Y331" s="3191"/>
      <c r="Z331" s="3187"/>
      <c r="AA331" s="3187"/>
      <c r="AB331" s="3187"/>
      <c r="AC331" s="3187"/>
      <c r="AD331" s="3170">
        <v>0.66</v>
      </c>
      <c r="AE331" s="3187">
        <v>0.66</v>
      </c>
      <c r="AF331" s="2236">
        <f t="shared" si="38"/>
        <v>0.66</v>
      </c>
      <c r="AG331" s="3187"/>
      <c r="AH331" s="2229"/>
      <c r="AI331" s="2229"/>
      <c r="AK331" s="358"/>
      <c r="DG331" s="540"/>
      <c r="DH331" s="283"/>
      <c r="DI331" s="283"/>
      <c r="DJ331" s="1187"/>
    </row>
    <row r="332" spans="1:114" s="273" customFormat="1" ht="15" hidden="1" customHeight="1" outlineLevel="1">
      <c r="A332" s="533"/>
      <c r="B332" s="2086"/>
      <c r="C332" s="2703"/>
      <c r="D332" s="2310">
        <v>365.25</v>
      </c>
      <c r="E332" s="2306" t="s">
        <v>1349</v>
      </c>
      <c r="F332" s="2460"/>
      <c r="G332" s="3177">
        <v>365.25</v>
      </c>
      <c r="H332" s="4045" t="s">
        <v>1350</v>
      </c>
      <c r="I332" s="4045"/>
      <c r="J332" s="4043"/>
      <c r="K332" s="4043"/>
      <c r="L332" s="4043"/>
      <c r="M332" s="2696"/>
      <c r="N332" s="2696"/>
      <c r="O332" s="2696"/>
      <c r="P332" s="2696"/>
      <c r="Q332" s="2696"/>
      <c r="R332" s="2696"/>
      <c r="S332" s="370"/>
      <c r="T332" s="283"/>
      <c r="U332" s="283"/>
      <c r="V332" s="2734">
        <f>D332</f>
        <v>365.25</v>
      </c>
      <c r="W332" s="3191"/>
      <c r="X332" s="3191"/>
      <c r="Y332" s="3191"/>
      <c r="Z332" s="3187"/>
      <c r="AA332" s="3187"/>
      <c r="AB332" s="3187"/>
      <c r="AC332" s="3170"/>
      <c r="AD332" s="3170">
        <v>365.25</v>
      </c>
      <c r="AE332" s="3187">
        <v>365.25</v>
      </c>
      <c r="AF332" s="2236">
        <f t="shared" si="38"/>
        <v>365.25</v>
      </c>
      <c r="AG332" s="3187"/>
      <c r="AH332" s="2229"/>
      <c r="AI332" s="2229"/>
      <c r="AK332" s="358"/>
      <c r="DG332" s="540"/>
      <c r="DH332" s="283"/>
      <c r="DI332" s="283"/>
      <c r="DJ332" s="1187"/>
    </row>
    <row r="333" spans="1:114" s="273" customFormat="1" ht="15" hidden="1" customHeight="1" outlineLevel="1">
      <c r="A333" s="533"/>
      <c r="B333" s="2086"/>
      <c r="C333" s="2703"/>
      <c r="D333" s="4046" t="s">
        <v>1351</v>
      </c>
      <c r="E333" s="4048" t="s">
        <v>1352</v>
      </c>
      <c r="F333" s="2460" t="s">
        <v>170</v>
      </c>
      <c r="G333" s="3177">
        <v>2.0499999999999998</v>
      </c>
      <c r="H333" s="4021" t="s">
        <v>1353</v>
      </c>
      <c r="I333" s="4021"/>
      <c r="J333" s="4022" t="s">
        <v>1343</v>
      </c>
      <c r="K333" s="4022"/>
      <c r="L333" s="4022"/>
      <c r="M333" s="2696"/>
      <c r="N333" s="2696"/>
      <c r="O333" s="2696"/>
      <c r="P333" s="2696"/>
      <c r="Q333" s="2696"/>
      <c r="R333" s="2696"/>
      <c r="S333" s="370"/>
      <c r="T333" s="283"/>
      <c r="U333" s="283"/>
      <c r="V333" s="4056" t="str">
        <f>D333</f>
        <v>SPH</v>
      </c>
      <c r="W333" s="3191"/>
      <c r="X333" s="3191"/>
      <c r="Y333" s="3191"/>
      <c r="Z333" s="3187"/>
      <c r="AA333" s="3187"/>
      <c r="AB333" s="3187"/>
      <c r="AC333" s="3187"/>
      <c r="AD333" s="3170">
        <v>2.0499999999999998</v>
      </c>
      <c r="AE333" s="3187">
        <v>2.0499999999999998</v>
      </c>
      <c r="AF333" s="2236">
        <f t="shared" si="38"/>
        <v>2.0499999999999998</v>
      </c>
      <c r="AG333" s="3187"/>
      <c r="AH333" s="2229"/>
      <c r="AI333" s="2229"/>
      <c r="AK333" s="358"/>
      <c r="DG333" s="540"/>
      <c r="DH333" s="283"/>
      <c r="DI333" s="283"/>
      <c r="DJ333" s="1187"/>
    </row>
    <row r="334" spans="1:114" s="273" customFormat="1" ht="15" hidden="1" customHeight="1" outlineLevel="1">
      <c r="A334" s="533"/>
      <c r="B334" s="2086"/>
      <c r="C334" s="2703"/>
      <c r="D334" s="4047"/>
      <c r="E334" s="4049"/>
      <c r="F334" s="2460" t="s">
        <v>1122</v>
      </c>
      <c r="G334" s="3177">
        <v>1.4</v>
      </c>
      <c r="H334" s="4021" t="s">
        <v>1354</v>
      </c>
      <c r="I334" s="4021"/>
      <c r="J334" s="4022" t="s">
        <v>1345</v>
      </c>
      <c r="K334" s="4022"/>
      <c r="L334" s="4022"/>
      <c r="M334" s="2696"/>
      <c r="N334" s="2696"/>
      <c r="O334" s="2696"/>
      <c r="P334" s="2696"/>
      <c r="Q334" s="2696"/>
      <c r="R334" s="2696"/>
      <c r="S334" s="370"/>
      <c r="T334" s="283"/>
      <c r="U334" s="283"/>
      <c r="V334" s="4057"/>
      <c r="W334" s="3191"/>
      <c r="X334" s="3170"/>
      <c r="Y334" s="3170"/>
      <c r="Z334" s="3187"/>
      <c r="AA334" s="3187"/>
      <c r="AB334" s="3187"/>
      <c r="AC334" s="3187"/>
      <c r="AD334" s="3170">
        <v>1.4</v>
      </c>
      <c r="AE334" s="3187">
        <v>1.4</v>
      </c>
      <c r="AF334" s="2236">
        <f t="shared" si="38"/>
        <v>1.4</v>
      </c>
      <c r="AG334" s="3187"/>
      <c r="AH334" s="2229"/>
      <c r="AI334" s="2229"/>
      <c r="AK334" s="358"/>
      <c r="DG334" s="540"/>
      <c r="DH334" s="283"/>
      <c r="DI334" s="283"/>
      <c r="DJ334" s="1187"/>
    </row>
    <row r="335" spans="1:114" s="273" customFormat="1" ht="15" hidden="1" customHeight="1" outlineLevel="1">
      <c r="A335" s="533"/>
      <c r="B335" s="2086"/>
      <c r="C335" s="2703"/>
      <c r="D335" s="2310">
        <v>8.33</v>
      </c>
      <c r="E335" s="2306" t="s">
        <v>1355</v>
      </c>
      <c r="F335" s="2460"/>
      <c r="G335" s="3177">
        <v>8.33</v>
      </c>
      <c r="H335" s="4035" t="s">
        <v>1356</v>
      </c>
      <c r="I335" s="4035"/>
      <c r="J335" s="4043"/>
      <c r="K335" s="4043"/>
      <c r="L335" s="4043"/>
      <c r="M335" s="2696"/>
      <c r="N335" s="2696"/>
      <c r="O335" s="2696"/>
      <c r="P335" s="2696"/>
      <c r="Q335" s="2696"/>
      <c r="R335" s="2696"/>
      <c r="S335" s="370"/>
      <c r="T335" s="283"/>
      <c r="U335" s="283"/>
      <c r="V335" s="2734">
        <f>D335</f>
        <v>8.33</v>
      </c>
      <c r="W335" s="3191"/>
      <c r="X335" s="3191"/>
      <c r="Y335" s="3191"/>
      <c r="Z335" s="3187"/>
      <c r="AA335" s="3187"/>
      <c r="AB335" s="3187"/>
      <c r="AC335" s="3187"/>
      <c r="AD335" s="3170">
        <v>8.33</v>
      </c>
      <c r="AE335" s="3187">
        <v>8.33</v>
      </c>
      <c r="AF335" s="2236">
        <f t="shared" si="38"/>
        <v>8.33</v>
      </c>
      <c r="AG335" s="3187"/>
      <c r="AH335" s="2229"/>
      <c r="AI335" s="2229"/>
      <c r="AK335" s="358"/>
      <c r="DG335" s="540"/>
      <c r="DH335" s="283"/>
      <c r="DI335" s="283"/>
      <c r="DJ335" s="1187"/>
    </row>
    <row r="336" spans="1:114" s="273" customFormat="1" ht="15" hidden="1" customHeight="1" outlineLevel="1">
      <c r="A336" s="533"/>
      <c r="B336" s="2086"/>
      <c r="C336" s="2703"/>
      <c r="D336" s="2310">
        <v>1</v>
      </c>
      <c r="E336" s="2306" t="s">
        <v>1357</v>
      </c>
      <c r="F336" s="2460"/>
      <c r="G336" s="3177">
        <v>1</v>
      </c>
      <c r="H336" s="4045" t="s">
        <v>1358</v>
      </c>
      <c r="I336" s="4045"/>
      <c r="J336" s="4043"/>
      <c r="K336" s="4043"/>
      <c r="L336" s="4043"/>
      <c r="M336" s="2696"/>
      <c r="N336" s="2696"/>
      <c r="O336" s="2696"/>
      <c r="P336" s="2696"/>
      <c r="Q336" s="2696"/>
      <c r="R336" s="2696"/>
      <c r="S336" s="370"/>
      <c r="T336" s="283"/>
      <c r="U336" s="283"/>
      <c r="V336" s="2734">
        <f t="shared" ref="V336:V341" si="39">D336</f>
        <v>1</v>
      </c>
      <c r="W336" s="3191"/>
      <c r="X336" s="3191"/>
      <c r="Y336" s="3191"/>
      <c r="Z336" s="3187"/>
      <c r="AA336" s="3187"/>
      <c r="AB336" s="3187"/>
      <c r="AC336" s="3187"/>
      <c r="AD336" s="3170">
        <v>1</v>
      </c>
      <c r="AE336" s="3187">
        <v>1</v>
      </c>
      <c r="AF336" s="2236">
        <f t="shared" si="38"/>
        <v>1</v>
      </c>
      <c r="AG336" s="3187"/>
      <c r="AH336" s="2229"/>
      <c r="AI336" s="2229"/>
      <c r="AK336" s="358"/>
      <c r="DG336" s="540"/>
      <c r="DH336" s="283"/>
      <c r="DI336" s="283"/>
      <c r="DJ336" s="1187"/>
    </row>
    <row r="337" spans="1:114" s="273" customFormat="1" ht="15" hidden="1" customHeight="1" outlineLevel="1">
      <c r="A337" s="533"/>
      <c r="B337" s="2086"/>
      <c r="C337" s="2703"/>
      <c r="D337" s="2310" t="s">
        <v>1359</v>
      </c>
      <c r="E337" s="2306" t="s">
        <v>1360</v>
      </c>
      <c r="F337" s="2460"/>
      <c r="G337" s="3177">
        <v>105</v>
      </c>
      <c r="H337" s="4021" t="s">
        <v>1361</v>
      </c>
      <c r="I337" s="4021"/>
      <c r="J337" s="4043"/>
      <c r="K337" s="4043"/>
      <c r="L337" s="4043"/>
      <c r="M337" s="2696"/>
      <c r="N337" s="2696"/>
      <c r="O337" s="2696"/>
      <c r="P337" s="2696"/>
      <c r="Q337" s="2696"/>
      <c r="R337" s="2696"/>
      <c r="S337" s="370"/>
      <c r="T337" s="283"/>
      <c r="U337" s="283"/>
      <c r="V337" s="2734" t="str">
        <f t="shared" si="39"/>
        <v>ShowerTemp</v>
      </c>
      <c r="W337" s="3191"/>
      <c r="X337" s="3191"/>
      <c r="Y337" s="3191"/>
      <c r="Z337" s="3187"/>
      <c r="AA337" s="3187"/>
      <c r="AB337" s="3187"/>
      <c r="AC337" s="3187"/>
      <c r="AD337" s="3170">
        <v>105</v>
      </c>
      <c r="AE337" s="3187">
        <v>105</v>
      </c>
      <c r="AF337" s="2236">
        <f t="shared" si="38"/>
        <v>105</v>
      </c>
      <c r="AG337" s="3187"/>
      <c r="AH337" s="2229"/>
      <c r="AI337" s="2229"/>
      <c r="AK337" s="358"/>
      <c r="DG337" s="540"/>
      <c r="DH337" s="283"/>
      <c r="DI337" s="283"/>
      <c r="DJ337" s="1187"/>
    </row>
    <row r="338" spans="1:114" s="273" customFormat="1" ht="15" hidden="1" customHeight="1" outlineLevel="1">
      <c r="A338" s="533"/>
      <c r="B338" s="2086"/>
      <c r="C338" s="2703"/>
      <c r="D338" s="2310" t="s">
        <v>1362</v>
      </c>
      <c r="E338" s="2306" t="s">
        <v>1363</v>
      </c>
      <c r="F338" s="2460"/>
      <c r="G338" s="2353">
        <v>58.4</v>
      </c>
      <c r="H338" s="4022" t="s">
        <v>996</v>
      </c>
      <c r="I338" s="4022"/>
      <c r="J338" s="4058" t="s">
        <v>1364</v>
      </c>
      <c r="K338" s="4022"/>
      <c r="L338" s="4022"/>
      <c r="M338" s="2696"/>
      <c r="N338" s="2696"/>
      <c r="O338" s="2696"/>
      <c r="P338" s="2696"/>
      <c r="Q338" s="2696"/>
      <c r="R338" s="2696"/>
      <c r="S338" s="370"/>
      <c r="T338" s="283"/>
      <c r="U338" s="283"/>
      <c r="V338" s="2734" t="str">
        <f t="shared" si="39"/>
        <v>SupplyTemp</v>
      </c>
      <c r="W338" s="3191"/>
      <c r="X338" s="3191"/>
      <c r="Y338" s="3191"/>
      <c r="Z338" s="3187"/>
      <c r="AA338" s="3187"/>
      <c r="AB338" s="3187"/>
      <c r="AC338" s="3187"/>
      <c r="AD338" s="3170">
        <v>61.3</v>
      </c>
      <c r="AE338" s="3187">
        <v>61.3</v>
      </c>
      <c r="AF338" s="2236">
        <f t="shared" si="38"/>
        <v>58.4</v>
      </c>
      <c r="AG338" s="3187"/>
      <c r="AH338" s="2229"/>
      <c r="AI338" s="2229"/>
      <c r="AK338" s="358"/>
      <c r="DG338" s="540"/>
      <c r="DH338" s="283"/>
      <c r="DI338" s="283"/>
      <c r="DJ338" s="1187"/>
    </row>
    <row r="339" spans="1:114" s="273" customFormat="1" ht="15" hidden="1" customHeight="1" outlineLevel="1">
      <c r="A339" s="533"/>
      <c r="B339" s="2086"/>
      <c r="C339" s="2703"/>
      <c r="D339" s="2310" t="s">
        <v>1365</v>
      </c>
      <c r="E339" s="2306" t="s">
        <v>1366</v>
      </c>
      <c r="F339" s="2460"/>
      <c r="G339" s="3177">
        <v>0.98</v>
      </c>
      <c r="H339" s="4044" t="s">
        <v>1367</v>
      </c>
      <c r="I339" s="4044"/>
      <c r="J339" s="4043"/>
      <c r="K339" s="4043"/>
      <c r="L339" s="4043"/>
      <c r="M339" s="2696"/>
      <c r="N339" s="2696"/>
      <c r="O339" s="2696"/>
      <c r="P339" s="2696"/>
      <c r="Q339" s="2696"/>
      <c r="R339" s="2696"/>
      <c r="S339" s="370"/>
      <c r="T339" s="283"/>
      <c r="U339" s="283"/>
      <c r="V339" s="2734" t="str">
        <f t="shared" si="39"/>
        <v>RE_electric</v>
      </c>
      <c r="W339" s="3191"/>
      <c r="X339" s="3191"/>
      <c r="Y339" s="3191"/>
      <c r="Z339" s="3187"/>
      <c r="AA339" s="3187"/>
      <c r="AB339" s="3187"/>
      <c r="AC339" s="3187"/>
      <c r="AD339" s="3170">
        <v>0.98</v>
      </c>
      <c r="AE339" s="3187">
        <v>0.98</v>
      </c>
      <c r="AF339" s="2236">
        <f t="shared" si="38"/>
        <v>0.98</v>
      </c>
      <c r="AG339" s="3187"/>
      <c r="AH339" s="2229"/>
      <c r="AI339" s="2229"/>
      <c r="AK339" s="358"/>
      <c r="DG339" s="540"/>
      <c r="DH339" s="283"/>
      <c r="DI339" s="283"/>
      <c r="DJ339" s="1187"/>
    </row>
    <row r="340" spans="1:114" s="273" customFormat="1" ht="15" hidden="1" customHeight="1" outlineLevel="1">
      <c r="A340" s="533"/>
      <c r="B340" s="2086"/>
      <c r="C340" s="2703"/>
      <c r="D340" s="2310">
        <v>3412</v>
      </c>
      <c r="E340" s="2306">
        <v>3412</v>
      </c>
      <c r="F340" s="2460"/>
      <c r="G340" s="2974">
        <v>3412</v>
      </c>
      <c r="H340" s="4035" t="s">
        <v>1000</v>
      </c>
      <c r="I340" s="4035"/>
      <c r="J340" s="4043"/>
      <c r="K340" s="4043"/>
      <c r="L340" s="4043"/>
      <c r="M340" s="2696"/>
      <c r="N340" s="2696"/>
      <c r="O340" s="2696"/>
      <c r="P340" s="2696"/>
      <c r="Q340" s="2696"/>
      <c r="R340" s="2696"/>
      <c r="S340" s="372"/>
      <c r="T340" s="283"/>
      <c r="U340" s="283"/>
      <c r="V340" s="2734">
        <f t="shared" si="39"/>
        <v>3412</v>
      </c>
      <c r="W340" s="3192"/>
      <c r="X340" s="3192"/>
      <c r="Y340" s="3192"/>
      <c r="Z340" s="3193"/>
      <c r="AA340" s="3193"/>
      <c r="AB340" s="3193"/>
      <c r="AC340" s="3193"/>
      <c r="AD340" s="3194">
        <v>3412</v>
      </c>
      <c r="AE340" s="3193">
        <v>3412</v>
      </c>
      <c r="AF340" s="2236">
        <f t="shared" si="38"/>
        <v>3412</v>
      </c>
      <c r="AG340" s="3193"/>
      <c r="AH340" s="2229"/>
      <c r="AI340" s="2229"/>
      <c r="AK340" s="358"/>
      <c r="DG340" s="540"/>
      <c r="DH340" s="283"/>
      <c r="DI340" s="283"/>
      <c r="DJ340" s="1187"/>
    </row>
    <row r="341" spans="1:114" s="273" customFormat="1" ht="15" hidden="1" customHeight="1" outlineLevel="1">
      <c r="A341" s="533"/>
      <c r="B341" s="2086"/>
      <c r="C341" s="3121"/>
      <c r="D341" s="2310" t="s">
        <v>1368</v>
      </c>
      <c r="E341" s="2310" t="s">
        <v>1369</v>
      </c>
      <c r="F341" s="2460"/>
      <c r="G341" s="2354">
        <v>1</v>
      </c>
      <c r="H341" s="4035" t="s">
        <v>1370</v>
      </c>
      <c r="I341" s="4035"/>
      <c r="J341" s="4036" t="s">
        <v>1339</v>
      </c>
      <c r="K341" s="4037"/>
      <c r="L341" s="4038"/>
      <c r="M341" s="2696"/>
      <c r="N341" s="2696"/>
      <c r="O341" s="2696"/>
      <c r="P341" s="2696"/>
      <c r="Q341" s="2696"/>
      <c r="R341" s="2696"/>
      <c r="S341" s="366"/>
      <c r="T341" s="283"/>
      <c r="U341" s="283"/>
      <c r="V341" s="2734" t="str">
        <f t="shared" si="39"/>
        <v>Utility Adjustment</v>
      </c>
      <c r="W341" s="3188"/>
      <c r="X341" s="3188"/>
      <c r="Y341" s="3188"/>
      <c r="Z341" s="2850"/>
      <c r="AA341" s="2850"/>
      <c r="AB341" s="2850"/>
      <c r="AC341" s="2850"/>
      <c r="AD341" s="2849">
        <v>1</v>
      </c>
      <c r="AE341" s="2850">
        <v>1</v>
      </c>
      <c r="AF341" s="2236">
        <f t="shared" si="38"/>
        <v>1</v>
      </c>
      <c r="AG341" s="2850"/>
      <c r="AH341" s="2229"/>
      <c r="AI341" s="2229"/>
      <c r="AK341" s="358"/>
      <c r="DG341" s="540"/>
      <c r="DH341" s="283"/>
      <c r="DI341" s="283"/>
      <c r="DJ341" s="1187"/>
    </row>
    <row r="342" spans="1:114" s="273" customFormat="1" ht="28.9" hidden="1" customHeight="1" outlineLevel="1">
      <c r="A342" s="533"/>
      <c r="B342" s="2086"/>
      <c r="C342" s="3121"/>
      <c r="D342" s="4045" t="s">
        <v>128</v>
      </c>
      <c r="E342" s="4055" t="s">
        <v>1371</v>
      </c>
      <c r="F342" s="2460" t="s">
        <v>170</v>
      </c>
      <c r="G342" s="3179">
        <v>0.91300000000000003</v>
      </c>
      <c r="H342" s="4021" t="s">
        <v>1372</v>
      </c>
      <c r="I342" s="4021"/>
      <c r="J342" s="4036" t="s">
        <v>1373</v>
      </c>
      <c r="K342" s="4037"/>
      <c r="L342" s="4038"/>
      <c r="M342" s="2696"/>
      <c r="N342" s="2696"/>
      <c r="O342" s="2696"/>
      <c r="P342" s="2696"/>
      <c r="Q342" s="2696"/>
      <c r="R342" s="2696"/>
      <c r="S342" s="374"/>
      <c r="T342" s="283"/>
      <c r="U342" s="283"/>
      <c r="V342" s="4056" t="str">
        <f>D342</f>
        <v>ISR</v>
      </c>
      <c r="W342" s="3191"/>
      <c r="X342" s="3191"/>
      <c r="Y342" s="3191"/>
      <c r="Z342" s="3187"/>
      <c r="AA342" s="3187"/>
      <c r="AB342" s="3187"/>
      <c r="AC342" s="3195"/>
      <c r="AD342" s="3196">
        <v>0.91300000000000003</v>
      </c>
      <c r="AE342" s="3195">
        <v>0.91300000000000003</v>
      </c>
      <c r="AF342" s="2236">
        <f t="shared" si="38"/>
        <v>0.91300000000000003</v>
      </c>
      <c r="AG342" s="3187"/>
      <c r="AH342" s="2229"/>
      <c r="AI342" s="2229"/>
      <c r="AK342" s="358"/>
      <c r="DG342" s="540"/>
      <c r="DH342" s="283"/>
      <c r="DI342" s="283"/>
      <c r="DJ342" s="1187"/>
    </row>
    <row r="343" spans="1:114" s="273" customFormat="1" ht="28.9" hidden="1" customHeight="1" outlineLevel="1">
      <c r="A343" s="533"/>
      <c r="B343" s="2086"/>
      <c r="C343" s="3121"/>
      <c r="D343" s="4045"/>
      <c r="E343" s="4055"/>
      <c r="F343" s="2460" t="s">
        <v>1122</v>
      </c>
      <c r="G343" s="3179">
        <v>0.91300000000000003</v>
      </c>
      <c r="H343" s="4021" t="s">
        <v>1372</v>
      </c>
      <c r="I343" s="4021"/>
      <c r="J343" s="4043" t="s">
        <v>1373</v>
      </c>
      <c r="K343" s="4043"/>
      <c r="L343" s="4043"/>
      <c r="M343" s="2696"/>
      <c r="N343" s="2696"/>
      <c r="O343" s="2696"/>
      <c r="P343" s="2696"/>
      <c r="Q343" s="2696"/>
      <c r="R343" s="2696"/>
      <c r="S343" s="374"/>
      <c r="T343" s="283"/>
      <c r="U343" s="283"/>
      <c r="V343" s="4057"/>
      <c r="W343" s="3191"/>
      <c r="X343" s="3191"/>
      <c r="Y343" s="3191"/>
      <c r="Z343" s="3187"/>
      <c r="AA343" s="3187"/>
      <c r="AB343" s="3187"/>
      <c r="AC343" s="3195"/>
      <c r="AD343" s="3196">
        <v>0.91300000000000003</v>
      </c>
      <c r="AE343" s="3195">
        <v>0.91300000000000003</v>
      </c>
      <c r="AF343" s="2236">
        <f t="shared" si="38"/>
        <v>0.91300000000000003</v>
      </c>
      <c r="AG343" s="3187"/>
      <c r="AH343" s="2229"/>
      <c r="AI343" s="2229"/>
      <c r="AK343" s="358"/>
      <c r="DG343" s="540"/>
      <c r="DH343" s="283"/>
      <c r="DI343" s="283"/>
      <c r="DJ343" s="1187"/>
    </row>
    <row r="344" spans="1:114" s="273" customFormat="1" ht="15" hidden="1" customHeight="1" outlineLevel="1">
      <c r="A344" s="533"/>
      <c r="B344" s="2086"/>
      <c r="C344" s="3121"/>
      <c r="D344" s="2992" t="s">
        <v>49</v>
      </c>
      <c r="E344" s="2992" t="s">
        <v>1198</v>
      </c>
      <c r="F344" s="2460" t="s">
        <v>1102</v>
      </c>
      <c r="G344" s="2356">
        <v>10</v>
      </c>
      <c r="H344" s="4024" t="s">
        <v>1374</v>
      </c>
      <c r="I344" s="4024"/>
      <c r="J344" s="4039"/>
      <c r="K344" s="4039"/>
      <c r="L344" s="4039"/>
      <c r="M344" s="2696"/>
      <c r="N344" s="2696"/>
      <c r="O344" s="2696"/>
      <c r="P344" s="2696"/>
      <c r="Q344" s="2696"/>
      <c r="R344" s="2696"/>
      <c r="S344" s="366"/>
      <c r="T344" s="283"/>
      <c r="U344" s="283"/>
      <c r="V344" s="2734" t="str">
        <f>D344</f>
        <v>EUL</v>
      </c>
      <c r="W344" s="3197"/>
      <c r="X344" s="3197"/>
      <c r="Y344" s="3197"/>
      <c r="Z344" s="3198"/>
      <c r="AA344" s="3198"/>
      <c r="AB344" s="3198"/>
      <c r="AC344" s="3198"/>
      <c r="AD344" s="3199">
        <v>10</v>
      </c>
      <c r="AE344" s="3198">
        <v>10</v>
      </c>
      <c r="AF344" s="2236">
        <f t="shared" si="38"/>
        <v>10</v>
      </c>
      <c r="AG344" s="2894"/>
      <c r="AH344" s="2229"/>
      <c r="AI344" s="2229"/>
      <c r="AK344" s="358"/>
      <c r="DG344" s="540"/>
      <c r="DH344" s="283"/>
      <c r="DI344" s="283"/>
      <c r="DJ344" s="1187"/>
    </row>
    <row r="345" spans="1:114" s="273" customFormat="1" ht="15" hidden="1" customHeight="1" outlineLevel="1">
      <c r="A345" s="533"/>
      <c r="B345" s="2086"/>
      <c r="C345" s="3121"/>
      <c r="D345" s="2992" t="s">
        <v>50</v>
      </c>
      <c r="E345" s="2992" t="s">
        <v>1135</v>
      </c>
      <c r="F345" s="3180" t="s">
        <v>1375</v>
      </c>
      <c r="G345" s="2357">
        <v>15.02</v>
      </c>
      <c r="H345" s="4044" t="s">
        <v>1376</v>
      </c>
      <c r="I345" s="4044"/>
      <c r="J345" s="4043"/>
      <c r="K345" s="4043"/>
      <c r="L345" s="4043"/>
      <c r="M345" s="2696"/>
      <c r="N345" s="2696"/>
      <c r="O345" s="2696"/>
      <c r="P345" s="2696"/>
      <c r="Q345" s="2696"/>
      <c r="R345" s="2696"/>
      <c r="S345" s="1023"/>
      <c r="T345" s="283"/>
      <c r="U345" s="283"/>
      <c r="V345" s="2734" t="str">
        <f>D345</f>
        <v>Inc. Cost</v>
      </c>
      <c r="W345" s="2578"/>
      <c r="X345" s="2578"/>
      <c r="Y345" s="2578"/>
      <c r="Z345" s="2579"/>
      <c r="AA345" s="2579"/>
      <c r="AB345" s="2579"/>
      <c r="AC345" s="2579"/>
      <c r="AD345" s="2991">
        <v>15.02</v>
      </c>
      <c r="AE345" s="2579">
        <v>15.02</v>
      </c>
      <c r="AF345" s="2236">
        <f t="shared" si="38"/>
        <v>15.02</v>
      </c>
      <c r="AG345" s="2579"/>
      <c r="AH345" s="2229"/>
      <c r="AI345" s="2229"/>
      <c r="AK345" s="358"/>
      <c r="DG345" s="540"/>
      <c r="DH345" s="283"/>
      <c r="DI345" s="283"/>
      <c r="DJ345" s="1187"/>
    </row>
    <row r="346" spans="1:114" s="273" customFormat="1" ht="15" hidden="1" customHeight="1" outlineLevel="1">
      <c r="A346" s="533"/>
      <c r="B346" s="2086"/>
      <c r="C346" s="2703"/>
      <c r="D346" s="2754"/>
      <c r="E346" s="2754"/>
      <c r="F346" s="2703"/>
      <c r="G346" s="2696"/>
      <c r="H346" s="2696"/>
      <c r="I346" s="2696"/>
      <c r="J346" s="2696"/>
      <c r="K346" s="2696"/>
      <c r="L346" s="2696"/>
      <c r="M346" s="2696"/>
      <c r="N346" s="2696"/>
      <c r="O346" s="2696"/>
      <c r="P346" s="2696"/>
      <c r="Q346" s="2696"/>
      <c r="R346" s="2696"/>
      <c r="S346" s="283"/>
      <c r="T346" s="283"/>
      <c r="U346" s="283"/>
      <c r="Y346" s="284"/>
      <c r="AK346" s="358"/>
      <c r="DG346" s="540"/>
      <c r="DH346" s="283"/>
      <c r="DI346" s="283"/>
      <c r="DJ346" s="1187"/>
    </row>
    <row r="347" spans="1:114" s="273" customFormat="1" collapsed="1">
      <c r="A347" s="533"/>
      <c r="B347" s="2086"/>
      <c r="C347" s="2703"/>
      <c r="D347" s="2754"/>
      <c r="E347" s="2754"/>
      <c r="F347" s="2703"/>
      <c r="G347" s="2696"/>
      <c r="H347" s="2696"/>
      <c r="I347" s="2696"/>
      <c r="J347" s="2696"/>
      <c r="K347" s="2696"/>
      <c r="L347" s="2696"/>
      <c r="M347" s="2696"/>
      <c r="N347" s="2696"/>
      <c r="O347" s="2696"/>
      <c r="P347" s="2696"/>
      <c r="Q347" s="2696"/>
      <c r="R347" s="2696"/>
      <c r="S347" s="283"/>
      <c r="T347" s="283"/>
      <c r="U347" s="283"/>
      <c r="Y347" s="284"/>
      <c r="AK347" s="358"/>
      <c r="DG347" s="540"/>
      <c r="DH347" s="283"/>
      <c r="DI347" s="283"/>
      <c r="DJ347" s="1187"/>
    </row>
    <row r="348" spans="1:114">
      <c r="A348" s="533"/>
      <c r="B348" s="4025" t="s">
        <v>1377</v>
      </c>
      <c r="C348" s="4026"/>
      <c r="D348" s="4026"/>
      <c r="E348" s="4026"/>
      <c r="F348" s="4026"/>
      <c r="G348" s="4026"/>
      <c r="H348" s="4026"/>
      <c r="I348" s="4817"/>
      <c r="J348" s="4817"/>
      <c r="K348" s="4817"/>
      <c r="L348" s="4817"/>
      <c r="M348" s="4817"/>
      <c r="N348" s="4817"/>
      <c r="O348" s="4818"/>
      <c r="P348" s="2086"/>
      <c r="Q348" s="2086"/>
      <c r="R348" s="2086"/>
      <c r="V348" s="4040" t="str">
        <f>B348</f>
        <v>Spray Foam Insulation</v>
      </c>
      <c r="W348" s="4041"/>
      <c r="X348" s="4041"/>
      <c r="Y348" s="4041"/>
      <c r="Z348" s="4041"/>
      <c r="AA348" s="4041"/>
      <c r="AB348" s="4041"/>
      <c r="AC348" s="4832"/>
      <c r="AD348" s="4832"/>
      <c r="AE348" s="4832"/>
      <c r="AF348" s="4832"/>
      <c r="AG348" s="4832"/>
      <c r="AH348" s="4832"/>
      <c r="AI348" s="4833"/>
      <c r="AU348" s="1505"/>
      <c r="DJ348" s="1187"/>
    </row>
    <row r="349" spans="1:114">
      <c r="A349" s="533"/>
      <c r="B349" s="2086"/>
      <c r="C349" s="2963"/>
      <c r="D349" s="2711"/>
      <c r="E349" s="2711"/>
      <c r="F349" s="2963"/>
      <c r="G349" s="2086"/>
      <c r="H349" s="2086"/>
      <c r="I349" s="2086"/>
      <c r="J349" s="2086"/>
      <c r="K349" s="2086"/>
      <c r="L349" s="2086"/>
      <c r="M349" s="2086"/>
      <c r="N349" s="2086"/>
      <c r="O349" s="2086"/>
      <c r="P349" s="2086"/>
      <c r="Q349" s="2086"/>
      <c r="R349" s="2086"/>
      <c r="V349" s="2723"/>
      <c r="W349" s="2723"/>
      <c r="X349" s="2723"/>
      <c r="Y349" s="2723"/>
      <c r="Z349" s="2723"/>
      <c r="AA349" s="2723"/>
      <c r="AB349" s="2723"/>
      <c r="AC349" s="2723"/>
      <c r="AD349" s="2723"/>
      <c r="AE349" s="2723"/>
      <c r="AF349" s="2723"/>
      <c r="AG349" s="2723"/>
      <c r="AH349" s="2723"/>
      <c r="AI349" s="2723"/>
      <c r="AU349" s="1505"/>
      <c r="DJ349" s="1187"/>
    </row>
    <row r="350" spans="1:114" ht="30">
      <c r="A350" s="533"/>
      <c r="B350" s="2086"/>
      <c r="C350" s="2964" t="s">
        <v>42</v>
      </c>
      <c r="D350" s="2964" t="s">
        <v>953</v>
      </c>
      <c r="E350" s="2965" t="s">
        <v>44</v>
      </c>
      <c r="F350" s="2964" t="s">
        <v>45</v>
      </c>
      <c r="G350" s="2965" t="s">
        <v>46</v>
      </c>
      <c r="H350" s="2965" t="s">
        <v>47</v>
      </c>
      <c r="I350" s="2965" t="s">
        <v>48</v>
      </c>
      <c r="J350" s="2965" t="s">
        <v>49</v>
      </c>
      <c r="K350" s="2965" t="s">
        <v>50</v>
      </c>
      <c r="L350" s="2964" t="s">
        <v>51</v>
      </c>
      <c r="M350" s="635"/>
      <c r="N350" s="635"/>
      <c r="O350" s="2086"/>
      <c r="P350" s="2086"/>
      <c r="Q350" s="2086"/>
      <c r="R350" s="2086"/>
      <c r="V350" s="2640" t="s">
        <v>52</v>
      </c>
      <c r="W350" s="2641">
        <v>43252</v>
      </c>
      <c r="X350" s="2641">
        <f>$X$6</f>
        <v>43465</v>
      </c>
      <c r="Y350" s="2641">
        <f>$Y$6</f>
        <v>43800</v>
      </c>
      <c r="Z350" s="2641">
        <f>$Z$6</f>
        <v>43862</v>
      </c>
      <c r="AA350" s="2641">
        <f>$AA$6</f>
        <v>44013</v>
      </c>
      <c r="AB350" s="2641">
        <f>$AB$6</f>
        <v>44166</v>
      </c>
      <c r="AC350" s="2641">
        <f>$AC$6</f>
        <v>44531</v>
      </c>
      <c r="AD350" s="2641">
        <f>$AD$6</f>
        <v>44774</v>
      </c>
      <c r="AE350" s="2641">
        <f>$AE$6</f>
        <v>45139</v>
      </c>
      <c r="AF350" s="2641">
        <f>$AF$6</f>
        <v>45672</v>
      </c>
      <c r="AG350" s="2641" t="str">
        <f>$AG$6</f>
        <v>-</v>
      </c>
      <c r="AH350" s="2723"/>
      <c r="AI350" s="2723"/>
      <c r="AU350" s="1505"/>
      <c r="DG350" s="3048" t="str">
        <f>$DG$6</f>
        <v>TRC (2025)</v>
      </c>
      <c r="DH350" s="3048" t="str">
        <f>$DH$6</f>
        <v>Benefit Lookup</v>
      </c>
      <c r="DI350" s="3049" t="str">
        <f>$DI$6</f>
        <v>Benefits (2025 $)</v>
      </c>
      <c r="DJ350" s="3050" t="str">
        <f>$DJ$6</f>
        <v>Incremental Cost (2025 $)</v>
      </c>
    </row>
    <row r="351" spans="1:114">
      <c r="A351" s="533"/>
      <c r="B351" s="2208">
        <f t="shared" ref="B351" si="40">VALUE(LEFT(C351,6))</f>
        <v>251500</v>
      </c>
      <c r="C351" s="2733" t="s">
        <v>1378</v>
      </c>
      <c r="D351" s="2409" t="s">
        <v>1139</v>
      </c>
      <c r="E351" s="2714" t="s">
        <v>1379</v>
      </c>
      <c r="F351" s="2733">
        <f>ROUND(((G357 * G358 * G359) + (G357 * G358 * G360 * G361)) * G362,2)</f>
        <v>53.42</v>
      </c>
      <c r="G351" s="2478" t="s">
        <v>1380</v>
      </c>
      <c r="H351" s="2225">
        <f>VLOOKUP(G351,'CP FACTORS'!$A$3:$B$38, 2, FALSE)</f>
        <v>4.6608050000000002E-4</v>
      </c>
      <c r="I351" s="2481">
        <f>ROUND(H351*F351,6)</f>
        <v>2.4898E-2</v>
      </c>
      <c r="J351" s="2664">
        <f>G363</f>
        <v>20</v>
      </c>
      <c r="K351" s="2665">
        <f>G364</f>
        <v>6</v>
      </c>
      <c r="L351" s="2459" t="s">
        <v>62</v>
      </c>
      <c r="M351" s="2086"/>
      <c r="N351" s="2701"/>
      <c r="O351" s="2966"/>
      <c r="P351" s="2086"/>
      <c r="Q351" s="2086"/>
      <c r="R351" s="2966"/>
      <c r="V351" s="2962" t="s">
        <v>1315</v>
      </c>
      <c r="W351" s="2962"/>
      <c r="X351" s="2962"/>
      <c r="Y351" s="2962"/>
      <c r="Z351" s="2962"/>
      <c r="AA351" s="2962"/>
      <c r="AB351" s="2962"/>
      <c r="AC351" s="2962"/>
      <c r="AD351" s="2962"/>
      <c r="AE351" s="2962"/>
      <c r="AF351" s="2236">
        <f>IF(F351&lt;&gt;"",F351,"")</f>
        <v>53.42</v>
      </c>
      <c r="AG351" s="2962"/>
      <c r="AH351" s="2728"/>
      <c r="AI351" s="2723"/>
      <c r="AU351" s="1505"/>
      <c r="DG351" s="3133">
        <f>IFERROR((DI351)/(DJ351),0)</f>
        <v>13.555781811304826</v>
      </c>
      <c r="DH351" s="2432" t="str">
        <f>CONCATENATE(G351," ",J351," Year EUL")</f>
        <v>Building Shell RES 20 Year EUL</v>
      </c>
      <c r="DI351" s="2604">
        <f>(INDEX('Avoided Cost Benefits'!$B$4:$B$865,MATCH(DH351,'Avoided Cost Benefits'!$A$4:$A$865,0)))*F351</f>
        <v>81.334690867828954</v>
      </c>
      <c r="DJ351" s="2605">
        <f>K351/(1.0686^(2025-2025))</f>
        <v>6</v>
      </c>
    </row>
    <row r="352" spans="1:114" s="1509" customFormat="1" ht="15" hidden="1" customHeight="1" outlineLevel="1">
      <c r="A352" s="533"/>
      <c r="B352" s="3118"/>
      <c r="C352" s="3181"/>
      <c r="D352" s="2219" t="s">
        <v>118</v>
      </c>
      <c r="E352" s="2993" t="s">
        <v>1381</v>
      </c>
      <c r="F352" s="3182"/>
      <c r="G352" s="2994"/>
      <c r="H352" s="2994"/>
      <c r="I352" s="2994"/>
      <c r="J352" s="2994"/>
      <c r="K352" s="2994"/>
      <c r="L352" s="2994"/>
      <c r="M352" s="3118"/>
      <c r="N352" s="3118"/>
      <c r="O352" s="3118"/>
      <c r="P352" s="3118"/>
      <c r="Q352" s="3118"/>
      <c r="R352" s="3118"/>
      <c r="S352" s="75"/>
      <c r="T352" s="75"/>
      <c r="U352" s="75"/>
      <c r="V352" s="3118"/>
      <c r="W352" s="3118"/>
      <c r="X352" s="3118"/>
      <c r="Y352" s="3118"/>
      <c r="Z352" s="3118"/>
      <c r="AA352" s="3118"/>
      <c r="AB352" s="3118"/>
      <c r="AC352" s="3118"/>
      <c r="AD352" s="3118"/>
      <c r="AE352" s="3118"/>
      <c r="AF352" s="3118"/>
      <c r="AG352" s="3118"/>
      <c r="AH352" s="3043"/>
      <c r="AI352" s="3043"/>
      <c r="AU352" s="1505"/>
      <c r="DG352" s="1074"/>
      <c r="DH352" s="75"/>
      <c r="DI352" s="75"/>
      <c r="DJ352" s="1187"/>
    </row>
    <row r="353" spans="1:114" s="1509" customFormat="1" ht="15" hidden="1" customHeight="1" outlineLevel="1">
      <c r="A353" s="533"/>
      <c r="B353" s="3118"/>
      <c r="C353" s="696"/>
      <c r="D353" s="2219" t="s">
        <v>963</v>
      </c>
      <c r="E353" s="2993" t="s">
        <v>1382</v>
      </c>
      <c r="F353" s="3182"/>
      <c r="G353" s="2994"/>
      <c r="H353" s="2994"/>
      <c r="I353" s="2994"/>
      <c r="J353" s="2994"/>
      <c r="K353" s="2994"/>
      <c r="L353" s="2994"/>
      <c r="M353" s="3118"/>
      <c r="N353" s="3118"/>
      <c r="O353" s="3118"/>
      <c r="P353" s="3118"/>
      <c r="Q353" s="3118"/>
      <c r="R353" s="3118"/>
      <c r="S353" s="75"/>
      <c r="T353" s="75"/>
      <c r="U353" s="75"/>
      <c r="V353" s="3118"/>
      <c r="W353" s="3118"/>
      <c r="X353" s="3118"/>
      <c r="Y353" s="3118"/>
      <c r="Z353" s="3118"/>
      <c r="AA353" s="3118"/>
      <c r="AB353" s="3118"/>
      <c r="AC353" s="3118"/>
      <c r="AD353" s="3118"/>
      <c r="AE353" s="3118"/>
      <c r="AF353" s="3118"/>
      <c r="AG353" s="3118"/>
      <c r="AH353" s="3043"/>
      <c r="AI353" s="3043"/>
      <c r="AU353" s="1505"/>
      <c r="DG353" s="1074"/>
      <c r="DH353" s="75"/>
      <c r="DI353" s="75"/>
      <c r="DJ353" s="1187"/>
    </row>
    <row r="354" spans="1:114" s="1509" customFormat="1" ht="15" hidden="1" customHeight="1" outlineLevel="1">
      <c r="A354" s="533"/>
      <c r="B354" s="3118"/>
      <c r="C354" s="3181"/>
      <c r="D354" s="2994"/>
      <c r="E354" s="2995" t="s">
        <v>966</v>
      </c>
      <c r="F354" s="3181"/>
      <c r="G354" s="2994"/>
      <c r="H354" s="2994"/>
      <c r="I354" s="2994"/>
      <c r="J354" s="2994"/>
      <c r="K354" s="2994"/>
      <c r="L354" s="2994"/>
      <c r="M354" s="3118"/>
      <c r="N354" s="3118"/>
      <c r="O354" s="3118"/>
      <c r="P354" s="3118"/>
      <c r="Q354" s="3118"/>
      <c r="R354" s="3118"/>
      <c r="S354" s="75"/>
      <c r="T354" s="75"/>
      <c r="U354" s="75"/>
      <c r="V354" s="3118"/>
      <c r="W354" s="3118"/>
      <c r="X354" s="3118"/>
      <c r="Y354" s="3118"/>
      <c r="Z354" s="3118"/>
      <c r="AA354" s="3118"/>
      <c r="AB354" s="3118"/>
      <c r="AC354" s="3118"/>
      <c r="AD354" s="3118"/>
      <c r="AE354" s="3118"/>
      <c r="AF354" s="3118"/>
      <c r="AG354" s="3118"/>
      <c r="AH354" s="3043"/>
      <c r="AI354" s="3043"/>
      <c r="AU354" s="1505"/>
      <c r="DG354" s="1074"/>
      <c r="DH354" s="75"/>
      <c r="DI354" s="75"/>
      <c r="DJ354" s="1187"/>
    </row>
    <row r="355" spans="1:114" s="1509" customFormat="1" ht="15" hidden="1" customHeight="1" outlineLevel="1">
      <c r="A355" s="533"/>
      <c r="B355" s="3118"/>
      <c r="C355" s="3181"/>
      <c r="D355" s="2994"/>
      <c r="E355" s="2995"/>
      <c r="F355" s="3181"/>
      <c r="G355" s="2994"/>
      <c r="H355" s="2994"/>
      <c r="I355" s="2994"/>
      <c r="J355" s="2994"/>
      <c r="K355" s="2994"/>
      <c r="L355" s="2994"/>
      <c r="M355" s="3118"/>
      <c r="N355" s="3118"/>
      <c r="O355" s="3118"/>
      <c r="P355" s="3118"/>
      <c r="Q355" s="3118"/>
      <c r="R355" s="3118"/>
      <c r="S355" s="75"/>
      <c r="T355" s="75"/>
      <c r="U355" s="75"/>
      <c r="V355" s="3118"/>
      <c r="W355" s="3118"/>
      <c r="X355" s="3118"/>
      <c r="Y355" s="3118"/>
      <c r="Z355" s="3118"/>
      <c r="AA355" s="3118"/>
      <c r="AB355" s="3118"/>
      <c r="AC355" s="3118"/>
      <c r="AD355" s="3118"/>
      <c r="AE355" s="3118"/>
      <c r="AF355" s="3118"/>
      <c r="AG355" s="3118"/>
      <c r="AH355" s="3043"/>
      <c r="AI355" s="3043"/>
      <c r="AU355" s="1505"/>
      <c r="DG355" s="1074"/>
      <c r="DH355" s="75"/>
      <c r="DI355" s="75"/>
      <c r="DJ355" s="1187"/>
    </row>
    <row r="356" spans="1:114" s="1509" customFormat="1" ht="15" hidden="1" customHeight="1" outlineLevel="1">
      <c r="A356" s="533"/>
      <c r="B356" s="3118"/>
      <c r="C356" s="3181"/>
      <c r="D356" s="2996" t="s">
        <v>1078</v>
      </c>
      <c r="E356" s="2996" t="s">
        <v>967</v>
      </c>
      <c r="F356" s="2964" t="s">
        <v>1215</v>
      </c>
      <c r="G356" s="2997" t="s">
        <v>969</v>
      </c>
      <c r="H356" s="4027" t="s">
        <v>970</v>
      </c>
      <c r="I356" s="4027"/>
      <c r="J356" s="4027" t="s">
        <v>755</v>
      </c>
      <c r="K356" s="4027"/>
      <c r="L356" s="4027"/>
      <c r="M356" s="3118"/>
      <c r="N356" s="3118"/>
      <c r="O356" s="3118"/>
      <c r="P356" s="3118"/>
      <c r="Q356" s="3118"/>
      <c r="R356" s="3118"/>
      <c r="S356" s="75"/>
      <c r="T356" s="75"/>
      <c r="U356" s="75"/>
      <c r="V356" s="2640" t="s">
        <v>52</v>
      </c>
      <c r="W356" s="2641">
        <f>W$6</f>
        <v>43252</v>
      </c>
      <c r="X356" s="2641">
        <f t="shared" ref="X356:AG356" si="41">X$6</f>
        <v>43465</v>
      </c>
      <c r="Y356" s="2642">
        <f t="shared" si="41"/>
        <v>43800</v>
      </c>
      <c r="Z356" s="2641">
        <f t="shared" si="41"/>
        <v>43862</v>
      </c>
      <c r="AA356" s="2641">
        <f t="shared" si="41"/>
        <v>44013</v>
      </c>
      <c r="AB356" s="2641">
        <f t="shared" si="41"/>
        <v>44166</v>
      </c>
      <c r="AC356" s="2641">
        <f t="shared" si="41"/>
        <v>44531</v>
      </c>
      <c r="AD356" s="2641">
        <f t="shared" si="41"/>
        <v>44774</v>
      </c>
      <c r="AE356" s="2641">
        <f t="shared" si="41"/>
        <v>45139</v>
      </c>
      <c r="AF356" s="2641">
        <f t="shared" si="41"/>
        <v>45672</v>
      </c>
      <c r="AG356" s="2641" t="str">
        <f t="shared" si="41"/>
        <v>-</v>
      </c>
      <c r="AH356" s="3043"/>
      <c r="AI356" s="3043"/>
      <c r="AU356" s="1505"/>
      <c r="DG356" s="1074"/>
      <c r="DH356" s="75"/>
      <c r="DI356" s="75"/>
      <c r="DJ356" s="1187"/>
    </row>
    <row r="357" spans="1:114" ht="18" hidden="1" customHeight="1" outlineLevel="1">
      <c r="A357" s="533"/>
      <c r="B357" s="2697"/>
      <c r="C357" s="3183"/>
      <c r="D357" s="2309" t="s">
        <v>1383</v>
      </c>
      <c r="E357" s="2309" t="s">
        <v>1384</v>
      </c>
      <c r="F357" s="2459" t="s">
        <v>1385</v>
      </c>
      <c r="G357" s="2998">
        <v>56</v>
      </c>
      <c r="H357" s="4028" t="s">
        <v>1386</v>
      </c>
      <c r="I357" s="4029"/>
      <c r="J357" s="4023"/>
      <c r="K357" s="4023"/>
      <c r="L357" s="4023"/>
      <c r="M357" s="2963"/>
      <c r="N357" s="2963"/>
      <c r="O357" s="2963"/>
      <c r="P357" s="2963"/>
      <c r="Q357" s="2963"/>
      <c r="R357" s="2963"/>
      <c r="V357" s="2992" t="s">
        <v>1387</v>
      </c>
      <c r="W357" s="2684"/>
      <c r="X357" s="2684"/>
      <c r="Y357" s="2684"/>
      <c r="Z357" s="2684"/>
      <c r="AA357" s="2684"/>
      <c r="AB357" s="2684"/>
      <c r="AC357" s="2684"/>
      <c r="AD357" s="2684"/>
      <c r="AE357" s="2684"/>
      <c r="AF357" s="2236">
        <f t="shared" ref="AF357:AF364" si="42">IF(G357&lt;&gt;"",G357,"")</f>
        <v>56</v>
      </c>
      <c r="AG357" s="2684"/>
      <c r="AH357" s="2723"/>
      <c r="AI357" s="2723"/>
      <c r="AU357" s="1505"/>
      <c r="DJ357" s="1187"/>
    </row>
    <row r="358" spans="1:114" ht="16.5" hidden="1" customHeight="1" outlineLevel="1">
      <c r="A358" s="533"/>
      <c r="B358" s="2086"/>
      <c r="C358" s="3183"/>
      <c r="D358" s="2309" t="s">
        <v>1388</v>
      </c>
      <c r="E358" s="2999" t="s">
        <v>1389</v>
      </c>
      <c r="F358" s="2459" t="s">
        <v>1385</v>
      </c>
      <c r="G358" s="3000">
        <v>0.8</v>
      </c>
      <c r="H358" s="4030"/>
      <c r="I358" s="4031"/>
      <c r="J358" s="4023"/>
      <c r="K358" s="4023"/>
      <c r="L358" s="4023"/>
      <c r="M358" s="2963"/>
      <c r="N358" s="2963"/>
      <c r="O358" s="2963"/>
      <c r="P358" s="2963"/>
      <c r="Q358" s="2963"/>
      <c r="R358" s="2963"/>
      <c r="V358" s="2992" t="s">
        <v>1390</v>
      </c>
      <c r="W358" s="2707"/>
      <c r="X358" s="2707"/>
      <c r="Y358" s="2707"/>
      <c r="Z358" s="2707"/>
      <c r="AA358" s="2707"/>
      <c r="AB358" s="2707"/>
      <c r="AC358" s="2707"/>
      <c r="AD358" s="2707"/>
      <c r="AE358" s="2707"/>
      <c r="AF358" s="2236">
        <f t="shared" si="42"/>
        <v>0.8</v>
      </c>
      <c r="AG358" s="2707"/>
      <c r="AH358" s="2723"/>
      <c r="AI358" s="2723"/>
      <c r="AU358" s="1505"/>
      <c r="DJ358" s="1187"/>
    </row>
    <row r="359" spans="1:114" ht="18" hidden="1" customHeight="1" outlineLevel="1">
      <c r="A359" s="533"/>
      <c r="B359" s="2086"/>
      <c r="C359" s="3183"/>
      <c r="D359" s="2309" t="s">
        <v>1391</v>
      </c>
      <c r="E359" s="2309" t="s">
        <v>1392</v>
      </c>
      <c r="F359" s="2459" t="s">
        <v>1385</v>
      </c>
      <c r="G359" s="3000">
        <v>0.11</v>
      </c>
      <c r="H359" s="4030"/>
      <c r="I359" s="4031"/>
      <c r="J359" s="4023"/>
      <c r="K359" s="4023"/>
      <c r="L359" s="4023"/>
      <c r="M359" s="2963"/>
      <c r="N359" s="2963"/>
      <c r="O359" s="2963"/>
      <c r="P359" s="2963"/>
      <c r="Q359" s="2963"/>
      <c r="R359" s="2963"/>
      <c r="V359" s="2992" t="s">
        <v>1393</v>
      </c>
      <c r="W359" s="2707"/>
      <c r="X359" s="2707"/>
      <c r="Y359" s="2707"/>
      <c r="Z359" s="2707"/>
      <c r="AA359" s="2707"/>
      <c r="AB359" s="2707"/>
      <c r="AC359" s="2707"/>
      <c r="AD359" s="2707"/>
      <c r="AE359" s="2707"/>
      <c r="AF359" s="2236">
        <f t="shared" si="42"/>
        <v>0.11</v>
      </c>
      <c r="AG359" s="2707"/>
      <c r="AH359" s="2723"/>
      <c r="AI359" s="2723"/>
      <c r="AU359" s="1505"/>
      <c r="DJ359" s="1187"/>
    </row>
    <row r="360" spans="1:114" ht="18" hidden="1" customHeight="1" outlineLevel="1">
      <c r="A360" s="533"/>
      <c r="B360" s="2086"/>
      <c r="C360" s="3183"/>
      <c r="D360" s="2309" t="s">
        <v>1394</v>
      </c>
      <c r="E360" s="2309" t="s">
        <v>1395</v>
      </c>
      <c r="F360" s="2459" t="s">
        <v>1385</v>
      </c>
      <c r="G360" s="3000">
        <v>6.5</v>
      </c>
      <c r="H360" s="4032"/>
      <c r="I360" s="4033"/>
      <c r="J360" s="4023"/>
      <c r="K360" s="4023"/>
      <c r="L360" s="4023"/>
      <c r="M360" s="2963"/>
      <c r="N360" s="2963"/>
      <c r="O360" s="2963"/>
      <c r="P360" s="2963"/>
      <c r="Q360" s="2963"/>
      <c r="R360" s="2963"/>
      <c r="V360" s="2992" t="s">
        <v>1396</v>
      </c>
      <c r="W360" s="2707"/>
      <c r="X360" s="2707"/>
      <c r="Y360" s="2707"/>
      <c r="Z360" s="2707"/>
      <c r="AA360" s="2707"/>
      <c r="AB360" s="2707"/>
      <c r="AC360" s="2707"/>
      <c r="AD360" s="2707"/>
      <c r="AE360" s="2707"/>
      <c r="AF360" s="2236">
        <f t="shared" si="42"/>
        <v>6.5</v>
      </c>
      <c r="AG360" s="2707"/>
      <c r="AH360" s="2723"/>
      <c r="AI360" s="2723"/>
      <c r="AU360" s="1505"/>
      <c r="DJ360" s="1187"/>
    </row>
    <row r="361" spans="1:114" ht="15" hidden="1" customHeight="1" outlineLevel="1">
      <c r="A361" s="533"/>
      <c r="B361" s="2086"/>
      <c r="C361" s="3183"/>
      <c r="D361" s="2309" t="s">
        <v>353</v>
      </c>
      <c r="E361" s="2309" t="s">
        <v>1397</v>
      </c>
      <c r="F361" s="2459" t="s">
        <v>1385</v>
      </c>
      <c r="G361" s="3000">
        <v>0.35</v>
      </c>
      <c r="H361" s="4024"/>
      <c r="I361" s="4024"/>
      <c r="J361" s="4023"/>
      <c r="K361" s="4023"/>
      <c r="L361" s="4023"/>
      <c r="M361" s="2963"/>
      <c r="N361" s="2963"/>
      <c r="O361" s="2963"/>
      <c r="P361" s="2963"/>
      <c r="Q361" s="2963"/>
      <c r="R361" s="2963"/>
      <c r="V361" s="2992" t="s">
        <v>353</v>
      </c>
      <c r="W361" s="2684"/>
      <c r="X361" s="2684"/>
      <c r="Y361" s="2684"/>
      <c r="Z361" s="2684"/>
      <c r="AA361" s="2684"/>
      <c r="AB361" s="2684"/>
      <c r="AC361" s="2684"/>
      <c r="AD361" s="2684"/>
      <c r="AE361" s="2684"/>
      <c r="AF361" s="2236">
        <f t="shared" si="42"/>
        <v>0.35</v>
      </c>
      <c r="AG361" s="2684"/>
      <c r="AH361" s="2723"/>
      <c r="AI361" s="2723"/>
      <c r="AU361" s="1505"/>
      <c r="DJ361" s="1187"/>
    </row>
    <row r="362" spans="1:114" s="273" customFormat="1" ht="15" hidden="1" customHeight="1" outlineLevel="1">
      <c r="A362" s="533"/>
      <c r="B362" s="2086"/>
      <c r="C362" s="3184"/>
      <c r="D362" s="2309" t="s">
        <v>128</v>
      </c>
      <c r="E362" s="2309" t="s">
        <v>1398</v>
      </c>
      <c r="F362" s="2459" t="s">
        <v>1385</v>
      </c>
      <c r="G362" s="3001">
        <v>0.5</v>
      </c>
      <c r="H362" s="4021" t="s">
        <v>1399</v>
      </c>
      <c r="I362" s="4021"/>
      <c r="J362" s="4023"/>
      <c r="K362" s="4023"/>
      <c r="L362" s="4023"/>
      <c r="M362" s="2696"/>
      <c r="N362" s="2696"/>
      <c r="O362" s="2696"/>
      <c r="P362" s="2696"/>
      <c r="Q362" s="2696"/>
      <c r="R362" s="2696"/>
      <c r="S362" s="366"/>
      <c r="T362" s="283"/>
      <c r="U362" s="283"/>
      <c r="V362" s="2992" t="s">
        <v>128</v>
      </c>
      <c r="W362" s="2600"/>
      <c r="X362" s="2600"/>
      <c r="Y362" s="2600"/>
      <c r="Z362" s="2600"/>
      <c r="AA362" s="2600"/>
      <c r="AB362" s="2600"/>
      <c r="AC362" s="2600"/>
      <c r="AD362" s="2600"/>
      <c r="AE362" s="2600"/>
      <c r="AF362" s="2236">
        <f t="shared" si="42"/>
        <v>0.5</v>
      </c>
      <c r="AG362" s="2600"/>
      <c r="AH362" s="2229"/>
      <c r="AI362" s="2229"/>
      <c r="AK362" s="358"/>
      <c r="DG362" s="540"/>
      <c r="DH362" s="283"/>
      <c r="DI362" s="283"/>
      <c r="DJ362" s="1187"/>
    </row>
    <row r="363" spans="1:114" s="273" customFormat="1" ht="15" hidden="1" customHeight="1" outlineLevel="1">
      <c r="A363" s="533"/>
      <c r="B363" s="2086"/>
      <c r="C363" s="3184"/>
      <c r="D363" s="2309" t="s">
        <v>49</v>
      </c>
      <c r="E363" s="2309" t="s">
        <v>1198</v>
      </c>
      <c r="F363" s="2459" t="s">
        <v>1385</v>
      </c>
      <c r="G363" s="2378">
        <v>20</v>
      </c>
      <c r="H363" s="4024"/>
      <c r="I363" s="4024"/>
      <c r="J363" s="4023"/>
      <c r="K363" s="4023"/>
      <c r="L363" s="4023"/>
      <c r="M363" s="2696"/>
      <c r="N363" s="2696"/>
      <c r="O363" s="2696"/>
      <c r="P363" s="2696"/>
      <c r="Q363" s="2696"/>
      <c r="R363" s="2696"/>
      <c r="S363" s="366"/>
      <c r="T363" s="283"/>
      <c r="U363" s="283"/>
      <c r="V363" s="2992" t="s">
        <v>49</v>
      </c>
      <c r="W363" s="2600"/>
      <c r="X363" s="2600"/>
      <c r="Y363" s="2600"/>
      <c r="Z363" s="2600"/>
      <c r="AA363" s="2600"/>
      <c r="AB363" s="2600"/>
      <c r="AC363" s="2600"/>
      <c r="AD363" s="2600"/>
      <c r="AE363" s="2600"/>
      <c r="AF363" s="2236">
        <f t="shared" si="42"/>
        <v>20</v>
      </c>
      <c r="AG363" s="2600"/>
      <c r="AH363" s="2229"/>
      <c r="AI363" s="2229"/>
      <c r="AK363" s="358"/>
      <c r="DG363" s="540"/>
      <c r="DH363" s="283"/>
      <c r="DI363" s="283"/>
      <c r="DJ363" s="1187"/>
    </row>
    <row r="364" spans="1:114" s="273" customFormat="1" ht="15" hidden="1" customHeight="1" outlineLevel="1">
      <c r="A364" s="533"/>
      <c r="B364" s="2086"/>
      <c r="C364" s="3184"/>
      <c r="D364" s="2309" t="s">
        <v>50</v>
      </c>
      <c r="E364" s="2309" t="s">
        <v>1135</v>
      </c>
      <c r="F364" s="2459" t="s">
        <v>1385</v>
      </c>
      <c r="G364" s="2263">
        <v>6</v>
      </c>
      <c r="H364" s="4021" t="s">
        <v>1399</v>
      </c>
      <c r="I364" s="4021"/>
      <c r="J364" s="4022"/>
      <c r="K364" s="4022"/>
      <c r="L364" s="4022"/>
      <c r="M364" s="2696"/>
      <c r="N364" s="2696"/>
      <c r="O364" s="2696"/>
      <c r="P364" s="2696"/>
      <c r="Q364" s="2696"/>
      <c r="R364" s="2696"/>
      <c r="S364" s="1023"/>
      <c r="T364" s="283"/>
      <c r="U364" s="283"/>
      <c r="V364" s="2992" t="s">
        <v>50</v>
      </c>
      <c r="W364" s="2600"/>
      <c r="X364" s="2600"/>
      <c r="Y364" s="2600"/>
      <c r="Z364" s="2600"/>
      <c r="AA364" s="2600"/>
      <c r="AB364" s="2600"/>
      <c r="AC364" s="2600"/>
      <c r="AD364" s="2600"/>
      <c r="AE364" s="2600"/>
      <c r="AF364" s="2236">
        <f t="shared" si="42"/>
        <v>6</v>
      </c>
      <c r="AG364" s="2600"/>
      <c r="AH364" s="2229"/>
      <c r="AI364" s="2229"/>
      <c r="AK364" s="358"/>
      <c r="DG364" s="540"/>
      <c r="DH364" s="283"/>
      <c r="DI364" s="283"/>
      <c r="DJ364" s="1187"/>
    </row>
    <row r="365" spans="1:114" ht="15.75" hidden="1" customHeight="1" outlineLevel="1">
      <c r="A365" s="533"/>
      <c r="B365" s="2086"/>
      <c r="C365" s="2963"/>
      <c r="D365" s="2963"/>
      <c r="E365" s="2963"/>
      <c r="F365" s="2963"/>
      <c r="G365" s="2963"/>
      <c r="H365" s="2963"/>
      <c r="I365" s="2963"/>
      <c r="J365" s="2963"/>
      <c r="K365" s="2963"/>
      <c r="L365" s="2963"/>
      <c r="M365" s="2963"/>
      <c r="N365" s="2963"/>
      <c r="O365" s="2963"/>
      <c r="P365" s="2963"/>
      <c r="Q365" s="2963"/>
      <c r="R365" s="2963"/>
      <c r="AU365" s="1505"/>
      <c r="DJ365" s="1187"/>
    </row>
    <row r="366" spans="1:114" collapsed="1">
      <c r="A366" s="533"/>
      <c r="B366" s="2086"/>
      <c r="C366" s="2963"/>
      <c r="D366" s="2963"/>
      <c r="E366" s="2963"/>
      <c r="F366" s="2963"/>
      <c r="G366" s="2963"/>
      <c r="H366" s="2963"/>
      <c r="I366" s="2963"/>
      <c r="J366" s="2963"/>
      <c r="K366" s="2963"/>
      <c r="L366" s="2963"/>
      <c r="M366" s="2963"/>
      <c r="N366" s="2963"/>
      <c r="O366" s="2963"/>
      <c r="P366" s="2963"/>
      <c r="Q366" s="2963"/>
      <c r="R366" s="2963"/>
      <c r="AU366" s="1505"/>
      <c r="DJ366" s="1187"/>
    </row>
    <row r="367" spans="1:114">
      <c r="A367" s="533"/>
      <c r="B367" s="4025" t="s">
        <v>1400</v>
      </c>
      <c r="C367" s="4026"/>
      <c r="D367" s="4026"/>
      <c r="E367" s="4026"/>
      <c r="F367" s="4026"/>
      <c r="G367" s="4026"/>
      <c r="H367" s="4026"/>
      <c r="I367" s="4817"/>
      <c r="J367" s="4817"/>
      <c r="K367" s="4817"/>
      <c r="L367" s="4817"/>
      <c r="M367" s="4817"/>
      <c r="N367" s="4817"/>
      <c r="O367" s="4818"/>
      <c r="P367" s="2086"/>
      <c r="Q367" s="2086"/>
      <c r="R367" s="2086"/>
      <c r="V367" s="4040" t="str">
        <f>B367</f>
        <v>Door Sweep</v>
      </c>
      <c r="W367" s="4041"/>
      <c r="X367" s="4041"/>
      <c r="Y367" s="4041"/>
      <c r="Z367" s="4041"/>
      <c r="AA367" s="4041"/>
      <c r="AB367" s="4041"/>
      <c r="AC367" s="4832"/>
      <c r="AD367" s="4832"/>
      <c r="AE367" s="4832"/>
      <c r="AF367" s="4832"/>
      <c r="AG367" s="4832"/>
      <c r="AH367" s="4832"/>
      <c r="AI367" s="4833"/>
      <c r="AU367" s="1505"/>
      <c r="DJ367" s="1187"/>
    </row>
    <row r="368" spans="1:114">
      <c r="A368" s="533"/>
      <c r="B368" s="2086"/>
      <c r="C368" s="2963"/>
      <c r="D368" s="2711"/>
      <c r="E368" s="2711"/>
      <c r="F368" s="2963"/>
      <c r="G368" s="2086"/>
      <c r="H368" s="2086"/>
      <c r="I368" s="2086"/>
      <c r="J368" s="2086"/>
      <c r="K368" s="2086"/>
      <c r="L368" s="2086"/>
      <c r="M368" s="2086"/>
      <c r="N368" s="2086"/>
      <c r="O368" s="2086"/>
      <c r="P368" s="2086"/>
      <c r="Q368" s="2086"/>
      <c r="R368" s="2086"/>
      <c r="V368" s="2723"/>
      <c r="W368" s="2723"/>
      <c r="X368" s="2723"/>
      <c r="Y368" s="2723"/>
      <c r="Z368" s="2723"/>
      <c r="AA368" s="2723"/>
      <c r="AB368" s="2723"/>
      <c r="AC368" s="2723"/>
      <c r="AD368" s="2723"/>
      <c r="AE368" s="2723"/>
      <c r="AF368" s="2723"/>
      <c r="AG368" s="2723"/>
      <c r="AH368" s="2723"/>
      <c r="AI368" s="2723"/>
      <c r="AU368" s="1505"/>
      <c r="DJ368" s="1187"/>
    </row>
    <row r="369" spans="1:114" ht="30">
      <c r="A369" s="533"/>
      <c r="B369" s="2086"/>
      <c r="C369" s="2964" t="s">
        <v>42</v>
      </c>
      <c r="D369" s="2964" t="s">
        <v>953</v>
      </c>
      <c r="E369" s="2965" t="s">
        <v>44</v>
      </c>
      <c r="F369" s="2964" t="s">
        <v>45</v>
      </c>
      <c r="G369" s="2965" t="s">
        <v>46</v>
      </c>
      <c r="H369" s="2965" t="s">
        <v>47</v>
      </c>
      <c r="I369" s="2965" t="s">
        <v>48</v>
      </c>
      <c r="J369" s="2965" t="s">
        <v>49</v>
      </c>
      <c r="K369" s="2965" t="s">
        <v>50</v>
      </c>
      <c r="L369" s="2964" t="s">
        <v>51</v>
      </c>
      <c r="M369" s="635"/>
      <c r="N369" s="635"/>
      <c r="O369" s="2086"/>
      <c r="P369" s="2086"/>
      <c r="Q369" s="2086"/>
      <c r="R369" s="2086"/>
      <c r="V369" s="2640" t="s">
        <v>52</v>
      </c>
      <c r="W369" s="2641">
        <v>43252</v>
      </c>
      <c r="X369" s="2641">
        <f>$X$6</f>
        <v>43465</v>
      </c>
      <c r="Y369" s="2641">
        <f>$Y$6</f>
        <v>43800</v>
      </c>
      <c r="Z369" s="2641">
        <f>$Z$6</f>
        <v>43862</v>
      </c>
      <c r="AA369" s="2641">
        <f>$AA$6</f>
        <v>44013</v>
      </c>
      <c r="AB369" s="2641">
        <f>$AB$6</f>
        <v>44166</v>
      </c>
      <c r="AC369" s="2641">
        <f>$AC$6</f>
        <v>44531</v>
      </c>
      <c r="AD369" s="2641">
        <f>$AD$6</f>
        <v>44774</v>
      </c>
      <c r="AE369" s="2641">
        <f>$AE$6</f>
        <v>45139</v>
      </c>
      <c r="AF369" s="2641">
        <f>$AF$6</f>
        <v>45672</v>
      </c>
      <c r="AG369" s="2641" t="str">
        <f>$AG$6</f>
        <v>-</v>
      </c>
      <c r="AH369" s="2723"/>
      <c r="AI369" s="2723"/>
      <c r="AU369" s="1505"/>
      <c r="DG369" s="3048" t="str">
        <f>$DG$6</f>
        <v>TRC (2025)</v>
      </c>
      <c r="DH369" s="3048" t="str">
        <f>$DH$6</f>
        <v>Benefit Lookup</v>
      </c>
      <c r="DI369" s="3049" t="str">
        <f>$DI$6</f>
        <v>Benefits (2025 $)</v>
      </c>
      <c r="DJ369" s="3050" t="str">
        <f>$DJ$6</f>
        <v>Incremental Cost (2025 $)</v>
      </c>
    </row>
    <row r="370" spans="1:114">
      <c r="A370" s="533"/>
      <c r="B370" s="2208">
        <f t="shared" ref="B370" si="43">VALUE(LEFT(C370,6))</f>
        <v>251510</v>
      </c>
      <c r="C370" s="2733" t="s">
        <v>1401</v>
      </c>
      <c r="D370" s="2409" t="s">
        <v>1139</v>
      </c>
      <c r="E370" s="2714" t="s">
        <v>1400</v>
      </c>
      <c r="F370" s="2733">
        <f>ROUND(((G376 * G377 * G378) + (G376 * G377 * G379 * G380)) * G381,2)</f>
        <v>28.24</v>
      </c>
      <c r="G370" s="2478" t="s">
        <v>1380</v>
      </c>
      <c r="H370" s="2225">
        <f>VLOOKUP(G370,'CP FACTORS'!$A$3:$B$38, 2, FALSE)</f>
        <v>4.6608050000000002E-4</v>
      </c>
      <c r="I370" s="2481">
        <f>ROUND(H370*F370,6)</f>
        <v>1.3162E-2</v>
      </c>
      <c r="J370" s="2664">
        <f>G382</f>
        <v>20</v>
      </c>
      <c r="K370" s="2665">
        <f>G383</f>
        <v>15</v>
      </c>
      <c r="L370" s="2459" t="s">
        <v>62</v>
      </c>
      <c r="M370" s="2086"/>
      <c r="N370" s="2701"/>
      <c r="O370" s="2966"/>
      <c r="P370" s="2086"/>
      <c r="Q370" s="2086"/>
      <c r="R370" s="2966"/>
      <c r="V370" s="2962" t="s">
        <v>1315</v>
      </c>
      <c r="W370" s="2962"/>
      <c r="X370" s="2962"/>
      <c r="Y370" s="2962"/>
      <c r="Z370" s="2962"/>
      <c r="AA370" s="2962"/>
      <c r="AB370" s="2962"/>
      <c r="AC370" s="2962"/>
      <c r="AD370" s="2962"/>
      <c r="AE370" s="2962"/>
      <c r="AF370" s="2236">
        <f>IF(F370&lt;&gt;"",F370,"")</f>
        <v>28.24</v>
      </c>
      <c r="AG370" s="2962"/>
      <c r="AH370" s="2728"/>
      <c r="AI370" s="2723"/>
      <c r="AU370" s="1505"/>
      <c r="DG370" s="3133">
        <f>IFERROR((DI370)/(DJ370),0)</f>
        <v>2.8664565956664041</v>
      </c>
      <c r="DH370" s="2432" t="str">
        <f>CONCATENATE(G370," ",J370," Year EUL")</f>
        <v>Building Shell RES 20 Year EUL</v>
      </c>
      <c r="DI370" s="2604">
        <f>(INDEX('Avoided Cost Benefits'!$B$4:$B$865,MATCH(DH370,'Avoided Cost Benefits'!$A$4:$A$865,0)))*F370</f>
        <v>42.996848934996059</v>
      </c>
      <c r="DJ370" s="2605">
        <f>K370/(1.0686^(2025-2025))</f>
        <v>15</v>
      </c>
    </row>
    <row r="371" spans="1:114" s="1509" customFormat="1" ht="15" hidden="1" customHeight="1" outlineLevel="1">
      <c r="A371" s="533"/>
      <c r="B371" s="3118"/>
      <c r="C371" s="3181"/>
      <c r="D371" s="2219" t="s">
        <v>118</v>
      </c>
      <c r="E371" s="2993" t="s">
        <v>1381</v>
      </c>
      <c r="F371" s="3182"/>
      <c r="G371" s="2994"/>
      <c r="H371" s="2994"/>
      <c r="I371" s="2994"/>
      <c r="J371" s="2994"/>
      <c r="K371" s="2994"/>
      <c r="L371" s="2994"/>
      <c r="M371" s="3118"/>
      <c r="N371" s="3118"/>
      <c r="O371" s="3118"/>
      <c r="P371" s="3118"/>
      <c r="Q371" s="3118"/>
      <c r="R371" s="3118"/>
      <c r="S371" s="75"/>
      <c r="T371" s="75"/>
      <c r="U371" s="75"/>
      <c r="V371" s="3118"/>
      <c r="W371" s="3118"/>
      <c r="X371" s="3118"/>
      <c r="Y371" s="3118"/>
      <c r="Z371" s="3118"/>
      <c r="AA371" s="3118"/>
      <c r="AB371" s="3118"/>
      <c r="AC371" s="3118"/>
      <c r="AD371" s="3118"/>
      <c r="AE371" s="3118"/>
      <c r="AF371" s="3118"/>
      <c r="AG371" s="3118"/>
      <c r="AH371" s="3043"/>
      <c r="AI371" s="3043"/>
      <c r="AU371" s="1505"/>
      <c r="DG371" s="1074"/>
      <c r="DH371" s="75"/>
      <c r="DI371" s="75"/>
      <c r="DJ371" s="1187"/>
    </row>
    <row r="372" spans="1:114" s="1509" customFormat="1" ht="15" hidden="1" customHeight="1" outlineLevel="1">
      <c r="A372" s="533"/>
      <c r="B372" s="3118"/>
      <c r="C372" s="696"/>
      <c r="D372" s="2219" t="s">
        <v>963</v>
      </c>
      <c r="E372" s="2993" t="s">
        <v>1402</v>
      </c>
      <c r="F372" s="3182"/>
      <c r="G372" s="2994"/>
      <c r="H372" s="2994"/>
      <c r="I372" s="2994"/>
      <c r="J372" s="2994"/>
      <c r="K372" s="2994"/>
      <c r="L372" s="2994"/>
      <c r="M372" s="3118"/>
      <c r="N372" s="3118"/>
      <c r="O372" s="3118"/>
      <c r="P372" s="3118"/>
      <c r="Q372" s="3118"/>
      <c r="R372" s="3118"/>
      <c r="S372" s="75"/>
      <c r="T372" s="75"/>
      <c r="U372" s="75"/>
      <c r="V372" s="3118"/>
      <c r="W372" s="3118"/>
      <c r="X372" s="3118"/>
      <c r="Y372" s="3118"/>
      <c r="Z372" s="3118"/>
      <c r="AA372" s="3118"/>
      <c r="AB372" s="3118"/>
      <c r="AC372" s="3118"/>
      <c r="AD372" s="3118"/>
      <c r="AE372" s="3118"/>
      <c r="AF372" s="3118"/>
      <c r="AG372" s="3118"/>
      <c r="AH372" s="3043"/>
      <c r="AI372" s="3043"/>
      <c r="AU372" s="1505"/>
      <c r="DG372" s="1074"/>
      <c r="DH372" s="75"/>
      <c r="DI372" s="75"/>
      <c r="DJ372" s="1187"/>
    </row>
    <row r="373" spans="1:114" s="1509" customFormat="1" ht="15" hidden="1" customHeight="1" outlineLevel="1">
      <c r="A373" s="533"/>
      <c r="B373" s="3118"/>
      <c r="C373" s="3181"/>
      <c r="D373" s="2994"/>
      <c r="E373" s="2995" t="s">
        <v>966</v>
      </c>
      <c r="F373" s="3181"/>
      <c r="G373" s="2994"/>
      <c r="H373" s="2994"/>
      <c r="I373" s="2994"/>
      <c r="J373" s="2994"/>
      <c r="K373" s="2994"/>
      <c r="L373" s="2994"/>
      <c r="M373" s="3118"/>
      <c r="N373" s="3118"/>
      <c r="O373" s="3118"/>
      <c r="P373" s="3118"/>
      <c r="Q373" s="3118"/>
      <c r="R373" s="3118"/>
      <c r="S373" s="75"/>
      <c r="T373" s="75"/>
      <c r="U373" s="75"/>
      <c r="V373" s="3118"/>
      <c r="W373" s="3118"/>
      <c r="X373" s="3118"/>
      <c r="Y373" s="3118"/>
      <c r="Z373" s="3118"/>
      <c r="AA373" s="3118"/>
      <c r="AB373" s="3118"/>
      <c r="AC373" s="3118"/>
      <c r="AD373" s="3118"/>
      <c r="AE373" s="3118"/>
      <c r="AF373" s="3118"/>
      <c r="AG373" s="3118"/>
      <c r="AH373" s="3043"/>
      <c r="AI373" s="3043"/>
      <c r="AU373" s="1505"/>
      <c r="DG373" s="1074"/>
      <c r="DH373" s="75"/>
      <c r="DI373" s="75"/>
      <c r="DJ373" s="1187"/>
    </row>
    <row r="374" spans="1:114" s="1509" customFormat="1" ht="15" hidden="1" customHeight="1" outlineLevel="1">
      <c r="A374" s="533"/>
      <c r="B374" s="3118"/>
      <c r="C374" s="3181"/>
      <c r="D374" s="2994"/>
      <c r="E374" s="2995"/>
      <c r="F374" s="3181"/>
      <c r="G374" s="2994"/>
      <c r="H374" s="2994"/>
      <c r="I374" s="2994"/>
      <c r="J374" s="2994"/>
      <c r="K374" s="2994"/>
      <c r="L374" s="2994"/>
      <c r="M374" s="3118"/>
      <c r="N374" s="3118"/>
      <c r="O374" s="3118"/>
      <c r="P374" s="3118"/>
      <c r="Q374" s="3118"/>
      <c r="R374" s="3118"/>
      <c r="S374" s="75"/>
      <c r="T374" s="75"/>
      <c r="U374" s="75"/>
      <c r="V374" s="3118"/>
      <c r="W374" s="3118"/>
      <c r="X374" s="3118"/>
      <c r="Y374" s="3118"/>
      <c r="Z374" s="3118"/>
      <c r="AA374" s="3118"/>
      <c r="AB374" s="3118"/>
      <c r="AC374" s="3118"/>
      <c r="AD374" s="3118"/>
      <c r="AE374" s="3118"/>
      <c r="AF374" s="3118"/>
      <c r="AG374" s="3118"/>
      <c r="AH374" s="3043"/>
      <c r="AI374" s="3043"/>
      <c r="AU374" s="1505"/>
      <c r="DG374" s="1074"/>
      <c r="DH374" s="75"/>
      <c r="DI374" s="75"/>
      <c r="DJ374" s="1187"/>
    </row>
    <row r="375" spans="1:114" s="1509" customFormat="1" ht="15" hidden="1" customHeight="1" outlineLevel="1">
      <c r="A375" s="533"/>
      <c r="B375" s="3118"/>
      <c r="C375" s="3181"/>
      <c r="D375" s="2996" t="s">
        <v>1078</v>
      </c>
      <c r="E375" s="2996" t="s">
        <v>967</v>
      </c>
      <c r="F375" s="2964" t="s">
        <v>1215</v>
      </c>
      <c r="G375" s="2997" t="s">
        <v>969</v>
      </c>
      <c r="H375" s="4027" t="s">
        <v>970</v>
      </c>
      <c r="I375" s="4027"/>
      <c r="J375" s="4027" t="s">
        <v>755</v>
      </c>
      <c r="K375" s="4027"/>
      <c r="L375" s="4027"/>
      <c r="M375" s="3118"/>
      <c r="N375" s="3118"/>
      <c r="O375" s="3118"/>
      <c r="P375" s="3118"/>
      <c r="Q375" s="3118"/>
      <c r="R375" s="3118"/>
      <c r="S375" s="75"/>
      <c r="T375" s="75"/>
      <c r="U375" s="75"/>
      <c r="V375" s="2640" t="s">
        <v>52</v>
      </c>
      <c r="W375" s="2641">
        <f>W$6</f>
        <v>43252</v>
      </c>
      <c r="X375" s="2641">
        <f t="shared" ref="X375:AG375" si="44">X$6</f>
        <v>43465</v>
      </c>
      <c r="Y375" s="2642">
        <f t="shared" si="44"/>
        <v>43800</v>
      </c>
      <c r="Z375" s="2641">
        <f t="shared" si="44"/>
        <v>43862</v>
      </c>
      <c r="AA375" s="2641">
        <f t="shared" si="44"/>
        <v>44013</v>
      </c>
      <c r="AB375" s="2641">
        <f t="shared" si="44"/>
        <v>44166</v>
      </c>
      <c r="AC375" s="2641">
        <f t="shared" si="44"/>
        <v>44531</v>
      </c>
      <c r="AD375" s="2641">
        <f t="shared" si="44"/>
        <v>44774</v>
      </c>
      <c r="AE375" s="2641">
        <f t="shared" si="44"/>
        <v>45139</v>
      </c>
      <c r="AF375" s="2641">
        <f t="shared" si="44"/>
        <v>45672</v>
      </c>
      <c r="AG375" s="2641" t="str">
        <f t="shared" si="44"/>
        <v>-</v>
      </c>
      <c r="AH375" s="3043"/>
      <c r="AI375" s="3043"/>
      <c r="AU375" s="1505"/>
      <c r="DG375" s="1074"/>
      <c r="DH375" s="75"/>
      <c r="DI375" s="75"/>
      <c r="DJ375" s="1187"/>
    </row>
    <row r="376" spans="1:114" ht="18" hidden="1" customHeight="1" outlineLevel="1">
      <c r="A376" s="533"/>
      <c r="B376" s="2697"/>
      <c r="C376" s="3183"/>
      <c r="D376" s="2309" t="s">
        <v>1403</v>
      </c>
      <c r="E376" s="2309" t="s">
        <v>1404</v>
      </c>
      <c r="F376" s="2459" t="s">
        <v>1385</v>
      </c>
      <c r="G376" s="3185">
        <v>1</v>
      </c>
      <c r="H376" s="4028" t="s">
        <v>1386</v>
      </c>
      <c r="I376" s="4029"/>
      <c r="J376" s="4023"/>
      <c r="K376" s="4023"/>
      <c r="L376" s="4023"/>
      <c r="M376" s="2963"/>
      <c r="N376" s="2963"/>
      <c r="O376" s="2963"/>
      <c r="P376" s="2963"/>
      <c r="Q376" s="2963"/>
      <c r="R376" s="2963"/>
      <c r="V376" s="2992" t="s">
        <v>1387</v>
      </c>
      <c r="W376" s="2684"/>
      <c r="X376" s="2684"/>
      <c r="Y376" s="2684"/>
      <c r="Z376" s="2684"/>
      <c r="AA376" s="2684"/>
      <c r="AB376" s="2684"/>
      <c r="AC376" s="2684"/>
      <c r="AD376" s="2684"/>
      <c r="AE376" s="2684"/>
      <c r="AF376" s="2236">
        <f t="shared" ref="AF376:AF383" si="45">IF(G376&lt;&gt;"",G376,"")</f>
        <v>1</v>
      </c>
      <c r="AG376" s="2684"/>
      <c r="AH376" s="2723"/>
      <c r="AI376" s="2723"/>
      <c r="AU376" s="1505"/>
      <c r="DJ376" s="1187"/>
    </row>
    <row r="377" spans="1:114" ht="30" hidden="1" customHeight="1" outlineLevel="1">
      <c r="A377" s="533"/>
      <c r="B377" s="2086"/>
      <c r="C377" s="3183"/>
      <c r="D377" s="2309" t="s">
        <v>1388</v>
      </c>
      <c r="E377" s="2999" t="s">
        <v>1389</v>
      </c>
      <c r="F377" s="2459" t="s">
        <v>1385</v>
      </c>
      <c r="G377" s="3000">
        <v>0.8</v>
      </c>
      <c r="H377" s="4030"/>
      <c r="I377" s="4031"/>
      <c r="J377" s="4023"/>
      <c r="K377" s="4023"/>
      <c r="L377" s="4023"/>
      <c r="M377" s="2963"/>
      <c r="N377" s="2963"/>
      <c r="O377" s="2963"/>
      <c r="P377" s="2963"/>
      <c r="Q377" s="2963"/>
      <c r="R377" s="2963"/>
      <c r="V377" s="2992" t="s">
        <v>1390</v>
      </c>
      <c r="W377" s="2707"/>
      <c r="X377" s="2707"/>
      <c r="Y377" s="2707"/>
      <c r="Z377" s="2707"/>
      <c r="AA377" s="2707"/>
      <c r="AB377" s="2707"/>
      <c r="AC377" s="2707"/>
      <c r="AD377" s="2707"/>
      <c r="AE377" s="2707"/>
      <c r="AF377" s="2236">
        <f t="shared" si="45"/>
        <v>0.8</v>
      </c>
      <c r="AG377" s="2707"/>
      <c r="AH377" s="2723"/>
      <c r="AI377" s="2723"/>
      <c r="AU377" s="1505"/>
      <c r="DJ377" s="1187"/>
    </row>
    <row r="378" spans="1:114" ht="18" hidden="1" customHeight="1" outlineLevel="1">
      <c r="A378" s="533"/>
      <c r="B378" s="2086"/>
      <c r="C378" s="3183"/>
      <c r="D378" s="2309" t="s">
        <v>1405</v>
      </c>
      <c r="E378" s="2309" t="s">
        <v>1406</v>
      </c>
      <c r="F378" s="2459" t="s">
        <v>1385</v>
      </c>
      <c r="G378" s="3000">
        <v>4.22</v>
      </c>
      <c r="H378" s="4030"/>
      <c r="I378" s="4031"/>
      <c r="J378" s="4023"/>
      <c r="K378" s="4023"/>
      <c r="L378" s="4023"/>
      <c r="M378" s="2963"/>
      <c r="N378" s="2963"/>
      <c r="O378" s="2963"/>
      <c r="P378" s="2963"/>
      <c r="Q378" s="2963"/>
      <c r="R378" s="2963"/>
      <c r="V378" s="2992" t="s">
        <v>1393</v>
      </c>
      <c r="W378" s="2707"/>
      <c r="X378" s="2707"/>
      <c r="Y378" s="2707"/>
      <c r="Z378" s="2707"/>
      <c r="AA378" s="2707"/>
      <c r="AB378" s="2707"/>
      <c r="AC378" s="2707"/>
      <c r="AD378" s="2707"/>
      <c r="AE378" s="2707"/>
      <c r="AF378" s="2236">
        <f t="shared" si="45"/>
        <v>4.22</v>
      </c>
      <c r="AG378" s="2707"/>
      <c r="AH378" s="2723"/>
      <c r="AI378" s="2723"/>
      <c r="AU378" s="1505"/>
      <c r="DJ378" s="1187"/>
    </row>
    <row r="379" spans="1:114" ht="18" hidden="1" customHeight="1" outlineLevel="1">
      <c r="A379" s="533"/>
      <c r="B379" s="2086"/>
      <c r="C379" s="3183"/>
      <c r="D379" s="2309" t="s">
        <v>1407</v>
      </c>
      <c r="E379" s="2309" t="s">
        <v>1408</v>
      </c>
      <c r="F379" s="2459" t="s">
        <v>1385</v>
      </c>
      <c r="G379" s="3000">
        <v>114</v>
      </c>
      <c r="H379" s="4032"/>
      <c r="I379" s="4033"/>
      <c r="J379" s="4023"/>
      <c r="K379" s="4023"/>
      <c r="L379" s="4023"/>
      <c r="M379" s="2963"/>
      <c r="N379" s="2963"/>
      <c r="O379" s="2963"/>
      <c r="P379" s="2963"/>
      <c r="Q379" s="2963"/>
      <c r="R379" s="2963"/>
      <c r="V379" s="2992" t="s">
        <v>1396</v>
      </c>
      <c r="W379" s="2707"/>
      <c r="X379" s="2707"/>
      <c r="Y379" s="2707"/>
      <c r="Z379" s="2707"/>
      <c r="AA379" s="2707"/>
      <c r="AB379" s="2707"/>
      <c r="AC379" s="2707"/>
      <c r="AD379" s="2707"/>
      <c r="AE379" s="2707"/>
      <c r="AF379" s="2236">
        <f t="shared" si="45"/>
        <v>114</v>
      </c>
      <c r="AG379" s="2707"/>
      <c r="AH379" s="2723"/>
      <c r="AI379" s="2723"/>
      <c r="AU379" s="1505"/>
      <c r="DJ379" s="1187"/>
    </row>
    <row r="380" spans="1:114" ht="15" hidden="1" customHeight="1" outlineLevel="1">
      <c r="A380" s="533"/>
      <c r="B380" s="2086"/>
      <c r="C380" s="3183"/>
      <c r="D380" s="2309" t="s">
        <v>353</v>
      </c>
      <c r="E380" s="2309" t="s">
        <v>1397</v>
      </c>
      <c r="F380" s="2459" t="s">
        <v>1385</v>
      </c>
      <c r="G380" s="3000">
        <v>0.35</v>
      </c>
      <c r="H380" s="4024"/>
      <c r="I380" s="4024"/>
      <c r="J380" s="4023"/>
      <c r="K380" s="4023"/>
      <c r="L380" s="4023"/>
      <c r="M380" s="2963"/>
      <c r="N380" s="2963"/>
      <c r="O380" s="2963"/>
      <c r="P380" s="2963"/>
      <c r="Q380" s="2963"/>
      <c r="R380" s="2963"/>
      <c r="V380" s="2992" t="s">
        <v>353</v>
      </c>
      <c r="W380" s="2684"/>
      <c r="X380" s="2684"/>
      <c r="Y380" s="2684"/>
      <c r="Z380" s="2684"/>
      <c r="AA380" s="2684"/>
      <c r="AB380" s="2684"/>
      <c r="AC380" s="2684"/>
      <c r="AD380" s="2684"/>
      <c r="AE380" s="2684"/>
      <c r="AF380" s="2236">
        <f t="shared" si="45"/>
        <v>0.35</v>
      </c>
      <c r="AG380" s="2684"/>
      <c r="AH380" s="2723"/>
      <c r="AI380" s="2723"/>
      <c r="AU380" s="1505"/>
      <c r="DJ380" s="1187"/>
    </row>
    <row r="381" spans="1:114" s="273" customFormat="1" ht="15" hidden="1" customHeight="1" outlineLevel="1">
      <c r="A381" s="533"/>
      <c r="B381" s="2086"/>
      <c r="C381" s="3184"/>
      <c r="D381" s="2309" t="s">
        <v>128</v>
      </c>
      <c r="E381" s="2309" t="s">
        <v>1398</v>
      </c>
      <c r="F381" s="2459" t="s">
        <v>1385</v>
      </c>
      <c r="G381" s="3001">
        <v>0.8</v>
      </c>
      <c r="H381" s="4021" t="s">
        <v>1399</v>
      </c>
      <c r="I381" s="4021"/>
      <c r="J381" s="4023"/>
      <c r="K381" s="4023"/>
      <c r="L381" s="4023"/>
      <c r="M381" s="2696"/>
      <c r="N381" s="2696"/>
      <c r="O381" s="2696"/>
      <c r="P381" s="2696"/>
      <c r="Q381" s="2696"/>
      <c r="R381" s="2696"/>
      <c r="S381" s="366"/>
      <c r="T381" s="283"/>
      <c r="U381" s="283"/>
      <c r="V381" s="2992" t="s">
        <v>128</v>
      </c>
      <c r="W381" s="2600"/>
      <c r="X381" s="2600"/>
      <c r="Y381" s="2600"/>
      <c r="Z381" s="2600"/>
      <c r="AA381" s="2600"/>
      <c r="AB381" s="2600"/>
      <c r="AC381" s="2600"/>
      <c r="AD381" s="2600"/>
      <c r="AE381" s="2600"/>
      <c r="AF381" s="2236">
        <f t="shared" si="45"/>
        <v>0.8</v>
      </c>
      <c r="AG381" s="2600"/>
      <c r="AH381" s="2229"/>
      <c r="AI381" s="2229"/>
      <c r="AK381" s="358"/>
      <c r="DG381" s="540"/>
      <c r="DH381" s="283"/>
      <c r="DI381" s="283"/>
      <c r="DJ381" s="1187"/>
    </row>
    <row r="382" spans="1:114" s="273" customFormat="1" ht="15" hidden="1" customHeight="1" outlineLevel="1">
      <c r="A382" s="533"/>
      <c r="B382" s="2086"/>
      <c r="C382" s="3184"/>
      <c r="D382" s="2309" t="s">
        <v>49</v>
      </c>
      <c r="E382" s="2309" t="s">
        <v>1198</v>
      </c>
      <c r="F382" s="2459" t="s">
        <v>1385</v>
      </c>
      <c r="G382" s="2378">
        <v>20</v>
      </c>
      <c r="H382" s="4024"/>
      <c r="I382" s="4024"/>
      <c r="J382" s="4023"/>
      <c r="K382" s="4023"/>
      <c r="L382" s="4023"/>
      <c r="M382" s="2696"/>
      <c r="N382" s="2696"/>
      <c r="O382" s="2696"/>
      <c r="P382" s="2696"/>
      <c r="Q382" s="2696"/>
      <c r="R382" s="2696"/>
      <c r="S382" s="366"/>
      <c r="T382" s="283"/>
      <c r="U382" s="283"/>
      <c r="V382" s="2992" t="s">
        <v>49</v>
      </c>
      <c r="W382" s="2600"/>
      <c r="X382" s="2600"/>
      <c r="Y382" s="2600"/>
      <c r="Z382" s="2600"/>
      <c r="AA382" s="2600"/>
      <c r="AB382" s="2600"/>
      <c r="AC382" s="2600"/>
      <c r="AD382" s="2600"/>
      <c r="AE382" s="2600"/>
      <c r="AF382" s="2236">
        <f t="shared" si="45"/>
        <v>20</v>
      </c>
      <c r="AG382" s="2600"/>
      <c r="AH382" s="2229"/>
      <c r="AI382" s="2229"/>
      <c r="AK382" s="358"/>
      <c r="DG382" s="540"/>
      <c r="DH382" s="283"/>
      <c r="DI382" s="283"/>
      <c r="DJ382" s="1187"/>
    </row>
    <row r="383" spans="1:114" s="273" customFormat="1" ht="15" hidden="1" customHeight="1" outlineLevel="1">
      <c r="A383" s="533"/>
      <c r="B383" s="2086"/>
      <c r="C383" s="3184"/>
      <c r="D383" s="2309" t="s">
        <v>50</v>
      </c>
      <c r="E383" s="2309" t="s">
        <v>1135</v>
      </c>
      <c r="F383" s="2459" t="s">
        <v>1385</v>
      </c>
      <c r="G383" s="2263">
        <v>15</v>
      </c>
      <c r="H383" s="4021" t="s">
        <v>1399</v>
      </c>
      <c r="I383" s="4021"/>
      <c r="J383" s="4022"/>
      <c r="K383" s="4022"/>
      <c r="L383" s="4022"/>
      <c r="M383" s="2696"/>
      <c r="N383" s="2696"/>
      <c r="O383" s="2696"/>
      <c r="P383" s="2696"/>
      <c r="Q383" s="2696"/>
      <c r="R383" s="2696"/>
      <c r="S383" s="1023"/>
      <c r="T383" s="283"/>
      <c r="U383" s="283"/>
      <c r="V383" s="2992" t="s">
        <v>50</v>
      </c>
      <c r="W383" s="2600"/>
      <c r="X383" s="2600"/>
      <c r="Y383" s="2600"/>
      <c r="Z383" s="2600"/>
      <c r="AA383" s="2600"/>
      <c r="AB383" s="2600"/>
      <c r="AC383" s="2600"/>
      <c r="AD383" s="2600"/>
      <c r="AE383" s="2600"/>
      <c r="AF383" s="2236">
        <f t="shared" si="45"/>
        <v>15</v>
      </c>
      <c r="AG383" s="2600"/>
      <c r="AH383" s="2229"/>
      <c r="AI383" s="2229"/>
      <c r="AK383" s="358"/>
      <c r="DG383" s="540"/>
      <c r="DH383" s="283"/>
      <c r="DI383" s="283"/>
      <c r="DJ383" s="1187"/>
    </row>
    <row r="384" spans="1:114" ht="15.75" hidden="1" customHeight="1" outlineLevel="1">
      <c r="A384" s="533"/>
      <c r="B384" s="2086"/>
      <c r="C384" s="2963"/>
      <c r="D384" s="2963"/>
      <c r="E384" s="2963"/>
      <c r="F384" s="2963"/>
      <c r="G384" s="2963"/>
      <c r="H384" s="2963"/>
      <c r="I384" s="2963"/>
      <c r="J384" s="2963"/>
      <c r="K384" s="2963"/>
      <c r="L384" s="2963"/>
      <c r="M384" s="2963"/>
      <c r="N384" s="2963"/>
      <c r="O384" s="2963"/>
      <c r="P384" s="2963"/>
      <c r="Q384" s="2963"/>
      <c r="R384" s="2963"/>
      <c r="AU384" s="1505"/>
      <c r="DJ384" s="1187"/>
    </row>
    <row r="385" spans="1:114" collapsed="1">
      <c r="A385" s="533"/>
      <c r="B385" s="2086"/>
      <c r="C385" s="2963"/>
      <c r="D385" s="2963"/>
      <c r="E385" s="2963"/>
      <c r="F385" s="2963"/>
      <c r="G385" s="2963"/>
      <c r="H385" s="2963"/>
      <c r="I385" s="2963"/>
      <c r="J385" s="2963"/>
      <c r="K385" s="2963"/>
      <c r="L385" s="2963"/>
      <c r="M385" s="2963"/>
      <c r="N385" s="2963"/>
      <c r="O385" s="2963"/>
      <c r="P385" s="2963"/>
      <c r="Q385" s="2963"/>
      <c r="R385" s="2963"/>
      <c r="AU385" s="1505"/>
      <c r="DJ385" s="1187"/>
    </row>
    <row r="386" spans="1:114">
      <c r="A386" s="533"/>
      <c r="B386" s="4025" t="s">
        <v>1409</v>
      </c>
      <c r="C386" s="4026"/>
      <c r="D386" s="4026"/>
      <c r="E386" s="4026"/>
      <c r="F386" s="4026"/>
      <c r="G386" s="4026"/>
      <c r="H386" s="4026"/>
      <c r="I386" s="4817"/>
      <c r="J386" s="4817"/>
      <c r="K386" s="4817"/>
      <c r="L386" s="4817"/>
      <c r="M386" s="4817"/>
      <c r="N386" s="4817"/>
      <c r="O386" s="4818"/>
      <c r="P386" s="2086"/>
      <c r="Q386" s="2086"/>
      <c r="R386" s="2086"/>
      <c r="V386" s="4040" t="str">
        <f>B386</f>
        <v>Weatherstripping</v>
      </c>
      <c r="W386" s="4041"/>
      <c r="X386" s="4041"/>
      <c r="Y386" s="4041"/>
      <c r="Z386" s="4041"/>
      <c r="AA386" s="4041"/>
      <c r="AB386" s="4041"/>
      <c r="AC386" s="4832"/>
      <c r="AD386" s="4832"/>
      <c r="AE386" s="4832"/>
      <c r="AF386" s="4832"/>
      <c r="AG386" s="4832"/>
      <c r="AH386" s="4832"/>
      <c r="AI386" s="4833"/>
      <c r="AU386" s="1505"/>
      <c r="DJ386" s="1187"/>
    </row>
    <row r="387" spans="1:114">
      <c r="A387" s="533"/>
      <c r="B387" s="2086"/>
      <c r="C387" s="2963"/>
      <c r="D387" s="2711"/>
      <c r="E387" s="2711"/>
      <c r="F387" s="2963"/>
      <c r="G387" s="2086"/>
      <c r="H387" s="2086"/>
      <c r="I387" s="2086"/>
      <c r="J387" s="2086"/>
      <c r="K387" s="2086"/>
      <c r="L387" s="2086"/>
      <c r="M387" s="2086"/>
      <c r="N387" s="2086"/>
      <c r="O387" s="2086"/>
      <c r="P387" s="2086"/>
      <c r="Q387" s="2086"/>
      <c r="R387" s="2086"/>
      <c r="V387" s="2723"/>
      <c r="W387" s="2723"/>
      <c r="X387" s="2723"/>
      <c r="Y387" s="2723"/>
      <c r="Z387" s="2723"/>
      <c r="AA387" s="2723"/>
      <c r="AB387" s="2723"/>
      <c r="AC387" s="2723"/>
      <c r="AD387" s="2723"/>
      <c r="AE387" s="2723"/>
      <c r="AF387" s="2723"/>
      <c r="AG387" s="2723"/>
      <c r="AH387" s="2723"/>
      <c r="AI387" s="2723"/>
      <c r="AU387" s="1505"/>
      <c r="DJ387" s="1187"/>
    </row>
    <row r="388" spans="1:114" ht="30">
      <c r="A388" s="533"/>
      <c r="B388" s="2086"/>
      <c r="C388" s="2964" t="s">
        <v>42</v>
      </c>
      <c r="D388" s="2964" t="s">
        <v>953</v>
      </c>
      <c r="E388" s="2965" t="s">
        <v>44</v>
      </c>
      <c r="F388" s="2964" t="s">
        <v>45</v>
      </c>
      <c r="G388" s="2965" t="s">
        <v>46</v>
      </c>
      <c r="H388" s="2965" t="s">
        <v>47</v>
      </c>
      <c r="I388" s="2965" t="s">
        <v>48</v>
      </c>
      <c r="J388" s="2965" t="s">
        <v>49</v>
      </c>
      <c r="K388" s="2965" t="s">
        <v>50</v>
      </c>
      <c r="L388" s="2964" t="s">
        <v>51</v>
      </c>
      <c r="M388" s="635"/>
      <c r="N388" s="635"/>
      <c r="O388" s="2086"/>
      <c r="P388" s="2086"/>
      <c r="Q388" s="2086"/>
      <c r="R388" s="2086"/>
      <c r="V388" s="2640" t="s">
        <v>52</v>
      </c>
      <c r="W388" s="2641">
        <v>43252</v>
      </c>
      <c r="X388" s="2641">
        <f>$X$6</f>
        <v>43465</v>
      </c>
      <c r="Y388" s="2641">
        <f>$Y$6</f>
        <v>43800</v>
      </c>
      <c r="Z388" s="2641">
        <f>$Z$6</f>
        <v>43862</v>
      </c>
      <c r="AA388" s="2641">
        <f>$AA$6</f>
        <v>44013</v>
      </c>
      <c r="AB388" s="2641">
        <f>$AB$6</f>
        <v>44166</v>
      </c>
      <c r="AC388" s="2641">
        <f>$AC$6</f>
        <v>44531</v>
      </c>
      <c r="AD388" s="2641">
        <f>$AD$6</f>
        <v>44774</v>
      </c>
      <c r="AE388" s="2641">
        <f>$AE$6</f>
        <v>45139</v>
      </c>
      <c r="AF388" s="2641">
        <f>$AF$6</f>
        <v>45672</v>
      </c>
      <c r="AG388" s="2641" t="str">
        <f>$AG$6</f>
        <v>-</v>
      </c>
      <c r="AH388" s="2723"/>
      <c r="AI388" s="2723"/>
      <c r="AU388" s="1505"/>
      <c r="DG388" s="3048" t="str">
        <f>$DG$6</f>
        <v>TRC (2025)</v>
      </c>
      <c r="DH388" s="3048" t="str">
        <f>$DH$6</f>
        <v>Benefit Lookup</v>
      </c>
      <c r="DI388" s="3049" t="str">
        <f>$DI$6</f>
        <v>Benefits (2025 $)</v>
      </c>
      <c r="DJ388" s="3050" t="str">
        <f>$DJ$6</f>
        <v>Incremental Cost (2025 $)</v>
      </c>
    </row>
    <row r="389" spans="1:114">
      <c r="A389" s="533"/>
      <c r="B389" s="2208">
        <f>VALUE(LEFT(C389,6))</f>
        <v>251520</v>
      </c>
      <c r="C389" s="2733" t="s">
        <v>1410</v>
      </c>
      <c r="D389" s="2409" t="s">
        <v>1139</v>
      </c>
      <c r="E389" s="2714" t="s">
        <v>1411</v>
      </c>
      <c r="F389" s="2733">
        <f>ROUND(((G395 * G396 * G397) + (G395 * G396 * G398 * G399)) * G400,2)</f>
        <v>18.84</v>
      </c>
      <c r="G389" s="2478" t="s">
        <v>1380</v>
      </c>
      <c r="H389" s="2225">
        <f>VLOOKUP(G389,'CP FACTORS'!$A$3:$B$38, 2, FALSE)</f>
        <v>4.6608050000000002E-4</v>
      </c>
      <c r="I389" s="2481">
        <f>ROUND(H389*F389,6)</f>
        <v>8.7810000000000006E-3</v>
      </c>
      <c r="J389" s="2664">
        <f>G401</f>
        <v>20</v>
      </c>
      <c r="K389" s="2665">
        <f>G402</f>
        <v>5</v>
      </c>
      <c r="L389" s="2459" t="s">
        <v>62</v>
      </c>
      <c r="M389" s="2086"/>
      <c r="N389" s="2701"/>
      <c r="O389" s="2966"/>
      <c r="P389" s="2086"/>
      <c r="Q389" s="2086"/>
      <c r="R389" s="2966"/>
      <c r="V389" s="2962" t="s">
        <v>1315</v>
      </c>
      <c r="W389" s="2962"/>
      <c r="X389" s="2962"/>
      <c r="Y389" s="2962"/>
      <c r="Z389" s="2962"/>
      <c r="AA389" s="2962"/>
      <c r="AB389" s="2962"/>
      <c r="AC389" s="2962"/>
      <c r="AD389" s="2962"/>
      <c r="AE389" s="2962"/>
      <c r="AF389" s="2236">
        <f>IF(F389&lt;&gt;"",F389,"")</f>
        <v>18.84</v>
      </c>
      <c r="AG389" s="2962"/>
      <c r="AH389" s="2728"/>
      <c r="AI389" s="2723"/>
      <c r="AU389" s="1505"/>
      <c r="DG389" s="3133">
        <f>IFERROR((DI389)/(DJ389),0)</f>
        <v>5.7369733281538657</v>
      </c>
      <c r="DH389" s="2432" t="str">
        <f>CONCATENATE(G389," ",J389," Year EUL")</f>
        <v>Building Shell RES 20 Year EUL</v>
      </c>
      <c r="DI389" s="2604">
        <f>(INDEX('Avoided Cost Benefits'!$B$4:$B$865,MATCH(DH389,'Avoided Cost Benefits'!$A$4:$A$865,0)))*F389</f>
        <v>28.684866640769329</v>
      </c>
      <c r="DJ389" s="2605">
        <f>K389/(1.0686^(2025-2025))</f>
        <v>5</v>
      </c>
    </row>
    <row r="390" spans="1:114" s="1509" customFormat="1" ht="15" hidden="1" customHeight="1" outlineLevel="1">
      <c r="A390" s="533"/>
      <c r="B390" s="3118"/>
      <c r="C390" s="3181"/>
      <c r="D390" s="2219" t="s">
        <v>118</v>
      </c>
      <c r="E390" s="2993" t="s">
        <v>1381</v>
      </c>
      <c r="F390" s="3182"/>
      <c r="G390" s="2994"/>
      <c r="H390" s="2994"/>
      <c r="I390" s="2994"/>
      <c r="J390" s="2994"/>
      <c r="K390" s="2994"/>
      <c r="L390" s="2994"/>
      <c r="M390" s="3118"/>
      <c r="N390" s="3118"/>
      <c r="O390" s="3118"/>
      <c r="P390" s="3118"/>
      <c r="Q390" s="3118"/>
      <c r="R390" s="3118"/>
      <c r="S390" s="75"/>
      <c r="T390" s="75"/>
      <c r="U390" s="75"/>
      <c r="V390" s="3118"/>
      <c r="W390" s="3118"/>
      <c r="X390" s="3118"/>
      <c r="Y390" s="3118"/>
      <c r="Z390" s="3118"/>
      <c r="AA390" s="3118"/>
      <c r="AB390" s="3118"/>
      <c r="AC390" s="3118"/>
      <c r="AD390" s="3118"/>
      <c r="AE390" s="3118"/>
      <c r="AF390" s="3118"/>
      <c r="AG390" s="3118"/>
      <c r="AH390" s="3043"/>
      <c r="AI390" s="3043"/>
      <c r="AU390" s="1505"/>
      <c r="DG390" s="1074"/>
      <c r="DH390" s="75"/>
      <c r="DI390" s="75"/>
      <c r="DJ390" s="1187"/>
    </row>
    <row r="391" spans="1:114" s="1509" customFormat="1" ht="15" hidden="1" customHeight="1" outlineLevel="1">
      <c r="A391" s="533"/>
      <c r="B391" s="3118"/>
      <c r="C391" s="696"/>
      <c r="D391" s="2219" t="s">
        <v>963</v>
      </c>
      <c r="E391" s="2993" t="s">
        <v>1382</v>
      </c>
      <c r="F391" s="3182"/>
      <c r="G391" s="2994"/>
      <c r="H391" s="2994"/>
      <c r="I391" s="2994"/>
      <c r="J391" s="2994"/>
      <c r="K391" s="2994"/>
      <c r="L391" s="2994"/>
      <c r="M391" s="3118"/>
      <c r="N391" s="3118"/>
      <c r="O391" s="3118"/>
      <c r="P391" s="3118"/>
      <c r="Q391" s="3118"/>
      <c r="R391" s="3118"/>
      <c r="S391" s="75"/>
      <c r="T391" s="75"/>
      <c r="U391" s="75"/>
      <c r="V391" s="3118"/>
      <c r="W391" s="3118"/>
      <c r="X391" s="3118"/>
      <c r="Y391" s="3118"/>
      <c r="Z391" s="3118"/>
      <c r="AA391" s="3118"/>
      <c r="AB391" s="3118"/>
      <c r="AC391" s="3118"/>
      <c r="AD391" s="3118"/>
      <c r="AE391" s="3118"/>
      <c r="AF391" s="3118"/>
      <c r="AG391" s="3118"/>
      <c r="AH391" s="3043"/>
      <c r="AI391" s="3043"/>
      <c r="AU391" s="1505"/>
      <c r="DG391" s="1074"/>
      <c r="DH391" s="75"/>
      <c r="DI391" s="75"/>
      <c r="DJ391" s="1187"/>
    </row>
    <row r="392" spans="1:114" s="1509" customFormat="1" ht="15" hidden="1" customHeight="1" outlineLevel="1">
      <c r="A392" s="533"/>
      <c r="B392" s="3118"/>
      <c r="C392" s="3181"/>
      <c r="D392" s="2994"/>
      <c r="E392" s="2995" t="s">
        <v>966</v>
      </c>
      <c r="F392" s="3181"/>
      <c r="G392" s="2994"/>
      <c r="H392" s="2994"/>
      <c r="I392" s="2994"/>
      <c r="J392" s="2994"/>
      <c r="K392" s="2994"/>
      <c r="L392" s="2994"/>
      <c r="M392" s="3118"/>
      <c r="N392" s="3118"/>
      <c r="O392" s="3118"/>
      <c r="P392" s="3118"/>
      <c r="Q392" s="3118"/>
      <c r="R392" s="3118"/>
      <c r="S392" s="75"/>
      <c r="T392" s="75"/>
      <c r="U392" s="75"/>
      <c r="V392" s="3118"/>
      <c r="W392" s="3118"/>
      <c r="X392" s="3118"/>
      <c r="Y392" s="3118"/>
      <c r="Z392" s="3118"/>
      <c r="AA392" s="3118"/>
      <c r="AB392" s="3118"/>
      <c r="AC392" s="3118"/>
      <c r="AD392" s="3118"/>
      <c r="AE392" s="3118"/>
      <c r="AF392" s="3118"/>
      <c r="AG392" s="3118"/>
      <c r="AH392" s="3043"/>
      <c r="AI392" s="3043"/>
      <c r="AU392" s="1505"/>
      <c r="DG392" s="1074"/>
      <c r="DH392" s="75"/>
      <c r="DI392" s="75"/>
      <c r="DJ392" s="1187"/>
    </row>
    <row r="393" spans="1:114" s="1509" customFormat="1" ht="15" hidden="1" customHeight="1" outlineLevel="1">
      <c r="A393" s="533"/>
      <c r="B393" s="3118"/>
      <c r="C393" s="3181"/>
      <c r="D393" s="2994"/>
      <c r="E393" s="2995"/>
      <c r="F393" s="3181"/>
      <c r="G393" s="2994"/>
      <c r="H393" s="2994"/>
      <c r="I393" s="2994"/>
      <c r="J393" s="2994"/>
      <c r="K393" s="2994"/>
      <c r="L393" s="2994"/>
      <c r="M393" s="3118"/>
      <c r="N393" s="3118"/>
      <c r="O393" s="3118"/>
      <c r="P393" s="3118"/>
      <c r="Q393" s="3118"/>
      <c r="R393" s="3118"/>
      <c r="S393" s="75"/>
      <c r="T393" s="75"/>
      <c r="U393" s="75"/>
      <c r="V393" s="3118"/>
      <c r="W393" s="3118"/>
      <c r="X393" s="3118"/>
      <c r="Y393" s="3118"/>
      <c r="Z393" s="3118"/>
      <c r="AA393" s="3118"/>
      <c r="AB393" s="3118"/>
      <c r="AC393" s="3118"/>
      <c r="AD393" s="3118"/>
      <c r="AE393" s="3118"/>
      <c r="AF393" s="3118"/>
      <c r="AG393" s="3118"/>
      <c r="AH393" s="3043"/>
      <c r="AI393" s="3043"/>
      <c r="AU393" s="1505"/>
      <c r="DG393" s="1074"/>
      <c r="DH393" s="75"/>
      <c r="DI393" s="75"/>
      <c r="DJ393" s="1187"/>
    </row>
    <row r="394" spans="1:114" s="1509" customFormat="1" ht="15" hidden="1" customHeight="1" outlineLevel="1">
      <c r="A394" s="533"/>
      <c r="B394" s="3118"/>
      <c r="C394" s="3181"/>
      <c r="D394" s="2996" t="s">
        <v>1078</v>
      </c>
      <c r="E394" s="2996" t="s">
        <v>967</v>
      </c>
      <c r="F394" s="2964" t="s">
        <v>1215</v>
      </c>
      <c r="G394" s="2997" t="s">
        <v>969</v>
      </c>
      <c r="H394" s="4027" t="s">
        <v>970</v>
      </c>
      <c r="I394" s="4027"/>
      <c r="J394" s="4027" t="s">
        <v>755</v>
      </c>
      <c r="K394" s="4027"/>
      <c r="L394" s="4027"/>
      <c r="M394" s="3118"/>
      <c r="N394" s="3118"/>
      <c r="O394" s="3118"/>
      <c r="P394" s="3118"/>
      <c r="Q394" s="3118"/>
      <c r="R394" s="3118"/>
      <c r="S394" s="75"/>
      <c r="T394" s="75"/>
      <c r="U394" s="75"/>
      <c r="V394" s="2640" t="s">
        <v>52</v>
      </c>
      <c r="W394" s="2641">
        <f>W$6</f>
        <v>43252</v>
      </c>
      <c r="X394" s="2641">
        <f t="shared" ref="X394:AG394" si="46">X$6</f>
        <v>43465</v>
      </c>
      <c r="Y394" s="2642">
        <f t="shared" si="46"/>
        <v>43800</v>
      </c>
      <c r="Z394" s="2641">
        <f t="shared" si="46"/>
        <v>43862</v>
      </c>
      <c r="AA394" s="2641">
        <f t="shared" si="46"/>
        <v>44013</v>
      </c>
      <c r="AB394" s="2641">
        <f t="shared" si="46"/>
        <v>44166</v>
      </c>
      <c r="AC394" s="2641">
        <f t="shared" si="46"/>
        <v>44531</v>
      </c>
      <c r="AD394" s="2641">
        <f t="shared" si="46"/>
        <v>44774</v>
      </c>
      <c r="AE394" s="2641">
        <f t="shared" si="46"/>
        <v>45139</v>
      </c>
      <c r="AF394" s="2641">
        <f t="shared" si="46"/>
        <v>45672</v>
      </c>
      <c r="AG394" s="2641" t="str">
        <f t="shared" si="46"/>
        <v>-</v>
      </c>
      <c r="AH394" s="3043"/>
      <c r="AI394" s="3043"/>
      <c r="AU394" s="1505"/>
      <c r="DG394" s="1074"/>
      <c r="DH394" s="75"/>
      <c r="DI394" s="75"/>
      <c r="DJ394" s="1187"/>
    </row>
    <row r="395" spans="1:114" ht="18" hidden="1" customHeight="1" outlineLevel="1">
      <c r="A395" s="533"/>
      <c r="B395" s="2697"/>
      <c r="C395" s="3183"/>
      <c r="D395" s="2309" t="s">
        <v>1383</v>
      </c>
      <c r="E395" s="2309" t="s">
        <v>1384</v>
      </c>
      <c r="F395" s="2459" t="s">
        <v>1385</v>
      </c>
      <c r="G395" s="2998">
        <v>17</v>
      </c>
      <c r="H395" s="4028" t="s">
        <v>1386</v>
      </c>
      <c r="I395" s="4029"/>
      <c r="J395" s="4023"/>
      <c r="K395" s="4023"/>
      <c r="L395" s="4023"/>
      <c r="M395" s="2963"/>
      <c r="N395" s="2963"/>
      <c r="O395" s="2963"/>
      <c r="P395" s="2963"/>
      <c r="Q395" s="2963"/>
      <c r="R395" s="2963"/>
      <c r="V395" s="2992" t="s">
        <v>1387</v>
      </c>
      <c r="W395" s="2684"/>
      <c r="X395" s="2684"/>
      <c r="Y395" s="2684"/>
      <c r="Z395" s="2684"/>
      <c r="AA395" s="2684"/>
      <c r="AB395" s="2684"/>
      <c r="AC395" s="2684"/>
      <c r="AD395" s="2684"/>
      <c r="AE395" s="2684"/>
      <c r="AF395" s="2236">
        <f t="shared" ref="AF395:AF402" si="47">IF(G395&lt;&gt;"",G395,"")</f>
        <v>17</v>
      </c>
      <c r="AG395" s="2684"/>
      <c r="AH395" s="2723"/>
      <c r="AI395" s="2723"/>
      <c r="AU395" s="1505"/>
      <c r="DJ395" s="1187"/>
    </row>
    <row r="396" spans="1:114" ht="30" hidden="1" customHeight="1" outlineLevel="1">
      <c r="A396" s="533"/>
      <c r="B396" s="2086"/>
      <c r="C396" s="3183"/>
      <c r="D396" s="2309" t="s">
        <v>1388</v>
      </c>
      <c r="E396" s="2999" t="s">
        <v>1389</v>
      </c>
      <c r="F396" s="2459" t="s">
        <v>1385</v>
      </c>
      <c r="G396" s="3000">
        <v>0.8</v>
      </c>
      <c r="H396" s="4030"/>
      <c r="I396" s="4031"/>
      <c r="J396" s="4023"/>
      <c r="K396" s="4023"/>
      <c r="L396" s="4023"/>
      <c r="M396" s="2963"/>
      <c r="N396" s="2963"/>
      <c r="O396" s="2963"/>
      <c r="P396" s="2963"/>
      <c r="Q396" s="2963"/>
      <c r="R396" s="2963"/>
      <c r="V396" s="2992" t="s">
        <v>1390</v>
      </c>
      <c r="W396" s="2707"/>
      <c r="X396" s="2707"/>
      <c r="Y396" s="2707"/>
      <c r="Z396" s="2707"/>
      <c r="AA396" s="2707"/>
      <c r="AB396" s="2707"/>
      <c r="AC396" s="2707"/>
      <c r="AD396" s="2707"/>
      <c r="AE396" s="2707"/>
      <c r="AF396" s="2236">
        <f t="shared" si="47"/>
        <v>0.8</v>
      </c>
      <c r="AG396" s="2707"/>
      <c r="AH396" s="2723"/>
      <c r="AI396" s="2723"/>
      <c r="AU396" s="1505"/>
      <c r="DJ396" s="1187"/>
    </row>
    <row r="397" spans="1:114" ht="18" hidden="1" customHeight="1" outlineLevel="1">
      <c r="A397" s="533"/>
      <c r="B397" s="2086"/>
      <c r="C397" s="3183"/>
      <c r="D397" s="2309" t="s">
        <v>1391</v>
      </c>
      <c r="E397" s="2309" t="s">
        <v>1392</v>
      </c>
      <c r="F397" s="2459" t="s">
        <v>1385</v>
      </c>
      <c r="G397" s="3000">
        <v>0.11</v>
      </c>
      <c r="H397" s="4030"/>
      <c r="I397" s="4031"/>
      <c r="J397" s="4023"/>
      <c r="K397" s="4023"/>
      <c r="L397" s="4023"/>
      <c r="M397" s="2963"/>
      <c r="N397" s="2963"/>
      <c r="O397" s="2963"/>
      <c r="P397" s="2963"/>
      <c r="Q397" s="2963"/>
      <c r="R397" s="2963"/>
      <c r="V397" s="2992" t="s">
        <v>1393</v>
      </c>
      <c r="W397" s="2707"/>
      <c r="X397" s="2707"/>
      <c r="Y397" s="2707"/>
      <c r="Z397" s="2707"/>
      <c r="AA397" s="2707"/>
      <c r="AB397" s="2707"/>
      <c r="AC397" s="2707"/>
      <c r="AD397" s="2707"/>
      <c r="AE397" s="2707"/>
      <c r="AF397" s="2236">
        <f t="shared" si="47"/>
        <v>0.11</v>
      </c>
      <c r="AG397" s="2707"/>
      <c r="AH397" s="2723"/>
      <c r="AI397" s="2723"/>
      <c r="AU397" s="1505"/>
      <c r="DJ397" s="1187"/>
    </row>
    <row r="398" spans="1:114" ht="18" hidden="1" customHeight="1" outlineLevel="1">
      <c r="A398" s="533"/>
      <c r="B398" s="2086"/>
      <c r="C398" s="3183"/>
      <c r="D398" s="2309" t="s">
        <v>1394</v>
      </c>
      <c r="E398" s="2309" t="s">
        <v>1395</v>
      </c>
      <c r="F398" s="2459" t="s">
        <v>1385</v>
      </c>
      <c r="G398" s="3000">
        <v>7.6</v>
      </c>
      <c r="H398" s="4032"/>
      <c r="I398" s="4033"/>
      <c r="J398" s="4023"/>
      <c r="K398" s="4023"/>
      <c r="L398" s="4023"/>
      <c r="M398" s="2963"/>
      <c r="N398" s="2963"/>
      <c r="O398" s="2963"/>
      <c r="P398" s="2963"/>
      <c r="Q398" s="2963"/>
      <c r="R398" s="2963"/>
      <c r="V398" s="2992" t="s">
        <v>1396</v>
      </c>
      <c r="W398" s="2707"/>
      <c r="X398" s="2707"/>
      <c r="Y398" s="2707"/>
      <c r="Z398" s="2707"/>
      <c r="AA398" s="2707"/>
      <c r="AB398" s="2707"/>
      <c r="AC398" s="2707"/>
      <c r="AD398" s="2707"/>
      <c r="AE398" s="2707"/>
      <c r="AF398" s="2236">
        <f t="shared" si="47"/>
        <v>7.6</v>
      </c>
      <c r="AG398" s="2707"/>
      <c r="AH398" s="2723"/>
      <c r="AI398" s="2723"/>
      <c r="AU398" s="1505"/>
      <c r="DJ398" s="1187"/>
    </row>
    <row r="399" spans="1:114" ht="15" hidden="1" customHeight="1" outlineLevel="1">
      <c r="A399" s="533"/>
      <c r="B399" s="2086"/>
      <c r="C399" s="3183"/>
      <c r="D399" s="2309" t="s">
        <v>353</v>
      </c>
      <c r="E399" s="2309" t="s">
        <v>1397</v>
      </c>
      <c r="F399" s="2459" t="s">
        <v>1385</v>
      </c>
      <c r="G399" s="3000">
        <v>0.35</v>
      </c>
      <c r="H399" s="4024"/>
      <c r="I399" s="4024"/>
      <c r="J399" s="4023"/>
      <c r="K399" s="4023"/>
      <c r="L399" s="4023"/>
      <c r="M399" s="2963"/>
      <c r="N399" s="2963"/>
      <c r="O399" s="2963"/>
      <c r="P399" s="2963"/>
      <c r="Q399" s="2963"/>
      <c r="R399" s="2963"/>
      <c r="V399" s="2992" t="s">
        <v>353</v>
      </c>
      <c r="W399" s="2684"/>
      <c r="X399" s="2684"/>
      <c r="Y399" s="2684"/>
      <c r="Z399" s="2684"/>
      <c r="AA399" s="2684"/>
      <c r="AB399" s="2684"/>
      <c r="AC399" s="2684"/>
      <c r="AD399" s="2684"/>
      <c r="AE399" s="2684"/>
      <c r="AF399" s="2236">
        <f t="shared" si="47"/>
        <v>0.35</v>
      </c>
      <c r="AG399" s="2684"/>
      <c r="AH399" s="2723"/>
      <c r="AI399" s="2723"/>
      <c r="AU399" s="1505"/>
      <c r="DJ399" s="1187"/>
    </row>
    <row r="400" spans="1:114" s="273" customFormat="1" ht="15" hidden="1" customHeight="1" outlineLevel="1">
      <c r="A400" s="533"/>
      <c r="B400" s="2086"/>
      <c r="C400" s="3184"/>
      <c r="D400" s="2309" t="s">
        <v>128</v>
      </c>
      <c r="E400" s="2309" t="s">
        <v>1398</v>
      </c>
      <c r="F400" s="2459" t="s">
        <v>1385</v>
      </c>
      <c r="G400" s="3001">
        <v>0.5</v>
      </c>
      <c r="H400" s="4021" t="s">
        <v>1399</v>
      </c>
      <c r="I400" s="4021"/>
      <c r="J400" s="4023"/>
      <c r="K400" s="4023"/>
      <c r="L400" s="4023"/>
      <c r="M400" s="2696"/>
      <c r="N400" s="2696"/>
      <c r="O400" s="2696"/>
      <c r="P400" s="2696"/>
      <c r="Q400" s="2696"/>
      <c r="R400" s="2696"/>
      <c r="S400" s="366"/>
      <c r="T400" s="283"/>
      <c r="U400" s="283"/>
      <c r="V400" s="2992" t="s">
        <v>128</v>
      </c>
      <c r="W400" s="2600"/>
      <c r="X400" s="2600"/>
      <c r="Y400" s="2600"/>
      <c r="Z400" s="2600"/>
      <c r="AA400" s="2600"/>
      <c r="AB400" s="2600"/>
      <c r="AC400" s="2600"/>
      <c r="AD400" s="2600"/>
      <c r="AE400" s="2600"/>
      <c r="AF400" s="2236">
        <f t="shared" si="47"/>
        <v>0.5</v>
      </c>
      <c r="AG400" s="2600"/>
      <c r="AH400" s="2229"/>
      <c r="AI400" s="2229"/>
      <c r="AK400" s="358"/>
      <c r="DG400" s="540"/>
      <c r="DH400" s="283"/>
      <c r="DI400" s="283"/>
      <c r="DJ400" s="1187"/>
    </row>
    <row r="401" spans="1:114" s="273" customFormat="1" ht="15" hidden="1" customHeight="1" outlineLevel="1">
      <c r="A401" s="533"/>
      <c r="B401" s="2086"/>
      <c r="C401" s="3184"/>
      <c r="D401" s="2309" t="s">
        <v>49</v>
      </c>
      <c r="E401" s="2309" t="s">
        <v>1198</v>
      </c>
      <c r="F401" s="2459" t="s">
        <v>1385</v>
      </c>
      <c r="G401" s="2378">
        <v>20</v>
      </c>
      <c r="H401" s="4024"/>
      <c r="I401" s="4024"/>
      <c r="J401" s="4023"/>
      <c r="K401" s="4023"/>
      <c r="L401" s="4023"/>
      <c r="M401" s="2696"/>
      <c r="N401" s="2696"/>
      <c r="O401" s="2696"/>
      <c r="P401" s="2696"/>
      <c r="Q401" s="2696"/>
      <c r="R401" s="2696"/>
      <c r="S401" s="366"/>
      <c r="T401" s="283"/>
      <c r="U401" s="283"/>
      <c r="V401" s="2992" t="s">
        <v>49</v>
      </c>
      <c r="W401" s="2600"/>
      <c r="X401" s="2600"/>
      <c r="Y401" s="2600"/>
      <c r="Z401" s="2600"/>
      <c r="AA401" s="2600"/>
      <c r="AB401" s="2600"/>
      <c r="AC401" s="2600"/>
      <c r="AD401" s="2600"/>
      <c r="AE401" s="2600"/>
      <c r="AF401" s="2236">
        <f t="shared" si="47"/>
        <v>20</v>
      </c>
      <c r="AG401" s="2600"/>
      <c r="AH401" s="2229"/>
      <c r="AI401" s="2229"/>
      <c r="AK401" s="358"/>
      <c r="DG401" s="540"/>
      <c r="DH401" s="283"/>
      <c r="DI401" s="283"/>
      <c r="DJ401" s="1187"/>
    </row>
    <row r="402" spans="1:114" s="273" customFormat="1" ht="15" hidden="1" customHeight="1" outlineLevel="1">
      <c r="A402" s="533"/>
      <c r="B402" s="2086"/>
      <c r="C402" s="3184"/>
      <c r="D402" s="2309" t="s">
        <v>50</v>
      </c>
      <c r="E402" s="2309" t="s">
        <v>1135</v>
      </c>
      <c r="F402" s="2459" t="s">
        <v>1385</v>
      </c>
      <c r="G402" s="2263">
        <v>5</v>
      </c>
      <c r="H402" s="4021" t="s">
        <v>1399</v>
      </c>
      <c r="I402" s="4021"/>
      <c r="J402" s="4022"/>
      <c r="K402" s="4022"/>
      <c r="L402" s="4022"/>
      <c r="M402" s="2696"/>
      <c r="N402" s="2696"/>
      <c r="O402" s="2696"/>
      <c r="P402" s="2696"/>
      <c r="Q402" s="2696"/>
      <c r="R402" s="2696"/>
      <c r="S402" s="1023"/>
      <c r="T402" s="283"/>
      <c r="U402" s="283"/>
      <c r="V402" s="2992" t="s">
        <v>50</v>
      </c>
      <c r="W402" s="2600"/>
      <c r="X402" s="2600"/>
      <c r="Y402" s="2600"/>
      <c r="Z402" s="2600"/>
      <c r="AA402" s="2600"/>
      <c r="AB402" s="2600"/>
      <c r="AC402" s="2600"/>
      <c r="AD402" s="2600"/>
      <c r="AE402" s="2600"/>
      <c r="AF402" s="2236">
        <f t="shared" si="47"/>
        <v>5</v>
      </c>
      <c r="AG402" s="2600"/>
      <c r="AH402" s="2229"/>
      <c r="AI402" s="2229"/>
      <c r="AK402" s="358"/>
      <c r="DG402" s="540"/>
      <c r="DH402" s="283"/>
      <c r="DI402" s="283"/>
      <c r="DJ402" s="1187"/>
    </row>
    <row r="403" spans="1:114" ht="15.75" hidden="1" customHeight="1" outlineLevel="1">
      <c r="A403" s="533"/>
      <c r="B403" s="2086"/>
      <c r="C403" s="2963"/>
      <c r="D403" s="2963"/>
      <c r="E403" s="2963"/>
      <c r="F403" s="2963"/>
      <c r="G403" s="2963"/>
      <c r="H403" s="2963"/>
      <c r="I403" s="2963"/>
      <c r="J403" s="2963"/>
      <c r="K403" s="2963"/>
      <c r="L403" s="2963"/>
      <c r="M403" s="2963"/>
      <c r="N403" s="2963"/>
      <c r="O403" s="2963"/>
      <c r="P403" s="2963"/>
      <c r="Q403" s="2963"/>
      <c r="R403" s="2963"/>
      <c r="AU403" s="1505"/>
      <c r="DJ403" s="1187"/>
    </row>
    <row r="404" spans="1:114" collapsed="1">
      <c r="A404" s="533"/>
      <c r="B404" s="2086"/>
      <c r="C404" s="2963"/>
      <c r="D404" s="2963"/>
      <c r="E404" s="2963"/>
      <c r="F404" s="2963"/>
      <c r="G404" s="2963"/>
      <c r="H404" s="2963"/>
      <c r="I404" s="2963"/>
      <c r="J404" s="2963"/>
      <c r="K404" s="2963"/>
      <c r="L404" s="2963"/>
      <c r="M404" s="2963"/>
      <c r="N404" s="2963"/>
      <c r="O404" s="2963"/>
      <c r="P404" s="2963"/>
      <c r="Q404" s="2963"/>
      <c r="R404" s="2963"/>
      <c r="AU404" s="1505"/>
      <c r="DJ404" s="1187"/>
    </row>
    <row r="405" spans="1:114" s="76" customFormat="1">
      <c r="A405" s="533"/>
      <c r="B405" s="4066" t="s">
        <v>41</v>
      </c>
      <c r="C405" s="4067"/>
      <c r="D405" s="4067"/>
      <c r="E405" s="4067"/>
      <c r="F405" s="4067"/>
      <c r="G405" s="4067"/>
      <c r="H405" s="4067"/>
      <c r="I405" s="4826"/>
      <c r="J405" s="4826"/>
      <c r="K405" s="4826"/>
      <c r="L405" s="4826"/>
      <c r="M405" s="4826"/>
      <c r="N405" s="4827"/>
      <c r="O405" s="283"/>
      <c r="P405" s="283"/>
      <c r="Q405" s="283"/>
      <c r="R405" s="52"/>
      <c r="S405" s="52"/>
      <c r="T405" s="52"/>
      <c r="U405" s="52"/>
      <c r="V405" s="4066" t="str">
        <f>B405</f>
        <v>Lighting</v>
      </c>
      <c r="W405" s="4067"/>
      <c r="X405" s="4067"/>
      <c r="Y405" s="4067"/>
      <c r="Z405" s="4067"/>
      <c r="AA405" s="4067"/>
      <c r="AB405" s="4067"/>
      <c r="AC405" s="4837"/>
      <c r="AD405" s="4837"/>
      <c r="AE405" s="4837"/>
      <c r="AF405" s="4837"/>
      <c r="AG405" s="4837"/>
      <c r="AH405" s="4838"/>
      <c r="DG405" s="52"/>
      <c r="DH405" s="52"/>
      <c r="DI405" s="149"/>
      <c r="DJ405" s="1184"/>
    </row>
    <row r="406" spans="1:114" s="76" customFormat="1">
      <c r="A406" s="533"/>
      <c r="B406" s="52"/>
      <c r="C406" s="104"/>
      <c r="D406" s="104"/>
      <c r="E406" s="52"/>
      <c r="F406" s="51"/>
      <c r="G406" s="52"/>
      <c r="H406" s="52"/>
      <c r="I406" s="52"/>
      <c r="J406" s="52"/>
      <c r="K406" s="52"/>
      <c r="L406" s="52"/>
      <c r="M406" s="606"/>
      <c r="N406" s="283"/>
      <c r="O406" s="283"/>
      <c r="P406" s="283"/>
      <c r="Q406" s="283"/>
      <c r="R406" s="52"/>
      <c r="S406" s="52"/>
      <c r="T406" s="52"/>
      <c r="U406" s="52"/>
      <c r="V406" s="52"/>
      <c r="W406" s="384"/>
      <c r="X406" s="384"/>
      <c r="Y406" s="384"/>
      <c r="Z406" s="384"/>
      <c r="AA406" s="384"/>
      <c r="AB406" s="384"/>
      <c r="DG406" s="52"/>
      <c r="DH406" s="52"/>
      <c r="DI406" s="149"/>
      <c r="DJ406" s="1184"/>
    </row>
    <row r="407" spans="1:114" s="76" customFormat="1" ht="30">
      <c r="A407" s="533"/>
      <c r="B407" s="52"/>
      <c r="C407" s="1371" t="s">
        <v>42</v>
      </c>
      <c r="D407" s="1371" t="s">
        <v>953</v>
      </c>
      <c r="E407" s="111" t="s">
        <v>44</v>
      </c>
      <c r="F407" s="1371" t="s">
        <v>45</v>
      </c>
      <c r="G407" s="111" t="s">
        <v>46</v>
      </c>
      <c r="H407" s="111" t="s">
        <v>47</v>
      </c>
      <c r="I407" s="111" t="s">
        <v>48</v>
      </c>
      <c r="J407" s="111" t="s">
        <v>49</v>
      </c>
      <c r="K407" s="111" t="s">
        <v>50</v>
      </c>
      <c r="L407" s="1371" t="s">
        <v>51</v>
      </c>
      <c r="M407" s="606"/>
      <c r="N407" s="283"/>
      <c r="O407" s="283"/>
      <c r="P407" s="283"/>
      <c r="Q407" s="283"/>
      <c r="R407" s="52"/>
      <c r="S407" s="52"/>
      <c r="T407" s="52"/>
      <c r="U407" s="52"/>
      <c r="V407" s="177" t="s">
        <v>52</v>
      </c>
      <c r="W407" s="115">
        <f>$W$6</f>
        <v>43252</v>
      </c>
      <c r="X407" s="115">
        <f>$X$6</f>
        <v>43465</v>
      </c>
      <c r="Y407" s="115">
        <f>$Y$6</f>
        <v>43800</v>
      </c>
      <c r="Z407" s="115">
        <f>$Z$6</f>
        <v>43862</v>
      </c>
      <c r="AA407" s="115">
        <f>$AA$6</f>
        <v>44013</v>
      </c>
      <c r="AB407" s="115">
        <f>$AB$6</f>
        <v>44166</v>
      </c>
      <c r="AC407" s="669">
        <f>$AC$6</f>
        <v>44531</v>
      </c>
      <c r="AD407" s="669">
        <f>$AD$6</f>
        <v>44774</v>
      </c>
      <c r="AE407" s="669">
        <f>$AE$6</f>
        <v>45139</v>
      </c>
      <c r="AF407" s="669">
        <f>$AF$6</f>
        <v>45672</v>
      </c>
      <c r="AG407" s="669" t="str">
        <f>$AG$6</f>
        <v>-</v>
      </c>
      <c r="DG407" s="2089" t="str">
        <f>$DG$6</f>
        <v>TRC (2025)</v>
      </c>
      <c r="DH407" s="2089" t="str">
        <f>$DH$6</f>
        <v>Benefit Lookup</v>
      </c>
      <c r="DI407" s="2090" t="str">
        <f>$DI$6</f>
        <v>Benefits (2025 $)</v>
      </c>
      <c r="DJ407" s="2181" t="str">
        <f>$DJ$6</f>
        <v>Incremental Cost (2025 $)</v>
      </c>
    </row>
    <row r="408" spans="1:114" s="76" customFormat="1">
      <c r="A408" s="533"/>
      <c r="B408" s="1454">
        <f t="shared" ref="B408" si="48">VALUE(LEFT(C408,6))</f>
        <v>251530</v>
      </c>
      <c r="C408" s="1867" t="s">
        <v>1412</v>
      </c>
      <c r="D408" s="105" t="s">
        <v>1139</v>
      </c>
      <c r="E408" s="676" t="s">
        <v>1413</v>
      </c>
      <c r="F408" s="140">
        <f>ROUND((($G$415-$G$416)*$G$421*(1-$G$420)*$G$417*$G$419)/$G$418,2)</f>
        <v>23.24</v>
      </c>
      <c r="G408" s="119" t="s">
        <v>1414</v>
      </c>
      <c r="H408" s="1871">
        <f>VLOOKUP(G408,'CP FACTORS'!$A$3:$B$38, 2, FALSE)</f>
        <v>1.4925290000000001E-4</v>
      </c>
      <c r="I408" s="1868">
        <f>ROUND(F408*H408,6)</f>
        <v>3.4689999999999999E-3</v>
      </c>
      <c r="J408" s="50">
        <f>G422</f>
        <v>8</v>
      </c>
      <c r="K408" s="791">
        <f>G423</f>
        <v>3.35</v>
      </c>
      <c r="L408" s="1540" t="s">
        <v>62</v>
      </c>
      <c r="M408" s="283"/>
      <c r="N408" s="283"/>
      <c r="O408" s="283"/>
      <c r="P408" s="283"/>
      <c r="Q408" s="283"/>
      <c r="R408" s="532"/>
      <c r="S408" s="52"/>
      <c r="T408" s="52"/>
      <c r="U408" s="52"/>
      <c r="V408" s="676" t="s">
        <v>45</v>
      </c>
      <c r="W408" s="1579"/>
      <c r="X408" s="59"/>
      <c r="Y408" s="137"/>
      <c r="Z408" s="392"/>
      <c r="AA408" s="392"/>
      <c r="AB408" s="140"/>
      <c r="AC408" s="140"/>
      <c r="AD408" s="137"/>
      <c r="AE408" s="137"/>
      <c r="AF408" s="271">
        <f>IF(F408&lt;&gt;"",F408,"")</f>
        <v>23.24</v>
      </c>
      <c r="AG408" s="356"/>
      <c r="AH408" s="121"/>
      <c r="DG408" s="2167">
        <f>(DI408)/(DJ408)</f>
        <v>2.7690008676024807</v>
      </c>
      <c r="DH408" s="128" t="str">
        <f>CONCATENATE(G408," ",J408," Year EUL")</f>
        <v>Lighting RES 8 Year EUL</v>
      </c>
      <c r="DI408" s="1099">
        <f>(INDEX('Avoided Cost Benefits'!$B$4:$B$865,MATCH(DH408,'Avoided Cost Benefits'!$A$4:$A$865,0)))*F408</f>
        <v>9.2761529064683099</v>
      </c>
      <c r="DJ408" s="1185">
        <f>K408/(1.0686^(2025-2025))</f>
        <v>3.35</v>
      </c>
    </row>
    <row r="409" spans="1:114" s="76" customFormat="1" ht="15" hidden="1" customHeight="1" outlineLevel="1">
      <c r="A409" s="533"/>
      <c r="B409" s="52"/>
      <c r="C409" s="104"/>
      <c r="D409" s="77" t="s">
        <v>118</v>
      </c>
      <c r="E409" s="283" t="s">
        <v>1415</v>
      </c>
      <c r="F409" s="2176"/>
      <c r="G409" s="542"/>
      <c r="H409" s="52"/>
      <c r="I409" s="52"/>
      <c r="J409" s="52"/>
      <c r="K409" s="52"/>
      <c r="L409" s="52"/>
      <c r="M409" s="181"/>
      <c r="N409" s="52"/>
      <c r="O409" s="52"/>
      <c r="P409" s="52"/>
      <c r="Q409" s="52"/>
      <c r="R409" s="52"/>
      <c r="S409" s="52"/>
      <c r="T409" s="52"/>
      <c r="U409" s="52"/>
      <c r="V409" s="52"/>
      <c r="W409" s="384"/>
      <c r="X409" s="384"/>
      <c r="Y409" s="384"/>
      <c r="Z409" s="384"/>
      <c r="AA409" s="384"/>
      <c r="AB409" s="384"/>
      <c r="DG409" s="52"/>
      <c r="DH409" s="52"/>
      <c r="DI409" s="149"/>
      <c r="DJ409" s="1184"/>
    </row>
    <row r="410" spans="1:114" s="76" customFormat="1" ht="15" hidden="1" customHeight="1" outlineLevel="1">
      <c r="A410" s="533"/>
      <c r="B410" s="52"/>
      <c r="C410" s="104"/>
      <c r="D410" s="104" t="s">
        <v>963</v>
      </c>
      <c r="E410" s="52" t="s">
        <v>1416</v>
      </c>
      <c r="F410" s="51"/>
      <c r="G410" s="52"/>
      <c r="H410" s="52"/>
      <c r="I410" s="52"/>
      <c r="J410" s="52"/>
      <c r="K410" s="52"/>
      <c r="L410" s="52"/>
      <c r="M410" s="181"/>
      <c r="N410" s="52"/>
      <c r="O410" s="52"/>
      <c r="P410" s="52"/>
      <c r="Q410" s="52"/>
      <c r="R410" s="52"/>
      <c r="S410" s="52"/>
      <c r="T410" s="52"/>
      <c r="U410" s="52"/>
      <c r="V410" s="52"/>
      <c r="W410" s="384"/>
      <c r="X410" s="384"/>
      <c r="Y410" s="384"/>
      <c r="Z410" s="384"/>
      <c r="AA410" s="384"/>
      <c r="AB410" s="384"/>
      <c r="DG410" s="52"/>
      <c r="DH410" s="52"/>
      <c r="DI410" s="149"/>
      <c r="DJ410" s="1184"/>
    </row>
    <row r="411" spans="1:114" s="76" customFormat="1" ht="15" hidden="1" customHeight="1" outlineLevel="1">
      <c r="A411" s="533"/>
      <c r="B411" s="52"/>
      <c r="C411" s="104"/>
      <c r="D411" s="104"/>
      <c r="E411" s="52" t="s">
        <v>966</v>
      </c>
      <c r="F411" s="51"/>
      <c r="G411" s="52"/>
      <c r="H411" s="52"/>
      <c r="I411" s="52"/>
      <c r="J411" s="52"/>
      <c r="K411" s="52"/>
      <c r="L411" s="52"/>
      <c r="M411" s="181"/>
      <c r="N411" s="52"/>
      <c r="O411" s="52"/>
      <c r="P411" s="52"/>
      <c r="Q411" s="52"/>
      <c r="R411" s="52"/>
      <c r="S411" s="52"/>
      <c r="T411" s="52"/>
      <c r="U411" s="52"/>
      <c r="V411" s="52"/>
      <c r="W411" s="384"/>
      <c r="X411" s="384"/>
      <c r="Y411" s="384"/>
      <c r="Z411" s="384"/>
      <c r="AA411" s="384"/>
      <c r="AB411" s="384"/>
      <c r="DG411" s="52"/>
      <c r="DH411" s="52"/>
      <c r="DI411" s="149"/>
      <c r="DJ411" s="1184"/>
    </row>
    <row r="412" spans="1:114" s="76" customFormat="1" ht="15" hidden="1" customHeight="1" outlineLevel="1">
      <c r="A412" s="533"/>
      <c r="B412" s="52"/>
      <c r="C412" s="104"/>
      <c r="D412" s="104"/>
      <c r="E412" s="52"/>
      <c r="F412" s="51"/>
      <c r="G412" s="52"/>
      <c r="H412" s="52"/>
      <c r="I412" s="52"/>
      <c r="J412" s="52"/>
      <c r="K412" s="52"/>
      <c r="L412" s="52"/>
      <c r="M412" s="181"/>
      <c r="N412" s="52"/>
      <c r="O412" s="52"/>
      <c r="P412" s="52"/>
      <c r="Q412" s="52"/>
      <c r="R412" s="52"/>
      <c r="S412" s="52"/>
      <c r="T412" s="52"/>
      <c r="U412" s="52"/>
      <c r="V412" s="52"/>
      <c r="W412" s="384"/>
      <c r="X412" s="384"/>
      <c r="Y412" s="384"/>
      <c r="Z412" s="384"/>
      <c r="AA412" s="384"/>
      <c r="AB412" s="384"/>
      <c r="DG412" s="52"/>
      <c r="DH412" s="52"/>
      <c r="DI412" s="149"/>
      <c r="DJ412" s="1184"/>
    </row>
    <row r="413" spans="1:114" s="76" customFormat="1" ht="15" hidden="1" customHeight="1" outlineLevel="1">
      <c r="A413" s="533"/>
      <c r="B413" s="52"/>
      <c r="C413" s="104"/>
      <c r="D413" s="104"/>
      <c r="E413" s="52"/>
      <c r="F413" s="51"/>
      <c r="G413" s="52"/>
      <c r="H413" s="52"/>
      <c r="I413" s="52"/>
      <c r="J413" s="52"/>
      <c r="K413" s="52"/>
      <c r="L413" s="52"/>
      <c r="M413" s="181"/>
      <c r="N413" s="52"/>
      <c r="O413" s="52"/>
      <c r="P413" s="52"/>
      <c r="Q413" s="52"/>
      <c r="R413" s="52"/>
      <c r="S413" s="52"/>
      <c r="T413" s="52"/>
      <c r="U413" s="52"/>
      <c r="V413" s="52"/>
      <c r="W413" s="384"/>
      <c r="X413" s="384"/>
      <c r="Y413" s="384"/>
      <c r="Z413" s="384"/>
      <c r="AA413" s="384"/>
      <c r="AB413" s="384"/>
      <c r="DG413" s="52"/>
      <c r="DH413" s="52"/>
      <c r="DI413" s="149"/>
      <c r="DJ413" s="1184"/>
    </row>
    <row r="414" spans="1:114" s="76" customFormat="1" ht="15" hidden="1" customHeight="1" outlineLevel="1">
      <c r="A414" s="533"/>
      <c r="B414" s="52"/>
      <c r="C414" s="104"/>
      <c r="D414" s="114" t="s">
        <v>1078</v>
      </c>
      <c r="E414" s="777" t="s">
        <v>967</v>
      </c>
      <c r="F414" s="111" t="s">
        <v>1417</v>
      </c>
      <c r="G414" s="111" t="s">
        <v>969</v>
      </c>
      <c r="H414" s="111" t="s">
        <v>970</v>
      </c>
      <c r="I414" s="111" t="s">
        <v>755</v>
      </c>
      <c r="J414" s="52"/>
      <c r="K414" s="52"/>
      <c r="L414" s="52"/>
      <c r="M414" s="52"/>
      <c r="N414" s="52"/>
      <c r="O414" s="52"/>
      <c r="P414" s="52"/>
      <c r="Q414" s="52"/>
      <c r="R414" s="52"/>
      <c r="S414" s="52"/>
      <c r="T414" s="52"/>
      <c r="U414" s="52"/>
      <c r="V414" s="797" t="s">
        <v>52</v>
      </c>
      <c r="W414" s="1844">
        <f>$W$6</f>
        <v>43252</v>
      </c>
      <c r="X414" s="1844">
        <f>$X$6</f>
        <v>43465</v>
      </c>
      <c r="Y414" s="1844">
        <f>$Y$6</f>
        <v>43800</v>
      </c>
      <c r="Z414" s="1844">
        <f>$Z$6</f>
        <v>43862</v>
      </c>
      <c r="AA414" s="1844">
        <f>$AA$6</f>
        <v>44013</v>
      </c>
      <c r="AB414" s="1844">
        <f>$AB$6</f>
        <v>44166</v>
      </c>
      <c r="AC414" s="1842">
        <f>$AC$6</f>
        <v>44531</v>
      </c>
      <c r="AD414" s="1842">
        <f>$AD$6</f>
        <v>44774</v>
      </c>
      <c r="AE414" s="1842">
        <f>$AE$6</f>
        <v>45139</v>
      </c>
      <c r="AF414" s="1842">
        <f>$AF$6</f>
        <v>45672</v>
      </c>
      <c r="AG414" s="1842" t="str">
        <f>$AG$6</f>
        <v>-</v>
      </c>
      <c r="AH414" s="52"/>
      <c r="DG414" s="52"/>
      <c r="DH414" s="52"/>
      <c r="DI414" s="149"/>
      <c r="DJ414" s="1184"/>
    </row>
    <row r="415" spans="1:114" s="76" customFormat="1" ht="35.25" hidden="1" customHeight="1" outlineLevel="1">
      <c r="A415" s="533"/>
      <c r="B415" s="52"/>
      <c r="C415" s="104"/>
      <c r="D415" s="1384" t="s">
        <v>1418</v>
      </c>
      <c r="E415" s="1384" t="s">
        <v>1413</v>
      </c>
      <c r="F415" s="1445" t="s">
        <v>1413</v>
      </c>
      <c r="G415" s="1838">
        <v>7</v>
      </c>
      <c r="H415" s="1377" t="s">
        <v>1419</v>
      </c>
      <c r="I415" s="2170" t="s">
        <v>1420</v>
      </c>
      <c r="J415" s="52"/>
      <c r="K415" s="543"/>
      <c r="L415" s="543"/>
      <c r="M415" s="52"/>
      <c r="N415" s="181"/>
      <c r="O415" s="52"/>
      <c r="P415" s="52"/>
      <c r="Q415" s="52"/>
      <c r="R415" s="52"/>
      <c r="S415" s="52"/>
      <c r="T415" s="52"/>
      <c r="U415" s="52"/>
      <c r="V415" s="1384" t="str">
        <f>D415</f>
        <v>WattsBase</v>
      </c>
      <c r="W415" s="1580"/>
      <c r="X415" s="1580"/>
      <c r="Y415" s="1580"/>
      <c r="Z415" s="1580"/>
      <c r="AA415" s="1580"/>
      <c r="AB415" s="142"/>
      <c r="AC415" s="142"/>
      <c r="AD415" s="141"/>
      <c r="AE415" s="141"/>
      <c r="AF415" s="271">
        <f t="shared" ref="AF415:AF423" si="49">IF(G415&lt;&gt;"",G415,"")</f>
        <v>7</v>
      </c>
      <c r="AG415" s="1580"/>
      <c r="DG415" s="52"/>
      <c r="DH415" s="52"/>
      <c r="DI415" s="149"/>
      <c r="DJ415" s="1184"/>
    </row>
    <row r="416" spans="1:114" s="76" customFormat="1" ht="27.75" hidden="1" customHeight="1" outlineLevel="1">
      <c r="A416" s="533"/>
      <c r="B416" s="52"/>
      <c r="C416" s="104"/>
      <c r="D416" s="1384" t="s">
        <v>1421</v>
      </c>
      <c r="E416" s="1384" t="s">
        <v>1413</v>
      </c>
      <c r="F416" s="1366" t="s">
        <v>1413</v>
      </c>
      <c r="G416" s="1829">
        <v>0.3</v>
      </c>
      <c r="H416" s="1377" t="s">
        <v>1422</v>
      </c>
      <c r="I416" s="1377" t="s">
        <v>1423</v>
      </c>
      <c r="J416" s="52"/>
      <c r="K416" s="148"/>
      <c r="L416" s="148"/>
      <c r="M416" s="52"/>
      <c r="N416" s="181"/>
      <c r="O416" s="52"/>
      <c r="P416" s="52"/>
      <c r="Q416" s="52"/>
      <c r="R416" s="52"/>
      <c r="S416" s="52"/>
      <c r="T416" s="52"/>
      <c r="U416" s="52"/>
      <c r="V416" s="1384" t="str">
        <f t="shared" ref="V416:V423" si="50">D416</f>
        <v>WattsEE</v>
      </c>
      <c r="W416" s="1580"/>
      <c r="X416" s="1580"/>
      <c r="Y416" s="1580"/>
      <c r="Z416" s="1580"/>
      <c r="AA416" s="1580"/>
      <c r="AB416" s="142"/>
      <c r="AC416" s="142"/>
      <c r="AD416" s="141"/>
      <c r="AE416" s="141"/>
      <c r="AF416" s="271">
        <f t="shared" si="49"/>
        <v>0.3</v>
      </c>
      <c r="AG416" s="1580"/>
      <c r="DG416" s="52"/>
      <c r="DH416" s="52"/>
      <c r="DI416" s="149"/>
      <c r="DJ416" s="1184"/>
    </row>
    <row r="417" spans="1:114" s="76" customFormat="1" ht="30" hidden="1" customHeight="1" outlineLevel="1">
      <c r="A417" s="533"/>
      <c r="B417" s="52"/>
      <c r="C417" s="104"/>
      <c r="D417" s="1384" t="s">
        <v>173</v>
      </c>
      <c r="E417" s="1377" t="s">
        <v>1424</v>
      </c>
      <c r="F417" s="1366" t="s">
        <v>1425</v>
      </c>
      <c r="G417" s="1831">
        <v>4380</v>
      </c>
      <c r="H417" s="1368" t="s">
        <v>1419</v>
      </c>
      <c r="I417" s="2170" t="s">
        <v>1426</v>
      </c>
      <c r="J417" s="52"/>
      <c r="K417" s="148"/>
      <c r="L417" s="148"/>
      <c r="M417" s="52"/>
      <c r="N417" s="181"/>
      <c r="O417" s="52"/>
      <c r="P417" s="52"/>
      <c r="Q417" s="52"/>
      <c r="R417" s="52"/>
      <c r="S417" s="52"/>
      <c r="T417" s="52"/>
      <c r="U417" s="52"/>
      <c r="V417" s="1384" t="str">
        <f t="shared" si="50"/>
        <v>Hours</v>
      </c>
      <c r="W417" s="1583"/>
      <c r="X417" s="156"/>
      <c r="Y417" s="156"/>
      <c r="Z417" s="156"/>
      <c r="AA417" s="156"/>
      <c r="AB417" s="157"/>
      <c r="AC417" s="140"/>
      <c r="AD417" s="137"/>
      <c r="AE417" s="137"/>
      <c r="AF417" s="271">
        <f t="shared" si="49"/>
        <v>4380</v>
      </c>
      <c r="AG417" s="1583"/>
      <c r="DG417" s="52"/>
      <c r="DH417" s="52"/>
      <c r="DI417" s="149"/>
      <c r="DJ417" s="1184"/>
    </row>
    <row r="418" spans="1:114" s="76" customFormat="1" ht="15" hidden="1" customHeight="1" outlineLevel="1">
      <c r="A418" s="533"/>
      <c r="B418" s="52"/>
      <c r="C418" s="104"/>
      <c r="D418" s="143">
        <v>1000</v>
      </c>
      <c r="E418" s="778" t="s">
        <v>1427</v>
      </c>
      <c r="F418" s="144" t="s">
        <v>950</v>
      </c>
      <c r="G418" s="1860">
        <v>1000</v>
      </c>
      <c r="H418" s="1377" t="s">
        <v>1427</v>
      </c>
      <c r="I418" s="1377"/>
      <c r="J418" s="52"/>
      <c r="K418" s="148"/>
      <c r="L418" s="148"/>
      <c r="M418" s="52"/>
      <c r="N418" s="181"/>
      <c r="O418" s="52"/>
      <c r="P418" s="52"/>
      <c r="Q418" s="52"/>
      <c r="R418" s="52"/>
      <c r="S418" s="52"/>
      <c r="T418" s="52"/>
      <c r="U418" s="52"/>
      <c r="V418" s="1384">
        <f t="shared" si="50"/>
        <v>1000</v>
      </c>
      <c r="W418" s="1581"/>
      <c r="X418" s="144"/>
      <c r="Y418" s="144"/>
      <c r="Z418" s="144"/>
      <c r="AA418" s="144"/>
      <c r="AB418" s="144"/>
      <c r="AC418" s="144"/>
      <c r="AD418" s="144"/>
      <c r="AE418" s="144"/>
      <c r="AF418" s="271">
        <f t="shared" si="49"/>
        <v>1000</v>
      </c>
      <c r="AG418" s="1581"/>
      <c r="DG418" s="52"/>
      <c r="DH418" s="52"/>
      <c r="DI418" s="149"/>
      <c r="DJ418" s="1184"/>
    </row>
    <row r="419" spans="1:114" s="76" customFormat="1" ht="60" hidden="1" customHeight="1" outlineLevel="1">
      <c r="A419" s="533"/>
      <c r="B419" s="52"/>
      <c r="C419" s="104"/>
      <c r="D419" s="1384" t="s">
        <v>1428</v>
      </c>
      <c r="E419" s="778" t="s">
        <v>1429</v>
      </c>
      <c r="F419" s="1366" t="s">
        <v>1430</v>
      </c>
      <c r="G419" s="1813">
        <v>0.99</v>
      </c>
      <c r="H419" s="1377" t="s">
        <v>1431</v>
      </c>
      <c r="I419" s="1377" t="s">
        <v>1432</v>
      </c>
      <c r="J419" s="52"/>
      <c r="K419" s="148"/>
      <c r="L419" s="148"/>
      <c r="M419" s="52"/>
      <c r="N419" s="181"/>
      <c r="O419" s="52"/>
      <c r="P419" s="52"/>
      <c r="Q419" s="52"/>
      <c r="R419" s="52"/>
      <c r="S419" s="52"/>
      <c r="T419" s="52"/>
      <c r="U419" s="52"/>
      <c r="V419" s="1384" t="str">
        <f t="shared" si="50"/>
        <v>WHF</v>
      </c>
      <c r="W419" s="1463"/>
      <c r="X419" s="119"/>
      <c r="Y419" s="1366"/>
      <c r="Z419" s="1366"/>
      <c r="AA419" s="1366"/>
      <c r="AB419" s="1366"/>
      <c r="AC419" s="1366"/>
      <c r="AD419" s="1366"/>
      <c r="AE419" s="1366"/>
      <c r="AF419" s="271">
        <f t="shared" si="49"/>
        <v>0.99</v>
      </c>
      <c r="AG419" s="1463"/>
      <c r="DG419" s="52"/>
      <c r="DH419" s="52"/>
      <c r="DI419" s="149"/>
      <c r="DJ419" s="1184"/>
    </row>
    <row r="420" spans="1:114" s="76" customFormat="1" ht="120" hidden="1" customHeight="1" outlineLevel="1">
      <c r="A420" s="533"/>
      <c r="B420" s="52"/>
      <c r="C420" s="104"/>
      <c r="D420" s="1377" t="s">
        <v>1433</v>
      </c>
      <c r="E420" s="778" t="s">
        <v>1369</v>
      </c>
      <c r="F420" s="1366" t="s">
        <v>1065</v>
      </c>
      <c r="G420" s="1869">
        <v>0</v>
      </c>
      <c r="H420" s="1377" t="s">
        <v>1434</v>
      </c>
      <c r="I420" s="1445" t="s">
        <v>1435</v>
      </c>
      <c r="J420" s="407"/>
      <c r="K420" s="537"/>
      <c r="L420" s="537"/>
      <c r="M420" s="52"/>
      <c r="N420" s="181"/>
      <c r="O420" s="52"/>
      <c r="P420" s="52"/>
      <c r="Q420" s="52"/>
      <c r="R420" s="52"/>
      <c r="S420" s="52"/>
      <c r="T420" s="52"/>
      <c r="U420" s="52"/>
      <c r="V420" s="1384" t="str">
        <f t="shared" si="50"/>
        <v>Leakage</v>
      </c>
      <c r="W420" s="1582"/>
      <c r="X420" s="145"/>
      <c r="Y420" s="145"/>
      <c r="Z420" s="145"/>
      <c r="AA420" s="145"/>
      <c r="AB420" s="145"/>
      <c r="AC420" s="795"/>
      <c r="AD420" s="795"/>
      <c r="AE420" s="795"/>
      <c r="AF420" s="271">
        <f t="shared" si="49"/>
        <v>0</v>
      </c>
      <c r="AG420" s="1582"/>
      <c r="DG420" s="52"/>
      <c r="DH420" s="52"/>
      <c r="DI420" s="149"/>
      <c r="DJ420" s="1184"/>
    </row>
    <row r="421" spans="1:114" s="76" customFormat="1" ht="255" hidden="1" customHeight="1" outlineLevel="1">
      <c r="A421" s="533"/>
      <c r="B421" s="52"/>
      <c r="C421" s="104"/>
      <c r="D421" s="1384" t="s">
        <v>128</v>
      </c>
      <c r="E421" s="778" t="s">
        <v>1036</v>
      </c>
      <c r="F421" s="1366" t="s">
        <v>1065</v>
      </c>
      <c r="G421" s="2169">
        <v>0.8</v>
      </c>
      <c r="H421" s="1377" t="s">
        <v>1436</v>
      </c>
      <c r="I421" s="1377"/>
      <c r="J421" s="537"/>
      <c r="K421" s="537"/>
      <c r="L421" s="537"/>
      <c r="M421" s="52"/>
      <c r="N421" s="181"/>
      <c r="O421" s="52"/>
      <c r="P421" s="52"/>
      <c r="Q421" s="52"/>
      <c r="R421" s="52"/>
      <c r="S421" s="52"/>
      <c r="T421" s="52"/>
      <c r="U421" s="52"/>
      <c r="V421" s="1384" t="str">
        <f t="shared" si="50"/>
        <v>ISR</v>
      </c>
      <c r="W421" s="305"/>
      <c r="X421" s="147"/>
      <c r="Y421" s="147"/>
      <c r="Z421" s="147"/>
      <c r="AA421" s="147"/>
      <c r="AB421" s="147"/>
      <c r="AC421" s="146"/>
      <c r="AD421" s="146"/>
      <c r="AE421" s="146"/>
      <c r="AF421" s="271">
        <f t="shared" si="49"/>
        <v>0.8</v>
      </c>
      <c r="AG421" s="305"/>
      <c r="DG421" s="52"/>
      <c r="DH421" s="52"/>
      <c r="DI421" s="149"/>
      <c r="DJ421" s="1184"/>
    </row>
    <row r="422" spans="1:114" s="76" customFormat="1" ht="36.75" hidden="1" customHeight="1" outlineLevel="1">
      <c r="A422" s="533"/>
      <c r="B422" s="579"/>
      <c r="C422" s="133"/>
      <c r="D422" s="1422" t="s">
        <v>1437</v>
      </c>
      <c r="E422" s="1422" t="s">
        <v>1198</v>
      </c>
      <c r="F422" s="1366" t="s">
        <v>1425</v>
      </c>
      <c r="G422" s="1834">
        <v>8</v>
      </c>
      <c r="H422" s="352"/>
      <c r="I422" s="2170" t="s">
        <v>1438</v>
      </c>
      <c r="J422" s="537"/>
      <c r="K422" s="283"/>
      <c r="L422" s="283"/>
      <c r="M422" s="606"/>
      <c r="N422" s="283"/>
      <c r="O422" s="283"/>
      <c r="P422" s="283"/>
      <c r="Q422" s="283"/>
      <c r="R422" s="52"/>
      <c r="S422" s="52"/>
      <c r="T422" s="52"/>
      <c r="U422" s="52"/>
      <c r="V422" s="1384" t="str">
        <f t="shared" si="50"/>
        <v xml:space="preserve">EUL </v>
      </c>
      <c r="W422" s="134"/>
      <c r="X422" s="134"/>
      <c r="Y422" s="134"/>
      <c r="Z422" s="134"/>
      <c r="AA422" s="134"/>
      <c r="AB422" s="134"/>
      <c r="AC422" s="134"/>
      <c r="AD422" s="134"/>
      <c r="AE422" s="134"/>
      <c r="AF422" s="271">
        <f t="shared" si="49"/>
        <v>8</v>
      </c>
      <c r="AG422" s="134"/>
      <c r="DG422" s="52"/>
      <c r="DH422" s="52"/>
      <c r="DI422" s="149"/>
      <c r="DJ422" s="1184"/>
    </row>
    <row r="423" spans="1:114" s="76" customFormat="1" ht="27.6" hidden="1" customHeight="1" outlineLevel="1">
      <c r="A423" s="533"/>
      <c r="B423" s="579"/>
      <c r="C423" s="133"/>
      <c r="D423" s="1391" t="s">
        <v>50</v>
      </c>
      <c r="E423" s="1391" t="s">
        <v>1135</v>
      </c>
      <c r="F423" s="1366" t="s">
        <v>1425</v>
      </c>
      <c r="G423" s="1870">
        <v>3.35</v>
      </c>
      <c r="H423" s="1600" t="s">
        <v>1439</v>
      </c>
      <c r="I423" s="2170" t="s">
        <v>1440</v>
      </c>
      <c r="J423" s="537"/>
      <c r="K423" s="283"/>
      <c r="L423" s="283"/>
      <c r="M423" s="606"/>
      <c r="N423" s="283"/>
      <c r="O423" s="283"/>
      <c r="P423" s="283"/>
      <c r="Q423" s="283"/>
      <c r="R423" s="52"/>
      <c r="S423" s="52"/>
      <c r="T423" s="52"/>
      <c r="U423" s="52"/>
      <c r="V423" s="1384" t="str">
        <f t="shared" si="50"/>
        <v>Inc. Cost</v>
      </c>
      <c r="W423" s="134"/>
      <c r="X423" s="134"/>
      <c r="Y423" s="134"/>
      <c r="Z423" s="134"/>
      <c r="AA423" s="134"/>
      <c r="AB423" s="134"/>
      <c r="AC423" s="172"/>
      <c r="AD423" s="134"/>
      <c r="AE423" s="134"/>
      <c r="AF423" s="271">
        <f t="shared" si="49"/>
        <v>3.35</v>
      </c>
      <c r="AG423" s="134"/>
      <c r="DG423" s="52"/>
      <c r="DH423" s="52"/>
      <c r="DI423" s="149"/>
      <c r="DJ423" s="1184"/>
    </row>
    <row r="424" spans="1:114" collapsed="1">
      <c r="A424" s="533"/>
      <c r="C424" s="64"/>
      <c r="DJ424" s="1187"/>
    </row>
    <row r="425" spans="1:114">
      <c r="A425" s="533"/>
      <c r="C425" s="64"/>
      <c r="DJ425" s="1187"/>
    </row>
    <row r="426" spans="1:114">
      <c r="A426" s="533"/>
      <c r="C426" s="64"/>
      <c r="DJ426" s="1187"/>
    </row>
    <row r="427" spans="1:114">
      <c r="A427" s="533"/>
      <c r="C427" s="64"/>
      <c r="DJ427" s="1187"/>
    </row>
    <row r="428" spans="1:114">
      <c r="A428" s="533"/>
      <c r="C428" s="64"/>
      <c r="DJ428" s="1187"/>
    </row>
    <row r="429" spans="1:114">
      <c r="A429" s="533"/>
      <c r="C429" s="64"/>
      <c r="DJ429" s="1187"/>
    </row>
    <row r="430" spans="1:114">
      <c r="A430" s="533"/>
      <c r="C430" s="64"/>
      <c r="DJ430" s="1187"/>
    </row>
    <row r="431" spans="1:114">
      <c r="A431" s="533"/>
      <c r="C431" s="64"/>
      <c r="DJ431" s="1187"/>
    </row>
    <row r="432" spans="1:114">
      <c r="A432" s="533"/>
      <c r="C432" s="64"/>
      <c r="DJ432" s="1187"/>
    </row>
    <row r="433" spans="1:114">
      <c r="A433" s="533"/>
      <c r="C433" s="64"/>
      <c r="DJ433" s="1187"/>
    </row>
    <row r="434" spans="1:114">
      <c r="A434" s="533"/>
      <c r="C434" s="64"/>
      <c r="DJ434" s="1187"/>
    </row>
    <row r="435" spans="1:114">
      <c r="A435" s="533"/>
      <c r="C435" s="64"/>
      <c r="DJ435" s="1187"/>
    </row>
    <row r="436" spans="1:114">
      <c r="A436" s="533"/>
      <c r="C436" s="64"/>
      <c r="DJ436" s="1187"/>
    </row>
    <row r="437" spans="1:114">
      <c r="A437" s="533"/>
      <c r="C437" s="64"/>
      <c r="DJ437" s="1187"/>
    </row>
    <row r="438" spans="1:114">
      <c r="A438" s="533"/>
      <c r="C438" s="64"/>
      <c r="DJ438" s="1187"/>
    </row>
    <row r="439" spans="1:114">
      <c r="A439" s="533"/>
      <c r="C439" s="64"/>
      <c r="DJ439" s="1187"/>
    </row>
    <row r="440" spans="1:114">
      <c r="A440" s="533"/>
      <c r="C440" s="64"/>
      <c r="DJ440" s="1187"/>
    </row>
    <row r="441" spans="1:114">
      <c r="A441" s="533"/>
      <c r="C441" s="64"/>
      <c r="DJ441" s="1187"/>
    </row>
    <row r="442" spans="1:114">
      <c r="A442" s="533"/>
      <c r="C442" s="64"/>
      <c r="DJ442" s="1187"/>
    </row>
    <row r="443" spans="1:114">
      <c r="A443" s="533"/>
      <c r="C443" s="64"/>
      <c r="DJ443" s="1187"/>
    </row>
    <row r="444" spans="1:114">
      <c r="A444" s="533"/>
      <c r="C444" s="64"/>
      <c r="DJ444" s="1187"/>
    </row>
    <row r="445" spans="1:114">
      <c r="A445" s="533"/>
      <c r="C445" s="64"/>
      <c r="DJ445" s="1187"/>
    </row>
    <row r="446" spans="1:114">
      <c r="A446" s="533"/>
      <c r="C446" s="64"/>
      <c r="DJ446" s="1187"/>
    </row>
    <row r="447" spans="1:114">
      <c r="A447" s="533"/>
      <c r="C447" s="64"/>
      <c r="DJ447" s="1187"/>
    </row>
    <row r="448" spans="1:114">
      <c r="A448" s="533"/>
      <c r="C448" s="64"/>
      <c r="DJ448" s="1187"/>
    </row>
    <row r="449" spans="1:114">
      <c r="A449" s="533"/>
      <c r="C449" s="64"/>
      <c r="DJ449" s="1187"/>
    </row>
    <row r="450" spans="1:114">
      <c r="A450" s="533"/>
      <c r="C450" s="64"/>
      <c r="DJ450" s="1187"/>
    </row>
    <row r="451" spans="1:114">
      <c r="A451" s="533"/>
      <c r="C451" s="64"/>
      <c r="DJ451" s="1187"/>
    </row>
    <row r="452" spans="1:114">
      <c r="A452" s="533"/>
      <c r="C452" s="64"/>
      <c r="DJ452" s="1187"/>
    </row>
    <row r="453" spans="1:114">
      <c r="A453" s="533"/>
      <c r="C453" s="64"/>
      <c r="DJ453" s="1187"/>
    </row>
    <row r="454" spans="1:114">
      <c r="A454" s="533"/>
      <c r="C454" s="64"/>
      <c r="DJ454" s="1187"/>
    </row>
    <row r="455" spans="1:114">
      <c r="A455" s="533"/>
      <c r="C455" s="64"/>
      <c r="DJ455" s="1187"/>
    </row>
    <row r="456" spans="1:114">
      <c r="A456" s="533"/>
      <c r="C456" s="64"/>
      <c r="DJ456" s="1187"/>
    </row>
    <row r="457" spans="1:114">
      <c r="A457" s="533"/>
      <c r="C457" s="64"/>
      <c r="DJ457" s="1187"/>
    </row>
    <row r="458" spans="1:114">
      <c r="A458" s="533"/>
      <c r="C458" s="64"/>
      <c r="DJ458" s="1187"/>
    </row>
    <row r="459" spans="1:114">
      <c r="A459" s="533"/>
      <c r="C459" s="64"/>
      <c r="DJ459" s="1187"/>
    </row>
    <row r="460" spans="1:114">
      <c r="A460" s="533"/>
      <c r="C460" s="64"/>
      <c r="DJ460" s="1187"/>
    </row>
    <row r="461" spans="1:114">
      <c r="A461" s="533"/>
      <c r="C461" s="64"/>
      <c r="DJ461" s="1187"/>
    </row>
    <row r="462" spans="1:114">
      <c r="A462" s="533"/>
      <c r="C462" s="64"/>
      <c r="DJ462" s="1187"/>
    </row>
    <row r="463" spans="1:114">
      <c r="A463" s="533"/>
      <c r="C463" s="64"/>
      <c r="DJ463" s="1187"/>
    </row>
    <row r="464" spans="1:114">
      <c r="A464" s="533"/>
      <c r="C464" s="64"/>
      <c r="DJ464" s="1187"/>
    </row>
    <row r="465" spans="1:114">
      <c r="A465" s="533"/>
      <c r="C465" s="64"/>
      <c r="DJ465" s="1187"/>
    </row>
    <row r="466" spans="1:114">
      <c r="A466" s="533"/>
      <c r="C466" s="64"/>
      <c r="DJ466" s="1187"/>
    </row>
    <row r="467" spans="1:114">
      <c r="A467" s="533"/>
      <c r="C467" s="64"/>
      <c r="DJ467" s="1187"/>
    </row>
    <row r="468" spans="1:114">
      <c r="A468" s="533"/>
      <c r="C468" s="64"/>
      <c r="DJ468" s="1187"/>
    </row>
    <row r="469" spans="1:114">
      <c r="A469" s="533"/>
      <c r="C469" s="64"/>
      <c r="DJ469" s="1187"/>
    </row>
    <row r="470" spans="1:114">
      <c r="A470" s="533"/>
      <c r="C470" s="64"/>
      <c r="DJ470" s="1187"/>
    </row>
    <row r="471" spans="1:114">
      <c r="A471" s="533"/>
      <c r="C471" s="64"/>
      <c r="DJ471" s="1187"/>
    </row>
    <row r="472" spans="1:114">
      <c r="A472" s="533"/>
      <c r="C472" s="64"/>
      <c r="DJ472" s="1187"/>
    </row>
    <row r="473" spans="1:114">
      <c r="A473" s="533"/>
      <c r="C473" s="64"/>
      <c r="DJ473" s="1187"/>
    </row>
    <row r="474" spans="1:114">
      <c r="A474" s="533"/>
      <c r="C474" s="64"/>
      <c r="DJ474" s="1187"/>
    </row>
    <row r="475" spans="1:114">
      <c r="A475" s="533"/>
      <c r="C475" s="64"/>
      <c r="DJ475" s="1187"/>
    </row>
    <row r="476" spans="1:114">
      <c r="A476" s="533"/>
      <c r="C476" s="64"/>
      <c r="DJ476" s="1187"/>
    </row>
    <row r="477" spans="1:114">
      <c r="A477" s="533"/>
      <c r="C477" s="64"/>
      <c r="DJ477" s="1187"/>
    </row>
    <row r="478" spans="1:114">
      <c r="A478" s="533"/>
      <c r="C478" s="64"/>
      <c r="DJ478" s="1187"/>
    </row>
    <row r="479" spans="1:114">
      <c r="A479" s="533"/>
      <c r="C479" s="64"/>
      <c r="DJ479" s="1187"/>
    </row>
    <row r="480" spans="1:114">
      <c r="A480" s="533"/>
      <c r="C480" s="64"/>
      <c r="DJ480" s="1187"/>
    </row>
    <row r="481" spans="1:114">
      <c r="A481" s="533"/>
      <c r="C481" s="64"/>
      <c r="DJ481" s="1187"/>
    </row>
    <row r="482" spans="1:114">
      <c r="A482" s="533"/>
      <c r="C482" s="64"/>
      <c r="DJ482" s="1187"/>
    </row>
    <row r="483" spans="1:114">
      <c r="A483" s="533"/>
      <c r="C483" s="64"/>
      <c r="DJ483" s="1187"/>
    </row>
    <row r="484" spans="1:114">
      <c r="A484" s="533"/>
      <c r="C484" s="64"/>
      <c r="DJ484" s="1187"/>
    </row>
    <row r="485" spans="1:114">
      <c r="A485" s="533"/>
      <c r="C485" s="64"/>
      <c r="DJ485" s="1187"/>
    </row>
    <row r="486" spans="1:114">
      <c r="A486" s="533"/>
      <c r="C486" s="64"/>
      <c r="DJ486" s="1187"/>
    </row>
    <row r="487" spans="1:114">
      <c r="A487" s="533"/>
      <c r="C487" s="64"/>
      <c r="DJ487" s="1187"/>
    </row>
    <row r="488" spans="1:114">
      <c r="A488" s="533"/>
      <c r="C488" s="64"/>
      <c r="DJ488" s="1187"/>
    </row>
    <row r="489" spans="1:114">
      <c r="A489" s="533"/>
      <c r="C489" s="64"/>
      <c r="DJ489" s="1187"/>
    </row>
    <row r="490" spans="1:114">
      <c r="A490" s="533"/>
      <c r="C490" s="64"/>
      <c r="DJ490" s="1187"/>
    </row>
    <row r="491" spans="1:114">
      <c r="A491" s="533"/>
      <c r="C491" s="64"/>
      <c r="DJ491" s="1187"/>
    </row>
    <row r="492" spans="1:114">
      <c r="A492" s="533"/>
      <c r="C492" s="64"/>
      <c r="DJ492" s="1187"/>
    </row>
    <row r="493" spans="1:114">
      <c r="A493" s="533"/>
      <c r="C493" s="64"/>
      <c r="DJ493" s="1187"/>
    </row>
    <row r="494" spans="1:114">
      <c r="A494" s="533"/>
      <c r="C494" s="64"/>
      <c r="DJ494" s="1187"/>
    </row>
    <row r="495" spans="1:114">
      <c r="A495" s="533"/>
      <c r="C495" s="64"/>
      <c r="DJ495" s="1187"/>
    </row>
    <row r="496" spans="1:114">
      <c r="A496" s="533"/>
      <c r="C496" s="64"/>
      <c r="DJ496" s="1187"/>
    </row>
    <row r="497" spans="1:114">
      <c r="A497" s="533"/>
      <c r="C497" s="64"/>
      <c r="DJ497" s="1187"/>
    </row>
    <row r="498" spans="1:114">
      <c r="A498" s="533"/>
      <c r="C498" s="64"/>
      <c r="DJ498" s="1187"/>
    </row>
    <row r="499" spans="1:114">
      <c r="A499" s="533"/>
      <c r="C499" s="64"/>
      <c r="DJ499" s="1187"/>
    </row>
    <row r="500" spans="1:114">
      <c r="A500" s="533"/>
      <c r="C500" s="64"/>
      <c r="DJ500" s="1187"/>
    </row>
    <row r="501" spans="1:114">
      <c r="A501" s="533"/>
      <c r="C501" s="64"/>
      <c r="DJ501" s="1187"/>
    </row>
    <row r="502" spans="1:114">
      <c r="A502" s="533"/>
      <c r="C502" s="64"/>
      <c r="DJ502" s="1187"/>
    </row>
    <row r="503" spans="1:114">
      <c r="A503" s="533"/>
      <c r="C503" s="64"/>
      <c r="DJ503" s="1187"/>
    </row>
    <row r="504" spans="1:114">
      <c r="A504" s="533"/>
      <c r="C504" s="64"/>
      <c r="DJ504" s="1187"/>
    </row>
    <row r="505" spans="1:114">
      <c r="A505" s="533"/>
      <c r="C505" s="64"/>
      <c r="DJ505" s="1187"/>
    </row>
    <row r="506" spans="1:114">
      <c r="A506" s="533"/>
      <c r="C506" s="64"/>
      <c r="DJ506" s="1187"/>
    </row>
    <row r="507" spans="1:114">
      <c r="A507" s="533"/>
      <c r="C507" s="64"/>
      <c r="DJ507" s="1187"/>
    </row>
    <row r="508" spans="1:114">
      <c r="A508" s="533"/>
      <c r="C508" s="64"/>
      <c r="DJ508" s="1187"/>
    </row>
    <row r="509" spans="1:114">
      <c r="A509" s="533"/>
      <c r="C509" s="64"/>
      <c r="DJ509" s="1187"/>
    </row>
    <row r="510" spans="1:114">
      <c r="A510" s="533"/>
      <c r="C510" s="64"/>
      <c r="DJ510" s="1187"/>
    </row>
    <row r="511" spans="1:114">
      <c r="A511" s="533"/>
      <c r="C511" s="64"/>
      <c r="DJ511" s="1187"/>
    </row>
    <row r="512" spans="1:114">
      <c r="A512" s="533"/>
      <c r="C512" s="64"/>
      <c r="DJ512" s="1187"/>
    </row>
    <row r="513" spans="1:114">
      <c r="A513" s="533"/>
      <c r="C513" s="64"/>
      <c r="DJ513" s="1187"/>
    </row>
    <row r="514" spans="1:114">
      <c r="A514" s="533"/>
      <c r="C514" s="64"/>
      <c r="DJ514" s="1187"/>
    </row>
    <row r="515" spans="1:114">
      <c r="A515" s="533"/>
      <c r="C515" s="64"/>
      <c r="DJ515" s="1187"/>
    </row>
    <row r="516" spans="1:114">
      <c r="A516" s="533"/>
      <c r="C516" s="64"/>
      <c r="DJ516" s="1187"/>
    </row>
    <row r="517" spans="1:114">
      <c r="A517" s="533"/>
      <c r="C517" s="64"/>
      <c r="DJ517" s="1187"/>
    </row>
    <row r="518" spans="1:114">
      <c r="A518" s="533"/>
      <c r="C518" s="64"/>
      <c r="DJ518" s="1187"/>
    </row>
    <row r="519" spans="1:114">
      <c r="A519" s="533"/>
      <c r="C519" s="64"/>
      <c r="DJ519" s="1187"/>
    </row>
    <row r="520" spans="1:114">
      <c r="A520" s="533"/>
      <c r="C520" s="64"/>
      <c r="DJ520" s="1187"/>
    </row>
    <row r="521" spans="1:114">
      <c r="A521" s="533"/>
      <c r="C521" s="64"/>
      <c r="DJ521" s="1187"/>
    </row>
    <row r="522" spans="1:114">
      <c r="A522" s="533"/>
      <c r="C522" s="64"/>
      <c r="DJ522" s="1187"/>
    </row>
    <row r="523" spans="1:114">
      <c r="A523" s="533"/>
      <c r="C523" s="64"/>
      <c r="DJ523" s="1187"/>
    </row>
    <row r="524" spans="1:114">
      <c r="A524" s="533"/>
      <c r="C524" s="64"/>
      <c r="DJ524" s="1187"/>
    </row>
    <row r="525" spans="1:114">
      <c r="A525" s="533"/>
      <c r="C525" s="64"/>
      <c r="DJ525" s="1187"/>
    </row>
    <row r="526" spans="1:114">
      <c r="A526" s="533"/>
      <c r="C526" s="64"/>
    </row>
    <row r="527" spans="1:114">
      <c r="A527" s="533"/>
      <c r="C527" s="64"/>
    </row>
    <row r="528" spans="1:114">
      <c r="A528" s="533"/>
      <c r="C528" s="64"/>
    </row>
    <row r="529" spans="1:3">
      <c r="A529" s="533"/>
      <c r="C529" s="64"/>
    </row>
    <row r="530" spans="1:3">
      <c r="A530" s="533"/>
      <c r="C530" s="64"/>
    </row>
    <row r="531" spans="1:3">
      <c r="A531" s="533"/>
      <c r="C531" s="64"/>
    </row>
    <row r="532" spans="1:3">
      <c r="A532" s="533"/>
      <c r="C532" s="64"/>
    </row>
    <row r="533" spans="1:3">
      <c r="A533" s="533"/>
      <c r="C533" s="64"/>
    </row>
    <row r="534" spans="1:3">
      <c r="A534" s="533"/>
      <c r="C534" s="64"/>
    </row>
    <row r="535" spans="1:3">
      <c r="A535" s="533"/>
      <c r="C535" s="64"/>
    </row>
    <row r="536" spans="1:3">
      <c r="A536" s="533"/>
      <c r="C536" s="64"/>
    </row>
    <row r="537" spans="1:3">
      <c r="A537" s="533"/>
      <c r="C537" s="64"/>
    </row>
    <row r="538" spans="1:3">
      <c r="A538" s="533"/>
      <c r="C538" s="64"/>
    </row>
    <row r="539" spans="1:3">
      <c r="A539" s="533"/>
      <c r="C539" s="64"/>
    </row>
    <row r="540" spans="1:3">
      <c r="A540" s="533"/>
      <c r="C540" s="64"/>
    </row>
    <row r="541" spans="1:3">
      <c r="A541" s="533"/>
      <c r="C541" s="64"/>
    </row>
    <row r="542" spans="1:3">
      <c r="A542" s="533"/>
      <c r="C542" s="64"/>
    </row>
    <row r="543" spans="1:3">
      <c r="A543" s="533"/>
      <c r="C543" s="64"/>
    </row>
    <row r="544" spans="1:3">
      <c r="A544" s="533"/>
      <c r="C544" s="64"/>
    </row>
    <row r="545" spans="1:3">
      <c r="A545" s="533"/>
      <c r="C545" s="64"/>
    </row>
    <row r="546" spans="1:3">
      <c r="A546" s="533"/>
      <c r="C546" s="64"/>
    </row>
    <row r="547" spans="1:3">
      <c r="A547" s="533"/>
      <c r="C547" s="64"/>
    </row>
    <row r="548" spans="1:3">
      <c r="A548" s="533"/>
      <c r="C548" s="64"/>
    </row>
    <row r="549" spans="1:3">
      <c r="A549" s="533"/>
      <c r="C549" s="64"/>
    </row>
    <row r="550" spans="1:3">
      <c r="A550" s="533"/>
      <c r="C550" s="64"/>
    </row>
    <row r="551" spans="1:3">
      <c r="A551" s="533"/>
      <c r="C551" s="64"/>
    </row>
    <row r="552" spans="1:3">
      <c r="A552" s="533"/>
      <c r="C552" s="64"/>
    </row>
    <row r="553" spans="1:3">
      <c r="A553" s="533"/>
      <c r="C553" s="64"/>
    </row>
    <row r="554" spans="1:3">
      <c r="A554" s="533"/>
      <c r="C554" s="64"/>
    </row>
    <row r="555" spans="1:3">
      <c r="A555" s="533"/>
      <c r="C555" s="64"/>
    </row>
    <row r="556" spans="1:3">
      <c r="A556" s="533"/>
      <c r="C556" s="64"/>
    </row>
    <row r="557" spans="1:3">
      <c r="A557" s="533"/>
      <c r="C557" s="64"/>
    </row>
    <row r="558" spans="1:3">
      <c r="A558" s="533"/>
      <c r="C558" s="64"/>
    </row>
    <row r="559" spans="1:3">
      <c r="A559" s="533"/>
      <c r="C559" s="64"/>
    </row>
    <row r="560" spans="1:3">
      <c r="A560" s="533"/>
      <c r="C560" s="64"/>
    </row>
    <row r="561" spans="1:3">
      <c r="A561" s="533"/>
      <c r="C561" s="64"/>
    </row>
    <row r="562" spans="1:3">
      <c r="A562" s="533"/>
      <c r="C562" s="64"/>
    </row>
    <row r="563" spans="1:3">
      <c r="A563" s="533"/>
      <c r="C563" s="64"/>
    </row>
    <row r="564" spans="1:3">
      <c r="A564" s="533"/>
      <c r="C564" s="64"/>
    </row>
    <row r="565" spans="1:3">
      <c r="A565" s="533"/>
      <c r="C565" s="64"/>
    </row>
    <row r="566" spans="1:3">
      <c r="A566" s="533"/>
      <c r="C566" s="64"/>
    </row>
    <row r="567" spans="1:3">
      <c r="A567" s="533"/>
      <c r="C567" s="64"/>
    </row>
    <row r="568" spans="1:3">
      <c r="A568" s="533"/>
      <c r="C568" s="64"/>
    </row>
    <row r="569" spans="1:3">
      <c r="A569" s="533"/>
      <c r="C569" s="64"/>
    </row>
    <row r="570" spans="1:3">
      <c r="A570" s="533"/>
      <c r="C570" s="64"/>
    </row>
    <row r="571" spans="1:3">
      <c r="A571" s="533"/>
      <c r="C571" s="64"/>
    </row>
    <row r="572" spans="1:3">
      <c r="A572" s="533"/>
      <c r="C572" s="64"/>
    </row>
    <row r="573" spans="1:3">
      <c r="A573" s="533"/>
      <c r="C573" s="64"/>
    </row>
    <row r="574" spans="1:3">
      <c r="A574" s="533"/>
      <c r="C574" s="64"/>
    </row>
    <row r="575" spans="1:3">
      <c r="A575" s="533"/>
      <c r="C575" s="64"/>
    </row>
    <row r="576" spans="1:3">
      <c r="A576" s="533"/>
      <c r="C576" s="64"/>
    </row>
    <row r="577" spans="1:3">
      <c r="A577" s="533"/>
      <c r="C577" s="64"/>
    </row>
    <row r="578" spans="1:3">
      <c r="A578" s="533"/>
      <c r="C578" s="64"/>
    </row>
    <row r="579" spans="1:3">
      <c r="A579" s="533"/>
      <c r="C579" s="64"/>
    </row>
    <row r="580" spans="1:3">
      <c r="A580" s="533"/>
      <c r="C580" s="64"/>
    </row>
    <row r="581" spans="1:3">
      <c r="A581" s="533"/>
      <c r="C581" s="64"/>
    </row>
    <row r="582" spans="1:3">
      <c r="A582" s="533"/>
      <c r="C582" s="64"/>
    </row>
    <row r="583" spans="1:3">
      <c r="A583" s="533"/>
      <c r="C583" s="64"/>
    </row>
    <row r="584" spans="1:3">
      <c r="A584" s="533"/>
      <c r="C584" s="64"/>
    </row>
    <row r="585" spans="1:3">
      <c r="A585" s="533"/>
      <c r="C585" s="64"/>
    </row>
    <row r="586" spans="1:3">
      <c r="A586" s="533"/>
      <c r="C586" s="64"/>
    </row>
    <row r="587" spans="1:3">
      <c r="A587" s="533"/>
      <c r="C587" s="64"/>
    </row>
    <row r="588" spans="1:3">
      <c r="A588" s="533"/>
      <c r="C588" s="64"/>
    </row>
    <row r="589" spans="1:3">
      <c r="A589" s="533"/>
      <c r="C589" s="64"/>
    </row>
    <row r="590" spans="1:3">
      <c r="A590" s="533"/>
      <c r="C590" s="64"/>
    </row>
    <row r="591" spans="1:3">
      <c r="A591" s="533"/>
      <c r="C591" s="64"/>
    </row>
    <row r="592" spans="1:3">
      <c r="A592" s="533"/>
      <c r="C592" s="64"/>
    </row>
    <row r="593" spans="1:3">
      <c r="A593" s="533"/>
      <c r="C593" s="64"/>
    </row>
    <row r="594" spans="1:3">
      <c r="A594" s="533"/>
      <c r="C594" s="64"/>
    </row>
    <row r="595" spans="1:3">
      <c r="A595" s="533"/>
      <c r="C595" s="64"/>
    </row>
    <row r="596" spans="1:3">
      <c r="A596" s="533"/>
      <c r="C596" s="64"/>
    </row>
    <row r="597" spans="1:3">
      <c r="A597" s="533"/>
      <c r="C597" s="64"/>
    </row>
    <row r="598" spans="1:3">
      <c r="A598" s="533"/>
      <c r="C598" s="64"/>
    </row>
    <row r="599" spans="1:3">
      <c r="A599" s="533"/>
      <c r="C599" s="64"/>
    </row>
    <row r="600" spans="1:3">
      <c r="A600" s="533"/>
      <c r="C600" s="64"/>
    </row>
    <row r="601" spans="1:3">
      <c r="A601" s="533"/>
      <c r="C601" s="64"/>
    </row>
    <row r="602" spans="1:3">
      <c r="A602" s="533"/>
      <c r="C602" s="64"/>
    </row>
    <row r="603" spans="1:3">
      <c r="A603" s="533"/>
      <c r="C603" s="64"/>
    </row>
    <row r="604" spans="1:3">
      <c r="A604" s="533"/>
      <c r="C604" s="64"/>
    </row>
    <row r="605" spans="1:3">
      <c r="A605" s="533"/>
      <c r="C605" s="64"/>
    </row>
    <row r="606" spans="1:3">
      <c r="A606" s="533"/>
      <c r="C606" s="64"/>
    </row>
    <row r="607" spans="1:3">
      <c r="A607" s="533"/>
      <c r="C607" s="64"/>
    </row>
    <row r="608" spans="1:3">
      <c r="A608" s="533"/>
      <c r="C608" s="64"/>
    </row>
    <row r="609" spans="1:3">
      <c r="A609" s="533"/>
      <c r="C609" s="64"/>
    </row>
    <row r="610" spans="1:3">
      <c r="A610" s="533"/>
      <c r="C610" s="64"/>
    </row>
    <row r="611" spans="1:3">
      <c r="A611" s="533"/>
      <c r="C611" s="64"/>
    </row>
    <row r="612" spans="1:3">
      <c r="A612" s="533"/>
      <c r="C612" s="64"/>
    </row>
    <row r="613" spans="1:3">
      <c r="A613" s="533"/>
      <c r="C613" s="64"/>
    </row>
    <row r="614" spans="1:3">
      <c r="A614" s="533"/>
      <c r="C614" s="64"/>
    </row>
    <row r="615" spans="1:3">
      <c r="A615" s="533"/>
      <c r="C615" s="64"/>
    </row>
    <row r="616" spans="1:3">
      <c r="A616" s="533"/>
      <c r="C616" s="64"/>
    </row>
    <row r="617" spans="1:3">
      <c r="A617" s="533"/>
      <c r="C617" s="64"/>
    </row>
    <row r="618" spans="1:3">
      <c r="A618" s="533"/>
      <c r="C618" s="64"/>
    </row>
    <row r="619" spans="1:3">
      <c r="A619" s="533"/>
      <c r="C619" s="64"/>
    </row>
    <row r="620" spans="1:3">
      <c r="A620" s="533"/>
      <c r="C620" s="64"/>
    </row>
    <row r="621" spans="1:3">
      <c r="A621" s="533"/>
      <c r="C621" s="64"/>
    </row>
    <row r="622" spans="1:3">
      <c r="A622" s="533"/>
      <c r="C622" s="64"/>
    </row>
    <row r="623" spans="1:3">
      <c r="A623" s="533"/>
      <c r="C623" s="64"/>
    </row>
    <row r="624" spans="1:3">
      <c r="A624" s="533"/>
      <c r="C624" s="64"/>
    </row>
    <row r="625" spans="1:3">
      <c r="A625" s="533"/>
      <c r="C625" s="64"/>
    </row>
    <row r="626" spans="1:3">
      <c r="A626" s="533"/>
      <c r="C626" s="64"/>
    </row>
    <row r="627" spans="1:3">
      <c r="A627" s="533"/>
      <c r="C627" s="64"/>
    </row>
    <row r="628" spans="1:3">
      <c r="A628" s="533"/>
      <c r="C628" s="64"/>
    </row>
    <row r="629" spans="1:3">
      <c r="A629" s="533"/>
      <c r="C629" s="64"/>
    </row>
    <row r="630" spans="1:3">
      <c r="A630" s="533"/>
      <c r="C630" s="64"/>
    </row>
    <row r="631" spans="1:3">
      <c r="A631" s="533"/>
      <c r="C631" s="64"/>
    </row>
    <row r="632" spans="1:3">
      <c r="A632" s="533"/>
      <c r="C632" s="64"/>
    </row>
    <row r="633" spans="1:3">
      <c r="A633" s="533"/>
      <c r="C633" s="64"/>
    </row>
    <row r="634" spans="1:3">
      <c r="A634" s="533"/>
      <c r="C634" s="64"/>
    </row>
    <row r="635" spans="1:3">
      <c r="A635" s="533"/>
      <c r="C635" s="64"/>
    </row>
    <row r="636" spans="1:3">
      <c r="A636" s="533"/>
      <c r="C636" s="64"/>
    </row>
    <row r="637" spans="1:3">
      <c r="A637" s="533"/>
      <c r="C637" s="64"/>
    </row>
    <row r="638" spans="1:3">
      <c r="A638" s="533"/>
      <c r="C638" s="64"/>
    </row>
    <row r="639" spans="1:3">
      <c r="A639" s="533"/>
      <c r="C639" s="64"/>
    </row>
    <row r="640" spans="1:3">
      <c r="A640" s="533"/>
      <c r="C640" s="64"/>
    </row>
    <row r="641" spans="1:3">
      <c r="A641" s="533"/>
      <c r="C641" s="64"/>
    </row>
    <row r="642" spans="1:3">
      <c r="A642" s="533"/>
      <c r="C642" s="64"/>
    </row>
    <row r="643" spans="1:3">
      <c r="A643" s="533"/>
      <c r="C643" s="64"/>
    </row>
    <row r="644" spans="1:3">
      <c r="A644" s="533"/>
      <c r="C644" s="64"/>
    </row>
    <row r="645" spans="1:3">
      <c r="A645" s="533"/>
      <c r="C645" s="64"/>
    </row>
    <row r="646" spans="1:3">
      <c r="A646" s="533"/>
      <c r="C646" s="64"/>
    </row>
    <row r="647" spans="1:3">
      <c r="A647" s="533"/>
      <c r="C647" s="64"/>
    </row>
    <row r="648" spans="1:3">
      <c r="A648" s="533"/>
      <c r="C648" s="64"/>
    </row>
    <row r="649" spans="1:3">
      <c r="A649" s="533"/>
      <c r="C649" s="64"/>
    </row>
    <row r="650" spans="1:3">
      <c r="A650" s="533"/>
      <c r="C650" s="64"/>
    </row>
    <row r="651" spans="1:3">
      <c r="A651" s="533"/>
      <c r="C651" s="64"/>
    </row>
    <row r="652" spans="1:3">
      <c r="A652" s="533"/>
      <c r="C652" s="64"/>
    </row>
    <row r="653" spans="1:3">
      <c r="A653" s="533"/>
      <c r="C653" s="64"/>
    </row>
    <row r="654" spans="1:3">
      <c r="A654" s="533"/>
      <c r="C654" s="64"/>
    </row>
    <row r="655" spans="1:3">
      <c r="A655" s="533"/>
      <c r="C655" s="64"/>
    </row>
    <row r="656" spans="1:3">
      <c r="A656" s="533"/>
      <c r="C656" s="64"/>
    </row>
    <row r="657" spans="1:3">
      <c r="A657" s="533"/>
      <c r="C657" s="64"/>
    </row>
    <row r="658" spans="1:3">
      <c r="A658" s="533"/>
      <c r="C658" s="64"/>
    </row>
    <row r="659" spans="1:3">
      <c r="A659" s="533"/>
      <c r="C659" s="64"/>
    </row>
    <row r="660" spans="1:3">
      <c r="A660" s="533"/>
      <c r="C660" s="64"/>
    </row>
    <row r="661" spans="1:3">
      <c r="A661" s="533"/>
      <c r="C661" s="64"/>
    </row>
    <row r="662" spans="1:3">
      <c r="A662" s="533"/>
      <c r="C662" s="64"/>
    </row>
    <row r="663" spans="1:3">
      <c r="A663" s="533"/>
      <c r="C663" s="64"/>
    </row>
    <row r="664" spans="1:3">
      <c r="A664" s="533"/>
      <c r="C664" s="64"/>
    </row>
    <row r="665" spans="1:3">
      <c r="A665" s="533"/>
      <c r="C665" s="64"/>
    </row>
    <row r="666" spans="1:3">
      <c r="A666" s="533"/>
      <c r="C666" s="64"/>
    </row>
    <row r="667" spans="1:3">
      <c r="A667" s="533"/>
      <c r="C667" s="64"/>
    </row>
    <row r="668" spans="1:3">
      <c r="A668" s="533"/>
      <c r="C668" s="64"/>
    </row>
    <row r="669" spans="1:3">
      <c r="A669" s="533"/>
      <c r="C669" s="64"/>
    </row>
    <row r="670" spans="1:3">
      <c r="A670" s="533"/>
      <c r="C670" s="64"/>
    </row>
    <row r="671" spans="1:3">
      <c r="A671" s="533"/>
      <c r="C671" s="64"/>
    </row>
    <row r="672" spans="1:3">
      <c r="A672" s="533"/>
      <c r="C672" s="64"/>
    </row>
    <row r="673" spans="1:3">
      <c r="A673" s="533"/>
      <c r="C673" s="64"/>
    </row>
    <row r="674" spans="1:3">
      <c r="A674" s="533"/>
      <c r="C674" s="64"/>
    </row>
    <row r="675" spans="1:3">
      <c r="A675" s="533"/>
      <c r="C675" s="64"/>
    </row>
    <row r="676" spans="1:3">
      <c r="A676" s="533"/>
      <c r="C676" s="64"/>
    </row>
    <row r="677" spans="1:3">
      <c r="A677" s="533"/>
      <c r="C677" s="64"/>
    </row>
    <row r="678" spans="1:3">
      <c r="A678" s="533"/>
      <c r="C678" s="64"/>
    </row>
    <row r="679" spans="1:3">
      <c r="A679" s="533"/>
      <c r="C679" s="64"/>
    </row>
    <row r="680" spans="1:3">
      <c r="A680" s="533"/>
      <c r="C680" s="64"/>
    </row>
    <row r="681" spans="1:3">
      <c r="A681" s="533"/>
      <c r="C681" s="64"/>
    </row>
    <row r="682" spans="1:3">
      <c r="A682" s="533"/>
      <c r="C682" s="64"/>
    </row>
    <row r="683" spans="1:3">
      <c r="A683" s="533"/>
      <c r="C683" s="64"/>
    </row>
    <row r="684" spans="1:3">
      <c r="A684" s="533"/>
      <c r="C684" s="64"/>
    </row>
    <row r="685" spans="1:3">
      <c r="A685" s="533"/>
      <c r="C685" s="64"/>
    </row>
    <row r="686" spans="1:3">
      <c r="A686" s="533"/>
      <c r="C686" s="64"/>
    </row>
    <row r="687" spans="1:3">
      <c r="A687" s="533"/>
      <c r="C687" s="64"/>
    </row>
    <row r="688" spans="1:3">
      <c r="A688" s="533"/>
      <c r="C688" s="64"/>
    </row>
    <row r="689" spans="1:3">
      <c r="A689" s="533"/>
      <c r="C689" s="64"/>
    </row>
    <row r="690" spans="1:3">
      <c r="A690" s="533"/>
      <c r="C690" s="64"/>
    </row>
    <row r="691" spans="1:3">
      <c r="A691" s="533"/>
      <c r="C691" s="64"/>
    </row>
    <row r="692" spans="1:3">
      <c r="A692" s="533"/>
      <c r="C692" s="64"/>
    </row>
    <row r="693" spans="1:3">
      <c r="A693" s="533"/>
      <c r="C693" s="64"/>
    </row>
    <row r="694" spans="1:3">
      <c r="A694" s="533"/>
      <c r="C694" s="64"/>
    </row>
    <row r="695" spans="1:3">
      <c r="A695" s="533"/>
      <c r="C695" s="64"/>
    </row>
    <row r="696" spans="1:3">
      <c r="A696" s="533"/>
      <c r="C696" s="64"/>
    </row>
    <row r="697" spans="1:3">
      <c r="A697" s="533"/>
      <c r="C697" s="64"/>
    </row>
    <row r="698" spans="1:3">
      <c r="A698" s="533"/>
      <c r="C698" s="64"/>
    </row>
    <row r="699" spans="1:3">
      <c r="A699" s="533"/>
      <c r="C699" s="64"/>
    </row>
    <row r="700" spans="1:3">
      <c r="A700" s="533"/>
      <c r="C700" s="64"/>
    </row>
    <row r="701" spans="1:3">
      <c r="A701" s="533"/>
      <c r="C701" s="64"/>
    </row>
    <row r="702" spans="1:3">
      <c r="A702" s="533"/>
      <c r="C702" s="64"/>
    </row>
    <row r="703" spans="1:3">
      <c r="A703" s="533"/>
      <c r="C703" s="64"/>
    </row>
    <row r="704" spans="1:3">
      <c r="A704" s="533"/>
      <c r="C704" s="64"/>
    </row>
    <row r="705" spans="1:3">
      <c r="A705" s="533"/>
      <c r="C705" s="64"/>
    </row>
    <row r="706" spans="1:3">
      <c r="A706" s="533"/>
      <c r="C706" s="64"/>
    </row>
    <row r="707" spans="1:3">
      <c r="A707" s="533"/>
      <c r="C707" s="64"/>
    </row>
    <row r="708" spans="1:3">
      <c r="A708" s="533"/>
      <c r="C708" s="64"/>
    </row>
    <row r="709" spans="1:3">
      <c r="A709" s="533"/>
      <c r="C709" s="64"/>
    </row>
    <row r="710" spans="1:3">
      <c r="A710" s="533"/>
      <c r="C710" s="64"/>
    </row>
    <row r="711" spans="1:3">
      <c r="A711" s="533"/>
      <c r="C711" s="64"/>
    </row>
    <row r="712" spans="1:3">
      <c r="A712" s="533"/>
      <c r="C712" s="64"/>
    </row>
    <row r="713" spans="1:3">
      <c r="A713" s="533"/>
      <c r="C713" s="64"/>
    </row>
    <row r="714" spans="1:3">
      <c r="A714" s="533"/>
      <c r="C714" s="64"/>
    </row>
    <row r="715" spans="1:3">
      <c r="A715" s="533"/>
      <c r="C715" s="64"/>
    </row>
    <row r="716" spans="1:3">
      <c r="A716" s="533"/>
      <c r="C716" s="64"/>
    </row>
    <row r="717" spans="1:3">
      <c r="A717" s="533"/>
      <c r="C717" s="64"/>
    </row>
    <row r="718" spans="1:3">
      <c r="A718" s="533"/>
      <c r="C718" s="64"/>
    </row>
    <row r="719" spans="1:3">
      <c r="A719" s="533"/>
      <c r="C719" s="64"/>
    </row>
    <row r="720" spans="1:3">
      <c r="A720" s="533"/>
      <c r="C720" s="64"/>
    </row>
    <row r="721" spans="1:3">
      <c r="A721" s="533"/>
      <c r="C721" s="64"/>
    </row>
    <row r="722" spans="1:3">
      <c r="A722" s="533"/>
      <c r="C722" s="64"/>
    </row>
    <row r="723" spans="1:3">
      <c r="A723" s="533"/>
      <c r="C723" s="64"/>
    </row>
    <row r="724" spans="1:3">
      <c r="A724" s="533"/>
      <c r="C724" s="64"/>
    </row>
    <row r="725" spans="1:3">
      <c r="A725" s="533"/>
      <c r="C725" s="64"/>
    </row>
    <row r="726" spans="1:3">
      <c r="A726" s="533"/>
      <c r="C726" s="64"/>
    </row>
    <row r="727" spans="1:3">
      <c r="A727" s="533"/>
      <c r="C727" s="64"/>
    </row>
    <row r="728" spans="1:3">
      <c r="A728" s="533"/>
      <c r="C728" s="64"/>
    </row>
    <row r="729" spans="1:3">
      <c r="A729" s="533"/>
      <c r="C729" s="64"/>
    </row>
    <row r="730" spans="1:3">
      <c r="A730" s="533"/>
      <c r="C730" s="64"/>
    </row>
    <row r="731" spans="1:3">
      <c r="A731" s="533"/>
      <c r="C731" s="64"/>
    </row>
    <row r="732" spans="1:3">
      <c r="A732" s="533"/>
      <c r="C732" s="64"/>
    </row>
    <row r="733" spans="1:3">
      <c r="A733" s="533"/>
      <c r="C733" s="64"/>
    </row>
    <row r="734" spans="1:3">
      <c r="A734" s="533"/>
      <c r="C734" s="64"/>
    </row>
    <row r="735" spans="1:3">
      <c r="A735" s="533"/>
      <c r="C735" s="64"/>
    </row>
    <row r="736" spans="1:3">
      <c r="A736" s="533"/>
      <c r="C736" s="64"/>
    </row>
    <row r="737" spans="1:3">
      <c r="A737" s="533"/>
      <c r="C737" s="64"/>
    </row>
    <row r="738" spans="1:3">
      <c r="A738" s="533"/>
      <c r="C738" s="64"/>
    </row>
    <row r="739" spans="1:3">
      <c r="A739" s="533"/>
      <c r="C739" s="64"/>
    </row>
    <row r="740" spans="1:3">
      <c r="A740" s="533"/>
      <c r="C740" s="64"/>
    </row>
    <row r="741" spans="1:3">
      <c r="A741" s="533"/>
      <c r="C741" s="64"/>
    </row>
    <row r="742" spans="1:3">
      <c r="A742" s="533"/>
      <c r="C742" s="64"/>
    </row>
    <row r="743" spans="1:3">
      <c r="A743" s="533"/>
      <c r="C743" s="64"/>
    </row>
    <row r="744" spans="1:3">
      <c r="A744" s="533"/>
      <c r="C744" s="64"/>
    </row>
    <row r="745" spans="1:3">
      <c r="A745" s="533"/>
      <c r="C745" s="64"/>
    </row>
    <row r="746" spans="1:3">
      <c r="A746" s="533"/>
      <c r="C746" s="64"/>
    </row>
    <row r="747" spans="1:3">
      <c r="A747" s="533"/>
      <c r="C747" s="64"/>
    </row>
    <row r="748" spans="1:3">
      <c r="A748" s="533"/>
      <c r="C748" s="64"/>
    </row>
    <row r="749" spans="1:3">
      <c r="A749" s="533"/>
      <c r="C749" s="64"/>
    </row>
    <row r="750" spans="1:3">
      <c r="A750" s="533"/>
      <c r="C750" s="64"/>
    </row>
    <row r="751" spans="1:3">
      <c r="A751" s="533"/>
      <c r="C751" s="64"/>
    </row>
    <row r="752" spans="1:3">
      <c r="A752" s="533"/>
      <c r="C752" s="64"/>
    </row>
    <row r="753" spans="1:3">
      <c r="A753" s="533"/>
      <c r="C753" s="64"/>
    </row>
    <row r="754" spans="1:3">
      <c r="A754" s="533"/>
      <c r="C754" s="64"/>
    </row>
    <row r="755" spans="1:3">
      <c r="A755" s="533"/>
      <c r="C755" s="64"/>
    </row>
    <row r="756" spans="1:3">
      <c r="A756" s="533"/>
      <c r="C756" s="64"/>
    </row>
    <row r="757" spans="1:3">
      <c r="A757" s="533"/>
      <c r="C757" s="64"/>
    </row>
    <row r="758" spans="1:3">
      <c r="A758" s="533"/>
      <c r="C758" s="64"/>
    </row>
    <row r="759" spans="1:3">
      <c r="A759" s="533"/>
      <c r="C759" s="64"/>
    </row>
    <row r="760" spans="1:3">
      <c r="A760" s="533"/>
      <c r="C760" s="64"/>
    </row>
    <row r="761" spans="1:3">
      <c r="A761" s="533"/>
      <c r="C761" s="64"/>
    </row>
    <row r="762" spans="1:3">
      <c r="A762" s="533"/>
      <c r="C762" s="64"/>
    </row>
    <row r="763" spans="1:3">
      <c r="A763" s="533"/>
      <c r="C763" s="64"/>
    </row>
    <row r="764" spans="1:3">
      <c r="A764" s="533"/>
      <c r="C764" s="64"/>
    </row>
    <row r="765" spans="1:3">
      <c r="A765" s="533"/>
      <c r="C765" s="64"/>
    </row>
    <row r="766" spans="1:3">
      <c r="A766" s="533"/>
      <c r="C766" s="64"/>
    </row>
    <row r="767" spans="1:3">
      <c r="A767" s="533"/>
      <c r="C767" s="64"/>
    </row>
    <row r="768" spans="1:3">
      <c r="A768" s="533"/>
      <c r="C768" s="64"/>
    </row>
    <row r="769" spans="1:3">
      <c r="A769" s="533"/>
      <c r="C769" s="64"/>
    </row>
    <row r="770" spans="1:3">
      <c r="A770" s="533"/>
      <c r="C770" s="64"/>
    </row>
    <row r="771" spans="1:3">
      <c r="A771" s="533"/>
      <c r="C771" s="64"/>
    </row>
    <row r="772" spans="1:3">
      <c r="A772" s="533"/>
      <c r="C772" s="64"/>
    </row>
    <row r="773" spans="1:3">
      <c r="A773" s="533"/>
      <c r="C773" s="64"/>
    </row>
    <row r="774" spans="1:3">
      <c r="A774" s="533"/>
      <c r="C774" s="64"/>
    </row>
    <row r="775" spans="1:3">
      <c r="A775" s="533"/>
      <c r="C775" s="64"/>
    </row>
    <row r="776" spans="1:3">
      <c r="A776" s="533"/>
      <c r="C776" s="64"/>
    </row>
    <row r="777" spans="1:3">
      <c r="A777" s="533"/>
      <c r="C777" s="64"/>
    </row>
    <row r="778" spans="1:3">
      <c r="A778" s="533"/>
      <c r="C778" s="64"/>
    </row>
    <row r="779" spans="1:3">
      <c r="A779" s="533"/>
      <c r="C779" s="64"/>
    </row>
    <row r="780" spans="1:3">
      <c r="A780" s="533"/>
      <c r="C780" s="64"/>
    </row>
    <row r="781" spans="1:3">
      <c r="A781" s="533"/>
      <c r="C781" s="64"/>
    </row>
    <row r="782" spans="1:3">
      <c r="A782" s="533"/>
      <c r="C782" s="64"/>
    </row>
    <row r="783" spans="1:3">
      <c r="A783" s="533"/>
      <c r="C783" s="64"/>
    </row>
    <row r="784" spans="1:3">
      <c r="A784" s="533"/>
      <c r="C784" s="64"/>
    </row>
    <row r="785" spans="1:3">
      <c r="A785" s="533"/>
      <c r="C785" s="64"/>
    </row>
    <row r="786" spans="1:3">
      <c r="A786" s="533"/>
      <c r="C786" s="64"/>
    </row>
    <row r="787" spans="1:3">
      <c r="A787" s="533"/>
      <c r="C787" s="64"/>
    </row>
    <row r="788" spans="1:3">
      <c r="A788" s="533"/>
      <c r="C788" s="64"/>
    </row>
    <row r="789" spans="1:3">
      <c r="A789" s="533"/>
      <c r="C789" s="64"/>
    </row>
    <row r="790" spans="1:3">
      <c r="A790" s="533"/>
      <c r="C790" s="64"/>
    </row>
    <row r="791" spans="1:3">
      <c r="A791" s="533"/>
      <c r="C791" s="64"/>
    </row>
    <row r="792" spans="1:3">
      <c r="A792" s="533"/>
      <c r="C792" s="64"/>
    </row>
    <row r="793" spans="1:3">
      <c r="A793" s="533"/>
      <c r="C793" s="64"/>
    </row>
    <row r="794" spans="1:3">
      <c r="A794" s="533"/>
      <c r="C794" s="64"/>
    </row>
    <row r="795" spans="1:3">
      <c r="A795" s="533"/>
      <c r="C795" s="64"/>
    </row>
    <row r="796" spans="1:3">
      <c r="A796" s="533"/>
      <c r="C796" s="64"/>
    </row>
    <row r="797" spans="1:3">
      <c r="A797" s="533"/>
      <c r="C797" s="64"/>
    </row>
    <row r="798" spans="1:3">
      <c r="A798" s="533"/>
      <c r="C798" s="64"/>
    </row>
    <row r="799" spans="1:3">
      <c r="A799" s="533"/>
      <c r="C799" s="64"/>
    </row>
    <row r="800" spans="1:3">
      <c r="A800" s="533"/>
      <c r="C800" s="64"/>
    </row>
    <row r="801" spans="1:3">
      <c r="A801" s="533"/>
      <c r="C801" s="64"/>
    </row>
    <row r="802" spans="1:3">
      <c r="A802" s="533"/>
      <c r="C802" s="64"/>
    </row>
    <row r="803" spans="1:3">
      <c r="A803" s="533"/>
      <c r="C803" s="64"/>
    </row>
    <row r="804" spans="1:3">
      <c r="A804" s="533"/>
      <c r="C804" s="64"/>
    </row>
    <row r="805" spans="1:3">
      <c r="A805" s="533"/>
      <c r="C805" s="64"/>
    </row>
    <row r="806" spans="1:3">
      <c r="A806" s="533"/>
      <c r="C806" s="64"/>
    </row>
    <row r="807" spans="1:3">
      <c r="A807" s="533"/>
      <c r="C807" s="64"/>
    </row>
    <row r="808" spans="1:3">
      <c r="A808" s="533"/>
      <c r="C808" s="64"/>
    </row>
    <row r="809" spans="1:3">
      <c r="A809" s="533"/>
      <c r="C809" s="64"/>
    </row>
    <row r="810" spans="1:3">
      <c r="A810" s="533"/>
      <c r="C810" s="64"/>
    </row>
    <row r="811" spans="1:3">
      <c r="A811" s="533"/>
      <c r="C811" s="64"/>
    </row>
    <row r="812" spans="1:3">
      <c r="A812" s="533"/>
      <c r="C812" s="64"/>
    </row>
    <row r="813" spans="1:3">
      <c r="A813" s="533"/>
      <c r="C813" s="64"/>
    </row>
    <row r="814" spans="1:3">
      <c r="A814" s="533"/>
      <c r="C814" s="64"/>
    </row>
    <row r="815" spans="1:3">
      <c r="A815" s="533"/>
      <c r="C815" s="64"/>
    </row>
    <row r="816" spans="1:3">
      <c r="A816" s="533"/>
      <c r="C816" s="64"/>
    </row>
    <row r="817" spans="1:3">
      <c r="A817" s="533"/>
      <c r="C817" s="64"/>
    </row>
    <row r="818" spans="1:3">
      <c r="A818" s="533"/>
      <c r="C818" s="64"/>
    </row>
    <row r="819" spans="1:3">
      <c r="A819" s="533"/>
      <c r="C819" s="64"/>
    </row>
    <row r="820" spans="1:3">
      <c r="A820" s="533"/>
      <c r="C820" s="64"/>
    </row>
    <row r="821" spans="1:3">
      <c r="A821" s="533"/>
      <c r="C821" s="64"/>
    </row>
    <row r="822" spans="1:3">
      <c r="A822" s="533"/>
      <c r="C822" s="64"/>
    </row>
    <row r="823" spans="1:3">
      <c r="A823" s="533"/>
      <c r="C823" s="64"/>
    </row>
    <row r="824" spans="1:3">
      <c r="A824" s="533"/>
      <c r="C824" s="64"/>
    </row>
    <row r="825" spans="1:3">
      <c r="A825" s="533"/>
      <c r="C825" s="64"/>
    </row>
    <row r="826" spans="1:3">
      <c r="A826" s="533"/>
      <c r="C826" s="64"/>
    </row>
    <row r="827" spans="1:3">
      <c r="A827" s="533"/>
      <c r="C827" s="64"/>
    </row>
    <row r="828" spans="1:3">
      <c r="A828" s="533"/>
      <c r="C828" s="64"/>
    </row>
    <row r="829" spans="1:3">
      <c r="A829" s="533"/>
      <c r="C829" s="64"/>
    </row>
    <row r="830" spans="1:3">
      <c r="A830" s="533"/>
      <c r="C830" s="64"/>
    </row>
    <row r="831" spans="1:3">
      <c r="A831" s="533"/>
      <c r="C831" s="64"/>
    </row>
    <row r="832" spans="1:3">
      <c r="A832" s="533"/>
      <c r="C832" s="64"/>
    </row>
    <row r="833" spans="1:3">
      <c r="A833" s="533"/>
      <c r="C833" s="64"/>
    </row>
    <row r="834" spans="1:3">
      <c r="A834" s="533"/>
      <c r="C834" s="64"/>
    </row>
    <row r="835" spans="1:3">
      <c r="A835" s="533"/>
      <c r="C835" s="64"/>
    </row>
    <row r="836" spans="1:3">
      <c r="A836" s="533"/>
      <c r="C836" s="64"/>
    </row>
    <row r="837" spans="1:3">
      <c r="A837" s="533"/>
      <c r="C837" s="64"/>
    </row>
    <row r="838" spans="1:3">
      <c r="A838" s="533"/>
      <c r="C838" s="64"/>
    </row>
    <row r="839" spans="1:3">
      <c r="A839" s="533"/>
      <c r="C839" s="64"/>
    </row>
    <row r="840" spans="1:3">
      <c r="A840" s="533"/>
      <c r="C840" s="64"/>
    </row>
    <row r="841" spans="1:3">
      <c r="A841" s="533"/>
      <c r="C841" s="64"/>
    </row>
    <row r="842" spans="1:3">
      <c r="A842" s="533"/>
      <c r="C842" s="64"/>
    </row>
    <row r="843" spans="1:3">
      <c r="A843" s="533"/>
      <c r="C843" s="64"/>
    </row>
    <row r="844" spans="1:3">
      <c r="A844" s="533"/>
      <c r="C844" s="64"/>
    </row>
    <row r="845" spans="1:3">
      <c r="A845" s="533"/>
      <c r="C845" s="64"/>
    </row>
    <row r="846" spans="1:3">
      <c r="A846" s="533"/>
      <c r="C846" s="64"/>
    </row>
    <row r="847" spans="1:3">
      <c r="A847" s="533"/>
      <c r="C847" s="64"/>
    </row>
    <row r="848" spans="1:3">
      <c r="A848" s="533"/>
      <c r="C848" s="64"/>
    </row>
    <row r="849" spans="1:3">
      <c r="A849" s="533"/>
      <c r="C849" s="64"/>
    </row>
    <row r="850" spans="1:3">
      <c r="A850" s="533"/>
      <c r="C850" s="64"/>
    </row>
    <row r="851" spans="1:3">
      <c r="A851" s="533"/>
      <c r="C851" s="64"/>
    </row>
    <row r="852" spans="1:3">
      <c r="A852" s="533"/>
      <c r="C852" s="64"/>
    </row>
    <row r="853" spans="1:3">
      <c r="A853" s="533"/>
      <c r="C853" s="64"/>
    </row>
    <row r="854" spans="1:3">
      <c r="A854" s="533"/>
      <c r="C854" s="64"/>
    </row>
    <row r="855" spans="1:3">
      <c r="A855" s="533"/>
      <c r="C855" s="64"/>
    </row>
    <row r="856" spans="1:3">
      <c r="A856" s="533"/>
      <c r="C856" s="64"/>
    </row>
    <row r="857" spans="1:3">
      <c r="A857" s="533"/>
      <c r="C857" s="64"/>
    </row>
    <row r="858" spans="1:3">
      <c r="A858" s="533"/>
      <c r="C858" s="64"/>
    </row>
    <row r="859" spans="1:3">
      <c r="A859" s="533"/>
      <c r="C859" s="64"/>
    </row>
    <row r="860" spans="1:3">
      <c r="A860" s="533"/>
      <c r="C860" s="64"/>
    </row>
    <row r="861" spans="1:3">
      <c r="A861" s="533"/>
      <c r="C861" s="64"/>
    </row>
    <row r="862" spans="1:3">
      <c r="A862" s="533"/>
      <c r="C862" s="64"/>
    </row>
    <row r="863" spans="1:3">
      <c r="A863" s="533"/>
      <c r="C863" s="64"/>
    </row>
    <row r="864" spans="1:3">
      <c r="A864" s="533"/>
      <c r="C864" s="64"/>
    </row>
    <row r="865" spans="1:3">
      <c r="A865" s="533"/>
      <c r="C865" s="64"/>
    </row>
    <row r="866" spans="1:3">
      <c r="A866" s="533"/>
      <c r="C866" s="64"/>
    </row>
    <row r="867" spans="1:3">
      <c r="A867" s="533"/>
      <c r="C867" s="64"/>
    </row>
    <row r="868" spans="1:3">
      <c r="A868" s="533"/>
      <c r="C868" s="64"/>
    </row>
    <row r="869" spans="1:3">
      <c r="A869" s="533"/>
      <c r="C869" s="64"/>
    </row>
    <row r="870" spans="1:3">
      <c r="A870" s="533"/>
      <c r="C870" s="64"/>
    </row>
    <row r="871" spans="1:3">
      <c r="A871" s="533"/>
      <c r="C871" s="64"/>
    </row>
    <row r="872" spans="1:3">
      <c r="A872" s="533"/>
      <c r="C872" s="64"/>
    </row>
    <row r="873" spans="1:3">
      <c r="A873" s="533"/>
      <c r="C873" s="64"/>
    </row>
    <row r="874" spans="1:3">
      <c r="A874" s="533"/>
      <c r="C874" s="64"/>
    </row>
    <row r="875" spans="1:3">
      <c r="A875" s="533"/>
      <c r="C875" s="64"/>
    </row>
    <row r="876" spans="1:3">
      <c r="A876" s="533"/>
      <c r="C876" s="64"/>
    </row>
    <row r="877" spans="1:3">
      <c r="A877" s="533"/>
      <c r="C877" s="64"/>
    </row>
    <row r="878" spans="1:3">
      <c r="A878" s="533"/>
      <c r="C878" s="64"/>
    </row>
    <row r="879" spans="1:3">
      <c r="A879" s="533"/>
      <c r="C879" s="64"/>
    </row>
    <row r="880" spans="1:3">
      <c r="A880" s="533"/>
      <c r="C880" s="64"/>
    </row>
    <row r="881" spans="1:3">
      <c r="A881" s="533"/>
      <c r="C881" s="64"/>
    </row>
    <row r="882" spans="1:3">
      <c r="A882" s="533"/>
      <c r="C882" s="64"/>
    </row>
    <row r="883" spans="1:3">
      <c r="A883" s="533"/>
      <c r="C883" s="64"/>
    </row>
    <row r="884" spans="1:3">
      <c r="A884" s="533"/>
      <c r="C884" s="64"/>
    </row>
    <row r="885" spans="1:3">
      <c r="A885" s="533"/>
      <c r="C885" s="64"/>
    </row>
    <row r="886" spans="1:3">
      <c r="A886" s="533"/>
      <c r="C886" s="64"/>
    </row>
    <row r="887" spans="1:3">
      <c r="A887" s="533"/>
      <c r="C887" s="64"/>
    </row>
    <row r="888" spans="1:3">
      <c r="A888" s="533"/>
      <c r="C888" s="64"/>
    </row>
    <row r="889" spans="1:3">
      <c r="A889" s="533"/>
      <c r="C889" s="64"/>
    </row>
    <row r="890" spans="1:3">
      <c r="A890" s="533"/>
      <c r="C890" s="64"/>
    </row>
    <row r="891" spans="1:3">
      <c r="A891" s="533"/>
      <c r="C891" s="64"/>
    </row>
    <row r="892" spans="1:3">
      <c r="A892" s="533"/>
      <c r="C892" s="64"/>
    </row>
    <row r="893" spans="1:3">
      <c r="A893" s="533"/>
      <c r="C893" s="64"/>
    </row>
    <row r="894" spans="1:3">
      <c r="A894" s="533"/>
      <c r="C894" s="64"/>
    </row>
    <row r="895" spans="1:3">
      <c r="A895" s="533"/>
      <c r="C895" s="64"/>
    </row>
    <row r="896" spans="1:3">
      <c r="A896" s="533"/>
      <c r="C896" s="64"/>
    </row>
    <row r="897" spans="1:3">
      <c r="A897" s="533"/>
      <c r="C897" s="64"/>
    </row>
    <row r="898" spans="1:3">
      <c r="A898" s="533"/>
      <c r="C898" s="64"/>
    </row>
    <row r="899" spans="1:3">
      <c r="A899" s="533"/>
      <c r="C899" s="64"/>
    </row>
    <row r="900" spans="1:3">
      <c r="A900" s="533"/>
      <c r="C900" s="64"/>
    </row>
    <row r="901" spans="1:3">
      <c r="A901" s="533"/>
      <c r="C901" s="64"/>
    </row>
    <row r="902" spans="1:3">
      <c r="A902" s="533"/>
      <c r="C902" s="64"/>
    </row>
    <row r="903" spans="1:3">
      <c r="A903" s="533"/>
      <c r="C903" s="64"/>
    </row>
    <row r="904" spans="1:3">
      <c r="A904" s="533"/>
      <c r="C904" s="64"/>
    </row>
    <row r="905" spans="1:3">
      <c r="A905" s="533"/>
      <c r="C905" s="64"/>
    </row>
    <row r="906" spans="1:3">
      <c r="A906" s="533"/>
      <c r="C906" s="64"/>
    </row>
    <row r="907" spans="1:3">
      <c r="A907" s="533"/>
      <c r="C907" s="64"/>
    </row>
    <row r="908" spans="1:3">
      <c r="A908" s="533"/>
      <c r="C908" s="64"/>
    </row>
    <row r="909" spans="1:3">
      <c r="A909" s="533"/>
      <c r="C909" s="64"/>
    </row>
    <row r="910" spans="1:3">
      <c r="A910" s="533"/>
      <c r="C910" s="64"/>
    </row>
    <row r="911" spans="1:3">
      <c r="A911" s="533"/>
      <c r="C911" s="64"/>
    </row>
    <row r="912" spans="1:3">
      <c r="A912" s="533"/>
      <c r="C912" s="64"/>
    </row>
    <row r="913" spans="1:3">
      <c r="A913" s="533"/>
      <c r="C913" s="64"/>
    </row>
    <row r="914" spans="1:3">
      <c r="A914" s="533"/>
      <c r="C914" s="64"/>
    </row>
    <row r="915" spans="1:3">
      <c r="A915" s="533"/>
      <c r="C915" s="64"/>
    </row>
    <row r="916" spans="1:3">
      <c r="A916" s="533"/>
      <c r="C916" s="64"/>
    </row>
    <row r="917" spans="1:3">
      <c r="A917" s="533"/>
      <c r="C917" s="64"/>
    </row>
    <row r="918" spans="1:3">
      <c r="A918" s="533"/>
      <c r="C918" s="64"/>
    </row>
    <row r="919" spans="1:3">
      <c r="A919" s="533"/>
      <c r="C919" s="64"/>
    </row>
    <row r="920" spans="1:3">
      <c r="A920" s="533"/>
      <c r="C920" s="64"/>
    </row>
    <row r="921" spans="1:3">
      <c r="A921" s="533"/>
      <c r="C921" s="64"/>
    </row>
    <row r="922" spans="1:3">
      <c r="A922" s="533"/>
      <c r="C922" s="64"/>
    </row>
    <row r="923" spans="1:3">
      <c r="A923" s="533"/>
      <c r="C923" s="64"/>
    </row>
    <row r="924" spans="1:3">
      <c r="A924" s="533"/>
      <c r="C924" s="64"/>
    </row>
    <row r="925" spans="1:3">
      <c r="A925" s="533"/>
      <c r="C925" s="64"/>
    </row>
    <row r="926" spans="1:3">
      <c r="A926" s="533"/>
      <c r="C926" s="64"/>
    </row>
    <row r="927" spans="1:3">
      <c r="A927" s="533"/>
      <c r="C927" s="64"/>
    </row>
    <row r="928" spans="1:3">
      <c r="A928" s="533"/>
      <c r="C928" s="64"/>
    </row>
    <row r="929" spans="1:3">
      <c r="A929" s="533"/>
      <c r="C929" s="64"/>
    </row>
    <row r="930" spans="1:3">
      <c r="A930" s="533"/>
      <c r="C930" s="64"/>
    </row>
    <row r="931" spans="1:3">
      <c r="A931" s="533"/>
      <c r="C931" s="64"/>
    </row>
    <row r="932" spans="1:3">
      <c r="A932" s="533"/>
      <c r="C932" s="64"/>
    </row>
    <row r="933" spans="1:3">
      <c r="A933" s="533"/>
      <c r="C933" s="64"/>
    </row>
    <row r="934" spans="1:3">
      <c r="A934" s="533"/>
      <c r="C934" s="64"/>
    </row>
    <row r="935" spans="1:3">
      <c r="A935" s="533"/>
      <c r="C935" s="64"/>
    </row>
    <row r="936" spans="1:3">
      <c r="A936" s="533"/>
      <c r="C936" s="64"/>
    </row>
    <row r="937" spans="1:3">
      <c r="A937" s="533"/>
      <c r="C937" s="64"/>
    </row>
    <row r="938" spans="1:3">
      <c r="A938" s="533"/>
      <c r="C938" s="64"/>
    </row>
    <row r="939" spans="1:3">
      <c r="A939" s="533"/>
      <c r="C939" s="64"/>
    </row>
    <row r="940" spans="1:3">
      <c r="A940" s="533"/>
      <c r="C940" s="64"/>
    </row>
    <row r="941" spans="1:3">
      <c r="A941" s="533"/>
      <c r="C941" s="64"/>
    </row>
    <row r="942" spans="1:3">
      <c r="A942" s="533"/>
      <c r="C942" s="64"/>
    </row>
    <row r="943" spans="1:3">
      <c r="A943" s="533"/>
      <c r="C943" s="64"/>
    </row>
    <row r="944" spans="1:3">
      <c r="A944" s="533"/>
      <c r="C944" s="64"/>
    </row>
    <row r="945" spans="1:3">
      <c r="A945" s="533"/>
      <c r="C945" s="64"/>
    </row>
    <row r="946" spans="1:3">
      <c r="A946" s="533"/>
      <c r="C946" s="64"/>
    </row>
    <row r="947" spans="1:3">
      <c r="A947" s="533"/>
      <c r="C947" s="64"/>
    </row>
    <row r="948" spans="1:3">
      <c r="A948" s="533"/>
      <c r="C948" s="64"/>
    </row>
    <row r="949" spans="1:3">
      <c r="A949" s="533"/>
      <c r="C949" s="64"/>
    </row>
    <row r="950" spans="1:3">
      <c r="A950" s="533"/>
      <c r="C950" s="64"/>
    </row>
    <row r="951" spans="1:3">
      <c r="A951" s="533"/>
      <c r="C951" s="64"/>
    </row>
    <row r="952" spans="1:3">
      <c r="A952" s="533"/>
      <c r="C952" s="64"/>
    </row>
    <row r="953" spans="1:3">
      <c r="A953" s="533"/>
      <c r="C953" s="64"/>
    </row>
    <row r="954" spans="1:3">
      <c r="A954" s="533"/>
      <c r="C954" s="64"/>
    </row>
    <row r="955" spans="1:3">
      <c r="A955" s="533"/>
      <c r="C955" s="64"/>
    </row>
    <row r="956" spans="1:3">
      <c r="A956" s="533"/>
      <c r="C956" s="64"/>
    </row>
    <row r="957" spans="1:3">
      <c r="A957" s="533"/>
      <c r="C957" s="64"/>
    </row>
    <row r="958" spans="1:3">
      <c r="A958" s="533"/>
      <c r="C958" s="64"/>
    </row>
    <row r="959" spans="1:3">
      <c r="A959" s="533"/>
      <c r="C959" s="64"/>
    </row>
    <row r="960" spans="1:3">
      <c r="A960" s="533"/>
      <c r="C960" s="64"/>
    </row>
    <row r="961" spans="1:3">
      <c r="A961" s="533"/>
      <c r="C961" s="64"/>
    </row>
    <row r="962" spans="1:3">
      <c r="A962" s="533"/>
      <c r="C962" s="64"/>
    </row>
    <row r="963" spans="1:3">
      <c r="A963" s="533"/>
      <c r="C963" s="64"/>
    </row>
    <row r="964" spans="1:3">
      <c r="A964" s="533"/>
      <c r="C964" s="64"/>
    </row>
    <row r="965" spans="1:3">
      <c r="A965" s="533"/>
      <c r="C965" s="64"/>
    </row>
    <row r="966" spans="1:3">
      <c r="A966" s="533"/>
      <c r="C966" s="64"/>
    </row>
    <row r="967" spans="1:3">
      <c r="A967" s="533"/>
      <c r="C967" s="64"/>
    </row>
    <row r="968" spans="1:3">
      <c r="A968" s="533"/>
      <c r="C968" s="64"/>
    </row>
    <row r="969" spans="1:3">
      <c r="A969" s="533"/>
      <c r="C969" s="64"/>
    </row>
    <row r="970" spans="1:3">
      <c r="A970" s="533"/>
      <c r="C970" s="64"/>
    </row>
    <row r="971" spans="1:3">
      <c r="A971" s="533"/>
      <c r="C971" s="64"/>
    </row>
    <row r="972" spans="1:3">
      <c r="A972" s="533"/>
      <c r="C972" s="64"/>
    </row>
    <row r="973" spans="1:3">
      <c r="A973" s="533"/>
      <c r="C973" s="64"/>
    </row>
    <row r="974" spans="1:3">
      <c r="A974" s="533"/>
      <c r="C974" s="64"/>
    </row>
    <row r="975" spans="1:3">
      <c r="A975" s="533"/>
      <c r="C975" s="64"/>
    </row>
    <row r="976" spans="1:3">
      <c r="A976" s="533"/>
      <c r="C976" s="64"/>
    </row>
    <row r="977" spans="1:3">
      <c r="A977" s="533"/>
      <c r="C977" s="64"/>
    </row>
    <row r="978" spans="1:3">
      <c r="A978" s="533"/>
      <c r="C978" s="64"/>
    </row>
    <row r="979" spans="1:3">
      <c r="A979" s="533"/>
      <c r="C979" s="64"/>
    </row>
    <row r="980" spans="1:3">
      <c r="A980" s="533"/>
      <c r="C980" s="64"/>
    </row>
    <row r="981" spans="1:3">
      <c r="A981" s="533"/>
      <c r="C981" s="64"/>
    </row>
    <row r="982" spans="1:3">
      <c r="A982" s="533"/>
      <c r="C982" s="64"/>
    </row>
    <row r="983" spans="1:3">
      <c r="A983" s="533"/>
      <c r="C983" s="64"/>
    </row>
    <row r="984" spans="1:3">
      <c r="A984" s="533"/>
      <c r="C984" s="64"/>
    </row>
    <row r="985" spans="1:3">
      <c r="A985" s="533"/>
      <c r="C985" s="64"/>
    </row>
    <row r="986" spans="1:3">
      <c r="A986" s="533"/>
      <c r="C986" s="64"/>
    </row>
    <row r="987" spans="1:3">
      <c r="A987" s="533"/>
      <c r="C987" s="64"/>
    </row>
    <row r="988" spans="1:3">
      <c r="A988" s="533"/>
      <c r="C988" s="64"/>
    </row>
    <row r="989" spans="1:3">
      <c r="A989" s="533"/>
      <c r="C989" s="64"/>
    </row>
    <row r="990" spans="1:3">
      <c r="A990" s="533"/>
      <c r="C990" s="64"/>
    </row>
    <row r="991" spans="1:3">
      <c r="A991" s="533"/>
      <c r="C991" s="64"/>
    </row>
    <row r="992" spans="1:3">
      <c r="A992" s="533"/>
      <c r="C992" s="64"/>
    </row>
    <row r="993" spans="1:3">
      <c r="A993" s="533"/>
      <c r="C993" s="64"/>
    </row>
    <row r="994" spans="1:3">
      <c r="A994" s="533"/>
      <c r="C994" s="64"/>
    </row>
    <row r="995" spans="1:3">
      <c r="A995" s="533"/>
      <c r="C995" s="64"/>
    </row>
    <row r="996" spans="1:3">
      <c r="A996" s="533"/>
      <c r="C996" s="64"/>
    </row>
    <row r="997" spans="1:3">
      <c r="A997" s="533"/>
      <c r="C997" s="64"/>
    </row>
    <row r="998" spans="1:3">
      <c r="A998" s="533"/>
      <c r="C998" s="64"/>
    </row>
    <row r="999" spans="1:3">
      <c r="A999" s="533"/>
      <c r="C999" s="64"/>
    </row>
    <row r="1000" spans="1:3">
      <c r="A1000" s="533"/>
      <c r="C1000" s="64"/>
    </row>
    <row r="1001" spans="1:3">
      <c r="A1001" s="533"/>
      <c r="C1001" s="64"/>
    </row>
    <row r="1002" spans="1:3">
      <c r="A1002" s="533"/>
      <c r="C1002" s="64"/>
    </row>
    <row r="1003" spans="1:3">
      <c r="A1003" s="533"/>
      <c r="C1003" s="64"/>
    </row>
    <row r="1004" spans="1:3">
      <c r="A1004" s="533"/>
      <c r="C1004" s="64"/>
    </row>
    <row r="1005" spans="1:3">
      <c r="A1005" s="533"/>
      <c r="C1005" s="64"/>
    </row>
    <row r="1006" spans="1:3">
      <c r="A1006" s="533"/>
      <c r="C1006" s="64"/>
    </row>
    <row r="1007" spans="1:3">
      <c r="A1007" s="533"/>
      <c r="C1007" s="64"/>
    </row>
    <row r="1008" spans="1:3">
      <c r="A1008" s="533"/>
      <c r="C1008" s="64"/>
    </row>
    <row r="1009" spans="1:3">
      <c r="A1009" s="533"/>
      <c r="C1009" s="64"/>
    </row>
    <row r="1010" spans="1:3">
      <c r="A1010" s="533"/>
      <c r="C1010" s="64"/>
    </row>
    <row r="1011" spans="1:3">
      <c r="A1011" s="533"/>
      <c r="C1011" s="64"/>
    </row>
    <row r="1012" spans="1:3">
      <c r="A1012" s="533"/>
      <c r="C1012" s="64"/>
    </row>
    <row r="1013" spans="1:3">
      <c r="A1013" s="533"/>
      <c r="C1013" s="64"/>
    </row>
    <row r="1014" spans="1:3">
      <c r="A1014" s="533"/>
      <c r="C1014" s="64"/>
    </row>
    <row r="1015" spans="1:3">
      <c r="A1015" s="533"/>
      <c r="C1015" s="64"/>
    </row>
    <row r="1016" spans="1:3">
      <c r="A1016" s="533"/>
      <c r="C1016" s="64"/>
    </row>
    <row r="1017" spans="1:3">
      <c r="A1017" s="533"/>
      <c r="C1017" s="64"/>
    </row>
    <row r="1018" spans="1:3">
      <c r="A1018" s="533"/>
      <c r="C1018" s="64"/>
    </row>
    <row r="1019" spans="1:3">
      <c r="A1019" s="533"/>
      <c r="C1019" s="64"/>
    </row>
    <row r="1020" spans="1:3">
      <c r="A1020" s="533"/>
      <c r="C1020" s="64"/>
    </row>
    <row r="1021" spans="1:3">
      <c r="A1021" s="533"/>
      <c r="C1021" s="64"/>
    </row>
    <row r="1022" spans="1:3">
      <c r="A1022" s="533"/>
      <c r="C1022" s="64"/>
    </row>
    <row r="1023" spans="1:3">
      <c r="A1023" s="533"/>
      <c r="C1023" s="64"/>
    </row>
    <row r="1024" spans="1:3">
      <c r="A1024" s="533"/>
      <c r="C1024" s="64"/>
    </row>
    <row r="1025" spans="1:3">
      <c r="A1025" s="533"/>
      <c r="C1025" s="64"/>
    </row>
    <row r="1026" spans="1:3">
      <c r="A1026" s="533"/>
      <c r="C1026" s="64"/>
    </row>
    <row r="1027" spans="1:3">
      <c r="A1027" s="533"/>
      <c r="C1027" s="64"/>
    </row>
    <row r="1028" spans="1:3">
      <c r="A1028" s="533"/>
      <c r="C1028" s="64"/>
    </row>
    <row r="1029" spans="1:3">
      <c r="A1029" s="533"/>
      <c r="C1029" s="64"/>
    </row>
    <row r="1030" spans="1:3">
      <c r="A1030" s="533"/>
      <c r="C1030" s="64"/>
    </row>
    <row r="1031" spans="1:3">
      <c r="A1031" s="533"/>
      <c r="C1031" s="64"/>
    </row>
    <row r="1032" spans="1:3">
      <c r="A1032" s="533"/>
      <c r="C1032" s="64"/>
    </row>
    <row r="1033" spans="1:3">
      <c r="A1033" s="533"/>
      <c r="C1033" s="64"/>
    </row>
    <row r="1034" spans="1:3">
      <c r="A1034" s="533"/>
      <c r="C1034" s="64"/>
    </row>
    <row r="1035" spans="1:3">
      <c r="A1035" s="533"/>
      <c r="C1035" s="64"/>
    </row>
    <row r="1036" spans="1:3">
      <c r="A1036" s="533"/>
      <c r="C1036" s="64"/>
    </row>
    <row r="1037" spans="1:3">
      <c r="A1037" s="533"/>
      <c r="C1037" s="64"/>
    </row>
    <row r="1038" spans="1:3">
      <c r="A1038" s="533"/>
      <c r="C1038" s="64"/>
    </row>
    <row r="1039" spans="1:3">
      <c r="A1039" s="533"/>
      <c r="C1039" s="64"/>
    </row>
    <row r="1040" spans="1:3">
      <c r="A1040" s="533"/>
      <c r="C1040" s="64"/>
    </row>
    <row r="1041" spans="1:3">
      <c r="A1041" s="533"/>
      <c r="C1041" s="64"/>
    </row>
    <row r="1042" spans="1:3">
      <c r="A1042" s="533"/>
      <c r="C1042" s="64"/>
    </row>
    <row r="1043" spans="1:3">
      <c r="A1043" s="533"/>
      <c r="C1043" s="64"/>
    </row>
    <row r="1044" spans="1:3">
      <c r="A1044" s="533"/>
      <c r="C1044" s="64"/>
    </row>
    <row r="1045" spans="1:3">
      <c r="A1045" s="533"/>
      <c r="C1045" s="64"/>
    </row>
    <row r="1046" spans="1:3">
      <c r="A1046" s="533"/>
      <c r="C1046" s="64"/>
    </row>
    <row r="1047" spans="1:3">
      <c r="A1047" s="533"/>
      <c r="C1047" s="64"/>
    </row>
    <row r="1048" spans="1:3">
      <c r="A1048" s="533"/>
      <c r="C1048" s="64"/>
    </row>
    <row r="1049" spans="1:3">
      <c r="A1049" s="533"/>
      <c r="C1049" s="64"/>
    </row>
    <row r="1050" spans="1:3">
      <c r="A1050" s="533"/>
      <c r="C1050" s="64"/>
    </row>
    <row r="1051" spans="1:3">
      <c r="A1051" s="533"/>
      <c r="C1051" s="64"/>
    </row>
    <row r="1052" spans="1:3">
      <c r="A1052" s="533"/>
      <c r="C1052" s="64"/>
    </row>
    <row r="1053" spans="1:3">
      <c r="A1053" s="533"/>
      <c r="C1053" s="64"/>
    </row>
    <row r="1054" spans="1:3">
      <c r="A1054" s="533"/>
      <c r="C1054" s="64"/>
    </row>
    <row r="1055" spans="1:3">
      <c r="A1055" s="533"/>
      <c r="C1055" s="64"/>
    </row>
    <row r="1056" spans="1:3">
      <c r="A1056" s="533"/>
      <c r="C1056" s="64"/>
    </row>
    <row r="1057" spans="1:3">
      <c r="A1057" s="533"/>
      <c r="C1057" s="64"/>
    </row>
    <row r="1058" spans="1:3">
      <c r="A1058" s="533"/>
      <c r="C1058" s="64"/>
    </row>
    <row r="1059" spans="1:3">
      <c r="A1059" s="533"/>
      <c r="C1059" s="64"/>
    </row>
    <row r="1060" spans="1:3">
      <c r="A1060" s="533"/>
      <c r="C1060" s="64"/>
    </row>
    <row r="1061" spans="1:3">
      <c r="A1061" s="533"/>
      <c r="C1061" s="64"/>
    </row>
    <row r="1062" spans="1:3">
      <c r="A1062" s="533"/>
      <c r="C1062" s="64"/>
    </row>
    <row r="1063" spans="1:3">
      <c r="A1063" s="533"/>
      <c r="C1063" s="64"/>
    </row>
    <row r="1064" spans="1:3">
      <c r="A1064" s="533"/>
      <c r="C1064" s="64"/>
    </row>
    <row r="1065" spans="1:3">
      <c r="A1065" s="533"/>
      <c r="C1065" s="64"/>
    </row>
    <row r="1066" spans="1:3">
      <c r="A1066" s="533"/>
      <c r="C1066" s="64"/>
    </row>
    <row r="1067" spans="1:3">
      <c r="A1067" s="533"/>
      <c r="C1067" s="64"/>
    </row>
    <row r="1068" spans="1:3">
      <c r="A1068" s="533"/>
      <c r="C1068" s="64"/>
    </row>
    <row r="1069" spans="1:3">
      <c r="A1069" s="533"/>
      <c r="C1069" s="64"/>
    </row>
    <row r="1070" spans="1:3">
      <c r="A1070" s="533"/>
      <c r="C1070" s="64"/>
    </row>
    <row r="1071" spans="1:3">
      <c r="A1071" s="533"/>
      <c r="C1071" s="64"/>
    </row>
    <row r="1072" spans="1:3">
      <c r="A1072" s="533"/>
      <c r="C1072" s="64"/>
    </row>
    <row r="1073" spans="1:3">
      <c r="A1073" s="533"/>
      <c r="C1073" s="64"/>
    </row>
    <row r="1074" spans="1:3">
      <c r="A1074" s="533"/>
      <c r="C1074" s="64"/>
    </row>
    <row r="1075" spans="1:3">
      <c r="A1075" s="533"/>
      <c r="C1075" s="64"/>
    </row>
    <row r="1076" spans="1:3">
      <c r="A1076" s="533"/>
      <c r="C1076" s="64"/>
    </row>
    <row r="1077" spans="1:3">
      <c r="A1077" s="533"/>
      <c r="C1077" s="64"/>
    </row>
    <row r="1078" spans="1:3">
      <c r="A1078" s="533"/>
      <c r="C1078" s="64"/>
    </row>
    <row r="1079" spans="1:3">
      <c r="A1079" s="533"/>
      <c r="C1079" s="64"/>
    </row>
    <row r="1080" spans="1:3">
      <c r="A1080" s="533"/>
      <c r="C1080" s="64"/>
    </row>
    <row r="1081" spans="1:3">
      <c r="A1081" s="533"/>
      <c r="C1081" s="64"/>
    </row>
    <row r="1082" spans="1:3">
      <c r="A1082" s="533"/>
      <c r="C1082" s="64"/>
    </row>
    <row r="1083" spans="1:3">
      <c r="A1083" s="533"/>
      <c r="C1083" s="64"/>
    </row>
    <row r="1084" spans="1:3">
      <c r="A1084" s="533"/>
      <c r="C1084" s="64"/>
    </row>
    <row r="1085" spans="1:3">
      <c r="A1085" s="533"/>
      <c r="C1085" s="64"/>
    </row>
    <row r="1086" spans="1:3">
      <c r="A1086" s="533"/>
      <c r="C1086" s="64"/>
    </row>
    <row r="1087" spans="1:3">
      <c r="A1087" s="533"/>
      <c r="C1087" s="64"/>
    </row>
    <row r="1088" spans="1:3">
      <c r="A1088" s="533"/>
      <c r="C1088" s="64"/>
    </row>
    <row r="1089" spans="1:3">
      <c r="A1089" s="533"/>
      <c r="C1089" s="64"/>
    </row>
    <row r="1090" spans="1:3">
      <c r="A1090" s="533"/>
      <c r="C1090" s="64"/>
    </row>
    <row r="1091" spans="1:3">
      <c r="A1091" s="533"/>
      <c r="C1091" s="64"/>
    </row>
    <row r="1092" spans="1:3">
      <c r="A1092" s="533"/>
      <c r="C1092" s="64"/>
    </row>
    <row r="1093" spans="1:3">
      <c r="A1093" s="533"/>
      <c r="C1093" s="64"/>
    </row>
    <row r="1094" spans="1:3">
      <c r="A1094" s="533"/>
      <c r="C1094" s="64"/>
    </row>
    <row r="1095" spans="1:3">
      <c r="A1095" s="533"/>
      <c r="C1095" s="64"/>
    </row>
    <row r="1096" spans="1:3">
      <c r="A1096" s="533"/>
      <c r="C1096" s="64"/>
    </row>
    <row r="1097" spans="1:3">
      <c r="A1097" s="533"/>
      <c r="C1097" s="64"/>
    </row>
    <row r="1098" spans="1:3">
      <c r="A1098" s="533"/>
      <c r="C1098" s="64"/>
    </row>
    <row r="1099" spans="1:3">
      <c r="A1099" s="533"/>
      <c r="C1099" s="64"/>
    </row>
    <row r="1100" spans="1:3">
      <c r="A1100" s="533"/>
      <c r="C1100" s="64"/>
    </row>
    <row r="1101" spans="1:3">
      <c r="A1101" s="533"/>
      <c r="C1101" s="64"/>
    </row>
    <row r="1102" spans="1:3">
      <c r="A1102" s="533"/>
      <c r="C1102" s="64"/>
    </row>
    <row r="1103" spans="1:3">
      <c r="A1103" s="533"/>
      <c r="C1103" s="64"/>
    </row>
    <row r="1104" spans="1:3">
      <c r="A1104" s="533"/>
      <c r="C1104" s="64"/>
    </row>
    <row r="1105" spans="1:3">
      <c r="A1105" s="533"/>
      <c r="C1105" s="64"/>
    </row>
    <row r="1106" spans="1:3">
      <c r="A1106" s="533"/>
      <c r="C1106" s="64"/>
    </row>
    <row r="1107" spans="1:3">
      <c r="A1107" s="533"/>
      <c r="C1107" s="64"/>
    </row>
    <row r="1108" spans="1:3">
      <c r="A1108" s="533"/>
      <c r="C1108" s="64"/>
    </row>
    <row r="1109" spans="1:3">
      <c r="A1109" s="533"/>
      <c r="C1109" s="64"/>
    </row>
    <row r="1110" spans="1:3">
      <c r="A1110" s="533"/>
      <c r="C1110" s="64"/>
    </row>
    <row r="1111" spans="1:3">
      <c r="A1111" s="533"/>
      <c r="C1111" s="64"/>
    </row>
    <row r="1112" spans="1:3">
      <c r="A1112" s="533"/>
      <c r="C1112" s="64"/>
    </row>
    <row r="1113" spans="1:3">
      <c r="A1113" s="533"/>
      <c r="C1113" s="64"/>
    </row>
    <row r="1114" spans="1:3">
      <c r="A1114" s="533"/>
      <c r="C1114" s="64"/>
    </row>
    <row r="1115" spans="1:3">
      <c r="A1115" s="533"/>
      <c r="C1115" s="64"/>
    </row>
    <row r="1116" spans="1:3">
      <c r="A1116" s="533"/>
      <c r="C1116" s="64"/>
    </row>
    <row r="1117" spans="1:3">
      <c r="A1117" s="533"/>
      <c r="C1117" s="64"/>
    </row>
    <row r="1118" spans="1:3">
      <c r="A1118" s="533"/>
      <c r="C1118" s="64"/>
    </row>
    <row r="1119" spans="1:3">
      <c r="A1119" s="533"/>
      <c r="C1119" s="64"/>
    </row>
    <row r="1120" spans="1:3">
      <c r="A1120" s="533"/>
      <c r="C1120" s="64"/>
    </row>
    <row r="1121" spans="1:3">
      <c r="A1121" s="533"/>
      <c r="C1121" s="64"/>
    </row>
    <row r="1122" spans="1:3">
      <c r="A1122" s="533"/>
      <c r="C1122" s="64"/>
    </row>
    <row r="1123" spans="1:3">
      <c r="A1123" s="533"/>
      <c r="C1123" s="64"/>
    </row>
    <row r="1124" spans="1:3">
      <c r="A1124" s="533"/>
      <c r="C1124" s="64"/>
    </row>
    <row r="1125" spans="1:3">
      <c r="A1125" s="533"/>
      <c r="C1125" s="64"/>
    </row>
    <row r="1126" spans="1:3">
      <c r="A1126" s="533"/>
      <c r="C1126" s="64"/>
    </row>
    <row r="1127" spans="1:3">
      <c r="A1127" s="533"/>
      <c r="C1127" s="64"/>
    </row>
    <row r="1128" spans="1:3">
      <c r="A1128" s="533"/>
      <c r="C1128" s="64"/>
    </row>
    <row r="1129" spans="1:3">
      <c r="A1129" s="533"/>
      <c r="C1129" s="64"/>
    </row>
    <row r="1130" spans="1:3">
      <c r="A1130" s="533"/>
      <c r="C1130" s="64"/>
    </row>
    <row r="1131" spans="1:3">
      <c r="A1131" s="533"/>
      <c r="C1131" s="64"/>
    </row>
    <row r="1132" spans="1:3">
      <c r="A1132" s="533"/>
      <c r="C1132" s="64"/>
    </row>
    <row r="1133" spans="1:3">
      <c r="A1133" s="533"/>
      <c r="C1133" s="64"/>
    </row>
    <row r="1134" spans="1:3">
      <c r="A1134" s="533"/>
      <c r="C1134" s="64"/>
    </row>
    <row r="1135" spans="1:3">
      <c r="A1135" s="533"/>
      <c r="C1135" s="64"/>
    </row>
    <row r="1136" spans="1:3">
      <c r="A1136" s="533"/>
      <c r="C1136" s="64"/>
    </row>
    <row r="1137" spans="1:3">
      <c r="A1137" s="533"/>
      <c r="C1137" s="64"/>
    </row>
    <row r="1138" spans="1:3">
      <c r="A1138" s="533"/>
      <c r="C1138" s="64"/>
    </row>
    <row r="1139" spans="1:3">
      <c r="A1139" s="533"/>
      <c r="C1139" s="64"/>
    </row>
    <row r="1140" spans="1:3">
      <c r="A1140" s="533"/>
      <c r="C1140" s="64"/>
    </row>
    <row r="1141" spans="1:3">
      <c r="A1141" s="533"/>
      <c r="C1141" s="64"/>
    </row>
    <row r="1142" spans="1:3">
      <c r="A1142" s="533"/>
      <c r="C1142" s="64"/>
    </row>
    <row r="1143" spans="1:3">
      <c r="A1143" s="533"/>
      <c r="C1143" s="64"/>
    </row>
    <row r="1144" spans="1:3">
      <c r="A1144" s="533"/>
      <c r="C1144" s="64"/>
    </row>
    <row r="1145" spans="1:3">
      <c r="A1145" s="533"/>
      <c r="C1145" s="64"/>
    </row>
    <row r="1146" spans="1:3">
      <c r="A1146" s="533"/>
      <c r="C1146" s="64"/>
    </row>
    <row r="1147" spans="1:3">
      <c r="A1147" s="533"/>
      <c r="C1147" s="64"/>
    </row>
    <row r="1148" spans="1:3">
      <c r="A1148" s="533"/>
      <c r="C1148" s="64"/>
    </row>
    <row r="1149" spans="1:3">
      <c r="A1149" s="533"/>
      <c r="C1149" s="64"/>
    </row>
    <row r="1150" spans="1:3">
      <c r="A1150" s="533"/>
      <c r="C1150" s="64"/>
    </row>
    <row r="1151" spans="1:3">
      <c r="A1151" s="533"/>
      <c r="C1151" s="64"/>
    </row>
    <row r="1152" spans="1:3">
      <c r="A1152" s="533"/>
      <c r="C1152" s="64"/>
    </row>
    <row r="1153" spans="1:3">
      <c r="A1153" s="533"/>
      <c r="C1153" s="64"/>
    </row>
    <row r="1154" spans="1:3">
      <c r="A1154" s="533"/>
      <c r="C1154" s="64"/>
    </row>
    <row r="1155" spans="1:3">
      <c r="A1155" s="533"/>
      <c r="C1155" s="64"/>
    </row>
    <row r="1156" spans="1:3">
      <c r="A1156" s="533"/>
      <c r="C1156" s="64"/>
    </row>
    <row r="1157" spans="1:3">
      <c r="A1157" s="533"/>
      <c r="C1157" s="64"/>
    </row>
    <row r="1158" spans="1:3">
      <c r="A1158" s="533"/>
      <c r="C1158" s="64"/>
    </row>
    <row r="1159" spans="1:3">
      <c r="A1159" s="533"/>
      <c r="C1159" s="64"/>
    </row>
    <row r="1160" spans="1:3">
      <c r="A1160" s="533"/>
      <c r="C1160" s="64"/>
    </row>
    <row r="1161" spans="1:3">
      <c r="A1161" s="533"/>
      <c r="C1161" s="64"/>
    </row>
    <row r="1162" spans="1:3">
      <c r="A1162" s="533"/>
      <c r="C1162" s="64"/>
    </row>
    <row r="1163" spans="1:3">
      <c r="A1163" s="533"/>
      <c r="C1163" s="64"/>
    </row>
    <row r="1164" spans="1:3">
      <c r="A1164" s="533"/>
      <c r="C1164" s="64"/>
    </row>
    <row r="1165" spans="1:3">
      <c r="A1165" s="533"/>
      <c r="C1165" s="64"/>
    </row>
    <row r="1166" spans="1:3">
      <c r="A1166" s="533"/>
      <c r="C1166" s="64"/>
    </row>
    <row r="1167" spans="1:3">
      <c r="A1167" s="533"/>
      <c r="C1167" s="64"/>
    </row>
    <row r="1168" spans="1:3">
      <c r="A1168" s="533"/>
      <c r="C1168" s="64"/>
    </row>
    <row r="1169" spans="1:3">
      <c r="A1169" s="533"/>
      <c r="C1169" s="64"/>
    </row>
    <row r="1170" spans="1:3">
      <c r="A1170" s="533"/>
      <c r="C1170" s="64"/>
    </row>
    <row r="1171" spans="1:3">
      <c r="A1171" s="533"/>
      <c r="C1171" s="64"/>
    </row>
    <row r="1172" spans="1:3">
      <c r="A1172" s="533"/>
      <c r="C1172" s="64"/>
    </row>
    <row r="1173" spans="1:3">
      <c r="A1173" s="533"/>
      <c r="C1173" s="64"/>
    </row>
    <row r="1174" spans="1:3">
      <c r="A1174" s="533"/>
      <c r="C1174" s="64"/>
    </row>
    <row r="1175" spans="1:3">
      <c r="A1175" s="533"/>
      <c r="C1175" s="64"/>
    </row>
    <row r="1176" spans="1:3">
      <c r="A1176" s="533"/>
      <c r="C1176" s="64"/>
    </row>
    <row r="1177" spans="1:3">
      <c r="A1177" s="533"/>
      <c r="C1177" s="64"/>
    </row>
    <row r="1178" spans="1:3">
      <c r="A1178" s="533"/>
      <c r="C1178" s="64"/>
    </row>
    <row r="1179" spans="1:3">
      <c r="A1179" s="533"/>
      <c r="C1179" s="64"/>
    </row>
    <row r="1180" spans="1:3">
      <c r="A1180" s="533"/>
      <c r="C1180" s="64"/>
    </row>
    <row r="1181" spans="1:3">
      <c r="A1181" s="533"/>
      <c r="C1181" s="64"/>
    </row>
    <row r="1182" spans="1:3">
      <c r="A1182" s="533"/>
      <c r="C1182" s="64"/>
    </row>
    <row r="1183" spans="1:3">
      <c r="A1183" s="533"/>
      <c r="C1183" s="64"/>
    </row>
    <row r="1184" spans="1:3">
      <c r="A1184" s="533"/>
      <c r="C1184" s="64"/>
    </row>
    <row r="1185" spans="1:3">
      <c r="A1185" s="533"/>
      <c r="C1185" s="64"/>
    </row>
    <row r="1186" spans="1:3">
      <c r="A1186" s="533"/>
      <c r="C1186" s="64"/>
    </row>
    <row r="1187" spans="1:3">
      <c r="A1187" s="533"/>
      <c r="C1187" s="64"/>
    </row>
    <row r="1188" spans="1:3">
      <c r="A1188" s="533"/>
      <c r="C1188" s="64"/>
    </row>
    <row r="1189" spans="1:3">
      <c r="A1189" s="533"/>
      <c r="C1189" s="64"/>
    </row>
    <row r="1190" spans="1:3">
      <c r="A1190" s="533"/>
      <c r="C1190" s="64"/>
    </row>
    <row r="1191" spans="1:3">
      <c r="A1191" s="533"/>
      <c r="C1191" s="64"/>
    </row>
    <row r="1192" spans="1:3">
      <c r="A1192" s="533"/>
      <c r="C1192" s="64"/>
    </row>
    <row r="1193" spans="1:3">
      <c r="A1193" s="533"/>
      <c r="C1193" s="64"/>
    </row>
    <row r="1194" spans="1:3">
      <c r="A1194" s="533"/>
      <c r="C1194" s="64"/>
    </row>
    <row r="1195" spans="1:3">
      <c r="A1195" s="533"/>
      <c r="C1195" s="64"/>
    </row>
    <row r="1196" spans="1:3">
      <c r="A1196" s="533"/>
      <c r="C1196" s="64"/>
    </row>
    <row r="1197" spans="1:3">
      <c r="A1197" s="533"/>
      <c r="C1197" s="64"/>
    </row>
    <row r="1198" spans="1:3">
      <c r="A1198" s="533"/>
      <c r="C1198" s="64"/>
    </row>
    <row r="1199" spans="1:3">
      <c r="A1199" s="533"/>
      <c r="C1199" s="64"/>
    </row>
    <row r="1200" spans="1:3">
      <c r="A1200" s="533"/>
      <c r="C1200" s="64"/>
    </row>
    <row r="1201" spans="1:3">
      <c r="A1201" s="533"/>
      <c r="C1201" s="64"/>
    </row>
    <row r="1202" spans="1:3">
      <c r="A1202" s="533"/>
      <c r="C1202" s="64"/>
    </row>
    <row r="1203" spans="1:3">
      <c r="A1203" s="533"/>
      <c r="C1203" s="64"/>
    </row>
    <row r="1204" spans="1:3">
      <c r="A1204" s="533"/>
      <c r="C1204" s="64"/>
    </row>
    <row r="1205" spans="1:3">
      <c r="A1205" s="533"/>
      <c r="C1205" s="64"/>
    </row>
    <row r="1206" spans="1:3">
      <c r="A1206" s="533"/>
      <c r="C1206" s="64"/>
    </row>
    <row r="1207" spans="1:3">
      <c r="A1207" s="533"/>
      <c r="C1207" s="64"/>
    </row>
    <row r="1208" spans="1:3">
      <c r="A1208" s="533"/>
      <c r="C1208" s="64"/>
    </row>
    <row r="1209" spans="1:3">
      <c r="A1209" s="533"/>
      <c r="C1209" s="64"/>
    </row>
    <row r="1210" spans="1:3">
      <c r="A1210" s="533"/>
      <c r="C1210" s="64"/>
    </row>
    <row r="1211" spans="1:3">
      <c r="A1211" s="533"/>
      <c r="C1211" s="64"/>
    </row>
    <row r="1212" spans="1:3">
      <c r="A1212" s="533"/>
      <c r="C1212" s="64"/>
    </row>
    <row r="1213" spans="1:3">
      <c r="A1213" s="533"/>
      <c r="C1213" s="64"/>
    </row>
    <row r="1214" spans="1:3">
      <c r="A1214" s="533"/>
      <c r="C1214" s="64"/>
    </row>
    <row r="1215" spans="1:3">
      <c r="A1215" s="533"/>
      <c r="C1215" s="64"/>
    </row>
    <row r="1216" spans="1:3">
      <c r="A1216" s="533"/>
      <c r="C1216" s="64"/>
    </row>
    <row r="1217" spans="1:3">
      <c r="A1217" s="533"/>
      <c r="C1217" s="64"/>
    </row>
    <row r="1218" spans="1:3">
      <c r="A1218" s="533"/>
      <c r="C1218" s="64"/>
    </row>
    <row r="1219" spans="1:3">
      <c r="A1219" s="533"/>
      <c r="C1219" s="64"/>
    </row>
    <row r="1220" spans="1:3">
      <c r="A1220" s="533"/>
      <c r="C1220" s="64"/>
    </row>
    <row r="1221" spans="1:3">
      <c r="A1221" s="533"/>
      <c r="C1221" s="64"/>
    </row>
    <row r="1222" spans="1:3">
      <c r="A1222" s="533"/>
      <c r="C1222" s="64"/>
    </row>
    <row r="1223" spans="1:3">
      <c r="A1223" s="533"/>
      <c r="C1223" s="64"/>
    </row>
    <row r="1224" spans="1:3">
      <c r="A1224" s="533"/>
      <c r="C1224" s="64"/>
    </row>
    <row r="1225" spans="1:3">
      <c r="A1225" s="533"/>
      <c r="C1225" s="64"/>
    </row>
    <row r="1226" spans="1:3">
      <c r="A1226" s="533"/>
      <c r="C1226" s="64"/>
    </row>
    <row r="1227" spans="1:3">
      <c r="A1227" s="533"/>
      <c r="C1227" s="64"/>
    </row>
    <row r="1228" spans="1:3">
      <c r="A1228" s="533"/>
      <c r="C1228" s="64"/>
    </row>
    <row r="1229" spans="1:3">
      <c r="A1229" s="533"/>
      <c r="C1229" s="64"/>
    </row>
    <row r="1230" spans="1:3">
      <c r="A1230" s="533"/>
      <c r="C1230" s="64"/>
    </row>
    <row r="1231" spans="1:3">
      <c r="A1231" s="533"/>
      <c r="C1231" s="64"/>
    </row>
    <row r="1232" spans="1:3">
      <c r="A1232" s="533"/>
      <c r="C1232" s="64"/>
    </row>
    <row r="1233" spans="1:3">
      <c r="A1233" s="533"/>
      <c r="C1233" s="64"/>
    </row>
    <row r="1234" spans="1:3">
      <c r="A1234" s="533"/>
      <c r="C1234" s="64"/>
    </row>
    <row r="1235" spans="1:3">
      <c r="A1235" s="533"/>
      <c r="C1235" s="64"/>
    </row>
    <row r="1236" spans="1:3">
      <c r="A1236" s="533"/>
      <c r="C1236" s="64"/>
    </row>
    <row r="1237" spans="1:3">
      <c r="A1237" s="533"/>
      <c r="C1237" s="64"/>
    </row>
    <row r="1238" spans="1:3">
      <c r="A1238" s="533"/>
      <c r="C1238" s="64"/>
    </row>
    <row r="1239" spans="1:3">
      <c r="A1239" s="533"/>
      <c r="C1239" s="64"/>
    </row>
    <row r="1240" spans="1:3">
      <c r="A1240" s="533"/>
      <c r="C1240" s="64"/>
    </row>
    <row r="1241" spans="1:3">
      <c r="A1241" s="533"/>
      <c r="C1241" s="64"/>
    </row>
    <row r="1242" spans="1:3">
      <c r="A1242" s="533"/>
      <c r="C1242" s="64"/>
    </row>
    <row r="1243" spans="1:3">
      <c r="A1243" s="533"/>
      <c r="C1243" s="64"/>
    </row>
    <row r="1244" spans="1:3">
      <c r="A1244" s="533"/>
      <c r="C1244" s="64"/>
    </row>
    <row r="1245" spans="1:3">
      <c r="A1245" s="533"/>
      <c r="C1245" s="64"/>
    </row>
    <row r="1246" spans="1:3">
      <c r="A1246" s="533"/>
      <c r="C1246" s="64"/>
    </row>
    <row r="1247" spans="1:3">
      <c r="A1247" s="533"/>
      <c r="C1247" s="64"/>
    </row>
    <row r="1248" spans="1:3">
      <c r="A1248" s="533"/>
      <c r="C1248" s="64"/>
    </row>
    <row r="1249" spans="1:3">
      <c r="A1249" s="533"/>
      <c r="C1249" s="64"/>
    </row>
    <row r="1250" spans="1:3">
      <c r="A1250" s="533"/>
      <c r="C1250" s="64"/>
    </row>
    <row r="1251" spans="1:3">
      <c r="A1251" s="533"/>
      <c r="C1251" s="64"/>
    </row>
    <row r="1252" spans="1:3">
      <c r="A1252" s="533"/>
      <c r="C1252" s="64"/>
    </row>
    <row r="1253" spans="1:3">
      <c r="A1253" s="533"/>
      <c r="C1253" s="64"/>
    </row>
    <row r="1254" spans="1:3">
      <c r="A1254" s="533"/>
      <c r="C1254" s="64"/>
    </row>
    <row r="1255" spans="1:3">
      <c r="A1255" s="533"/>
      <c r="C1255" s="64"/>
    </row>
    <row r="1256" spans="1:3">
      <c r="A1256" s="533"/>
      <c r="C1256" s="64"/>
    </row>
    <row r="1257" spans="1:3">
      <c r="A1257" s="533"/>
      <c r="C1257" s="64"/>
    </row>
    <row r="1258" spans="1:3">
      <c r="A1258" s="533"/>
      <c r="C1258" s="64"/>
    </row>
    <row r="1259" spans="1:3">
      <c r="A1259" s="533"/>
      <c r="C1259" s="64"/>
    </row>
    <row r="1260" spans="1:3">
      <c r="A1260" s="533"/>
      <c r="C1260" s="64"/>
    </row>
    <row r="1261" spans="1:3">
      <c r="A1261" s="533"/>
      <c r="C1261" s="64"/>
    </row>
    <row r="1262" spans="1:3">
      <c r="A1262" s="533"/>
      <c r="C1262" s="64"/>
    </row>
    <row r="1263" spans="1:3">
      <c r="A1263" s="533"/>
      <c r="C1263" s="64"/>
    </row>
    <row r="1264" spans="1:3">
      <c r="A1264" s="533"/>
      <c r="C1264" s="64"/>
    </row>
    <row r="1265" spans="1:3">
      <c r="A1265" s="533"/>
      <c r="C1265" s="64"/>
    </row>
    <row r="1266" spans="1:3">
      <c r="A1266" s="533"/>
      <c r="C1266" s="64"/>
    </row>
    <row r="1267" spans="1:3">
      <c r="A1267" s="533"/>
      <c r="C1267" s="64"/>
    </row>
    <row r="1268" spans="1:3">
      <c r="A1268" s="533"/>
      <c r="C1268" s="64"/>
    </row>
    <row r="1269" spans="1:3">
      <c r="A1269" s="533"/>
      <c r="C1269" s="64"/>
    </row>
    <row r="1270" spans="1:3">
      <c r="A1270" s="533"/>
      <c r="C1270" s="64"/>
    </row>
    <row r="1271" spans="1:3">
      <c r="A1271" s="533"/>
      <c r="C1271" s="64"/>
    </row>
    <row r="1272" spans="1:3">
      <c r="A1272" s="533"/>
      <c r="C1272" s="64"/>
    </row>
    <row r="1273" spans="1:3">
      <c r="A1273" s="533"/>
      <c r="C1273" s="64"/>
    </row>
    <row r="1274" spans="1:3">
      <c r="A1274" s="533"/>
      <c r="C1274" s="64"/>
    </row>
    <row r="1275" spans="1:3">
      <c r="A1275" s="533"/>
      <c r="C1275" s="64"/>
    </row>
    <row r="1276" spans="1:3">
      <c r="A1276" s="533"/>
      <c r="C1276" s="64"/>
    </row>
    <row r="1277" spans="1:3">
      <c r="A1277" s="533"/>
      <c r="C1277" s="64"/>
    </row>
    <row r="1278" spans="1:3">
      <c r="A1278" s="533"/>
      <c r="C1278" s="64"/>
    </row>
    <row r="1279" spans="1:3">
      <c r="A1279" s="533"/>
      <c r="C1279" s="64"/>
    </row>
    <row r="1280" spans="1:3">
      <c r="A1280" s="533"/>
      <c r="C1280" s="64"/>
    </row>
    <row r="1281" spans="1:3">
      <c r="A1281" s="533"/>
      <c r="C1281" s="64"/>
    </row>
    <row r="1282" spans="1:3">
      <c r="A1282" s="533"/>
      <c r="C1282" s="64"/>
    </row>
    <row r="1283" spans="1:3">
      <c r="A1283" s="533"/>
      <c r="C1283" s="64"/>
    </row>
    <row r="1284" spans="1:3">
      <c r="A1284" s="533"/>
      <c r="C1284" s="64"/>
    </row>
    <row r="1285" spans="1:3">
      <c r="A1285" s="533"/>
      <c r="C1285" s="64"/>
    </row>
    <row r="1286" spans="1:3">
      <c r="A1286" s="533"/>
      <c r="C1286" s="64"/>
    </row>
    <row r="1287" spans="1:3">
      <c r="A1287" s="533"/>
      <c r="C1287" s="64"/>
    </row>
    <row r="1288" spans="1:3">
      <c r="A1288" s="533"/>
      <c r="C1288" s="64"/>
    </row>
    <row r="1289" spans="1:3">
      <c r="A1289" s="533"/>
      <c r="C1289" s="64"/>
    </row>
    <row r="1290" spans="1:3">
      <c r="A1290" s="533"/>
      <c r="C1290" s="64"/>
    </row>
    <row r="1291" spans="1:3">
      <c r="A1291" s="533"/>
      <c r="C1291" s="64"/>
    </row>
    <row r="1292" spans="1:3">
      <c r="A1292" s="533"/>
      <c r="C1292" s="64"/>
    </row>
    <row r="1293" spans="1:3">
      <c r="A1293" s="533"/>
      <c r="C1293" s="64"/>
    </row>
    <row r="1294" spans="1:3">
      <c r="A1294" s="533"/>
      <c r="C1294" s="64"/>
    </row>
    <row r="1295" spans="1:3">
      <c r="A1295" s="533"/>
      <c r="C1295" s="64"/>
    </row>
    <row r="1296" spans="1:3">
      <c r="A1296" s="533"/>
      <c r="C1296" s="64"/>
    </row>
    <row r="1297" spans="1:3">
      <c r="A1297" s="533"/>
      <c r="C1297" s="64"/>
    </row>
    <row r="1298" spans="1:3">
      <c r="A1298" s="533"/>
      <c r="C1298" s="64"/>
    </row>
    <row r="1299" spans="1:3">
      <c r="A1299" s="533"/>
      <c r="C1299" s="64"/>
    </row>
    <row r="1300" spans="1:3">
      <c r="A1300" s="533"/>
      <c r="C1300" s="64"/>
    </row>
    <row r="1301" spans="1:3">
      <c r="A1301" s="533"/>
      <c r="C1301" s="64"/>
    </row>
    <row r="1302" spans="1:3">
      <c r="A1302" s="533"/>
      <c r="C1302" s="64"/>
    </row>
    <row r="1303" spans="1:3">
      <c r="A1303" s="533"/>
      <c r="C1303" s="64"/>
    </row>
    <row r="1304" spans="1:3">
      <c r="A1304" s="533"/>
      <c r="C1304" s="64"/>
    </row>
    <row r="1305" spans="1:3">
      <c r="A1305" s="533"/>
      <c r="C1305" s="64"/>
    </row>
    <row r="1306" spans="1:3">
      <c r="A1306" s="533"/>
      <c r="C1306" s="64"/>
    </row>
    <row r="1307" spans="1:3">
      <c r="A1307" s="533"/>
      <c r="C1307" s="64"/>
    </row>
    <row r="1308" spans="1:3">
      <c r="A1308" s="533"/>
      <c r="C1308" s="64"/>
    </row>
    <row r="1309" spans="1:3">
      <c r="A1309" s="533"/>
      <c r="C1309" s="64"/>
    </row>
    <row r="1310" spans="1:3">
      <c r="A1310" s="533"/>
      <c r="C1310" s="64"/>
    </row>
    <row r="1311" spans="1:3">
      <c r="A1311" s="533"/>
      <c r="C1311" s="64"/>
    </row>
    <row r="1312" spans="1:3">
      <c r="A1312" s="533"/>
      <c r="C1312" s="64"/>
    </row>
    <row r="1313" spans="1:3">
      <c r="A1313" s="533"/>
      <c r="C1313" s="64"/>
    </row>
    <row r="1314" spans="1:3">
      <c r="A1314" s="533"/>
      <c r="C1314" s="64"/>
    </row>
    <row r="1315" spans="1:3">
      <c r="A1315" s="533"/>
      <c r="C1315" s="64"/>
    </row>
    <row r="1316" spans="1:3">
      <c r="A1316" s="533"/>
      <c r="C1316" s="64"/>
    </row>
    <row r="1317" spans="1:3">
      <c r="A1317" s="533"/>
      <c r="C1317" s="64"/>
    </row>
    <row r="1318" spans="1:3">
      <c r="A1318" s="533"/>
      <c r="C1318" s="64"/>
    </row>
    <row r="1319" spans="1:3">
      <c r="A1319" s="533"/>
      <c r="C1319" s="64"/>
    </row>
    <row r="1320" spans="1:3">
      <c r="A1320" s="533"/>
      <c r="C1320" s="64"/>
    </row>
    <row r="1321" spans="1:3">
      <c r="A1321" s="533"/>
      <c r="C1321" s="64"/>
    </row>
    <row r="1322" spans="1:3">
      <c r="A1322" s="533"/>
      <c r="C1322" s="64"/>
    </row>
    <row r="1323" spans="1:3">
      <c r="A1323" s="533"/>
      <c r="C1323" s="64"/>
    </row>
    <row r="1324" spans="1:3">
      <c r="A1324" s="533"/>
      <c r="C1324" s="64"/>
    </row>
    <row r="1325" spans="1:3">
      <c r="A1325" s="533"/>
      <c r="C1325" s="64"/>
    </row>
    <row r="1326" spans="1:3">
      <c r="A1326" s="533"/>
      <c r="C1326" s="64"/>
    </row>
    <row r="1327" spans="1:3">
      <c r="A1327" s="533"/>
      <c r="C1327" s="64"/>
    </row>
    <row r="1328" spans="1:3">
      <c r="A1328" s="533"/>
      <c r="C1328" s="64"/>
    </row>
    <row r="1329" spans="1:3">
      <c r="A1329" s="533"/>
      <c r="C1329" s="64"/>
    </row>
    <row r="1330" spans="1:3">
      <c r="A1330" s="533"/>
      <c r="C1330" s="64"/>
    </row>
    <row r="1331" spans="1:3">
      <c r="A1331" s="533"/>
      <c r="C1331" s="64"/>
    </row>
    <row r="1332" spans="1:3">
      <c r="A1332" s="533"/>
      <c r="C1332" s="64"/>
    </row>
    <row r="1333" spans="1:3">
      <c r="A1333" s="533"/>
      <c r="C1333" s="64"/>
    </row>
    <row r="1334" spans="1:3">
      <c r="A1334" s="533"/>
      <c r="C1334" s="64"/>
    </row>
    <row r="1335" spans="1:3">
      <c r="A1335" s="533"/>
      <c r="C1335" s="64"/>
    </row>
    <row r="1336" spans="1:3">
      <c r="A1336" s="533"/>
      <c r="C1336" s="64"/>
    </row>
    <row r="1337" spans="1:3">
      <c r="A1337" s="533"/>
      <c r="C1337" s="64"/>
    </row>
    <row r="1338" spans="1:3">
      <c r="A1338" s="533"/>
      <c r="C1338" s="64"/>
    </row>
    <row r="1339" spans="1:3">
      <c r="A1339" s="533"/>
      <c r="C1339" s="64"/>
    </row>
    <row r="1340" spans="1:3">
      <c r="A1340" s="533"/>
      <c r="C1340" s="64"/>
    </row>
    <row r="1341" spans="1:3">
      <c r="A1341" s="533"/>
      <c r="C1341" s="64"/>
    </row>
    <row r="1342" spans="1:3">
      <c r="A1342" s="533"/>
      <c r="C1342" s="64"/>
    </row>
    <row r="1343" spans="1:3">
      <c r="A1343" s="533"/>
      <c r="C1343" s="64"/>
    </row>
    <row r="1344" spans="1:3">
      <c r="A1344" s="533"/>
      <c r="C1344" s="64"/>
    </row>
    <row r="1345" spans="1:3">
      <c r="A1345" s="533"/>
      <c r="C1345" s="64"/>
    </row>
    <row r="1346" spans="1:3">
      <c r="A1346" s="533"/>
      <c r="C1346" s="64"/>
    </row>
    <row r="1347" spans="1:3">
      <c r="A1347" s="533"/>
      <c r="C1347" s="64"/>
    </row>
    <row r="1348" spans="1:3">
      <c r="A1348" s="533"/>
      <c r="C1348" s="64"/>
    </row>
    <row r="1349" spans="1:3">
      <c r="A1349" s="533"/>
      <c r="C1349" s="64"/>
    </row>
    <row r="1350" spans="1:3">
      <c r="A1350" s="533"/>
      <c r="C1350" s="64"/>
    </row>
    <row r="1351" spans="1:3">
      <c r="A1351" s="533"/>
      <c r="C1351" s="64"/>
    </row>
    <row r="1352" spans="1:3">
      <c r="A1352" s="533"/>
      <c r="C1352" s="64"/>
    </row>
    <row r="1353" spans="1:3">
      <c r="A1353" s="533"/>
      <c r="C1353" s="64"/>
    </row>
    <row r="1354" spans="1:3">
      <c r="A1354" s="533"/>
      <c r="C1354" s="64"/>
    </row>
    <row r="1355" spans="1:3">
      <c r="A1355" s="533"/>
      <c r="C1355" s="64"/>
    </row>
    <row r="1356" spans="1:3">
      <c r="A1356" s="533"/>
      <c r="C1356" s="64"/>
    </row>
    <row r="1357" spans="1:3">
      <c r="A1357" s="533"/>
      <c r="C1357" s="64"/>
    </row>
    <row r="1358" spans="1:3">
      <c r="A1358" s="533"/>
      <c r="C1358" s="64"/>
    </row>
    <row r="1359" spans="1:3">
      <c r="A1359" s="533"/>
      <c r="C1359" s="64"/>
    </row>
    <row r="1360" spans="1:3">
      <c r="A1360" s="533"/>
      <c r="C1360" s="64"/>
    </row>
    <row r="1361" spans="1:3">
      <c r="A1361" s="533"/>
      <c r="C1361" s="64"/>
    </row>
    <row r="1362" spans="1:3">
      <c r="A1362" s="533"/>
      <c r="C1362" s="64"/>
    </row>
    <row r="1363" spans="1:3">
      <c r="A1363" s="533"/>
      <c r="C1363" s="64"/>
    </row>
    <row r="1364" spans="1:3">
      <c r="A1364" s="533"/>
      <c r="C1364" s="64"/>
    </row>
    <row r="1365" spans="1:3">
      <c r="A1365" s="533"/>
      <c r="C1365" s="64"/>
    </row>
    <row r="1366" spans="1:3">
      <c r="A1366" s="533"/>
      <c r="C1366" s="64"/>
    </row>
    <row r="1367" spans="1:3">
      <c r="A1367" s="533"/>
      <c r="C1367" s="64"/>
    </row>
    <row r="1368" spans="1:3">
      <c r="A1368" s="533"/>
      <c r="C1368" s="64"/>
    </row>
    <row r="1369" spans="1:3">
      <c r="A1369" s="533"/>
      <c r="C1369" s="64"/>
    </row>
    <row r="1370" spans="1:3">
      <c r="A1370" s="533"/>
      <c r="C1370" s="64"/>
    </row>
    <row r="1371" spans="1:3">
      <c r="A1371" s="533"/>
      <c r="C1371" s="64"/>
    </row>
    <row r="1372" spans="1:3">
      <c r="A1372" s="533"/>
      <c r="C1372" s="64"/>
    </row>
    <row r="1373" spans="1:3">
      <c r="A1373" s="533"/>
      <c r="C1373" s="64"/>
    </row>
    <row r="1374" spans="1:3">
      <c r="A1374" s="533"/>
      <c r="C1374" s="64"/>
    </row>
    <row r="1375" spans="1:3">
      <c r="A1375" s="533"/>
      <c r="C1375" s="64"/>
    </row>
    <row r="1376" spans="1:3">
      <c r="A1376" s="533"/>
      <c r="C1376" s="64"/>
    </row>
    <row r="1377" spans="1:3">
      <c r="A1377" s="533"/>
      <c r="C1377" s="64"/>
    </row>
    <row r="1378" spans="1:3">
      <c r="A1378" s="533"/>
      <c r="C1378" s="64"/>
    </row>
    <row r="1379" spans="1:3">
      <c r="A1379" s="533"/>
      <c r="C1379" s="64"/>
    </row>
    <row r="1380" spans="1:3">
      <c r="A1380" s="533"/>
      <c r="C1380" s="64"/>
    </row>
    <row r="1381" spans="1:3">
      <c r="A1381" s="533"/>
      <c r="C1381" s="64"/>
    </row>
    <row r="1382" spans="1:3">
      <c r="A1382" s="533"/>
      <c r="C1382" s="64"/>
    </row>
    <row r="1383" spans="1:3">
      <c r="A1383" s="533"/>
      <c r="C1383" s="64"/>
    </row>
    <row r="1384" spans="1:3">
      <c r="A1384" s="533"/>
      <c r="C1384" s="64"/>
    </row>
    <row r="1385" spans="1:3">
      <c r="A1385" s="533"/>
      <c r="C1385" s="64"/>
    </row>
    <row r="1386" spans="1:3">
      <c r="A1386" s="533"/>
      <c r="C1386" s="64"/>
    </row>
    <row r="1387" spans="1:3">
      <c r="A1387" s="533"/>
      <c r="C1387" s="64"/>
    </row>
    <row r="1388" spans="1:3">
      <c r="A1388" s="533"/>
      <c r="C1388" s="64"/>
    </row>
    <row r="1389" spans="1:3">
      <c r="A1389" s="533"/>
      <c r="C1389" s="64"/>
    </row>
    <row r="1390" spans="1:3">
      <c r="A1390" s="533"/>
      <c r="C1390" s="64"/>
    </row>
    <row r="1391" spans="1:3">
      <c r="A1391" s="533"/>
      <c r="C1391" s="64"/>
    </row>
    <row r="1392" spans="1:3">
      <c r="A1392" s="533"/>
      <c r="C1392" s="64"/>
    </row>
    <row r="1393" spans="1:3">
      <c r="A1393" s="533"/>
      <c r="C1393" s="64"/>
    </row>
    <row r="1394" spans="1:3">
      <c r="A1394" s="533"/>
      <c r="C1394" s="64"/>
    </row>
    <row r="1395" spans="1:3">
      <c r="A1395" s="533"/>
      <c r="C1395" s="64"/>
    </row>
    <row r="1396" spans="1:3">
      <c r="A1396" s="533"/>
      <c r="C1396" s="64"/>
    </row>
    <row r="1397" spans="1:3">
      <c r="A1397" s="533"/>
      <c r="C1397" s="64"/>
    </row>
    <row r="1398" spans="1:3">
      <c r="A1398" s="533"/>
      <c r="C1398" s="64"/>
    </row>
    <row r="1399" spans="1:3">
      <c r="A1399" s="533"/>
      <c r="C1399" s="64"/>
    </row>
    <row r="1400" spans="1:3">
      <c r="A1400" s="533"/>
      <c r="C1400" s="64"/>
    </row>
    <row r="1401" spans="1:3">
      <c r="A1401" s="533"/>
      <c r="C1401" s="64"/>
    </row>
    <row r="1402" spans="1:3">
      <c r="A1402" s="533"/>
      <c r="C1402" s="64"/>
    </row>
    <row r="1403" spans="1:3">
      <c r="A1403" s="533"/>
      <c r="C1403" s="64"/>
    </row>
    <row r="1404" spans="1:3">
      <c r="A1404" s="533"/>
      <c r="C1404" s="64"/>
    </row>
    <row r="1405" spans="1:3">
      <c r="A1405" s="533"/>
      <c r="C1405" s="64"/>
    </row>
    <row r="1406" spans="1:3">
      <c r="A1406" s="533"/>
      <c r="C1406" s="64"/>
    </row>
    <row r="1407" spans="1:3">
      <c r="A1407" s="533"/>
      <c r="C1407" s="64"/>
    </row>
    <row r="1408" spans="1:3">
      <c r="A1408" s="533"/>
      <c r="C1408" s="64"/>
    </row>
    <row r="1409" spans="1:3">
      <c r="A1409" s="533"/>
      <c r="C1409" s="64"/>
    </row>
    <row r="1410" spans="1:3">
      <c r="A1410" s="533"/>
      <c r="C1410" s="64"/>
    </row>
    <row r="1411" spans="1:3">
      <c r="A1411" s="533"/>
      <c r="C1411" s="64"/>
    </row>
    <row r="1412" spans="1:3">
      <c r="A1412" s="533"/>
      <c r="C1412" s="64"/>
    </row>
    <row r="1413" spans="1:3">
      <c r="A1413" s="533"/>
      <c r="C1413" s="64"/>
    </row>
    <row r="1414" spans="1:3">
      <c r="A1414" s="533"/>
      <c r="C1414" s="64"/>
    </row>
    <row r="1415" spans="1:3">
      <c r="A1415" s="533"/>
      <c r="C1415" s="64"/>
    </row>
    <row r="1416" spans="1:3">
      <c r="A1416" s="533"/>
      <c r="C1416" s="64"/>
    </row>
    <row r="1417" spans="1:3">
      <c r="A1417" s="533"/>
      <c r="C1417" s="64"/>
    </row>
    <row r="1418" spans="1:3">
      <c r="A1418" s="533"/>
      <c r="C1418" s="64"/>
    </row>
    <row r="1419" spans="1:3">
      <c r="A1419" s="533"/>
      <c r="C1419" s="64"/>
    </row>
    <row r="1420" spans="1:3">
      <c r="A1420" s="533"/>
      <c r="C1420" s="64"/>
    </row>
    <row r="1421" spans="1:3">
      <c r="A1421" s="533"/>
      <c r="C1421" s="64"/>
    </row>
    <row r="1422" spans="1:3">
      <c r="A1422" s="533"/>
      <c r="C1422" s="64"/>
    </row>
    <row r="1423" spans="1:3">
      <c r="A1423" s="533"/>
      <c r="C1423" s="64"/>
    </row>
    <row r="1424" spans="1:3">
      <c r="A1424" s="533"/>
      <c r="C1424" s="64"/>
    </row>
    <row r="1425" spans="1:3">
      <c r="A1425" s="533"/>
      <c r="C1425" s="64"/>
    </row>
    <row r="1426" spans="1:3">
      <c r="A1426" s="533"/>
      <c r="C1426" s="64"/>
    </row>
    <row r="1427" spans="1:3">
      <c r="A1427" s="533"/>
      <c r="C1427" s="64"/>
    </row>
    <row r="1428" spans="1:3">
      <c r="A1428" s="533"/>
      <c r="C1428" s="64"/>
    </row>
    <row r="1429" spans="1:3">
      <c r="A1429" s="533"/>
      <c r="C1429" s="64"/>
    </row>
    <row r="1430" spans="1:3">
      <c r="A1430" s="533"/>
      <c r="C1430" s="64"/>
    </row>
    <row r="1431" spans="1:3">
      <c r="A1431" s="533"/>
      <c r="C1431" s="64"/>
    </row>
    <row r="1432" spans="1:3">
      <c r="A1432" s="533"/>
      <c r="C1432" s="64"/>
    </row>
    <row r="1433" spans="1:3">
      <c r="A1433" s="533"/>
      <c r="C1433" s="64"/>
    </row>
    <row r="1434" spans="1:3">
      <c r="A1434" s="533"/>
      <c r="C1434" s="64"/>
    </row>
    <row r="1435" spans="1:3">
      <c r="A1435" s="533"/>
      <c r="C1435" s="64"/>
    </row>
    <row r="1436" spans="1:3">
      <c r="A1436" s="533"/>
      <c r="C1436" s="64"/>
    </row>
    <row r="1437" spans="1:3">
      <c r="A1437" s="533"/>
      <c r="C1437" s="64"/>
    </row>
    <row r="1438" spans="1:3">
      <c r="A1438" s="533"/>
      <c r="C1438" s="64"/>
    </row>
    <row r="1439" spans="1:3">
      <c r="A1439" s="533"/>
      <c r="C1439" s="64"/>
    </row>
    <row r="1440" spans="1:3">
      <c r="A1440" s="533"/>
      <c r="C1440" s="64"/>
    </row>
    <row r="1441" spans="1:3">
      <c r="A1441" s="533"/>
      <c r="C1441" s="64"/>
    </row>
    <row r="1442" spans="1:3">
      <c r="A1442" s="533"/>
      <c r="C1442" s="64"/>
    </row>
    <row r="1443" spans="1:3">
      <c r="A1443" s="533"/>
      <c r="C1443" s="64"/>
    </row>
    <row r="1444" spans="1:3">
      <c r="A1444" s="533"/>
      <c r="C1444" s="64"/>
    </row>
    <row r="1445" spans="1:3">
      <c r="A1445" s="533"/>
      <c r="C1445" s="64"/>
    </row>
    <row r="1446" spans="1:3">
      <c r="A1446" s="533"/>
      <c r="C1446" s="64"/>
    </row>
    <row r="1447" spans="1:3">
      <c r="A1447" s="533"/>
      <c r="C1447" s="64"/>
    </row>
    <row r="1448" spans="1:3">
      <c r="A1448" s="533"/>
      <c r="C1448" s="64"/>
    </row>
    <row r="1449" spans="1:3">
      <c r="A1449" s="533"/>
      <c r="C1449" s="64"/>
    </row>
    <row r="1450" spans="1:3">
      <c r="A1450" s="533"/>
      <c r="C1450" s="64"/>
    </row>
    <row r="1451" spans="1:3">
      <c r="A1451" s="533"/>
      <c r="C1451" s="64"/>
    </row>
    <row r="1452" spans="1:3">
      <c r="A1452" s="533"/>
      <c r="C1452" s="64"/>
    </row>
    <row r="1453" spans="1:3">
      <c r="A1453" s="533"/>
      <c r="C1453" s="64"/>
    </row>
    <row r="1454" spans="1:3">
      <c r="A1454" s="533"/>
      <c r="C1454" s="64"/>
    </row>
    <row r="1455" spans="1:3">
      <c r="A1455" s="533"/>
      <c r="C1455" s="64"/>
    </row>
    <row r="1456" spans="1:3">
      <c r="A1456" s="533"/>
      <c r="C1456" s="64"/>
    </row>
    <row r="1457" spans="1:3">
      <c r="A1457" s="533"/>
      <c r="C1457" s="64"/>
    </row>
    <row r="1458" spans="1:3">
      <c r="A1458" s="533"/>
      <c r="C1458" s="64"/>
    </row>
    <row r="1459" spans="1:3">
      <c r="A1459" s="533"/>
      <c r="C1459" s="64"/>
    </row>
    <row r="1460" spans="1:3">
      <c r="A1460" s="533"/>
      <c r="C1460" s="64"/>
    </row>
    <row r="1461" spans="1:3">
      <c r="A1461" s="533"/>
      <c r="C1461" s="64"/>
    </row>
    <row r="1462" spans="1:3">
      <c r="A1462" s="533"/>
      <c r="C1462" s="64"/>
    </row>
    <row r="1463" spans="1:3">
      <c r="A1463" s="533"/>
      <c r="C1463" s="64"/>
    </row>
    <row r="1464" spans="1:3">
      <c r="A1464" s="533"/>
      <c r="C1464" s="64"/>
    </row>
    <row r="1465" spans="1:3">
      <c r="A1465" s="533"/>
      <c r="C1465" s="64"/>
    </row>
    <row r="1466" spans="1:3">
      <c r="A1466" s="533"/>
      <c r="C1466" s="64"/>
    </row>
    <row r="1467" spans="1:3">
      <c r="A1467" s="533"/>
      <c r="C1467" s="64"/>
    </row>
    <row r="1468" spans="1:3">
      <c r="A1468" s="533"/>
      <c r="C1468" s="64"/>
    </row>
    <row r="1469" spans="1:3">
      <c r="A1469" s="533"/>
      <c r="C1469" s="64"/>
    </row>
    <row r="1470" spans="1:3">
      <c r="A1470" s="533"/>
      <c r="C1470" s="64"/>
    </row>
    <row r="1471" spans="1:3">
      <c r="A1471" s="533"/>
      <c r="C1471" s="64"/>
    </row>
    <row r="1472" spans="1:3">
      <c r="A1472" s="533"/>
      <c r="C1472" s="64"/>
    </row>
    <row r="1473" spans="1:3">
      <c r="A1473" s="533"/>
      <c r="C1473" s="64"/>
    </row>
    <row r="1474" spans="1:3">
      <c r="A1474" s="533"/>
      <c r="C1474" s="64"/>
    </row>
    <row r="1475" spans="1:3">
      <c r="A1475" s="533"/>
      <c r="C1475" s="64"/>
    </row>
    <row r="1476" spans="1:3">
      <c r="A1476" s="533"/>
      <c r="C1476" s="64"/>
    </row>
    <row r="1477" spans="1:3">
      <c r="A1477" s="533"/>
      <c r="C1477" s="64"/>
    </row>
    <row r="1478" spans="1:3">
      <c r="A1478" s="533"/>
      <c r="C1478" s="64"/>
    </row>
    <row r="1479" spans="1:3">
      <c r="A1479" s="533"/>
      <c r="C1479" s="64"/>
    </row>
    <row r="1480" spans="1:3">
      <c r="A1480" s="533"/>
      <c r="C1480" s="64"/>
    </row>
    <row r="1481" spans="1:3">
      <c r="A1481" s="533"/>
      <c r="C1481" s="64"/>
    </row>
    <row r="1482" spans="1:3">
      <c r="A1482" s="533"/>
      <c r="C1482" s="64"/>
    </row>
    <row r="1483" spans="1:3">
      <c r="A1483" s="533"/>
      <c r="C1483" s="64"/>
    </row>
    <row r="1484" spans="1:3">
      <c r="A1484" s="533"/>
      <c r="C1484" s="64"/>
    </row>
    <row r="1485" spans="1:3">
      <c r="A1485" s="533"/>
      <c r="C1485" s="64"/>
    </row>
    <row r="1486" spans="1:3">
      <c r="A1486" s="533"/>
      <c r="C1486" s="64"/>
    </row>
    <row r="1487" spans="1:3">
      <c r="A1487" s="533"/>
      <c r="C1487" s="64"/>
    </row>
    <row r="1488" spans="1:3">
      <c r="A1488" s="533"/>
      <c r="C1488" s="64"/>
    </row>
    <row r="1489" spans="1:3">
      <c r="A1489" s="533"/>
      <c r="C1489" s="64"/>
    </row>
    <row r="1490" spans="1:3">
      <c r="A1490" s="533"/>
      <c r="C1490" s="64"/>
    </row>
    <row r="1491" spans="1:3">
      <c r="A1491" s="533"/>
      <c r="C1491" s="64"/>
    </row>
    <row r="1492" spans="1:3">
      <c r="A1492" s="533"/>
      <c r="C1492" s="64"/>
    </row>
    <row r="1493" spans="1:3">
      <c r="A1493" s="533"/>
      <c r="C1493" s="64"/>
    </row>
    <row r="1494" spans="1:3">
      <c r="A1494" s="533"/>
      <c r="C1494" s="64"/>
    </row>
    <row r="1495" spans="1:3">
      <c r="A1495" s="533"/>
      <c r="C1495" s="64"/>
    </row>
    <row r="1496" spans="1:3">
      <c r="A1496" s="533"/>
      <c r="C1496" s="64"/>
    </row>
    <row r="1497" spans="1:3">
      <c r="A1497" s="533"/>
      <c r="C1497" s="64"/>
    </row>
    <row r="1498" spans="1:3">
      <c r="A1498" s="533"/>
      <c r="C1498" s="64"/>
    </row>
    <row r="1499" spans="1:3">
      <c r="A1499" s="533"/>
      <c r="C1499" s="64"/>
    </row>
    <row r="1500" spans="1:3">
      <c r="A1500" s="533"/>
      <c r="C1500" s="64"/>
    </row>
    <row r="1501" spans="1:3">
      <c r="A1501" s="533"/>
      <c r="C1501" s="64"/>
    </row>
    <row r="1502" spans="1:3">
      <c r="A1502" s="533"/>
      <c r="C1502" s="64"/>
    </row>
    <row r="1503" spans="1:3">
      <c r="A1503" s="533"/>
      <c r="C1503" s="64"/>
    </row>
    <row r="1504" spans="1:3">
      <c r="A1504" s="533"/>
      <c r="C1504" s="64"/>
    </row>
    <row r="1505" spans="1:3">
      <c r="A1505" s="533"/>
      <c r="C1505" s="64"/>
    </row>
    <row r="1506" spans="1:3">
      <c r="A1506" s="533"/>
      <c r="C1506" s="64"/>
    </row>
    <row r="1507" spans="1:3">
      <c r="A1507" s="533"/>
      <c r="C1507" s="64"/>
    </row>
    <row r="1508" spans="1:3">
      <c r="A1508" s="533"/>
      <c r="C1508" s="64"/>
    </row>
    <row r="1509" spans="1:3">
      <c r="A1509" s="533"/>
      <c r="C1509" s="64"/>
    </row>
    <row r="1510" spans="1:3">
      <c r="A1510" s="533"/>
      <c r="C1510" s="64"/>
    </row>
    <row r="1511" spans="1:3">
      <c r="A1511" s="533"/>
      <c r="C1511" s="64"/>
    </row>
    <row r="1512" spans="1:3">
      <c r="A1512" s="533"/>
      <c r="C1512" s="64"/>
    </row>
    <row r="1513" spans="1:3">
      <c r="A1513" s="533"/>
      <c r="C1513" s="64"/>
    </row>
    <row r="1514" spans="1:3">
      <c r="A1514" s="533"/>
      <c r="C1514" s="64"/>
    </row>
    <row r="1515" spans="1:3">
      <c r="A1515" s="533"/>
      <c r="C1515" s="64"/>
    </row>
    <row r="1516" spans="1:3">
      <c r="A1516" s="533"/>
      <c r="C1516" s="64"/>
    </row>
    <row r="1517" spans="1:3">
      <c r="A1517" s="533"/>
      <c r="C1517" s="64"/>
    </row>
    <row r="1518" spans="1:3">
      <c r="A1518" s="533"/>
      <c r="C1518" s="64"/>
    </row>
    <row r="1519" spans="1:3">
      <c r="A1519" s="533"/>
      <c r="C1519" s="64"/>
    </row>
    <row r="1520" spans="1:3">
      <c r="A1520" s="533"/>
      <c r="C1520" s="64"/>
    </row>
    <row r="1521" spans="1:3">
      <c r="A1521" s="533"/>
      <c r="C1521" s="64"/>
    </row>
    <row r="1522" spans="1:3">
      <c r="A1522" s="533"/>
      <c r="C1522" s="64"/>
    </row>
    <row r="1523" spans="1:3">
      <c r="A1523" s="533"/>
      <c r="C1523" s="64"/>
    </row>
    <row r="1524" spans="1:3">
      <c r="A1524" s="533"/>
      <c r="C1524" s="64"/>
    </row>
    <row r="1525" spans="1:3">
      <c r="A1525" s="533"/>
      <c r="C1525" s="64"/>
    </row>
    <row r="1526" spans="1:3">
      <c r="A1526" s="533"/>
      <c r="C1526" s="64"/>
    </row>
    <row r="1527" spans="1:3">
      <c r="A1527" s="533"/>
      <c r="C1527" s="64"/>
    </row>
    <row r="1528" spans="1:3">
      <c r="A1528" s="533"/>
      <c r="C1528" s="64"/>
    </row>
    <row r="1529" spans="1:3">
      <c r="A1529" s="533"/>
      <c r="C1529" s="64"/>
    </row>
    <row r="1530" spans="1:3">
      <c r="A1530" s="533"/>
      <c r="C1530" s="64"/>
    </row>
    <row r="1531" spans="1:3">
      <c r="A1531" s="533"/>
      <c r="C1531" s="64"/>
    </row>
    <row r="1532" spans="1:3">
      <c r="A1532" s="533"/>
      <c r="C1532" s="64"/>
    </row>
    <row r="1533" spans="1:3">
      <c r="A1533" s="533"/>
      <c r="C1533" s="64"/>
    </row>
    <row r="1534" spans="1:3">
      <c r="A1534" s="533"/>
      <c r="C1534" s="64"/>
    </row>
    <row r="1535" spans="1:3">
      <c r="A1535" s="533"/>
      <c r="C1535" s="64"/>
    </row>
    <row r="1536" spans="1:3">
      <c r="A1536" s="533"/>
      <c r="C1536" s="64"/>
    </row>
    <row r="1537" spans="1:3">
      <c r="A1537" s="533"/>
      <c r="C1537" s="64"/>
    </row>
    <row r="1538" spans="1:3">
      <c r="A1538" s="533"/>
      <c r="C1538" s="64"/>
    </row>
    <row r="1539" spans="1:3">
      <c r="A1539" s="533"/>
      <c r="C1539" s="64"/>
    </row>
    <row r="1540" spans="1:3">
      <c r="A1540" s="533"/>
      <c r="C1540" s="64"/>
    </row>
    <row r="1541" spans="1:3">
      <c r="A1541" s="533"/>
      <c r="C1541" s="64"/>
    </row>
    <row r="1542" spans="1:3">
      <c r="A1542" s="533"/>
      <c r="C1542" s="64"/>
    </row>
    <row r="1543" spans="1:3">
      <c r="A1543" s="533"/>
      <c r="C1543" s="64"/>
    </row>
    <row r="1544" spans="1:3">
      <c r="A1544" s="533"/>
      <c r="C1544" s="64"/>
    </row>
    <row r="1545" spans="1:3">
      <c r="A1545" s="533"/>
      <c r="C1545" s="64"/>
    </row>
    <row r="1546" spans="1:3">
      <c r="A1546" s="533"/>
      <c r="C1546" s="64"/>
    </row>
    <row r="1547" spans="1:3">
      <c r="A1547" s="533"/>
      <c r="C1547" s="64"/>
    </row>
    <row r="1548" spans="1:3">
      <c r="A1548" s="533"/>
      <c r="C1548" s="64"/>
    </row>
    <row r="1549" spans="1:3">
      <c r="A1549" s="533"/>
      <c r="C1549" s="64"/>
    </row>
    <row r="1550" spans="1:3">
      <c r="A1550" s="533"/>
      <c r="C1550" s="64"/>
    </row>
    <row r="1551" spans="1:3">
      <c r="A1551" s="533"/>
      <c r="C1551" s="64"/>
    </row>
    <row r="1552" spans="1:3">
      <c r="A1552" s="533"/>
      <c r="C1552" s="64"/>
    </row>
    <row r="1553" spans="1:3">
      <c r="A1553" s="533"/>
      <c r="C1553" s="64"/>
    </row>
    <row r="1554" spans="1:3">
      <c r="A1554" s="533"/>
      <c r="C1554" s="64"/>
    </row>
    <row r="1555" spans="1:3">
      <c r="A1555" s="533"/>
      <c r="C1555" s="64"/>
    </row>
    <row r="1556" spans="1:3">
      <c r="A1556" s="533"/>
      <c r="C1556" s="64"/>
    </row>
    <row r="1557" spans="1:3">
      <c r="A1557" s="533"/>
      <c r="C1557" s="64"/>
    </row>
    <row r="1558" spans="1:3">
      <c r="A1558" s="533"/>
      <c r="C1558" s="64"/>
    </row>
    <row r="1559" spans="1:3">
      <c r="A1559" s="533"/>
      <c r="C1559" s="64"/>
    </row>
    <row r="1560" spans="1:3">
      <c r="A1560" s="533"/>
      <c r="C1560" s="64"/>
    </row>
    <row r="1561" spans="1:3">
      <c r="A1561" s="533"/>
      <c r="C1561" s="64"/>
    </row>
    <row r="1562" spans="1:3">
      <c r="A1562" s="533"/>
      <c r="C1562" s="64"/>
    </row>
    <row r="1563" spans="1:3">
      <c r="A1563" s="533"/>
      <c r="C1563" s="64"/>
    </row>
    <row r="1564" spans="1:3">
      <c r="A1564" s="533"/>
      <c r="C1564" s="64"/>
    </row>
    <row r="1565" spans="1:3">
      <c r="A1565" s="533"/>
      <c r="C1565" s="64"/>
    </row>
    <row r="1566" spans="1:3">
      <c r="A1566" s="533"/>
      <c r="C1566" s="64"/>
    </row>
    <row r="1567" spans="1:3">
      <c r="A1567" s="533"/>
      <c r="C1567" s="64"/>
    </row>
    <row r="1568" spans="1:3">
      <c r="A1568" s="533"/>
      <c r="C1568" s="64"/>
    </row>
    <row r="1569" spans="1:3">
      <c r="A1569" s="533"/>
      <c r="C1569" s="64"/>
    </row>
    <row r="1570" spans="1:3">
      <c r="A1570" s="533"/>
      <c r="C1570" s="64"/>
    </row>
    <row r="1571" spans="1:3">
      <c r="A1571" s="533"/>
      <c r="C1571" s="64"/>
    </row>
    <row r="1572" spans="1:3">
      <c r="A1572" s="533"/>
      <c r="C1572" s="64"/>
    </row>
    <row r="1573" spans="1:3">
      <c r="A1573" s="533"/>
      <c r="C1573" s="64"/>
    </row>
    <row r="1574" spans="1:3">
      <c r="A1574" s="533"/>
      <c r="C1574" s="64"/>
    </row>
    <row r="1575" spans="1:3">
      <c r="A1575" s="533"/>
      <c r="C1575" s="64"/>
    </row>
    <row r="1576" spans="1:3">
      <c r="A1576" s="533"/>
      <c r="C1576" s="64"/>
    </row>
    <row r="1577" spans="1:3">
      <c r="A1577" s="533"/>
      <c r="C1577" s="64"/>
    </row>
    <row r="1578" spans="1:3">
      <c r="A1578" s="533"/>
      <c r="C1578" s="64"/>
    </row>
    <row r="1579" spans="1:3">
      <c r="A1579" s="533"/>
      <c r="C1579" s="64"/>
    </row>
    <row r="1580" spans="1:3">
      <c r="A1580" s="533"/>
      <c r="C1580" s="64"/>
    </row>
    <row r="1581" spans="1:3">
      <c r="A1581" s="533"/>
      <c r="C1581" s="64"/>
    </row>
    <row r="1582" spans="1:3">
      <c r="A1582" s="533"/>
      <c r="C1582" s="64"/>
    </row>
    <row r="1583" spans="1:3">
      <c r="A1583" s="533"/>
      <c r="C1583" s="64"/>
    </row>
    <row r="1584" spans="1:3">
      <c r="A1584" s="533"/>
      <c r="C1584" s="64"/>
    </row>
    <row r="1585" spans="1:3">
      <c r="A1585" s="533"/>
      <c r="C1585" s="64"/>
    </row>
    <row r="1586" spans="1:3">
      <c r="A1586" s="533"/>
      <c r="C1586" s="64"/>
    </row>
    <row r="1587" spans="1:3">
      <c r="A1587" s="533"/>
      <c r="C1587" s="64"/>
    </row>
    <row r="1588" spans="1:3">
      <c r="A1588" s="533"/>
      <c r="C1588" s="64"/>
    </row>
    <row r="1589" spans="1:3">
      <c r="A1589" s="533"/>
      <c r="C1589" s="64"/>
    </row>
    <row r="1590" spans="1:3">
      <c r="A1590" s="533"/>
      <c r="C1590" s="64"/>
    </row>
    <row r="1591" spans="1:3">
      <c r="A1591" s="533"/>
      <c r="C1591" s="64"/>
    </row>
    <row r="1592" spans="1:3">
      <c r="A1592" s="533"/>
      <c r="C1592" s="64"/>
    </row>
    <row r="1593" spans="1:3">
      <c r="A1593" s="533"/>
      <c r="C1593" s="64"/>
    </row>
    <row r="1594" spans="1:3">
      <c r="A1594" s="533"/>
      <c r="C1594" s="64"/>
    </row>
    <row r="1595" spans="1:3">
      <c r="A1595" s="533"/>
      <c r="C1595" s="64"/>
    </row>
    <row r="1596" spans="1:3">
      <c r="A1596" s="533"/>
      <c r="C1596" s="64"/>
    </row>
    <row r="1597" spans="1:3">
      <c r="A1597" s="533"/>
      <c r="C1597" s="64"/>
    </row>
    <row r="1598" spans="1:3">
      <c r="A1598" s="533"/>
      <c r="C1598" s="64"/>
    </row>
    <row r="1599" spans="1:3">
      <c r="A1599" s="533"/>
      <c r="C1599" s="64"/>
    </row>
    <row r="1600" spans="1:3">
      <c r="A1600" s="533"/>
      <c r="C1600" s="64"/>
    </row>
    <row r="1601" spans="1:3">
      <c r="A1601" s="533"/>
      <c r="C1601" s="64"/>
    </row>
    <row r="1602" spans="1:3">
      <c r="A1602" s="533"/>
      <c r="C1602" s="64"/>
    </row>
    <row r="1603" spans="1:3">
      <c r="A1603" s="533"/>
      <c r="C1603" s="64"/>
    </row>
    <row r="1604" spans="1:3">
      <c r="A1604" s="533"/>
      <c r="C1604" s="64"/>
    </row>
    <row r="1605" spans="1:3">
      <c r="A1605" s="533"/>
      <c r="C1605" s="64"/>
    </row>
    <row r="1606" spans="1:3">
      <c r="A1606" s="533"/>
      <c r="C1606" s="64"/>
    </row>
    <row r="1607" spans="1:3">
      <c r="A1607" s="533"/>
      <c r="C1607" s="64"/>
    </row>
    <row r="1608" spans="1:3">
      <c r="A1608" s="533"/>
      <c r="C1608" s="64"/>
    </row>
    <row r="1609" spans="1:3">
      <c r="A1609" s="533"/>
      <c r="C1609" s="64"/>
    </row>
    <row r="1610" spans="1:3">
      <c r="A1610" s="533"/>
      <c r="C1610" s="64"/>
    </row>
    <row r="1611" spans="1:3">
      <c r="A1611" s="533"/>
      <c r="C1611" s="64"/>
    </row>
    <row r="1612" spans="1:3">
      <c r="A1612" s="533"/>
      <c r="C1612" s="64"/>
    </row>
    <row r="1613" spans="1:3">
      <c r="A1613" s="533"/>
      <c r="C1613" s="64"/>
    </row>
    <row r="1614" spans="1:3">
      <c r="A1614" s="533"/>
      <c r="C1614" s="64"/>
    </row>
    <row r="1615" spans="1:3">
      <c r="A1615" s="533"/>
      <c r="C1615" s="64"/>
    </row>
    <row r="1616" spans="1:3">
      <c r="A1616" s="533"/>
      <c r="C1616" s="64"/>
    </row>
    <row r="1617" spans="1:3">
      <c r="A1617" s="533"/>
      <c r="C1617" s="64"/>
    </row>
    <row r="1618" spans="1:3">
      <c r="A1618" s="533"/>
      <c r="C1618" s="64"/>
    </row>
    <row r="1619" spans="1:3">
      <c r="A1619" s="533"/>
      <c r="C1619" s="64"/>
    </row>
    <row r="1620" spans="1:3">
      <c r="A1620" s="533"/>
      <c r="C1620" s="64"/>
    </row>
    <row r="1621" spans="1:3">
      <c r="A1621" s="533"/>
      <c r="C1621" s="64"/>
    </row>
    <row r="1622" spans="1:3">
      <c r="A1622" s="533"/>
      <c r="C1622" s="64"/>
    </row>
    <row r="1623" spans="1:3">
      <c r="A1623" s="533"/>
      <c r="C1623" s="64"/>
    </row>
    <row r="1624" spans="1:3">
      <c r="A1624" s="533"/>
      <c r="C1624" s="64"/>
    </row>
    <row r="1625" spans="1:3">
      <c r="A1625" s="533"/>
      <c r="C1625" s="64"/>
    </row>
    <row r="1626" spans="1:3">
      <c r="A1626" s="533"/>
      <c r="C1626" s="64"/>
    </row>
    <row r="1627" spans="1:3">
      <c r="A1627" s="533"/>
      <c r="C1627" s="64"/>
    </row>
    <row r="1628" spans="1:3">
      <c r="A1628" s="533"/>
      <c r="C1628" s="64"/>
    </row>
    <row r="1629" spans="1:3">
      <c r="A1629" s="533"/>
      <c r="C1629" s="64"/>
    </row>
    <row r="1630" spans="1:3">
      <c r="A1630" s="533"/>
      <c r="C1630" s="64"/>
    </row>
    <row r="1631" spans="1:3">
      <c r="A1631" s="533"/>
      <c r="C1631" s="64"/>
    </row>
    <row r="1632" spans="1:3">
      <c r="A1632" s="533"/>
      <c r="C1632" s="64"/>
    </row>
    <row r="1633" spans="1:3">
      <c r="A1633" s="533"/>
      <c r="C1633" s="64"/>
    </row>
    <row r="1634" spans="1:3">
      <c r="A1634" s="533"/>
      <c r="C1634" s="64"/>
    </row>
    <row r="1635" spans="1:3">
      <c r="A1635" s="533"/>
      <c r="C1635" s="64"/>
    </row>
    <row r="1636" spans="1:3">
      <c r="A1636" s="533"/>
      <c r="C1636" s="64"/>
    </row>
    <row r="1637" spans="1:3">
      <c r="A1637" s="533"/>
      <c r="C1637" s="64"/>
    </row>
    <row r="1638" spans="1:3">
      <c r="A1638" s="533"/>
      <c r="C1638" s="64"/>
    </row>
    <row r="1639" spans="1:3">
      <c r="A1639" s="533"/>
      <c r="C1639" s="64"/>
    </row>
    <row r="1640" spans="1:3">
      <c r="A1640" s="533"/>
      <c r="C1640" s="64"/>
    </row>
    <row r="1641" spans="1:3">
      <c r="A1641" s="533"/>
      <c r="C1641" s="64"/>
    </row>
    <row r="1642" spans="1:3">
      <c r="A1642" s="533"/>
      <c r="C1642" s="64"/>
    </row>
    <row r="1643" spans="1:3">
      <c r="A1643" s="533"/>
      <c r="C1643" s="64"/>
    </row>
    <row r="1644" spans="1:3">
      <c r="A1644" s="533"/>
      <c r="C1644" s="64"/>
    </row>
    <row r="1645" spans="1:3">
      <c r="A1645" s="533"/>
      <c r="C1645" s="64"/>
    </row>
    <row r="1646" spans="1:3">
      <c r="A1646" s="533"/>
      <c r="C1646" s="64"/>
    </row>
    <row r="1647" spans="1:3">
      <c r="A1647" s="533"/>
      <c r="C1647" s="64"/>
    </row>
    <row r="1648" spans="1:3">
      <c r="A1648" s="533"/>
      <c r="C1648" s="64"/>
    </row>
    <row r="1649" spans="1:3">
      <c r="A1649" s="533"/>
      <c r="C1649" s="64"/>
    </row>
    <row r="1650" spans="1:3">
      <c r="A1650" s="533"/>
      <c r="C1650" s="64"/>
    </row>
    <row r="1651" spans="1:3">
      <c r="A1651" s="533"/>
      <c r="C1651" s="64"/>
    </row>
    <row r="1652" spans="1:3">
      <c r="A1652" s="533"/>
      <c r="C1652" s="64"/>
    </row>
    <row r="1653" spans="1:3">
      <c r="A1653" s="533"/>
      <c r="C1653" s="64"/>
    </row>
    <row r="1654" spans="1:3">
      <c r="A1654" s="533"/>
      <c r="C1654" s="64"/>
    </row>
    <row r="1655" spans="1:3">
      <c r="A1655" s="533"/>
      <c r="C1655" s="64"/>
    </row>
    <row r="1656" spans="1:3">
      <c r="A1656" s="533"/>
      <c r="C1656" s="64"/>
    </row>
    <row r="1657" spans="1:3">
      <c r="A1657" s="533"/>
      <c r="C1657" s="64"/>
    </row>
    <row r="1658" spans="1:3">
      <c r="A1658" s="533"/>
      <c r="C1658" s="64"/>
    </row>
    <row r="1659" spans="1:3">
      <c r="A1659" s="533"/>
      <c r="C1659" s="64"/>
    </row>
    <row r="1660" spans="1:3">
      <c r="A1660" s="533"/>
      <c r="C1660" s="64"/>
    </row>
    <row r="1661" spans="1:3">
      <c r="A1661" s="533"/>
      <c r="C1661" s="64"/>
    </row>
    <row r="1662" spans="1:3">
      <c r="A1662" s="533"/>
      <c r="C1662" s="64"/>
    </row>
    <row r="1663" spans="1:3">
      <c r="A1663" s="533"/>
      <c r="C1663" s="64"/>
    </row>
    <row r="1664" spans="1:3">
      <c r="A1664" s="533"/>
      <c r="C1664" s="64"/>
    </row>
    <row r="1665" spans="1:3">
      <c r="A1665" s="533"/>
      <c r="C1665" s="64"/>
    </row>
    <row r="1666" spans="1:3">
      <c r="A1666" s="533"/>
      <c r="C1666" s="64"/>
    </row>
    <row r="1667" spans="1:3">
      <c r="A1667" s="533"/>
      <c r="C1667" s="64"/>
    </row>
    <row r="1668" spans="1:3">
      <c r="A1668" s="533"/>
      <c r="C1668" s="64"/>
    </row>
    <row r="1669" spans="1:3">
      <c r="A1669" s="533"/>
      <c r="C1669" s="64"/>
    </row>
    <row r="1670" spans="1:3">
      <c r="A1670" s="533"/>
      <c r="C1670" s="64"/>
    </row>
    <row r="1671" spans="1:3">
      <c r="A1671" s="533"/>
      <c r="C1671" s="64"/>
    </row>
    <row r="1672" spans="1:3">
      <c r="A1672" s="533"/>
      <c r="C1672" s="64"/>
    </row>
    <row r="1673" spans="1:3">
      <c r="A1673" s="533"/>
      <c r="C1673" s="64"/>
    </row>
    <row r="1674" spans="1:3">
      <c r="A1674" s="533"/>
      <c r="C1674" s="64"/>
    </row>
    <row r="1675" spans="1:3">
      <c r="A1675" s="533"/>
      <c r="C1675" s="64"/>
    </row>
    <row r="1676" spans="1:3">
      <c r="A1676" s="533"/>
      <c r="C1676" s="64"/>
    </row>
    <row r="1677" spans="1:3">
      <c r="A1677" s="533"/>
      <c r="C1677" s="64"/>
    </row>
    <row r="1678" spans="1:3">
      <c r="A1678" s="533"/>
      <c r="C1678" s="64"/>
    </row>
    <row r="1679" spans="1:3">
      <c r="A1679" s="533"/>
      <c r="C1679" s="64"/>
    </row>
    <row r="1680" spans="1:3">
      <c r="A1680" s="533"/>
      <c r="C1680" s="64"/>
    </row>
    <row r="1681" spans="1:3">
      <c r="A1681" s="533"/>
      <c r="C1681" s="64"/>
    </row>
    <row r="1682" spans="1:3">
      <c r="A1682" s="533"/>
      <c r="C1682" s="64"/>
    </row>
    <row r="1683" spans="1:3">
      <c r="A1683" s="533"/>
      <c r="C1683" s="64"/>
    </row>
    <row r="1684" spans="1:3">
      <c r="A1684" s="533"/>
      <c r="C1684" s="64"/>
    </row>
    <row r="1685" spans="1:3">
      <c r="A1685" s="533"/>
      <c r="C1685" s="64"/>
    </row>
    <row r="1686" spans="1:3">
      <c r="A1686" s="533"/>
      <c r="C1686" s="64"/>
    </row>
    <row r="1687" spans="1:3">
      <c r="A1687" s="533"/>
      <c r="C1687" s="64"/>
    </row>
    <row r="1688" spans="1:3">
      <c r="A1688" s="533"/>
      <c r="C1688" s="64"/>
    </row>
    <row r="1689" spans="1:3">
      <c r="A1689" s="533"/>
      <c r="C1689" s="64"/>
    </row>
    <row r="1690" spans="1:3">
      <c r="A1690" s="533"/>
      <c r="C1690" s="64"/>
    </row>
    <row r="1691" spans="1:3">
      <c r="A1691" s="533"/>
      <c r="C1691" s="64"/>
    </row>
    <row r="1692" spans="1:3">
      <c r="A1692" s="533"/>
      <c r="C1692" s="64"/>
    </row>
    <row r="1693" spans="1:3">
      <c r="A1693" s="533"/>
      <c r="C1693" s="64"/>
    </row>
    <row r="1694" spans="1:3">
      <c r="A1694" s="533"/>
      <c r="C1694" s="64"/>
    </row>
    <row r="1695" spans="1:3">
      <c r="A1695" s="533"/>
      <c r="C1695" s="64"/>
    </row>
    <row r="1696" spans="1:3">
      <c r="A1696" s="533"/>
      <c r="C1696" s="64"/>
    </row>
    <row r="1697" spans="1:3">
      <c r="A1697" s="533"/>
      <c r="C1697" s="64"/>
    </row>
    <row r="1698" spans="1:3">
      <c r="A1698" s="533"/>
      <c r="C1698" s="64"/>
    </row>
    <row r="1699" spans="1:3">
      <c r="A1699" s="533"/>
      <c r="C1699" s="64"/>
    </row>
    <row r="1700" spans="1:3">
      <c r="A1700" s="533"/>
      <c r="C1700" s="64"/>
    </row>
    <row r="1701" spans="1:3">
      <c r="A1701" s="533"/>
      <c r="C1701" s="64"/>
    </row>
    <row r="1702" spans="1:3">
      <c r="A1702" s="533"/>
      <c r="C1702" s="64"/>
    </row>
    <row r="1703" spans="1:3">
      <c r="A1703" s="533"/>
      <c r="C1703" s="64"/>
    </row>
    <row r="1704" spans="1:3">
      <c r="A1704" s="533"/>
      <c r="C1704" s="64"/>
    </row>
    <row r="1705" spans="1:3">
      <c r="A1705" s="533"/>
      <c r="C1705" s="64"/>
    </row>
    <row r="1706" spans="1:3">
      <c r="A1706" s="533"/>
      <c r="C1706" s="64"/>
    </row>
    <row r="1707" spans="1:3">
      <c r="A1707" s="533"/>
      <c r="C1707" s="64"/>
    </row>
    <row r="1708" spans="1:3">
      <c r="A1708" s="533"/>
      <c r="C1708" s="64"/>
    </row>
    <row r="1709" spans="1:3">
      <c r="A1709" s="533"/>
      <c r="C1709" s="64"/>
    </row>
    <row r="1710" spans="1:3">
      <c r="A1710" s="533"/>
      <c r="C1710" s="64"/>
    </row>
    <row r="1711" spans="1:3">
      <c r="A1711" s="533"/>
      <c r="C1711" s="64"/>
    </row>
    <row r="1712" spans="1:3">
      <c r="A1712" s="533"/>
      <c r="C1712" s="64"/>
    </row>
    <row r="1713" spans="1:3">
      <c r="A1713" s="533"/>
      <c r="C1713" s="64"/>
    </row>
    <row r="1714" spans="1:3">
      <c r="A1714" s="533"/>
      <c r="C1714" s="64"/>
    </row>
    <row r="1715" spans="1:3">
      <c r="A1715" s="533"/>
      <c r="C1715" s="64"/>
    </row>
    <row r="1716" spans="1:3">
      <c r="A1716" s="533"/>
      <c r="C1716" s="64"/>
    </row>
    <row r="1717" spans="1:3">
      <c r="A1717" s="533"/>
      <c r="C1717" s="64"/>
    </row>
    <row r="1718" spans="1:3">
      <c r="A1718" s="533"/>
      <c r="C1718" s="64"/>
    </row>
    <row r="1719" spans="1:3">
      <c r="A1719" s="533"/>
      <c r="C1719" s="64"/>
    </row>
    <row r="1720" spans="1:3">
      <c r="A1720" s="533"/>
      <c r="C1720" s="64"/>
    </row>
    <row r="1721" spans="1:3">
      <c r="A1721" s="533"/>
      <c r="C1721" s="64"/>
    </row>
    <row r="1722" spans="1:3">
      <c r="A1722" s="533"/>
      <c r="C1722" s="64"/>
    </row>
    <row r="1723" spans="1:3">
      <c r="A1723" s="533"/>
      <c r="C1723" s="64"/>
    </row>
    <row r="1724" spans="1:3">
      <c r="A1724" s="533"/>
      <c r="C1724" s="64"/>
    </row>
    <row r="1725" spans="1:3">
      <c r="A1725" s="533"/>
      <c r="C1725" s="64"/>
    </row>
    <row r="1726" spans="1:3">
      <c r="A1726" s="533"/>
      <c r="C1726" s="64"/>
    </row>
    <row r="1727" spans="1:3">
      <c r="A1727" s="533"/>
      <c r="C1727" s="64"/>
    </row>
    <row r="1728" spans="1:3">
      <c r="A1728" s="533"/>
      <c r="C1728" s="64"/>
    </row>
    <row r="1729" spans="1:3">
      <c r="A1729" s="533"/>
      <c r="C1729" s="64"/>
    </row>
    <row r="1730" spans="1:3">
      <c r="A1730" s="533"/>
      <c r="C1730" s="64"/>
    </row>
    <row r="1731" spans="1:3">
      <c r="A1731" s="533"/>
      <c r="C1731" s="64"/>
    </row>
    <row r="1732" spans="1:3">
      <c r="A1732" s="533"/>
      <c r="C1732" s="64"/>
    </row>
    <row r="1733" spans="1:3">
      <c r="A1733" s="533"/>
      <c r="C1733" s="64"/>
    </row>
    <row r="1734" spans="1:3">
      <c r="A1734" s="533"/>
      <c r="C1734" s="64"/>
    </row>
    <row r="1735" spans="1:3">
      <c r="A1735" s="533"/>
      <c r="C1735" s="64"/>
    </row>
    <row r="1736" spans="1:3">
      <c r="A1736" s="533"/>
      <c r="C1736" s="64"/>
    </row>
    <row r="1737" spans="1:3">
      <c r="A1737" s="533"/>
      <c r="C1737" s="64"/>
    </row>
    <row r="1738" spans="1:3">
      <c r="A1738" s="533"/>
      <c r="C1738" s="64"/>
    </row>
    <row r="1739" spans="1:3">
      <c r="A1739" s="533"/>
      <c r="C1739" s="64"/>
    </row>
    <row r="1740" spans="1:3">
      <c r="A1740" s="533"/>
      <c r="C1740" s="64"/>
    </row>
    <row r="1741" spans="1:3">
      <c r="A1741" s="533"/>
      <c r="C1741" s="64"/>
    </row>
    <row r="1742" spans="1:3">
      <c r="A1742" s="533"/>
      <c r="C1742" s="64"/>
    </row>
    <row r="1743" spans="1:3">
      <c r="A1743" s="533"/>
      <c r="C1743" s="64"/>
    </row>
    <row r="1744" spans="1:3">
      <c r="A1744" s="533"/>
      <c r="C1744" s="64"/>
    </row>
    <row r="1745" spans="1:3">
      <c r="A1745" s="533"/>
      <c r="C1745" s="64"/>
    </row>
    <row r="1746" spans="1:3">
      <c r="A1746" s="533"/>
      <c r="C1746" s="64"/>
    </row>
    <row r="1747" spans="1:3">
      <c r="A1747" s="533"/>
      <c r="C1747" s="64"/>
    </row>
    <row r="1748" spans="1:3">
      <c r="A1748" s="533"/>
      <c r="C1748" s="64"/>
    </row>
    <row r="1749" spans="1:3">
      <c r="A1749" s="533"/>
      <c r="C1749" s="64"/>
    </row>
    <row r="1750" spans="1:3">
      <c r="A1750" s="533"/>
      <c r="C1750" s="64"/>
    </row>
    <row r="1751" spans="1:3">
      <c r="A1751" s="533"/>
      <c r="C1751" s="64"/>
    </row>
    <row r="1752" spans="1:3">
      <c r="A1752" s="533"/>
      <c r="C1752" s="64"/>
    </row>
    <row r="1753" spans="1:3">
      <c r="A1753" s="533"/>
      <c r="C1753" s="64"/>
    </row>
    <row r="1754" spans="1:3">
      <c r="A1754" s="533"/>
      <c r="C1754" s="64"/>
    </row>
    <row r="1755" spans="1:3">
      <c r="A1755" s="533"/>
      <c r="C1755" s="64"/>
    </row>
    <row r="1756" spans="1:3">
      <c r="A1756" s="533"/>
      <c r="C1756" s="64"/>
    </row>
    <row r="1757" spans="1:3">
      <c r="A1757" s="533"/>
      <c r="C1757" s="64"/>
    </row>
    <row r="1758" spans="1:3">
      <c r="A1758" s="533"/>
      <c r="C1758" s="64"/>
    </row>
    <row r="1759" spans="1:3">
      <c r="A1759" s="533"/>
      <c r="C1759" s="64"/>
    </row>
    <row r="1760" spans="1:3">
      <c r="A1760" s="533"/>
      <c r="C1760" s="64"/>
    </row>
    <row r="1761" spans="1:3">
      <c r="A1761" s="533"/>
      <c r="C1761" s="64"/>
    </row>
    <row r="1762" spans="1:3">
      <c r="A1762" s="533"/>
      <c r="C1762" s="64"/>
    </row>
    <row r="1763" spans="1:3">
      <c r="A1763" s="533"/>
      <c r="C1763" s="64"/>
    </row>
    <row r="1764" spans="1:3">
      <c r="A1764" s="533"/>
      <c r="C1764" s="64"/>
    </row>
    <row r="1765" spans="1:3">
      <c r="A1765" s="533"/>
      <c r="C1765" s="64"/>
    </row>
    <row r="1766" spans="1:3">
      <c r="A1766" s="533"/>
      <c r="C1766" s="64"/>
    </row>
    <row r="1767" spans="1:3">
      <c r="A1767" s="533"/>
      <c r="C1767" s="64"/>
    </row>
    <row r="1768" spans="1:3">
      <c r="A1768" s="533"/>
      <c r="C1768" s="64"/>
    </row>
    <row r="1769" spans="1:3">
      <c r="A1769" s="533"/>
      <c r="C1769" s="64"/>
    </row>
    <row r="1770" spans="1:3">
      <c r="A1770" s="533"/>
      <c r="C1770" s="64"/>
    </row>
    <row r="1771" spans="1:3">
      <c r="A1771" s="533"/>
      <c r="C1771" s="64"/>
    </row>
    <row r="1772" spans="1:3">
      <c r="A1772" s="533"/>
      <c r="C1772" s="64"/>
    </row>
    <row r="1773" spans="1:3">
      <c r="A1773" s="533"/>
      <c r="C1773" s="64"/>
    </row>
    <row r="1774" spans="1:3">
      <c r="A1774" s="533"/>
      <c r="C1774" s="64"/>
    </row>
    <row r="1775" spans="1:3">
      <c r="A1775" s="533"/>
      <c r="C1775" s="64"/>
    </row>
    <row r="1776" spans="1:3">
      <c r="A1776" s="533"/>
      <c r="C1776" s="64"/>
    </row>
    <row r="1777" spans="1:3">
      <c r="A1777" s="533"/>
      <c r="C1777" s="64"/>
    </row>
    <row r="1778" spans="1:3">
      <c r="A1778" s="533"/>
      <c r="C1778" s="64"/>
    </row>
    <row r="1779" spans="1:3">
      <c r="A1779" s="533"/>
      <c r="C1779" s="64"/>
    </row>
    <row r="1780" spans="1:3">
      <c r="A1780" s="533"/>
      <c r="C1780" s="64"/>
    </row>
    <row r="1781" spans="1:3">
      <c r="A1781" s="533"/>
      <c r="C1781" s="64"/>
    </row>
    <row r="1782" spans="1:3">
      <c r="A1782" s="533"/>
      <c r="C1782" s="64"/>
    </row>
    <row r="1783" spans="1:3">
      <c r="A1783" s="533"/>
      <c r="C1783" s="64"/>
    </row>
    <row r="1784" spans="1:3">
      <c r="A1784" s="533"/>
      <c r="C1784" s="64"/>
    </row>
    <row r="1785" spans="1:3">
      <c r="A1785" s="533"/>
      <c r="C1785" s="64"/>
    </row>
    <row r="1786" spans="1:3">
      <c r="A1786" s="533"/>
      <c r="C1786" s="64"/>
    </row>
    <row r="1787" spans="1:3">
      <c r="A1787" s="533"/>
      <c r="C1787" s="64"/>
    </row>
    <row r="1788" spans="1:3">
      <c r="A1788" s="533"/>
      <c r="C1788" s="64"/>
    </row>
    <row r="1789" spans="1:3">
      <c r="A1789" s="533"/>
      <c r="C1789" s="64"/>
    </row>
    <row r="1790" spans="1:3">
      <c r="A1790" s="533"/>
      <c r="C1790" s="64"/>
    </row>
    <row r="1791" spans="1:3">
      <c r="A1791" s="533"/>
      <c r="C1791" s="64"/>
    </row>
    <row r="1792" spans="1:3">
      <c r="A1792" s="533"/>
      <c r="C1792" s="64"/>
    </row>
    <row r="1793" spans="1:3">
      <c r="A1793" s="533"/>
      <c r="C1793" s="64"/>
    </row>
    <row r="1794" spans="1:3">
      <c r="A1794" s="533"/>
      <c r="C1794" s="64"/>
    </row>
    <row r="1795" spans="1:3">
      <c r="A1795" s="533"/>
      <c r="C1795" s="64"/>
    </row>
    <row r="1796" spans="1:3">
      <c r="A1796" s="533"/>
      <c r="C1796" s="64"/>
    </row>
    <row r="1797" spans="1:3">
      <c r="A1797" s="533"/>
      <c r="C1797" s="64"/>
    </row>
    <row r="1798" spans="1:3">
      <c r="A1798" s="533"/>
      <c r="C1798" s="64"/>
    </row>
    <row r="1799" spans="1:3">
      <c r="A1799" s="533"/>
      <c r="C1799" s="64"/>
    </row>
    <row r="1800" spans="1:3">
      <c r="A1800" s="533"/>
      <c r="C1800" s="64"/>
    </row>
    <row r="1801" spans="1:3">
      <c r="A1801" s="533"/>
      <c r="C1801" s="64"/>
    </row>
    <row r="1802" spans="1:3">
      <c r="A1802" s="533"/>
      <c r="C1802" s="64"/>
    </row>
    <row r="1803" spans="1:3">
      <c r="A1803" s="533"/>
      <c r="C1803" s="64"/>
    </row>
    <row r="1804" spans="1:3">
      <c r="A1804" s="533"/>
      <c r="C1804" s="64"/>
    </row>
    <row r="1805" spans="1:3">
      <c r="A1805" s="533"/>
      <c r="C1805" s="64"/>
    </row>
    <row r="1806" spans="1:3">
      <c r="A1806" s="533"/>
      <c r="C1806" s="64"/>
    </row>
    <row r="1807" spans="1:3">
      <c r="A1807" s="533"/>
      <c r="C1807" s="64"/>
    </row>
    <row r="1808" spans="1:3">
      <c r="A1808" s="533"/>
      <c r="C1808" s="64"/>
    </row>
    <row r="1809" spans="1:3">
      <c r="A1809" s="533"/>
      <c r="C1809" s="64"/>
    </row>
    <row r="1810" spans="1:3">
      <c r="A1810" s="533"/>
      <c r="C1810" s="64"/>
    </row>
    <row r="1811" spans="1:3">
      <c r="A1811" s="533"/>
      <c r="C1811" s="64"/>
    </row>
    <row r="1812" spans="1:3">
      <c r="A1812" s="533"/>
      <c r="C1812" s="64"/>
    </row>
    <row r="1813" spans="1:3">
      <c r="A1813" s="533"/>
      <c r="C1813" s="64"/>
    </row>
    <row r="1814" spans="1:3">
      <c r="A1814" s="533"/>
      <c r="C1814" s="64"/>
    </row>
    <row r="1815" spans="1:3">
      <c r="A1815" s="533"/>
      <c r="C1815" s="64"/>
    </row>
    <row r="1816" spans="1:3">
      <c r="A1816" s="533"/>
      <c r="C1816" s="64"/>
    </row>
    <row r="1817" spans="1:3">
      <c r="A1817" s="533"/>
      <c r="C1817" s="64"/>
    </row>
    <row r="1818" spans="1:3">
      <c r="A1818" s="533"/>
      <c r="C1818" s="64"/>
    </row>
    <row r="1819" spans="1:3">
      <c r="A1819" s="533"/>
      <c r="C1819" s="64"/>
    </row>
    <row r="1820" spans="1:3">
      <c r="A1820" s="533"/>
      <c r="C1820" s="64"/>
    </row>
    <row r="1821" spans="1:3">
      <c r="A1821" s="533"/>
      <c r="C1821" s="64"/>
    </row>
    <row r="1822" spans="1:3">
      <c r="A1822" s="533"/>
      <c r="C1822" s="64"/>
    </row>
    <row r="1823" spans="1:3">
      <c r="A1823" s="533"/>
      <c r="C1823" s="64"/>
    </row>
    <row r="1824" spans="1:3">
      <c r="A1824" s="533"/>
      <c r="C1824" s="64"/>
    </row>
    <row r="1825" spans="1:3">
      <c r="A1825" s="533"/>
      <c r="C1825" s="64"/>
    </row>
    <row r="1826" spans="1:3">
      <c r="A1826" s="533"/>
      <c r="C1826" s="64"/>
    </row>
    <row r="1827" spans="1:3">
      <c r="A1827" s="533"/>
      <c r="C1827" s="64"/>
    </row>
    <row r="1828" spans="1:3">
      <c r="A1828" s="533"/>
      <c r="C1828" s="64"/>
    </row>
    <row r="1829" spans="1:3">
      <c r="A1829" s="533"/>
      <c r="C1829" s="64"/>
    </row>
    <row r="1830" spans="1:3">
      <c r="A1830" s="533"/>
      <c r="C1830" s="64"/>
    </row>
    <row r="1831" spans="1:3">
      <c r="A1831" s="533"/>
      <c r="C1831" s="64"/>
    </row>
    <row r="1832" spans="1:3">
      <c r="A1832" s="533"/>
      <c r="C1832" s="64"/>
    </row>
    <row r="1833" spans="1:3">
      <c r="A1833" s="533"/>
      <c r="C1833" s="64"/>
    </row>
    <row r="1834" spans="1:3">
      <c r="A1834" s="533"/>
      <c r="C1834" s="64"/>
    </row>
    <row r="1835" spans="1:3">
      <c r="A1835" s="533"/>
      <c r="C1835" s="64"/>
    </row>
    <row r="1836" spans="1:3">
      <c r="A1836" s="533"/>
      <c r="C1836" s="64"/>
    </row>
    <row r="1837" spans="1:3">
      <c r="A1837" s="533"/>
      <c r="C1837" s="64"/>
    </row>
    <row r="1838" spans="1:3">
      <c r="A1838" s="533"/>
      <c r="C1838" s="64"/>
    </row>
    <row r="1839" spans="1:3">
      <c r="A1839" s="533"/>
      <c r="C1839" s="64"/>
    </row>
    <row r="1840" spans="1:3">
      <c r="A1840" s="533"/>
      <c r="C1840" s="64"/>
    </row>
    <row r="1841" spans="1:3">
      <c r="A1841" s="533"/>
      <c r="C1841" s="64"/>
    </row>
    <row r="1842" spans="1:3">
      <c r="A1842" s="533"/>
      <c r="C1842" s="64"/>
    </row>
    <row r="1843" spans="1:3">
      <c r="A1843" s="533"/>
      <c r="C1843" s="64"/>
    </row>
    <row r="1844" spans="1:3">
      <c r="A1844" s="533"/>
      <c r="C1844" s="64"/>
    </row>
    <row r="1845" spans="1:3">
      <c r="A1845" s="533"/>
      <c r="C1845" s="64"/>
    </row>
    <row r="1846" spans="1:3">
      <c r="A1846" s="533"/>
      <c r="C1846" s="64"/>
    </row>
    <row r="1847" spans="1:3">
      <c r="A1847" s="533"/>
      <c r="C1847" s="64"/>
    </row>
    <row r="1848" spans="1:3">
      <c r="A1848" s="533"/>
      <c r="C1848" s="64"/>
    </row>
    <row r="1849" spans="1:3">
      <c r="A1849" s="533"/>
      <c r="C1849" s="64"/>
    </row>
    <row r="1850" spans="1:3">
      <c r="A1850" s="533"/>
      <c r="C1850" s="64"/>
    </row>
    <row r="1851" spans="1:3">
      <c r="A1851" s="533"/>
      <c r="C1851" s="64"/>
    </row>
    <row r="1852" spans="1:3">
      <c r="A1852" s="533"/>
      <c r="C1852" s="64"/>
    </row>
    <row r="1853" spans="1:3">
      <c r="A1853" s="533"/>
      <c r="C1853" s="64"/>
    </row>
    <row r="1854" spans="1:3">
      <c r="A1854" s="533"/>
      <c r="C1854" s="64"/>
    </row>
    <row r="1855" spans="1:3">
      <c r="A1855" s="533"/>
      <c r="C1855" s="64"/>
    </row>
    <row r="1856" spans="1:3">
      <c r="A1856" s="533"/>
      <c r="C1856" s="64"/>
    </row>
    <row r="1857" spans="1:3">
      <c r="A1857" s="533"/>
      <c r="C1857" s="64"/>
    </row>
    <row r="1858" spans="1:3">
      <c r="A1858" s="533"/>
      <c r="C1858" s="64"/>
    </row>
    <row r="1859" spans="1:3">
      <c r="A1859" s="533"/>
      <c r="C1859" s="64"/>
    </row>
    <row r="1860" spans="1:3">
      <c r="A1860" s="533"/>
      <c r="C1860" s="64"/>
    </row>
    <row r="1861" spans="1:3">
      <c r="A1861" s="533"/>
      <c r="C1861" s="64"/>
    </row>
    <row r="1862" spans="1:3">
      <c r="A1862" s="533"/>
      <c r="C1862" s="64"/>
    </row>
    <row r="1863" spans="1:3">
      <c r="A1863" s="533"/>
      <c r="C1863" s="64"/>
    </row>
    <row r="1864" spans="1:3">
      <c r="A1864" s="533"/>
      <c r="C1864" s="64"/>
    </row>
    <row r="1865" spans="1:3">
      <c r="A1865" s="533"/>
      <c r="C1865" s="64"/>
    </row>
    <row r="1866" spans="1:3">
      <c r="A1866" s="533"/>
      <c r="C1866" s="64"/>
    </row>
    <row r="1867" spans="1:3">
      <c r="A1867" s="533"/>
      <c r="C1867" s="64"/>
    </row>
    <row r="1868" spans="1:3">
      <c r="A1868" s="533"/>
      <c r="C1868" s="64"/>
    </row>
    <row r="1869" spans="1:3">
      <c r="A1869" s="533"/>
      <c r="C1869" s="64"/>
    </row>
    <row r="1870" spans="1:3">
      <c r="A1870" s="533"/>
      <c r="C1870" s="64"/>
    </row>
    <row r="1871" spans="1:3">
      <c r="A1871" s="533"/>
      <c r="C1871" s="64"/>
    </row>
    <row r="1872" spans="1:3">
      <c r="A1872" s="533"/>
      <c r="C1872" s="64"/>
    </row>
    <row r="1873" spans="1:3">
      <c r="A1873" s="533"/>
      <c r="C1873" s="64"/>
    </row>
    <row r="1874" spans="1:3">
      <c r="A1874" s="533"/>
      <c r="C1874" s="64"/>
    </row>
    <row r="1875" spans="1:3">
      <c r="A1875" s="533"/>
      <c r="C1875" s="64"/>
    </row>
    <row r="1876" spans="1:3">
      <c r="A1876" s="533"/>
      <c r="C1876" s="64"/>
    </row>
    <row r="1877" spans="1:3">
      <c r="A1877" s="533"/>
      <c r="C1877" s="64"/>
    </row>
    <row r="1878" spans="1:3">
      <c r="A1878" s="533"/>
      <c r="C1878" s="64"/>
    </row>
    <row r="1879" spans="1:3">
      <c r="A1879" s="533"/>
      <c r="C1879" s="64"/>
    </row>
    <row r="1880" spans="1:3">
      <c r="A1880" s="533"/>
      <c r="C1880" s="64"/>
    </row>
    <row r="1881" spans="1:3">
      <c r="A1881" s="533"/>
      <c r="C1881" s="64"/>
    </row>
    <row r="1882" spans="1:3">
      <c r="A1882" s="533"/>
      <c r="C1882" s="64"/>
    </row>
    <row r="1883" spans="1:3">
      <c r="A1883" s="533"/>
      <c r="C1883" s="64"/>
    </row>
    <row r="1884" spans="1:3">
      <c r="A1884" s="533"/>
      <c r="C1884" s="64"/>
    </row>
    <row r="1885" spans="1:3">
      <c r="A1885" s="533"/>
      <c r="C1885" s="64"/>
    </row>
    <row r="1886" spans="1:3">
      <c r="A1886" s="533"/>
      <c r="C1886" s="64"/>
    </row>
    <row r="1887" spans="1:3">
      <c r="A1887" s="533"/>
      <c r="C1887" s="64"/>
    </row>
    <row r="1888" spans="1:3">
      <c r="A1888" s="533"/>
      <c r="C1888" s="64"/>
    </row>
    <row r="1889" spans="1:3">
      <c r="A1889" s="533"/>
      <c r="C1889" s="64"/>
    </row>
    <row r="1890" spans="1:3">
      <c r="A1890" s="533"/>
      <c r="C1890" s="64"/>
    </row>
    <row r="1891" spans="1:3">
      <c r="A1891" s="533"/>
      <c r="C1891" s="64"/>
    </row>
    <row r="1892" spans="1:3">
      <c r="A1892" s="533"/>
      <c r="C1892" s="64"/>
    </row>
    <row r="1893" spans="1:3">
      <c r="A1893" s="533"/>
      <c r="C1893" s="64"/>
    </row>
    <row r="1894" spans="1:3">
      <c r="A1894" s="533"/>
      <c r="C1894" s="64"/>
    </row>
    <row r="1895" spans="1:3">
      <c r="A1895" s="533"/>
      <c r="C1895" s="64"/>
    </row>
    <row r="1896" spans="1:3">
      <c r="A1896" s="533"/>
      <c r="C1896" s="64"/>
    </row>
    <row r="1897" spans="1:3">
      <c r="A1897" s="533"/>
      <c r="C1897" s="64"/>
    </row>
    <row r="1898" spans="1:3">
      <c r="A1898" s="533"/>
      <c r="C1898" s="64"/>
    </row>
    <row r="1899" spans="1:3">
      <c r="A1899" s="533"/>
      <c r="C1899" s="64"/>
    </row>
    <row r="1900" spans="1:3">
      <c r="A1900" s="533"/>
      <c r="C1900" s="64"/>
    </row>
    <row r="1901" spans="1:3">
      <c r="A1901" s="533"/>
      <c r="C1901" s="64"/>
    </row>
    <row r="1902" spans="1:3">
      <c r="A1902" s="533"/>
      <c r="C1902" s="64"/>
    </row>
    <row r="1903" spans="1:3">
      <c r="A1903" s="533"/>
      <c r="C1903" s="64"/>
    </row>
    <row r="1904" spans="1:3">
      <c r="A1904" s="533"/>
      <c r="C1904" s="64"/>
    </row>
    <row r="1905" spans="1:3">
      <c r="A1905" s="533"/>
      <c r="C1905" s="64"/>
    </row>
    <row r="1906" spans="1:3">
      <c r="A1906" s="533"/>
      <c r="C1906" s="64"/>
    </row>
    <row r="1907" spans="1:3">
      <c r="A1907" s="533"/>
      <c r="C1907" s="64"/>
    </row>
    <row r="1908" spans="1:3">
      <c r="A1908" s="533"/>
      <c r="C1908" s="64"/>
    </row>
    <row r="1909" spans="1:3">
      <c r="A1909" s="533"/>
      <c r="C1909" s="64"/>
    </row>
    <row r="1910" spans="1:3">
      <c r="A1910" s="533"/>
      <c r="C1910" s="64"/>
    </row>
    <row r="1911" spans="1:3">
      <c r="A1911" s="533"/>
      <c r="C1911" s="64"/>
    </row>
    <row r="1912" spans="1:3">
      <c r="A1912" s="533"/>
      <c r="C1912" s="64"/>
    </row>
    <row r="1913" spans="1:3">
      <c r="A1913" s="533"/>
      <c r="C1913" s="64"/>
    </row>
    <row r="1914" spans="1:3">
      <c r="A1914" s="533"/>
      <c r="C1914" s="64"/>
    </row>
    <row r="1915" spans="1:3">
      <c r="A1915" s="533"/>
      <c r="C1915" s="64"/>
    </row>
    <row r="1916" spans="1:3">
      <c r="A1916" s="533"/>
      <c r="C1916" s="64"/>
    </row>
    <row r="1917" spans="1:3">
      <c r="A1917" s="533"/>
      <c r="C1917" s="64"/>
    </row>
    <row r="1918" spans="1:3">
      <c r="A1918" s="533"/>
      <c r="C1918" s="64"/>
    </row>
    <row r="1919" spans="1:3">
      <c r="A1919" s="533"/>
      <c r="C1919" s="64"/>
    </row>
    <row r="1920" spans="1:3">
      <c r="A1920" s="533"/>
      <c r="C1920" s="64"/>
    </row>
    <row r="1921" spans="1:3">
      <c r="A1921" s="533"/>
      <c r="C1921" s="64"/>
    </row>
    <row r="1922" spans="1:3">
      <c r="A1922" s="533"/>
      <c r="C1922" s="64"/>
    </row>
    <row r="1923" spans="1:3">
      <c r="A1923" s="533"/>
      <c r="C1923" s="64"/>
    </row>
    <row r="1924" spans="1:3">
      <c r="A1924" s="533"/>
      <c r="C1924" s="64"/>
    </row>
    <row r="1925" spans="1:3">
      <c r="A1925" s="533"/>
      <c r="C1925" s="64"/>
    </row>
    <row r="1926" spans="1:3">
      <c r="A1926" s="533"/>
      <c r="C1926" s="64"/>
    </row>
    <row r="1927" spans="1:3">
      <c r="A1927" s="533"/>
      <c r="C1927" s="64"/>
    </row>
    <row r="1928" spans="1:3">
      <c r="A1928" s="533"/>
      <c r="C1928" s="64"/>
    </row>
    <row r="1929" spans="1:3">
      <c r="A1929" s="533"/>
      <c r="C1929" s="64"/>
    </row>
    <row r="1930" spans="1:3">
      <c r="A1930" s="533"/>
      <c r="C1930" s="64"/>
    </row>
    <row r="1931" spans="1:3">
      <c r="A1931" s="533"/>
      <c r="C1931" s="64"/>
    </row>
    <row r="1932" spans="1:3">
      <c r="A1932" s="533"/>
      <c r="C1932" s="64"/>
    </row>
    <row r="1933" spans="1:3">
      <c r="A1933" s="533"/>
      <c r="C1933" s="64"/>
    </row>
    <row r="1934" spans="1:3">
      <c r="A1934" s="533"/>
      <c r="C1934" s="64"/>
    </row>
    <row r="1935" spans="1:3">
      <c r="A1935" s="533"/>
      <c r="C1935" s="64"/>
    </row>
    <row r="1936" spans="1:3">
      <c r="A1936" s="533"/>
      <c r="C1936" s="64"/>
    </row>
    <row r="1937" spans="1:3">
      <c r="A1937" s="533"/>
      <c r="C1937" s="64"/>
    </row>
    <row r="1938" spans="1:3">
      <c r="A1938" s="533"/>
      <c r="C1938" s="64"/>
    </row>
    <row r="1939" spans="1:3">
      <c r="A1939" s="533"/>
      <c r="C1939" s="64"/>
    </row>
    <row r="1940" spans="1:3">
      <c r="A1940" s="533"/>
      <c r="C1940" s="64"/>
    </row>
    <row r="1941" spans="1:3">
      <c r="A1941" s="533"/>
      <c r="C1941" s="64"/>
    </row>
    <row r="1942" spans="1:3">
      <c r="A1942" s="533"/>
      <c r="C1942" s="64"/>
    </row>
    <row r="1943" spans="1:3">
      <c r="A1943" s="533"/>
      <c r="C1943" s="64"/>
    </row>
    <row r="1944" spans="1:3">
      <c r="A1944" s="533"/>
      <c r="C1944" s="64"/>
    </row>
    <row r="1945" spans="1:3">
      <c r="A1945" s="533"/>
      <c r="C1945" s="64"/>
    </row>
    <row r="1946" spans="1:3">
      <c r="A1946" s="533"/>
      <c r="C1946" s="64"/>
    </row>
    <row r="1947" spans="1:3">
      <c r="A1947" s="533"/>
      <c r="C1947" s="64"/>
    </row>
    <row r="1948" spans="1:3">
      <c r="A1948" s="533"/>
      <c r="C1948" s="64"/>
    </row>
    <row r="1949" spans="1:3">
      <c r="A1949" s="533"/>
      <c r="C1949" s="64"/>
    </row>
    <row r="1950" spans="1:3">
      <c r="A1950" s="533"/>
      <c r="C1950" s="64"/>
    </row>
    <row r="1951" spans="1:3">
      <c r="A1951" s="533"/>
      <c r="C1951" s="64"/>
    </row>
    <row r="1952" spans="1:3">
      <c r="A1952" s="533"/>
      <c r="C1952" s="64"/>
    </row>
    <row r="1953" spans="1:3">
      <c r="A1953" s="533"/>
      <c r="C1953" s="64"/>
    </row>
    <row r="1954" spans="1:3">
      <c r="A1954" s="533"/>
      <c r="C1954" s="64"/>
    </row>
    <row r="1955" spans="1:3">
      <c r="A1955" s="533"/>
      <c r="C1955" s="64"/>
    </row>
    <row r="1956" spans="1:3">
      <c r="A1956" s="533"/>
      <c r="C1956" s="64"/>
    </row>
    <row r="1957" spans="1:3">
      <c r="A1957" s="533"/>
      <c r="C1957" s="64"/>
    </row>
    <row r="1958" spans="1:3">
      <c r="A1958" s="533"/>
      <c r="C1958" s="64"/>
    </row>
    <row r="1959" spans="1:3">
      <c r="A1959" s="533"/>
      <c r="C1959" s="64"/>
    </row>
    <row r="1960" spans="1:3">
      <c r="A1960" s="533"/>
      <c r="C1960" s="64"/>
    </row>
    <row r="1961" spans="1:3">
      <c r="A1961" s="533"/>
      <c r="C1961" s="64"/>
    </row>
    <row r="1962" spans="1:3">
      <c r="A1962" s="533"/>
      <c r="C1962" s="64"/>
    </row>
    <row r="1963" spans="1:3">
      <c r="A1963" s="533"/>
      <c r="C1963" s="64"/>
    </row>
    <row r="1964" spans="1:3">
      <c r="A1964" s="533"/>
      <c r="C1964" s="64"/>
    </row>
    <row r="1965" spans="1:3">
      <c r="A1965" s="533"/>
      <c r="C1965" s="64"/>
    </row>
    <row r="1966" spans="1:3">
      <c r="A1966" s="533"/>
      <c r="C1966" s="64"/>
    </row>
    <row r="1967" spans="1:3">
      <c r="A1967" s="533"/>
      <c r="C1967" s="64"/>
    </row>
    <row r="1968" spans="1:3">
      <c r="A1968" s="533"/>
      <c r="C1968" s="64"/>
    </row>
    <row r="1969" spans="1:3">
      <c r="A1969" s="533"/>
      <c r="C1969" s="64"/>
    </row>
    <row r="1970" spans="1:3">
      <c r="A1970" s="533"/>
      <c r="C1970" s="64"/>
    </row>
    <row r="1971" spans="1:3">
      <c r="A1971" s="533"/>
      <c r="C1971" s="64"/>
    </row>
    <row r="1972" spans="1:3">
      <c r="A1972" s="533"/>
      <c r="C1972" s="64"/>
    </row>
    <row r="1973" spans="1:3">
      <c r="A1973" s="533"/>
      <c r="C1973" s="64"/>
    </row>
    <row r="1974" spans="1:3">
      <c r="A1974" s="533"/>
      <c r="C1974" s="64"/>
    </row>
    <row r="1975" spans="1:3">
      <c r="A1975" s="533"/>
      <c r="C1975" s="64"/>
    </row>
    <row r="1976" spans="1:3">
      <c r="A1976" s="533"/>
      <c r="C1976" s="64"/>
    </row>
    <row r="1977" spans="1:3">
      <c r="A1977" s="533"/>
      <c r="C1977" s="64"/>
    </row>
    <row r="1978" spans="1:3">
      <c r="A1978" s="533"/>
      <c r="C1978" s="64"/>
    </row>
    <row r="1979" spans="1:3">
      <c r="A1979" s="533"/>
      <c r="C1979" s="64"/>
    </row>
    <row r="1980" spans="1:3">
      <c r="A1980" s="533"/>
      <c r="C1980" s="64"/>
    </row>
    <row r="1981" spans="1:3">
      <c r="A1981" s="533"/>
      <c r="C1981" s="64"/>
    </row>
    <row r="1982" spans="1:3">
      <c r="A1982" s="533"/>
      <c r="C1982" s="64"/>
    </row>
    <row r="1983" spans="1:3">
      <c r="A1983" s="533"/>
      <c r="C1983" s="64"/>
    </row>
    <row r="1984" spans="1:3">
      <c r="A1984" s="533"/>
      <c r="C1984" s="64"/>
    </row>
    <row r="1985" spans="1:3">
      <c r="A1985" s="533"/>
      <c r="C1985" s="64"/>
    </row>
    <row r="1986" spans="1:3">
      <c r="A1986" s="533"/>
      <c r="C1986" s="64"/>
    </row>
    <row r="1987" spans="1:3">
      <c r="A1987" s="533"/>
      <c r="C1987" s="64"/>
    </row>
    <row r="1988" spans="1:3">
      <c r="A1988" s="533"/>
      <c r="C1988" s="64"/>
    </row>
    <row r="1989" spans="1:3">
      <c r="A1989" s="533"/>
      <c r="C1989" s="64"/>
    </row>
    <row r="1990" spans="1:3">
      <c r="A1990" s="533"/>
      <c r="C1990" s="64"/>
    </row>
    <row r="1991" spans="1:3">
      <c r="A1991" s="533"/>
      <c r="C1991" s="64"/>
    </row>
    <row r="1992" spans="1:3">
      <c r="A1992" s="533"/>
      <c r="C1992" s="64"/>
    </row>
    <row r="1993" spans="1:3">
      <c r="A1993" s="533"/>
      <c r="C1993" s="64"/>
    </row>
    <row r="1994" spans="1:3">
      <c r="A1994" s="533"/>
      <c r="C1994" s="64"/>
    </row>
    <row r="1995" spans="1:3">
      <c r="A1995" s="533"/>
      <c r="C1995" s="64"/>
    </row>
    <row r="1996" spans="1:3">
      <c r="A1996" s="533"/>
      <c r="C1996" s="64"/>
    </row>
    <row r="1997" spans="1:3">
      <c r="A1997" s="533"/>
      <c r="C1997" s="64"/>
    </row>
    <row r="1998" spans="1:3">
      <c r="A1998" s="533"/>
      <c r="C1998" s="64"/>
    </row>
    <row r="1999" spans="1:3">
      <c r="A1999" s="533"/>
      <c r="C1999" s="64"/>
    </row>
    <row r="2000" spans="1:3">
      <c r="A2000" s="533"/>
      <c r="C2000" s="64"/>
    </row>
    <row r="2001" spans="1:3">
      <c r="A2001" s="533"/>
      <c r="C2001" s="64"/>
    </row>
    <row r="2002" spans="1:3">
      <c r="A2002" s="533"/>
      <c r="C2002" s="64"/>
    </row>
    <row r="2003" spans="1:3">
      <c r="A2003" s="533"/>
      <c r="C2003" s="64"/>
    </row>
    <row r="2004" spans="1:3">
      <c r="A2004" s="533"/>
      <c r="C2004" s="64"/>
    </row>
    <row r="2005" spans="1:3">
      <c r="A2005" s="533"/>
      <c r="C2005" s="64"/>
    </row>
    <row r="2006" spans="1:3">
      <c r="A2006" s="533"/>
      <c r="C2006" s="64"/>
    </row>
    <row r="2007" spans="1:3">
      <c r="A2007" s="533"/>
      <c r="C2007" s="64"/>
    </row>
    <row r="2008" spans="1:3">
      <c r="A2008" s="533"/>
      <c r="C2008" s="64"/>
    </row>
    <row r="2009" spans="1:3">
      <c r="A2009" s="533"/>
      <c r="C2009" s="64"/>
    </row>
    <row r="2010" spans="1:3">
      <c r="A2010" s="533"/>
      <c r="C2010" s="64"/>
    </row>
    <row r="2011" spans="1:3">
      <c r="A2011" s="533"/>
      <c r="C2011" s="64"/>
    </row>
    <row r="2012" spans="1:3">
      <c r="A2012" s="533"/>
      <c r="C2012" s="64"/>
    </row>
    <row r="2013" spans="1:3">
      <c r="A2013" s="533"/>
      <c r="C2013" s="64"/>
    </row>
    <row r="2014" spans="1:3">
      <c r="A2014" s="533"/>
      <c r="C2014" s="64"/>
    </row>
    <row r="2015" spans="1:3">
      <c r="A2015" s="533"/>
      <c r="C2015" s="64"/>
    </row>
    <row r="2016" spans="1:3">
      <c r="A2016" s="533"/>
      <c r="C2016" s="64"/>
    </row>
    <row r="2017" spans="1:3">
      <c r="A2017" s="533"/>
      <c r="C2017" s="64"/>
    </row>
    <row r="2018" spans="1:3">
      <c r="A2018" s="533"/>
      <c r="C2018" s="64"/>
    </row>
    <row r="2019" spans="1:3">
      <c r="A2019" s="533"/>
      <c r="C2019" s="64"/>
    </row>
    <row r="2020" spans="1:3">
      <c r="A2020" s="533"/>
      <c r="C2020" s="64"/>
    </row>
    <row r="2021" spans="1:3">
      <c r="A2021" s="533"/>
      <c r="C2021" s="64"/>
    </row>
    <row r="2022" spans="1:3">
      <c r="A2022" s="533"/>
      <c r="C2022" s="64"/>
    </row>
    <row r="2023" spans="1:3">
      <c r="A2023" s="533"/>
      <c r="C2023" s="64"/>
    </row>
    <row r="2024" spans="1:3">
      <c r="A2024" s="533"/>
      <c r="C2024" s="64"/>
    </row>
    <row r="2025" spans="1:3">
      <c r="A2025" s="533"/>
      <c r="C2025" s="64"/>
    </row>
    <row r="2026" spans="1:3">
      <c r="A2026" s="533"/>
      <c r="C2026" s="64"/>
    </row>
    <row r="2027" spans="1:3">
      <c r="A2027" s="533"/>
      <c r="C2027" s="64"/>
    </row>
    <row r="2028" spans="1:3">
      <c r="A2028" s="533"/>
      <c r="C2028" s="64"/>
    </row>
    <row r="2029" spans="1:3">
      <c r="A2029" s="533"/>
      <c r="C2029" s="64"/>
    </row>
    <row r="2030" spans="1:3">
      <c r="A2030" s="533"/>
      <c r="C2030" s="64"/>
    </row>
    <row r="2031" spans="1:3">
      <c r="A2031" s="533"/>
      <c r="C2031" s="64"/>
    </row>
    <row r="2032" spans="1:3">
      <c r="A2032" s="533"/>
      <c r="C2032" s="64"/>
    </row>
    <row r="2033" spans="1:3">
      <c r="A2033" s="533"/>
      <c r="C2033" s="64"/>
    </row>
    <row r="2034" spans="1:3">
      <c r="A2034" s="533"/>
      <c r="C2034" s="64"/>
    </row>
    <row r="2035" spans="1:3">
      <c r="A2035" s="533"/>
      <c r="C2035" s="64"/>
    </row>
    <row r="2036" spans="1:3">
      <c r="A2036" s="533"/>
      <c r="C2036" s="64"/>
    </row>
    <row r="2037" spans="1:3">
      <c r="A2037" s="533"/>
      <c r="C2037" s="64"/>
    </row>
    <row r="2038" spans="1:3">
      <c r="A2038" s="533"/>
      <c r="C2038" s="64"/>
    </row>
    <row r="2039" spans="1:3">
      <c r="A2039" s="533"/>
      <c r="C2039" s="64"/>
    </row>
    <row r="2040" spans="1:3">
      <c r="A2040" s="533"/>
      <c r="C2040" s="64"/>
    </row>
    <row r="2041" spans="1:3">
      <c r="A2041" s="533"/>
      <c r="C2041" s="64"/>
    </row>
    <row r="2042" spans="1:3">
      <c r="A2042" s="533"/>
      <c r="C2042" s="64"/>
    </row>
    <row r="2043" spans="1:3">
      <c r="A2043" s="533"/>
      <c r="C2043" s="64"/>
    </row>
    <row r="2044" spans="1:3">
      <c r="A2044" s="533"/>
      <c r="C2044" s="64"/>
    </row>
    <row r="2045" spans="1:3">
      <c r="A2045" s="533"/>
      <c r="C2045" s="64"/>
    </row>
    <row r="2046" spans="1:3">
      <c r="A2046" s="533"/>
      <c r="C2046" s="64"/>
    </row>
    <row r="2047" spans="1:3">
      <c r="A2047" s="533"/>
      <c r="C2047" s="64"/>
    </row>
    <row r="2048" spans="1:3">
      <c r="A2048" s="533"/>
      <c r="C2048" s="64"/>
    </row>
    <row r="2049" spans="1:3">
      <c r="A2049" s="533"/>
      <c r="C2049" s="64"/>
    </row>
    <row r="2050" spans="1:3">
      <c r="A2050" s="533"/>
      <c r="C2050" s="64"/>
    </row>
    <row r="2051" spans="1:3">
      <c r="A2051" s="533"/>
      <c r="C2051" s="64"/>
    </row>
    <row r="2052" spans="1:3">
      <c r="A2052" s="533"/>
      <c r="C2052" s="64"/>
    </row>
    <row r="2053" spans="1:3">
      <c r="A2053" s="533"/>
      <c r="C2053" s="64"/>
    </row>
    <row r="2054" spans="1:3">
      <c r="A2054" s="533"/>
      <c r="C2054" s="64"/>
    </row>
    <row r="2055" spans="1:3">
      <c r="A2055" s="533"/>
      <c r="C2055" s="64"/>
    </row>
    <row r="2056" spans="1:3">
      <c r="A2056" s="533"/>
      <c r="C2056" s="64"/>
    </row>
    <row r="2057" spans="1:3">
      <c r="A2057" s="533"/>
      <c r="C2057" s="64"/>
    </row>
    <row r="2058" spans="1:3">
      <c r="A2058" s="533"/>
      <c r="C2058" s="64"/>
    </row>
    <row r="2059" spans="1:3">
      <c r="A2059" s="533"/>
      <c r="C2059" s="64"/>
    </row>
    <row r="2060" spans="1:3">
      <c r="A2060" s="533"/>
      <c r="C2060" s="64"/>
    </row>
    <row r="2061" spans="1:3">
      <c r="A2061" s="533"/>
      <c r="C2061" s="64"/>
    </row>
    <row r="2062" spans="1:3">
      <c r="A2062" s="533"/>
      <c r="C2062" s="64"/>
    </row>
    <row r="2063" spans="1:3">
      <c r="A2063" s="533"/>
      <c r="C2063" s="64"/>
    </row>
    <row r="2064" spans="1:3">
      <c r="A2064" s="533"/>
      <c r="C2064" s="64"/>
    </row>
    <row r="2065" spans="1:3">
      <c r="A2065" s="533"/>
      <c r="C2065" s="64"/>
    </row>
    <row r="2066" spans="1:3">
      <c r="A2066" s="533"/>
      <c r="C2066" s="64"/>
    </row>
    <row r="2067" spans="1:3">
      <c r="A2067" s="533"/>
      <c r="C2067" s="64"/>
    </row>
    <row r="2068" spans="1:3">
      <c r="A2068" s="533"/>
      <c r="C2068" s="64"/>
    </row>
    <row r="2069" spans="1:3">
      <c r="A2069" s="533"/>
      <c r="C2069" s="64"/>
    </row>
    <row r="2070" spans="1:3">
      <c r="A2070" s="533"/>
      <c r="C2070" s="64"/>
    </row>
    <row r="2071" spans="1:3">
      <c r="A2071" s="533"/>
      <c r="C2071" s="64"/>
    </row>
    <row r="2072" spans="1:3">
      <c r="A2072" s="533"/>
      <c r="C2072" s="64"/>
    </row>
    <row r="2073" spans="1:3">
      <c r="A2073" s="533"/>
      <c r="C2073" s="64"/>
    </row>
    <row r="2074" spans="1:3">
      <c r="A2074" s="533"/>
      <c r="C2074" s="64"/>
    </row>
    <row r="2075" spans="1:3">
      <c r="A2075" s="533"/>
      <c r="C2075" s="64"/>
    </row>
    <row r="2076" spans="1:3">
      <c r="A2076" s="533"/>
      <c r="C2076" s="64"/>
    </row>
    <row r="2077" spans="1:3">
      <c r="A2077" s="533"/>
      <c r="C2077" s="64"/>
    </row>
    <row r="2078" spans="1:3">
      <c r="A2078" s="533"/>
      <c r="C2078" s="64"/>
    </row>
    <row r="2079" spans="1:3">
      <c r="A2079" s="533"/>
      <c r="C2079" s="64"/>
    </row>
    <row r="2080" spans="1:3">
      <c r="A2080" s="533"/>
      <c r="C2080" s="64"/>
    </row>
    <row r="2081" spans="1:3">
      <c r="A2081" s="533"/>
      <c r="C2081" s="64"/>
    </row>
    <row r="2082" spans="1:3">
      <c r="A2082" s="533"/>
      <c r="C2082" s="64"/>
    </row>
    <row r="2083" spans="1:3">
      <c r="A2083" s="533"/>
      <c r="C2083" s="64"/>
    </row>
    <row r="2084" spans="1:3">
      <c r="A2084" s="533"/>
      <c r="C2084" s="64"/>
    </row>
    <row r="2085" spans="1:3">
      <c r="A2085" s="533"/>
      <c r="C2085" s="64"/>
    </row>
    <row r="2086" spans="1:3">
      <c r="A2086" s="533"/>
      <c r="C2086" s="64"/>
    </row>
    <row r="2087" spans="1:3">
      <c r="A2087" s="533"/>
      <c r="C2087" s="64"/>
    </row>
    <row r="2088" spans="1:3">
      <c r="A2088" s="533"/>
      <c r="C2088" s="64"/>
    </row>
    <row r="2089" spans="1:3">
      <c r="A2089" s="533"/>
      <c r="C2089" s="64"/>
    </row>
    <row r="2090" spans="1:3">
      <c r="A2090" s="533"/>
      <c r="C2090" s="64"/>
    </row>
    <row r="2091" spans="1:3">
      <c r="A2091" s="533"/>
      <c r="C2091" s="64"/>
    </row>
    <row r="2092" spans="1:3">
      <c r="A2092" s="533"/>
      <c r="C2092" s="64"/>
    </row>
    <row r="2093" spans="1:3">
      <c r="A2093" s="533"/>
      <c r="C2093" s="64"/>
    </row>
    <row r="2094" spans="1:3">
      <c r="A2094" s="533"/>
      <c r="C2094" s="64"/>
    </row>
    <row r="2095" spans="1:3">
      <c r="A2095" s="533"/>
      <c r="C2095" s="64"/>
    </row>
    <row r="2096" spans="1:3">
      <c r="A2096" s="533"/>
      <c r="C2096" s="64"/>
    </row>
    <row r="2097" spans="1:3">
      <c r="A2097" s="533"/>
      <c r="C2097" s="64"/>
    </row>
    <row r="2098" spans="1:3">
      <c r="A2098" s="533"/>
      <c r="C2098" s="64"/>
    </row>
    <row r="2099" spans="1:3">
      <c r="A2099" s="533"/>
      <c r="C2099" s="64"/>
    </row>
    <row r="2100" spans="1:3">
      <c r="A2100" s="533"/>
      <c r="C2100" s="64"/>
    </row>
    <row r="2101" spans="1:3">
      <c r="A2101" s="533"/>
      <c r="C2101" s="64"/>
    </row>
    <row r="2102" spans="1:3">
      <c r="A2102" s="533"/>
      <c r="C2102" s="64"/>
    </row>
    <row r="2103" spans="1:3">
      <c r="A2103" s="533"/>
      <c r="C2103" s="64"/>
    </row>
    <row r="2104" spans="1:3">
      <c r="A2104" s="533"/>
      <c r="C2104" s="64"/>
    </row>
    <row r="2105" spans="1:3">
      <c r="A2105" s="533"/>
      <c r="C2105" s="64"/>
    </row>
    <row r="2106" spans="1:3">
      <c r="A2106" s="533"/>
      <c r="C2106" s="64"/>
    </row>
    <row r="2107" spans="1:3">
      <c r="A2107" s="533"/>
      <c r="C2107" s="64"/>
    </row>
    <row r="2108" spans="1:3">
      <c r="A2108" s="533"/>
      <c r="C2108" s="64"/>
    </row>
    <row r="2109" spans="1:3">
      <c r="A2109" s="533"/>
      <c r="C2109" s="64"/>
    </row>
    <row r="2110" spans="1:3">
      <c r="A2110" s="533"/>
      <c r="C2110" s="64"/>
    </row>
    <row r="2111" spans="1:3">
      <c r="A2111" s="533"/>
      <c r="C2111" s="64"/>
    </row>
    <row r="2112" spans="1:3">
      <c r="A2112" s="533"/>
      <c r="C2112" s="64"/>
    </row>
    <row r="2113" spans="1:3">
      <c r="A2113" s="533"/>
      <c r="C2113" s="64"/>
    </row>
    <row r="2114" spans="1:3">
      <c r="A2114" s="533"/>
      <c r="C2114" s="64"/>
    </row>
    <row r="2115" spans="1:3">
      <c r="A2115" s="533"/>
      <c r="C2115" s="64"/>
    </row>
    <row r="2116" spans="1:3">
      <c r="A2116" s="533"/>
      <c r="C2116" s="64"/>
    </row>
    <row r="2117" spans="1:3">
      <c r="A2117" s="533"/>
      <c r="C2117" s="64"/>
    </row>
    <row r="2118" spans="1:3">
      <c r="A2118" s="533"/>
      <c r="C2118" s="64"/>
    </row>
    <row r="2119" spans="1:3">
      <c r="A2119" s="533"/>
      <c r="C2119" s="64"/>
    </row>
    <row r="2120" spans="1:3">
      <c r="A2120" s="533"/>
      <c r="C2120" s="64"/>
    </row>
    <row r="2121" spans="1:3">
      <c r="A2121" s="533"/>
      <c r="C2121" s="64"/>
    </row>
    <row r="2122" spans="1:3">
      <c r="A2122" s="533"/>
      <c r="C2122" s="64"/>
    </row>
    <row r="2123" spans="1:3">
      <c r="A2123" s="533"/>
      <c r="C2123" s="64"/>
    </row>
    <row r="2124" spans="1:3">
      <c r="A2124" s="533"/>
      <c r="C2124" s="64"/>
    </row>
    <row r="2125" spans="1:3">
      <c r="A2125" s="533"/>
      <c r="C2125" s="64"/>
    </row>
    <row r="2126" spans="1:3">
      <c r="A2126" s="533"/>
      <c r="C2126" s="64"/>
    </row>
    <row r="2127" spans="1:3">
      <c r="A2127" s="533"/>
      <c r="C2127" s="64"/>
    </row>
    <row r="2128" spans="1:3">
      <c r="A2128" s="533"/>
      <c r="C2128" s="64"/>
    </row>
    <row r="2129" spans="1:3">
      <c r="A2129" s="533"/>
      <c r="C2129" s="64"/>
    </row>
    <row r="2130" spans="1:3">
      <c r="A2130" s="533"/>
      <c r="C2130" s="64"/>
    </row>
    <row r="2131" spans="1:3">
      <c r="A2131" s="533"/>
      <c r="C2131" s="64"/>
    </row>
    <row r="2132" spans="1:3">
      <c r="A2132" s="533"/>
      <c r="C2132" s="64"/>
    </row>
    <row r="2133" spans="1:3">
      <c r="A2133" s="533"/>
      <c r="C2133" s="64"/>
    </row>
    <row r="2134" spans="1:3">
      <c r="A2134" s="533"/>
      <c r="C2134" s="64"/>
    </row>
    <row r="2135" spans="1:3">
      <c r="A2135" s="533"/>
      <c r="C2135" s="64"/>
    </row>
    <row r="2136" spans="1:3">
      <c r="A2136" s="533"/>
      <c r="C2136" s="64"/>
    </row>
    <row r="2137" spans="1:3">
      <c r="A2137" s="533"/>
      <c r="C2137" s="64"/>
    </row>
    <row r="2138" spans="1:3">
      <c r="A2138" s="533"/>
      <c r="C2138" s="64"/>
    </row>
    <row r="2139" spans="1:3">
      <c r="A2139" s="533"/>
      <c r="C2139" s="64"/>
    </row>
    <row r="2140" spans="1:3">
      <c r="A2140" s="533"/>
      <c r="C2140" s="64"/>
    </row>
    <row r="2141" spans="1:3">
      <c r="A2141" s="533"/>
      <c r="C2141" s="64"/>
    </row>
    <row r="2142" spans="1:3">
      <c r="A2142" s="533"/>
      <c r="C2142" s="64"/>
    </row>
    <row r="2143" spans="1:3">
      <c r="A2143" s="533"/>
      <c r="C2143" s="64"/>
    </row>
    <row r="2144" spans="1:3">
      <c r="A2144" s="533"/>
      <c r="C2144" s="64"/>
    </row>
    <row r="2145" spans="1:3">
      <c r="A2145" s="533"/>
      <c r="C2145" s="64"/>
    </row>
    <row r="2146" spans="1:3">
      <c r="A2146" s="533"/>
      <c r="C2146" s="64"/>
    </row>
    <row r="2147" spans="1:3">
      <c r="A2147" s="533"/>
      <c r="C2147" s="64"/>
    </row>
    <row r="2148" spans="1:3">
      <c r="A2148" s="533"/>
      <c r="C2148" s="64"/>
    </row>
    <row r="2149" spans="1:3">
      <c r="A2149" s="533"/>
      <c r="C2149" s="64"/>
    </row>
    <row r="2150" spans="1:3">
      <c r="A2150" s="533"/>
      <c r="C2150" s="64"/>
    </row>
    <row r="2151" spans="1:3">
      <c r="A2151" s="533"/>
      <c r="C2151" s="64"/>
    </row>
    <row r="2152" spans="1:3">
      <c r="A2152" s="533"/>
      <c r="C2152" s="64"/>
    </row>
    <row r="2153" spans="1:3">
      <c r="A2153" s="533"/>
      <c r="C2153" s="64"/>
    </row>
    <row r="2154" spans="1:3">
      <c r="A2154" s="533"/>
      <c r="C2154" s="64"/>
    </row>
    <row r="2155" spans="1:3">
      <c r="A2155" s="533"/>
      <c r="C2155" s="64"/>
    </row>
    <row r="2156" spans="1:3">
      <c r="A2156" s="533"/>
      <c r="C2156" s="64"/>
    </row>
    <row r="2157" spans="1:3">
      <c r="A2157" s="533"/>
      <c r="C2157" s="64"/>
    </row>
    <row r="2158" spans="1:3">
      <c r="A2158" s="533"/>
      <c r="C2158" s="64"/>
    </row>
    <row r="2159" spans="1:3">
      <c r="A2159" s="533"/>
      <c r="C2159" s="64"/>
    </row>
    <row r="2160" spans="1:3">
      <c r="A2160" s="533"/>
      <c r="C2160" s="64"/>
    </row>
    <row r="2161" spans="1:3">
      <c r="A2161" s="533"/>
      <c r="C2161" s="64"/>
    </row>
    <row r="2162" spans="1:3">
      <c r="A2162" s="533"/>
      <c r="C2162" s="64"/>
    </row>
    <row r="2163" spans="1:3">
      <c r="A2163" s="533"/>
      <c r="C2163" s="64"/>
    </row>
    <row r="2164" spans="1:3">
      <c r="A2164" s="533"/>
      <c r="C2164" s="64"/>
    </row>
    <row r="2165" spans="1:3">
      <c r="A2165" s="533"/>
      <c r="C2165" s="64"/>
    </row>
    <row r="2166" spans="1:3">
      <c r="A2166" s="533"/>
      <c r="C2166" s="64"/>
    </row>
    <row r="2167" spans="1:3">
      <c r="A2167" s="533"/>
      <c r="C2167" s="64"/>
    </row>
    <row r="2168" spans="1:3">
      <c r="A2168" s="533"/>
      <c r="C2168" s="64"/>
    </row>
    <row r="2169" spans="1:3">
      <c r="A2169" s="533"/>
      <c r="C2169" s="64"/>
    </row>
    <row r="2170" spans="1:3">
      <c r="A2170" s="533"/>
      <c r="C2170" s="64"/>
    </row>
    <row r="2171" spans="1:3">
      <c r="A2171" s="533"/>
      <c r="C2171" s="64"/>
    </row>
    <row r="2172" spans="1:3">
      <c r="A2172" s="533"/>
      <c r="C2172" s="64"/>
    </row>
    <row r="2173" spans="1:3">
      <c r="A2173" s="533"/>
      <c r="C2173" s="64"/>
    </row>
    <row r="2174" spans="1:3">
      <c r="A2174" s="533"/>
      <c r="C2174" s="64"/>
    </row>
    <row r="2175" spans="1:3">
      <c r="A2175" s="533"/>
      <c r="C2175" s="64"/>
    </row>
    <row r="2176" spans="1:3">
      <c r="A2176" s="533"/>
      <c r="C2176" s="64"/>
    </row>
    <row r="2177" spans="1:3">
      <c r="A2177" s="533"/>
      <c r="C2177" s="64"/>
    </row>
    <row r="2178" spans="1:3">
      <c r="A2178" s="533"/>
      <c r="C2178" s="64"/>
    </row>
    <row r="2179" spans="1:3">
      <c r="A2179" s="533"/>
      <c r="C2179" s="64"/>
    </row>
    <row r="2180" spans="1:3">
      <c r="A2180" s="533"/>
      <c r="C2180" s="64"/>
    </row>
    <row r="2181" spans="1:3">
      <c r="A2181" s="533"/>
      <c r="C2181" s="64"/>
    </row>
    <row r="2182" spans="1:3">
      <c r="A2182" s="533"/>
      <c r="C2182" s="64"/>
    </row>
    <row r="2183" spans="1:3">
      <c r="A2183" s="533"/>
      <c r="C2183" s="64"/>
    </row>
    <row r="2184" spans="1:3">
      <c r="A2184" s="533"/>
      <c r="C2184" s="64"/>
    </row>
    <row r="2185" spans="1:3">
      <c r="A2185" s="533"/>
      <c r="C2185" s="64"/>
    </row>
    <row r="2186" spans="1:3">
      <c r="A2186" s="533"/>
      <c r="C2186" s="64"/>
    </row>
    <row r="2187" spans="1:3">
      <c r="A2187" s="533"/>
      <c r="C2187" s="64"/>
    </row>
    <row r="2188" spans="1:3">
      <c r="A2188" s="533"/>
      <c r="C2188" s="64"/>
    </row>
    <row r="2189" spans="1:3">
      <c r="A2189" s="533"/>
      <c r="C2189" s="64"/>
    </row>
    <row r="2190" spans="1:3">
      <c r="A2190" s="533"/>
      <c r="C2190" s="64"/>
    </row>
    <row r="2191" spans="1:3">
      <c r="A2191" s="533"/>
      <c r="C2191" s="64"/>
    </row>
    <row r="2192" spans="1:3">
      <c r="A2192" s="533"/>
      <c r="C2192" s="64"/>
    </row>
    <row r="2193" spans="1:3">
      <c r="A2193" s="533"/>
      <c r="C2193" s="64"/>
    </row>
    <row r="2194" spans="1:3">
      <c r="A2194" s="533"/>
      <c r="C2194" s="64"/>
    </row>
    <row r="2195" spans="1:3">
      <c r="A2195" s="533"/>
      <c r="C2195" s="64"/>
    </row>
    <row r="2196" spans="1:3">
      <c r="A2196" s="533"/>
      <c r="C2196" s="64"/>
    </row>
    <row r="2197" spans="1:3">
      <c r="A2197" s="533"/>
      <c r="C2197" s="64"/>
    </row>
    <row r="2198" spans="1:3">
      <c r="A2198" s="533"/>
      <c r="C2198" s="64"/>
    </row>
    <row r="2199" spans="1:3">
      <c r="A2199" s="533"/>
      <c r="C2199" s="64"/>
    </row>
    <row r="2200" spans="1:3">
      <c r="A2200" s="533"/>
      <c r="C2200" s="64"/>
    </row>
    <row r="2201" spans="1:3">
      <c r="A2201" s="533"/>
      <c r="C2201" s="64"/>
    </row>
    <row r="2202" spans="1:3">
      <c r="A2202" s="533"/>
      <c r="C2202" s="64"/>
    </row>
    <row r="2203" spans="1:3">
      <c r="A2203" s="533"/>
      <c r="C2203" s="64"/>
    </row>
    <row r="2204" spans="1:3">
      <c r="A2204" s="533"/>
      <c r="C2204" s="64"/>
    </row>
    <row r="2205" spans="1:3">
      <c r="A2205" s="533"/>
      <c r="C2205" s="64"/>
    </row>
    <row r="2206" spans="1:3">
      <c r="A2206" s="533"/>
      <c r="C2206" s="64"/>
    </row>
    <row r="2207" spans="1:3">
      <c r="A2207" s="533"/>
      <c r="C2207" s="64"/>
    </row>
    <row r="2208" spans="1:3">
      <c r="A2208" s="533"/>
      <c r="C2208" s="64"/>
    </row>
    <row r="2209" spans="1:3">
      <c r="A2209" s="533"/>
      <c r="C2209" s="64"/>
    </row>
    <row r="2210" spans="1:3">
      <c r="A2210" s="533"/>
      <c r="C2210" s="64"/>
    </row>
    <row r="2211" spans="1:3">
      <c r="A2211" s="533"/>
      <c r="C2211" s="64"/>
    </row>
    <row r="2212" spans="1:3">
      <c r="A2212" s="533"/>
      <c r="C2212" s="64"/>
    </row>
    <row r="2213" spans="1:3">
      <c r="A2213" s="533"/>
      <c r="C2213" s="64"/>
    </row>
    <row r="2214" spans="1:3">
      <c r="A2214" s="533"/>
      <c r="C2214" s="64"/>
    </row>
    <row r="2215" spans="1:3">
      <c r="A2215" s="533"/>
      <c r="C2215" s="64"/>
    </row>
    <row r="2216" spans="1:3">
      <c r="A2216" s="533"/>
      <c r="C2216" s="64"/>
    </row>
    <row r="2217" spans="1:3">
      <c r="A2217" s="533"/>
      <c r="C2217" s="64"/>
    </row>
    <row r="2218" spans="1:3">
      <c r="A2218" s="533"/>
      <c r="C2218" s="64"/>
    </row>
    <row r="2219" spans="1:3">
      <c r="A2219" s="533"/>
      <c r="C2219" s="64"/>
    </row>
    <row r="2220" spans="1:3">
      <c r="A2220" s="533"/>
      <c r="C2220" s="64"/>
    </row>
    <row r="2221" spans="1:3">
      <c r="A2221" s="533"/>
      <c r="C2221" s="64"/>
    </row>
    <row r="2222" spans="1:3">
      <c r="A2222" s="533"/>
      <c r="C2222" s="64"/>
    </row>
    <row r="2223" spans="1:3">
      <c r="A2223" s="533"/>
      <c r="C2223" s="64"/>
    </row>
    <row r="2224" spans="1:3">
      <c r="A2224" s="533"/>
      <c r="C2224" s="64"/>
    </row>
    <row r="2225" spans="1:3">
      <c r="A2225" s="533"/>
      <c r="C2225" s="64"/>
    </row>
    <row r="2226" spans="1:3">
      <c r="A2226" s="533"/>
      <c r="C2226" s="64"/>
    </row>
    <row r="2227" spans="1:3">
      <c r="A2227" s="533"/>
      <c r="C2227" s="64"/>
    </row>
    <row r="2228" spans="1:3">
      <c r="A2228" s="533"/>
      <c r="C2228" s="64"/>
    </row>
    <row r="2229" spans="1:3">
      <c r="A2229" s="533"/>
      <c r="C2229" s="64"/>
    </row>
    <row r="2230" spans="1:3">
      <c r="A2230" s="533"/>
      <c r="C2230" s="64"/>
    </row>
    <row r="2231" spans="1:3">
      <c r="A2231" s="533"/>
      <c r="C2231" s="64"/>
    </row>
    <row r="2232" spans="1:3">
      <c r="A2232" s="533"/>
      <c r="C2232" s="64"/>
    </row>
    <row r="2233" spans="1:3">
      <c r="A2233" s="533"/>
      <c r="C2233" s="64"/>
    </row>
    <row r="2234" spans="1:3">
      <c r="A2234" s="533"/>
      <c r="C2234" s="64"/>
    </row>
    <row r="2235" spans="1:3">
      <c r="A2235" s="533"/>
      <c r="C2235" s="64"/>
    </row>
    <row r="2236" spans="1:3">
      <c r="A2236" s="533"/>
      <c r="C2236" s="64"/>
    </row>
    <row r="2237" spans="1:3">
      <c r="A2237" s="533"/>
      <c r="C2237" s="64"/>
    </row>
    <row r="2238" spans="1:3">
      <c r="A2238" s="533"/>
      <c r="C2238" s="64"/>
    </row>
    <row r="2239" spans="1:3">
      <c r="A2239" s="533"/>
      <c r="C2239" s="64"/>
    </row>
    <row r="2240" spans="1:3">
      <c r="A2240" s="533"/>
      <c r="C2240" s="64"/>
    </row>
    <row r="2241" spans="1:3">
      <c r="A2241" s="533"/>
      <c r="C2241" s="64"/>
    </row>
    <row r="2242" spans="1:3">
      <c r="A2242" s="533"/>
      <c r="C2242" s="64"/>
    </row>
    <row r="2243" spans="1:3">
      <c r="A2243" s="533"/>
      <c r="C2243" s="64"/>
    </row>
    <row r="2244" spans="1:3">
      <c r="A2244" s="533"/>
      <c r="C2244" s="64"/>
    </row>
    <row r="2245" spans="1:3">
      <c r="A2245" s="533"/>
      <c r="C2245" s="64"/>
    </row>
    <row r="2246" spans="1:3">
      <c r="A2246" s="533"/>
      <c r="C2246" s="64"/>
    </row>
    <row r="2247" spans="1:3">
      <c r="A2247" s="533"/>
      <c r="C2247" s="64"/>
    </row>
    <row r="2248" spans="1:3">
      <c r="A2248" s="533"/>
      <c r="C2248" s="64"/>
    </row>
    <row r="2249" spans="1:3">
      <c r="A2249" s="533"/>
      <c r="C2249" s="64"/>
    </row>
    <row r="2250" spans="1:3">
      <c r="A2250" s="533"/>
      <c r="C2250" s="64"/>
    </row>
    <row r="2251" spans="1:3">
      <c r="A2251" s="533"/>
      <c r="C2251" s="64"/>
    </row>
    <row r="2252" spans="1:3">
      <c r="A2252" s="533"/>
      <c r="C2252" s="64"/>
    </row>
    <row r="2253" spans="1:3">
      <c r="A2253" s="533"/>
      <c r="C2253" s="64"/>
    </row>
    <row r="2254" spans="1:3">
      <c r="A2254" s="533"/>
      <c r="C2254" s="64"/>
    </row>
    <row r="2255" spans="1:3">
      <c r="A2255" s="533"/>
      <c r="C2255" s="64"/>
    </row>
    <row r="2256" spans="1:3">
      <c r="A2256" s="533"/>
      <c r="C2256" s="64"/>
    </row>
    <row r="2257" spans="1:3">
      <c r="A2257" s="533"/>
      <c r="C2257" s="64"/>
    </row>
    <row r="2258" spans="1:3">
      <c r="A2258" s="533"/>
      <c r="C2258" s="64"/>
    </row>
    <row r="2259" spans="1:3">
      <c r="A2259" s="533"/>
      <c r="C2259" s="64"/>
    </row>
    <row r="2260" spans="1:3">
      <c r="A2260" s="533"/>
      <c r="C2260" s="64"/>
    </row>
    <row r="2261" spans="1:3">
      <c r="A2261" s="533"/>
      <c r="C2261" s="64"/>
    </row>
    <row r="2262" spans="1:3">
      <c r="A2262" s="533"/>
      <c r="C2262" s="64"/>
    </row>
    <row r="2263" spans="1:3">
      <c r="A2263" s="533"/>
      <c r="C2263" s="64"/>
    </row>
    <row r="2264" spans="1:3">
      <c r="A2264" s="533"/>
      <c r="C2264" s="64"/>
    </row>
    <row r="2265" spans="1:3">
      <c r="A2265" s="533"/>
      <c r="C2265" s="64"/>
    </row>
    <row r="2266" spans="1:3">
      <c r="A2266" s="533"/>
      <c r="C2266" s="64"/>
    </row>
    <row r="2267" spans="1:3">
      <c r="A2267" s="533"/>
      <c r="C2267" s="64"/>
    </row>
    <row r="2268" spans="1:3">
      <c r="A2268" s="533"/>
      <c r="C2268" s="64"/>
    </row>
    <row r="2269" spans="1:3">
      <c r="A2269" s="533"/>
      <c r="C2269" s="64"/>
    </row>
    <row r="2270" spans="1:3">
      <c r="A2270" s="533"/>
      <c r="C2270" s="64"/>
    </row>
    <row r="2271" spans="1:3">
      <c r="A2271" s="533"/>
      <c r="C2271" s="64"/>
    </row>
    <row r="2272" spans="1:3">
      <c r="A2272" s="533"/>
      <c r="C2272" s="64"/>
    </row>
    <row r="2273" spans="1:3">
      <c r="A2273" s="533"/>
      <c r="C2273" s="64"/>
    </row>
    <row r="2274" spans="1:3">
      <c r="A2274" s="533"/>
      <c r="C2274" s="64"/>
    </row>
    <row r="2275" spans="1:3">
      <c r="A2275" s="533"/>
      <c r="C2275" s="64"/>
    </row>
    <row r="2276" spans="1:3">
      <c r="A2276" s="533"/>
      <c r="C2276" s="64"/>
    </row>
    <row r="2277" spans="1:3">
      <c r="A2277" s="533"/>
      <c r="C2277" s="64"/>
    </row>
    <row r="2278" spans="1:3">
      <c r="A2278" s="533"/>
      <c r="C2278" s="64"/>
    </row>
    <row r="2279" spans="1:3">
      <c r="A2279" s="533"/>
      <c r="C2279" s="64"/>
    </row>
    <row r="2280" spans="1:3">
      <c r="A2280" s="533"/>
      <c r="C2280" s="64"/>
    </row>
    <row r="2281" spans="1:3">
      <c r="A2281" s="533"/>
      <c r="C2281" s="64"/>
    </row>
    <row r="2282" spans="1:3">
      <c r="A2282" s="533"/>
      <c r="C2282" s="64"/>
    </row>
    <row r="2283" spans="1:3">
      <c r="A2283" s="533"/>
      <c r="C2283" s="64"/>
    </row>
    <row r="2284" spans="1:3">
      <c r="A2284" s="533"/>
      <c r="C2284" s="64"/>
    </row>
    <row r="2285" spans="1:3">
      <c r="A2285" s="533"/>
      <c r="C2285" s="64"/>
    </row>
    <row r="2286" spans="1:3">
      <c r="A2286" s="533"/>
      <c r="C2286" s="64"/>
    </row>
    <row r="2287" spans="1:3">
      <c r="A2287" s="533"/>
      <c r="C2287" s="64"/>
    </row>
    <row r="2288" spans="1:3">
      <c r="A2288" s="533"/>
      <c r="C2288" s="64"/>
    </row>
    <row r="2289" spans="1:3">
      <c r="A2289" s="533"/>
      <c r="C2289" s="64"/>
    </row>
    <row r="2290" spans="1:3">
      <c r="A2290" s="533"/>
      <c r="C2290" s="64"/>
    </row>
    <row r="2291" spans="1:3">
      <c r="A2291" s="533"/>
      <c r="C2291" s="64"/>
    </row>
    <row r="2292" spans="1:3">
      <c r="A2292" s="533"/>
      <c r="C2292" s="64"/>
    </row>
    <row r="2293" spans="1:3">
      <c r="A2293" s="533"/>
      <c r="C2293" s="64"/>
    </row>
    <row r="2294" spans="1:3">
      <c r="A2294" s="533"/>
      <c r="C2294" s="64"/>
    </row>
    <row r="2295" spans="1:3">
      <c r="A2295" s="533"/>
      <c r="C2295" s="64"/>
    </row>
    <row r="2296" spans="1:3">
      <c r="A2296" s="533"/>
      <c r="C2296" s="64"/>
    </row>
    <row r="2297" spans="1:3">
      <c r="A2297" s="533"/>
      <c r="C2297" s="64"/>
    </row>
    <row r="2298" spans="1:3">
      <c r="A2298" s="533"/>
      <c r="C2298" s="64"/>
    </row>
    <row r="2299" spans="1:3">
      <c r="A2299" s="533"/>
      <c r="C2299" s="64"/>
    </row>
    <row r="2300" spans="1:3">
      <c r="A2300" s="533"/>
      <c r="C2300" s="64"/>
    </row>
    <row r="2301" spans="1:3">
      <c r="A2301" s="533"/>
      <c r="C2301" s="64"/>
    </row>
    <row r="2302" spans="1:3">
      <c r="A2302" s="533"/>
      <c r="C2302" s="64"/>
    </row>
    <row r="2303" spans="1:3">
      <c r="A2303" s="533"/>
      <c r="C2303" s="64"/>
    </row>
    <row r="2304" spans="1:3">
      <c r="A2304" s="533"/>
      <c r="C2304" s="64"/>
    </row>
    <row r="2305" spans="1:3">
      <c r="A2305" s="533"/>
      <c r="C2305" s="64"/>
    </row>
    <row r="2306" spans="1:3">
      <c r="A2306" s="533"/>
      <c r="C2306" s="64"/>
    </row>
    <row r="2307" spans="1:3">
      <c r="A2307" s="533"/>
      <c r="C2307" s="64"/>
    </row>
    <row r="2308" spans="1:3">
      <c r="A2308" s="533"/>
      <c r="C2308" s="64"/>
    </row>
    <row r="2309" spans="1:3">
      <c r="A2309" s="533"/>
      <c r="C2309" s="64"/>
    </row>
    <row r="2310" spans="1:3">
      <c r="A2310" s="533"/>
      <c r="C2310" s="64"/>
    </row>
    <row r="2311" spans="1:3">
      <c r="A2311" s="533"/>
      <c r="C2311" s="64"/>
    </row>
    <row r="2312" spans="1:3">
      <c r="A2312" s="533"/>
      <c r="C2312" s="64"/>
    </row>
    <row r="2313" spans="1:3">
      <c r="A2313" s="533"/>
      <c r="C2313" s="64"/>
    </row>
    <row r="2314" spans="1:3">
      <c r="A2314" s="533"/>
      <c r="C2314" s="64"/>
    </row>
    <row r="2315" spans="1:3">
      <c r="A2315" s="533"/>
      <c r="C2315" s="64"/>
    </row>
    <row r="2316" spans="1:3">
      <c r="A2316" s="533"/>
      <c r="C2316" s="64"/>
    </row>
    <row r="2317" spans="1:3">
      <c r="A2317" s="533"/>
      <c r="C2317" s="64"/>
    </row>
    <row r="2318" spans="1:3">
      <c r="A2318" s="533"/>
      <c r="C2318" s="64"/>
    </row>
    <row r="2319" spans="1:3">
      <c r="A2319" s="533"/>
      <c r="C2319" s="64"/>
    </row>
    <row r="2320" spans="1:3">
      <c r="A2320" s="533"/>
      <c r="C2320" s="64"/>
    </row>
    <row r="2321" spans="1:3">
      <c r="A2321" s="533"/>
      <c r="C2321" s="64"/>
    </row>
    <row r="2322" spans="1:3">
      <c r="A2322" s="533"/>
      <c r="C2322" s="64"/>
    </row>
    <row r="2323" spans="1:3">
      <c r="A2323" s="533"/>
      <c r="C2323" s="64"/>
    </row>
    <row r="2324" spans="1:3">
      <c r="A2324" s="533"/>
      <c r="C2324" s="64"/>
    </row>
    <row r="2325" spans="1:3">
      <c r="A2325" s="533"/>
      <c r="C2325" s="64"/>
    </row>
    <row r="2326" spans="1:3">
      <c r="A2326" s="533"/>
      <c r="C2326" s="64"/>
    </row>
    <row r="2327" spans="1:3">
      <c r="A2327" s="533"/>
      <c r="C2327" s="64"/>
    </row>
    <row r="2328" spans="1:3">
      <c r="A2328" s="533"/>
      <c r="C2328" s="64"/>
    </row>
    <row r="2329" spans="1:3">
      <c r="A2329" s="533"/>
      <c r="C2329" s="64"/>
    </row>
    <row r="2330" spans="1:3">
      <c r="A2330" s="533"/>
      <c r="C2330" s="64"/>
    </row>
    <row r="2331" spans="1:3">
      <c r="A2331" s="533"/>
      <c r="C2331" s="64"/>
    </row>
    <row r="2332" spans="1:3">
      <c r="A2332" s="533"/>
      <c r="C2332" s="64"/>
    </row>
    <row r="2333" spans="1:3">
      <c r="A2333" s="533"/>
      <c r="C2333" s="64"/>
    </row>
    <row r="2334" spans="1:3">
      <c r="A2334" s="533"/>
      <c r="C2334" s="64"/>
    </row>
    <row r="2335" spans="1:3">
      <c r="A2335" s="533"/>
      <c r="C2335" s="64"/>
    </row>
    <row r="2336" spans="1:3">
      <c r="A2336" s="533"/>
      <c r="C2336" s="64"/>
    </row>
    <row r="2337" spans="1:3">
      <c r="A2337" s="533"/>
      <c r="C2337" s="64"/>
    </row>
    <row r="2338" spans="1:3">
      <c r="A2338" s="533"/>
      <c r="C2338" s="64"/>
    </row>
    <row r="2339" spans="1:3">
      <c r="A2339" s="533"/>
      <c r="C2339" s="64"/>
    </row>
    <row r="2340" spans="1:3">
      <c r="A2340" s="533"/>
      <c r="C2340" s="64"/>
    </row>
    <row r="2341" spans="1:3">
      <c r="A2341" s="533"/>
      <c r="C2341" s="64"/>
    </row>
    <row r="2342" spans="1:3">
      <c r="A2342" s="533"/>
      <c r="C2342" s="64"/>
    </row>
    <row r="2343" spans="1:3">
      <c r="A2343" s="533"/>
      <c r="C2343" s="64"/>
    </row>
    <row r="2344" spans="1:3">
      <c r="A2344" s="533"/>
      <c r="C2344" s="64"/>
    </row>
    <row r="2345" spans="1:3">
      <c r="A2345" s="533"/>
      <c r="C2345" s="64"/>
    </row>
    <row r="2346" spans="1:3">
      <c r="A2346" s="533"/>
      <c r="C2346" s="64"/>
    </row>
    <row r="2347" spans="1:3">
      <c r="A2347" s="533"/>
      <c r="C2347" s="64"/>
    </row>
    <row r="2348" spans="1:3">
      <c r="A2348" s="533"/>
      <c r="C2348" s="64"/>
    </row>
    <row r="2349" spans="1:3">
      <c r="A2349" s="533"/>
      <c r="C2349" s="64"/>
    </row>
    <row r="2350" spans="1:3">
      <c r="A2350" s="533"/>
      <c r="C2350" s="64"/>
    </row>
    <row r="2351" spans="1:3">
      <c r="A2351" s="533"/>
      <c r="C2351" s="64"/>
    </row>
    <row r="2352" spans="1:3">
      <c r="A2352" s="533"/>
      <c r="C2352" s="64"/>
    </row>
    <row r="2353" spans="1:3">
      <c r="A2353" s="533"/>
      <c r="C2353" s="64"/>
    </row>
    <row r="2354" spans="1:3">
      <c r="A2354" s="533"/>
      <c r="C2354" s="64"/>
    </row>
    <row r="2355" spans="1:3">
      <c r="A2355" s="533"/>
      <c r="C2355" s="64"/>
    </row>
    <row r="2356" spans="1:3">
      <c r="A2356" s="533"/>
      <c r="C2356" s="64"/>
    </row>
    <row r="2357" spans="1:3">
      <c r="A2357" s="533"/>
      <c r="C2357" s="64"/>
    </row>
    <row r="2358" spans="1:3">
      <c r="A2358" s="533"/>
      <c r="C2358" s="64"/>
    </row>
    <row r="2359" spans="1:3">
      <c r="A2359" s="533"/>
      <c r="C2359" s="64"/>
    </row>
    <row r="2360" spans="1:3">
      <c r="A2360" s="533"/>
      <c r="C2360" s="64"/>
    </row>
    <row r="2361" spans="1:3">
      <c r="A2361" s="533"/>
      <c r="C2361" s="64"/>
    </row>
    <row r="2362" spans="1:3">
      <c r="A2362" s="533"/>
      <c r="C2362" s="64"/>
    </row>
    <row r="2363" spans="1:3">
      <c r="A2363" s="533"/>
      <c r="C2363" s="64"/>
    </row>
    <row r="2364" spans="1:3">
      <c r="A2364" s="533"/>
      <c r="C2364" s="64"/>
    </row>
    <row r="2365" spans="1:3">
      <c r="A2365" s="533"/>
      <c r="C2365" s="64"/>
    </row>
    <row r="2366" spans="1:3">
      <c r="A2366" s="533"/>
      <c r="C2366" s="64"/>
    </row>
    <row r="2367" spans="1:3">
      <c r="A2367" s="533"/>
      <c r="C2367" s="64"/>
    </row>
    <row r="2368" spans="1:3">
      <c r="A2368" s="533"/>
      <c r="C2368" s="64"/>
    </row>
    <row r="2369" spans="1:3">
      <c r="A2369" s="533"/>
      <c r="C2369" s="64"/>
    </row>
    <row r="2370" spans="1:3">
      <c r="A2370" s="533"/>
      <c r="C2370" s="64"/>
    </row>
    <row r="2371" spans="1:3">
      <c r="A2371" s="533"/>
      <c r="C2371" s="64"/>
    </row>
    <row r="2372" spans="1:3">
      <c r="A2372" s="533"/>
      <c r="C2372" s="64"/>
    </row>
    <row r="2373" spans="1:3">
      <c r="A2373" s="533"/>
      <c r="C2373" s="64"/>
    </row>
    <row r="2374" spans="1:3">
      <c r="A2374" s="533"/>
      <c r="C2374" s="64"/>
    </row>
    <row r="2375" spans="1:3">
      <c r="A2375" s="533"/>
      <c r="C2375" s="64"/>
    </row>
    <row r="2376" spans="1:3">
      <c r="A2376" s="533"/>
      <c r="C2376" s="64"/>
    </row>
    <row r="2377" spans="1:3">
      <c r="A2377" s="533"/>
      <c r="C2377" s="64"/>
    </row>
    <row r="2378" spans="1:3">
      <c r="A2378" s="533"/>
      <c r="C2378" s="64"/>
    </row>
    <row r="2379" spans="1:3">
      <c r="A2379" s="533"/>
      <c r="C2379" s="64"/>
    </row>
    <row r="2380" spans="1:3">
      <c r="A2380" s="533"/>
      <c r="C2380" s="64"/>
    </row>
    <row r="2381" spans="1:3">
      <c r="A2381" s="533"/>
      <c r="C2381" s="64"/>
    </row>
    <row r="2382" spans="1:3">
      <c r="A2382" s="533"/>
      <c r="C2382" s="64"/>
    </row>
    <row r="2383" spans="1:3">
      <c r="A2383" s="533"/>
      <c r="C2383" s="64"/>
    </row>
    <row r="2384" spans="1:3">
      <c r="A2384" s="533"/>
      <c r="C2384" s="64"/>
    </row>
    <row r="2385" spans="1:3">
      <c r="A2385" s="533"/>
      <c r="C2385" s="64"/>
    </row>
    <row r="2386" spans="1:3">
      <c r="A2386" s="533"/>
      <c r="C2386" s="64"/>
    </row>
    <row r="2387" spans="1:3">
      <c r="A2387" s="533"/>
      <c r="C2387" s="64"/>
    </row>
    <row r="2388" spans="1:3">
      <c r="A2388" s="533"/>
      <c r="C2388" s="64"/>
    </row>
    <row r="2389" spans="1:3">
      <c r="A2389" s="533"/>
      <c r="C2389" s="64"/>
    </row>
    <row r="2390" spans="1:3">
      <c r="A2390" s="533"/>
      <c r="C2390" s="64"/>
    </row>
    <row r="2391" spans="1:3">
      <c r="A2391" s="533"/>
      <c r="C2391" s="64"/>
    </row>
    <row r="2392" spans="1:3">
      <c r="A2392" s="533"/>
      <c r="C2392" s="64"/>
    </row>
    <row r="2393" spans="1:3">
      <c r="A2393" s="533"/>
      <c r="C2393" s="64"/>
    </row>
    <row r="2394" spans="1:3">
      <c r="A2394" s="533"/>
      <c r="C2394" s="64"/>
    </row>
    <row r="2395" spans="1:3">
      <c r="A2395" s="533"/>
      <c r="C2395" s="64"/>
    </row>
    <row r="2396" spans="1:3">
      <c r="A2396" s="533"/>
      <c r="C2396" s="64"/>
    </row>
    <row r="2397" spans="1:3">
      <c r="A2397" s="533"/>
      <c r="C2397" s="64"/>
    </row>
    <row r="2398" spans="1:3">
      <c r="A2398" s="533"/>
      <c r="C2398" s="64"/>
    </row>
    <row r="2399" spans="1:3">
      <c r="A2399" s="533"/>
      <c r="C2399" s="64"/>
    </row>
    <row r="2400" spans="1:3">
      <c r="A2400" s="533"/>
      <c r="C2400" s="64"/>
    </row>
    <row r="2401" spans="1:3">
      <c r="A2401" s="533"/>
      <c r="C2401" s="64"/>
    </row>
    <row r="2402" spans="1:3">
      <c r="A2402" s="533"/>
      <c r="C2402" s="64"/>
    </row>
    <row r="2403" spans="1:3">
      <c r="A2403" s="533"/>
      <c r="C2403" s="64"/>
    </row>
    <row r="2404" spans="1:3">
      <c r="A2404" s="533"/>
      <c r="C2404" s="64"/>
    </row>
    <row r="2405" spans="1:3">
      <c r="A2405" s="533"/>
      <c r="C2405" s="64"/>
    </row>
    <row r="2406" spans="1:3">
      <c r="A2406" s="533"/>
      <c r="C2406" s="64"/>
    </row>
    <row r="2407" spans="1:3">
      <c r="A2407" s="533"/>
      <c r="C2407" s="64"/>
    </row>
    <row r="2408" spans="1:3">
      <c r="A2408" s="533"/>
      <c r="C2408" s="64"/>
    </row>
    <row r="2409" spans="1:3">
      <c r="A2409" s="533"/>
      <c r="C2409" s="64"/>
    </row>
    <row r="2410" spans="1:3">
      <c r="A2410" s="533"/>
      <c r="C2410" s="64"/>
    </row>
    <row r="2411" spans="1:3">
      <c r="A2411" s="533"/>
      <c r="C2411" s="64"/>
    </row>
    <row r="2412" spans="1:3">
      <c r="A2412" s="533"/>
      <c r="C2412" s="64"/>
    </row>
    <row r="2413" spans="1:3">
      <c r="A2413" s="533"/>
      <c r="C2413" s="64"/>
    </row>
    <row r="2414" spans="1:3">
      <c r="A2414" s="533"/>
      <c r="C2414" s="64"/>
    </row>
    <row r="2415" spans="1:3">
      <c r="A2415" s="533"/>
      <c r="C2415" s="64"/>
    </row>
    <row r="2416" spans="1:3">
      <c r="A2416" s="533"/>
      <c r="C2416" s="64"/>
    </row>
    <row r="2417" spans="1:3">
      <c r="A2417" s="533"/>
      <c r="C2417" s="64"/>
    </row>
    <row r="2418" spans="1:3">
      <c r="A2418" s="533"/>
      <c r="C2418" s="64"/>
    </row>
    <row r="2419" spans="1:3">
      <c r="A2419" s="533"/>
      <c r="C2419" s="64"/>
    </row>
    <row r="2420" spans="1:3">
      <c r="A2420" s="533"/>
      <c r="C2420" s="64"/>
    </row>
    <row r="2421" spans="1:3">
      <c r="A2421" s="533"/>
      <c r="C2421" s="64"/>
    </row>
    <row r="2422" spans="1:3">
      <c r="A2422" s="533"/>
      <c r="C2422" s="64"/>
    </row>
    <row r="2423" spans="1:3">
      <c r="A2423" s="533"/>
      <c r="C2423" s="64"/>
    </row>
    <row r="2424" spans="1:3">
      <c r="A2424" s="533"/>
      <c r="C2424" s="64"/>
    </row>
    <row r="2425" spans="1:3">
      <c r="A2425" s="533"/>
      <c r="C2425" s="64"/>
    </row>
    <row r="2426" spans="1:3">
      <c r="A2426" s="533"/>
      <c r="C2426" s="64"/>
    </row>
    <row r="2427" spans="1:3">
      <c r="A2427" s="533"/>
      <c r="C2427" s="64"/>
    </row>
    <row r="2428" spans="1:3">
      <c r="A2428" s="533"/>
      <c r="C2428" s="64"/>
    </row>
    <row r="2429" spans="1:3">
      <c r="A2429" s="533"/>
      <c r="C2429" s="64"/>
    </row>
    <row r="2430" spans="1:3">
      <c r="A2430" s="533"/>
      <c r="C2430" s="64"/>
    </row>
    <row r="2431" spans="1:3">
      <c r="A2431" s="533"/>
      <c r="C2431" s="64"/>
    </row>
    <row r="2432" spans="1:3">
      <c r="A2432" s="533"/>
      <c r="C2432" s="64"/>
    </row>
    <row r="2433" spans="1:3">
      <c r="A2433" s="533"/>
      <c r="C2433" s="64"/>
    </row>
    <row r="2434" spans="1:3">
      <c r="A2434" s="533"/>
      <c r="C2434" s="64"/>
    </row>
    <row r="2435" spans="1:3">
      <c r="A2435" s="533"/>
      <c r="C2435" s="64"/>
    </row>
    <row r="2436" spans="1:3">
      <c r="A2436" s="533"/>
      <c r="C2436" s="64"/>
    </row>
    <row r="2437" spans="1:3">
      <c r="A2437" s="533"/>
      <c r="C2437" s="64"/>
    </row>
    <row r="2438" spans="1:3">
      <c r="A2438" s="533"/>
      <c r="C2438" s="64"/>
    </row>
    <row r="2439" spans="1:3">
      <c r="A2439" s="533"/>
      <c r="C2439" s="64"/>
    </row>
    <row r="2440" spans="1:3">
      <c r="A2440" s="533"/>
      <c r="C2440" s="64"/>
    </row>
    <row r="2441" spans="1:3">
      <c r="A2441" s="533"/>
      <c r="C2441" s="64"/>
    </row>
    <row r="2442" spans="1:3">
      <c r="A2442" s="533"/>
      <c r="C2442" s="64"/>
    </row>
    <row r="2443" spans="1:3">
      <c r="A2443" s="533"/>
      <c r="C2443" s="64"/>
    </row>
    <row r="2444" spans="1:3">
      <c r="A2444" s="533"/>
      <c r="C2444" s="64"/>
    </row>
    <row r="2445" spans="1:3">
      <c r="A2445" s="533"/>
      <c r="C2445" s="64"/>
    </row>
    <row r="2446" spans="1:3">
      <c r="A2446" s="533"/>
      <c r="C2446" s="64"/>
    </row>
    <row r="2447" spans="1:3">
      <c r="A2447" s="533"/>
      <c r="C2447" s="64"/>
    </row>
    <row r="2448" spans="1:3">
      <c r="A2448" s="533"/>
      <c r="C2448" s="64"/>
    </row>
    <row r="2449" spans="1:3">
      <c r="A2449" s="533"/>
      <c r="C2449" s="64"/>
    </row>
    <row r="2450" spans="1:3">
      <c r="A2450" s="533"/>
      <c r="C2450" s="64"/>
    </row>
    <row r="2451" spans="1:3">
      <c r="A2451" s="533"/>
      <c r="C2451" s="64"/>
    </row>
    <row r="2452" spans="1:3">
      <c r="A2452" s="533"/>
      <c r="C2452" s="64"/>
    </row>
    <row r="2453" spans="1:3">
      <c r="A2453" s="533"/>
      <c r="C2453" s="64"/>
    </row>
    <row r="2454" spans="1:3">
      <c r="A2454" s="533"/>
      <c r="C2454" s="64"/>
    </row>
    <row r="2455" spans="1:3">
      <c r="A2455" s="533"/>
      <c r="C2455" s="64"/>
    </row>
    <row r="2456" spans="1:3">
      <c r="A2456" s="533"/>
      <c r="C2456" s="64"/>
    </row>
    <row r="2457" spans="1:3">
      <c r="A2457" s="533"/>
      <c r="C2457" s="64"/>
    </row>
    <row r="2458" spans="1:3">
      <c r="A2458" s="533"/>
      <c r="C2458" s="64"/>
    </row>
    <row r="2459" spans="1:3">
      <c r="A2459" s="533"/>
      <c r="C2459" s="64"/>
    </row>
    <row r="2460" spans="1:3">
      <c r="A2460" s="533"/>
      <c r="C2460" s="64"/>
    </row>
    <row r="2461" spans="1:3">
      <c r="A2461" s="533"/>
      <c r="C2461" s="64"/>
    </row>
    <row r="2462" spans="1:3">
      <c r="A2462" s="533"/>
      <c r="C2462" s="64"/>
    </row>
    <row r="2463" spans="1:3">
      <c r="A2463" s="533"/>
      <c r="C2463" s="64"/>
    </row>
    <row r="2464" spans="1:3">
      <c r="A2464" s="533"/>
      <c r="C2464" s="64"/>
    </row>
    <row r="2465" spans="1:3">
      <c r="A2465" s="533"/>
      <c r="C2465" s="64"/>
    </row>
    <row r="2466" spans="1:3">
      <c r="A2466" s="533"/>
      <c r="C2466" s="64"/>
    </row>
    <row r="2467" spans="1:3">
      <c r="A2467" s="533"/>
      <c r="C2467" s="64"/>
    </row>
    <row r="2468" spans="1:3">
      <c r="A2468" s="533"/>
      <c r="C2468" s="64"/>
    </row>
    <row r="2469" spans="1:3">
      <c r="A2469" s="533"/>
      <c r="C2469" s="64"/>
    </row>
    <row r="2470" spans="1:3">
      <c r="A2470" s="533"/>
      <c r="C2470" s="64"/>
    </row>
    <row r="2471" spans="1:3">
      <c r="A2471" s="533"/>
      <c r="C2471" s="64"/>
    </row>
    <row r="2472" spans="1:3">
      <c r="A2472" s="533"/>
      <c r="C2472" s="64"/>
    </row>
    <row r="2473" spans="1:3">
      <c r="A2473" s="533"/>
      <c r="C2473" s="64"/>
    </row>
    <row r="2474" spans="1:3">
      <c r="A2474" s="533"/>
      <c r="C2474" s="64"/>
    </row>
    <row r="2475" spans="1:3">
      <c r="A2475" s="533"/>
      <c r="C2475" s="64"/>
    </row>
    <row r="2476" spans="1:3">
      <c r="A2476" s="533"/>
      <c r="C2476" s="64"/>
    </row>
    <row r="2477" spans="1:3">
      <c r="A2477" s="533"/>
      <c r="C2477" s="64"/>
    </row>
    <row r="2478" spans="1:3">
      <c r="A2478" s="533"/>
      <c r="C2478" s="64"/>
    </row>
    <row r="2479" spans="1:3">
      <c r="A2479" s="533"/>
      <c r="C2479" s="64"/>
    </row>
    <row r="2480" spans="1:3">
      <c r="A2480" s="533"/>
      <c r="C2480" s="64"/>
    </row>
    <row r="2481" spans="1:3">
      <c r="A2481" s="533"/>
      <c r="C2481" s="64"/>
    </row>
    <row r="2482" spans="1:3">
      <c r="A2482" s="533"/>
      <c r="C2482" s="64"/>
    </row>
    <row r="2483" spans="1:3">
      <c r="A2483" s="533"/>
      <c r="C2483" s="64"/>
    </row>
    <row r="2484" spans="1:3">
      <c r="A2484" s="533"/>
      <c r="C2484" s="64"/>
    </row>
    <row r="2485" spans="1:3">
      <c r="A2485" s="533"/>
      <c r="C2485" s="64"/>
    </row>
    <row r="2486" spans="1:3">
      <c r="A2486" s="533"/>
      <c r="C2486" s="64"/>
    </row>
    <row r="2487" spans="1:3">
      <c r="A2487" s="533"/>
      <c r="C2487" s="64"/>
    </row>
    <row r="2488" spans="1:3">
      <c r="A2488" s="533"/>
      <c r="C2488" s="64"/>
    </row>
    <row r="2489" spans="1:3">
      <c r="A2489" s="533"/>
      <c r="C2489" s="64"/>
    </row>
    <row r="2490" spans="1:3">
      <c r="A2490" s="533"/>
      <c r="C2490" s="64"/>
    </row>
    <row r="2491" spans="1:3">
      <c r="A2491" s="533"/>
      <c r="C2491" s="64"/>
    </row>
    <row r="2492" spans="1:3">
      <c r="A2492" s="533"/>
      <c r="C2492" s="64"/>
    </row>
    <row r="2493" spans="1:3">
      <c r="A2493" s="533"/>
      <c r="C2493" s="64"/>
    </row>
    <row r="2494" spans="1:3">
      <c r="A2494" s="533"/>
      <c r="C2494" s="64"/>
    </row>
    <row r="2495" spans="1:3">
      <c r="A2495" s="533"/>
      <c r="C2495" s="64"/>
    </row>
    <row r="2496" spans="1:3">
      <c r="A2496" s="533"/>
      <c r="C2496" s="64"/>
    </row>
    <row r="2497" spans="1:3">
      <c r="A2497" s="533"/>
      <c r="C2497" s="64"/>
    </row>
    <row r="2498" spans="1:3">
      <c r="A2498" s="533"/>
      <c r="C2498" s="64"/>
    </row>
    <row r="2499" spans="1:3">
      <c r="A2499" s="533"/>
      <c r="C2499" s="64"/>
    </row>
    <row r="2500" spans="1:3">
      <c r="A2500" s="533"/>
      <c r="C2500" s="64"/>
    </row>
    <row r="2501" spans="1:3">
      <c r="A2501" s="533"/>
      <c r="C2501" s="64"/>
    </row>
    <row r="2502" spans="1:3">
      <c r="A2502" s="533"/>
      <c r="C2502" s="64"/>
    </row>
    <row r="2503" spans="1:3">
      <c r="A2503" s="533"/>
      <c r="C2503" s="64"/>
    </row>
    <row r="2504" spans="1:3">
      <c r="A2504" s="533"/>
      <c r="C2504" s="64"/>
    </row>
    <row r="2505" spans="1:3">
      <c r="A2505" s="533"/>
      <c r="C2505" s="64"/>
    </row>
    <row r="2506" spans="1:3">
      <c r="A2506" s="533"/>
      <c r="C2506" s="64"/>
    </row>
    <row r="2507" spans="1:3">
      <c r="A2507" s="533"/>
      <c r="C2507" s="64"/>
    </row>
    <row r="2508" spans="1:3">
      <c r="A2508" s="533"/>
      <c r="C2508" s="64"/>
    </row>
    <row r="2509" spans="1:3">
      <c r="A2509" s="533"/>
      <c r="C2509" s="64"/>
    </row>
    <row r="2510" spans="1:3">
      <c r="A2510" s="533"/>
      <c r="C2510" s="64"/>
    </row>
    <row r="2511" spans="1:3">
      <c r="A2511" s="533"/>
      <c r="C2511" s="64"/>
    </row>
    <row r="2512" spans="1:3">
      <c r="A2512" s="533"/>
      <c r="C2512" s="64"/>
    </row>
    <row r="2513" spans="1:3">
      <c r="A2513" s="533"/>
      <c r="C2513" s="64"/>
    </row>
    <row r="2514" spans="1:3">
      <c r="A2514" s="533"/>
      <c r="C2514" s="64"/>
    </row>
    <row r="2515" spans="1:3">
      <c r="A2515" s="533"/>
      <c r="C2515" s="64"/>
    </row>
    <row r="2516" spans="1:3">
      <c r="A2516" s="533"/>
      <c r="C2516" s="64"/>
    </row>
    <row r="2517" spans="1:3">
      <c r="A2517" s="533"/>
      <c r="C2517" s="64"/>
    </row>
    <row r="2518" spans="1:3">
      <c r="A2518" s="533"/>
      <c r="C2518" s="64"/>
    </row>
    <row r="2519" spans="1:3">
      <c r="A2519" s="533"/>
      <c r="C2519" s="64"/>
    </row>
    <row r="2520" spans="1:3">
      <c r="A2520" s="533"/>
      <c r="C2520" s="64"/>
    </row>
    <row r="2521" spans="1:3">
      <c r="A2521" s="533"/>
      <c r="C2521" s="64"/>
    </row>
    <row r="2522" spans="1:3">
      <c r="A2522" s="533"/>
      <c r="C2522" s="64"/>
    </row>
    <row r="2523" spans="1:3">
      <c r="A2523" s="533"/>
      <c r="C2523" s="64"/>
    </row>
    <row r="2524" spans="1:3">
      <c r="A2524" s="533"/>
      <c r="C2524" s="64"/>
    </row>
    <row r="2525" spans="1:3">
      <c r="A2525" s="533"/>
      <c r="C2525" s="64"/>
    </row>
    <row r="2526" spans="1:3">
      <c r="A2526" s="533"/>
      <c r="C2526" s="64"/>
    </row>
    <row r="2527" spans="1:3">
      <c r="A2527" s="533"/>
      <c r="C2527" s="64"/>
    </row>
    <row r="2528" spans="1:3">
      <c r="A2528" s="533"/>
      <c r="C2528" s="64"/>
    </row>
    <row r="2529" spans="1:3">
      <c r="A2529" s="533"/>
      <c r="C2529" s="64"/>
    </row>
    <row r="2530" spans="1:3">
      <c r="A2530" s="533"/>
      <c r="C2530" s="64"/>
    </row>
    <row r="2531" spans="1:3">
      <c r="A2531" s="533"/>
      <c r="C2531" s="64"/>
    </row>
    <row r="2532" spans="1:3">
      <c r="A2532" s="533"/>
      <c r="C2532" s="64"/>
    </row>
    <row r="2533" spans="1:3">
      <c r="A2533" s="533"/>
      <c r="C2533" s="64"/>
    </row>
    <row r="2534" spans="1:3">
      <c r="A2534" s="533"/>
      <c r="C2534" s="64"/>
    </row>
    <row r="2535" spans="1:3">
      <c r="A2535" s="533"/>
      <c r="C2535" s="64"/>
    </row>
    <row r="2536" spans="1:3">
      <c r="A2536" s="533"/>
      <c r="C2536" s="64"/>
    </row>
    <row r="2537" spans="1:3">
      <c r="A2537" s="533"/>
      <c r="C2537" s="64"/>
    </row>
    <row r="2538" spans="1:3">
      <c r="A2538" s="533"/>
      <c r="C2538" s="64"/>
    </row>
    <row r="2539" spans="1:3">
      <c r="A2539" s="533"/>
      <c r="C2539" s="64"/>
    </row>
    <row r="2540" spans="1:3">
      <c r="A2540" s="533"/>
      <c r="C2540" s="64"/>
    </row>
    <row r="2541" spans="1:3">
      <c r="A2541" s="533"/>
      <c r="C2541" s="64"/>
    </row>
    <row r="2542" spans="1:3">
      <c r="A2542" s="533"/>
      <c r="C2542" s="64"/>
    </row>
    <row r="2543" spans="1:3">
      <c r="A2543" s="533"/>
      <c r="C2543" s="64"/>
    </row>
    <row r="2544" spans="1:3">
      <c r="A2544" s="533"/>
      <c r="C2544" s="64"/>
    </row>
    <row r="2545" spans="1:3">
      <c r="A2545" s="533"/>
      <c r="C2545" s="64"/>
    </row>
    <row r="2546" spans="1:3">
      <c r="A2546" s="533"/>
      <c r="C2546" s="64"/>
    </row>
    <row r="2547" spans="1:3">
      <c r="A2547" s="533"/>
      <c r="C2547" s="64"/>
    </row>
    <row r="2548" spans="1:3">
      <c r="A2548" s="533"/>
      <c r="C2548" s="64"/>
    </row>
    <row r="2549" spans="1:3">
      <c r="A2549" s="533"/>
      <c r="C2549" s="64"/>
    </row>
    <row r="2550" spans="1:3">
      <c r="A2550" s="533"/>
      <c r="C2550" s="64"/>
    </row>
    <row r="2551" spans="1:3">
      <c r="A2551" s="533"/>
      <c r="C2551" s="64"/>
    </row>
    <row r="2552" spans="1:3">
      <c r="A2552" s="533"/>
      <c r="C2552" s="64"/>
    </row>
    <row r="2553" spans="1:3">
      <c r="A2553" s="533"/>
      <c r="C2553" s="64"/>
    </row>
    <row r="2554" spans="1:3">
      <c r="A2554" s="533"/>
      <c r="C2554" s="64"/>
    </row>
    <row r="2555" spans="1:3">
      <c r="A2555" s="533"/>
      <c r="C2555" s="64"/>
    </row>
    <row r="2556" spans="1:3">
      <c r="A2556" s="533"/>
      <c r="C2556" s="64"/>
    </row>
    <row r="2557" spans="1:3">
      <c r="A2557" s="533"/>
      <c r="C2557" s="64"/>
    </row>
    <row r="2558" spans="1:3">
      <c r="A2558" s="533"/>
      <c r="C2558" s="64"/>
    </row>
    <row r="2559" spans="1:3">
      <c r="A2559" s="533"/>
      <c r="C2559" s="64"/>
    </row>
    <row r="2560" spans="1:3">
      <c r="A2560" s="533"/>
      <c r="C2560" s="64"/>
    </row>
    <row r="2561" spans="1:3">
      <c r="A2561" s="533"/>
      <c r="C2561" s="64"/>
    </row>
    <row r="2562" spans="1:3">
      <c r="A2562" s="533"/>
      <c r="C2562" s="64"/>
    </row>
    <row r="2563" spans="1:3">
      <c r="A2563" s="533"/>
      <c r="C2563" s="64"/>
    </row>
    <row r="2564" spans="1:3">
      <c r="A2564" s="533"/>
      <c r="C2564" s="64"/>
    </row>
    <row r="2565" spans="1:3">
      <c r="A2565" s="533"/>
      <c r="C2565" s="64"/>
    </row>
    <row r="2566" spans="1:3">
      <c r="A2566" s="533"/>
      <c r="C2566" s="64"/>
    </row>
    <row r="2567" spans="1:3">
      <c r="A2567" s="533"/>
      <c r="C2567" s="64"/>
    </row>
    <row r="2568" spans="1:3">
      <c r="A2568" s="533"/>
      <c r="C2568" s="64"/>
    </row>
    <row r="2569" spans="1:3">
      <c r="A2569" s="533"/>
      <c r="C2569" s="64"/>
    </row>
    <row r="2570" spans="1:3">
      <c r="A2570" s="533"/>
      <c r="C2570" s="64"/>
    </row>
    <row r="2571" spans="1:3">
      <c r="A2571" s="533"/>
      <c r="C2571" s="64"/>
    </row>
    <row r="2572" spans="1:3">
      <c r="A2572" s="533"/>
      <c r="C2572" s="64"/>
    </row>
    <row r="2573" spans="1:3">
      <c r="A2573" s="533"/>
      <c r="C2573" s="64"/>
    </row>
    <row r="2574" spans="1:3">
      <c r="A2574" s="533"/>
      <c r="C2574" s="64"/>
    </row>
    <row r="2575" spans="1:3">
      <c r="A2575" s="533"/>
      <c r="C2575" s="64"/>
    </row>
    <row r="2576" spans="1:3">
      <c r="A2576" s="533"/>
      <c r="C2576" s="64"/>
    </row>
    <row r="2577" spans="1:3">
      <c r="A2577" s="533"/>
      <c r="C2577" s="64"/>
    </row>
    <row r="2578" spans="1:3">
      <c r="A2578" s="533"/>
      <c r="C2578" s="64"/>
    </row>
    <row r="2579" spans="1:3">
      <c r="A2579" s="533"/>
      <c r="C2579" s="64"/>
    </row>
    <row r="2580" spans="1:3">
      <c r="A2580" s="533"/>
      <c r="C2580" s="64"/>
    </row>
    <row r="2581" spans="1:3">
      <c r="A2581" s="533"/>
      <c r="C2581" s="64"/>
    </row>
    <row r="2582" spans="1:3">
      <c r="A2582" s="533"/>
      <c r="C2582" s="64"/>
    </row>
    <row r="2583" spans="1:3">
      <c r="A2583" s="533"/>
      <c r="C2583" s="64"/>
    </row>
    <row r="2584" spans="1:3">
      <c r="A2584" s="533"/>
      <c r="C2584" s="64"/>
    </row>
    <row r="2585" spans="1:3">
      <c r="A2585" s="533"/>
      <c r="C2585" s="64"/>
    </row>
    <row r="2586" spans="1:3">
      <c r="A2586" s="533"/>
      <c r="C2586" s="64"/>
    </row>
    <row r="2587" spans="1:3">
      <c r="A2587" s="533"/>
      <c r="C2587" s="64"/>
    </row>
    <row r="2588" spans="1:3">
      <c r="A2588" s="533"/>
      <c r="C2588" s="64"/>
    </row>
    <row r="2589" spans="1:3">
      <c r="A2589" s="533"/>
      <c r="C2589" s="64"/>
    </row>
    <row r="2590" spans="1:3">
      <c r="A2590" s="533"/>
      <c r="C2590" s="64"/>
    </row>
    <row r="2591" spans="1:3">
      <c r="A2591" s="533"/>
      <c r="C2591" s="64"/>
    </row>
    <row r="2592" spans="1:3">
      <c r="A2592" s="533"/>
      <c r="C2592" s="64"/>
    </row>
    <row r="2593" spans="1:3">
      <c r="A2593" s="533"/>
      <c r="C2593" s="64"/>
    </row>
    <row r="2594" spans="1:3">
      <c r="A2594" s="533"/>
      <c r="C2594" s="64"/>
    </row>
    <row r="2595" spans="1:3">
      <c r="A2595" s="533"/>
      <c r="C2595" s="64"/>
    </row>
    <row r="2596" spans="1:3">
      <c r="A2596" s="533"/>
      <c r="C2596" s="64"/>
    </row>
    <row r="2597" spans="1:3">
      <c r="A2597" s="533"/>
      <c r="C2597" s="64"/>
    </row>
    <row r="2598" spans="1:3">
      <c r="A2598" s="533"/>
      <c r="C2598" s="64"/>
    </row>
    <row r="2599" spans="1:3">
      <c r="A2599" s="533"/>
      <c r="C2599" s="64"/>
    </row>
    <row r="2600" spans="1:3">
      <c r="A2600" s="533"/>
      <c r="C2600" s="64"/>
    </row>
    <row r="2601" spans="1:3">
      <c r="A2601" s="533"/>
      <c r="C2601" s="64"/>
    </row>
    <row r="2602" spans="1:3">
      <c r="A2602" s="533"/>
      <c r="C2602" s="64"/>
    </row>
    <row r="2603" spans="1:3">
      <c r="A2603" s="533"/>
      <c r="C2603" s="64"/>
    </row>
    <row r="2604" spans="1:3">
      <c r="A2604" s="533"/>
      <c r="C2604" s="64"/>
    </row>
    <row r="2605" spans="1:3">
      <c r="A2605" s="533"/>
      <c r="C2605" s="64"/>
    </row>
    <row r="2606" spans="1:3">
      <c r="A2606" s="533"/>
      <c r="C2606" s="64"/>
    </row>
    <row r="2607" spans="1:3">
      <c r="A2607" s="533"/>
      <c r="C2607" s="64"/>
    </row>
    <row r="2608" spans="1:3">
      <c r="A2608" s="533"/>
      <c r="C2608" s="64"/>
    </row>
    <row r="2609" spans="1:3">
      <c r="A2609" s="533"/>
      <c r="C2609" s="64"/>
    </row>
    <row r="2610" spans="1:3">
      <c r="A2610" s="533"/>
      <c r="C2610" s="64"/>
    </row>
    <row r="2611" spans="1:3">
      <c r="A2611" s="533"/>
      <c r="C2611" s="64"/>
    </row>
    <row r="2612" spans="1:3">
      <c r="A2612" s="533"/>
      <c r="C2612" s="64"/>
    </row>
    <row r="2613" spans="1:3">
      <c r="A2613" s="533"/>
      <c r="C2613" s="64"/>
    </row>
    <row r="2614" spans="1:3">
      <c r="A2614" s="533"/>
      <c r="C2614" s="64"/>
    </row>
    <row r="2615" spans="1:3">
      <c r="A2615" s="533"/>
      <c r="C2615" s="64"/>
    </row>
    <row r="2616" spans="1:3">
      <c r="A2616" s="533"/>
      <c r="C2616" s="64"/>
    </row>
    <row r="2617" spans="1:3">
      <c r="A2617" s="533"/>
      <c r="C2617" s="64"/>
    </row>
    <row r="2618" spans="1:3">
      <c r="A2618" s="533"/>
      <c r="C2618" s="64"/>
    </row>
    <row r="2619" spans="1:3">
      <c r="A2619" s="533"/>
      <c r="C2619" s="64"/>
    </row>
    <row r="2620" spans="1:3">
      <c r="A2620" s="533"/>
      <c r="C2620" s="64"/>
    </row>
    <row r="2621" spans="1:3">
      <c r="A2621" s="533"/>
      <c r="C2621" s="64"/>
    </row>
    <row r="2622" spans="1:3">
      <c r="A2622" s="533"/>
      <c r="C2622" s="64"/>
    </row>
    <row r="2623" spans="1:3">
      <c r="A2623" s="533"/>
      <c r="C2623" s="64"/>
    </row>
    <row r="2624" spans="1:3">
      <c r="A2624" s="533"/>
      <c r="C2624" s="64"/>
    </row>
    <row r="2625" spans="1:3">
      <c r="A2625" s="533"/>
      <c r="C2625" s="64"/>
    </row>
    <row r="2626" spans="1:3">
      <c r="A2626" s="533"/>
      <c r="C2626" s="64"/>
    </row>
    <row r="2627" spans="1:3">
      <c r="A2627" s="533"/>
      <c r="C2627" s="64"/>
    </row>
    <row r="2628" spans="1:3">
      <c r="A2628" s="533"/>
      <c r="C2628" s="64"/>
    </row>
    <row r="2629" spans="1:3">
      <c r="A2629" s="533"/>
      <c r="C2629" s="64"/>
    </row>
    <row r="2630" spans="1:3">
      <c r="A2630" s="533"/>
      <c r="C2630" s="64"/>
    </row>
    <row r="2631" spans="1:3">
      <c r="A2631" s="533"/>
      <c r="C2631" s="64"/>
    </row>
    <row r="2632" spans="1:3">
      <c r="A2632" s="533"/>
      <c r="C2632" s="64"/>
    </row>
    <row r="2633" spans="1:3">
      <c r="A2633" s="533"/>
      <c r="C2633" s="64"/>
    </row>
    <row r="2634" spans="1:3">
      <c r="A2634" s="533"/>
      <c r="C2634" s="64"/>
    </row>
    <row r="2635" spans="1:3">
      <c r="A2635" s="533"/>
      <c r="C2635" s="64"/>
    </row>
    <row r="2636" spans="1:3">
      <c r="A2636" s="533"/>
      <c r="C2636" s="64"/>
    </row>
    <row r="2637" spans="1:3">
      <c r="A2637" s="533"/>
      <c r="C2637" s="64"/>
    </row>
    <row r="2638" spans="1:3">
      <c r="A2638" s="533"/>
      <c r="C2638" s="64"/>
    </row>
    <row r="2639" spans="1:3">
      <c r="A2639" s="533"/>
      <c r="C2639" s="64"/>
    </row>
    <row r="2640" spans="1:3">
      <c r="A2640" s="533"/>
      <c r="C2640" s="64"/>
    </row>
    <row r="2641" spans="1:3">
      <c r="A2641" s="533"/>
      <c r="C2641" s="64"/>
    </row>
    <row r="2642" spans="1:3">
      <c r="A2642" s="533"/>
      <c r="C2642" s="64"/>
    </row>
    <row r="2643" spans="1:3">
      <c r="A2643" s="533"/>
      <c r="C2643" s="64"/>
    </row>
    <row r="2644" spans="1:3">
      <c r="A2644" s="533"/>
      <c r="C2644" s="64"/>
    </row>
    <row r="2645" spans="1:3">
      <c r="A2645" s="533"/>
      <c r="C2645" s="64"/>
    </row>
    <row r="2646" spans="1:3">
      <c r="A2646" s="533"/>
      <c r="C2646" s="64"/>
    </row>
    <row r="2647" spans="1:3">
      <c r="A2647" s="533"/>
      <c r="C2647" s="64"/>
    </row>
    <row r="2648" spans="1:3">
      <c r="A2648" s="533"/>
      <c r="C2648" s="64"/>
    </row>
    <row r="2649" spans="1:3">
      <c r="A2649" s="533"/>
      <c r="C2649" s="64"/>
    </row>
    <row r="2650" spans="1:3">
      <c r="A2650" s="533"/>
      <c r="C2650" s="64"/>
    </row>
    <row r="2651" spans="1:3">
      <c r="A2651" s="533"/>
      <c r="C2651" s="64"/>
    </row>
    <row r="2652" spans="1:3">
      <c r="A2652" s="533"/>
      <c r="C2652" s="64"/>
    </row>
    <row r="2653" spans="1:3">
      <c r="A2653" s="533"/>
      <c r="C2653" s="64"/>
    </row>
    <row r="2654" spans="1:3">
      <c r="A2654" s="533"/>
      <c r="C2654" s="64"/>
    </row>
    <row r="2655" spans="1:3">
      <c r="A2655" s="533"/>
      <c r="C2655" s="64"/>
    </row>
    <row r="2656" spans="1:3">
      <c r="A2656" s="533"/>
      <c r="C2656" s="64"/>
    </row>
    <row r="2657" spans="1:3">
      <c r="A2657" s="533"/>
      <c r="C2657" s="64"/>
    </row>
    <row r="2658" spans="1:3">
      <c r="A2658" s="533"/>
      <c r="C2658" s="64"/>
    </row>
    <row r="2659" spans="1:3">
      <c r="A2659" s="533"/>
      <c r="C2659" s="64"/>
    </row>
    <row r="2660" spans="1:3">
      <c r="A2660" s="533"/>
      <c r="C2660" s="64"/>
    </row>
    <row r="2661" spans="1:3">
      <c r="A2661" s="533"/>
      <c r="C2661" s="64"/>
    </row>
    <row r="2662" spans="1:3">
      <c r="A2662" s="533"/>
      <c r="C2662" s="64"/>
    </row>
    <row r="2663" spans="1:3">
      <c r="A2663" s="533"/>
      <c r="C2663" s="64"/>
    </row>
    <row r="2664" spans="1:3">
      <c r="A2664" s="533"/>
      <c r="C2664" s="64"/>
    </row>
    <row r="2665" spans="1:3">
      <c r="A2665" s="533"/>
      <c r="C2665" s="64"/>
    </row>
    <row r="2666" spans="1:3">
      <c r="A2666" s="533"/>
      <c r="C2666" s="64"/>
    </row>
    <row r="2667" spans="1:3">
      <c r="A2667" s="533"/>
      <c r="C2667" s="64"/>
    </row>
    <row r="2668" spans="1:3">
      <c r="A2668" s="533"/>
      <c r="C2668" s="64"/>
    </row>
    <row r="2669" spans="1:3">
      <c r="A2669" s="533"/>
      <c r="C2669" s="64"/>
    </row>
    <row r="2670" spans="1:3">
      <c r="A2670" s="533"/>
      <c r="C2670" s="64"/>
    </row>
    <row r="2671" spans="1:3">
      <c r="A2671" s="533"/>
      <c r="C2671" s="64"/>
    </row>
    <row r="2672" spans="1:3">
      <c r="A2672" s="533"/>
      <c r="C2672" s="64"/>
    </row>
    <row r="2673" spans="1:3">
      <c r="A2673" s="533"/>
      <c r="C2673" s="64"/>
    </row>
    <row r="2674" spans="1:3">
      <c r="A2674" s="533"/>
      <c r="C2674" s="64"/>
    </row>
    <row r="2675" spans="1:3">
      <c r="A2675" s="533"/>
      <c r="C2675" s="64"/>
    </row>
    <row r="2676" spans="1:3">
      <c r="A2676" s="533"/>
      <c r="C2676" s="64"/>
    </row>
    <row r="2677" spans="1:3">
      <c r="A2677" s="533"/>
      <c r="C2677" s="64"/>
    </row>
    <row r="2678" spans="1:3">
      <c r="A2678" s="533"/>
      <c r="C2678" s="64"/>
    </row>
    <row r="2679" spans="1:3">
      <c r="A2679" s="533"/>
      <c r="C2679" s="64"/>
    </row>
    <row r="2680" spans="1:3">
      <c r="A2680" s="533"/>
      <c r="C2680" s="64"/>
    </row>
    <row r="2681" spans="1:3">
      <c r="A2681" s="533"/>
      <c r="C2681" s="64"/>
    </row>
    <row r="2682" spans="1:3">
      <c r="A2682" s="533"/>
      <c r="C2682" s="64"/>
    </row>
    <row r="2683" spans="1:3">
      <c r="A2683" s="533"/>
      <c r="C2683" s="64"/>
    </row>
    <row r="2684" spans="1:3">
      <c r="A2684" s="533"/>
      <c r="C2684" s="64"/>
    </row>
    <row r="2685" spans="1:3">
      <c r="A2685" s="533"/>
      <c r="C2685" s="64"/>
    </row>
    <row r="2686" spans="1:3">
      <c r="A2686" s="533"/>
      <c r="C2686" s="64"/>
    </row>
    <row r="2687" spans="1:3">
      <c r="A2687" s="533"/>
      <c r="C2687" s="64"/>
    </row>
    <row r="2688" spans="1:3">
      <c r="A2688" s="533"/>
      <c r="C2688" s="64"/>
    </row>
    <row r="2689" spans="1:3">
      <c r="A2689" s="533"/>
      <c r="C2689" s="64"/>
    </row>
    <row r="2690" spans="1:3">
      <c r="A2690" s="533"/>
      <c r="C2690" s="64"/>
    </row>
    <row r="2691" spans="1:3">
      <c r="A2691" s="533"/>
      <c r="C2691" s="64"/>
    </row>
    <row r="2692" spans="1:3">
      <c r="A2692" s="533"/>
      <c r="C2692" s="64"/>
    </row>
    <row r="2693" spans="1:3">
      <c r="A2693" s="533"/>
      <c r="C2693" s="64"/>
    </row>
    <row r="2694" spans="1:3">
      <c r="A2694" s="533"/>
      <c r="C2694" s="64"/>
    </row>
    <row r="2695" spans="1:3">
      <c r="A2695" s="533"/>
      <c r="C2695" s="64"/>
    </row>
    <row r="2696" spans="1:3">
      <c r="A2696" s="533"/>
      <c r="C2696" s="64"/>
    </row>
    <row r="2697" spans="1:3">
      <c r="A2697" s="533"/>
      <c r="C2697" s="64"/>
    </row>
    <row r="2698" spans="1:3">
      <c r="A2698" s="533"/>
      <c r="C2698" s="64"/>
    </row>
    <row r="2699" spans="1:3">
      <c r="A2699" s="533"/>
      <c r="C2699" s="64"/>
    </row>
    <row r="2700" spans="1:3">
      <c r="A2700" s="533"/>
      <c r="C2700" s="64"/>
    </row>
    <row r="2701" spans="1:3">
      <c r="A2701" s="533"/>
      <c r="C2701" s="64"/>
    </row>
    <row r="2702" spans="1:3">
      <c r="A2702" s="533"/>
      <c r="C2702" s="64"/>
    </row>
    <row r="2703" spans="1:3">
      <c r="A2703" s="533"/>
      <c r="C2703" s="64"/>
    </row>
    <row r="2704" spans="1:3">
      <c r="A2704" s="533"/>
      <c r="C2704" s="64"/>
    </row>
    <row r="2705" spans="1:3">
      <c r="A2705" s="533"/>
      <c r="C2705" s="64"/>
    </row>
    <row r="2706" spans="1:3">
      <c r="A2706" s="533"/>
      <c r="C2706" s="64"/>
    </row>
    <row r="2707" spans="1:3">
      <c r="A2707" s="533"/>
      <c r="C2707" s="64"/>
    </row>
    <row r="2708" spans="1:3">
      <c r="A2708" s="533"/>
      <c r="C2708" s="64"/>
    </row>
    <row r="2709" spans="1:3">
      <c r="A2709" s="533"/>
      <c r="C2709" s="64"/>
    </row>
    <row r="2710" spans="1:3">
      <c r="A2710" s="533"/>
      <c r="C2710" s="64"/>
    </row>
    <row r="2711" spans="1:3">
      <c r="A2711" s="533"/>
      <c r="C2711" s="64"/>
    </row>
    <row r="2712" spans="1:3">
      <c r="A2712" s="533"/>
      <c r="C2712" s="64"/>
    </row>
    <row r="2713" spans="1:3">
      <c r="A2713" s="533"/>
      <c r="C2713" s="64"/>
    </row>
    <row r="2714" spans="1:3">
      <c r="A2714" s="533"/>
      <c r="C2714" s="64"/>
    </row>
    <row r="2715" spans="1:3">
      <c r="A2715" s="533"/>
      <c r="C2715" s="64"/>
    </row>
    <row r="2716" spans="1:3">
      <c r="A2716" s="533"/>
      <c r="C2716" s="64"/>
    </row>
    <row r="2717" spans="1:3">
      <c r="A2717" s="533"/>
      <c r="C2717" s="64"/>
    </row>
    <row r="2718" spans="1:3">
      <c r="A2718" s="533"/>
      <c r="C2718" s="64"/>
    </row>
    <row r="2719" spans="1:3">
      <c r="A2719" s="533"/>
      <c r="C2719" s="64"/>
    </row>
    <row r="2720" spans="1:3">
      <c r="A2720" s="533"/>
      <c r="C2720" s="64"/>
    </row>
    <row r="2721" spans="1:3">
      <c r="A2721" s="533"/>
      <c r="C2721" s="64"/>
    </row>
    <row r="2722" spans="1:3">
      <c r="A2722" s="533"/>
      <c r="C2722" s="64"/>
    </row>
    <row r="2723" spans="1:3">
      <c r="A2723" s="533"/>
      <c r="C2723" s="64"/>
    </row>
    <row r="2724" spans="1:3">
      <c r="A2724" s="533"/>
      <c r="C2724" s="64"/>
    </row>
    <row r="2725" spans="1:3">
      <c r="A2725" s="533"/>
      <c r="C2725" s="64"/>
    </row>
    <row r="2726" spans="1:3">
      <c r="A2726" s="533"/>
      <c r="C2726" s="64"/>
    </row>
    <row r="2727" spans="1:3">
      <c r="A2727" s="533"/>
      <c r="C2727" s="64"/>
    </row>
    <row r="2728" spans="1:3">
      <c r="A2728" s="533"/>
      <c r="C2728" s="64"/>
    </row>
    <row r="2729" spans="1:3">
      <c r="A2729" s="533"/>
      <c r="C2729" s="64"/>
    </row>
    <row r="2730" spans="1:3">
      <c r="A2730" s="533"/>
      <c r="C2730" s="64"/>
    </row>
    <row r="2731" spans="1:3">
      <c r="A2731" s="533"/>
      <c r="C2731" s="64"/>
    </row>
    <row r="2732" spans="1:3">
      <c r="A2732" s="533"/>
      <c r="C2732" s="64"/>
    </row>
    <row r="2733" spans="1:3">
      <c r="A2733" s="533"/>
      <c r="C2733" s="64"/>
    </row>
    <row r="2734" spans="1:3">
      <c r="A2734" s="533"/>
      <c r="C2734" s="64"/>
    </row>
    <row r="2735" spans="1:3">
      <c r="A2735" s="533"/>
      <c r="C2735" s="64"/>
    </row>
    <row r="2736" spans="1:3">
      <c r="A2736" s="533"/>
      <c r="C2736" s="64"/>
    </row>
    <row r="2737" spans="1:3">
      <c r="A2737" s="533"/>
      <c r="C2737" s="64"/>
    </row>
    <row r="2738" spans="1:3">
      <c r="A2738" s="533"/>
      <c r="C2738" s="64"/>
    </row>
    <row r="2739" spans="1:3">
      <c r="A2739" s="533"/>
      <c r="C2739" s="64"/>
    </row>
    <row r="2740" spans="1:3">
      <c r="A2740" s="533"/>
      <c r="C2740" s="64"/>
    </row>
    <row r="2741" spans="1:3">
      <c r="A2741" s="533"/>
      <c r="C2741" s="64"/>
    </row>
    <row r="2742" spans="1:3">
      <c r="A2742" s="533"/>
      <c r="C2742" s="64"/>
    </row>
    <row r="2743" spans="1:3">
      <c r="A2743" s="533"/>
      <c r="C2743" s="64"/>
    </row>
    <row r="2744" spans="1:3">
      <c r="A2744" s="533"/>
      <c r="C2744" s="64"/>
    </row>
    <row r="2745" spans="1:3">
      <c r="A2745" s="533"/>
      <c r="C2745" s="64"/>
    </row>
    <row r="2746" spans="1:3">
      <c r="A2746" s="533"/>
      <c r="C2746" s="64"/>
    </row>
    <row r="2747" spans="1:3">
      <c r="A2747" s="533"/>
      <c r="C2747" s="64"/>
    </row>
    <row r="2748" spans="1:3">
      <c r="A2748" s="533"/>
      <c r="C2748" s="64"/>
    </row>
    <row r="2749" spans="1:3">
      <c r="A2749" s="533"/>
      <c r="C2749" s="64"/>
    </row>
    <row r="2750" spans="1:3">
      <c r="A2750" s="533"/>
      <c r="C2750" s="64"/>
    </row>
    <row r="2751" spans="1:3">
      <c r="A2751" s="533"/>
      <c r="C2751" s="64"/>
    </row>
    <row r="2752" spans="1:3">
      <c r="A2752" s="533"/>
      <c r="C2752" s="64"/>
    </row>
    <row r="2753" spans="1:3">
      <c r="A2753" s="533"/>
      <c r="C2753" s="64"/>
    </row>
    <row r="2754" spans="1:3">
      <c r="A2754" s="533"/>
      <c r="C2754" s="64"/>
    </row>
    <row r="2755" spans="1:3">
      <c r="A2755" s="533"/>
      <c r="C2755" s="64"/>
    </row>
    <row r="2756" spans="1:3">
      <c r="A2756" s="533"/>
      <c r="C2756" s="64"/>
    </row>
    <row r="2757" spans="1:3">
      <c r="A2757" s="533"/>
      <c r="C2757" s="64"/>
    </row>
    <row r="2758" spans="1:3">
      <c r="A2758" s="533"/>
      <c r="C2758" s="64"/>
    </row>
    <row r="2759" spans="1:3">
      <c r="A2759" s="533"/>
      <c r="C2759" s="64"/>
    </row>
    <row r="2760" spans="1:3">
      <c r="A2760" s="533"/>
      <c r="C2760" s="64"/>
    </row>
    <row r="2761" spans="1:3">
      <c r="A2761" s="533"/>
      <c r="C2761" s="64"/>
    </row>
    <row r="2762" spans="1:3">
      <c r="A2762" s="533"/>
      <c r="C2762" s="64"/>
    </row>
    <row r="2763" spans="1:3">
      <c r="A2763" s="533"/>
      <c r="C2763" s="64"/>
    </row>
    <row r="2764" spans="1:3">
      <c r="A2764" s="533"/>
      <c r="C2764" s="64"/>
    </row>
    <row r="2765" spans="1:3">
      <c r="A2765" s="533"/>
      <c r="C2765" s="64"/>
    </row>
    <row r="2766" spans="1:3">
      <c r="A2766" s="533"/>
      <c r="C2766" s="64"/>
    </row>
    <row r="2767" spans="1:3">
      <c r="A2767" s="533"/>
      <c r="C2767" s="64"/>
    </row>
    <row r="2768" spans="1:3">
      <c r="A2768" s="533"/>
      <c r="C2768" s="64"/>
    </row>
    <row r="2769" spans="1:3">
      <c r="A2769" s="533"/>
      <c r="C2769" s="64"/>
    </row>
    <row r="2770" spans="1:3">
      <c r="A2770" s="533"/>
      <c r="C2770" s="64"/>
    </row>
    <row r="2771" spans="1:3">
      <c r="A2771" s="533"/>
      <c r="C2771" s="64"/>
    </row>
    <row r="2772" spans="1:3">
      <c r="A2772" s="533"/>
      <c r="C2772" s="64"/>
    </row>
    <row r="2773" spans="1:3">
      <c r="A2773" s="533"/>
      <c r="C2773" s="64"/>
    </row>
    <row r="2774" spans="1:3">
      <c r="A2774" s="533"/>
      <c r="C2774" s="64"/>
    </row>
    <row r="2775" spans="1:3">
      <c r="A2775" s="533"/>
      <c r="C2775" s="64"/>
    </row>
    <row r="2776" spans="1:3">
      <c r="A2776" s="533"/>
      <c r="C2776" s="64"/>
    </row>
    <row r="2777" spans="1:3">
      <c r="A2777" s="533"/>
      <c r="C2777" s="64"/>
    </row>
    <row r="2778" spans="1:3">
      <c r="A2778" s="533"/>
      <c r="C2778" s="64"/>
    </row>
    <row r="2779" spans="1:3">
      <c r="A2779" s="533"/>
      <c r="C2779" s="64"/>
    </row>
    <row r="2780" spans="1:3">
      <c r="A2780" s="533"/>
      <c r="C2780" s="64"/>
    </row>
    <row r="2781" spans="1:3">
      <c r="A2781" s="533"/>
      <c r="C2781" s="64"/>
    </row>
    <row r="2782" spans="1:3">
      <c r="A2782" s="533"/>
      <c r="C2782" s="64"/>
    </row>
    <row r="2783" spans="1:3">
      <c r="A2783" s="533"/>
      <c r="C2783" s="64"/>
    </row>
    <row r="2784" spans="1:3">
      <c r="A2784" s="533"/>
      <c r="C2784" s="64"/>
    </row>
    <row r="2785" spans="1:3">
      <c r="A2785" s="533"/>
      <c r="C2785" s="64"/>
    </row>
    <row r="2786" spans="1:3">
      <c r="A2786" s="533"/>
      <c r="C2786" s="64"/>
    </row>
    <row r="2787" spans="1:3">
      <c r="A2787" s="533"/>
      <c r="C2787" s="64"/>
    </row>
    <row r="2788" spans="1:3">
      <c r="A2788" s="533"/>
      <c r="C2788" s="64"/>
    </row>
    <row r="2789" spans="1:3">
      <c r="A2789" s="533"/>
      <c r="C2789" s="64"/>
    </row>
    <row r="2790" spans="1:3">
      <c r="A2790" s="533"/>
      <c r="C2790" s="64"/>
    </row>
    <row r="2791" spans="1:3">
      <c r="A2791" s="533"/>
      <c r="C2791" s="64"/>
    </row>
    <row r="2792" spans="1:3">
      <c r="A2792" s="533"/>
      <c r="C2792" s="64"/>
    </row>
    <row r="2793" spans="1:3">
      <c r="A2793" s="533"/>
      <c r="C2793" s="64"/>
    </row>
    <row r="2794" spans="1:3">
      <c r="A2794" s="533"/>
      <c r="C2794" s="64"/>
    </row>
    <row r="2795" spans="1:3">
      <c r="A2795" s="533"/>
      <c r="C2795" s="64"/>
    </row>
    <row r="2796" spans="1:3">
      <c r="A2796" s="533"/>
      <c r="C2796" s="64"/>
    </row>
    <row r="2797" spans="1:3">
      <c r="A2797" s="533"/>
      <c r="C2797" s="64"/>
    </row>
    <row r="2798" spans="1:3">
      <c r="A2798" s="533"/>
      <c r="C2798" s="64"/>
    </row>
    <row r="2799" spans="1:3">
      <c r="A2799" s="533"/>
      <c r="C2799" s="64"/>
    </row>
    <row r="2800" spans="1:3">
      <c r="A2800" s="533"/>
      <c r="C2800" s="64"/>
    </row>
    <row r="2801" spans="1:3">
      <c r="A2801" s="533"/>
      <c r="C2801" s="64"/>
    </row>
    <row r="2802" spans="1:3">
      <c r="A2802" s="533"/>
      <c r="C2802" s="64"/>
    </row>
    <row r="2803" spans="1:3">
      <c r="A2803" s="533"/>
      <c r="C2803" s="64"/>
    </row>
    <row r="2804" spans="1:3">
      <c r="A2804" s="533"/>
      <c r="C2804" s="64"/>
    </row>
    <row r="2805" spans="1:3">
      <c r="A2805" s="533"/>
      <c r="C2805" s="64"/>
    </row>
    <row r="2806" spans="1:3">
      <c r="A2806" s="533"/>
      <c r="C2806" s="64"/>
    </row>
    <row r="2807" spans="1:3">
      <c r="A2807" s="533"/>
      <c r="C2807" s="64"/>
    </row>
    <row r="2808" spans="1:3">
      <c r="A2808" s="533"/>
      <c r="C2808" s="64"/>
    </row>
    <row r="2809" spans="1:3">
      <c r="A2809" s="533"/>
      <c r="C2809" s="64"/>
    </row>
    <row r="2810" spans="1:3">
      <c r="A2810" s="533"/>
      <c r="C2810" s="64"/>
    </row>
    <row r="2811" spans="1:3">
      <c r="A2811" s="533"/>
      <c r="C2811" s="64"/>
    </row>
    <row r="2812" spans="1:3">
      <c r="A2812" s="533"/>
      <c r="C2812" s="64"/>
    </row>
    <row r="2813" spans="1:3">
      <c r="A2813" s="533"/>
      <c r="C2813" s="64"/>
    </row>
    <row r="2814" spans="1:3">
      <c r="A2814" s="533"/>
      <c r="C2814" s="64"/>
    </row>
    <row r="2815" spans="1:3">
      <c r="A2815" s="533"/>
      <c r="C2815" s="64"/>
    </row>
    <row r="2816" spans="1:3">
      <c r="A2816" s="533"/>
      <c r="C2816" s="64"/>
    </row>
    <row r="2817" spans="1:3">
      <c r="A2817" s="533"/>
      <c r="C2817" s="64"/>
    </row>
    <row r="2818" spans="1:3">
      <c r="A2818" s="533"/>
      <c r="C2818" s="64"/>
    </row>
    <row r="2819" spans="1:3">
      <c r="A2819" s="533"/>
      <c r="C2819" s="64"/>
    </row>
    <row r="2820" spans="1:3">
      <c r="A2820" s="533"/>
      <c r="C2820" s="64"/>
    </row>
    <row r="2821" spans="1:3">
      <c r="A2821" s="533"/>
      <c r="C2821" s="64"/>
    </row>
    <row r="2822" spans="1:3">
      <c r="A2822" s="533"/>
      <c r="C2822" s="64"/>
    </row>
    <row r="2823" spans="1:3">
      <c r="A2823" s="533"/>
      <c r="C2823" s="64"/>
    </row>
    <row r="2824" spans="1:3">
      <c r="A2824" s="533"/>
      <c r="C2824" s="64"/>
    </row>
    <row r="2825" spans="1:3">
      <c r="A2825" s="533"/>
      <c r="C2825" s="64"/>
    </row>
    <row r="2826" spans="1:3">
      <c r="A2826" s="533"/>
      <c r="C2826" s="64"/>
    </row>
    <row r="2827" spans="1:3">
      <c r="A2827" s="533"/>
      <c r="C2827" s="64"/>
    </row>
    <row r="2828" spans="1:3">
      <c r="A2828" s="533"/>
      <c r="C2828" s="64"/>
    </row>
    <row r="2829" spans="1:3">
      <c r="A2829" s="533"/>
      <c r="C2829" s="64"/>
    </row>
    <row r="2830" spans="1:3">
      <c r="A2830" s="533"/>
      <c r="C2830" s="64"/>
    </row>
    <row r="2831" spans="1:3">
      <c r="A2831" s="533"/>
      <c r="C2831" s="64"/>
    </row>
    <row r="2832" spans="1:3">
      <c r="A2832" s="533"/>
      <c r="C2832" s="64"/>
    </row>
    <row r="2833" spans="1:3">
      <c r="A2833" s="533"/>
      <c r="C2833" s="64"/>
    </row>
    <row r="2834" spans="1:3">
      <c r="A2834" s="533"/>
      <c r="C2834" s="64"/>
    </row>
    <row r="2835" spans="1:3">
      <c r="A2835" s="533"/>
      <c r="C2835" s="64"/>
    </row>
    <row r="2836" spans="1:3">
      <c r="A2836" s="533"/>
      <c r="C2836" s="64"/>
    </row>
    <row r="2837" spans="1:3">
      <c r="A2837" s="533"/>
      <c r="C2837" s="64"/>
    </row>
    <row r="2838" spans="1:3">
      <c r="A2838" s="533"/>
      <c r="C2838" s="64"/>
    </row>
    <row r="2839" spans="1:3">
      <c r="A2839" s="533"/>
      <c r="C2839" s="64"/>
    </row>
    <row r="2840" spans="1:3">
      <c r="A2840" s="533"/>
      <c r="C2840" s="64"/>
    </row>
    <row r="2841" spans="1:3">
      <c r="A2841" s="533"/>
      <c r="C2841" s="64"/>
    </row>
    <row r="2842" spans="1:3">
      <c r="A2842" s="533"/>
      <c r="C2842" s="64"/>
    </row>
    <row r="2843" spans="1:3">
      <c r="A2843" s="533"/>
      <c r="C2843" s="64"/>
    </row>
    <row r="2844" spans="1:3">
      <c r="A2844" s="533"/>
      <c r="C2844" s="64"/>
    </row>
    <row r="2845" spans="1:3">
      <c r="A2845" s="533"/>
      <c r="C2845" s="64"/>
    </row>
    <row r="2846" spans="1:3">
      <c r="A2846" s="533"/>
      <c r="C2846" s="64"/>
    </row>
    <row r="2847" spans="1:3">
      <c r="A2847" s="533"/>
      <c r="C2847" s="64"/>
    </row>
    <row r="2848" spans="1:3">
      <c r="A2848" s="533"/>
      <c r="C2848" s="64"/>
    </row>
    <row r="2849" spans="1:3">
      <c r="A2849" s="533"/>
      <c r="C2849" s="64"/>
    </row>
    <row r="2850" spans="1:3">
      <c r="A2850" s="533"/>
      <c r="C2850" s="64"/>
    </row>
    <row r="2851" spans="1:3">
      <c r="A2851" s="533"/>
      <c r="C2851" s="64"/>
    </row>
    <row r="2852" spans="1:3">
      <c r="A2852" s="533"/>
      <c r="C2852" s="64"/>
    </row>
    <row r="2853" spans="1:3">
      <c r="A2853" s="533"/>
      <c r="C2853" s="64"/>
    </row>
    <row r="2854" spans="1:3">
      <c r="A2854" s="533"/>
      <c r="C2854" s="64"/>
    </row>
    <row r="2855" spans="1:3">
      <c r="A2855" s="533"/>
      <c r="C2855" s="64"/>
    </row>
    <row r="2856" spans="1:3">
      <c r="A2856" s="533"/>
      <c r="C2856" s="64"/>
    </row>
    <row r="2857" spans="1:3">
      <c r="A2857" s="533"/>
      <c r="C2857" s="64"/>
    </row>
    <row r="2858" spans="1:3">
      <c r="A2858" s="533"/>
      <c r="C2858" s="64"/>
    </row>
    <row r="2859" spans="1:3">
      <c r="A2859" s="533"/>
      <c r="C2859" s="64"/>
    </row>
    <row r="2860" spans="1:3">
      <c r="A2860" s="533"/>
      <c r="C2860" s="64"/>
    </row>
    <row r="2861" spans="1:3">
      <c r="A2861" s="533"/>
      <c r="C2861" s="64"/>
    </row>
    <row r="2862" spans="1:3">
      <c r="A2862" s="533"/>
      <c r="C2862" s="64"/>
    </row>
    <row r="2863" spans="1:3">
      <c r="A2863" s="533"/>
      <c r="C2863" s="64"/>
    </row>
    <row r="2864" spans="1:3">
      <c r="A2864" s="533"/>
      <c r="C2864" s="64"/>
    </row>
    <row r="2865" spans="1:3">
      <c r="A2865" s="533"/>
      <c r="C2865" s="64"/>
    </row>
    <row r="2866" spans="1:3">
      <c r="A2866" s="533"/>
      <c r="C2866" s="64"/>
    </row>
    <row r="2867" spans="1:3">
      <c r="A2867" s="533"/>
      <c r="C2867" s="64"/>
    </row>
    <row r="2868" spans="1:3">
      <c r="A2868" s="533"/>
      <c r="C2868" s="64"/>
    </row>
    <row r="2869" spans="1:3">
      <c r="A2869" s="533"/>
      <c r="C2869" s="64"/>
    </row>
    <row r="2870" spans="1:3">
      <c r="A2870" s="533"/>
      <c r="C2870" s="64"/>
    </row>
    <row r="2871" spans="1:3">
      <c r="A2871" s="533"/>
      <c r="C2871" s="64"/>
    </row>
    <row r="2872" spans="1:3">
      <c r="A2872" s="533"/>
      <c r="C2872" s="64"/>
    </row>
    <row r="2873" spans="1:3">
      <c r="A2873" s="533"/>
      <c r="C2873" s="64"/>
    </row>
    <row r="2874" spans="1:3">
      <c r="A2874" s="533"/>
      <c r="C2874" s="64"/>
    </row>
    <row r="2875" spans="1:3">
      <c r="A2875" s="533"/>
      <c r="C2875" s="64"/>
    </row>
    <row r="2876" spans="1:3">
      <c r="A2876" s="533"/>
      <c r="C2876" s="64"/>
    </row>
    <row r="2877" spans="1:3">
      <c r="A2877" s="533"/>
      <c r="C2877" s="64"/>
    </row>
    <row r="2878" spans="1:3">
      <c r="A2878" s="533"/>
      <c r="C2878" s="64"/>
    </row>
    <row r="2879" spans="1:3">
      <c r="A2879" s="533"/>
      <c r="C2879" s="64"/>
    </row>
    <row r="2880" spans="1:3">
      <c r="A2880" s="533"/>
      <c r="C2880" s="64"/>
    </row>
    <row r="2881" spans="1:3">
      <c r="A2881" s="533"/>
      <c r="C2881" s="64"/>
    </row>
    <row r="2882" spans="1:3">
      <c r="A2882" s="533"/>
      <c r="C2882" s="64"/>
    </row>
    <row r="2883" spans="1:3">
      <c r="A2883" s="533"/>
      <c r="C2883" s="64"/>
    </row>
    <row r="2884" spans="1:3">
      <c r="A2884" s="533"/>
      <c r="C2884" s="64"/>
    </row>
    <row r="2885" spans="1:3">
      <c r="A2885" s="533"/>
      <c r="C2885" s="64"/>
    </row>
    <row r="2886" spans="1:3">
      <c r="A2886" s="533"/>
      <c r="C2886" s="64"/>
    </row>
    <row r="2887" spans="1:3">
      <c r="A2887" s="533"/>
      <c r="C2887" s="64"/>
    </row>
    <row r="2888" spans="1:3">
      <c r="A2888" s="533"/>
      <c r="C2888" s="64"/>
    </row>
    <row r="2889" spans="1:3">
      <c r="A2889" s="533"/>
      <c r="C2889" s="64"/>
    </row>
    <row r="2890" spans="1:3">
      <c r="A2890" s="533"/>
      <c r="C2890" s="64"/>
    </row>
    <row r="2891" spans="1:3">
      <c r="A2891" s="533"/>
      <c r="C2891" s="64"/>
    </row>
    <row r="2892" spans="1:3">
      <c r="A2892" s="533"/>
      <c r="C2892" s="64"/>
    </row>
    <row r="2893" spans="1:3">
      <c r="A2893" s="533"/>
      <c r="C2893" s="64"/>
    </row>
    <row r="2894" spans="1:3">
      <c r="A2894" s="533"/>
      <c r="C2894" s="64"/>
    </row>
    <row r="2895" spans="1:3">
      <c r="A2895" s="533"/>
      <c r="C2895" s="64"/>
    </row>
    <row r="2896" spans="1:3">
      <c r="A2896" s="533"/>
      <c r="C2896" s="64"/>
    </row>
    <row r="2897" spans="1:3">
      <c r="A2897" s="533"/>
      <c r="C2897" s="64"/>
    </row>
    <row r="2898" spans="1:3">
      <c r="A2898" s="533"/>
      <c r="C2898" s="64"/>
    </row>
    <row r="2899" spans="1:3">
      <c r="A2899" s="533"/>
      <c r="C2899" s="64"/>
    </row>
    <row r="2900" spans="1:3">
      <c r="A2900" s="533"/>
      <c r="C2900" s="64"/>
    </row>
    <row r="2901" spans="1:3">
      <c r="A2901" s="533"/>
      <c r="C2901" s="64"/>
    </row>
    <row r="2902" spans="1:3">
      <c r="A2902" s="533"/>
      <c r="C2902" s="64"/>
    </row>
    <row r="2903" spans="1:3">
      <c r="A2903" s="533"/>
      <c r="C2903" s="64"/>
    </row>
    <row r="2904" spans="1:3">
      <c r="A2904" s="533"/>
      <c r="C2904" s="64"/>
    </row>
    <row r="2905" spans="1:3">
      <c r="A2905" s="533"/>
      <c r="C2905" s="64"/>
    </row>
    <row r="2906" spans="1:3">
      <c r="A2906" s="533"/>
      <c r="C2906" s="64"/>
    </row>
    <row r="2907" spans="1:3">
      <c r="A2907" s="533"/>
      <c r="C2907" s="64"/>
    </row>
    <row r="2908" spans="1:3">
      <c r="A2908" s="533"/>
      <c r="C2908" s="64"/>
    </row>
    <row r="2909" spans="1:3">
      <c r="A2909" s="533"/>
      <c r="C2909" s="64"/>
    </row>
    <row r="2910" spans="1:3">
      <c r="A2910" s="533"/>
      <c r="C2910" s="64"/>
    </row>
    <row r="2911" spans="1:3">
      <c r="A2911" s="533"/>
      <c r="C2911" s="64"/>
    </row>
    <row r="2912" spans="1:3">
      <c r="A2912" s="533"/>
      <c r="C2912" s="64"/>
    </row>
    <row r="2913" spans="1:3">
      <c r="A2913" s="533"/>
      <c r="C2913" s="64"/>
    </row>
    <row r="2914" spans="1:3">
      <c r="A2914" s="533"/>
      <c r="C2914" s="64"/>
    </row>
    <row r="2915" spans="1:3">
      <c r="A2915" s="533"/>
      <c r="C2915" s="64"/>
    </row>
    <row r="2916" spans="1:3">
      <c r="A2916" s="533"/>
      <c r="C2916" s="64"/>
    </row>
    <row r="2917" spans="1:3">
      <c r="A2917" s="533"/>
      <c r="C2917" s="64"/>
    </row>
    <row r="2918" spans="1:3">
      <c r="A2918" s="533"/>
      <c r="C2918" s="64"/>
    </row>
    <row r="2919" spans="1:3">
      <c r="A2919" s="533"/>
      <c r="C2919" s="64"/>
    </row>
    <row r="2920" spans="1:3">
      <c r="A2920" s="533"/>
      <c r="C2920" s="64"/>
    </row>
    <row r="2921" spans="1:3">
      <c r="A2921" s="533"/>
      <c r="C2921" s="64"/>
    </row>
    <row r="2922" spans="1:3">
      <c r="A2922" s="533"/>
      <c r="C2922" s="64"/>
    </row>
    <row r="2923" spans="1:3">
      <c r="A2923" s="533"/>
      <c r="C2923" s="64"/>
    </row>
    <row r="2924" spans="1:3">
      <c r="A2924" s="533"/>
      <c r="C2924" s="64"/>
    </row>
    <row r="2925" spans="1:3">
      <c r="A2925" s="533"/>
      <c r="C2925" s="64"/>
    </row>
    <row r="2926" spans="1:3">
      <c r="A2926" s="533"/>
      <c r="C2926" s="64"/>
    </row>
    <row r="2927" spans="1:3">
      <c r="A2927" s="533"/>
      <c r="C2927" s="64"/>
    </row>
    <row r="2928" spans="1:3">
      <c r="A2928" s="533"/>
      <c r="C2928" s="64"/>
    </row>
    <row r="2929" spans="1:3">
      <c r="A2929" s="533"/>
      <c r="C2929" s="64"/>
    </row>
    <row r="2930" spans="1:3">
      <c r="A2930" s="533"/>
      <c r="C2930" s="64"/>
    </row>
    <row r="2931" spans="1:3">
      <c r="A2931" s="533"/>
      <c r="C2931" s="64"/>
    </row>
    <row r="2932" spans="1:3">
      <c r="A2932" s="533"/>
      <c r="C2932" s="64"/>
    </row>
    <row r="2933" spans="1:3">
      <c r="A2933" s="533"/>
      <c r="C2933" s="64"/>
    </row>
    <row r="2934" spans="1:3">
      <c r="A2934" s="533"/>
      <c r="C2934" s="64"/>
    </row>
    <row r="2935" spans="1:3">
      <c r="A2935" s="533"/>
      <c r="C2935" s="64"/>
    </row>
    <row r="2936" spans="1:3">
      <c r="A2936" s="533"/>
      <c r="C2936" s="64"/>
    </row>
    <row r="2937" spans="1:3">
      <c r="A2937" s="533"/>
      <c r="C2937" s="64"/>
    </row>
    <row r="2938" spans="1:3">
      <c r="A2938" s="533"/>
      <c r="C2938" s="64"/>
    </row>
    <row r="2939" spans="1:3">
      <c r="A2939" s="533"/>
      <c r="C2939" s="64"/>
    </row>
    <row r="2940" spans="1:3">
      <c r="A2940" s="533"/>
      <c r="C2940" s="64"/>
    </row>
    <row r="2941" spans="1:3">
      <c r="A2941" s="533"/>
      <c r="C2941" s="64"/>
    </row>
    <row r="2942" spans="1:3">
      <c r="A2942" s="533"/>
      <c r="C2942" s="64"/>
    </row>
    <row r="2943" spans="1:3">
      <c r="A2943" s="533"/>
      <c r="C2943" s="64"/>
    </row>
    <row r="2944" spans="1:3">
      <c r="A2944" s="533"/>
      <c r="C2944" s="64"/>
    </row>
    <row r="2945" spans="1:3">
      <c r="A2945" s="533"/>
      <c r="C2945" s="64"/>
    </row>
    <row r="2946" spans="1:3">
      <c r="A2946" s="533"/>
      <c r="C2946" s="64"/>
    </row>
    <row r="2947" spans="1:3">
      <c r="A2947" s="533"/>
      <c r="C2947" s="64"/>
    </row>
    <row r="2948" spans="1:3">
      <c r="A2948" s="533"/>
      <c r="C2948" s="64"/>
    </row>
    <row r="2949" spans="1:3">
      <c r="A2949" s="533"/>
      <c r="C2949" s="64"/>
    </row>
    <row r="2950" spans="1:3">
      <c r="A2950" s="533"/>
      <c r="C2950" s="64"/>
    </row>
    <row r="2951" spans="1:3">
      <c r="A2951" s="533"/>
      <c r="C2951" s="64"/>
    </row>
    <row r="2952" spans="1:3">
      <c r="A2952" s="533"/>
      <c r="C2952" s="64"/>
    </row>
    <row r="2953" spans="1:3">
      <c r="A2953" s="533"/>
      <c r="C2953" s="64"/>
    </row>
    <row r="2954" spans="1:3">
      <c r="A2954" s="533"/>
      <c r="C2954" s="64"/>
    </row>
    <row r="2955" spans="1:3">
      <c r="A2955" s="533"/>
      <c r="C2955" s="64"/>
    </row>
    <row r="2956" spans="1:3">
      <c r="A2956" s="533"/>
      <c r="C2956" s="64"/>
    </row>
    <row r="2957" spans="1:3">
      <c r="A2957" s="533"/>
      <c r="C2957" s="64"/>
    </row>
    <row r="2958" spans="1:3">
      <c r="A2958" s="533"/>
      <c r="C2958" s="64"/>
    </row>
    <row r="2959" spans="1:3">
      <c r="A2959" s="533"/>
      <c r="C2959" s="64"/>
    </row>
    <row r="2960" spans="1:3">
      <c r="A2960" s="533"/>
      <c r="C2960" s="64"/>
    </row>
    <row r="2961" spans="1:3">
      <c r="A2961" s="533"/>
      <c r="C2961" s="64"/>
    </row>
    <row r="2962" spans="1:3">
      <c r="A2962" s="533"/>
      <c r="C2962" s="64"/>
    </row>
    <row r="2963" spans="1:3">
      <c r="A2963" s="533"/>
      <c r="C2963" s="64"/>
    </row>
    <row r="2964" spans="1:3">
      <c r="A2964" s="533"/>
      <c r="C2964" s="64"/>
    </row>
    <row r="2965" spans="1:3">
      <c r="A2965" s="533"/>
      <c r="C2965" s="64"/>
    </row>
    <row r="2966" spans="1:3">
      <c r="A2966" s="533"/>
      <c r="C2966" s="64"/>
    </row>
    <row r="2967" spans="1:3">
      <c r="A2967" s="533"/>
      <c r="C2967" s="64"/>
    </row>
    <row r="2968" spans="1:3">
      <c r="A2968" s="533"/>
      <c r="C2968" s="64"/>
    </row>
    <row r="2969" spans="1:3">
      <c r="A2969" s="533"/>
      <c r="C2969" s="64"/>
    </row>
    <row r="2970" spans="1:3">
      <c r="A2970" s="533"/>
      <c r="C2970" s="64"/>
    </row>
    <row r="2971" spans="1:3">
      <c r="A2971" s="533"/>
      <c r="C2971" s="64"/>
    </row>
    <row r="2972" spans="1:3">
      <c r="A2972" s="533"/>
      <c r="C2972" s="64"/>
    </row>
    <row r="2973" spans="1:3">
      <c r="A2973" s="533"/>
      <c r="C2973" s="64"/>
    </row>
    <row r="2974" spans="1:3">
      <c r="A2974" s="533"/>
      <c r="C2974" s="64"/>
    </row>
    <row r="2975" spans="1:3">
      <c r="A2975" s="533"/>
      <c r="C2975" s="64"/>
    </row>
    <row r="2976" spans="1:3">
      <c r="A2976" s="533"/>
      <c r="C2976" s="64"/>
    </row>
    <row r="2977" spans="1:3">
      <c r="A2977" s="533"/>
      <c r="C2977" s="64"/>
    </row>
    <row r="2978" spans="1:3">
      <c r="A2978" s="533"/>
      <c r="C2978" s="64"/>
    </row>
    <row r="2979" spans="1:3">
      <c r="A2979" s="533"/>
      <c r="C2979" s="64"/>
    </row>
    <row r="2980" spans="1:3">
      <c r="A2980" s="533"/>
      <c r="C2980" s="64"/>
    </row>
    <row r="2981" spans="1:3">
      <c r="A2981" s="533"/>
      <c r="C2981" s="64"/>
    </row>
    <row r="2982" spans="1:3">
      <c r="A2982" s="533"/>
      <c r="C2982" s="64"/>
    </row>
    <row r="2983" spans="1:3">
      <c r="A2983" s="533"/>
      <c r="C2983" s="64"/>
    </row>
    <row r="2984" spans="1:3">
      <c r="A2984" s="533"/>
      <c r="C2984" s="64"/>
    </row>
    <row r="2985" spans="1:3">
      <c r="A2985" s="533"/>
      <c r="C2985" s="64"/>
    </row>
    <row r="2986" spans="1:3">
      <c r="A2986" s="533"/>
      <c r="C2986" s="64"/>
    </row>
    <row r="2987" spans="1:3">
      <c r="A2987" s="533"/>
      <c r="C2987" s="64"/>
    </row>
    <row r="2988" spans="1:3">
      <c r="A2988" s="533"/>
      <c r="C2988" s="64"/>
    </row>
    <row r="2989" spans="1:3">
      <c r="A2989" s="533"/>
      <c r="C2989" s="64"/>
    </row>
    <row r="2990" spans="1:3">
      <c r="A2990" s="533"/>
      <c r="C2990" s="64"/>
    </row>
    <row r="2991" spans="1:3">
      <c r="A2991" s="533"/>
      <c r="C2991" s="64"/>
    </row>
    <row r="2992" spans="1:3">
      <c r="A2992" s="533"/>
      <c r="C2992" s="64"/>
    </row>
    <row r="2993" spans="1:3">
      <c r="A2993" s="533"/>
      <c r="C2993" s="64"/>
    </row>
    <row r="2994" spans="1:3">
      <c r="A2994" s="533"/>
      <c r="C2994" s="64"/>
    </row>
    <row r="2995" spans="1:3">
      <c r="A2995" s="533"/>
      <c r="C2995" s="64"/>
    </row>
    <row r="2996" spans="1:3">
      <c r="A2996" s="533"/>
      <c r="C2996" s="64"/>
    </row>
    <row r="2997" spans="1:3">
      <c r="A2997" s="533"/>
      <c r="C2997" s="64"/>
    </row>
    <row r="2998" spans="1:3">
      <c r="A2998" s="533"/>
      <c r="C2998" s="64"/>
    </row>
    <row r="2999" spans="1:3">
      <c r="A2999" s="533"/>
      <c r="C2999" s="64"/>
    </row>
    <row r="3000" spans="1:3">
      <c r="A3000" s="533"/>
      <c r="C3000" s="64"/>
    </row>
    <row r="3001" spans="1:3">
      <c r="A3001" s="533"/>
      <c r="C3001" s="64"/>
    </row>
    <row r="3002" spans="1:3">
      <c r="A3002" s="533"/>
      <c r="C3002" s="64"/>
    </row>
    <row r="3003" spans="1:3">
      <c r="A3003" s="533"/>
      <c r="C3003" s="64"/>
    </row>
    <row r="3004" spans="1:3">
      <c r="A3004" s="533"/>
      <c r="C3004" s="64"/>
    </row>
    <row r="3005" spans="1:3">
      <c r="A3005" s="533"/>
      <c r="C3005" s="64"/>
    </row>
    <row r="3006" spans="1:3">
      <c r="A3006" s="533"/>
      <c r="C3006" s="64"/>
    </row>
    <row r="3007" spans="1:3">
      <c r="A3007" s="533"/>
      <c r="C3007" s="64"/>
    </row>
    <row r="3008" spans="1:3">
      <c r="A3008" s="533"/>
      <c r="C3008" s="64"/>
    </row>
    <row r="3009" spans="1:3">
      <c r="A3009" s="533"/>
      <c r="C3009" s="64"/>
    </row>
    <row r="3010" spans="1:3">
      <c r="A3010" s="533"/>
      <c r="C3010" s="64"/>
    </row>
    <row r="3011" spans="1:3">
      <c r="A3011" s="533"/>
      <c r="C3011" s="64"/>
    </row>
    <row r="3012" spans="1:3">
      <c r="A3012" s="533"/>
      <c r="C3012" s="64"/>
    </row>
    <row r="3013" spans="1:3">
      <c r="A3013" s="533"/>
      <c r="C3013" s="64"/>
    </row>
    <row r="3014" spans="1:3">
      <c r="A3014" s="533"/>
      <c r="C3014" s="64"/>
    </row>
    <row r="3015" spans="1:3">
      <c r="A3015" s="533"/>
      <c r="C3015" s="64"/>
    </row>
    <row r="3016" spans="1:3">
      <c r="A3016" s="533"/>
      <c r="C3016" s="64"/>
    </row>
    <row r="3017" spans="1:3">
      <c r="A3017" s="533"/>
      <c r="C3017" s="64"/>
    </row>
    <row r="3018" spans="1:3">
      <c r="A3018" s="533"/>
      <c r="C3018" s="64"/>
    </row>
    <row r="3019" spans="1:3">
      <c r="A3019" s="533"/>
      <c r="C3019" s="64"/>
    </row>
    <row r="3020" spans="1:3">
      <c r="A3020" s="533"/>
      <c r="C3020" s="64"/>
    </row>
    <row r="3021" spans="1:3">
      <c r="A3021" s="533"/>
      <c r="C3021" s="64"/>
    </row>
    <row r="3022" spans="1:3">
      <c r="A3022" s="533"/>
      <c r="C3022" s="64"/>
    </row>
    <row r="3023" spans="1:3">
      <c r="A3023" s="533"/>
      <c r="C3023" s="64"/>
    </row>
    <row r="3024" spans="1:3">
      <c r="A3024" s="533"/>
      <c r="C3024" s="64"/>
    </row>
    <row r="3025" spans="1:3">
      <c r="A3025" s="533"/>
      <c r="C3025" s="64"/>
    </row>
    <row r="3026" spans="1:3">
      <c r="A3026" s="533"/>
      <c r="C3026" s="64"/>
    </row>
    <row r="3027" spans="1:3">
      <c r="A3027" s="533"/>
      <c r="C3027" s="64"/>
    </row>
    <row r="3028" spans="1:3">
      <c r="A3028" s="533"/>
      <c r="C3028" s="64"/>
    </row>
    <row r="3029" spans="1:3">
      <c r="A3029" s="533"/>
      <c r="C3029" s="64"/>
    </row>
    <row r="3030" spans="1:3">
      <c r="A3030" s="533"/>
      <c r="C3030" s="64"/>
    </row>
    <row r="3031" spans="1:3">
      <c r="A3031" s="533"/>
      <c r="C3031" s="64"/>
    </row>
    <row r="3032" spans="1:3">
      <c r="A3032" s="533"/>
      <c r="C3032" s="64"/>
    </row>
    <row r="3033" spans="1:3">
      <c r="A3033" s="533"/>
      <c r="C3033" s="64"/>
    </row>
    <row r="3034" spans="1:3">
      <c r="A3034" s="533"/>
      <c r="C3034" s="64"/>
    </row>
    <row r="3035" spans="1:3">
      <c r="A3035" s="533"/>
      <c r="C3035" s="64"/>
    </row>
    <row r="3036" spans="1:3">
      <c r="A3036" s="533"/>
      <c r="C3036" s="64"/>
    </row>
    <row r="3037" spans="1:3">
      <c r="A3037" s="533"/>
      <c r="C3037" s="64"/>
    </row>
    <row r="3038" spans="1:3">
      <c r="A3038" s="533"/>
      <c r="C3038" s="64"/>
    </row>
    <row r="3039" spans="1:3">
      <c r="A3039" s="533"/>
      <c r="C3039" s="64"/>
    </row>
    <row r="3040" spans="1:3">
      <c r="A3040" s="533"/>
      <c r="C3040" s="64"/>
    </row>
    <row r="3041" spans="1:3">
      <c r="A3041" s="533"/>
      <c r="C3041" s="64"/>
    </row>
    <row r="3042" spans="1:3">
      <c r="A3042" s="533"/>
      <c r="C3042" s="64"/>
    </row>
    <row r="3043" spans="1:3">
      <c r="A3043" s="533"/>
      <c r="C3043" s="64"/>
    </row>
    <row r="3044" spans="1:3">
      <c r="A3044" s="533"/>
      <c r="C3044" s="64"/>
    </row>
    <row r="3045" spans="1:3">
      <c r="A3045" s="533"/>
      <c r="C3045" s="64"/>
    </row>
    <row r="3046" spans="1:3">
      <c r="A3046" s="533"/>
      <c r="C3046" s="64"/>
    </row>
    <row r="3047" spans="1:3">
      <c r="A3047" s="533"/>
      <c r="C3047" s="64"/>
    </row>
    <row r="3048" spans="1:3">
      <c r="A3048" s="533"/>
      <c r="C3048" s="64"/>
    </row>
    <row r="3049" spans="1:3">
      <c r="A3049" s="533"/>
      <c r="C3049" s="64"/>
    </row>
    <row r="3050" spans="1:3">
      <c r="A3050" s="533"/>
      <c r="C3050" s="64"/>
    </row>
    <row r="3051" spans="1:3">
      <c r="A3051" s="533"/>
      <c r="C3051" s="64"/>
    </row>
    <row r="3052" spans="1:3">
      <c r="A3052" s="533"/>
      <c r="C3052" s="64"/>
    </row>
    <row r="3053" spans="1:3">
      <c r="A3053" s="533"/>
      <c r="C3053" s="64"/>
    </row>
    <row r="3054" spans="1:3">
      <c r="A3054" s="533"/>
      <c r="C3054" s="64"/>
    </row>
    <row r="3055" spans="1:3">
      <c r="A3055" s="533"/>
      <c r="C3055" s="64"/>
    </row>
    <row r="3056" spans="1:3">
      <c r="A3056" s="533"/>
      <c r="C3056" s="64"/>
    </row>
    <row r="3057" spans="1:3">
      <c r="A3057" s="533"/>
      <c r="C3057" s="64"/>
    </row>
    <row r="3058" spans="1:3">
      <c r="A3058" s="533"/>
      <c r="C3058" s="64"/>
    </row>
    <row r="3059" spans="1:3">
      <c r="A3059" s="533"/>
      <c r="C3059" s="64"/>
    </row>
    <row r="3060" spans="1:3">
      <c r="A3060" s="533"/>
      <c r="C3060" s="64"/>
    </row>
    <row r="3061" spans="1:3">
      <c r="A3061" s="533"/>
      <c r="C3061" s="64"/>
    </row>
    <row r="3062" spans="1:3">
      <c r="A3062" s="533"/>
      <c r="C3062" s="64"/>
    </row>
    <row r="3063" spans="1:3">
      <c r="A3063" s="533"/>
      <c r="C3063" s="64"/>
    </row>
    <row r="3064" spans="1:3">
      <c r="A3064" s="533"/>
      <c r="C3064" s="64"/>
    </row>
    <row r="3065" spans="1:3">
      <c r="A3065" s="533"/>
      <c r="C3065" s="64"/>
    </row>
    <row r="3066" spans="1:3">
      <c r="A3066" s="533"/>
      <c r="C3066" s="64"/>
    </row>
    <row r="3067" spans="1:3">
      <c r="A3067" s="533"/>
      <c r="C3067" s="64"/>
    </row>
    <row r="3068" spans="1:3">
      <c r="A3068" s="533"/>
      <c r="C3068" s="64"/>
    </row>
    <row r="3069" spans="1:3">
      <c r="A3069" s="533"/>
      <c r="C3069" s="64"/>
    </row>
    <row r="3070" spans="1:3">
      <c r="A3070" s="533"/>
      <c r="C3070" s="64"/>
    </row>
    <row r="3071" spans="1:3">
      <c r="A3071" s="533"/>
      <c r="C3071" s="64"/>
    </row>
    <row r="3072" spans="1:3">
      <c r="A3072" s="533"/>
      <c r="C3072" s="64"/>
    </row>
    <row r="3073" spans="1:3">
      <c r="A3073" s="533"/>
      <c r="C3073" s="64"/>
    </row>
    <row r="3074" spans="1:3">
      <c r="A3074" s="533"/>
      <c r="C3074" s="64"/>
    </row>
    <row r="3075" spans="1:3">
      <c r="A3075" s="533"/>
      <c r="C3075" s="64"/>
    </row>
    <row r="3076" spans="1:3">
      <c r="A3076" s="533"/>
      <c r="C3076" s="64"/>
    </row>
    <row r="3077" spans="1:3">
      <c r="A3077" s="533"/>
      <c r="C3077" s="64"/>
    </row>
    <row r="3078" spans="1:3">
      <c r="A3078" s="533"/>
      <c r="C3078" s="64"/>
    </row>
    <row r="3079" spans="1:3">
      <c r="A3079" s="533"/>
      <c r="C3079" s="64"/>
    </row>
    <row r="3080" spans="1:3">
      <c r="A3080" s="533"/>
      <c r="C3080" s="64"/>
    </row>
    <row r="3081" spans="1:3">
      <c r="A3081" s="533"/>
      <c r="C3081" s="64"/>
    </row>
    <row r="3082" spans="1:3">
      <c r="A3082" s="533"/>
      <c r="C3082" s="64"/>
    </row>
    <row r="3083" spans="1:3">
      <c r="A3083" s="533"/>
      <c r="C3083" s="64"/>
    </row>
    <row r="3084" spans="1:3">
      <c r="A3084" s="533"/>
      <c r="C3084" s="64"/>
    </row>
    <row r="3085" spans="1:3">
      <c r="A3085" s="533"/>
      <c r="C3085" s="64"/>
    </row>
    <row r="3086" spans="1:3">
      <c r="A3086" s="533"/>
      <c r="C3086" s="64"/>
    </row>
    <row r="3087" spans="1:3">
      <c r="A3087" s="533"/>
      <c r="C3087" s="64"/>
    </row>
    <row r="3088" spans="1:3">
      <c r="A3088" s="533"/>
      <c r="C3088" s="64"/>
    </row>
    <row r="3089" spans="1:3">
      <c r="A3089" s="533"/>
      <c r="C3089" s="64"/>
    </row>
    <row r="3090" spans="1:3">
      <c r="A3090" s="533"/>
      <c r="C3090" s="64"/>
    </row>
    <row r="3091" spans="1:3">
      <c r="A3091" s="533"/>
      <c r="C3091" s="64"/>
    </row>
    <row r="3092" spans="1:3">
      <c r="A3092" s="533"/>
      <c r="C3092" s="64"/>
    </row>
    <row r="3093" spans="1:3">
      <c r="A3093" s="533"/>
      <c r="C3093" s="64"/>
    </row>
    <row r="3094" spans="1:3">
      <c r="A3094" s="533"/>
      <c r="C3094" s="64"/>
    </row>
    <row r="3095" spans="1:3">
      <c r="A3095" s="533"/>
      <c r="C3095" s="64"/>
    </row>
    <row r="3096" spans="1:3">
      <c r="A3096" s="533"/>
      <c r="C3096" s="64"/>
    </row>
    <row r="3097" spans="1:3">
      <c r="A3097" s="533"/>
      <c r="C3097" s="64"/>
    </row>
    <row r="3098" spans="1:3">
      <c r="A3098" s="533"/>
      <c r="C3098" s="64"/>
    </row>
    <row r="3099" spans="1:3">
      <c r="A3099" s="533"/>
      <c r="C3099" s="64"/>
    </row>
    <row r="3100" spans="1:3">
      <c r="A3100" s="533"/>
      <c r="C3100" s="64"/>
    </row>
    <row r="3101" spans="1:3">
      <c r="A3101" s="533"/>
      <c r="C3101" s="64"/>
    </row>
    <row r="3102" spans="1:3">
      <c r="A3102" s="533"/>
      <c r="C3102" s="64"/>
    </row>
    <row r="3103" spans="1:3">
      <c r="A3103" s="533"/>
      <c r="C3103" s="64"/>
    </row>
    <row r="3104" spans="1:3">
      <c r="A3104" s="533"/>
      <c r="C3104" s="64"/>
    </row>
    <row r="3105" spans="1:3">
      <c r="A3105" s="533"/>
      <c r="C3105" s="64"/>
    </row>
    <row r="3106" spans="1:3">
      <c r="A3106" s="533"/>
      <c r="C3106" s="64"/>
    </row>
    <row r="3107" spans="1:3">
      <c r="A3107" s="533"/>
      <c r="C3107" s="64"/>
    </row>
    <row r="3108" spans="1:3">
      <c r="A3108" s="533"/>
      <c r="C3108" s="64"/>
    </row>
    <row r="3109" spans="1:3">
      <c r="A3109" s="533"/>
      <c r="C3109" s="64"/>
    </row>
    <row r="3110" spans="1:3">
      <c r="A3110" s="533"/>
      <c r="C3110" s="64"/>
    </row>
    <row r="3111" spans="1:3">
      <c r="A3111" s="533"/>
      <c r="C3111" s="64"/>
    </row>
    <row r="3112" spans="1:3">
      <c r="A3112" s="533"/>
      <c r="C3112" s="64"/>
    </row>
    <row r="3113" spans="1:3">
      <c r="A3113" s="533"/>
      <c r="C3113" s="64"/>
    </row>
    <row r="3114" spans="1:3">
      <c r="A3114" s="533"/>
      <c r="C3114" s="64"/>
    </row>
    <row r="3115" spans="1:3">
      <c r="A3115" s="533"/>
      <c r="C3115" s="64"/>
    </row>
    <row r="3116" spans="1:3">
      <c r="A3116" s="533"/>
      <c r="C3116" s="64"/>
    </row>
    <row r="3117" spans="1:3">
      <c r="A3117" s="533"/>
      <c r="C3117" s="64"/>
    </row>
    <row r="3118" spans="1:3">
      <c r="A3118" s="533"/>
      <c r="C3118" s="64"/>
    </row>
    <row r="3119" spans="1:3">
      <c r="A3119" s="533"/>
      <c r="C3119" s="64"/>
    </row>
    <row r="3120" spans="1:3">
      <c r="A3120" s="533"/>
      <c r="C3120" s="64"/>
    </row>
    <row r="3121" spans="1:3">
      <c r="A3121" s="533"/>
      <c r="C3121" s="64"/>
    </row>
    <row r="3122" spans="1:3">
      <c r="A3122" s="533"/>
      <c r="C3122" s="64"/>
    </row>
    <row r="3123" spans="1:3">
      <c r="A3123" s="533"/>
      <c r="C3123" s="64"/>
    </row>
    <row r="3124" spans="1:3">
      <c r="A3124" s="533"/>
      <c r="C3124" s="64"/>
    </row>
    <row r="3125" spans="1:3">
      <c r="A3125" s="533"/>
      <c r="C3125" s="64"/>
    </row>
    <row r="3126" spans="1:3">
      <c r="A3126" s="533"/>
      <c r="C3126" s="64"/>
    </row>
    <row r="3127" spans="1:3">
      <c r="A3127" s="533"/>
      <c r="C3127" s="64"/>
    </row>
    <row r="3128" spans="1:3">
      <c r="A3128" s="533"/>
      <c r="C3128" s="64"/>
    </row>
    <row r="3129" spans="1:3">
      <c r="A3129" s="533"/>
      <c r="C3129" s="64"/>
    </row>
    <row r="3130" spans="1:3">
      <c r="A3130" s="533"/>
      <c r="C3130" s="64"/>
    </row>
    <row r="3131" spans="1:3">
      <c r="A3131" s="533"/>
      <c r="C3131" s="64"/>
    </row>
    <row r="3132" spans="1:3">
      <c r="A3132" s="533"/>
      <c r="C3132" s="64"/>
    </row>
    <row r="3133" spans="1:3">
      <c r="A3133" s="533"/>
      <c r="C3133" s="64"/>
    </row>
    <row r="3134" spans="1:3">
      <c r="A3134" s="533"/>
      <c r="C3134" s="64"/>
    </row>
    <row r="3135" spans="1:3">
      <c r="A3135" s="533"/>
      <c r="C3135" s="64"/>
    </row>
    <row r="3136" spans="1:3">
      <c r="A3136" s="533"/>
      <c r="C3136" s="64"/>
    </row>
    <row r="3137" spans="1:3">
      <c r="A3137" s="533"/>
      <c r="C3137" s="64"/>
    </row>
    <row r="3138" spans="1:3">
      <c r="A3138" s="533"/>
      <c r="C3138" s="64"/>
    </row>
    <row r="3139" spans="1:3">
      <c r="A3139" s="533"/>
      <c r="C3139" s="64"/>
    </row>
    <row r="3140" spans="1:3">
      <c r="A3140" s="533"/>
      <c r="C3140" s="64"/>
    </row>
    <row r="3141" spans="1:3">
      <c r="A3141" s="533"/>
      <c r="C3141" s="64"/>
    </row>
    <row r="3142" spans="1:3">
      <c r="A3142" s="533"/>
      <c r="C3142" s="64"/>
    </row>
    <row r="3143" spans="1:3">
      <c r="A3143" s="533"/>
      <c r="C3143" s="64"/>
    </row>
    <row r="3144" spans="1:3">
      <c r="A3144" s="533"/>
      <c r="C3144" s="64"/>
    </row>
    <row r="3145" spans="1:3">
      <c r="A3145" s="533"/>
      <c r="C3145" s="64"/>
    </row>
    <row r="3146" spans="1:3">
      <c r="A3146" s="533"/>
      <c r="C3146" s="64"/>
    </row>
    <row r="3147" spans="1:3">
      <c r="A3147" s="533"/>
      <c r="C3147" s="64"/>
    </row>
    <row r="3148" spans="1:3">
      <c r="A3148" s="533"/>
      <c r="C3148" s="64"/>
    </row>
    <row r="3149" spans="1:3">
      <c r="A3149" s="533"/>
      <c r="C3149" s="64"/>
    </row>
    <row r="3150" spans="1:3">
      <c r="A3150" s="533"/>
      <c r="C3150" s="64"/>
    </row>
    <row r="3151" spans="1:3">
      <c r="A3151" s="533"/>
      <c r="C3151" s="64"/>
    </row>
    <row r="3152" spans="1:3">
      <c r="A3152" s="533"/>
      <c r="C3152" s="64"/>
    </row>
    <row r="3153" spans="1:3">
      <c r="A3153" s="533"/>
      <c r="C3153" s="64"/>
    </row>
    <row r="3154" spans="1:3">
      <c r="A3154" s="533"/>
      <c r="C3154" s="64"/>
    </row>
    <row r="3155" spans="1:3">
      <c r="A3155" s="533"/>
      <c r="C3155" s="64"/>
    </row>
    <row r="3156" spans="1:3">
      <c r="A3156" s="533"/>
      <c r="C3156" s="64"/>
    </row>
    <row r="3157" spans="1:3">
      <c r="A3157" s="533"/>
      <c r="C3157" s="64"/>
    </row>
    <row r="3158" spans="1:3">
      <c r="A3158" s="533"/>
      <c r="C3158" s="64"/>
    </row>
    <row r="3159" spans="1:3">
      <c r="A3159" s="533"/>
      <c r="C3159" s="64"/>
    </row>
    <row r="3160" spans="1:3">
      <c r="A3160" s="533"/>
      <c r="C3160" s="64"/>
    </row>
    <row r="3161" spans="1:3">
      <c r="A3161" s="533"/>
      <c r="C3161" s="64"/>
    </row>
    <row r="3162" spans="1:3">
      <c r="A3162" s="533"/>
      <c r="C3162" s="64"/>
    </row>
    <row r="3163" spans="1:3">
      <c r="A3163" s="533"/>
      <c r="C3163" s="64"/>
    </row>
    <row r="3164" spans="1:3">
      <c r="A3164" s="533"/>
      <c r="C3164" s="64"/>
    </row>
    <row r="3165" spans="1:3">
      <c r="A3165" s="533"/>
      <c r="C3165" s="64"/>
    </row>
    <row r="3166" spans="1:3">
      <c r="A3166" s="533"/>
      <c r="C3166" s="64"/>
    </row>
    <row r="3167" spans="1:3">
      <c r="A3167" s="533"/>
      <c r="C3167" s="64"/>
    </row>
    <row r="3168" spans="1:3">
      <c r="A3168" s="533"/>
      <c r="C3168" s="64"/>
    </row>
    <row r="3169" spans="1:3">
      <c r="A3169" s="533"/>
      <c r="C3169" s="64"/>
    </row>
    <row r="3170" spans="1:3">
      <c r="A3170" s="533"/>
      <c r="C3170" s="64"/>
    </row>
    <row r="3171" spans="1:3">
      <c r="A3171" s="533"/>
      <c r="C3171" s="64"/>
    </row>
    <row r="3172" spans="1:3">
      <c r="A3172" s="533"/>
      <c r="C3172" s="64"/>
    </row>
    <row r="3173" spans="1:3">
      <c r="A3173" s="533"/>
      <c r="C3173" s="64"/>
    </row>
    <row r="3174" spans="1:3">
      <c r="A3174" s="533"/>
      <c r="C3174" s="64"/>
    </row>
    <row r="3175" spans="1:3">
      <c r="A3175" s="533"/>
      <c r="C3175" s="64"/>
    </row>
    <row r="3176" spans="1:3">
      <c r="A3176" s="533"/>
      <c r="C3176" s="64"/>
    </row>
    <row r="3177" spans="1:3">
      <c r="A3177" s="533"/>
      <c r="C3177" s="64"/>
    </row>
    <row r="3178" spans="1:3">
      <c r="A3178" s="533"/>
      <c r="C3178" s="64"/>
    </row>
    <row r="3179" spans="1:3">
      <c r="A3179" s="533"/>
      <c r="C3179" s="64"/>
    </row>
    <row r="3180" spans="1:3">
      <c r="A3180" s="533"/>
      <c r="C3180" s="64"/>
    </row>
    <row r="3181" spans="1:3">
      <c r="A3181" s="533"/>
      <c r="C3181" s="64"/>
    </row>
    <row r="3182" spans="1:3">
      <c r="A3182" s="533"/>
      <c r="C3182" s="64"/>
    </row>
    <row r="3183" spans="1:3">
      <c r="A3183" s="533"/>
      <c r="C3183" s="64"/>
    </row>
    <row r="3184" spans="1:3">
      <c r="A3184" s="533"/>
      <c r="C3184" s="64"/>
    </row>
    <row r="3185" spans="1:3">
      <c r="A3185" s="533"/>
      <c r="C3185" s="64"/>
    </row>
    <row r="3186" spans="1:3">
      <c r="A3186" s="533"/>
      <c r="C3186" s="64"/>
    </row>
    <row r="3187" spans="1:3">
      <c r="A3187" s="533"/>
      <c r="C3187" s="64"/>
    </row>
    <row r="3188" spans="1:3">
      <c r="A3188" s="533"/>
      <c r="C3188" s="64"/>
    </row>
    <row r="3189" spans="1:3">
      <c r="A3189" s="533"/>
      <c r="C3189" s="64"/>
    </row>
    <row r="3190" spans="1:3">
      <c r="A3190" s="533"/>
      <c r="C3190" s="64"/>
    </row>
    <row r="3191" spans="1:3">
      <c r="A3191" s="533"/>
      <c r="C3191" s="64"/>
    </row>
    <row r="3192" spans="1:3">
      <c r="A3192" s="533"/>
      <c r="C3192" s="64"/>
    </row>
    <row r="3193" spans="1:3">
      <c r="A3193" s="533"/>
      <c r="C3193" s="64"/>
    </row>
    <row r="3194" spans="1:3">
      <c r="A3194" s="533"/>
      <c r="C3194" s="64"/>
    </row>
    <row r="3195" spans="1:3">
      <c r="A3195" s="533"/>
      <c r="C3195" s="64"/>
    </row>
    <row r="3196" spans="1:3">
      <c r="A3196" s="533"/>
      <c r="C3196" s="64"/>
    </row>
    <row r="3197" spans="1:3">
      <c r="A3197" s="533"/>
      <c r="C3197" s="64"/>
    </row>
    <row r="3198" spans="1:3">
      <c r="A3198" s="533"/>
      <c r="C3198" s="64"/>
    </row>
    <row r="3199" spans="1:3">
      <c r="A3199" s="533"/>
      <c r="C3199" s="64"/>
    </row>
    <row r="3200" spans="1:3">
      <c r="A3200" s="533"/>
      <c r="C3200" s="64"/>
    </row>
    <row r="3201" spans="1:3">
      <c r="A3201" s="533"/>
      <c r="C3201" s="64"/>
    </row>
    <row r="3202" spans="1:3">
      <c r="A3202" s="533"/>
      <c r="C3202" s="64"/>
    </row>
    <row r="3203" spans="1:3">
      <c r="A3203" s="533"/>
      <c r="C3203" s="64"/>
    </row>
    <row r="3204" spans="1:3">
      <c r="A3204" s="533"/>
      <c r="C3204" s="64"/>
    </row>
    <row r="3205" spans="1:3">
      <c r="A3205" s="533"/>
      <c r="C3205" s="64"/>
    </row>
    <row r="3206" spans="1:3">
      <c r="A3206" s="533"/>
      <c r="C3206" s="64"/>
    </row>
    <row r="3207" spans="1:3">
      <c r="A3207" s="533"/>
      <c r="C3207" s="64"/>
    </row>
    <row r="3208" spans="1:3">
      <c r="A3208" s="533"/>
      <c r="C3208" s="64"/>
    </row>
    <row r="3209" spans="1:3">
      <c r="A3209" s="533"/>
      <c r="C3209" s="64"/>
    </row>
    <row r="3210" spans="1:3">
      <c r="A3210" s="533"/>
      <c r="C3210" s="64"/>
    </row>
    <row r="3211" spans="1:3">
      <c r="A3211" s="533"/>
      <c r="C3211" s="64"/>
    </row>
    <row r="3212" spans="1:3">
      <c r="A3212" s="533"/>
      <c r="C3212" s="64"/>
    </row>
    <row r="3213" spans="1:3">
      <c r="A3213" s="533"/>
      <c r="C3213" s="64"/>
    </row>
    <row r="3214" spans="1:3">
      <c r="A3214" s="533"/>
      <c r="C3214" s="64"/>
    </row>
    <row r="3215" spans="1:3">
      <c r="A3215" s="533"/>
      <c r="C3215" s="64"/>
    </row>
    <row r="3216" spans="1:3">
      <c r="A3216" s="533"/>
      <c r="C3216" s="64"/>
    </row>
    <row r="3217" spans="1:3">
      <c r="A3217" s="533"/>
      <c r="C3217" s="64"/>
    </row>
    <row r="3218" spans="1:3">
      <c r="A3218" s="533"/>
      <c r="C3218" s="64"/>
    </row>
    <row r="3219" spans="1:3">
      <c r="A3219" s="533"/>
      <c r="C3219" s="64"/>
    </row>
    <row r="3220" spans="1:3">
      <c r="A3220" s="533"/>
      <c r="C3220" s="64"/>
    </row>
    <row r="3221" spans="1:3">
      <c r="A3221" s="533"/>
      <c r="C3221" s="64"/>
    </row>
    <row r="3222" spans="1:3">
      <c r="A3222" s="533"/>
      <c r="C3222" s="64"/>
    </row>
    <row r="3223" spans="1:3">
      <c r="A3223" s="533"/>
      <c r="C3223" s="64"/>
    </row>
    <row r="3224" spans="1:3">
      <c r="A3224" s="533"/>
      <c r="C3224" s="64"/>
    </row>
    <row r="3225" spans="1:3">
      <c r="A3225" s="533"/>
      <c r="C3225" s="64"/>
    </row>
    <row r="3226" spans="1:3">
      <c r="A3226" s="533"/>
      <c r="C3226" s="64"/>
    </row>
    <row r="3227" spans="1:3">
      <c r="A3227" s="533"/>
      <c r="C3227" s="64"/>
    </row>
    <row r="3228" spans="1:3">
      <c r="A3228" s="533"/>
      <c r="C3228" s="64"/>
    </row>
    <row r="3229" spans="1:3">
      <c r="A3229" s="533"/>
      <c r="C3229" s="64"/>
    </row>
    <row r="3230" spans="1:3">
      <c r="A3230" s="533"/>
      <c r="C3230" s="64"/>
    </row>
    <row r="3231" spans="1:3">
      <c r="A3231" s="533"/>
      <c r="C3231" s="64"/>
    </row>
    <row r="3232" spans="1:3">
      <c r="A3232" s="533"/>
      <c r="C3232" s="64"/>
    </row>
    <row r="3233" spans="1:3">
      <c r="A3233" s="533"/>
      <c r="C3233" s="64"/>
    </row>
    <row r="3234" spans="1:3">
      <c r="A3234" s="533"/>
      <c r="C3234" s="64"/>
    </row>
    <row r="3235" spans="1:3">
      <c r="A3235" s="533"/>
      <c r="C3235" s="64"/>
    </row>
    <row r="3236" spans="1:3">
      <c r="A3236" s="533"/>
      <c r="C3236" s="64"/>
    </row>
    <row r="3237" spans="1:3">
      <c r="A3237" s="533"/>
      <c r="C3237" s="64"/>
    </row>
    <row r="3238" spans="1:3">
      <c r="A3238" s="533"/>
      <c r="C3238" s="64"/>
    </row>
    <row r="3239" spans="1:3">
      <c r="A3239" s="533"/>
      <c r="C3239" s="64"/>
    </row>
    <row r="3240" spans="1:3">
      <c r="A3240" s="533"/>
      <c r="C3240" s="64"/>
    </row>
    <row r="3241" spans="1:3">
      <c r="A3241" s="533"/>
      <c r="C3241" s="64"/>
    </row>
    <row r="3242" spans="1:3">
      <c r="A3242" s="533"/>
      <c r="C3242" s="64"/>
    </row>
    <row r="3243" spans="1:3">
      <c r="A3243" s="533"/>
      <c r="C3243" s="64"/>
    </row>
    <row r="3244" spans="1:3">
      <c r="A3244" s="533"/>
      <c r="C3244" s="64"/>
    </row>
    <row r="3245" spans="1:3">
      <c r="A3245" s="533"/>
      <c r="C3245" s="64"/>
    </row>
    <row r="3246" spans="1:3">
      <c r="A3246" s="533"/>
      <c r="C3246" s="64"/>
    </row>
    <row r="3247" spans="1:3">
      <c r="A3247" s="533"/>
      <c r="C3247" s="64"/>
    </row>
    <row r="3248" spans="1:3">
      <c r="A3248" s="533"/>
      <c r="C3248" s="64"/>
    </row>
    <row r="3249" spans="1:3">
      <c r="A3249" s="533"/>
      <c r="C3249" s="64"/>
    </row>
    <row r="3250" spans="1:3">
      <c r="A3250" s="533"/>
      <c r="C3250" s="64"/>
    </row>
    <row r="3251" spans="1:3">
      <c r="A3251" s="533"/>
      <c r="C3251" s="64"/>
    </row>
    <row r="3252" spans="1:3">
      <c r="A3252" s="533"/>
      <c r="C3252" s="64"/>
    </row>
    <row r="3253" spans="1:3">
      <c r="A3253" s="533"/>
      <c r="C3253" s="64"/>
    </row>
    <row r="3254" spans="1:3">
      <c r="A3254" s="533"/>
      <c r="C3254" s="64"/>
    </row>
    <row r="3255" spans="1:3">
      <c r="A3255" s="533"/>
      <c r="C3255" s="64"/>
    </row>
    <row r="3256" spans="1:3">
      <c r="A3256" s="533"/>
      <c r="C3256" s="64"/>
    </row>
    <row r="3257" spans="1:3">
      <c r="A3257" s="533"/>
      <c r="C3257" s="64"/>
    </row>
    <row r="3258" spans="1:3">
      <c r="A3258" s="533"/>
      <c r="C3258" s="64"/>
    </row>
    <row r="3259" spans="1:3">
      <c r="A3259" s="533"/>
      <c r="C3259" s="64"/>
    </row>
    <row r="3260" spans="1:3">
      <c r="A3260" s="533"/>
      <c r="C3260" s="64"/>
    </row>
    <row r="3261" spans="1:3">
      <c r="A3261" s="533"/>
      <c r="C3261" s="64"/>
    </row>
    <row r="3262" spans="1:3">
      <c r="A3262" s="533"/>
      <c r="C3262" s="64"/>
    </row>
    <row r="3263" spans="1:3">
      <c r="A3263" s="533"/>
      <c r="C3263" s="64"/>
    </row>
    <row r="3264" spans="1:3">
      <c r="A3264" s="533"/>
      <c r="C3264" s="64"/>
    </row>
    <row r="3265" spans="1:3">
      <c r="A3265" s="533"/>
      <c r="C3265" s="64"/>
    </row>
    <row r="3266" spans="1:3">
      <c r="A3266" s="533"/>
      <c r="C3266" s="64"/>
    </row>
    <row r="3267" spans="1:3">
      <c r="A3267" s="533"/>
      <c r="C3267" s="64"/>
    </row>
    <row r="3268" spans="1:3">
      <c r="A3268" s="533"/>
      <c r="C3268" s="64"/>
    </row>
    <row r="3269" spans="1:3">
      <c r="A3269" s="533"/>
      <c r="C3269" s="64"/>
    </row>
    <row r="3270" spans="1:3">
      <c r="A3270" s="533"/>
      <c r="C3270" s="64"/>
    </row>
    <row r="3271" spans="1:3">
      <c r="A3271" s="533"/>
      <c r="C3271" s="64"/>
    </row>
    <row r="3272" spans="1:3">
      <c r="A3272" s="533"/>
      <c r="C3272" s="64"/>
    </row>
    <row r="3273" spans="1:3">
      <c r="A3273" s="533"/>
      <c r="C3273" s="64"/>
    </row>
    <row r="3274" spans="1:3">
      <c r="A3274" s="533"/>
      <c r="C3274" s="64"/>
    </row>
    <row r="3275" spans="1:3">
      <c r="A3275" s="533"/>
      <c r="C3275" s="64"/>
    </row>
    <row r="3276" spans="1:3">
      <c r="A3276" s="533"/>
      <c r="C3276" s="64"/>
    </row>
    <row r="3277" spans="1:3">
      <c r="A3277" s="533"/>
      <c r="C3277" s="64"/>
    </row>
    <row r="3278" spans="1:3">
      <c r="A3278" s="533"/>
      <c r="C3278" s="64"/>
    </row>
    <row r="3279" spans="1:3">
      <c r="A3279" s="533"/>
      <c r="C3279" s="64"/>
    </row>
    <row r="3280" spans="1:3">
      <c r="A3280" s="533"/>
      <c r="C3280" s="64"/>
    </row>
    <row r="3281" spans="1:3">
      <c r="A3281" s="533"/>
      <c r="C3281" s="64"/>
    </row>
    <row r="3282" spans="1:3">
      <c r="A3282" s="533"/>
      <c r="C3282" s="64"/>
    </row>
    <row r="3283" spans="1:3">
      <c r="A3283" s="533"/>
      <c r="C3283" s="64"/>
    </row>
    <row r="3284" spans="1:3">
      <c r="A3284" s="533"/>
      <c r="C3284" s="64"/>
    </row>
    <row r="3285" spans="1:3">
      <c r="A3285" s="533"/>
      <c r="C3285" s="64"/>
    </row>
    <row r="3286" spans="1:3">
      <c r="A3286" s="533"/>
      <c r="C3286" s="64"/>
    </row>
    <row r="3287" spans="1:3">
      <c r="A3287" s="533"/>
      <c r="C3287" s="64"/>
    </row>
    <row r="3288" spans="1:3">
      <c r="A3288" s="533"/>
      <c r="C3288" s="64"/>
    </row>
    <row r="3289" spans="1:3">
      <c r="A3289" s="533"/>
      <c r="C3289" s="64"/>
    </row>
    <row r="3290" spans="1:3">
      <c r="A3290" s="533"/>
      <c r="C3290" s="64"/>
    </row>
    <row r="3291" spans="1:3">
      <c r="A3291" s="533"/>
      <c r="C3291" s="64"/>
    </row>
    <row r="3292" spans="1:3">
      <c r="A3292" s="533"/>
      <c r="C3292" s="64"/>
    </row>
    <row r="3293" spans="1:3">
      <c r="A3293" s="533"/>
      <c r="C3293" s="64"/>
    </row>
    <row r="3294" spans="1:3">
      <c r="A3294" s="533"/>
      <c r="C3294" s="64"/>
    </row>
    <row r="3295" spans="1:3">
      <c r="A3295" s="533"/>
      <c r="C3295" s="64"/>
    </row>
    <row r="3296" spans="1:3">
      <c r="A3296" s="533"/>
      <c r="C3296" s="64"/>
    </row>
    <row r="3297" spans="1:3">
      <c r="A3297" s="533"/>
      <c r="C3297" s="64"/>
    </row>
    <row r="3298" spans="1:3">
      <c r="A3298" s="533"/>
      <c r="C3298" s="64"/>
    </row>
    <row r="3299" spans="1:3">
      <c r="A3299" s="533"/>
      <c r="C3299" s="64"/>
    </row>
    <row r="3300" spans="1:3">
      <c r="A3300" s="533"/>
      <c r="C3300" s="64"/>
    </row>
    <row r="3301" spans="1:3">
      <c r="A3301" s="533"/>
      <c r="C3301" s="64"/>
    </row>
    <row r="3302" spans="1:3">
      <c r="A3302" s="533"/>
      <c r="C3302" s="64"/>
    </row>
    <row r="3303" spans="1:3">
      <c r="A3303" s="533"/>
      <c r="C3303" s="64"/>
    </row>
    <row r="3304" spans="1:3">
      <c r="A3304" s="533"/>
      <c r="C3304" s="64"/>
    </row>
    <row r="3305" spans="1:3">
      <c r="A3305" s="533"/>
      <c r="C3305" s="64"/>
    </row>
    <row r="3306" spans="1:3">
      <c r="A3306" s="533"/>
      <c r="C3306" s="64"/>
    </row>
    <row r="3307" spans="1:3">
      <c r="A3307" s="533"/>
      <c r="C3307" s="64"/>
    </row>
    <row r="3308" spans="1:3">
      <c r="A3308" s="533"/>
      <c r="C3308" s="64"/>
    </row>
    <row r="3309" spans="1:3">
      <c r="A3309" s="533"/>
      <c r="C3309" s="64"/>
    </row>
    <row r="3310" spans="1:3">
      <c r="A3310" s="533"/>
      <c r="C3310" s="64"/>
    </row>
    <row r="3311" spans="1:3">
      <c r="A3311" s="533"/>
      <c r="C3311" s="64"/>
    </row>
    <row r="3312" spans="1:3">
      <c r="A3312" s="533"/>
      <c r="C3312" s="64"/>
    </row>
    <row r="3313" spans="1:3">
      <c r="A3313" s="533"/>
      <c r="C3313" s="64"/>
    </row>
    <row r="3314" spans="1:3">
      <c r="A3314" s="533"/>
      <c r="C3314" s="64"/>
    </row>
    <row r="3315" spans="1:3">
      <c r="A3315" s="533"/>
      <c r="C3315" s="64"/>
    </row>
    <row r="3316" spans="1:3">
      <c r="A3316" s="533"/>
      <c r="C3316" s="64"/>
    </row>
    <row r="3317" spans="1:3">
      <c r="A3317" s="533"/>
      <c r="C3317" s="64"/>
    </row>
    <row r="3318" spans="1:3">
      <c r="A3318" s="533"/>
      <c r="C3318" s="64"/>
    </row>
    <row r="3319" spans="1:3">
      <c r="A3319" s="533"/>
      <c r="C3319" s="64"/>
    </row>
    <row r="3320" spans="1:3">
      <c r="A3320" s="533"/>
      <c r="C3320" s="64"/>
    </row>
    <row r="3321" spans="1:3">
      <c r="A3321" s="533"/>
      <c r="C3321" s="64"/>
    </row>
    <row r="3322" spans="1:3">
      <c r="A3322" s="533"/>
      <c r="C3322" s="64"/>
    </row>
    <row r="3323" spans="1:3">
      <c r="A3323" s="533"/>
      <c r="C3323" s="64"/>
    </row>
    <row r="3324" spans="1:3">
      <c r="A3324" s="533"/>
      <c r="C3324" s="64"/>
    </row>
    <row r="3325" spans="1:3">
      <c r="A3325" s="533"/>
      <c r="C3325" s="64"/>
    </row>
    <row r="3326" spans="1:3">
      <c r="A3326" s="533"/>
      <c r="C3326" s="64"/>
    </row>
    <row r="3327" spans="1:3">
      <c r="A3327" s="533"/>
      <c r="C3327" s="64"/>
    </row>
    <row r="3328" spans="1:3">
      <c r="A3328" s="533"/>
      <c r="C3328" s="64"/>
    </row>
    <row r="3329" spans="1:3">
      <c r="A3329" s="533"/>
      <c r="C3329" s="64"/>
    </row>
    <row r="3330" spans="1:3">
      <c r="A3330" s="533"/>
      <c r="C3330" s="64"/>
    </row>
    <row r="3331" spans="1:3">
      <c r="A3331" s="533"/>
      <c r="C3331" s="64"/>
    </row>
    <row r="3332" spans="1:3">
      <c r="A3332" s="533"/>
      <c r="C3332" s="64"/>
    </row>
    <row r="3333" spans="1:3">
      <c r="A3333" s="533"/>
      <c r="C3333" s="64"/>
    </row>
    <row r="3334" spans="1:3">
      <c r="A3334" s="533"/>
      <c r="C3334" s="64"/>
    </row>
    <row r="3335" spans="1:3">
      <c r="A3335" s="533"/>
      <c r="C3335" s="64"/>
    </row>
    <row r="3336" spans="1:3">
      <c r="A3336" s="533"/>
      <c r="C3336" s="64"/>
    </row>
    <row r="3337" spans="1:3">
      <c r="A3337" s="533"/>
      <c r="C3337" s="64"/>
    </row>
    <row r="3338" spans="1:3">
      <c r="A3338" s="533"/>
      <c r="C3338" s="64"/>
    </row>
    <row r="3339" spans="1:3">
      <c r="A3339" s="533"/>
      <c r="C3339" s="64"/>
    </row>
    <row r="3340" spans="1:3">
      <c r="A3340" s="533"/>
      <c r="C3340" s="64"/>
    </row>
    <row r="3341" spans="1:3">
      <c r="A3341" s="533"/>
      <c r="C3341" s="64"/>
    </row>
    <row r="3342" spans="1:3">
      <c r="A3342" s="533"/>
      <c r="C3342" s="64"/>
    </row>
    <row r="3343" spans="1:3">
      <c r="A3343" s="533"/>
      <c r="C3343" s="64"/>
    </row>
    <row r="3344" spans="1:3">
      <c r="A3344" s="533"/>
      <c r="C3344" s="64"/>
    </row>
    <row r="3345" spans="1:3">
      <c r="A3345" s="533"/>
      <c r="C3345" s="64"/>
    </row>
    <row r="3346" spans="1:3">
      <c r="A3346" s="533"/>
      <c r="C3346" s="64"/>
    </row>
    <row r="3347" spans="1:3">
      <c r="A3347" s="533"/>
      <c r="C3347" s="64"/>
    </row>
    <row r="3348" spans="1:3">
      <c r="A3348" s="533"/>
      <c r="C3348" s="64"/>
    </row>
    <row r="3349" spans="1:3">
      <c r="A3349" s="533"/>
      <c r="C3349" s="64"/>
    </row>
    <row r="3350" spans="1:3">
      <c r="A3350" s="533"/>
      <c r="C3350" s="64"/>
    </row>
    <row r="3351" spans="1:3">
      <c r="A3351" s="533"/>
      <c r="C3351" s="64"/>
    </row>
    <row r="3352" spans="1:3">
      <c r="A3352" s="533"/>
      <c r="C3352" s="64"/>
    </row>
    <row r="3353" spans="1:3">
      <c r="A3353" s="533"/>
      <c r="C3353" s="64"/>
    </row>
    <row r="3354" spans="1:3">
      <c r="A3354" s="533"/>
      <c r="C3354" s="64"/>
    </row>
    <row r="3355" spans="1:3">
      <c r="A3355" s="533"/>
      <c r="C3355" s="64"/>
    </row>
    <row r="3356" spans="1:3">
      <c r="A3356" s="533"/>
      <c r="C3356" s="64"/>
    </row>
    <row r="3357" spans="1:3">
      <c r="A3357" s="533"/>
      <c r="C3357" s="64"/>
    </row>
    <row r="3358" spans="1:3">
      <c r="A3358" s="533"/>
      <c r="C3358" s="64"/>
    </row>
    <row r="3359" spans="1:3">
      <c r="A3359" s="533"/>
      <c r="C3359" s="64"/>
    </row>
    <row r="3360" spans="1:3">
      <c r="A3360" s="533"/>
      <c r="C3360" s="64"/>
    </row>
    <row r="3361" spans="1:3">
      <c r="A3361" s="533"/>
      <c r="C3361" s="64"/>
    </row>
    <row r="3362" spans="1:3">
      <c r="A3362" s="533"/>
      <c r="C3362" s="64"/>
    </row>
    <row r="3363" spans="1:3">
      <c r="A3363" s="533"/>
      <c r="C3363" s="64"/>
    </row>
    <row r="3364" spans="1:3">
      <c r="A3364" s="533"/>
      <c r="C3364" s="64"/>
    </row>
    <row r="3365" spans="1:3">
      <c r="A3365" s="533"/>
      <c r="C3365" s="64"/>
    </row>
    <row r="3366" spans="1:3">
      <c r="A3366" s="533"/>
      <c r="C3366" s="64"/>
    </row>
    <row r="3367" spans="1:3">
      <c r="A3367" s="533"/>
      <c r="C3367" s="64"/>
    </row>
    <row r="3368" spans="1:3">
      <c r="A3368" s="533"/>
      <c r="C3368" s="64"/>
    </row>
    <row r="3369" spans="1:3">
      <c r="A3369" s="533"/>
      <c r="C3369" s="64"/>
    </row>
    <row r="3370" spans="1:3">
      <c r="A3370" s="533"/>
      <c r="C3370" s="64"/>
    </row>
    <row r="3371" spans="1:3">
      <c r="A3371" s="533"/>
      <c r="C3371" s="64"/>
    </row>
    <row r="3372" spans="1:3">
      <c r="A3372" s="533"/>
      <c r="C3372" s="64"/>
    </row>
    <row r="3373" spans="1:3">
      <c r="A3373" s="533"/>
      <c r="C3373" s="64"/>
    </row>
    <row r="3374" spans="1:3">
      <c r="A3374" s="533"/>
      <c r="C3374" s="64"/>
    </row>
    <row r="3375" spans="1:3">
      <c r="A3375" s="533"/>
      <c r="C3375" s="64"/>
    </row>
    <row r="3376" spans="1:3">
      <c r="A3376" s="533"/>
      <c r="C3376" s="64"/>
    </row>
    <row r="3377" spans="1:3">
      <c r="A3377" s="533"/>
      <c r="C3377" s="64"/>
    </row>
    <row r="3378" spans="1:3">
      <c r="A3378" s="533"/>
      <c r="C3378" s="64"/>
    </row>
    <row r="3379" spans="1:3">
      <c r="A3379" s="533"/>
      <c r="C3379" s="64"/>
    </row>
    <row r="3380" spans="1:3">
      <c r="A3380" s="533"/>
      <c r="C3380" s="64"/>
    </row>
    <row r="3381" spans="1:3">
      <c r="A3381" s="533"/>
      <c r="C3381" s="64"/>
    </row>
    <row r="3382" spans="1:3">
      <c r="A3382" s="533"/>
      <c r="C3382" s="64"/>
    </row>
    <row r="3383" spans="1:3">
      <c r="A3383" s="533"/>
      <c r="C3383" s="64"/>
    </row>
    <row r="3384" spans="1:3">
      <c r="A3384" s="533"/>
      <c r="C3384" s="64"/>
    </row>
    <row r="3385" spans="1:3">
      <c r="A3385" s="533"/>
      <c r="C3385" s="64"/>
    </row>
    <row r="3386" spans="1:3">
      <c r="A3386" s="533"/>
      <c r="C3386" s="64"/>
    </row>
    <row r="3387" spans="1:3">
      <c r="A3387" s="533"/>
      <c r="C3387" s="64"/>
    </row>
    <row r="3388" spans="1:3">
      <c r="A3388" s="533"/>
      <c r="C3388" s="64"/>
    </row>
    <row r="3389" spans="1:3">
      <c r="A3389" s="533"/>
      <c r="C3389" s="64"/>
    </row>
    <row r="3390" spans="1:3">
      <c r="A3390" s="533"/>
      <c r="C3390" s="64"/>
    </row>
    <row r="3391" spans="1:3">
      <c r="A3391" s="533"/>
      <c r="C3391" s="64"/>
    </row>
    <row r="3392" spans="1:3">
      <c r="A3392" s="533"/>
      <c r="C3392" s="64"/>
    </row>
    <row r="3393" spans="1:3">
      <c r="A3393" s="533"/>
      <c r="C3393" s="64"/>
    </row>
    <row r="3394" spans="1:3">
      <c r="A3394" s="533"/>
      <c r="C3394" s="64"/>
    </row>
    <row r="3395" spans="1:3">
      <c r="A3395" s="533"/>
      <c r="C3395" s="64"/>
    </row>
    <row r="3396" spans="1:3">
      <c r="A3396" s="533"/>
      <c r="C3396" s="64"/>
    </row>
    <row r="3397" spans="1:3">
      <c r="A3397" s="533"/>
      <c r="C3397" s="64"/>
    </row>
    <row r="3398" spans="1:3">
      <c r="A3398" s="533"/>
      <c r="C3398" s="64"/>
    </row>
    <row r="3399" spans="1:3">
      <c r="A3399" s="533"/>
      <c r="C3399" s="64"/>
    </row>
    <row r="3400" spans="1:3">
      <c r="A3400" s="533"/>
      <c r="C3400" s="64"/>
    </row>
    <row r="3401" spans="1:3">
      <c r="A3401" s="533"/>
      <c r="C3401" s="64"/>
    </row>
    <row r="3402" spans="1:3">
      <c r="A3402" s="533"/>
      <c r="C3402" s="64"/>
    </row>
    <row r="3403" spans="1:3">
      <c r="A3403" s="533"/>
      <c r="C3403" s="64"/>
    </row>
    <row r="3404" spans="1:3">
      <c r="A3404" s="533"/>
      <c r="C3404" s="64"/>
    </row>
    <row r="3405" spans="1:3">
      <c r="A3405" s="533"/>
      <c r="C3405" s="64"/>
    </row>
    <row r="3406" spans="1:3">
      <c r="A3406" s="533"/>
      <c r="C3406" s="64"/>
    </row>
    <row r="3407" spans="1:3">
      <c r="A3407" s="533"/>
      <c r="C3407" s="64"/>
    </row>
    <row r="3408" spans="1:3">
      <c r="A3408" s="533"/>
      <c r="C3408" s="64"/>
    </row>
    <row r="3409" spans="1:3">
      <c r="A3409" s="533"/>
      <c r="C3409" s="64"/>
    </row>
    <row r="3410" spans="1:3">
      <c r="A3410" s="533"/>
      <c r="C3410" s="64"/>
    </row>
    <row r="3411" spans="1:3">
      <c r="A3411" s="533"/>
      <c r="C3411" s="64"/>
    </row>
    <row r="3412" spans="1:3">
      <c r="A3412" s="533"/>
      <c r="C3412" s="64"/>
    </row>
    <row r="3413" spans="1:3">
      <c r="A3413" s="533"/>
      <c r="C3413" s="64"/>
    </row>
    <row r="3414" spans="1:3">
      <c r="A3414" s="533"/>
      <c r="C3414" s="64"/>
    </row>
    <row r="3415" spans="1:3">
      <c r="A3415" s="533"/>
      <c r="C3415" s="64"/>
    </row>
    <row r="3416" spans="1:3">
      <c r="A3416" s="533"/>
      <c r="C3416" s="64"/>
    </row>
    <row r="3417" spans="1:3">
      <c r="A3417" s="533"/>
      <c r="C3417" s="64"/>
    </row>
    <row r="3418" spans="1:3">
      <c r="A3418" s="533"/>
      <c r="C3418" s="64"/>
    </row>
    <row r="3419" spans="1:3">
      <c r="A3419" s="533"/>
      <c r="C3419" s="64"/>
    </row>
    <row r="3420" spans="1:3">
      <c r="A3420" s="533"/>
      <c r="C3420" s="64"/>
    </row>
    <row r="3421" spans="1:3">
      <c r="A3421" s="533"/>
      <c r="C3421" s="64"/>
    </row>
    <row r="3422" spans="1:3">
      <c r="A3422" s="533"/>
      <c r="C3422" s="64"/>
    </row>
    <row r="3423" spans="1:3">
      <c r="A3423" s="533"/>
      <c r="C3423" s="64"/>
    </row>
    <row r="3424" spans="1:3">
      <c r="A3424" s="533"/>
      <c r="C3424" s="64"/>
    </row>
    <row r="3425" spans="1:3">
      <c r="A3425" s="533"/>
      <c r="C3425" s="64"/>
    </row>
    <row r="3426" spans="1:3">
      <c r="A3426" s="533"/>
      <c r="C3426" s="64"/>
    </row>
    <row r="3427" spans="1:3">
      <c r="A3427" s="533"/>
      <c r="C3427" s="64"/>
    </row>
    <row r="3428" spans="1:3">
      <c r="A3428" s="533"/>
      <c r="C3428" s="64"/>
    </row>
    <row r="3429" spans="1:3">
      <c r="A3429" s="533"/>
      <c r="C3429" s="64"/>
    </row>
    <row r="3430" spans="1:3">
      <c r="A3430" s="533"/>
      <c r="C3430" s="64"/>
    </row>
    <row r="3431" spans="1:3">
      <c r="A3431" s="533"/>
      <c r="C3431" s="64"/>
    </row>
    <row r="3432" spans="1:3">
      <c r="A3432" s="533"/>
      <c r="C3432" s="64"/>
    </row>
    <row r="3433" spans="1:3">
      <c r="A3433" s="533"/>
      <c r="C3433" s="64"/>
    </row>
    <row r="3434" spans="1:3">
      <c r="A3434" s="533"/>
      <c r="C3434" s="64"/>
    </row>
    <row r="3435" spans="1:3">
      <c r="A3435" s="533"/>
      <c r="C3435" s="64"/>
    </row>
    <row r="3436" spans="1:3">
      <c r="A3436" s="533"/>
      <c r="C3436" s="64"/>
    </row>
    <row r="3437" spans="1:3">
      <c r="A3437" s="533"/>
      <c r="C3437" s="64"/>
    </row>
    <row r="3438" spans="1:3">
      <c r="A3438" s="533"/>
      <c r="C3438" s="64"/>
    </row>
    <row r="3439" spans="1:3">
      <c r="A3439" s="533"/>
      <c r="C3439" s="64"/>
    </row>
    <row r="3440" spans="1:3">
      <c r="A3440" s="533"/>
      <c r="C3440" s="64"/>
    </row>
    <row r="3441" spans="1:3">
      <c r="A3441" s="533"/>
      <c r="C3441" s="64"/>
    </row>
    <row r="3442" spans="1:3">
      <c r="A3442" s="533"/>
      <c r="C3442" s="64"/>
    </row>
    <row r="3443" spans="1:3">
      <c r="A3443" s="533"/>
      <c r="C3443" s="64"/>
    </row>
    <row r="3444" spans="1:3">
      <c r="A3444" s="533"/>
      <c r="C3444" s="64"/>
    </row>
    <row r="3445" spans="1:3">
      <c r="A3445" s="533"/>
      <c r="C3445" s="64"/>
    </row>
    <row r="3446" spans="1:3">
      <c r="A3446" s="533"/>
      <c r="C3446" s="64"/>
    </row>
    <row r="3447" spans="1:3">
      <c r="A3447" s="533"/>
      <c r="C3447" s="64"/>
    </row>
    <row r="3448" spans="1:3">
      <c r="A3448" s="533"/>
      <c r="C3448" s="64"/>
    </row>
    <row r="3449" spans="1:3">
      <c r="A3449" s="533"/>
      <c r="C3449" s="64"/>
    </row>
    <row r="3450" spans="1:3">
      <c r="A3450" s="533"/>
      <c r="C3450" s="64"/>
    </row>
    <row r="3451" spans="1:3">
      <c r="A3451" s="533"/>
      <c r="C3451" s="64"/>
    </row>
    <row r="3452" spans="1:3">
      <c r="A3452" s="533"/>
      <c r="C3452" s="64"/>
    </row>
    <row r="3453" spans="1:3">
      <c r="A3453" s="533"/>
      <c r="C3453" s="64"/>
    </row>
    <row r="3454" spans="1:3">
      <c r="A3454" s="533"/>
      <c r="C3454" s="64"/>
    </row>
    <row r="3455" spans="1:3">
      <c r="A3455" s="533"/>
      <c r="C3455" s="64"/>
    </row>
    <row r="3456" spans="1:3">
      <c r="A3456" s="533"/>
      <c r="C3456" s="64"/>
    </row>
    <row r="3457" spans="1:3">
      <c r="A3457" s="533"/>
      <c r="C3457" s="64"/>
    </row>
    <row r="3458" spans="1:3">
      <c r="A3458" s="533"/>
      <c r="C3458" s="64"/>
    </row>
    <row r="3459" spans="1:3">
      <c r="A3459" s="533"/>
      <c r="C3459" s="64"/>
    </row>
    <row r="3460" spans="1:3">
      <c r="A3460" s="533"/>
      <c r="C3460" s="64"/>
    </row>
    <row r="3461" spans="1:3">
      <c r="A3461" s="533"/>
      <c r="C3461" s="64"/>
    </row>
    <row r="3462" spans="1:3">
      <c r="A3462" s="533"/>
      <c r="C3462" s="64"/>
    </row>
    <row r="3463" spans="1:3">
      <c r="A3463" s="533"/>
      <c r="C3463" s="64"/>
    </row>
    <row r="3464" spans="1:3">
      <c r="A3464" s="533"/>
      <c r="C3464" s="64"/>
    </row>
    <row r="3465" spans="1:3">
      <c r="A3465" s="533"/>
      <c r="C3465" s="64"/>
    </row>
    <row r="3466" spans="1:3">
      <c r="A3466" s="533"/>
      <c r="C3466" s="64"/>
    </row>
    <row r="3467" spans="1:3">
      <c r="A3467" s="533"/>
      <c r="C3467" s="64"/>
    </row>
    <row r="3468" spans="1:3">
      <c r="A3468" s="533"/>
      <c r="C3468" s="64"/>
    </row>
    <row r="3469" spans="1:3">
      <c r="A3469" s="533"/>
      <c r="C3469" s="64"/>
    </row>
    <row r="3470" spans="1:3">
      <c r="A3470" s="533"/>
      <c r="C3470" s="64"/>
    </row>
    <row r="3471" spans="1:3">
      <c r="A3471" s="533"/>
      <c r="C3471" s="64"/>
    </row>
    <row r="3472" spans="1:3">
      <c r="A3472" s="533"/>
      <c r="C3472" s="64"/>
    </row>
    <row r="3473" spans="1:3">
      <c r="A3473" s="533"/>
      <c r="C3473" s="64"/>
    </row>
    <row r="3474" spans="1:3">
      <c r="A3474" s="533"/>
      <c r="C3474" s="64"/>
    </row>
    <row r="3475" spans="1:3">
      <c r="A3475" s="533"/>
      <c r="C3475" s="64"/>
    </row>
    <row r="3476" spans="1:3">
      <c r="A3476" s="533"/>
      <c r="C3476" s="64"/>
    </row>
    <row r="3477" spans="1:3">
      <c r="A3477" s="533"/>
      <c r="C3477" s="64"/>
    </row>
    <row r="3478" spans="1:3">
      <c r="A3478" s="533"/>
      <c r="C3478" s="64"/>
    </row>
    <row r="3479" spans="1:3">
      <c r="A3479" s="533"/>
      <c r="C3479" s="64"/>
    </row>
    <row r="3480" spans="1:3">
      <c r="A3480" s="533"/>
      <c r="C3480" s="64"/>
    </row>
    <row r="3481" spans="1:3">
      <c r="A3481" s="533"/>
      <c r="C3481" s="64"/>
    </row>
    <row r="3482" spans="1:3">
      <c r="A3482" s="533"/>
      <c r="C3482" s="64"/>
    </row>
    <row r="3483" spans="1:3">
      <c r="A3483" s="533"/>
      <c r="C3483" s="64"/>
    </row>
    <row r="3484" spans="1:3">
      <c r="A3484" s="533"/>
      <c r="C3484" s="64"/>
    </row>
    <row r="3485" spans="1:3">
      <c r="A3485" s="533"/>
      <c r="C3485" s="64"/>
    </row>
    <row r="3486" spans="1:3">
      <c r="A3486" s="533"/>
      <c r="C3486" s="64"/>
    </row>
    <row r="3487" spans="1:3">
      <c r="A3487" s="533"/>
      <c r="C3487" s="64"/>
    </row>
    <row r="3488" spans="1:3">
      <c r="A3488" s="533"/>
      <c r="C3488" s="64"/>
    </row>
    <row r="3489" spans="1:3">
      <c r="A3489" s="533"/>
      <c r="C3489" s="64"/>
    </row>
    <row r="3490" spans="1:3">
      <c r="A3490" s="533"/>
      <c r="C3490" s="64"/>
    </row>
    <row r="3491" spans="1:3">
      <c r="A3491" s="533"/>
      <c r="C3491" s="64"/>
    </row>
    <row r="3492" spans="1:3">
      <c r="A3492" s="533"/>
      <c r="C3492" s="64"/>
    </row>
    <row r="3493" spans="1:3">
      <c r="A3493" s="533"/>
      <c r="C3493" s="64"/>
    </row>
    <row r="3494" spans="1:3">
      <c r="A3494" s="533"/>
      <c r="C3494" s="64"/>
    </row>
    <row r="3495" spans="1:3">
      <c r="A3495" s="533"/>
      <c r="C3495" s="64"/>
    </row>
    <row r="3496" spans="1:3">
      <c r="A3496" s="533"/>
      <c r="C3496" s="64"/>
    </row>
    <row r="3497" spans="1:3">
      <c r="A3497" s="533"/>
      <c r="C3497" s="64"/>
    </row>
    <row r="3498" spans="1:3">
      <c r="A3498" s="533"/>
      <c r="C3498" s="64"/>
    </row>
    <row r="3499" spans="1:3">
      <c r="A3499" s="533"/>
      <c r="C3499" s="64"/>
    </row>
    <row r="3500" spans="1:3">
      <c r="A3500" s="533"/>
      <c r="C3500" s="64"/>
    </row>
    <row r="3501" spans="1:3">
      <c r="A3501" s="533"/>
      <c r="C3501" s="64"/>
    </row>
    <row r="3502" spans="1:3">
      <c r="A3502" s="533"/>
      <c r="C3502" s="64"/>
    </row>
    <row r="3503" spans="1:3">
      <c r="A3503" s="533"/>
      <c r="C3503" s="64"/>
    </row>
    <row r="3504" spans="1:3">
      <c r="A3504" s="533"/>
      <c r="C3504" s="64"/>
    </row>
    <row r="3505" spans="1:3">
      <c r="A3505" s="533"/>
      <c r="C3505" s="64"/>
    </row>
    <row r="3506" spans="1:3">
      <c r="A3506" s="533"/>
      <c r="C3506" s="64"/>
    </row>
    <row r="3507" spans="1:3">
      <c r="A3507" s="533"/>
      <c r="C3507" s="64"/>
    </row>
    <row r="3508" spans="1:3">
      <c r="A3508" s="533"/>
      <c r="C3508" s="64"/>
    </row>
    <row r="3509" spans="1:3">
      <c r="A3509" s="533"/>
      <c r="C3509" s="64"/>
    </row>
    <row r="3510" spans="1:3">
      <c r="A3510" s="533"/>
      <c r="C3510" s="64"/>
    </row>
    <row r="3511" spans="1:3">
      <c r="A3511" s="533"/>
      <c r="C3511" s="64"/>
    </row>
    <row r="3512" spans="1:3">
      <c r="A3512" s="533"/>
      <c r="C3512" s="64"/>
    </row>
    <row r="3513" spans="1:3">
      <c r="A3513" s="533"/>
      <c r="C3513" s="64"/>
    </row>
    <row r="3514" spans="1:3">
      <c r="A3514" s="533"/>
      <c r="C3514" s="64"/>
    </row>
    <row r="3515" spans="1:3">
      <c r="A3515" s="533"/>
      <c r="C3515" s="64"/>
    </row>
    <row r="3516" spans="1:3">
      <c r="A3516" s="533"/>
      <c r="C3516" s="64"/>
    </row>
    <row r="3517" spans="1:3">
      <c r="A3517" s="533"/>
      <c r="C3517" s="64"/>
    </row>
    <row r="3518" spans="1:3">
      <c r="A3518" s="533"/>
      <c r="C3518" s="64"/>
    </row>
    <row r="3519" spans="1:3">
      <c r="A3519" s="533"/>
      <c r="C3519" s="64"/>
    </row>
    <row r="3520" spans="1:3">
      <c r="A3520" s="533"/>
      <c r="C3520" s="64"/>
    </row>
    <row r="3521" spans="1:3">
      <c r="A3521" s="533"/>
      <c r="C3521" s="64"/>
    </row>
    <row r="3522" spans="1:3">
      <c r="A3522" s="533"/>
      <c r="C3522" s="64"/>
    </row>
    <row r="3523" spans="1:3">
      <c r="A3523" s="533"/>
      <c r="C3523" s="64"/>
    </row>
    <row r="3524" spans="1:3">
      <c r="A3524" s="533"/>
      <c r="C3524" s="64"/>
    </row>
    <row r="3525" spans="1:3">
      <c r="A3525" s="533"/>
      <c r="C3525" s="64"/>
    </row>
    <row r="3526" spans="1:3">
      <c r="A3526" s="533"/>
      <c r="C3526" s="64"/>
    </row>
    <row r="3527" spans="1:3">
      <c r="A3527" s="533"/>
      <c r="C3527" s="64"/>
    </row>
    <row r="3528" spans="1:3">
      <c r="A3528" s="533"/>
      <c r="C3528" s="64"/>
    </row>
    <row r="3529" spans="1:3">
      <c r="A3529" s="533"/>
      <c r="C3529" s="64"/>
    </row>
    <row r="3530" spans="1:3">
      <c r="A3530" s="533"/>
      <c r="C3530" s="64"/>
    </row>
    <row r="3531" spans="1:3">
      <c r="A3531" s="533"/>
      <c r="C3531" s="64"/>
    </row>
    <row r="3532" spans="1:3">
      <c r="A3532" s="533"/>
      <c r="C3532" s="64"/>
    </row>
    <row r="3533" spans="1:3">
      <c r="A3533" s="533"/>
      <c r="C3533" s="64"/>
    </row>
    <row r="3534" spans="1:3">
      <c r="A3534" s="533"/>
      <c r="C3534" s="64"/>
    </row>
    <row r="3535" spans="1:3">
      <c r="A3535" s="533"/>
      <c r="C3535" s="64"/>
    </row>
    <row r="3536" spans="1:3">
      <c r="A3536" s="533"/>
      <c r="C3536" s="64"/>
    </row>
    <row r="3537" spans="1:3">
      <c r="A3537" s="533"/>
      <c r="C3537" s="64"/>
    </row>
    <row r="3538" spans="1:3">
      <c r="A3538" s="533"/>
      <c r="C3538" s="64"/>
    </row>
    <row r="3539" spans="1:3">
      <c r="A3539" s="533"/>
      <c r="C3539" s="64"/>
    </row>
    <row r="3540" spans="1:3">
      <c r="A3540" s="533"/>
      <c r="C3540" s="64"/>
    </row>
    <row r="3541" spans="1:3">
      <c r="A3541" s="533"/>
      <c r="C3541" s="64"/>
    </row>
    <row r="3542" spans="1:3">
      <c r="A3542" s="533"/>
      <c r="C3542" s="64"/>
    </row>
    <row r="3543" spans="1:3">
      <c r="A3543" s="533"/>
      <c r="C3543" s="64"/>
    </row>
    <row r="3544" spans="1:3">
      <c r="A3544" s="533"/>
      <c r="C3544" s="64"/>
    </row>
    <row r="3545" spans="1:3">
      <c r="A3545" s="533"/>
      <c r="C3545" s="64"/>
    </row>
    <row r="3546" spans="1:3">
      <c r="A3546" s="533"/>
      <c r="C3546" s="64"/>
    </row>
    <row r="3547" spans="1:3">
      <c r="A3547" s="533"/>
      <c r="C3547" s="64"/>
    </row>
    <row r="3548" spans="1:3">
      <c r="A3548" s="533"/>
      <c r="C3548" s="64"/>
    </row>
    <row r="3549" spans="1:3">
      <c r="A3549" s="533"/>
      <c r="C3549" s="64"/>
    </row>
    <row r="3550" spans="1:3">
      <c r="A3550" s="533"/>
      <c r="C3550" s="64"/>
    </row>
    <row r="3551" spans="1:3">
      <c r="A3551" s="533"/>
      <c r="C3551" s="64"/>
    </row>
    <row r="3552" spans="1:3">
      <c r="A3552" s="533"/>
      <c r="C3552" s="64"/>
    </row>
    <row r="3553" spans="1:3">
      <c r="A3553" s="533"/>
      <c r="C3553" s="64"/>
    </row>
    <row r="3554" spans="1:3">
      <c r="A3554" s="533"/>
      <c r="C3554" s="64"/>
    </row>
    <row r="3555" spans="1:3">
      <c r="A3555" s="533"/>
      <c r="C3555" s="64"/>
    </row>
    <row r="3556" spans="1:3">
      <c r="A3556" s="533"/>
      <c r="C3556" s="64"/>
    </row>
    <row r="3557" spans="1:3">
      <c r="A3557" s="533"/>
      <c r="C3557" s="64"/>
    </row>
    <row r="3558" spans="1:3">
      <c r="A3558" s="533"/>
      <c r="C3558" s="64"/>
    </row>
    <row r="3559" spans="1:3">
      <c r="A3559" s="533"/>
      <c r="C3559" s="64"/>
    </row>
    <row r="3560" spans="1:3">
      <c r="A3560" s="533"/>
      <c r="C3560" s="64"/>
    </row>
    <row r="3561" spans="1:3">
      <c r="A3561" s="533"/>
      <c r="C3561" s="64"/>
    </row>
    <row r="3562" spans="1:3">
      <c r="A3562" s="533"/>
      <c r="C3562" s="64"/>
    </row>
    <row r="3563" spans="1:3">
      <c r="A3563" s="533"/>
      <c r="C3563" s="64"/>
    </row>
    <row r="3564" spans="1:3">
      <c r="A3564" s="533"/>
      <c r="C3564" s="64"/>
    </row>
    <row r="3565" spans="1:3">
      <c r="A3565" s="533"/>
      <c r="C3565" s="64"/>
    </row>
    <row r="3566" spans="1:3">
      <c r="A3566" s="533"/>
      <c r="C3566" s="64"/>
    </row>
    <row r="3567" spans="1:3">
      <c r="A3567" s="533"/>
      <c r="C3567" s="64"/>
    </row>
    <row r="3568" spans="1:3">
      <c r="A3568" s="533"/>
      <c r="C3568" s="64"/>
    </row>
    <row r="3569" spans="1:3">
      <c r="A3569" s="533"/>
      <c r="C3569" s="64"/>
    </row>
    <row r="3570" spans="1:3">
      <c r="A3570" s="533"/>
      <c r="C3570" s="64"/>
    </row>
    <row r="3571" spans="1:3">
      <c r="A3571" s="533"/>
      <c r="C3571" s="64"/>
    </row>
    <row r="3572" spans="1:3">
      <c r="A3572" s="533"/>
      <c r="C3572" s="64"/>
    </row>
    <row r="3573" spans="1:3">
      <c r="A3573" s="533"/>
      <c r="C3573" s="64"/>
    </row>
    <row r="3574" spans="1:3">
      <c r="A3574" s="533"/>
      <c r="C3574" s="64"/>
    </row>
    <row r="3575" spans="1:3">
      <c r="A3575" s="533"/>
      <c r="C3575" s="64"/>
    </row>
    <row r="3576" spans="1:3">
      <c r="A3576" s="533"/>
      <c r="C3576" s="64"/>
    </row>
    <row r="3577" spans="1:3">
      <c r="A3577" s="533"/>
      <c r="C3577" s="64"/>
    </row>
    <row r="3578" spans="1:3">
      <c r="A3578" s="533"/>
      <c r="C3578" s="64"/>
    </row>
    <row r="3579" spans="1:3">
      <c r="A3579" s="533"/>
      <c r="C3579" s="64"/>
    </row>
    <row r="3580" spans="1:3">
      <c r="A3580" s="533"/>
      <c r="C3580" s="64"/>
    </row>
    <row r="3581" spans="1:3">
      <c r="A3581" s="533"/>
      <c r="C3581" s="64"/>
    </row>
    <row r="3582" spans="1:3">
      <c r="A3582" s="533"/>
      <c r="C3582" s="64"/>
    </row>
    <row r="3583" spans="1:3">
      <c r="A3583" s="533"/>
      <c r="C3583" s="64"/>
    </row>
    <row r="3584" spans="1:3">
      <c r="A3584" s="533"/>
      <c r="C3584" s="64"/>
    </row>
    <row r="3585" spans="1:3">
      <c r="A3585" s="533"/>
      <c r="C3585" s="64"/>
    </row>
    <row r="3586" spans="1:3">
      <c r="A3586" s="533"/>
      <c r="C3586" s="64"/>
    </row>
    <row r="3587" spans="1:3">
      <c r="A3587" s="533"/>
      <c r="C3587" s="64"/>
    </row>
    <row r="3588" spans="1:3">
      <c r="A3588" s="533"/>
      <c r="C3588" s="64"/>
    </row>
    <row r="3589" spans="1:3">
      <c r="A3589" s="533"/>
      <c r="C3589" s="64"/>
    </row>
    <row r="3590" spans="1:3">
      <c r="A3590" s="533"/>
      <c r="C3590" s="64"/>
    </row>
    <row r="3591" spans="1:3">
      <c r="A3591" s="533"/>
      <c r="C3591" s="64"/>
    </row>
    <row r="3592" spans="1:3">
      <c r="A3592" s="533"/>
      <c r="C3592" s="64"/>
    </row>
    <row r="3593" spans="1:3">
      <c r="A3593" s="533"/>
      <c r="C3593" s="64"/>
    </row>
    <row r="3594" spans="1:3">
      <c r="A3594" s="533"/>
      <c r="C3594" s="64"/>
    </row>
    <row r="3595" spans="1:3">
      <c r="A3595" s="533"/>
      <c r="C3595" s="64"/>
    </row>
    <row r="3596" spans="1:3">
      <c r="A3596" s="533"/>
      <c r="C3596" s="64"/>
    </row>
    <row r="3597" spans="1:3">
      <c r="A3597" s="533"/>
      <c r="C3597" s="64"/>
    </row>
    <row r="3598" spans="1:3">
      <c r="A3598" s="533"/>
      <c r="C3598" s="64"/>
    </row>
    <row r="3599" spans="1:3">
      <c r="A3599" s="533"/>
      <c r="C3599" s="64"/>
    </row>
    <row r="3600" spans="1:3">
      <c r="A3600" s="533"/>
      <c r="C3600" s="64"/>
    </row>
    <row r="3601" spans="1:3">
      <c r="A3601" s="533"/>
      <c r="C3601" s="64"/>
    </row>
    <row r="3602" spans="1:3">
      <c r="A3602" s="533"/>
      <c r="C3602" s="64"/>
    </row>
    <row r="3603" spans="1:3">
      <c r="A3603" s="533"/>
      <c r="C3603" s="64"/>
    </row>
    <row r="3604" spans="1:3">
      <c r="A3604" s="533"/>
      <c r="C3604" s="64"/>
    </row>
    <row r="3605" spans="1:3">
      <c r="A3605" s="533"/>
      <c r="C3605" s="64"/>
    </row>
    <row r="3606" spans="1:3">
      <c r="A3606" s="533"/>
      <c r="C3606" s="64"/>
    </row>
    <row r="3607" spans="1:3">
      <c r="A3607" s="533"/>
      <c r="C3607" s="64"/>
    </row>
    <row r="3608" spans="1:3">
      <c r="A3608" s="533"/>
      <c r="C3608" s="64"/>
    </row>
    <row r="3609" spans="1:3">
      <c r="A3609" s="533"/>
      <c r="C3609" s="64"/>
    </row>
    <row r="3610" spans="1:3">
      <c r="A3610" s="533"/>
      <c r="C3610" s="64"/>
    </row>
    <row r="3611" spans="1:3">
      <c r="A3611" s="533"/>
      <c r="C3611" s="64"/>
    </row>
    <row r="3612" spans="1:3">
      <c r="A3612" s="533"/>
      <c r="C3612" s="64"/>
    </row>
    <row r="3613" spans="1:3">
      <c r="A3613" s="533"/>
      <c r="C3613" s="64"/>
    </row>
    <row r="3614" spans="1:3">
      <c r="A3614" s="533"/>
      <c r="C3614" s="64"/>
    </row>
    <row r="3615" spans="1:3">
      <c r="A3615" s="533"/>
      <c r="C3615" s="64"/>
    </row>
    <row r="3616" spans="1:3">
      <c r="A3616" s="533"/>
      <c r="C3616" s="64"/>
    </row>
    <row r="3617" spans="1:3">
      <c r="A3617" s="533"/>
      <c r="C3617" s="64"/>
    </row>
    <row r="3618" spans="1:3">
      <c r="A3618" s="533"/>
      <c r="C3618" s="64"/>
    </row>
    <row r="3619" spans="1:3">
      <c r="A3619" s="533"/>
      <c r="C3619" s="64"/>
    </row>
    <row r="3620" spans="1:3">
      <c r="A3620" s="533"/>
      <c r="C3620" s="64"/>
    </row>
    <row r="3621" spans="1:3">
      <c r="A3621" s="533"/>
      <c r="C3621" s="64"/>
    </row>
    <row r="3622" spans="1:3">
      <c r="A3622" s="533"/>
      <c r="C3622" s="64"/>
    </row>
    <row r="3623" spans="1:3">
      <c r="A3623" s="533"/>
      <c r="C3623" s="64"/>
    </row>
    <row r="3624" spans="1:3">
      <c r="A3624" s="533"/>
      <c r="C3624" s="64"/>
    </row>
    <row r="3625" spans="1:3">
      <c r="A3625" s="533"/>
      <c r="C3625" s="64"/>
    </row>
    <row r="3626" spans="1:3">
      <c r="A3626" s="533"/>
      <c r="C3626" s="64"/>
    </row>
    <row r="3627" spans="1:3">
      <c r="A3627" s="533"/>
      <c r="C3627" s="64"/>
    </row>
    <row r="3628" spans="1:3">
      <c r="A3628" s="533"/>
      <c r="C3628" s="64"/>
    </row>
    <row r="3629" spans="1:3">
      <c r="A3629" s="533"/>
      <c r="C3629" s="64"/>
    </row>
    <row r="3630" spans="1:3">
      <c r="A3630" s="533"/>
      <c r="C3630" s="64"/>
    </row>
    <row r="3631" spans="1:3">
      <c r="A3631" s="533"/>
      <c r="C3631" s="64"/>
    </row>
    <row r="3632" spans="1:3">
      <c r="A3632" s="533"/>
      <c r="C3632" s="64"/>
    </row>
    <row r="3633" spans="1:3">
      <c r="A3633" s="533"/>
      <c r="C3633" s="64"/>
    </row>
    <row r="3634" spans="1:3">
      <c r="A3634" s="533"/>
      <c r="C3634" s="64"/>
    </row>
    <row r="3635" spans="1:3">
      <c r="A3635" s="533"/>
      <c r="C3635" s="64"/>
    </row>
    <row r="3636" spans="1:3">
      <c r="A3636" s="533"/>
      <c r="C3636" s="64"/>
    </row>
    <row r="3637" spans="1:3">
      <c r="A3637" s="533"/>
      <c r="C3637" s="64"/>
    </row>
    <row r="3638" spans="1:3">
      <c r="A3638" s="533"/>
      <c r="C3638" s="64"/>
    </row>
    <row r="3639" spans="1:3">
      <c r="A3639" s="533"/>
      <c r="C3639" s="64"/>
    </row>
    <row r="3640" spans="1:3">
      <c r="A3640" s="533"/>
      <c r="C3640" s="64"/>
    </row>
    <row r="3641" spans="1:3">
      <c r="A3641" s="533"/>
      <c r="C3641" s="64"/>
    </row>
    <row r="3642" spans="1:3">
      <c r="A3642" s="533"/>
      <c r="C3642" s="64"/>
    </row>
    <row r="3643" spans="1:3">
      <c r="A3643" s="533"/>
      <c r="C3643" s="64"/>
    </row>
    <row r="3644" spans="1:3">
      <c r="A3644" s="533"/>
      <c r="C3644" s="64"/>
    </row>
    <row r="3645" spans="1:3">
      <c r="A3645" s="533"/>
      <c r="C3645" s="64"/>
    </row>
    <row r="3646" spans="1:3">
      <c r="A3646" s="533"/>
      <c r="C3646" s="64"/>
    </row>
    <row r="3647" spans="1:3">
      <c r="A3647" s="533"/>
      <c r="C3647" s="64"/>
    </row>
    <row r="3648" spans="1:3">
      <c r="A3648" s="533"/>
      <c r="C3648" s="64"/>
    </row>
    <row r="3649" spans="1:3">
      <c r="A3649" s="533"/>
      <c r="C3649" s="64"/>
    </row>
    <row r="3650" spans="1:3">
      <c r="A3650" s="533"/>
      <c r="C3650" s="64"/>
    </row>
    <row r="3651" spans="1:3">
      <c r="A3651" s="533"/>
      <c r="C3651" s="64"/>
    </row>
    <row r="3652" spans="1:3">
      <c r="A3652" s="533"/>
      <c r="C3652" s="64"/>
    </row>
    <row r="3653" spans="1:3">
      <c r="A3653" s="533"/>
      <c r="C3653" s="64"/>
    </row>
    <row r="3654" spans="1:3">
      <c r="A3654" s="533"/>
      <c r="C3654" s="64"/>
    </row>
    <row r="3655" spans="1:3">
      <c r="A3655" s="533"/>
      <c r="C3655" s="64"/>
    </row>
    <row r="3656" spans="1:3">
      <c r="A3656" s="533"/>
      <c r="C3656" s="64"/>
    </row>
    <row r="3657" spans="1:3">
      <c r="A3657" s="533"/>
      <c r="C3657" s="64"/>
    </row>
    <row r="3658" spans="1:3">
      <c r="A3658" s="533"/>
      <c r="C3658" s="64"/>
    </row>
    <row r="3659" spans="1:3">
      <c r="A3659" s="533"/>
      <c r="C3659" s="64"/>
    </row>
    <row r="3660" spans="1:3">
      <c r="A3660" s="533"/>
      <c r="C3660" s="64"/>
    </row>
    <row r="3661" spans="1:3">
      <c r="A3661" s="533"/>
      <c r="C3661" s="64"/>
    </row>
    <row r="3662" spans="1:3">
      <c r="A3662" s="533"/>
      <c r="C3662" s="64"/>
    </row>
    <row r="3663" spans="1:3">
      <c r="A3663" s="533"/>
      <c r="C3663" s="64"/>
    </row>
    <row r="3664" spans="1:3">
      <c r="A3664" s="533"/>
      <c r="C3664" s="64"/>
    </row>
    <row r="3665" spans="1:3">
      <c r="A3665" s="533"/>
      <c r="C3665" s="64"/>
    </row>
    <row r="3666" spans="1:3">
      <c r="A3666" s="533"/>
      <c r="C3666" s="64"/>
    </row>
    <row r="3667" spans="1:3">
      <c r="A3667" s="533"/>
      <c r="C3667" s="64"/>
    </row>
    <row r="3668" spans="1:3">
      <c r="A3668" s="533"/>
      <c r="C3668" s="64"/>
    </row>
    <row r="3669" spans="1:3">
      <c r="A3669" s="533"/>
      <c r="C3669" s="64"/>
    </row>
    <row r="3670" spans="1:3">
      <c r="A3670" s="533"/>
      <c r="C3670" s="64"/>
    </row>
    <row r="3671" spans="1:3">
      <c r="A3671" s="533"/>
      <c r="C3671" s="64"/>
    </row>
    <row r="3672" spans="1:3">
      <c r="A3672" s="533"/>
      <c r="C3672" s="64"/>
    </row>
    <row r="3673" spans="1:3">
      <c r="A3673" s="533"/>
      <c r="C3673" s="64"/>
    </row>
    <row r="3674" spans="1:3">
      <c r="A3674" s="533"/>
      <c r="C3674" s="64"/>
    </row>
    <row r="3675" spans="1:3">
      <c r="A3675" s="533"/>
      <c r="C3675" s="64"/>
    </row>
    <row r="3676" spans="1:3">
      <c r="A3676" s="533"/>
      <c r="C3676" s="64"/>
    </row>
    <row r="3677" spans="1:3">
      <c r="A3677" s="533"/>
      <c r="C3677" s="64"/>
    </row>
    <row r="3678" spans="1:3">
      <c r="A3678" s="533"/>
      <c r="C3678" s="64"/>
    </row>
    <row r="3679" spans="1:3">
      <c r="A3679" s="533"/>
      <c r="C3679" s="64"/>
    </row>
    <row r="3680" spans="1:3">
      <c r="A3680" s="533"/>
      <c r="C3680" s="64"/>
    </row>
    <row r="3681" spans="1:3">
      <c r="A3681" s="533"/>
      <c r="C3681" s="64"/>
    </row>
    <row r="3682" spans="1:3">
      <c r="A3682" s="533"/>
      <c r="C3682" s="64"/>
    </row>
    <row r="3683" spans="1:3">
      <c r="A3683" s="533"/>
      <c r="C3683" s="64"/>
    </row>
    <row r="3684" spans="1:3">
      <c r="A3684" s="533"/>
      <c r="C3684" s="64"/>
    </row>
    <row r="3685" spans="1:3">
      <c r="A3685" s="533"/>
      <c r="C3685" s="64"/>
    </row>
    <row r="3686" spans="1:3">
      <c r="A3686" s="533"/>
      <c r="C3686" s="64"/>
    </row>
    <row r="3687" spans="1:3">
      <c r="A3687" s="533"/>
      <c r="C3687" s="64"/>
    </row>
    <row r="3688" spans="1:3">
      <c r="A3688" s="533"/>
      <c r="C3688" s="64"/>
    </row>
    <row r="3689" spans="1:3">
      <c r="A3689" s="533"/>
      <c r="C3689" s="64"/>
    </row>
    <row r="3690" spans="1:3">
      <c r="A3690" s="533"/>
      <c r="C3690" s="64"/>
    </row>
    <row r="3691" spans="1:3">
      <c r="A3691" s="533"/>
      <c r="C3691" s="64"/>
    </row>
    <row r="3692" spans="1:3">
      <c r="A3692" s="533"/>
      <c r="C3692" s="64"/>
    </row>
    <row r="3693" spans="1:3">
      <c r="A3693" s="533"/>
      <c r="C3693" s="64"/>
    </row>
    <row r="3694" spans="1:3">
      <c r="A3694" s="533"/>
      <c r="C3694" s="64"/>
    </row>
    <row r="3695" spans="1:3">
      <c r="A3695" s="533"/>
      <c r="C3695" s="64"/>
    </row>
    <row r="3696" spans="1:3">
      <c r="A3696" s="533"/>
      <c r="C3696" s="64"/>
    </row>
    <row r="3697" spans="1:3">
      <c r="A3697" s="533"/>
      <c r="C3697" s="64"/>
    </row>
    <row r="3698" spans="1:3">
      <c r="A3698" s="533"/>
      <c r="C3698" s="64"/>
    </row>
    <row r="3699" spans="1:3">
      <c r="A3699" s="533"/>
      <c r="C3699" s="64"/>
    </row>
    <row r="3700" spans="1:3">
      <c r="A3700" s="533"/>
      <c r="C3700" s="64"/>
    </row>
    <row r="3701" spans="1:3">
      <c r="A3701" s="533"/>
      <c r="C3701" s="64"/>
    </row>
    <row r="3702" spans="1:3">
      <c r="A3702" s="533"/>
      <c r="C3702" s="64"/>
    </row>
    <row r="3703" spans="1:3">
      <c r="A3703" s="533"/>
      <c r="C3703" s="64"/>
    </row>
    <row r="3704" spans="1:3">
      <c r="A3704" s="533"/>
      <c r="C3704" s="64"/>
    </row>
    <row r="3705" spans="1:3">
      <c r="A3705" s="533"/>
      <c r="C3705" s="64"/>
    </row>
    <row r="3706" spans="1:3">
      <c r="A3706" s="533"/>
      <c r="C3706" s="64"/>
    </row>
    <row r="3707" spans="1:3">
      <c r="A3707" s="533"/>
      <c r="C3707" s="64"/>
    </row>
    <row r="3708" spans="1:3">
      <c r="A3708" s="533"/>
      <c r="C3708" s="64"/>
    </row>
    <row r="3709" spans="1:3">
      <c r="A3709" s="533"/>
      <c r="C3709" s="64"/>
    </row>
    <row r="3710" spans="1:3">
      <c r="A3710" s="533"/>
      <c r="C3710" s="64"/>
    </row>
    <row r="3711" spans="1:3">
      <c r="A3711" s="533"/>
      <c r="C3711" s="64"/>
    </row>
    <row r="3712" spans="1:3">
      <c r="A3712" s="533"/>
      <c r="C3712" s="64"/>
    </row>
    <row r="3713" spans="1:3">
      <c r="A3713" s="533"/>
      <c r="C3713" s="64"/>
    </row>
    <row r="3714" spans="1:3">
      <c r="A3714" s="533"/>
      <c r="C3714" s="64"/>
    </row>
    <row r="3715" spans="1:3">
      <c r="A3715" s="533"/>
      <c r="C3715" s="64"/>
    </row>
    <row r="3716" spans="1:3">
      <c r="A3716" s="533"/>
      <c r="C3716" s="64"/>
    </row>
    <row r="3717" spans="1:3">
      <c r="A3717" s="533"/>
      <c r="C3717" s="64"/>
    </row>
    <row r="3718" spans="1:3">
      <c r="A3718" s="533"/>
      <c r="C3718" s="64"/>
    </row>
    <row r="3719" spans="1:3">
      <c r="A3719" s="533"/>
      <c r="C3719" s="64"/>
    </row>
    <row r="3720" spans="1:3">
      <c r="A3720" s="533"/>
      <c r="C3720" s="64"/>
    </row>
    <row r="3721" spans="1:3">
      <c r="A3721" s="533"/>
      <c r="C3721" s="64"/>
    </row>
    <row r="3722" spans="1:3">
      <c r="A3722" s="533"/>
      <c r="C3722" s="64"/>
    </row>
    <row r="3723" spans="1:3">
      <c r="A3723" s="533"/>
      <c r="C3723" s="64"/>
    </row>
    <row r="3724" spans="1:3">
      <c r="A3724" s="533"/>
      <c r="C3724" s="64"/>
    </row>
    <row r="3725" spans="1:3">
      <c r="A3725" s="533"/>
      <c r="C3725" s="64"/>
    </row>
    <row r="3726" spans="1:3">
      <c r="A3726" s="533"/>
      <c r="C3726" s="64"/>
    </row>
    <row r="3727" spans="1:3">
      <c r="A3727" s="533"/>
      <c r="C3727" s="64"/>
    </row>
    <row r="3728" spans="1:3">
      <c r="A3728" s="533"/>
      <c r="C3728" s="64"/>
    </row>
    <row r="3729" spans="1:3">
      <c r="A3729" s="533"/>
      <c r="C3729" s="64"/>
    </row>
    <row r="3730" spans="1:3">
      <c r="A3730" s="533"/>
      <c r="C3730" s="64"/>
    </row>
    <row r="3731" spans="1:3">
      <c r="A3731" s="533"/>
      <c r="C3731" s="64"/>
    </row>
    <row r="3732" spans="1:3">
      <c r="A3732" s="533"/>
      <c r="C3732" s="64"/>
    </row>
    <row r="3733" spans="1:3">
      <c r="A3733" s="533"/>
      <c r="C3733" s="64"/>
    </row>
    <row r="3734" spans="1:3">
      <c r="A3734" s="533"/>
      <c r="C3734" s="64"/>
    </row>
    <row r="3735" spans="1:3">
      <c r="A3735" s="533"/>
      <c r="C3735" s="64"/>
    </row>
    <row r="3736" spans="1:3">
      <c r="A3736" s="533"/>
      <c r="C3736" s="64"/>
    </row>
    <row r="3737" spans="1:3">
      <c r="A3737" s="533"/>
      <c r="C3737" s="64"/>
    </row>
    <row r="3738" spans="1:3">
      <c r="A3738" s="533"/>
      <c r="C3738" s="64"/>
    </row>
    <row r="3739" spans="1:3">
      <c r="A3739" s="533"/>
      <c r="C3739" s="64"/>
    </row>
    <row r="3740" spans="1:3">
      <c r="A3740" s="533"/>
      <c r="C3740" s="64"/>
    </row>
    <row r="3741" spans="1:3">
      <c r="A3741" s="533"/>
      <c r="C3741" s="64"/>
    </row>
    <row r="3742" spans="1:3">
      <c r="A3742" s="533"/>
      <c r="C3742" s="64"/>
    </row>
    <row r="3743" spans="1:3">
      <c r="A3743" s="533"/>
      <c r="C3743" s="64"/>
    </row>
    <row r="3744" spans="1:3">
      <c r="A3744" s="533"/>
      <c r="C3744" s="64"/>
    </row>
    <row r="3745" spans="1:3">
      <c r="A3745" s="533"/>
      <c r="C3745" s="64"/>
    </row>
    <row r="3746" spans="1:3">
      <c r="A3746" s="533"/>
      <c r="C3746" s="64"/>
    </row>
    <row r="3747" spans="1:3">
      <c r="A3747" s="533"/>
      <c r="C3747" s="64"/>
    </row>
    <row r="3748" spans="1:3">
      <c r="A3748" s="533"/>
      <c r="C3748" s="64"/>
    </row>
    <row r="3749" spans="1:3">
      <c r="A3749" s="533"/>
      <c r="C3749" s="64"/>
    </row>
    <row r="3750" spans="1:3">
      <c r="A3750" s="533"/>
      <c r="C3750" s="64"/>
    </row>
    <row r="3751" spans="1:3">
      <c r="A3751" s="533"/>
      <c r="C3751" s="64"/>
    </row>
    <row r="3752" spans="1:3">
      <c r="A3752" s="533"/>
      <c r="C3752" s="64"/>
    </row>
    <row r="3753" spans="1:3">
      <c r="A3753" s="533"/>
      <c r="C3753" s="64"/>
    </row>
    <row r="3754" spans="1:3">
      <c r="A3754" s="533"/>
      <c r="C3754" s="64"/>
    </row>
    <row r="3755" spans="1:3">
      <c r="A3755" s="533"/>
      <c r="C3755" s="64"/>
    </row>
    <row r="3756" spans="1:3">
      <c r="A3756" s="533"/>
      <c r="C3756" s="64"/>
    </row>
    <row r="3757" spans="1:3">
      <c r="A3757" s="533"/>
      <c r="C3757" s="64"/>
    </row>
    <row r="3758" spans="1:3">
      <c r="A3758" s="533"/>
      <c r="C3758" s="64"/>
    </row>
    <row r="3759" spans="1:3">
      <c r="A3759" s="533"/>
      <c r="C3759" s="64"/>
    </row>
    <row r="3760" spans="1:3">
      <c r="A3760" s="533"/>
      <c r="C3760" s="64"/>
    </row>
    <row r="3761" spans="1:3">
      <c r="A3761" s="533"/>
      <c r="C3761" s="64"/>
    </row>
    <row r="3762" spans="1:3">
      <c r="A3762" s="533"/>
      <c r="C3762" s="64"/>
    </row>
    <row r="3763" spans="1:3">
      <c r="A3763" s="533"/>
      <c r="C3763" s="64"/>
    </row>
    <row r="3764" spans="1:3">
      <c r="A3764" s="533"/>
      <c r="C3764" s="64"/>
    </row>
    <row r="3765" spans="1:3">
      <c r="A3765" s="533"/>
      <c r="C3765" s="64"/>
    </row>
    <row r="3766" spans="1:3">
      <c r="A3766" s="533"/>
      <c r="C3766" s="64"/>
    </row>
    <row r="3767" spans="1:3">
      <c r="A3767" s="533"/>
      <c r="C3767" s="64"/>
    </row>
    <row r="3768" spans="1:3">
      <c r="A3768" s="533"/>
      <c r="C3768" s="64"/>
    </row>
    <row r="3769" spans="1:3">
      <c r="A3769" s="533"/>
      <c r="C3769" s="64"/>
    </row>
    <row r="3770" spans="1:3">
      <c r="A3770" s="533"/>
      <c r="C3770" s="64"/>
    </row>
    <row r="3771" spans="1:3">
      <c r="A3771" s="533"/>
      <c r="C3771" s="64"/>
    </row>
    <row r="3772" spans="1:3">
      <c r="A3772" s="533"/>
      <c r="C3772" s="64"/>
    </row>
    <row r="3773" spans="1:3">
      <c r="A3773" s="533"/>
      <c r="C3773" s="64"/>
    </row>
    <row r="3774" spans="1:3">
      <c r="A3774" s="533"/>
      <c r="C3774" s="64"/>
    </row>
    <row r="3775" spans="1:3">
      <c r="A3775" s="533"/>
      <c r="C3775" s="64"/>
    </row>
    <row r="3776" spans="1:3">
      <c r="A3776" s="533"/>
      <c r="C3776" s="64"/>
    </row>
    <row r="3777" spans="1:3">
      <c r="A3777" s="533"/>
      <c r="C3777" s="64"/>
    </row>
    <row r="3778" spans="1:3">
      <c r="A3778" s="533"/>
      <c r="C3778" s="64"/>
    </row>
    <row r="3779" spans="1:3">
      <c r="A3779" s="533"/>
      <c r="C3779" s="64"/>
    </row>
    <row r="3780" spans="1:3">
      <c r="A3780" s="533"/>
      <c r="C3780" s="64"/>
    </row>
    <row r="3781" spans="1:3">
      <c r="A3781" s="533"/>
      <c r="C3781" s="64"/>
    </row>
    <row r="3782" spans="1:3">
      <c r="A3782" s="533"/>
      <c r="C3782" s="64"/>
    </row>
    <row r="3783" spans="1:3">
      <c r="A3783" s="533"/>
      <c r="C3783" s="64"/>
    </row>
    <row r="3784" spans="1:3">
      <c r="A3784" s="533"/>
      <c r="C3784" s="64"/>
    </row>
    <row r="3785" spans="1:3">
      <c r="A3785" s="533"/>
      <c r="C3785" s="64"/>
    </row>
    <row r="3786" spans="1:3">
      <c r="A3786" s="533"/>
      <c r="C3786" s="64"/>
    </row>
    <row r="3787" spans="1:3">
      <c r="A3787" s="533"/>
      <c r="C3787" s="64"/>
    </row>
    <row r="3788" spans="1:3">
      <c r="A3788" s="533"/>
      <c r="C3788" s="64"/>
    </row>
    <row r="3789" spans="1:3">
      <c r="A3789" s="533"/>
      <c r="C3789" s="64"/>
    </row>
    <row r="3790" spans="1:3">
      <c r="A3790" s="533"/>
      <c r="C3790" s="64"/>
    </row>
    <row r="3791" spans="1:3">
      <c r="A3791" s="533"/>
      <c r="C3791" s="64"/>
    </row>
    <row r="3792" spans="1:3">
      <c r="A3792" s="533"/>
      <c r="C3792" s="64"/>
    </row>
    <row r="3793" spans="1:3">
      <c r="A3793" s="533"/>
      <c r="C3793" s="64"/>
    </row>
    <row r="3794" spans="1:3">
      <c r="A3794" s="533"/>
      <c r="C3794" s="64"/>
    </row>
    <row r="3795" spans="1:3">
      <c r="A3795" s="533"/>
      <c r="C3795" s="64"/>
    </row>
    <row r="3796" spans="1:3">
      <c r="A3796" s="533"/>
      <c r="C3796" s="64"/>
    </row>
    <row r="3797" spans="1:3">
      <c r="A3797" s="533"/>
      <c r="C3797" s="64"/>
    </row>
    <row r="3798" spans="1:3">
      <c r="A3798" s="533"/>
      <c r="C3798" s="64"/>
    </row>
    <row r="3799" spans="1:3">
      <c r="A3799" s="533"/>
      <c r="C3799" s="64"/>
    </row>
    <row r="3800" spans="1:3">
      <c r="A3800" s="533"/>
      <c r="C3800" s="64"/>
    </row>
    <row r="3801" spans="1:3">
      <c r="A3801" s="533"/>
      <c r="C3801" s="64"/>
    </row>
    <row r="3802" spans="1:3">
      <c r="A3802" s="533"/>
      <c r="C3802" s="64"/>
    </row>
    <row r="3803" spans="1:3">
      <c r="A3803" s="533"/>
      <c r="C3803" s="64"/>
    </row>
    <row r="3804" spans="1:3">
      <c r="A3804" s="533"/>
      <c r="C3804" s="64"/>
    </row>
    <row r="3805" spans="1:3">
      <c r="A3805" s="533"/>
      <c r="C3805" s="64"/>
    </row>
    <row r="3806" spans="1:3">
      <c r="A3806" s="533"/>
      <c r="C3806" s="64"/>
    </row>
    <row r="3807" spans="1:3">
      <c r="A3807" s="533"/>
      <c r="C3807" s="64"/>
    </row>
    <row r="3808" spans="1:3">
      <c r="A3808" s="533"/>
      <c r="C3808" s="64"/>
    </row>
    <row r="3809" spans="1:3">
      <c r="A3809" s="533"/>
      <c r="C3809" s="64"/>
    </row>
    <row r="3810" spans="1:3">
      <c r="A3810" s="533"/>
      <c r="C3810" s="64"/>
    </row>
    <row r="3811" spans="1:3">
      <c r="A3811" s="533"/>
      <c r="C3811" s="64"/>
    </row>
    <row r="3812" spans="1:3">
      <c r="A3812" s="533"/>
      <c r="C3812" s="64"/>
    </row>
    <row r="3813" spans="1:3">
      <c r="A3813" s="533"/>
      <c r="C3813" s="64"/>
    </row>
    <row r="3814" spans="1:3">
      <c r="A3814" s="533"/>
      <c r="C3814" s="64"/>
    </row>
    <row r="3815" spans="1:3">
      <c r="A3815" s="533"/>
      <c r="C3815" s="64"/>
    </row>
    <row r="3816" spans="1:3">
      <c r="A3816" s="533"/>
      <c r="C3816" s="64"/>
    </row>
    <row r="3817" spans="1:3">
      <c r="A3817" s="533"/>
      <c r="C3817" s="64"/>
    </row>
    <row r="3818" spans="1:3">
      <c r="A3818" s="533"/>
      <c r="C3818" s="64"/>
    </row>
    <row r="3819" spans="1:3">
      <c r="A3819" s="533"/>
      <c r="C3819" s="64"/>
    </row>
    <row r="3820" spans="1:3">
      <c r="A3820" s="533"/>
      <c r="C3820" s="64"/>
    </row>
    <row r="3821" spans="1:3">
      <c r="A3821" s="533"/>
      <c r="C3821" s="64"/>
    </row>
    <row r="3822" spans="1:3">
      <c r="A3822" s="533"/>
      <c r="C3822" s="64"/>
    </row>
    <row r="3823" spans="1:3">
      <c r="A3823" s="533"/>
      <c r="C3823" s="64"/>
    </row>
    <row r="3824" spans="1:3">
      <c r="A3824" s="533"/>
      <c r="C3824" s="64"/>
    </row>
    <row r="3825" spans="1:3">
      <c r="A3825" s="533"/>
      <c r="C3825" s="64"/>
    </row>
    <row r="3826" spans="1:3">
      <c r="A3826" s="533"/>
      <c r="C3826" s="64"/>
    </row>
    <row r="3827" spans="1:3">
      <c r="A3827" s="533"/>
      <c r="C3827" s="64"/>
    </row>
    <row r="3828" spans="1:3">
      <c r="A3828" s="533"/>
      <c r="C3828" s="64"/>
    </row>
    <row r="3829" spans="1:3">
      <c r="A3829" s="533"/>
      <c r="C3829" s="64"/>
    </row>
    <row r="3830" spans="1:3">
      <c r="A3830" s="533"/>
      <c r="C3830" s="64"/>
    </row>
    <row r="3831" spans="1:3">
      <c r="A3831" s="533"/>
      <c r="C3831" s="64"/>
    </row>
    <row r="3832" spans="1:3">
      <c r="A3832" s="533"/>
      <c r="C3832" s="64"/>
    </row>
    <row r="3833" spans="1:3">
      <c r="A3833" s="533"/>
      <c r="C3833" s="64"/>
    </row>
    <row r="3834" spans="1:3">
      <c r="A3834" s="533"/>
      <c r="C3834" s="64"/>
    </row>
    <row r="3835" spans="1:3">
      <c r="A3835" s="533"/>
      <c r="C3835" s="64"/>
    </row>
    <row r="3836" spans="1:3">
      <c r="A3836" s="533"/>
      <c r="C3836" s="64"/>
    </row>
    <row r="3837" spans="1:3">
      <c r="A3837" s="533"/>
      <c r="C3837" s="64"/>
    </row>
    <row r="3838" spans="1:3">
      <c r="A3838" s="533"/>
      <c r="C3838" s="64"/>
    </row>
    <row r="3839" spans="1:3">
      <c r="A3839" s="533"/>
      <c r="C3839" s="64"/>
    </row>
    <row r="3840" spans="1:3">
      <c r="A3840" s="533"/>
      <c r="C3840" s="64"/>
    </row>
    <row r="3841" spans="1:3">
      <c r="A3841" s="533"/>
      <c r="C3841" s="64"/>
    </row>
    <row r="3842" spans="1:3">
      <c r="A3842" s="533"/>
      <c r="C3842" s="64"/>
    </row>
    <row r="3843" spans="1:3">
      <c r="A3843" s="533"/>
      <c r="C3843" s="64"/>
    </row>
    <row r="3844" spans="1:3">
      <c r="A3844" s="533"/>
      <c r="C3844" s="64"/>
    </row>
    <row r="3845" spans="1:3">
      <c r="A3845" s="533"/>
      <c r="C3845" s="64"/>
    </row>
    <row r="3846" spans="1:3">
      <c r="A3846" s="533"/>
      <c r="C3846" s="64"/>
    </row>
    <row r="3847" spans="1:3">
      <c r="A3847" s="533"/>
      <c r="C3847" s="64"/>
    </row>
    <row r="3848" spans="1:3">
      <c r="A3848" s="533"/>
      <c r="C3848" s="64"/>
    </row>
    <row r="3849" spans="1:3">
      <c r="A3849" s="533"/>
      <c r="C3849" s="64"/>
    </row>
    <row r="3850" spans="1:3">
      <c r="A3850" s="533"/>
      <c r="C3850" s="64"/>
    </row>
    <row r="3851" spans="1:3">
      <c r="A3851" s="533"/>
      <c r="C3851" s="64"/>
    </row>
    <row r="3852" spans="1:3">
      <c r="A3852" s="533"/>
      <c r="C3852" s="64"/>
    </row>
    <row r="3853" spans="1:3">
      <c r="A3853" s="533"/>
      <c r="C3853" s="64"/>
    </row>
    <row r="3854" spans="1:3">
      <c r="A3854" s="533"/>
      <c r="C3854" s="64"/>
    </row>
    <row r="3855" spans="1:3">
      <c r="A3855" s="533"/>
      <c r="C3855" s="64"/>
    </row>
    <row r="3856" spans="1:3">
      <c r="A3856" s="533"/>
      <c r="C3856" s="64"/>
    </row>
    <row r="3857" spans="1:3">
      <c r="A3857" s="533"/>
      <c r="C3857" s="64"/>
    </row>
    <row r="3858" spans="1:3">
      <c r="A3858" s="533"/>
      <c r="C3858" s="64"/>
    </row>
    <row r="3859" spans="1:3">
      <c r="A3859" s="533"/>
      <c r="C3859" s="64"/>
    </row>
    <row r="3860" spans="1:3">
      <c r="A3860" s="533"/>
      <c r="C3860" s="64"/>
    </row>
    <row r="3861" spans="1:3">
      <c r="A3861" s="533"/>
      <c r="C3861" s="64"/>
    </row>
    <row r="3862" spans="1:3">
      <c r="A3862" s="533"/>
      <c r="C3862" s="64"/>
    </row>
    <row r="3863" spans="1:3">
      <c r="A3863" s="533"/>
      <c r="C3863" s="64"/>
    </row>
    <row r="3864" spans="1:3">
      <c r="A3864" s="533"/>
      <c r="C3864" s="64"/>
    </row>
    <row r="3865" spans="1:3">
      <c r="A3865" s="533"/>
      <c r="C3865" s="64"/>
    </row>
    <row r="3866" spans="1:3">
      <c r="A3866" s="533"/>
      <c r="C3866" s="64"/>
    </row>
    <row r="3867" spans="1:3">
      <c r="A3867" s="533"/>
      <c r="C3867" s="64"/>
    </row>
    <row r="3868" spans="1:3">
      <c r="A3868" s="533"/>
      <c r="C3868" s="64"/>
    </row>
    <row r="3869" spans="1:3">
      <c r="A3869" s="533"/>
      <c r="C3869" s="64"/>
    </row>
    <row r="3870" spans="1:3">
      <c r="A3870" s="533"/>
      <c r="C3870" s="64"/>
    </row>
    <row r="3871" spans="1:3">
      <c r="A3871" s="533"/>
      <c r="C3871" s="64"/>
    </row>
    <row r="3872" spans="1:3">
      <c r="A3872" s="533"/>
      <c r="C3872" s="64"/>
    </row>
    <row r="3873" spans="1:3">
      <c r="A3873" s="533"/>
      <c r="C3873" s="64"/>
    </row>
    <row r="3874" spans="1:3">
      <c r="A3874" s="533"/>
      <c r="C3874" s="64"/>
    </row>
    <row r="3875" spans="1:3">
      <c r="A3875" s="533"/>
      <c r="C3875" s="64"/>
    </row>
    <row r="3876" spans="1:3">
      <c r="A3876" s="533"/>
      <c r="C3876" s="64"/>
    </row>
    <row r="3877" spans="1:3">
      <c r="A3877" s="533"/>
      <c r="C3877" s="64"/>
    </row>
    <row r="3878" spans="1:3">
      <c r="A3878" s="533"/>
      <c r="C3878" s="64"/>
    </row>
    <row r="3879" spans="1:3">
      <c r="A3879" s="533"/>
      <c r="C3879" s="64"/>
    </row>
    <row r="3880" spans="1:3">
      <c r="A3880" s="533"/>
      <c r="C3880" s="64"/>
    </row>
    <row r="3881" spans="1:3">
      <c r="A3881" s="533"/>
      <c r="C3881" s="64"/>
    </row>
    <row r="3882" spans="1:3">
      <c r="A3882" s="533"/>
      <c r="C3882" s="64"/>
    </row>
    <row r="3883" spans="1:3">
      <c r="A3883" s="533"/>
      <c r="C3883" s="64"/>
    </row>
    <row r="3884" spans="1:3">
      <c r="A3884" s="533"/>
      <c r="C3884" s="64"/>
    </row>
    <row r="3885" spans="1:3">
      <c r="A3885" s="533"/>
      <c r="C3885" s="64"/>
    </row>
    <row r="3886" spans="1:3">
      <c r="A3886" s="533"/>
      <c r="C3886" s="64"/>
    </row>
    <row r="3887" spans="1:3">
      <c r="A3887" s="533"/>
      <c r="C3887" s="64"/>
    </row>
    <row r="3888" spans="1:3">
      <c r="A3888" s="533"/>
      <c r="C3888" s="64"/>
    </row>
    <row r="3889" spans="1:3">
      <c r="A3889" s="533"/>
      <c r="C3889" s="64"/>
    </row>
    <row r="3890" spans="1:3">
      <c r="A3890" s="533"/>
      <c r="C3890" s="64"/>
    </row>
    <row r="3891" spans="1:3">
      <c r="A3891" s="533"/>
      <c r="C3891" s="64"/>
    </row>
    <row r="3892" spans="1:3">
      <c r="A3892" s="533"/>
      <c r="C3892" s="64"/>
    </row>
    <row r="3893" spans="1:3">
      <c r="A3893" s="533"/>
      <c r="C3893" s="64"/>
    </row>
    <row r="3894" spans="1:3">
      <c r="A3894" s="533"/>
      <c r="C3894" s="64"/>
    </row>
    <row r="3895" spans="1:3">
      <c r="A3895" s="533"/>
      <c r="C3895" s="64"/>
    </row>
    <row r="3896" spans="1:3">
      <c r="A3896" s="533"/>
      <c r="C3896" s="64"/>
    </row>
    <row r="3897" spans="1:3">
      <c r="A3897" s="533"/>
      <c r="C3897" s="64"/>
    </row>
    <row r="3898" spans="1:3">
      <c r="A3898" s="533"/>
      <c r="C3898" s="64"/>
    </row>
    <row r="3899" spans="1:3">
      <c r="A3899" s="533"/>
      <c r="C3899" s="64"/>
    </row>
    <row r="3900" spans="1:3">
      <c r="A3900" s="533"/>
      <c r="C3900" s="64"/>
    </row>
    <row r="3901" spans="1:3">
      <c r="A3901" s="533"/>
      <c r="C3901" s="64"/>
    </row>
    <row r="3902" spans="1:3">
      <c r="A3902" s="533"/>
      <c r="C3902" s="64"/>
    </row>
    <row r="3903" spans="1:3">
      <c r="A3903" s="533"/>
      <c r="C3903" s="64"/>
    </row>
    <row r="3904" spans="1:3">
      <c r="A3904" s="533"/>
      <c r="C3904" s="64"/>
    </row>
    <row r="3905" spans="1:3">
      <c r="A3905" s="533"/>
      <c r="C3905" s="64"/>
    </row>
    <row r="3906" spans="1:3">
      <c r="A3906" s="533"/>
      <c r="C3906" s="64"/>
    </row>
    <row r="3907" spans="1:3">
      <c r="A3907" s="533"/>
      <c r="C3907" s="64"/>
    </row>
    <row r="3908" spans="1:3">
      <c r="A3908" s="533"/>
      <c r="C3908" s="64"/>
    </row>
    <row r="3909" spans="1:3">
      <c r="A3909" s="533"/>
      <c r="C3909" s="64"/>
    </row>
    <row r="3910" spans="1:3">
      <c r="A3910" s="533"/>
      <c r="C3910" s="64"/>
    </row>
    <row r="3911" spans="1:3">
      <c r="A3911" s="533"/>
      <c r="C3911" s="64"/>
    </row>
    <row r="3912" spans="1:3">
      <c r="A3912" s="533"/>
      <c r="C3912" s="64"/>
    </row>
    <row r="3913" spans="1:3">
      <c r="A3913" s="533"/>
      <c r="C3913" s="64"/>
    </row>
    <row r="3914" spans="1:3">
      <c r="A3914" s="533"/>
      <c r="C3914" s="64"/>
    </row>
    <row r="3915" spans="1:3">
      <c r="A3915" s="533"/>
      <c r="C3915" s="64"/>
    </row>
    <row r="3916" spans="1:3">
      <c r="A3916" s="533"/>
      <c r="C3916" s="64"/>
    </row>
    <row r="3917" spans="1:3">
      <c r="A3917" s="533"/>
      <c r="C3917" s="64"/>
    </row>
    <row r="3918" spans="1:3">
      <c r="A3918" s="533"/>
      <c r="C3918" s="64"/>
    </row>
    <row r="3919" spans="1:3">
      <c r="A3919" s="533"/>
      <c r="C3919" s="64"/>
    </row>
    <row r="3920" spans="1:3">
      <c r="A3920" s="533"/>
      <c r="C3920" s="64"/>
    </row>
    <row r="3921" spans="1:3">
      <c r="A3921" s="533"/>
      <c r="C3921" s="64"/>
    </row>
    <row r="3922" spans="1:3">
      <c r="A3922" s="533"/>
      <c r="C3922" s="64"/>
    </row>
    <row r="3923" spans="1:3">
      <c r="A3923" s="533"/>
      <c r="C3923" s="64"/>
    </row>
    <row r="3924" spans="1:3">
      <c r="A3924" s="533"/>
      <c r="C3924" s="64"/>
    </row>
    <row r="3925" spans="1:3">
      <c r="A3925" s="533"/>
      <c r="C3925" s="64"/>
    </row>
    <row r="3926" spans="1:3">
      <c r="A3926" s="533"/>
      <c r="C3926" s="64"/>
    </row>
    <row r="3927" spans="1:3">
      <c r="A3927" s="533"/>
      <c r="C3927" s="64"/>
    </row>
    <row r="3928" spans="1:3">
      <c r="A3928" s="533"/>
      <c r="C3928" s="64"/>
    </row>
    <row r="3929" spans="1:3">
      <c r="A3929" s="533"/>
      <c r="C3929" s="64"/>
    </row>
    <row r="3930" spans="1:3">
      <c r="A3930" s="533"/>
      <c r="C3930" s="64"/>
    </row>
    <row r="3931" spans="1:3">
      <c r="A3931" s="533"/>
      <c r="C3931" s="64"/>
    </row>
    <row r="3932" spans="1:3">
      <c r="A3932" s="533"/>
      <c r="C3932" s="64"/>
    </row>
    <row r="3933" spans="1:3">
      <c r="A3933" s="533"/>
      <c r="C3933" s="64"/>
    </row>
    <row r="3934" spans="1:3">
      <c r="A3934" s="533"/>
      <c r="C3934" s="64"/>
    </row>
    <row r="3935" spans="1:3">
      <c r="A3935" s="533"/>
      <c r="C3935" s="64"/>
    </row>
    <row r="3936" spans="1:3">
      <c r="A3936" s="533"/>
      <c r="C3936" s="64"/>
    </row>
    <row r="3937" spans="1:3">
      <c r="A3937" s="533"/>
      <c r="C3937" s="64"/>
    </row>
    <row r="3938" spans="1:3">
      <c r="A3938" s="533"/>
      <c r="C3938" s="64"/>
    </row>
    <row r="3939" spans="1:3">
      <c r="A3939" s="533"/>
      <c r="C3939" s="64"/>
    </row>
    <row r="3940" spans="1:3">
      <c r="A3940" s="533"/>
      <c r="C3940" s="64"/>
    </row>
    <row r="3941" spans="1:3">
      <c r="A3941" s="533"/>
      <c r="C3941" s="64"/>
    </row>
    <row r="3942" spans="1:3">
      <c r="A3942" s="533"/>
      <c r="C3942" s="64"/>
    </row>
    <row r="3943" spans="1:3">
      <c r="A3943" s="533"/>
      <c r="C3943" s="64"/>
    </row>
    <row r="3944" spans="1:3">
      <c r="A3944" s="533"/>
      <c r="C3944" s="64"/>
    </row>
    <row r="3945" spans="1:3">
      <c r="A3945" s="533"/>
      <c r="C3945" s="64"/>
    </row>
    <row r="3946" spans="1:3">
      <c r="A3946" s="533"/>
      <c r="C3946" s="64"/>
    </row>
    <row r="3947" spans="1:3">
      <c r="A3947" s="533"/>
      <c r="C3947" s="64"/>
    </row>
    <row r="3948" spans="1:3">
      <c r="A3948" s="533"/>
      <c r="C3948" s="64"/>
    </row>
    <row r="3949" spans="1:3">
      <c r="A3949" s="533"/>
      <c r="C3949" s="64"/>
    </row>
    <row r="3950" spans="1:3">
      <c r="A3950" s="533"/>
      <c r="C3950" s="64"/>
    </row>
    <row r="3951" spans="1:3">
      <c r="A3951" s="533"/>
      <c r="C3951" s="64"/>
    </row>
    <row r="3952" spans="1:3">
      <c r="A3952" s="533"/>
      <c r="C3952" s="64"/>
    </row>
    <row r="3953" spans="1:3">
      <c r="A3953" s="533"/>
      <c r="C3953" s="64"/>
    </row>
    <row r="3954" spans="1:3">
      <c r="A3954" s="533"/>
      <c r="C3954" s="64"/>
    </row>
    <row r="3955" spans="1:3">
      <c r="A3955" s="533"/>
      <c r="C3955" s="64"/>
    </row>
    <row r="3956" spans="1:3">
      <c r="A3956" s="533"/>
      <c r="C3956" s="64"/>
    </row>
    <row r="3957" spans="1:3">
      <c r="A3957" s="533"/>
      <c r="C3957" s="64"/>
    </row>
    <row r="3958" spans="1:3">
      <c r="A3958" s="533"/>
      <c r="C3958" s="64"/>
    </row>
    <row r="3959" spans="1:3">
      <c r="A3959" s="533"/>
      <c r="C3959" s="64"/>
    </row>
    <row r="3960" spans="1:3">
      <c r="A3960" s="533"/>
      <c r="C3960" s="64"/>
    </row>
    <row r="3961" spans="1:3">
      <c r="A3961" s="533"/>
      <c r="C3961" s="64"/>
    </row>
    <row r="3962" spans="1:3">
      <c r="A3962" s="533"/>
      <c r="C3962" s="64"/>
    </row>
    <row r="3963" spans="1:3">
      <c r="A3963" s="533"/>
      <c r="C3963" s="64"/>
    </row>
    <row r="3964" spans="1:3">
      <c r="A3964" s="533"/>
      <c r="C3964" s="64"/>
    </row>
    <row r="3965" spans="1:3">
      <c r="A3965" s="533"/>
      <c r="C3965" s="64"/>
    </row>
    <row r="3966" spans="1:3">
      <c r="A3966" s="533"/>
      <c r="C3966" s="64"/>
    </row>
    <row r="3967" spans="1:3">
      <c r="A3967" s="533"/>
      <c r="C3967" s="64"/>
    </row>
    <row r="3968" spans="1:3">
      <c r="A3968" s="533"/>
      <c r="C3968" s="64"/>
    </row>
    <row r="3969" spans="1:3">
      <c r="A3969" s="533"/>
      <c r="C3969" s="64"/>
    </row>
    <row r="3970" spans="1:3">
      <c r="A3970" s="533"/>
      <c r="C3970" s="64"/>
    </row>
    <row r="3971" spans="1:3">
      <c r="A3971" s="533"/>
      <c r="C3971" s="64"/>
    </row>
    <row r="3972" spans="1:3">
      <c r="A3972" s="533"/>
      <c r="C3972" s="64"/>
    </row>
    <row r="3973" spans="1:3">
      <c r="A3973" s="533"/>
      <c r="C3973" s="64"/>
    </row>
    <row r="3974" spans="1:3">
      <c r="A3974" s="533"/>
      <c r="C3974" s="64"/>
    </row>
    <row r="3975" spans="1:3">
      <c r="A3975" s="533"/>
      <c r="C3975" s="64"/>
    </row>
    <row r="3976" spans="1:3">
      <c r="A3976" s="533"/>
      <c r="C3976" s="64"/>
    </row>
    <row r="3977" spans="1:3">
      <c r="A3977" s="533"/>
      <c r="C3977" s="64"/>
    </row>
    <row r="3978" spans="1:3">
      <c r="A3978" s="533"/>
      <c r="C3978" s="64"/>
    </row>
    <row r="3979" spans="1:3">
      <c r="A3979" s="533"/>
      <c r="C3979" s="64"/>
    </row>
    <row r="3980" spans="1:3">
      <c r="A3980" s="533"/>
      <c r="C3980" s="64"/>
    </row>
    <row r="3981" spans="1:3">
      <c r="A3981" s="533"/>
      <c r="C3981" s="64"/>
    </row>
    <row r="3982" spans="1:3">
      <c r="A3982" s="533"/>
      <c r="C3982" s="64"/>
    </row>
    <row r="3983" spans="1:3">
      <c r="A3983" s="533"/>
      <c r="C3983" s="64"/>
    </row>
    <row r="3984" spans="1:3">
      <c r="A3984" s="533"/>
      <c r="C3984" s="64"/>
    </row>
    <row r="3985" spans="1:3">
      <c r="A3985" s="533"/>
      <c r="C3985" s="64"/>
    </row>
    <row r="3986" spans="1:3">
      <c r="A3986" s="533"/>
      <c r="C3986" s="64"/>
    </row>
    <row r="3987" spans="1:3">
      <c r="A3987" s="533"/>
      <c r="C3987" s="64"/>
    </row>
    <row r="3988" spans="1:3">
      <c r="A3988" s="533"/>
      <c r="C3988" s="64"/>
    </row>
    <row r="3989" spans="1:3">
      <c r="A3989" s="533"/>
      <c r="C3989" s="64"/>
    </row>
    <row r="3990" spans="1:3">
      <c r="A3990" s="533"/>
      <c r="C3990" s="64"/>
    </row>
    <row r="3991" spans="1:3">
      <c r="A3991" s="533"/>
      <c r="C3991" s="64"/>
    </row>
    <row r="3992" spans="1:3">
      <c r="A3992" s="533"/>
      <c r="C3992" s="64"/>
    </row>
    <row r="3993" spans="1:3">
      <c r="A3993" s="533"/>
      <c r="C3993" s="64"/>
    </row>
    <row r="3994" spans="1:3">
      <c r="A3994" s="533"/>
      <c r="C3994" s="64"/>
    </row>
    <row r="3995" spans="1:3">
      <c r="A3995" s="533"/>
      <c r="C3995" s="64"/>
    </row>
    <row r="3996" spans="1:3">
      <c r="A3996" s="533"/>
      <c r="C3996" s="64"/>
    </row>
    <row r="3997" spans="1:3">
      <c r="A3997" s="533"/>
      <c r="C3997" s="64"/>
    </row>
    <row r="3998" spans="1:3">
      <c r="A3998" s="533"/>
      <c r="C3998" s="64"/>
    </row>
    <row r="3999" spans="1:3">
      <c r="A3999" s="533"/>
      <c r="C3999" s="64"/>
    </row>
    <row r="4000" spans="1:3">
      <c r="A4000" s="533"/>
      <c r="C4000" s="64"/>
    </row>
    <row r="4001" spans="1:3">
      <c r="A4001" s="533"/>
      <c r="C4001" s="64"/>
    </row>
    <row r="4002" spans="1:3">
      <c r="A4002" s="533"/>
      <c r="C4002" s="64"/>
    </row>
    <row r="4003" spans="1:3">
      <c r="A4003" s="533"/>
      <c r="C4003" s="64"/>
    </row>
    <row r="4004" spans="1:3">
      <c r="A4004" s="533"/>
      <c r="C4004" s="64"/>
    </row>
    <row r="4005" spans="1:3">
      <c r="A4005" s="533"/>
      <c r="C4005" s="64"/>
    </row>
    <row r="4006" spans="1:3">
      <c r="A4006" s="533"/>
      <c r="C4006" s="64"/>
    </row>
    <row r="4007" spans="1:3">
      <c r="A4007" s="533"/>
      <c r="C4007" s="64"/>
    </row>
    <row r="4008" spans="1:3">
      <c r="A4008" s="533"/>
      <c r="C4008" s="64"/>
    </row>
    <row r="4009" spans="1:3">
      <c r="A4009" s="533"/>
      <c r="C4009" s="64"/>
    </row>
    <row r="4010" spans="1:3">
      <c r="A4010" s="533"/>
      <c r="C4010" s="64"/>
    </row>
    <row r="4011" spans="1:3">
      <c r="A4011" s="533"/>
      <c r="C4011" s="64"/>
    </row>
    <row r="4012" spans="1:3">
      <c r="A4012" s="533"/>
      <c r="C4012" s="64"/>
    </row>
    <row r="4013" spans="1:3">
      <c r="A4013" s="533"/>
      <c r="C4013" s="64"/>
    </row>
    <row r="4014" spans="1:3">
      <c r="A4014" s="533"/>
      <c r="C4014" s="64"/>
    </row>
    <row r="4015" spans="1:3">
      <c r="A4015" s="533"/>
      <c r="C4015" s="64"/>
    </row>
    <row r="4016" spans="1:3">
      <c r="A4016" s="533"/>
      <c r="C4016" s="64"/>
    </row>
    <row r="4017" spans="1:3">
      <c r="A4017" s="533"/>
      <c r="C4017" s="64"/>
    </row>
    <row r="4018" spans="1:3">
      <c r="A4018" s="533"/>
      <c r="C4018" s="64"/>
    </row>
    <row r="4019" spans="1:3">
      <c r="A4019" s="533"/>
      <c r="C4019" s="64"/>
    </row>
    <row r="4020" spans="1:3">
      <c r="A4020" s="533"/>
      <c r="C4020" s="64"/>
    </row>
    <row r="4021" spans="1:3">
      <c r="A4021" s="533"/>
      <c r="C4021" s="64"/>
    </row>
    <row r="4022" spans="1:3">
      <c r="A4022" s="533"/>
      <c r="C4022" s="64"/>
    </row>
    <row r="4023" spans="1:3">
      <c r="A4023" s="533"/>
      <c r="C4023" s="64"/>
    </row>
    <row r="4024" spans="1:3">
      <c r="A4024" s="533"/>
      <c r="C4024" s="64"/>
    </row>
    <row r="4025" spans="1:3">
      <c r="A4025" s="533"/>
      <c r="C4025" s="64"/>
    </row>
    <row r="4026" spans="1:3">
      <c r="A4026" s="533"/>
      <c r="C4026" s="64"/>
    </row>
    <row r="4027" spans="1:3">
      <c r="A4027" s="533"/>
      <c r="C4027" s="64"/>
    </row>
    <row r="4028" spans="1:3">
      <c r="A4028" s="533"/>
      <c r="C4028" s="64"/>
    </row>
    <row r="4029" spans="1:3">
      <c r="A4029" s="533"/>
      <c r="C4029" s="64"/>
    </row>
    <row r="4030" spans="1:3">
      <c r="A4030" s="533"/>
      <c r="C4030" s="64"/>
    </row>
    <row r="4031" spans="1:3">
      <c r="A4031" s="533"/>
      <c r="C4031" s="64"/>
    </row>
    <row r="4032" spans="1:3">
      <c r="A4032" s="533"/>
      <c r="C4032" s="64"/>
    </row>
    <row r="4033" spans="1:3">
      <c r="A4033" s="533"/>
      <c r="C4033" s="64"/>
    </row>
    <row r="4034" spans="1:3">
      <c r="A4034" s="533"/>
      <c r="C4034" s="64"/>
    </row>
    <row r="4035" spans="1:3">
      <c r="A4035" s="533"/>
      <c r="C4035" s="64"/>
    </row>
    <row r="4036" spans="1:3">
      <c r="A4036" s="533"/>
      <c r="C4036" s="64"/>
    </row>
    <row r="4037" spans="1:3">
      <c r="A4037" s="533"/>
      <c r="C4037" s="64"/>
    </row>
    <row r="4038" spans="1:3">
      <c r="A4038" s="533"/>
      <c r="C4038" s="64"/>
    </row>
    <row r="4039" spans="1:3">
      <c r="A4039" s="533"/>
      <c r="C4039" s="64"/>
    </row>
    <row r="4040" spans="1:3">
      <c r="A4040" s="533"/>
      <c r="C4040" s="64"/>
    </row>
    <row r="4041" spans="1:3">
      <c r="A4041" s="533"/>
      <c r="C4041" s="64"/>
    </row>
    <row r="4042" spans="1:3">
      <c r="A4042" s="533"/>
      <c r="C4042" s="64"/>
    </row>
    <row r="4043" spans="1:3">
      <c r="A4043" s="533"/>
      <c r="C4043" s="64"/>
    </row>
    <row r="4044" spans="1:3">
      <c r="A4044" s="533"/>
      <c r="C4044" s="64"/>
    </row>
    <row r="4045" spans="1:3">
      <c r="A4045" s="533"/>
      <c r="C4045" s="64"/>
    </row>
    <row r="4046" spans="1:3">
      <c r="A4046" s="533"/>
      <c r="C4046" s="64"/>
    </row>
    <row r="4047" spans="1:3">
      <c r="A4047" s="533"/>
      <c r="C4047" s="64"/>
    </row>
    <row r="4048" spans="1:3">
      <c r="A4048" s="533"/>
      <c r="C4048" s="64"/>
    </row>
    <row r="4049" spans="1:3">
      <c r="A4049" s="533"/>
      <c r="C4049" s="64"/>
    </row>
    <row r="4050" spans="1:3">
      <c r="A4050" s="533"/>
      <c r="C4050" s="64"/>
    </row>
    <row r="4051" spans="1:3">
      <c r="A4051" s="533"/>
      <c r="C4051" s="64"/>
    </row>
    <row r="4052" spans="1:3">
      <c r="A4052" s="533"/>
      <c r="C4052" s="64"/>
    </row>
    <row r="4053" spans="1:3">
      <c r="A4053" s="533"/>
      <c r="C4053" s="64"/>
    </row>
    <row r="4054" spans="1:3">
      <c r="A4054" s="533"/>
      <c r="C4054" s="64"/>
    </row>
    <row r="4055" spans="1:3">
      <c r="A4055" s="533"/>
      <c r="C4055" s="64"/>
    </row>
    <row r="4056" spans="1:3">
      <c r="A4056" s="533"/>
      <c r="C4056" s="64"/>
    </row>
    <row r="4057" spans="1:3">
      <c r="A4057" s="533"/>
      <c r="C4057" s="64"/>
    </row>
    <row r="4058" spans="1:3">
      <c r="A4058" s="533"/>
      <c r="C4058" s="64"/>
    </row>
    <row r="4059" spans="1:3">
      <c r="A4059" s="533"/>
      <c r="C4059" s="64"/>
    </row>
    <row r="4060" spans="1:3">
      <c r="A4060" s="533"/>
      <c r="C4060" s="64"/>
    </row>
    <row r="4061" spans="1:3">
      <c r="A4061" s="533"/>
      <c r="C4061" s="64"/>
    </row>
    <row r="4062" spans="1:3">
      <c r="A4062" s="533"/>
      <c r="C4062" s="64"/>
    </row>
    <row r="4063" spans="1:3">
      <c r="A4063" s="533"/>
      <c r="C4063" s="64"/>
    </row>
    <row r="4064" spans="1:3">
      <c r="A4064" s="533"/>
      <c r="C4064" s="64"/>
    </row>
    <row r="4065" spans="1:3">
      <c r="A4065" s="533"/>
      <c r="C4065" s="64"/>
    </row>
    <row r="4066" spans="1:3">
      <c r="A4066" s="533"/>
      <c r="C4066" s="64"/>
    </row>
    <row r="4067" spans="1:3">
      <c r="A4067" s="533"/>
      <c r="C4067" s="64"/>
    </row>
    <row r="4068" spans="1:3">
      <c r="A4068" s="533"/>
      <c r="C4068" s="64"/>
    </row>
    <row r="4069" spans="1:3">
      <c r="A4069" s="533"/>
      <c r="C4069" s="64"/>
    </row>
    <row r="4070" spans="1:3">
      <c r="A4070" s="533"/>
      <c r="C4070" s="64"/>
    </row>
    <row r="4071" spans="1:3">
      <c r="A4071" s="533"/>
      <c r="C4071" s="64"/>
    </row>
    <row r="4072" spans="1:3">
      <c r="A4072" s="533"/>
      <c r="C4072" s="64"/>
    </row>
    <row r="4073" spans="1:3">
      <c r="A4073" s="533"/>
      <c r="C4073" s="64"/>
    </row>
    <row r="4074" spans="1:3">
      <c r="A4074" s="533"/>
      <c r="C4074" s="64"/>
    </row>
    <row r="4075" spans="1:3">
      <c r="A4075" s="533"/>
      <c r="C4075" s="64"/>
    </row>
    <row r="4076" spans="1:3">
      <c r="A4076" s="533"/>
      <c r="C4076" s="64"/>
    </row>
    <row r="4077" spans="1:3">
      <c r="A4077" s="533"/>
      <c r="C4077" s="64"/>
    </row>
    <row r="4078" spans="1:3">
      <c r="A4078" s="533"/>
      <c r="C4078" s="64"/>
    </row>
    <row r="4079" spans="1:3">
      <c r="A4079" s="533"/>
      <c r="C4079" s="64"/>
    </row>
    <row r="4080" spans="1:3">
      <c r="A4080" s="533"/>
      <c r="C4080" s="64"/>
    </row>
    <row r="4081" spans="1:3">
      <c r="A4081" s="533"/>
      <c r="C4081" s="64"/>
    </row>
    <row r="4082" spans="1:3">
      <c r="A4082" s="533"/>
      <c r="C4082" s="64"/>
    </row>
    <row r="4083" spans="1:3">
      <c r="A4083" s="533"/>
      <c r="C4083" s="64"/>
    </row>
    <row r="4084" spans="1:3">
      <c r="A4084" s="533"/>
      <c r="C4084" s="64"/>
    </row>
    <row r="4085" spans="1:3">
      <c r="A4085" s="533"/>
      <c r="C4085" s="64"/>
    </row>
    <row r="4086" spans="1:3">
      <c r="A4086" s="533"/>
      <c r="C4086" s="64"/>
    </row>
    <row r="4087" spans="1:3">
      <c r="A4087" s="533"/>
      <c r="C4087" s="64"/>
    </row>
    <row r="4088" spans="1:3">
      <c r="A4088" s="533"/>
      <c r="C4088" s="64"/>
    </row>
    <row r="4089" spans="1:3">
      <c r="A4089" s="533"/>
      <c r="C4089" s="64"/>
    </row>
    <row r="4090" spans="1:3">
      <c r="A4090" s="533"/>
      <c r="C4090" s="64"/>
    </row>
    <row r="4091" spans="1:3">
      <c r="A4091" s="533"/>
      <c r="C4091" s="64"/>
    </row>
    <row r="4092" spans="1:3">
      <c r="A4092" s="533"/>
      <c r="C4092" s="64"/>
    </row>
    <row r="4093" spans="1:3">
      <c r="A4093" s="533"/>
      <c r="C4093" s="64"/>
    </row>
    <row r="4094" spans="1:3">
      <c r="A4094" s="533"/>
      <c r="C4094" s="64"/>
    </row>
    <row r="4095" spans="1:3">
      <c r="A4095" s="533"/>
      <c r="C4095" s="64"/>
    </row>
    <row r="4096" spans="1:3">
      <c r="A4096" s="533"/>
      <c r="C4096" s="64"/>
    </row>
    <row r="4097" spans="1:3">
      <c r="A4097" s="533"/>
      <c r="C4097" s="64"/>
    </row>
    <row r="4098" spans="1:3">
      <c r="A4098" s="533"/>
      <c r="C4098" s="64"/>
    </row>
    <row r="4099" spans="1:3">
      <c r="A4099" s="533"/>
      <c r="C4099" s="64"/>
    </row>
    <row r="4100" spans="1:3">
      <c r="A4100" s="533"/>
      <c r="C4100" s="64"/>
    </row>
    <row r="4101" spans="1:3">
      <c r="A4101" s="533"/>
      <c r="C4101" s="64"/>
    </row>
    <row r="4102" spans="1:3">
      <c r="A4102" s="533"/>
      <c r="C4102" s="64"/>
    </row>
    <row r="4103" spans="1:3">
      <c r="A4103" s="533"/>
      <c r="C4103" s="64"/>
    </row>
    <row r="4104" spans="1:3">
      <c r="A4104" s="533"/>
      <c r="C4104" s="64"/>
    </row>
    <row r="4105" spans="1:3">
      <c r="A4105" s="533"/>
      <c r="C4105" s="64"/>
    </row>
    <row r="4106" spans="1:3">
      <c r="A4106" s="533"/>
      <c r="C4106" s="64"/>
    </row>
    <row r="4107" spans="1:3">
      <c r="A4107" s="533"/>
      <c r="C4107" s="64"/>
    </row>
    <row r="4108" spans="1:3">
      <c r="A4108" s="533"/>
      <c r="C4108" s="64"/>
    </row>
    <row r="4109" spans="1:3">
      <c r="A4109" s="533"/>
      <c r="C4109" s="64"/>
    </row>
    <row r="4110" spans="1:3">
      <c r="A4110" s="533"/>
      <c r="C4110" s="64"/>
    </row>
    <row r="4111" spans="1:3">
      <c r="A4111" s="533"/>
      <c r="C4111" s="64"/>
    </row>
    <row r="4112" spans="1:3">
      <c r="A4112" s="533"/>
      <c r="C4112" s="64"/>
    </row>
    <row r="4113" spans="1:3">
      <c r="A4113" s="533"/>
      <c r="C4113" s="64"/>
    </row>
    <row r="4114" spans="1:3">
      <c r="A4114" s="533"/>
      <c r="C4114" s="64"/>
    </row>
    <row r="4115" spans="1:3">
      <c r="A4115" s="533"/>
      <c r="C4115" s="64"/>
    </row>
    <row r="4116" spans="1:3">
      <c r="A4116" s="533"/>
      <c r="C4116" s="64"/>
    </row>
    <row r="4117" spans="1:3">
      <c r="A4117" s="533"/>
      <c r="C4117" s="64"/>
    </row>
    <row r="4118" spans="1:3">
      <c r="A4118" s="533"/>
      <c r="C4118" s="64"/>
    </row>
    <row r="4119" spans="1:3">
      <c r="A4119" s="533"/>
      <c r="C4119" s="64"/>
    </row>
    <row r="4120" spans="1:3">
      <c r="A4120" s="533"/>
      <c r="C4120" s="64"/>
    </row>
    <row r="4121" spans="1:3">
      <c r="A4121" s="533"/>
      <c r="C4121" s="64"/>
    </row>
    <row r="4122" spans="1:3">
      <c r="A4122" s="533"/>
      <c r="C4122" s="64"/>
    </row>
    <row r="4123" spans="1:3">
      <c r="A4123" s="533"/>
      <c r="C4123" s="64"/>
    </row>
    <row r="4124" spans="1:3">
      <c r="A4124" s="533"/>
      <c r="C4124" s="64"/>
    </row>
    <row r="4125" spans="1:3">
      <c r="A4125" s="533"/>
      <c r="C4125" s="64"/>
    </row>
    <row r="4126" spans="1:3">
      <c r="A4126" s="533"/>
      <c r="C4126" s="64"/>
    </row>
    <row r="4127" spans="1:3">
      <c r="A4127" s="533"/>
      <c r="C4127" s="64"/>
    </row>
    <row r="4128" spans="1:3">
      <c r="A4128" s="533"/>
      <c r="C4128" s="64"/>
    </row>
    <row r="4129" spans="1:3">
      <c r="A4129" s="533"/>
      <c r="C4129" s="64"/>
    </row>
    <row r="4130" spans="1:3">
      <c r="A4130" s="533"/>
      <c r="C4130" s="64"/>
    </row>
    <row r="4131" spans="1:3">
      <c r="A4131" s="533"/>
      <c r="C4131" s="64"/>
    </row>
    <row r="4132" spans="1:3">
      <c r="A4132" s="533"/>
      <c r="C4132" s="64"/>
    </row>
    <row r="4133" spans="1:3">
      <c r="A4133" s="533"/>
      <c r="C4133" s="64"/>
    </row>
    <row r="4134" spans="1:3">
      <c r="A4134" s="533"/>
      <c r="C4134" s="64"/>
    </row>
    <row r="4135" spans="1:3">
      <c r="A4135" s="533"/>
      <c r="C4135" s="64"/>
    </row>
    <row r="4136" spans="1:3">
      <c r="A4136" s="533"/>
      <c r="C4136" s="64"/>
    </row>
    <row r="4137" spans="1:3">
      <c r="A4137" s="533"/>
      <c r="C4137" s="64"/>
    </row>
    <row r="4138" spans="1:3">
      <c r="A4138" s="533"/>
      <c r="C4138" s="64"/>
    </row>
    <row r="4139" spans="1:3">
      <c r="A4139" s="533"/>
      <c r="C4139" s="64"/>
    </row>
    <row r="4140" spans="1:3">
      <c r="A4140" s="533"/>
      <c r="C4140" s="64"/>
    </row>
    <row r="4141" spans="1:3">
      <c r="A4141" s="533"/>
      <c r="C4141" s="64"/>
    </row>
    <row r="4142" spans="1:3">
      <c r="A4142" s="533"/>
      <c r="C4142" s="64"/>
    </row>
    <row r="4143" spans="1:3">
      <c r="A4143" s="533"/>
      <c r="C4143" s="64"/>
    </row>
    <row r="4144" spans="1:3">
      <c r="A4144" s="533"/>
      <c r="C4144" s="64"/>
    </row>
    <row r="4145" spans="1:3">
      <c r="A4145" s="533"/>
      <c r="C4145" s="64"/>
    </row>
    <row r="4146" spans="1:3">
      <c r="A4146" s="533"/>
      <c r="C4146" s="64"/>
    </row>
    <row r="4147" spans="1:3">
      <c r="A4147" s="533"/>
      <c r="C4147" s="64"/>
    </row>
    <row r="4148" spans="1:3">
      <c r="A4148" s="533"/>
      <c r="C4148" s="64"/>
    </row>
    <row r="4149" spans="1:3">
      <c r="A4149" s="533"/>
      <c r="C4149" s="64"/>
    </row>
    <row r="4150" spans="1:3">
      <c r="A4150" s="533"/>
      <c r="C4150" s="64"/>
    </row>
    <row r="4151" spans="1:3">
      <c r="A4151" s="533"/>
      <c r="C4151" s="64"/>
    </row>
    <row r="4152" spans="1:3">
      <c r="A4152" s="533"/>
      <c r="C4152" s="64"/>
    </row>
    <row r="4153" spans="1:3">
      <c r="A4153" s="533"/>
      <c r="C4153" s="64"/>
    </row>
    <row r="4154" spans="1:3">
      <c r="A4154" s="533"/>
      <c r="C4154" s="64"/>
    </row>
    <row r="4155" spans="1:3">
      <c r="A4155" s="533"/>
      <c r="C4155" s="64"/>
    </row>
    <row r="4156" spans="1:3">
      <c r="A4156" s="533"/>
      <c r="C4156" s="64"/>
    </row>
    <row r="4157" spans="1:3">
      <c r="A4157" s="533"/>
      <c r="C4157" s="64"/>
    </row>
    <row r="4158" spans="1:3">
      <c r="A4158" s="533"/>
      <c r="C4158" s="64"/>
    </row>
    <row r="4159" spans="1:3">
      <c r="A4159" s="533"/>
      <c r="C4159" s="64"/>
    </row>
    <row r="4160" spans="1:3">
      <c r="A4160" s="533"/>
      <c r="C4160" s="64"/>
    </row>
    <row r="4161" spans="1:3">
      <c r="A4161" s="533"/>
      <c r="C4161" s="64"/>
    </row>
    <row r="4162" spans="1:3">
      <c r="A4162" s="533"/>
      <c r="C4162" s="64"/>
    </row>
    <row r="4163" spans="1:3">
      <c r="A4163" s="533"/>
      <c r="C4163" s="64"/>
    </row>
    <row r="4164" spans="1:3">
      <c r="A4164" s="533"/>
      <c r="C4164" s="64"/>
    </row>
    <row r="4165" spans="1:3">
      <c r="A4165" s="533"/>
      <c r="C4165" s="64"/>
    </row>
    <row r="4166" spans="1:3">
      <c r="A4166" s="533"/>
      <c r="C4166" s="64"/>
    </row>
    <row r="4167" spans="1:3">
      <c r="A4167" s="533"/>
      <c r="C4167" s="64"/>
    </row>
    <row r="4168" spans="1:3">
      <c r="A4168" s="533"/>
      <c r="C4168" s="64"/>
    </row>
    <row r="4169" spans="1:3">
      <c r="A4169" s="533"/>
      <c r="C4169" s="64"/>
    </row>
    <row r="4170" spans="1:3">
      <c r="A4170" s="533"/>
      <c r="C4170" s="64"/>
    </row>
    <row r="4171" spans="1:3">
      <c r="A4171" s="533"/>
      <c r="C4171" s="64"/>
    </row>
    <row r="4172" spans="1:3">
      <c r="A4172" s="533"/>
      <c r="C4172" s="64"/>
    </row>
    <row r="4173" spans="1:3">
      <c r="A4173" s="533"/>
      <c r="C4173" s="64"/>
    </row>
    <row r="4174" spans="1:3">
      <c r="A4174" s="533"/>
      <c r="C4174" s="64"/>
    </row>
    <row r="4175" spans="1:3">
      <c r="A4175" s="533"/>
      <c r="C4175" s="64"/>
    </row>
    <row r="4176" spans="1:3">
      <c r="A4176" s="533"/>
      <c r="C4176" s="64"/>
    </row>
    <row r="4177" spans="1:3">
      <c r="A4177" s="533"/>
      <c r="C4177" s="64"/>
    </row>
    <row r="4178" spans="1:3">
      <c r="A4178" s="533"/>
      <c r="C4178" s="64"/>
    </row>
    <row r="4179" spans="1:3">
      <c r="A4179" s="533"/>
      <c r="C4179" s="64"/>
    </row>
    <row r="4180" spans="1:3">
      <c r="A4180" s="533"/>
      <c r="C4180" s="64"/>
    </row>
    <row r="4181" spans="1:3">
      <c r="A4181" s="533"/>
      <c r="C4181" s="64"/>
    </row>
    <row r="4182" spans="1:3">
      <c r="A4182" s="533"/>
      <c r="C4182" s="64"/>
    </row>
    <row r="4183" spans="1:3">
      <c r="A4183" s="533"/>
      <c r="C4183" s="64"/>
    </row>
    <row r="4184" spans="1:3">
      <c r="A4184" s="533"/>
      <c r="C4184" s="64"/>
    </row>
    <row r="4185" spans="1:3">
      <c r="A4185" s="533"/>
      <c r="C4185" s="64"/>
    </row>
    <row r="4186" spans="1:3">
      <c r="A4186" s="533"/>
      <c r="C4186" s="64"/>
    </row>
    <row r="4187" spans="1:3">
      <c r="A4187" s="533"/>
      <c r="C4187" s="64"/>
    </row>
    <row r="4188" spans="1:3">
      <c r="A4188" s="533"/>
      <c r="C4188" s="64"/>
    </row>
    <row r="4189" spans="1:3">
      <c r="A4189" s="533"/>
      <c r="C4189" s="64"/>
    </row>
    <row r="4190" spans="1:3">
      <c r="A4190" s="533"/>
      <c r="C4190" s="64"/>
    </row>
    <row r="4191" spans="1:3">
      <c r="A4191" s="533"/>
      <c r="C4191" s="64"/>
    </row>
    <row r="4192" spans="1:3">
      <c r="A4192" s="533"/>
      <c r="C4192" s="64"/>
    </row>
    <row r="4193" spans="1:3">
      <c r="A4193" s="533"/>
      <c r="C4193" s="64"/>
    </row>
    <row r="4194" spans="1:3">
      <c r="A4194" s="533"/>
      <c r="C4194" s="64"/>
    </row>
    <row r="4195" spans="1:3">
      <c r="A4195" s="533"/>
      <c r="C4195" s="64"/>
    </row>
    <row r="4196" spans="1:3">
      <c r="A4196" s="533"/>
      <c r="C4196" s="64"/>
    </row>
    <row r="4197" spans="1:3">
      <c r="A4197" s="533"/>
      <c r="C4197" s="64"/>
    </row>
    <row r="4198" spans="1:3">
      <c r="A4198" s="533"/>
      <c r="C4198" s="64"/>
    </row>
    <row r="4199" spans="1:3">
      <c r="A4199" s="533"/>
      <c r="C4199" s="64"/>
    </row>
    <row r="4200" spans="1:3">
      <c r="A4200" s="533"/>
      <c r="C4200" s="64"/>
    </row>
    <row r="4201" spans="1:3">
      <c r="A4201" s="533"/>
      <c r="C4201" s="64"/>
    </row>
    <row r="4202" spans="1:3">
      <c r="A4202" s="533"/>
      <c r="C4202" s="64"/>
    </row>
    <row r="4203" spans="1:3">
      <c r="A4203" s="533"/>
      <c r="C4203" s="64"/>
    </row>
    <row r="4204" spans="1:3">
      <c r="A4204" s="533"/>
      <c r="C4204" s="64"/>
    </row>
    <row r="4205" spans="1:3">
      <c r="A4205" s="533"/>
      <c r="C4205" s="64"/>
    </row>
    <row r="4206" spans="1:3">
      <c r="A4206" s="533"/>
      <c r="C4206" s="64"/>
    </row>
    <row r="4207" spans="1:3">
      <c r="A4207" s="533"/>
      <c r="C4207" s="64"/>
    </row>
    <row r="4208" spans="1:3">
      <c r="A4208" s="533"/>
      <c r="C4208" s="64"/>
    </row>
    <row r="4209" spans="1:3">
      <c r="A4209" s="533"/>
      <c r="C4209" s="64"/>
    </row>
    <row r="4210" spans="1:3">
      <c r="A4210" s="533"/>
      <c r="C4210" s="64"/>
    </row>
    <row r="4211" spans="1:3">
      <c r="A4211" s="533"/>
      <c r="C4211" s="64"/>
    </row>
    <row r="4212" spans="1:3">
      <c r="A4212" s="533"/>
      <c r="C4212" s="64"/>
    </row>
    <row r="4213" spans="1:3">
      <c r="A4213" s="533"/>
      <c r="C4213" s="64"/>
    </row>
    <row r="4214" spans="1:3">
      <c r="A4214" s="533"/>
      <c r="C4214" s="64"/>
    </row>
    <row r="4215" spans="1:3">
      <c r="A4215" s="533"/>
      <c r="C4215" s="64"/>
    </row>
    <row r="4216" spans="1:3">
      <c r="A4216" s="533"/>
      <c r="C4216" s="64"/>
    </row>
    <row r="4217" spans="1:3">
      <c r="A4217" s="533"/>
      <c r="C4217" s="64"/>
    </row>
    <row r="4218" spans="1:3">
      <c r="A4218" s="533"/>
      <c r="C4218" s="64"/>
    </row>
    <row r="4219" spans="1:3">
      <c r="A4219" s="533"/>
      <c r="C4219" s="64"/>
    </row>
    <row r="4220" spans="1:3">
      <c r="A4220" s="533"/>
      <c r="C4220" s="64"/>
    </row>
    <row r="4221" spans="1:3">
      <c r="A4221" s="533"/>
      <c r="C4221" s="64"/>
    </row>
    <row r="4222" spans="1:3">
      <c r="A4222" s="533"/>
      <c r="C4222" s="64"/>
    </row>
    <row r="4223" spans="1:3">
      <c r="A4223" s="533"/>
      <c r="C4223" s="64"/>
    </row>
    <row r="4224" spans="1:3">
      <c r="A4224" s="533"/>
      <c r="C4224" s="64"/>
    </row>
    <row r="4225" spans="1:3">
      <c r="A4225" s="533"/>
      <c r="C4225" s="64"/>
    </row>
    <row r="4226" spans="1:3">
      <c r="A4226" s="533"/>
      <c r="C4226" s="64"/>
    </row>
    <row r="4227" spans="1:3">
      <c r="A4227" s="533"/>
      <c r="C4227" s="64"/>
    </row>
    <row r="4228" spans="1:3">
      <c r="A4228" s="533"/>
      <c r="C4228" s="64"/>
    </row>
    <row r="4229" spans="1:3">
      <c r="A4229" s="533"/>
      <c r="C4229" s="64"/>
    </row>
    <row r="4230" spans="1:3">
      <c r="A4230" s="533"/>
      <c r="C4230" s="64"/>
    </row>
    <row r="4231" spans="1:3">
      <c r="A4231" s="533"/>
      <c r="C4231" s="64"/>
    </row>
    <row r="4232" spans="1:3">
      <c r="A4232" s="533"/>
      <c r="C4232" s="64"/>
    </row>
    <row r="4233" spans="1:3">
      <c r="A4233" s="533"/>
      <c r="C4233" s="64"/>
    </row>
    <row r="4234" spans="1:3">
      <c r="A4234" s="533"/>
      <c r="C4234" s="64"/>
    </row>
    <row r="4235" spans="1:3">
      <c r="A4235" s="533"/>
      <c r="C4235" s="64"/>
    </row>
    <row r="4236" spans="1:3">
      <c r="A4236" s="533"/>
      <c r="C4236" s="64"/>
    </row>
    <row r="4237" spans="1:3">
      <c r="A4237" s="533"/>
      <c r="C4237" s="64"/>
    </row>
    <row r="4238" spans="1:3">
      <c r="A4238" s="533"/>
      <c r="C4238" s="64"/>
    </row>
    <row r="4239" spans="1:3">
      <c r="A4239" s="533"/>
      <c r="C4239" s="64"/>
    </row>
    <row r="4240" spans="1:3">
      <c r="A4240" s="533"/>
      <c r="C4240" s="64"/>
    </row>
    <row r="4241" spans="1:3">
      <c r="A4241" s="533"/>
      <c r="C4241" s="64"/>
    </row>
    <row r="4242" spans="1:3">
      <c r="A4242" s="533"/>
      <c r="C4242" s="64"/>
    </row>
    <row r="4243" spans="1:3">
      <c r="A4243" s="533"/>
      <c r="C4243" s="64"/>
    </row>
    <row r="4244" spans="1:3">
      <c r="A4244" s="533"/>
      <c r="C4244" s="64"/>
    </row>
    <row r="4245" spans="1:3">
      <c r="A4245" s="533"/>
      <c r="C4245" s="64"/>
    </row>
    <row r="4246" spans="1:3">
      <c r="A4246" s="533"/>
      <c r="C4246" s="64"/>
    </row>
    <row r="4247" spans="1:3">
      <c r="A4247" s="533"/>
      <c r="C4247" s="64"/>
    </row>
    <row r="4248" spans="1:3">
      <c r="A4248" s="533"/>
      <c r="C4248" s="64"/>
    </row>
    <row r="4249" spans="1:3">
      <c r="A4249" s="533"/>
      <c r="C4249" s="64"/>
    </row>
    <row r="4250" spans="1:3">
      <c r="A4250" s="533"/>
      <c r="C4250" s="64"/>
    </row>
    <row r="4251" spans="1:3">
      <c r="A4251" s="533"/>
      <c r="C4251" s="64"/>
    </row>
    <row r="4252" spans="1:3">
      <c r="A4252" s="533"/>
      <c r="C4252" s="64"/>
    </row>
    <row r="4253" spans="1:3">
      <c r="A4253" s="533"/>
      <c r="C4253" s="64"/>
    </row>
    <row r="4254" spans="1:3">
      <c r="A4254" s="533"/>
      <c r="C4254" s="64"/>
    </row>
    <row r="4255" spans="1:3">
      <c r="A4255" s="533"/>
      <c r="C4255" s="64"/>
    </row>
    <row r="4256" spans="1:3">
      <c r="A4256" s="533"/>
      <c r="C4256" s="64"/>
    </row>
    <row r="4257" spans="1:3">
      <c r="A4257" s="533"/>
      <c r="C4257" s="64"/>
    </row>
    <row r="4258" spans="1:3">
      <c r="A4258" s="533"/>
      <c r="C4258" s="64"/>
    </row>
    <row r="4259" spans="1:3">
      <c r="A4259" s="533"/>
      <c r="C4259" s="64"/>
    </row>
    <row r="4260" spans="1:3">
      <c r="A4260" s="533"/>
      <c r="C4260" s="64"/>
    </row>
    <row r="4261" spans="1:3">
      <c r="A4261" s="533"/>
      <c r="C4261" s="64"/>
    </row>
    <row r="4262" spans="1:3">
      <c r="A4262" s="533"/>
      <c r="C4262" s="64"/>
    </row>
    <row r="4263" spans="1:3">
      <c r="A4263" s="533"/>
      <c r="C4263" s="64"/>
    </row>
    <row r="4264" spans="1:3">
      <c r="A4264" s="533"/>
      <c r="C4264" s="64"/>
    </row>
    <row r="4265" spans="1:3">
      <c r="A4265" s="533"/>
      <c r="C4265" s="64"/>
    </row>
    <row r="4266" spans="1:3">
      <c r="A4266" s="533"/>
      <c r="C4266" s="64"/>
    </row>
    <row r="4267" spans="1:3">
      <c r="A4267" s="533"/>
      <c r="C4267" s="64"/>
    </row>
    <row r="4268" spans="1:3">
      <c r="A4268" s="533"/>
      <c r="C4268" s="64"/>
    </row>
    <row r="4269" spans="1:3">
      <c r="A4269" s="533"/>
      <c r="C4269" s="64"/>
    </row>
    <row r="4270" spans="1:3">
      <c r="A4270" s="533"/>
      <c r="C4270" s="64"/>
    </row>
    <row r="4271" spans="1:3">
      <c r="A4271" s="533"/>
      <c r="C4271" s="64"/>
    </row>
    <row r="4272" spans="1:3">
      <c r="A4272" s="533"/>
      <c r="C4272" s="64"/>
    </row>
    <row r="4273" spans="1:3">
      <c r="A4273" s="533"/>
      <c r="C4273" s="64"/>
    </row>
    <row r="4274" spans="1:3">
      <c r="A4274" s="533"/>
      <c r="C4274" s="64"/>
    </row>
    <row r="4275" spans="1:3">
      <c r="A4275" s="533"/>
      <c r="C4275" s="64"/>
    </row>
    <row r="4276" spans="1:3">
      <c r="A4276" s="533"/>
      <c r="C4276" s="64"/>
    </row>
    <row r="4277" spans="1:3">
      <c r="A4277" s="533"/>
      <c r="C4277" s="64"/>
    </row>
    <row r="4278" spans="1:3">
      <c r="A4278" s="533"/>
      <c r="C4278" s="64"/>
    </row>
    <row r="4279" spans="1:3">
      <c r="A4279" s="533"/>
      <c r="C4279" s="64"/>
    </row>
    <row r="4280" spans="1:3">
      <c r="A4280" s="533"/>
      <c r="C4280" s="64"/>
    </row>
    <row r="4281" spans="1:3">
      <c r="A4281" s="533"/>
      <c r="C4281" s="64"/>
    </row>
    <row r="4282" spans="1:3">
      <c r="A4282" s="533"/>
      <c r="C4282" s="64"/>
    </row>
    <row r="4283" spans="1:3">
      <c r="A4283" s="533"/>
      <c r="C4283" s="64"/>
    </row>
    <row r="4284" spans="1:3">
      <c r="A4284" s="533"/>
      <c r="C4284" s="64"/>
    </row>
    <row r="4285" spans="1:3">
      <c r="A4285" s="533"/>
      <c r="C4285" s="64"/>
    </row>
    <row r="4286" spans="1:3">
      <c r="A4286" s="533"/>
      <c r="C4286" s="64"/>
    </row>
    <row r="4287" spans="1:3">
      <c r="A4287" s="533"/>
      <c r="C4287" s="64"/>
    </row>
    <row r="4288" spans="1:3">
      <c r="A4288" s="533"/>
      <c r="C4288" s="64"/>
    </row>
    <row r="4289" spans="1:3">
      <c r="A4289" s="533"/>
      <c r="C4289" s="64"/>
    </row>
    <row r="4290" spans="1:3">
      <c r="A4290" s="533"/>
      <c r="C4290" s="64"/>
    </row>
    <row r="4291" spans="1:3">
      <c r="A4291" s="533"/>
      <c r="C4291" s="64"/>
    </row>
    <row r="4292" spans="1:3">
      <c r="A4292" s="533"/>
      <c r="C4292" s="64"/>
    </row>
    <row r="4293" spans="1:3">
      <c r="A4293" s="533"/>
      <c r="C4293" s="64"/>
    </row>
    <row r="4294" spans="1:3">
      <c r="A4294" s="533"/>
      <c r="C4294" s="64"/>
    </row>
    <row r="4295" spans="1:3">
      <c r="A4295" s="533"/>
      <c r="C4295" s="64"/>
    </row>
    <row r="4296" spans="1:3">
      <c r="A4296" s="533"/>
      <c r="C4296" s="64"/>
    </row>
    <row r="4297" spans="1:3">
      <c r="A4297" s="533"/>
      <c r="C4297" s="64"/>
    </row>
    <row r="4298" spans="1:3">
      <c r="A4298" s="533"/>
      <c r="C4298" s="64"/>
    </row>
    <row r="4299" spans="1:3">
      <c r="A4299" s="533"/>
      <c r="C4299" s="64"/>
    </row>
    <row r="4300" spans="1:3">
      <c r="A4300" s="533"/>
      <c r="C4300" s="64"/>
    </row>
    <row r="4301" spans="1:3">
      <c r="A4301" s="533"/>
      <c r="C4301" s="64"/>
    </row>
    <row r="4302" spans="1:3">
      <c r="A4302" s="533"/>
      <c r="C4302" s="64"/>
    </row>
    <row r="4303" spans="1:3">
      <c r="A4303" s="533"/>
      <c r="C4303" s="64"/>
    </row>
    <row r="4304" spans="1:3">
      <c r="A4304" s="533"/>
      <c r="C4304" s="64"/>
    </row>
    <row r="4305" spans="1:3">
      <c r="A4305" s="533"/>
      <c r="C4305" s="64"/>
    </row>
    <row r="4306" spans="1:3">
      <c r="A4306" s="533"/>
      <c r="C4306" s="64"/>
    </row>
    <row r="4307" spans="1:3">
      <c r="A4307" s="533"/>
      <c r="C4307" s="64"/>
    </row>
    <row r="4308" spans="1:3">
      <c r="A4308" s="533"/>
      <c r="C4308" s="64"/>
    </row>
    <row r="4309" spans="1:3">
      <c r="A4309" s="533"/>
      <c r="C4309" s="64"/>
    </row>
    <row r="4310" spans="1:3">
      <c r="A4310" s="533"/>
      <c r="C4310" s="64"/>
    </row>
    <row r="4311" spans="1:3">
      <c r="A4311" s="533"/>
      <c r="C4311" s="64"/>
    </row>
    <row r="4312" spans="1:3">
      <c r="A4312" s="533"/>
      <c r="C4312" s="64"/>
    </row>
    <row r="4313" spans="1:3">
      <c r="A4313" s="533"/>
      <c r="C4313" s="64"/>
    </row>
    <row r="4314" spans="1:3">
      <c r="A4314" s="533"/>
      <c r="C4314" s="64"/>
    </row>
    <row r="4315" spans="1:3">
      <c r="A4315" s="533"/>
      <c r="C4315" s="64"/>
    </row>
    <row r="4316" spans="1:3">
      <c r="A4316" s="533"/>
      <c r="C4316" s="64"/>
    </row>
    <row r="4317" spans="1:3">
      <c r="A4317" s="533"/>
      <c r="C4317" s="64"/>
    </row>
    <row r="4318" spans="1:3">
      <c r="A4318" s="533"/>
      <c r="C4318" s="64"/>
    </row>
    <row r="4319" spans="1:3">
      <c r="A4319" s="533"/>
      <c r="C4319" s="64"/>
    </row>
    <row r="4320" spans="1:3">
      <c r="A4320" s="533"/>
      <c r="C4320" s="64"/>
    </row>
    <row r="4321" spans="1:3">
      <c r="A4321" s="533"/>
      <c r="C4321" s="64"/>
    </row>
    <row r="4322" spans="1:3">
      <c r="A4322" s="533"/>
      <c r="C4322" s="64"/>
    </row>
    <row r="4323" spans="1:3">
      <c r="A4323" s="533"/>
      <c r="C4323" s="64"/>
    </row>
    <row r="4324" spans="1:3">
      <c r="A4324" s="533"/>
      <c r="C4324" s="64"/>
    </row>
    <row r="4325" spans="1:3">
      <c r="A4325" s="533"/>
      <c r="C4325" s="64"/>
    </row>
    <row r="4326" spans="1:3">
      <c r="A4326" s="533"/>
      <c r="C4326" s="64"/>
    </row>
    <row r="4327" spans="1:3">
      <c r="A4327" s="533"/>
      <c r="C4327" s="64"/>
    </row>
    <row r="4328" spans="1:3">
      <c r="A4328" s="533"/>
      <c r="C4328" s="64"/>
    </row>
    <row r="4329" spans="1:3">
      <c r="A4329" s="533"/>
      <c r="C4329" s="64"/>
    </row>
    <row r="4330" spans="1:3">
      <c r="A4330" s="533"/>
      <c r="C4330" s="64"/>
    </row>
    <row r="4331" spans="1:3">
      <c r="A4331" s="533"/>
      <c r="C4331" s="64"/>
    </row>
    <row r="4332" spans="1:3">
      <c r="A4332" s="533"/>
      <c r="C4332" s="64"/>
    </row>
    <row r="4333" spans="1:3">
      <c r="A4333" s="533"/>
      <c r="C4333" s="64"/>
    </row>
    <row r="4334" spans="1:3">
      <c r="A4334" s="533"/>
      <c r="C4334" s="64"/>
    </row>
    <row r="4335" spans="1:3">
      <c r="A4335" s="533"/>
      <c r="C4335" s="64"/>
    </row>
    <row r="4336" spans="1:3">
      <c r="A4336" s="533"/>
      <c r="C4336" s="64"/>
    </row>
    <row r="4337" spans="1:3">
      <c r="A4337" s="533"/>
      <c r="C4337" s="64"/>
    </row>
    <row r="4338" spans="1:3">
      <c r="A4338" s="533"/>
      <c r="C4338" s="64"/>
    </row>
    <row r="4339" spans="1:3">
      <c r="A4339" s="533"/>
      <c r="C4339" s="64"/>
    </row>
    <row r="4340" spans="1:3">
      <c r="A4340" s="533"/>
      <c r="C4340" s="64"/>
    </row>
    <row r="4341" spans="1:3">
      <c r="A4341" s="533"/>
      <c r="C4341" s="64"/>
    </row>
    <row r="4342" spans="1:3">
      <c r="A4342" s="533"/>
      <c r="C4342" s="64"/>
    </row>
    <row r="4343" spans="1:3">
      <c r="A4343" s="533"/>
      <c r="C4343" s="64"/>
    </row>
    <row r="4344" spans="1:3">
      <c r="A4344" s="533"/>
      <c r="C4344" s="64"/>
    </row>
    <row r="4345" spans="1:3">
      <c r="A4345" s="533"/>
      <c r="C4345" s="64"/>
    </row>
    <row r="4346" spans="1:3">
      <c r="A4346" s="533"/>
      <c r="C4346" s="64"/>
    </row>
    <row r="4347" spans="1:3">
      <c r="A4347" s="533"/>
      <c r="C4347" s="64"/>
    </row>
    <row r="4348" spans="1:3">
      <c r="A4348" s="533"/>
      <c r="C4348" s="64"/>
    </row>
    <row r="4349" spans="1:3">
      <c r="A4349" s="533"/>
      <c r="C4349" s="64"/>
    </row>
    <row r="4350" spans="1:3">
      <c r="A4350" s="533"/>
      <c r="C4350" s="64"/>
    </row>
    <row r="4351" spans="1:3">
      <c r="A4351" s="533"/>
      <c r="C4351" s="64"/>
    </row>
    <row r="4352" spans="1:3">
      <c r="A4352" s="533"/>
      <c r="C4352" s="64"/>
    </row>
    <row r="4353" spans="1:3">
      <c r="A4353" s="533"/>
      <c r="C4353" s="64"/>
    </row>
    <row r="4354" spans="1:3">
      <c r="A4354" s="533"/>
      <c r="C4354" s="64"/>
    </row>
    <row r="4355" spans="1:3">
      <c r="A4355" s="533"/>
      <c r="C4355" s="64"/>
    </row>
    <row r="4356" spans="1:3">
      <c r="A4356" s="533"/>
      <c r="C4356" s="64"/>
    </row>
    <row r="4357" spans="1:3">
      <c r="A4357" s="533"/>
      <c r="C4357" s="64"/>
    </row>
    <row r="4358" spans="1:3">
      <c r="A4358" s="533"/>
      <c r="C4358" s="64"/>
    </row>
    <row r="4359" spans="1:3">
      <c r="A4359" s="533"/>
      <c r="C4359" s="64"/>
    </row>
    <row r="4360" spans="1:3">
      <c r="A4360" s="533"/>
      <c r="C4360" s="64"/>
    </row>
    <row r="4361" spans="1:3">
      <c r="A4361" s="533"/>
      <c r="C4361" s="64"/>
    </row>
    <row r="4362" spans="1:3">
      <c r="A4362" s="533"/>
      <c r="C4362" s="64"/>
    </row>
    <row r="4363" spans="1:3">
      <c r="A4363" s="533"/>
      <c r="C4363" s="64"/>
    </row>
    <row r="4364" spans="1:3">
      <c r="A4364" s="533"/>
      <c r="C4364" s="64"/>
    </row>
    <row r="4365" spans="1:3">
      <c r="A4365" s="533"/>
      <c r="C4365" s="64"/>
    </row>
    <row r="4366" spans="1:3">
      <c r="A4366" s="533"/>
      <c r="C4366" s="64"/>
    </row>
    <row r="4367" spans="1:3">
      <c r="A4367" s="533"/>
      <c r="C4367" s="64"/>
    </row>
    <row r="4368" spans="1:3">
      <c r="A4368" s="533"/>
      <c r="C4368" s="64"/>
    </row>
    <row r="4369" spans="1:3">
      <c r="A4369" s="533"/>
      <c r="C4369" s="64"/>
    </row>
    <row r="4370" spans="1:3">
      <c r="A4370" s="533"/>
      <c r="C4370" s="64"/>
    </row>
    <row r="4371" spans="1:3">
      <c r="A4371" s="533"/>
      <c r="C4371" s="64"/>
    </row>
    <row r="4372" spans="1:3">
      <c r="A4372" s="533"/>
      <c r="C4372" s="64"/>
    </row>
    <row r="4373" spans="1:3">
      <c r="A4373" s="533"/>
      <c r="C4373" s="64"/>
    </row>
    <row r="4374" spans="1:3">
      <c r="A4374" s="533"/>
      <c r="C4374" s="64"/>
    </row>
    <row r="4375" spans="1:3">
      <c r="A4375" s="533"/>
      <c r="C4375" s="64"/>
    </row>
    <row r="4376" spans="1:3">
      <c r="A4376" s="533"/>
      <c r="C4376" s="64"/>
    </row>
    <row r="4377" spans="1:3">
      <c r="A4377" s="533"/>
      <c r="C4377" s="64"/>
    </row>
    <row r="4378" spans="1:3">
      <c r="A4378" s="533"/>
      <c r="C4378" s="64"/>
    </row>
    <row r="4379" spans="1:3">
      <c r="A4379" s="533"/>
      <c r="C4379" s="64"/>
    </row>
    <row r="4380" spans="1:3">
      <c r="A4380" s="533"/>
      <c r="C4380" s="64"/>
    </row>
    <row r="4381" spans="1:3">
      <c r="A4381" s="533"/>
      <c r="C4381" s="64"/>
    </row>
    <row r="4382" spans="1:3">
      <c r="A4382" s="533"/>
      <c r="C4382" s="64"/>
    </row>
    <row r="4383" spans="1:3">
      <c r="A4383" s="533"/>
      <c r="C4383" s="64"/>
    </row>
    <row r="4384" spans="1:3">
      <c r="A4384" s="533"/>
      <c r="C4384" s="64"/>
    </row>
    <row r="4385" spans="1:3">
      <c r="A4385" s="533"/>
      <c r="C4385" s="64"/>
    </row>
    <row r="4386" spans="1:3">
      <c r="A4386" s="533"/>
      <c r="C4386" s="64"/>
    </row>
    <row r="4387" spans="1:3">
      <c r="A4387" s="533"/>
      <c r="C4387" s="64"/>
    </row>
    <row r="4388" spans="1:3">
      <c r="A4388" s="533"/>
      <c r="C4388" s="64"/>
    </row>
    <row r="4389" spans="1:3">
      <c r="A4389" s="533"/>
      <c r="C4389" s="64"/>
    </row>
    <row r="4390" spans="1:3">
      <c r="A4390" s="533"/>
      <c r="C4390" s="64"/>
    </row>
    <row r="4391" spans="1:3">
      <c r="A4391" s="533"/>
      <c r="C4391" s="64"/>
    </row>
    <row r="4392" spans="1:3">
      <c r="A4392" s="533"/>
      <c r="C4392" s="64"/>
    </row>
    <row r="4393" spans="1:3">
      <c r="A4393" s="533"/>
      <c r="C4393" s="64"/>
    </row>
    <row r="4394" spans="1:3">
      <c r="A4394" s="533"/>
      <c r="C4394" s="64"/>
    </row>
    <row r="4395" spans="1:3">
      <c r="A4395" s="533"/>
      <c r="C4395" s="64"/>
    </row>
    <row r="4396" spans="1:3">
      <c r="A4396" s="533"/>
      <c r="C4396" s="64"/>
    </row>
    <row r="4397" spans="1:3">
      <c r="A4397" s="533"/>
      <c r="C4397" s="64"/>
    </row>
    <row r="4398" spans="1:3">
      <c r="A4398" s="533"/>
      <c r="C4398" s="64"/>
    </row>
    <row r="4399" spans="1:3">
      <c r="A4399" s="533"/>
      <c r="C4399" s="64"/>
    </row>
    <row r="4400" spans="1:3">
      <c r="A4400" s="533"/>
      <c r="C4400" s="64"/>
    </row>
    <row r="4401" spans="1:3">
      <c r="A4401" s="533"/>
      <c r="C4401" s="64"/>
    </row>
    <row r="4402" spans="1:3">
      <c r="A4402" s="533"/>
      <c r="C4402" s="64"/>
    </row>
    <row r="4403" spans="1:3">
      <c r="A4403" s="533"/>
      <c r="C4403" s="64"/>
    </row>
    <row r="4404" spans="1:3">
      <c r="A4404" s="533"/>
      <c r="C4404" s="64"/>
    </row>
    <row r="4405" spans="1:3">
      <c r="A4405" s="533"/>
      <c r="C4405" s="64"/>
    </row>
    <row r="4406" spans="1:3">
      <c r="A4406" s="533"/>
      <c r="C4406" s="64"/>
    </row>
    <row r="4407" spans="1:3">
      <c r="A4407" s="533"/>
      <c r="C4407" s="64"/>
    </row>
    <row r="4408" spans="1:3">
      <c r="A4408" s="533"/>
      <c r="C4408" s="64"/>
    </row>
    <row r="4409" spans="1:3">
      <c r="A4409" s="533"/>
      <c r="C4409" s="64"/>
    </row>
    <row r="4410" spans="1:3">
      <c r="A4410" s="533"/>
      <c r="C4410" s="64"/>
    </row>
    <row r="4411" spans="1:3">
      <c r="A4411" s="533"/>
      <c r="C4411" s="64"/>
    </row>
    <row r="4412" spans="1:3">
      <c r="A4412" s="533"/>
      <c r="C4412" s="64"/>
    </row>
    <row r="4413" spans="1:3">
      <c r="A4413" s="533"/>
      <c r="C4413" s="64"/>
    </row>
    <row r="4414" spans="1:3">
      <c r="A4414" s="533"/>
      <c r="C4414" s="64"/>
    </row>
    <row r="4415" spans="1:3">
      <c r="A4415" s="533"/>
      <c r="C4415" s="64"/>
    </row>
    <row r="4416" spans="1:3">
      <c r="A4416" s="533"/>
      <c r="C4416" s="64"/>
    </row>
    <row r="4417" spans="1:3">
      <c r="A4417" s="533"/>
      <c r="C4417" s="64"/>
    </row>
    <row r="4418" spans="1:3">
      <c r="A4418" s="533"/>
      <c r="C4418" s="64"/>
    </row>
    <row r="4419" spans="1:3">
      <c r="A4419" s="533"/>
      <c r="C4419" s="64"/>
    </row>
    <row r="4420" spans="1:3">
      <c r="A4420" s="533"/>
      <c r="C4420" s="64"/>
    </row>
    <row r="4421" spans="1:3">
      <c r="A4421" s="533"/>
      <c r="C4421" s="64"/>
    </row>
    <row r="4422" spans="1:3">
      <c r="A4422" s="533"/>
      <c r="C4422" s="64"/>
    </row>
    <row r="4423" spans="1:3">
      <c r="A4423" s="533"/>
      <c r="C4423" s="64"/>
    </row>
    <row r="4424" spans="1:3">
      <c r="A4424" s="533"/>
      <c r="C4424" s="64"/>
    </row>
    <row r="4425" spans="1:3">
      <c r="A4425" s="533"/>
      <c r="C4425" s="64"/>
    </row>
    <row r="4426" spans="1:3">
      <c r="A4426" s="533"/>
      <c r="C4426" s="64"/>
    </row>
    <row r="4427" spans="1:3">
      <c r="A4427" s="533"/>
      <c r="C4427" s="64"/>
    </row>
    <row r="4428" spans="1:3">
      <c r="A4428" s="533"/>
      <c r="C4428" s="64"/>
    </row>
    <row r="4429" spans="1:3">
      <c r="A4429" s="533"/>
      <c r="C4429" s="64"/>
    </row>
    <row r="4430" spans="1:3">
      <c r="A4430" s="533"/>
      <c r="C4430" s="64"/>
    </row>
    <row r="4431" spans="1:3">
      <c r="A4431" s="533"/>
      <c r="C4431" s="64"/>
    </row>
    <row r="4432" spans="1:3">
      <c r="A4432" s="533"/>
      <c r="C4432" s="64"/>
    </row>
    <row r="4433" spans="1:3">
      <c r="A4433" s="533"/>
      <c r="C4433" s="64"/>
    </row>
    <row r="4434" spans="1:3">
      <c r="A4434" s="533"/>
      <c r="C4434" s="64"/>
    </row>
    <row r="4435" spans="1:3">
      <c r="A4435" s="533"/>
      <c r="C4435" s="64"/>
    </row>
    <row r="4436" spans="1:3">
      <c r="A4436" s="533"/>
      <c r="C4436" s="64"/>
    </row>
    <row r="4437" spans="1:3">
      <c r="A4437" s="533"/>
      <c r="C4437" s="64"/>
    </row>
    <row r="4438" spans="1:3">
      <c r="A4438" s="533"/>
      <c r="C4438" s="64"/>
    </row>
    <row r="4439" spans="1:3">
      <c r="A4439" s="533"/>
      <c r="C4439" s="64"/>
    </row>
    <row r="4440" spans="1:3">
      <c r="A4440" s="533"/>
      <c r="C4440" s="64"/>
    </row>
    <row r="4441" spans="1:3">
      <c r="A4441" s="533"/>
      <c r="C4441" s="64"/>
    </row>
    <row r="4442" spans="1:3">
      <c r="A4442" s="533"/>
      <c r="C4442" s="64"/>
    </row>
    <row r="4443" spans="1:3">
      <c r="A4443" s="533"/>
      <c r="C4443" s="64"/>
    </row>
    <row r="4444" spans="1:3">
      <c r="A4444" s="533"/>
      <c r="C4444" s="64"/>
    </row>
    <row r="4445" spans="1:3">
      <c r="A4445" s="533"/>
      <c r="C4445" s="64"/>
    </row>
    <row r="4446" spans="1:3">
      <c r="A4446" s="533"/>
      <c r="C4446" s="64"/>
    </row>
    <row r="4447" spans="1:3">
      <c r="A4447" s="533"/>
      <c r="C4447" s="64"/>
    </row>
    <row r="4448" spans="1:3">
      <c r="A4448" s="533"/>
      <c r="C4448" s="64"/>
    </row>
    <row r="4449" spans="1:3">
      <c r="A4449" s="533"/>
      <c r="C4449" s="64"/>
    </row>
    <row r="4450" spans="1:3">
      <c r="A4450" s="533"/>
      <c r="C4450" s="64"/>
    </row>
    <row r="4451" spans="1:3">
      <c r="A4451" s="533"/>
      <c r="C4451" s="64"/>
    </row>
    <row r="4452" spans="1:3">
      <c r="A4452" s="533"/>
      <c r="C4452" s="64"/>
    </row>
    <row r="4453" spans="1:3">
      <c r="A4453" s="533"/>
      <c r="C4453" s="64"/>
    </row>
    <row r="4454" spans="1:3">
      <c r="A4454" s="533"/>
      <c r="C4454" s="64"/>
    </row>
    <row r="4455" spans="1:3">
      <c r="A4455" s="533"/>
      <c r="C4455" s="64"/>
    </row>
    <row r="4456" spans="1:3">
      <c r="A4456" s="533"/>
      <c r="C4456" s="64"/>
    </row>
    <row r="4457" spans="1:3">
      <c r="A4457" s="533"/>
      <c r="C4457" s="64"/>
    </row>
    <row r="4458" spans="1:3">
      <c r="A4458" s="533"/>
      <c r="C4458" s="64"/>
    </row>
    <row r="4459" spans="1:3">
      <c r="A4459" s="533"/>
      <c r="C4459" s="64"/>
    </row>
    <row r="4460" spans="1:3">
      <c r="A4460" s="533"/>
      <c r="C4460" s="64"/>
    </row>
    <row r="4461" spans="1:3">
      <c r="A4461" s="533"/>
      <c r="C4461" s="64"/>
    </row>
    <row r="4462" spans="1:3">
      <c r="A4462" s="533"/>
      <c r="C4462" s="64"/>
    </row>
    <row r="4463" spans="1:3">
      <c r="A4463" s="533"/>
      <c r="C4463" s="64"/>
    </row>
    <row r="4464" spans="1:3">
      <c r="A4464" s="533"/>
      <c r="C4464" s="64"/>
    </row>
    <row r="4465" spans="1:3">
      <c r="A4465" s="533"/>
      <c r="C4465" s="64"/>
    </row>
    <row r="4466" spans="1:3">
      <c r="A4466" s="533"/>
      <c r="C4466" s="64"/>
    </row>
    <row r="4467" spans="1:3">
      <c r="A4467" s="533"/>
      <c r="C4467" s="64"/>
    </row>
    <row r="4468" spans="1:3">
      <c r="A4468" s="533"/>
      <c r="C4468" s="64"/>
    </row>
    <row r="4469" spans="1:3">
      <c r="A4469" s="533"/>
      <c r="C4469" s="64"/>
    </row>
    <row r="4470" spans="1:3">
      <c r="A4470" s="533"/>
      <c r="C4470" s="64"/>
    </row>
    <row r="4471" spans="1:3">
      <c r="A4471" s="533"/>
      <c r="C4471" s="64"/>
    </row>
    <row r="4472" spans="1:3">
      <c r="A4472" s="533"/>
      <c r="C4472" s="64"/>
    </row>
    <row r="4473" spans="1:3">
      <c r="A4473" s="533"/>
      <c r="C4473" s="64"/>
    </row>
    <row r="4474" spans="1:3">
      <c r="A4474" s="533"/>
      <c r="C4474" s="64"/>
    </row>
    <row r="4475" spans="1:3">
      <c r="A4475" s="533"/>
      <c r="C4475" s="64"/>
    </row>
    <row r="4476" spans="1:3">
      <c r="A4476" s="533"/>
      <c r="C4476" s="64"/>
    </row>
    <row r="4477" spans="1:3">
      <c r="A4477" s="533"/>
      <c r="C4477" s="64"/>
    </row>
    <row r="4478" spans="1:3">
      <c r="A4478" s="533"/>
      <c r="C4478" s="64"/>
    </row>
    <row r="4479" spans="1:3">
      <c r="A4479" s="533"/>
      <c r="C4479" s="64"/>
    </row>
    <row r="4480" spans="1:3">
      <c r="A4480" s="533"/>
      <c r="C4480" s="64"/>
    </row>
    <row r="4481" spans="1:3">
      <c r="A4481" s="533"/>
      <c r="C4481" s="64"/>
    </row>
    <row r="4482" spans="1:3">
      <c r="A4482" s="533"/>
      <c r="C4482" s="64"/>
    </row>
    <row r="4483" spans="1:3">
      <c r="A4483" s="533"/>
      <c r="C4483" s="64"/>
    </row>
    <row r="4484" spans="1:3">
      <c r="A4484" s="533"/>
      <c r="C4484" s="64"/>
    </row>
    <row r="4485" spans="1:3">
      <c r="A4485" s="533"/>
      <c r="C4485" s="64"/>
    </row>
    <row r="4486" spans="1:3">
      <c r="A4486" s="533"/>
      <c r="C4486" s="64"/>
    </row>
    <row r="4487" spans="1:3">
      <c r="A4487" s="533"/>
      <c r="C4487" s="64"/>
    </row>
    <row r="4488" spans="1:3">
      <c r="A4488" s="533"/>
      <c r="C4488" s="64"/>
    </row>
    <row r="4489" spans="1:3">
      <c r="A4489" s="533"/>
      <c r="C4489" s="64"/>
    </row>
    <row r="4490" spans="1:3">
      <c r="A4490" s="533"/>
      <c r="C4490" s="64"/>
    </row>
    <row r="4491" spans="1:3">
      <c r="A4491" s="533"/>
      <c r="C4491" s="64"/>
    </row>
    <row r="4492" spans="1:3">
      <c r="A4492" s="533"/>
      <c r="C4492" s="64"/>
    </row>
    <row r="4493" spans="1:3">
      <c r="A4493" s="533"/>
      <c r="C4493" s="64"/>
    </row>
    <row r="4494" spans="1:3">
      <c r="A4494" s="533"/>
      <c r="C4494" s="64"/>
    </row>
    <row r="4495" spans="1:3">
      <c r="A4495" s="533"/>
      <c r="C4495" s="64"/>
    </row>
    <row r="4496" spans="1:3">
      <c r="A4496" s="533"/>
      <c r="C4496" s="64"/>
    </row>
    <row r="4497" spans="1:3">
      <c r="A4497" s="533"/>
      <c r="C4497" s="64"/>
    </row>
    <row r="4498" spans="1:3">
      <c r="A4498" s="533"/>
      <c r="C4498" s="64"/>
    </row>
    <row r="4499" spans="1:3">
      <c r="A4499" s="533"/>
      <c r="C4499" s="64"/>
    </row>
    <row r="4500" spans="1:3">
      <c r="A4500" s="533"/>
      <c r="C4500" s="64"/>
    </row>
    <row r="4501" spans="1:3">
      <c r="A4501" s="533"/>
      <c r="C4501" s="64"/>
    </row>
    <row r="4502" spans="1:3">
      <c r="A4502" s="533"/>
      <c r="C4502" s="64"/>
    </row>
    <row r="4503" spans="1:3">
      <c r="A4503" s="533"/>
      <c r="C4503" s="64"/>
    </row>
    <row r="4504" spans="1:3">
      <c r="A4504" s="533"/>
      <c r="C4504" s="64"/>
    </row>
    <row r="4505" spans="1:3">
      <c r="A4505" s="533"/>
      <c r="C4505" s="64"/>
    </row>
    <row r="4506" spans="1:3">
      <c r="A4506" s="533"/>
      <c r="C4506" s="64"/>
    </row>
    <row r="4507" spans="1:3">
      <c r="A4507" s="533"/>
      <c r="C4507" s="64"/>
    </row>
    <row r="4508" spans="1:3">
      <c r="A4508" s="533"/>
      <c r="C4508" s="64"/>
    </row>
    <row r="4509" spans="1:3">
      <c r="A4509" s="533"/>
      <c r="C4509" s="64"/>
    </row>
    <row r="4510" spans="1:3">
      <c r="A4510" s="533"/>
      <c r="C4510" s="64"/>
    </row>
    <row r="4511" spans="1:3">
      <c r="A4511" s="533"/>
      <c r="C4511" s="64"/>
    </row>
    <row r="4512" spans="1:3">
      <c r="A4512" s="533"/>
      <c r="C4512" s="64"/>
    </row>
    <row r="4513" spans="1:3">
      <c r="A4513" s="533"/>
      <c r="C4513" s="64"/>
    </row>
    <row r="4514" spans="1:3">
      <c r="A4514" s="533"/>
      <c r="C4514" s="64"/>
    </row>
    <row r="4515" spans="1:3">
      <c r="A4515" s="533"/>
      <c r="C4515" s="64"/>
    </row>
    <row r="4516" spans="1:3">
      <c r="A4516" s="533"/>
      <c r="C4516" s="64"/>
    </row>
    <row r="4517" spans="1:3">
      <c r="A4517" s="533"/>
      <c r="C4517" s="64"/>
    </row>
    <row r="4518" spans="1:3">
      <c r="A4518" s="533"/>
      <c r="C4518" s="64"/>
    </row>
    <row r="4519" spans="1:3">
      <c r="A4519" s="533"/>
      <c r="C4519" s="64"/>
    </row>
    <row r="4520" spans="1:3">
      <c r="A4520" s="533"/>
      <c r="C4520" s="64"/>
    </row>
    <row r="4521" spans="1:3">
      <c r="A4521" s="533"/>
      <c r="C4521" s="64"/>
    </row>
    <row r="4522" spans="1:3">
      <c r="A4522" s="533"/>
      <c r="C4522" s="64"/>
    </row>
    <row r="4523" spans="1:3">
      <c r="A4523" s="533"/>
      <c r="C4523" s="64"/>
    </row>
    <row r="4524" spans="1:3">
      <c r="A4524" s="533"/>
      <c r="C4524" s="64"/>
    </row>
    <row r="4525" spans="1:3">
      <c r="A4525" s="533"/>
      <c r="C4525" s="64"/>
    </row>
    <row r="4526" spans="1:3">
      <c r="A4526" s="533"/>
      <c r="C4526" s="64"/>
    </row>
    <row r="4527" spans="1:3">
      <c r="A4527" s="533"/>
      <c r="C4527" s="64"/>
    </row>
    <row r="4528" spans="1:3">
      <c r="A4528" s="533"/>
      <c r="C4528" s="64"/>
    </row>
    <row r="4529" spans="1:3">
      <c r="A4529" s="533"/>
      <c r="C4529" s="64"/>
    </row>
    <row r="4530" spans="1:3">
      <c r="A4530" s="533"/>
      <c r="C4530" s="64"/>
    </row>
    <row r="4531" spans="1:3">
      <c r="A4531" s="533"/>
      <c r="C4531" s="64"/>
    </row>
    <row r="4532" spans="1:3">
      <c r="A4532" s="533"/>
      <c r="C4532" s="64"/>
    </row>
    <row r="4533" spans="1:3">
      <c r="A4533" s="533"/>
      <c r="C4533" s="64"/>
    </row>
    <row r="4534" spans="1:3">
      <c r="A4534" s="533"/>
      <c r="C4534" s="64"/>
    </row>
    <row r="4535" spans="1:3">
      <c r="A4535" s="533"/>
      <c r="C4535" s="64"/>
    </row>
    <row r="4536" spans="1:3">
      <c r="A4536" s="533"/>
      <c r="C4536" s="64"/>
    </row>
    <row r="4537" spans="1:3">
      <c r="A4537" s="533"/>
      <c r="C4537" s="64"/>
    </row>
    <row r="4538" spans="1:3">
      <c r="A4538" s="533"/>
      <c r="C4538" s="64"/>
    </row>
    <row r="4539" spans="1:3">
      <c r="A4539" s="533"/>
      <c r="C4539" s="64"/>
    </row>
    <row r="4540" spans="1:3">
      <c r="A4540" s="533"/>
      <c r="C4540" s="64"/>
    </row>
    <row r="4541" spans="1:3">
      <c r="A4541" s="533"/>
      <c r="C4541" s="64"/>
    </row>
    <row r="4542" spans="1:3">
      <c r="A4542" s="533"/>
      <c r="C4542" s="64"/>
    </row>
    <row r="4543" spans="1:3">
      <c r="A4543" s="533"/>
      <c r="C4543" s="64"/>
    </row>
    <row r="4544" spans="1:3">
      <c r="A4544" s="533"/>
      <c r="C4544" s="64"/>
    </row>
    <row r="4545" spans="1:3">
      <c r="A4545" s="533"/>
      <c r="C4545" s="64"/>
    </row>
    <row r="4546" spans="1:3">
      <c r="A4546" s="533"/>
      <c r="C4546" s="64"/>
    </row>
    <row r="4547" spans="1:3">
      <c r="A4547" s="533"/>
      <c r="C4547" s="64"/>
    </row>
    <row r="4548" spans="1:3">
      <c r="A4548" s="533"/>
      <c r="C4548" s="64"/>
    </row>
    <row r="4549" spans="1:3">
      <c r="A4549" s="533"/>
      <c r="C4549" s="64"/>
    </row>
    <row r="4550" spans="1:3">
      <c r="A4550" s="533"/>
      <c r="C4550" s="64"/>
    </row>
    <row r="4551" spans="1:3">
      <c r="A4551" s="533"/>
      <c r="C4551" s="64"/>
    </row>
    <row r="4552" spans="1:3">
      <c r="A4552" s="533"/>
      <c r="C4552" s="64"/>
    </row>
    <row r="4553" spans="1:3">
      <c r="A4553" s="533"/>
      <c r="C4553" s="64"/>
    </row>
    <row r="4554" spans="1:3">
      <c r="A4554" s="533"/>
      <c r="C4554" s="64"/>
    </row>
    <row r="4555" spans="1:3">
      <c r="A4555" s="533"/>
      <c r="C4555" s="64"/>
    </row>
    <row r="4556" spans="1:3">
      <c r="A4556" s="533"/>
      <c r="C4556" s="64"/>
    </row>
    <row r="4557" spans="1:3">
      <c r="A4557" s="533"/>
      <c r="C4557" s="64"/>
    </row>
    <row r="4558" spans="1:3">
      <c r="A4558" s="533"/>
      <c r="C4558" s="64"/>
    </row>
    <row r="4559" spans="1:3">
      <c r="A4559" s="533"/>
      <c r="C4559" s="64"/>
    </row>
    <row r="4560" spans="1:3">
      <c r="A4560" s="533"/>
      <c r="C4560" s="64"/>
    </row>
    <row r="4561" spans="1:3">
      <c r="A4561" s="533"/>
      <c r="C4561" s="64"/>
    </row>
    <row r="4562" spans="1:3">
      <c r="A4562" s="533"/>
      <c r="C4562" s="64"/>
    </row>
    <row r="4563" spans="1:3">
      <c r="A4563" s="533"/>
      <c r="C4563" s="64"/>
    </row>
    <row r="4564" spans="1:3">
      <c r="A4564" s="533"/>
      <c r="C4564" s="64"/>
    </row>
    <row r="4565" spans="1:3">
      <c r="A4565" s="533"/>
      <c r="C4565" s="64"/>
    </row>
    <row r="4566" spans="1:3">
      <c r="A4566" s="533"/>
      <c r="C4566" s="64"/>
    </row>
    <row r="4567" spans="1:3">
      <c r="A4567" s="533"/>
      <c r="C4567" s="64"/>
    </row>
    <row r="4568" spans="1:3">
      <c r="A4568" s="533"/>
      <c r="C4568" s="64"/>
    </row>
    <row r="4569" spans="1:3">
      <c r="A4569" s="533"/>
      <c r="C4569" s="64"/>
    </row>
    <row r="4570" spans="1:3">
      <c r="A4570" s="533"/>
      <c r="C4570" s="64"/>
    </row>
    <row r="4571" spans="1:3">
      <c r="A4571" s="533"/>
      <c r="C4571" s="64"/>
    </row>
    <row r="4572" spans="1:3">
      <c r="A4572" s="533"/>
      <c r="C4572" s="64"/>
    </row>
    <row r="4573" spans="1:3">
      <c r="A4573" s="533"/>
      <c r="C4573" s="64"/>
    </row>
    <row r="4574" spans="1:3">
      <c r="A4574" s="533"/>
      <c r="C4574" s="64"/>
    </row>
    <row r="4575" spans="1:3">
      <c r="A4575" s="533"/>
      <c r="C4575" s="64"/>
    </row>
    <row r="4576" spans="1:3">
      <c r="A4576" s="533"/>
      <c r="C4576" s="64"/>
    </row>
    <row r="4577" spans="1:3">
      <c r="A4577" s="533"/>
      <c r="C4577" s="64"/>
    </row>
    <row r="4578" spans="1:3">
      <c r="A4578" s="533"/>
      <c r="C4578" s="64"/>
    </row>
    <row r="4579" spans="1:3">
      <c r="A4579" s="533"/>
      <c r="C4579" s="64"/>
    </row>
    <row r="4580" spans="1:3">
      <c r="A4580" s="533"/>
      <c r="C4580" s="64"/>
    </row>
    <row r="4581" spans="1:3">
      <c r="A4581" s="533"/>
      <c r="C4581" s="64"/>
    </row>
    <row r="4582" spans="1:3">
      <c r="A4582" s="533"/>
      <c r="C4582" s="64"/>
    </row>
    <row r="4583" spans="1:3">
      <c r="A4583" s="533"/>
      <c r="C4583" s="64"/>
    </row>
    <row r="4584" spans="1:3">
      <c r="A4584" s="533"/>
      <c r="C4584" s="64"/>
    </row>
    <row r="4585" spans="1:3">
      <c r="A4585" s="533"/>
      <c r="C4585" s="64"/>
    </row>
    <row r="4586" spans="1:3">
      <c r="A4586" s="533"/>
      <c r="C4586" s="64"/>
    </row>
    <row r="4587" spans="1:3">
      <c r="A4587" s="533"/>
      <c r="C4587" s="64"/>
    </row>
    <row r="4588" spans="1:3">
      <c r="A4588" s="533"/>
      <c r="C4588" s="64"/>
    </row>
    <row r="4589" spans="1:3">
      <c r="A4589" s="533"/>
      <c r="C4589" s="64"/>
    </row>
    <row r="4590" spans="1:3">
      <c r="A4590" s="533"/>
      <c r="C4590" s="64"/>
    </row>
    <row r="4591" spans="1:3">
      <c r="A4591" s="533"/>
      <c r="C4591" s="64"/>
    </row>
    <row r="4592" spans="1:3">
      <c r="A4592" s="533"/>
      <c r="C4592" s="64"/>
    </row>
    <row r="4593" spans="1:3">
      <c r="A4593" s="533"/>
      <c r="C4593" s="64"/>
    </row>
    <row r="4594" spans="1:3">
      <c r="A4594" s="533"/>
      <c r="C4594" s="64"/>
    </row>
    <row r="4595" spans="1:3">
      <c r="A4595" s="533"/>
      <c r="C4595" s="64"/>
    </row>
    <row r="4596" spans="1:3">
      <c r="A4596" s="533"/>
      <c r="C4596" s="64"/>
    </row>
    <row r="4597" spans="1:3">
      <c r="A4597" s="533"/>
      <c r="C4597" s="64"/>
    </row>
    <row r="4598" spans="1:3">
      <c r="A4598" s="533"/>
      <c r="C4598" s="64"/>
    </row>
    <row r="4599" spans="1:3">
      <c r="A4599" s="533"/>
      <c r="C4599" s="64"/>
    </row>
    <row r="4600" spans="1:3">
      <c r="A4600" s="533"/>
      <c r="C4600" s="64"/>
    </row>
    <row r="4601" spans="1:3">
      <c r="A4601" s="533"/>
      <c r="C4601" s="64"/>
    </row>
    <row r="4602" spans="1:3">
      <c r="A4602" s="533"/>
      <c r="C4602" s="64"/>
    </row>
    <row r="4603" spans="1:3">
      <c r="A4603" s="533"/>
      <c r="C4603" s="64"/>
    </row>
    <row r="4604" spans="1:3">
      <c r="A4604" s="533"/>
      <c r="C4604" s="64"/>
    </row>
    <row r="4605" spans="1:3">
      <c r="A4605" s="533"/>
      <c r="C4605" s="64"/>
    </row>
    <row r="4606" spans="1:3">
      <c r="A4606" s="533"/>
      <c r="C4606" s="64"/>
    </row>
    <row r="4607" spans="1:3">
      <c r="A4607" s="533"/>
      <c r="C4607" s="64"/>
    </row>
    <row r="4608" spans="1:3">
      <c r="A4608" s="533"/>
      <c r="C4608" s="64"/>
    </row>
    <row r="4609" spans="1:3">
      <c r="A4609" s="533"/>
      <c r="C4609" s="64"/>
    </row>
    <row r="4610" spans="1:3">
      <c r="A4610" s="533"/>
      <c r="C4610" s="64"/>
    </row>
    <row r="4611" spans="1:3">
      <c r="A4611" s="533"/>
      <c r="C4611" s="64"/>
    </row>
    <row r="4612" spans="1:3">
      <c r="A4612" s="533"/>
      <c r="C4612" s="64"/>
    </row>
    <row r="4613" spans="1:3">
      <c r="A4613" s="533"/>
      <c r="C4613" s="64"/>
    </row>
    <row r="4614" spans="1:3">
      <c r="A4614" s="533"/>
      <c r="C4614" s="64"/>
    </row>
    <row r="4615" spans="1:3">
      <c r="A4615" s="533"/>
      <c r="C4615" s="64"/>
    </row>
    <row r="4616" spans="1:3">
      <c r="A4616" s="533"/>
      <c r="C4616" s="64"/>
    </row>
    <row r="4617" spans="1:3">
      <c r="A4617" s="533"/>
      <c r="C4617" s="64"/>
    </row>
    <row r="4618" spans="1:3">
      <c r="A4618" s="533"/>
      <c r="C4618" s="64"/>
    </row>
    <row r="4619" spans="1:3">
      <c r="A4619" s="533"/>
      <c r="C4619" s="64"/>
    </row>
    <row r="4620" spans="1:3">
      <c r="A4620" s="533"/>
      <c r="C4620" s="64"/>
    </row>
    <row r="4621" spans="1:3">
      <c r="A4621" s="533"/>
      <c r="C4621" s="64"/>
    </row>
    <row r="4622" spans="1:3">
      <c r="A4622" s="533"/>
      <c r="C4622" s="64"/>
    </row>
    <row r="4623" spans="1:3">
      <c r="A4623" s="533"/>
      <c r="C4623" s="64"/>
    </row>
    <row r="4624" spans="1:3">
      <c r="A4624" s="533"/>
      <c r="C4624" s="64"/>
    </row>
    <row r="4625" spans="1:3">
      <c r="A4625" s="533"/>
      <c r="C4625" s="64"/>
    </row>
    <row r="4626" spans="1:3">
      <c r="A4626" s="533"/>
      <c r="C4626" s="64"/>
    </row>
    <row r="4627" spans="1:3">
      <c r="A4627" s="533"/>
      <c r="C4627" s="64"/>
    </row>
    <row r="4628" spans="1:3">
      <c r="A4628" s="533"/>
      <c r="C4628" s="64"/>
    </row>
    <row r="4629" spans="1:3">
      <c r="A4629" s="533"/>
      <c r="C4629" s="64"/>
    </row>
    <row r="4630" spans="1:3">
      <c r="A4630" s="533"/>
      <c r="C4630" s="64"/>
    </row>
    <row r="4631" spans="1:3">
      <c r="A4631" s="533"/>
      <c r="C4631" s="64"/>
    </row>
    <row r="4632" spans="1:3">
      <c r="A4632" s="533"/>
      <c r="C4632" s="64"/>
    </row>
    <row r="4633" spans="1:3">
      <c r="A4633" s="533"/>
      <c r="C4633" s="64"/>
    </row>
    <row r="4634" spans="1:3">
      <c r="A4634" s="533"/>
      <c r="C4634" s="64"/>
    </row>
    <row r="4635" spans="1:3">
      <c r="A4635" s="533"/>
      <c r="C4635" s="64"/>
    </row>
    <row r="4636" spans="1:3">
      <c r="A4636" s="533"/>
      <c r="C4636" s="64"/>
    </row>
    <row r="4637" spans="1:3">
      <c r="A4637" s="533"/>
      <c r="C4637" s="64"/>
    </row>
    <row r="4638" spans="1:3">
      <c r="A4638" s="533"/>
      <c r="C4638" s="64"/>
    </row>
    <row r="4639" spans="1:3">
      <c r="A4639" s="533"/>
      <c r="C4639" s="64"/>
    </row>
    <row r="4640" spans="1:3">
      <c r="A4640" s="533"/>
      <c r="C4640" s="64"/>
    </row>
    <row r="4641" spans="1:3">
      <c r="A4641" s="533"/>
      <c r="C4641" s="64"/>
    </row>
    <row r="4642" spans="1:3">
      <c r="A4642" s="533"/>
      <c r="C4642" s="64"/>
    </row>
    <row r="4643" spans="1:3">
      <c r="A4643" s="533"/>
      <c r="C4643" s="64"/>
    </row>
    <row r="4644" spans="1:3">
      <c r="A4644" s="533"/>
      <c r="C4644" s="64"/>
    </row>
    <row r="4645" spans="1:3">
      <c r="A4645" s="533"/>
      <c r="C4645" s="64"/>
    </row>
    <row r="4646" spans="1:3">
      <c r="A4646" s="533"/>
      <c r="C4646" s="64"/>
    </row>
    <row r="4647" spans="1:3">
      <c r="A4647" s="533"/>
      <c r="C4647" s="64"/>
    </row>
    <row r="4648" spans="1:3">
      <c r="A4648" s="533"/>
      <c r="C4648" s="64"/>
    </row>
    <row r="4649" spans="1:3">
      <c r="A4649" s="533"/>
      <c r="C4649" s="64"/>
    </row>
    <row r="4650" spans="1:3">
      <c r="A4650" s="533"/>
      <c r="C4650" s="64"/>
    </row>
    <row r="4651" spans="1:3">
      <c r="A4651" s="533"/>
      <c r="C4651" s="64"/>
    </row>
    <row r="4652" spans="1:3">
      <c r="A4652" s="533"/>
      <c r="C4652" s="64"/>
    </row>
    <row r="4653" spans="1:3">
      <c r="A4653" s="533"/>
      <c r="C4653" s="64"/>
    </row>
    <row r="4654" spans="1:3">
      <c r="A4654" s="533"/>
      <c r="C4654" s="64"/>
    </row>
    <row r="4655" spans="1:3">
      <c r="A4655" s="533"/>
      <c r="C4655" s="64"/>
    </row>
    <row r="4656" spans="1:3">
      <c r="A4656" s="533"/>
      <c r="C4656" s="64"/>
    </row>
    <row r="4657" spans="1:3">
      <c r="A4657" s="533"/>
      <c r="C4657" s="64"/>
    </row>
    <row r="4658" spans="1:3">
      <c r="A4658" s="533"/>
      <c r="C4658" s="64"/>
    </row>
    <row r="4659" spans="1:3">
      <c r="A4659" s="533"/>
      <c r="C4659" s="64"/>
    </row>
    <row r="4660" spans="1:3">
      <c r="A4660" s="533"/>
      <c r="C4660" s="64"/>
    </row>
    <row r="4661" spans="1:3">
      <c r="A4661" s="533"/>
      <c r="C4661" s="64"/>
    </row>
    <row r="4662" spans="1:3">
      <c r="A4662" s="533"/>
      <c r="C4662" s="64"/>
    </row>
    <row r="4663" spans="1:3">
      <c r="A4663" s="533"/>
      <c r="C4663" s="64"/>
    </row>
    <row r="4664" spans="1:3">
      <c r="A4664" s="533"/>
      <c r="C4664" s="64"/>
    </row>
    <row r="4665" spans="1:3">
      <c r="A4665" s="533"/>
      <c r="C4665" s="64"/>
    </row>
    <row r="4666" spans="1:3">
      <c r="A4666" s="533"/>
      <c r="C4666" s="64"/>
    </row>
    <row r="4667" spans="1:3">
      <c r="A4667" s="533"/>
      <c r="C4667" s="64"/>
    </row>
    <row r="4668" spans="1:3">
      <c r="A4668" s="533"/>
      <c r="C4668" s="64"/>
    </row>
    <row r="4669" spans="1:3">
      <c r="A4669" s="533"/>
      <c r="C4669" s="64"/>
    </row>
    <row r="4670" spans="1:3">
      <c r="A4670" s="533"/>
      <c r="C4670" s="64"/>
    </row>
    <row r="4671" spans="1:3">
      <c r="A4671" s="533"/>
      <c r="C4671" s="64"/>
    </row>
    <row r="4672" spans="1:3">
      <c r="A4672" s="533"/>
      <c r="C4672" s="64"/>
    </row>
    <row r="4673" spans="1:3">
      <c r="A4673" s="533"/>
      <c r="C4673" s="64"/>
    </row>
    <row r="4674" spans="1:3">
      <c r="A4674" s="533"/>
      <c r="C4674" s="64"/>
    </row>
    <row r="4675" spans="1:3">
      <c r="A4675" s="533"/>
      <c r="C4675" s="64"/>
    </row>
    <row r="4676" spans="1:3">
      <c r="A4676" s="533"/>
      <c r="C4676" s="64"/>
    </row>
    <row r="4677" spans="1:3">
      <c r="A4677" s="533"/>
      <c r="C4677" s="64"/>
    </row>
    <row r="4678" spans="1:3">
      <c r="A4678" s="533"/>
      <c r="C4678" s="64"/>
    </row>
    <row r="4679" spans="1:3">
      <c r="A4679" s="533"/>
      <c r="C4679" s="64"/>
    </row>
    <row r="4680" spans="1:3">
      <c r="A4680" s="533"/>
      <c r="C4680" s="64"/>
    </row>
    <row r="4681" spans="1:3">
      <c r="A4681" s="533"/>
      <c r="C4681" s="64"/>
    </row>
    <row r="4682" spans="1:3">
      <c r="A4682" s="533"/>
      <c r="C4682" s="64"/>
    </row>
    <row r="4683" spans="1:3">
      <c r="A4683" s="533"/>
      <c r="C4683" s="64"/>
    </row>
    <row r="4684" spans="1:3">
      <c r="A4684" s="533"/>
      <c r="C4684" s="64"/>
    </row>
    <row r="4685" spans="1:3">
      <c r="A4685" s="533"/>
      <c r="C4685" s="64"/>
    </row>
    <row r="4686" spans="1:3">
      <c r="A4686" s="533"/>
      <c r="C4686" s="64"/>
    </row>
    <row r="4687" spans="1:3">
      <c r="A4687" s="533"/>
      <c r="C4687" s="64"/>
    </row>
    <row r="4688" spans="1:3">
      <c r="A4688" s="533"/>
      <c r="C4688" s="64"/>
    </row>
    <row r="4689" spans="1:3">
      <c r="A4689" s="533"/>
      <c r="C4689" s="64"/>
    </row>
    <row r="4690" spans="1:3">
      <c r="A4690" s="533"/>
      <c r="C4690" s="64"/>
    </row>
    <row r="4691" spans="1:3">
      <c r="A4691" s="533"/>
      <c r="C4691" s="64"/>
    </row>
    <row r="4692" spans="1:3">
      <c r="A4692" s="533"/>
      <c r="C4692" s="64"/>
    </row>
    <row r="4693" spans="1:3">
      <c r="A4693" s="533"/>
      <c r="C4693" s="64"/>
    </row>
    <row r="4694" spans="1:3">
      <c r="A4694" s="533"/>
      <c r="C4694" s="64"/>
    </row>
    <row r="4695" spans="1:3">
      <c r="A4695" s="533"/>
      <c r="C4695" s="64"/>
    </row>
    <row r="4696" spans="1:3">
      <c r="A4696" s="533"/>
      <c r="C4696" s="64"/>
    </row>
    <row r="4697" spans="1:3">
      <c r="A4697" s="533"/>
      <c r="C4697" s="64"/>
    </row>
    <row r="4698" spans="1:3">
      <c r="A4698" s="533"/>
      <c r="C4698" s="64"/>
    </row>
    <row r="4699" spans="1:3">
      <c r="A4699" s="533"/>
      <c r="C4699" s="64"/>
    </row>
    <row r="4700" spans="1:3">
      <c r="A4700" s="533"/>
      <c r="C4700" s="64"/>
    </row>
    <row r="4701" spans="1:3">
      <c r="A4701" s="533"/>
      <c r="C4701" s="64"/>
    </row>
    <row r="4702" spans="1:3">
      <c r="A4702" s="533"/>
      <c r="C4702" s="64"/>
    </row>
    <row r="4703" spans="1:3">
      <c r="A4703" s="533"/>
      <c r="C4703" s="64"/>
    </row>
    <row r="4704" spans="1:3">
      <c r="A4704" s="533"/>
      <c r="C4704" s="64"/>
    </row>
    <row r="4705" spans="1:3">
      <c r="A4705" s="533"/>
      <c r="C4705" s="64"/>
    </row>
    <row r="4706" spans="1:3">
      <c r="A4706" s="533"/>
      <c r="C4706" s="64"/>
    </row>
    <row r="4707" spans="1:3">
      <c r="A4707" s="533"/>
      <c r="C4707" s="64"/>
    </row>
    <row r="4708" spans="1:3">
      <c r="A4708" s="533"/>
      <c r="C4708" s="64"/>
    </row>
    <row r="4709" spans="1:3">
      <c r="A4709" s="533"/>
      <c r="C4709" s="64"/>
    </row>
    <row r="4710" spans="1:3">
      <c r="A4710" s="533"/>
      <c r="C4710" s="64"/>
    </row>
    <row r="4711" spans="1:3">
      <c r="A4711" s="533"/>
      <c r="C4711" s="64"/>
    </row>
    <row r="4712" spans="1:3">
      <c r="A4712" s="533"/>
      <c r="C4712" s="64"/>
    </row>
    <row r="4713" spans="1:3">
      <c r="A4713" s="533"/>
      <c r="C4713" s="64"/>
    </row>
    <row r="4714" spans="1:3">
      <c r="A4714" s="533"/>
      <c r="C4714" s="64"/>
    </row>
    <row r="4715" spans="1:3">
      <c r="A4715" s="533"/>
      <c r="C4715" s="64"/>
    </row>
    <row r="4716" spans="1:3">
      <c r="A4716" s="533"/>
      <c r="C4716" s="64"/>
    </row>
    <row r="4717" spans="1:3">
      <c r="A4717" s="533"/>
      <c r="C4717" s="64"/>
    </row>
    <row r="4718" spans="1:3">
      <c r="A4718" s="533"/>
      <c r="C4718" s="64"/>
    </row>
    <row r="4719" spans="1:3">
      <c r="A4719" s="533"/>
      <c r="C4719" s="64"/>
    </row>
    <row r="4720" spans="1:3">
      <c r="A4720" s="533"/>
      <c r="C4720" s="64"/>
    </row>
    <row r="4721" spans="1:3">
      <c r="A4721" s="533"/>
      <c r="C4721" s="64"/>
    </row>
    <row r="4722" spans="1:3">
      <c r="A4722" s="533"/>
      <c r="C4722" s="64"/>
    </row>
    <row r="4723" spans="1:3">
      <c r="A4723" s="533"/>
      <c r="C4723" s="64"/>
    </row>
    <row r="4724" spans="1:3">
      <c r="A4724" s="533"/>
      <c r="C4724" s="64"/>
    </row>
    <row r="4725" spans="1:3">
      <c r="A4725" s="533"/>
      <c r="C4725" s="64"/>
    </row>
    <row r="4726" spans="1:3">
      <c r="A4726" s="533"/>
      <c r="C4726" s="64"/>
    </row>
    <row r="4727" spans="1:3">
      <c r="A4727" s="533"/>
      <c r="C4727" s="64"/>
    </row>
    <row r="4728" spans="1:3">
      <c r="A4728" s="533"/>
      <c r="C4728" s="64"/>
    </row>
    <row r="4729" spans="1:3">
      <c r="A4729" s="533"/>
      <c r="C4729" s="64"/>
    </row>
    <row r="4730" spans="1:3">
      <c r="A4730" s="533"/>
      <c r="C4730" s="64"/>
    </row>
    <row r="4731" spans="1:3">
      <c r="A4731" s="533"/>
      <c r="C4731" s="64"/>
    </row>
    <row r="4732" spans="1:3">
      <c r="A4732" s="533"/>
      <c r="C4732" s="64"/>
    </row>
    <row r="4733" spans="1:3">
      <c r="A4733" s="533"/>
      <c r="C4733" s="64"/>
    </row>
    <row r="4734" spans="1:3">
      <c r="A4734" s="533"/>
      <c r="C4734" s="64"/>
    </row>
    <row r="4735" spans="1:3">
      <c r="A4735" s="533"/>
      <c r="C4735" s="64"/>
    </row>
    <row r="4736" spans="1:3">
      <c r="A4736" s="533"/>
      <c r="C4736" s="64"/>
    </row>
    <row r="4737" spans="1:3">
      <c r="A4737" s="533"/>
      <c r="C4737" s="64"/>
    </row>
    <row r="4738" spans="1:3">
      <c r="A4738" s="533"/>
      <c r="C4738" s="64"/>
    </row>
    <row r="4739" spans="1:3">
      <c r="A4739" s="533"/>
      <c r="C4739" s="64"/>
    </row>
    <row r="4740" spans="1:3">
      <c r="A4740" s="533"/>
      <c r="C4740" s="64"/>
    </row>
    <row r="4741" spans="1:3">
      <c r="A4741" s="533"/>
      <c r="C4741" s="64"/>
    </row>
    <row r="4742" spans="1:3">
      <c r="A4742" s="533"/>
      <c r="C4742" s="64"/>
    </row>
    <row r="4743" spans="1:3">
      <c r="A4743" s="533"/>
      <c r="C4743" s="64"/>
    </row>
    <row r="4744" spans="1:3">
      <c r="A4744" s="533"/>
      <c r="C4744" s="64"/>
    </row>
    <row r="4745" spans="1:3">
      <c r="A4745" s="533"/>
      <c r="C4745" s="64"/>
    </row>
    <row r="4746" spans="1:3">
      <c r="A4746" s="533"/>
      <c r="C4746" s="64"/>
    </row>
    <row r="4747" spans="1:3">
      <c r="A4747" s="533"/>
      <c r="C4747" s="64"/>
    </row>
    <row r="4748" spans="1:3">
      <c r="A4748" s="533"/>
      <c r="C4748" s="64"/>
    </row>
    <row r="4749" spans="1:3">
      <c r="A4749" s="533"/>
      <c r="C4749" s="64"/>
    </row>
    <row r="4750" spans="1:3">
      <c r="A4750" s="533"/>
      <c r="C4750" s="64"/>
    </row>
    <row r="4751" spans="1:3">
      <c r="A4751" s="533"/>
      <c r="C4751" s="64"/>
    </row>
    <row r="4752" spans="1:3">
      <c r="A4752" s="533"/>
      <c r="C4752" s="64"/>
    </row>
    <row r="4753" spans="1:3">
      <c r="A4753" s="533"/>
      <c r="C4753" s="64"/>
    </row>
    <row r="4754" spans="1:3">
      <c r="A4754" s="533"/>
      <c r="C4754" s="64"/>
    </row>
    <row r="4755" spans="1:3">
      <c r="A4755" s="533"/>
      <c r="C4755" s="64"/>
    </row>
    <row r="4756" spans="1:3">
      <c r="A4756" s="533"/>
      <c r="C4756" s="64"/>
    </row>
    <row r="4757" spans="1:3">
      <c r="A4757" s="533"/>
      <c r="C4757" s="64"/>
    </row>
    <row r="4758" spans="1:3">
      <c r="A4758" s="533"/>
      <c r="C4758" s="64"/>
    </row>
    <row r="4759" spans="1:3">
      <c r="A4759" s="533"/>
      <c r="C4759" s="64"/>
    </row>
    <row r="4760" spans="1:3">
      <c r="A4760" s="533"/>
      <c r="C4760" s="64"/>
    </row>
    <row r="4761" spans="1:3">
      <c r="A4761" s="533"/>
      <c r="C4761" s="64"/>
    </row>
    <row r="4762" spans="1:3">
      <c r="A4762" s="533"/>
      <c r="C4762" s="64"/>
    </row>
    <row r="4763" spans="1:3">
      <c r="A4763" s="533"/>
      <c r="C4763" s="64"/>
    </row>
    <row r="4764" spans="1:3">
      <c r="A4764" s="533"/>
      <c r="C4764" s="64"/>
    </row>
    <row r="4765" spans="1:3">
      <c r="A4765" s="533"/>
      <c r="C4765" s="64"/>
    </row>
    <row r="4766" spans="1:3">
      <c r="A4766" s="533"/>
      <c r="C4766" s="64"/>
    </row>
    <row r="4767" spans="1:3">
      <c r="A4767" s="533"/>
      <c r="C4767" s="64"/>
    </row>
    <row r="4768" spans="1:3">
      <c r="A4768" s="533"/>
      <c r="C4768" s="64"/>
    </row>
    <row r="4769" spans="1:3">
      <c r="A4769" s="533"/>
      <c r="C4769" s="64"/>
    </row>
    <row r="4770" spans="1:3">
      <c r="A4770" s="533"/>
      <c r="C4770" s="64"/>
    </row>
    <row r="4771" spans="1:3">
      <c r="A4771" s="533"/>
      <c r="C4771" s="64"/>
    </row>
    <row r="4772" spans="1:3">
      <c r="A4772" s="533"/>
      <c r="C4772" s="64"/>
    </row>
    <row r="4773" spans="1:3">
      <c r="A4773" s="533"/>
      <c r="C4773" s="64"/>
    </row>
    <row r="4774" spans="1:3">
      <c r="A4774" s="533"/>
      <c r="C4774" s="64"/>
    </row>
    <row r="4775" spans="1:3">
      <c r="A4775" s="533"/>
      <c r="C4775" s="64"/>
    </row>
    <row r="4776" spans="1:3">
      <c r="A4776" s="533"/>
      <c r="C4776" s="64"/>
    </row>
    <row r="4777" spans="1:3">
      <c r="A4777" s="533"/>
      <c r="C4777" s="64"/>
    </row>
    <row r="4778" spans="1:3">
      <c r="A4778" s="533"/>
      <c r="C4778" s="64"/>
    </row>
    <row r="4779" spans="1:3">
      <c r="A4779" s="533"/>
      <c r="C4779" s="64"/>
    </row>
    <row r="4780" spans="1:3">
      <c r="A4780" s="533"/>
      <c r="C4780" s="64"/>
    </row>
    <row r="4781" spans="1:3">
      <c r="A4781" s="533"/>
      <c r="C4781" s="64"/>
    </row>
    <row r="4782" spans="1:3">
      <c r="A4782" s="533"/>
      <c r="C4782" s="64"/>
    </row>
    <row r="4783" spans="1:3">
      <c r="A4783" s="533"/>
      <c r="C4783" s="64"/>
    </row>
    <row r="4784" spans="1:3">
      <c r="A4784" s="533"/>
      <c r="C4784" s="64"/>
    </row>
    <row r="4785" spans="1:3">
      <c r="A4785" s="533"/>
      <c r="C4785" s="64"/>
    </row>
    <row r="4786" spans="1:3">
      <c r="A4786" s="533"/>
      <c r="C4786" s="64"/>
    </row>
    <row r="4787" spans="1:3">
      <c r="A4787" s="533"/>
      <c r="C4787" s="64"/>
    </row>
    <row r="4788" spans="1:3">
      <c r="A4788" s="533"/>
      <c r="C4788" s="64"/>
    </row>
    <row r="4789" spans="1:3">
      <c r="A4789" s="533"/>
      <c r="C4789" s="64"/>
    </row>
    <row r="4790" spans="1:3">
      <c r="A4790" s="533"/>
      <c r="C4790" s="64"/>
    </row>
    <row r="4791" spans="1:3">
      <c r="A4791" s="533"/>
      <c r="C4791" s="64"/>
    </row>
    <row r="4792" spans="1:3">
      <c r="A4792" s="533"/>
      <c r="C4792" s="64"/>
    </row>
    <row r="4793" spans="1:3">
      <c r="A4793" s="533"/>
      <c r="C4793" s="64"/>
    </row>
    <row r="4794" spans="1:3">
      <c r="A4794" s="533"/>
      <c r="C4794" s="64"/>
    </row>
    <row r="4795" spans="1:3">
      <c r="A4795" s="533"/>
      <c r="C4795" s="64"/>
    </row>
    <row r="4796" spans="1:3">
      <c r="A4796" s="533"/>
      <c r="C4796" s="64"/>
    </row>
    <row r="4797" spans="1:3">
      <c r="A4797" s="533"/>
      <c r="C4797" s="64"/>
    </row>
    <row r="4798" spans="1:3">
      <c r="A4798" s="533"/>
      <c r="C4798" s="64"/>
    </row>
    <row r="4799" spans="1:3">
      <c r="A4799" s="533"/>
      <c r="C4799" s="64"/>
    </row>
    <row r="4800" spans="1:3">
      <c r="A4800" s="533"/>
      <c r="C4800" s="64"/>
    </row>
    <row r="4801" spans="1:3">
      <c r="A4801" s="533"/>
      <c r="C4801" s="64"/>
    </row>
    <row r="4802" spans="1:3">
      <c r="A4802" s="533"/>
      <c r="C4802" s="64"/>
    </row>
    <row r="4803" spans="1:3">
      <c r="A4803" s="533"/>
      <c r="C4803" s="64"/>
    </row>
    <row r="4804" spans="1:3">
      <c r="A4804" s="533"/>
      <c r="C4804" s="64"/>
    </row>
    <row r="4805" spans="1:3">
      <c r="A4805" s="533"/>
      <c r="C4805" s="64"/>
    </row>
    <row r="4806" spans="1:3">
      <c r="A4806" s="533"/>
      <c r="C4806" s="64"/>
    </row>
    <row r="4807" spans="1:3">
      <c r="A4807" s="533"/>
      <c r="C4807" s="64"/>
    </row>
    <row r="4808" spans="1:3">
      <c r="A4808" s="533"/>
      <c r="C4808" s="64"/>
    </row>
    <row r="4809" spans="1:3">
      <c r="A4809" s="533"/>
      <c r="C4809" s="64"/>
    </row>
    <row r="4810" spans="1:3">
      <c r="A4810" s="533"/>
      <c r="C4810" s="64"/>
    </row>
    <row r="4811" spans="1:3">
      <c r="A4811" s="533"/>
      <c r="C4811" s="64"/>
    </row>
    <row r="4812" spans="1:3">
      <c r="A4812" s="533"/>
      <c r="C4812" s="64"/>
    </row>
    <row r="4813" spans="1:3">
      <c r="A4813" s="533"/>
      <c r="C4813" s="64"/>
    </row>
    <row r="4814" spans="1:3">
      <c r="A4814" s="533"/>
      <c r="C4814" s="64"/>
    </row>
    <row r="4815" spans="1:3">
      <c r="A4815" s="533"/>
      <c r="C4815" s="64"/>
    </row>
    <row r="4816" spans="1:3">
      <c r="A4816" s="533"/>
      <c r="C4816" s="64"/>
    </row>
    <row r="4817" spans="1:3">
      <c r="A4817" s="533"/>
      <c r="C4817" s="64"/>
    </row>
    <row r="4818" spans="1:3">
      <c r="A4818" s="533"/>
      <c r="C4818" s="64"/>
    </row>
    <row r="4819" spans="1:3">
      <c r="A4819" s="533"/>
      <c r="C4819" s="64"/>
    </row>
    <row r="4820" spans="1:3">
      <c r="A4820" s="533"/>
      <c r="C4820" s="64"/>
    </row>
    <row r="4821" spans="1:3">
      <c r="A4821" s="533"/>
      <c r="C4821" s="64"/>
    </row>
    <row r="4822" spans="1:3">
      <c r="A4822" s="533"/>
      <c r="C4822" s="64"/>
    </row>
    <row r="4823" spans="1:3">
      <c r="A4823" s="533"/>
      <c r="C4823" s="64"/>
    </row>
    <row r="4824" spans="1:3">
      <c r="A4824" s="533"/>
      <c r="C4824" s="64"/>
    </row>
    <row r="4825" spans="1:3">
      <c r="A4825" s="533"/>
      <c r="C4825" s="64"/>
    </row>
    <row r="4826" spans="1:3">
      <c r="A4826" s="533"/>
      <c r="C4826" s="64"/>
    </row>
    <row r="4827" spans="1:3">
      <c r="A4827" s="533"/>
      <c r="C4827" s="64"/>
    </row>
    <row r="4828" spans="1:3">
      <c r="A4828" s="533"/>
      <c r="C4828" s="64"/>
    </row>
    <row r="4829" spans="1:3">
      <c r="A4829" s="533"/>
      <c r="C4829" s="64"/>
    </row>
    <row r="4830" spans="1:3">
      <c r="A4830" s="533"/>
      <c r="C4830" s="64"/>
    </row>
    <row r="4831" spans="1:3">
      <c r="A4831" s="533"/>
      <c r="C4831" s="64"/>
    </row>
    <row r="4832" spans="1:3">
      <c r="A4832" s="533"/>
      <c r="C4832" s="64"/>
    </row>
    <row r="4833" spans="1:3">
      <c r="A4833" s="533"/>
      <c r="C4833" s="64"/>
    </row>
    <row r="4834" spans="1:3">
      <c r="A4834" s="533"/>
      <c r="C4834" s="64"/>
    </row>
    <row r="4835" spans="1:3">
      <c r="A4835" s="533"/>
      <c r="C4835" s="64"/>
    </row>
    <row r="4836" spans="1:3">
      <c r="A4836" s="533"/>
      <c r="C4836" s="64"/>
    </row>
    <row r="4837" spans="1:3">
      <c r="A4837" s="533"/>
      <c r="C4837" s="64"/>
    </row>
    <row r="4838" spans="1:3">
      <c r="A4838" s="533"/>
      <c r="C4838" s="64"/>
    </row>
    <row r="4839" spans="1:3">
      <c r="A4839" s="533"/>
      <c r="C4839" s="64"/>
    </row>
    <row r="4840" spans="1:3">
      <c r="A4840" s="533"/>
      <c r="C4840" s="64"/>
    </row>
    <row r="4841" spans="1:3">
      <c r="A4841" s="533"/>
      <c r="C4841" s="64"/>
    </row>
    <row r="4842" spans="1:3">
      <c r="A4842" s="533"/>
      <c r="C4842" s="64"/>
    </row>
    <row r="4843" spans="1:3">
      <c r="A4843" s="533"/>
      <c r="C4843" s="64"/>
    </row>
    <row r="4844" spans="1:3">
      <c r="A4844" s="533"/>
      <c r="C4844" s="64"/>
    </row>
    <row r="4845" spans="1:3">
      <c r="A4845" s="533"/>
      <c r="C4845" s="64"/>
    </row>
    <row r="4846" spans="1:3">
      <c r="A4846" s="533"/>
      <c r="C4846" s="64"/>
    </row>
    <row r="4847" spans="1:3">
      <c r="A4847" s="533"/>
      <c r="C4847" s="64"/>
    </row>
    <row r="4848" spans="1:3">
      <c r="A4848" s="533"/>
      <c r="C4848" s="64"/>
    </row>
    <row r="4849" spans="1:3">
      <c r="A4849" s="533"/>
      <c r="C4849" s="64"/>
    </row>
    <row r="4850" spans="1:3">
      <c r="A4850" s="533"/>
      <c r="C4850" s="64"/>
    </row>
    <row r="4851" spans="1:3">
      <c r="A4851" s="533"/>
      <c r="C4851" s="64"/>
    </row>
    <row r="4852" spans="1:3">
      <c r="A4852" s="533"/>
      <c r="C4852" s="64"/>
    </row>
    <row r="4853" spans="1:3">
      <c r="A4853" s="533"/>
      <c r="C4853" s="64"/>
    </row>
    <row r="4854" spans="1:3">
      <c r="A4854" s="533"/>
      <c r="C4854" s="64"/>
    </row>
    <row r="4855" spans="1:3">
      <c r="A4855" s="533"/>
      <c r="C4855" s="64"/>
    </row>
    <row r="4856" spans="1:3">
      <c r="A4856" s="533"/>
      <c r="C4856" s="64"/>
    </row>
    <row r="4857" spans="1:3">
      <c r="A4857" s="533"/>
      <c r="C4857" s="64"/>
    </row>
    <row r="4858" spans="1:3">
      <c r="A4858" s="533"/>
      <c r="C4858" s="64"/>
    </row>
    <row r="4859" spans="1:3">
      <c r="A4859" s="533"/>
      <c r="C4859" s="64"/>
    </row>
    <row r="4860" spans="1:3">
      <c r="A4860" s="533"/>
      <c r="C4860" s="64"/>
    </row>
    <row r="4861" spans="1:3">
      <c r="A4861" s="533"/>
      <c r="C4861" s="64"/>
    </row>
    <row r="4862" spans="1:3">
      <c r="A4862" s="533"/>
      <c r="C4862" s="64"/>
    </row>
    <row r="4863" spans="1:3">
      <c r="A4863" s="533"/>
      <c r="C4863" s="64"/>
    </row>
    <row r="4864" spans="1:3">
      <c r="A4864" s="533"/>
      <c r="C4864" s="64"/>
    </row>
    <row r="4865" spans="1:3">
      <c r="A4865" s="533"/>
      <c r="C4865" s="64"/>
    </row>
    <row r="4866" spans="1:3">
      <c r="A4866" s="533"/>
      <c r="C4866" s="64"/>
    </row>
    <row r="4867" spans="1:3">
      <c r="A4867" s="533"/>
      <c r="C4867" s="64"/>
    </row>
    <row r="4868" spans="1:3">
      <c r="A4868" s="533"/>
      <c r="C4868" s="64"/>
    </row>
    <row r="4869" spans="1:3">
      <c r="A4869" s="533"/>
      <c r="C4869" s="64"/>
    </row>
    <row r="4870" spans="1:3">
      <c r="A4870" s="533"/>
      <c r="C4870" s="64"/>
    </row>
    <row r="4871" spans="1:3">
      <c r="A4871" s="533"/>
      <c r="C4871" s="64"/>
    </row>
    <row r="4872" spans="1:3">
      <c r="A4872" s="533"/>
      <c r="C4872" s="64"/>
    </row>
    <row r="4873" spans="1:3">
      <c r="A4873" s="533"/>
      <c r="C4873" s="64"/>
    </row>
    <row r="4874" spans="1:3">
      <c r="A4874" s="533"/>
      <c r="C4874" s="64"/>
    </row>
    <row r="4875" spans="1:3">
      <c r="A4875" s="533"/>
      <c r="C4875" s="64"/>
    </row>
    <row r="4876" spans="1:3">
      <c r="A4876" s="533"/>
      <c r="C4876" s="64"/>
    </row>
    <row r="4877" spans="1:3">
      <c r="A4877" s="533"/>
      <c r="C4877" s="64"/>
    </row>
    <row r="4878" spans="1:3">
      <c r="A4878" s="533"/>
      <c r="C4878" s="64"/>
    </row>
    <row r="4879" spans="1:3">
      <c r="A4879" s="533"/>
      <c r="C4879" s="64"/>
    </row>
    <row r="4880" spans="1:3">
      <c r="A4880" s="533"/>
      <c r="C4880" s="64"/>
    </row>
    <row r="4881" spans="1:3">
      <c r="A4881" s="533"/>
      <c r="C4881" s="64"/>
    </row>
    <row r="4882" spans="1:3">
      <c r="A4882" s="533"/>
      <c r="C4882" s="64"/>
    </row>
    <row r="4883" spans="1:3">
      <c r="A4883" s="533"/>
      <c r="C4883" s="64"/>
    </row>
    <row r="4884" spans="1:3">
      <c r="A4884" s="533"/>
      <c r="C4884" s="64"/>
    </row>
    <row r="4885" spans="1:3">
      <c r="A4885" s="533"/>
      <c r="C4885" s="64"/>
    </row>
    <row r="4886" spans="1:3">
      <c r="A4886" s="533"/>
      <c r="C4886" s="64"/>
    </row>
    <row r="4887" spans="1:3">
      <c r="A4887" s="533"/>
      <c r="C4887" s="64"/>
    </row>
    <row r="4888" spans="1:3">
      <c r="A4888" s="533"/>
      <c r="C4888" s="64"/>
    </row>
    <row r="4889" spans="1:3">
      <c r="A4889" s="533"/>
      <c r="C4889" s="64"/>
    </row>
    <row r="4890" spans="1:3">
      <c r="A4890" s="533"/>
      <c r="C4890" s="64"/>
    </row>
    <row r="4891" spans="1:3">
      <c r="A4891" s="533"/>
      <c r="C4891" s="64"/>
    </row>
    <row r="4892" spans="1:3">
      <c r="A4892" s="533"/>
      <c r="C4892" s="64"/>
    </row>
    <row r="4893" spans="1:3">
      <c r="A4893" s="533"/>
      <c r="C4893" s="64"/>
    </row>
    <row r="4894" spans="1:3">
      <c r="A4894" s="533"/>
      <c r="C4894" s="64"/>
    </row>
    <row r="4895" spans="1:3">
      <c r="A4895" s="533"/>
      <c r="C4895" s="64"/>
    </row>
    <row r="4896" spans="1:3">
      <c r="A4896" s="533"/>
      <c r="C4896" s="64"/>
    </row>
    <row r="4897" spans="1:3">
      <c r="A4897" s="533"/>
      <c r="C4897" s="64"/>
    </row>
    <row r="4898" spans="1:3">
      <c r="A4898" s="533"/>
      <c r="C4898" s="64"/>
    </row>
    <row r="4899" spans="1:3">
      <c r="A4899" s="533"/>
      <c r="C4899" s="64"/>
    </row>
    <row r="4900" spans="1:3">
      <c r="A4900" s="533"/>
      <c r="C4900" s="64"/>
    </row>
    <row r="4901" spans="1:3">
      <c r="A4901" s="533"/>
      <c r="C4901" s="64"/>
    </row>
    <row r="4902" spans="1:3">
      <c r="A4902" s="533"/>
      <c r="C4902" s="64"/>
    </row>
    <row r="4903" spans="1:3">
      <c r="A4903" s="533"/>
      <c r="C4903" s="64"/>
    </row>
    <row r="4904" spans="1:3">
      <c r="A4904" s="533"/>
      <c r="C4904" s="64"/>
    </row>
    <row r="4905" spans="1:3">
      <c r="A4905" s="533"/>
      <c r="C4905" s="64"/>
    </row>
    <row r="4906" spans="1:3">
      <c r="A4906" s="533"/>
      <c r="C4906" s="64"/>
    </row>
    <row r="4907" spans="1:3">
      <c r="A4907" s="533"/>
      <c r="C4907" s="64"/>
    </row>
    <row r="4908" spans="1:3">
      <c r="A4908" s="533"/>
      <c r="C4908" s="64"/>
    </row>
    <row r="4909" spans="1:3">
      <c r="A4909" s="533"/>
      <c r="C4909" s="64"/>
    </row>
    <row r="4910" spans="1:3">
      <c r="A4910" s="533"/>
      <c r="C4910" s="64"/>
    </row>
    <row r="4911" spans="1:3">
      <c r="A4911" s="533"/>
      <c r="C4911" s="64"/>
    </row>
    <row r="4912" spans="1:3">
      <c r="A4912" s="533"/>
      <c r="C4912" s="64"/>
    </row>
    <row r="4913" spans="1:3">
      <c r="A4913" s="533"/>
      <c r="C4913" s="64"/>
    </row>
    <row r="4914" spans="1:3">
      <c r="A4914" s="533"/>
      <c r="C4914" s="64"/>
    </row>
    <row r="4915" spans="1:3">
      <c r="A4915" s="533"/>
      <c r="C4915" s="64"/>
    </row>
    <row r="4916" spans="1:3">
      <c r="A4916" s="533"/>
      <c r="C4916" s="64"/>
    </row>
    <row r="4917" spans="1:3">
      <c r="A4917" s="533"/>
      <c r="C4917" s="64"/>
    </row>
    <row r="4918" spans="1:3">
      <c r="A4918" s="533"/>
      <c r="C4918" s="64"/>
    </row>
    <row r="4919" spans="1:3">
      <c r="A4919" s="533"/>
      <c r="C4919" s="64"/>
    </row>
    <row r="4920" spans="1:3">
      <c r="A4920" s="533"/>
      <c r="C4920" s="64"/>
    </row>
    <row r="4921" spans="1:3">
      <c r="A4921" s="533"/>
      <c r="C4921" s="64"/>
    </row>
    <row r="4922" spans="1:3">
      <c r="A4922" s="533"/>
      <c r="C4922" s="64"/>
    </row>
    <row r="4923" spans="1:3">
      <c r="A4923" s="533"/>
      <c r="C4923" s="64"/>
    </row>
    <row r="4924" spans="1:3">
      <c r="A4924" s="533"/>
      <c r="C4924" s="64"/>
    </row>
    <row r="4925" spans="1:3">
      <c r="A4925" s="533"/>
      <c r="C4925" s="64"/>
    </row>
    <row r="4926" spans="1:3">
      <c r="A4926" s="533"/>
      <c r="C4926" s="64"/>
    </row>
    <row r="4927" spans="1:3">
      <c r="A4927" s="533"/>
      <c r="C4927" s="64"/>
    </row>
    <row r="4928" spans="1:3">
      <c r="A4928" s="533"/>
      <c r="C4928" s="64"/>
    </row>
    <row r="4929" spans="1:3">
      <c r="A4929" s="533"/>
      <c r="C4929" s="64"/>
    </row>
    <row r="4930" spans="1:3">
      <c r="A4930" s="533"/>
      <c r="C4930" s="64"/>
    </row>
    <row r="4931" spans="1:3">
      <c r="A4931" s="533"/>
      <c r="C4931" s="64"/>
    </row>
    <row r="4932" spans="1:3">
      <c r="A4932" s="533"/>
      <c r="C4932" s="64"/>
    </row>
    <row r="4933" spans="1:3">
      <c r="A4933" s="533"/>
      <c r="C4933" s="64"/>
    </row>
    <row r="4934" spans="1:3">
      <c r="A4934" s="533"/>
      <c r="C4934" s="64"/>
    </row>
    <row r="4935" spans="1:3">
      <c r="A4935" s="533"/>
      <c r="C4935" s="64"/>
    </row>
    <row r="4936" spans="1:3">
      <c r="A4936" s="533"/>
      <c r="C4936" s="64"/>
    </row>
    <row r="4937" spans="1:3">
      <c r="A4937" s="533"/>
      <c r="C4937" s="64"/>
    </row>
    <row r="4938" spans="1:3">
      <c r="A4938" s="533"/>
      <c r="C4938" s="64"/>
    </row>
    <row r="4939" spans="1:3">
      <c r="A4939" s="533"/>
      <c r="C4939" s="64"/>
    </row>
    <row r="4940" spans="1:3">
      <c r="A4940" s="533"/>
      <c r="C4940" s="64"/>
    </row>
    <row r="4941" spans="1:3">
      <c r="A4941" s="533"/>
      <c r="C4941" s="64"/>
    </row>
    <row r="4942" spans="1:3">
      <c r="A4942" s="533"/>
      <c r="C4942" s="64"/>
    </row>
    <row r="4943" spans="1:3">
      <c r="A4943" s="533"/>
      <c r="C4943" s="64"/>
    </row>
    <row r="4944" spans="1:3">
      <c r="A4944" s="533"/>
      <c r="C4944" s="64"/>
    </row>
    <row r="4945" spans="1:3">
      <c r="A4945" s="533"/>
      <c r="C4945" s="64"/>
    </row>
    <row r="4946" spans="1:3">
      <c r="A4946" s="533"/>
      <c r="C4946" s="64"/>
    </row>
    <row r="4947" spans="1:3">
      <c r="A4947" s="533"/>
      <c r="C4947" s="64"/>
    </row>
    <row r="4948" spans="1:3">
      <c r="A4948" s="533"/>
      <c r="C4948" s="64"/>
    </row>
    <row r="4949" spans="1:3">
      <c r="A4949" s="533"/>
      <c r="C4949" s="64"/>
    </row>
    <row r="4950" spans="1:3">
      <c r="A4950" s="533"/>
      <c r="C4950" s="64"/>
    </row>
    <row r="4951" spans="1:3">
      <c r="A4951" s="533"/>
      <c r="C4951" s="64"/>
    </row>
    <row r="4952" spans="1:3">
      <c r="A4952" s="533"/>
      <c r="C4952" s="64"/>
    </row>
    <row r="4953" spans="1:3">
      <c r="A4953" s="533"/>
      <c r="C4953" s="64"/>
    </row>
    <row r="4954" spans="1:3">
      <c r="A4954" s="533"/>
      <c r="C4954" s="64"/>
    </row>
    <row r="4955" spans="1:3">
      <c r="A4955" s="533"/>
      <c r="C4955" s="64"/>
    </row>
    <row r="4956" spans="1:3">
      <c r="A4956" s="533"/>
      <c r="C4956" s="64"/>
    </row>
    <row r="4957" spans="1:3">
      <c r="A4957" s="533"/>
      <c r="C4957" s="64"/>
    </row>
    <row r="4958" spans="1:3">
      <c r="A4958" s="533"/>
      <c r="C4958" s="64"/>
    </row>
    <row r="4959" spans="1:3">
      <c r="A4959" s="533"/>
      <c r="C4959" s="64"/>
    </row>
    <row r="4960" spans="1:3">
      <c r="A4960" s="533"/>
      <c r="C4960" s="64"/>
    </row>
    <row r="4961" spans="1:3">
      <c r="A4961" s="533"/>
      <c r="C4961" s="64"/>
    </row>
    <row r="4962" spans="1:3">
      <c r="A4962" s="533"/>
      <c r="C4962" s="64"/>
    </row>
    <row r="4963" spans="1:3">
      <c r="A4963" s="533"/>
      <c r="C4963" s="64"/>
    </row>
    <row r="4964" spans="1:3">
      <c r="A4964" s="533"/>
      <c r="C4964" s="64"/>
    </row>
    <row r="4965" spans="1:3">
      <c r="A4965" s="533"/>
      <c r="C4965" s="64"/>
    </row>
    <row r="4966" spans="1:3">
      <c r="A4966" s="533"/>
      <c r="C4966" s="64"/>
    </row>
    <row r="4967" spans="1:3">
      <c r="A4967" s="533"/>
      <c r="C4967" s="64"/>
    </row>
    <row r="4968" spans="1:3">
      <c r="A4968" s="533"/>
      <c r="C4968" s="64"/>
    </row>
    <row r="4969" spans="1:3">
      <c r="A4969" s="533"/>
      <c r="C4969" s="64"/>
    </row>
    <row r="4970" spans="1:3">
      <c r="A4970" s="533"/>
      <c r="C4970" s="64"/>
    </row>
    <row r="4971" spans="1:3">
      <c r="A4971" s="533"/>
      <c r="C4971" s="64"/>
    </row>
    <row r="4972" spans="1:3">
      <c r="A4972" s="533"/>
      <c r="C4972" s="64"/>
    </row>
    <row r="4973" spans="1:3">
      <c r="A4973" s="533"/>
      <c r="C4973" s="64"/>
    </row>
    <row r="4974" spans="1:3">
      <c r="A4974" s="533"/>
      <c r="C4974" s="64"/>
    </row>
    <row r="4975" spans="1:3">
      <c r="A4975" s="533"/>
      <c r="C4975" s="64"/>
    </row>
    <row r="4976" spans="1:3">
      <c r="A4976" s="533"/>
      <c r="C4976" s="64"/>
    </row>
    <row r="4977" spans="1:3">
      <c r="A4977" s="533"/>
      <c r="C4977" s="64"/>
    </row>
    <row r="4978" spans="1:3">
      <c r="A4978" s="533"/>
      <c r="C4978" s="64"/>
    </row>
    <row r="4979" spans="1:3">
      <c r="A4979" s="533"/>
      <c r="C4979" s="64"/>
    </row>
    <row r="4980" spans="1:3">
      <c r="A4980" s="533"/>
      <c r="C4980" s="64"/>
    </row>
    <row r="4981" spans="1:3">
      <c r="A4981" s="533"/>
      <c r="C4981" s="64"/>
    </row>
    <row r="4982" spans="1:3">
      <c r="A4982" s="533"/>
      <c r="C4982" s="64"/>
    </row>
    <row r="4983" spans="1:3">
      <c r="A4983" s="533"/>
      <c r="C4983" s="64"/>
    </row>
    <row r="4984" spans="1:3">
      <c r="A4984" s="533"/>
      <c r="C4984" s="64"/>
    </row>
    <row r="4985" spans="1:3">
      <c r="A4985" s="533"/>
      <c r="C4985" s="64"/>
    </row>
    <row r="4986" spans="1:3">
      <c r="A4986" s="533"/>
      <c r="C4986" s="64"/>
    </row>
    <row r="4987" spans="1:3">
      <c r="A4987" s="533"/>
      <c r="C4987" s="64"/>
    </row>
    <row r="4988" spans="1:3">
      <c r="A4988" s="533"/>
      <c r="C4988" s="64"/>
    </row>
    <row r="4989" spans="1:3">
      <c r="A4989" s="533"/>
      <c r="C4989" s="64"/>
    </row>
    <row r="4990" spans="1:3">
      <c r="A4990" s="533"/>
      <c r="C4990" s="64"/>
    </row>
    <row r="4991" spans="1:3">
      <c r="A4991" s="533"/>
      <c r="C4991" s="64"/>
    </row>
    <row r="4992" spans="1:3">
      <c r="A4992" s="533"/>
      <c r="C4992" s="64"/>
    </row>
    <row r="4993" spans="1:3">
      <c r="A4993" s="533"/>
      <c r="C4993" s="64"/>
    </row>
    <row r="4994" spans="1:3">
      <c r="A4994" s="533"/>
      <c r="C4994" s="64"/>
    </row>
    <row r="4995" spans="1:3">
      <c r="A4995" s="533"/>
      <c r="C4995" s="64"/>
    </row>
    <row r="4996" spans="1:3">
      <c r="A4996" s="533"/>
      <c r="C4996" s="64"/>
    </row>
    <row r="4997" spans="1:3">
      <c r="A4997" s="533"/>
      <c r="C4997" s="64"/>
    </row>
    <row r="4998" spans="1:3">
      <c r="A4998" s="533"/>
      <c r="C4998" s="64"/>
    </row>
    <row r="4999" spans="1:3">
      <c r="A4999" s="533"/>
      <c r="C4999" s="64"/>
    </row>
    <row r="5000" spans="1:3">
      <c r="A5000" s="533"/>
      <c r="C5000" s="64"/>
    </row>
    <row r="5001" spans="1:3">
      <c r="A5001" s="533"/>
      <c r="C5001" s="64"/>
    </row>
    <row r="5002" spans="1:3">
      <c r="A5002" s="533"/>
      <c r="C5002" s="64"/>
    </row>
    <row r="5003" spans="1:3">
      <c r="A5003" s="533"/>
      <c r="C5003" s="64"/>
    </row>
    <row r="5004" spans="1:3">
      <c r="A5004" s="533"/>
      <c r="C5004" s="64"/>
    </row>
    <row r="5005" spans="1:3">
      <c r="A5005" s="533"/>
      <c r="C5005" s="64"/>
    </row>
    <row r="5006" spans="1:3">
      <c r="A5006" s="533"/>
      <c r="C5006" s="64"/>
    </row>
    <row r="5007" spans="1:3">
      <c r="A5007" s="533"/>
      <c r="C5007" s="64"/>
    </row>
    <row r="5008" spans="1:3">
      <c r="A5008" s="533"/>
      <c r="C5008" s="64"/>
    </row>
    <row r="5009" spans="1:3">
      <c r="A5009" s="533"/>
      <c r="C5009" s="64"/>
    </row>
    <row r="5010" spans="1:3">
      <c r="A5010" s="533"/>
      <c r="C5010" s="64"/>
    </row>
    <row r="5011" spans="1:3">
      <c r="A5011" s="533"/>
      <c r="C5011" s="64"/>
    </row>
    <row r="5012" spans="1:3">
      <c r="A5012" s="533"/>
      <c r="C5012" s="64"/>
    </row>
    <row r="5013" spans="1:3">
      <c r="A5013" s="533"/>
      <c r="C5013" s="64"/>
    </row>
    <row r="5014" spans="1:3">
      <c r="A5014" s="533"/>
      <c r="C5014" s="64"/>
    </row>
    <row r="5015" spans="1:3">
      <c r="A5015" s="533"/>
      <c r="C5015" s="64"/>
    </row>
    <row r="5016" spans="1:3">
      <c r="A5016" s="533"/>
      <c r="C5016" s="64"/>
    </row>
    <row r="5017" spans="1:3">
      <c r="A5017" s="533"/>
      <c r="C5017" s="64"/>
    </row>
    <row r="5018" spans="1:3">
      <c r="A5018" s="533"/>
      <c r="C5018" s="64"/>
    </row>
    <row r="5019" spans="1:3">
      <c r="A5019" s="533"/>
      <c r="C5019" s="64"/>
    </row>
    <row r="5020" spans="1:3">
      <c r="A5020" s="533"/>
      <c r="C5020" s="64"/>
    </row>
    <row r="5021" spans="1:3">
      <c r="A5021" s="533"/>
      <c r="C5021" s="64"/>
    </row>
    <row r="5022" spans="1:3">
      <c r="A5022" s="533"/>
      <c r="C5022" s="64"/>
    </row>
    <row r="5023" spans="1:3">
      <c r="A5023" s="533"/>
      <c r="C5023" s="64"/>
    </row>
    <row r="5024" spans="1:3">
      <c r="A5024" s="533"/>
      <c r="C5024" s="64"/>
    </row>
    <row r="5025" spans="1:3">
      <c r="A5025" s="533"/>
      <c r="C5025" s="64"/>
    </row>
    <row r="5026" spans="1:3">
      <c r="A5026" s="533"/>
      <c r="C5026" s="64"/>
    </row>
    <row r="5027" spans="1:3">
      <c r="A5027" s="533"/>
      <c r="C5027" s="64"/>
    </row>
    <row r="5028" spans="1:3">
      <c r="A5028" s="533"/>
      <c r="C5028" s="64"/>
    </row>
    <row r="5029" spans="1:3">
      <c r="A5029" s="533"/>
      <c r="C5029" s="64"/>
    </row>
    <row r="5030" spans="1:3">
      <c r="A5030" s="533"/>
      <c r="C5030" s="64"/>
    </row>
    <row r="5031" spans="1:3">
      <c r="A5031" s="533"/>
      <c r="C5031" s="64"/>
    </row>
    <row r="5032" spans="1:3">
      <c r="A5032" s="533"/>
      <c r="C5032" s="64"/>
    </row>
    <row r="5033" spans="1:3">
      <c r="A5033" s="533"/>
      <c r="C5033" s="64"/>
    </row>
    <row r="5034" spans="1:3">
      <c r="A5034" s="533"/>
      <c r="C5034" s="64"/>
    </row>
    <row r="5035" spans="1:3">
      <c r="A5035" s="533"/>
      <c r="C5035" s="64"/>
    </row>
    <row r="5036" spans="1:3">
      <c r="A5036" s="533"/>
      <c r="C5036" s="64"/>
    </row>
    <row r="5037" spans="1:3">
      <c r="A5037" s="533"/>
      <c r="C5037" s="64"/>
    </row>
    <row r="5038" spans="1:3">
      <c r="A5038" s="533"/>
      <c r="C5038" s="64"/>
    </row>
    <row r="5039" spans="1:3">
      <c r="A5039" s="533"/>
      <c r="C5039" s="64"/>
    </row>
    <row r="5040" spans="1:3">
      <c r="A5040" s="533"/>
      <c r="C5040" s="64"/>
    </row>
    <row r="5041" spans="1:3">
      <c r="A5041" s="533"/>
      <c r="C5041" s="64"/>
    </row>
    <row r="5042" spans="1:3">
      <c r="A5042" s="533"/>
      <c r="C5042" s="64"/>
    </row>
    <row r="5043" spans="1:3">
      <c r="A5043" s="533"/>
      <c r="C5043" s="64"/>
    </row>
    <row r="5044" spans="1:3">
      <c r="A5044" s="533"/>
      <c r="C5044" s="64"/>
    </row>
    <row r="5045" spans="1:3">
      <c r="A5045" s="533"/>
      <c r="C5045" s="64"/>
    </row>
    <row r="5046" spans="1:3">
      <c r="A5046" s="533"/>
      <c r="C5046" s="64"/>
    </row>
    <row r="5047" spans="1:3">
      <c r="A5047" s="533"/>
      <c r="C5047" s="64"/>
    </row>
    <row r="5048" spans="1:3">
      <c r="A5048" s="533"/>
      <c r="C5048" s="64"/>
    </row>
    <row r="5049" spans="1:3">
      <c r="A5049" s="533"/>
      <c r="C5049" s="64"/>
    </row>
    <row r="5050" spans="1:3">
      <c r="A5050" s="533"/>
      <c r="C5050" s="64"/>
    </row>
    <row r="5051" spans="1:3">
      <c r="A5051" s="533"/>
      <c r="C5051" s="64"/>
    </row>
    <row r="5052" spans="1:3">
      <c r="A5052" s="533"/>
      <c r="C5052" s="64"/>
    </row>
    <row r="5053" spans="1:3">
      <c r="A5053" s="533"/>
      <c r="C5053" s="64"/>
    </row>
    <row r="5054" spans="1:3">
      <c r="A5054" s="533"/>
      <c r="C5054" s="64"/>
    </row>
    <row r="5055" spans="1:3">
      <c r="A5055" s="533"/>
      <c r="C5055" s="64"/>
    </row>
    <row r="5056" spans="1:3">
      <c r="A5056" s="533"/>
      <c r="C5056" s="64"/>
    </row>
    <row r="5057" spans="1:3">
      <c r="A5057" s="533"/>
      <c r="C5057" s="64"/>
    </row>
    <row r="5058" spans="1:3">
      <c r="A5058" s="533"/>
      <c r="C5058" s="64"/>
    </row>
    <row r="5059" spans="1:3">
      <c r="A5059" s="533"/>
      <c r="C5059" s="64"/>
    </row>
    <row r="5060" spans="1:3">
      <c r="A5060" s="533"/>
      <c r="C5060" s="64"/>
    </row>
    <row r="5061" spans="1:3">
      <c r="A5061" s="533"/>
      <c r="C5061" s="64"/>
    </row>
    <row r="5062" spans="1:3">
      <c r="A5062" s="533"/>
      <c r="C5062" s="64"/>
    </row>
    <row r="5063" spans="1:3">
      <c r="A5063" s="533"/>
      <c r="C5063" s="64"/>
    </row>
    <row r="5064" spans="1:3">
      <c r="A5064" s="533"/>
      <c r="C5064" s="64"/>
    </row>
    <row r="5065" spans="1:3">
      <c r="A5065" s="533"/>
      <c r="C5065" s="64"/>
    </row>
    <row r="5066" spans="1:3">
      <c r="A5066" s="533"/>
      <c r="C5066" s="64"/>
    </row>
    <row r="5067" spans="1:3">
      <c r="A5067" s="533"/>
      <c r="C5067" s="64"/>
    </row>
    <row r="5068" spans="1:3">
      <c r="A5068" s="533"/>
      <c r="C5068" s="64"/>
    </row>
    <row r="5069" spans="1:3">
      <c r="A5069" s="533"/>
      <c r="C5069" s="64"/>
    </row>
    <row r="5070" spans="1:3">
      <c r="A5070" s="533"/>
      <c r="C5070" s="64"/>
    </row>
    <row r="5071" spans="1:3">
      <c r="A5071" s="533"/>
      <c r="C5071" s="64"/>
    </row>
    <row r="5072" spans="1:3">
      <c r="A5072" s="533"/>
      <c r="C5072" s="64"/>
    </row>
    <row r="5073" spans="1:3">
      <c r="A5073" s="533"/>
      <c r="C5073" s="64"/>
    </row>
    <row r="5074" spans="1:3">
      <c r="A5074" s="533"/>
      <c r="C5074" s="64"/>
    </row>
    <row r="5075" spans="1:3">
      <c r="A5075" s="533"/>
      <c r="C5075" s="64"/>
    </row>
    <row r="5076" spans="1:3">
      <c r="A5076" s="533"/>
      <c r="C5076" s="64"/>
    </row>
    <row r="5077" spans="1:3">
      <c r="A5077" s="533"/>
      <c r="C5077" s="64"/>
    </row>
    <row r="5078" spans="1:3">
      <c r="A5078" s="533"/>
      <c r="C5078" s="64"/>
    </row>
    <row r="5079" spans="1:3">
      <c r="A5079" s="533"/>
      <c r="C5079" s="64"/>
    </row>
    <row r="5080" spans="1:3">
      <c r="A5080" s="533"/>
      <c r="C5080" s="64"/>
    </row>
    <row r="5081" spans="1:3">
      <c r="A5081" s="533"/>
      <c r="C5081" s="64"/>
    </row>
    <row r="5082" spans="1:3">
      <c r="A5082" s="533"/>
      <c r="C5082" s="64"/>
    </row>
    <row r="5083" spans="1:3">
      <c r="A5083" s="533"/>
      <c r="C5083" s="64"/>
    </row>
    <row r="5084" spans="1:3">
      <c r="A5084" s="533"/>
      <c r="C5084" s="64"/>
    </row>
    <row r="5085" spans="1:3">
      <c r="A5085" s="533"/>
      <c r="C5085" s="64"/>
    </row>
    <row r="5086" spans="1:3">
      <c r="A5086" s="533"/>
      <c r="C5086" s="64"/>
    </row>
    <row r="5087" spans="1:3">
      <c r="A5087" s="533"/>
      <c r="C5087" s="64"/>
    </row>
    <row r="5088" spans="1:3">
      <c r="A5088" s="533"/>
      <c r="C5088" s="64"/>
    </row>
    <row r="5089" spans="1:3">
      <c r="A5089" s="533"/>
      <c r="C5089" s="64"/>
    </row>
    <row r="5090" spans="1:3">
      <c r="A5090" s="533"/>
      <c r="C5090" s="64"/>
    </row>
    <row r="5091" spans="1:3">
      <c r="A5091" s="533"/>
      <c r="C5091" s="64"/>
    </row>
    <row r="5092" spans="1:3">
      <c r="A5092" s="533"/>
      <c r="C5092" s="64"/>
    </row>
    <row r="5093" spans="1:3">
      <c r="A5093" s="533"/>
      <c r="C5093" s="64"/>
    </row>
    <row r="5094" spans="1:3">
      <c r="A5094" s="533"/>
      <c r="C5094" s="64"/>
    </row>
    <row r="5095" spans="1:3">
      <c r="A5095" s="533"/>
      <c r="C5095" s="64"/>
    </row>
    <row r="5096" spans="1:3">
      <c r="A5096" s="533"/>
      <c r="C5096" s="64"/>
    </row>
    <row r="5097" spans="1:3">
      <c r="A5097" s="533"/>
      <c r="C5097" s="64"/>
    </row>
    <row r="5098" spans="1:3">
      <c r="A5098" s="533"/>
      <c r="C5098" s="64"/>
    </row>
    <row r="5099" spans="1:3">
      <c r="A5099" s="533"/>
      <c r="C5099" s="64"/>
    </row>
    <row r="5100" spans="1:3">
      <c r="A5100" s="533"/>
      <c r="C5100" s="64"/>
    </row>
    <row r="5101" spans="1:3">
      <c r="A5101" s="533"/>
      <c r="C5101" s="64"/>
    </row>
    <row r="5102" spans="1:3">
      <c r="A5102" s="533"/>
      <c r="C5102" s="64"/>
    </row>
    <row r="5103" spans="1:3">
      <c r="A5103" s="533"/>
      <c r="C5103" s="64"/>
    </row>
    <row r="5104" spans="1:3">
      <c r="A5104" s="533"/>
      <c r="C5104" s="64"/>
    </row>
    <row r="5105" spans="1:3">
      <c r="A5105" s="533"/>
      <c r="C5105" s="64"/>
    </row>
    <row r="5106" spans="1:3">
      <c r="A5106" s="533"/>
      <c r="C5106" s="64"/>
    </row>
    <row r="5107" spans="1:3">
      <c r="A5107" s="533"/>
      <c r="C5107" s="64"/>
    </row>
    <row r="5108" spans="1:3">
      <c r="A5108" s="533"/>
      <c r="C5108" s="64"/>
    </row>
    <row r="5109" spans="1:3">
      <c r="A5109" s="533"/>
      <c r="C5109" s="64"/>
    </row>
    <row r="5110" spans="1:3">
      <c r="A5110" s="533"/>
      <c r="C5110" s="64"/>
    </row>
    <row r="5111" spans="1:3">
      <c r="A5111" s="533"/>
      <c r="C5111" s="64"/>
    </row>
    <row r="5112" spans="1:3">
      <c r="A5112" s="533"/>
      <c r="C5112" s="64"/>
    </row>
    <row r="5113" spans="1:3">
      <c r="A5113" s="533"/>
      <c r="C5113" s="64"/>
    </row>
    <row r="5114" spans="1:3">
      <c r="A5114" s="533"/>
      <c r="C5114" s="64"/>
    </row>
    <row r="5115" spans="1:3">
      <c r="A5115" s="533"/>
      <c r="C5115" s="64"/>
    </row>
    <row r="5116" spans="1:3">
      <c r="A5116" s="533"/>
      <c r="C5116" s="64"/>
    </row>
    <row r="5117" spans="1:3">
      <c r="A5117" s="533"/>
      <c r="C5117" s="64"/>
    </row>
    <row r="5118" spans="1:3">
      <c r="A5118" s="533"/>
      <c r="C5118" s="64"/>
    </row>
    <row r="5119" spans="1:3">
      <c r="A5119" s="533"/>
      <c r="C5119" s="64"/>
    </row>
    <row r="5120" spans="1:3">
      <c r="A5120" s="533"/>
      <c r="C5120" s="64"/>
    </row>
    <row r="5121" spans="1:3">
      <c r="A5121" s="533"/>
      <c r="C5121" s="64"/>
    </row>
    <row r="5122" spans="1:3">
      <c r="A5122" s="533"/>
      <c r="C5122" s="64"/>
    </row>
    <row r="5123" spans="1:3">
      <c r="A5123" s="533"/>
      <c r="C5123" s="64"/>
    </row>
    <row r="5124" spans="1:3">
      <c r="A5124" s="533"/>
      <c r="C5124" s="64"/>
    </row>
    <row r="5125" spans="1:3">
      <c r="A5125" s="533"/>
      <c r="C5125" s="64"/>
    </row>
    <row r="5126" spans="1:3">
      <c r="A5126" s="533"/>
      <c r="C5126" s="64"/>
    </row>
    <row r="5127" spans="1:3">
      <c r="A5127" s="533"/>
      <c r="C5127" s="64"/>
    </row>
    <row r="5128" spans="1:3">
      <c r="A5128" s="533"/>
      <c r="C5128" s="64"/>
    </row>
    <row r="5129" spans="1:3">
      <c r="A5129" s="533"/>
      <c r="C5129" s="64"/>
    </row>
    <row r="5130" spans="1:3">
      <c r="A5130" s="533"/>
      <c r="C5130" s="64"/>
    </row>
    <row r="5131" spans="1:3">
      <c r="A5131" s="533"/>
      <c r="C5131" s="64"/>
    </row>
    <row r="5132" spans="1:3">
      <c r="A5132" s="533"/>
      <c r="C5132" s="64"/>
    </row>
    <row r="5133" spans="1:3">
      <c r="A5133" s="533"/>
      <c r="C5133" s="64"/>
    </row>
    <row r="5134" spans="1:3">
      <c r="A5134" s="533"/>
      <c r="C5134" s="64"/>
    </row>
    <row r="5135" spans="1:3">
      <c r="A5135" s="533"/>
      <c r="C5135" s="64"/>
    </row>
    <row r="5136" spans="1:3">
      <c r="A5136" s="533"/>
      <c r="C5136" s="64"/>
    </row>
    <row r="5137" spans="1:3">
      <c r="A5137" s="533"/>
      <c r="C5137" s="64"/>
    </row>
    <row r="5138" spans="1:3">
      <c r="A5138" s="533"/>
      <c r="C5138" s="64"/>
    </row>
    <row r="5139" spans="1:3">
      <c r="A5139" s="533"/>
      <c r="C5139" s="64"/>
    </row>
    <row r="5140" spans="1:3">
      <c r="A5140" s="533"/>
      <c r="C5140" s="64"/>
    </row>
    <row r="5141" spans="1:3">
      <c r="A5141" s="533"/>
      <c r="C5141" s="64"/>
    </row>
    <row r="5142" spans="1:3">
      <c r="A5142" s="533"/>
      <c r="C5142" s="64"/>
    </row>
    <row r="5143" spans="1:3">
      <c r="A5143" s="533"/>
      <c r="C5143" s="64"/>
    </row>
    <row r="5144" spans="1:3">
      <c r="A5144" s="533"/>
      <c r="C5144" s="64"/>
    </row>
    <row r="5145" spans="1:3">
      <c r="A5145" s="533"/>
      <c r="C5145" s="64"/>
    </row>
    <row r="5146" spans="1:3">
      <c r="A5146" s="533"/>
      <c r="C5146" s="64"/>
    </row>
    <row r="5147" spans="1:3">
      <c r="A5147" s="533"/>
      <c r="C5147" s="64"/>
    </row>
    <row r="5148" spans="1:3">
      <c r="A5148" s="533"/>
      <c r="C5148" s="64"/>
    </row>
    <row r="5149" spans="1:3">
      <c r="A5149" s="533"/>
      <c r="C5149" s="64"/>
    </row>
    <row r="5150" spans="1:3">
      <c r="A5150" s="533"/>
      <c r="C5150" s="64"/>
    </row>
    <row r="5151" spans="1:3">
      <c r="A5151" s="533"/>
      <c r="C5151" s="64"/>
    </row>
    <row r="5152" spans="1:3">
      <c r="A5152" s="533"/>
      <c r="C5152" s="64"/>
    </row>
    <row r="5153" spans="1:3">
      <c r="A5153" s="533"/>
      <c r="C5153" s="64"/>
    </row>
    <row r="5154" spans="1:3">
      <c r="A5154" s="533"/>
      <c r="C5154" s="64"/>
    </row>
    <row r="5155" spans="1:3">
      <c r="A5155" s="533"/>
      <c r="C5155" s="64"/>
    </row>
    <row r="5156" spans="1:3">
      <c r="A5156" s="533"/>
      <c r="C5156" s="64"/>
    </row>
    <row r="5157" spans="1:3">
      <c r="A5157" s="533"/>
      <c r="C5157" s="64"/>
    </row>
    <row r="5158" spans="1:3">
      <c r="A5158" s="533"/>
      <c r="C5158" s="64"/>
    </row>
    <row r="5159" spans="1:3">
      <c r="A5159" s="533"/>
      <c r="C5159" s="64"/>
    </row>
    <row r="5160" spans="1:3">
      <c r="A5160" s="533"/>
      <c r="C5160" s="64"/>
    </row>
    <row r="5161" spans="1:3">
      <c r="A5161" s="533"/>
      <c r="C5161" s="64"/>
    </row>
    <row r="5162" spans="1:3">
      <c r="A5162" s="533"/>
      <c r="C5162" s="64"/>
    </row>
    <row r="5163" spans="1:3">
      <c r="A5163" s="533"/>
      <c r="C5163" s="64"/>
    </row>
    <row r="5164" spans="1:3">
      <c r="A5164" s="533"/>
      <c r="C5164" s="64"/>
    </row>
    <row r="5165" spans="1:3">
      <c r="A5165" s="533"/>
      <c r="C5165" s="64"/>
    </row>
    <row r="5166" spans="1:3">
      <c r="A5166" s="533"/>
      <c r="C5166" s="64"/>
    </row>
    <row r="5167" spans="1:3">
      <c r="A5167" s="533"/>
      <c r="C5167" s="64"/>
    </row>
    <row r="5168" spans="1:3">
      <c r="A5168" s="533"/>
      <c r="C5168" s="64"/>
    </row>
    <row r="5169" spans="1:3">
      <c r="A5169" s="533"/>
      <c r="C5169" s="64"/>
    </row>
    <row r="5170" spans="1:3">
      <c r="A5170" s="533"/>
      <c r="C5170" s="64"/>
    </row>
    <row r="5171" spans="1:3">
      <c r="A5171" s="533"/>
      <c r="C5171" s="64"/>
    </row>
    <row r="5172" spans="1:3">
      <c r="A5172" s="533"/>
      <c r="C5172" s="64"/>
    </row>
    <row r="5173" spans="1:3">
      <c r="A5173" s="533"/>
      <c r="C5173" s="64"/>
    </row>
    <row r="5174" spans="1:3">
      <c r="A5174" s="533"/>
      <c r="C5174" s="64"/>
    </row>
    <row r="5175" spans="1:3">
      <c r="A5175" s="533"/>
      <c r="C5175" s="64"/>
    </row>
    <row r="5176" spans="1:3">
      <c r="A5176" s="533"/>
      <c r="C5176" s="64"/>
    </row>
    <row r="5177" spans="1:3">
      <c r="A5177" s="533"/>
      <c r="C5177" s="64"/>
    </row>
    <row r="5178" spans="1:3">
      <c r="A5178" s="533"/>
      <c r="C5178" s="64"/>
    </row>
    <row r="5179" spans="1:3">
      <c r="A5179" s="533"/>
      <c r="C5179" s="64"/>
    </row>
    <row r="5180" spans="1:3">
      <c r="A5180" s="533"/>
      <c r="C5180" s="64"/>
    </row>
    <row r="5181" spans="1:3">
      <c r="A5181" s="533"/>
      <c r="C5181" s="64"/>
    </row>
    <row r="5182" spans="1:3">
      <c r="A5182" s="533"/>
      <c r="C5182" s="64"/>
    </row>
    <row r="5183" spans="1:3">
      <c r="A5183" s="533"/>
      <c r="C5183" s="64"/>
    </row>
    <row r="5184" spans="1:3">
      <c r="A5184" s="533"/>
      <c r="C5184" s="64"/>
    </row>
    <row r="5185" spans="1:3">
      <c r="A5185" s="533"/>
      <c r="C5185" s="64"/>
    </row>
    <row r="5186" spans="1:3">
      <c r="A5186" s="533"/>
      <c r="C5186" s="64"/>
    </row>
    <row r="5187" spans="1:3">
      <c r="A5187" s="533"/>
      <c r="C5187" s="64"/>
    </row>
    <row r="5188" spans="1:3">
      <c r="A5188" s="533"/>
      <c r="C5188" s="64"/>
    </row>
    <row r="5189" spans="1:3">
      <c r="A5189" s="533"/>
      <c r="C5189" s="64"/>
    </row>
    <row r="5190" spans="1:3">
      <c r="A5190" s="533"/>
      <c r="C5190" s="64"/>
    </row>
    <row r="5191" spans="1:3">
      <c r="A5191" s="533"/>
      <c r="C5191" s="64"/>
    </row>
    <row r="5192" spans="1:3">
      <c r="A5192" s="533"/>
      <c r="C5192" s="64"/>
    </row>
    <row r="5193" spans="1:3">
      <c r="A5193" s="533"/>
      <c r="C5193" s="64"/>
    </row>
    <row r="5194" spans="1:3">
      <c r="A5194" s="533"/>
      <c r="C5194" s="64"/>
    </row>
    <row r="5195" spans="1:3">
      <c r="A5195" s="533"/>
      <c r="C5195" s="64"/>
    </row>
    <row r="5196" spans="1:3">
      <c r="A5196" s="533"/>
      <c r="C5196" s="64"/>
    </row>
    <row r="5197" spans="1:3">
      <c r="A5197" s="533"/>
      <c r="C5197" s="64"/>
    </row>
    <row r="5198" spans="1:3">
      <c r="A5198" s="533"/>
      <c r="C5198" s="64"/>
    </row>
    <row r="5199" spans="1:3">
      <c r="A5199" s="533"/>
      <c r="C5199" s="64"/>
    </row>
    <row r="5200" spans="1:3">
      <c r="A5200" s="533"/>
      <c r="C5200" s="64"/>
    </row>
    <row r="5201" spans="1:3">
      <c r="A5201" s="533"/>
      <c r="C5201" s="64"/>
    </row>
    <row r="5202" spans="1:3">
      <c r="A5202" s="533"/>
      <c r="C5202" s="64"/>
    </row>
    <row r="5203" spans="1:3">
      <c r="A5203" s="533"/>
      <c r="C5203" s="64"/>
    </row>
    <row r="5204" spans="1:3">
      <c r="A5204" s="533"/>
      <c r="C5204" s="64"/>
    </row>
    <row r="5205" spans="1:3">
      <c r="A5205" s="533"/>
      <c r="C5205" s="64"/>
    </row>
    <row r="5206" spans="1:3">
      <c r="A5206" s="533"/>
      <c r="C5206" s="64"/>
    </row>
    <row r="5207" spans="1:3">
      <c r="A5207" s="533"/>
      <c r="C5207" s="64"/>
    </row>
    <row r="5208" spans="1:3">
      <c r="A5208" s="533"/>
      <c r="C5208" s="64"/>
    </row>
    <row r="5209" spans="1:3">
      <c r="A5209" s="533"/>
      <c r="C5209" s="64"/>
    </row>
    <row r="5210" spans="1:3">
      <c r="A5210" s="533"/>
      <c r="C5210" s="64"/>
    </row>
    <row r="5211" spans="1:3">
      <c r="A5211" s="533"/>
      <c r="C5211" s="64"/>
    </row>
    <row r="5212" spans="1:3">
      <c r="A5212" s="533"/>
      <c r="C5212" s="64"/>
    </row>
    <row r="5213" spans="1:3">
      <c r="A5213" s="533"/>
      <c r="C5213" s="64"/>
    </row>
    <row r="5214" spans="1:3">
      <c r="A5214" s="533"/>
      <c r="C5214" s="64"/>
    </row>
    <row r="5215" spans="1:3">
      <c r="A5215" s="533"/>
      <c r="C5215" s="64"/>
    </row>
    <row r="5216" spans="1:3">
      <c r="A5216" s="533"/>
      <c r="C5216" s="64"/>
    </row>
    <row r="5217" spans="1:3">
      <c r="A5217" s="533"/>
      <c r="C5217" s="64"/>
    </row>
    <row r="5218" spans="1:3">
      <c r="A5218" s="533"/>
      <c r="C5218" s="64"/>
    </row>
    <row r="5219" spans="1:3">
      <c r="A5219" s="533"/>
      <c r="C5219" s="64"/>
    </row>
    <row r="5220" spans="1:3">
      <c r="A5220" s="533"/>
      <c r="C5220" s="64"/>
    </row>
    <row r="5221" spans="1:3">
      <c r="A5221" s="533"/>
      <c r="C5221" s="64"/>
    </row>
    <row r="5222" spans="1:3">
      <c r="A5222" s="533"/>
      <c r="C5222" s="64"/>
    </row>
    <row r="5223" spans="1:3">
      <c r="A5223" s="533"/>
      <c r="C5223" s="64"/>
    </row>
    <row r="5224" spans="1:3">
      <c r="A5224" s="533"/>
      <c r="C5224" s="64"/>
    </row>
    <row r="5225" spans="1:3">
      <c r="A5225" s="533"/>
      <c r="C5225" s="64"/>
    </row>
    <row r="5226" spans="1:3">
      <c r="A5226" s="533"/>
      <c r="C5226" s="64"/>
    </row>
    <row r="5227" spans="1:3">
      <c r="A5227" s="533"/>
      <c r="C5227" s="64"/>
    </row>
    <row r="5228" spans="1:3">
      <c r="A5228" s="533"/>
      <c r="C5228" s="64"/>
    </row>
    <row r="5229" spans="1:3">
      <c r="A5229" s="533"/>
      <c r="C5229" s="64"/>
    </row>
    <row r="5230" spans="1:3">
      <c r="A5230" s="533"/>
      <c r="C5230" s="64"/>
    </row>
    <row r="5231" spans="1:3">
      <c r="A5231" s="533"/>
      <c r="C5231" s="64"/>
    </row>
    <row r="5232" spans="1:3">
      <c r="A5232" s="533"/>
      <c r="C5232" s="64"/>
    </row>
    <row r="5233" spans="1:3">
      <c r="A5233" s="533"/>
      <c r="C5233" s="64"/>
    </row>
    <row r="5234" spans="1:3">
      <c r="A5234" s="533"/>
      <c r="C5234" s="64"/>
    </row>
    <row r="5235" spans="1:3">
      <c r="A5235" s="533"/>
      <c r="C5235" s="64"/>
    </row>
    <row r="5236" spans="1:3">
      <c r="A5236" s="533"/>
      <c r="C5236" s="64"/>
    </row>
    <row r="5237" spans="1:3">
      <c r="A5237" s="533"/>
      <c r="C5237" s="64"/>
    </row>
    <row r="5238" spans="1:3">
      <c r="A5238" s="533"/>
      <c r="C5238" s="64"/>
    </row>
    <row r="5239" spans="1:3">
      <c r="A5239" s="533"/>
      <c r="C5239" s="64"/>
    </row>
    <row r="5240" spans="1:3">
      <c r="A5240" s="533"/>
      <c r="C5240" s="64"/>
    </row>
    <row r="5241" spans="1:3">
      <c r="A5241" s="533"/>
      <c r="C5241" s="64"/>
    </row>
    <row r="5242" spans="1:3">
      <c r="A5242" s="533"/>
      <c r="C5242" s="64"/>
    </row>
    <row r="5243" spans="1:3">
      <c r="A5243" s="533"/>
      <c r="C5243" s="64"/>
    </row>
    <row r="5244" spans="1:3">
      <c r="A5244" s="533"/>
      <c r="C5244" s="64"/>
    </row>
    <row r="5245" spans="1:3">
      <c r="A5245" s="533"/>
      <c r="C5245" s="64"/>
    </row>
    <row r="5246" spans="1:3">
      <c r="A5246" s="533"/>
      <c r="C5246" s="64"/>
    </row>
    <row r="5247" spans="1:3">
      <c r="A5247" s="533"/>
      <c r="C5247" s="64"/>
    </row>
    <row r="5248" spans="1:3">
      <c r="A5248" s="533"/>
      <c r="C5248" s="64"/>
    </row>
    <row r="5249" spans="1:3">
      <c r="A5249" s="533"/>
      <c r="C5249" s="64"/>
    </row>
    <row r="5250" spans="1:3">
      <c r="A5250" s="533"/>
      <c r="C5250" s="64"/>
    </row>
    <row r="5251" spans="1:3">
      <c r="A5251" s="533"/>
      <c r="C5251" s="64"/>
    </row>
    <row r="5252" spans="1:3">
      <c r="A5252" s="533"/>
      <c r="C5252" s="64"/>
    </row>
    <row r="5253" spans="1:3">
      <c r="A5253" s="533"/>
      <c r="C5253" s="64"/>
    </row>
    <row r="5254" spans="1:3">
      <c r="A5254" s="533"/>
      <c r="C5254" s="64"/>
    </row>
    <row r="5255" spans="1:3">
      <c r="A5255" s="533"/>
      <c r="C5255" s="64"/>
    </row>
    <row r="5256" spans="1:3">
      <c r="A5256" s="533"/>
      <c r="C5256" s="64"/>
    </row>
    <row r="5257" spans="1:3">
      <c r="A5257" s="533"/>
      <c r="C5257" s="64"/>
    </row>
    <row r="5258" spans="1:3">
      <c r="A5258" s="533"/>
      <c r="C5258" s="64"/>
    </row>
    <row r="5259" spans="1:3">
      <c r="A5259" s="533"/>
      <c r="C5259" s="64"/>
    </row>
    <row r="5260" spans="1:3">
      <c r="A5260" s="533"/>
      <c r="C5260" s="64"/>
    </row>
    <row r="5261" spans="1:3">
      <c r="A5261" s="533"/>
      <c r="C5261" s="64"/>
    </row>
    <row r="5262" spans="1:3">
      <c r="A5262" s="533"/>
      <c r="C5262" s="64"/>
    </row>
    <row r="5263" spans="1:3">
      <c r="A5263" s="533"/>
      <c r="C5263" s="64"/>
    </row>
    <row r="5264" spans="1:3">
      <c r="A5264" s="533"/>
      <c r="C5264" s="64"/>
    </row>
    <row r="5265" spans="1:3">
      <c r="A5265" s="533"/>
      <c r="C5265" s="64"/>
    </row>
    <row r="5266" spans="1:3">
      <c r="A5266" s="533"/>
      <c r="C5266" s="64"/>
    </row>
    <row r="5267" spans="1:3">
      <c r="A5267" s="533"/>
      <c r="C5267" s="64"/>
    </row>
    <row r="5268" spans="1:3">
      <c r="A5268" s="533"/>
      <c r="C5268" s="64"/>
    </row>
    <row r="5269" spans="1:3">
      <c r="A5269" s="533"/>
      <c r="C5269" s="64"/>
    </row>
    <row r="5270" spans="1:3">
      <c r="A5270" s="533"/>
      <c r="C5270" s="64"/>
    </row>
    <row r="5271" spans="1:3">
      <c r="A5271" s="533"/>
      <c r="C5271" s="64"/>
    </row>
    <row r="5272" spans="1:3">
      <c r="A5272" s="533"/>
      <c r="C5272" s="64"/>
    </row>
    <row r="5273" spans="1:3">
      <c r="A5273" s="533"/>
      <c r="C5273" s="64"/>
    </row>
    <row r="5274" spans="1:3">
      <c r="A5274" s="533"/>
      <c r="C5274" s="64"/>
    </row>
    <row r="5275" spans="1:3">
      <c r="A5275" s="533"/>
      <c r="C5275" s="64"/>
    </row>
    <row r="5276" spans="1:3">
      <c r="A5276" s="533"/>
      <c r="C5276" s="64"/>
    </row>
    <row r="5277" spans="1:3">
      <c r="A5277" s="533"/>
      <c r="C5277" s="64"/>
    </row>
    <row r="5278" spans="1:3">
      <c r="A5278" s="533"/>
      <c r="C5278" s="64"/>
    </row>
    <row r="5279" spans="1:3">
      <c r="A5279" s="533"/>
      <c r="C5279" s="64"/>
    </row>
    <row r="5280" spans="1:3">
      <c r="A5280" s="533"/>
      <c r="C5280" s="64"/>
    </row>
    <row r="5281" spans="1:3">
      <c r="A5281" s="533"/>
      <c r="C5281" s="64"/>
    </row>
    <row r="5282" spans="1:3">
      <c r="A5282" s="533"/>
      <c r="C5282" s="64"/>
    </row>
    <row r="5283" spans="1:3">
      <c r="A5283" s="533"/>
      <c r="C5283" s="64"/>
    </row>
    <row r="5284" spans="1:3">
      <c r="A5284" s="533"/>
      <c r="C5284" s="64"/>
    </row>
    <row r="5285" spans="1:3">
      <c r="A5285" s="533"/>
      <c r="C5285" s="64"/>
    </row>
    <row r="5286" spans="1:3">
      <c r="A5286" s="533"/>
      <c r="C5286" s="64"/>
    </row>
    <row r="5287" spans="1:3">
      <c r="A5287" s="533"/>
      <c r="C5287" s="64"/>
    </row>
    <row r="5288" spans="1:3">
      <c r="A5288" s="533"/>
      <c r="C5288" s="64"/>
    </row>
    <row r="5289" spans="1:3">
      <c r="A5289" s="533"/>
      <c r="C5289" s="64"/>
    </row>
    <row r="5290" spans="1:3">
      <c r="A5290" s="533"/>
      <c r="C5290" s="64"/>
    </row>
    <row r="5291" spans="1:3">
      <c r="A5291" s="533"/>
      <c r="C5291" s="64"/>
    </row>
    <row r="5292" spans="1:3">
      <c r="A5292" s="533"/>
      <c r="C5292" s="64"/>
    </row>
    <row r="5293" spans="1:3">
      <c r="A5293" s="533"/>
      <c r="C5293" s="64"/>
    </row>
    <row r="5294" spans="1:3">
      <c r="A5294" s="533"/>
      <c r="C5294" s="64"/>
    </row>
    <row r="5295" spans="1:3">
      <c r="A5295" s="533"/>
      <c r="C5295" s="64"/>
    </row>
    <row r="5296" spans="1:3">
      <c r="A5296" s="533"/>
      <c r="C5296" s="64"/>
    </row>
    <row r="5297" spans="1:3">
      <c r="A5297" s="533"/>
      <c r="C5297" s="64"/>
    </row>
    <row r="5298" spans="1:3">
      <c r="A5298" s="533"/>
      <c r="C5298" s="64"/>
    </row>
    <row r="5299" spans="1:3">
      <c r="A5299" s="533"/>
      <c r="C5299" s="64"/>
    </row>
    <row r="5300" spans="1:3">
      <c r="A5300" s="533"/>
      <c r="C5300" s="64"/>
    </row>
    <row r="5301" spans="1:3">
      <c r="A5301" s="533"/>
      <c r="C5301" s="64"/>
    </row>
    <row r="5302" spans="1:3">
      <c r="A5302" s="533"/>
      <c r="C5302" s="64"/>
    </row>
    <row r="5303" spans="1:3">
      <c r="A5303" s="533"/>
      <c r="C5303" s="64"/>
    </row>
    <row r="5304" spans="1:3">
      <c r="A5304" s="533"/>
      <c r="C5304" s="64"/>
    </row>
    <row r="5305" spans="1:3">
      <c r="A5305" s="533"/>
      <c r="C5305" s="64"/>
    </row>
    <row r="5306" spans="1:3">
      <c r="A5306" s="533"/>
      <c r="C5306" s="64"/>
    </row>
    <row r="5307" spans="1:3">
      <c r="A5307" s="533"/>
      <c r="C5307" s="64"/>
    </row>
    <row r="5308" spans="1:3">
      <c r="A5308" s="533"/>
      <c r="C5308" s="64"/>
    </row>
    <row r="5309" spans="1:3">
      <c r="A5309" s="533"/>
      <c r="C5309" s="64"/>
    </row>
    <row r="5310" spans="1:3">
      <c r="A5310" s="533"/>
      <c r="C5310" s="64"/>
    </row>
    <row r="5311" spans="1:3">
      <c r="A5311" s="533"/>
      <c r="C5311" s="64"/>
    </row>
    <row r="5312" spans="1:3">
      <c r="A5312" s="533"/>
      <c r="C5312" s="64"/>
    </row>
    <row r="5313" spans="1:3">
      <c r="A5313" s="533"/>
      <c r="C5313" s="64"/>
    </row>
    <row r="5314" spans="1:3">
      <c r="A5314" s="533"/>
      <c r="C5314" s="64"/>
    </row>
    <row r="5315" spans="1:3">
      <c r="A5315" s="533"/>
      <c r="C5315" s="64"/>
    </row>
    <row r="5316" spans="1:3">
      <c r="A5316" s="533"/>
      <c r="C5316" s="64"/>
    </row>
    <row r="5317" spans="1:3">
      <c r="A5317" s="533"/>
      <c r="C5317" s="64"/>
    </row>
    <row r="5318" spans="1:3">
      <c r="A5318" s="533"/>
      <c r="C5318" s="64"/>
    </row>
    <row r="5319" spans="1:3">
      <c r="A5319" s="533"/>
      <c r="C5319" s="64"/>
    </row>
    <row r="5320" spans="1:3">
      <c r="A5320" s="533"/>
      <c r="C5320" s="64"/>
    </row>
    <row r="5321" spans="1:3">
      <c r="A5321" s="533"/>
      <c r="C5321" s="64"/>
    </row>
    <row r="5322" spans="1:3">
      <c r="A5322" s="533"/>
      <c r="C5322" s="64"/>
    </row>
    <row r="5323" spans="1:3">
      <c r="A5323" s="533"/>
      <c r="C5323" s="64"/>
    </row>
    <row r="5324" spans="1:3">
      <c r="A5324" s="533"/>
      <c r="C5324" s="64"/>
    </row>
    <row r="5325" spans="1:3">
      <c r="A5325" s="533"/>
      <c r="C5325" s="64"/>
    </row>
    <row r="5326" spans="1:3">
      <c r="A5326" s="533"/>
      <c r="C5326" s="64"/>
    </row>
    <row r="5327" spans="1:3">
      <c r="A5327" s="533"/>
      <c r="C5327" s="64"/>
    </row>
    <row r="5328" spans="1:3">
      <c r="A5328" s="533"/>
      <c r="C5328" s="64"/>
    </row>
    <row r="5329" spans="1:3">
      <c r="A5329" s="533"/>
      <c r="C5329" s="64"/>
    </row>
    <row r="5330" spans="1:3">
      <c r="A5330" s="533"/>
      <c r="C5330" s="64"/>
    </row>
    <row r="5331" spans="1:3">
      <c r="A5331" s="533"/>
      <c r="C5331" s="64"/>
    </row>
    <row r="5332" spans="1:3">
      <c r="A5332" s="533"/>
      <c r="C5332" s="64"/>
    </row>
    <row r="5333" spans="1:3">
      <c r="A5333" s="533"/>
      <c r="C5333" s="64"/>
    </row>
    <row r="5334" spans="1:3">
      <c r="A5334" s="533"/>
      <c r="C5334" s="64"/>
    </row>
    <row r="5335" spans="1:3">
      <c r="A5335" s="533"/>
      <c r="C5335" s="64"/>
    </row>
    <row r="5336" spans="1:3">
      <c r="A5336" s="533"/>
      <c r="C5336" s="64"/>
    </row>
    <row r="5337" spans="1:3">
      <c r="A5337" s="533"/>
      <c r="C5337" s="64"/>
    </row>
    <row r="5338" spans="1:3">
      <c r="A5338" s="533"/>
      <c r="C5338" s="64"/>
    </row>
    <row r="5339" spans="1:3">
      <c r="A5339" s="533"/>
      <c r="C5339" s="64"/>
    </row>
    <row r="5340" spans="1:3">
      <c r="A5340" s="533"/>
      <c r="C5340" s="64"/>
    </row>
    <row r="5341" spans="1:3">
      <c r="A5341" s="533"/>
      <c r="C5341" s="64"/>
    </row>
    <row r="5342" spans="1:3">
      <c r="A5342" s="533"/>
      <c r="C5342" s="64"/>
    </row>
    <row r="5343" spans="1:3">
      <c r="A5343" s="533"/>
      <c r="C5343" s="64"/>
    </row>
    <row r="5344" spans="1:3">
      <c r="A5344" s="533"/>
      <c r="C5344" s="64"/>
    </row>
    <row r="5345" spans="1:3">
      <c r="A5345" s="533"/>
      <c r="C5345" s="64"/>
    </row>
    <row r="5346" spans="1:3">
      <c r="A5346" s="533"/>
      <c r="C5346" s="64"/>
    </row>
    <row r="5347" spans="1:3">
      <c r="A5347" s="533"/>
      <c r="C5347" s="64"/>
    </row>
    <row r="5348" spans="1:3">
      <c r="A5348" s="533"/>
      <c r="C5348" s="64"/>
    </row>
    <row r="5349" spans="1:3">
      <c r="A5349" s="533"/>
      <c r="C5349" s="64"/>
    </row>
    <row r="5350" spans="1:3">
      <c r="A5350" s="533"/>
      <c r="C5350" s="64"/>
    </row>
    <row r="5351" spans="1:3">
      <c r="A5351" s="533"/>
      <c r="C5351" s="64"/>
    </row>
    <row r="5352" spans="1:3">
      <c r="A5352" s="533"/>
      <c r="C5352" s="64"/>
    </row>
    <row r="5353" spans="1:3">
      <c r="A5353" s="533"/>
      <c r="C5353" s="64"/>
    </row>
    <row r="5354" spans="1:3">
      <c r="A5354" s="533"/>
      <c r="C5354" s="64"/>
    </row>
    <row r="5355" spans="1:3">
      <c r="A5355" s="533"/>
      <c r="C5355" s="64"/>
    </row>
    <row r="5356" spans="1:3">
      <c r="A5356" s="533"/>
      <c r="C5356" s="64"/>
    </row>
    <row r="5357" spans="1:3">
      <c r="A5357" s="533"/>
      <c r="C5357" s="64"/>
    </row>
    <row r="5358" spans="1:3">
      <c r="A5358" s="533"/>
      <c r="C5358" s="64"/>
    </row>
    <row r="5359" spans="1:3">
      <c r="A5359" s="533"/>
      <c r="C5359" s="64"/>
    </row>
    <row r="5360" spans="1:3">
      <c r="A5360" s="533"/>
      <c r="C5360" s="64"/>
    </row>
    <row r="5361" spans="1:3">
      <c r="A5361" s="533"/>
      <c r="C5361" s="64"/>
    </row>
    <row r="5362" spans="1:3">
      <c r="A5362" s="533"/>
      <c r="C5362" s="64"/>
    </row>
    <row r="5363" spans="1:3">
      <c r="A5363" s="533"/>
      <c r="C5363" s="64"/>
    </row>
    <row r="5364" spans="1:3">
      <c r="A5364" s="533"/>
      <c r="C5364" s="64"/>
    </row>
    <row r="5365" spans="1:3">
      <c r="A5365" s="533"/>
      <c r="C5365" s="64"/>
    </row>
    <row r="5366" spans="1:3">
      <c r="A5366" s="533"/>
      <c r="C5366" s="64"/>
    </row>
    <row r="5367" spans="1:3">
      <c r="A5367" s="533"/>
      <c r="C5367" s="64"/>
    </row>
    <row r="5368" spans="1:3">
      <c r="A5368" s="533"/>
      <c r="C5368" s="64"/>
    </row>
    <row r="5369" spans="1:3">
      <c r="A5369" s="533"/>
      <c r="C5369" s="64"/>
    </row>
    <row r="5370" spans="1:3">
      <c r="A5370" s="533"/>
      <c r="C5370" s="64"/>
    </row>
    <row r="5371" spans="1:3">
      <c r="A5371" s="533"/>
      <c r="C5371" s="64"/>
    </row>
    <row r="5372" spans="1:3">
      <c r="A5372" s="533"/>
      <c r="C5372" s="64"/>
    </row>
    <row r="5373" spans="1:3">
      <c r="A5373" s="533"/>
      <c r="C5373" s="64"/>
    </row>
    <row r="5374" spans="1:3">
      <c r="A5374" s="533"/>
      <c r="C5374" s="64"/>
    </row>
    <row r="5375" spans="1:3">
      <c r="A5375" s="533"/>
      <c r="C5375" s="64"/>
    </row>
    <row r="5376" spans="1:3">
      <c r="A5376" s="533"/>
      <c r="C5376" s="64"/>
    </row>
    <row r="5377" spans="1:3">
      <c r="A5377" s="533"/>
      <c r="C5377" s="64"/>
    </row>
    <row r="5378" spans="1:3">
      <c r="A5378" s="533"/>
      <c r="C5378" s="64"/>
    </row>
    <row r="5379" spans="1:3">
      <c r="A5379" s="533"/>
      <c r="C5379" s="64"/>
    </row>
    <row r="5380" spans="1:3">
      <c r="A5380" s="533"/>
      <c r="C5380" s="64"/>
    </row>
    <row r="5381" spans="1:3">
      <c r="A5381" s="533"/>
      <c r="C5381" s="64"/>
    </row>
    <row r="5382" spans="1:3">
      <c r="A5382" s="533"/>
      <c r="C5382" s="64"/>
    </row>
    <row r="5383" spans="1:3">
      <c r="A5383" s="533"/>
      <c r="C5383" s="64"/>
    </row>
    <row r="5384" spans="1:3">
      <c r="A5384" s="533"/>
      <c r="C5384" s="64"/>
    </row>
    <row r="5385" spans="1:3">
      <c r="A5385" s="533"/>
      <c r="C5385" s="64"/>
    </row>
    <row r="5386" spans="1:3">
      <c r="A5386" s="533"/>
      <c r="C5386" s="64"/>
    </row>
    <row r="5387" spans="1:3">
      <c r="A5387" s="533"/>
      <c r="C5387" s="64"/>
    </row>
    <row r="5388" spans="1:3">
      <c r="A5388" s="533"/>
      <c r="C5388" s="64"/>
    </row>
    <row r="5389" spans="1:3">
      <c r="A5389" s="533"/>
      <c r="C5389" s="64"/>
    </row>
    <row r="5390" spans="1:3">
      <c r="A5390" s="533"/>
      <c r="C5390" s="64"/>
    </row>
    <row r="5391" spans="1:3">
      <c r="A5391" s="533"/>
      <c r="C5391" s="64"/>
    </row>
    <row r="5392" spans="1:3">
      <c r="A5392" s="533"/>
      <c r="C5392" s="64"/>
    </row>
    <row r="5393" spans="1:3">
      <c r="A5393" s="533"/>
      <c r="C5393" s="64"/>
    </row>
    <row r="5394" spans="1:3">
      <c r="A5394" s="533"/>
      <c r="C5394" s="64"/>
    </row>
    <row r="5395" spans="1:3">
      <c r="A5395" s="533"/>
      <c r="C5395" s="64"/>
    </row>
    <row r="5396" spans="1:3">
      <c r="A5396" s="533"/>
      <c r="C5396" s="64"/>
    </row>
    <row r="5397" spans="1:3">
      <c r="A5397" s="533"/>
      <c r="C5397" s="64"/>
    </row>
    <row r="5398" spans="1:3">
      <c r="A5398" s="533"/>
      <c r="C5398" s="64"/>
    </row>
    <row r="5399" spans="1:3">
      <c r="A5399" s="533"/>
      <c r="C5399" s="64"/>
    </row>
    <row r="5400" spans="1:3">
      <c r="A5400" s="533"/>
      <c r="C5400" s="64"/>
    </row>
    <row r="5401" spans="1:3">
      <c r="A5401" s="533"/>
      <c r="C5401" s="64"/>
    </row>
    <row r="5402" spans="1:3">
      <c r="A5402" s="533"/>
      <c r="C5402" s="64"/>
    </row>
    <row r="5403" spans="1:3">
      <c r="A5403" s="533"/>
      <c r="C5403" s="64"/>
    </row>
    <row r="5404" spans="1:3">
      <c r="A5404" s="533"/>
      <c r="C5404" s="64"/>
    </row>
    <row r="5405" spans="1:3">
      <c r="A5405" s="533"/>
      <c r="C5405" s="64"/>
    </row>
    <row r="5406" spans="1:3">
      <c r="A5406" s="533"/>
      <c r="C5406" s="64"/>
    </row>
  </sheetData>
  <autoFilter ref="A1:A5406" xr:uid="{00000000-0001-0000-0300-000000000000}"/>
  <mergeCells count="303">
    <mergeCell ref="J395:L395"/>
    <mergeCell ref="J396:L396"/>
    <mergeCell ref="J397:L397"/>
    <mergeCell ref="B405:N405"/>
    <mergeCell ref="V405:AH405"/>
    <mergeCell ref="J398:L398"/>
    <mergeCell ref="H399:I399"/>
    <mergeCell ref="J399:L399"/>
    <mergeCell ref="H400:I400"/>
    <mergeCell ref="J400:L400"/>
    <mergeCell ref="H401:I401"/>
    <mergeCell ref="J401:L401"/>
    <mergeCell ref="H402:I402"/>
    <mergeCell ref="J402:L402"/>
    <mergeCell ref="H395:I398"/>
    <mergeCell ref="V198:AI198"/>
    <mergeCell ref="H214:I214"/>
    <mergeCell ref="H209:I209"/>
    <mergeCell ref="H210:I210"/>
    <mergeCell ref="B386:O386"/>
    <mergeCell ref="V386:AI386"/>
    <mergeCell ref="H394:I394"/>
    <mergeCell ref="J394:L394"/>
    <mergeCell ref="G307:I307"/>
    <mergeCell ref="G301:I301"/>
    <mergeCell ref="G302:I302"/>
    <mergeCell ref="G303:I303"/>
    <mergeCell ref="G304:I304"/>
    <mergeCell ref="G305:I305"/>
    <mergeCell ref="G306:I306"/>
    <mergeCell ref="B284:O284"/>
    <mergeCell ref="V249:AI249"/>
    <mergeCell ref="B249:O249"/>
    <mergeCell ref="V284:AI284"/>
    <mergeCell ref="G299:I299"/>
    <mergeCell ref="H227:I227"/>
    <mergeCell ref="H228:I228"/>
    <mergeCell ref="H229:I229"/>
    <mergeCell ref="H230:I230"/>
    <mergeCell ref="D138:D145"/>
    <mergeCell ref="V172:V173"/>
    <mergeCell ref="B176:O176"/>
    <mergeCell ref="D191:D192"/>
    <mergeCell ref="E191:E192"/>
    <mergeCell ref="D194:D195"/>
    <mergeCell ref="E194:E195"/>
    <mergeCell ref="D172:D173"/>
    <mergeCell ref="E172:E173"/>
    <mergeCell ref="D189:D190"/>
    <mergeCell ref="V189:V190"/>
    <mergeCell ref="V191:V192"/>
    <mergeCell ref="V194:V195"/>
    <mergeCell ref="H165:I165"/>
    <mergeCell ref="H171:I171"/>
    <mergeCell ref="H172:I172"/>
    <mergeCell ref="H173:I173"/>
    <mergeCell ref="H163:I163"/>
    <mergeCell ref="H168:I168"/>
    <mergeCell ref="H167:I167"/>
    <mergeCell ref="H166:I166"/>
    <mergeCell ref="H169:I169"/>
    <mergeCell ref="H170:I170"/>
    <mergeCell ref="V115:V122"/>
    <mergeCell ref="D124:D131"/>
    <mergeCell ref="V124:V131"/>
    <mergeCell ref="D132:D133"/>
    <mergeCell ref="V132:V133"/>
    <mergeCell ref="G123:H123"/>
    <mergeCell ref="G133:H133"/>
    <mergeCell ref="G124:H131"/>
    <mergeCell ref="V176:AI176"/>
    <mergeCell ref="V138:V145"/>
    <mergeCell ref="B151:O151"/>
    <mergeCell ref="V151:AI151"/>
    <mergeCell ref="G146:H146"/>
    <mergeCell ref="G147:H147"/>
    <mergeCell ref="G148:H148"/>
    <mergeCell ref="G138:H143"/>
    <mergeCell ref="G144:H145"/>
    <mergeCell ref="G135:H135"/>
    <mergeCell ref="G136:H136"/>
    <mergeCell ref="G137:H137"/>
    <mergeCell ref="G132:H132"/>
    <mergeCell ref="G115:H122"/>
    <mergeCell ref="D115:D122"/>
    <mergeCell ref="H164:I164"/>
    <mergeCell ref="D101:D108"/>
    <mergeCell ref="V101:V108"/>
    <mergeCell ref="D109:D112"/>
    <mergeCell ref="D113:D114"/>
    <mergeCell ref="V109:V112"/>
    <mergeCell ref="V113:V114"/>
    <mergeCell ref="I89:I100"/>
    <mergeCell ref="G89:H100"/>
    <mergeCell ref="G107:H108"/>
    <mergeCell ref="G101:H101"/>
    <mergeCell ref="G102:H102"/>
    <mergeCell ref="G103:H103"/>
    <mergeCell ref="G104:H104"/>
    <mergeCell ref="G105:H105"/>
    <mergeCell ref="G106:H106"/>
    <mergeCell ref="G109:H112"/>
    <mergeCell ref="G113:H113"/>
    <mergeCell ref="G114:H114"/>
    <mergeCell ref="D89:D100"/>
    <mergeCell ref="V89:V100"/>
    <mergeCell ref="D81:D88"/>
    <mergeCell ref="V81:V88"/>
    <mergeCell ref="G35:H35"/>
    <mergeCell ref="G36:H36"/>
    <mergeCell ref="G38:H38"/>
    <mergeCell ref="G39:H39"/>
    <mergeCell ref="G40:H40"/>
    <mergeCell ref="V45:AI45"/>
    <mergeCell ref="G41:H41"/>
    <mergeCell ref="G42:H42"/>
    <mergeCell ref="B45:O45"/>
    <mergeCell ref="G81:H81"/>
    <mergeCell ref="G82:H82"/>
    <mergeCell ref="G83:H83"/>
    <mergeCell ref="G84:H84"/>
    <mergeCell ref="G85:H85"/>
    <mergeCell ref="G86:H86"/>
    <mergeCell ref="G87:H88"/>
    <mergeCell ref="G37:H37"/>
    <mergeCell ref="A1:P1"/>
    <mergeCell ref="D2:J2"/>
    <mergeCell ref="B4:O4"/>
    <mergeCell ref="G29:H29"/>
    <mergeCell ref="G30:H30"/>
    <mergeCell ref="G27:H27"/>
    <mergeCell ref="G28:H28"/>
    <mergeCell ref="G20:H20"/>
    <mergeCell ref="G21:H21"/>
    <mergeCell ref="G22:H22"/>
    <mergeCell ref="D30:D34"/>
    <mergeCell ref="V4:AI4"/>
    <mergeCell ref="G15:H15"/>
    <mergeCell ref="G16:H16"/>
    <mergeCell ref="G17:H17"/>
    <mergeCell ref="G18:H18"/>
    <mergeCell ref="G19:H19"/>
    <mergeCell ref="G31:H31"/>
    <mergeCell ref="G32:H32"/>
    <mergeCell ref="G33:H33"/>
    <mergeCell ref="G23:H23"/>
    <mergeCell ref="G24:H24"/>
    <mergeCell ref="G25:H25"/>
    <mergeCell ref="G26:H26"/>
    <mergeCell ref="V30:V34"/>
    <mergeCell ref="G34:H34"/>
    <mergeCell ref="I30:I34"/>
    <mergeCell ref="V310:AI310"/>
    <mergeCell ref="H323:I323"/>
    <mergeCell ref="J323:L323"/>
    <mergeCell ref="H324:I324"/>
    <mergeCell ref="J324:L324"/>
    <mergeCell ref="H325:I325"/>
    <mergeCell ref="J325:L325"/>
    <mergeCell ref="H326:I326"/>
    <mergeCell ref="J326:L326"/>
    <mergeCell ref="H225:I225"/>
    <mergeCell ref="H226:I226"/>
    <mergeCell ref="H219:I219"/>
    <mergeCell ref="H220:I220"/>
    <mergeCell ref="H221:I221"/>
    <mergeCell ref="H222:I222"/>
    <mergeCell ref="H223:I223"/>
    <mergeCell ref="H224:I224"/>
    <mergeCell ref="B198:O198"/>
    <mergeCell ref="H211:I211"/>
    <mergeCell ref="H212:I212"/>
    <mergeCell ref="H213:I213"/>
    <mergeCell ref="H218:I218"/>
    <mergeCell ref="G134:H134"/>
    <mergeCell ref="H231:I231"/>
    <mergeCell ref="H232:I232"/>
    <mergeCell ref="H233:I233"/>
    <mergeCell ref="H246:I246"/>
    <mergeCell ref="H258:I258"/>
    <mergeCell ref="V333:V334"/>
    <mergeCell ref="H334:I334"/>
    <mergeCell ref="J334:L334"/>
    <mergeCell ref="H327:I327"/>
    <mergeCell ref="J327:L327"/>
    <mergeCell ref="H328:I328"/>
    <mergeCell ref="J328:L328"/>
    <mergeCell ref="H259:I259"/>
    <mergeCell ref="H261:I261"/>
    <mergeCell ref="H262:I262"/>
    <mergeCell ref="H263:I263"/>
    <mergeCell ref="H234:I234"/>
    <mergeCell ref="H235:I235"/>
    <mergeCell ref="H236:I236"/>
    <mergeCell ref="H237:I237"/>
    <mergeCell ref="H238:I238"/>
    <mergeCell ref="H239:I239"/>
    <mergeCell ref="H240:I240"/>
    <mergeCell ref="H241:I241"/>
    <mergeCell ref="D329:D330"/>
    <mergeCell ref="E329:E330"/>
    <mergeCell ref="H329:I329"/>
    <mergeCell ref="J329:L329"/>
    <mergeCell ref="V329:V330"/>
    <mergeCell ref="H330:I330"/>
    <mergeCell ref="J330:L330"/>
    <mergeCell ref="J342:L342"/>
    <mergeCell ref="H242:I242"/>
    <mergeCell ref="H273:I273"/>
    <mergeCell ref="H274:I274"/>
    <mergeCell ref="H275:I275"/>
    <mergeCell ref="H276:I276"/>
    <mergeCell ref="H277:I277"/>
    <mergeCell ref="H278:I278"/>
    <mergeCell ref="H280:I280"/>
    <mergeCell ref="H281:I281"/>
    <mergeCell ref="H264:I264"/>
    <mergeCell ref="H265:I265"/>
    <mergeCell ref="H266:I266"/>
    <mergeCell ref="H267:I267"/>
    <mergeCell ref="H268:I268"/>
    <mergeCell ref="H269:I269"/>
    <mergeCell ref="D342:D343"/>
    <mergeCell ref="E342:E343"/>
    <mergeCell ref="H343:I343"/>
    <mergeCell ref="V342:V343"/>
    <mergeCell ref="H345:I345"/>
    <mergeCell ref="J345:L345"/>
    <mergeCell ref="H335:I335"/>
    <mergeCell ref="J335:L335"/>
    <mergeCell ref="H336:I336"/>
    <mergeCell ref="J336:L336"/>
    <mergeCell ref="H337:I337"/>
    <mergeCell ref="J337:L337"/>
    <mergeCell ref="H338:I338"/>
    <mergeCell ref="J338:L338"/>
    <mergeCell ref="H339:I339"/>
    <mergeCell ref="J339:L339"/>
    <mergeCell ref="J343:L343"/>
    <mergeCell ref="V367:AI367"/>
    <mergeCell ref="H375:I375"/>
    <mergeCell ref="J375:L375"/>
    <mergeCell ref="B348:O348"/>
    <mergeCell ref="V348:AI348"/>
    <mergeCell ref="H215:I215"/>
    <mergeCell ref="H216:I216"/>
    <mergeCell ref="H217:I217"/>
    <mergeCell ref="N208:O208"/>
    <mergeCell ref="H260:I260"/>
    <mergeCell ref="H340:I340"/>
    <mergeCell ref="J340:L340"/>
    <mergeCell ref="H331:I331"/>
    <mergeCell ref="J331:L331"/>
    <mergeCell ref="H332:I332"/>
    <mergeCell ref="J332:L332"/>
    <mergeCell ref="D333:D334"/>
    <mergeCell ref="E333:E334"/>
    <mergeCell ref="H333:I333"/>
    <mergeCell ref="J333:L333"/>
    <mergeCell ref="B310:R310"/>
    <mergeCell ref="G300:I300"/>
    <mergeCell ref="G297:I297"/>
    <mergeCell ref="G298:I298"/>
    <mergeCell ref="H376:I379"/>
    <mergeCell ref="H270:I270"/>
    <mergeCell ref="H271:I271"/>
    <mergeCell ref="H272:I272"/>
    <mergeCell ref="J357:L357"/>
    <mergeCell ref="J358:L358"/>
    <mergeCell ref="J359:L359"/>
    <mergeCell ref="J360:L360"/>
    <mergeCell ref="H361:I361"/>
    <mergeCell ref="J361:L361"/>
    <mergeCell ref="H357:I360"/>
    <mergeCell ref="H341:I341"/>
    <mergeCell ref="J341:L341"/>
    <mergeCell ref="H342:I342"/>
    <mergeCell ref="H344:I344"/>
    <mergeCell ref="J344:L344"/>
    <mergeCell ref="H243:I243"/>
    <mergeCell ref="H244:I244"/>
    <mergeCell ref="H245:I245"/>
    <mergeCell ref="H383:I383"/>
    <mergeCell ref="J383:L383"/>
    <mergeCell ref="J378:L378"/>
    <mergeCell ref="J379:L379"/>
    <mergeCell ref="H380:I380"/>
    <mergeCell ref="J380:L380"/>
    <mergeCell ref="H381:I381"/>
    <mergeCell ref="J381:L381"/>
    <mergeCell ref="H382:I382"/>
    <mergeCell ref="J382:L382"/>
    <mergeCell ref="B367:O367"/>
    <mergeCell ref="H362:I362"/>
    <mergeCell ref="J362:L362"/>
    <mergeCell ref="H356:I356"/>
    <mergeCell ref="J356:L356"/>
    <mergeCell ref="J376:L376"/>
    <mergeCell ref="J377:L377"/>
    <mergeCell ref="H363:I363"/>
    <mergeCell ref="J363:L363"/>
    <mergeCell ref="H364:I364"/>
    <mergeCell ref="J364:L364"/>
  </mergeCells>
  <phoneticPr fontId="73" type="noConversion"/>
  <conditionalFormatting sqref="A7:A5406 B409:B423">
    <cfRule type="cellIs" dxfId="494" priority="19" operator="equal">
      <formula>"x"</formula>
    </cfRule>
  </conditionalFormatting>
  <conditionalFormatting sqref="A1:P5 A6:J6 K6:P7">
    <cfRule type="cellIs" dxfId="493" priority="155" operator="equal">
      <formula>"x"</formula>
    </cfRule>
  </conditionalFormatting>
  <conditionalFormatting sqref="B309:B312 B315:B347">
    <cfRule type="cellIs" dxfId="492" priority="53" operator="equal">
      <formula>"x"</formula>
    </cfRule>
  </conditionalFormatting>
  <conditionalFormatting sqref="B405:B407">
    <cfRule type="cellIs" dxfId="491" priority="16" operator="equal">
      <formula>"x"</formula>
    </cfRule>
  </conditionalFormatting>
  <conditionalFormatting sqref="B80:C148 P208:P246 B209:C246">
    <cfRule type="cellIs" dxfId="490" priority="384" operator="equal">
      <formula>"x"</formula>
    </cfRule>
  </conditionalFormatting>
  <conditionalFormatting sqref="B163:C173">
    <cfRule type="cellIs" dxfId="489" priority="120" operator="equal">
      <formula>"x"</formula>
    </cfRule>
  </conditionalFormatting>
  <conditionalFormatting sqref="B174:I174 B175:P178">
    <cfRule type="cellIs" dxfId="488" priority="334" operator="equal">
      <formula>"x"</formula>
    </cfRule>
  </conditionalFormatting>
  <conditionalFormatting sqref="B8:P15 B16:E16 G16:P16 B17:P25 B26:E29 G26:P29 B30:P30 B31:C34 E31:H34 J31:P34 B35:P35 B36:E37 G36:P37">
    <cfRule type="cellIs" dxfId="487" priority="157" operator="equal">
      <formula>"x"</formula>
    </cfRule>
  </conditionalFormatting>
  <conditionalFormatting sqref="B38:P45 B46:C46 F46:P46">
    <cfRule type="cellIs" dxfId="486" priority="148" operator="equal">
      <formula>"x"</formula>
    </cfRule>
  </conditionalFormatting>
  <conditionalFormatting sqref="B47:P47">
    <cfRule type="cellIs" dxfId="485" priority="144" operator="equal">
      <formula>"x"</formula>
    </cfRule>
  </conditionalFormatting>
  <conditionalFormatting sqref="B72:P79">
    <cfRule type="cellIs" dxfId="484" priority="145" operator="equal">
      <formula>"x"</formula>
    </cfRule>
  </conditionalFormatting>
  <conditionalFormatting sqref="B149:P153">
    <cfRule type="cellIs" dxfId="483" priority="118" operator="equal">
      <formula>"x"</formula>
    </cfRule>
  </conditionalFormatting>
  <conditionalFormatting sqref="B157:P160 B161:I162 J161:P174">
    <cfRule type="cellIs" dxfId="482" priority="122" operator="equal">
      <formula>"x"</formula>
    </cfRule>
  </conditionalFormatting>
  <conditionalFormatting sqref="B196:P200 N201:P201 E202:P204">
    <cfRule type="cellIs" dxfId="481" priority="87" operator="equal">
      <formula>"x"</formula>
    </cfRule>
  </conditionalFormatting>
  <conditionalFormatting sqref="B247:P251 B254:P257 B258:C282 J258:P282">
    <cfRule type="cellIs" dxfId="480" priority="78" operator="equal">
      <formula>"x"</formula>
    </cfRule>
  </conditionalFormatting>
  <conditionalFormatting sqref="B283:P286">
    <cfRule type="cellIs" dxfId="479" priority="62" operator="equal">
      <formula>"x"</formula>
    </cfRule>
  </conditionalFormatting>
  <conditionalFormatting sqref="B348:P350 N351:P351 B352:P352 B353 D353:P353 B354:P355 M356:P356 B356:C361 M357:R361 B362:B364 B365:R366 B367:P369 N370:P370 B371:P371 B372 D372:P372 B373:P374 M375:P375 B375:C380 M376:R380 B381:B383 B384:R385 B386:P388 N389:P389 B390:P390 B391 D391:P391 B392:P393 M394:P394 B394:C399 M395:R399 B400:B402 B403:R404">
    <cfRule type="cellIs" dxfId="478" priority="45" operator="equal">
      <formula>"x"</formula>
    </cfRule>
  </conditionalFormatting>
  <conditionalFormatting sqref="B424:P5406">
    <cfRule type="cellIs" dxfId="477" priority="20" operator="equal">
      <formula>"x"</formula>
    </cfRule>
  </conditionalFormatting>
  <conditionalFormatting sqref="C79:C81 C187:C195 I187:P195 H188:H195 W188:AE195 D189 G189:G190 F189:F193 D191">
    <cfRule type="cellIs" dxfId="476" priority="424" operator="equal">
      <formula>"x"</formula>
    </cfRule>
  </conditionalFormatting>
  <conditionalFormatting sqref="C287:C288 B289:C291 B292:P297 B298:E298 G298:P298 B299:P304 B305:E305 G305:P305 B306:P308">
    <cfRule type="cellIs" dxfId="475" priority="64" operator="equal">
      <formula>"x"</formula>
    </cfRule>
  </conditionalFormatting>
  <conditionalFormatting sqref="C201:D204">
    <cfRule type="cellIs" dxfId="474" priority="10" operator="equal">
      <formula>"x"</formula>
    </cfRule>
  </conditionalFormatting>
  <conditionalFormatting sqref="C351:D351">
    <cfRule type="cellIs" dxfId="473" priority="6" operator="equal">
      <formula>"x"</formula>
    </cfRule>
  </conditionalFormatting>
  <conditionalFormatting sqref="C370:D370">
    <cfRule type="cellIs" dxfId="472" priority="5" operator="equal">
      <formula>"x"</formula>
    </cfRule>
  </conditionalFormatting>
  <conditionalFormatting sqref="C389:D389">
    <cfRule type="cellIs" dxfId="471" priority="4" operator="equal">
      <formula>"x"</formula>
    </cfRule>
  </conditionalFormatting>
  <conditionalFormatting sqref="C7:J7">
    <cfRule type="cellIs" dxfId="470" priority="154" operator="equal">
      <formula>"x"</formula>
    </cfRule>
  </conditionalFormatting>
  <conditionalFormatting sqref="C48:P71">
    <cfRule type="cellIs" dxfId="469" priority="1" operator="equal">
      <formula>"x"</formula>
    </cfRule>
  </conditionalFormatting>
  <conditionalFormatting sqref="C154:P156">
    <cfRule type="cellIs" dxfId="468" priority="13" operator="equal">
      <formula>"x"</formula>
    </cfRule>
  </conditionalFormatting>
  <conditionalFormatting sqref="C179:P183">
    <cfRule type="cellIs" dxfId="467" priority="11" operator="equal">
      <formula>"x"</formula>
    </cfRule>
  </conditionalFormatting>
  <conditionalFormatting sqref="C252:P253">
    <cfRule type="cellIs" dxfId="466" priority="9" operator="equal">
      <formula>"x"</formula>
    </cfRule>
  </conditionalFormatting>
  <conditionalFormatting sqref="D279:D281">
    <cfRule type="cellIs" dxfId="465" priority="73" operator="equal">
      <formula>"x"</formula>
    </cfRule>
  </conditionalFormatting>
  <conditionalFormatting sqref="D287:D290">
    <cfRule type="cellIs" dxfId="464" priority="8" operator="equal">
      <formula>"x"</formula>
    </cfRule>
  </conditionalFormatting>
  <conditionalFormatting sqref="D313:D314">
    <cfRule type="cellIs" dxfId="463" priority="7" operator="equal">
      <formula>"x"</formula>
    </cfRule>
  </conditionalFormatting>
  <conditionalFormatting sqref="D408:D409">
    <cfRule type="cellIs" dxfId="462" priority="3" operator="equal">
      <formula>"x"</formula>
    </cfRule>
  </conditionalFormatting>
  <conditionalFormatting sqref="D115:E148 G132:G138 G144">
    <cfRule type="cellIs" dxfId="461" priority="135" operator="equal">
      <formula>"x"</formula>
    </cfRule>
  </conditionalFormatting>
  <conditionalFormatting sqref="D163:E172">
    <cfRule type="cellIs" dxfId="460" priority="101" operator="equal">
      <formula>"x"</formula>
    </cfRule>
  </conditionalFormatting>
  <conditionalFormatting sqref="D291:E291">
    <cfRule type="cellIs" dxfId="459" priority="61" operator="equal">
      <formula>"x"</formula>
    </cfRule>
  </conditionalFormatting>
  <conditionalFormatting sqref="D315:E315">
    <cfRule type="cellIs" dxfId="458" priority="51" operator="equal">
      <formula>"x"</formula>
    </cfRule>
  </conditionalFormatting>
  <conditionalFormatting sqref="D188:F188 D193:E194 F195">
    <cfRule type="cellIs" dxfId="457" priority="409" operator="equal">
      <formula>"x"</formula>
    </cfRule>
  </conditionalFormatting>
  <conditionalFormatting sqref="D210:F212 H210:H246 D213:E213 D214:F246">
    <cfRule type="cellIs" dxfId="456" priority="81" operator="equal">
      <formula>"x"</formula>
    </cfRule>
  </conditionalFormatting>
  <conditionalFormatting sqref="D276:F277">
    <cfRule type="cellIs" dxfId="455" priority="74" operator="equal">
      <formula>"x"</formula>
    </cfRule>
  </conditionalFormatting>
  <conditionalFormatting sqref="D80:H80 G81:G87 D81:E108 G89 G101:G107 D109 G109 D113 G115">
    <cfRule type="cellIs" dxfId="454" priority="140" operator="equal">
      <formula>"x"</formula>
    </cfRule>
  </conditionalFormatting>
  <conditionalFormatting sqref="D187:I187">
    <cfRule type="cellIs" dxfId="453" priority="385" operator="equal">
      <formula>"x"</formula>
    </cfRule>
  </conditionalFormatting>
  <conditionalFormatting sqref="E109:E113 G113 E114:G114">
    <cfRule type="cellIs" dxfId="452" priority="138" operator="equal">
      <formula>"x"</formula>
    </cfRule>
  </conditionalFormatting>
  <conditionalFormatting sqref="E184:E186">
    <cfRule type="cellIs" dxfId="451" priority="321" operator="equal">
      <formula>"x"</formula>
    </cfRule>
  </conditionalFormatting>
  <conditionalFormatting sqref="E280:E281">
    <cfRule type="cellIs" dxfId="450" priority="72" operator="equal">
      <formula>"x"</formula>
    </cfRule>
  </conditionalFormatting>
  <conditionalFormatting sqref="E278:F279">
    <cfRule type="cellIs" dxfId="449" priority="71" operator="equal">
      <formula>"x"</formula>
    </cfRule>
  </conditionalFormatting>
  <conditionalFormatting sqref="E287:P291">
    <cfRule type="cellIs" dxfId="448" priority="60" operator="equal">
      <formula>"x"</formula>
    </cfRule>
  </conditionalFormatting>
  <conditionalFormatting sqref="F95:F97">
    <cfRule type="cellIs" dxfId="447" priority="134" operator="equal">
      <formula>"x"</formula>
    </cfRule>
  </conditionalFormatting>
  <conditionalFormatting sqref="F101:F112">
    <cfRule type="cellIs" dxfId="446" priority="133" operator="equal">
      <formula>"x"</formula>
    </cfRule>
  </conditionalFormatting>
  <conditionalFormatting sqref="F115:F133">
    <cfRule type="cellIs" dxfId="445" priority="132" operator="equal">
      <formula>"x"</formula>
    </cfRule>
  </conditionalFormatting>
  <conditionalFormatting sqref="F137">
    <cfRule type="cellIs" dxfId="444" priority="131" operator="equal">
      <formula>"x"</formula>
    </cfRule>
  </conditionalFormatting>
  <conditionalFormatting sqref="F171:F173">
    <cfRule type="cellIs" dxfId="443" priority="95" operator="equal">
      <formula>"x"</formula>
    </cfRule>
  </conditionalFormatting>
  <conditionalFormatting sqref="F146:G148">
    <cfRule type="cellIs" dxfId="442" priority="130" operator="equal">
      <formula>"x"</formula>
    </cfRule>
  </conditionalFormatting>
  <conditionalFormatting sqref="F165:G165">
    <cfRule type="cellIs" dxfId="441" priority="96" operator="equal">
      <formula>"x"</formula>
    </cfRule>
  </conditionalFormatting>
  <conditionalFormatting sqref="F163:I163">
    <cfRule type="cellIs" dxfId="440" priority="99" operator="equal">
      <formula>"x"</formula>
    </cfRule>
  </conditionalFormatting>
  <conditionalFormatting sqref="F169:I169">
    <cfRule type="cellIs" dxfId="439" priority="97" operator="equal">
      <formula>"x"</formula>
    </cfRule>
  </conditionalFormatting>
  <conditionalFormatting sqref="F201:L201">
    <cfRule type="cellIs" dxfId="438" priority="84" operator="equal">
      <formula>"x"</formula>
    </cfRule>
  </conditionalFormatting>
  <conditionalFormatting sqref="G123:G124">
    <cfRule type="cellIs" dxfId="437" priority="136" operator="equal">
      <formula>"x"</formula>
    </cfRule>
  </conditionalFormatting>
  <conditionalFormatting sqref="G170:I173">
    <cfRule type="cellIs" dxfId="436" priority="98" operator="equal">
      <formula>"x"</formula>
    </cfRule>
  </conditionalFormatting>
  <conditionalFormatting sqref="G338:I338">
    <cfRule type="cellIs" dxfId="435" priority="50" operator="equal">
      <formula>"x"</formula>
    </cfRule>
  </conditionalFormatting>
  <conditionalFormatting sqref="H164:H168">
    <cfRule type="cellIs" dxfId="434" priority="110" operator="equal">
      <formula>"x"</formula>
    </cfRule>
  </conditionalFormatting>
  <conditionalFormatting sqref="H351:L351">
    <cfRule type="cellIs" dxfId="433" priority="41" operator="equal">
      <formula>"x"</formula>
    </cfRule>
  </conditionalFormatting>
  <conditionalFormatting sqref="H370:L370">
    <cfRule type="cellIs" dxfId="432" priority="38" operator="equal">
      <formula>"x"</formula>
    </cfRule>
  </conditionalFormatting>
  <conditionalFormatting sqref="H389:L389">
    <cfRule type="cellIs" dxfId="431" priority="27" operator="equal">
      <formula>"x"</formula>
    </cfRule>
  </conditionalFormatting>
  <conditionalFormatting sqref="I80:I99">
    <cfRule type="cellIs" dxfId="430" priority="139" operator="equal">
      <formula>"x"</formula>
    </cfRule>
  </conditionalFormatting>
  <conditionalFormatting sqref="I101:I148">
    <cfRule type="cellIs" dxfId="429" priority="137" operator="equal">
      <formula>"x"</formula>
    </cfRule>
  </conditionalFormatting>
  <conditionalFormatting sqref="J80:P148 C184:D185 F184:P185 D185:D186 C186:P186 B205:P205 B206 D206:P206 B207:P207 B208:I208 A5407:P1048576">
    <cfRule type="cellIs" dxfId="428" priority="434" operator="equal">
      <formula>"x"</formula>
    </cfRule>
  </conditionalFormatting>
  <conditionalFormatting sqref="K214:M214">
    <cfRule type="cellIs" dxfId="427" priority="331" operator="equal">
      <formula>"x"</formula>
    </cfRule>
  </conditionalFormatting>
  <conditionalFormatting sqref="N208">
    <cfRule type="cellIs" dxfId="426" priority="333" operator="equal">
      <formula>"x"</formula>
    </cfRule>
  </conditionalFormatting>
  <conditionalFormatting sqref="V37">
    <cfRule type="cellIs" dxfId="425" priority="153" operator="equal">
      <formula>"x"</formula>
    </cfRule>
  </conditionalFormatting>
  <conditionalFormatting sqref="V81:V109 V113 V115:V148">
    <cfRule type="cellIs" dxfId="424" priority="129" operator="equal">
      <formula>"x"</formula>
    </cfRule>
  </conditionalFormatting>
  <conditionalFormatting sqref="V188 V191 V193:V194">
    <cfRule type="cellIs" dxfId="423" priority="404" operator="equal">
      <formula>"x"</formula>
    </cfRule>
  </conditionalFormatting>
  <conditionalFormatting sqref="V252:V253">
    <cfRule type="cellIs" dxfId="422" priority="75" operator="equal">
      <formula>"x"</formula>
    </cfRule>
  </conditionalFormatting>
  <conditionalFormatting sqref="V201:AE204">
    <cfRule type="cellIs" dxfId="421" priority="85" operator="equal">
      <formula>"x"</formula>
    </cfRule>
  </conditionalFormatting>
  <conditionalFormatting sqref="Y107:AA108">
    <cfRule type="cellIs" dxfId="420" priority="128" operator="equal">
      <formula>"x"</formula>
    </cfRule>
  </conditionalFormatting>
  <conditionalFormatting sqref="AB81:AE148">
    <cfRule type="cellIs" dxfId="419" priority="127" operator="equal">
      <formula>"x"</formula>
    </cfRule>
  </conditionalFormatting>
  <conditionalFormatting sqref="AC48:AE71">
    <cfRule type="cellIs" dxfId="418" priority="143" operator="equal">
      <formula>"x"</formula>
    </cfRule>
  </conditionalFormatting>
  <conditionalFormatting sqref="AC154:AE156">
    <cfRule type="cellIs" dxfId="417" priority="119" operator="equal">
      <formula>"x"</formula>
    </cfRule>
  </conditionalFormatting>
  <conditionalFormatting sqref="AF7">
    <cfRule type="expression" dxfId="416" priority="151">
      <formula>AND(AF7=AE7,AE7&lt;&gt;"")</formula>
    </cfRule>
    <cfRule type="expression" dxfId="415" priority="152">
      <formula>AF7&lt;&gt;AE7</formula>
    </cfRule>
  </conditionalFormatting>
  <conditionalFormatting sqref="AF16:AF42">
    <cfRule type="expression" dxfId="414" priority="150">
      <formula>AF16&lt;&gt;AE16</formula>
    </cfRule>
    <cfRule type="expression" dxfId="413" priority="149">
      <formula>AND(AF16=AE16,AE16&lt;&gt;"")</formula>
    </cfRule>
  </conditionalFormatting>
  <conditionalFormatting sqref="AF48:AF71">
    <cfRule type="expression" dxfId="412" priority="141">
      <formula>AND(AF48=AE48,AE48&lt;&gt;"")</formula>
    </cfRule>
    <cfRule type="expression" dxfId="411" priority="142">
      <formula>AF48&lt;&gt;AE48</formula>
    </cfRule>
  </conditionalFormatting>
  <conditionalFormatting sqref="AF81:AF148">
    <cfRule type="expression" dxfId="410" priority="125">
      <formula>AND(AF81=AE81,AE81&lt;&gt;"")</formula>
    </cfRule>
    <cfRule type="expression" dxfId="409" priority="126">
      <formula>AF81&lt;&gt;AE81</formula>
    </cfRule>
  </conditionalFormatting>
  <conditionalFormatting sqref="AF154:AF156">
    <cfRule type="expression" dxfId="408" priority="113">
      <formula>AF154&lt;&gt;AE154</formula>
    </cfRule>
    <cfRule type="expression" dxfId="407" priority="112">
      <formula>AND(AF154=AE154,AE154&lt;&gt;"")</formula>
    </cfRule>
  </conditionalFormatting>
  <conditionalFormatting sqref="AF179:AF183 AF188:AF195">
    <cfRule type="expression" dxfId="406" priority="215">
      <formula>AND(AF179=AE179,AE179&lt;&gt;"")</formula>
    </cfRule>
    <cfRule type="expression" dxfId="405" priority="216">
      <formula>AF179&lt;&gt;AE179</formula>
    </cfRule>
  </conditionalFormatting>
  <conditionalFormatting sqref="AF201:AF204">
    <cfRule type="expression" dxfId="404" priority="82">
      <formula>AND(AF201=AE201,AE201&lt;&gt;"")</formula>
    </cfRule>
    <cfRule type="expression" dxfId="403" priority="83">
      <formula>AF201&lt;&gt;AE201</formula>
    </cfRule>
  </conditionalFormatting>
  <conditionalFormatting sqref="AF210:AF246">
    <cfRule type="expression" dxfId="402" priority="80">
      <formula>AF210&lt;&gt;AE210</formula>
    </cfRule>
    <cfRule type="expression" dxfId="401" priority="79">
      <formula>AND(AF210=AE210,AE210&lt;&gt;"")</formula>
    </cfRule>
  </conditionalFormatting>
  <conditionalFormatting sqref="AF252:AF253">
    <cfRule type="expression" dxfId="400" priority="70">
      <formula>AF252&lt;&gt;AE252</formula>
    </cfRule>
    <cfRule type="expression" dxfId="399" priority="69">
      <formula>AND(AF252=AE252,AE252&lt;&gt;"")</formula>
    </cfRule>
  </conditionalFormatting>
  <conditionalFormatting sqref="AF259:AF281">
    <cfRule type="expression" dxfId="398" priority="67">
      <formula>AND(AF259=AE259,AE259&lt;&gt;"")</formula>
    </cfRule>
    <cfRule type="expression" dxfId="397" priority="68">
      <formula>AF259&lt;&gt;AE259</formula>
    </cfRule>
  </conditionalFormatting>
  <conditionalFormatting sqref="AF287:AF288">
    <cfRule type="expression" dxfId="396" priority="59">
      <formula>AF287&lt;&gt;AE287</formula>
    </cfRule>
    <cfRule type="expression" dxfId="395" priority="58">
      <formula>AND(AF287=AE287,AE287&lt;&gt;"")</formula>
    </cfRule>
  </conditionalFormatting>
  <conditionalFormatting sqref="AF298:AF307">
    <cfRule type="expression" dxfId="394" priority="56">
      <formula>AND(AF298=AE298,AE298&lt;&gt;"")</formula>
    </cfRule>
    <cfRule type="expression" dxfId="393" priority="57">
      <formula>AF298&lt;&gt;AE298</formula>
    </cfRule>
  </conditionalFormatting>
  <conditionalFormatting sqref="AF313:AF314">
    <cfRule type="expression" dxfId="392" priority="49">
      <formula>AF313&lt;&gt;AE313</formula>
    </cfRule>
    <cfRule type="expression" dxfId="391" priority="48">
      <formula>AND(AF313=AE313,AE313&lt;&gt;"")</formula>
    </cfRule>
  </conditionalFormatting>
  <conditionalFormatting sqref="AF324:AF345">
    <cfRule type="expression" dxfId="390" priority="46">
      <formula>AND(AF324=AE324,AE324&lt;&gt;"")</formula>
    </cfRule>
    <cfRule type="expression" dxfId="389" priority="47">
      <formula>AF324&lt;&gt;AE324</formula>
    </cfRule>
  </conditionalFormatting>
  <conditionalFormatting sqref="AF351">
    <cfRule type="expression" dxfId="388" priority="37">
      <formula>AF351&lt;&gt;AE351</formula>
    </cfRule>
    <cfRule type="expression" dxfId="387" priority="36">
      <formula>AND(AF351=AE351,AE351&lt;&gt;"")</formula>
    </cfRule>
  </conditionalFormatting>
  <conditionalFormatting sqref="AF357:AF364">
    <cfRule type="expression" dxfId="386" priority="35">
      <formula>AF357&lt;&gt;AE357</formula>
    </cfRule>
    <cfRule type="expression" dxfId="385" priority="34">
      <formula>AND(AF357=AE357,AE357&lt;&gt;"")</formula>
    </cfRule>
  </conditionalFormatting>
  <conditionalFormatting sqref="AF370">
    <cfRule type="expression" dxfId="384" priority="32">
      <formula>AND(AF370=AE370,AE370&lt;&gt;"")</formula>
    </cfRule>
    <cfRule type="expression" dxfId="383" priority="33">
      <formula>AF370&lt;&gt;AE370</formula>
    </cfRule>
  </conditionalFormatting>
  <conditionalFormatting sqref="AF376:AF383">
    <cfRule type="expression" dxfId="382" priority="31">
      <formula>AF376&lt;&gt;AE376</formula>
    </cfRule>
    <cfRule type="expression" dxfId="381" priority="30">
      <formula>AND(AF376=AE376,AE376&lt;&gt;"")</formula>
    </cfRule>
  </conditionalFormatting>
  <conditionalFormatting sqref="AF389">
    <cfRule type="expression" dxfId="380" priority="26">
      <formula>AF389&lt;&gt;AE389</formula>
    </cfRule>
    <cfRule type="expression" dxfId="379" priority="25">
      <formula>AND(AF389=AE389,AE389&lt;&gt;"")</formula>
    </cfRule>
  </conditionalFormatting>
  <conditionalFormatting sqref="AF395:AF402">
    <cfRule type="expression" dxfId="378" priority="24">
      <formula>AF395&lt;&gt;AE395</formula>
    </cfRule>
    <cfRule type="expression" dxfId="377" priority="23">
      <formula>AND(AF395=AE395,AE395&lt;&gt;"")</formula>
    </cfRule>
  </conditionalFormatting>
  <conditionalFormatting sqref="AF408 AF415:AF423">
    <cfRule type="expression" dxfId="376" priority="17">
      <formula>AND(AF408=AE408,AE408&lt;&gt;"")</formula>
    </cfRule>
    <cfRule type="expression" dxfId="375" priority="18">
      <formula>AF408&lt;&gt;AE408</formula>
    </cfRule>
  </conditionalFormatting>
  <conditionalFormatting sqref="AH7">
    <cfRule type="cellIs" dxfId="374" priority="158" operator="lessThan">
      <formula>-0.1</formula>
    </cfRule>
    <cfRule type="cellIs" dxfId="373" priority="159" operator="greaterThan">
      <formula>0.1</formula>
    </cfRule>
  </conditionalFormatting>
  <conditionalFormatting sqref="AH48:AH71">
    <cfRule type="cellIs" dxfId="372" priority="147" operator="greaterThan">
      <formula>0.1</formula>
    </cfRule>
    <cfRule type="cellIs" dxfId="371" priority="146" operator="lessThan">
      <formula>-0.1</formula>
    </cfRule>
  </conditionalFormatting>
  <conditionalFormatting sqref="AH154:AH156">
    <cfRule type="cellIs" dxfId="370" priority="124" operator="greaterThan">
      <formula>0.1</formula>
    </cfRule>
    <cfRule type="cellIs" dxfId="369" priority="123" operator="lessThan">
      <formula>-0.1</formula>
    </cfRule>
  </conditionalFormatting>
  <conditionalFormatting sqref="AH201">
    <cfRule type="cellIs" dxfId="368" priority="89" operator="greaterThan">
      <formula>0.1</formula>
    </cfRule>
    <cfRule type="cellIs" dxfId="367" priority="88" operator="lessThan">
      <formula>-0.1</formula>
    </cfRule>
  </conditionalFormatting>
  <conditionalFormatting sqref="AH287:AH288">
    <cfRule type="cellIs" dxfId="366" priority="65" operator="lessThan">
      <formula>-0.1</formula>
    </cfRule>
    <cfRule type="cellIs" dxfId="365" priority="66" operator="greaterThan">
      <formula>0.1</formula>
    </cfRule>
  </conditionalFormatting>
  <conditionalFormatting sqref="AH313:AH314">
    <cfRule type="cellIs" dxfId="364" priority="55" operator="greaterThan">
      <formula>0.1</formula>
    </cfRule>
    <cfRule type="cellIs" dxfId="363" priority="54" operator="lessThan">
      <formula>-0.1</formula>
    </cfRule>
  </conditionalFormatting>
  <conditionalFormatting sqref="AH351">
    <cfRule type="cellIs" dxfId="362" priority="43" operator="greaterThan">
      <formula>0.1</formula>
    </cfRule>
    <cfRule type="cellIs" dxfId="361" priority="42" operator="lessThan">
      <formula>-0.1</formula>
    </cfRule>
  </conditionalFormatting>
  <conditionalFormatting sqref="AH370">
    <cfRule type="cellIs" dxfId="360" priority="39" operator="lessThan">
      <formula>-0.1</formula>
    </cfRule>
    <cfRule type="cellIs" dxfId="359" priority="40" operator="greaterThan">
      <formula>0.1</formula>
    </cfRule>
  </conditionalFormatting>
  <conditionalFormatting sqref="AH389">
    <cfRule type="cellIs" dxfId="358" priority="28" operator="lessThan">
      <formula>-0.1</formula>
    </cfRule>
    <cfRule type="cellIs" dxfId="357" priority="29" operator="greaterThan">
      <formula>0.1</formula>
    </cfRule>
  </conditionalFormatting>
  <conditionalFormatting sqref="AH408">
    <cfRule type="cellIs" dxfId="356" priority="22" operator="greaterThan">
      <formula>0.1</formula>
    </cfRule>
    <cfRule type="cellIs" dxfId="355" priority="21" operator="lessThan">
      <formula>-0.1</formula>
    </cfRule>
  </conditionalFormatting>
  <conditionalFormatting sqref="AN164:AN173">
    <cfRule type="cellIs" dxfId="354" priority="94" operator="equal">
      <formula>"x"</formula>
    </cfRule>
  </conditionalFormatting>
  <conditionalFormatting sqref="AO164:AQ168">
    <cfRule type="cellIs" dxfId="353" priority="108" operator="equal">
      <formula>"x"</formula>
    </cfRule>
  </conditionalFormatting>
  <conditionalFormatting sqref="AO170:AQ170">
    <cfRule type="cellIs" dxfId="352" priority="90" operator="equal">
      <formula>"x"</formula>
    </cfRule>
  </conditionalFormatting>
  <conditionalFormatting sqref="AO172:AQ173">
    <cfRule type="cellIs" dxfId="351" priority="93" operator="equal">
      <formula>"x"</formula>
    </cfRule>
  </conditionalFormatting>
  <conditionalFormatting sqref="AR164:AR173">
    <cfRule type="expression" dxfId="350" priority="91">
      <formula>AR164=AQ164</formula>
    </cfRule>
    <cfRule type="expression" dxfId="349" priority="92">
      <formula>AR164&lt;&gt;AQ164</formula>
    </cfRule>
  </conditionalFormatting>
  <hyperlinks>
    <hyperlink ref="C267" location="_ftn2" display="_ftn2" xr:uid="{00000000-0004-0000-0300-000000000000}"/>
    <hyperlink ref="C270" location="_ftnref1" display="_ftnref1" xr:uid="{00000000-0004-0000-0300-000001000000}"/>
    <hyperlink ref="G16" r:id="rId1" xr:uid="{A45A3E27-52E2-4E86-AA58-D3DF8781837F}"/>
    <hyperlink ref="J338" r:id="rId2" xr:uid="{96086373-3350-4402-A52A-117BF68CDABE}"/>
  </hyperlinks>
  <pageMargins left="0.7" right="0.7" top="0.75" bottom="0.75" header="0.3" footer="0.3"/>
  <pageSetup scale="39" fitToHeight="0" orientation="landscape" r:id="rId3"/>
  <rowBreaks count="1" manualBreakCount="1">
    <brk id="247" max="16383"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rgb="FFFF9999"/>
    <pageSetUpPr fitToPage="1"/>
  </sheetPr>
  <dimension ref="A1:DV347"/>
  <sheetViews>
    <sheetView zoomScale="90" zoomScaleNormal="90" workbookViewId="0">
      <selection activeCell="C50" sqref="C50"/>
    </sheetView>
  </sheetViews>
  <sheetFormatPr defaultColWidth="16.42578125" defaultRowHeight="15" outlineLevelRow="1"/>
  <cols>
    <col min="1" max="1" width="3.28515625" style="52" customWidth="1"/>
    <col min="2" max="2" width="7" style="52" bestFit="1" customWidth="1"/>
    <col min="3" max="3" width="20.28515625" style="828" bestFit="1" customWidth="1"/>
    <col min="4" max="4" width="19.5703125" style="104" customWidth="1"/>
    <col min="5" max="5" width="55.7109375" style="52" customWidth="1"/>
    <col min="6" max="6" width="20.28515625" style="52" customWidth="1"/>
    <col min="7" max="7" width="22.7109375" style="52" customWidth="1"/>
    <col min="8" max="8" width="24.7109375" style="52" customWidth="1"/>
    <col min="9" max="9" width="15.7109375" style="52" customWidth="1"/>
    <col min="10" max="10" width="11.28515625" style="52" customWidth="1"/>
    <col min="11" max="12" width="16.42578125" style="52" customWidth="1"/>
    <col min="13" max="13" width="14" style="181" customWidth="1"/>
    <col min="14" max="14" width="13.7109375" style="52" customWidth="1"/>
    <col min="15" max="15" width="1.7109375" style="52" customWidth="1"/>
    <col min="16" max="21" width="16.42578125" style="52" customWidth="1"/>
    <col min="22" max="22" width="29.42578125" style="52" customWidth="1"/>
    <col min="23" max="23" width="16.42578125" style="384" customWidth="1"/>
    <col min="24" max="24" width="18" style="384" customWidth="1"/>
    <col min="25" max="25" width="17.28515625" style="384" customWidth="1"/>
    <col min="26" max="27" width="16.42578125" style="384" customWidth="1"/>
    <col min="28" max="28" width="17.42578125" style="384" bestFit="1" customWidth="1"/>
    <col min="29" max="35" width="16.42578125" style="76" customWidth="1"/>
    <col min="36" max="37" width="18" style="76" customWidth="1"/>
    <col min="38" max="110" width="16.42578125" style="76" customWidth="1"/>
    <col min="111" max="111" width="16.42578125" style="52"/>
    <col min="112" max="112" width="33.28515625" style="52" bestFit="1" customWidth="1"/>
    <col min="113" max="113" width="13.7109375" style="149" customWidth="1"/>
    <col min="114" max="114" width="20.42578125" style="1183" customWidth="1"/>
    <col min="115" max="16384" width="16.42578125" style="76"/>
  </cols>
  <sheetData>
    <row r="1" spans="1:114" s="2" customFormat="1" ht="18.75">
      <c r="A1" s="4078" t="s">
        <v>1441</v>
      </c>
      <c r="B1" s="4181"/>
      <c r="C1" s="4182"/>
      <c r="D1" s="4181"/>
      <c r="E1" s="4181"/>
      <c r="F1" s="4181"/>
      <c r="G1" s="4181"/>
      <c r="H1" s="4181"/>
      <c r="I1" s="4181"/>
      <c r="J1" s="4181"/>
      <c r="K1" s="4181"/>
      <c r="L1" s="4181"/>
      <c r="M1" s="4181"/>
      <c r="N1" s="4181"/>
      <c r="O1" s="4181"/>
      <c r="P1" s="52"/>
      <c r="Q1" s="52"/>
      <c r="R1" s="265"/>
      <c r="S1" s="265"/>
      <c r="T1" s="265"/>
      <c r="U1" s="265"/>
      <c r="V1" s="799"/>
      <c r="W1" s="774"/>
      <c r="X1" s="774"/>
      <c r="Y1" s="1490"/>
      <c r="Z1" s="1490"/>
      <c r="AA1" s="1490"/>
      <c r="AB1" s="1490"/>
      <c r="AC1" s="6"/>
      <c r="AD1" s="6"/>
      <c r="AE1" s="6"/>
      <c r="AF1" s="6"/>
      <c r="AG1" s="6"/>
      <c r="AH1" s="6"/>
      <c r="DG1" s="265"/>
      <c r="DH1" s="265"/>
      <c r="DI1" s="1097"/>
      <c r="DJ1" s="1182"/>
    </row>
    <row r="2" spans="1:114" s="2" customFormat="1" ht="30" hidden="1" customHeight="1" outlineLevel="1">
      <c r="A2" s="265"/>
      <c r="B2" s="457"/>
      <c r="C2" s="776"/>
      <c r="D2" s="4003" t="s">
        <v>39</v>
      </c>
      <c r="E2" s="4081"/>
      <c r="F2" s="4082"/>
      <c r="G2" s="4082"/>
      <c r="H2" s="4082"/>
      <c r="I2" s="4082"/>
      <c r="J2" s="4082"/>
      <c r="K2" s="264"/>
      <c r="L2" s="264"/>
      <c r="M2" s="265"/>
      <c r="N2" s="265"/>
      <c r="O2" s="265"/>
      <c r="P2" s="265"/>
      <c r="Q2" s="265"/>
      <c r="R2" s="265"/>
      <c r="S2" s="265"/>
      <c r="T2" s="265"/>
      <c r="U2" s="265"/>
      <c r="V2" s="265"/>
      <c r="W2" s="22"/>
      <c r="X2" s="22"/>
      <c r="Y2" s="22"/>
      <c r="Z2" s="22"/>
      <c r="AA2" s="22"/>
      <c r="AB2" s="22"/>
      <c r="DG2" s="265"/>
      <c r="DH2" s="265"/>
      <c r="DI2" s="1097"/>
      <c r="DJ2" s="1182"/>
    </row>
    <row r="3" spans="1:114" s="2" customFormat="1" ht="33.75" customHeight="1" collapsed="1">
      <c r="A3" s="265"/>
      <c r="B3" s="265"/>
      <c r="C3" s="62"/>
      <c r="D3" s="62"/>
      <c r="E3" s="551"/>
      <c r="F3" s="61"/>
      <c r="G3" s="61"/>
      <c r="H3" s="61"/>
      <c r="I3" s="61"/>
      <c r="J3" s="61"/>
      <c r="K3" s="265"/>
      <c r="L3" s="265"/>
      <c r="M3" s="489"/>
      <c r="N3" s="265"/>
      <c r="O3" s="265"/>
      <c r="P3" s="265"/>
      <c r="Q3" s="265"/>
      <c r="R3" s="265"/>
      <c r="S3" s="265"/>
      <c r="T3" s="265"/>
      <c r="U3" s="265"/>
      <c r="V3" s="265"/>
      <c r="W3" s="22"/>
      <c r="X3" s="22"/>
      <c r="Y3" s="22"/>
      <c r="Z3" s="22"/>
      <c r="AA3" s="22"/>
      <c r="AB3" s="22"/>
      <c r="DG3" s="265"/>
      <c r="DH3" s="265"/>
      <c r="DI3" s="1097"/>
      <c r="DJ3" s="1182"/>
    </row>
    <row r="4" spans="1:114">
      <c r="B4" s="4183" t="s">
        <v>1442</v>
      </c>
      <c r="C4" s="4184"/>
      <c r="D4" s="4184"/>
      <c r="E4" s="4184"/>
      <c r="F4" s="4184"/>
      <c r="G4" s="4184"/>
      <c r="H4" s="4184"/>
      <c r="I4" s="4840"/>
      <c r="J4" s="4840"/>
      <c r="K4" s="4840"/>
      <c r="L4" s="4840"/>
      <c r="M4" s="4840"/>
      <c r="N4" s="4841"/>
      <c r="O4" s="283"/>
      <c r="P4" s="283"/>
      <c r="Q4" s="283"/>
      <c r="R4" s="283"/>
      <c r="V4" s="4066" t="str">
        <f>B4</f>
        <v>Dirty Filter Alarm</v>
      </c>
      <c r="W4" s="4067"/>
      <c r="X4" s="4067"/>
      <c r="Y4" s="4067"/>
      <c r="Z4" s="4067"/>
      <c r="AA4" s="4067"/>
      <c r="AB4" s="4067"/>
      <c r="AC4" s="4837"/>
      <c r="AD4" s="4837"/>
      <c r="AE4" s="4837"/>
      <c r="AF4" s="4837"/>
      <c r="AG4" s="4837"/>
      <c r="AH4" s="4838"/>
    </row>
    <row r="5" spans="1:114">
      <c r="B5" s="1517"/>
      <c r="C5" s="133"/>
      <c r="D5" s="583"/>
      <c r="E5" s="282"/>
      <c r="F5" s="282"/>
      <c r="G5" s="282"/>
      <c r="H5" s="282"/>
      <c r="I5" s="282"/>
      <c r="J5" s="282"/>
      <c r="K5" s="282"/>
      <c r="L5" s="584"/>
      <c r="M5" s="606"/>
      <c r="N5" s="283"/>
      <c r="O5" s="283"/>
      <c r="P5" s="283"/>
      <c r="Q5" s="283"/>
      <c r="R5" s="283"/>
      <c r="DI5" s="52"/>
      <c r="DJ5" s="1102"/>
    </row>
    <row r="6" spans="1:114" ht="30">
      <c r="B6" s="579"/>
      <c r="C6" s="1371" t="s">
        <v>42</v>
      </c>
      <c r="D6" s="1371" t="s">
        <v>953</v>
      </c>
      <c r="E6" s="1371" t="s">
        <v>44</v>
      </c>
      <c r="F6" s="1371" t="s">
        <v>45</v>
      </c>
      <c r="G6" s="1371" t="s">
        <v>46</v>
      </c>
      <c r="H6" s="1371" t="s">
        <v>47</v>
      </c>
      <c r="I6" s="1371" t="s">
        <v>1443</v>
      </c>
      <c r="J6" s="1371" t="s">
        <v>1444</v>
      </c>
      <c r="K6" s="1371" t="s">
        <v>48</v>
      </c>
      <c r="L6" s="1383" t="s">
        <v>49</v>
      </c>
      <c r="M6" s="1371" t="s">
        <v>50</v>
      </c>
      <c r="N6" s="1371" t="s">
        <v>51</v>
      </c>
      <c r="V6" s="177" t="s">
        <v>52</v>
      </c>
      <c r="W6" s="115">
        <v>43252</v>
      </c>
      <c r="X6" s="115">
        <v>43465</v>
      </c>
      <c r="Y6" s="115">
        <v>43800</v>
      </c>
      <c r="Z6" s="115">
        <v>43862</v>
      </c>
      <c r="AA6" s="115">
        <v>44013</v>
      </c>
      <c r="AB6" s="115">
        <v>44166</v>
      </c>
      <c r="AC6" s="669">
        <v>44531</v>
      </c>
      <c r="AD6" s="669">
        <v>44774</v>
      </c>
      <c r="AE6" s="669">
        <v>45139</v>
      </c>
      <c r="AF6" s="669">
        <f>'Deemed Savings Tbl Revision Log'!C17</f>
        <v>45672</v>
      </c>
      <c r="AG6" s="669" t="s">
        <v>53</v>
      </c>
      <c r="DG6" s="811" t="s">
        <v>54</v>
      </c>
      <c r="DH6" s="13" t="s">
        <v>55</v>
      </c>
      <c r="DI6" s="1061" t="s">
        <v>56</v>
      </c>
      <c r="DJ6" s="1103" t="s">
        <v>57</v>
      </c>
    </row>
    <row r="7" spans="1:114">
      <c r="B7" s="1454">
        <f t="shared" ref="B7:B10" si="0">VALUE(LEFT(C7,6))</f>
        <v>300050</v>
      </c>
      <c r="C7" s="2785" t="s">
        <v>1445</v>
      </c>
      <c r="D7" s="2409" t="s">
        <v>1139</v>
      </c>
      <c r="E7" s="2790" t="s">
        <v>1446</v>
      </c>
      <c r="F7" s="2479">
        <f>ROUND(I7+J7,2)</f>
        <v>35.83</v>
      </c>
      <c r="G7" s="2497" t="s">
        <v>1205</v>
      </c>
      <c r="H7" s="2213">
        <f>VLOOKUP(G7,'CP FACTORS'!$A$3:$B$38, 2, FALSE)</f>
        <v>4.6608050000000002E-4</v>
      </c>
      <c r="I7" s="2599">
        <f>F$19*F$21*F$22*F$24*F25*F27</f>
        <v>22.666351304347831</v>
      </c>
      <c r="J7" s="2599">
        <f>F$30*F$21*F$32*F$24*F25*F27</f>
        <v>13.16648347826087</v>
      </c>
      <c r="K7" s="2481">
        <f>ROUND(H7*F7,6)</f>
        <v>1.67E-2</v>
      </c>
      <c r="L7" s="2480">
        <f>$F$34</f>
        <v>5</v>
      </c>
      <c r="M7" s="2482">
        <f>$F$35</f>
        <v>5</v>
      </c>
      <c r="N7" s="2408" t="s">
        <v>62</v>
      </c>
      <c r="V7" s="2425" t="str">
        <f>$F$6</f>
        <v>kWh Annual Savings</v>
      </c>
      <c r="W7" s="2550">
        <v>68.110226249999997</v>
      </c>
      <c r="X7" s="2505">
        <v>64.253294436813192</v>
      </c>
      <c r="Y7" s="2552">
        <v>61.06</v>
      </c>
      <c r="Z7" s="2553">
        <v>61.06</v>
      </c>
      <c r="AA7" s="2553">
        <v>61.06</v>
      </c>
      <c r="AB7" s="2554">
        <v>53.75</v>
      </c>
      <c r="AC7" s="2483">
        <v>53.75</v>
      </c>
      <c r="AD7" s="2483">
        <v>53.75</v>
      </c>
      <c r="AE7" s="2483">
        <v>53.75</v>
      </c>
      <c r="AF7" s="2236">
        <f>IF(F7&lt;&gt;"",F7,"")</f>
        <v>35.83</v>
      </c>
      <c r="AG7" s="356"/>
      <c r="AH7" s="121"/>
      <c r="DG7" s="3005">
        <f>(DI7)/(DJ7)</f>
        <v>3.81083459638322</v>
      </c>
      <c r="DH7" s="2419" t="str">
        <f>CONCATENATE(G7," ",L7," Year EUL")</f>
        <v>HVAC RES 5 Year EUL</v>
      </c>
      <c r="DI7" s="2878">
        <f>(INDEX('Avoided Cost Benefits'!$B$4:$B$865,MATCH(DH7,'Avoided Cost Benefits'!$A$4:$A$865,0)))*F7</f>
        <v>19.0541729819161</v>
      </c>
      <c r="DJ7" s="2927">
        <f>M7/(1.0686^(2025-2025))</f>
        <v>5</v>
      </c>
    </row>
    <row r="8" spans="1:114">
      <c r="B8" s="1454">
        <f t="shared" si="0"/>
        <v>300051</v>
      </c>
      <c r="C8" s="2785" t="s">
        <v>1447</v>
      </c>
      <c r="D8" s="2408" t="s">
        <v>1448</v>
      </c>
      <c r="E8" s="3002" t="s">
        <v>1449</v>
      </c>
      <c r="F8" s="2479">
        <f>ROUND(I8+J8,2)</f>
        <v>65.48</v>
      </c>
      <c r="G8" s="2497" t="s">
        <v>1205</v>
      </c>
      <c r="H8" s="2548">
        <f>VLOOKUP(G8,'CP FACTORS'!$A$3:$B$38, 2, FALSE)</f>
        <v>4.6608050000000002E-4</v>
      </c>
      <c r="I8" s="2599">
        <f>F$19*F$21*F$22*F$24*F26*F28</f>
        <v>41.419036521739137</v>
      </c>
      <c r="J8" s="2599">
        <f>F$30*F$21*F$32*F$24*F26*F28</f>
        <v>24.059587391304348</v>
      </c>
      <c r="K8" s="2481">
        <f>ROUND(H8*F8,6)</f>
        <v>3.0519000000000001E-2</v>
      </c>
      <c r="L8" s="2480">
        <f>$F$34</f>
        <v>5</v>
      </c>
      <c r="M8" s="2482">
        <f>$F$35</f>
        <v>5</v>
      </c>
      <c r="N8" s="2408" t="s">
        <v>62</v>
      </c>
      <c r="V8" s="2425" t="str">
        <f>$F$6</f>
        <v>kWh Annual Savings</v>
      </c>
      <c r="W8" s="2550"/>
      <c r="X8" s="2505"/>
      <c r="Y8" s="2552"/>
      <c r="Z8" s="2553"/>
      <c r="AA8" s="2553"/>
      <c r="AB8" s="2554">
        <v>98.22</v>
      </c>
      <c r="AC8" s="2483">
        <v>98.22</v>
      </c>
      <c r="AD8" s="2483">
        <v>98.22</v>
      </c>
      <c r="AE8" s="2483">
        <v>98.22</v>
      </c>
      <c r="AF8" s="2236">
        <f>IF(F8&lt;&gt;"",F8,"")</f>
        <v>65.48</v>
      </c>
      <c r="AG8" s="356"/>
      <c r="AH8" s="121"/>
      <c r="DG8" s="3005">
        <f>(DI8)/(DJ8)</f>
        <v>6.9643720170575847</v>
      </c>
      <c r="DH8" s="2419" t="str">
        <f>CONCATENATE(G8," ",L8," Year EUL")</f>
        <v>HVAC RES 5 Year EUL</v>
      </c>
      <c r="DI8" s="2878">
        <f>(INDEX('Avoided Cost Benefits'!$B$4:$B$865,MATCH(DH8,'Avoided Cost Benefits'!$A$4:$A$865,0)))*F8</f>
        <v>34.821860085287923</v>
      </c>
      <c r="DJ8" s="2927">
        <f>M8/(1.0686^(2025-2025))</f>
        <v>5</v>
      </c>
    </row>
    <row r="9" spans="1:114">
      <c r="B9" s="1454">
        <f t="shared" si="0"/>
        <v>300100</v>
      </c>
      <c r="C9" s="1462" t="s">
        <v>1450</v>
      </c>
      <c r="D9" s="105" t="s">
        <v>959</v>
      </c>
      <c r="E9" s="1418" t="s">
        <v>1451</v>
      </c>
      <c r="F9" s="205">
        <f>ROUND(I9+J9,2)</f>
        <v>118.25</v>
      </c>
      <c r="G9" s="1401" t="s">
        <v>1205</v>
      </c>
      <c r="H9" s="69">
        <f>VLOOKUP(G9,'CP FACTORS'!$A$3:$B$38, 2, FALSE)</f>
        <v>4.6608050000000002E-4</v>
      </c>
      <c r="I9" s="1550">
        <f>F$20*F$21*F$22*F$24*F26*F29</f>
        <v>74.8</v>
      </c>
      <c r="J9" s="1550">
        <f>F$31*F$21*F$32*F$24*F26*F29</f>
        <v>43.45</v>
      </c>
      <c r="K9" s="1488">
        <f>ROUND(H9*F9,6)</f>
        <v>5.5114000000000003E-2</v>
      </c>
      <c r="L9" s="1456">
        <f>$F$34</f>
        <v>5</v>
      </c>
      <c r="M9" s="742">
        <f>F36</f>
        <v>5</v>
      </c>
      <c r="N9" s="139" t="s">
        <v>62</v>
      </c>
      <c r="V9" s="1378" t="str">
        <f>$F$6</f>
        <v>kWh Annual Savings</v>
      </c>
      <c r="W9" s="341">
        <v>79.197937499999995</v>
      </c>
      <c r="X9" s="130">
        <v>171.76499999999999</v>
      </c>
      <c r="Y9" s="131">
        <v>177.38</v>
      </c>
      <c r="Z9" s="723">
        <v>177.38</v>
      </c>
      <c r="AA9" s="723">
        <v>177.38</v>
      </c>
      <c r="AB9" s="392">
        <v>177.38</v>
      </c>
      <c r="AC9" s="186">
        <v>177.38</v>
      </c>
      <c r="AD9" s="186">
        <v>177.38</v>
      </c>
      <c r="AE9" s="186">
        <v>177.38</v>
      </c>
      <c r="AF9" s="271">
        <f>IF(F9&lt;&gt;"",F9,"")</f>
        <v>118.25</v>
      </c>
      <c r="AG9" s="356"/>
      <c r="AH9" s="121"/>
      <c r="DG9" s="1098">
        <f>(DI9)/(DJ9)</f>
        <v>12.576924114493881</v>
      </c>
      <c r="DH9" s="673" t="str">
        <f>CONCATENATE(G9," ",L9," Year EUL")</f>
        <v>HVAC RES 5 Year EUL</v>
      </c>
      <c r="DI9" s="1099">
        <f>(INDEX('Avoided Cost Benefits'!$B$4:$B$865,MATCH(DH9,'Avoided Cost Benefits'!$A$4:$A$865,0)))*F9</f>
        <v>62.884620572469409</v>
      </c>
      <c r="DJ9" s="1185">
        <f>M9/(1.0686^(2025-2025))</f>
        <v>5</v>
      </c>
    </row>
    <row r="10" spans="1:114">
      <c r="B10" s="1454">
        <f t="shared" si="0"/>
        <v>300101</v>
      </c>
      <c r="C10" s="2785" t="s">
        <v>1452</v>
      </c>
      <c r="D10" s="2409" t="s">
        <v>1139</v>
      </c>
      <c r="E10" s="2308" t="s">
        <v>1453</v>
      </c>
      <c r="F10" s="3003">
        <f>ROUND(I10+J10,2)</f>
        <v>57.1</v>
      </c>
      <c r="G10" s="2497" t="s">
        <v>1205</v>
      </c>
      <c r="H10" s="2213">
        <f>VLOOKUP(G10,'CP FACTORS'!$A$3:$B$38, 2, FALSE)</f>
        <v>4.6608050000000002E-4</v>
      </c>
      <c r="I10" s="2599">
        <f>F$20*F$21*F$23*F$24*F26*F29</f>
        <v>25.5</v>
      </c>
      <c r="J10" s="2599">
        <f>F$31*F$21*F$33*F$24*F26*F29</f>
        <v>31.6</v>
      </c>
      <c r="K10" s="2481">
        <f>ROUND(H10*F10,6)</f>
        <v>2.6613000000000001E-2</v>
      </c>
      <c r="L10" s="2480">
        <f>$F$34</f>
        <v>5</v>
      </c>
      <c r="M10" s="2482">
        <f>F36</f>
        <v>5</v>
      </c>
      <c r="N10" s="2408" t="s">
        <v>62</v>
      </c>
      <c r="V10" s="2425" t="str">
        <f>$F$6</f>
        <v>kWh Annual Savings</v>
      </c>
      <c r="W10" s="2550"/>
      <c r="X10" s="2505"/>
      <c r="Y10" s="2552">
        <v>85.65</v>
      </c>
      <c r="Z10" s="2553">
        <v>85.65</v>
      </c>
      <c r="AA10" s="2553">
        <v>85.65</v>
      </c>
      <c r="AB10" s="2555">
        <v>85.65</v>
      </c>
      <c r="AC10" s="3004">
        <v>85.65</v>
      </c>
      <c r="AD10" s="3004">
        <v>85.65</v>
      </c>
      <c r="AE10" s="3004">
        <v>85.65</v>
      </c>
      <c r="AF10" s="2236">
        <f>IF(F10&lt;&gt;"",F10,"")</f>
        <v>57.1</v>
      </c>
      <c r="AG10" s="356"/>
      <c r="AH10" s="121"/>
      <c r="DG10" s="3005">
        <f>(DI10)/(DJ10)</f>
        <v>6.0730855554976806</v>
      </c>
      <c r="DH10" s="2423" t="str">
        <f>CONCATENATE(G10," ",L10," Year EUL")</f>
        <v>HVAC RES 5 Year EUL</v>
      </c>
      <c r="DI10" s="2878">
        <f>(INDEX('Avoided Cost Benefits'!$B$4:$B$865,MATCH(DH10,'Avoided Cost Benefits'!$A$4:$A$865,0)))*F10</f>
        <v>30.365427777488403</v>
      </c>
      <c r="DJ10" s="2927">
        <f>M10/(1.0686^(2025-2025))</f>
        <v>5</v>
      </c>
    </row>
    <row r="11" spans="1:114" hidden="1" outlineLevel="1">
      <c r="B11" s="579"/>
      <c r="C11" s="133"/>
      <c r="D11" s="77" t="s">
        <v>118</v>
      </c>
      <c r="E11" s="283" t="s">
        <v>1454</v>
      </c>
      <c r="F11" s="1464"/>
      <c r="G11" s="281"/>
      <c r="H11" s="974"/>
      <c r="I11" s="540"/>
      <c r="J11" s="1465"/>
      <c r="K11" s="1466"/>
      <c r="L11" s="625"/>
      <c r="M11" s="1467"/>
      <c r="N11" s="283"/>
      <c r="DJ11" s="1184"/>
    </row>
    <row r="12" spans="1:114" hidden="1" outlineLevel="1">
      <c r="B12" s="579"/>
      <c r="C12" s="133"/>
      <c r="D12" s="77" t="s">
        <v>963</v>
      </c>
      <c r="E12" s="283" t="s">
        <v>1455</v>
      </c>
      <c r="F12" s="980"/>
      <c r="G12" s="283"/>
      <c r="H12" s="283"/>
      <c r="I12" s="283"/>
      <c r="J12" s="283"/>
      <c r="K12" s="283"/>
      <c r="L12" s="283"/>
      <c r="M12" s="606"/>
      <c r="N12" s="283"/>
      <c r="O12" s="283"/>
      <c r="P12" s="283"/>
      <c r="Q12" s="283"/>
      <c r="R12" s="283"/>
      <c r="DJ12" s="1184"/>
    </row>
    <row r="13" spans="1:114" hidden="1" outlineLevel="1">
      <c r="B13" s="579"/>
      <c r="C13" s="133"/>
      <c r="D13" s="77"/>
      <c r="E13" s="283" t="s">
        <v>1456</v>
      </c>
      <c r="F13" s="980"/>
      <c r="G13" s="283"/>
      <c r="H13" s="283"/>
      <c r="I13" s="283"/>
      <c r="J13" s="283"/>
      <c r="K13" s="283"/>
      <c r="L13" s="283"/>
      <c r="M13" s="606"/>
      <c r="N13" s="283"/>
      <c r="O13" s="283"/>
      <c r="P13" s="283"/>
      <c r="Q13" s="283"/>
      <c r="R13" s="283"/>
      <c r="DJ13" s="1184"/>
    </row>
    <row r="14" spans="1:114" hidden="1" outlineLevel="1">
      <c r="B14" s="579"/>
      <c r="C14" s="133"/>
      <c r="D14" s="77"/>
      <c r="E14" s="283" t="s">
        <v>1457</v>
      </c>
      <c r="F14" s="980"/>
      <c r="G14" s="283"/>
      <c r="H14" s="283"/>
      <c r="I14" s="283"/>
      <c r="J14" s="283"/>
      <c r="K14" s="283"/>
      <c r="L14" s="283"/>
      <c r="M14" s="606"/>
      <c r="N14" s="283"/>
      <c r="O14" s="283"/>
      <c r="P14" s="283"/>
      <c r="Q14" s="283"/>
      <c r="R14" s="283"/>
      <c r="DJ14" s="1184"/>
    </row>
    <row r="15" spans="1:114" hidden="1" outlineLevel="1">
      <c r="B15" s="579"/>
      <c r="C15" s="133"/>
      <c r="D15" s="834"/>
      <c r="E15" s="299" t="s">
        <v>966</v>
      </c>
      <c r="F15" s="299"/>
      <c r="G15" s="299"/>
      <c r="H15" s="283"/>
      <c r="I15" s="283"/>
      <c r="J15" s="283"/>
      <c r="K15" s="283"/>
      <c r="L15" s="283"/>
      <c r="M15" s="606"/>
      <c r="N15" s="283"/>
      <c r="O15" s="283"/>
      <c r="P15" s="283"/>
      <c r="Q15" s="283"/>
      <c r="R15" s="283"/>
      <c r="DJ15" s="1184"/>
    </row>
    <row r="16" spans="1:114" hidden="1" outlineLevel="1">
      <c r="B16" s="579"/>
      <c r="C16" s="133"/>
      <c r="D16" s="834"/>
      <c r="E16" s="299"/>
      <c r="F16" s="299"/>
      <c r="G16" s="299"/>
      <c r="H16" s="283"/>
      <c r="I16" s="283"/>
      <c r="J16" s="283"/>
      <c r="K16" s="283"/>
      <c r="L16" s="283"/>
      <c r="M16" s="283"/>
      <c r="N16" s="283"/>
      <c r="O16" s="283"/>
      <c r="P16" s="283"/>
      <c r="Q16" s="283"/>
      <c r="R16" s="532"/>
      <c r="DJ16" s="1184"/>
    </row>
    <row r="17" spans="2:114" hidden="1" outlineLevel="1">
      <c r="B17" s="579"/>
      <c r="C17" s="133"/>
      <c r="D17" s="133"/>
      <c r="E17" s="283"/>
      <c r="F17" s="283"/>
      <c r="G17" s="283"/>
      <c r="H17" s="283"/>
      <c r="I17" s="283"/>
      <c r="J17" s="283"/>
      <c r="K17" s="283"/>
      <c r="L17" s="283"/>
      <c r="M17" s="283"/>
      <c r="N17" s="283"/>
      <c r="O17" s="283"/>
      <c r="P17" s="283"/>
      <c r="Q17" s="283"/>
      <c r="R17" s="532"/>
      <c r="DJ17" s="1184"/>
    </row>
    <row r="18" spans="2:114" hidden="1" outlineLevel="1">
      <c r="B18" s="579"/>
      <c r="C18" s="133"/>
      <c r="D18" s="1443" t="s">
        <v>1078</v>
      </c>
      <c r="E18" s="1429" t="s">
        <v>967</v>
      </c>
      <c r="F18" s="1371" t="s">
        <v>969</v>
      </c>
      <c r="G18" s="4068" t="s">
        <v>970</v>
      </c>
      <c r="H18" s="4068"/>
      <c r="I18" s="1371" t="s">
        <v>1079</v>
      </c>
      <c r="J18" s="283"/>
      <c r="K18" s="283"/>
      <c r="L18" s="283"/>
      <c r="M18" s="283"/>
      <c r="N18" s="283"/>
      <c r="O18" s="283"/>
      <c r="P18" s="283"/>
      <c r="Q18" s="283"/>
      <c r="R18" s="532"/>
      <c r="V18" s="177" t="s">
        <v>52</v>
      </c>
      <c r="W18" s="115">
        <f>$W$6</f>
        <v>43252</v>
      </c>
      <c r="X18" s="115">
        <f>$X$6</f>
        <v>43465</v>
      </c>
      <c r="Y18" s="115">
        <f>$Y$6</f>
        <v>43800</v>
      </c>
      <c r="Z18" s="115">
        <f>$Z$6</f>
        <v>43862</v>
      </c>
      <c r="AA18" s="115">
        <f>$AA$6</f>
        <v>44013</v>
      </c>
      <c r="AB18" s="115">
        <f>$AB$6</f>
        <v>44166</v>
      </c>
      <c r="AC18" s="669">
        <f>$AC$6</f>
        <v>44531</v>
      </c>
      <c r="AD18" s="669">
        <f>$AD$6</f>
        <v>44774</v>
      </c>
      <c r="AE18" s="669">
        <f>$AE$6</f>
        <v>45139</v>
      </c>
      <c r="AF18" s="669">
        <f>$AF$6</f>
        <v>45672</v>
      </c>
      <c r="AG18" s="669" t="str">
        <f>$AG$6</f>
        <v>-</v>
      </c>
      <c r="AH18" s="1578"/>
      <c r="AI18" s="1578"/>
      <c r="AJ18" s="1578"/>
      <c r="DJ18" s="1184"/>
    </row>
    <row r="19" spans="2:114" hidden="1" outlineLevel="1">
      <c r="B19" s="579"/>
      <c r="C19" s="133"/>
      <c r="D19" s="4171" t="s">
        <v>1458</v>
      </c>
      <c r="E19" s="2790" t="s">
        <v>1459</v>
      </c>
      <c r="F19" s="2896">
        <v>0.95652173913043481</v>
      </c>
      <c r="G19" s="4185" t="s">
        <v>1460</v>
      </c>
      <c r="H19" s="4185"/>
      <c r="I19" s="1430"/>
      <c r="J19" s="283"/>
      <c r="K19" s="283"/>
      <c r="L19" s="283"/>
      <c r="M19" s="283"/>
      <c r="N19" s="283"/>
      <c r="O19" s="283"/>
      <c r="P19" s="283"/>
      <c r="Q19" s="283"/>
      <c r="R19" s="532"/>
      <c r="V19" s="4171" t="str">
        <f>D19</f>
        <v>%Heating</v>
      </c>
      <c r="W19" s="2793">
        <v>0.95</v>
      </c>
      <c r="X19" s="2804">
        <v>0.8571428571428571</v>
      </c>
      <c r="Y19" s="2804">
        <v>0.95652173913043481</v>
      </c>
      <c r="Z19" s="3006">
        <v>0.95652173913043481</v>
      </c>
      <c r="AA19" s="3006">
        <v>0.95652173913043481</v>
      </c>
      <c r="AB19" s="2794">
        <v>0.95652173913043481</v>
      </c>
      <c r="AC19" s="2794">
        <v>0.95652173913043481</v>
      </c>
      <c r="AD19" s="2794">
        <v>0.95652173913043481</v>
      </c>
      <c r="AE19" s="2794">
        <v>0.95652173913043481</v>
      </c>
      <c r="AF19" s="2236">
        <f t="shared" ref="AF19:AF37" si="1">IF(F19&lt;&gt;"",F19,"")</f>
        <v>0.95652173913043481</v>
      </c>
      <c r="AG19" s="356"/>
      <c r="DJ19" s="1184"/>
    </row>
    <row r="20" spans="2:114" hidden="1" outlineLevel="1">
      <c r="B20" s="579"/>
      <c r="C20" s="133"/>
      <c r="D20" s="4171"/>
      <c r="E20" s="1430" t="s">
        <v>1461</v>
      </c>
      <c r="F20" s="1661">
        <v>1</v>
      </c>
      <c r="G20" s="4189" t="s">
        <v>1462</v>
      </c>
      <c r="H20" s="4190"/>
      <c r="I20" s="1430"/>
      <c r="J20" s="283"/>
      <c r="K20" s="283"/>
      <c r="L20" s="283"/>
      <c r="M20" s="283"/>
      <c r="N20" s="283"/>
      <c r="O20" s="283"/>
      <c r="P20" s="283"/>
      <c r="Q20" s="283"/>
      <c r="R20" s="532"/>
      <c r="V20" s="4171"/>
      <c r="W20" s="313">
        <f>W19</f>
        <v>0.95</v>
      </c>
      <c r="X20" s="313">
        <v>0.95</v>
      </c>
      <c r="Y20" s="1460">
        <v>1</v>
      </c>
      <c r="Z20" s="313">
        <v>1</v>
      </c>
      <c r="AA20" s="313">
        <v>1</v>
      </c>
      <c r="AB20" s="190">
        <v>1</v>
      </c>
      <c r="AC20" s="190">
        <v>1</v>
      </c>
      <c r="AD20" s="190">
        <v>1</v>
      </c>
      <c r="AE20" s="190">
        <v>1</v>
      </c>
      <c r="AF20" s="271">
        <f t="shared" si="1"/>
        <v>1</v>
      </c>
      <c r="AG20" s="356"/>
      <c r="DJ20" s="1184"/>
    </row>
    <row r="21" spans="2:114" hidden="1" outlineLevel="1">
      <c r="B21" s="579"/>
      <c r="C21" s="133"/>
      <c r="D21" s="1391" t="s">
        <v>48</v>
      </c>
      <c r="E21" s="1430" t="s">
        <v>1102</v>
      </c>
      <c r="F21" s="1681">
        <v>0.5</v>
      </c>
      <c r="G21" s="4189" t="s">
        <v>1462</v>
      </c>
      <c r="H21" s="4190"/>
      <c r="I21" s="1430"/>
      <c r="J21" s="283"/>
      <c r="K21" s="283"/>
      <c r="L21" s="283"/>
      <c r="M21" s="283"/>
      <c r="N21" s="283"/>
      <c r="O21" s="283"/>
      <c r="P21" s="283"/>
      <c r="Q21" s="283"/>
      <c r="R21" s="532"/>
      <c r="V21" s="1391" t="str">
        <f>D21</f>
        <v>kW</v>
      </c>
      <c r="W21" s="309">
        <v>0.5</v>
      </c>
      <c r="X21" s="309">
        <v>0.5</v>
      </c>
      <c r="Y21" s="309">
        <v>0.5</v>
      </c>
      <c r="Z21" s="309">
        <v>0.5</v>
      </c>
      <c r="AA21" s="309">
        <v>0.5</v>
      </c>
      <c r="AB21" s="338">
        <v>0.5</v>
      </c>
      <c r="AC21" s="338">
        <v>0.5</v>
      </c>
      <c r="AD21" s="338">
        <v>0.5</v>
      </c>
      <c r="AE21" s="338">
        <v>0.5</v>
      </c>
      <c r="AF21" s="271">
        <f t="shared" si="1"/>
        <v>0.5</v>
      </c>
      <c r="AG21" s="356"/>
      <c r="DJ21" s="1184"/>
    </row>
    <row r="22" spans="2:114" hidden="1" outlineLevel="1">
      <c r="B22" s="579"/>
      <c r="C22" s="133"/>
      <c r="D22" s="4171" t="s">
        <v>1463</v>
      </c>
      <c r="E22" s="1430" t="s">
        <v>1115</v>
      </c>
      <c r="F22" s="1680">
        <v>1496</v>
      </c>
      <c r="G22" s="4188" t="s">
        <v>1464</v>
      </c>
      <c r="H22" s="4188"/>
      <c r="I22" s="1430"/>
      <c r="J22" s="283"/>
      <c r="K22" s="283"/>
      <c r="L22" s="283"/>
      <c r="M22" s="283"/>
      <c r="N22" s="283"/>
      <c r="O22" s="283"/>
      <c r="P22" s="283"/>
      <c r="Q22" s="283"/>
      <c r="R22" s="532"/>
      <c r="V22" s="4171" t="str">
        <f>D22</f>
        <v>EFLHheat</v>
      </c>
      <c r="W22" s="444">
        <v>1496</v>
      </c>
      <c r="X22" s="444">
        <v>1496</v>
      </c>
      <c r="Y22" s="444">
        <v>1496</v>
      </c>
      <c r="Z22" s="444">
        <v>1496</v>
      </c>
      <c r="AA22" s="444">
        <v>1496</v>
      </c>
      <c r="AB22" s="337">
        <v>1496</v>
      </c>
      <c r="AC22" s="337">
        <v>1496</v>
      </c>
      <c r="AD22" s="337">
        <v>1496</v>
      </c>
      <c r="AE22" s="337">
        <v>1496</v>
      </c>
      <c r="AF22" s="271">
        <f t="shared" si="1"/>
        <v>1496</v>
      </c>
      <c r="AG22" s="356"/>
      <c r="DJ22" s="1184"/>
    </row>
    <row r="23" spans="2:114" hidden="1" outlineLevel="1">
      <c r="B23" s="579"/>
      <c r="C23" s="133"/>
      <c r="D23" s="4188"/>
      <c r="E23" s="2790" t="s">
        <v>1465</v>
      </c>
      <c r="F23" s="2485">
        <v>510</v>
      </c>
      <c r="G23" s="4187" t="s">
        <v>1466</v>
      </c>
      <c r="H23" s="4187"/>
      <c r="I23" s="1430"/>
      <c r="J23" s="283"/>
      <c r="K23" s="283"/>
      <c r="L23" s="283"/>
      <c r="M23" s="283"/>
      <c r="N23" s="283"/>
      <c r="O23" s="283"/>
      <c r="P23" s="283"/>
      <c r="Q23" s="283"/>
      <c r="R23" s="532"/>
      <c r="V23" s="4188"/>
      <c r="W23" s="444"/>
      <c r="X23" s="444"/>
      <c r="Y23" s="2491">
        <v>510</v>
      </c>
      <c r="Z23" s="2492">
        <v>510</v>
      </c>
      <c r="AA23" s="2492">
        <v>510</v>
      </c>
      <c r="AB23" s="2821">
        <v>510</v>
      </c>
      <c r="AC23" s="2821">
        <v>510</v>
      </c>
      <c r="AD23" s="2821">
        <v>510</v>
      </c>
      <c r="AE23" s="2821">
        <v>510</v>
      </c>
      <c r="AF23" s="2236">
        <f t="shared" si="1"/>
        <v>510</v>
      </c>
      <c r="AG23" s="356"/>
      <c r="DJ23" s="1184"/>
    </row>
    <row r="24" spans="2:114" hidden="1" outlineLevel="1">
      <c r="B24" s="579"/>
      <c r="C24" s="133"/>
      <c r="D24" s="128" t="s">
        <v>1467</v>
      </c>
      <c r="E24" s="1430" t="s">
        <v>1102</v>
      </c>
      <c r="F24" s="1682">
        <v>0.1</v>
      </c>
      <c r="G24" s="4186" t="s">
        <v>1468</v>
      </c>
      <c r="H24" s="4186"/>
      <c r="I24" s="1430"/>
      <c r="J24" s="283"/>
      <c r="K24" s="283"/>
      <c r="L24" s="283"/>
      <c r="M24" s="283"/>
      <c r="N24" s="283"/>
      <c r="O24" s="283"/>
      <c r="P24" s="283"/>
      <c r="Q24" s="283"/>
      <c r="R24" s="532"/>
      <c r="V24" s="128" t="str">
        <f>D24</f>
        <v>EI</v>
      </c>
      <c r="W24" s="313">
        <v>0.15</v>
      </c>
      <c r="X24" s="313">
        <v>0.15</v>
      </c>
      <c r="Y24" s="313">
        <v>0.15</v>
      </c>
      <c r="Z24" s="313">
        <v>0.15</v>
      </c>
      <c r="AA24" s="313">
        <v>0.15</v>
      </c>
      <c r="AB24" s="146">
        <v>0.15</v>
      </c>
      <c r="AC24" s="146">
        <v>0.15</v>
      </c>
      <c r="AD24" s="146">
        <v>0.15</v>
      </c>
      <c r="AE24" s="146">
        <v>0.15</v>
      </c>
      <c r="AF24" s="271">
        <f t="shared" si="1"/>
        <v>0.1</v>
      </c>
      <c r="AG24" s="356"/>
      <c r="DJ24" s="1184"/>
    </row>
    <row r="25" spans="2:114" hidden="1" outlineLevel="1">
      <c r="B25" s="579"/>
      <c r="C25" s="133"/>
      <c r="D25" s="4192" t="s">
        <v>1368</v>
      </c>
      <c r="E25" s="2790" t="s">
        <v>1459</v>
      </c>
      <c r="F25" s="2779">
        <v>0.72</v>
      </c>
      <c r="G25" s="4187" t="s">
        <v>1469</v>
      </c>
      <c r="H25" s="4187"/>
      <c r="I25" s="1430"/>
      <c r="J25" s="283"/>
      <c r="K25" s="283"/>
      <c r="L25" s="283"/>
      <c r="M25" s="283"/>
      <c r="N25" s="283"/>
      <c r="O25" s="283"/>
      <c r="P25" s="283"/>
      <c r="Q25" s="283"/>
      <c r="R25" s="532"/>
      <c r="V25" s="4193" t="s">
        <v>1368</v>
      </c>
      <c r="W25" s="2789">
        <v>0.86</v>
      </c>
      <c r="X25" s="2515">
        <v>0.89859999999999995</v>
      </c>
      <c r="Y25" s="2515">
        <v>0.91869999999999996</v>
      </c>
      <c r="Z25" s="2516">
        <v>0.91869999999999996</v>
      </c>
      <c r="AA25" s="2516">
        <v>0.91869999999999996</v>
      </c>
      <c r="AB25" s="2795">
        <v>0.72</v>
      </c>
      <c r="AC25" s="2794">
        <v>0.72</v>
      </c>
      <c r="AD25" s="2794">
        <v>0.72</v>
      </c>
      <c r="AE25" s="2794">
        <v>0.72</v>
      </c>
      <c r="AF25" s="2236">
        <f t="shared" si="1"/>
        <v>0.72</v>
      </c>
      <c r="AG25" s="356"/>
      <c r="DJ25" s="1184"/>
    </row>
    <row r="26" spans="2:114" hidden="1" outlineLevel="1">
      <c r="B26" s="579"/>
      <c r="C26" s="133"/>
      <c r="D26" s="4192"/>
      <c r="E26" s="1430" t="s">
        <v>1461</v>
      </c>
      <c r="F26" s="1685">
        <v>1</v>
      </c>
      <c r="G26" s="4189" t="s">
        <v>1462</v>
      </c>
      <c r="H26" s="4190"/>
      <c r="I26" s="1430"/>
      <c r="J26" s="283"/>
      <c r="K26" s="283"/>
      <c r="L26" s="283"/>
      <c r="M26" s="283"/>
      <c r="N26" s="283"/>
      <c r="O26" s="283"/>
      <c r="P26" s="283"/>
      <c r="Q26" s="283"/>
      <c r="V26" s="4193"/>
      <c r="W26" s="190">
        <v>1</v>
      </c>
      <c r="X26" s="190">
        <v>1</v>
      </c>
      <c r="Y26" s="190">
        <v>1</v>
      </c>
      <c r="Z26" s="190">
        <v>1</v>
      </c>
      <c r="AA26" s="190">
        <v>1</v>
      </c>
      <c r="AB26" s="146">
        <v>1</v>
      </c>
      <c r="AC26" s="146">
        <v>1</v>
      </c>
      <c r="AD26" s="146">
        <v>1</v>
      </c>
      <c r="AE26" s="146">
        <v>1</v>
      </c>
      <c r="AF26" s="271">
        <f t="shared" si="1"/>
        <v>1</v>
      </c>
      <c r="AG26" s="356"/>
      <c r="DJ26" s="1184"/>
    </row>
    <row r="27" spans="2:114" hidden="1" outlineLevel="1">
      <c r="B27" s="579"/>
      <c r="C27" s="133"/>
      <c r="D27" s="4084" t="s">
        <v>128</v>
      </c>
      <c r="E27" s="2790" t="s">
        <v>1459</v>
      </c>
      <c r="F27" s="2376">
        <v>0.44</v>
      </c>
      <c r="G27" s="4187" t="s">
        <v>1470</v>
      </c>
      <c r="H27" s="4187"/>
      <c r="I27" s="1430"/>
      <c r="J27" s="283"/>
      <c r="K27" s="283"/>
      <c r="L27" s="283"/>
      <c r="M27" s="283"/>
      <c r="N27" s="283"/>
      <c r="O27" s="283"/>
      <c r="P27" s="283"/>
      <c r="Q27" s="283"/>
      <c r="V27" s="4194" t="s">
        <v>128</v>
      </c>
      <c r="W27" s="2820">
        <v>0.47</v>
      </c>
      <c r="X27" s="2804">
        <v>0.44871794871794873</v>
      </c>
      <c r="Y27" s="2804">
        <v>0.39175257731958762</v>
      </c>
      <c r="Z27" s="3006">
        <v>0.39175257731958762</v>
      </c>
      <c r="AA27" s="3006">
        <v>0.39175257731958762</v>
      </c>
      <c r="AB27" s="2795">
        <v>0.44</v>
      </c>
      <c r="AC27" s="2794">
        <v>0.44</v>
      </c>
      <c r="AD27" s="2794">
        <v>0.44</v>
      </c>
      <c r="AE27" s="2794">
        <v>0.44</v>
      </c>
      <c r="AF27" s="2236">
        <f t="shared" si="1"/>
        <v>0.44</v>
      </c>
      <c r="AG27" s="356"/>
      <c r="DJ27" s="1184"/>
    </row>
    <row r="28" spans="2:114" ht="60" hidden="1" outlineLevel="1">
      <c r="B28" s="579"/>
      <c r="C28" s="133"/>
      <c r="D28" s="4085"/>
      <c r="E28" s="2790" t="s">
        <v>1471</v>
      </c>
      <c r="F28" s="2376">
        <v>0.57889999999999997</v>
      </c>
      <c r="G28" s="4187" t="s">
        <v>1472</v>
      </c>
      <c r="H28" s="4187"/>
      <c r="I28" s="1633" t="s">
        <v>1473</v>
      </c>
      <c r="J28" s="283"/>
      <c r="K28" s="283"/>
      <c r="L28" s="283"/>
      <c r="M28" s="283"/>
      <c r="N28" s="283"/>
      <c r="O28" s="283"/>
      <c r="P28" s="283"/>
      <c r="Q28" s="283"/>
      <c r="V28" s="4195"/>
      <c r="W28" s="2820"/>
      <c r="X28" s="2804"/>
      <c r="Y28" s="2804"/>
      <c r="Z28" s="3006"/>
      <c r="AA28" s="3006"/>
      <c r="AB28" s="2795">
        <v>0.57889999999999997</v>
      </c>
      <c r="AC28" s="2794">
        <v>0.57889999999999997</v>
      </c>
      <c r="AD28" s="2794">
        <v>0.57889999999999997</v>
      </c>
      <c r="AE28" s="2794">
        <v>0.57889999999999997</v>
      </c>
      <c r="AF28" s="2236">
        <f t="shared" si="1"/>
        <v>0.57889999999999997</v>
      </c>
      <c r="AG28" s="356"/>
      <c r="DJ28" s="1184"/>
    </row>
    <row r="29" spans="2:114" hidden="1" outlineLevel="1">
      <c r="B29" s="579"/>
      <c r="C29" s="133"/>
      <c r="D29" s="4095"/>
      <c r="E29" s="1430" t="s">
        <v>1461</v>
      </c>
      <c r="F29" s="1698">
        <v>1</v>
      </c>
      <c r="G29" s="4188" t="s">
        <v>1474</v>
      </c>
      <c r="H29" s="4188"/>
      <c r="I29" s="1430"/>
      <c r="J29" s="283"/>
      <c r="K29" s="283"/>
      <c r="L29" s="283"/>
      <c r="M29" s="283"/>
      <c r="N29" s="283"/>
      <c r="O29" s="283"/>
      <c r="P29" s="283"/>
      <c r="Q29" s="283"/>
      <c r="V29" s="4196"/>
      <c r="W29" s="313">
        <v>0.47</v>
      </c>
      <c r="X29" s="1460">
        <v>1</v>
      </c>
      <c r="Y29" s="1460">
        <v>1</v>
      </c>
      <c r="Z29" s="313">
        <v>1</v>
      </c>
      <c r="AA29" s="313">
        <v>1</v>
      </c>
      <c r="AB29" s="146">
        <v>1</v>
      </c>
      <c r="AC29" s="146">
        <v>1</v>
      </c>
      <c r="AD29" s="146">
        <v>1</v>
      </c>
      <c r="AE29" s="146">
        <v>1</v>
      </c>
      <c r="AF29" s="271">
        <f t="shared" si="1"/>
        <v>1</v>
      </c>
      <c r="AG29" s="356"/>
      <c r="DJ29" s="1184"/>
    </row>
    <row r="30" spans="2:114" hidden="1" outlineLevel="1">
      <c r="B30" s="579"/>
      <c r="C30" s="133"/>
      <c r="D30" s="4171" t="s">
        <v>1112</v>
      </c>
      <c r="E30" s="2790" t="s">
        <v>1459</v>
      </c>
      <c r="F30" s="2896">
        <v>0.95652173913043481</v>
      </c>
      <c r="G30" s="4185" t="s">
        <v>1460</v>
      </c>
      <c r="H30" s="4185"/>
      <c r="I30" s="1430"/>
      <c r="J30" s="283"/>
      <c r="K30" s="283"/>
      <c r="L30" s="283"/>
      <c r="M30" s="283"/>
      <c r="N30" s="283"/>
      <c r="O30" s="283"/>
      <c r="P30" s="283"/>
      <c r="Q30" s="283"/>
      <c r="V30" s="4171" t="str">
        <f>D30</f>
        <v>%AC</v>
      </c>
      <c r="W30" s="2820">
        <v>0.95</v>
      </c>
      <c r="X30" s="2804">
        <v>0.96938775510204078</v>
      </c>
      <c r="Y30" s="2804">
        <v>0.95652173913043481</v>
      </c>
      <c r="Z30" s="3006">
        <v>0.95652173913043481</v>
      </c>
      <c r="AA30" s="3006">
        <v>0.95652173913043481</v>
      </c>
      <c r="AB30" s="2805">
        <v>0.95652173913043481</v>
      </c>
      <c r="AC30" s="2794">
        <v>0.95652173913043481</v>
      </c>
      <c r="AD30" s="2794">
        <v>0.95652173913043481</v>
      </c>
      <c r="AE30" s="2794">
        <v>0.95652173913043481</v>
      </c>
      <c r="AF30" s="2236">
        <f t="shared" si="1"/>
        <v>0.95652173913043481</v>
      </c>
      <c r="AG30" s="356"/>
      <c r="DJ30" s="1184"/>
    </row>
    <row r="31" spans="2:114" hidden="1" outlineLevel="1">
      <c r="B31" s="579"/>
      <c r="C31" s="133"/>
      <c r="D31" s="4171"/>
      <c r="E31" s="1430" t="s">
        <v>1461</v>
      </c>
      <c r="F31" s="1661">
        <v>1</v>
      </c>
      <c r="G31" s="4190" t="s">
        <v>1475</v>
      </c>
      <c r="H31" s="4190"/>
      <c r="I31" s="1430"/>
      <c r="J31" s="283"/>
      <c r="K31" s="283"/>
      <c r="L31" s="283"/>
      <c r="M31" s="283"/>
      <c r="N31" s="283"/>
      <c r="O31" s="283"/>
      <c r="P31" s="283"/>
      <c r="Q31" s="283"/>
      <c r="V31" s="4171"/>
      <c r="W31" s="313">
        <f>W30</f>
        <v>0.95</v>
      </c>
      <c r="X31" s="1460">
        <v>1</v>
      </c>
      <c r="Y31" s="1460">
        <v>1</v>
      </c>
      <c r="Z31" s="313">
        <v>1</v>
      </c>
      <c r="AA31" s="313">
        <v>1</v>
      </c>
      <c r="AB31" s="146">
        <v>1</v>
      </c>
      <c r="AC31" s="146">
        <v>1</v>
      </c>
      <c r="AD31" s="146">
        <v>1</v>
      </c>
      <c r="AE31" s="146">
        <v>1</v>
      </c>
      <c r="AF31" s="271">
        <f t="shared" si="1"/>
        <v>1</v>
      </c>
      <c r="AG31" s="356"/>
      <c r="DJ31" s="1184"/>
    </row>
    <row r="32" spans="2:114" hidden="1" outlineLevel="1">
      <c r="B32" s="579"/>
      <c r="C32" s="133"/>
      <c r="D32" s="4171" t="s">
        <v>1476</v>
      </c>
      <c r="E32" s="1563" t="s">
        <v>1122</v>
      </c>
      <c r="F32" s="1697">
        <v>869</v>
      </c>
      <c r="G32" s="4188" t="s">
        <v>1477</v>
      </c>
      <c r="H32" s="4188"/>
      <c r="I32" s="1430"/>
      <c r="J32" s="283"/>
      <c r="K32" s="283"/>
      <c r="L32" s="283"/>
      <c r="M32" s="606"/>
      <c r="N32" s="283"/>
      <c r="O32" s="283"/>
      <c r="P32" s="283"/>
      <c r="Q32" s="283"/>
      <c r="V32" s="4171" t="str">
        <f>D32</f>
        <v>EFLHcool</v>
      </c>
      <c r="W32" s="279">
        <v>869</v>
      </c>
      <c r="X32" s="444">
        <v>869</v>
      </c>
      <c r="Y32" s="444">
        <v>869</v>
      </c>
      <c r="Z32" s="444">
        <v>869</v>
      </c>
      <c r="AA32" s="444">
        <v>869</v>
      </c>
      <c r="AB32" s="337">
        <v>869</v>
      </c>
      <c r="AC32" s="337">
        <v>869</v>
      </c>
      <c r="AD32" s="337">
        <v>869</v>
      </c>
      <c r="AE32" s="337">
        <v>869</v>
      </c>
      <c r="AF32" s="271">
        <f t="shared" si="1"/>
        <v>869</v>
      </c>
      <c r="AG32" s="356"/>
      <c r="DJ32" s="1184"/>
    </row>
    <row r="33" spans="2:114" hidden="1" outlineLevel="1">
      <c r="B33" s="579"/>
      <c r="C33" s="133"/>
      <c r="D33" s="4188"/>
      <c r="E33" s="2790" t="s">
        <v>1465</v>
      </c>
      <c r="F33" s="2488">
        <v>632</v>
      </c>
      <c r="G33" s="4020" t="s">
        <v>1478</v>
      </c>
      <c r="H33" s="4020"/>
      <c r="I33" s="1430"/>
      <c r="J33" s="283"/>
      <c r="K33" s="283"/>
      <c r="L33" s="283"/>
      <c r="M33" s="606"/>
      <c r="N33" s="283"/>
      <c r="O33" s="283"/>
      <c r="P33" s="283"/>
      <c r="Q33" s="283"/>
      <c r="V33" s="4188"/>
      <c r="W33" s="279"/>
      <c r="X33" s="444"/>
      <c r="Y33" s="2491">
        <v>632</v>
      </c>
      <c r="Z33" s="2492">
        <v>632</v>
      </c>
      <c r="AA33" s="2492">
        <v>632</v>
      </c>
      <c r="AB33" s="2821">
        <v>632</v>
      </c>
      <c r="AC33" s="2821">
        <v>632</v>
      </c>
      <c r="AD33" s="2821">
        <v>632</v>
      </c>
      <c r="AE33" s="2821">
        <v>632</v>
      </c>
      <c r="AF33" s="2236">
        <f t="shared" si="1"/>
        <v>632</v>
      </c>
      <c r="AG33" s="356"/>
      <c r="DJ33" s="1184"/>
    </row>
    <row r="34" spans="2:114" hidden="1" outlineLevel="1">
      <c r="B34" s="579"/>
      <c r="C34" s="133"/>
      <c r="D34" s="128" t="s">
        <v>1437</v>
      </c>
      <c r="E34" s="1430" t="s">
        <v>1198</v>
      </c>
      <c r="F34" s="1695">
        <v>5</v>
      </c>
      <c r="G34" s="4198" t="s">
        <v>1479</v>
      </c>
      <c r="H34" s="4198"/>
      <c r="I34" s="1430"/>
      <c r="J34" s="283"/>
      <c r="K34" s="283"/>
      <c r="L34" s="283"/>
      <c r="M34" s="606"/>
      <c r="N34" s="283"/>
      <c r="O34" s="283"/>
      <c r="P34" s="283"/>
      <c r="Q34" s="283"/>
      <c r="V34" s="128" t="str">
        <f>D34</f>
        <v xml:space="preserve">EUL </v>
      </c>
      <c r="W34" s="134">
        <v>14</v>
      </c>
      <c r="X34" s="134">
        <v>14</v>
      </c>
      <c r="Y34" s="134">
        <v>14</v>
      </c>
      <c r="Z34" s="134">
        <v>14</v>
      </c>
      <c r="AA34" s="134">
        <v>14</v>
      </c>
      <c r="AB34" s="336">
        <v>14</v>
      </c>
      <c r="AC34" s="336">
        <v>14</v>
      </c>
      <c r="AD34" s="336">
        <v>14</v>
      </c>
      <c r="AE34" s="336">
        <v>14</v>
      </c>
      <c r="AF34" s="271">
        <f t="shared" si="1"/>
        <v>5</v>
      </c>
      <c r="AG34" s="134"/>
      <c r="DJ34" s="1184"/>
    </row>
    <row r="35" spans="2:114" hidden="1" outlineLevel="1">
      <c r="B35" s="579"/>
      <c r="C35" s="133"/>
      <c r="D35" s="4171" t="s">
        <v>50</v>
      </c>
      <c r="E35" s="1430" t="s">
        <v>1280</v>
      </c>
      <c r="F35" s="1659">
        <v>5</v>
      </c>
      <c r="G35" s="4199"/>
      <c r="H35" s="4199"/>
      <c r="I35" s="1430"/>
      <c r="J35" s="283"/>
      <c r="K35" s="283"/>
      <c r="L35" s="283"/>
      <c r="M35" s="606"/>
      <c r="N35" s="283"/>
      <c r="O35" s="283"/>
      <c r="P35" s="283"/>
      <c r="Q35" s="283"/>
      <c r="V35" s="4171" t="str">
        <f>D35</f>
        <v>Inc. Cost</v>
      </c>
      <c r="W35" s="135">
        <v>5</v>
      </c>
      <c r="X35" s="135">
        <v>5</v>
      </c>
      <c r="Y35" s="135">
        <v>5</v>
      </c>
      <c r="Z35" s="135">
        <v>5</v>
      </c>
      <c r="AA35" s="135">
        <v>5</v>
      </c>
      <c r="AB35" s="742">
        <v>5</v>
      </c>
      <c r="AC35" s="742">
        <v>5</v>
      </c>
      <c r="AD35" s="742">
        <v>5</v>
      </c>
      <c r="AE35" s="742">
        <v>5</v>
      </c>
      <c r="AF35" s="271">
        <f t="shared" si="1"/>
        <v>5</v>
      </c>
      <c r="AG35" s="136"/>
      <c r="DJ35" s="1184"/>
    </row>
    <row r="36" spans="2:114" hidden="1" outlineLevel="1">
      <c r="B36" s="579"/>
      <c r="C36" s="133"/>
      <c r="D36" s="4171" t="s">
        <v>50</v>
      </c>
      <c r="E36" s="1597" t="s">
        <v>1280</v>
      </c>
      <c r="F36" s="1699">
        <v>5</v>
      </c>
      <c r="G36" s="4199"/>
      <c r="H36" s="4199"/>
      <c r="I36" s="1430"/>
      <c r="J36" s="283"/>
      <c r="K36" s="283"/>
      <c r="L36" s="283"/>
      <c r="M36" s="606"/>
      <c r="N36" s="283"/>
      <c r="O36" s="283"/>
      <c r="P36" s="283"/>
      <c r="Q36" s="283"/>
      <c r="V36" s="4171"/>
      <c r="W36" s="2583">
        <v>5</v>
      </c>
      <c r="X36" s="2583">
        <v>5</v>
      </c>
      <c r="Y36" s="2583">
        <v>5</v>
      </c>
      <c r="Z36" s="2583">
        <v>5</v>
      </c>
      <c r="AA36" s="2583">
        <v>5</v>
      </c>
      <c r="AB36" s="2482">
        <v>5</v>
      </c>
      <c r="AC36" s="2482">
        <v>5</v>
      </c>
      <c r="AD36" s="2482">
        <v>5</v>
      </c>
      <c r="AE36" s="2482">
        <v>5</v>
      </c>
      <c r="AF36" s="2236">
        <f t="shared" si="1"/>
        <v>5</v>
      </c>
      <c r="AG36" s="136"/>
      <c r="DJ36" s="1184"/>
    </row>
    <row r="37" spans="2:114" hidden="1" outlineLevel="1">
      <c r="B37" s="579"/>
      <c r="C37" s="133"/>
      <c r="D37" s="1391" t="s">
        <v>1480</v>
      </c>
      <c r="E37" s="1430" t="s">
        <v>1481</v>
      </c>
      <c r="F37" s="1699" t="s">
        <v>1482</v>
      </c>
      <c r="G37" s="4199"/>
      <c r="H37" s="4199"/>
      <c r="I37" s="1430"/>
      <c r="J37" s="283"/>
      <c r="K37" s="283"/>
      <c r="L37" s="283"/>
      <c r="M37" s="606"/>
      <c r="N37" s="283"/>
      <c r="O37" s="283"/>
      <c r="P37" s="283"/>
      <c r="Q37" s="283"/>
      <c r="V37" s="1391" t="str">
        <f>D37</f>
        <v>P</v>
      </c>
      <c r="W37" s="134" t="s">
        <v>1482</v>
      </c>
      <c r="X37" s="134" t="s">
        <v>1482</v>
      </c>
      <c r="Y37" s="134" t="s">
        <v>1482</v>
      </c>
      <c r="Z37" s="134" t="s">
        <v>1482</v>
      </c>
      <c r="AA37" s="134" t="s">
        <v>1482</v>
      </c>
      <c r="AB37" s="742" t="s">
        <v>1482</v>
      </c>
      <c r="AC37" s="742" t="s">
        <v>1482</v>
      </c>
      <c r="AD37" s="742" t="s">
        <v>1482</v>
      </c>
      <c r="AE37" s="742" t="s">
        <v>1482</v>
      </c>
      <c r="AF37" s="271" t="str">
        <f t="shared" si="1"/>
        <v>None</v>
      </c>
      <c r="AG37" s="134"/>
      <c r="DJ37" s="1184"/>
    </row>
    <row r="38" spans="2:114" collapsed="1">
      <c r="B38" s="579"/>
      <c r="C38" s="133"/>
      <c r="D38" s="133"/>
      <c r="E38" s="606"/>
      <c r="F38" s="283"/>
      <c r="G38" s="283"/>
      <c r="H38" s="283"/>
      <c r="I38" s="283"/>
      <c r="J38" s="283"/>
      <c r="K38" s="283"/>
      <c r="L38" s="283"/>
      <c r="M38" s="606"/>
      <c r="N38" s="283"/>
      <c r="O38" s="283"/>
      <c r="P38" s="283"/>
      <c r="Q38" s="283"/>
    </row>
    <row r="39" spans="2:114">
      <c r="B39" s="4066" t="s">
        <v>1483</v>
      </c>
      <c r="C39" s="4067"/>
      <c r="D39" s="4067"/>
      <c r="E39" s="4067"/>
      <c r="F39" s="4067"/>
      <c r="G39" s="4067"/>
      <c r="H39" s="4067"/>
      <c r="I39" s="4826"/>
      <c r="J39" s="4826"/>
      <c r="K39" s="4826"/>
      <c r="L39" s="4826"/>
      <c r="M39" s="4826"/>
      <c r="N39" s="4827"/>
      <c r="O39" s="283"/>
      <c r="P39" s="283"/>
      <c r="Q39" s="283"/>
      <c r="V39" s="4066" t="str">
        <f>B39</f>
        <v xml:space="preserve">LEDs (per bulb) </v>
      </c>
      <c r="W39" s="4067"/>
      <c r="X39" s="4067"/>
      <c r="Y39" s="4067"/>
      <c r="Z39" s="4067"/>
      <c r="AA39" s="4067"/>
      <c r="AB39" s="4067"/>
      <c r="AC39" s="4837"/>
      <c r="AD39" s="4837"/>
      <c r="AE39" s="4837"/>
      <c r="AF39" s="4837"/>
      <c r="AG39" s="4837"/>
      <c r="AH39" s="4838"/>
    </row>
    <row r="40" spans="2:114">
      <c r="C40" s="104"/>
      <c r="M40" s="606"/>
      <c r="N40" s="283"/>
      <c r="O40" s="283"/>
      <c r="P40" s="283"/>
      <c r="Q40" s="283"/>
    </row>
    <row r="41" spans="2:114" ht="30">
      <c r="C41" s="1371" t="s">
        <v>42</v>
      </c>
      <c r="D41" s="1371" t="s">
        <v>953</v>
      </c>
      <c r="E41" s="111" t="s">
        <v>44</v>
      </c>
      <c r="F41" s="1371" t="s">
        <v>45</v>
      </c>
      <c r="G41" s="111" t="s">
        <v>46</v>
      </c>
      <c r="H41" s="111" t="s">
        <v>47</v>
      </c>
      <c r="I41" s="111" t="s">
        <v>48</v>
      </c>
      <c r="J41" s="111" t="s">
        <v>49</v>
      </c>
      <c r="K41" s="111" t="s">
        <v>50</v>
      </c>
      <c r="L41" s="1371" t="s">
        <v>51</v>
      </c>
      <c r="M41" s="606"/>
      <c r="N41" s="283"/>
      <c r="O41" s="283"/>
      <c r="P41" s="283"/>
      <c r="Q41" s="283"/>
      <c r="V41" s="177" t="s">
        <v>52</v>
      </c>
      <c r="W41" s="115">
        <f>$W$6</f>
        <v>43252</v>
      </c>
      <c r="X41" s="115">
        <f>$X$6</f>
        <v>43465</v>
      </c>
      <c r="Y41" s="115">
        <f>$Y$6</f>
        <v>43800</v>
      </c>
      <c r="Z41" s="115">
        <f>$Z$6</f>
        <v>43862</v>
      </c>
      <c r="AA41" s="115">
        <f>$AA$6</f>
        <v>44013</v>
      </c>
      <c r="AB41" s="115">
        <f>$AB$6</f>
        <v>44166</v>
      </c>
      <c r="AC41" s="669">
        <f>$AC$6</f>
        <v>44531</v>
      </c>
      <c r="AD41" s="669">
        <f>$AD$6</f>
        <v>44774</v>
      </c>
      <c r="AE41" s="669">
        <f>$AE$6</f>
        <v>45139</v>
      </c>
      <c r="AF41" s="669">
        <f>$AF$6</f>
        <v>45672</v>
      </c>
      <c r="AG41" s="669" t="str">
        <f>$AG$6</f>
        <v>-</v>
      </c>
      <c r="DG41" s="811" t="str">
        <f>$DG$6</f>
        <v>TRC (2025)</v>
      </c>
      <c r="DH41" s="811" t="str">
        <f>$DH$6</f>
        <v>Benefit Lookup</v>
      </c>
      <c r="DI41" s="1077" t="str">
        <f>$DI$6</f>
        <v>Benefits (2025 $)</v>
      </c>
      <c r="DJ41" s="1103" t="str">
        <f>$DJ$6</f>
        <v>Incremental Cost (2025 $)</v>
      </c>
    </row>
    <row r="42" spans="2:114">
      <c r="B42" s="1454">
        <f t="shared" ref="B42:B45" si="2">VALUE(LEFT(C42,6))</f>
        <v>300430</v>
      </c>
      <c r="C42" s="3007" t="s">
        <v>1484</v>
      </c>
      <c r="D42" s="2408" t="s">
        <v>1448</v>
      </c>
      <c r="E42" s="2425" t="s">
        <v>1413</v>
      </c>
      <c r="F42" s="2890">
        <f>ROUND((($G$56-$G$60)*$G$73*(1-$G$70)*$G$63*$G$66)/$G$65,2)</f>
        <v>26.15</v>
      </c>
      <c r="G42" s="2254" t="s">
        <v>1414</v>
      </c>
      <c r="H42" s="2548">
        <f>VLOOKUP(G42,'CP FACTORS'!$A$3:$B$38, 2, FALSE)</f>
        <v>1.4925290000000001E-4</v>
      </c>
      <c r="I42" s="2928">
        <f t="shared" ref="I42:I47" si="3">ROUND(F42*H42,6)</f>
        <v>3.9029999999999998E-3</v>
      </c>
      <c r="J42" s="2252">
        <f>$G$74</f>
        <v>20</v>
      </c>
      <c r="K42" s="3008">
        <f>$G$78</f>
        <v>3.35</v>
      </c>
      <c r="L42" s="2408" t="s">
        <v>62</v>
      </c>
      <c r="M42" s="283"/>
      <c r="N42" s="283"/>
      <c r="O42" s="283"/>
      <c r="P42" s="283"/>
      <c r="Q42" s="283"/>
      <c r="R42" s="532"/>
      <c r="V42" s="2724" t="s">
        <v>45</v>
      </c>
      <c r="W42" s="3012"/>
      <c r="X42" s="2449"/>
      <c r="Y42" s="2890"/>
      <c r="Z42" s="2555"/>
      <c r="AA42" s="2555"/>
      <c r="AB42" s="2447"/>
      <c r="AC42" s="2447">
        <v>26.15</v>
      </c>
      <c r="AD42" s="2890">
        <v>26.15</v>
      </c>
      <c r="AE42" s="2890">
        <v>26.15</v>
      </c>
      <c r="AF42" s="2236">
        <f t="shared" ref="AF42:AF44" si="4">IF(F42&lt;&gt;"",F42,"")</f>
        <v>26.15</v>
      </c>
      <c r="AG42" s="356"/>
      <c r="AH42" s="121"/>
      <c r="DG42" s="2877">
        <f t="shared" ref="DG42:DG47" si="5">(DI42)/(DJ42)</f>
        <v>5.9073576615594581</v>
      </c>
      <c r="DH42" s="2419" t="str">
        <f t="shared" ref="DH42:DH47" si="6">CONCATENATE(G42," ",J42," Year EUL")</f>
        <v>Lighting RES 20 Year EUL</v>
      </c>
      <c r="DI42" s="2878">
        <f>(INDEX('Avoided Cost Benefits'!$B$4:$B$865,MATCH(DH42,'Avoided Cost Benefits'!$A$4:$A$865,0)))*F42</f>
        <v>19.789648166224186</v>
      </c>
      <c r="DJ42" s="2927">
        <f t="shared" ref="DJ42:DJ47" si="7">K42/(1.0686^(2025-2025))</f>
        <v>3.35</v>
      </c>
    </row>
    <row r="43" spans="2:114">
      <c r="B43" s="1454">
        <f t="shared" si="2"/>
        <v>300431</v>
      </c>
      <c r="C43" s="1867" t="s">
        <v>1485</v>
      </c>
      <c r="D43" s="1540" t="s">
        <v>1486</v>
      </c>
      <c r="E43" s="1470" t="s">
        <v>1487</v>
      </c>
      <c r="F43" s="140">
        <f>ROUND((($G$54-$G$58)*$G$73*(1-$G$70)*$G$62*$G$66)/$G$65,2)</f>
        <v>30.06</v>
      </c>
      <c r="G43" s="119" t="s">
        <v>1414</v>
      </c>
      <c r="H43" s="1871">
        <f>VLOOKUP(G43,'CP FACTORS'!$A$3:$B$38, 2, FALSE)</f>
        <v>1.4925290000000001E-4</v>
      </c>
      <c r="I43" s="1868">
        <f t="shared" si="3"/>
        <v>4.4869999999999997E-3</v>
      </c>
      <c r="J43" s="50">
        <f>$G$75</f>
        <v>8</v>
      </c>
      <c r="K43" s="1242">
        <f>$G$77</f>
        <v>1.45</v>
      </c>
      <c r="L43" s="1540" t="s">
        <v>62</v>
      </c>
      <c r="M43" s="283"/>
      <c r="N43" s="283"/>
      <c r="O43" s="283"/>
      <c r="P43" s="283"/>
      <c r="Q43" s="283"/>
      <c r="R43" s="532"/>
      <c r="V43" s="676" t="s">
        <v>45</v>
      </c>
      <c r="W43" s="1579"/>
      <c r="X43" s="59"/>
      <c r="Y43" s="137"/>
      <c r="Z43" s="392"/>
      <c r="AA43" s="392"/>
      <c r="AB43" s="140"/>
      <c r="AC43" s="140"/>
      <c r="AD43" s="137"/>
      <c r="AE43" s="137"/>
      <c r="AF43" s="271">
        <f t="shared" si="4"/>
        <v>30.06</v>
      </c>
      <c r="AG43" s="356"/>
      <c r="AH43" s="121"/>
      <c r="DG43" s="202">
        <f>(DI43)/(DJ43)</f>
        <v>8.274709370539421</v>
      </c>
      <c r="DH43" s="1400" t="str">
        <f>CONCATENATE(G43," ",J43," Year EUL")</f>
        <v>Lighting RES 8 Year EUL</v>
      </c>
      <c r="DI43" s="1099">
        <f>(INDEX('Avoided Cost Benefits'!$B$4:$B$865,MATCH(DH43,'Avoided Cost Benefits'!$A$4:$A$865,0)))*F43</f>
        <v>11.99832858728216</v>
      </c>
      <c r="DJ43" s="1185">
        <f t="shared" si="7"/>
        <v>1.45</v>
      </c>
    </row>
    <row r="44" spans="2:114">
      <c r="B44" s="1454">
        <f t="shared" si="2"/>
        <v>300432</v>
      </c>
      <c r="C44" s="3007" t="s">
        <v>1488</v>
      </c>
      <c r="D44" s="2478" t="s">
        <v>1448</v>
      </c>
      <c r="E44" s="1622" t="s">
        <v>1489</v>
      </c>
      <c r="F44" s="2447">
        <f>ROUND((($G$55-$G$59)*$G$73*(1-$G$70)*$G$62*$G$66)/$G$65,2)</f>
        <v>37.6</v>
      </c>
      <c r="G44" s="2243" t="s">
        <v>1414</v>
      </c>
      <c r="H44" s="3009">
        <f>VLOOKUP(G44,'CP FACTORS'!$A$3:$B$38, 2, FALSE)</f>
        <v>1.4925290000000001E-4</v>
      </c>
      <c r="I44" s="3010">
        <f t="shared" si="3"/>
        <v>5.6119999999999998E-3</v>
      </c>
      <c r="J44" s="2252">
        <f>$G$75</f>
        <v>8</v>
      </c>
      <c r="K44" s="3008">
        <f>$G$77</f>
        <v>1.45</v>
      </c>
      <c r="L44" s="2478" t="s">
        <v>62</v>
      </c>
      <c r="M44" s="283"/>
      <c r="N44" s="283"/>
      <c r="O44" s="283"/>
      <c r="P44" s="283"/>
      <c r="Q44" s="283"/>
      <c r="R44" s="532"/>
      <c r="V44" s="2724" t="s">
        <v>45</v>
      </c>
      <c r="W44" s="3012"/>
      <c r="X44" s="2449"/>
      <c r="Y44" s="2890"/>
      <c r="Z44" s="2555"/>
      <c r="AA44" s="2555"/>
      <c r="AB44" s="2447"/>
      <c r="AC44" s="2447"/>
      <c r="AD44" s="2890"/>
      <c r="AE44" s="2890"/>
      <c r="AF44" s="2236">
        <f t="shared" si="4"/>
        <v>37.6</v>
      </c>
      <c r="AG44" s="356"/>
      <c r="AH44" s="121"/>
      <c r="DG44" s="2877">
        <f>(DI44)/(DJ44)</f>
        <v>10.350268540661418</v>
      </c>
      <c r="DH44" s="2419" t="str">
        <f>CONCATENATE(G44," ",J44," Year EUL")</f>
        <v>Lighting RES 8 Year EUL</v>
      </c>
      <c r="DI44" s="2878">
        <f>(INDEX('Avoided Cost Benefits'!$B$4:$B$865,MATCH(DH44,'Avoided Cost Benefits'!$A$4:$A$865,0)))*F44</f>
        <v>15.007889383959055</v>
      </c>
      <c r="DJ44" s="2927">
        <f t="shared" si="7"/>
        <v>1.45</v>
      </c>
    </row>
    <row r="45" spans="2:114">
      <c r="B45" s="1454">
        <f t="shared" si="2"/>
        <v>300433</v>
      </c>
      <c r="C45" s="3007" t="s">
        <v>1490</v>
      </c>
      <c r="D45" s="2409" t="s">
        <v>1139</v>
      </c>
      <c r="E45" s="2724" t="s">
        <v>1413</v>
      </c>
      <c r="F45" s="2447">
        <f>ROUND((($G$56-$G$60)*$G$71*(1-$G$68)*$G$63*$G$66)/$G$65,2)</f>
        <v>19.239999999999998</v>
      </c>
      <c r="G45" s="2243" t="s">
        <v>1414</v>
      </c>
      <c r="H45" s="3009">
        <f>VLOOKUP(G45,'CP FACTORS'!$A$3:$B$38, 2, FALSE)</f>
        <v>1.4925290000000001E-4</v>
      </c>
      <c r="I45" s="3010">
        <f t="shared" si="3"/>
        <v>2.872E-3</v>
      </c>
      <c r="J45" s="2252">
        <f>$G$76</f>
        <v>8</v>
      </c>
      <c r="K45" s="3008">
        <f>$G$78</f>
        <v>3.35</v>
      </c>
      <c r="L45" s="2478" t="s">
        <v>62</v>
      </c>
      <c r="M45" s="283"/>
      <c r="N45" s="283"/>
      <c r="O45" s="283"/>
      <c r="P45" s="283"/>
      <c r="Q45" s="283"/>
      <c r="R45" s="532"/>
      <c r="V45" s="2724" t="s">
        <v>45</v>
      </c>
      <c r="W45" s="3012"/>
      <c r="X45" s="2449"/>
      <c r="Y45" s="2890"/>
      <c r="Z45" s="2555"/>
      <c r="AA45" s="2555"/>
      <c r="AB45" s="2447"/>
      <c r="AC45" s="2447"/>
      <c r="AD45" s="2890"/>
      <c r="AE45" s="2890"/>
      <c r="AF45" s="2236">
        <f>IF(F45&lt;&gt;"",F45,"")</f>
        <v>19.239999999999998</v>
      </c>
      <c r="AG45" s="356"/>
      <c r="AH45" s="121"/>
      <c r="DG45" s="2877">
        <f>(DI45)/(DJ45)</f>
        <v>2.2924086356571309</v>
      </c>
      <c r="DH45" s="2419" t="str">
        <f>CONCATENATE(G45," ",J45," Year EUL")</f>
        <v>Lighting RES 8 Year EUL</v>
      </c>
      <c r="DI45" s="2878">
        <f>(INDEX('Avoided Cost Benefits'!$B$4:$B$865,MATCH(DH45,'Avoided Cost Benefits'!$A$4:$A$865,0)))*F45</f>
        <v>7.6795689294513885</v>
      </c>
      <c r="DJ45" s="2927">
        <f t="shared" si="7"/>
        <v>3.35</v>
      </c>
    </row>
    <row r="46" spans="2:114">
      <c r="B46" s="1454">
        <f t="shared" ref="B46:B47" si="8">VALUE(LEFT(C46,6))</f>
        <v>300434</v>
      </c>
      <c r="C46" s="3007" t="s">
        <v>1491</v>
      </c>
      <c r="D46" s="2478" t="s">
        <v>1448</v>
      </c>
      <c r="E46" s="2724" t="s">
        <v>1492</v>
      </c>
      <c r="F46" s="2447">
        <f>ROUND((($G$57-$G$61)*$G$73*(1-$G$70)*$G$62*$G$66)/$G$65,2)</f>
        <v>3.19</v>
      </c>
      <c r="G46" s="2243" t="s">
        <v>1414</v>
      </c>
      <c r="H46" s="3011">
        <f>VLOOKUP(G46,'CP FACTORS'!$A$3:$B$38, 2, FALSE)</f>
        <v>1.4925290000000001E-4</v>
      </c>
      <c r="I46" s="3010">
        <f t="shared" si="3"/>
        <v>4.7600000000000002E-4</v>
      </c>
      <c r="J46" s="2252">
        <f>$G$74</f>
        <v>20</v>
      </c>
      <c r="K46" s="2500">
        <f>$G$79</f>
        <v>1</v>
      </c>
      <c r="L46" s="2478" t="s">
        <v>62</v>
      </c>
      <c r="M46" s="1458"/>
      <c r="N46" s="1458"/>
      <c r="O46" s="1458"/>
      <c r="P46" s="1458"/>
      <c r="Q46" s="1458"/>
      <c r="R46" s="1606"/>
      <c r="S46" s="41"/>
      <c r="T46" s="41"/>
      <c r="U46" s="41"/>
      <c r="V46" s="2724" t="s">
        <v>45</v>
      </c>
      <c r="W46" s="3013"/>
      <c r="X46" s="2234"/>
      <c r="Y46" s="2447"/>
      <c r="Z46" s="2554"/>
      <c r="AA46" s="2554"/>
      <c r="AB46" s="2447"/>
      <c r="AC46" s="2447"/>
      <c r="AD46" s="2447"/>
      <c r="AE46" s="2447"/>
      <c r="AF46" s="2236">
        <f t="shared" ref="AF46:AF47" si="9">IF(F46&lt;&gt;"",F46,"")</f>
        <v>3.19</v>
      </c>
      <c r="AG46" s="676"/>
      <c r="AH46" s="121"/>
      <c r="DG46" s="2877">
        <f t="shared" si="5"/>
        <v>2.4141100439868128</v>
      </c>
      <c r="DH46" s="2419" t="str">
        <f t="shared" si="6"/>
        <v>Lighting RES 20 Year EUL</v>
      </c>
      <c r="DI46" s="2878">
        <f>(INDEX('Avoided Cost Benefits'!$B$4:$B$865,MATCH(DH46,'Avoided Cost Benefits'!$A$4:$A$865,0)))*F46</f>
        <v>2.4141100439868128</v>
      </c>
      <c r="DJ46" s="2927">
        <f t="shared" si="7"/>
        <v>1</v>
      </c>
    </row>
    <row r="47" spans="2:114">
      <c r="B47" s="1454">
        <f t="shared" si="8"/>
        <v>300435</v>
      </c>
      <c r="C47" s="3007" t="s">
        <v>1493</v>
      </c>
      <c r="D47" s="2409" t="s">
        <v>1139</v>
      </c>
      <c r="E47" s="2724" t="s">
        <v>1492</v>
      </c>
      <c r="F47" s="2447">
        <f>ROUND((($G$57-$G$61)*$G$71*(1-$G$68)*$G$62*$G$66)/$G$65,2)</f>
        <v>2.35</v>
      </c>
      <c r="G47" s="2243" t="s">
        <v>1414</v>
      </c>
      <c r="H47" s="3011">
        <f>VLOOKUP(G47,'CP FACTORS'!$A$3:$B$38, 2, FALSE)</f>
        <v>1.4925290000000001E-4</v>
      </c>
      <c r="I47" s="3010">
        <f t="shared" si="3"/>
        <v>3.5100000000000002E-4</v>
      </c>
      <c r="J47" s="2252">
        <f>$G$74</f>
        <v>20</v>
      </c>
      <c r="K47" s="2500">
        <f>$G$79</f>
        <v>1</v>
      </c>
      <c r="L47" s="2478" t="s">
        <v>62</v>
      </c>
      <c r="M47" s="283"/>
      <c r="N47" s="283"/>
      <c r="O47" s="283"/>
      <c r="P47" s="283"/>
      <c r="Q47" s="283"/>
      <c r="R47" s="532"/>
      <c r="V47" s="2724" t="s">
        <v>45</v>
      </c>
      <c r="W47" s="3012"/>
      <c r="X47" s="2449"/>
      <c r="Y47" s="2890"/>
      <c r="Z47" s="2555"/>
      <c r="AA47" s="2555"/>
      <c r="AB47" s="2447"/>
      <c r="AC47" s="2447"/>
      <c r="AD47" s="2890"/>
      <c r="AE47" s="2890"/>
      <c r="AF47" s="2236">
        <f t="shared" si="9"/>
        <v>2.35</v>
      </c>
      <c r="AG47" s="356"/>
      <c r="AH47" s="121"/>
      <c r="DG47" s="2877">
        <f t="shared" si="5"/>
        <v>1.7784196248805677</v>
      </c>
      <c r="DH47" s="2419" t="str">
        <f t="shared" si="6"/>
        <v>Lighting RES 20 Year EUL</v>
      </c>
      <c r="DI47" s="2878">
        <f>(INDEX('Avoided Cost Benefits'!$B$4:$B$865,MATCH(DH47,'Avoided Cost Benefits'!$A$4:$A$865,0)))*F47</f>
        <v>1.7784196248805677</v>
      </c>
      <c r="DJ47" s="2927">
        <f t="shared" si="7"/>
        <v>1</v>
      </c>
    </row>
    <row r="48" spans="2:114" hidden="1" outlineLevel="1">
      <c r="C48" s="104"/>
      <c r="D48" s="77" t="s">
        <v>118</v>
      </c>
      <c r="E48" s="1598" t="s">
        <v>1419</v>
      </c>
      <c r="F48" s="1264"/>
      <c r="G48" s="542"/>
    </row>
    <row r="49" spans="3:34" hidden="1" outlineLevel="1">
      <c r="C49" s="104"/>
      <c r="D49" s="104" t="s">
        <v>963</v>
      </c>
      <c r="E49" s="52" t="s">
        <v>1416</v>
      </c>
    </row>
    <row r="50" spans="3:34" hidden="1" outlineLevel="1">
      <c r="C50" s="104"/>
      <c r="E50" s="52" t="s">
        <v>966</v>
      </c>
    </row>
    <row r="51" spans="3:34" hidden="1" outlineLevel="1">
      <c r="C51" s="104"/>
    </row>
    <row r="52" spans="3:34" hidden="1" outlineLevel="1">
      <c r="C52" s="104"/>
    </row>
    <row r="53" spans="3:34" hidden="1" outlineLevel="1">
      <c r="C53" s="104"/>
      <c r="D53" s="114" t="s">
        <v>1078</v>
      </c>
      <c r="E53" s="777" t="s">
        <v>967</v>
      </c>
      <c r="F53" s="114" t="s">
        <v>1417</v>
      </c>
      <c r="G53" s="111" t="s">
        <v>969</v>
      </c>
      <c r="H53" s="111" t="s">
        <v>970</v>
      </c>
      <c r="I53" s="111" t="s">
        <v>755</v>
      </c>
      <c r="M53" s="52"/>
      <c r="V53" s="797" t="s">
        <v>52</v>
      </c>
      <c r="W53" s="1844">
        <f>$W$6</f>
        <v>43252</v>
      </c>
      <c r="X53" s="1844">
        <f>$X$6</f>
        <v>43465</v>
      </c>
      <c r="Y53" s="1844">
        <f>$Y$6</f>
        <v>43800</v>
      </c>
      <c r="Z53" s="1844">
        <f>$Z$6</f>
        <v>43862</v>
      </c>
      <c r="AA53" s="1844">
        <f>$AA$6</f>
        <v>44013</v>
      </c>
      <c r="AB53" s="1844">
        <f>$AB$6</f>
        <v>44166</v>
      </c>
      <c r="AC53" s="1842">
        <f>$AC$6</f>
        <v>44531</v>
      </c>
      <c r="AD53" s="1842">
        <f>$AD$6</f>
        <v>44774</v>
      </c>
      <c r="AE53" s="1842">
        <f>$AE$6</f>
        <v>45139</v>
      </c>
      <c r="AF53" s="1842">
        <f>$AF$6</f>
        <v>45672</v>
      </c>
      <c r="AG53" s="1842" t="str">
        <f>$AG$6</f>
        <v>-</v>
      </c>
      <c r="AH53" s="52"/>
    </row>
    <row r="54" spans="3:34" ht="30" hidden="1" outlineLevel="1">
      <c r="C54" s="104"/>
      <c r="D54" s="4191" t="s">
        <v>1494</v>
      </c>
      <c r="E54" s="4191" t="s">
        <v>1495</v>
      </c>
      <c r="F54" s="1470" t="str">
        <f>E43</f>
        <v>LED - 10W (750-899 lumens) IE</v>
      </c>
      <c r="G54" s="1795">
        <v>43</v>
      </c>
      <c r="H54" s="1470" t="s">
        <v>1419</v>
      </c>
      <c r="I54" s="1470"/>
      <c r="K54" s="543"/>
      <c r="L54" s="543"/>
      <c r="M54" s="52"/>
      <c r="N54" s="181"/>
      <c r="V54" s="4191" t="s">
        <v>1494</v>
      </c>
      <c r="W54" s="1580"/>
      <c r="X54" s="1580"/>
      <c r="Y54" s="1580"/>
      <c r="Z54" s="1580"/>
      <c r="AA54" s="1580"/>
      <c r="AB54" s="142"/>
      <c r="AC54" s="141"/>
      <c r="AD54" s="141"/>
      <c r="AE54" s="141"/>
      <c r="AF54" s="271">
        <f t="shared" ref="AF54:AF79" si="10">IF(G54&lt;&gt;"",G54,"")</f>
        <v>43</v>
      </c>
      <c r="AG54" s="1580"/>
    </row>
    <row r="55" spans="3:34" ht="30" hidden="1" outlineLevel="1">
      <c r="C55" s="104"/>
      <c r="D55" s="4117"/>
      <c r="E55" s="4117"/>
      <c r="F55" s="1622" t="str">
        <f>E44</f>
        <v>LED - 15W (900-1399 lumens) IE</v>
      </c>
      <c r="G55" s="2283">
        <v>53</v>
      </c>
      <c r="H55" s="1622" t="s">
        <v>1419</v>
      </c>
      <c r="I55" s="1470"/>
      <c r="K55" s="543"/>
      <c r="L55" s="543"/>
      <c r="M55" s="52"/>
      <c r="N55" s="181"/>
      <c r="V55" s="4117"/>
      <c r="W55" s="3031"/>
      <c r="X55" s="3031"/>
      <c r="Y55" s="3031"/>
      <c r="Z55" s="3031"/>
      <c r="AA55" s="3031"/>
      <c r="AB55" s="2338"/>
      <c r="AC55" s="3032"/>
      <c r="AD55" s="3032"/>
      <c r="AE55" s="3032"/>
      <c r="AF55" s="2236">
        <f t="shared" si="10"/>
        <v>53</v>
      </c>
      <c r="AG55" s="1580"/>
    </row>
    <row r="56" spans="3:34" ht="35.25" hidden="1" customHeight="1" outlineLevel="1">
      <c r="C56" s="104"/>
      <c r="D56" s="4117"/>
      <c r="E56" s="4117"/>
      <c r="F56" s="1444" t="s">
        <v>1413</v>
      </c>
      <c r="G56" s="2281">
        <v>7</v>
      </c>
      <c r="H56" s="1444" t="s">
        <v>1496</v>
      </c>
      <c r="I56" s="1377"/>
      <c r="K56" s="543"/>
      <c r="L56" s="543"/>
      <c r="M56" s="52"/>
      <c r="N56" s="181"/>
      <c r="V56" s="4117"/>
      <c r="W56" s="3031"/>
      <c r="X56" s="3031"/>
      <c r="Y56" s="3031"/>
      <c r="Z56" s="3031"/>
      <c r="AA56" s="3031"/>
      <c r="AB56" s="2338"/>
      <c r="AC56" s="2338">
        <v>7</v>
      </c>
      <c r="AD56" s="3032">
        <v>7</v>
      </c>
      <c r="AE56" s="3032">
        <v>7</v>
      </c>
      <c r="AF56" s="2236">
        <f t="shared" si="10"/>
        <v>7</v>
      </c>
      <c r="AG56" s="1580"/>
    </row>
    <row r="57" spans="3:34" ht="35.25" hidden="1" customHeight="1" outlineLevel="1">
      <c r="C57" s="104"/>
      <c r="D57" s="4086"/>
      <c r="E57" s="4086"/>
      <c r="F57" s="1622" t="s">
        <v>1492</v>
      </c>
      <c r="G57" s="3014">
        <v>9.6</v>
      </c>
      <c r="H57" s="1622" t="s">
        <v>1497</v>
      </c>
      <c r="I57" s="1470"/>
      <c r="K57" s="543"/>
      <c r="L57" s="543"/>
      <c r="M57" s="52"/>
      <c r="N57" s="181"/>
      <c r="V57" s="4086"/>
      <c r="W57" s="3031"/>
      <c r="X57" s="3031"/>
      <c r="Y57" s="3031"/>
      <c r="Z57" s="3031"/>
      <c r="AA57" s="3031"/>
      <c r="AB57" s="2338"/>
      <c r="AC57" s="2338"/>
      <c r="AD57" s="3032"/>
      <c r="AE57" s="3032"/>
      <c r="AF57" s="2236">
        <f t="shared" si="10"/>
        <v>9.6</v>
      </c>
      <c r="AG57" s="1580"/>
    </row>
    <row r="58" spans="3:34" ht="30" hidden="1" outlineLevel="1">
      <c r="C58" s="104"/>
      <c r="D58" s="4191" t="s">
        <v>1498</v>
      </c>
      <c r="E58" s="4191" t="s">
        <v>1499</v>
      </c>
      <c r="F58" s="1470" t="str">
        <f>E43</f>
        <v>LED - 10W (750-899 lumens) IE</v>
      </c>
      <c r="G58" s="1757">
        <v>9.1</v>
      </c>
      <c r="H58" s="1470" t="s">
        <v>1422</v>
      </c>
      <c r="I58" s="1622"/>
      <c r="K58" s="148"/>
      <c r="L58" s="148"/>
      <c r="M58" s="52"/>
      <c r="N58" s="181"/>
      <c r="V58" s="4191" t="s">
        <v>1498</v>
      </c>
      <c r="W58" s="1580"/>
      <c r="X58" s="1580"/>
      <c r="Y58" s="1580"/>
      <c r="Z58" s="1580"/>
      <c r="AA58" s="1580"/>
      <c r="AB58" s="142"/>
      <c r="AC58" s="141"/>
      <c r="AD58" s="141"/>
      <c r="AE58" s="141"/>
      <c r="AF58" s="271">
        <f t="shared" si="10"/>
        <v>9.1</v>
      </c>
      <c r="AG58" s="1580"/>
    </row>
    <row r="59" spans="3:34" ht="30" hidden="1" outlineLevel="1">
      <c r="C59" s="104"/>
      <c r="D59" s="4117"/>
      <c r="E59" s="4117"/>
      <c r="F59" s="1622" t="str">
        <f>E44</f>
        <v>LED - 15W (900-1399 lumens) IE</v>
      </c>
      <c r="G59" s="3015">
        <v>10.6</v>
      </c>
      <c r="H59" s="1622" t="s">
        <v>1422</v>
      </c>
      <c r="I59" s="1622"/>
      <c r="K59" s="148"/>
      <c r="L59" s="148"/>
      <c r="M59" s="52"/>
      <c r="N59" s="181"/>
      <c r="V59" s="4117"/>
      <c r="W59" s="3031"/>
      <c r="X59" s="3031"/>
      <c r="Y59" s="3031"/>
      <c r="Z59" s="3031"/>
      <c r="AA59" s="3031"/>
      <c r="AB59" s="2338"/>
      <c r="AC59" s="3032"/>
      <c r="AD59" s="3032"/>
      <c r="AE59" s="3032"/>
      <c r="AF59" s="2236">
        <f t="shared" si="10"/>
        <v>10.6</v>
      </c>
      <c r="AG59" s="1580"/>
    </row>
    <row r="60" spans="3:34" ht="27.75" hidden="1" customHeight="1" outlineLevel="1">
      <c r="C60" s="104"/>
      <c r="D60" s="4117"/>
      <c r="E60" s="4117"/>
      <c r="F60" s="1840" t="s">
        <v>1413</v>
      </c>
      <c r="G60" s="3016">
        <v>0.3</v>
      </c>
      <c r="H60" s="1444" t="s">
        <v>1422</v>
      </c>
      <c r="I60" s="1377"/>
      <c r="K60" s="148"/>
      <c r="L60" s="148"/>
      <c r="M60" s="52"/>
      <c r="N60" s="181"/>
      <c r="V60" s="4117"/>
      <c r="W60" s="3031"/>
      <c r="X60" s="3031"/>
      <c r="Y60" s="3031"/>
      <c r="Z60" s="3031"/>
      <c r="AA60" s="3031"/>
      <c r="AB60" s="2338"/>
      <c r="AC60" s="2338">
        <v>0.3</v>
      </c>
      <c r="AD60" s="3032">
        <v>0.3</v>
      </c>
      <c r="AE60" s="3032">
        <v>0.3</v>
      </c>
      <c r="AF60" s="2236">
        <f t="shared" si="10"/>
        <v>0.3</v>
      </c>
      <c r="AG60" s="1580"/>
    </row>
    <row r="61" spans="3:34" ht="27.75" hidden="1" customHeight="1" outlineLevel="1">
      <c r="C61" s="104"/>
      <c r="D61" s="4086"/>
      <c r="E61" s="4086"/>
      <c r="F61" s="1622" t="str">
        <f>F57</f>
        <v>LED A19 800 Lumens 6W</v>
      </c>
      <c r="G61" s="3017">
        <v>6</v>
      </c>
      <c r="H61" s="1622" t="s">
        <v>1422</v>
      </c>
      <c r="I61" s="1470"/>
      <c r="K61" s="148"/>
      <c r="L61" s="148"/>
      <c r="M61" s="52"/>
      <c r="N61" s="181"/>
      <c r="V61" s="4086"/>
      <c r="W61" s="3031"/>
      <c r="X61" s="3031"/>
      <c r="Y61" s="3031"/>
      <c r="Z61" s="3031"/>
      <c r="AA61" s="3031"/>
      <c r="AB61" s="2338"/>
      <c r="AC61" s="2338"/>
      <c r="AD61" s="3032"/>
      <c r="AE61" s="3032"/>
      <c r="AF61" s="2236">
        <f t="shared" si="10"/>
        <v>6</v>
      </c>
      <c r="AG61" s="1580"/>
    </row>
    <row r="62" spans="3:34" ht="75" hidden="1" outlineLevel="1">
      <c r="C62" s="104"/>
      <c r="D62" s="4188" t="s">
        <v>1500</v>
      </c>
      <c r="E62" s="4197" t="s">
        <v>1501</v>
      </c>
      <c r="F62" s="1384" t="s">
        <v>1502</v>
      </c>
      <c r="G62" s="1814">
        <f>2.72652*365</f>
        <v>995.17979999999989</v>
      </c>
      <c r="H62" s="1368" t="s">
        <v>1503</v>
      </c>
      <c r="I62" s="1377" t="s">
        <v>1504</v>
      </c>
      <c r="K62" s="148"/>
      <c r="L62" s="148"/>
      <c r="M62" s="52"/>
      <c r="N62" s="181"/>
      <c r="V62" s="4188" t="s">
        <v>1500</v>
      </c>
      <c r="W62" s="1583">
        <v>2.73</v>
      </c>
      <c r="X62" s="156">
        <v>2.73</v>
      </c>
      <c r="Y62" s="156">
        <v>2.73</v>
      </c>
      <c r="Z62" s="156">
        <v>2.73</v>
      </c>
      <c r="AA62" s="156">
        <v>2.73</v>
      </c>
      <c r="AB62" s="157">
        <v>996.45</v>
      </c>
      <c r="AC62" s="137">
        <v>995.17979999999989</v>
      </c>
      <c r="AD62" s="137">
        <v>995.17979999999989</v>
      </c>
      <c r="AE62" s="137">
        <v>995.17979999999989</v>
      </c>
      <c r="AF62" s="271">
        <f t="shared" si="10"/>
        <v>995.17979999999989</v>
      </c>
      <c r="AG62" s="1583"/>
    </row>
    <row r="63" spans="3:34" ht="30" hidden="1" customHeight="1" outlineLevel="1">
      <c r="C63" s="104"/>
      <c r="D63" s="4188"/>
      <c r="E63" s="4197"/>
      <c r="F63" s="635"/>
      <c r="G63" s="3018">
        <v>4380</v>
      </c>
      <c r="H63" s="2310" t="s">
        <v>1505</v>
      </c>
      <c r="I63" s="1377"/>
      <c r="K63" s="148"/>
      <c r="L63" s="148"/>
      <c r="M63" s="52"/>
      <c r="N63" s="181"/>
      <c r="V63" s="4188"/>
      <c r="W63" s="2862"/>
      <c r="X63" s="2865"/>
      <c r="Y63" s="2865"/>
      <c r="Z63" s="2865"/>
      <c r="AA63" s="2865"/>
      <c r="AB63" s="2864"/>
      <c r="AC63" s="2447">
        <v>4380</v>
      </c>
      <c r="AD63" s="2890">
        <v>4380</v>
      </c>
      <c r="AE63" s="2890">
        <v>4380</v>
      </c>
      <c r="AF63" s="2236">
        <f t="shared" si="10"/>
        <v>4380</v>
      </c>
      <c r="AG63" s="1583"/>
    </row>
    <row r="64" spans="3:34" ht="30" hidden="1" outlineLevel="1">
      <c r="C64" s="104"/>
      <c r="D64" s="1840" t="s">
        <v>421</v>
      </c>
      <c r="E64" s="1841" t="s">
        <v>1350</v>
      </c>
      <c r="F64" s="1840" t="s">
        <v>1425</v>
      </c>
      <c r="G64" s="1859">
        <v>365</v>
      </c>
      <c r="H64" s="1444" t="s">
        <v>1350</v>
      </c>
      <c r="I64" s="1444"/>
      <c r="K64" s="148"/>
      <c r="L64" s="148"/>
      <c r="M64" s="52"/>
      <c r="N64" s="181"/>
      <c r="V64" s="1384" t="s">
        <v>421</v>
      </c>
      <c r="W64" s="119">
        <v>365</v>
      </c>
      <c r="X64" s="119">
        <v>365</v>
      </c>
      <c r="Y64" s="119">
        <v>365</v>
      </c>
      <c r="Z64" s="119">
        <v>365</v>
      </c>
      <c r="AA64" s="119">
        <v>365</v>
      </c>
      <c r="AB64" s="119">
        <v>365</v>
      </c>
      <c r="AC64" s="1845">
        <v>365</v>
      </c>
      <c r="AD64" s="1845">
        <v>365</v>
      </c>
      <c r="AE64" s="1845">
        <v>365</v>
      </c>
      <c r="AF64" s="271">
        <f t="shared" si="10"/>
        <v>365</v>
      </c>
      <c r="AG64" s="119"/>
      <c r="AH64" s="41"/>
    </row>
    <row r="65" spans="2:33" ht="30" hidden="1" outlineLevel="1">
      <c r="C65" s="104"/>
      <c r="D65" s="143">
        <v>1000</v>
      </c>
      <c r="E65" s="778" t="s">
        <v>1427</v>
      </c>
      <c r="F65" s="143"/>
      <c r="G65" s="1860">
        <v>1000</v>
      </c>
      <c r="H65" s="1377" t="s">
        <v>1427</v>
      </c>
      <c r="I65" s="1377"/>
      <c r="K65" s="148"/>
      <c r="L65" s="148"/>
      <c r="M65" s="52"/>
      <c r="N65" s="181"/>
      <c r="V65" s="143">
        <v>1000</v>
      </c>
      <c r="W65" s="1581">
        <v>1000</v>
      </c>
      <c r="X65" s="144">
        <v>1000</v>
      </c>
      <c r="Y65" s="144">
        <v>1000</v>
      </c>
      <c r="Z65" s="144">
        <v>1000</v>
      </c>
      <c r="AA65" s="144">
        <v>1000</v>
      </c>
      <c r="AB65" s="144">
        <v>1000</v>
      </c>
      <c r="AC65" s="144">
        <v>1000</v>
      </c>
      <c r="AD65" s="144">
        <v>1000</v>
      </c>
      <c r="AE65" s="144">
        <v>1000</v>
      </c>
      <c r="AF65" s="271">
        <f t="shared" si="10"/>
        <v>1000</v>
      </c>
      <c r="AG65" s="1581"/>
    </row>
    <row r="66" spans="2:33" ht="75" hidden="1" outlineLevel="1">
      <c r="C66" s="104"/>
      <c r="D66" s="1384" t="s">
        <v>1428</v>
      </c>
      <c r="E66" s="778" t="s">
        <v>1429</v>
      </c>
      <c r="F66" s="1384"/>
      <c r="G66" s="1813">
        <v>0.99</v>
      </c>
      <c r="H66" s="1377" t="s">
        <v>1431</v>
      </c>
      <c r="I66" s="1377" t="s">
        <v>1432</v>
      </c>
      <c r="K66" s="148"/>
      <c r="L66" s="148"/>
      <c r="M66" s="52"/>
      <c r="N66" s="181"/>
      <c r="V66" s="1384" t="s">
        <v>1428</v>
      </c>
      <c r="W66" s="1463">
        <v>0.97</v>
      </c>
      <c r="X66" s="119">
        <v>0.99</v>
      </c>
      <c r="Y66" s="1366">
        <v>0.99</v>
      </c>
      <c r="Z66" s="1366">
        <v>0.99</v>
      </c>
      <c r="AA66" s="1366">
        <v>0.99</v>
      </c>
      <c r="AB66" s="1366">
        <v>0.99</v>
      </c>
      <c r="AC66" s="1366">
        <v>0.99</v>
      </c>
      <c r="AD66" s="1366">
        <v>0.99</v>
      </c>
      <c r="AE66" s="1366">
        <v>0.99</v>
      </c>
      <c r="AF66" s="271">
        <f t="shared" si="10"/>
        <v>0.99</v>
      </c>
      <c r="AG66" s="1463"/>
    </row>
    <row r="67" spans="2:33" hidden="1" outlineLevel="1">
      <c r="C67" s="104"/>
      <c r="D67" s="1384" t="s">
        <v>1506</v>
      </c>
      <c r="E67" s="778" t="s">
        <v>1507</v>
      </c>
      <c r="F67" s="1384"/>
      <c r="G67" s="1861">
        <v>1</v>
      </c>
      <c r="H67" s="1377" t="s">
        <v>1508</v>
      </c>
      <c r="I67" s="1377"/>
      <c r="K67" s="148"/>
      <c r="L67" s="148"/>
      <c r="M67" s="52"/>
      <c r="N67" s="181"/>
      <c r="V67" s="1384" t="s">
        <v>1506</v>
      </c>
      <c r="W67" s="1582">
        <v>1</v>
      </c>
      <c r="X67" s="1582">
        <v>1</v>
      </c>
      <c r="Y67" s="795">
        <v>1</v>
      </c>
      <c r="Z67" s="795">
        <v>1</v>
      </c>
      <c r="AA67" s="795">
        <v>1</v>
      </c>
      <c r="AB67" s="795">
        <v>1</v>
      </c>
      <c r="AC67" s="795">
        <v>1</v>
      </c>
      <c r="AD67" s="795">
        <v>1</v>
      </c>
      <c r="AE67" s="795">
        <v>1</v>
      </c>
      <c r="AF67" s="271">
        <f t="shared" si="10"/>
        <v>1</v>
      </c>
      <c r="AG67" s="1582"/>
    </row>
    <row r="68" spans="2:33" ht="45" hidden="1" outlineLevel="1">
      <c r="C68" s="104"/>
      <c r="D68" s="4201" t="s">
        <v>1433</v>
      </c>
      <c r="E68" s="4191" t="s">
        <v>1369</v>
      </c>
      <c r="F68" s="1840" t="s">
        <v>1509</v>
      </c>
      <c r="G68" s="3019">
        <v>0.28000000000000003</v>
      </c>
      <c r="H68" s="1444" t="s">
        <v>1434</v>
      </c>
      <c r="I68" s="4197" t="s">
        <v>1435</v>
      </c>
      <c r="J68" s="407"/>
      <c r="K68" s="537"/>
      <c r="L68" s="537"/>
      <c r="M68" s="52"/>
      <c r="N68" s="181"/>
      <c r="V68" s="4191" t="s">
        <v>1510</v>
      </c>
      <c r="W68" s="3028">
        <v>0.86</v>
      </c>
      <c r="X68" s="3029">
        <v>0.89859999999999995</v>
      </c>
      <c r="Y68" s="3029">
        <v>0.91869999999999996</v>
      </c>
      <c r="Z68" s="3029">
        <v>0.91869999999999996</v>
      </c>
      <c r="AA68" s="3029">
        <v>0.91869999999999996</v>
      </c>
      <c r="AB68" s="3029">
        <v>0.72</v>
      </c>
      <c r="AC68" s="3030">
        <v>0.28000000000000003</v>
      </c>
      <c r="AD68" s="3030">
        <v>0.28000000000000003</v>
      </c>
      <c r="AE68" s="3030">
        <v>0.28000000000000003</v>
      </c>
      <c r="AF68" s="2236">
        <f t="shared" si="10"/>
        <v>0.28000000000000003</v>
      </c>
      <c r="AG68" s="1582"/>
    </row>
    <row r="69" spans="2:33" ht="30" hidden="1" outlineLevel="1">
      <c r="C69" s="104"/>
      <c r="D69" s="4202"/>
      <c r="E69" s="4117"/>
      <c r="F69" s="1840" t="s">
        <v>1511</v>
      </c>
      <c r="G69" s="3020">
        <v>0</v>
      </c>
      <c r="H69" s="1444" t="s">
        <v>1370</v>
      </c>
      <c r="I69" s="4197"/>
      <c r="J69" s="407"/>
      <c r="K69" s="537"/>
      <c r="L69" s="537"/>
      <c r="M69" s="52"/>
      <c r="N69" s="181"/>
      <c r="V69" s="4117"/>
      <c r="W69" s="3028"/>
      <c r="X69" s="3029"/>
      <c r="Y69" s="3029"/>
      <c r="Z69" s="3029"/>
      <c r="AA69" s="3029"/>
      <c r="AB69" s="3030">
        <v>1</v>
      </c>
      <c r="AC69" s="3030">
        <v>0</v>
      </c>
      <c r="AD69" s="3030">
        <v>0</v>
      </c>
      <c r="AE69" s="3030">
        <v>0</v>
      </c>
      <c r="AF69" s="2236">
        <f t="shared" si="10"/>
        <v>0</v>
      </c>
      <c r="AG69" s="1582"/>
    </row>
    <row r="70" spans="2:33" ht="30" hidden="1" outlineLevel="1">
      <c r="C70" s="104"/>
      <c r="D70" s="4203"/>
      <c r="E70" s="4086"/>
      <c r="F70" s="1840" t="s">
        <v>1512</v>
      </c>
      <c r="G70" s="1869">
        <v>0</v>
      </c>
      <c r="H70" s="1377" t="s">
        <v>1370</v>
      </c>
      <c r="I70" s="4197"/>
      <c r="J70" s="407"/>
      <c r="K70" s="537"/>
      <c r="L70" s="537"/>
      <c r="M70" s="52"/>
      <c r="N70" s="181"/>
      <c r="V70" s="4086"/>
      <c r="W70" s="1582"/>
      <c r="X70" s="145"/>
      <c r="Y70" s="145"/>
      <c r="Z70" s="145"/>
      <c r="AA70" s="145"/>
      <c r="AB70" s="145">
        <v>1</v>
      </c>
      <c r="AC70" s="795">
        <v>0</v>
      </c>
      <c r="AD70" s="795">
        <v>0</v>
      </c>
      <c r="AE70" s="795">
        <v>0</v>
      </c>
      <c r="AF70" s="271">
        <f t="shared" si="10"/>
        <v>0</v>
      </c>
      <c r="AG70" s="1582"/>
    </row>
    <row r="71" spans="2:33" ht="45" hidden="1" outlineLevel="1">
      <c r="C71" s="104"/>
      <c r="D71" s="4191" t="s">
        <v>128</v>
      </c>
      <c r="E71" s="4191" t="s">
        <v>1036</v>
      </c>
      <c r="F71" s="1840" t="s">
        <v>1509</v>
      </c>
      <c r="G71" s="2607">
        <v>0.92</v>
      </c>
      <c r="H71" s="1444" t="s">
        <v>1434</v>
      </c>
      <c r="I71" s="1377"/>
      <c r="J71" s="537"/>
      <c r="K71" s="537"/>
      <c r="L71" s="537"/>
      <c r="M71" s="52"/>
      <c r="N71" s="181"/>
      <c r="V71" s="4191" t="s">
        <v>128</v>
      </c>
      <c r="W71" s="3027">
        <v>0.91507544652831463</v>
      </c>
      <c r="X71" s="2795">
        <v>0.92</v>
      </c>
      <c r="Y71" s="2795">
        <v>0.89554140127388537</v>
      </c>
      <c r="Z71" s="2795">
        <v>0.89554140127388537</v>
      </c>
      <c r="AA71" s="2795">
        <v>0.89554140127388537</v>
      </c>
      <c r="AB71" s="2795">
        <v>0.92</v>
      </c>
      <c r="AC71" s="2794">
        <v>0.92</v>
      </c>
      <c r="AD71" s="2794">
        <v>0.92</v>
      </c>
      <c r="AE71" s="2794">
        <v>0.92</v>
      </c>
      <c r="AF71" s="2236">
        <f t="shared" si="10"/>
        <v>0.92</v>
      </c>
      <c r="AG71" s="305"/>
    </row>
    <row r="72" spans="2:33" ht="25.5" hidden="1" outlineLevel="1">
      <c r="C72" s="104"/>
      <c r="D72" s="4117"/>
      <c r="E72" s="4117"/>
      <c r="F72" s="1840" t="s">
        <v>1511</v>
      </c>
      <c r="G72" s="3021">
        <v>1</v>
      </c>
      <c r="H72" s="3022" t="s">
        <v>1513</v>
      </c>
      <c r="I72" s="544"/>
      <c r="J72" s="537"/>
      <c r="K72" s="537"/>
      <c r="L72" s="537"/>
      <c r="M72" s="52"/>
      <c r="N72" s="181"/>
      <c r="V72" s="4117"/>
      <c r="W72" s="3027"/>
      <c r="X72" s="2795"/>
      <c r="Y72" s="2795"/>
      <c r="Z72" s="2795"/>
      <c r="AA72" s="2795"/>
      <c r="AB72" s="2794">
        <v>1</v>
      </c>
      <c r="AC72" s="2794">
        <v>1</v>
      </c>
      <c r="AD72" s="2794">
        <v>1</v>
      </c>
      <c r="AE72" s="2794">
        <v>1</v>
      </c>
      <c r="AF72" s="2236">
        <f t="shared" si="10"/>
        <v>1</v>
      </c>
      <c r="AG72" s="305"/>
    </row>
    <row r="73" spans="2:33" ht="30" hidden="1" outlineLevel="1">
      <c r="C73" s="104"/>
      <c r="D73" s="4086"/>
      <c r="E73" s="4086"/>
      <c r="F73" s="1840" t="s">
        <v>1512</v>
      </c>
      <c r="G73" s="1669">
        <v>0.9</v>
      </c>
      <c r="H73" s="1377" t="s">
        <v>1370</v>
      </c>
      <c r="I73" s="1377"/>
      <c r="J73" s="537"/>
      <c r="K73" s="537"/>
      <c r="L73" s="537"/>
      <c r="M73" s="52"/>
      <c r="N73" s="181"/>
      <c r="V73" s="4086"/>
      <c r="W73" s="305"/>
      <c r="X73" s="147"/>
      <c r="Y73" s="147"/>
      <c r="Z73" s="147"/>
      <c r="AA73" s="147"/>
      <c r="AB73" s="147">
        <v>0.9</v>
      </c>
      <c r="AC73" s="146">
        <v>0.9</v>
      </c>
      <c r="AD73" s="146">
        <v>0.9</v>
      </c>
      <c r="AE73" s="146">
        <v>0.9</v>
      </c>
      <c r="AF73" s="271">
        <f t="shared" si="10"/>
        <v>0.9</v>
      </c>
      <c r="AG73" s="305"/>
    </row>
    <row r="74" spans="2:33" ht="31.5" hidden="1" customHeight="1" outlineLevel="1">
      <c r="B74" s="579"/>
      <c r="C74" s="133"/>
      <c r="D74" s="4200" t="s">
        <v>1437</v>
      </c>
      <c r="E74" s="4200" t="s">
        <v>1198</v>
      </c>
      <c r="F74" s="1622" t="str">
        <f>F57</f>
        <v>LED A19 800 Lumens 6W</v>
      </c>
      <c r="G74" s="2378">
        <v>20</v>
      </c>
      <c r="H74" s="2201" t="s">
        <v>1514</v>
      </c>
      <c r="I74" s="1430"/>
      <c r="J74" s="537"/>
      <c r="K74" s="283"/>
      <c r="L74" s="283"/>
      <c r="M74" s="606"/>
      <c r="N74" s="283"/>
      <c r="O74" s="283"/>
      <c r="P74" s="283"/>
      <c r="Q74" s="283"/>
      <c r="V74" s="4084" t="s">
        <v>1437</v>
      </c>
      <c r="W74" s="2582">
        <v>19</v>
      </c>
      <c r="X74" s="2582">
        <v>19</v>
      </c>
      <c r="Y74" s="2582">
        <v>19</v>
      </c>
      <c r="Z74" s="2582">
        <v>19</v>
      </c>
      <c r="AA74" s="2582">
        <v>19</v>
      </c>
      <c r="AB74" s="2582">
        <v>19</v>
      </c>
      <c r="AC74" s="2582">
        <v>19</v>
      </c>
      <c r="AD74" s="2582">
        <v>19</v>
      </c>
      <c r="AE74" s="2582">
        <v>19</v>
      </c>
      <c r="AF74" s="2236">
        <f t="shared" si="10"/>
        <v>20</v>
      </c>
      <c r="AG74" s="134"/>
    </row>
    <row r="75" spans="2:33" ht="31.5" hidden="1" customHeight="1" outlineLevel="1">
      <c r="B75" s="579"/>
      <c r="C75" s="133"/>
      <c r="D75" s="4200"/>
      <c r="E75" s="4200"/>
      <c r="F75" s="1599" t="s">
        <v>1515</v>
      </c>
      <c r="G75" s="1695">
        <v>8</v>
      </c>
      <c r="H75" s="1601" t="s">
        <v>1516</v>
      </c>
      <c r="I75" s="1430"/>
      <c r="J75" s="537"/>
      <c r="K75" s="283"/>
      <c r="L75" s="283"/>
      <c r="M75" s="606"/>
      <c r="N75" s="283"/>
      <c r="O75" s="283"/>
      <c r="P75" s="283"/>
      <c r="Q75" s="283"/>
      <c r="V75" s="4085"/>
      <c r="W75" s="134"/>
      <c r="X75" s="134"/>
      <c r="Y75" s="134"/>
      <c r="Z75" s="134"/>
      <c r="AA75" s="134"/>
      <c r="AB75" s="134"/>
      <c r="AC75" s="134"/>
      <c r="AD75" s="134"/>
      <c r="AE75" s="134"/>
      <c r="AF75" s="271">
        <f t="shared" si="10"/>
        <v>8</v>
      </c>
      <c r="AG75" s="134"/>
    </row>
    <row r="76" spans="2:33" ht="27.6" hidden="1" customHeight="1" outlineLevel="1">
      <c r="B76" s="579"/>
      <c r="C76" s="133"/>
      <c r="D76" s="4200"/>
      <c r="E76" s="4200"/>
      <c r="F76" s="1840" t="s">
        <v>1425</v>
      </c>
      <c r="G76" s="3023">
        <v>8</v>
      </c>
      <c r="H76" s="3024" t="s">
        <v>1438</v>
      </c>
      <c r="I76" s="1430"/>
      <c r="J76" s="537"/>
      <c r="K76" s="283"/>
      <c r="L76" s="283"/>
      <c r="M76" s="606"/>
      <c r="N76" s="283"/>
      <c r="O76" s="283"/>
      <c r="P76" s="283"/>
      <c r="Q76" s="283"/>
      <c r="V76" s="4095"/>
      <c r="W76" s="2582"/>
      <c r="X76" s="2582"/>
      <c r="Y76" s="2582"/>
      <c r="Z76" s="2582"/>
      <c r="AA76" s="2582"/>
      <c r="AB76" s="2582"/>
      <c r="AC76" s="2717">
        <v>19</v>
      </c>
      <c r="AD76" s="2582">
        <v>19</v>
      </c>
      <c r="AE76" s="2582">
        <v>19</v>
      </c>
      <c r="AF76" s="2236">
        <f t="shared" si="10"/>
        <v>8</v>
      </c>
      <c r="AG76" s="134"/>
    </row>
    <row r="77" spans="2:33" ht="27.6" hidden="1" customHeight="1" outlineLevel="1">
      <c r="B77" s="579"/>
      <c r="C77" s="133"/>
      <c r="D77" s="4087" t="s">
        <v>50</v>
      </c>
      <c r="E77" s="4087" t="s">
        <v>1135</v>
      </c>
      <c r="F77" s="1599" t="s">
        <v>1515</v>
      </c>
      <c r="G77" s="1870">
        <v>1.45</v>
      </c>
      <c r="H77" s="1600" t="s">
        <v>1439</v>
      </c>
      <c r="I77" s="1430"/>
      <c r="J77" s="537"/>
      <c r="K77" s="283"/>
      <c r="L77" s="283"/>
      <c r="M77" s="606"/>
      <c r="N77" s="283"/>
      <c r="O77" s="283"/>
      <c r="P77" s="283"/>
      <c r="Q77" s="283"/>
      <c r="V77" s="4087" t="str">
        <f>D77</f>
        <v>Inc. Cost</v>
      </c>
      <c r="W77" s="134"/>
      <c r="X77" s="134"/>
      <c r="Y77" s="134"/>
      <c r="Z77" s="134"/>
      <c r="AA77" s="134"/>
      <c r="AB77" s="134"/>
      <c r="AC77" s="172"/>
      <c r="AD77" s="134"/>
      <c r="AE77" s="134"/>
      <c r="AF77" s="271">
        <f t="shared" si="10"/>
        <v>1.45</v>
      </c>
      <c r="AG77" s="134"/>
    </row>
    <row r="78" spans="2:33" ht="27.6" hidden="1" customHeight="1" outlineLevel="1">
      <c r="B78" s="579"/>
      <c r="C78" s="133"/>
      <c r="D78" s="4088"/>
      <c r="E78" s="4088" t="s">
        <v>1135</v>
      </c>
      <c r="F78" s="3025" t="str">
        <f>F76</f>
        <v>Nighlight</v>
      </c>
      <c r="G78" s="3026">
        <v>3.35</v>
      </c>
      <c r="H78" s="1633" t="s">
        <v>1439</v>
      </c>
      <c r="I78" s="1430"/>
      <c r="J78" s="537"/>
      <c r="K78" s="283"/>
      <c r="L78" s="283"/>
      <c r="M78" s="606"/>
      <c r="N78" s="283"/>
      <c r="O78" s="283"/>
      <c r="P78" s="283"/>
      <c r="Q78" s="283"/>
      <c r="V78" s="4088"/>
      <c r="W78" s="2582"/>
      <c r="X78" s="2582"/>
      <c r="Y78" s="2582"/>
      <c r="Z78" s="2582"/>
      <c r="AA78" s="2582"/>
      <c r="AB78" s="2582"/>
      <c r="AC78" s="2717"/>
      <c r="AD78" s="2582"/>
      <c r="AE78" s="2582"/>
      <c r="AF78" s="2236">
        <f t="shared" si="10"/>
        <v>3.35</v>
      </c>
      <c r="AG78" s="134"/>
    </row>
    <row r="79" spans="2:33" ht="30" hidden="1" outlineLevel="1">
      <c r="B79" s="579"/>
      <c r="C79" s="133"/>
      <c r="D79" s="4096"/>
      <c r="E79" s="4096"/>
      <c r="F79" s="1622" t="str">
        <f>F57</f>
        <v>LED A19 800 Lumens 6W</v>
      </c>
      <c r="G79" s="3026">
        <v>1</v>
      </c>
      <c r="H79" s="1633" t="s">
        <v>1439</v>
      </c>
      <c r="I79" s="1430"/>
      <c r="J79" s="537"/>
      <c r="K79" s="283"/>
      <c r="L79" s="283"/>
      <c r="M79" s="606"/>
      <c r="N79" s="283"/>
      <c r="O79" s="283"/>
      <c r="P79" s="283"/>
      <c r="Q79" s="283"/>
      <c r="V79" s="4096"/>
      <c r="W79" s="2583">
        <v>1.95</v>
      </c>
      <c r="X79" s="2583">
        <v>1.95</v>
      </c>
      <c r="Y79" s="2583">
        <v>1.95</v>
      </c>
      <c r="Z79" s="2583">
        <v>1.95</v>
      </c>
      <c r="AA79" s="2583">
        <v>1.95</v>
      </c>
      <c r="AB79" s="2583">
        <v>1.95</v>
      </c>
      <c r="AC79" s="2583">
        <v>1.95</v>
      </c>
      <c r="AD79" s="2583">
        <v>1.95</v>
      </c>
      <c r="AE79" s="2583">
        <v>1.95</v>
      </c>
      <c r="AF79" s="2236">
        <f t="shared" si="10"/>
        <v>1</v>
      </c>
      <c r="AG79" s="136"/>
    </row>
    <row r="80" spans="2:33" collapsed="1">
      <c r="C80" s="104"/>
      <c r="D80" s="148"/>
      <c r="E80" s="543"/>
      <c r="F80" s="545"/>
      <c r="G80" s="148"/>
      <c r="H80" s="546"/>
      <c r="I80" s="537"/>
      <c r="J80" s="537"/>
      <c r="K80" s="537"/>
    </row>
    <row r="81" spans="2:114" s="52" customFormat="1">
      <c r="B81" s="4025" t="s">
        <v>1517</v>
      </c>
      <c r="C81" s="4026"/>
      <c r="D81" s="4026"/>
      <c r="E81" s="4026"/>
      <c r="F81" s="4026"/>
      <c r="G81" s="4026"/>
      <c r="H81" s="4026"/>
      <c r="I81" s="4817"/>
      <c r="J81" s="4817"/>
      <c r="K81" s="4817"/>
      <c r="L81" s="4817"/>
      <c r="M81" s="4817"/>
      <c r="N81" s="4818"/>
      <c r="V81" s="4040" t="str">
        <f>B81</f>
        <v>Kit Faucet Aerators (Kitchen)</v>
      </c>
      <c r="W81" s="4041"/>
      <c r="X81" s="4041"/>
      <c r="Y81" s="4041"/>
      <c r="Z81" s="4041"/>
      <c r="AA81" s="4041"/>
      <c r="AB81" s="4041"/>
      <c r="AC81" s="4832"/>
      <c r="AD81" s="4832"/>
      <c r="AE81" s="4832"/>
      <c r="AF81" s="4832"/>
      <c r="AG81" s="4832"/>
      <c r="AH81" s="4833"/>
      <c r="AI81" s="76"/>
      <c r="AJ81" s="76"/>
      <c r="AK81" s="76"/>
      <c r="AL81" s="76"/>
      <c r="AM81" s="76"/>
      <c r="AN81" s="76"/>
      <c r="AO81" s="76"/>
      <c r="AP81" s="76"/>
      <c r="AQ81" s="76"/>
      <c r="AR81" s="76"/>
      <c r="AS81" s="76"/>
      <c r="DI81" s="149"/>
      <c r="DJ81" s="1183"/>
    </row>
    <row r="82" spans="2:114">
      <c r="B82" s="635"/>
      <c r="C82" s="2206"/>
      <c r="D82" s="2206"/>
      <c r="E82" s="635"/>
      <c r="F82" s="635"/>
      <c r="G82" s="635"/>
      <c r="H82" s="635"/>
      <c r="I82" s="635"/>
      <c r="J82" s="635"/>
      <c r="K82" s="635"/>
      <c r="L82" s="635"/>
      <c r="M82" s="2831"/>
      <c r="N82" s="635"/>
      <c r="V82" s="635"/>
      <c r="W82" s="2238"/>
      <c r="X82" s="2238"/>
      <c r="Y82" s="2238"/>
      <c r="Z82" s="2238"/>
      <c r="AA82" s="2238"/>
      <c r="AB82" s="2238"/>
      <c r="AC82" s="2237"/>
      <c r="AD82" s="2237"/>
      <c r="AE82" s="2237"/>
      <c r="AF82" s="2237"/>
      <c r="AG82" s="2237"/>
      <c r="AH82" s="2237"/>
    </row>
    <row r="83" spans="2:114" ht="30">
      <c r="B83" s="635"/>
      <c r="C83" s="2207" t="s">
        <v>42</v>
      </c>
      <c r="D83" s="2207" t="s">
        <v>953</v>
      </c>
      <c r="E83" s="2207" t="s">
        <v>44</v>
      </c>
      <c r="F83" s="2207" t="s">
        <v>45</v>
      </c>
      <c r="G83" s="2207" t="s">
        <v>46</v>
      </c>
      <c r="H83" s="2207" t="s">
        <v>47</v>
      </c>
      <c r="I83" s="2207" t="s">
        <v>1316</v>
      </c>
      <c r="J83" s="2207" t="s">
        <v>48</v>
      </c>
      <c r="K83" s="2207" t="s">
        <v>49</v>
      </c>
      <c r="L83" s="2207" t="s">
        <v>50</v>
      </c>
      <c r="M83" s="2207" t="s">
        <v>51</v>
      </c>
      <c r="N83" s="635"/>
      <c r="Q83" s="159"/>
      <c r="R83" s="159"/>
      <c r="V83" s="2704" t="s">
        <v>52</v>
      </c>
      <c r="W83" s="2642">
        <f>$W$6</f>
        <v>43252</v>
      </c>
      <c r="X83" s="2642">
        <f>$X$6</f>
        <v>43465</v>
      </c>
      <c r="Y83" s="2642">
        <f>$Y$6</f>
        <v>43800</v>
      </c>
      <c r="Z83" s="2642">
        <f>$Z$6</f>
        <v>43862</v>
      </c>
      <c r="AA83" s="2642">
        <f>$AA$6</f>
        <v>44013</v>
      </c>
      <c r="AB83" s="2642">
        <f>$AB$6</f>
        <v>44166</v>
      </c>
      <c r="AC83" s="2641">
        <f>$AC$6</f>
        <v>44531</v>
      </c>
      <c r="AD83" s="2641">
        <f>$AD$6</f>
        <v>44774</v>
      </c>
      <c r="AE83" s="2641">
        <f>$AE$6</f>
        <v>45139</v>
      </c>
      <c r="AF83" s="2641">
        <f>$AF$6</f>
        <v>45672</v>
      </c>
      <c r="AG83" s="2641" t="str">
        <f>$AG$6</f>
        <v>-</v>
      </c>
      <c r="AH83" s="2237"/>
      <c r="DG83" s="2750" t="str">
        <f>$DG$6</f>
        <v>TRC (2025)</v>
      </c>
      <c r="DH83" s="2750" t="str">
        <f>$DH$6</f>
        <v>Benefit Lookup</v>
      </c>
      <c r="DI83" s="2876" t="str">
        <f>$DI$6</f>
        <v>Benefits (2025 $)</v>
      </c>
      <c r="DJ83" s="2752" t="str">
        <f>$DJ$6</f>
        <v>Incremental Cost (2025 $)</v>
      </c>
    </row>
    <row r="84" spans="2:114">
      <c r="B84" s="2208">
        <f t="shared" ref="B84:B86" si="11">VALUE(LEFT(C84,6))</f>
        <v>300450</v>
      </c>
      <c r="C84" s="2832" t="s">
        <v>1518</v>
      </c>
      <c r="D84" s="2409" t="s">
        <v>1139</v>
      </c>
      <c r="E84" s="2321" t="s">
        <v>1519</v>
      </c>
      <c r="F84" s="2245">
        <f>ROUND(G96*(G99*G100-G103*G104)*G107*G110*G112/G113*I84*G124*G122,2)</f>
        <v>32.47</v>
      </c>
      <c r="G84" s="2244" t="s">
        <v>961</v>
      </c>
      <c r="H84" s="2213">
        <f>VLOOKUP(G84,'CP FACTORS'!$A$3:$B$38, 2, FALSE)</f>
        <v>8.8731800000000003E-5</v>
      </c>
      <c r="I84" s="2594">
        <f>G$116*G$117*(G$118-G$119)/(G$120*G$121)</f>
        <v>8.6195779601406813E-2</v>
      </c>
      <c r="J84" s="2246">
        <f>ROUND(F84*H84,6)</f>
        <v>2.8809999999999999E-3</v>
      </c>
      <c r="K84" s="2569">
        <f>$G$127</f>
        <v>10</v>
      </c>
      <c r="L84" s="2412">
        <f>$G$128</f>
        <v>3</v>
      </c>
      <c r="M84" s="2408" t="s">
        <v>62</v>
      </c>
      <c r="N84" s="635"/>
      <c r="Q84" s="159"/>
      <c r="R84" s="532"/>
      <c r="V84" s="2425" t="str">
        <f>F83</f>
        <v>kWh Annual Savings</v>
      </c>
      <c r="W84" s="2845">
        <v>45.9</v>
      </c>
      <c r="X84" s="2846">
        <v>40.741488532871308</v>
      </c>
      <c r="Y84" s="2572">
        <v>52.47</v>
      </c>
      <c r="Z84" s="2573">
        <v>52.47</v>
      </c>
      <c r="AA84" s="2573">
        <v>52.47</v>
      </c>
      <c r="AB84" s="2554">
        <v>29.75</v>
      </c>
      <c r="AC84" s="2847">
        <v>29.75</v>
      </c>
      <c r="AD84" s="2847">
        <v>29.75</v>
      </c>
      <c r="AE84" s="2847">
        <v>29.75</v>
      </c>
      <c r="AF84" s="2236">
        <f>IF(F84&lt;&gt;"",F84,"")</f>
        <v>32.47</v>
      </c>
      <c r="AG84" s="2413"/>
      <c r="AH84" s="2728"/>
      <c r="DG84" s="2877">
        <f>(DI84)/(DJ84)</f>
        <v>5.3174483285335183</v>
      </c>
      <c r="DH84" s="2419" t="str">
        <f>CONCATENATE(G84," ",K84," Year EUL")</f>
        <v>Water Heating RES 10 Year EUL</v>
      </c>
      <c r="DI84" s="2878">
        <f>(INDEX('Avoided Cost Benefits'!$B$4:$B$865,MATCH(DH84,'Avoided Cost Benefits'!$A$4:$A$865,0)))*F84</f>
        <v>15.952344985600554</v>
      </c>
      <c r="DJ84" s="2879">
        <f>L84/(1.0686^(2025-2025))</f>
        <v>3</v>
      </c>
    </row>
    <row r="85" spans="2:114">
      <c r="B85" s="2208">
        <f t="shared" si="11"/>
        <v>300500</v>
      </c>
      <c r="C85" s="2832" t="s">
        <v>1520</v>
      </c>
      <c r="D85" s="2254" t="s">
        <v>1122</v>
      </c>
      <c r="E85" s="2321" t="s">
        <v>1519</v>
      </c>
      <c r="F85" s="2245">
        <f>ROUND(G97*(G99*G101-G103*G105)*G108*G110*G112/G114*I85*G125*G123,2)</f>
        <v>108.66</v>
      </c>
      <c r="G85" s="2244" t="s">
        <v>961</v>
      </c>
      <c r="H85" s="2213">
        <f>VLOOKUP(G85,'CP FACTORS'!$A$3:$B$38, 2, FALSE)</f>
        <v>8.8731800000000003E-5</v>
      </c>
      <c r="I85" s="2594">
        <f>G$116*G$117*(G$118-G$119)/(G$120*G$121)</f>
        <v>8.6195779601406813E-2</v>
      </c>
      <c r="J85" s="2246">
        <f>ROUND(F85*H85,6)</f>
        <v>9.6419999999999995E-3</v>
      </c>
      <c r="K85" s="2569">
        <f>$G$127</f>
        <v>10</v>
      </c>
      <c r="L85" s="2412">
        <f>$G$128</f>
        <v>3</v>
      </c>
      <c r="M85" s="2408" t="s">
        <v>62</v>
      </c>
      <c r="N85" s="635"/>
      <c r="Q85" s="159"/>
      <c r="R85" s="532"/>
      <c r="V85" s="2425" t="str">
        <f>V84</f>
        <v>kWh Annual Savings</v>
      </c>
      <c r="W85" s="2845">
        <v>115.9</v>
      </c>
      <c r="X85" s="2846">
        <v>113.15036771306985</v>
      </c>
      <c r="Y85" s="2572">
        <v>99.45</v>
      </c>
      <c r="Z85" s="2573">
        <v>99.45</v>
      </c>
      <c r="AA85" s="2573">
        <v>99.45</v>
      </c>
      <c r="AB85" s="2554">
        <v>99.55</v>
      </c>
      <c r="AC85" s="2847">
        <v>99.55</v>
      </c>
      <c r="AD85" s="2847">
        <v>99.55</v>
      </c>
      <c r="AE85" s="2847">
        <v>99.55</v>
      </c>
      <c r="AF85" s="2236">
        <f>IF(F85&lt;&gt;"",F85,"")</f>
        <v>108.66</v>
      </c>
      <c r="AG85" s="2413"/>
      <c r="AH85" s="2728"/>
      <c r="DG85" s="2877">
        <f>(DI85)/(DJ85)</f>
        <v>17.794700812394584</v>
      </c>
      <c r="DH85" s="2419" t="str">
        <f>CONCATENATE(G85," ",K85," Year EUL")</f>
        <v>Water Heating RES 10 Year EUL</v>
      </c>
      <c r="DI85" s="2878">
        <f>(INDEX('Avoided Cost Benefits'!$B$4:$B$865,MATCH(DH85,'Avoided Cost Benefits'!$A$4:$A$865,0)))*F85</f>
        <v>53.384102437183749</v>
      </c>
      <c r="DJ85" s="2879">
        <f>L85/(1.0686^(2025-2025))</f>
        <v>3</v>
      </c>
    </row>
    <row r="86" spans="2:114">
      <c r="B86" s="2208">
        <f t="shared" si="11"/>
        <v>300501</v>
      </c>
      <c r="C86" s="2832" t="s">
        <v>1521</v>
      </c>
      <c r="D86" s="2408" t="s">
        <v>1448</v>
      </c>
      <c r="E86" s="2321" t="s">
        <v>1522</v>
      </c>
      <c r="F86" s="2245">
        <f>ROUND(G98*(G99*G102-G103*G106)*G109*G111*G112/G115*I86*G126*G123,2)</f>
        <v>47.69</v>
      </c>
      <c r="G86" s="2244" t="s">
        <v>961</v>
      </c>
      <c r="H86" s="2548">
        <f>VLOOKUP(G86,'CP FACTORS'!$A$3:$B$38, 2, FALSE)</f>
        <v>8.8731800000000003E-5</v>
      </c>
      <c r="I86" s="2594">
        <f>G$116*G$117*(G$118-G$119)/(G$120*G$121)</f>
        <v>8.6195779601406813E-2</v>
      </c>
      <c r="J86" s="2246">
        <f>ROUND(F86*H86,6)</f>
        <v>4.2319999999999997E-3</v>
      </c>
      <c r="K86" s="2569">
        <f>$G$127</f>
        <v>10</v>
      </c>
      <c r="L86" s="2412">
        <f>$G$128</f>
        <v>3</v>
      </c>
      <c r="M86" s="2408" t="s">
        <v>62</v>
      </c>
      <c r="N86" s="635"/>
      <c r="Q86" s="159"/>
      <c r="R86" s="532"/>
      <c r="V86" s="2425" t="e">
        <f>#REF!</f>
        <v>#REF!</v>
      </c>
      <c r="W86" s="2845"/>
      <c r="X86" s="2846"/>
      <c r="Y86" s="2572"/>
      <c r="Z86" s="2555"/>
      <c r="AA86" s="2555"/>
      <c r="AB86" s="2554">
        <v>43.69</v>
      </c>
      <c r="AC86" s="2847">
        <v>43.69</v>
      </c>
      <c r="AD86" s="2847">
        <v>43.69</v>
      </c>
      <c r="AE86" s="2847">
        <v>43.69</v>
      </c>
      <c r="AF86" s="2236">
        <f>IF(F86&lt;&gt;"",F86,"")</f>
        <v>47.69</v>
      </c>
      <c r="AG86" s="2413"/>
      <c r="AH86" s="2728"/>
      <c r="DG86" s="2877">
        <f>(DI86)/(DJ86)</f>
        <v>7.8099510559828609</v>
      </c>
      <c r="DH86" s="2419" t="str">
        <f>CONCATENATE(G86," ",K86," Year EUL")</f>
        <v>Water Heating RES 10 Year EUL</v>
      </c>
      <c r="DI86" s="2878">
        <f>(INDEX('Avoided Cost Benefits'!$B$4:$B$865,MATCH(DH86,'Avoided Cost Benefits'!$A$4:$A$865,0)))*F86</f>
        <v>23.429853167948583</v>
      </c>
      <c r="DJ86" s="2879">
        <f>L86/(1.0686^(2025-2025))</f>
        <v>3</v>
      </c>
    </row>
    <row r="87" spans="2:114" hidden="1" outlineLevel="1">
      <c r="C87" s="104"/>
      <c r="D87" s="2624" t="s">
        <v>118</v>
      </c>
      <c r="E87" s="2696" t="s">
        <v>1523</v>
      </c>
      <c r="G87" s="547"/>
      <c r="H87" s="548"/>
      <c r="I87" s="549"/>
      <c r="J87" s="549"/>
      <c r="K87" s="549"/>
      <c r="L87" s="550"/>
    </row>
    <row r="88" spans="2:114" hidden="1" outlineLevel="1">
      <c r="C88" s="104"/>
      <c r="D88" s="2294" t="s">
        <v>963</v>
      </c>
      <c r="E88" s="635" t="s">
        <v>1524</v>
      </c>
    </row>
    <row r="89" spans="2:114" hidden="1" outlineLevel="1">
      <c r="C89" s="104"/>
      <c r="D89" s="2206"/>
      <c r="E89" s="635" t="s">
        <v>1525</v>
      </c>
    </row>
    <row r="90" spans="2:114" hidden="1" outlineLevel="1">
      <c r="C90" s="104"/>
      <c r="D90" s="2206"/>
      <c r="E90" s="635" t="s">
        <v>966</v>
      </c>
    </row>
    <row r="91" spans="2:114" hidden="1" outlineLevel="1">
      <c r="C91" s="104"/>
      <c r="D91" s="2206"/>
      <c r="E91" s="635" t="s">
        <v>1526</v>
      </c>
    </row>
    <row r="92" spans="2:114" hidden="1" outlineLevel="1">
      <c r="C92" s="104"/>
    </row>
    <row r="93" spans="2:114" hidden="1" outlineLevel="1">
      <c r="C93" s="104"/>
    </row>
    <row r="94" spans="2:114" hidden="1" outlineLevel="1">
      <c r="C94" s="104"/>
      <c r="V94" s="2704" t="s">
        <v>52</v>
      </c>
      <c r="W94" s="2642">
        <f>$W$6</f>
        <v>43252</v>
      </c>
      <c r="X94" s="2642">
        <f>$X$6</f>
        <v>43465</v>
      </c>
      <c r="Y94" s="2642">
        <f>$Y$6</f>
        <v>43800</v>
      </c>
      <c r="Z94" s="2642">
        <f>$Z$6</f>
        <v>43862</v>
      </c>
      <c r="AA94" s="2642">
        <f>$AA$6</f>
        <v>44013</v>
      </c>
      <c r="AB94" s="2642">
        <f>$AB$6</f>
        <v>44166</v>
      </c>
      <c r="AC94" s="2641">
        <f>$AC$6</f>
        <v>44531</v>
      </c>
      <c r="AD94" s="2641">
        <f>$AD$6</f>
        <v>44774</v>
      </c>
      <c r="AE94" s="2641">
        <f>$AE$6</f>
        <v>45139</v>
      </c>
      <c r="AF94" s="2641">
        <f>$AF$6</f>
        <v>45672</v>
      </c>
      <c r="AG94" s="2641" t="str">
        <f>$AG$6</f>
        <v>-</v>
      </c>
      <c r="AH94" s="152"/>
    </row>
    <row r="95" spans="2:114" ht="15" hidden="1" customHeight="1" outlineLevel="1">
      <c r="C95" s="104"/>
      <c r="D95" s="2303" t="s">
        <v>1078</v>
      </c>
      <c r="E95" s="2833" t="s">
        <v>967</v>
      </c>
      <c r="F95" s="2207" t="s">
        <v>1527</v>
      </c>
      <c r="G95" s="2207" t="s">
        <v>969</v>
      </c>
      <c r="H95" s="4172" t="s">
        <v>970</v>
      </c>
      <c r="I95" s="4173"/>
      <c r="J95" s="4172" t="s">
        <v>755</v>
      </c>
      <c r="K95" s="4173"/>
      <c r="V95" s="801"/>
      <c r="W95" s="724"/>
      <c r="X95" s="724"/>
      <c r="Y95" s="724"/>
      <c r="Z95" s="724"/>
      <c r="AA95" s="724"/>
      <c r="AB95" s="724"/>
      <c r="AC95" s="724"/>
      <c r="AD95" s="724"/>
      <c r="AE95" s="724"/>
      <c r="AF95" s="724"/>
      <c r="AG95" s="724"/>
      <c r="AH95" s="52"/>
    </row>
    <row r="96" spans="2:114" ht="30" hidden="1" customHeight="1" outlineLevel="1">
      <c r="C96" s="1450"/>
      <c r="D96" s="4144" t="s">
        <v>1325</v>
      </c>
      <c r="E96" s="4163" t="s">
        <v>1326</v>
      </c>
      <c r="F96" s="1840" t="s">
        <v>1528</v>
      </c>
      <c r="G96" s="2347">
        <v>0.42</v>
      </c>
      <c r="H96" s="4174" t="s">
        <v>1529</v>
      </c>
      <c r="I96" s="4175"/>
      <c r="J96" s="4161"/>
      <c r="K96" s="4162"/>
      <c r="V96" s="4144" t="s">
        <v>1325</v>
      </c>
      <c r="W96" s="2848">
        <v>0.4</v>
      </c>
      <c r="X96" s="2849">
        <v>0.34429999999999999</v>
      </c>
      <c r="Y96" s="2849">
        <v>0.46360000000000001</v>
      </c>
      <c r="Z96" s="2850">
        <v>0.46360000000000001</v>
      </c>
      <c r="AA96" s="2850">
        <v>0.46360000000000001</v>
      </c>
      <c r="AB96" s="2849">
        <v>0.42</v>
      </c>
      <c r="AC96" s="2850">
        <v>0.42</v>
      </c>
      <c r="AD96" s="2850">
        <v>0.42</v>
      </c>
      <c r="AE96" s="2850">
        <v>0.42</v>
      </c>
      <c r="AF96" s="2236">
        <f t="shared" ref="AF96:AF128" si="12">IF(G96&lt;&gt;"",G96,"")</f>
        <v>0.42</v>
      </c>
      <c r="AG96" s="2848"/>
    </row>
    <row r="97" spans="1:114" s="1623" customFormat="1" ht="30" hidden="1" customHeight="1" outlineLevel="1">
      <c r="A97" s="52"/>
      <c r="B97" s="104"/>
      <c r="C97" s="1450"/>
      <c r="D97" s="4152"/>
      <c r="E97" s="4180"/>
      <c r="F97" s="2834" t="s">
        <v>1511</v>
      </c>
      <c r="G97" s="2347">
        <v>1</v>
      </c>
      <c r="H97" s="4166" t="s">
        <v>1530</v>
      </c>
      <c r="I97" s="4167"/>
      <c r="J97" s="4161"/>
      <c r="K97" s="4162"/>
      <c r="L97" s="104"/>
      <c r="M97" s="1450"/>
      <c r="N97" s="104"/>
      <c r="O97" s="104"/>
      <c r="P97" s="104"/>
      <c r="Q97" s="104"/>
      <c r="R97" s="104"/>
      <c r="S97" s="104"/>
      <c r="T97" s="104"/>
      <c r="U97" s="104"/>
      <c r="V97" s="4152"/>
      <c r="W97" s="2851"/>
      <c r="X97" s="2852"/>
      <c r="Y97" s="2852"/>
      <c r="Z97" s="2834"/>
      <c r="AA97" s="2834"/>
      <c r="AB97" s="2834">
        <v>1</v>
      </c>
      <c r="AC97" s="2834">
        <v>1</v>
      </c>
      <c r="AD97" s="2834">
        <v>1</v>
      </c>
      <c r="AE97" s="2834">
        <v>1</v>
      </c>
      <c r="AF97" s="2236">
        <f t="shared" si="12"/>
        <v>1</v>
      </c>
      <c r="AG97" s="2851"/>
      <c r="DG97" s="104"/>
      <c r="DH97" s="104"/>
      <c r="DI97" s="1450"/>
      <c r="DJ97" s="1624"/>
    </row>
    <row r="98" spans="1:114" ht="27.6" hidden="1" customHeight="1" outlineLevel="1">
      <c r="C98" s="1450"/>
      <c r="D98" s="4145"/>
      <c r="E98" s="4164"/>
      <c r="F98" s="2521" t="s">
        <v>1531</v>
      </c>
      <c r="G98" s="2347">
        <v>0.42</v>
      </c>
      <c r="H98" s="4174" t="s">
        <v>1529</v>
      </c>
      <c r="I98" s="4175"/>
      <c r="J98" s="4161"/>
      <c r="K98" s="4162"/>
      <c r="V98" s="4145"/>
      <c r="W98" s="2848"/>
      <c r="X98" s="2849"/>
      <c r="Y98" s="2849"/>
      <c r="Z98" s="2850"/>
      <c r="AA98" s="2850"/>
      <c r="AB98" s="2849">
        <v>0.42</v>
      </c>
      <c r="AC98" s="2850">
        <v>0.42</v>
      </c>
      <c r="AD98" s="2850">
        <v>0.42</v>
      </c>
      <c r="AE98" s="2850">
        <v>0.42</v>
      </c>
      <c r="AF98" s="2236">
        <f t="shared" si="12"/>
        <v>0.42</v>
      </c>
      <c r="AG98" s="2848"/>
    </row>
    <row r="99" spans="1:114" hidden="1" outlineLevel="1">
      <c r="C99" s="1450"/>
      <c r="D99" s="1444" t="s">
        <v>1329</v>
      </c>
      <c r="E99" s="2321" t="s">
        <v>1532</v>
      </c>
      <c r="F99" s="1840" t="s">
        <v>1102</v>
      </c>
      <c r="G99" s="2289">
        <v>2.2000000000000002</v>
      </c>
      <c r="H99" s="4158" t="s">
        <v>1533</v>
      </c>
      <c r="I99" s="4130"/>
      <c r="J99" s="4161"/>
      <c r="K99" s="4162"/>
      <c r="V99" s="1444" t="s">
        <v>1329</v>
      </c>
      <c r="W99" s="2853">
        <v>2.2000000000000002</v>
      </c>
      <c r="X99" s="2854">
        <v>2.2000000000000002</v>
      </c>
      <c r="Y99" s="2460">
        <v>2.2000000000000002</v>
      </c>
      <c r="Z99" s="2460">
        <v>2.2000000000000002</v>
      </c>
      <c r="AA99" s="2460">
        <v>2.2000000000000002</v>
      </c>
      <c r="AB99" s="2460">
        <v>2.2000000000000002</v>
      </c>
      <c r="AC99" s="2460">
        <v>2.2000000000000002</v>
      </c>
      <c r="AD99" s="2460">
        <v>2.2000000000000002</v>
      </c>
      <c r="AE99" s="2460">
        <v>2.2000000000000002</v>
      </c>
      <c r="AF99" s="2236">
        <f t="shared" si="12"/>
        <v>2.2000000000000002</v>
      </c>
      <c r="AG99" s="2853"/>
    </row>
    <row r="100" spans="1:114" ht="59.65" hidden="1" customHeight="1" outlineLevel="1">
      <c r="C100" s="1450"/>
      <c r="D100" s="4144" t="s">
        <v>1333</v>
      </c>
      <c r="E100" s="4163" t="s">
        <v>1534</v>
      </c>
      <c r="F100" s="1840" t="s">
        <v>1528</v>
      </c>
      <c r="G100" s="2370">
        <v>4.5</v>
      </c>
      <c r="H100" s="4158" t="s">
        <v>1535</v>
      </c>
      <c r="I100" s="4130"/>
      <c r="J100" s="4161"/>
      <c r="K100" s="4162"/>
      <c r="V100" s="4144" t="s">
        <v>1333</v>
      </c>
      <c r="W100" s="2855">
        <v>4.5</v>
      </c>
      <c r="X100" s="2856">
        <v>4.5</v>
      </c>
      <c r="Y100" s="2857">
        <v>4.5</v>
      </c>
      <c r="Z100" s="2857">
        <v>4.5</v>
      </c>
      <c r="AA100" s="2857">
        <v>4.5</v>
      </c>
      <c r="AB100" s="2857">
        <v>4.5</v>
      </c>
      <c r="AC100" s="2857">
        <v>4.5</v>
      </c>
      <c r="AD100" s="2857">
        <v>4.5</v>
      </c>
      <c r="AE100" s="2857">
        <v>4.5</v>
      </c>
      <c r="AF100" s="2236">
        <f t="shared" si="12"/>
        <v>4.5</v>
      </c>
      <c r="AG100" s="2855"/>
    </row>
    <row r="101" spans="1:114" hidden="1" outlineLevel="1">
      <c r="C101" s="1450"/>
      <c r="D101" s="4152"/>
      <c r="E101" s="4180"/>
      <c r="F101" s="2835" t="s">
        <v>1511</v>
      </c>
      <c r="G101" s="2289">
        <v>3.7</v>
      </c>
      <c r="H101" s="4158" t="s">
        <v>1536</v>
      </c>
      <c r="I101" s="4130"/>
      <c r="J101" s="4161"/>
      <c r="K101" s="4162"/>
      <c r="V101" s="4152"/>
      <c r="W101" s="2855"/>
      <c r="X101" s="2856"/>
      <c r="Y101" s="2857"/>
      <c r="Z101" s="2857"/>
      <c r="AA101" s="2857"/>
      <c r="AB101" s="2857">
        <v>3.7</v>
      </c>
      <c r="AC101" s="2857">
        <v>3.7</v>
      </c>
      <c r="AD101" s="2857">
        <v>3.7</v>
      </c>
      <c r="AE101" s="2857">
        <v>3.7</v>
      </c>
      <c r="AF101" s="2236">
        <f t="shared" si="12"/>
        <v>3.7</v>
      </c>
      <c r="AG101" s="2855"/>
    </row>
    <row r="102" spans="1:114" ht="46.5" hidden="1" customHeight="1" outlineLevel="1">
      <c r="C102" s="1450"/>
      <c r="D102" s="4145"/>
      <c r="E102" s="4164"/>
      <c r="F102" s="2521" t="s">
        <v>1531</v>
      </c>
      <c r="G102" s="2370">
        <v>3.7</v>
      </c>
      <c r="H102" s="4178" t="s">
        <v>1537</v>
      </c>
      <c r="I102" s="4179"/>
      <c r="J102" s="4161"/>
      <c r="K102" s="4162"/>
      <c r="V102" s="4145"/>
      <c r="W102" s="2855"/>
      <c r="X102" s="2856"/>
      <c r="Y102" s="2857"/>
      <c r="Z102" s="2857"/>
      <c r="AA102" s="2857"/>
      <c r="AB102" s="2409">
        <v>3.7</v>
      </c>
      <c r="AC102" s="2244">
        <v>3.7</v>
      </c>
      <c r="AD102" s="2244">
        <v>3.7</v>
      </c>
      <c r="AE102" s="2244">
        <v>3.7</v>
      </c>
      <c r="AF102" s="2236">
        <f t="shared" si="12"/>
        <v>3.7</v>
      </c>
      <c r="AG102" s="2855"/>
    </row>
    <row r="103" spans="1:114" s="1518" customFormat="1" hidden="1" outlineLevel="1">
      <c r="A103" s="52"/>
      <c r="B103" s="181"/>
      <c r="C103" s="1450"/>
      <c r="D103" s="1444" t="s">
        <v>1337</v>
      </c>
      <c r="E103" s="2321" t="s">
        <v>1538</v>
      </c>
      <c r="F103" s="1444" t="s">
        <v>1102</v>
      </c>
      <c r="G103" s="2322">
        <v>1.5</v>
      </c>
      <c r="H103" s="4158" t="s">
        <v>740</v>
      </c>
      <c r="I103" s="4130"/>
      <c r="J103" s="4161"/>
      <c r="K103" s="4162"/>
      <c r="L103" s="52"/>
      <c r="M103" s="181"/>
      <c r="N103" s="52"/>
      <c r="O103" s="52"/>
      <c r="P103" s="52"/>
      <c r="Q103" s="52"/>
      <c r="R103" s="181"/>
      <c r="S103" s="181"/>
      <c r="T103" s="181"/>
      <c r="U103" s="181"/>
      <c r="V103" s="1444" t="s">
        <v>1337</v>
      </c>
      <c r="W103" s="2855">
        <v>1.5</v>
      </c>
      <c r="X103" s="2856">
        <v>1.5</v>
      </c>
      <c r="Y103" s="2254">
        <v>1.5</v>
      </c>
      <c r="Z103" s="2254">
        <v>1.5</v>
      </c>
      <c r="AA103" s="2254">
        <v>1.5</v>
      </c>
      <c r="AB103" s="2857">
        <v>1.5</v>
      </c>
      <c r="AC103" s="2857">
        <v>1.5</v>
      </c>
      <c r="AD103" s="2857">
        <v>1.5</v>
      </c>
      <c r="AE103" s="2857">
        <v>1.5</v>
      </c>
      <c r="AF103" s="2236">
        <f t="shared" si="12"/>
        <v>1.5</v>
      </c>
      <c r="AG103" s="2855"/>
      <c r="AI103" s="76"/>
      <c r="AJ103" s="76"/>
      <c r="AK103" s="76"/>
      <c r="AL103" s="76"/>
      <c r="AM103" s="76"/>
      <c r="AN103" s="76"/>
      <c r="AO103" s="76"/>
      <c r="AP103" s="76"/>
      <c r="AQ103" s="76"/>
      <c r="AR103" s="76"/>
      <c r="AS103" s="76"/>
      <c r="DG103" s="52"/>
      <c r="DH103" s="52"/>
      <c r="DI103" s="149"/>
      <c r="DJ103" s="1183"/>
    </row>
    <row r="104" spans="1:114" ht="55.15" hidden="1" customHeight="1" outlineLevel="1">
      <c r="C104" s="1450"/>
      <c r="D104" s="4144" t="s">
        <v>1340</v>
      </c>
      <c r="E104" s="4163" t="s">
        <v>1539</v>
      </c>
      <c r="F104" s="1840" t="s">
        <v>1528</v>
      </c>
      <c r="G104" s="2370">
        <v>4.5</v>
      </c>
      <c r="H104" s="4158" t="s">
        <v>1535</v>
      </c>
      <c r="I104" s="4130"/>
      <c r="J104" s="4161"/>
      <c r="K104" s="4162"/>
      <c r="V104" s="4144" t="s">
        <v>1340</v>
      </c>
      <c r="W104" s="2855">
        <v>4.5</v>
      </c>
      <c r="X104" s="2856">
        <v>4.5</v>
      </c>
      <c r="Y104" s="2254">
        <v>4.5</v>
      </c>
      <c r="Z104" s="2254">
        <v>4.5</v>
      </c>
      <c r="AA104" s="2254">
        <v>4.5</v>
      </c>
      <c r="AB104" s="2857">
        <v>4.5</v>
      </c>
      <c r="AC104" s="2857">
        <v>4.5</v>
      </c>
      <c r="AD104" s="2857">
        <v>4.5</v>
      </c>
      <c r="AE104" s="2857">
        <v>4.5</v>
      </c>
      <c r="AF104" s="2236">
        <f t="shared" si="12"/>
        <v>4.5</v>
      </c>
      <c r="AG104" s="2855"/>
    </row>
    <row r="105" spans="1:114" hidden="1" outlineLevel="1">
      <c r="C105" s="1450"/>
      <c r="D105" s="4152"/>
      <c r="E105" s="4180"/>
      <c r="F105" s="2835" t="s">
        <v>1511</v>
      </c>
      <c r="G105" s="2289">
        <v>3.7</v>
      </c>
      <c r="H105" s="4158" t="s">
        <v>1536</v>
      </c>
      <c r="I105" s="4130"/>
      <c r="J105" s="4161"/>
      <c r="K105" s="4162"/>
      <c r="V105" s="4152"/>
      <c r="W105" s="2855"/>
      <c r="X105" s="2856"/>
      <c r="Y105" s="2254"/>
      <c r="Z105" s="2254"/>
      <c r="AA105" s="2254"/>
      <c r="AB105" s="2857">
        <v>3.7</v>
      </c>
      <c r="AC105" s="2857">
        <v>3.7</v>
      </c>
      <c r="AD105" s="2857">
        <v>3.7</v>
      </c>
      <c r="AE105" s="2857">
        <v>3.7</v>
      </c>
      <c r="AF105" s="2236">
        <f t="shared" si="12"/>
        <v>3.7</v>
      </c>
      <c r="AG105" s="2855"/>
    </row>
    <row r="106" spans="1:114" ht="42.6" hidden="1" customHeight="1" outlineLevel="1">
      <c r="C106" s="1450"/>
      <c r="D106" s="4145"/>
      <c r="E106" s="4164"/>
      <c r="F106" s="2521" t="s">
        <v>1531</v>
      </c>
      <c r="G106" s="2370">
        <v>3.7</v>
      </c>
      <c r="H106" s="4178" t="s">
        <v>1537</v>
      </c>
      <c r="I106" s="4179"/>
      <c r="J106" s="4161"/>
      <c r="K106" s="4162"/>
      <c r="V106" s="4145"/>
      <c r="W106" s="2855"/>
      <c r="X106" s="2856"/>
      <c r="Y106" s="2254"/>
      <c r="Z106" s="2254"/>
      <c r="AA106" s="2254"/>
      <c r="AB106" s="2409">
        <v>3.7</v>
      </c>
      <c r="AC106" s="2244">
        <v>3.7</v>
      </c>
      <c r="AD106" s="2244">
        <v>3.7</v>
      </c>
      <c r="AE106" s="2244">
        <v>3.7</v>
      </c>
      <c r="AF106" s="2236">
        <f t="shared" si="12"/>
        <v>3.7</v>
      </c>
      <c r="AG106" s="2855"/>
    </row>
    <row r="107" spans="1:114" ht="29.65" hidden="1" customHeight="1" outlineLevel="1">
      <c r="C107" s="1450"/>
      <c r="D107" s="4144" t="s">
        <v>982</v>
      </c>
      <c r="E107" s="4144" t="s">
        <v>1540</v>
      </c>
      <c r="F107" s="1840" t="s">
        <v>1528</v>
      </c>
      <c r="G107" s="2836">
        <v>4.28571428571429</v>
      </c>
      <c r="H107" s="4158" t="s">
        <v>1529</v>
      </c>
      <c r="I107" s="4130"/>
      <c r="J107" s="4161"/>
      <c r="K107" s="4162"/>
      <c r="V107" s="4144" t="s">
        <v>982</v>
      </c>
      <c r="W107" s="2858">
        <v>4.3185840707964598</v>
      </c>
      <c r="X107" s="2451">
        <v>4.2926829268292686</v>
      </c>
      <c r="Y107" s="2859">
        <v>4.2329545454545459</v>
      </c>
      <c r="Z107" s="2860">
        <v>4.2329545454545459</v>
      </c>
      <c r="AA107" s="2860">
        <v>4.2329545454545459</v>
      </c>
      <c r="AB107" s="2451">
        <v>4.28571428571429</v>
      </c>
      <c r="AC107" s="2861">
        <v>4.28571428571429</v>
      </c>
      <c r="AD107" s="2861">
        <v>4.28571428571429</v>
      </c>
      <c r="AE107" s="2861">
        <v>4.28571428571429</v>
      </c>
      <c r="AF107" s="2236">
        <f t="shared" si="12"/>
        <v>4.28571428571429</v>
      </c>
      <c r="AG107" s="2858"/>
    </row>
    <row r="108" spans="1:114" ht="27.6" hidden="1" customHeight="1" outlineLevel="1">
      <c r="C108" s="1450"/>
      <c r="D108" s="4152"/>
      <c r="E108" s="4152"/>
      <c r="F108" s="2837" t="s">
        <v>1511</v>
      </c>
      <c r="G108" s="2836">
        <v>1.7767584097859328</v>
      </c>
      <c r="H108" s="4158" t="s">
        <v>1541</v>
      </c>
      <c r="I108" s="4130"/>
      <c r="J108" s="4161"/>
      <c r="K108" s="4162"/>
      <c r="V108" s="4152"/>
      <c r="W108" s="2858"/>
      <c r="X108" s="2451"/>
      <c r="Y108" s="2859"/>
      <c r="Z108" s="2860"/>
      <c r="AA108" s="2860"/>
      <c r="AB108" s="2861">
        <v>1.7767584097859328</v>
      </c>
      <c r="AC108" s="2861">
        <v>1.7767584097859328</v>
      </c>
      <c r="AD108" s="2861">
        <v>1.7767584097859328</v>
      </c>
      <c r="AE108" s="2861">
        <v>1.7767584097859328</v>
      </c>
      <c r="AF108" s="2236">
        <f t="shared" si="12"/>
        <v>1.7767584097859328</v>
      </c>
      <c r="AG108" s="2858"/>
    </row>
    <row r="109" spans="1:114" ht="42" hidden="1" customHeight="1" outlineLevel="1">
      <c r="C109" s="1450"/>
      <c r="D109" s="4145"/>
      <c r="E109" s="4145"/>
      <c r="F109" s="2521" t="s">
        <v>1531</v>
      </c>
      <c r="G109" s="2838">
        <v>1.5644946808510638</v>
      </c>
      <c r="H109" s="4176" t="s">
        <v>1542</v>
      </c>
      <c r="I109" s="4177"/>
      <c r="J109" s="4161"/>
      <c r="K109" s="4162"/>
      <c r="V109" s="4145"/>
      <c r="W109" s="2858"/>
      <c r="X109" s="2451"/>
      <c r="Y109" s="2859"/>
      <c r="Z109" s="2860"/>
      <c r="AA109" s="2860"/>
      <c r="AB109" s="2363">
        <v>1.5644946808510638</v>
      </c>
      <c r="AC109" s="2594">
        <v>1.5644946808510638</v>
      </c>
      <c r="AD109" s="2594">
        <v>1.5644946808510638</v>
      </c>
      <c r="AE109" s="2594">
        <v>1.5644946808510638</v>
      </c>
      <c r="AF109" s="2236">
        <f t="shared" si="12"/>
        <v>1.5644946808510638</v>
      </c>
      <c r="AG109" s="2858"/>
    </row>
    <row r="110" spans="1:114" hidden="1" outlineLevel="1">
      <c r="C110" s="1450"/>
      <c r="D110" s="4159" t="s">
        <v>1543</v>
      </c>
      <c r="E110" s="4163" t="s">
        <v>1544</v>
      </c>
      <c r="F110" s="2840" t="s">
        <v>1545</v>
      </c>
      <c r="G110" s="2836">
        <v>0.75</v>
      </c>
      <c r="H110" s="4842" t="s">
        <v>1546</v>
      </c>
      <c r="I110" s="4842"/>
      <c r="J110" s="4161"/>
      <c r="K110" s="4162"/>
      <c r="V110" s="4159" t="s">
        <v>1543</v>
      </c>
      <c r="W110" s="2853">
        <v>0.75</v>
      </c>
      <c r="X110" s="2854">
        <v>0.75</v>
      </c>
      <c r="Y110" s="2460">
        <v>0.75</v>
      </c>
      <c r="Z110" s="2460">
        <v>0.75</v>
      </c>
      <c r="AA110" s="2460">
        <v>0.75</v>
      </c>
      <c r="AB110" s="2460">
        <v>0.75</v>
      </c>
      <c r="AC110" s="2460">
        <v>0.75</v>
      </c>
      <c r="AD110" s="2460">
        <v>0.75</v>
      </c>
      <c r="AE110" s="2460">
        <v>0.75</v>
      </c>
      <c r="AF110" s="2236">
        <f t="shared" si="12"/>
        <v>0.75</v>
      </c>
      <c r="AG110" s="2853"/>
    </row>
    <row r="111" spans="1:114" hidden="1" outlineLevel="1">
      <c r="C111" s="1450"/>
      <c r="D111" s="4160"/>
      <c r="E111" s="4164"/>
      <c r="F111" s="2521" t="s">
        <v>1531</v>
      </c>
      <c r="G111" s="2836">
        <v>1</v>
      </c>
      <c r="H111" s="4158" t="s">
        <v>1547</v>
      </c>
      <c r="I111" s="4130"/>
      <c r="J111" s="4161"/>
      <c r="K111" s="4162"/>
      <c r="V111" s="4160"/>
      <c r="W111" s="2853"/>
      <c r="X111" s="2854"/>
      <c r="Y111" s="2460"/>
      <c r="Z111" s="2460"/>
      <c r="AA111" s="2460"/>
      <c r="AB111" s="2235">
        <v>1</v>
      </c>
      <c r="AC111" s="2456">
        <v>1</v>
      </c>
      <c r="AD111" s="2456">
        <v>1</v>
      </c>
      <c r="AE111" s="2456">
        <v>1</v>
      </c>
      <c r="AF111" s="2236">
        <f t="shared" si="12"/>
        <v>1</v>
      </c>
      <c r="AG111" s="2853"/>
    </row>
    <row r="112" spans="1:114" hidden="1" outlineLevel="1">
      <c r="C112" s="1450"/>
      <c r="D112" s="1840">
        <v>365.25</v>
      </c>
      <c r="E112" s="2321" t="s">
        <v>421</v>
      </c>
      <c r="F112" s="1840" t="s">
        <v>1102</v>
      </c>
      <c r="G112" s="2836">
        <v>365.25</v>
      </c>
      <c r="H112" s="4158" t="s">
        <v>1350</v>
      </c>
      <c r="I112" s="4130"/>
      <c r="J112" s="4161"/>
      <c r="K112" s="4162"/>
      <c r="V112" s="1840">
        <v>365.25</v>
      </c>
      <c r="W112" s="2855">
        <v>365</v>
      </c>
      <c r="X112" s="2856">
        <v>365</v>
      </c>
      <c r="Y112" s="2857">
        <v>365</v>
      </c>
      <c r="Z112" s="2857">
        <v>365</v>
      </c>
      <c r="AA112" s="2857">
        <v>365</v>
      </c>
      <c r="AB112" s="2243">
        <v>365.25</v>
      </c>
      <c r="AC112" s="2857">
        <v>365.25</v>
      </c>
      <c r="AD112" s="2857">
        <v>365.25</v>
      </c>
      <c r="AE112" s="2857">
        <v>365.25</v>
      </c>
      <c r="AF112" s="2236">
        <f t="shared" si="12"/>
        <v>365.25</v>
      </c>
      <c r="AG112" s="2855"/>
    </row>
    <row r="113" spans="1:114" ht="27.6" hidden="1" customHeight="1" outlineLevel="1">
      <c r="C113" s="1450"/>
      <c r="D113" s="4159" t="s">
        <v>1548</v>
      </c>
      <c r="E113" s="4163" t="s">
        <v>1549</v>
      </c>
      <c r="F113" s="1840" t="s">
        <v>1528</v>
      </c>
      <c r="G113" s="2836">
        <v>1.1875</v>
      </c>
      <c r="H113" s="4156" t="s">
        <v>1550</v>
      </c>
      <c r="I113" s="4157"/>
      <c r="J113" s="4161"/>
      <c r="K113" s="4162"/>
      <c r="V113" s="4159" t="s">
        <v>1548</v>
      </c>
      <c r="W113" s="2862">
        <v>1.1754385964912279</v>
      </c>
      <c r="X113" s="2863">
        <v>1.1754385964912279</v>
      </c>
      <c r="Y113" s="2864">
        <v>1.1875</v>
      </c>
      <c r="Z113" s="2865">
        <v>1.1875</v>
      </c>
      <c r="AA113" s="2865">
        <v>1.1875</v>
      </c>
      <c r="AB113" s="2866">
        <v>1.1875</v>
      </c>
      <c r="AC113" s="2866">
        <v>1.1875</v>
      </c>
      <c r="AD113" s="2866">
        <v>1.1875</v>
      </c>
      <c r="AE113" s="2866">
        <v>1.1875</v>
      </c>
      <c r="AF113" s="2236">
        <f t="shared" si="12"/>
        <v>1.1875</v>
      </c>
      <c r="AG113" s="2862"/>
    </row>
    <row r="114" spans="1:114" ht="29.65" hidden="1" customHeight="1" outlineLevel="1">
      <c r="C114" s="1450"/>
      <c r="D114" s="4165"/>
      <c r="E114" s="4180"/>
      <c r="F114" s="2841" t="s">
        <v>1511</v>
      </c>
      <c r="G114" s="2836">
        <v>1</v>
      </c>
      <c r="H114" s="4156" t="s">
        <v>1550</v>
      </c>
      <c r="I114" s="4157"/>
      <c r="J114" s="4161"/>
      <c r="K114" s="4162"/>
      <c r="V114" s="4165"/>
      <c r="W114" s="2862"/>
      <c r="X114" s="2863"/>
      <c r="Y114" s="2864"/>
      <c r="Z114" s="2865"/>
      <c r="AA114" s="2865"/>
      <c r="AB114" s="2865">
        <v>1</v>
      </c>
      <c r="AC114" s="2865">
        <v>1</v>
      </c>
      <c r="AD114" s="2865">
        <v>1</v>
      </c>
      <c r="AE114" s="2865">
        <v>1</v>
      </c>
      <c r="AF114" s="2236">
        <f t="shared" si="12"/>
        <v>1</v>
      </c>
      <c r="AG114" s="2862"/>
    </row>
    <row r="115" spans="1:114" ht="60.6" hidden="1" customHeight="1" outlineLevel="1">
      <c r="C115" s="1450"/>
      <c r="D115" s="4160"/>
      <c r="E115" s="4164"/>
      <c r="F115" s="2521" t="s">
        <v>1531</v>
      </c>
      <c r="G115" s="2836">
        <v>1</v>
      </c>
      <c r="H115" s="4156" t="s">
        <v>1550</v>
      </c>
      <c r="I115" s="4157"/>
      <c r="J115" s="4264" t="s">
        <v>1551</v>
      </c>
      <c r="K115" s="4265"/>
      <c r="V115" s="4160"/>
      <c r="W115" s="2862"/>
      <c r="X115" s="2863"/>
      <c r="Y115" s="2864"/>
      <c r="Z115" s="2865"/>
      <c r="AA115" s="2865"/>
      <c r="AB115" s="2864">
        <v>1</v>
      </c>
      <c r="AC115" s="2865">
        <v>1</v>
      </c>
      <c r="AD115" s="2865">
        <v>1</v>
      </c>
      <c r="AE115" s="2865">
        <v>1</v>
      </c>
      <c r="AF115" s="2236">
        <f t="shared" si="12"/>
        <v>1</v>
      </c>
      <c r="AG115" s="2862"/>
    </row>
    <row r="116" spans="1:114" hidden="1" outlineLevel="1">
      <c r="C116" s="1450"/>
      <c r="D116" s="1840">
        <v>8.33</v>
      </c>
      <c r="E116" s="2842" t="s">
        <v>1355</v>
      </c>
      <c r="F116" s="1840" t="s">
        <v>1102</v>
      </c>
      <c r="G116" s="2349">
        <v>8.33</v>
      </c>
      <c r="H116" s="4166" t="s">
        <v>1356</v>
      </c>
      <c r="I116" s="4167"/>
      <c r="J116" s="4161"/>
      <c r="K116" s="4162"/>
      <c r="V116" s="1840">
        <v>8.33</v>
      </c>
      <c r="W116" s="2853">
        <v>8.33</v>
      </c>
      <c r="X116" s="2854">
        <v>8.33</v>
      </c>
      <c r="Y116" s="2459">
        <v>8.33</v>
      </c>
      <c r="Z116" s="2460">
        <v>8.33</v>
      </c>
      <c r="AA116" s="2460">
        <v>8.33</v>
      </c>
      <c r="AB116" s="2460">
        <v>8.33</v>
      </c>
      <c r="AC116" s="2460">
        <v>8.33</v>
      </c>
      <c r="AD116" s="2460">
        <v>8.33</v>
      </c>
      <c r="AE116" s="2460">
        <v>8.33</v>
      </c>
      <c r="AF116" s="2236">
        <f t="shared" si="12"/>
        <v>8.33</v>
      </c>
      <c r="AG116" s="2853"/>
    </row>
    <row r="117" spans="1:114" hidden="1" outlineLevel="1">
      <c r="C117" s="1450"/>
      <c r="D117" s="1840">
        <v>1</v>
      </c>
      <c r="E117" s="2321" t="s">
        <v>1552</v>
      </c>
      <c r="F117" s="1840" t="s">
        <v>1102</v>
      </c>
      <c r="G117" s="2349">
        <v>1</v>
      </c>
      <c r="H117" s="4158" t="s">
        <v>1358</v>
      </c>
      <c r="I117" s="4130"/>
      <c r="J117" s="4161"/>
      <c r="K117" s="4162"/>
      <c r="V117" s="1840">
        <v>1</v>
      </c>
      <c r="W117" s="2853">
        <v>1</v>
      </c>
      <c r="X117" s="2854">
        <v>1</v>
      </c>
      <c r="Y117" s="2460">
        <v>1</v>
      </c>
      <c r="Z117" s="2460">
        <v>1</v>
      </c>
      <c r="AA117" s="2460">
        <v>1</v>
      </c>
      <c r="AB117" s="2460">
        <v>1</v>
      </c>
      <c r="AC117" s="2460">
        <v>1</v>
      </c>
      <c r="AD117" s="2460">
        <v>1</v>
      </c>
      <c r="AE117" s="2460">
        <v>1</v>
      </c>
      <c r="AF117" s="2236">
        <f t="shared" si="12"/>
        <v>1</v>
      </c>
      <c r="AG117" s="2853"/>
    </row>
    <row r="118" spans="1:114" ht="59.65" hidden="1" customHeight="1" outlineLevel="1">
      <c r="C118" s="1450"/>
      <c r="D118" s="1444" t="s">
        <v>1553</v>
      </c>
      <c r="E118" s="2321" t="s">
        <v>1554</v>
      </c>
      <c r="F118" s="1840" t="s">
        <v>1102</v>
      </c>
      <c r="G118" s="2349">
        <v>93</v>
      </c>
      <c r="H118" s="4205" t="s">
        <v>1555</v>
      </c>
      <c r="I118" s="4205"/>
      <c r="J118" s="4161"/>
      <c r="K118" s="4162"/>
      <c r="V118" s="1444" t="s">
        <v>1553</v>
      </c>
      <c r="W118" s="2855">
        <v>93</v>
      </c>
      <c r="X118" s="2857">
        <v>93</v>
      </c>
      <c r="Y118" s="2857">
        <v>93</v>
      </c>
      <c r="Z118" s="2857">
        <v>93</v>
      </c>
      <c r="AA118" s="2857">
        <v>93</v>
      </c>
      <c r="AB118" s="2857">
        <v>93</v>
      </c>
      <c r="AC118" s="2857">
        <v>93</v>
      </c>
      <c r="AD118" s="2857">
        <v>93</v>
      </c>
      <c r="AE118" s="2857">
        <v>93</v>
      </c>
      <c r="AF118" s="2236">
        <f t="shared" si="12"/>
        <v>93</v>
      </c>
      <c r="AG118" s="2855"/>
    </row>
    <row r="119" spans="1:114" s="1518" customFormat="1" ht="43.5" hidden="1" customHeight="1" outlineLevel="1">
      <c r="A119" s="52"/>
      <c r="B119" s="181"/>
      <c r="C119" s="1450"/>
      <c r="D119" s="1444" t="s">
        <v>1362</v>
      </c>
      <c r="E119" s="2321" t="s">
        <v>1556</v>
      </c>
      <c r="F119" s="1444" t="s">
        <v>1102</v>
      </c>
      <c r="G119" s="2353">
        <v>58.4</v>
      </c>
      <c r="H119" s="4022" t="s">
        <v>996</v>
      </c>
      <c r="I119" s="4022"/>
      <c r="J119" s="4161"/>
      <c r="K119" s="4162"/>
      <c r="L119" s="52"/>
      <c r="M119" s="181"/>
      <c r="N119" s="52"/>
      <c r="O119" s="52"/>
      <c r="P119" s="52"/>
      <c r="Q119" s="52"/>
      <c r="R119" s="181"/>
      <c r="S119" s="181"/>
      <c r="T119" s="181"/>
      <c r="U119" s="181"/>
      <c r="V119" s="1444" t="s">
        <v>1362</v>
      </c>
      <c r="W119" s="2855">
        <v>61.3</v>
      </c>
      <c r="X119" s="2857">
        <v>61.3</v>
      </c>
      <c r="Y119" s="2857">
        <v>61.3</v>
      </c>
      <c r="Z119" s="2857">
        <v>61.3</v>
      </c>
      <c r="AA119" s="2857">
        <v>61.3</v>
      </c>
      <c r="AB119" s="2857">
        <v>61.3</v>
      </c>
      <c r="AC119" s="2857">
        <v>61.3</v>
      </c>
      <c r="AD119" s="2857">
        <v>61.3</v>
      </c>
      <c r="AE119" s="2857">
        <v>61.3</v>
      </c>
      <c r="AF119" s="2236">
        <f t="shared" si="12"/>
        <v>58.4</v>
      </c>
      <c r="AG119" s="2855"/>
      <c r="AI119" s="76"/>
      <c r="AJ119" s="76"/>
      <c r="AK119" s="76"/>
      <c r="AL119" s="76"/>
      <c r="AM119" s="76"/>
      <c r="AN119" s="76"/>
      <c r="AO119" s="76"/>
      <c r="AP119" s="76"/>
      <c r="AQ119" s="76"/>
      <c r="AR119" s="76"/>
      <c r="AS119" s="76"/>
      <c r="DG119" s="52"/>
      <c r="DH119" s="52"/>
      <c r="DI119" s="149"/>
      <c r="DJ119" s="1183"/>
    </row>
    <row r="120" spans="1:114" s="1518" customFormat="1" ht="44.65" hidden="1" customHeight="1" outlineLevel="1">
      <c r="A120" s="52"/>
      <c r="B120" s="181"/>
      <c r="C120" s="1450"/>
      <c r="D120" s="1444" t="s">
        <v>1365</v>
      </c>
      <c r="E120" s="2321" t="s">
        <v>1557</v>
      </c>
      <c r="F120" s="1444" t="s">
        <v>1102</v>
      </c>
      <c r="G120" s="2349">
        <v>0.98</v>
      </c>
      <c r="H120" s="4204" t="s">
        <v>1558</v>
      </c>
      <c r="I120" s="4204"/>
      <c r="J120" s="4161"/>
      <c r="K120" s="4162"/>
      <c r="L120" s="52"/>
      <c r="M120" s="181"/>
      <c r="N120" s="52"/>
      <c r="O120" s="52"/>
      <c r="P120" s="52"/>
      <c r="Q120" s="52"/>
      <c r="R120" s="181"/>
      <c r="S120" s="181"/>
      <c r="T120" s="181"/>
      <c r="U120" s="181"/>
      <c r="V120" s="1444" t="s">
        <v>1365</v>
      </c>
      <c r="W120" s="2853">
        <v>0.98</v>
      </c>
      <c r="X120" s="2854">
        <v>0.98</v>
      </c>
      <c r="Y120" s="2459">
        <v>0.98</v>
      </c>
      <c r="Z120" s="2460">
        <v>0.98</v>
      </c>
      <c r="AA120" s="2460">
        <v>0.98</v>
      </c>
      <c r="AB120" s="2460">
        <v>0.98</v>
      </c>
      <c r="AC120" s="2460">
        <v>0.98</v>
      </c>
      <c r="AD120" s="2460">
        <v>0.98</v>
      </c>
      <c r="AE120" s="2460">
        <v>0.98</v>
      </c>
      <c r="AF120" s="2236">
        <f t="shared" si="12"/>
        <v>0.98</v>
      </c>
      <c r="AG120" s="2853"/>
      <c r="AI120" s="76"/>
      <c r="AJ120" s="76"/>
      <c r="AK120" s="76"/>
      <c r="AL120" s="76"/>
      <c r="AM120" s="76"/>
      <c r="AN120" s="76"/>
      <c r="AO120" s="76"/>
      <c r="AP120" s="76"/>
      <c r="AQ120" s="76"/>
      <c r="AR120" s="76"/>
      <c r="AS120" s="76"/>
      <c r="DG120" s="52"/>
      <c r="DH120" s="52"/>
      <c r="DI120" s="149"/>
      <c r="DJ120" s="1183"/>
    </row>
    <row r="121" spans="1:114" s="1518" customFormat="1" hidden="1" outlineLevel="1">
      <c r="A121" s="52"/>
      <c r="B121" s="181"/>
      <c r="C121" s="1450"/>
      <c r="D121" s="1444">
        <v>3412</v>
      </c>
      <c r="E121" s="2842" t="s">
        <v>1559</v>
      </c>
      <c r="F121" s="1444" t="s">
        <v>1102</v>
      </c>
      <c r="G121" s="2349">
        <v>3412</v>
      </c>
      <c r="H121" s="4166" t="s">
        <v>1000</v>
      </c>
      <c r="I121" s="4167"/>
      <c r="J121" s="4161"/>
      <c r="K121" s="4162"/>
      <c r="L121" s="52"/>
      <c r="M121" s="181"/>
      <c r="N121" s="52"/>
      <c r="O121" s="52"/>
      <c r="P121" s="52"/>
      <c r="Q121" s="52"/>
      <c r="R121" s="181"/>
      <c r="S121" s="181"/>
      <c r="T121" s="181"/>
      <c r="U121" s="181"/>
      <c r="V121" s="1444">
        <v>3412</v>
      </c>
      <c r="W121" s="2867">
        <v>3413</v>
      </c>
      <c r="X121" s="2868">
        <v>3413</v>
      </c>
      <c r="Y121" s="2462">
        <v>3413</v>
      </c>
      <c r="Z121" s="2462">
        <v>3413</v>
      </c>
      <c r="AA121" s="2462">
        <v>3413</v>
      </c>
      <c r="AB121" s="2461">
        <v>3412</v>
      </c>
      <c r="AC121" s="2462">
        <v>3412</v>
      </c>
      <c r="AD121" s="2462">
        <v>3412</v>
      </c>
      <c r="AE121" s="2462">
        <v>3412</v>
      </c>
      <c r="AF121" s="2236">
        <f t="shared" si="12"/>
        <v>3412</v>
      </c>
      <c r="AG121" s="2867"/>
      <c r="AI121" s="76"/>
      <c r="AJ121" s="76"/>
      <c r="AK121" s="76"/>
      <c r="AL121" s="76"/>
      <c r="AM121" s="76"/>
      <c r="AN121" s="76"/>
      <c r="AO121" s="76"/>
      <c r="AP121" s="76"/>
      <c r="AQ121" s="76"/>
      <c r="AR121" s="76"/>
      <c r="AS121" s="76"/>
      <c r="DG121" s="52"/>
      <c r="DH121" s="52"/>
      <c r="DI121" s="149"/>
      <c r="DJ121" s="1183"/>
    </row>
    <row r="122" spans="1:114" s="1518" customFormat="1" ht="28.5" hidden="1" customHeight="1" outlineLevel="1">
      <c r="A122" s="52"/>
      <c r="B122" s="181"/>
      <c r="C122" s="1450"/>
      <c r="D122" s="4144" t="s">
        <v>1368</v>
      </c>
      <c r="E122" s="4163" t="s">
        <v>1369</v>
      </c>
      <c r="F122" s="1444" t="s">
        <v>1528</v>
      </c>
      <c r="G122" s="2319">
        <v>0.72</v>
      </c>
      <c r="H122" s="4158" t="s">
        <v>1529</v>
      </c>
      <c r="I122" s="4130"/>
      <c r="J122" s="4161"/>
      <c r="K122" s="4162"/>
      <c r="L122" s="52"/>
      <c r="M122" s="181"/>
      <c r="N122" s="52"/>
      <c r="O122" s="52"/>
      <c r="P122" s="52"/>
      <c r="Q122" s="52"/>
      <c r="R122" s="181"/>
      <c r="S122" s="181"/>
      <c r="T122" s="181"/>
      <c r="U122" s="181"/>
      <c r="V122" s="4144" t="s">
        <v>1368</v>
      </c>
      <c r="W122" s="2869">
        <v>0.86</v>
      </c>
      <c r="X122" s="2870">
        <v>0.89859999999999995</v>
      </c>
      <c r="Y122" s="2871">
        <v>0.91869999999999996</v>
      </c>
      <c r="Z122" s="2872">
        <v>0.91869999999999996</v>
      </c>
      <c r="AA122" s="2872">
        <v>0.91869999999999996</v>
      </c>
      <c r="AB122" s="2873">
        <v>0.72</v>
      </c>
      <c r="AC122" s="2850">
        <v>0.72</v>
      </c>
      <c r="AD122" s="2850">
        <v>0.72</v>
      </c>
      <c r="AE122" s="2850">
        <v>0.72</v>
      </c>
      <c r="AF122" s="2236">
        <f t="shared" si="12"/>
        <v>0.72</v>
      </c>
      <c r="AG122" s="2869"/>
      <c r="AI122" s="76"/>
      <c r="AJ122" s="76"/>
      <c r="AK122" s="76"/>
      <c r="AL122" s="76"/>
      <c r="AM122" s="76"/>
      <c r="AN122" s="76"/>
      <c r="AO122" s="76"/>
      <c r="AP122" s="76"/>
      <c r="AQ122" s="76"/>
      <c r="AR122" s="76"/>
      <c r="AS122" s="76"/>
      <c r="DG122" s="52"/>
      <c r="DH122" s="52"/>
      <c r="DI122" s="149"/>
      <c r="DJ122" s="1183"/>
    </row>
    <row r="123" spans="1:114" s="1518" customFormat="1" ht="32.1" hidden="1" customHeight="1" outlineLevel="1">
      <c r="A123" s="52"/>
      <c r="B123" s="181"/>
      <c r="C123" s="1450"/>
      <c r="D123" s="4145"/>
      <c r="E123" s="4164"/>
      <c r="F123" s="2843" t="s">
        <v>1560</v>
      </c>
      <c r="G123" s="2319">
        <v>1</v>
      </c>
      <c r="H123" s="4166" t="s">
        <v>1561</v>
      </c>
      <c r="I123" s="4167"/>
      <c r="J123" s="4161"/>
      <c r="K123" s="4162"/>
      <c r="L123" s="52"/>
      <c r="M123" s="181"/>
      <c r="N123" s="52"/>
      <c r="O123" s="52"/>
      <c r="P123" s="52"/>
      <c r="Q123" s="52"/>
      <c r="R123" s="181"/>
      <c r="S123" s="181"/>
      <c r="T123" s="181"/>
      <c r="U123" s="181"/>
      <c r="V123" s="4145"/>
      <c r="W123" s="2869"/>
      <c r="X123" s="2870"/>
      <c r="Y123" s="2871"/>
      <c r="Z123" s="2872"/>
      <c r="AA123" s="2872"/>
      <c r="AB123" s="2872">
        <v>1</v>
      </c>
      <c r="AC123" s="2469">
        <v>1</v>
      </c>
      <c r="AD123" s="2469">
        <v>1</v>
      </c>
      <c r="AE123" s="2469">
        <v>1</v>
      </c>
      <c r="AF123" s="2236">
        <f t="shared" si="12"/>
        <v>1</v>
      </c>
      <c r="AG123" s="2869"/>
      <c r="AI123" s="76"/>
      <c r="AJ123" s="76"/>
      <c r="AK123" s="76"/>
      <c r="AL123" s="76"/>
      <c r="AM123" s="76"/>
      <c r="AN123" s="76"/>
      <c r="AO123" s="76"/>
      <c r="AP123" s="76"/>
      <c r="AQ123" s="76"/>
      <c r="AR123" s="76"/>
      <c r="AS123" s="76"/>
      <c r="DG123" s="52"/>
      <c r="DH123" s="52"/>
      <c r="DI123" s="149"/>
      <c r="DJ123" s="1183"/>
    </row>
    <row r="124" spans="1:114" s="1518" customFormat="1" ht="32.1" hidden="1" customHeight="1" outlineLevel="1">
      <c r="A124" s="52"/>
      <c r="B124" s="181"/>
      <c r="C124" s="1450"/>
      <c r="D124" s="4144" t="s">
        <v>128</v>
      </c>
      <c r="E124" s="4144" t="s">
        <v>1036</v>
      </c>
      <c r="F124" s="1444" t="s">
        <v>1528</v>
      </c>
      <c r="G124" s="2376">
        <v>0.4</v>
      </c>
      <c r="H124" s="4158" t="s">
        <v>1470</v>
      </c>
      <c r="I124" s="4130"/>
      <c r="J124" s="4161"/>
      <c r="K124" s="4162"/>
      <c r="L124" s="52"/>
      <c r="M124" s="181"/>
      <c r="N124" s="52"/>
      <c r="O124" s="52"/>
      <c r="P124" s="52"/>
      <c r="Q124" s="52"/>
      <c r="R124" s="181"/>
      <c r="S124" s="181"/>
      <c r="T124" s="181"/>
      <c r="U124" s="181"/>
      <c r="V124" s="4144" t="s">
        <v>128</v>
      </c>
      <c r="W124" s="2869">
        <v>0.53354522213777378</v>
      </c>
      <c r="X124" s="2870">
        <v>0.52966101694915257</v>
      </c>
      <c r="Y124" s="2871">
        <v>0.50769230769230766</v>
      </c>
      <c r="Z124" s="2872">
        <v>0.50769230769230766</v>
      </c>
      <c r="AA124" s="2872">
        <v>0.50769230769230766</v>
      </c>
      <c r="AB124" s="2873">
        <v>0.4</v>
      </c>
      <c r="AC124" s="2850">
        <v>0.4</v>
      </c>
      <c r="AD124" s="2850">
        <v>0.4</v>
      </c>
      <c r="AE124" s="2850">
        <v>0.4</v>
      </c>
      <c r="AF124" s="2236">
        <f t="shared" si="12"/>
        <v>0.4</v>
      </c>
      <c r="AG124" s="2869"/>
      <c r="AI124" s="76"/>
      <c r="AJ124" s="76"/>
      <c r="AK124" s="76"/>
      <c r="AL124" s="76"/>
      <c r="AM124" s="76"/>
      <c r="AN124" s="76"/>
      <c r="AO124" s="76"/>
      <c r="AP124" s="76"/>
      <c r="AQ124" s="76"/>
      <c r="AR124" s="76"/>
      <c r="AS124" s="76"/>
      <c r="DG124" s="52"/>
      <c r="DH124" s="52"/>
      <c r="DI124" s="149"/>
      <c r="DJ124" s="1183"/>
    </row>
    <row r="125" spans="1:114" s="1518" customFormat="1" ht="27" hidden="1" customHeight="1" outlineLevel="1">
      <c r="A125" s="52"/>
      <c r="B125" s="181"/>
      <c r="C125" s="1450"/>
      <c r="D125" s="4152"/>
      <c r="E125" s="4152"/>
      <c r="F125" s="2843" t="s">
        <v>1511</v>
      </c>
      <c r="G125" s="2376">
        <v>1</v>
      </c>
      <c r="H125" s="4166" t="s">
        <v>1561</v>
      </c>
      <c r="I125" s="4167"/>
      <c r="J125" s="4161"/>
      <c r="K125" s="4162"/>
      <c r="L125" s="52"/>
      <c r="M125" s="181"/>
      <c r="N125" s="52"/>
      <c r="O125" s="52"/>
      <c r="P125" s="52"/>
      <c r="Q125" s="52"/>
      <c r="R125" s="181"/>
      <c r="S125" s="181"/>
      <c r="T125" s="181"/>
      <c r="U125" s="181"/>
      <c r="V125" s="4152"/>
      <c r="W125" s="2869"/>
      <c r="X125" s="2870"/>
      <c r="Y125" s="2871"/>
      <c r="Z125" s="2872"/>
      <c r="AA125" s="2872"/>
      <c r="AB125" s="2872">
        <v>1</v>
      </c>
      <c r="AC125" s="2469">
        <v>1</v>
      </c>
      <c r="AD125" s="2469">
        <v>1</v>
      </c>
      <c r="AE125" s="2469">
        <v>1</v>
      </c>
      <c r="AF125" s="2236">
        <f t="shared" si="12"/>
        <v>1</v>
      </c>
      <c r="AG125" s="2869"/>
      <c r="AI125" s="76"/>
      <c r="AJ125" s="76"/>
      <c r="AK125" s="76"/>
      <c r="AL125" s="76"/>
      <c r="AM125" s="76"/>
      <c r="AN125" s="76"/>
      <c r="AO125" s="76"/>
      <c r="AP125" s="76"/>
      <c r="AQ125" s="76"/>
      <c r="AR125" s="76"/>
      <c r="AS125" s="76"/>
      <c r="DG125" s="52"/>
      <c r="DH125" s="52"/>
      <c r="DI125" s="149"/>
      <c r="DJ125" s="1183"/>
    </row>
    <row r="126" spans="1:114" s="1518" customFormat="1" ht="32.1" hidden="1" customHeight="1" outlineLevel="1">
      <c r="A126" s="52"/>
      <c r="B126" s="181"/>
      <c r="C126" s="1450"/>
      <c r="D126" s="4145"/>
      <c r="E126" s="4145"/>
      <c r="F126" s="2521" t="s">
        <v>1531</v>
      </c>
      <c r="G126" s="2376">
        <v>0.89</v>
      </c>
      <c r="H126" s="4207" t="s">
        <v>1562</v>
      </c>
      <c r="I126" s="4208"/>
      <c r="J126" s="4161"/>
      <c r="K126" s="4162"/>
      <c r="L126" s="52"/>
      <c r="M126" s="181"/>
      <c r="N126" s="52"/>
      <c r="O126" s="52"/>
      <c r="P126" s="52"/>
      <c r="Q126" s="52"/>
      <c r="R126" s="181"/>
      <c r="S126" s="181"/>
      <c r="T126" s="181"/>
      <c r="U126" s="181"/>
      <c r="V126" s="4145"/>
      <c r="W126" s="2869"/>
      <c r="X126" s="2870"/>
      <c r="Y126" s="2871"/>
      <c r="Z126" s="2872"/>
      <c r="AA126" s="2872"/>
      <c r="AB126" s="2874">
        <v>0.89</v>
      </c>
      <c r="AC126" s="2646">
        <v>0.89</v>
      </c>
      <c r="AD126" s="2646">
        <v>0.89</v>
      </c>
      <c r="AE126" s="2646">
        <v>0.89</v>
      </c>
      <c r="AF126" s="2236">
        <f t="shared" si="12"/>
        <v>0.89</v>
      </c>
      <c r="AG126" s="2869"/>
      <c r="AI126" s="76"/>
      <c r="AJ126" s="76"/>
      <c r="AK126" s="76"/>
      <c r="AL126" s="76"/>
      <c r="AM126" s="76"/>
      <c r="AN126" s="76"/>
      <c r="AO126" s="76"/>
      <c r="AP126" s="76"/>
      <c r="AQ126" s="76"/>
      <c r="AR126" s="76"/>
      <c r="AS126" s="76"/>
      <c r="DG126" s="52"/>
      <c r="DH126" s="52"/>
      <c r="DI126" s="149"/>
      <c r="DJ126" s="1183"/>
    </row>
    <row r="127" spans="1:114" ht="32.65" hidden="1" customHeight="1" outlineLevel="1">
      <c r="B127" s="579"/>
      <c r="C127" s="133"/>
      <c r="D127" s="2432" t="s">
        <v>1437</v>
      </c>
      <c r="E127" s="2790" t="s">
        <v>1198</v>
      </c>
      <c r="F127" s="2274" t="s">
        <v>1102</v>
      </c>
      <c r="G127" s="2844">
        <v>10</v>
      </c>
      <c r="H127" s="4209" t="s">
        <v>1563</v>
      </c>
      <c r="I127" s="4210"/>
      <c r="J127" s="4161"/>
      <c r="K127" s="4162"/>
      <c r="L127" s="283"/>
      <c r="V127" s="2419" t="s">
        <v>1437</v>
      </c>
      <c r="W127" s="2582">
        <v>10</v>
      </c>
      <c r="X127" s="2582">
        <v>10</v>
      </c>
      <c r="Y127" s="2582">
        <v>10</v>
      </c>
      <c r="Z127" s="2582">
        <v>10</v>
      </c>
      <c r="AA127" s="2582">
        <v>10</v>
      </c>
      <c r="AB127" s="2582">
        <v>10</v>
      </c>
      <c r="AC127" s="2498">
        <v>10</v>
      </c>
      <c r="AD127" s="2498">
        <v>10</v>
      </c>
      <c r="AE127" s="2498">
        <v>10</v>
      </c>
      <c r="AF127" s="2236">
        <f t="shared" si="12"/>
        <v>10</v>
      </c>
      <c r="AG127" s="2582"/>
    </row>
    <row r="128" spans="1:114" hidden="1" outlineLevel="1">
      <c r="B128" s="579"/>
      <c r="C128" s="133"/>
      <c r="D128" s="2802" t="s">
        <v>50</v>
      </c>
      <c r="E128" s="2790" t="s">
        <v>1135</v>
      </c>
      <c r="F128" s="2274" t="s">
        <v>1102</v>
      </c>
      <c r="G128" s="2379">
        <v>3</v>
      </c>
      <c r="H128" s="4209" t="s">
        <v>1564</v>
      </c>
      <c r="I128" s="4210"/>
      <c r="J128" s="4161"/>
      <c r="K128" s="4162"/>
      <c r="L128" s="283"/>
      <c r="M128" s="606"/>
      <c r="N128" s="283"/>
      <c r="O128" s="283"/>
      <c r="P128" s="283"/>
      <c r="Q128" s="283"/>
      <c r="V128" s="2875" t="s">
        <v>50</v>
      </c>
      <c r="W128" s="2583">
        <v>3</v>
      </c>
      <c r="X128" s="2583">
        <v>3</v>
      </c>
      <c r="Y128" s="2583">
        <v>3</v>
      </c>
      <c r="Z128" s="2583">
        <v>3</v>
      </c>
      <c r="AA128" s="2583">
        <v>3</v>
      </c>
      <c r="AB128" s="2583">
        <v>3</v>
      </c>
      <c r="AC128" s="2482">
        <v>3</v>
      </c>
      <c r="AD128" s="2482">
        <v>3</v>
      </c>
      <c r="AE128" s="2482">
        <v>3</v>
      </c>
      <c r="AF128" s="2236">
        <f t="shared" si="12"/>
        <v>3</v>
      </c>
      <c r="AG128" s="2583"/>
    </row>
    <row r="129" spans="2:114" collapsed="1">
      <c r="C129" s="104"/>
    </row>
    <row r="130" spans="2:114" s="52" customFormat="1">
      <c r="B130" s="4025" t="s">
        <v>1565</v>
      </c>
      <c r="C130" s="4026"/>
      <c r="D130" s="4026"/>
      <c r="E130" s="4026"/>
      <c r="F130" s="4026"/>
      <c r="G130" s="4026"/>
      <c r="H130" s="4026"/>
      <c r="I130" s="4817"/>
      <c r="J130" s="4817"/>
      <c r="K130" s="4817"/>
      <c r="L130" s="4817"/>
      <c r="M130" s="4817"/>
      <c r="N130" s="4818"/>
      <c r="V130" s="4040" t="str">
        <f>B130</f>
        <v>Kit Faucet Aerators (Bathroom)</v>
      </c>
      <c r="W130" s="4041"/>
      <c r="X130" s="4041"/>
      <c r="Y130" s="4041"/>
      <c r="Z130" s="4041"/>
      <c r="AA130" s="4041"/>
      <c r="AB130" s="4041"/>
      <c r="AC130" s="4832"/>
      <c r="AD130" s="4832"/>
      <c r="AE130" s="4832"/>
      <c r="AF130" s="4832"/>
      <c r="AG130" s="4832"/>
      <c r="AH130" s="4833"/>
      <c r="AI130" s="76"/>
      <c r="AJ130" s="76"/>
      <c r="AK130" s="76"/>
      <c r="AL130" s="76"/>
      <c r="AM130" s="76"/>
      <c r="AN130" s="76"/>
      <c r="AO130" s="76"/>
      <c r="AP130" s="76"/>
      <c r="AQ130" s="76"/>
      <c r="AR130" s="76"/>
      <c r="AS130" s="76"/>
      <c r="DI130" s="149"/>
      <c r="DJ130" s="1183"/>
    </row>
    <row r="131" spans="2:114" ht="18" customHeight="1">
      <c r="B131" s="635"/>
      <c r="C131" s="2206"/>
      <c r="D131" s="2206"/>
      <c r="E131" s="635"/>
      <c r="F131" s="635"/>
      <c r="G131" s="635"/>
      <c r="H131" s="635"/>
      <c r="I131" s="635"/>
      <c r="J131" s="635"/>
      <c r="K131" s="635"/>
      <c r="L131" s="635"/>
      <c r="M131" s="2831"/>
      <c r="N131" s="635"/>
      <c r="V131" s="635"/>
      <c r="W131" s="2238"/>
      <c r="X131" s="2238"/>
      <c r="Y131" s="2238"/>
      <c r="Z131" s="2238"/>
      <c r="AA131" s="2238"/>
      <c r="AB131" s="2238"/>
      <c r="AC131" s="2237"/>
      <c r="AD131" s="2237"/>
      <c r="AE131" s="2237"/>
      <c r="AF131" s="2237"/>
      <c r="AG131" s="2237"/>
      <c r="AH131" s="2237"/>
    </row>
    <row r="132" spans="2:114" ht="30">
      <c r="B132" s="635"/>
      <c r="C132" s="2207" t="s">
        <v>42</v>
      </c>
      <c r="D132" s="2207" t="s">
        <v>953</v>
      </c>
      <c r="E132" s="2207" t="s">
        <v>44</v>
      </c>
      <c r="F132" s="2207" t="s">
        <v>45</v>
      </c>
      <c r="G132" s="2207" t="s">
        <v>46</v>
      </c>
      <c r="H132" s="2207" t="s">
        <v>47</v>
      </c>
      <c r="I132" s="2207" t="s">
        <v>1316</v>
      </c>
      <c r="J132" s="2207" t="s">
        <v>48</v>
      </c>
      <c r="K132" s="2207" t="s">
        <v>49</v>
      </c>
      <c r="L132" s="2207" t="s">
        <v>50</v>
      </c>
      <c r="M132" s="2207" t="s">
        <v>51</v>
      </c>
      <c r="N132" s="635"/>
      <c r="V132" s="2704" t="s">
        <v>52</v>
      </c>
      <c r="W132" s="2642">
        <f>$W$6</f>
        <v>43252</v>
      </c>
      <c r="X132" s="2642">
        <f>$X$6</f>
        <v>43465</v>
      </c>
      <c r="Y132" s="2642">
        <f>$Y$6</f>
        <v>43800</v>
      </c>
      <c r="Z132" s="2642">
        <f>$Z$6</f>
        <v>43862</v>
      </c>
      <c r="AA132" s="2642">
        <f>$AA$6</f>
        <v>44013</v>
      </c>
      <c r="AB132" s="2642">
        <f>$AB$6</f>
        <v>44166</v>
      </c>
      <c r="AC132" s="2641">
        <f>$AC$6</f>
        <v>44531</v>
      </c>
      <c r="AD132" s="2641">
        <f>$AD$6</f>
        <v>44774</v>
      </c>
      <c r="AE132" s="2641">
        <f>$AE$6</f>
        <v>45139</v>
      </c>
      <c r="AF132" s="2641">
        <f>$AF$6</f>
        <v>45672</v>
      </c>
      <c r="AG132" s="2641" t="str">
        <f>$AG$6</f>
        <v>-</v>
      </c>
      <c r="AH132" s="2237"/>
      <c r="DG132" s="2750" t="str">
        <f>$DG$6</f>
        <v>TRC (2025)</v>
      </c>
      <c r="DH132" s="2750" t="str">
        <f>$DH$6</f>
        <v>Benefit Lookup</v>
      </c>
      <c r="DI132" s="2876" t="str">
        <f>$DI$6</f>
        <v>Benefits (2025 $)</v>
      </c>
      <c r="DJ132" s="2752" t="str">
        <f>$DJ$6</f>
        <v>Incremental Cost (2025 $)</v>
      </c>
    </row>
    <row r="133" spans="2:114">
      <c r="B133" s="2208">
        <f t="shared" ref="B133:B135" si="13">VALUE(LEFT(C133,6))</f>
        <v>300550</v>
      </c>
      <c r="C133" s="2832" t="s">
        <v>1566</v>
      </c>
      <c r="D133" s="2409" t="s">
        <v>1139</v>
      </c>
      <c r="E133" s="2321" t="s">
        <v>1567</v>
      </c>
      <c r="F133" s="2245">
        <f>ROUND(G145*(G148*G149-G151*G152)*G154*G157*G159/G160*I133*G172*G170,2)</f>
        <v>6.9</v>
      </c>
      <c r="G133" s="2244" t="s">
        <v>961</v>
      </c>
      <c r="H133" s="2213">
        <f>VLOOKUP(G133,'CP FACTORS'!$A$3:$B$38, 2, FALSE)</f>
        <v>8.8731800000000003E-5</v>
      </c>
      <c r="I133" s="2880">
        <f>G$163*G$164*(G$165-G$167)/(G$168*G$169)</f>
        <v>6.8757327080890981E-2</v>
      </c>
      <c r="J133" s="2246">
        <f>ROUND(F133*H133,6)</f>
        <v>6.1200000000000002E-4</v>
      </c>
      <c r="K133" s="2345">
        <f>$G$175</f>
        <v>10</v>
      </c>
      <c r="L133" s="2412">
        <f>$G$176</f>
        <v>3</v>
      </c>
      <c r="M133" s="2408" t="s">
        <v>62</v>
      </c>
      <c r="N133" s="635"/>
      <c r="R133" s="532"/>
      <c r="V133" s="2425" t="str">
        <f>F132</f>
        <v>kWh Annual Savings</v>
      </c>
      <c r="W133" s="2845">
        <v>7.963038337806803</v>
      </c>
      <c r="X133" s="2846">
        <v>6.9503628343201109</v>
      </c>
      <c r="Y133" s="2572">
        <v>10.220000000000001</v>
      </c>
      <c r="Z133" s="2573">
        <v>10.220000000000001</v>
      </c>
      <c r="AA133" s="2573">
        <v>10.220000000000001</v>
      </c>
      <c r="AB133" s="2529">
        <v>6.17</v>
      </c>
      <c r="AC133" s="2885">
        <v>6.17</v>
      </c>
      <c r="AD133" s="2885">
        <v>6.17</v>
      </c>
      <c r="AE133" s="2885">
        <v>6.17</v>
      </c>
      <c r="AF133" s="2236">
        <f>IF(F133&lt;&gt;"",F133,"")</f>
        <v>6.9</v>
      </c>
      <c r="AG133" s="2413"/>
      <c r="AH133" s="2728"/>
      <c r="DG133" s="2877">
        <f>(DI133)/(DJ133)</f>
        <v>1.1299782404336705</v>
      </c>
      <c r="DH133" s="2419" t="str">
        <f>CONCATENATE(G133," ",K133," Year EUL")</f>
        <v>Water Heating RES 10 Year EUL</v>
      </c>
      <c r="DI133" s="2878">
        <f>(INDEX('Avoided Cost Benefits'!$B$4:$B$865,MATCH(DH133,'Avoided Cost Benefits'!$A$4:$A$865,0)))*F133</f>
        <v>3.3899347213010111</v>
      </c>
      <c r="DJ133" s="2879">
        <f>L133/(1.0686^(2025-2025))</f>
        <v>3</v>
      </c>
    </row>
    <row r="134" spans="2:114">
      <c r="B134" s="2208">
        <f t="shared" si="13"/>
        <v>300600</v>
      </c>
      <c r="C134" s="2832" t="s">
        <v>1568</v>
      </c>
      <c r="D134" s="2254" t="s">
        <v>1122</v>
      </c>
      <c r="E134" s="2321" t="str">
        <f>E133</f>
        <v>Kit Faucet Aerator (Bathroom)</v>
      </c>
      <c r="F134" s="2245">
        <f>ROUND(G146*(G148*G149-G151*G152)*G155*G157*G159/G161*I134*G173*G171,2)</f>
        <v>33.64</v>
      </c>
      <c r="G134" s="2244" t="s">
        <v>961</v>
      </c>
      <c r="H134" s="2213">
        <f>VLOOKUP(G134,'CP FACTORS'!$A$3:$B$38, 2, FALSE)</f>
        <v>8.8731800000000003E-5</v>
      </c>
      <c r="I134" s="2880">
        <f>G$163*G$164*(G$165-G$167)/(G$168*G$169)</f>
        <v>6.8757327080890981E-2</v>
      </c>
      <c r="J134" s="2246">
        <f>ROUND(F134*H134,6)</f>
        <v>2.9849999999999998E-3</v>
      </c>
      <c r="K134" s="2345">
        <f>$G$175</f>
        <v>10</v>
      </c>
      <c r="L134" s="2412">
        <f>$G$176</f>
        <v>3</v>
      </c>
      <c r="M134" s="2408" t="s">
        <v>62</v>
      </c>
      <c r="N134" s="635"/>
      <c r="R134" s="532"/>
      <c r="V134" s="2425" t="str">
        <f>V133</f>
        <v>kWh Annual Savings</v>
      </c>
      <c r="W134" s="2845">
        <v>33.463803164371527</v>
      </c>
      <c r="X134" s="2846">
        <v>37.583340890617215</v>
      </c>
      <c r="Y134" s="2572">
        <v>30.07</v>
      </c>
      <c r="Z134" s="2573">
        <v>30.07</v>
      </c>
      <c r="AA134" s="2573">
        <v>30.07</v>
      </c>
      <c r="AB134" s="2529">
        <v>30.1</v>
      </c>
      <c r="AC134" s="2885">
        <v>30.1</v>
      </c>
      <c r="AD134" s="2885">
        <v>30.1</v>
      </c>
      <c r="AE134" s="2885">
        <v>30.1</v>
      </c>
      <c r="AF134" s="2236">
        <f>IF(F134&lt;&gt;"",F134,"")</f>
        <v>33.64</v>
      </c>
      <c r="AG134" s="2413"/>
      <c r="AH134" s="2728"/>
      <c r="DG134" s="2877">
        <f>(DI134)/(DJ134)</f>
        <v>5.5090533345200976</v>
      </c>
      <c r="DH134" s="2419" t="str">
        <f>CONCATENATE(G134," ",K134," Year EUL")</f>
        <v>Water Heating RES 10 Year EUL</v>
      </c>
      <c r="DI134" s="2878">
        <f>(INDEX('Avoided Cost Benefits'!$B$4:$B$865,MATCH(DH134,'Avoided Cost Benefits'!$A$4:$A$865,0)))*F134</f>
        <v>16.527160003560294</v>
      </c>
      <c r="DJ134" s="2879">
        <f>L134/(1.0686^(2025-2025))</f>
        <v>3</v>
      </c>
    </row>
    <row r="135" spans="2:114">
      <c r="B135" s="2208">
        <f t="shared" si="13"/>
        <v>300601</v>
      </c>
      <c r="C135" s="2832" t="s">
        <v>1569</v>
      </c>
      <c r="D135" s="2408" t="s">
        <v>1448</v>
      </c>
      <c r="E135" s="2321" t="s">
        <v>1570</v>
      </c>
      <c r="F135" s="2245">
        <f>ROUND(G147*(G148*G150-G151*G153)*G156*G158*G159/G162*I135*G174*G171,2)</f>
        <v>15.98</v>
      </c>
      <c r="G135" s="2244" t="s">
        <v>961</v>
      </c>
      <c r="H135" s="2213">
        <f>VLOOKUP(G135,'CP FACTORS'!$A$3:$B$38, 2, FALSE)</f>
        <v>8.8731800000000003E-5</v>
      </c>
      <c r="I135" s="2880">
        <f>G$163*G$164*(G$166-G$167)/(G$168*G$169)</f>
        <v>5.3810082063305988E-2</v>
      </c>
      <c r="J135" s="2246">
        <f>ROUND(F135*H135,6)</f>
        <v>1.418E-3</v>
      </c>
      <c r="K135" s="2345">
        <f>$G$175</f>
        <v>10</v>
      </c>
      <c r="L135" s="2412">
        <f>$G$176</f>
        <v>3</v>
      </c>
      <c r="M135" s="2408" t="s">
        <v>62</v>
      </c>
      <c r="N135" s="635"/>
      <c r="R135" s="532"/>
      <c r="V135" s="2425" t="e">
        <f>#REF!</f>
        <v>#REF!</v>
      </c>
      <c r="W135" s="2845"/>
      <c r="X135" s="2846"/>
      <c r="Y135" s="2572"/>
      <c r="Z135" s="2555"/>
      <c r="AA135" s="2555"/>
      <c r="AB135" s="2529">
        <v>13.84</v>
      </c>
      <c r="AC135" s="2885">
        <v>13.84</v>
      </c>
      <c r="AD135" s="2885">
        <v>13.84</v>
      </c>
      <c r="AE135" s="2885">
        <v>13.84</v>
      </c>
      <c r="AF135" s="2236">
        <f>IF(F135&lt;&gt;"",F135,"")</f>
        <v>15.98</v>
      </c>
      <c r="AG135" s="2413"/>
      <c r="AH135" s="2728"/>
      <c r="DG135" s="2877">
        <f>(DI135)/(DJ135)</f>
        <v>2.616964098859428</v>
      </c>
      <c r="DH135" s="2419" t="str">
        <f>CONCATENATE(G135," ",K135," Year EUL")</f>
        <v>Water Heating RES 10 Year EUL</v>
      </c>
      <c r="DI135" s="2878">
        <f>(INDEX('Avoided Cost Benefits'!$B$4:$B$865,MATCH(DH135,'Avoided Cost Benefits'!$A$4:$A$865,0)))*F135</f>
        <v>7.8508922965782837</v>
      </c>
      <c r="DJ135" s="2879">
        <f>L135/(1.0686^(2025-2025))</f>
        <v>3</v>
      </c>
    </row>
    <row r="136" spans="2:114" hidden="1" outlineLevel="1">
      <c r="B136" s="635"/>
      <c r="C136" s="2206"/>
      <c r="D136" s="2624" t="s">
        <v>118</v>
      </c>
      <c r="E136" s="2696" t="s">
        <v>1523</v>
      </c>
      <c r="F136" s="635"/>
      <c r="G136" s="2881"/>
      <c r="H136" s="635"/>
      <c r="I136" s="635"/>
      <c r="J136" s="635"/>
      <c r="K136" s="635"/>
      <c r="L136" s="635"/>
      <c r="M136" s="2831"/>
      <c r="N136" s="635"/>
    </row>
    <row r="137" spans="2:114" hidden="1" outlineLevel="1">
      <c r="B137" s="635"/>
      <c r="C137" s="2206"/>
      <c r="D137" s="2624" t="s">
        <v>963</v>
      </c>
      <c r="E137" s="635" t="s">
        <v>1524</v>
      </c>
      <c r="F137" s="635"/>
      <c r="G137" s="635"/>
      <c r="H137" s="635"/>
      <c r="I137" s="635"/>
      <c r="J137" s="635"/>
      <c r="K137" s="635"/>
      <c r="L137" s="635"/>
      <c r="M137" s="2831"/>
      <c r="N137" s="635"/>
    </row>
    <row r="138" spans="2:114" hidden="1" outlineLevel="1">
      <c r="B138" s="635"/>
      <c r="C138" s="2206"/>
      <c r="D138" s="2206"/>
      <c r="E138" s="635" t="s">
        <v>1525</v>
      </c>
      <c r="F138" s="635"/>
      <c r="G138" s="635"/>
      <c r="H138" s="635"/>
      <c r="I138" s="635"/>
      <c r="J138" s="635"/>
      <c r="K138" s="635"/>
      <c r="L138" s="635"/>
      <c r="M138" s="2831"/>
      <c r="N138" s="635"/>
    </row>
    <row r="139" spans="2:114" hidden="1" outlineLevel="1">
      <c r="B139" s="635"/>
      <c r="C139" s="2206"/>
      <c r="D139" s="2206"/>
      <c r="E139" s="635" t="s">
        <v>966</v>
      </c>
      <c r="F139" s="635"/>
      <c r="G139" s="635"/>
      <c r="H139" s="635"/>
      <c r="I139" s="635"/>
      <c r="J139" s="635"/>
      <c r="K139" s="635"/>
      <c r="L139" s="635"/>
      <c r="M139" s="2831"/>
      <c r="N139" s="635"/>
    </row>
    <row r="140" spans="2:114" hidden="1" outlineLevel="1">
      <c r="B140" s="635"/>
      <c r="C140" s="2206"/>
      <c r="D140" s="2206"/>
      <c r="E140" s="635" t="s">
        <v>1526</v>
      </c>
      <c r="F140" s="635"/>
      <c r="G140" s="635"/>
      <c r="H140" s="635"/>
      <c r="I140" s="635"/>
      <c r="J140" s="635"/>
      <c r="K140" s="635"/>
      <c r="L140" s="635"/>
      <c r="M140" s="2831"/>
      <c r="N140" s="635"/>
    </row>
    <row r="141" spans="2:114" hidden="1" outlineLevel="1">
      <c r="C141" s="104"/>
    </row>
    <row r="142" spans="2:114" hidden="1" outlineLevel="1">
      <c r="C142" s="104"/>
    </row>
    <row r="143" spans="2:114" hidden="1" outlineLevel="1">
      <c r="C143" s="104"/>
      <c r="J143" s="181"/>
      <c r="K143" s="181"/>
      <c r="L143" s="181"/>
      <c r="V143" s="177" t="s">
        <v>52</v>
      </c>
      <c r="W143" s="115">
        <f>$W$6</f>
        <v>43252</v>
      </c>
      <c r="X143" s="115">
        <f>$X$6</f>
        <v>43465</v>
      </c>
      <c r="Y143" s="115">
        <f>$Y$6</f>
        <v>43800</v>
      </c>
      <c r="Z143" s="115">
        <f>$Z$6</f>
        <v>43862</v>
      </c>
      <c r="AA143" s="115">
        <f>$AA$6</f>
        <v>44013</v>
      </c>
      <c r="AB143" s="115">
        <f>$AB$6</f>
        <v>44166</v>
      </c>
      <c r="AC143" s="669">
        <f>$AC$6</f>
        <v>44531</v>
      </c>
      <c r="AD143" s="669">
        <f>$AD$6</f>
        <v>44774</v>
      </c>
      <c r="AE143" s="669">
        <f>$AE$6</f>
        <v>45139</v>
      </c>
      <c r="AF143" s="669">
        <f>$AF$6</f>
        <v>45672</v>
      </c>
      <c r="AG143" s="669" t="str">
        <f>$AG$6</f>
        <v>-</v>
      </c>
      <c r="AH143" s="152"/>
    </row>
    <row r="144" spans="2:114" ht="15" hidden="1" customHeight="1" outlineLevel="1">
      <c r="C144" s="104"/>
      <c r="D144" s="2303" t="s">
        <v>1078</v>
      </c>
      <c r="E144" s="2833" t="s">
        <v>967</v>
      </c>
      <c r="F144" s="2207" t="s">
        <v>1527</v>
      </c>
      <c r="G144" s="2207" t="s">
        <v>969</v>
      </c>
      <c r="H144" s="4172" t="s">
        <v>970</v>
      </c>
      <c r="I144" s="4173"/>
      <c r="J144" s="4172" t="s">
        <v>755</v>
      </c>
      <c r="K144" s="4206"/>
      <c r="V144" s="801"/>
      <c r="W144" s="724"/>
      <c r="X144" s="724"/>
      <c r="Y144" s="724"/>
      <c r="Z144" s="724"/>
      <c r="AA144" s="724"/>
      <c r="AB144" s="724"/>
      <c r="AC144" s="724"/>
      <c r="AD144" s="724"/>
      <c r="AE144" s="724"/>
      <c r="AF144" s="724"/>
      <c r="AG144" s="724"/>
      <c r="AH144" s="52"/>
    </row>
    <row r="145" spans="3:34" ht="31.15" hidden="1" customHeight="1" outlineLevel="1">
      <c r="C145" s="104"/>
      <c r="D145" s="4144" t="s">
        <v>1325</v>
      </c>
      <c r="E145" s="4163" t="s">
        <v>1326</v>
      </c>
      <c r="F145" s="2777" t="s">
        <v>1528</v>
      </c>
      <c r="G145" s="2347">
        <v>0.42</v>
      </c>
      <c r="H145" s="4170" t="s">
        <v>1529</v>
      </c>
      <c r="I145" s="4170"/>
      <c r="J145" s="4154"/>
      <c r="K145" s="4155"/>
      <c r="L145" s="181"/>
      <c r="V145" s="4144" t="s">
        <v>1325</v>
      </c>
      <c r="W145" s="2869">
        <v>0.4</v>
      </c>
      <c r="X145" s="2873">
        <v>0.34429999999999999</v>
      </c>
      <c r="Y145" s="2475">
        <v>0.46360000000000001</v>
      </c>
      <c r="Z145" s="2575">
        <v>0.46360000000000001</v>
      </c>
      <c r="AA145" s="2575">
        <v>0.46360000000000001</v>
      </c>
      <c r="AB145" s="2886">
        <v>0.42</v>
      </c>
      <c r="AC145" s="2643">
        <v>0.42</v>
      </c>
      <c r="AD145" s="2643">
        <v>0.42</v>
      </c>
      <c r="AE145" s="2643">
        <v>0.42</v>
      </c>
      <c r="AF145" s="2236">
        <f t="shared" ref="AF145:AF176" si="14">IF(G145&lt;&gt;"",G145,"")</f>
        <v>0.42</v>
      </c>
      <c r="AG145" s="2848"/>
    </row>
    <row r="146" spans="3:34" ht="30" hidden="1" customHeight="1" outlineLevel="1">
      <c r="C146" s="104"/>
      <c r="D146" s="4152"/>
      <c r="E146" s="4180"/>
      <c r="F146" s="2840" t="s">
        <v>1511</v>
      </c>
      <c r="G146" s="2347">
        <v>1</v>
      </c>
      <c r="H146" s="4170" t="s">
        <v>1571</v>
      </c>
      <c r="I146" s="4170"/>
      <c r="J146" s="4154"/>
      <c r="K146" s="4155"/>
      <c r="L146" s="181"/>
      <c r="V146" s="4152"/>
      <c r="W146" s="2869"/>
      <c r="X146" s="2873"/>
      <c r="Y146" s="2475"/>
      <c r="Z146" s="2575"/>
      <c r="AA146" s="2575"/>
      <c r="AB146" s="2643">
        <v>1</v>
      </c>
      <c r="AC146" s="2643">
        <v>1</v>
      </c>
      <c r="AD146" s="2643">
        <v>1</v>
      </c>
      <c r="AE146" s="2643">
        <v>1</v>
      </c>
      <c r="AF146" s="2236">
        <f t="shared" si="14"/>
        <v>1</v>
      </c>
      <c r="AG146" s="2848"/>
    </row>
    <row r="147" spans="3:34" ht="30" hidden="1" customHeight="1" outlineLevel="1">
      <c r="C147" s="104"/>
      <c r="D147" s="4145"/>
      <c r="E147" s="4164"/>
      <c r="F147" s="2521" t="s">
        <v>1531</v>
      </c>
      <c r="G147" s="2347">
        <v>0.42</v>
      </c>
      <c r="H147" s="4211" t="s">
        <v>1529</v>
      </c>
      <c r="I147" s="4211"/>
      <c r="J147" s="4212" t="s">
        <v>1572</v>
      </c>
      <c r="K147" s="4212"/>
      <c r="L147" s="181"/>
      <c r="V147" s="4145"/>
      <c r="W147" s="2869"/>
      <c r="X147" s="2873"/>
      <c r="Y147" s="2475"/>
      <c r="Z147" s="2575"/>
      <c r="AA147" s="2575"/>
      <c r="AB147" s="2645">
        <v>0.42</v>
      </c>
      <c r="AC147" s="2646">
        <v>0.42</v>
      </c>
      <c r="AD147" s="2646">
        <v>0.42</v>
      </c>
      <c r="AE147" s="2646">
        <v>0.42</v>
      </c>
      <c r="AF147" s="2236">
        <f t="shared" si="14"/>
        <v>0.42</v>
      </c>
      <c r="AG147" s="2848"/>
    </row>
    <row r="148" spans="3:34" ht="27" hidden="1" customHeight="1" outlineLevel="1">
      <c r="C148" s="104"/>
      <c r="D148" s="1444" t="s">
        <v>1329</v>
      </c>
      <c r="E148" s="2321" t="s">
        <v>1532</v>
      </c>
      <c r="F148" s="2840" t="s">
        <v>1102</v>
      </c>
      <c r="G148" s="2289">
        <v>2.2000000000000002</v>
      </c>
      <c r="H148" s="4170" t="s">
        <v>1533</v>
      </c>
      <c r="I148" s="4170"/>
      <c r="J148" s="4154"/>
      <c r="K148" s="4155"/>
      <c r="L148" s="181"/>
      <c r="V148" s="1444" t="s">
        <v>1329</v>
      </c>
      <c r="W148" s="2853">
        <v>2.2000000000000002</v>
      </c>
      <c r="X148" s="2854">
        <v>2.2000000000000002</v>
      </c>
      <c r="Y148" s="2854">
        <v>2.2000000000000002</v>
      </c>
      <c r="Z148" s="2460">
        <v>2.2000000000000002</v>
      </c>
      <c r="AA148" s="2460">
        <v>2.2000000000000002</v>
      </c>
      <c r="AB148" s="2460">
        <v>2.2000000000000002</v>
      </c>
      <c r="AC148" s="2460">
        <v>2.2000000000000002</v>
      </c>
      <c r="AD148" s="2460">
        <v>2.2000000000000002</v>
      </c>
      <c r="AE148" s="2460">
        <v>2.2000000000000002</v>
      </c>
      <c r="AF148" s="2236">
        <f t="shared" si="14"/>
        <v>2.2000000000000002</v>
      </c>
      <c r="AG148" s="2853"/>
    </row>
    <row r="149" spans="3:34" ht="27.75" hidden="1" customHeight="1" outlineLevel="1">
      <c r="C149" s="104"/>
      <c r="D149" s="4170" t="s">
        <v>1333</v>
      </c>
      <c r="E149" s="4149" t="s">
        <v>1534</v>
      </c>
      <c r="F149" s="2840" t="s">
        <v>1573</v>
      </c>
      <c r="G149" s="2370">
        <v>1.6</v>
      </c>
      <c r="H149" s="4170" t="s">
        <v>1574</v>
      </c>
      <c r="I149" s="4170"/>
      <c r="J149" s="4154"/>
      <c r="K149" s="4155"/>
      <c r="L149" s="181"/>
      <c r="V149" s="4144" t="s">
        <v>1333</v>
      </c>
      <c r="W149" s="2855">
        <v>1.6</v>
      </c>
      <c r="X149" s="2856">
        <v>1.6</v>
      </c>
      <c r="Y149" s="2855">
        <v>1.6</v>
      </c>
      <c r="Z149" s="2254">
        <v>1.6</v>
      </c>
      <c r="AA149" s="2254">
        <v>1.6</v>
      </c>
      <c r="AB149" s="2857">
        <v>1.6</v>
      </c>
      <c r="AC149" s="2857">
        <v>1.6</v>
      </c>
      <c r="AD149" s="2857">
        <v>1.6</v>
      </c>
      <c r="AE149" s="2857">
        <v>1.6</v>
      </c>
      <c r="AF149" s="2236">
        <f t="shared" si="14"/>
        <v>1.6</v>
      </c>
      <c r="AG149" s="2855"/>
    </row>
    <row r="150" spans="3:34" ht="40.5" hidden="1" customHeight="1" outlineLevel="1">
      <c r="C150" s="104"/>
      <c r="D150" s="4170"/>
      <c r="E150" s="4149"/>
      <c r="F150" s="2521" t="s">
        <v>1531</v>
      </c>
      <c r="G150" s="2289">
        <v>3.7</v>
      </c>
      <c r="H150" s="4170" t="s">
        <v>1537</v>
      </c>
      <c r="I150" s="4170"/>
      <c r="J150" s="4212" t="s">
        <v>1575</v>
      </c>
      <c r="K150" s="4212"/>
      <c r="L150" s="181"/>
      <c r="V150" s="4145"/>
      <c r="W150" s="2855"/>
      <c r="X150" s="2856"/>
      <c r="Y150" s="2855"/>
      <c r="Z150" s="2254"/>
      <c r="AA150" s="2254"/>
      <c r="AB150" s="2887">
        <v>3.7</v>
      </c>
      <c r="AC150" s="2857">
        <v>3.7</v>
      </c>
      <c r="AD150" s="2857">
        <v>3.7</v>
      </c>
      <c r="AE150" s="2857">
        <v>3.7</v>
      </c>
      <c r="AF150" s="2236">
        <f t="shared" si="14"/>
        <v>3.7</v>
      </c>
      <c r="AG150" s="2855"/>
    </row>
    <row r="151" spans="3:34" hidden="1" outlineLevel="1">
      <c r="C151" s="104"/>
      <c r="D151" s="1444" t="s">
        <v>1337</v>
      </c>
      <c r="E151" s="2321" t="s">
        <v>1538</v>
      </c>
      <c r="F151" s="2840" t="s">
        <v>1102</v>
      </c>
      <c r="G151" s="2322">
        <v>1.5</v>
      </c>
      <c r="H151" s="4170" t="s">
        <v>740</v>
      </c>
      <c r="I151" s="4170"/>
      <c r="J151" s="4154"/>
      <c r="K151" s="4155"/>
      <c r="L151" s="181"/>
      <c r="V151" s="1444" t="s">
        <v>1337</v>
      </c>
      <c r="W151" s="2855">
        <v>1.5</v>
      </c>
      <c r="X151" s="2856">
        <v>1.5</v>
      </c>
      <c r="Y151" s="2856">
        <v>1.5</v>
      </c>
      <c r="Z151" s="2857">
        <v>1.5</v>
      </c>
      <c r="AA151" s="2857">
        <v>1.5</v>
      </c>
      <c r="AB151" s="2857">
        <v>1.5</v>
      </c>
      <c r="AC151" s="2857">
        <v>1.5</v>
      </c>
      <c r="AD151" s="2857">
        <v>1.5</v>
      </c>
      <c r="AE151" s="2857">
        <v>1.5</v>
      </c>
      <c r="AF151" s="2236">
        <f t="shared" si="14"/>
        <v>1.5</v>
      </c>
      <c r="AG151" s="2855"/>
      <c r="AH151" s="1518"/>
    </row>
    <row r="152" spans="3:34" ht="44.65" hidden="1" customHeight="1" outlineLevel="1">
      <c r="C152" s="104"/>
      <c r="D152" s="4170" t="s">
        <v>1340</v>
      </c>
      <c r="E152" s="4149" t="s">
        <v>1539</v>
      </c>
      <c r="F152" s="2840" t="s">
        <v>1576</v>
      </c>
      <c r="G152" s="2370">
        <v>1.6</v>
      </c>
      <c r="H152" s="4170" t="s">
        <v>1574</v>
      </c>
      <c r="I152" s="4170"/>
      <c r="J152" s="4154"/>
      <c r="K152" s="4155"/>
      <c r="L152" s="181"/>
      <c r="V152" s="4144" t="s">
        <v>1340</v>
      </c>
      <c r="W152" s="2855">
        <v>1.6</v>
      </c>
      <c r="X152" s="2856">
        <v>1.6</v>
      </c>
      <c r="Y152" s="2856">
        <v>1.6</v>
      </c>
      <c r="Z152" s="2857">
        <v>1.6</v>
      </c>
      <c r="AA152" s="2857">
        <v>1.6</v>
      </c>
      <c r="AB152" s="2857">
        <v>1.6</v>
      </c>
      <c r="AC152" s="2857">
        <v>1.6</v>
      </c>
      <c r="AD152" s="2857">
        <v>1.6</v>
      </c>
      <c r="AE152" s="2857">
        <v>1.6</v>
      </c>
      <c r="AF152" s="2236">
        <f t="shared" si="14"/>
        <v>1.6</v>
      </c>
      <c r="AG152" s="2855"/>
    </row>
    <row r="153" spans="3:34" ht="52.5" hidden="1" customHeight="1" outlineLevel="1">
      <c r="C153" s="104"/>
      <c r="D153" s="4170"/>
      <c r="E153" s="4149"/>
      <c r="F153" s="2521" t="s">
        <v>1531</v>
      </c>
      <c r="G153" s="2289">
        <v>3.7</v>
      </c>
      <c r="H153" s="4170" t="s">
        <v>1537</v>
      </c>
      <c r="I153" s="4170"/>
      <c r="J153" s="4212" t="s">
        <v>1575</v>
      </c>
      <c r="K153" s="4212"/>
      <c r="L153" s="181"/>
      <c r="V153" s="4145"/>
      <c r="W153" s="2855"/>
      <c r="X153" s="2856"/>
      <c r="Y153" s="2856"/>
      <c r="Z153" s="2857"/>
      <c r="AA153" s="2857"/>
      <c r="AB153" s="2887">
        <v>3.7</v>
      </c>
      <c r="AC153" s="2857">
        <v>3.7</v>
      </c>
      <c r="AD153" s="2857">
        <v>3.7</v>
      </c>
      <c r="AE153" s="2857">
        <v>3.7</v>
      </c>
      <c r="AF153" s="2236">
        <f t="shared" si="14"/>
        <v>3.7</v>
      </c>
      <c r="AG153" s="2855"/>
    </row>
    <row r="154" spans="3:34" ht="28.9" hidden="1" customHeight="1" outlineLevel="1">
      <c r="C154" s="104"/>
      <c r="D154" s="4144" t="s">
        <v>982</v>
      </c>
      <c r="E154" s="4046" t="s">
        <v>1540</v>
      </c>
      <c r="F154" s="2840" t="s">
        <v>1528</v>
      </c>
      <c r="G154" s="2759">
        <v>4.28571428571429</v>
      </c>
      <c r="H154" s="4170" t="s">
        <v>1529</v>
      </c>
      <c r="I154" s="4170"/>
      <c r="J154" s="4154"/>
      <c r="K154" s="4155"/>
      <c r="L154" s="181"/>
      <c r="V154" s="4144" t="s">
        <v>982</v>
      </c>
      <c r="W154" s="2888">
        <v>4.3185840707964598</v>
      </c>
      <c r="X154" s="2447">
        <v>4.2926829268292686</v>
      </c>
      <c r="Y154" s="2328">
        <v>4.2329545454545459</v>
      </c>
      <c r="Z154" s="2889">
        <v>4.2329545454545459</v>
      </c>
      <c r="AA154" s="2889">
        <v>4.2329545454545459</v>
      </c>
      <c r="AB154" s="2451">
        <v>4.28571428571429</v>
      </c>
      <c r="AC154" s="2861">
        <v>4.28571428571429</v>
      </c>
      <c r="AD154" s="2861">
        <v>4.28571428571429</v>
      </c>
      <c r="AE154" s="2861">
        <v>4.28571428571429</v>
      </c>
      <c r="AF154" s="2236">
        <f t="shared" si="14"/>
        <v>4.28571428571429</v>
      </c>
      <c r="AG154" s="2858"/>
    </row>
    <row r="155" spans="3:34" ht="35.1" hidden="1" customHeight="1" outlineLevel="1">
      <c r="C155" s="104"/>
      <c r="D155" s="4152"/>
      <c r="E155" s="4153"/>
      <c r="F155" s="2840" t="s">
        <v>1511</v>
      </c>
      <c r="G155" s="2836">
        <v>1.7767584097859328</v>
      </c>
      <c r="H155" s="4170" t="s">
        <v>1577</v>
      </c>
      <c r="I155" s="4170"/>
      <c r="J155" s="4154"/>
      <c r="K155" s="4155"/>
      <c r="L155" s="181"/>
      <c r="V155" s="4152"/>
      <c r="W155" s="2888"/>
      <c r="X155" s="2447"/>
      <c r="Y155" s="2328"/>
      <c r="Z155" s="2889"/>
      <c r="AA155" s="2889"/>
      <c r="AB155" s="2861">
        <v>1.7767584097859328</v>
      </c>
      <c r="AC155" s="2861">
        <v>1.7767584097859328</v>
      </c>
      <c r="AD155" s="2861">
        <v>1.7767584097859328</v>
      </c>
      <c r="AE155" s="2861">
        <v>1.7767584097859328</v>
      </c>
      <c r="AF155" s="2236">
        <f t="shared" si="14"/>
        <v>1.7767584097859328</v>
      </c>
      <c r="AG155" s="2858"/>
    </row>
    <row r="156" spans="3:34" ht="42.6" hidden="1" customHeight="1" outlineLevel="1">
      <c r="C156" s="104"/>
      <c r="D156" s="4145"/>
      <c r="E156" s="4047"/>
      <c r="F156" s="2521" t="s">
        <v>1531</v>
      </c>
      <c r="G156" s="2836">
        <v>1.5644946808510638</v>
      </c>
      <c r="H156" s="4260" t="s">
        <v>1542</v>
      </c>
      <c r="I156" s="4260"/>
      <c r="J156" s="4212" t="s">
        <v>1575</v>
      </c>
      <c r="K156" s="4212"/>
      <c r="L156" s="181"/>
      <c r="V156" s="4145"/>
      <c r="W156" s="2888"/>
      <c r="X156" s="2447"/>
      <c r="Y156" s="2328"/>
      <c r="Z156" s="2889"/>
      <c r="AA156" s="2889"/>
      <c r="AB156" s="2363">
        <v>1.5644946808510638</v>
      </c>
      <c r="AC156" s="2594">
        <v>1.5644946808510638</v>
      </c>
      <c r="AD156" s="2594">
        <v>1.5644946808510638</v>
      </c>
      <c r="AE156" s="2594">
        <v>1.5644946808510638</v>
      </c>
      <c r="AF156" s="2236">
        <f t="shared" si="14"/>
        <v>1.5644946808510638</v>
      </c>
      <c r="AG156" s="2858"/>
    </row>
    <row r="157" spans="3:34" hidden="1" outlineLevel="1">
      <c r="C157" s="104"/>
      <c r="D157" s="4187" t="s">
        <v>1543</v>
      </c>
      <c r="E157" s="4221" t="s">
        <v>1544</v>
      </c>
      <c r="F157" s="2840" t="s">
        <v>1545</v>
      </c>
      <c r="G157" s="2883">
        <v>0.9</v>
      </c>
      <c r="H157" s="4842" t="s">
        <v>1546</v>
      </c>
      <c r="I157" s="4842"/>
      <c r="J157" s="4154"/>
      <c r="K157" s="4155"/>
      <c r="L157" s="181"/>
      <c r="V157" s="4159" t="s">
        <v>1543</v>
      </c>
      <c r="W157" s="2853">
        <v>0.9</v>
      </c>
      <c r="X157" s="2854">
        <v>0.9</v>
      </c>
      <c r="Y157" s="2854">
        <v>0.9</v>
      </c>
      <c r="Z157" s="2460">
        <v>0.9</v>
      </c>
      <c r="AA157" s="2460">
        <v>0.9</v>
      </c>
      <c r="AB157" s="2460">
        <v>0.9</v>
      </c>
      <c r="AC157" s="2460">
        <v>0.9</v>
      </c>
      <c r="AD157" s="2460">
        <v>0.9</v>
      </c>
      <c r="AE157" s="2460">
        <v>0.9</v>
      </c>
      <c r="AF157" s="2236">
        <f t="shared" si="14"/>
        <v>0.9</v>
      </c>
      <c r="AG157" s="2853"/>
    </row>
    <row r="158" spans="3:34" hidden="1" outlineLevel="1">
      <c r="C158" s="104"/>
      <c r="D158" s="4187"/>
      <c r="E158" s="4221"/>
      <c r="F158" s="2521" t="s">
        <v>1531</v>
      </c>
      <c r="G158" s="2883">
        <v>1</v>
      </c>
      <c r="H158" s="4170" t="s">
        <v>1547</v>
      </c>
      <c r="I158" s="4170"/>
      <c r="J158" s="4212" t="s">
        <v>1578</v>
      </c>
      <c r="K158" s="4212"/>
      <c r="L158" s="181"/>
      <c r="V158" s="4160"/>
      <c r="W158" s="2853"/>
      <c r="X158" s="2854"/>
      <c r="Y158" s="2854"/>
      <c r="Z158" s="2460"/>
      <c r="AA158" s="2460"/>
      <c r="AB158" s="2234">
        <v>1</v>
      </c>
      <c r="AC158" s="2449">
        <v>1</v>
      </c>
      <c r="AD158" s="2449">
        <v>1</v>
      </c>
      <c r="AE158" s="2449">
        <v>1</v>
      </c>
      <c r="AF158" s="2236">
        <f t="shared" si="14"/>
        <v>1</v>
      </c>
      <c r="AG158" s="2853"/>
    </row>
    <row r="159" spans="3:34" hidden="1" outlineLevel="1">
      <c r="C159" s="104"/>
      <c r="D159" s="1840">
        <v>365.25</v>
      </c>
      <c r="E159" s="2321" t="s">
        <v>421</v>
      </c>
      <c r="F159" s="2840" t="s">
        <v>1102</v>
      </c>
      <c r="G159" s="2884">
        <v>365.25</v>
      </c>
      <c r="H159" s="4170" t="s">
        <v>1350</v>
      </c>
      <c r="I159" s="4170"/>
      <c r="J159" s="4154"/>
      <c r="K159" s="4155"/>
      <c r="L159" s="181"/>
      <c r="V159" s="1840">
        <v>365.25</v>
      </c>
      <c r="W159" s="2855">
        <v>365</v>
      </c>
      <c r="X159" s="2856">
        <v>365</v>
      </c>
      <c r="Y159" s="2856">
        <v>365</v>
      </c>
      <c r="Z159" s="2857">
        <v>365</v>
      </c>
      <c r="AA159" s="2857">
        <v>365</v>
      </c>
      <c r="AB159" s="2887">
        <v>365.25</v>
      </c>
      <c r="AC159" s="2857">
        <v>365.25</v>
      </c>
      <c r="AD159" s="2857">
        <v>365.25</v>
      </c>
      <c r="AE159" s="2857">
        <v>365.25</v>
      </c>
      <c r="AF159" s="2236">
        <f t="shared" si="14"/>
        <v>365.25</v>
      </c>
      <c r="AG159" s="2855"/>
    </row>
    <row r="160" spans="3:34" ht="30" hidden="1" customHeight="1" outlineLevel="1">
      <c r="C160" s="104"/>
      <c r="D160" s="4187" t="s">
        <v>1548</v>
      </c>
      <c r="E160" s="4149" t="s">
        <v>1549</v>
      </c>
      <c r="F160" s="2840" t="s">
        <v>1528</v>
      </c>
      <c r="G160" s="2836">
        <v>2.2839</v>
      </c>
      <c r="H160" s="4214" t="s">
        <v>1579</v>
      </c>
      <c r="I160" s="4214"/>
      <c r="J160" s="4154"/>
      <c r="K160" s="4155"/>
      <c r="L160" s="181"/>
      <c r="V160" s="4159" t="s">
        <v>1548</v>
      </c>
      <c r="W160" s="2888">
        <v>2.4005847953216377</v>
      </c>
      <c r="X160" s="2455">
        <v>2.4005847953216377</v>
      </c>
      <c r="Y160" s="2447">
        <v>2.2839</v>
      </c>
      <c r="Z160" s="2890">
        <v>2.2839</v>
      </c>
      <c r="AA160" s="2890">
        <v>2.2839</v>
      </c>
      <c r="AB160" s="2891">
        <v>2.2839</v>
      </c>
      <c r="AC160" s="2891">
        <v>2.2839</v>
      </c>
      <c r="AD160" s="2891">
        <v>2.2839</v>
      </c>
      <c r="AE160" s="2891">
        <v>2.2839</v>
      </c>
      <c r="AF160" s="2236">
        <f t="shared" si="14"/>
        <v>2.2839</v>
      </c>
      <c r="AG160" s="2862"/>
    </row>
    <row r="161" spans="1:114" ht="29.1" hidden="1" customHeight="1" outlineLevel="1">
      <c r="C161" s="104"/>
      <c r="D161" s="4187"/>
      <c r="E161" s="4149"/>
      <c r="F161" s="2840" t="s">
        <v>1511</v>
      </c>
      <c r="G161" s="2836">
        <v>1.3371757925072045</v>
      </c>
      <c r="H161" s="4170" t="s">
        <v>1580</v>
      </c>
      <c r="I161" s="4170"/>
      <c r="J161" s="4154"/>
      <c r="K161" s="4155"/>
      <c r="L161" s="181"/>
      <c r="V161" s="4165"/>
      <c r="W161" s="2888"/>
      <c r="X161" s="2455"/>
      <c r="Y161" s="2447"/>
      <c r="Z161" s="2890"/>
      <c r="AA161" s="2890"/>
      <c r="AB161" s="2891">
        <v>1.3371757925072045</v>
      </c>
      <c r="AC161" s="2891">
        <v>1.3371757925072045</v>
      </c>
      <c r="AD161" s="2891">
        <v>1.3371757925072045</v>
      </c>
      <c r="AE161" s="2891">
        <v>1.3371757925072045</v>
      </c>
      <c r="AF161" s="2236">
        <f t="shared" si="14"/>
        <v>1.3371757925072045</v>
      </c>
      <c r="AG161" s="2862"/>
    </row>
    <row r="162" spans="1:114" ht="26.65" hidden="1" customHeight="1" outlineLevel="1">
      <c r="C162" s="104"/>
      <c r="D162" s="4187"/>
      <c r="E162" s="4149"/>
      <c r="F162" s="2521" t="s">
        <v>1531</v>
      </c>
      <c r="G162" s="2836">
        <v>1.8624708624708626</v>
      </c>
      <c r="H162" s="4259" t="s">
        <v>1581</v>
      </c>
      <c r="I162" s="4259"/>
      <c r="J162" s="4154"/>
      <c r="K162" s="4155"/>
      <c r="L162" s="181"/>
      <c r="V162" s="4160"/>
      <c r="W162" s="2888"/>
      <c r="X162" s="2455"/>
      <c r="Y162" s="2447"/>
      <c r="Z162" s="2890"/>
      <c r="AA162" s="2890"/>
      <c r="AB162" s="2892">
        <v>1.8624708624708626</v>
      </c>
      <c r="AC162" s="2893">
        <v>1.8624708624708626</v>
      </c>
      <c r="AD162" s="2893">
        <v>1.8624708624708626</v>
      </c>
      <c r="AE162" s="2893">
        <v>1.8624708624708626</v>
      </c>
      <c r="AF162" s="2236">
        <f t="shared" si="14"/>
        <v>1.8624708624708626</v>
      </c>
      <c r="AG162" s="2862"/>
    </row>
    <row r="163" spans="1:114" hidden="1" outlineLevel="1">
      <c r="C163" s="104"/>
      <c r="D163" s="1840">
        <v>8.33</v>
      </c>
      <c r="E163" s="2842" t="s">
        <v>1355</v>
      </c>
      <c r="F163" s="2840" t="s">
        <v>1102</v>
      </c>
      <c r="G163" s="2349">
        <v>8.33</v>
      </c>
      <c r="H163" s="4214" t="s">
        <v>1356</v>
      </c>
      <c r="I163" s="4214"/>
      <c r="J163" s="4154"/>
      <c r="K163" s="4155"/>
      <c r="L163" s="181"/>
      <c r="V163" s="1840">
        <v>8.33</v>
      </c>
      <c r="W163" s="2853">
        <v>8.33</v>
      </c>
      <c r="X163" s="2854">
        <v>8.33</v>
      </c>
      <c r="Y163" s="2854">
        <v>8.33</v>
      </c>
      <c r="Z163" s="2460">
        <v>8.33</v>
      </c>
      <c r="AA163" s="2460">
        <v>8.33</v>
      </c>
      <c r="AB163" s="2460">
        <v>8.33</v>
      </c>
      <c r="AC163" s="2460">
        <v>8.33</v>
      </c>
      <c r="AD163" s="2460">
        <v>8.33</v>
      </c>
      <c r="AE163" s="2460">
        <v>8.33</v>
      </c>
      <c r="AF163" s="2236">
        <f t="shared" si="14"/>
        <v>8.33</v>
      </c>
      <c r="AG163" s="2853"/>
    </row>
    <row r="164" spans="1:114" hidden="1" outlineLevel="1">
      <c r="C164" s="104"/>
      <c r="D164" s="1840">
        <v>1</v>
      </c>
      <c r="E164" s="2321" t="s">
        <v>1552</v>
      </c>
      <c r="F164" s="2840" t="s">
        <v>1102</v>
      </c>
      <c r="G164" s="2370">
        <v>1</v>
      </c>
      <c r="H164" s="4170" t="s">
        <v>1358</v>
      </c>
      <c r="I164" s="4170"/>
      <c r="J164" s="4154"/>
      <c r="K164" s="4155"/>
      <c r="L164" s="181"/>
      <c r="V164" s="1840">
        <v>1</v>
      </c>
      <c r="W164" s="2853">
        <v>1</v>
      </c>
      <c r="X164" s="2854">
        <v>1</v>
      </c>
      <c r="Y164" s="2854">
        <v>1</v>
      </c>
      <c r="Z164" s="2460">
        <v>1</v>
      </c>
      <c r="AA164" s="2460">
        <v>1</v>
      </c>
      <c r="AB164" s="2460">
        <v>1</v>
      </c>
      <c r="AC164" s="2460">
        <v>1</v>
      </c>
      <c r="AD164" s="2460">
        <v>1</v>
      </c>
      <c r="AE164" s="2460">
        <v>1</v>
      </c>
      <c r="AF164" s="2236">
        <f t="shared" si="14"/>
        <v>1</v>
      </c>
      <c r="AG164" s="2853"/>
    </row>
    <row r="165" spans="1:114" ht="62.65" hidden="1" customHeight="1" outlineLevel="1">
      <c r="C165" s="104"/>
      <c r="D165" s="4170" t="s">
        <v>1553</v>
      </c>
      <c r="E165" s="4149" t="s">
        <v>1554</v>
      </c>
      <c r="F165" s="2840" t="s">
        <v>1573</v>
      </c>
      <c r="G165" s="2349">
        <v>86</v>
      </c>
      <c r="H165" s="4222" t="s">
        <v>1555</v>
      </c>
      <c r="I165" s="4223"/>
      <c r="J165" s="4154"/>
      <c r="K165" s="4155"/>
      <c r="L165" s="181"/>
      <c r="V165" s="4144" t="s">
        <v>1553</v>
      </c>
      <c r="W165" s="2855">
        <v>86</v>
      </c>
      <c r="X165" s="2856">
        <v>86</v>
      </c>
      <c r="Y165" s="2856">
        <v>86</v>
      </c>
      <c r="Z165" s="2857">
        <v>86</v>
      </c>
      <c r="AA165" s="2857">
        <v>86</v>
      </c>
      <c r="AB165" s="2857">
        <v>86</v>
      </c>
      <c r="AC165" s="2857">
        <v>86</v>
      </c>
      <c r="AD165" s="2857">
        <v>86</v>
      </c>
      <c r="AE165" s="2857">
        <v>86</v>
      </c>
      <c r="AF165" s="2236">
        <f t="shared" si="14"/>
        <v>86</v>
      </c>
      <c r="AG165" s="2855"/>
    </row>
    <row r="166" spans="1:114" ht="14.65" hidden="1" customHeight="1" outlineLevel="1">
      <c r="C166" s="104"/>
      <c r="D166" s="4170"/>
      <c r="E166" s="4149"/>
      <c r="F166" s="2521" t="s">
        <v>1531</v>
      </c>
      <c r="G166" s="2836">
        <v>80</v>
      </c>
      <c r="H166" s="4224"/>
      <c r="I166" s="4225"/>
      <c r="J166" s="4212" t="s">
        <v>1575</v>
      </c>
      <c r="K166" s="4212"/>
      <c r="L166" s="181"/>
      <c r="V166" s="4145"/>
      <c r="W166" s="2855"/>
      <c r="X166" s="2856"/>
      <c r="Y166" s="2856"/>
      <c r="Z166" s="2857"/>
      <c r="AA166" s="2857"/>
      <c r="AB166" s="2887">
        <v>80</v>
      </c>
      <c r="AC166" s="2857">
        <v>80</v>
      </c>
      <c r="AD166" s="2857">
        <v>80</v>
      </c>
      <c r="AE166" s="2857">
        <v>80</v>
      </c>
      <c r="AF166" s="2236">
        <f t="shared" si="14"/>
        <v>80</v>
      </c>
      <c r="AG166" s="2855"/>
    </row>
    <row r="167" spans="1:114" s="1518" customFormat="1" ht="51.75" hidden="1" customHeight="1" outlineLevel="1">
      <c r="A167" s="52"/>
      <c r="B167" s="181"/>
      <c r="C167" s="104"/>
      <c r="D167" s="1444" t="s">
        <v>1362</v>
      </c>
      <c r="E167" s="2321" t="s">
        <v>1556</v>
      </c>
      <c r="F167" s="2840" t="s">
        <v>1102</v>
      </c>
      <c r="G167" s="2353">
        <v>58.4</v>
      </c>
      <c r="H167" s="4022" t="s">
        <v>996</v>
      </c>
      <c r="I167" s="4022"/>
      <c r="J167" s="4154"/>
      <c r="K167" s="4155"/>
      <c r="L167" s="181"/>
      <c r="M167" s="181"/>
      <c r="N167" s="181"/>
      <c r="O167" s="181"/>
      <c r="P167" s="181"/>
      <c r="Q167" s="181"/>
      <c r="R167" s="181"/>
      <c r="S167" s="181"/>
      <c r="T167" s="181"/>
      <c r="U167" s="181"/>
      <c r="V167" s="1444" t="s">
        <v>1362</v>
      </c>
      <c r="W167" s="2855">
        <v>61.3</v>
      </c>
      <c r="X167" s="2856">
        <v>61.3</v>
      </c>
      <c r="Y167" s="2856">
        <v>61.3</v>
      </c>
      <c r="Z167" s="2857">
        <v>61.3</v>
      </c>
      <c r="AA167" s="2857">
        <v>61.3</v>
      </c>
      <c r="AB167" s="2857">
        <v>61.3</v>
      </c>
      <c r="AC167" s="2857">
        <v>61.3</v>
      </c>
      <c r="AD167" s="2857">
        <v>61.3</v>
      </c>
      <c r="AE167" s="2857">
        <v>61.3</v>
      </c>
      <c r="AF167" s="2236">
        <f t="shared" si="14"/>
        <v>58.4</v>
      </c>
      <c r="AG167" s="2855"/>
      <c r="AI167" s="76"/>
      <c r="AJ167" s="76"/>
      <c r="AK167" s="76"/>
      <c r="AL167" s="76"/>
      <c r="AM167" s="76"/>
      <c r="AN167" s="76"/>
      <c r="AO167" s="76"/>
      <c r="AP167" s="76"/>
      <c r="AQ167" s="76"/>
      <c r="AR167" s="76"/>
      <c r="AS167" s="76"/>
      <c r="DG167" s="181"/>
      <c r="DH167" s="181"/>
      <c r="DI167" s="149"/>
      <c r="DJ167" s="1183"/>
    </row>
    <row r="168" spans="1:114" s="1518" customFormat="1" ht="62.25" hidden="1" customHeight="1" outlineLevel="1">
      <c r="A168" s="52"/>
      <c r="B168" s="181"/>
      <c r="C168" s="104"/>
      <c r="D168" s="1444" t="s">
        <v>1365</v>
      </c>
      <c r="E168" s="2321" t="s">
        <v>1557</v>
      </c>
      <c r="F168" s="2840" t="s">
        <v>1102</v>
      </c>
      <c r="G168" s="2349">
        <v>0.98</v>
      </c>
      <c r="H168" s="4214" t="s">
        <v>1582</v>
      </c>
      <c r="I168" s="4214"/>
      <c r="J168" s="4154"/>
      <c r="K168" s="4155"/>
      <c r="L168" s="181"/>
      <c r="M168" s="181"/>
      <c r="N168" s="181"/>
      <c r="O168" s="181"/>
      <c r="P168" s="181"/>
      <c r="Q168" s="181"/>
      <c r="R168" s="181"/>
      <c r="S168" s="181"/>
      <c r="T168" s="181"/>
      <c r="U168" s="181"/>
      <c r="V168" s="1444" t="s">
        <v>1365</v>
      </c>
      <c r="W168" s="2853">
        <v>0.98</v>
      </c>
      <c r="X168" s="2854">
        <v>0.98</v>
      </c>
      <c r="Y168" s="2854">
        <v>0.98</v>
      </c>
      <c r="Z168" s="2460">
        <v>0.98</v>
      </c>
      <c r="AA168" s="2460">
        <v>0.98</v>
      </c>
      <c r="AB168" s="2460">
        <v>0.98</v>
      </c>
      <c r="AC168" s="2460">
        <v>0.98</v>
      </c>
      <c r="AD168" s="2460">
        <v>0.98</v>
      </c>
      <c r="AE168" s="2460">
        <v>0.98</v>
      </c>
      <c r="AF168" s="2236">
        <f t="shared" si="14"/>
        <v>0.98</v>
      </c>
      <c r="AG168" s="2853"/>
      <c r="AI168" s="76"/>
      <c r="AJ168" s="76"/>
      <c r="AK168" s="76"/>
      <c r="AL168" s="76"/>
      <c r="AM168" s="76"/>
      <c r="AN168" s="76"/>
      <c r="AO168" s="76"/>
      <c r="AP168" s="76"/>
      <c r="AQ168" s="76"/>
      <c r="AR168" s="76"/>
      <c r="AS168" s="76"/>
      <c r="DG168" s="181"/>
      <c r="DH168" s="181"/>
      <c r="DI168" s="149"/>
      <c r="DJ168" s="1183"/>
    </row>
    <row r="169" spans="1:114" s="1518" customFormat="1" hidden="1" outlineLevel="1">
      <c r="A169" s="52"/>
      <c r="B169" s="181"/>
      <c r="C169" s="104"/>
      <c r="D169" s="1444">
        <v>3412</v>
      </c>
      <c r="E169" s="2842" t="s">
        <v>1559</v>
      </c>
      <c r="F169" s="2840" t="s">
        <v>1102</v>
      </c>
      <c r="G169" s="2349">
        <v>3412</v>
      </c>
      <c r="H169" s="4214" t="s">
        <v>1000</v>
      </c>
      <c r="I169" s="4214"/>
      <c r="J169" s="4154"/>
      <c r="K169" s="4155"/>
      <c r="L169" s="181"/>
      <c r="M169" s="181"/>
      <c r="N169" s="181"/>
      <c r="O169" s="181"/>
      <c r="P169" s="181"/>
      <c r="Q169" s="181"/>
      <c r="R169" s="181"/>
      <c r="S169" s="181"/>
      <c r="T169" s="181"/>
      <c r="U169" s="181"/>
      <c r="V169" s="1444">
        <v>3412</v>
      </c>
      <c r="W169" s="2867">
        <v>3412</v>
      </c>
      <c r="X169" s="2868">
        <v>3413</v>
      </c>
      <c r="Y169" s="2868">
        <v>3413</v>
      </c>
      <c r="Z169" s="2462">
        <v>3413</v>
      </c>
      <c r="AA169" s="2462">
        <v>3413</v>
      </c>
      <c r="AB169" s="2461">
        <v>3412</v>
      </c>
      <c r="AC169" s="2462">
        <v>3412</v>
      </c>
      <c r="AD169" s="2462">
        <v>3412</v>
      </c>
      <c r="AE169" s="2462">
        <v>3412</v>
      </c>
      <c r="AF169" s="2236">
        <f t="shared" si="14"/>
        <v>3412</v>
      </c>
      <c r="AG169" s="2867"/>
      <c r="AI169" s="76"/>
      <c r="AJ169" s="76"/>
      <c r="AK169" s="76"/>
      <c r="AL169" s="76"/>
      <c r="AM169" s="76"/>
      <c r="AN169" s="76"/>
      <c r="AO169" s="76"/>
      <c r="AP169" s="76"/>
      <c r="AQ169" s="76"/>
      <c r="AR169" s="76"/>
      <c r="AS169" s="76"/>
      <c r="DG169" s="181"/>
      <c r="DH169" s="181"/>
      <c r="DI169" s="149"/>
      <c r="DJ169" s="1183"/>
    </row>
    <row r="170" spans="1:114" s="1518" customFormat="1" ht="30.75" hidden="1" customHeight="1" outlineLevel="1">
      <c r="A170" s="52"/>
      <c r="B170" s="181"/>
      <c r="C170" s="104"/>
      <c r="D170" s="4144" t="s">
        <v>1368</v>
      </c>
      <c r="E170" s="4163" t="s">
        <v>1369</v>
      </c>
      <c r="F170" s="2840" t="s">
        <v>1528</v>
      </c>
      <c r="G170" s="2319">
        <v>0.72</v>
      </c>
      <c r="H170" s="4170" t="s">
        <v>1529</v>
      </c>
      <c r="I170" s="4170"/>
      <c r="J170" s="4154"/>
      <c r="K170" s="4155"/>
      <c r="L170" s="181"/>
      <c r="M170" s="181"/>
      <c r="N170" s="181"/>
      <c r="O170" s="181"/>
      <c r="P170" s="181"/>
      <c r="Q170" s="181"/>
      <c r="R170" s="181"/>
      <c r="S170" s="181"/>
      <c r="T170" s="181"/>
      <c r="U170" s="181"/>
      <c r="V170" s="4144" t="s">
        <v>1368</v>
      </c>
      <c r="W170" s="2869">
        <v>0.86</v>
      </c>
      <c r="X170" s="2870">
        <v>0.89859999999999995</v>
      </c>
      <c r="Y170" s="2871">
        <v>0.91869999999999996</v>
      </c>
      <c r="Z170" s="2872">
        <v>0.91869999999999996</v>
      </c>
      <c r="AA170" s="2872">
        <v>0.91869999999999996</v>
      </c>
      <c r="AB170" s="2886">
        <v>0.72</v>
      </c>
      <c r="AC170" s="2643">
        <v>0.72</v>
      </c>
      <c r="AD170" s="2643">
        <v>0.72</v>
      </c>
      <c r="AE170" s="2643">
        <v>0.72</v>
      </c>
      <c r="AF170" s="2236">
        <f t="shared" si="14"/>
        <v>0.72</v>
      </c>
      <c r="AG170" s="2869"/>
      <c r="AI170" s="76"/>
      <c r="AJ170" s="76"/>
      <c r="AK170" s="76"/>
      <c r="AL170" s="76"/>
      <c r="AM170" s="76"/>
      <c r="AN170" s="76"/>
      <c r="AO170" s="76"/>
      <c r="AP170" s="76"/>
      <c r="AQ170" s="76"/>
      <c r="AR170" s="76"/>
      <c r="AS170" s="76"/>
      <c r="DG170" s="181"/>
      <c r="DH170" s="181"/>
      <c r="DI170" s="149"/>
      <c r="DJ170" s="1183"/>
    </row>
    <row r="171" spans="1:114" s="1518" customFormat="1" ht="30" hidden="1" customHeight="1" outlineLevel="1">
      <c r="A171" s="52"/>
      <c r="B171" s="181"/>
      <c r="C171" s="104"/>
      <c r="D171" s="4145"/>
      <c r="E171" s="4164"/>
      <c r="F171" s="2840" t="s">
        <v>1560</v>
      </c>
      <c r="G171" s="2319">
        <v>1</v>
      </c>
      <c r="H171" s="4214" t="s">
        <v>1562</v>
      </c>
      <c r="I171" s="4214"/>
      <c r="J171" s="4154"/>
      <c r="K171" s="4155"/>
      <c r="L171" s="181"/>
      <c r="M171" s="181"/>
      <c r="N171" s="181"/>
      <c r="O171" s="181"/>
      <c r="P171" s="181"/>
      <c r="Q171" s="181"/>
      <c r="R171" s="181"/>
      <c r="S171" s="181"/>
      <c r="T171" s="181"/>
      <c r="U171" s="181"/>
      <c r="V171" s="4145"/>
      <c r="W171" s="2869"/>
      <c r="X171" s="2870"/>
      <c r="Y171" s="2871"/>
      <c r="Z171" s="2872"/>
      <c r="AA171" s="2872"/>
      <c r="AB171" s="2646">
        <v>1</v>
      </c>
      <c r="AC171" s="2646">
        <v>1</v>
      </c>
      <c r="AD171" s="2646">
        <v>1</v>
      </c>
      <c r="AE171" s="2646">
        <v>1</v>
      </c>
      <c r="AF171" s="2236">
        <f t="shared" si="14"/>
        <v>1</v>
      </c>
      <c r="AG171" s="2869"/>
      <c r="AI171" s="76"/>
      <c r="AJ171" s="76"/>
      <c r="AK171" s="76"/>
      <c r="AL171" s="76"/>
      <c r="AM171" s="76"/>
      <c r="AN171" s="76"/>
      <c r="AO171" s="76"/>
      <c r="AP171" s="76"/>
      <c r="AQ171" s="76"/>
      <c r="AR171" s="76"/>
      <c r="AS171" s="76"/>
      <c r="DG171" s="181"/>
      <c r="DH171" s="181"/>
      <c r="DI171" s="149"/>
      <c r="DJ171" s="1183"/>
    </row>
    <row r="172" spans="1:114" s="1518" customFormat="1" ht="28.5" hidden="1" customHeight="1" outlineLevel="1">
      <c r="A172" s="52"/>
      <c r="B172" s="181"/>
      <c r="C172" s="104"/>
      <c r="D172" s="4144" t="s">
        <v>128</v>
      </c>
      <c r="E172" s="4144" t="s">
        <v>1036</v>
      </c>
      <c r="F172" s="2840" t="s">
        <v>1528</v>
      </c>
      <c r="G172" s="2376">
        <v>0.48</v>
      </c>
      <c r="H172" s="4170" t="s">
        <v>1470</v>
      </c>
      <c r="I172" s="4170"/>
      <c r="J172" s="4154"/>
      <c r="K172" s="4155"/>
      <c r="L172" s="181"/>
      <c r="M172" s="181"/>
      <c r="N172" s="181"/>
      <c r="O172" s="181"/>
      <c r="P172" s="181"/>
      <c r="Q172" s="181"/>
      <c r="R172" s="181"/>
      <c r="S172" s="181"/>
      <c r="T172" s="181"/>
      <c r="U172" s="181"/>
      <c r="V172" s="4144" t="s">
        <v>128</v>
      </c>
      <c r="W172" s="2869">
        <v>0.56837606837606836</v>
      </c>
      <c r="X172" s="2870">
        <v>0.55508474576271183</v>
      </c>
      <c r="Y172" s="2871">
        <v>0.57216494845360821</v>
      </c>
      <c r="Z172" s="2872">
        <v>0.57216494845360821</v>
      </c>
      <c r="AA172" s="2872">
        <v>0.57216494845360821</v>
      </c>
      <c r="AB172" s="2886">
        <v>0.48</v>
      </c>
      <c r="AC172" s="2643">
        <v>0.48</v>
      </c>
      <c r="AD172" s="2643">
        <v>0.48</v>
      </c>
      <c r="AE172" s="2643">
        <v>0.48</v>
      </c>
      <c r="AF172" s="2236">
        <f t="shared" si="14"/>
        <v>0.48</v>
      </c>
      <c r="AG172" s="2869"/>
      <c r="AI172" s="76"/>
      <c r="AJ172" s="76"/>
      <c r="AK172" s="76"/>
      <c r="AL172" s="76"/>
      <c r="AM172" s="76"/>
      <c r="AN172" s="76"/>
      <c r="AO172" s="76"/>
      <c r="AP172" s="76"/>
      <c r="AQ172" s="76"/>
      <c r="AR172" s="76"/>
      <c r="AS172" s="76"/>
      <c r="DG172" s="181"/>
      <c r="DH172" s="181"/>
      <c r="DI172" s="149"/>
      <c r="DJ172" s="1183"/>
    </row>
    <row r="173" spans="1:114" s="1518" customFormat="1" ht="31.5" hidden="1" customHeight="1" outlineLevel="1">
      <c r="A173" s="52"/>
      <c r="B173" s="181"/>
      <c r="C173" s="104"/>
      <c r="D173" s="4152"/>
      <c r="E173" s="4152"/>
      <c r="F173" s="2840" t="s">
        <v>1511</v>
      </c>
      <c r="G173" s="2376">
        <v>1</v>
      </c>
      <c r="H173" s="4214" t="s">
        <v>1583</v>
      </c>
      <c r="I173" s="4214"/>
      <c r="J173" s="4154"/>
      <c r="K173" s="4155"/>
      <c r="L173" s="181"/>
      <c r="M173" s="181"/>
      <c r="N173" s="181"/>
      <c r="O173" s="181"/>
      <c r="P173" s="181"/>
      <c r="Q173" s="181"/>
      <c r="R173" s="181"/>
      <c r="S173" s="181"/>
      <c r="T173" s="181"/>
      <c r="U173" s="181"/>
      <c r="V173" s="4152"/>
      <c r="W173" s="2869"/>
      <c r="X173" s="2870"/>
      <c r="Y173" s="2871"/>
      <c r="Z173" s="2872"/>
      <c r="AA173" s="2872"/>
      <c r="AB173" s="2646">
        <v>1</v>
      </c>
      <c r="AC173" s="2646">
        <v>1</v>
      </c>
      <c r="AD173" s="2646">
        <v>1</v>
      </c>
      <c r="AE173" s="2646">
        <v>1</v>
      </c>
      <c r="AF173" s="2236">
        <f t="shared" si="14"/>
        <v>1</v>
      </c>
      <c r="AG173" s="2869"/>
      <c r="AI173" s="76"/>
      <c r="AJ173" s="76"/>
      <c r="AK173" s="76"/>
      <c r="AL173" s="76"/>
      <c r="AM173" s="76"/>
      <c r="AN173" s="76"/>
      <c r="AO173" s="76"/>
      <c r="AP173" s="76"/>
      <c r="AQ173" s="76"/>
      <c r="AR173" s="76"/>
      <c r="AS173" s="76"/>
      <c r="DG173" s="181"/>
      <c r="DH173" s="181"/>
      <c r="DI173" s="149"/>
      <c r="DJ173" s="1183"/>
    </row>
    <row r="174" spans="1:114" s="1518" customFormat="1" ht="29.25" hidden="1" customHeight="1" outlineLevel="1">
      <c r="A174" s="52"/>
      <c r="B174" s="181"/>
      <c r="C174" s="104"/>
      <c r="D174" s="4145"/>
      <c r="E174" s="4145"/>
      <c r="F174" s="2521" t="s">
        <v>1531</v>
      </c>
      <c r="G174" s="2376">
        <v>0.89</v>
      </c>
      <c r="H174" s="4217" t="s">
        <v>1562</v>
      </c>
      <c r="I174" s="4217"/>
      <c r="J174" s="4212" t="s">
        <v>1584</v>
      </c>
      <c r="K174" s="4212"/>
      <c r="L174" s="181"/>
      <c r="M174" s="181"/>
      <c r="N174" s="181"/>
      <c r="O174" s="181"/>
      <c r="P174" s="181"/>
      <c r="Q174" s="181"/>
      <c r="R174" s="181"/>
      <c r="S174" s="181"/>
      <c r="T174" s="181"/>
      <c r="U174" s="181"/>
      <c r="V174" s="4145"/>
      <c r="W174" s="2869"/>
      <c r="X174" s="2870"/>
      <c r="Y174" s="2871"/>
      <c r="Z174" s="2872"/>
      <c r="AA174" s="2872"/>
      <c r="AB174" s="2645">
        <v>0.89</v>
      </c>
      <c r="AC174" s="2646">
        <v>0.89</v>
      </c>
      <c r="AD174" s="2646">
        <v>0.89</v>
      </c>
      <c r="AE174" s="2646">
        <v>0.89</v>
      </c>
      <c r="AF174" s="2236">
        <f t="shared" si="14"/>
        <v>0.89</v>
      </c>
      <c r="AG174" s="2869"/>
      <c r="AI174" s="76"/>
      <c r="AJ174" s="76"/>
      <c r="AK174" s="76"/>
      <c r="AL174" s="76"/>
      <c r="AM174" s="76"/>
      <c r="AN174" s="76"/>
      <c r="AO174" s="76"/>
      <c r="AP174" s="76"/>
      <c r="AQ174" s="76"/>
      <c r="AR174" s="76"/>
      <c r="AS174" s="76"/>
      <c r="DG174" s="181"/>
      <c r="DH174" s="181"/>
      <c r="DI174" s="149"/>
      <c r="DJ174" s="1183"/>
    </row>
    <row r="175" spans="1:114" ht="30" hidden="1" customHeight="1" outlineLevel="1">
      <c r="B175" s="579"/>
      <c r="C175" s="133"/>
      <c r="D175" s="2432" t="s">
        <v>1437</v>
      </c>
      <c r="E175" s="2790" t="s">
        <v>1198</v>
      </c>
      <c r="F175" s="2840" t="s">
        <v>1102</v>
      </c>
      <c r="G175" s="2844">
        <v>10</v>
      </c>
      <c r="H175" s="4209" t="s">
        <v>1563</v>
      </c>
      <c r="I175" s="4210"/>
      <c r="J175" s="4154"/>
      <c r="K175" s="4155"/>
      <c r="L175" s="283"/>
      <c r="M175" s="606"/>
      <c r="N175" s="283"/>
      <c r="O175" s="283"/>
      <c r="P175" s="283"/>
      <c r="Q175" s="283"/>
      <c r="V175" s="2419" t="s">
        <v>1437</v>
      </c>
      <c r="W175" s="2582">
        <v>10</v>
      </c>
      <c r="X175" s="2582">
        <v>10</v>
      </c>
      <c r="Y175" s="2582">
        <v>10</v>
      </c>
      <c r="Z175" s="2582">
        <v>10</v>
      </c>
      <c r="AA175" s="2582">
        <v>10</v>
      </c>
      <c r="AB175" s="2498">
        <v>10</v>
      </c>
      <c r="AC175" s="2498">
        <v>10</v>
      </c>
      <c r="AD175" s="2498">
        <v>10</v>
      </c>
      <c r="AE175" s="2498">
        <v>10</v>
      </c>
      <c r="AF175" s="2236">
        <f t="shared" si="14"/>
        <v>10</v>
      </c>
      <c r="AG175" s="2582"/>
    </row>
    <row r="176" spans="1:114" hidden="1" outlineLevel="1">
      <c r="B176" s="579"/>
      <c r="C176" s="133"/>
      <c r="D176" s="2802" t="s">
        <v>50</v>
      </c>
      <c r="E176" s="2790" t="s">
        <v>1135</v>
      </c>
      <c r="F176" s="2840" t="s">
        <v>1102</v>
      </c>
      <c r="G176" s="2379">
        <v>3</v>
      </c>
      <c r="H176" s="4209" t="s">
        <v>1564</v>
      </c>
      <c r="I176" s="4210"/>
      <c r="J176" s="4154"/>
      <c r="K176" s="4155"/>
      <c r="L176" s="283"/>
      <c r="M176" s="606"/>
      <c r="N176" s="283"/>
      <c r="O176" s="283"/>
      <c r="P176" s="283"/>
      <c r="Q176" s="283"/>
      <c r="V176" s="2875" t="s">
        <v>50</v>
      </c>
      <c r="W176" s="2583">
        <v>3</v>
      </c>
      <c r="X176" s="2583">
        <v>3</v>
      </c>
      <c r="Y176" s="2583">
        <v>3</v>
      </c>
      <c r="Z176" s="2583">
        <v>3</v>
      </c>
      <c r="AA176" s="2583">
        <v>3</v>
      </c>
      <c r="AB176" s="2482">
        <v>3</v>
      </c>
      <c r="AC176" s="2482">
        <v>3</v>
      </c>
      <c r="AD176" s="2482">
        <v>3</v>
      </c>
      <c r="AE176" s="2482">
        <v>3</v>
      </c>
      <c r="AF176" s="2236">
        <f t="shared" si="14"/>
        <v>3</v>
      </c>
      <c r="AG176" s="2583"/>
    </row>
    <row r="177" spans="2:114" collapsed="1">
      <c r="C177" s="104"/>
    </row>
    <row r="178" spans="2:114">
      <c r="C178" s="104"/>
    </row>
    <row r="179" spans="2:114" s="52" customFormat="1">
      <c r="B179" s="4025" t="s">
        <v>1585</v>
      </c>
      <c r="C179" s="4026"/>
      <c r="D179" s="4026"/>
      <c r="E179" s="4026"/>
      <c r="F179" s="4026"/>
      <c r="G179" s="4026"/>
      <c r="H179" s="4026"/>
      <c r="I179" s="4817"/>
      <c r="J179" s="4817"/>
      <c r="K179" s="4817"/>
      <c r="L179" s="4817"/>
      <c r="M179" s="4817"/>
      <c r="N179" s="4818"/>
      <c r="V179" s="4040" t="str">
        <f>B179</f>
        <v xml:space="preserve">Low Flow Showerheads </v>
      </c>
      <c r="W179" s="4041"/>
      <c r="X179" s="4041"/>
      <c r="Y179" s="4041"/>
      <c r="Z179" s="4041"/>
      <c r="AA179" s="4041"/>
      <c r="AB179" s="4041"/>
      <c r="AC179" s="4832"/>
      <c r="AD179" s="4832"/>
      <c r="AE179" s="4832"/>
      <c r="AF179" s="4832"/>
      <c r="AG179" s="4832"/>
      <c r="AH179" s="4833"/>
      <c r="DI179" s="149"/>
      <c r="DJ179" s="1183"/>
    </row>
    <row r="180" spans="2:114" ht="15.75" customHeight="1">
      <c r="B180" s="635"/>
      <c r="C180" s="2206"/>
      <c r="D180" s="2206"/>
      <c r="E180" s="635"/>
      <c r="F180" s="635"/>
      <c r="G180" s="635"/>
      <c r="H180" s="635"/>
      <c r="I180" s="635"/>
      <c r="J180" s="635"/>
      <c r="K180" s="635"/>
      <c r="L180" s="635"/>
      <c r="M180" s="2831"/>
      <c r="N180" s="635"/>
      <c r="P180" s="159"/>
      <c r="Q180" s="159"/>
      <c r="R180" s="159"/>
      <c r="V180" s="635"/>
      <c r="W180" s="2238"/>
      <c r="X180" s="2238"/>
      <c r="Y180" s="2238"/>
      <c r="Z180" s="2238"/>
      <c r="AA180" s="2238"/>
      <c r="AB180" s="2238"/>
      <c r="AC180" s="2237"/>
      <c r="AD180" s="2237"/>
      <c r="AE180" s="2237"/>
      <c r="AF180" s="2237"/>
      <c r="AG180" s="2237"/>
      <c r="AH180" s="2237"/>
    </row>
    <row r="181" spans="2:114" ht="48.75" customHeight="1">
      <c r="B181" s="635"/>
      <c r="C181" s="2207" t="s">
        <v>42</v>
      </c>
      <c r="D181" s="2207" t="s">
        <v>953</v>
      </c>
      <c r="E181" s="2207" t="s">
        <v>44</v>
      </c>
      <c r="F181" s="2207" t="s">
        <v>45</v>
      </c>
      <c r="G181" s="2207" t="s">
        <v>46</v>
      </c>
      <c r="H181" s="2207" t="s">
        <v>47</v>
      </c>
      <c r="I181" s="2207" t="s">
        <v>1316</v>
      </c>
      <c r="J181" s="2207" t="s">
        <v>48</v>
      </c>
      <c r="K181" s="2207" t="s">
        <v>49</v>
      </c>
      <c r="L181" s="2207" t="s">
        <v>50</v>
      </c>
      <c r="M181" s="2207" t="s">
        <v>51</v>
      </c>
      <c r="N181" s="635"/>
      <c r="P181" s="159"/>
      <c r="Q181" s="159"/>
      <c r="R181" s="159"/>
      <c r="V181" s="2704" t="s">
        <v>52</v>
      </c>
      <c r="W181" s="2642">
        <f>$W$6</f>
        <v>43252</v>
      </c>
      <c r="X181" s="2642">
        <f>$X$6</f>
        <v>43465</v>
      </c>
      <c r="Y181" s="2642">
        <f>$Y$6</f>
        <v>43800</v>
      </c>
      <c r="Z181" s="2642">
        <f>$Z$6</f>
        <v>43862</v>
      </c>
      <c r="AA181" s="2642">
        <f>$AA$6</f>
        <v>44013</v>
      </c>
      <c r="AB181" s="2642">
        <f>$AB$6</f>
        <v>44166</v>
      </c>
      <c r="AC181" s="2641">
        <f>$AC$6</f>
        <v>44531</v>
      </c>
      <c r="AD181" s="2641">
        <f>$AD$6</f>
        <v>44774</v>
      </c>
      <c r="AE181" s="2641">
        <f>$AE$6</f>
        <v>45139</v>
      </c>
      <c r="AF181" s="2641">
        <f>$AF$6</f>
        <v>45672</v>
      </c>
      <c r="AG181" s="2641" t="str">
        <f>$AG$6</f>
        <v>-</v>
      </c>
      <c r="AH181" s="2237"/>
      <c r="DG181" s="2750" t="str">
        <f>$DG$6</f>
        <v>TRC (2025)</v>
      </c>
      <c r="DH181" s="2750" t="str">
        <f>$DH$6</f>
        <v>Benefit Lookup</v>
      </c>
      <c r="DI181" s="2876" t="str">
        <f>$DI$6</f>
        <v>Benefits (2025 $)</v>
      </c>
      <c r="DJ181" s="2752" t="str">
        <f>$DJ$6</f>
        <v>Incremental Cost (2025 $)</v>
      </c>
    </row>
    <row r="182" spans="2:114">
      <c r="B182" s="2208">
        <f t="shared" ref="B182:B184" si="15">VALUE(LEFT(C182,6))</f>
        <v>300650</v>
      </c>
      <c r="C182" s="2832" t="s">
        <v>1586</v>
      </c>
      <c r="D182" s="2409" t="s">
        <v>1139</v>
      </c>
      <c r="E182" s="2321" t="s">
        <v>1587</v>
      </c>
      <c r="F182" s="2245">
        <f>ROUND($G$194*($G$197*$G$199-$G$201*$G$202)*$G$204*$G$207*$G$209/$G$210*$I$182*$G$221*$G$219,2)</f>
        <v>76.42</v>
      </c>
      <c r="G182" s="2244" t="s">
        <v>961</v>
      </c>
      <c r="H182" s="2548">
        <f>VLOOKUP(G182,'CP FACTORS'!$A$3:$B$38, 2, FALSE)</f>
        <v>8.8731800000000003E-5</v>
      </c>
      <c r="I182" s="2363">
        <f>$G$213*$G$214*($G$215-$G$216)/($G$217*$G$218)</f>
        <v>0.1160902696365768</v>
      </c>
      <c r="J182" s="2246">
        <f>ROUND(F182*H182,6)</f>
        <v>6.7809999999999997E-3</v>
      </c>
      <c r="K182" s="2449">
        <f>$G$224</f>
        <v>10</v>
      </c>
      <c r="L182" s="2894">
        <f>$G$225</f>
        <v>7</v>
      </c>
      <c r="M182" s="2408" t="s">
        <v>62</v>
      </c>
      <c r="N182" s="635"/>
      <c r="P182" s="159"/>
      <c r="Q182" s="164"/>
      <c r="R182" s="532"/>
      <c r="V182" s="2425" t="str">
        <f>F181</f>
        <v>kWh Annual Savings</v>
      </c>
      <c r="W182" s="2845">
        <v>73.604221215365854</v>
      </c>
      <c r="X182" s="2234">
        <v>59.397111130550108</v>
      </c>
      <c r="Y182" s="2572">
        <v>85.23</v>
      </c>
      <c r="Z182" s="2573">
        <v>85.23</v>
      </c>
      <c r="AA182" s="2573">
        <v>85.23</v>
      </c>
      <c r="AB182" s="2554">
        <v>71.66</v>
      </c>
      <c r="AC182" s="2593">
        <v>71.66</v>
      </c>
      <c r="AD182" s="2593">
        <v>71.66</v>
      </c>
      <c r="AE182" s="2593">
        <v>71.66</v>
      </c>
      <c r="AF182" s="2236">
        <f>IF(F182&lt;&gt;"",F182,"")</f>
        <v>76.42</v>
      </c>
      <c r="AG182" s="2413"/>
      <c r="AH182" s="2728"/>
      <c r="DG182" s="2877">
        <f>(DI182)/(DJ182)</f>
        <v>5.363536467946652</v>
      </c>
      <c r="DH182" s="2419" t="str">
        <f>CONCATENATE(G182," ",K182," Year EUL")</f>
        <v>Water Heating RES 10 Year EUL</v>
      </c>
      <c r="DI182" s="2878">
        <f>(INDEX('Avoided Cost Benefits'!$B$4:$B$865,MATCH(DH182,'Avoided Cost Benefits'!$A$4:$A$865,0)))*F182</f>
        <v>37.544755275626564</v>
      </c>
      <c r="DJ182" s="2927">
        <f>L182/(1.0686^(2025-2025))</f>
        <v>7</v>
      </c>
    </row>
    <row r="183" spans="2:114">
      <c r="B183" s="2208">
        <f t="shared" si="15"/>
        <v>300700</v>
      </c>
      <c r="C183" s="2832" t="s">
        <v>1588</v>
      </c>
      <c r="D183" s="2244" t="s">
        <v>1122</v>
      </c>
      <c r="E183" s="2321" t="s">
        <v>1587</v>
      </c>
      <c r="F183" s="2245">
        <f>ROUND($G$195*($G$197*$G$199-$G$201*$G$202)*$G$205*$G$207*$G$209/$G$211*$I$182*$G$222*$G$220,2)</f>
        <v>310.79000000000002</v>
      </c>
      <c r="G183" s="2244" t="s">
        <v>961</v>
      </c>
      <c r="H183" s="2548">
        <f>VLOOKUP(G183,'CP FACTORS'!$A$3:$B$38, 2, FALSE)</f>
        <v>8.8731800000000003E-5</v>
      </c>
      <c r="I183" s="2363">
        <f>$G$213*$G$214*($G$215-$G$216)/($G$217*$G$218)</f>
        <v>0.1160902696365768</v>
      </c>
      <c r="J183" s="2246">
        <f>ROUND(F183*H183,6)</f>
        <v>2.7577000000000001E-2</v>
      </c>
      <c r="K183" s="2449">
        <f>$G$224</f>
        <v>10</v>
      </c>
      <c r="L183" s="2894">
        <f>$G$225</f>
        <v>7</v>
      </c>
      <c r="M183" s="2408" t="s">
        <v>62</v>
      </c>
      <c r="N183" s="635"/>
      <c r="P183" s="159"/>
      <c r="Q183" s="164"/>
      <c r="R183" s="532"/>
      <c r="V183" s="2425" t="str">
        <f>V182</f>
        <v>kWh Annual Savings</v>
      </c>
      <c r="W183" s="2846"/>
      <c r="X183" s="2252">
        <v>259.13086719005258</v>
      </c>
      <c r="Y183" s="2572">
        <v>209.97</v>
      </c>
      <c r="Z183" s="2573">
        <v>209.97</v>
      </c>
      <c r="AA183" s="2573">
        <v>209.97</v>
      </c>
      <c r="AB183" s="2554">
        <v>291.45</v>
      </c>
      <c r="AC183" s="2593">
        <v>291.45</v>
      </c>
      <c r="AD183" s="2593">
        <v>291.45</v>
      </c>
      <c r="AE183" s="2593">
        <v>291.45</v>
      </c>
      <c r="AF183" s="2236">
        <f>IF(F183&lt;&gt;"",F183,"")</f>
        <v>310.79000000000002</v>
      </c>
      <c r="AG183" s="2724"/>
      <c r="AH183" s="2728"/>
      <c r="DG183" s="2877">
        <f>(DI183)/(DJ183)</f>
        <v>21.812791139402513</v>
      </c>
      <c r="DH183" s="2419" t="str">
        <f>CONCATENATE(G183," ",K183," Year EUL")</f>
        <v>Water Heating RES 10 Year EUL</v>
      </c>
      <c r="DI183" s="2878">
        <f>(INDEX('Avoided Cost Benefits'!$B$4:$B$865,MATCH(DH183,'Avoided Cost Benefits'!$A$4:$A$865,0)))*F183</f>
        <v>152.68953797581759</v>
      </c>
      <c r="DJ183" s="2927">
        <f>L183/(1.0686^(2025-2025))</f>
        <v>7</v>
      </c>
    </row>
    <row r="184" spans="2:114">
      <c r="B184" s="2208">
        <f t="shared" si="15"/>
        <v>300701</v>
      </c>
      <c r="C184" s="2832" t="s">
        <v>1589</v>
      </c>
      <c r="D184" s="2408" t="s">
        <v>1448</v>
      </c>
      <c r="E184" s="2321" t="s">
        <v>1590</v>
      </c>
      <c r="F184" s="2245">
        <f>ROUND($G$194*($G$198*$G$200-$G$201*$G$203)*$G$206*$G$208*$G$209/$G$212*$I$182*$G$223*$G$220,2)</f>
        <v>84.77</v>
      </c>
      <c r="G184" s="2244" t="s">
        <v>961</v>
      </c>
      <c r="H184" s="2548">
        <f>VLOOKUP(G184,'CP FACTORS'!$A$3:$B$38, 2, FALSE)</f>
        <v>8.8731800000000003E-5</v>
      </c>
      <c r="I184" s="2363">
        <f>$G$213*$G$214*($G$215-$G$216)/($G$217*$G$218)</f>
        <v>0.1160902696365768</v>
      </c>
      <c r="J184" s="2246">
        <f>ROUND(F184*H184,6)</f>
        <v>7.522E-3</v>
      </c>
      <c r="K184" s="2449">
        <f>$G$224</f>
        <v>10</v>
      </c>
      <c r="L184" s="2894">
        <f>$G$225</f>
        <v>7</v>
      </c>
      <c r="M184" s="2408" t="s">
        <v>62</v>
      </c>
      <c r="N184" s="635"/>
      <c r="P184" s="159"/>
      <c r="Q184" s="164"/>
      <c r="R184" s="532"/>
      <c r="V184" s="2425" t="e">
        <f>#REF!</f>
        <v>#REF!</v>
      </c>
      <c r="W184" s="2846"/>
      <c r="X184" s="2252"/>
      <c r="Y184" s="2572"/>
      <c r="Z184" s="2554"/>
      <c r="AA184" s="2554"/>
      <c r="AB184" s="2554">
        <v>81.8</v>
      </c>
      <c r="AC184" s="2554">
        <v>79.489999999999995</v>
      </c>
      <c r="AD184" s="2593">
        <v>79.489999999999995</v>
      </c>
      <c r="AE184" s="2593">
        <v>79.489999999999995</v>
      </c>
      <c r="AF184" s="2236">
        <f>IF(F184&lt;&gt;"",F184,"")</f>
        <v>84.77</v>
      </c>
      <c r="AG184" s="2724"/>
      <c r="AH184" s="2728"/>
      <c r="DG184" s="2877">
        <f>(DI184)/(DJ184)</f>
        <v>5.949581083326847</v>
      </c>
      <c r="DH184" s="2419" t="str">
        <f>CONCATENATE(G184," ",K184," Year EUL")</f>
        <v>Water Heating RES 10 Year EUL</v>
      </c>
      <c r="DI184" s="2878">
        <f>(INDEX('Avoided Cost Benefits'!$B$4:$B$865,MATCH(DH184,'Avoided Cost Benefits'!$A$4:$A$865,0)))*F184</f>
        <v>41.647067583287928</v>
      </c>
      <c r="DJ184" s="2927">
        <f>L184/(1.0686^(2025-2025))</f>
        <v>7</v>
      </c>
    </row>
    <row r="185" spans="2:114" hidden="1" outlineLevel="1">
      <c r="C185" s="104"/>
      <c r="D185" s="2624" t="s">
        <v>118</v>
      </c>
      <c r="E185" s="2696" t="s">
        <v>1322</v>
      </c>
      <c r="F185" s="542"/>
      <c r="P185" s="159"/>
      <c r="Q185" s="159"/>
      <c r="R185" s="532"/>
    </row>
    <row r="186" spans="2:114" hidden="1" outlineLevel="1">
      <c r="C186" s="104"/>
      <c r="D186" s="2624" t="s">
        <v>963</v>
      </c>
      <c r="E186" s="635" t="s">
        <v>1323</v>
      </c>
      <c r="P186" s="159"/>
      <c r="Q186" s="159"/>
      <c r="R186" s="159"/>
    </row>
    <row r="187" spans="2:114" hidden="1" outlineLevel="1">
      <c r="C187" s="104"/>
      <c r="D187" s="2206"/>
      <c r="E187" s="635" t="s">
        <v>1591</v>
      </c>
    </row>
    <row r="188" spans="2:114" hidden="1" outlineLevel="1">
      <c r="C188" s="104"/>
      <c r="D188" s="2206"/>
      <c r="E188" s="635" t="s">
        <v>966</v>
      </c>
    </row>
    <row r="189" spans="2:114" ht="24" hidden="1" customHeight="1" outlineLevel="1">
      <c r="C189" s="104"/>
      <c r="D189" s="2206"/>
      <c r="E189" s="635" t="s">
        <v>1324</v>
      </c>
    </row>
    <row r="190" spans="2:114" hidden="1" outlineLevel="1">
      <c r="C190" s="104"/>
    </row>
    <row r="191" spans="2:114" hidden="1" outlineLevel="1">
      <c r="C191" s="104"/>
    </row>
    <row r="192" spans="2:114" hidden="1" outlineLevel="1">
      <c r="C192" s="104"/>
      <c r="M192" s="159"/>
      <c r="N192" s="159"/>
      <c r="V192" s="2704" t="s">
        <v>52</v>
      </c>
      <c r="W192" s="2642">
        <f>$W$6</f>
        <v>43252</v>
      </c>
      <c r="X192" s="2642">
        <f>$X$6</f>
        <v>43465</v>
      </c>
      <c r="Y192" s="2642">
        <f>$Y$6</f>
        <v>43800</v>
      </c>
      <c r="Z192" s="2642">
        <f>$Z$6</f>
        <v>43862</v>
      </c>
      <c r="AA192" s="2642">
        <f>$AA$6</f>
        <v>44013</v>
      </c>
      <c r="AB192" s="2642">
        <f>$AB$6</f>
        <v>44166</v>
      </c>
      <c r="AC192" s="2641">
        <f>$AC$6</f>
        <v>44531</v>
      </c>
      <c r="AD192" s="2641">
        <f>$AD$6</f>
        <v>44774</v>
      </c>
      <c r="AE192" s="2641">
        <f>$AE$6</f>
        <v>45139</v>
      </c>
      <c r="AF192" s="2641">
        <f>$AF$6</f>
        <v>45672</v>
      </c>
      <c r="AG192" s="2641" t="str">
        <f>$AG$6</f>
        <v>-</v>
      </c>
    </row>
    <row r="193" spans="1:114" hidden="1" outlineLevel="1">
      <c r="C193" s="104"/>
      <c r="D193" s="2303" t="s">
        <v>1078</v>
      </c>
      <c r="E193" s="2833" t="s">
        <v>967</v>
      </c>
      <c r="F193" s="2207" t="s">
        <v>1527</v>
      </c>
      <c r="G193" s="2207" t="s">
        <v>969</v>
      </c>
      <c r="H193" s="4172" t="s">
        <v>970</v>
      </c>
      <c r="I193" s="4173"/>
      <c r="J193" s="2207" t="s">
        <v>755</v>
      </c>
      <c r="M193" s="153"/>
      <c r="N193" s="1402"/>
      <c r="V193" s="801"/>
      <c r="W193" s="724"/>
      <c r="X193" s="724"/>
      <c r="Y193" s="724"/>
      <c r="Z193" s="724"/>
      <c r="AA193" s="724"/>
      <c r="AB193" s="724"/>
      <c r="AC193" s="724"/>
      <c r="AD193" s="724"/>
      <c r="AE193" s="724"/>
      <c r="AF193" s="724"/>
      <c r="AG193" s="724"/>
    </row>
    <row r="194" spans="1:114" s="1518" customFormat="1" ht="29.25" hidden="1" customHeight="1" outlineLevel="1">
      <c r="A194" s="52"/>
      <c r="B194" s="181"/>
      <c r="C194" s="1450"/>
      <c r="D194" s="4144" t="s">
        <v>1325</v>
      </c>
      <c r="E194" s="4163" t="s">
        <v>1326</v>
      </c>
      <c r="F194" s="2895" t="s">
        <v>1528</v>
      </c>
      <c r="G194" s="2896">
        <v>0.42</v>
      </c>
      <c r="H194" s="4170" t="s">
        <v>1592</v>
      </c>
      <c r="I194" s="4170"/>
      <c r="J194" s="2358"/>
      <c r="K194" s="181"/>
      <c r="L194" s="52"/>
      <c r="M194" s="167"/>
      <c r="N194" s="167"/>
      <c r="O194" s="181"/>
      <c r="P194" s="181"/>
      <c r="Q194" s="181"/>
      <c r="R194" s="181"/>
      <c r="S194" s="181"/>
      <c r="T194" s="181"/>
      <c r="U194" s="181"/>
      <c r="V194" s="4144" t="s">
        <v>1325</v>
      </c>
      <c r="W194" s="2869">
        <v>0.4</v>
      </c>
      <c r="X194" s="2873">
        <v>0.34429999999999999</v>
      </c>
      <c r="Y194" s="2873">
        <v>0.46360000000000001</v>
      </c>
      <c r="Z194" s="2909">
        <v>0.46360000000000001</v>
      </c>
      <c r="AA194" s="2909">
        <v>0.46360000000000001</v>
      </c>
      <c r="AB194" s="2910">
        <v>0.42</v>
      </c>
      <c r="AC194" s="2643">
        <v>0.42</v>
      </c>
      <c r="AD194" s="2643">
        <v>0.42</v>
      </c>
      <c r="AE194" s="2643">
        <v>0.42</v>
      </c>
      <c r="AF194" s="2236">
        <f t="shared" ref="AF194:AF225" si="16">IF(G194&lt;&gt;"",G194,"")</f>
        <v>0.42</v>
      </c>
      <c r="AG194" s="2850"/>
      <c r="AI194" s="76"/>
      <c r="AJ194" s="76"/>
      <c r="AK194" s="76"/>
      <c r="AL194" s="76"/>
      <c r="AM194" s="76"/>
      <c r="AN194" s="76"/>
      <c r="AO194" s="76"/>
      <c r="AP194" s="76"/>
      <c r="AQ194" s="76"/>
      <c r="AR194" s="76"/>
      <c r="AS194" s="76"/>
      <c r="DG194" s="181"/>
      <c r="DH194" s="181"/>
      <c r="DI194" s="149"/>
      <c r="DJ194" s="1183"/>
    </row>
    <row r="195" spans="1:114" s="1518" customFormat="1" ht="30" hidden="1" customHeight="1" outlineLevel="1">
      <c r="A195" s="52"/>
      <c r="B195" s="181"/>
      <c r="C195" s="1450"/>
      <c r="D195" s="4152"/>
      <c r="E195" s="4180"/>
      <c r="F195" s="2840" t="s">
        <v>1511</v>
      </c>
      <c r="G195" s="2896">
        <v>1</v>
      </c>
      <c r="H195" s="4170" t="s">
        <v>1593</v>
      </c>
      <c r="I195" s="4170"/>
      <c r="J195" s="2358"/>
      <c r="K195" s="181"/>
      <c r="L195" s="52"/>
      <c r="M195" s="167"/>
      <c r="N195" s="167"/>
      <c r="O195" s="181"/>
      <c r="P195" s="181"/>
      <c r="Q195" s="181"/>
      <c r="R195" s="181"/>
      <c r="S195" s="181"/>
      <c r="T195" s="181"/>
      <c r="U195" s="181"/>
      <c r="V195" s="4152"/>
      <c r="W195" s="2869"/>
      <c r="X195" s="2873"/>
      <c r="Y195" s="2873"/>
      <c r="Z195" s="2909"/>
      <c r="AA195" s="2909"/>
      <c r="AB195" s="2911">
        <v>1</v>
      </c>
      <c r="AC195" s="2643">
        <v>1</v>
      </c>
      <c r="AD195" s="2643">
        <v>1</v>
      </c>
      <c r="AE195" s="2643">
        <v>1</v>
      </c>
      <c r="AF195" s="2236">
        <f t="shared" si="16"/>
        <v>1</v>
      </c>
      <c r="AG195" s="2850"/>
      <c r="AI195" s="76"/>
      <c r="AJ195" s="76"/>
      <c r="AK195" s="76"/>
      <c r="AL195" s="76"/>
      <c r="AM195" s="76"/>
      <c r="AN195" s="76"/>
      <c r="AO195" s="76"/>
      <c r="AP195" s="76"/>
      <c r="AQ195" s="76"/>
      <c r="AR195" s="76"/>
      <c r="AS195" s="76"/>
      <c r="DG195" s="181"/>
      <c r="DH195" s="181"/>
      <c r="DI195" s="149"/>
      <c r="DJ195" s="1183"/>
    </row>
    <row r="196" spans="1:114" s="1518" customFormat="1" ht="30" hidden="1" customHeight="1" outlineLevel="1">
      <c r="A196" s="52"/>
      <c r="B196" s="181"/>
      <c r="C196" s="1450"/>
      <c r="D196" s="4145"/>
      <c r="E196" s="4164"/>
      <c r="F196" s="2521" t="s">
        <v>1531</v>
      </c>
      <c r="G196" s="2896">
        <v>0.42</v>
      </c>
      <c r="H196" s="4211" t="s">
        <v>1592</v>
      </c>
      <c r="I196" s="4211"/>
      <c r="J196" s="2358"/>
      <c r="K196" s="181"/>
      <c r="L196" s="52"/>
      <c r="M196" s="167"/>
      <c r="N196" s="167"/>
      <c r="O196" s="181"/>
      <c r="P196" s="181"/>
      <c r="Q196" s="181"/>
      <c r="R196" s="181"/>
      <c r="S196" s="181"/>
      <c r="T196" s="181"/>
      <c r="U196" s="181"/>
      <c r="V196" s="4145"/>
      <c r="W196" s="2869"/>
      <c r="X196" s="2873"/>
      <c r="Y196" s="2873"/>
      <c r="Z196" s="2909"/>
      <c r="AA196" s="2909"/>
      <c r="AB196" s="2912">
        <v>0.42</v>
      </c>
      <c r="AC196" s="2913">
        <v>0.42</v>
      </c>
      <c r="AD196" s="2913">
        <v>0.42</v>
      </c>
      <c r="AE196" s="2913">
        <v>0.42</v>
      </c>
      <c r="AF196" s="2236">
        <f t="shared" si="16"/>
        <v>0.42</v>
      </c>
      <c r="AG196" s="2850"/>
      <c r="AI196" s="76"/>
      <c r="AJ196" s="76"/>
      <c r="AK196" s="76"/>
      <c r="AL196" s="76"/>
      <c r="AM196" s="76"/>
      <c r="AN196" s="76"/>
      <c r="AO196" s="76"/>
      <c r="AP196" s="76"/>
      <c r="AQ196" s="76"/>
      <c r="AR196" s="76"/>
      <c r="AS196" s="76"/>
      <c r="DG196" s="181"/>
      <c r="DH196" s="181"/>
      <c r="DI196" s="149"/>
      <c r="DJ196" s="1183"/>
    </row>
    <row r="197" spans="1:114" s="1518" customFormat="1" ht="29.25" hidden="1" customHeight="1" outlineLevel="1">
      <c r="A197" s="52"/>
      <c r="B197" s="181"/>
      <c r="C197" s="1450"/>
      <c r="D197" s="4170" t="s">
        <v>1329</v>
      </c>
      <c r="E197" s="4149" t="s">
        <v>1330</v>
      </c>
      <c r="F197" s="2895" t="s">
        <v>1573</v>
      </c>
      <c r="G197" s="2348">
        <v>2.35</v>
      </c>
      <c r="H197" s="4020" t="s">
        <v>1594</v>
      </c>
      <c r="I197" s="4020"/>
      <c r="J197" s="2358"/>
      <c r="K197" s="181"/>
      <c r="L197" s="52"/>
      <c r="M197" s="153"/>
      <c r="N197" s="153"/>
      <c r="O197" s="181"/>
      <c r="P197" s="181"/>
      <c r="Q197" s="181"/>
      <c r="R197" s="181"/>
      <c r="S197" s="181"/>
      <c r="T197" s="181"/>
      <c r="U197" s="181"/>
      <c r="V197" s="4144" t="s">
        <v>1329</v>
      </c>
      <c r="W197" s="2853">
        <v>2.35</v>
      </c>
      <c r="X197" s="2854">
        <v>2.35</v>
      </c>
      <c r="Y197" s="2853">
        <v>2.35</v>
      </c>
      <c r="Z197" s="2244">
        <v>2.35</v>
      </c>
      <c r="AA197" s="2244">
        <v>2.35</v>
      </c>
      <c r="AB197" s="2460">
        <v>2.35</v>
      </c>
      <c r="AC197" s="2460">
        <v>2.35</v>
      </c>
      <c r="AD197" s="2460">
        <v>2.35</v>
      </c>
      <c r="AE197" s="2460">
        <v>2.35</v>
      </c>
      <c r="AF197" s="2236">
        <f t="shared" si="16"/>
        <v>2.35</v>
      </c>
      <c r="AG197" s="2460"/>
      <c r="AI197" s="76"/>
      <c r="AJ197" s="76"/>
      <c r="AK197" s="76"/>
      <c r="AL197" s="76"/>
      <c r="AM197" s="76"/>
      <c r="AN197" s="76"/>
      <c r="AO197" s="76"/>
      <c r="AP197" s="76"/>
      <c r="AQ197" s="76"/>
      <c r="AR197" s="76"/>
      <c r="AS197" s="76"/>
      <c r="DG197" s="181"/>
      <c r="DH197" s="181"/>
      <c r="DI197" s="149"/>
      <c r="DJ197" s="1183"/>
    </row>
    <row r="198" spans="1:114" s="1518" customFormat="1" hidden="1" outlineLevel="1">
      <c r="A198" s="52"/>
      <c r="B198" s="181"/>
      <c r="C198" s="1450"/>
      <c r="D198" s="4170"/>
      <c r="E198" s="4149"/>
      <c r="F198" s="2521" t="s">
        <v>1531</v>
      </c>
      <c r="G198" s="2348">
        <v>2.2000000000000002</v>
      </c>
      <c r="H198" s="4170" t="s">
        <v>1595</v>
      </c>
      <c r="I198" s="4170"/>
      <c r="J198" s="2358"/>
      <c r="K198" s="181"/>
      <c r="L198" s="52"/>
      <c r="M198" s="153"/>
      <c r="N198" s="153"/>
      <c r="O198" s="181"/>
      <c r="P198" s="181"/>
      <c r="Q198" s="181"/>
      <c r="R198" s="181"/>
      <c r="S198" s="181"/>
      <c r="T198" s="181"/>
      <c r="U198" s="181"/>
      <c r="V198" s="4145"/>
      <c r="W198" s="2853"/>
      <c r="X198" s="2854"/>
      <c r="Y198" s="2853"/>
      <c r="Z198" s="2244"/>
      <c r="AA198" s="2244"/>
      <c r="AB198" s="2459">
        <v>2.2000000000000002</v>
      </c>
      <c r="AC198" s="2460">
        <v>2.2000000000000002</v>
      </c>
      <c r="AD198" s="2460">
        <v>2.2000000000000002</v>
      </c>
      <c r="AE198" s="2460">
        <v>2.2000000000000002</v>
      </c>
      <c r="AF198" s="2236">
        <f t="shared" si="16"/>
        <v>2.2000000000000002</v>
      </c>
      <c r="AG198" s="2460"/>
      <c r="AI198" s="76"/>
      <c r="AJ198" s="76"/>
      <c r="AK198" s="76"/>
      <c r="AL198" s="76"/>
      <c r="AM198" s="76"/>
      <c r="AN198" s="76"/>
      <c r="AO198" s="76"/>
      <c r="AP198" s="76"/>
      <c r="AQ198" s="76"/>
      <c r="AR198" s="76"/>
      <c r="AS198" s="76"/>
      <c r="DG198" s="181"/>
      <c r="DH198" s="181"/>
      <c r="DI198" s="149"/>
      <c r="DJ198" s="1183"/>
    </row>
    <row r="199" spans="1:114" s="1518" customFormat="1" ht="43.5" hidden="1" customHeight="1" outlineLevel="1">
      <c r="A199" s="52"/>
      <c r="B199" s="181"/>
      <c r="C199" s="1450"/>
      <c r="D199" s="4170" t="s">
        <v>1333</v>
      </c>
      <c r="E199" s="4149" t="s">
        <v>1596</v>
      </c>
      <c r="F199" s="2895" t="s">
        <v>1573</v>
      </c>
      <c r="G199" s="2348">
        <v>7.8</v>
      </c>
      <c r="H199" s="4170" t="s">
        <v>1597</v>
      </c>
      <c r="I199" s="4170"/>
      <c r="J199" s="2358"/>
      <c r="K199" s="181"/>
      <c r="L199" s="52"/>
      <c r="M199" s="153"/>
      <c r="N199" s="153"/>
      <c r="O199" s="181"/>
      <c r="P199" s="181"/>
      <c r="Q199" s="181"/>
      <c r="R199" s="181"/>
      <c r="S199" s="181"/>
      <c r="T199" s="181"/>
      <c r="U199" s="181"/>
      <c r="V199" s="4144" t="s">
        <v>1333</v>
      </c>
      <c r="W199" s="2853">
        <v>7.8</v>
      </c>
      <c r="X199" s="2853">
        <v>7.8</v>
      </c>
      <c r="Y199" s="2853">
        <v>7.8</v>
      </c>
      <c r="Z199" s="2244">
        <v>7.8</v>
      </c>
      <c r="AA199" s="2244">
        <v>7.8</v>
      </c>
      <c r="AB199" s="2914">
        <v>7.8</v>
      </c>
      <c r="AC199" s="2914">
        <v>7.8</v>
      </c>
      <c r="AD199" s="2914">
        <v>7.8</v>
      </c>
      <c r="AE199" s="2914">
        <v>7.8</v>
      </c>
      <c r="AF199" s="2236">
        <f t="shared" si="16"/>
        <v>7.8</v>
      </c>
      <c r="AG199" s="2915"/>
      <c r="AI199" s="76"/>
      <c r="AJ199" s="76"/>
      <c r="AK199" s="76"/>
      <c r="AL199" s="76"/>
      <c r="AM199" s="76"/>
      <c r="AN199" s="76"/>
      <c r="AO199" s="76"/>
      <c r="AP199" s="76"/>
      <c r="AQ199" s="76"/>
      <c r="AR199" s="76"/>
      <c r="AS199" s="76"/>
      <c r="DG199" s="181"/>
      <c r="DH199" s="181"/>
      <c r="DI199" s="149"/>
      <c r="DJ199" s="1183"/>
    </row>
    <row r="200" spans="1:114" s="1518" customFormat="1" ht="60.75" hidden="1" customHeight="1" outlineLevel="1">
      <c r="A200" s="52"/>
      <c r="B200" s="181"/>
      <c r="C200" s="1450"/>
      <c r="D200" s="4170"/>
      <c r="E200" s="4149"/>
      <c r="F200" s="2521" t="s">
        <v>1531</v>
      </c>
      <c r="G200" s="2348">
        <v>8.66</v>
      </c>
      <c r="H200" s="4170" t="s">
        <v>1348</v>
      </c>
      <c r="I200" s="4170"/>
      <c r="J200" s="2358"/>
      <c r="K200" s="181"/>
      <c r="L200" s="52"/>
      <c r="M200" s="153"/>
      <c r="N200" s="153"/>
      <c r="O200" s="181"/>
      <c r="P200" s="181"/>
      <c r="Q200" s="181"/>
      <c r="R200" s="181"/>
      <c r="S200" s="181"/>
      <c r="T200" s="181"/>
      <c r="U200" s="181"/>
      <c r="V200" s="4145"/>
      <c r="W200" s="2853"/>
      <c r="X200" s="2853"/>
      <c r="Y200" s="2853"/>
      <c r="Z200" s="2244"/>
      <c r="AA200" s="2244"/>
      <c r="AB200" s="2916">
        <v>8.66</v>
      </c>
      <c r="AC200" s="2914">
        <v>8.66</v>
      </c>
      <c r="AD200" s="2914">
        <v>8.66</v>
      </c>
      <c r="AE200" s="2914">
        <v>8.66</v>
      </c>
      <c r="AF200" s="2236">
        <f t="shared" si="16"/>
        <v>8.66</v>
      </c>
      <c r="AG200" s="2915"/>
      <c r="AI200" s="76"/>
      <c r="AJ200" s="76"/>
      <c r="AK200" s="76"/>
      <c r="AL200" s="76"/>
      <c r="AM200" s="76"/>
      <c r="AN200" s="76"/>
      <c r="AO200" s="76"/>
      <c r="AP200" s="76"/>
      <c r="AQ200" s="76"/>
      <c r="AR200" s="76"/>
      <c r="AS200" s="76"/>
      <c r="DG200" s="181"/>
      <c r="DH200" s="181"/>
      <c r="DI200" s="149"/>
      <c r="DJ200" s="1183"/>
    </row>
    <row r="201" spans="1:114" s="1518" customFormat="1" hidden="1" outlineLevel="1">
      <c r="A201" s="52"/>
      <c r="B201" s="181"/>
      <c r="C201" s="1450"/>
      <c r="D201" s="1444" t="s">
        <v>1337</v>
      </c>
      <c r="E201" s="2321" t="s">
        <v>1338</v>
      </c>
      <c r="F201" s="2895" t="s">
        <v>1102</v>
      </c>
      <c r="G201" s="2311">
        <v>1.5</v>
      </c>
      <c r="H201" s="4170" t="s">
        <v>740</v>
      </c>
      <c r="I201" s="4170"/>
      <c r="J201" s="2358"/>
      <c r="K201" s="181"/>
      <c r="L201" s="52"/>
      <c r="M201" s="153"/>
      <c r="N201" s="153"/>
      <c r="O201" s="181"/>
      <c r="P201" s="181"/>
      <c r="Q201" s="181"/>
      <c r="R201" s="181"/>
      <c r="S201" s="181"/>
      <c r="T201" s="181"/>
      <c r="U201" s="181"/>
      <c r="V201" s="1444" t="s">
        <v>1337</v>
      </c>
      <c r="W201" s="2853">
        <v>1.5</v>
      </c>
      <c r="X201" s="2853">
        <v>1.5</v>
      </c>
      <c r="Y201" s="2853">
        <v>1.5</v>
      </c>
      <c r="Z201" s="2244">
        <v>1.5</v>
      </c>
      <c r="AA201" s="2244">
        <v>1.5</v>
      </c>
      <c r="AB201" s="2914">
        <v>1.5</v>
      </c>
      <c r="AC201" s="2914">
        <v>1.5</v>
      </c>
      <c r="AD201" s="2914">
        <v>1.5</v>
      </c>
      <c r="AE201" s="2914">
        <v>1.5</v>
      </c>
      <c r="AF201" s="2236">
        <f t="shared" si="16"/>
        <v>1.5</v>
      </c>
      <c r="AG201" s="2915"/>
      <c r="AI201" s="76"/>
      <c r="AJ201" s="76"/>
      <c r="AK201" s="76"/>
      <c r="AL201" s="76"/>
      <c r="AM201" s="76"/>
      <c r="AN201" s="76"/>
      <c r="AO201" s="76"/>
      <c r="AP201" s="76"/>
      <c r="AQ201" s="76"/>
      <c r="AR201" s="76"/>
      <c r="AS201" s="76"/>
      <c r="DG201" s="181"/>
      <c r="DH201" s="181"/>
      <c r="DI201" s="149"/>
      <c r="DJ201" s="1183"/>
    </row>
    <row r="202" spans="1:114" s="1518" customFormat="1" ht="65.25" hidden="1" customHeight="1" outlineLevel="1">
      <c r="A202" s="52"/>
      <c r="B202" s="181"/>
      <c r="C202" s="1450"/>
      <c r="D202" s="4170" t="s">
        <v>1340</v>
      </c>
      <c r="E202" s="4149" t="s">
        <v>1598</v>
      </c>
      <c r="F202" s="2895" t="s">
        <v>1573</v>
      </c>
      <c r="G202" s="2897">
        <v>7.8</v>
      </c>
      <c r="H202" s="4170" t="s">
        <v>1535</v>
      </c>
      <c r="I202" s="4170"/>
      <c r="J202" s="2358"/>
      <c r="K202" s="181"/>
      <c r="L202" s="52"/>
      <c r="M202" s="153"/>
      <c r="N202" s="153"/>
      <c r="O202" s="181"/>
      <c r="P202" s="181"/>
      <c r="Q202" s="181"/>
      <c r="R202" s="181"/>
      <c r="S202" s="181"/>
      <c r="T202" s="181"/>
      <c r="U202" s="181"/>
      <c r="V202" s="4144" t="s">
        <v>1340</v>
      </c>
      <c r="W202" s="2853">
        <v>7.8</v>
      </c>
      <c r="X202" s="2853">
        <v>7.8</v>
      </c>
      <c r="Y202" s="2853">
        <v>7.8</v>
      </c>
      <c r="Z202" s="2244">
        <v>7.8</v>
      </c>
      <c r="AA202" s="2244">
        <v>7.8</v>
      </c>
      <c r="AB202" s="2914">
        <v>7.8</v>
      </c>
      <c r="AC202" s="2914">
        <v>7.8</v>
      </c>
      <c r="AD202" s="2914">
        <v>7.8</v>
      </c>
      <c r="AE202" s="2914">
        <v>7.8</v>
      </c>
      <c r="AF202" s="2236">
        <f t="shared" si="16"/>
        <v>7.8</v>
      </c>
      <c r="AG202" s="2915"/>
      <c r="AI202" s="76"/>
      <c r="AJ202" s="76"/>
      <c r="AK202" s="76"/>
      <c r="AL202" s="76"/>
      <c r="AM202" s="76"/>
      <c r="AN202" s="76"/>
      <c r="AO202" s="76"/>
      <c r="AP202" s="76"/>
      <c r="AQ202" s="76"/>
      <c r="AR202" s="76"/>
      <c r="AS202" s="76"/>
      <c r="DG202" s="181"/>
      <c r="DH202" s="181"/>
      <c r="DI202" s="149"/>
      <c r="DJ202" s="1183"/>
    </row>
    <row r="203" spans="1:114" s="1518" customFormat="1" ht="58.5" hidden="1" customHeight="1" outlineLevel="1">
      <c r="A203" s="52"/>
      <c r="B203" s="181"/>
      <c r="C203" s="1450"/>
      <c r="D203" s="4170"/>
      <c r="E203" s="4149"/>
      <c r="F203" s="2521" t="s">
        <v>1531</v>
      </c>
      <c r="G203" s="2898">
        <v>8.66</v>
      </c>
      <c r="H203" s="4170" t="s">
        <v>1348</v>
      </c>
      <c r="I203" s="4170"/>
      <c r="J203" s="2358"/>
      <c r="K203" s="181"/>
      <c r="L203" s="52"/>
      <c r="M203" s="153"/>
      <c r="N203" s="153"/>
      <c r="O203" s="181"/>
      <c r="P203" s="181"/>
      <c r="Q203" s="181"/>
      <c r="R203" s="181"/>
      <c r="S203" s="181"/>
      <c r="T203" s="181"/>
      <c r="U203" s="181"/>
      <c r="V203" s="4145"/>
      <c r="W203" s="2853"/>
      <c r="X203" s="2853"/>
      <c r="Y203" s="2853"/>
      <c r="Z203" s="2244"/>
      <c r="AA203" s="2244"/>
      <c r="AB203" s="2887">
        <v>8.66</v>
      </c>
      <c r="AC203" s="2857">
        <v>8.66</v>
      </c>
      <c r="AD203" s="2857">
        <v>8.66</v>
      </c>
      <c r="AE203" s="2857">
        <v>8.66</v>
      </c>
      <c r="AF203" s="2236">
        <f t="shared" si="16"/>
        <v>8.66</v>
      </c>
      <c r="AG203" s="2915"/>
      <c r="AI203" s="76"/>
      <c r="AJ203" s="76"/>
      <c r="AK203" s="76"/>
      <c r="AL203" s="76"/>
      <c r="AM203" s="76"/>
      <c r="AN203" s="76"/>
      <c r="AO203" s="76"/>
      <c r="AP203" s="76"/>
      <c r="AQ203" s="76"/>
      <c r="AR203" s="76"/>
      <c r="AS203" s="76"/>
      <c r="DG203" s="181"/>
      <c r="DH203" s="181"/>
      <c r="DI203" s="149"/>
      <c r="DJ203" s="1183"/>
    </row>
    <row r="204" spans="1:114" s="1518" customFormat="1" ht="30" hidden="1" customHeight="1" outlineLevel="1">
      <c r="A204" s="52"/>
      <c r="B204" s="181"/>
      <c r="C204" s="1450"/>
      <c r="D204" s="4144" t="s">
        <v>982</v>
      </c>
      <c r="E204" s="4144" t="s">
        <v>1341</v>
      </c>
      <c r="F204" s="2895" t="s">
        <v>1528</v>
      </c>
      <c r="G204" s="2899">
        <v>4.28571428571429</v>
      </c>
      <c r="H204" s="4170" t="s">
        <v>1592</v>
      </c>
      <c r="I204" s="4170"/>
      <c r="J204" s="2358"/>
      <c r="K204" s="181"/>
      <c r="L204" s="181"/>
      <c r="M204" s="170"/>
      <c r="N204" s="170"/>
      <c r="O204" s="181"/>
      <c r="P204" s="181"/>
      <c r="Q204" s="181"/>
      <c r="R204" s="181"/>
      <c r="S204" s="181"/>
      <c r="T204" s="181"/>
      <c r="U204" s="181"/>
      <c r="V204" s="4144" t="s">
        <v>982</v>
      </c>
      <c r="W204" s="2917">
        <v>4.3185840707964598</v>
      </c>
      <c r="X204" s="2447">
        <v>4.2926829268292686</v>
      </c>
      <c r="Y204" s="2447">
        <v>4.2329545454545459</v>
      </c>
      <c r="Z204" s="2890">
        <v>4.2329545454545459</v>
      </c>
      <c r="AA204" s="2890">
        <v>4.2329545454545459</v>
      </c>
      <c r="AB204" s="2918">
        <v>4.28571428571429</v>
      </c>
      <c r="AC204" s="2919">
        <v>4.28571428571429</v>
      </c>
      <c r="AD204" s="2919">
        <v>4.28571428571429</v>
      </c>
      <c r="AE204" s="2919">
        <v>4.28571428571429</v>
      </c>
      <c r="AF204" s="2236">
        <f t="shared" si="16"/>
        <v>4.28571428571429</v>
      </c>
      <c r="AG204" s="2915"/>
      <c r="AI204" s="76"/>
      <c r="AJ204" s="76"/>
      <c r="AK204" s="76"/>
      <c r="AL204" s="76"/>
      <c r="AM204" s="76"/>
      <c r="AN204" s="76"/>
      <c r="AO204" s="76"/>
      <c r="AP204" s="76"/>
      <c r="AQ204" s="76"/>
      <c r="AR204" s="76"/>
      <c r="AS204" s="76"/>
      <c r="DG204" s="181"/>
      <c r="DH204" s="181"/>
      <c r="DI204" s="149"/>
      <c r="DJ204" s="1183"/>
    </row>
    <row r="205" spans="1:114" s="1518" customFormat="1" ht="31.5" hidden="1" customHeight="1" outlineLevel="1">
      <c r="A205" s="52"/>
      <c r="B205" s="181"/>
      <c r="C205" s="1450"/>
      <c r="D205" s="4152"/>
      <c r="E205" s="4152"/>
      <c r="F205" s="2900" t="s">
        <v>1511</v>
      </c>
      <c r="G205" s="2836">
        <v>1.7767584097859328</v>
      </c>
      <c r="H205" s="4170" t="s">
        <v>1599</v>
      </c>
      <c r="I205" s="4170"/>
      <c r="J205" s="2358"/>
      <c r="K205" s="181"/>
      <c r="L205" s="181"/>
      <c r="M205" s="170"/>
      <c r="N205" s="170"/>
      <c r="O205" s="181"/>
      <c r="P205" s="181"/>
      <c r="Q205" s="181"/>
      <c r="R205" s="181"/>
      <c r="S205" s="181"/>
      <c r="T205" s="181"/>
      <c r="U205" s="181"/>
      <c r="V205" s="4152"/>
      <c r="W205" s="2917"/>
      <c r="X205" s="2447"/>
      <c r="Y205" s="2447"/>
      <c r="Z205" s="2890"/>
      <c r="AA205" s="2890"/>
      <c r="AB205" s="2861">
        <v>1.7767584097859328</v>
      </c>
      <c r="AC205" s="2861">
        <v>1.7767584097859328</v>
      </c>
      <c r="AD205" s="2861">
        <v>1.7767584097859328</v>
      </c>
      <c r="AE205" s="2861">
        <v>1.7767584097859328</v>
      </c>
      <c r="AF205" s="2236">
        <f t="shared" si="16"/>
        <v>1.7767584097859328</v>
      </c>
      <c r="AG205" s="2915"/>
      <c r="AI205" s="76"/>
      <c r="AJ205" s="76"/>
      <c r="AK205" s="76"/>
      <c r="AL205" s="76"/>
      <c r="AM205" s="76"/>
      <c r="AN205" s="76"/>
      <c r="AO205" s="76"/>
      <c r="AP205" s="76"/>
      <c r="AQ205" s="76"/>
      <c r="AR205" s="76"/>
      <c r="AS205" s="76"/>
      <c r="DG205" s="181"/>
      <c r="DH205" s="181"/>
      <c r="DI205" s="149"/>
      <c r="DJ205" s="1183"/>
    </row>
    <row r="206" spans="1:114" s="1518" customFormat="1" ht="42.75" hidden="1" customHeight="1" outlineLevel="1">
      <c r="A206" s="52"/>
      <c r="B206" s="181"/>
      <c r="C206" s="1450"/>
      <c r="D206" s="4145"/>
      <c r="E206" s="4145"/>
      <c r="F206" s="2521" t="s">
        <v>1531</v>
      </c>
      <c r="G206" s="2348">
        <v>2.67</v>
      </c>
      <c r="H206" s="4219" t="s">
        <v>1353</v>
      </c>
      <c r="I206" s="4219"/>
      <c r="J206" s="2358" t="s">
        <v>1600</v>
      </c>
      <c r="K206" s="181"/>
      <c r="L206" s="181"/>
      <c r="M206" s="170"/>
      <c r="N206" s="170"/>
      <c r="O206" s="181"/>
      <c r="P206" s="181"/>
      <c r="Q206" s="181"/>
      <c r="R206" s="181"/>
      <c r="S206" s="181"/>
      <c r="T206" s="181"/>
      <c r="U206" s="181"/>
      <c r="V206" s="4145"/>
      <c r="W206" s="2917"/>
      <c r="X206" s="2447"/>
      <c r="Y206" s="2447"/>
      <c r="Z206" s="2890"/>
      <c r="AA206" s="2890"/>
      <c r="AB206" s="2409">
        <v>2.67</v>
      </c>
      <c r="AC206" s="2244">
        <v>2.67</v>
      </c>
      <c r="AD206" s="2244">
        <v>2.67</v>
      </c>
      <c r="AE206" s="2244">
        <v>2.67</v>
      </c>
      <c r="AF206" s="2236">
        <f t="shared" si="16"/>
        <v>2.67</v>
      </c>
      <c r="AG206" s="2915"/>
      <c r="AI206" s="76"/>
      <c r="AJ206" s="76"/>
      <c r="AK206" s="76"/>
      <c r="AL206" s="76"/>
      <c r="AM206" s="76"/>
      <c r="AN206" s="76"/>
      <c r="AO206" s="76"/>
      <c r="AP206" s="76"/>
      <c r="AQ206" s="76"/>
      <c r="AR206" s="76"/>
      <c r="AS206" s="76"/>
      <c r="DG206" s="181"/>
      <c r="DH206" s="181"/>
      <c r="DI206" s="149"/>
      <c r="DJ206" s="1183"/>
    </row>
    <row r="207" spans="1:114" s="1518" customFormat="1" ht="30" hidden="1" customHeight="1" outlineLevel="1">
      <c r="A207" s="52"/>
      <c r="B207" s="181"/>
      <c r="C207" s="1450"/>
      <c r="D207" s="4144" t="s">
        <v>1346</v>
      </c>
      <c r="E207" s="4163" t="s">
        <v>1601</v>
      </c>
      <c r="F207" s="2895" t="s">
        <v>1573</v>
      </c>
      <c r="G207" s="2348">
        <v>0.83199999999999996</v>
      </c>
      <c r="H207" s="4170" t="s">
        <v>1592</v>
      </c>
      <c r="I207" s="4170"/>
      <c r="J207" s="2358"/>
      <c r="K207" s="181"/>
      <c r="L207" s="181"/>
      <c r="M207" s="153"/>
      <c r="N207" s="153"/>
      <c r="O207" s="181"/>
      <c r="P207" s="181"/>
      <c r="Q207" s="181"/>
      <c r="R207" s="181"/>
      <c r="S207" s="181"/>
      <c r="T207" s="181"/>
      <c r="U207" s="181"/>
      <c r="V207" s="4144" t="s">
        <v>1346</v>
      </c>
      <c r="W207" s="2853">
        <v>0.6</v>
      </c>
      <c r="X207" s="2853">
        <v>0.6</v>
      </c>
      <c r="Y207" s="2853">
        <v>0.6</v>
      </c>
      <c r="Z207" s="2244">
        <v>0.6</v>
      </c>
      <c r="AA207" s="2244">
        <v>0.6</v>
      </c>
      <c r="AB207" s="2409">
        <v>0.83199999999999996</v>
      </c>
      <c r="AC207" s="2244">
        <v>0.83199999999999996</v>
      </c>
      <c r="AD207" s="2244">
        <v>0.83199999999999996</v>
      </c>
      <c r="AE207" s="2244">
        <v>0.83199999999999996</v>
      </c>
      <c r="AF207" s="2236">
        <f t="shared" si="16"/>
        <v>0.83199999999999996</v>
      </c>
      <c r="AG207" s="2915"/>
      <c r="AI207" s="76"/>
      <c r="AJ207" s="76"/>
      <c r="AK207" s="76"/>
      <c r="AL207" s="76"/>
      <c r="AM207" s="76"/>
      <c r="AN207" s="76"/>
      <c r="AO207" s="76"/>
      <c r="AP207" s="76"/>
      <c r="AQ207" s="76"/>
      <c r="AR207" s="76"/>
      <c r="AS207" s="76"/>
      <c r="DG207" s="181"/>
      <c r="DH207" s="181"/>
      <c r="DI207" s="149"/>
      <c r="DJ207" s="1183"/>
    </row>
    <row r="208" spans="1:114" s="1518" customFormat="1" ht="57.75" hidden="1" customHeight="1" outlineLevel="1">
      <c r="A208" s="52"/>
      <c r="B208" s="181"/>
      <c r="C208" s="1450"/>
      <c r="D208" s="4145"/>
      <c r="E208" s="4164"/>
      <c r="F208" s="2521" t="s">
        <v>1531</v>
      </c>
      <c r="G208" s="2348">
        <v>0.66</v>
      </c>
      <c r="H208" s="4170" t="s">
        <v>1348</v>
      </c>
      <c r="I208" s="4170"/>
      <c r="J208" s="2358"/>
      <c r="K208" s="181"/>
      <c r="L208" s="181"/>
      <c r="M208" s="153"/>
      <c r="N208" s="153"/>
      <c r="O208" s="181"/>
      <c r="P208" s="181"/>
      <c r="Q208" s="181"/>
      <c r="R208" s="181"/>
      <c r="S208" s="181"/>
      <c r="T208" s="181"/>
      <c r="U208" s="181"/>
      <c r="V208" s="4145"/>
      <c r="W208" s="2853"/>
      <c r="X208" s="2853"/>
      <c r="Y208" s="2853"/>
      <c r="Z208" s="2244"/>
      <c r="AA208" s="2244"/>
      <c r="AB208" s="2459">
        <v>0.66</v>
      </c>
      <c r="AC208" s="2460">
        <v>0.66</v>
      </c>
      <c r="AD208" s="2460">
        <v>0.66</v>
      </c>
      <c r="AE208" s="2460">
        <v>0.66</v>
      </c>
      <c r="AF208" s="2236">
        <f t="shared" si="16"/>
        <v>0.66</v>
      </c>
      <c r="AG208" s="2915"/>
      <c r="AI208" s="76"/>
      <c r="AJ208" s="76"/>
      <c r="AK208" s="76"/>
      <c r="AL208" s="76"/>
      <c r="AM208" s="76"/>
      <c r="AN208" s="76"/>
      <c r="AO208" s="76"/>
      <c r="AP208" s="76"/>
      <c r="AQ208" s="76"/>
      <c r="AR208" s="76"/>
      <c r="AS208" s="76"/>
      <c r="DG208" s="181"/>
      <c r="DH208" s="181"/>
      <c r="DI208" s="149"/>
      <c r="DJ208" s="1183"/>
    </row>
    <row r="209" spans="1:114" s="1518" customFormat="1" hidden="1" outlineLevel="1">
      <c r="A209" s="52"/>
      <c r="B209" s="181"/>
      <c r="C209" s="1450"/>
      <c r="D209" s="1444">
        <v>365.25</v>
      </c>
      <c r="E209" s="2321" t="s">
        <v>1602</v>
      </c>
      <c r="F209" s="2895" t="s">
        <v>1102</v>
      </c>
      <c r="G209" s="2897">
        <v>365.25</v>
      </c>
      <c r="H209" s="4170" t="s">
        <v>1350</v>
      </c>
      <c r="I209" s="4170"/>
      <c r="J209" s="2358"/>
      <c r="K209" s="181"/>
      <c r="L209" s="181"/>
      <c r="M209" s="153"/>
      <c r="N209" s="153"/>
      <c r="O209" s="181"/>
      <c r="P209" s="181"/>
      <c r="Q209" s="181"/>
      <c r="R209" s="181"/>
      <c r="S209" s="181"/>
      <c r="T209" s="181"/>
      <c r="U209" s="181"/>
      <c r="V209" s="1444">
        <v>365.25</v>
      </c>
      <c r="W209" s="2853">
        <v>365</v>
      </c>
      <c r="X209" s="2853">
        <v>365</v>
      </c>
      <c r="Y209" s="2853">
        <v>365</v>
      </c>
      <c r="Z209" s="2244">
        <v>365</v>
      </c>
      <c r="AA209" s="2244">
        <v>365</v>
      </c>
      <c r="AB209" s="2916">
        <v>365.25</v>
      </c>
      <c r="AC209" s="2914">
        <v>365.25</v>
      </c>
      <c r="AD209" s="2914">
        <v>365.25</v>
      </c>
      <c r="AE209" s="2914">
        <v>365.25</v>
      </c>
      <c r="AF209" s="2236">
        <f t="shared" si="16"/>
        <v>365.25</v>
      </c>
      <c r="AG209" s="2915"/>
      <c r="AI209" s="76"/>
      <c r="AJ209" s="76"/>
      <c r="AK209" s="76"/>
      <c r="AL209" s="76"/>
      <c r="AM209" s="76"/>
      <c r="AN209" s="76"/>
      <c r="AO209" s="76"/>
      <c r="AP209" s="76"/>
      <c r="AQ209" s="76"/>
      <c r="AR209" s="76"/>
      <c r="AS209" s="76"/>
      <c r="DG209" s="181"/>
      <c r="DH209" s="181"/>
      <c r="DI209" s="149"/>
      <c r="DJ209" s="1183"/>
    </row>
    <row r="210" spans="1:114" s="1518" customFormat="1" ht="29.25" hidden="1" customHeight="1" outlineLevel="1">
      <c r="A210" s="52"/>
      <c r="B210" s="181"/>
      <c r="C210" s="1450"/>
      <c r="D210" s="4144" t="s">
        <v>1351</v>
      </c>
      <c r="E210" s="4163" t="s">
        <v>1603</v>
      </c>
      <c r="F210" s="2895" t="s">
        <v>1528</v>
      </c>
      <c r="G210" s="2899">
        <v>2.1419999999999999</v>
      </c>
      <c r="H210" s="4220" t="s">
        <v>1592</v>
      </c>
      <c r="I210" s="4220"/>
      <c r="J210" s="2358"/>
      <c r="K210" s="181"/>
      <c r="L210" s="181"/>
      <c r="M210" s="170"/>
      <c r="N210" s="170"/>
      <c r="O210" s="181"/>
      <c r="P210" s="181"/>
      <c r="Q210" s="181"/>
      <c r="R210" s="181"/>
      <c r="S210" s="181"/>
      <c r="T210" s="181"/>
      <c r="U210" s="181"/>
      <c r="V210" s="4144" t="s">
        <v>1351</v>
      </c>
      <c r="W210" s="2917">
        <v>2.0647058823529409</v>
      </c>
      <c r="X210" s="2447">
        <v>2.0048076923076925</v>
      </c>
      <c r="Y210" s="2447">
        <v>1.9570000000000001</v>
      </c>
      <c r="Z210" s="2890">
        <v>1.9570000000000001</v>
      </c>
      <c r="AA210" s="2890">
        <v>1.9570000000000001</v>
      </c>
      <c r="AB210" s="2918">
        <v>2.1419999999999999</v>
      </c>
      <c r="AC210" s="2919">
        <v>2.1419999999999999</v>
      </c>
      <c r="AD210" s="2919">
        <v>2.1419999999999999</v>
      </c>
      <c r="AE210" s="2919">
        <v>2.1419999999999999</v>
      </c>
      <c r="AF210" s="2236">
        <f t="shared" si="16"/>
        <v>2.1419999999999999</v>
      </c>
      <c r="AG210" s="2915"/>
      <c r="AI210" s="76"/>
      <c r="AJ210" s="76"/>
      <c r="AK210" s="76"/>
      <c r="AL210" s="76"/>
      <c r="AM210" s="76"/>
      <c r="AN210" s="76"/>
      <c r="AO210" s="76"/>
      <c r="AP210" s="76"/>
      <c r="AQ210" s="76"/>
      <c r="AR210" s="76"/>
      <c r="AS210" s="76"/>
      <c r="DG210" s="181"/>
      <c r="DH210" s="181"/>
      <c r="DI210" s="149"/>
      <c r="DJ210" s="1183"/>
    </row>
    <row r="211" spans="1:114" s="1518" customFormat="1" ht="32.25" hidden="1" customHeight="1" outlineLevel="1">
      <c r="A211" s="52"/>
      <c r="B211" s="181"/>
      <c r="C211" s="1450"/>
      <c r="D211" s="4152"/>
      <c r="E211" s="4180"/>
      <c r="F211" s="2900" t="s">
        <v>1511</v>
      </c>
      <c r="G211" s="2884">
        <v>1.3371757925072045</v>
      </c>
      <c r="H211" s="4170" t="s">
        <v>1599</v>
      </c>
      <c r="I211" s="4170"/>
      <c r="J211" s="2358"/>
      <c r="K211" s="181"/>
      <c r="L211" s="181"/>
      <c r="M211" s="170"/>
      <c r="N211" s="170"/>
      <c r="O211" s="181"/>
      <c r="P211" s="181"/>
      <c r="Q211" s="181"/>
      <c r="R211" s="181"/>
      <c r="S211" s="181"/>
      <c r="T211" s="181"/>
      <c r="U211" s="181"/>
      <c r="V211" s="4152"/>
      <c r="W211" s="2917"/>
      <c r="X211" s="2447"/>
      <c r="Y211" s="2447"/>
      <c r="Z211" s="2890"/>
      <c r="AA211" s="2890"/>
      <c r="AB211" s="2890">
        <v>1.3371757925072045</v>
      </c>
      <c r="AC211" s="2890">
        <v>1.3371757925072045</v>
      </c>
      <c r="AD211" s="2890">
        <v>1.3371757925072045</v>
      </c>
      <c r="AE211" s="2890">
        <v>1.3371757925072045</v>
      </c>
      <c r="AF211" s="2236">
        <f t="shared" si="16"/>
        <v>1.3371757925072045</v>
      </c>
      <c r="AG211" s="2915"/>
      <c r="AI211" s="76"/>
      <c r="AJ211" s="76"/>
      <c r="AK211" s="76"/>
      <c r="AL211" s="76"/>
      <c r="AM211" s="76"/>
      <c r="AN211" s="76"/>
      <c r="AO211" s="76"/>
      <c r="AP211" s="76"/>
      <c r="AQ211" s="76"/>
      <c r="AR211" s="76"/>
      <c r="AS211" s="76"/>
      <c r="DG211" s="181"/>
      <c r="DH211" s="181"/>
      <c r="DI211" s="149"/>
      <c r="DJ211" s="1183"/>
    </row>
    <row r="212" spans="1:114" s="1518" customFormat="1" ht="105" hidden="1" outlineLevel="1">
      <c r="A212" s="52"/>
      <c r="B212" s="181"/>
      <c r="C212" s="1450"/>
      <c r="D212" s="4145"/>
      <c r="E212" s="4164"/>
      <c r="F212" s="2521" t="s">
        <v>1531</v>
      </c>
      <c r="G212" s="2348">
        <v>2.0499999999999998</v>
      </c>
      <c r="H212" s="4218" t="s">
        <v>1604</v>
      </c>
      <c r="I212" s="4218"/>
      <c r="J212" s="1625" t="s">
        <v>1600</v>
      </c>
      <c r="K212" s="181"/>
      <c r="L212" s="181"/>
      <c r="M212" s="170"/>
      <c r="N212" s="170"/>
      <c r="O212" s="181"/>
      <c r="P212" s="181"/>
      <c r="Q212" s="181"/>
      <c r="R212" s="181"/>
      <c r="S212" s="181"/>
      <c r="T212" s="181"/>
      <c r="U212" s="181"/>
      <c r="V212" s="4145"/>
      <c r="W212" s="2917"/>
      <c r="X212" s="2447"/>
      <c r="Y212" s="2447"/>
      <c r="Z212" s="2890"/>
      <c r="AA212" s="2890"/>
      <c r="AB212" s="2409">
        <v>2.0499999999999998</v>
      </c>
      <c r="AC212" s="2244">
        <v>2.0499999999999998</v>
      </c>
      <c r="AD212" s="2244">
        <v>2.0499999999999998</v>
      </c>
      <c r="AE212" s="2244">
        <v>2.0499999999999998</v>
      </c>
      <c r="AF212" s="2236">
        <f t="shared" si="16"/>
        <v>2.0499999999999998</v>
      </c>
      <c r="AG212" s="2915"/>
      <c r="AI212" s="76"/>
      <c r="AJ212" s="76"/>
      <c r="AK212" s="76"/>
      <c r="AL212" s="76"/>
      <c r="AM212" s="76"/>
      <c r="AN212" s="76"/>
      <c r="AO212" s="76"/>
      <c r="AP212" s="76"/>
      <c r="AQ212" s="76"/>
      <c r="AR212" s="76"/>
      <c r="AS212" s="76"/>
      <c r="DG212" s="181"/>
      <c r="DH212" s="181"/>
      <c r="DI212" s="149"/>
      <c r="DJ212" s="1183"/>
    </row>
    <row r="213" spans="1:114" s="1518" customFormat="1" hidden="1" outlineLevel="1">
      <c r="A213" s="52"/>
      <c r="B213" s="181"/>
      <c r="C213" s="1450"/>
      <c r="D213" s="1444">
        <v>8.33</v>
      </c>
      <c r="E213" s="2842" t="s">
        <v>1355</v>
      </c>
      <c r="F213" s="2895" t="s">
        <v>1102</v>
      </c>
      <c r="G213" s="2897">
        <v>8.33</v>
      </c>
      <c r="H213" s="4214" t="s">
        <v>1356</v>
      </c>
      <c r="I213" s="4214"/>
      <c r="J213" s="2358"/>
      <c r="K213" s="181"/>
      <c r="L213" s="181"/>
      <c r="M213" s="153"/>
      <c r="N213" s="153"/>
      <c r="O213" s="181"/>
      <c r="P213" s="181"/>
      <c r="Q213" s="181"/>
      <c r="R213" s="181"/>
      <c r="S213" s="181"/>
      <c r="T213" s="181"/>
      <c r="U213" s="181"/>
      <c r="V213" s="1444">
        <v>8.33</v>
      </c>
      <c r="W213" s="2853">
        <v>8.33</v>
      </c>
      <c r="X213" s="2920">
        <v>8.33</v>
      </c>
      <c r="Y213" s="2920">
        <v>8.33</v>
      </c>
      <c r="Z213" s="2914">
        <v>8.33</v>
      </c>
      <c r="AA213" s="2914">
        <v>8.33</v>
      </c>
      <c r="AB213" s="2914">
        <v>8.33</v>
      </c>
      <c r="AC213" s="2914">
        <v>8.33</v>
      </c>
      <c r="AD213" s="2914">
        <v>8.33</v>
      </c>
      <c r="AE213" s="2914">
        <v>8.33</v>
      </c>
      <c r="AF213" s="2236">
        <f t="shared" si="16"/>
        <v>8.33</v>
      </c>
      <c r="AG213" s="2915"/>
      <c r="AI213" s="76"/>
      <c r="AJ213" s="76"/>
      <c r="AK213" s="76"/>
      <c r="AL213" s="76"/>
      <c r="AM213" s="76"/>
      <c r="AN213" s="76"/>
      <c r="AO213" s="76"/>
      <c r="AP213" s="76"/>
      <c r="AQ213" s="76"/>
      <c r="AR213" s="76"/>
      <c r="AS213" s="76"/>
      <c r="DG213" s="181"/>
      <c r="DH213" s="181"/>
      <c r="DI213" s="149"/>
      <c r="DJ213" s="1183"/>
    </row>
    <row r="214" spans="1:114" s="1518" customFormat="1" hidden="1" outlineLevel="1">
      <c r="A214" s="52"/>
      <c r="B214" s="181"/>
      <c r="C214" s="1450"/>
      <c r="D214" s="1444">
        <v>1</v>
      </c>
      <c r="E214" s="2321" t="s">
        <v>1552</v>
      </c>
      <c r="F214" s="2895" t="s">
        <v>1102</v>
      </c>
      <c r="G214" s="2897">
        <v>1</v>
      </c>
      <c r="H214" s="4170" t="s">
        <v>1358</v>
      </c>
      <c r="I214" s="4170"/>
      <c r="J214" s="2358"/>
      <c r="K214" s="181"/>
      <c r="L214" s="181"/>
      <c r="M214" s="153"/>
      <c r="N214" s="153"/>
      <c r="O214" s="181"/>
      <c r="P214" s="181"/>
      <c r="Q214" s="181"/>
      <c r="R214" s="181"/>
      <c r="S214" s="181"/>
      <c r="T214" s="181"/>
      <c r="U214" s="181"/>
      <c r="V214" s="1444">
        <v>1</v>
      </c>
      <c r="W214" s="2853">
        <v>1</v>
      </c>
      <c r="X214" s="2920">
        <v>1</v>
      </c>
      <c r="Y214" s="2920">
        <v>1</v>
      </c>
      <c r="Z214" s="2914">
        <v>1</v>
      </c>
      <c r="AA214" s="2914">
        <v>1</v>
      </c>
      <c r="AB214" s="2914">
        <v>1</v>
      </c>
      <c r="AC214" s="2914">
        <v>1</v>
      </c>
      <c r="AD214" s="2914">
        <v>1</v>
      </c>
      <c r="AE214" s="2914">
        <v>1</v>
      </c>
      <c r="AF214" s="2236">
        <f t="shared" si="16"/>
        <v>1</v>
      </c>
      <c r="AG214" s="2915"/>
      <c r="AI214" s="76"/>
      <c r="AJ214" s="76"/>
      <c r="AK214" s="76"/>
      <c r="AL214" s="76"/>
      <c r="AM214" s="76"/>
      <c r="AN214" s="76"/>
      <c r="AO214" s="76"/>
      <c r="AP214" s="76"/>
      <c r="AQ214" s="76"/>
      <c r="AR214" s="76"/>
      <c r="AS214" s="76"/>
      <c r="DG214" s="181"/>
      <c r="DH214" s="181"/>
      <c r="DI214" s="149"/>
      <c r="DJ214" s="1183"/>
    </row>
    <row r="215" spans="1:114" s="1518" customFormat="1" hidden="1" outlineLevel="1">
      <c r="A215" s="52"/>
      <c r="B215" s="181"/>
      <c r="C215" s="1450"/>
      <c r="D215" s="1444" t="s">
        <v>1359</v>
      </c>
      <c r="E215" s="2321" t="s">
        <v>1605</v>
      </c>
      <c r="F215" s="2895" t="s">
        <v>1102</v>
      </c>
      <c r="G215" s="2348">
        <v>105</v>
      </c>
      <c r="H215" s="4020" t="s">
        <v>1606</v>
      </c>
      <c r="I215" s="4020"/>
      <c r="J215" s="2358"/>
      <c r="K215" s="181"/>
      <c r="L215" s="181"/>
      <c r="M215" s="153"/>
      <c r="N215" s="153"/>
      <c r="O215" s="181"/>
      <c r="P215" s="181"/>
      <c r="Q215" s="181"/>
      <c r="R215" s="181"/>
      <c r="S215" s="181"/>
      <c r="T215" s="181"/>
      <c r="U215" s="181"/>
      <c r="V215" s="1444" t="s">
        <v>1359</v>
      </c>
      <c r="W215" s="2853">
        <v>105</v>
      </c>
      <c r="X215" s="2853">
        <v>105</v>
      </c>
      <c r="Y215" s="2853">
        <v>105</v>
      </c>
      <c r="Z215" s="2244">
        <v>105</v>
      </c>
      <c r="AA215" s="2244">
        <v>105</v>
      </c>
      <c r="AB215" s="2244">
        <v>105</v>
      </c>
      <c r="AC215" s="2244">
        <v>105</v>
      </c>
      <c r="AD215" s="2244">
        <v>105</v>
      </c>
      <c r="AE215" s="2244">
        <v>105</v>
      </c>
      <c r="AF215" s="2236">
        <f t="shared" si="16"/>
        <v>105</v>
      </c>
      <c r="AG215" s="2915"/>
      <c r="AI215" s="76"/>
      <c r="AJ215" s="76"/>
      <c r="AK215" s="76"/>
      <c r="AL215" s="76"/>
      <c r="AM215" s="76"/>
      <c r="AN215" s="76"/>
      <c r="AO215" s="76"/>
      <c r="AP215" s="76"/>
      <c r="AQ215" s="76"/>
      <c r="AR215" s="76"/>
      <c r="AS215" s="76"/>
      <c r="DG215" s="181"/>
      <c r="DH215" s="181"/>
      <c r="DI215" s="149"/>
      <c r="DJ215" s="1183"/>
    </row>
    <row r="216" spans="1:114" s="1518" customFormat="1" ht="40.5" hidden="1" customHeight="1" outlineLevel="1">
      <c r="A216" s="52"/>
      <c r="B216" s="181"/>
      <c r="C216" s="1450"/>
      <c r="D216" s="1444" t="s">
        <v>1362</v>
      </c>
      <c r="E216" s="2321" t="s">
        <v>1556</v>
      </c>
      <c r="F216" s="2895" t="s">
        <v>1102</v>
      </c>
      <c r="G216" s="2353">
        <v>58.4</v>
      </c>
      <c r="H216" s="4043" t="s">
        <v>996</v>
      </c>
      <c r="I216" s="4043"/>
      <c r="J216" s="2358"/>
      <c r="K216" s="181"/>
      <c r="L216" s="181"/>
      <c r="M216" s="153"/>
      <c r="N216" s="153"/>
      <c r="O216" s="181"/>
      <c r="P216" s="181"/>
      <c r="Q216" s="181"/>
      <c r="R216" s="181"/>
      <c r="S216" s="181"/>
      <c r="T216" s="181"/>
      <c r="U216" s="181"/>
      <c r="V216" s="1444" t="s">
        <v>1362</v>
      </c>
      <c r="W216" s="2853">
        <v>61.3</v>
      </c>
      <c r="X216" s="2853">
        <v>61.3</v>
      </c>
      <c r="Y216" s="2853">
        <v>61.3</v>
      </c>
      <c r="Z216" s="2244">
        <v>61.3</v>
      </c>
      <c r="AA216" s="2244">
        <v>61.3</v>
      </c>
      <c r="AB216" s="2244">
        <v>61.3</v>
      </c>
      <c r="AC216" s="2244">
        <v>61.3</v>
      </c>
      <c r="AD216" s="2244">
        <v>61.3</v>
      </c>
      <c r="AE216" s="2244">
        <v>61.3</v>
      </c>
      <c r="AF216" s="2236">
        <f t="shared" si="16"/>
        <v>58.4</v>
      </c>
      <c r="AG216" s="2915"/>
      <c r="AI216" s="76"/>
      <c r="AJ216" s="76"/>
      <c r="AK216" s="76"/>
      <c r="AL216" s="76"/>
      <c r="AM216" s="76"/>
      <c r="AN216" s="76"/>
      <c r="AO216" s="76"/>
      <c r="AP216" s="76"/>
      <c r="AQ216" s="76"/>
      <c r="AR216" s="76"/>
      <c r="AS216" s="76"/>
      <c r="DG216" s="181"/>
      <c r="DH216" s="181"/>
      <c r="DI216" s="149"/>
      <c r="DJ216" s="1183"/>
    </row>
    <row r="217" spans="1:114" s="1518" customFormat="1" ht="57" hidden="1" customHeight="1" outlineLevel="1">
      <c r="A217" s="52"/>
      <c r="B217" s="181"/>
      <c r="C217" s="1450"/>
      <c r="D217" s="1444" t="s">
        <v>1365</v>
      </c>
      <c r="E217" s="2321" t="s">
        <v>1557</v>
      </c>
      <c r="F217" s="2895" t="s">
        <v>1102</v>
      </c>
      <c r="G217" s="2348">
        <v>0.98</v>
      </c>
      <c r="H217" s="4204" t="s">
        <v>1607</v>
      </c>
      <c r="I217" s="4204"/>
      <c r="J217" s="2358"/>
      <c r="K217" s="181"/>
      <c r="L217" s="181"/>
      <c r="M217" s="153"/>
      <c r="N217" s="153"/>
      <c r="O217" s="181"/>
      <c r="P217" s="181"/>
      <c r="Q217" s="181"/>
      <c r="R217" s="181"/>
      <c r="S217" s="181"/>
      <c r="T217" s="181"/>
      <c r="U217" s="181"/>
      <c r="V217" s="1444" t="s">
        <v>1365</v>
      </c>
      <c r="W217" s="2853">
        <v>0.98</v>
      </c>
      <c r="X217" s="2853">
        <v>0.98</v>
      </c>
      <c r="Y217" s="2853">
        <v>0.98</v>
      </c>
      <c r="Z217" s="2244">
        <v>0.98</v>
      </c>
      <c r="AA217" s="2244">
        <v>0.98</v>
      </c>
      <c r="AB217" s="2244">
        <v>0.98</v>
      </c>
      <c r="AC217" s="2244">
        <v>0.98</v>
      </c>
      <c r="AD217" s="2244">
        <v>0.98</v>
      </c>
      <c r="AE217" s="2244">
        <v>0.98</v>
      </c>
      <c r="AF217" s="2236">
        <f t="shared" si="16"/>
        <v>0.98</v>
      </c>
      <c r="AG217" s="2915"/>
      <c r="AI217" s="76"/>
      <c r="AJ217" s="76"/>
      <c r="AK217" s="76"/>
      <c r="AL217" s="76"/>
      <c r="AM217" s="76"/>
      <c r="AN217" s="76"/>
      <c r="AO217" s="76"/>
      <c r="AP217" s="76"/>
      <c r="AQ217" s="76"/>
      <c r="AR217" s="76"/>
      <c r="AS217" s="76"/>
      <c r="DG217" s="181"/>
      <c r="DH217" s="181"/>
      <c r="DI217" s="149"/>
      <c r="DJ217" s="1183"/>
    </row>
    <row r="218" spans="1:114" s="1518" customFormat="1" hidden="1" outlineLevel="1">
      <c r="A218" s="52"/>
      <c r="B218" s="181"/>
      <c r="C218" s="1450"/>
      <c r="D218" s="1444">
        <v>3412</v>
      </c>
      <c r="E218" s="2842" t="s">
        <v>1559</v>
      </c>
      <c r="F218" s="2895" t="s">
        <v>1102</v>
      </c>
      <c r="G218" s="2901">
        <v>3412</v>
      </c>
      <c r="H218" s="4214" t="s">
        <v>1000</v>
      </c>
      <c r="I218" s="4214"/>
      <c r="J218" s="2358"/>
      <c r="K218" s="181"/>
      <c r="L218" s="181"/>
      <c r="M218" s="171"/>
      <c r="N218" s="171"/>
      <c r="O218" s="181"/>
      <c r="P218" s="181"/>
      <c r="Q218" s="181"/>
      <c r="R218" s="181"/>
      <c r="S218" s="181"/>
      <c r="T218" s="181"/>
      <c r="U218" s="181"/>
      <c r="V218" s="1444">
        <v>3412</v>
      </c>
      <c r="W218" s="2867">
        <v>3412</v>
      </c>
      <c r="X218" s="2867">
        <v>3412</v>
      </c>
      <c r="Y218" s="2921">
        <v>3413</v>
      </c>
      <c r="Z218" s="2922">
        <v>3413</v>
      </c>
      <c r="AA218" s="2922">
        <v>3413</v>
      </c>
      <c r="AB218" s="2921">
        <v>3412</v>
      </c>
      <c r="AC218" s="2922">
        <v>3412</v>
      </c>
      <c r="AD218" s="2922">
        <v>3412</v>
      </c>
      <c r="AE218" s="2922">
        <v>3412</v>
      </c>
      <c r="AF218" s="2236">
        <f t="shared" si="16"/>
        <v>3412</v>
      </c>
      <c r="AG218" s="2915"/>
      <c r="AI218" s="76"/>
      <c r="AJ218" s="76"/>
      <c r="AK218" s="76"/>
      <c r="AL218" s="76"/>
      <c r="AM218" s="76"/>
      <c r="AN218" s="76"/>
      <c r="AO218" s="76"/>
      <c r="AP218" s="76"/>
      <c r="AQ218" s="76"/>
      <c r="AR218" s="76"/>
      <c r="AS218" s="76"/>
      <c r="DG218" s="181"/>
      <c r="DH218" s="181"/>
      <c r="DI218" s="149"/>
      <c r="DJ218" s="1183"/>
    </row>
    <row r="219" spans="1:114" s="1518" customFormat="1" ht="30.75" hidden="1" customHeight="1" outlineLevel="1">
      <c r="A219" s="52"/>
      <c r="B219" s="181"/>
      <c r="C219" s="1450"/>
      <c r="D219" s="4144" t="s">
        <v>1368</v>
      </c>
      <c r="E219" s="4163" t="s">
        <v>1369</v>
      </c>
      <c r="F219" s="2895" t="s">
        <v>1528</v>
      </c>
      <c r="G219" s="2902">
        <v>0.72</v>
      </c>
      <c r="H219" s="4020" t="s">
        <v>1608</v>
      </c>
      <c r="I219" s="4020"/>
      <c r="J219" s="2358"/>
      <c r="K219" s="181"/>
      <c r="L219" s="181"/>
      <c r="M219" s="167"/>
      <c r="N219" s="167"/>
      <c r="O219" s="181"/>
      <c r="P219" s="181"/>
      <c r="Q219" s="181"/>
      <c r="R219" s="181"/>
      <c r="S219" s="181"/>
      <c r="T219" s="181"/>
      <c r="U219" s="181"/>
      <c r="V219" s="4144" t="s">
        <v>1368</v>
      </c>
      <c r="W219" s="2923">
        <v>0.86</v>
      </c>
      <c r="X219" s="2924">
        <v>0.89859999999999995</v>
      </c>
      <c r="Y219" s="2924">
        <v>0.91869999999999996</v>
      </c>
      <c r="Z219" s="2925">
        <v>0.91869999999999996</v>
      </c>
      <c r="AA219" s="2925">
        <v>0.91869999999999996</v>
      </c>
      <c r="AB219" s="2561">
        <v>0.72</v>
      </c>
      <c r="AC219" s="2560">
        <v>0.72</v>
      </c>
      <c r="AD219" s="2560">
        <v>0.72</v>
      </c>
      <c r="AE219" s="2560">
        <v>0.72</v>
      </c>
      <c r="AF219" s="2236">
        <f t="shared" si="16"/>
        <v>0.72</v>
      </c>
      <c r="AG219" s="2915"/>
      <c r="AI219" s="76"/>
      <c r="AJ219" s="76"/>
      <c r="AK219" s="76"/>
      <c r="AL219" s="76"/>
      <c r="AM219" s="76"/>
      <c r="AN219" s="76"/>
      <c r="AO219" s="76"/>
      <c r="AP219" s="76"/>
      <c r="AQ219" s="76"/>
      <c r="AR219" s="76"/>
      <c r="AS219" s="76"/>
      <c r="DG219" s="181"/>
      <c r="DH219" s="181"/>
      <c r="DI219" s="149"/>
      <c r="DJ219" s="1183"/>
    </row>
    <row r="220" spans="1:114" s="1518" customFormat="1" hidden="1" outlineLevel="1">
      <c r="A220" s="52"/>
      <c r="B220" s="181"/>
      <c r="C220" s="1450"/>
      <c r="D220" s="4145"/>
      <c r="E220" s="4164"/>
      <c r="F220" s="2903" t="s">
        <v>1560</v>
      </c>
      <c r="G220" s="2354">
        <v>1</v>
      </c>
      <c r="H220" s="4214" t="s">
        <v>1609</v>
      </c>
      <c r="I220" s="4214"/>
      <c r="J220" s="2358"/>
      <c r="K220" s="181"/>
      <c r="L220" s="181"/>
      <c r="M220" s="167"/>
      <c r="N220" s="167"/>
      <c r="O220" s="181"/>
      <c r="P220" s="181"/>
      <c r="Q220" s="181"/>
      <c r="R220" s="181"/>
      <c r="S220" s="181"/>
      <c r="T220" s="181"/>
      <c r="U220" s="181"/>
      <c r="V220" s="4145"/>
      <c r="W220" s="2923"/>
      <c r="X220" s="2924"/>
      <c r="Y220" s="2924"/>
      <c r="Z220" s="2925"/>
      <c r="AA220" s="2925"/>
      <c r="AB220" s="2382">
        <v>1</v>
      </c>
      <c r="AC220" s="2469">
        <v>1</v>
      </c>
      <c r="AD220" s="2469">
        <v>1</v>
      </c>
      <c r="AE220" s="2469">
        <v>1</v>
      </c>
      <c r="AF220" s="2236">
        <f t="shared" si="16"/>
        <v>1</v>
      </c>
      <c r="AG220" s="2915"/>
      <c r="AI220" s="76"/>
      <c r="AJ220" s="76"/>
      <c r="AK220" s="76"/>
      <c r="AL220" s="76"/>
      <c r="AM220" s="76"/>
      <c r="AN220" s="76"/>
      <c r="AO220" s="76"/>
      <c r="AP220" s="76"/>
      <c r="AQ220" s="76"/>
      <c r="AR220" s="76"/>
      <c r="AS220" s="76"/>
      <c r="DG220" s="181"/>
      <c r="DH220" s="181"/>
      <c r="DI220" s="149"/>
      <c r="DJ220" s="1183"/>
    </row>
    <row r="221" spans="1:114" s="1518" customFormat="1" ht="46.5" hidden="1" customHeight="1" outlineLevel="1">
      <c r="A221" s="52"/>
      <c r="B221" s="181"/>
      <c r="C221" s="1450"/>
      <c r="D221" s="4144" t="s">
        <v>128</v>
      </c>
      <c r="E221" s="4144" t="s">
        <v>1036</v>
      </c>
      <c r="F221" s="2895" t="s">
        <v>1528</v>
      </c>
      <c r="G221" s="2355">
        <v>0.54</v>
      </c>
      <c r="H221" s="4170" t="s">
        <v>1610</v>
      </c>
      <c r="I221" s="4170"/>
      <c r="J221" s="2358"/>
      <c r="K221" s="181"/>
      <c r="L221" s="181"/>
      <c r="M221" s="167"/>
      <c r="N221" s="167"/>
      <c r="O221" s="181"/>
      <c r="P221" s="181"/>
      <c r="Q221" s="181"/>
      <c r="R221" s="181"/>
      <c r="S221" s="181"/>
      <c r="T221" s="181"/>
      <c r="U221" s="181"/>
      <c r="V221" s="4144" t="s">
        <v>128</v>
      </c>
      <c r="W221" s="2923">
        <v>0.64716066481994461</v>
      </c>
      <c r="X221" s="2924">
        <v>0.5672268907563025</v>
      </c>
      <c r="Y221" s="2924">
        <v>0.58549222797927458</v>
      </c>
      <c r="Z221" s="2925">
        <v>0.58549222797927458</v>
      </c>
      <c r="AA221" s="2925">
        <v>0.58549222797927458</v>
      </c>
      <c r="AB221" s="2561">
        <v>0.54</v>
      </c>
      <c r="AC221" s="2560">
        <v>0.54</v>
      </c>
      <c r="AD221" s="2560">
        <v>0.54</v>
      </c>
      <c r="AE221" s="2560">
        <v>0.54</v>
      </c>
      <c r="AF221" s="2236">
        <f t="shared" si="16"/>
        <v>0.54</v>
      </c>
      <c r="AG221" s="2460"/>
      <c r="AI221" s="76"/>
      <c r="AJ221" s="76"/>
      <c r="AK221" s="76"/>
      <c r="AL221" s="76"/>
      <c r="AM221" s="76"/>
      <c r="AN221" s="76"/>
      <c r="AO221" s="76"/>
      <c r="AP221" s="76"/>
      <c r="AQ221" s="76"/>
      <c r="AR221" s="76"/>
      <c r="AS221" s="76"/>
      <c r="DG221" s="181"/>
      <c r="DH221" s="181"/>
      <c r="DI221" s="149"/>
      <c r="DJ221" s="1183"/>
    </row>
    <row r="222" spans="1:114" s="1518" customFormat="1" ht="31.5" hidden="1" customHeight="1" outlineLevel="1">
      <c r="A222" s="52"/>
      <c r="B222" s="181"/>
      <c r="C222" s="1450"/>
      <c r="D222" s="4152"/>
      <c r="E222" s="4152"/>
      <c r="F222" s="2904" t="s">
        <v>1511</v>
      </c>
      <c r="G222" s="2355">
        <v>1</v>
      </c>
      <c r="H222" s="4214" t="s">
        <v>1599</v>
      </c>
      <c r="I222" s="4214"/>
      <c r="J222" s="2358"/>
      <c r="K222" s="181"/>
      <c r="L222" s="181"/>
      <c r="M222" s="167"/>
      <c r="N222" s="167"/>
      <c r="O222" s="181"/>
      <c r="P222" s="181"/>
      <c r="Q222" s="181"/>
      <c r="R222" s="181"/>
      <c r="S222" s="181"/>
      <c r="T222" s="181"/>
      <c r="U222" s="181"/>
      <c r="V222" s="4152"/>
      <c r="W222" s="2923"/>
      <c r="X222" s="2924"/>
      <c r="Y222" s="2924"/>
      <c r="Z222" s="2925"/>
      <c r="AA222" s="2925"/>
      <c r="AB222" s="2646">
        <v>1</v>
      </c>
      <c r="AC222" s="2646">
        <v>1</v>
      </c>
      <c r="AD222" s="2646">
        <v>1</v>
      </c>
      <c r="AE222" s="2646">
        <v>1</v>
      </c>
      <c r="AF222" s="2236">
        <f t="shared" si="16"/>
        <v>1</v>
      </c>
      <c r="AG222" s="2460"/>
      <c r="AI222" s="76"/>
      <c r="AJ222" s="76"/>
      <c r="AK222" s="76"/>
      <c r="AL222" s="76"/>
      <c r="AM222" s="76"/>
      <c r="AN222" s="76"/>
      <c r="AO222" s="76"/>
      <c r="AP222" s="76"/>
      <c r="AQ222" s="76"/>
      <c r="AR222" s="76"/>
      <c r="AS222" s="76"/>
      <c r="DG222" s="181"/>
      <c r="DH222" s="181"/>
      <c r="DI222" s="149"/>
      <c r="DJ222" s="1183"/>
    </row>
    <row r="223" spans="1:114" s="1518" customFormat="1" hidden="1" outlineLevel="1">
      <c r="A223" s="52"/>
      <c r="B223" s="181"/>
      <c r="C223" s="1450"/>
      <c r="D223" s="4145"/>
      <c r="E223" s="4145"/>
      <c r="F223" s="2521" t="s">
        <v>1531</v>
      </c>
      <c r="G223" s="2905">
        <f>'Income Eligible Deemed Table'!G824</f>
        <v>0.91346153846153844</v>
      </c>
      <c r="H223" s="4239" t="s">
        <v>1606</v>
      </c>
      <c r="I223" s="4239"/>
      <c r="J223" s="2358"/>
      <c r="K223" s="181"/>
      <c r="L223" s="181"/>
      <c r="M223" s="167"/>
      <c r="N223" s="167"/>
      <c r="O223" s="181"/>
      <c r="P223" s="181"/>
      <c r="Q223" s="181"/>
      <c r="R223" s="181"/>
      <c r="S223" s="181"/>
      <c r="T223" s="181"/>
      <c r="U223" s="181"/>
      <c r="V223" s="4145"/>
      <c r="W223" s="2923"/>
      <c r="X223" s="2924"/>
      <c r="Y223" s="2924"/>
      <c r="Z223" s="2925"/>
      <c r="AA223" s="2925"/>
      <c r="AB223" s="2388">
        <v>0.94</v>
      </c>
      <c r="AC223" s="2388">
        <v>0.91346153846153844</v>
      </c>
      <c r="AD223" s="2913">
        <v>0.91346153846153844</v>
      </c>
      <c r="AE223" s="2913">
        <v>0.91346153846153844</v>
      </c>
      <c r="AF223" s="2236">
        <f t="shared" si="16"/>
        <v>0.91346153846153844</v>
      </c>
      <c r="AG223" s="2460"/>
      <c r="AI223" s="76"/>
      <c r="AJ223" s="76"/>
      <c r="AK223" s="76"/>
      <c r="AL223" s="76"/>
      <c r="AM223" s="76"/>
      <c r="AN223" s="76"/>
      <c r="AO223" s="76"/>
      <c r="AP223" s="76"/>
      <c r="AQ223" s="76"/>
      <c r="AR223" s="76"/>
      <c r="AS223" s="76"/>
      <c r="DG223" s="181"/>
      <c r="DH223" s="181"/>
      <c r="DI223" s="149"/>
      <c r="DJ223" s="1183"/>
    </row>
    <row r="224" spans="1:114" ht="45" hidden="1" customHeight="1" outlineLevel="1">
      <c r="B224" s="579"/>
      <c r="C224" s="133"/>
      <c r="D224" s="2432" t="s">
        <v>1437</v>
      </c>
      <c r="E224" s="2790" t="s">
        <v>1198</v>
      </c>
      <c r="F224" s="2906" t="s">
        <v>1102</v>
      </c>
      <c r="G224" s="2488">
        <v>10</v>
      </c>
      <c r="H224" s="4231" t="s">
        <v>1374</v>
      </c>
      <c r="I224" s="4231"/>
      <c r="J224" s="2358"/>
      <c r="K224" s="181"/>
      <c r="L224" s="283"/>
      <c r="M224" s="606"/>
      <c r="N224" s="283"/>
      <c r="O224" s="283"/>
      <c r="P224" s="283"/>
      <c r="Q224" s="283"/>
      <c r="V224" s="2419" t="s">
        <v>1437</v>
      </c>
      <c r="W224" s="2582">
        <v>10</v>
      </c>
      <c r="X224" s="2582">
        <v>10</v>
      </c>
      <c r="Y224" s="2582">
        <v>10</v>
      </c>
      <c r="Z224" s="2582">
        <v>10</v>
      </c>
      <c r="AA224" s="2582">
        <v>10</v>
      </c>
      <c r="AB224" s="2498">
        <v>10</v>
      </c>
      <c r="AC224" s="2498">
        <v>10</v>
      </c>
      <c r="AD224" s="2498">
        <v>10</v>
      </c>
      <c r="AE224" s="2498">
        <v>10</v>
      </c>
      <c r="AF224" s="2236">
        <f t="shared" si="16"/>
        <v>10</v>
      </c>
      <c r="AG224" s="2582"/>
    </row>
    <row r="225" spans="2:114" ht="30.75" hidden="1" customHeight="1" outlineLevel="1">
      <c r="B225" s="579"/>
      <c r="C225" s="133"/>
      <c r="D225" s="2802" t="s">
        <v>50</v>
      </c>
      <c r="E225" s="2790" t="s">
        <v>1135</v>
      </c>
      <c r="F225" s="2907" t="s">
        <v>1102</v>
      </c>
      <c r="G225" s="2908">
        <v>7</v>
      </c>
      <c r="H225" s="4258" t="s">
        <v>1611</v>
      </c>
      <c r="I225" s="4258"/>
      <c r="J225" s="2358"/>
      <c r="K225" s="181"/>
      <c r="L225" s="283"/>
      <c r="M225" s="606"/>
      <c r="N225" s="283"/>
      <c r="O225" s="283"/>
      <c r="P225" s="283"/>
      <c r="Q225" s="283"/>
      <c r="V225" s="2875" t="s">
        <v>50</v>
      </c>
      <c r="W225" s="2583">
        <v>7</v>
      </c>
      <c r="X225" s="2583">
        <v>7</v>
      </c>
      <c r="Y225" s="2583">
        <v>7</v>
      </c>
      <c r="Z225" s="2583">
        <v>7</v>
      </c>
      <c r="AA225" s="2583">
        <v>7</v>
      </c>
      <c r="AB225" s="2482">
        <v>7</v>
      </c>
      <c r="AC225" s="2482">
        <v>7</v>
      </c>
      <c r="AD225" s="2482">
        <v>7</v>
      </c>
      <c r="AE225" s="2482">
        <v>7</v>
      </c>
      <c r="AF225" s="2236">
        <f t="shared" si="16"/>
        <v>7</v>
      </c>
      <c r="AG225" s="2926"/>
    </row>
    <row r="226" spans="2:114" ht="30.75" customHeight="1" collapsed="1">
      <c r="C226" s="104"/>
    </row>
    <row r="227" spans="2:114" s="52" customFormat="1">
      <c r="B227" s="4025" t="s">
        <v>1612</v>
      </c>
      <c r="C227" s="4026"/>
      <c r="D227" s="4026"/>
      <c r="E227" s="4026"/>
      <c r="F227" s="4026"/>
      <c r="G227" s="4026"/>
      <c r="H227" s="4026"/>
      <c r="I227" s="4817"/>
      <c r="J227" s="4817"/>
      <c r="K227" s="4817"/>
      <c r="L227" s="4817"/>
      <c r="M227" s="4817"/>
      <c r="N227" s="4818"/>
      <c r="V227" s="4040" t="str">
        <f>B227</f>
        <v>Pipe Insulation</v>
      </c>
      <c r="W227" s="4041"/>
      <c r="X227" s="4041"/>
      <c r="Y227" s="4041"/>
      <c r="Z227" s="4041"/>
      <c r="AA227" s="4041"/>
      <c r="AB227" s="4041"/>
      <c r="AC227" s="4832"/>
      <c r="AD227" s="4832"/>
      <c r="AE227" s="4832"/>
      <c r="AF227" s="4832"/>
      <c r="AG227" s="4832"/>
      <c r="AH227" s="4833"/>
      <c r="AI227" s="76"/>
      <c r="AJ227" s="76"/>
      <c r="AK227" s="76"/>
      <c r="AL227" s="76"/>
      <c r="AM227" s="76"/>
      <c r="AN227" s="76"/>
      <c r="AO227" s="76"/>
      <c r="AP227" s="76"/>
      <c r="AQ227" s="76"/>
      <c r="AR227" s="76"/>
      <c r="AS227" s="76"/>
      <c r="DI227" s="149"/>
      <c r="DJ227" s="1183"/>
    </row>
    <row r="228" spans="2:114" ht="18" customHeight="1">
      <c r="B228" s="635"/>
      <c r="C228" s="2206"/>
      <c r="D228" s="2206"/>
      <c r="E228" s="635"/>
      <c r="F228" s="635"/>
      <c r="G228" s="635"/>
      <c r="H228" s="635"/>
      <c r="I228" s="635"/>
      <c r="J228" s="635"/>
      <c r="K228" s="635"/>
      <c r="L228" s="635"/>
      <c r="M228" s="2831"/>
      <c r="N228" s="635"/>
      <c r="V228" s="635"/>
      <c r="W228" s="2238"/>
      <c r="X228" s="2238"/>
      <c r="Y228" s="2238"/>
      <c r="Z228" s="2238"/>
      <c r="AA228" s="2238"/>
      <c r="AB228" s="2238"/>
      <c r="AC228" s="2237"/>
      <c r="AD228" s="2237"/>
      <c r="AE228" s="2237"/>
      <c r="AF228" s="2237"/>
      <c r="AG228" s="2237"/>
      <c r="AH228" s="2237"/>
    </row>
    <row r="229" spans="2:114" ht="30">
      <c r="B229" s="635"/>
      <c r="C229" s="2207" t="s">
        <v>42</v>
      </c>
      <c r="D229" s="2207" t="s">
        <v>953</v>
      </c>
      <c r="E229" s="2207" t="s">
        <v>44</v>
      </c>
      <c r="F229" s="2207" t="s">
        <v>45</v>
      </c>
      <c r="G229" s="2207" t="s">
        <v>46</v>
      </c>
      <c r="H229" s="2207" t="s">
        <v>47</v>
      </c>
      <c r="I229" s="2207" t="s">
        <v>48</v>
      </c>
      <c r="J229" s="2207" t="s">
        <v>49</v>
      </c>
      <c r="K229" s="2207" t="s">
        <v>50</v>
      </c>
      <c r="L229" s="2207" t="s">
        <v>51</v>
      </c>
      <c r="M229" s="2831"/>
      <c r="N229" s="635"/>
      <c r="V229" s="2704" t="s">
        <v>52</v>
      </c>
      <c r="W229" s="2642">
        <f>$W$6</f>
        <v>43252</v>
      </c>
      <c r="X229" s="2642">
        <f>$X$6</f>
        <v>43465</v>
      </c>
      <c r="Y229" s="2642">
        <f>$Y$6</f>
        <v>43800</v>
      </c>
      <c r="Z229" s="2642">
        <f>$Z$6</f>
        <v>43862</v>
      </c>
      <c r="AA229" s="2642">
        <f>$AA$6</f>
        <v>44013</v>
      </c>
      <c r="AB229" s="2642">
        <f>$AB$6</f>
        <v>44166</v>
      </c>
      <c r="AC229" s="2641">
        <f>$AC$6</f>
        <v>44531</v>
      </c>
      <c r="AD229" s="2641">
        <f>$AD$6</f>
        <v>44774</v>
      </c>
      <c r="AE229" s="2641">
        <f>$AE$6</f>
        <v>45139</v>
      </c>
      <c r="AF229" s="2641">
        <f>$AF$6</f>
        <v>45672</v>
      </c>
      <c r="AG229" s="2641" t="str">
        <f>$AG$6</f>
        <v>-</v>
      </c>
      <c r="AH229" s="2929"/>
      <c r="AI229" s="152"/>
      <c r="AJ229" s="152"/>
      <c r="AK229" s="152"/>
      <c r="AL229" s="152"/>
      <c r="AM229" s="152"/>
      <c r="AN229" s="152"/>
      <c r="AO229" s="152"/>
      <c r="AP229" s="152"/>
      <c r="AQ229" s="152"/>
      <c r="AR229" s="152"/>
      <c r="AS229" s="152"/>
      <c r="DG229" s="2750" t="str">
        <f>$DG$6</f>
        <v>TRC (2025)</v>
      </c>
      <c r="DH229" s="2750" t="str">
        <f>$DH$6</f>
        <v>Benefit Lookup</v>
      </c>
      <c r="DI229" s="2876" t="str">
        <f>$DI$6</f>
        <v>Benefits (2025 $)</v>
      </c>
      <c r="DJ229" s="2752" t="str">
        <f>$DJ$6</f>
        <v>Incremental Cost (2025 $)</v>
      </c>
    </row>
    <row r="230" spans="2:114">
      <c r="B230" s="2208">
        <f t="shared" ref="B230:B232" si="17">VALUE(LEFT(C230,6))</f>
        <v>300750</v>
      </c>
      <c r="C230" s="2777" t="s">
        <v>1613</v>
      </c>
      <c r="D230" s="2409" t="s">
        <v>1139</v>
      </c>
      <c r="E230" s="2321" t="s">
        <v>1612</v>
      </c>
      <c r="F230" s="2569">
        <f>ROUND(((((G239/G241)-(G242/G244))*G246*G247*G249)/(G250*G251))*G252*G255*G257,2)</f>
        <v>3.24</v>
      </c>
      <c r="G230" s="2244" t="s">
        <v>961</v>
      </c>
      <c r="H230" s="2548">
        <f>VLOOKUP(G230,'CP FACTORS'!$A$3:$B$38, 2, FALSE)</f>
        <v>8.8731800000000003E-5</v>
      </c>
      <c r="I230" s="2928">
        <f>ROUND(F230*H230,6)</f>
        <v>2.8699999999999998E-4</v>
      </c>
      <c r="J230" s="2449">
        <f>$G$263</f>
        <v>12</v>
      </c>
      <c r="K230" s="2592">
        <f>$G$264</f>
        <v>2.87</v>
      </c>
      <c r="L230" s="2914" t="s">
        <v>1614</v>
      </c>
      <c r="M230" s="635"/>
      <c r="N230" s="635"/>
      <c r="Q230" s="164"/>
      <c r="R230" s="532"/>
      <c r="S230" s="159"/>
      <c r="T230" s="547"/>
      <c r="V230" s="2425" t="str">
        <f>F229</f>
        <v>kWh Annual Savings</v>
      </c>
      <c r="W230" s="2930">
        <v>10.441734565420308</v>
      </c>
      <c r="X230" s="2931">
        <v>3.3686994747178916</v>
      </c>
      <c r="Y230" s="2572">
        <v>4.09</v>
      </c>
      <c r="Z230" s="2573">
        <v>4.09</v>
      </c>
      <c r="AA230" s="2573">
        <v>4.09</v>
      </c>
      <c r="AB230" s="2554">
        <v>3.24</v>
      </c>
      <c r="AC230" s="2555">
        <v>3.24</v>
      </c>
      <c r="AD230" s="2555">
        <v>3.24</v>
      </c>
      <c r="AE230" s="2555">
        <v>3.24</v>
      </c>
      <c r="AF230" s="2236">
        <f>IF(F230&lt;&gt;"",F230,"")</f>
        <v>3.24</v>
      </c>
      <c r="AG230" s="2555"/>
      <c r="AH230" s="2728"/>
      <c r="DG230" s="2877">
        <f>(DI230)/(DJ230)</f>
        <v>0.63383576430481758</v>
      </c>
      <c r="DH230" s="2419" t="str">
        <f>CONCATENATE(G230," ",J230," Year EUL")</f>
        <v>Water Heating RES 12 Year EUL</v>
      </c>
      <c r="DI230" s="2878">
        <f>(INDEX('Avoided Cost Benefits'!$B$4:$B$865,MATCH(DH230,'Avoided Cost Benefits'!$A$4:$A$865,0)))*F230</f>
        <v>1.8191086435548265</v>
      </c>
      <c r="DJ230" s="2879">
        <f>K230/(1.0686^(2025-2025))</f>
        <v>2.87</v>
      </c>
    </row>
    <row r="231" spans="2:114">
      <c r="B231" s="2208">
        <f t="shared" si="17"/>
        <v>300800</v>
      </c>
      <c r="C231" s="2777" t="s">
        <v>1615</v>
      </c>
      <c r="D231" s="2254" t="s">
        <v>1122</v>
      </c>
      <c r="E231" s="2321" t="s">
        <v>1612</v>
      </c>
      <c r="F231" s="2569">
        <f>ROUND(((((G239/G241)-(G242/G244))*G246*G247*G249)/(G250*G251))*G253*G256*G258,2)</f>
        <v>15.01</v>
      </c>
      <c r="G231" s="2244" t="s">
        <v>961</v>
      </c>
      <c r="H231" s="2548">
        <f>VLOOKUP(G231,'CP FACTORS'!$A$3:$B$38, 2, FALSE)</f>
        <v>8.8731800000000003E-5</v>
      </c>
      <c r="I231" s="2928">
        <f>ROUND(F231*H231,6)</f>
        <v>1.3320000000000001E-3</v>
      </c>
      <c r="J231" s="2449">
        <f>$G$263</f>
        <v>12</v>
      </c>
      <c r="K231" s="2592">
        <f>$G$264</f>
        <v>2.87</v>
      </c>
      <c r="L231" s="2914" t="s">
        <v>1614</v>
      </c>
      <c r="M231" s="635"/>
      <c r="N231" s="635"/>
      <c r="R231" s="532"/>
      <c r="S231" s="159"/>
      <c r="V231" s="2425" t="str">
        <f>V230</f>
        <v>kWh Annual Savings</v>
      </c>
      <c r="W231" s="2930">
        <v>16.471996316343358</v>
      </c>
      <c r="X231" s="2932">
        <v>16.471996316343358</v>
      </c>
      <c r="Y231" s="2572">
        <v>15.01</v>
      </c>
      <c r="Z231" s="2573">
        <v>15.01</v>
      </c>
      <c r="AA231" s="2573">
        <v>15.01</v>
      </c>
      <c r="AB231" s="2555">
        <v>15.01</v>
      </c>
      <c r="AC231" s="2555">
        <v>15.01</v>
      </c>
      <c r="AD231" s="2555">
        <v>15.01</v>
      </c>
      <c r="AE231" s="2555">
        <v>15.01</v>
      </c>
      <c r="AF231" s="2236">
        <f>IF(F231&lt;&gt;"",F231,"")</f>
        <v>15.01</v>
      </c>
      <c r="AG231" s="2555"/>
      <c r="AH231" s="2728"/>
      <c r="DG231" s="2877">
        <f>(DI231)/(DJ231)</f>
        <v>2.9363811179676884</v>
      </c>
      <c r="DH231" s="2419" t="str">
        <f>CONCATENATE(G231," ",J231," Year EUL")</f>
        <v>Water Heating RES 12 Year EUL</v>
      </c>
      <c r="DI231" s="2878">
        <f>(INDEX('Avoided Cost Benefits'!$B$4:$B$865,MATCH(DH231,'Avoided Cost Benefits'!$A$4:$A$865,0)))*F231</f>
        <v>8.4274138085672661</v>
      </c>
      <c r="DJ231" s="2879">
        <f>K231/(1.0686^(2025-2025))</f>
        <v>2.87</v>
      </c>
    </row>
    <row r="232" spans="2:114">
      <c r="B232" s="2208">
        <f t="shared" si="17"/>
        <v>300801</v>
      </c>
      <c r="C232" s="2777" t="s">
        <v>1616</v>
      </c>
      <c r="D232" s="2409" t="s">
        <v>1139</v>
      </c>
      <c r="E232" s="2321" t="s">
        <v>1617</v>
      </c>
      <c r="F232" s="2569">
        <f>ROUND(((((G240/G241)-(G243/G245))*G246*G248*G249)/(G250*G251))*G254*G256*G259,2)</f>
        <v>3.4</v>
      </c>
      <c r="G232" s="2244" t="s">
        <v>961</v>
      </c>
      <c r="H232" s="2548">
        <f>VLOOKUP(G232,'CP FACTORS'!$A$3:$B$38, 2, FALSE)</f>
        <v>8.8731800000000003E-5</v>
      </c>
      <c r="I232" s="2928">
        <f>ROUND(F232*H232,6)</f>
        <v>3.0200000000000002E-4</v>
      </c>
      <c r="J232" s="2449">
        <f>$G$263</f>
        <v>12</v>
      </c>
      <c r="K232" s="2592">
        <f>$G$264</f>
        <v>2.87</v>
      </c>
      <c r="L232" s="2914" t="s">
        <v>1614</v>
      </c>
      <c r="M232" s="635"/>
      <c r="N232" s="635"/>
      <c r="R232" s="532"/>
      <c r="S232" s="159"/>
      <c r="V232" s="2425" t="e">
        <f>#REF!</f>
        <v>#REF!</v>
      </c>
      <c r="W232" s="2930"/>
      <c r="X232" s="2932"/>
      <c r="Y232" s="2572"/>
      <c r="Z232" s="2555"/>
      <c r="AA232" s="2555"/>
      <c r="AB232" s="2554">
        <v>3.4</v>
      </c>
      <c r="AC232" s="2555">
        <v>3.4</v>
      </c>
      <c r="AD232" s="2555">
        <v>3.4</v>
      </c>
      <c r="AE232" s="2555">
        <v>3.4</v>
      </c>
      <c r="AF232" s="2236">
        <f>IF(F232&lt;&gt;"",F232,"")</f>
        <v>3.4</v>
      </c>
      <c r="AG232" s="2555"/>
      <c r="AH232" s="2728"/>
      <c r="DG232" s="2877">
        <f>(DI232)/(DJ232)</f>
        <v>0.66513629587542578</v>
      </c>
      <c r="DH232" s="2419" t="str">
        <f>CONCATENATE(G232," ",J232," Year EUL")</f>
        <v>Water Heating RES 12 Year EUL</v>
      </c>
      <c r="DI232" s="2878">
        <f>(INDEX('Avoided Cost Benefits'!$B$4:$B$865,MATCH(DH232,'Avoided Cost Benefits'!$A$4:$A$865,0)))*F232</f>
        <v>1.908941169162472</v>
      </c>
      <c r="DJ232" s="2879">
        <f>K232/(1.0686^(2025-2025))</f>
        <v>2.87</v>
      </c>
    </row>
    <row r="233" spans="2:114" hidden="1" outlineLevel="1">
      <c r="C233" s="104"/>
      <c r="D233" s="2624" t="s">
        <v>118</v>
      </c>
      <c r="E233" s="2220" t="s">
        <v>1618</v>
      </c>
      <c r="AE233"/>
      <c r="AF233"/>
    </row>
    <row r="234" spans="2:114" hidden="1" outlineLevel="1">
      <c r="C234" s="104"/>
      <c r="D234" s="2624" t="s">
        <v>963</v>
      </c>
      <c r="E234" s="635" t="s">
        <v>1619</v>
      </c>
      <c r="O234" s="551"/>
      <c r="P234" s="551"/>
      <c r="Q234" s="551"/>
      <c r="AD234"/>
      <c r="AF234"/>
    </row>
    <row r="235" spans="2:114" hidden="1" outlineLevel="1">
      <c r="C235" s="104"/>
      <c r="D235" s="2206"/>
      <c r="E235" s="635" t="s">
        <v>966</v>
      </c>
      <c r="O235" s="551"/>
      <c r="P235" s="551"/>
      <c r="Q235" s="551"/>
      <c r="AE235"/>
    </row>
    <row r="236" spans="2:114" hidden="1" outlineLevel="1">
      <c r="C236" s="104"/>
      <c r="D236" s="2206"/>
      <c r="E236" s="635" t="s">
        <v>1620</v>
      </c>
    </row>
    <row r="237" spans="2:114" hidden="1" outlineLevel="1">
      <c r="C237" s="104"/>
      <c r="V237" s="2704" t="s">
        <v>52</v>
      </c>
      <c r="W237" s="2706"/>
      <c r="X237" s="2706"/>
      <c r="Y237" s="2706"/>
      <c r="Z237" s="2706"/>
      <c r="AA237" s="2706"/>
      <c r="AB237" s="2706"/>
      <c r="AC237" s="2705"/>
      <c r="AD237" s="2705"/>
      <c r="AE237" s="2705"/>
      <c r="AF237" s="2705"/>
      <c r="AG237" s="2705"/>
      <c r="AH237" s="152"/>
    </row>
    <row r="238" spans="2:114" hidden="1" outlineLevel="1">
      <c r="C238" s="104"/>
      <c r="D238" s="2303" t="s">
        <v>1078</v>
      </c>
      <c r="E238" s="2833" t="s">
        <v>967</v>
      </c>
      <c r="F238" s="2207" t="s">
        <v>1527</v>
      </c>
      <c r="G238" s="2207" t="s">
        <v>969</v>
      </c>
      <c r="H238" s="4172" t="s">
        <v>970</v>
      </c>
      <c r="I238" s="4173"/>
      <c r="J238" s="4052" t="s">
        <v>755</v>
      </c>
      <c r="K238" s="4052"/>
      <c r="L238" s="4052"/>
      <c r="M238" s="1421"/>
      <c r="N238" s="1404"/>
      <c r="V238" s="801"/>
      <c r="W238" s="2642">
        <f>$W$6</f>
        <v>43252</v>
      </c>
      <c r="X238" s="2642">
        <f>$X$6</f>
        <v>43465</v>
      </c>
      <c r="Y238" s="2642">
        <f>$Y$6</f>
        <v>43800</v>
      </c>
      <c r="Z238" s="2642">
        <f>$Z$6</f>
        <v>43862</v>
      </c>
      <c r="AA238" s="2642">
        <f>$AA$6</f>
        <v>44013</v>
      </c>
      <c r="AB238" s="2642">
        <f>$AB$6</f>
        <v>44166</v>
      </c>
      <c r="AC238" s="2641">
        <f>$AC$6</f>
        <v>44531</v>
      </c>
      <c r="AD238" s="2641">
        <f>$AD$6</f>
        <v>44774</v>
      </c>
      <c r="AE238" s="2641">
        <f>$AE$6</f>
        <v>45139</v>
      </c>
      <c r="AF238" s="2641">
        <f>$AF$6</f>
        <v>45672</v>
      </c>
      <c r="AG238" s="2641" t="str">
        <f>$AG$6</f>
        <v>-</v>
      </c>
    </row>
    <row r="239" spans="2:114" ht="15.6" hidden="1" customHeight="1" outlineLevel="1">
      <c r="C239" s="104"/>
      <c r="D239" s="4232" t="s">
        <v>1621</v>
      </c>
      <c r="E239" s="4216" t="s">
        <v>1622</v>
      </c>
      <c r="F239" s="1840" t="s">
        <v>1573</v>
      </c>
      <c r="G239" s="2933">
        <f>G260*PI()/12</f>
        <v>0.19634954084936207</v>
      </c>
      <c r="H239" s="4148" t="s">
        <v>1623</v>
      </c>
      <c r="I239" s="4148"/>
      <c r="J239" s="4045" t="s">
        <v>1624</v>
      </c>
      <c r="K239" s="4045"/>
      <c r="L239" s="4045"/>
      <c r="V239" s="4146" t="s">
        <v>1621</v>
      </c>
      <c r="W239" s="2937">
        <f>(PI()*W260)/12</f>
        <v>0.19634954084936207</v>
      </c>
      <c r="X239" s="2937">
        <f>(PI()*X260)/12</f>
        <v>0.19634954084936207</v>
      </c>
      <c r="Y239" s="2937">
        <f>(PI()*Y260)/12</f>
        <v>0.19634954084936207</v>
      </c>
      <c r="Z239" s="2937">
        <f>IF(Z$6="-","",Y239)</f>
        <v>0.19634954084936207</v>
      </c>
      <c r="AA239" s="2937">
        <f>IF(AA$6="-","",Z239)</f>
        <v>0.19634954084936207</v>
      </c>
      <c r="AB239" s="2937">
        <v>0.19634954084936207</v>
      </c>
      <c r="AC239" s="2938">
        <v>0.19634954084936207</v>
      </c>
      <c r="AD239" s="2938">
        <v>0.19634954084936207</v>
      </c>
      <c r="AE239" s="2938">
        <v>0.19634954084936207</v>
      </c>
      <c r="AF239" s="2236">
        <f t="shared" ref="AF239:AF264" si="18">IF(G239&lt;&gt;"",G239,"")</f>
        <v>0.19634954084936207</v>
      </c>
      <c r="AG239" s="2937"/>
    </row>
    <row r="240" spans="2:114" hidden="1" outlineLevel="1">
      <c r="C240" s="104"/>
      <c r="D240" s="4232"/>
      <c r="E240" s="4216"/>
      <c r="F240" s="2521" t="s">
        <v>1531</v>
      </c>
      <c r="G240" s="2307">
        <f>G261*PI()/12</f>
        <v>0.14398966328953219</v>
      </c>
      <c r="H240" s="4148" t="s">
        <v>1623</v>
      </c>
      <c r="I240" s="4148"/>
      <c r="J240" s="4178"/>
      <c r="K240" s="4235"/>
      <c r="L240" s="4179"/>
      <c r="V240" s="4147"/>
      <c r="W240" s="2937"/>
      <c r="X240" s="2937"/>
      <c r="Y240" s="2937"/>
      <c r="Z240" s="2937"/>
      <c r="AA240" s="2937"/>
      <c r="AB240" s="2940">
        <v>0.14398966328953219</v>
      </c>
      <c r="AC240" s="2938">
        <v>0.14398966328953219</v>
      </c>
      <c r="AD240" s="2938">
        <v>0.14398966328953219</v>
      </c>
      <c r="AE240" s="2938">
        <v>0.14398966328953219</v>
      </c>
      <c r="AF240" s="2236">
        <f t="shared" si="18"/>
        <v>0.14398966328953219</v>
      </c>
      <c r="AG240" s="2937"/>
    </row>
    <row r="241" spans="1:114" ht="42.75" hidden="1" customHeight="1" outlineLevel="1">
      <c r="C241" s="104"/>
      <c r="D241" s="2835" t="s">
        <v>1625</v>
      </c>
      <c r="E241" s="2308" t="s">
        <v>1626</v>
      </c>
      <c r="F241" s="1840" t="s">
        <v>1102</v>
      </c>
      <c r="G241" s="2289">
        <v>1</v>
      </c>
      <c r="H241" s="4215" t="s">
        <v>1627</v>
      </c>
      <c r="I241" s="4215"/>
      <c r="J241" s="4236" t="s">
        <v>977</v>
      </c>
      <c r="K241" s="4237"/>
      <c r="L241" s="4238"/>
      <c r="V241" s="2835" t="s">
        <v>1625</v>
      </c>
      <c r="W241" s="2449">
        <v>1</v>
      </c>
      <c r="X241" s="2449">
        <v>1</v>
      </c>
      <c r="Y241" s="2449">
        <v>1</v>
      </c>
      <c r="Z241" s="2449">
        <f>IF(Z$6="-","",Y241)</f>
        <v>1</v>
      </c>
      <c r="AA241" s="2449">
        <f>IF(AA$6="-","",Z241)</f>
        <v>1</v>
      </c>
      <c r="AB241" s="2449">
        <v>1</v>
      </c>
      <c r="AC241" s="2449">
        <v>1</v>
      </c>
      <c r="AD241" s="2449">
        <v>1</v>
      </c>
      <c r="AE241" s="2449">
        <v>1</v>
      </c>
      <c r="AF241" s="2236">
        <f t="shared" si="18"/>
        <v>1</v>
      </c>
      <c r="AG241" s="2449"/>
    </row>
    <row r="242" spans="1:114" hidden="1" outlineLevel="1">
      <c r="C242" s="104"/>
      <c r="D242" s="4187" t="s">
        <v>1628</v>
      </c>
      <c r="E242" s="4149" t="s">
        <v>1629</v>
      </c>
      <c r="F242" s="1840" t="s">
        <v>1573</v>
      </c>
      <c r="G242" s="2933">
        <f>(PI()*(G260+(G$262*2))/12)</f>
        <v>0.45814892864851148</v>
      </c>
      <c r="H242" s="4170" t="s">
        <v>1630</v>
      </c>
      <c r="I242" s="4170"/>
      <c r="J242" s="4158" t="s">
        <v>1631</v>
      </c>
      <c r="K242" s="4213"/>
      <c r="L242" s="4130"/>
      <c r="V242" s="4146" t="s">
        <v>1628</v>
      </c>
      <c r="W242" s="2941">
        <f>(PI()*(W260+(W262*2))/12)</f>
        <v>0.45814892864851148</v>
      </c>
      <c r="X242" s="2941">
        <f>(PI()*(X260+(X262*2))/12)</f>
        <v>0.45814892864851148</v>
      </c>
      <c r="Y242" s="2941">
        <f>(PI()*(Y260+(Y262*2))/12)</f>
        <v>0.45814892864851148</v>
      </c>
      <c r="Z242" s="2941">
        <f>IF(Z$6="-","",Y242)</f>
        <v>0.45814892864851148</v>
      </c>
      <c r="AA242" s="2941">
        <f>IF(AA$6="-","",Z242)</f>
        <v>0.45814892864851148</v>
      </c>
      <c r="AB242" s="2941">
        <v>0.45814892864851148</v>
      </c>
      <c r="AC242" s="2573">
        <v>0.45814892864851148</v>
      </c>
      <c r="AD242" s="2573">
        <v>0.45814892864851148</v>
      </c>
      <c r="AE242" s="2573">
        <v>0.45814892864851148</v>
      </c>
      <c r="AF242" s="2236">
        <f t="shared" si="18"/>
        <v>0.45814892864851148</v>
      </c>
      <c r="AG242" s="2941"/>
    </row>
    <row r="243" spans="1:114" hidden="1" outlineLevel="1">
      <c r="C243" s="104"/>
      <c r="D243" s="4187"/>
      <c r="E243" s="4149"/>
      <c r="F243" s="2521" t="s">
        <v>1531</v>
      </c>
      <c r="G243" s="2307">
        <f>(PI()*(G261+(G$262*2))/12)</f>
        <v>0.40578905108868163</v>
      </c>
      <c r="H243" s="4170" t="s">
        <v>1630</v>
      </c>
      <c r="I243" s="4170"/>
      <c r="J243" s="4158"/>
      <c r="K243" s="4213"/>
      <c r="L243" s="4130"/>
      <c r="V243" s="4147"/>
      <c r="W243" s="2941"/>
      <c r="X243" s="2941"/>
      <c r="Y243" s="2941"/>
      <c r="Z243" s="2941"/>
      <c r="AA243" s="2941"/>
      <c r="AB243" s="2572">
        <v>0.40578905108868163</v>
      </c>
      <c r="AC243" s="2573">
        <v>0.40578905108868163</v>
      </c>
      <c r="AD243" s="2573">
        <v>0.40578905108868163</v>
      </c>
      <c r="AE243" s="2573">
        <v>0.40578905108868163</v>
      </c>
      <c r="AF243" s="2236">
        <f t="shared" si="18"/>
        <v>0.40578905108868163</v>
      </c>
      <c r="AG243" s="2941"/>
    </row>
    <row r="244" spans="1:114" ht="15.6" hidden="1" customHeight="1" outlineLevel="1">
      <c r="C244" s="104"/>
      <c r="D244" s="4187" t="s">
        <v>1632</v>
      </c>
      <c r="E244" s="4149" t="s">
        <v>1633</v>
      </c>
      <c r="F244" s="1840" t="s">
        <v>1573</v>
      </c>
      <c r="G244" s="2311">
        <f>1+3.54</f>
        <v>4.54</v>
      </c>
      <c r="H244" s="4247" t="s">
        <v>1634</v>
      </c>
      <c r="I244" s="4248"/>
      <c r="J244" s="4156" t="s">
        <v>1635</v>
      </c>
      <c r="K244" s="4169"/>
      <c r="L244" s="4157"/>
      <c r="V244" s="4146" t="s">
        <v>1632</v>
      </c>
      <c r="W244" s="2456">
        <f>4+1</f>
        <v>5</v>
      </c>
      <c r="X244" s="2456">
        <f>4+1</f>
        <v>5</v>
      </c>
      <c r="Y244" s="2235">
        <f>1+3.54</f>
        <v>4.54</v>
      </c>
      <c r="Z244" s="2456">
        <f>IF(Z$6="-","",Y244)</f>
        <v>4.54</v>
      </c>
      <c r="AA244" s="2456">
        <f>IF(AA$6="-","",Z244)</f>
        <v>4.54</v>
      </c>
      <c r="AB244" s="2456">
        <v>4.54</v>
      </c>
      <c r="AC244" s="2456">
        <v>4.54</v>
      </c>
      <c r="AD244" s="2456">
        <v>4.54</v>
      </c>
      <c r="AE244" s="2456">
        <v>4.54</v>
      </c>
      <c r="AF244" s="2236">
        <f t="shared" si="18"/>
        <v>4.54</v>
      </c>
      <c r="AG244" s="2456"/>
    </row>
    <row r="245" spans="1:114" ht="15" hidden="1" customHeight="1" outlineLevel="1">
      <c r="C245" s="104"/>
      <c r="D245" s="4187"/>
      <c r="E245" s="4149"/>
      <c r="F245" s="2521" t="s">
        <v>1531</v>
      </c>
      <c r="G245" s="2311">
        <f>1+3.54</f>
        <v>4.54</v>
      </c>
      <c r="H245" s="4249"/>
      <c r="I245" s="4250"/>
      <c r="J245" s="4158"/>
      <c r="K245" s="4213"/>
      <c r="L245" s="4130"/>
      <c r="V245" s="4147"/>
      <c r="W245" s="2456"/>
      <c r="X245" s="2456"/>
      <c r="Y245" s="2235"/>
      <c r="Z245" s="2456"/>
      <c r="AA245" s="2456"/>
      <c r="AB245" s="2235">
        <v>4.54</v>
      </c>
      <c r="AC245" s="2456">
        <v>4.54</v>
      </c>
      <c r="AD245" s="2456">
        <v>4.54</v>
      </c>
      <c r="AE245" s="2456">
        <v>4.54</v>
      </c>
      <c r="AF245" s="2236">
        <f t="shared" si="18"/>
        <v>4.54</v>
      </c>
      <c r="AG245" s="2456"/>
    </row>
    <row r="246" spans="1:114" ht="30" hidden="1" outlineLevel="1">
      <c r="C246" s="104"/>
      <c r="D246" s="2312" t="s">
        <v>1636</v>
      </c>
      <c r="E246" s="2321" t="s">
        <v>1637</v>
      </c>
      <c r="F246" s="1840" t="s">
        <v>1102</v>
      </c>
      <c r="G246" s="2313">
        <v>1</v>
      </c>
      <c r="H246" s="4170" t="s">
        <v>1638</v>
      </c>
      <c r="I246" s="4170"/>
      <c r="J246" s="4156" t="s">
        <v>977</v>
      </c>
      <c r="K246" s="4169"/>
      <c r="L246" s="4157"/>
      <c r="V246" s="2942" t="s">
        <v>1636</v>
      </c>
      <c r="W246" s="2458">
        <v>1</v>
      </c>
      <c r="X246" s="2458">
        <v>1</v>
      </c>
      <c r="Y246" s="2458">
        <v>1</v>
      </c>
      <c r="Z246" s="2458">
        <f>IF(Z$6="-","",Y246)</f>
        <v>1</v>
      </c>
      <c r="AA246" s="2458">
        <f>IF(AA$6="-","",Z246)</f>
        <v>1</v>
      </c>
      <c r="AB246" s="2458">
        <v>1</v>
      </c>
      <c r="AC246" s="2458">
        <v>1</v>
      </c>
      <c r="AD246" s="2458">
        <v>1</v>
      </c>
      <c r="AE246" s="2458">
        <v>1</v>
      </c>
      <c r="AF246" s="2236">
        <f t="shared" si="18"/>
        <v>1</v>
      </c>
      <c r="AG246" s="2458"/>
    </row>
    <row r="247" spans="1:114" ht="45" hidden="1" customHeight="1" outlineLevel="1">
      <c r="C247" s="104"/>
      <c r="D247" s="4187" t="s">
        <v>1639</v>
      </c>
      <c r="E247" s="4149" t="s">
        <v>1640</v>
      </c>
      <c r="F247" s="1840" t="s">
        <v>1573</v>
      </c>
      <c r="G247" s="2289">
        <v>60</v>
      </c>
      <c r="H247" s="4020" t="s">
        <v>1641</v>
      </c>
      <c r="I247" s="4020"/>
      <c r="J247" s="4020" t="s">
        <v>1642</v>
      </c>
      <c r="K247" s="4020"/>
      <c r="L247" s="4020"/>
      <c r="V247" s="4146" t="s">
        <v>1639</v>
      </c>
      <c r="W247" s="2458">
        <v>60</v>
      </c>
      <c r="X247" s="2458">
        <v>60</v>
      </c>
      <c r="Y247" s="2458">
        <v>60</v>
      </c>
      <c r="Z247" s="2458">
        <f>IF(Z$6="-","",Y247)</f>
        <v>60</v>
      </c>
      <c r="AA247" s="2458">
        <f>IF(AA$6="-","",Z247)</f>
        <v>60</v>
      </c>
      <c r="AB247" s="2458">
        <v>60</v>
      </c>
      <c r="AC247" s="2458">
        <v>60</v>
      </c>
      <c r="AD247" s="2458">
        <v>60</v>
      </c>
      <c r="AE247" s="2458">
        <v>60</v>
      </c>
      <c r="AF247" s="2236">
        <f t="shared" si="18"/>
        <v>60</v>
      </c>
      <c r="AG247" s="2458"/>
    </row>
    <row r="248" spans="1:114" ht="29.25" hidden="1" customHeight="1" outlineLevel="1">
      <c r="C248" s="104"/>
      <c r="D248" s="4187"/>
      <c r="E248" s="4149"/>
      <c r="F248" s="2521" t="s">
        <v>1531</v>
      </c>
      <c r="G248" s="2934">
        <v>58.9</v>
      </c>
      <c r="H248" s="4170" t="s">
        <v>1643</v>
      </c>
      <c r="I248" s="4170"/>
      <c r="J248" s="4158"/>
      <c r="K248" s="4213"/>
      <c r="L248" s="4130"/>
      <c r="V248" s="4147"/>
      <c r="W248" s="2458"/>
      <c r="X248" s="2458"/>
      <c r="Y248" s="2458"/>
      <c r="Z248" s="2458"/>
      <c r="AA248" s="2458"/>
      <c r="AB248" s="2457">
        <v>58.9</v>
      </c>
      <c r="AC248" s="2458">
        <v>58.9</v>
      </c>
      <c r="AD248" s="2458">
        <v>58.9</v>
      </c>
      <c r="AE248" s="2458">
        <v>58.9</v>
      </c>
      <c r="AF248" s="2236">
        <f t="shared" si="18"/>
        <v>58.9</v>
      </c>
      <c r="AG248" s="2458"/>
    </row>
    <row r="249" spans="1:114" hidden="1" outlineLevel="1">
      <c r="C249" s="1666"/>
      <c r="D249" s="1840" t="s">
        <v>173</v>
      </c>
      <c r="E249" s="2321" t="s">
        <v>1644</v>
      </c>
      <c r="F249" s="1840" t="s">
        <v>1102</v>
      </c>
      <c r="G249" s="2315">
        <v>8766</v>
      </c>
      <c r="H249" s="4020" t="s">
        <v>1645</v>
      </c>
      <c r="I249" s="4020"/>
      <c r="J249" s="4020" t="s">
        <v>1642</v>
      </c>
      <c r="K249" s="4020"/>
      <c r="L249" s="4020"/>
      <c r="V249" s="2835" t="s">
        <v>173</v>
      </c>
      <c r="W249" s="2460">
        <v>8766</v>
      </c>
      <c r="X249" s="2460">
        <v>8766</v>
      </c>
      <c r="Y249" s="2460">
        <v>8766</v>
      </c>
      <c r="Z249" s="2460">
        <f t="shared" ref="Z249:AA252" si="19">IF(Z$6="-","",Y249)</f>
        <v>8766</v>
      </c>
      <c r="AA249" s="2460">
        <f t="shared" si="19"/>
        <v>8766</v>
      </c>
      <c r="AB249" s="2460">
        <v>8766</v>
      </c>
      <c r="AC249" s="2460">
        <v>8766</v>
      </c>
      <c r="AD249" s="2460">
        <v>8766</v>
      </c>
      <c r="AE249" s="2460">
        <v>8766</v>
      </c>
      <c r="AF249" s="2236">
        <f t="shared" si="18"/>
        <v>8766</v>
      </c>
      <c r="AG249" s="2460"/>
    </row>
    <row r="250" spans="1:114" ht="28.5" hidden="1" customHeight="1" outlineLevel="1">
      <c r="C250" s="104"/>
      <c r="D250" s="1840" t="s">
        <v>1646</v>
      </c>
      <c r="E250" s="2244" t="s">
        <v>1647</v>
      </c>
      <c r="F250" s="1840" t="s">
        <v>1102</v>
      </c>
      <c r="G250" s="2316">
        <v>0.98</v>
      </c>
      <c r="H250" s="4020" t="s">
        <v>1648</v>
      </c>
      <c r="I250" s="4020"/>
      <c r="J250" s="4020" t="s">
        <v>977</v>
      </c>
      <c r="K250" s="4020" t="s">
        <v>977</v>
      </c>
      <c r="L250" s="4020" t="s">
        <v>977</v>
      </c>
      <c r="V250" s="2835" t="s">
        <v>1646</v>
      </c>
      <c r="W250" s="2943">
        <v>0.98</v>
      </c>
      <c r="X250" s="2943">
        <v>0.98</v>
      </c>
      <c r="Y250" s="2943">
        <v>0.98</v>
      </c>
      <c r="Z250" s="2943">
        <f t="shared" si="19"/>
        <v>0.98</v>
      </c>
      <c r="AA250" s="2943">
        <f t="shared" si="19"/>
        <v>0.98</v>
      </c>
      <c r="AB250" s="2943">
        <v>0.98</v>
      </c>
      <c r="AC250" s="2943">
        <v>0.98</v>
      </c>
      <c r="AD250" s="2943">
        <v>0.98</v>
      </c>
      <c r="AE250" s="2943">
        <v>0.98</v>
      </c>
      <c r="AF250" s="2236">
        <f t="shared" si="18"/>
        <v>0.98</v>
      </c>
      <c r="AG250" s="2943"/>
    </row>
    <row r="251" spans="1:114" ht="15" hidden="1" customHeight="1" outlineLevel="1">
      <c r="C251" s="104"/>
      <c r="D251" s="1840">
        <v>3412</v>
      </c>
      <c r="E251" s="2321" t="s">
        <v>1649</v>
      </c>
      <c r="F251" s="1840" t="s">
        <v>1102</v>
      </c>
      <c r="G251" s="2315">
        <v>3412</v>
      </c>
      <c r="H251" s="4020" t="s">
        <v>1645</v>
      </c>
      <c r="I251" s="4020"/>
      <c r="J251" s="4020" t="s">
        <v>1642</v>
      </c>
      <c r="K251" s="4020"/>
      <c r="L251" s="4020"/>
      <c r="V251" s="2835">
        <v>3412</v>
      </c>
      <c r="W251" s="2462">
        <v>3412</v>
      </c>
      <c r="X251" s="2462">
        <v>3412</v>
      </c>
      <c r="Y251" s="2462">
        <v>3412</v>
      </c>
      <c r="Z251" s="2462">
        <f t="shared" si="19"/>
        <v>3412</v>
      </c>
      <c r="AA251" s="2462">
        <f t="shared" si="19"/>
        <v>3412</v>
      </c>
      <c r="AB251" s="2462">
        <v>3412</v>
      </c>
      <c r="AC251" s="2462">
        <v>3412</v>
      </c>
      <c r="AD251" s="2462">
        <v>3412</v>
      </c>
      <c r="AE251" s="2462">
        <v>3412</v>
      </c>
      <c r="AF251" s="2236">
        <f t="shared" si="18"/>
        <v>3412</v>
      </c>
      <c r="AG251" s="2462"/>
    </row>
    <row r="252" spans="1:114" s="1518" customFormat="1" ht="45.75" hidden="1" customHeight="1" outlineLevel="1">
      <c r="A252" s="52"/>
      <c r="B252" s="181"/>
      <c r="C252" s="1450"/>
      <c r="D252" s="4144" t="s">
        <v>1650</v>
      </c>
      <c r="E252" s="4163" t="s">
        <v>1326</v>
      </c>
      <c r="F252" s="1444" t="s">
        <v>1528</v>
      </c>
      <c r="G252" s="2320">
        <v>0.42</v>
      </c>
      <c r="H252" s="4170" t="s">
        <v>1651</v>
      </c>
      <c r="I252" s="4170"/>
      <c r="J252" s="4158"/>
      <c r="K252" s="4213"/>
      <c r="L252" s="4130"/>
      <c r="M252" s="181"/>
      <c r="N252" s="181"/>
      <c r="O252" s="181"/>
      <c r="P252" s="181"/>
      <c r="Q252" s="181"/>
      <c r="R252" s="181"/>
      <c r="S252" s="181"/>
      <c r="T252" s="181"/>
      <c r="U252" s="181"/>
      <c r="V252" s="4046" t="s">
        <v>1650</v>
      </c>
      <c r="W252" s="2944">
        <v>1</v>
      </c>
      <c r="X252" s="2870">
        <v>0.34429999999999999</v>
      </c>
      <c r="Y252" s="2870">
        <v>0.46360000000000001</v>
      </c>
      <c r="Z252" s="2944">
        <f t="shared" si="19"/>
        <v>0.46360000000000001</v>
      </c>
      <c r="AA252" s="2944">
        <f t="shared" si="19"/>
        <v>0.46360000000000001</v>
      </c>
      <c r="AB252" s="2849">
        <v>0.42</v>
      </c>
      <c r="AC252" s="2944">
        <v>0.42</v>
      </c>
      <c r="AD252" s="2944">
        <v>0.42</v>
      </c>
      <c r="AE252" s="2944">
        <v>0.42</v>
      </c>
      <c r="AF252" s="2236">
        <f t="shared" si="18"/>
        <v>0.42</v>
      </c>
      <c r="AG252" s="2944"/>
      <c r="AI252" s="76"/>
      <c r="AJ252" s="76"/>
      <c r="AK252" s="76"/>
      <c r="AL252" s="76"/>
      <c r="AM252" s="76"/>
      <c r="AN252" s="76"/>
      <c r="AO252" s="76"/>
      <c r="AP252" s="76"/>
      <c r="AQ252" s="76"/>
      <c r="AR252" s="76"/>
      <c r="AS252" s="76"/>
      <c r="DG252" s="181"/>
      <c r="DH252" s="181"/>
      <c r="DI252" s="149"/>
      <c r="DJ252" s="1183"/>
    </row>
    <row r="253" spans="1:114" s="1518" customFormat="1" hidden="1" outlineLevel="1">
      <c r="A253" s="52"/>
      <c r="B253" s="181"/>
      <c r="C253" s="1450"/>
      <c r="D253" s="4152"/>
      <c r="E253" s="4180"/>
      <c r="F253" s="2840" t="s">
        <v>1511</v>
      </c>
      <c r="G253" s="2896">
        <v>1</v>
      </c>
      <c r="H253" s="4168" t="s">
        <v>1652</v>
      </c>
      <c r="I253" s="4168"/>
      <c r="J253" s="4158"/>
      <c r="K253" s="4213"/>
      <c r="L253" s="4130"/>
      <c r="M253" s="181"/>
      <c r="N253" s="181"/>
      <c r="O253" s="181"/>
      <c r="P253" s="181"/>
      <c r="Q253" s="181"/>
      <c r="R253" s="181"/>
      <c r="S253" s="181"/>
      <c r="T253" s="181"/>
      <c r="U253" s="181"/>
      <c r="V253" s="4153"/>
      <c r="W253" s="2944"/>
      <c r="X253" s="2870"/>
      <c r="Y253" s="2870"/>
      <c r="Z253" s="2944"/>
      <c r="AA253" s="2944"/>
      <c r="AB253" s="2850">
        <v>1</v>
      </c>
      <c r="AC253" s="2944">
        <v>1</v>
      </c>
      <c r="AD253" s="2944">
        <v>1</v>
      </c>
      <c r="AE253" s="2944">
        <v>1</v>
      </c>
      <c r="AF253" s="2236">
        <f t="shared" si="18"/>
        <v>1</v>
      </c>
      <c r="AG253" s="2944"/>
      <c r="AI253" s="76"/>
      <c r="AJ253" s="76"/>
      <c r="AK253" s="76"/>
      <c r="AL253" s="76"/>
      <c r="AM253" s="76"/>
      <c r="AN253" s="76"/>
      <c r="AO253" s="76"/>
      <c r="AP253" s="76"/>
      <c r="AQ253" s="76"/>
      <c r="AR253" s="76"/>
      <c r="AS253" s="76"/>
      <c r="DG253" s="181"/>
      <c r="DH253" s="181"/>
      <c r="DI253" s="149"/>
      <c r="DJ253" s="1183"/>
    </row>
    <row r="254" spans="1:114" s="1518" customFormat="1" ht="43.5" hidden="1" customHeight="1" outlineLevel="1">
      <c r="A254" s="52"/>
      <c r="B254" s="181"/>
      <c r="C254" s="1450"/>
      <c r="D254" s="4145"/>
      <c r="E254" s="4164"/>
      <c r="F254" s="2521" t="s">
        <v>1531</v>
      </c>
      <c r="G254" s="2320">
        <v>0.42</v>
      </c>
      <c r="H254" s="4214" t="s">
        <v>1651</v>
      </c>
      <c r="I254" s="4214"/>
      <c r="J254" s="4158"/>
      <c r="K254" s="4213"/>
      <c r="L254" s="4130"/>
      <c r="M254" s="181"/>
      <c r="N254" s="181"/>
      <c r="O254" s="181"/>
      <c r="P254" s="181"/>
      <c r="Q254" s="181"/>
      <c r="R254" s="181"/>
      <c r="S254" s="181"/>
      <c r="T254" s="181"/>
      <c r="U254" s="181"/>
      <c r="V254" s="4047"/>
      <c r="W254" s="2944"/>
      <c r="X254" s="2870"/>
      <c r="Y254" s="2870"/>
      <c r="Z254" s="2944"/>
      <c r="AA254" s="2944"/>
      <c r="AB254" s="2849">
        <v>0.42</v>
      </c>
      <c r="AC254" s="2944">
        <v>0.42</v>
      </c>
      <c r="AD254" s="2944">
        <v>0.42</v>
      </c>
      <c r="AE254" s="2944">
        <v>0.42</v>
      </c>
      <c r="AF254" s="2236">
        <f t="shared" si="18"/>
        <v>0.42</v>
      </c>
      <c r="AG254" s="2944"/>
      <c r="AI254" s="76"/>
      <c r="AJ254" s="76"/>
      <c r="AK254" s="76"/>
      <c r="AL254" s="76"/>
      <c r="AM254" s="76"/>
      <c r="AN254" s="76"/>
      <c r="AO254" s="76"/>
      <c r="AP254" s="76"/>
      <c r="AQ254" s="76"/>
      <c r="AR254" s="76"/>
      <c r="AS254" s="76"/>
      <c r="DG254" s="181"/>
      <c r="DH254" s="181"/>
      <c r="DI254" s="149"/>
      <c r="DJ254" s="1183"/>
    </row>
    <row r="255" spans="1:114" s="1518" customFormat="1" ht="29.25" hidden="1" customHeight="1" outlineLevel="1">
      <c r="A255" s="52"/>
      <c r="B255" s="181"/>
      <c r="C255" s="1663"/>
      <c r="D255" s="4170" t="s">
        <v>1368</v>
      </c>
      <c r="E255" s="4149" t="s">
        <v>1369</v>
      </c>
      <c r="F255" s="2895" t="s">
        <v>1528</v>
      </c>
      <c r="G255" s="2319">
        <v>0.91869999999999996</v>
      </c>
      <c r="H255" s="4020" t="s">
        <v>1653</v>
      </c>
      <c r="I255" s="4020"/>
      <c r="J255" s="4020" t="s">
        <v>1654</v>
      </c>
      <c r="K255" s="4020" t="s">
        <v>977</v>
      </c>
      <c r="L255" s="4020" t="s">
        <v>977</v>
      </c>
      <c r="M255" s="181"/>
      <c r="N255" s="552"/>
      <c r="O255" s="181"/>
      <c r="P255" s="181"/>
      <c r="Q255" s="181"/>
      <c r="R255" s="181"/>
      <c r="S255" s="181"/>
      <c r="T255" s="181"/>
      <c r="U255" s="181"/>
      <c r="V255" s="4046" t="s">
        <v>1368</v>
      </c>
      <c r="W255" s="2909">
        <v>0.86</v>
      </c>
      <c r="X255" s="2873">
        <v>0.89859999999999995</v>
      </c>
      <c r="Y255" s="2873">
        <v>0.91869999999999996</v>
      </c>
      <c r="Z255" s="2909">
        <f>IF(Z$6="-","",Y255)</f>
        <v>0.91869999999999996</v>
      </c>
      <c r="AA255" s="2909">
        <f>IF(AA$6="-","",Z255)</f>
        <v>0.91869999999999996</v>
      </c>
      <c r="AB255" s="2909">
        <v>0.91869999999999996</v>
      </c>
      <c r="AC255" s="2909">
        <v>0.91869999999999996</v>
      </c>
      <c r="AD255" s="2909">
        <v>0.91869999999999996</v>
      </c>
      <c r="AE255" s="2909">
        <v>0.91869999999999996</v>
      </c>
      <c r="AF255" s="2236">
        <f t="shared" si="18"/>
        <v>0.91869999999999996</v>
      </c>
      <c r="AG255" s="2909"/>
      <c r="AI255" s="76"/>
      <c r="AJ255" s="76"/>
      <c r="AK255" s="76"/>
      <c r="AL255" s="76"/>
      <c r="AM255" s="76"/>
      <c r="AN255" s="76"/>
      <c r="AO255" s="76"/>
      <c r="AP255" s="76"/>
      <c r="AQ255" s="76"/>
      <c r="AR255" s="76"/>
      <c r="AS255" s="76"/>
      <c r="DG255" s="181"/>
      <c r="DH255" s="181"/>
      <c r="DI255" s="149"/>
      <c r="DJ255" s="1183"/>
    </row>
    <row r="256" spans="1:114" s="1518" customFormat="1" ht="31.5" hidden="1" customHeight="1" outlineLevel="1">
      <c r="A256" s="52"/>
      <c r="B256" s="181"/>
      <c r="C256" s="1450"/>
      <c r="D256" s="4170"/>
      <c r="E256" s="4149"/>
      <c r="F256" s="2840" t="s">
        <v>1560</v>
      </c>
      <c r="G256" s="2319">
        <v>1</v>
      </c>
      <c r="H256" s="4020" t="s">
        <v>1653</v>
      </c>
      <c r="I256" s="4020"/>
      <c r="J256" s="4158"/>
      <c r="K256" s="4213"/>
      <c r="L256" s="4130"/>
      <c r="M256" s="181"/>
      <c r="N256" s="181"/>
      <c r="O256" s="181"/>
      <c r="P256" s="181"/>
      <c r="Q256" s="181"/>
      <c r="R256" s="181"/>
      <c r="S256" s="181"/>
      <c r="T256" s="181"/>
      <c r="U256" s="181"/>
      <c r="V256" s="4047"/>
      <c r="W256" s="2909"/>
      <c r="X256" s="2873"/>
      <c r="Y256" s="2873"/>
      <c r="Z256" s="2909"/>
      <c r="AA256" s="2909"/>
      <c r="AB256" s="2850">
        <v>1</v>
      </c>
      <c r="AC256" s="2909">
        <v>1</v>
      </c>
      <c r="AD256" s="2909">
        <v>1</v>
      </c>
      <c r="AE256" s="2909">
        <v>1</v>
      </c>
      <c r="AF256" s="2236">
        <f t="shared" si="18"/>
        <v>1</v>
      </c>
      <c r="AG256" s="2909"/>
      <c r="AI256" s="76"/>
      <c r="AJ256" s="76"/>
      <c r="AK256" s="76"/>
      <c r="AL256" s="76"/>
      <c r="AM256" s="76"/>
      <c r="AN256" s="76"/>
      <c r="AO256" s="76"/>
      <c r="AP256" s="76"/>
      <c r="AQ256" s="76"/>
      <c r="AR256" s="76"/>
      <c r="AS256" s="76"/>
      <c r="DG256" s="181"/>
      <c r="DH256" s="181"/>
      <c r="DI256" s="149"/>
      <c r="DJ256" s="1183"/>
    </row>
    <row r="257" spans="1:114" s="1518" customFormat="1" ht="30.75" hidden="1" customHeight="1" outlineLevel="1">
      <c r="A257" s="52"/>
      <c r="B257" s="181"/>
      <c r="C257" s="1450"/>
      <c r="D257" s="4144" t="s">
        <v>128</v>
      </c>
      <c r="E257" s="4144" t="s">
        <v>1036</v>
      </c>
      <c r="F257" s="2895" t="s">
        <v>1528</v>
      </c>
      <c r="G257" s="2320">
        <v>0.56000000000000005</v>
      </c>
      <c r="H257" s="4158" t="s">
        <v>1655</v>
      </c>
      <c r="I257" s="4130"/>
      <c r="J257" s="4158"/>
      <c r="K257" s="4213"/>
      <c r="L257" s="4130"/>
      <c r="M257" s="181"/>
      <c r="N257" s="181"/>
      <c r="O257" s="181"/>
      <c r="P257" s="181"/>
      <c r="Q257" s="181"/>
      <c r="R257" s="181"/>
      <c r="S257" s="181"/>
      <c r="T257" s="181"/>
      <c r="U257" s="181"/>
      <c r="V257" s="4046" t="s">
        <v>128</v>
      </c>
      <c r="W257" s="2909">
        <v>0.73710263085776917</v>
      </c>
      <c r="X257" s="2873">
        <v>0.66101694915254239</v>
      </c>
      <c r="Y257" s="2873">
        <v>0.63917525773195871</v>
      </c>
      <c r="Z257" s="2909">
        <f>IF(Z$6="-","",Y257)</f>
        <v>0.63917525773195871</v>
      </c>
      <c r="AA257" s="2909">
        <f>IF(AA$6="-","",Z257)</f>
        <v>0.63917525773195871</v>
      </c>
      <c r="AB257" s="2873">
        <v>0.56000000000000005</v>
      </c>
      <c r="AC257" s="2909">
        <v>0.56000000000000005</v>
      </c>
      <c r="AD257" s="2909">
        <v>0.56000000000000005</v>
      </c>
      <c r="AE257" s="2909">
        <v>0.56000000000000005</v>
      </c>
      <c r="AF257" s="2236">
        <f t="shared" si="18"/>
        <v>0.56000000000000005</v>
      </c>
      <c r="AG257" s="2909"/>
      <c r="AI257" s="76"/>
      <c r="AJ257" s="76"/>
      <c r="AK257" s="76"/>
      <c r="AL257" s="76"/>
      <c r="AM257" s="76"/>
      <c r="AN257" s="76"/>
      <c r="AO257" s="76"/>
      <c r="AP257" s="76"/>
      <c r="AQ257" s="76"/>
      <c r="AR257" s="76"/>
      <c r="AS257" s="76"/>
      <c r="DG257" s="181"/>
      <c r="DH257" s="181"/>
      <c r="DI257" s="149"/>
      <c r="DJ257" s="1183"/>
    </row>
    <row r="258" spans="1:114" s="1518" customFormat="1" ht="30" hidden="1" customHeight="1" outlineLevel="1">
      <c r="A258" s="52"/>
      <c r="B258" s="181"/>
      <c r="C258" s="1450"/>
      <c r="D258" s="4152"/>
      <c r="E258" s="4152"/>
      <c r="F258" s="2840" t="s">
        <v>1511</v>
      </c>
      <c r="G258" s="2320">
        <v>1</v>
      </c>
      <c r="H258" s="4020" t="s">
        <v>1653</v>
      </c>
      <c r="I258" s="4020"/>
      <c r="J258" s="4158"/>
      <c r="K258" s="4213"/>
      <c r="L258" s="4130"/>
      <c r="M258" s="181"/>
      <c r="N258" s="181"/>
      <c r="O258" s="181"/>
      <c r="P258" s="181"/>
      <c r="Q258" s="181"/>
      <c r="R258" s="181"/>
      <c r="S258" s="181"/>
      <c r="T258" s="181"/>
      <c r="U258" s="181"/>
      <c r="V258" s="4153"/>
      <c r="W258" s="2909"/>
      <c r="X258" s="2873"/>
      <c r="Y258" s="2873"/>
      <c r="Z258" s="2909"/>
      <c r="AA258" s="2909"/>
      <c r="AB258" s="2850">
        <v>1</v>
      </c>
      <c r="AC258" s="2909">
        <v>1</v>
      </c>
      <c r="AD258" s="2909">
        <v>1</v>
      </c>
      <c r="AE258" s="2909">
        <v>1</v>
      </c>
      <c r="AF258" s="2236">
        <f t="shared" si="18"/>
        <v>1</v>
      </c>
      <c r="AG258" s="2909"/>
      <c r="AI258" s="76"/>
      <c r="AJ258" s="76"/>
      <c r="AK258" s="76"/>
      <c r="AL258" s="76"/>
      <c r="AM258" s="76"/>
      <c r="AN258" s="76"/>
      <c r="AO258" s="76"/>
      <c r="AP258" s="76"/>
      <c r="AQ258" s="76"/>
      <c r="AR258" s="76"/>
      <c r="AS258" s="76"/>
      <c r="DG258" s="181"/>
      <c r="DH258" s="181"/>
      <c r="DI258" s="149"/>
      <c r="DJ258" s="1183"/>
    </row>
    <row r="259" spans="1:114" s="1518" customFormat="1" ht="30.75" hidden="1" customHeight="1" outlineLevel="1">
      <c r="A259" s="52"/>
      <c r="B259" s="181"/>
      <c r="C259" s="1450"/>
      <c r="D259" s="4145"/>
      <c r="E259" s="4145"/>
      <c r="F259" s="2521" t="s">
        <v>1531</v>
      </c>
      <c r="G259" s="2320">
        <v>0.96</v>
      </c>
      <c r="H259" s="4170" t="s">
        <v>1643</v>
      </c>
      <c r="I259" s="4170"/>
      <c r="J259" s="4158"/>
      <c r="K259" s="4213"/>
      <c r="L259" s="4130"/>
      <c r="M259" s="181"/>
      <c r="N259" s="181"/>
      <c r="O259" s="181"/>
      <c r="P259" s="181"/>
      <c r="Q259" s="181"/>
      <c r="R259" s="181"/>
      <c r="S259" s="181"/>
      <c r="T259" s="181"/>
      <c r="U259" s="181"/>
      <c r="V259" s="4047"/>
      <c r="W259" s="2909"/>
      <c r="X259" s="2873"/>
      <c r="Y259" s="2873"/>
      <c r="Z259" s="2909"/>
      <c r="AA259" s="2909"/>
      <c r="AB259" s="2873">
        <v>0.96</v>
      </c>
      <c r="AC259" s="2909">
        <v>0.96</v>
      </c>
      <c r="AD259" s="2909">
        <v>0.96</v>
      </c>
      <c r="AE259" s="2909">
        <v>0.96</v>
      </c>
      <c r="AF259" s="2236">
        <f t="shared" si="18"/>
        <v>0.96</v>
      </c>
      <c r="AG259" s="2909"/>
      <c r="AI259" s="76"/>
      <c r="AJ259" s="76"/>
      <c r="AK259" s="76"/>
      <c r="AL259" s="76"/>
      <c r="AM259" s="76"/>
      <c r="AN259" s="76"/>
      <c r="AO259" s="76"/>
      <c r="AP259" s="76"/>
      <c r="AQ259" s="76"/>
      <c r="AR259" s="76"/>
      <c r="AS259" s="76"/>
      <c r="DG259" s="181"/>
      <c r="DH259" s="181"/>
      <c r="DI259" s="149"/>
      <c r="DJ259" s="1183"/>
    </row>
    <row r="260" spans="1:114" s="1518" customFormat="1" hidden="1" outlineLevel="1">
      <c r="A260" s="52"/>
      <c r="B260" s="181"/>
      <c r="C260" s="1450"/>
      <c r="D260" s="4170" t="s">
        <v>1656</v>
      </c>
      <c r="E260" s="4149" t="s">
        <v>1657</v>
      </c>
      <c r="F260" s="2895" t="s">
        <v>1573</v>
      </c>
      <c r="G260" s="2322">
        <v>0.75</v>
      </c>
      <c r="H260" s="4229" t="s">
        <v>1658</v>
      </c>
      <c r="I260" s="4229"/>
      <c r="J260" s="4170"/>
      <c r="K260" s="4170"/>
      <c r="L260" s="4170"/>
      <c r="M260" s="181"/>
      <c r="N260" s="2830"/>
      <c r="O260" s="181"/>
      <c r="P260" s="181"/>
      <c r="Q260" s="181"/>
      <c r="R260" s="181"/>
      <c r="S260" s="181"/>
      <c r="T260" s="181"/>
      <c r="U260" s="181"/>
      <c r="V260" s="4046" t="s">
        <v>1656</v>
      </c>
      <c r="W260" s="2945">
        <v>0.75</v>
      </c>
      <c r="X260" s="2945">
        <v>0.75</v>
      </c>
      <c r="Y260" s="2945">
        <v>0.75</v>
      </c>
      <c r="Z260" s="2945"/>
      <c r="AA260" s="2945"/>
      <c r="AB260" s="2945">
        <v>0.75</v>
      </c>
      <c r="AC260" s="2945">
        <v>0.75</v>
      </c>
      <c r="AD260" s="2945">
        <v>0.75</v>
      </c>
      <c r="AE260" s="2945">
        <v>0.75</v>
      </c>
      <c r="AF260" s="2236">
        <f t="shared" si="18"/>
        <v>0.75</v>
      </c>
      <c r="AG260" s="2945"/>
      <c r="AH260" s="181"/>
      <c r="AI260" s="76"/>
      <c r="AJ260" s="76"/>
      <c r="AK260" s="76"/>
      <c r="AL260" s="76"/>
      <c r="AM260" s="76"/>
      <c r="AN260" s="76"/>
      <c r="AO260" s="76"/>
      <c r="AP260" s="76"/>
      <c r="AQ260" s="76"/>
      <c r="AR260" s="76"/>
      <c r="AS260" s="76"/>
      <c r="DG260" s="181"/>
      <c r="DH260" s="181"/>
      <c r="DI260" s="149"/>
      <c r="DJ260" s="1183"/>
    </row>
    <row r="261" spans="1:114" s="1518" customFormat="1" ht="29.25" hidden="1" customHeight="1" outlineLevel="1">
      <c r="A261" s="52"/>
      <c r="B261" s="181"/>
      <c r="C261" s="1450"/>
      <c r="D261" s="4170"/>
      <c r="E261" s="4149"/>
      <c r="F261" s="2521" t="s">
        <v>1531</v>
      </c>
      <c r="G261" s="2322">
        <v>0.55000000000000004</v>
      </c>
      <c r="H261" s="4229" t="s">
        <v>1657</v>
      </c>
      <c r="I261" s="4229"/>
      <c r="J261" s="4244"/>
      <c r="K261" s="4245"/>
      <c r="L261" s="4206"/>
      <c r="M261" s="181"/>
      <c r="N261" s="552"/>
      <c r="O261" s="181"/>
      <c r="P261" s="181"/>
      <c r="Q261" s="181"/>
      <c r="R261" s="181"/>
      <c r="S261" s="181"/>
      <c r="T261" s="181"/>
      <c r="U261" s="181"/>
      <c r="V261" s="4047"/>
      <c r="W261" s="2945"/>
      <c r="X261" s="2945"/>
      <c r="Y261" s="2945"/>
      <c r="Z261" s="2945"/>
      <c r="AA261" s="2945"/>
      <c r="AB261" s="2453">
        <v>0.55000000000000004</v>
      </c>
      <c r="AC261" s="2945">
        <v>0.55000000000000004</v>
      </c>
      <c r="AD261" s="2945">
        <v>0.55000000000000004</v>
      </c>
      <c r="AE261" s="2945">
        <v>0.55000000000000004</v>
      </c>
      <c r="AF261" s="2236">
        <f t="shared" si="18"/>
        <v>0.55000000000000004</v>
      </c>
      <c r="AG261" s="2945"/>
      <c r="AH261" s="181"/>
      <c r="AI261" s="76"/>
      <c r="AJ261" s="76"/>
      <c r="AK261" s="76"/>
      <c r="AL261" s="76"/>
      <c r="AM261" s="76"/>
      <c r="AN261" s="76"/>
      <c r="AO261" s="76"/>
      <c r="AP261" s="76"/>
      <c r="AQ261" s="76"/>
      <c r="AR261" s="76"/>
      <c r="AS261" s="76"/>
      <c r="DG261" s="181"/>
      <c r="DH261" s="181"/>
      <c r="DI261" s="149"/>
      <c r="DJ261" s="1183"/>
    </row>
    <row r="262" spans="1:114" s="1518" customFormat="1" hidden="1" outlineLevel="1">
      <c r="A262" s="52"/>
      <c r="B262" s="181"/>
      <c r="C262" s="1450"/>
      <c r="D262" s="1444" t="s">
        <v>1659</v>
      </c>
      <c r="E262" s="2321" t="s">
        <v>1660</v>
      </c>
      <c r="F262" s="2777" t="s">
        <v>1102</v>
      </c>
      <c r="G262" s="2322">
        <v>0.5</v>
      </c>
      <c r="H262" s="4229" t="s">
        <v>1658</v>
      </c>
      <c r="I262" s="4229"/>
      <c r="J262" s="4170"/>
      <c r="K262" s="4170"/>
      <c r="L262" s="4170"/>
      <c r="M262" s="181"/>
      <c r="N262" s="181"/>
      <c r="O262" s="181"/>
      <c r="P262" s="181"/>
      <c r="Q262" s="181"/>
      <c r="R262" s="181"/>
      <c r="S262" s="181"/>
      <c r="T262" s="181"/>
      <c r="U262" s="181"/>
      <c r="V262" s="1444" t="s">
        <v>1660</v>
      </c>
      <c r="W262" s="2945">
        <v>0.5</v>
      </c>
      <c r="X262" s="2453">
        <v>0.5</v>
      </c>
      <c r="Y262" s="2453">
        <v>0.5</v>
      </c>
      <c r="Z262" s="2453"/>
      <c r="AA262" s="2453"/>
      <c r="AB262" s="2945">
        <v>0.5</v>
      </c>
      <c r="AC262" s="2945">
        <v>0.5</v>
      </c>
      <c r="AD262" s="2945">
        <v>0.5</v>
      </c>
      <c r="AE262" s="2945">
        <v>0.5</v>
      </c>
      <c r="AF262" s="2236">
        <f t="shared" si="18"/>
        <v>0.5</v>
      </c>
      <c r="AG262" s="2453"/>
      <c r="AH262" s="150"/>
      <c r="AI262" s="76"/>
      <c r="AJ262" s="76"/>
      <c r="AK262" s="76"/>
      <c r="AL262" s="76"/>
      <c r="AM262" s="76"/>
      <c r="AN262" s="76"/>
      <c r="AO262" s="76"/>
      <c r="AP262" s="76"/>
      <c r="AQ262" s="76"/>
      <c r="AR262" s="76"/>
      <c r="AS262" s="76"/>
      <c r="DG262" s="181"/>
      <c r="DH262" s="181"/>
      <c r="DI262" s="149"/>
      <c r="DJ262" s="1183"/>
    </row>
    <row r="263" spans="1:114" ht="29.25" hidden="1" customHeight="1" outlineLevel="1">
      <c r="B263" s="579"/>
      <c r="C263" s="133"/>
      <c r="D263" s="2432" t="s">
        <v>1437</v>
      </c>
      <c r="E263" s="2790" t="s">
        <v>1198</v>
      </c>
      <c r="F263" s="2777" t="s">
        <v>1102</v>
      </c>
      <c r="G263" s="2315">
        <v>12</v>
      </c>
      <c r="H263" s="4231" t="s">
        <v>1661</v>
      </c>
      <c r="I263" s="4231"/>
      <c r="J263" s="4170"/>
      <c r="K263" s="4170"/>
      <c r="L263" s="4170"/>
      <c r="M263" s="606"/>
      <c r="N263" s="283"/>
      <c r="O263" s="283"/>
      <c r="P263" s="283"/>
      <c r="Q263" s="283"/>
      <c r="V263" s="2419" t="s">
        <v>1437</v>
      </c>
      <c r="W263" s="2345">
        <v>12</v>
      </c>
      <c r="X263" s="2345">
        <v>12</v>
      </c>
      <c r="Y263" s="2345">
        <v>12</v>
      </c>
      <c r="Z263" s="2345">
        <f>IF(Z$6="-","",Y263)</f>
        <v>12</v>
      </c>
      <c r="AA263" s="2345">
        <f>IF(AA$6="-","",Z263)</f>
        <v>12</v>
      </c>
      <c r="AB263" s="2345">
        <v>12</v>
      </c>
      <c r="AC263" s="2345">
        <v>12</v>
      </c>
      <c r="AD263" s="2345">
        <v>12</v>
      </c>
      <c r="AE263" s="2345">
        <v>12</v>
      </c>
      <c r="AF263" s="2236">
        <f t="shared" si="18"/>
        <v>12</v>
      </c>
      <c r="AG263" s="2345"/>
    </row>
    <row r="264" spans="1:114" hidden="1" outlineLevel="1">
      <c r="B264" s="579"/>
      <c r="C264" s="133"/>
      <c r="D264" s="2802" t="s">
        <v>50</v>
      </c>
      <c r="E264" s="2790" t="s">
        <v>1135</v>
      </c>
      <c r="F264" s="2777" t="s">
        <v>1102</v>
      </c>
      <c r="G264" s="2324">
        <v>2.87</v>
      </c>
      <c r="H264" s="4230" t="s">
        <v>1662</v>
      </c>
      <c r="I264" s="4230"/>
      <c r="J264" s="4170"/>
      <c r="K264" s="4170"/>
      <c r="L264" s="4170"/>
      <c r="M264" s="606"/>
      <c r="N264" s="283"/>
      <c r="O264" s="283"/>
      <c r="P264" s="283"/>
      <c r="Q264" s="283"/>
      <c r="V264" s="2875" t="s">
        <v>50</v>
      </c>
      <c r="W264" s="2592">
        <v>2.87</v>
      </c>
      <c r="X264" s="2592">
        <v>2.87</v>
      </c>
      <c r="Y264" s="2592">
        <v>2.87</v>
      </c>
      <c r="Z264" s="2592">
        <f>IF(Z$6="-","",Y264)</f>
        <v>2.87</v>
      </c>
      <c r="AA264" s="2592">
        <f>IF(AA$6="-","",Z264)</f>
        <v>2.87</v>
      </c>
      <c r="AB264" s="2592">
        <v>2.87</v>
      </c>
      <c r="AC264" s="2592">
        <v>2.87</v>
      </c>
      <c r="AD264" s="2592">
        <v>2.87</v>
      </c>
      <c r="AE264" s="2592">
        <v>2.87</v>
      </c>
      <c r="AF264" s="2236">
        <f t="shared" si="18"/>
        <v>2.87</v>
      </c>
      <c r="AG264" s="2592"/>
    </row>
    <row r="265" spans="1:114" hidden="1" outlineLevel="1">
      <c r="B265" s="283"/>
      <c r="C265" s="133"/>
      <c r="D265" s="1546"/>
      <c r="E265" s="283"/>
      <c r="F265" s="104"/>
      <c r="G265" s="1105"/>
      <c r="H265" s="1106"/>
      <c r="I265" s="1106"/>
      <c r="J265" s="407"/>
      <c r="K265" s="407"/>
      <c r="L265" s="407"/>
      <c r="M265" s="606"/>
      <c r="N265" s="283"/>
      <c r="O265" s="283"/>
      <c r="P265" s="283"/>
      <c r="Q265" s="283"/>
      <c r="V265" s="1584"/>
      <c r="W265" s="1105"/>
      <c r="X265" s="1105"/>
      <c r="Y265" s="1105"/>
      <c r="Z265" s="1105"/>
      <c r="AA265" s="1105"/>
      <c r="AB265" s="1105"/>
      <c r="AC265" s="1105"/>
      <c r="AD265" s="1105"/>
      <c r="AE265" s="1105"/>
      <c r="AF265" s="1105"/>
      <c r="AG265" s="1105"/>
    </row>
    <row r="266" spans="1:114" collapsed="1">
      <c r="C266" s="104"/>
    </row>
    <row r="267" spans="1:114">
      <c r="B267" s="4025" t="s">
        <v>1663</v>
      </c>
      <c r="C267" s="4026"/>
      <c r="D267" s="4026"/>
      <c r="E267" s="4026"/>
      <c r="F267" s="4026"/>
      <c r="G267" s="4026"/>
      <c r="H267" s="4026"/>
      <c r="I267" s="4817"/>
      <c r="J267" s="4817"/>
      <c r="K267" s="4817"/>
      <c r="L267" s="4817"/>
      <c r="M267" s="4817"/>
      <c r="N267" s="4818"/>
      <c r="V267" s="4040" t="str">
        <f>B267</f>
        <v>Advanced Power Strips Tier 1  / Load Sensing</v>
      </c>
      <c r="W267" s="4041"/>
      <c r="X267" s="4041"/>
      <c r="Y267" s="4041"/>
      <c r="Z267" s="4041"/>
      <c r="AA267" s="4041"/>
      <c r="AB267" s="4041"/>
      <c r="AC267" s="4832"/>
      <c r="AD267" s="4832"/>
      <c r="AE267" s="4832"/>
      <c r="AF267" s="4832"/>
      <c r="AG267" s="4832"/>
      <c r="AH267" s="4833"/>
    </row>
    <row r="268" spans="1:114">
      <c r="B268" s="635"/>
      <c r="C268" s="2206"/>
      <c r="D268" s="2206"/>
      <c r="E268" s="635"/>
      <c r="F268" s="635"/>
      <c r="G268" s="635"/>
      <c r="H268" s="635"/>
      <c r="I268" s="635"/>
      <c r="J268" s="635"/>
      <c r="K268" s="635"/>
      <c r="L268" s="635"/>
      <c r="M268" s="2831"/>
      <c r="N268" s="635"/>
      <c r="V268" s="635"/>
      <c r="W268" s="2238"/>
      <c r="X268" s="2238"/>
      <c r="Y268" s="2238"/>
      <c r="Z268" s="2238"/>
      <c r="AA268" s="2238"/>
      <c r="AB268" s="2238"/>
      <c r="AC268" s="2237"/>
      <c r="AD268" s="2237"/>
      <c r="AE268" s="2237"/>
      <c r="AF268" s="2237"/>
      <c r="AG268" s="2237"/>
      <c r="AH268" s="2237"/>
    </row>
    <row r="269" spans="1:114" ht="30">
      <c r="B269" s="635"/>
      <c r="C269" s="2207" t="s">
        <v>42</v>
      </c>
      <c r="D269" s="2207" t="s">
        <v>953</v>
      </c>
      <c r="E269" s="2207" t="s">
        <v>44</v>
      </c>
      <c r="F269" s="2207" t="s">
        <v>45</v>
      </c>
      <c r="G269" s="2207" t="s">
        <v>46</v>
      </c>
      <c r="H269" s="2207" t="s">
        <v>47</v>
      </c>
      <c r="I269" s="2207" t="s">
        <v>48</v>
      </c>
      <c r="J269" s="2207" t="s">
        <v>49</v>
      </c>
      <c r="K269" s="2207" t="s">
        <v>50</v>
      </c>
      <c r="L269" s="2207" t="s">
        <v>51</v>
      </c>
      <c r="M269" s="2831"/>
      <c r="N269" s="635"/>
      <c r="V269" s="2704" t="s">
        <v>52</v>
      </c>
      <c r="W269" s="2642">
        <f>$W$6</f>
        <v>43252</v>
      </c>
      <c r="X269" s="2642">
        <f>$X$6</f>
        <v>43465</v>
      </c>
      <c r="Y269" s="2642">
        <f>$Y$6</f>
        <v>43800</v>
      </c>
      <c r="Z269" s="2642">
        <f>$Z$6</f>
        <v>43862</v>
      </c>
      <c r="AA269" s="2642">
        <f>$AA$6</f>
        <v>44013</v>
      </c>
      <c r="AB269" s="2642">
        <f>$AB$6</f>
        <v>44166</v>
      </c>
      <c r="AC269" s="2641">
        <f>$AC$6</f>
        <v>44531</v>
      </c>
      <c r="AD269" s="2641">
        <f>$AD$6</f>
        <v>44774</v>
      </c>
      <c r="AE269" s="2641">
        <f>$AE$6</f>
        <v>45139</v>
      </c>
      <c r="AF269" s="2641">
        <f>$AF$6</f>
        <v>45672</v>
      </c>
      <c r="AG269" s="2641" t="str">
        <f>$AG$6</f>
        <v>-</v>
      </c>
      <c r="AH269" s="2237"/>
      <c r="DG269" s="2750" t="str">
        <f>$DG$6</f>
        <v>TRC (2025)</v>
      </c>
      <c r="DH269" s="2750" t="str">
        <f>$DH$6</f>
        <v>Benefit Lookup</v>
      </c>
      <c r="DI269" s="2876" t="str">
        <f>$DI$6</f>
        <v>Benefits (2025 $)</v>
      </c>
      <c r="DJ269" s="2752" t="str">
        <f>$DJ$6</f>
        <v>Incremental Cost (2025 $)</v>
      </c>
    </row>
    <row r="270" spans="1:114">
      <c r="B270" s="2208">
        <f t="shared" ref="B270:B278" si="20">VALUE(LEFT(C270,6))</f>
        <v>300850</v>
      </c>
      <c r="C270" s="2777" t="s">
        <v>1664</v>
      </c>
      <c r="D270" s="2409" t="s">
        <v>1139</v>
      </c>
      <c r="E270" s="2321" t="s">
        <v>1665</v>
      </c>
      <c r="F270" s="2569">
        <f>ROUND((G286*G292+G287*G293)*G296,2)</f>
        <v>29.45</v>
      </c>
      <c r="G270" s="2946" t="s">
        <v>1172</v>
      </c>
      <c r="H270" s="2548">
        <f>VLOOKUP(G270,'CP FACTORS'!$A$3:$B$38, 2, FALSE)</f>
        <v>1.148238E-4</v>
      </c>
      <c r="I270" s="2928">
        <f t="shared" ref="I270:I278" si="21">ROUND(F270*H270,6)</f>
        <v>3.382E-3</v>
      </c>
      <c r="J270" s="2345">
        <f>$G$323</f>
        <v>10</v>
      </c>
      <c r="K270" s="2412">
        <f>$G$299</f>
        <v>20</v>
      </c>
      <c r="L270" s="2408" t="s">
        <v>62</v>
      </c>
      <c r="M270" s="2831"/>
      <c r="N270" s="635"/>
      <c r="R270" s="532"/>
      <c r="V270" s="2425" t="str">
        <f>F269</f>
        <v>kWh Annual Savings</v>
      </c>
      <c r="W270" s="2947">
        <v>31</v>
      </c>
      <c r="X270" s="2947">
        <v>31</v>
      </c>
      <c r="Y270" s="2847">
        <v>31</v>
      </c>
      <c r="Z270" s="2847">
        <v>31</v>
      </c>
      <c r="AA270" s="2847">
        <v>31</v>
      </c>
      <c r="AB270" s="2554">
        <v>29.45</v>
      </c>
      <c r="AC270" s="2555">
        <v>29.45</v>
      </c>
      <c r="AD270" s="2555">
        <v>29.45</v>
      </c>
      <c r="AE270" s="2555">
        <v>29.45</v>
      </c>
      <c r="AF270" s="2236">
        <f t="shared" ref="AF270:AF278" si="22">IF(F270&lt;&gt;"",F270,"")</f>
        <v>29.45</v>
      </c>
      <c r="AG270" s="2413"/>
      <c r="AH270" s="2728"/>
      <c r="DG270" s="2877">
        <f t="shared" ref="DG270:DG278" si="23">(DI270)/(DJ270)</f>
        <v>0.73781113692177425</v>
      </c>
      <c r="DH270" s="2419" t="str">
        <f t="shared" ref="DH270:DH278" si="24">CONCATENATE(G270," ",J270," Year EUL")</f>
        <v>Miscellaneous RES 10 Year EUL</v>
      </c>
      <c r="DI270" s="2878">
        <f>(INDEX('Avoided Cost Benefits'!$B$4:$B$865,MATCH(DH270,'Avoided Cost Benefits'!$A$4:$A$865,0)))*F270</f>
        <v>14.756222738435484</v>
      </c>
      <c r="DJ270" s="2879">
        <f t="shared" ref="DJ270:DJ278" si="25">K270/(1.0686^(2025-2025))</f>
        <v>20</v>
      </c>
    </row>
    <row r="271" spans="1:114">
      <c r="B271" s="2208">
        <f t="shared" si="20"/>
        <v>300851</v>
      </c>
      <c r="C271" s="2777" t="s">
        <v>1666</v>
      </c>
      <c r="D271" s="2409" t="s">
        <v>1139</v>
      </c>
      <c r="E271" s="2321" t="s">
        <v>1667</v>
      </c>
      <c r="F271" s="2569">
        <f>ROUND((G$286*G$292+G$287*G$293)*G$296,2)</f>
        <v>29.45</v>
      </c>
      <c r="G271" s="2946" t="s">
        <v>1172</v>
      </c>
      <c r="H271" s="2548">
        <f>VLOOKUP(G271,'CP FACTORS'!$A$3:$B$38, 2, FALSE)</f>
        <v>1.148238E-4</v>
      </c>
      <c r="I271" s="2928">
        <f t="shared" si="21"/>
        <v>3.382E-3</v>
      </c>
      <c r="J271" s="2345">
        <f t="shared" ref="J271:J278" si="26">$G$323</f>
        <v>10</v>
      </c>
      <c r="K271" s="2412">
        <f>$G$300</f>
        <v>30</v>
      </c>
      <c r="L271" s="2408" t="s">
        <v>62</v>
      </c>
      <c r="M271" s="2831"/>
      <c r="N271" s="635"/>
      <c r="R271" s="532"/>
      <c r="V271" s="2425" t="str">
        <f>V270</f>
        <v>kWh Annual Savings</v>
      </c>
      <c r="W271" s="2947"/>
      <c r="X271" s="2947"/>
      <c r="Y271" s="2847"/>
      <c r="Z271" s="2847"/>
      <c r="AA271" s="2847"/>
      <c r="AB271" s="2554">
        <v>29.45</v>
      </c>
      <c r="AC271" s="2555">
        <v>29.45</v>
      </c>
      <c r="AD271" s="2555">
        <v>29.45</v>
      </c>
      <c r="AE271" s="2555">
        <v>29.45</v>
      </c>
      <c r="AF271" s="2236">
        <f t="shared" si="22"/>
        <v>29.45</v>
      </c>
      <c r="AG271" s="2413"/>
      <c r="AH271" s="2728"/>
      <c r="DG271" s="2877">
        <f t="shared" si="23"/>
        <v>0.49187409128118281</v>
      </c>
      <c r="DH271" s="2419" t="str">
        <f t="shared" si="24"/>
        <v>Miscellaneous RES 10 Year EUL</v>
      </c>
      <c r="DI271" s="2878">
        <f>(INDEX('Avoided Cost Benefits'!$B$4:$B$865,MATCH(DH271,'Avoided Cost Benefits'!$A$4:$A$865,0)))*F271</f>
        <v>14.756222738435484</v>
      </c>
      <c r="DJ271" s="2879">
        <f t="shared" si="25"/>
        <v>30</v>
      </c>
    </row>
    <row r="272" spans="1:114">
      <c r="B272" s="2208">
        <f t="shared" si="20"/>
        <v>300900</v>
      </c>
      <c r="C272" s="2777" t="s">
        <v>1668</v>
      </c>
      <c r="D272" s="2409" t="s">
        <v>1139</v>
      </c>
      <c r="E272" s="2321" t="s">
        <v>1669</v>
      </c>
      <c r="F272" s="2569">
        <f>ROUND((G$286*G$292+G$287*G$293)*G$297,2)</f>
        <v>29.08</v>
      </c>
      <c r="G272" s="2946" t="s">
        <v>1172</v>
      </c>
      <c r="H272" s="2548">
        <f>VLOOKUP(G272,'CP FACTORS'!$A$3:$B$38, 2, FALSE)</f>
        <v>1.148238E-4</v>
      </c>
      <c r="I272" s="2928">
        <f t="shared" si="21"/>
        <v>3.339E-3</v>
      </c>
      <c r="J272" s="2345">
        <f t="shared" si="26"/>
        <v>10</v>
      </c>
      <c r="K272" s="2412">
        <f>$G$299</f>
        <v>20</v>
      </c>
      <c r="L272" s="2408" t="s">
        <v>62</v>
      </c>
      <c r="M272" s="2831"/>
      <c r="N272" s="635"/>
      <c r="R272" s="532"/>
      <c r="V272" s="2425" t="str">
        <f t="shared" ref="V272:V278" si="27">V271</f>
        <v>kWh Annual Savings</v>
      </c>
      <c r="W272" s="2947">
        <v>24.18</v>
      </c>
      <c r="X272" s="2947">
        <v>24.18</v>
      </c>
      <c r="Y272" s="2847">
        <v>24.18</v>
      </c>
      <c r="Z272" s="2847">
        <v>24.18</v>
      </c>
      <c r="AA272" s="2847">
        <v>24.18</v>
      </c>
      <c r="AB272" s="2554">
        <v>29.08</v>
      </c>
      <c r="AC272" s="2555">
        <v>29.08</v>
      </c>
      <c r="AD272" s="2555">
        <v>29.08</v>
      </c>
      <c r="AE272" s="2555">
        <v>29.08</v>
      </c>
      <c r="AF272" s="2236">
        <f t="shared" si="22"/>
        <v>29.08</v>
      </c>
      <c r="AG272" s="2413"/>
      <c r="AH272" s="2728"/>
      <c r="DG272" s="2877">
        <f t="shared" si="23"/>
        <v>0.72854152331698452</v>
      </c>
      <c r="DH272" s="2419" t="str">
        <f t="shared" si="24"/>
        <v>Miscellaneous RES 10 Year EUL</v>
      </c>
      <c r="DI272" s="2878">
        <f>(INDEX('Avoided Cost Benefits'!$B$4:$B$865,MATCH(DH272,'Avoided Cost Benefits'!$A$4:$A$865,0)))*F272</f>
        <v>14.570830466339691</v>
      </c>
      <c r="DJ272" s="2879">
        <f t="shared" si="25"/>
        <v>20</v>
      </c>
    </row>
    <row r="273" spans="2:126" ht="30">
      <c r="B273" s="2208">
        <f t="shared" si="20"/>
        <v>300950</v>
      </c>
      <c r="C273" s="2777" t="s">
        <v>1670</v>
      </c>
      <c r="D273" s="2409" t="s">
        <v>1139</v>
      </c>
      <c r="E273" s="2321" t="s">
        <v>1671</v>
      </c>
      <c r="F273" s="2569">
        <f>ROUND((G$286*G$288+G$287*G$289)*G$296,2)</f>
        <v>71.349999999999994</v>
      </c>
      <c r="G273" s="2946" t="s">
        <v>1172</v>
      </c>
      <c r="H273" s="2548">
        <f>VLOOKUP(G273,'CP FACTORS'!$A$3:$B$38, 2, FALSE)</f>
        <v>1.148238E-4</v>
      </c>
      <c r="I273" s="2928">
        <f t="shared" si="21"/>
        <v>8.1930000000000006E-3</v>
      </c>
      <c r="J273" s="2345">
        <f t="shared" si="26"/>
        <v>10</v>
      </c>
      <c r="K273" s="2412">
        <f>$G$299</f>
        <v>20</v>
      </c>
      <c r="L273" s="2408" t="s">
        <v>62</v>
      </c>
      <c r="M273" s="2831"/>
      <c r="N273" s="635"/>
      <c r="R273" s="532"/>
      <c r="V273" s="2425" t="str">
        <f t="shared" si="27"/>
        <v>kWh Annual Savings</v>
      </c>
      <c r="W273" s="2947">
        <v>75.099999999999994</v>
      </c>
      <c r="X273" s="2947">
        <v>75.099999999999994</v>
      </c>
      <c r="Y273" s="2847">
        <v>75.099999999999994</v>
      </c>
      <c r="Z273" s="2847">
        <v>75.099999999999994</v>
      </c>
      <c r="AA273" s="2847">
        <v>75.099999999999994</v>
      </c>
      <c r="AB273" s="2554">
        <v>71.349999999999994</v>
      </c>
      <c r="AC273" s="2555">
        <v>71.349999999999994</v>
      </c>
      <c r="AD273" s="2555">
        <v>71.349999999999994</v>
      </c>
      <c r="AE273" s="2555">
        <v>71.349999999999994</v>
      </c>
      <c r="AF273" s="2236">
        <f t="shared" si="22"/>
        <v>71.349999999999994</v>
      </c>
      <c r="AG273" s="2413"/>
      <c r="AH273" s="2728"/>
      <c r="DG273" s="2877">
        <f t="shared" si="23"/>
        <v>1.7875322451398503</v>
      </c>
      <c r="DH273" s="2419" t="str">
        <f t="shared" si="24"/>
        <v>Miscellaneous RES 10 Year EUL</v>
      </c>
      <c r="DI273" s="2878">
        <f>(INDEX('Avoided Cost Benefits'!$B$4:$B$865,MATCH(DH273,'Avoided Cost Benefits'!$A$4:$A$865,0)))*F273</f>
        <v>35.750644902797006</v>
      </c>
      <c r="DJ273" s="2879">
        <f t="shared" si="25"/>
        <v>20</v>
      </c>
    </row>
    <row r="274" spans="2:126">
      <c r="B274" s="2208">
        <f t="shared" si="20"/>
        <v>300951</v>
      </c>
      <c r="C274" s="2777" t="s">
        <v>1672</v>
      </c>
      <c r="D274" s="2409" t="s">
        <v>1139</v>
      </c>
      <c r="E274" s="2321" t="s">
        <v>1673</v>
      </c>
      <c r="F274" s="2569">
        <f>ROUND((G$286*G$288+G$287*G$289)*G$296,2)</f>
        <v>71.349999999999994</v>
      </c>
      <c r="G274" s="2946" t="s">
        <v>1172</v>
      </c>
      <c r="H274" s="2548">
        <f>VLOOKUP(G274,'CP FACTORS'!$A$3:$B$38, 2, FALSE)</f>
        <v>1.148238E-4</v>
      </c>
      <c r="I274" s="2928">
        <f t="shared" si="21"/>
        <v>8.1930000000000006E-3</v>
      </c>
      <c r="J274" s="2345">
        <f t="shared" si="26"/>
        <v>10</v>
      </c>
      <c r="K274" s="2412">
        <f>$G$300</f>
        <v>30</v>
      </c>
      <c r="L274" s="2408" t="s">
        <v>62</v>
      </c>
      <c r="M274" s="2831"/>
      <c r="N274" s="635"/>
      <c r="R274" s="532"/>
      <c r="V274" s="2425" t="str">
        <f t="shared" si="27"/>
        <v>kWh Annual Savings</v>
      </c>
      <c r="W274" s="2947"/>
      <c r="X274" s="2947"/>
      <c r="Y274" s="2847"/>
      <c r="Z274" s="2847"/>
      <c r="AA274" s="2847"/>
      <c r="AB274" s="2554">
        <v>71.349999999999994</v>
      </c>
      <c r="AC274" s="2555">
        <v>71.349999999999994</v>
      </c>
      <c r="AD274" s="2555">
        <v>71.349999999999994</v>
      </c>
      <c r="AE274" s="2555">
        <v>71.349999999999994</v>
      </c>
      <c r="AF274" s="2236">
        <f t="shared" si="22"/>
        <v>71.349999999999994</v>
      </c>
      <c r="AG274" s="2413"/>
      <c r="AH274" s="2728"/>
      <c r="DG274" s="2877">
        <f t="shared" si="23"/>
        <v>1.1916881634265668</v>
      </c>
      <c r="DH274" s="2419" t="str">
        <f t="shared" si="24"/>
        <v>Miscellaneous RES 10 Year EUL</v>
      </c>
      <c r="DI274" s="2878">
        <f>(INDEX('Avoided Cost Benefits'!$B$4:$B$865,MATCH(DH274,'Avoided Cost Benefits'!$A$4:$A$865,0)))*F274</f>
        <v>35.750644902797006</v>
      </c>
      <c r="DJ274" s="2879">
        <f t="shared" si="25"/>
        <v>30</v>
      </c>
    </row>
    <row r="275" spans="2:126">
      <c r="B275" s="2208">
        <f t="shared" si="20"/>
        <v>301000</v>
      </c>
      <c r="C275" s="2777" t="s">
        <v>1674</v>
      </c>
      <c r="D275" s="2409" t="s">
        <v>1139</v>
      </c>
      <c r="E275" s="2321" t="s">
        <v>1675</v>
      </c>
      <c r="F275" s="2569">
        <f>ROUND((G$286*G$288+G$287*G$289)*G$297,2)</f>
        <v>70.44</v>
      </c>
      <c r="G275" s="2946" t="s">
        <v>1172</v>
      </c>
      <c r="H275" s="2548">
        <f>VLOOKUP(G275,'CP FACTORS'!$A$3:$B$38, 2, FALSE)</f>
        <v>1.148238E-4</v>
      </c>
      <c r="I275" s="2928">
        <f t="shared" si="21"/>
        <v>8.0879999999999997E-3</v>
      </c>
      <c r="J275" s="2345">
        <f t="shared" si="26"/>
        <v>10</v>
      </c>
      <c r="K275" s="2412">
        <f>$G$299</f>
        <v>20</v>
      </c>
      <c r="L275" s="2408" t="s">
        <v>62</v>
      </c>
      <c r="M275" s="2831"/>
      <c r="N275" s="635"/>
      <c r="R275" s="532"/>
      <c r="V275" s="2425" t="str">
        <f t="shared" si="27"/>
        <v>kWh Annual Savings</v>
      </c>
      <c r="W275" s="2947">
        <v>58.577999999999996</v>
      </c>
      <c r="X275" s="2947">
        <v>58.577999999999996</v>
      </c>
      <c r="Y275" s="2847">
        <v>58.58</v>
      </c>
      <c r="Z275" s="2847">
        <v>58.58</v>
      </c>
      <c r="AA275" s="2847">
        <v>58.58</v>
      </c>
      <c r="AB275" s="2554">
        <v>70.44</v>
      </c>
      <c r="AC275" s="2555">
        <v>70.44</v>
      </c>
      <c r="AD275" s="2555">
        <v>70.44</v>
      </c>
      <c r="AE275" s="2555">
        <v>70.44</v>
      </c>
      <c r="AF275" s="2236">
        <f t="shared" si="22"/>
        <v>70.44</v>
      </c>
      <c r="AG275" s="2413"/>
      <c r="AH275" s="2728"/>
      <c r="DG275" s="2877">
        <f t="shared" si="23"/>
        <v>1.7647340062740162</v>
      </c>
      <c r="DH275" s="2419" t="str">
        <f t="shared" si="24"/>
        <v>Miscellaneous RES 10 Year EUL</v>
      </c>
      <c r="DI275" s="2878">
        <f>(INDEX('Avoided Cost Benefits'!$B$4:$B$865,MATCH(DH275,'Avoided Cost Benefits'!$A$4:$A$865,0)))*F275</f>
        <v>35.294680125480326</v>
      </c>
      <c r="DJ275" s="2879">
        <f t="shared" si="25"/>
        <v>20</v>
      </c>
    </row>
    <row r="276" spans="2:126">
      <c r="B276" s="2208">
        <f t="shared" si="20"/>
        <v>301050</v>
      </c>
      <c r="C276" s="2777" t="s">
        <v>1676</v>
      </c>
      <c r="D276" s="2409" t="s">
        <v>1139</v>
      </c>
      <c r="E276" s="2321" t="s">
        <v>1677</v>
      </c>
      <c r="F276" s="2569">
        <f>ROUND((G$286*G$294+G$287*G$290)*G$296,2)</f>
        <v>56.26</v>
      </c>
      <c r="G276" s="2946" t="s">
        <v>1172</v>
      </c>
      <c r="H276" s="2548">
        <f>VLOOKUP(G276,'CP FACTORS'!$A$3:$B$38, 2, FALSE)</f>
        <v>1.148238E-4</v>
      </c>
      <c r="I276" s="2928">
        <f t="shared" si="21"/>
        <v>6.4599999999999996E-3</v>
      </c>
      <c r="J276" s="2345">
        <f t="shared" si="26"/>
        <v>10</v>
      </c>
      <c r="K276" s="2412">
        <f>$G$299</f>
        <v>20</v>
      </c>
      <c r="L276" s="2408" t="s">
        <v>62</v>
      </c>
      <c r="M276" s="2831"/>
      <c r="N276" s="635"/>
      <c r="R276" s="532"/>
      <c r="V276" s="2425" t="str">
        <f t="shared" si="27"/>
        <v>kWh Annual Savings</v>
      </c>
      <c r="W276" s="2947">
        <v>59.224000000000004</v>
      </c>
      <c r="X276" s="2947">
        <v>59.224000000000004</v>
      </c>
      <c r="Y276" s="2847">
        <v>59.22</v>
      </c>
      <c r="Z276" s="2847">
        <v>59.22</v>
      </c>
      <c r="AA276" s="2847">
        <v>59.22</v>
      </c>
      <c r="AB276" s="2554">
        <v>56.26</v>
      </c>
      <c r="AC276" s="2555">
        <v>56.26</v>
      </c>
      <c r="AD276" s="2555">
        <v>56.26</v>
      </c>
      <c r="AE276" s="2555">
        <v>56.26</v>
      </c>
      <c r="AF276" s="2236">
        <f t="shared" si="22"/>
        <v>56.26</v>
      </c>
      <c r="AG276" s="2413"/>
      <c r="AH276" s="2728"/>
      <c r="DG276" s="2877">
        <f t="shared" si="23"/>
        <v>1.409482328122887</v>
      </c>
      <c r="DH276" s="2419" t="str">
        <f t="shared" si="24"/>
        <v>Miscellaneous RES 10 Year EUL</v>
      </c>
      <c r="DI276" s="2878">
        <f>(INDEX('Avoided Cost Benefits'!$B$4:$B$865,MATCH(DH276,'Avoided Cost Benefits'!$A$4:$A$865,0)))*F276</f>
        <v>28.189646562457739</v>
      </c>
      <c r="DJ276" s="2879">
        <f t="shared" si="25"/>
        <v>20</v>
      </c>
    </row>
    <row r="277" spans="2:126">
      <c r="B277" s="2208">
        <f t="shared" si="20"/>
        <v>301051</v>
      </c>
      <c r="C277" s="2777" t="s">
        <v>1678</v>
      </c>
      <c r="D277" s="2409" t="s">
        <v>1139</v>
      </c>
      <c r="E277" s="2321" t="s">
        <v>1679</v>
      </c>
      <c r="F277" s="2569">
        <f>ROUND((G$286*G$294+G$287*G$290)*G$296,2)</f>
        <v>56.26</v>
      </c>
      <c r="G277" s="2946" t="s">
        <v>1172</v>
      </c>
      <c r="H277" s="2548">
        <f>VLOOKUP(G277,'CP FACTORS'!$A$3:$B$38, 2, FALSE)</f>
        <v>1.148238E-4</v>
      </c>
      <c r="I277" s="2928">
        <f t="shared" si="21"/>
        <v>6.4599999999999996E-3</v>
      </c>
      <c r="J277" s="2345">
        <f t="shared" si="26"/>
        <v>10</v>
      </c>
      <c r="K277" s="2412">
        <f>$G$300</f>
        <v>30</v>
      </c>
      <c r="L277" s="2408" t="s">
        <v>62</v>
      </c>
      <c r="M277" s="2831"/>
      <c r="N277" s="635"/>
      <c r="R277" s="532"/>
      <c r="V277" s="2425" t="str">
        <f t="shared" si="27"/>
        <v>kWh Annual Savings</v>
      </c>
      <c r="W277" s="2947"/>
      <c r="X277" s="2947"/>
      <c r="Y277" s="2847"/>
      <c r="Z277" s="2847"/>
      <c r="AA277" s="2847"/>
      <c r="AB277" s="2554">
        <v>56.26</v>
      </c>
      <c r="AC277" s="2555">
        <v>56.26</v>
      </c>
      <c r="AD277" s="2555">
        <v>56.26</v>
      </c>
      <c r="AE277" s="2555">
        <v>56.26</v>
      </c>
      <c r="AF277" s="2236">
        <f t="shared" si="22"/>
        <v>56.26</v>
      </c>
      <c r="AG277" s="2413"/>
      <c r="AH277" s="2728"/>
      <c r="DG277" s="2877">
        <f t="shared" si="23"/>
        <v>0.93965488541525799</v>
      </c>
      <c r="DH277" s="2419" t="str">
        <f t="shared" si="24"/>
        <v>Miscellaneous RES 10 Year EUL</v>
      </c>
      <c r="DI277" s="2878">
        <f>(INDEX('Avoided Cost Benefits'!$B$4:$B$865,MATCH(DH277,'Avoided Cost Benefits'!$A$4:$A$865,0)))*F277</f>
        <v>28.189646562457739</v>
      </c>
      <c r="DJ277" s="2879">
        <f t="shared" si="25"/>
        <v>30</v>
      </c>
    </row>
    <row r="278" spans="2:126">
      <c r="B278" s="2208">
        <f t="shared" si="20"/>
        <v>301100</v>
      </c>
      <c r="C278" s="2777" t="s">
        <v>1680</v>
      </c>
      <c r="D278" s="2409" t="s">
        <v>1139</v>
      </c>
      <c r="E278" s="2321" t="s">
        <v>1681</v>
      </c>
      <c r="F278" s="2569">
        <f>ROUND((G$286*G$295+G$287*G$291)*G$297,2)</f>
        <v>50.59</v>
      </c>
      <c r="G278" s="2946" t="s">
        <v>1172</v>
      </c>
      <c r="H278" s="2548">
        <f>VLOOKUP(G278,'CP FACTORS'!$A$3:$B$38, 2, FALSE)</f>
        <v>1.148238E-4</v>
      </c>
      <c r="I278" s="2928">
        <f t="shared" si="21"/>
        <v>5.8089999999999999E-3</v>
      </c>
      <c r="J278" s="2345">
        <f t="shared" si="26"/>
        <v>10</v>
      </c>
      <c r="K278" s="2412">
        <f>$G$299</f>
        <v>20</v>
      </c>
      <c r="L278" s="2408" t="s">
        <v>62</v>
      </c>
      <c r="M278" s="2831"/>
      <c r="N278" s="635"/>
      <c r="R278" s="532"/>
      <c r="V278" s="2425" t="str">
        <f t="shared" si="27"/>
        <v>kWh Annual Savings</v>
      </c>
      <c r="W278" s="2947">
        <v>42.066960000000002</v>
      </c>
      <c r="X278" s="2947">
        <v>42.066960000000002</v>
      </c>
      <c r="Y278" s="2847">
        <v>42.07</v>
      </c>
      <c r="Z278" s="2847">
        <v>42.07</v>
      </c>
      <c r="AA278" s="2847">
        <v>42.07</v>
      </c>
      <c r="AB278" s="2554">
        <v>50.59</v>
      </c>
      <c r="AC278" s="2555">
        <v>50.59</v>
      </c>
      <c r="AD278" s="2555">
        <v>50.59</v>
      </c>
      <c r="AE278" s="2555">
        <v>50.59</v>
      </c>
      <c r="AF278" s="2236">
        <f t="shared" si="22"/>
        <v>50.59</v>
      </c>
      <c r="AG278" s="2413"/>
      <c r="AH278" s="2728"/>
      <c r="DG278" s="2877">
        <f t="shared" si="23"/>
        <v>1.2674317628819207</v>
      </c>
      <c r="DH278" s="2419" t="str">
        <f t="shared" si="24"/>
        <v>Miscellaneous RES 10 Year EUL</v>
      </c>
      <c r="DI278" s="2878">
        <f>(INDEX('Avoided Cost Benefits'!$B$4:$B$865,MATCH(DH278,'Avoided Cost Benefits'!$A$4:$A$865,0)))*F278</f>
        <v>25.348635257638414</v>
      </c>
      <c r="DJ278" s="2879">
        <f t="shared" si="25"/>
        <v>20</v>
      </c>
    </row>
    <row r="279" spans="2:126" hidden="1" outlineLevel="1">
      <c r="C279" s="104"/>
      <c r="D279" s="2624" t="s">
        <v>118</v>
      </c>
      <c r="E279" s="2696" t="s">
        <v>1682</v>
      </c>
      <c r="X279" s="64" t="s">
        <v>1181</v>
      </c>
      <c r="Y279" s="64" t="s">
        <v>1182</v>
      </c>
    </row>
    <row r="280" spans="2:126" hidden="1" outlineLevel="1">
      <c r="C280" s="104"/>
      <c r="D280" s="2624" t="s">
        <v>963</v>
      </c>
      <c r="E280" s="635" t="s">
        <v>1683</v>
      </c>
    </row>
    <row r="281" spans="2:126" hidden="1" outlineLevel="1">
      <c r="C281" s="104"/>
      <c r="D281" s="2206"/>
      <c r="E281" s="635" t="s">
        <v>966</v>
      </c>
    </row>
    <row r="282" spans="2:126" hidden="1" outlineLevel="1">
      <c r="C282" s="104"/>
    </row>
    <row r="283" spans="2:126" hidden="1" outlineLevel="1">
      <c r="C283" s="104"/>
    </row>
    <row r="284" spans="2:126" hidden="1" outlineLevel="1">
      <c r="C284" s="104"/>
    </row>
    <row r="285" spans="2:126" hidden="1" outlineLevel="1">
      <c r="C285" s="104"/>
      <c r="D285" s="2303" t="s">
        <v>1078</v>
      </c>
      <c r="E285" s="2833" t="s">
        <v>967</v>
      </c>
      <c r="F285" s="2207" t="s">
        <v>968</v>
      </c>
      <c r="G285" s="2207" t="s">
        <v>969</v>
      </c>
      <c r="H285" s="4052" t="s">
        <v>1079</v>
      </c>
      <c r="I285" s="4052"/>
      <c r="K285" s="181"/>
      <c r="M285" s="52"/>
      <c r="V285" s="2704" t="s">
        <v>52</v>
      </c>
      <c r="W285" s="2642">
        <f>$W$6</f>
        <v>43252</v>
      </c>
      <c r="X285" s="2642">
        <f>$X$6</f>
        <v>43465</v>
      </c>
      <c r="Y285" s="2642">
        <f>$Y$6</f>
        <v>43800</v>
      </c>
      <c r="Z285" s="2642">
        <f>$Z$6</f>
        <v>43862</v>
      </c>
      <c r="AA285" s="2642">
        <f>$AA$6</f>
        <v>44013</v>
      </c>
      <c r="AB285" s="2642">
        <f>$AB$6</f>
        <v>44166</v>
      </c>
      <c r="AC285" s="2641">
        <f>$AC$6</f>
        <v>44531</v>
      </c>
      <c r="AD285" s="2641">
        <f>$AD$6</f>
        <v>44774</v>
      </c>
      <c r="AE285" s="2641">
        <f>$AE$6</f>
        <v>45139</v>
      </c>
      <c r="AF285" s="2641">
        <f>$AF$6</f>
        <v>45672</v>
      </c>
      <c r="AG285" s="2641" t="str">
        <f>$AG$6</f>
        <v>-</v>
      </c>
      <c r="AH285" s="152"/>
      <c r="DK285" s="726"/>
      <c r="DL285" s="726"/>
      <c r="DM285" s="726"/>
      <c r="DN285" s="726"/>
      <c r="DO285" s="726"/>
      <c r="DP285" s="726"/>
      <c r="DQ285" s="726"/>
      <c r="DR285" s="726"/>
      <c r="DS285" s="726"/>
      <c r="DT285" s="726"/>
      <c r="DU285" s="726"/>
      <c r="DV285" s="726"/>
    </row>
    <row r="286" spans="2:126" ht="30.75" hidden="1" customHeight="1" outlineLevel="1">
      <c r="C286" s="104"/>
      <c r="D286" s="4045" t="s">
        <v>1684</v>
      </c>
      <c r="E286" s="4216" t="s">
        <v>1685</v>
      </c>
      <c r="F286" s="2777" t="s">
        <v>1686</v>
      </c>
      <c r="G286" s="2289">
        <v>31</v>
      </c>
      <c r="H286" s="4240" t="s">
        <v>1687</v>
      </c>
      <c r="I286" s="4246"/>
      <c r="K286" s="181"/>
      <c r="M286" s="52"/>
      <c r="V286" s="4046" t="s">
        <v>1685</v>
      </c>
      <c r="W286" s="2948">
        <v>31</v>
      </c>
      <c r="X286" s="2948">
        <v>31</v>
      </c>
      <c r="Y286" s="2948">
        <v>31</v>
      </c>
      <c r="Z286" s="2948">
        <v>31</v>
      </c>
      <c r="AA286" s="2948">
        <v>31</v>
      </c>
      <c r="AB286" s="2460">
        <v>31</v>
      </c>
      <c r="AC286" s="2948">
        <v>31</v>
      </c>
      <c r="AD286" s="2948">
        <v>31</v>
      </c>
      <c r="AE286" s="2948">
        <v>31</v>
      </c>
      <c r="AF286" s="2236">
        <f t="shared" ref="AF286:AF300" si="28">IF(G286&lt;&gt;"",G286,"")</f>
        <v>31</v>
      </c>
      <c r="AG286" s="2948"/>
      <c r="DK286" s="696"/>
      <c r="DL286" s="696"/>
      <c r="DM286" s="696"/>
      <c r="DN286" s="696"/>
      <c r="DO286" s="696"/>
      <c r="DP286" s="696"/>
      <c r="DQ286" s="696"/>
      <c r="DR286" s="696"/>
      <c r="DS286" s="696"/>
      <c r="DT286" s="696"/>
      <c r="DU286" s="696"/>
      <c r="DV286" s="696"/>
    </row>
    <row r="287" spans="2:126" ht="30" hidden="1" customHeight="1" outlineLevel="1">
      <c r="C287" s="104"/>
      <c r="D287" s="4045"/>
      <c r="E287" s="4216"/>
      <c r="F287" s="2777" t="s">
        <v>1688</v>
      </c>
      <c r="G287" s="2289">
        <v>75.099999999999994</v>
      </c>
      <c r="H287" s="4240" t="s">
        <v>1689</v>
      </c>
      <c r="I287" s="4246"/>
      <c r="K287" s="181"/>
      <c r="M287" s="52"/>
      <c r="V287" s="4047"/>
      <c r="W287" s="2948"/>
      <c r="X287" s="2948"/>
      <c r="Y287" s="2948"/>
      <c r="Z287" s="2948"/>
      <c r="AA287" s="2948"/>
      <c r="AB287" s="2460">
        <v>75.099999999999994</v>
      </c>
      <c r="AC287" s="2948">
        <v>75.099999999999994</v>
      </c>
      <c r="AD287" s="2948">
        <v>75.099999999999994</v>
      </c>
      <c r="AE287" s="2948">
        <v>75.099999999999994</v>
      </c>
      <c r="AF287" s="2236">
        <f t="shared" si="28"/>
        <v>75.099999999999994</v>
      </c>
      <c r="AG287" s="2948"/>
      <c r="DK287" s="696"/>
      <c r="DL287" s="696"/>
      <c r="DM287" s="696"/>
      <c r="DN287" s="696"/>
      <c r="DO287" s="696"/>
      <c r="DP287" s="696"/>
      <c r="DQ287" s="696"/>
      <c r="DR287" s="696"/>
      <c r="DS287" s="696"/>
      <c r="DT287" s="696"/>
      <c r="DU287" s="696"/>
      <c r="DV287" s="696"/>
    </row>
    <row r="288" spans="2:126" hidden="1" outlineLevel="1">
      <c r="C288" s="104"/>
      <c r="D288" s="4045" t="s">
        <v>1690</v>
      </c>
      <c r="E288" s="4149" t="s">
        <v>1691</v>
      </c>
      <c r="F288" s="2777" t="s">
        <v>1686</v>
      </c>
      <c r="G288" s="2320">
        <v>0</v>
      </c>
      <c r="H288" s="4843"/>
      <c r="I288" s="4836"/>
      <c r="K288" s="181"/>
      <c r="M288" s="52"/>
      <c r="V288" s="4144" t="s">
        <v>1691</v>
      </c>
      <c r="W288" s="2803">
        <v>0</v>
      </c>
      <c r="X288" s="2803">
        <v>0</v>
      </c>
      <c r="Y288" s="2803">
        <v>0</v>
      </c>
      <c r="Z288" s="2803">
        <v>0</v>
      </c>
      <c r="AA288" s="2803">
        <v>0</v>
      </c>
      <c r="AB288" s="2643">
        <v>0</v>
      </c>
      <c r="AC288" s="2793">
        <v>0</v>
      </c>
      <c r="AD288" s="2793">
        <v>0</v>
      </c>
      <c r="AE288" s="2793">
        <v>0</v>
      </c>
      <c r="AF288" s="2236">
        <f t="shared" si="28"/>
        <v>0</v>
      </c>
      <c r="AG288" s="2803"/>
      <c r="DK288" s="696"/>
      <c r="DL288" s="696"/>
      <c r="DM288" s="696"/>
      <c r="DN288" s="696"/>
      <c r="DO288" s="696"/>
      <c r="DP288" s="696"/>
      <c r="DQ288" s="696"/>
      <c r="DR288" s="696"/>
      <c r="DS288" s="696"/>
      <c r="DT288" s="696"/>
      <c r="DU288" s="696"/>
      <c r="DV288" s="696"/>
    </row>
    <row r="289" spans="2:126" hidden="1" outlineLevel="1">
      <c r="C289" s="104"/>
      <c r="D289" s="4045"/>
      <c r="E289" s="4149"/>
      <c r="F289" s="2777" t="s">
        <v>1688</v>
      </c>
      <c r="G289" s="2320">
        <v>1</v>
      </c>
      <c r="H289" s="4843"/>
      <c r="I289" s="4836"/>
      <c r="K289" s="181"/>
      <c r="M289" s="52"/>
      <c r="V289" s="4152"/>
      <c r="W289" s="2803"/>
      <c r="X289" s="2803"/>
      <c r="Y289" s="2803"/>
      <c r="Z289" s="2803"/>
      <c r="AA289" s="2803"/>
      <c r="AB289" s="2643">
        <v>1</v>
      </c>
      <c r="AC289" s="2793">
        <v>1</v>
      </c>
      <c r="AD289" s="2793">
        <v>1</v>
      </c>
      <c r="AE289" s="2793">
        <v>1</v>
      </c>
      <c r="AF289" s="2236">
        <f t="shared" si="28"/>
        <v>1</v>
      </c>
      <c r="AG289" s="2803"/>
      <c r="DK289" s="696"/>
      <c r="DL289" s="696"/>
      <c r="DM289" s="696"/>
      <c r="DN289" s="696"/>
      <c r="DO289" s="696"/>
      <c r="DP289" s="696"/>
      <c r="DQ289" s="696"/>
      <c r="DR289" s="696"/>
      <c r="DS289" s="696"/>
      <c r="DT289" s="696"/>
      <c r="DU289" s="696"/>
      <c r="DV289" s="696"/>
    </row>
    <row r="290" spans="2:126" ht="43.5" hidden="1" customHeight="1" outlineLevel="1">
      <c r="C290" s="104"/>
      <c r="D290" s="4045"/>
      <c r="E290" s="4149"/>
      <c r="F290" s="1444" t="s">
        <v>1692</v>
      </c>
      <c r="G290" s="2320">
        <v>0.64</v>
      </c>
      <c r="H290" s="4240" t="s">
        <v>1693</v>
      </c>
      <c r="I290" s="4241"/>
      <c r="K290" s="181"/>
      <c r="M290" s="52"/>
      <c r="V290" s="4152"/>
      <c r="W290" s="2803"/>
      <c r="X290" s="2803"/>
      <c r="Y290" s="2803"/>
      <c r="Z290" s="2803"/>
      <c r="AA290" s="2803"/>
      <c r="AB290" s="2643">
        <v>0.64</v>
      </c>
      <c r="AC290" s="2793">
        <v>0.64</v>
      </c>
      <c r="AD290" s="2793">
        <v>0.64</v>
      </c>
      <c r="AE290" s="2793">
        <v>0.64</v>
      </c>
      <c r="AF290" s="2236">
        <f t="shared" si="28"/>
        <v>0.64</v>
      </c>
      <c r="AG290" s="2803"/>
      <c r="DK290" s="696"/>
      <c r="DL290" s="696"/>
      <c r="DM290" s="696"/>
      <c r="DN290" s="696"/>
      <c r="DO290" s="696"/>
      <c r="DP290" s="696"/>
      <c r="DQ290" s="696"/>
      <c r="DR290" s="696"/>
      <c r="DS290" s="696"/>
      <c r="DT290" s="696"/>
      <c r="DU290" s="696"/>
      <c r="DV290" s="696"/>
    </row>
    <row r="291" spans="2:126" ht="46.5" hidden="1" customHeight="1" outlineLevel="1">
      <c r="C291" s="104"/>
      <c r="D291" s="4045"/>
      <c r="E291" s="4149"/>
      <c r="F291" s="1444" t="s">
        <v>1694</v>
      </c>
      <c r="G291" s="2320">
        <v>0.52</v>
      </c>
      <c r="H291" s="4240" t="s">
        <v>1693</v>
      </c>
      <c r="I291" s="4241"/>
      <c r="K291" s="181"/>
      <c r="M291" s="52"/>
      <c r="V291" s="4145"/>
      <c r="W291" s="2803"/>
      <c r="X291" s="2803"/>
      <c r="Y291" s="2803"/>
      <c r="Z291" s="2803"/>
      <c r="AA291" s="2803"/>
      <c r="AB291" s="2643">
        <v>0.52</v>
      </c>
      <c r="AC291" s="2793">
        <v>0.52</v>
      </c>
      <c r="AD291" s="2793">
        <v>0.52</v>
      </c>
      <c r="AE291" s="2793">
        <v>0.52</v>
      </c>
      <c r="AF291" s="2236">
        <f t="shared" si="28"/>
        <v>0.52</v>
      </c>
      <c r="AG291" s="2803"/>
      <c r="DK291" s="696"/>
      <c r="DL291" s="696"/>
      <c r="DM291" s="696"/>
      <c r="DN291" s="696"/>
      <c r="DO291" s="696"/>
      <c r="DP291" s="696"/>
      <c r="DQ291" s="696"/>
      <c r="DR291" s="696"/>
      <c r="DS291" s="696"/>
      <c r="DT291" s="696"/>
      <c r="DU291" s="696"/>
      <c r="DV291" s="696"/>
    </row>
    <row r="292" spans="2:126" hidden="1" outlineLevel="1">
      <c r="C292" s="104"/>
      <c r="D292" s="4045" t="s">
        <v>1695</v>
      </c>
      <c r="E292" s="4149" t="s">
        <v>1696</v>
      </c>
      <c r="F292" s="2777" t="s">
        <v>1686</v>
      </c>
      <c r="G292" s="2320">
        <f>1-G288</f>
        <v>1</v>
      </c>
      <c r="H292" s="4251" t="s">
        <v>1697</v>
      </c>
      <c r="I292" s="4252"/>
      <c r="K292" s="181"/>
      <c r="M292" s="52"/>
      <c r="V292" s="4144" t="s">
        <v>1696</v>
      </c>
      <c r="W292" s="2949">
        <v>1</v>
      </c>
      <c r="X292" s="2949">
        <v>1</v>
      </c>
      <c r="Y292" s="2949">
        <v>1</v>
      </c>
      <c r="Z292" s="2949">
        <v>1</v>
      </c>
      <c r="AA292" s="2949">
        <v>1</v>
      </c>
      <c r="AB292" s="2643">
        <v>1</v>
      </c>
      <c r="AC292" s="2950">
        <v>1</v>
      </c>
      <c r="AD292" s="2950">
        <v>1</v>
      </c>
      <c r="AE292" s="2950">
        <v>1</v>
      </c>
      <c r="AF292" s="2236">
        <f t="shared" si="28"/>
        <v>1</v>
      </c>
      <c r="AG292" s="2949"/>
      <c r="DK292" s="696"/>
      <c r="DL292" s="696"/>
      <c r="DM292" s="696"/>
      <c r="DN292" s="696"/>
      <c r="DO292" s="696"/>
      <c r="DP292" s="696"/>
      <c r="DQ292" s="696"/>
      <c r="DR292" s="696"/>
      <c r="DS292" s="696"/>
      <c r="DT292" s="696"/>
      <c r="DU292" s="696"/>
      <c r="DV292" s="696"/>
    </row>
    <row r="293" spans="2:126" hidden="1" outlineLevel="1">
      <c r="C293" s="104"/>
      <c r="D293" s="4045"/>
      <c r="E293" s="4149"/>
      <c r="F293" s="2777" t="s">
        <v>1688</v>
      </c>
      <c r="G293" s="2320">
        <f>1-G289</f>
        <v>0</v>
      </c>
      <c r="H293" s="4253"/>
      <c r="I293" s="4254"/>
      <c r="K293" s="181"/>
      <c r="M293" s="52"/>
      <c r="V293" s="4152"/>
      <c r="W293" s="2949"/>
      <c r="X293" s="2949"/>
      <c r="Y293" s="2949"/>
      <c r="Z293" s="2949"/>
      <c r="AA293" s="2949"/>
      <c r="AB293" s="2643">
        <v>0</v>
      </c>
      <c r="AC293" s="2950">
        <v>0</v>
      </c>
      <c r="AD293" s="2950">
        <v>0</v>
      </c>
      <c r="AE293" s="2950">
        <v>0</v>
      </c>
      <c r="AF293" s="2236">
        <f t="shared" si="28"/>
        <v>0</v>
      </c>
      <c r="AG293" s="2949"/>
      <c r="DK293" s="696"/>
      <c r="DL293" s="696"/>
      <c r="DM293" s="696"/>
      <c r="DN293" s="696"/>
      <c r="DO293" s="696"/>
      <c r="DP293" s="696"/>
      <c r="DQ293" s="696"/>
      <c r="DR293" s="696"/>
      <c r="DS293" s="696"/>
      <c r="DT293" s="696"/>
      <c r="DU293" s="696"/>
      <c r="DV293" s="696"/>
    </row>
    <row r="294" spans="2:126" ht="30" hidden="1" outlineLevel="1">
      <c r="C294" s="104"/>
      <c r="D294" s="4045"/>
      <c r="E294" s="4149"/>
      <c r="F294" s="1444" t="s">
        <v>1692</v>
      </c>
      <c r="G294" s="2320">
        <f>1-G290</f>
        <v>0.36</v>
      </c>
      <c r="H294" s="4253"/>
      <c r="I294" s="4254"/>
      <c r="K294" s="181"/>
      <c r="M294" s="52"/>
      <c r="V294" s="4152"/>
      <c r="W294" s="2949"/>
      <c r="X294" s="2949"/>
      <c r="Y294" s="2949"/>
      <c r="Z294" s="2949"/>
      <c r="AA294" s="2949"/>
      <c r="AB294" s="2643">
        <v>0.36</v>
      </c>
      <c r="AC294" s="2950">
        <v>0.36</v>
      </c>
      <c r="AD294" s="2950">
        <v>0.36</v>
      </c>
      <c r="AE294" s="2950">
        <v>0.36</v>
      </c>
      <c r="AF294" s="2236">
        <f t="shared" si="28"/>
        <v>0.36</v>
      </c>
      <c r="AG294" s="2949"/>
      <c r="DK294" s="696"/>
      <c r="DL294" s="696"/>
      <c r="DM294" s="696"/>
      <c r="DN294" s="696"/>
      <c r="DO294" s="696"/>
      <c r="DP294" s="696"/>
      <c r="DQ294" s="696"/>
      <c r="DR294" s="696"/>
      <c r="DS294" s="696"/>
      <c r="DT294" s="696"/>
      <c r="DU294" s="696"/>
      <c r="DV294" s="696"/>
    </row>
    <row r="295" spans="2:126" ht="30" hidden="1" outlineLevel="1">
      <c r="C295" s="104"/>
      <c r="D295" s="4045"/>
      <c r="E295" s="4149"/>
      <c r="F295" s="1444" t="s">
        <v>1694</v>
      </c>
      <c r="G295" s="2320">
        <f>1-G291</f>
        <v>0.48</v>
      </c>
      <c r="H295" s="4255"/>
      <c r="I295" s="4256"/>
      <c r="K295" s="181"/>
      <c r="M295" s="52"/>
      <c r="V295" s="4145"/>
      <c r="W295" s="2949"/>
      <c r="X295" s="2949"/>
      <c r="Y295" s="2949"/>
      <c r="Z295" s="2949"/>
      <c r="AA295" s="2949"/>
      <c r="AB295" s="2643">
        <v>0.48</v>
      </c>
      <c r="AC295" s="2950">
        <v>0.48</v>
      </c>
      <c r="AD295" s="2950">
        <v>0.48</v>
      </c>
      <c r="AE295" s="2950">
        <v>0.48</v>
      </c>
      <c r="AF295" s="2236">
        <f t="shared" si="28"/>
        <v>0.48</v>
      </c>
      <c r="AG295" s="2949"/>
      <c r="DK295" s="696"/>
      <c r="DL295" s="696"/>
      <c r="DM295" s="696"/>
      <c r="DN295" s="696"/>
      <c r="DO295" s="696"/>
      <c r="DP295" s="696"/>
      <c r="DQ295" s="696"/>
      <c r="DR295" s="696"/>
      <c r="DS295" s="696"/>
      <c r="DT295" s="696"/>
      <c r="DU295" s="696"/>
      <c r="DV295" s="696"/>
    </row>
    <row r="296" spans="2:126" ht="51" hidden="1" customHeight="1" outlineLevel="1">
      <c r="C296" s="104"/>
      <c r="D296" s="4046" t="s">
        <v>128</v>
      </c>
      <c r="E296" s="4163" t="s">
        <v>1194</v>
      </c>
      <c r="F296" s="1444" t="s">
        <v>1698</v>
      </c>
      <c r="G296" s="2607">
        <v>0.95</v>
      </c>
      <c r="H296" s="4257" t="s">
        <v>1699</v>
      </c>
      <c r="I296" s="4246"/>
      <c r="K296" s="181"/>
      <c r="M296" s="52"/>
      <c r="V296" s="4144" t="s">
        <v>128</v>
      </c>
      <c r="W296" s="2950">
        <v>1</v>
      </c>
      <c r="X296" s="2950">
        <v>1</v>
      </c>
      <c r="Y296" s="2950">
        <v>1</v>
      </c>
      <c r="Z296" s="2950">
        <v>1</v>
      </c>
      <c r="AA296" s="2950">
        <v>1</v>
      </c>
      <c r="AB296" s="2886">
        <v>0.95</v>
      </c>
      <c r="AC296" s="2951">
        <v>0.95</v>
      </c>
      <c r="AD296" s="2951">
        <v>0.95</v>
      </c>
      <c r="AE296" s="2951">
        <v>0.95</v>
      </c>
      <c r="AF296" s="2236">
        <f t="shared" si="28"/>
        <v>0.95</v>
      </c>
      <c r="AG296" s="2952"/>
      <c r="DK296" s="696"/>
      <c r="DL296" s="696"/>
      <c r="DM296" s="696"/>
      <c r="DN296" s="696"/>
      <c r="DO296" s="696"/>
      <c r="DP296" s="696"/>
      <c r="DQ296" s="696"/>
      <c r="DR296" s="696"/>
      <c r="DS296" s="696"/>
      <c r="DT296" s="696"/>
      <c r="DU296" s="696"/>
      <c r="DV296" s="696"/>
    </row>
    <row r="297" spans="2:126" ht="50.25" hidden="1" customHeight="1" outlineLevel="1">
      <c r="C297" s="104"/>
      <c r="D297" s="4047"/>
      <c r="E297" s="4164"/>
      <c r="F297" s="1444" t="s">
        <v>1700</v>
      </c>
      <c r="G297" s="2607">
        <v>0.93799999999999994</v>
      </c>
      <c r="H297" s="4257" t="s">
        <v>1701</v>
      </c>
      <c r="I297" s="4246"/>
      <c r="K297" s="181"/>
      <c r="M297" s="52"/>
      <c r="V297" s="4145"/>
      <c r="W297" s="2950">
        <v>0.78</v>
      </c>
      <c r="X297" s="2950">
        <v>0.78</v>
      </c>
      <c r="Y297" s="2950">
        <v>0.78</v>
      </c>
      <c r="Z297" s="2950">
        <v>0.78</v>
      </c>
      <c r="AA297" s="2950">
        <v>0.78</v>
      </c>
      <c r="AB297" s="2953">
        <v>0.93799999999999994</v>
      </c>
      <c r="AC297" s="2954">
        <v>0.93799999999999994</v>
      </c>
      <c r="AD297" s="2954">
        <v>0.93799999999999994</v>
      </c>
      <c r="AE297" s="2954">
        <v>0.93799999999999994</v>
      </c>
      <c r="AF297" s="2236">
        <f t="shared" si="28"/>
        <v>0.93799999999999994</v>
      </c>
      <c r="AG297" s="2952"/>
      <c r="DK297" s="696"/>
      <c r="DL297" s="696"/>
      <c r="DM297" s="696"/>
      <c r="DN297" s="696"/>
      <c r="DO297" s="696"/>
      <c r="DP297" s="696"/>
      <c r="DQ297" s="696"/>
      <c r="DR297" s="696"/>
      <c r="DS297" s="696"/>
      <c r="DT297" s="696"/>
      <c r="DU297" s="696"/>
      <c r="DV297" s="696"/>
    </row>
    <row r="298" spans="2:126" ht="31.5" hidden="1" customHeight="1" outlineLevel="1">
      <c r="C298" s="104"/>
      <c r="D298" s="2432" t="s">
        <v>1437</v>
      </c>
      <c r="E298" s="2790" t="s">
        <v>1198</v>
      </c>
      <c r="F298" s="2906" t="s">
        <v>1102</v>
      </c>
      <c r="G298" s="2315">
        <v>10</v>
      </c>
      <c r="H298" s="4240" t="s">
        <v>1702</v>
      </c>
      <c r="I298" s="4241"/>
      <c r="K298" s="181"/>
      <c r="M298" s="52"/>
      <c r="V298" s="2419" t="s">
        <v>1437</v>
      </c>
      <c r="W298" s="2582">
        <v>10</v>
      </c>
      <c r="X298" s="2582">
        <v>10</v>
      </c>
      <c r="Y298" s="2582">
        <v>10</v>
      </c>
      <c r="Z298" s="2582">
        <v>10</v>
      </c>
      <c r="AA298" s="2582">
        <v>10</v>
      </c>
      <c r="AB298" s="2498">
        <v>10</v>
      </c>
      <c r="AC298" s="2582">
        <v>10</v>
      </c>
      <c r="AD298" s="2582">
        <v>10</v>
      </c>
      <c r="AE298" s="2582">
        <v>10</v>
      </c>
      <c r="AF298" s="2236">
        <f t="shared" si="28"/>
        <v>10</v>
      </c>
      <c r="AG298" s="2582"/>
    </row>
    <row r="299" spans="2:126" ht="29.25" hidden="1" customHeight="1" outlineLevel="1">
      <c r="C299" s="104"/>
      <c r="D299" s="4242" t="s">
        <v>50</v>
      </c>
      <c r="E299" s="4844" t="s">
        <v>1135</v>
      </c>
      <c r="F299" s="2907" t="s">
        <v>1195</v>
      </c>
      <c r="G299" s="2324">
        <v>20</v>
      </c>
      <c r="H299" s="4240" t="s">
        <v>1702</v>
      </c>
      <c r="I299" s="4241"/>
      <c r="K299" s="181"/>
      <c r="M299" s="52"/>
      <c r="V299" s="4233" t="s">
        <v>50</v>
      </c>
      <c r="W299" s="2583">
        <v>20</v>
      </c>
      <c r="X299" s="2583">
        <v>20</v>
      </c>
      <c r="Y299" s="2583">
        <v>20</v>
      </c>
      <c r="Z299" s="2583">
        <v>20</v>
      </c>
      <c r="AA299" s="2583">
        <v>20</v>
      </c>
      <c r="AB299" s="2482">
        <v>20</v>
      </c>
      <c r="AC299" s="2583">
        <v>20</v>
      </c>
      <c r="AD299" s="2583">
        <v>20</v>
      </c>
      <c r="AE299" s="2583">
        <v>20</v>
      </c>
      <c r="AF299" s="2236">
        <f t="shared" si="28"/>
        <v>20</v>
      </c>
      <c r="AG299" s="2583"/>
    </row>
    <row r="300" spans="2:126" ht="30.75" hidden="1" customHeight="1" outlineLevel="1">
      <c r="B300" s="579"/>
      <c r="C300" s="133"/>
      <c r="D300" s="4242"/>
      <c r="E300" s="4844"/>
      <c r="F300" s="2907" t="s">
        <v>1703</v>
      </c>
      <c r="G300" s="2324">
        <v>30</v>
      </c>
      <c r="H300" s="4240" t="s">
        <v>1702</v>
      </c>
      <c r="I300" s="4241"/>
      <c r="K300" s="181"/>
      <c r="L300" s="283"/>
      <c r="M300" s="606"/>
      <c r="N300" s="283"/>
      <c r="O300" s="283"/>
      <c r="P300" s="283"/>
      <c r="Q300" s="283"/>
      <c r="V300" s="4234"/>
      <c r="W300" s="2555"/>
      <c r="X300" s="2555"/>
      <c r="Y300" s="2555"/>
      <c r="Z300" s="2555"/>
      <c r="AA300" s="2555"/>
      <c r="AB300" s="2500">
        <v>30</v>
      </c>
      <c r="AC300" s="2555">
        <v>30</v>
      </c>
      <c r="AD300" s="2555">
        <v>30</v>
      </c>
      <c r="AE300" s="2555">
        <v>30</v>
      </c>
      <c r="AF300" s="2236">
        <f t="shared" si="28"/>
        <v>30</v>
      </c>
      <c r="AG300" s="2413"/>
    </row>
    <row r="301" spans="2:126" hidden="1" outlineLevel="1">
      <c r="B301" s="579"/>
      <c r="C301" s="133"/>
      <c r="K301" s="181"/>
      <c r="L301" s="283"/>
      <c r="M301" s="606"/>
      <c r="N301" s="283"/>
      <c r="O301" s="283"/>
      <c r="P301" s="283"/>
      <c r="Q301" s="283"/>
    </row>
    <row r="302" spans="2:126" collapsed="1">
      <c r="C302" s="104"/>
    </row>
    <row r="303" spans="2:126">
      <c r="B303" s="4025" t="s">
        <v>1169</v>
      </c>
      <c r="C303" s="4026"/>
      <c r="D303" s="4026"/>
      <c r="E303" s="4026"/>
      <c r="F303" s="4026"/>
      <c r="G303" s="4026"/>
      <c r="H303" s="4026"/>
      <c r="I303" s="4817"/>
      <c r="J303" s="4817"/>
      <c r="K303" s="4817"/>
      <c r="L303" s="4817"/>
      <c r="M303" s="4817"/>
      <c r="N303" s="4817"/>
      <c r="O303" s="4818"/>
      <c r="V303" s="4040" t="str">
        <f>B303</f>
        <v>Advanced Power Strips Tier 2  /  Advanced Control Stategies</v>
      </c>
      <c r="W303" s="4041"/>
      <c r="X303" s="4041"/>
      <c r="Y303" s="4041"/>
      <c r="Z303" s="4041"/>
      <c r="AA303" s="4041"/>
      <c r="AB303" s="4041"/>
      <c r="AC303" s="4835"/>
      <c r="AD303" s="4835"/>
      <c r="AE303" s="4835"/>
      <c r="AF303" s="4835"/>
      <c r="AG303" s="4835"/>
      <c r="AH303" s="4836"/>
    </row>
    <row r="304" spans="2:126">
      <c r="B304" s="635"/>
      <c r="C304" s="2206"/>
      <c r="D304" s="2206"/>
      <c r="E304" s="635"/>
      <c r="F304" s="635"/>
      <c r="G304" s="635"/>
      <c r="H304" s="635"/>
      <c r="I304" s="635"/>
      <c r="J304" s="635"/>
      <c r="K304" s="635"/>
      <c r="L304" s="635"/>
      <c r="M304" s="2831"/>
      <c r="N304" s="635"/>
      <c r="O304" s="635"/>
      <c r="V304" s="635"/>
      <c r="W304" s="2958"/>
      <c r="X304" s="2958"/>
      <c r="Y304" s="2958"/>
      <c r="Z304" s="2958"/>
      <c r="AA304" s="2958"/>
      <c r="AB304" s="2958"/>
      <c r="AC304" s="696"/>
      <c r="AD304" s="696"/>
      <c r="AE304" s="696"/>
      <c r="AF304" s="696"/>
      <c r="AG304" s="696"/>
      <c r="AH304" s="696"/>
    </row>
    <row r="305" spans="2:114" ht="30">
      <c r="B305" s="635"/>
      <c r="C305" s="2207" t="s">
        <v>42</v>
      </c>
      <c r="D305" s="2207" t="s">
        <v>953</v>
      </c>
      <c r="E305" s="2207" t="s">
        <v>44</v>
      </c>
      <c r="F305" s="2207" t="s">
        <v>45</v>
      </c>
      <c r="G305" s="2207" t="s">
        <v>46</v>
      </c>
      <c r="H305" s="2207" t="s">
        <v>47</v>
      </c>
      <c r="I305" s="2207" t="s">
        <v>48</v>
      </c>
      <c r="J305" s="2207" t="s">
        <v>49</v>
      </c>
      <c r="K305" s="2207" t="s">
        <v>50</v>
      </c>
      <c r="L305" s="2207" t="s">
        <v>51</v>
      </c>
      <c r="M305" s="2831"/>
      <c r="N305" s="635"/>
      <c r="O305" s="635"/>
      <c r="V305" s="2704" t="s">
        <v>52</v>
      </c>
      <c r="W305" s="2706">
        <f>$W$6</f>
        <v>43252</v>
      </c>
      <c r="X305" s="2706">
        <f>$X$6</f>
        <v>43465</v>
      </c>
      <c r="Y305" s="2706">
        <f>$Y$6</f>
        <v>43800</v>
      </c>
      <c r="Z305" s="2706">
        <f>$Z$6</f>
        <v>43862</v>
      </c>
      <c r="AA305" s="2706">
        <f>$AA$6</f>
        <v>44013</v>
      </c>
      <c r="AB305" s="2706">
        <f>$AB$6</f>
        <v>44166</v>
      </c>
      <c r="AC305" s="2705">
        <f>$AC$6</f>
        <v>44531</v>
      </c>
      <c r="AD305" s="2705">
        <f>$AD$6</f>
        <v>44774</v>
      </c>
      <c r="AE305" s="2705">
        <f>$AE$6</f>
        <v>45139</v>
      </c>
      <c r="AF305" s="2705">
        <f>$AF$6</f>
        <v>45672</v>
      </c>
      <c r="AG305" s="2705" t="str">
        <f>$AG$6</f>
        <v>-</v>
      </c>
      <c r="AH305" s="696"/>
      <c r="DG305" s="2750" t="str">
        <f>$DG$6</f>
        <v>TRC (2025)</v>
      </c>
      <c r="DH305" s="2750" t="str">
        <f>$DH$6</f>
        <v>Benefit Lookup</v>
      </c>
      <c r="DI305" s="2876" t="str">
        <f>$DI$6</f>
        <v>Benefits (2025 $)</v>
      </c>
      <c r="DJ305" s="2752" t="str">
        <f>$DJ$6</f>
        <v>Incremental Cost (2025 $)</v>
      </c>
    </row>
    <row r="306" spans="2:114" ht="30">
      <c r="B306" s="2208">
        <f t="shared" ref="B306:B309" si="29">VALUE(LEFT(C306,6))</f>
        <v>301149</v>
      </c>
      <c r="C306" s="2955" t="s">
        <v>1704</v>
      </c>
      <c r="D306" s="2409" t="s">
        <v>1139</v>
      </c>
      <c r="E306" s="2308" t="s">
        <v>1705</v>
      </c>
      <c r="F306" s="2715">
        <f>ROUND(G317*G318*G320, 2)</f>
        <v>177.08</v>
      </c>
      <c r="G306" s="2956" t="s">
        <v>1172</v>
      </c>
      <c r="H306" s="2548">
        <f>VLOOKUP(G306,'CP FACTORS'!$A$3:$B$38, 2, FALSE)</f>
        <v>1.148238E-4</v>
      </c>
      <c r="I306" s="2957">
        <f>ROUND(H306*F306,6)</f>
        <v>2.0333E-2</v>
      </c>
      <c r="J306" s="2449">
        <f>G323</f>
        <v>10</v>
      </c>
      <c r="K306" s="2665">
        <f>G324</f>
        <v>65</v>
      </c>
      <c r="L306" s="2460" t="s">
        <v>62</v>
      </c>
      <c r="M306" s="2831"/>
      <c r="N306" s="635"/>
      <c r="O306" s="635"/>
      <c r="V306" s="2425" t="s">
        <v>45</v>
      </c>
      <c r="W306" s="2959"/>
      <c r="X306" s="2959"/>
      <c r="Y306" s="2529"/>
      <c r="Z306" s="2529"/>
      <c r="AA306" s="2529"/>
      <c r="AB306" s="2554">
        <v>126.36</v>
      </c>
      <c r="AC306" s="2554">
        <v>153.9</v>
      </c>
      <c r="AD306" s="2593">
        <v>153.9</v>
      </c>
      <c r="AE306" s="2593">
        <v>153.9</v>
      </c>
      <c r="AF306" s="2236">
        <f>IF(F306&lt;&gt;"",F306,"")</f>
        <v>177.08</v>
      </c>
      <c r="AG306" s="2425"/>
      <c r="AH306" s="2960"/>
      <c r="DG306" s="2877">
        <f>(DI306)/(DJ306)</f>
        <v>1.3650421431485731</v>
      </c>
      <c r="DH306" s="2419" t="str">
        <f>CONCATENATE(G306," ",J306," Year EUL")</f>
        <v>Miscellaneous RES 10 Year EUL</v>
      </c>
      <c r="DI306" s="2878">
        <f>(INDEX('Avoided Cost Benefits'!$B$4:$B$865,MATCH(DH306,'Avoided Cost Benefits'!$A$4:$A$865,0)))*F306</f>
        <v>88.727739304657248</v>
      </c>
      <c r="DJ306" s="2879">
        <f>K306/(1.0686^(2025-2025))</f>
        <v>65</v>
      </c>
    </row>
    <row r="307" spans="2:114" ht="30">
      <c r="B307" s="2208">
        <f t="shared" si="29"/>
        <v>301150</v>
      </c>
      <c r="C307" s="2955" t="s">
        <v>1706</v>
      </c>
      <c r="D307" s="2409" t="s">
        <v>1139</v>
      </c>
      <c r="E307" s="2308" t="s">
        <v>1707</v>
      </c>
      <c r="F307" s="2715">
        <f>ROUND(G317*G318*G322, 2)</f>
        <v>174.84</v>
      </c>
      <c r="G307" s="2956" t="s">
        <v>1172</v>
      </c>
      <c r="H307" s="2548">
        <f>VLOOKUP(G307,'CP FACTORS'!$A$3:$B$38, 2, FALSE)</f>
        <v>1.148238E-4</v>
      </c>
      <c r="I307" s="2957">
        <f>ROUND(H307*F307,6)</f>
        <v>2.0076E-2</v>
      </c>
      <c r="J307" s="2449">
        <f>G323</f>
        <v>10</v>
      </c>
      <c r="K307" s="2665">
        <f>G324</f>
        <v>65</v>
      </c>
      <c r="L307" s="2460" t="s">
        <v>62</v>
      </c>
      <c r="M307" s="2831"/>
      <c r="N307" s="635"/>
      <c r="O307" s="635"/>
      <c r="V307" s="2425" t="s">
        <v>45</v>
      </c>
      <c r="W307" s="2959"/>
      <c r="X307" s="2959"/>
      <c r="Y307" s="2529"/>
      <c r="Z307" s="2529"/>
      <c r="AA307" s="2529"/>
      <c r="AB307" s="2554">
        <v>126.36</v>
      </c>
      <c r="AC307" s="2554">
        <v>151.96</v>
      </c>
      <c r="AD307" s="2593">
        <v>151.96</v>
      </c>
      <c r="AE307" s="2593">
        <v>151.96</v>
      </c>
      <c r="AF307" s="2236">
        <f>IF(F307&lt;&gt;"",F307,"")</f>
        <v>174.84</v>
      </c>
      <c r="AG307" s="2425"/>
      <c r="AH307" s="2960"/>
      <c r="DG307" s="2877">
        <f>(DI307)/(DJ307)</f>
        <v>1.3477748379720833</v>
      </c>
      <c r="DH307" s="2419" t="str">
        <f>CONCATENATE(G307," ",J307," Year EUL")</f>
        <v>Miscellaneous RES 10 Year EUL</v>
      </c>
      <c r="DI307" s="2878">
        <f>(INDEX('Avoided Cost Benefits'!$B$4:$B$865,MATCH(DH307,'Avoided Cost Benefits'!$A$4:$A$865,0)))*F307</f>
        <v>87.605364468185414</v>
      </c>
      <c r="DJ307" s="2879">
        <f>K307/(1.0686^(2025-2025))</f>
        <v>65</v>
      </c>
    </row>
    <row r="308" spans="2:114" ht="30">
      <c r="B308" s="2208">
        <f t="shared" si="29"/>
        <v>301151</v>
      </c>
      <c r="C308" s="2955" t="s">
        <v>1708</v>
      </c>
      <c r="D308" s="2409" t="s">
        <v>1139</v>
      </c>
      <c r="E308" s="2308" t="s">
        <v>1709</v>
      </c>
      <c r="F308" s="2715">
        <f>ROUND(G317*G319*G320, 2)</f>
        <v>110.68</v>
      </c>
      <c r="G308" s="2956" t="s">
        <v>1172</v>
      </c>
      <c r="H308" s="2548">
        <f>VLOOKUP(G308,'CP FACTORS'!$A$3:$B$38, 2, FALSE)</f>
        <v>1.148238E-4</v>
      </c>
      <c r="I308" s="2957">
        <f>ROUND(H308*F308,6)</f>
        <v>1.2709E-2</v>
      </c>
      <c r="J308" s="2449">
        <f>G323</f>
        <v>10</v>
      </c>
      <c r="K308" s="2665">
        <f>G324</f>
        <v>65</v>
      </c>
      <c r="L308" s="2460" t="s">
        <v>62</v>
      </c>
      <c r="M308" s="2831"/>
      <c r="N308" s="635"/>
      <c r="O308" s="635"/>
      <c r="V308" s="2425" t="s">
        <v>45</v>
      </c>
      <c r="W308" s="2555"/>
      <c r="X308" s="2555"/>
      <c r="Y308" s="2555"/>
      <c r="Z308" s="2555"/>
      <c r="AA308" s="2555"/>
      <c r="AB308" s="2555"/>
      <c r="AC308" s="2413"/>
      <c r="AD308" s="2413"/>
      <c r="AE308" s="2413"/>
      <c r="AF308" s="2236">
        <f>IF(F308&lt;&gt;"",F308,"")</f>
        <v>110.68</v>
      </c>
      <c r="AG308" s="2413"/>
      <c r="AH308" s="2728"/>
      <c r="DG308" s="2877">
        <f>(DI308)/(DJ308)</f>
        <v>0.85318988255977002</v>
      </c>
      <c r="DH308" s="2419" t="str">
        <f>CONCATENATE(G308," ",J308," Year EUL")</f>
        <v>Miscellaneous RES 10 Year EUL</v>
      </c>
      <c r="DI308" s="2878">
        <f>(INDEX('Avoided Cost Benefits'!$B$4:$B$865,MATCH(DH308,'Avoided Cost Benefits'!$A$4:$A$865,0)))*F308</f>
        <v>55.457342366385049</v>
      </c>
      <c r="DJ308" s="2879">
        <f>K308/(1.0686^(2025-2025))</f>
        <v>65</v>
      </c>
    </row>
    <row r="309" spans="2:114" ht="30">
      <c r="B309" s="2208">
        <f t="shared" si="29"/>
        <v>301152</v>
      </c>
      <c r="C309" s="2955" t="s">
        <v>1710</v>
      </c>
      <c r="D309" s="2408" t="s">
        <v>1448</v>
      </c>
      <c r="E309" s="2308" t="s">
        <v>1711</v>
      </c>
      <c r="F309" s="2715">
        <f>ROUND(G317*G319*G322, 2)</f>
        <v>109.28</v>
      </c>
      <c r="G309" s="2956" t="s">
        <v>1172</v>
      </c>
      <c r="H309" s="2548">
        <f>VLOOKUP(G309,'CP FACTORS'!$A$3:$B$38, 2, FALSE)</f>
        <v>1.148238E-4</v>
      </c>
      <c r="I309" s="2957">
        <f>ROUND(H309*F309,6)</f>
        <v>1.2548E-2</v>
      </c>
      <c r="J309" s="2449">
        <f>G323</f>
        <v>10</v>
      </c>
      <c r="K309" s="2665">
        <f>G324</f>
        <v>65</v>
      </c>
      <c r="L309" s="2460" t="s">
        <v>62</v>
      </c>
      <c r="M309" s="2831"/>
      <c r="N309" s="635"/>
      <c r="O309" s="635"/>
      <c r="V309" s="2425" t="s">
        <v>45</v>
      </c>
      <c r="W309" s="2555"/>
      <c r="X309" s="2555"/>
      <c r="Y309" s="2555"/>
      <c r="Z309" s="2555"/>
      <c r="AA309" s="2555"/>
      <c r="AB309" s="2555"/>
      <c r="AC309" s="2413"/>
      <c r="AD309" s="2413"/>
      <c r="AE309" s="2413"/>
      <c r="AF309" s="2236">
        <f>IF(F309&lt;&gt;"",F309,"")</f>
        <v>109.28</v>
      </c>
      <c r="AG309" s="2413"/>
      <c r="AH309" s="2728"/>
      <c r="DG309" s="2877">
        <f>(DI309)/(DJ309)</f>
        <v>0.8423978168244638</v>
      </c>
      <c r="DH309" s="2419" t="str">
        <f>CONCATENATE(G309," ",J309," Year EUL")</f>
        <v>Miscellaneous RES 10 Year EUL</v>
      </c>
      <c r="DI309" s="2878">
        <f>(INDEX('Avoided Cost Benefits'!$B$4:$B$865,MATCH(DH309,'Avoided Cost Benefits'!$A$4:$A$865,0)))*F309</f>
        <v>54.755858093590149</v>
      </c>
      <c r="DJ309" s="2879">
        <f>K309/(1.0686^(2025-2025))</f>
        <v>65</v>
      </c>
    </row>
    <row r="310" spans="2:114" hidden="1" outlineLevel="1">
      <c r="C310" s="104"/>
      <c r="D310" s="2624" t="s">
        <v>118</v>
      </c>
      <c r="E310" s="2696" t="s">
        <v>1179</v>
      </c>
      <c r="AH310" s="121"/>
    </row>
    <row r="311" spans="2:114" hidden="1" outlineLevel="1">
      <c r="C311" s="104"/>
      <c r="AH311" s="121"/>
    </row>
    <row r="312" spans="2:114" hidden="1" outlineLevel="1">
      <c r="C312" s="104"/>
      <c r="AH312" s="121"/>
    </row>
    <row r="313" spans="2:114" hidden="1" outlineLevel="1">
      <c r="C313" s="104"/>
      <c r="AH313" s="121"/>
    </row>
    <row r="314" spans="2:114" hidden="1" outlineLevel="1">
      <c r="C314" s="104"/>
      <c r="H314" s="635" t="s">
        <v>1180</v>
      </c>
      <c r="AH314" s="121"/>
    </row>
    <row r="315" spans="2:114" hidden="1" outlineLevel="1">
      <c r="C315" s="104"/>
      <c r="AH315" s="121"/>
    </row>
    <row r="316" spans="2:114" hidden="1" outlineLevel="1">
      <c r="C316" s="104"/>
      <c r="D316" s="2303" t="s">
        <v>1078</v>
      </c>
      <c r="E316" s="2833" t="s">
        <v>967</v>
      </c>
      <c r="F316" s="2303" t="s">
        <v>968</v>
      </c>
      <c r="G316" s="2207" t="s">
        <v>969</v>
      </c>
      <c r="H316" s="2207" t="s">
        <v>970</v>
      </c>
      <c r="I316" s="2207" t="s">
        <v>1184</v>
      </c>
      <c r="V316" s="2980" t="s">
        <v>52</v>
      </c>
      <c r="W316" s="2981">
        <f>$W$6</f>
        <v>43252</v>
      </c>
      <c r="X316" s="2981">
        <f>$X$6</f>
        <v>43465</v>
      </c>
      <c r="Y316" s="2981">
        <f>$Y$6</f>
        <v>43800</v>
      </c>
      <c r="Z316" s="2981">
        <f>$Z$6</f>
        <v>43862</v>
      </c>
      <c r="AA316" s="2981">
        <f>$AA$6</f>
        <v>44013</v>
      </c>
      <c r="AB316" s="2981">
        <f>$AB$6</f>
        <v>44166</v>
      </c>
      <c r="AC316" s="2982">
        <f>$AC$6</f>
        <v>44531</v>
      </c>
      <c r="AD316" s="2982">
        <f>$AD$6</f>
        <v>44774</v>
      </c>
      <c r="AE316" s="2982">
        <f>$AE$6</f>
        <v>45139</v>
      </c>
      <c r="AF316" s="2982">
        <f>$AF$6</f>
        <v>45672</v>
      </c>
      <c r="AG316" s="798" t="str">
        <f>$AG$6</f>
        <v>-</v>
      </c>
    </row>
    <row r="317" spans="2:114" ht="60" hidden="1" outlineLevel="1">
      <c r="C317" s="104"/>
      <c r="D317" s="2308" t="s">
        <v>1185</v>
      </c>
      <c r="E317" s="2967" t="s">
        <v>1186</v>
      </c>
      <c r="F317" s="2310" t="s">
        <v>1102</v>
      </c>
      <c r="G317" s="2968">
        <v>466</v>
      </c>
      <c r="H317" s="2459" t="s">
        <v>1712</v>
      </c>
      <c r="I317" s="2460"/>
      <c r="V317" s="2308" t="s">
        <v>1185</v>
      </c>
      <c r="W317" s="2235"/>
      <c r="X317" s="2235"/>
      <c r="Y317" s="2235"/>
      <c r="Z317" s="2235"/>
      <c r="AA317" s="2235"/>
      <c r="AB317" s="2222">
        <v>432</v>
      </c>
      <c r="AC317" s="2983">
        <v>432</v>
      </c>
      <c r="AD317" s="2983">
        <v>432</v>
      </c>
      <c r="AE317" s="2983">
        <v>432</v>
      </c>
      <c r="AF317" s="2236">
        <f t="shared" ref="AF317:AF325" si="30">IF(G317&lt;&gt;"",G317,"")</f>
        <v>466</v>
      </c>
      <c r="AG317" s="44"/>
    </row>
    <row r="318" spans="2:114" ht="75" hidden="1" outlineLevel="1">
      <c r="C318" s="104"/>
      <c r="D318" s="4150" t="s">
        <v>1188</v>
      </c>
      <c r="E318" s="4150" t="s">
        <v>1189</v>
      </c>
      <c r="F318" s="2762" t="s">
        <v>1190</v>
      </c>
      <c r="G318" s="2969">
        <v>0.4</v>
      </c>
      <c r="H318" s="2970" t="s">
        <v>1713</v>
      </c>
      <c r="I318" s="2971"/>
      <c r="V318" s="4150" t="s">
        <v>1188</v>
      </c>
      <c r="W318" s="2910"/>
      <c r="X318" s="2910"/>
      <c r="Y318" s="2910"/>
      <c r="Z318" s="2910"/>
      <c r="AA318" s="2910"/>
      <c r="AB318" s="2798"/>
      <c r="AC318" s="2984"/>
      <c r="AD318" s="2984"/>
      <c r="AE318" s="2984"/>
      <c r="AF318" s="2236">
        <f t="shared" si="30"/>
        <v>0.4</v>
      </c>
      <c r="AG318" s="725"/>
    </row>
    <row r="319" spans="2:114" ht="75" hidden="1" outlineLevel="1">
      <c r="C319" s="104"/>
      <c r="D319" s="4151"/>
      <c r="E319" s="4151"/>
      <c r="F319" s="2762" t="s">
        <v>1192</v>
      </c>
      <c r="G319" s="2969">
        <v>0.25</v>
      </c>
      <c r="H319" s="2970" t="s">
        <v>1714</v>
      </c>
      <c r="I319" s="2971"/>
      <c r="V319" s="4151"/>
      <c r="W319" s="2910"/>
      <c r="X319" s="2910"/>
      <c r="Y319" s="2910"/>
      <c r="Z319" s="2910"/>
      <c r="AA319" s="2910"/>
      <c r="AB319" s="2798"/>
      <c r="AC319" s="2984"/>
      <c r="AD319" s="2984"/>
      <c r="AE319" s="2984"/>
      <c r="AF319" s="2236">
        <f t="shared" si="30"/>
        <v>0.25</v>
      </c>
      <c r="AG319" s="725"/>
    </row>
    <row r="320" spans="2:114" hidden="1" outlineLevel="1">
      <c r="C320" s="104"/>
      <c r="D320" s="4226" t="s">
        <v>128</v>
      </c>
      <c r="E320" s="4226" t="s">
        <v>1194</v>
      </c>
      <c r="F320" s="2310" t="s">
        <v>1698</v>
      </c>
      <c r="G320" s="2607">
        <f>G296</f>
        <v>0.95</v>
      </c>
      <c r="H320" s="2971" t="s">
        <v>1715</v>
      </c>
      <c r="I320" s="2971"/>
      <c r="V320" s="4243" t="s">
        <v>128</v>
      </c>
      <c r="W320" s="2886"/>
      <c r="X320" s="2886"/>
      <c r="Y320" s="2886"/>
      <c r="Z320" s="2886"/>
      <c r="AA320" s="2886"/>
      <c r="AB320" s="2886">
        <v>1</v>
      </c>
      <c r="AC320" s="2985">
        <v>0.95</v>
      </c>
      <c r="AD320" s="2986">
        <v>0.95</v>
      </c>
      <c r="AE320" s="2986">
        <v>0.95</v>
      </c>
      <c r="AF320" s="2236">
        <f t="shared" si="30"/>
        <v>0.95</v>
      </c>
      <c r="AG320" s="987"/>
    </row>
    <row r="321" spans="1:114" hidden="1" outlineLevel="1">
      <c r="C321" s="104"/>
      <c r="D321" s="4227"/>
      <c r="E321" s="4227"/>
      <c r="F321" s="2310" t="s">
        <v>1700</v>
      </c>
      <c r="G321" s="2607">
        <f>G297</f>
        <v>0.93799999999999994</v>
      </c>
      <c r="H321" s="2971" t="s">
        <v>1715</v>
      </c>
      <c r="I321" s="2971"/>
      <c r="V321" s="4243"/>
      <c r="W321" s="2886"/>
      <c r="X321" s="2886"/>
      <c r="Y321" s="2886"/>
      <c r="Z321" s="2886"/>
      <c r="AA321" s="2886"/>
      <c r="AB321" s="2886">
        <v>0.78</v>
      </c>
      <c r="AC321" s="2985">
        <v>0.93799999999999994</v>
      </c>
      <c r="AD321" s="2986">
        <v>0.93799999999999994</v>
      </c>
      <c r="AE321" s="2986">
        <v>0.93799999999999994</v>
      </c>
      <c r="AF321" s="2236">
        <f t="shared" si="30"/>
        <v>0.93799999999999994</v>
      </c>
      <c r="AG321" s="987"/>
    </row>
    <row r="322" spans="1:114" hidden="1" outlineLevel="1">
      <c r="C322" s="104"/>
      <c r="D322" s="4228"/>
      <c r="E322" s="4228"/>
      <c r="F322" s="2521" t="s">
        <v>1531</v>
      </c>
      <c r="G322" s="2607">
        <f>G321</f>
        <v>0.93799999999999994</v>
      </c>
      <c r="H322" s="2971" t="s">
        <v>1715</v>
      </c>
      <c r="I322" s="2971"/>
      <c r="V322" s="4243"/>
      <c r="W322" s="2717"/>
      <c r="X322" s="2717"/>
      <c r="Y322" s="2717"/>
      <c r="Z322" s="2717"/>
      <c r="AA322" s="2717"/>
      <c r="AB322" s="2886">
        <v>0.78</v>
      </c>
      <c r="AC322" s="2515">
        <v>0.93799999999999994</v>
      </c>
      <c r="AD322" s="2516">
        <v>0.93799999999999994</v>
      </c>
      <c r="AE322" s="2516">
        <v>0.93799999999999994</v>
      </c>
      <c r="AF322" s="2236">
        <f t="shared" si="30"/>
        <v>0.93799999999999994</v>
      </c>
      <c r="AG322" s="134"/>
    </row>
    <row r="323" spans="1:114" ht="60" hidden="1" outlineLevel="1">
      <c r="C323" s="104"/>
      <c r="D323" s="2972" t="s">
        <v>49</v>
      </c>
      <c r="E323" s="2972" t="s">
        <v>1198</v>
      </c>
      <c r="F323" s="2973" t="s">
        <v>1102</v>
      </c>
      <c r="G323" s="2974">
        <v>10</v>
      </c>
      <c r="H323" s="2970" t="s">
        <v>1716</v>
      </c>
      <c r="I323" s="2971"/>
      <c r="V323" s="2987" t="s">
        <v>49</v>
      </c>
      <c r="W323" s="2988"/>
      <c r="X323" s="2988"/>
      <c r="Y323" s="2988"/>
      <c r="Z323" s="2988"/>
      <c r="AA323" s="2988"/>
      <c r="AB323" s="2989">
        <v>10</v>
      </c>
      <c r="AC323" s="2990">
        <v>10</v>
      </c>
      <c r="AD323" s="2990">
        <v>10</v>
      </c>
      <c r="AE323" s="2990">
        <v>10</v>
      </c>
      <c r="AF323" s="2236">
        <f t="shared" si="30"/>
        <v>10</v>
      </c>
      <c r="AG323" s="135"/>
    </row>
    <row r="324" spans="1:114" hidden="1" outlineLevel="1">
      <c r="C324" s="104"/>
      <c r="D324" s="4262" t="s">
        <v>50</v>
      </c>
      <c r="E324" s="4263" t="s">
        <v>1135</v>
      </c>
      <c r="F324" s="2975" t="s">
        <v>1195</v>
      </c>
      <c r="G324" s="2612">
        <v>65</v>
      </c>
      <c r="H324" s="2976" t="s">
        <v>1200</v>
      </c>
      <c r="I324" s="2977"/>
      <c r="V324" s="4261" t="s">
        <v>50</v>
      </c>
      <c r="W324" s="2554"/>
      <c r="X324" s="2554"/>
      <c r="Y324" s="2554"/>
      <c r="Z324" s="2554"/>
      <c r="AA324" s="2554"/>
      <c r="AB324" s="2991">
        <v>30</v>
      </c>
      <c r="AC324" s="2579">
        <v>30</v>
      </c>
      <c r="AD324" s="2579">
        <v>30</v>
      </c>
      <c r="AE324" s="2579">
        <v>30</v>
      </c>
      <c r="AF324" s="2236">
        <f t="shared" si="30"/>
        <v>65</v>
      </c>
      <c r="AG324" s="1378"/>
    </row>
    <row r="325" spans="1:114" ht="30" hidden="1" outlineLevel="1">
      <c r="C325" s="104"/>
      <c r="D325" s="4262"/>
      <c r="E325" s="4263"/>
      <c r="F325" s="2978" t="s">
        <v>1196</v>
      </c>
      <c r="G325" s="2611">
        <v>60</v>
      </c>
      <c r="H325" s="2979" t="s">
        <v>1201</v>
      </c>
      <c r="I325" s="2975" t="s">
        <v>1201</v>
      </c>
      <c r="V325" s="4261"/>
      <c r="W325" s="2555"/>
      <c r="X325" s="2555"/>
      <c r="Y325" s="2555"/>
      <c r="Z325" s="2555"/>
      <c r="AA325" s="2555"/>
      <c r="AB325" s="2991">
        <v>60</v>
      </c>
      <c r="AC325" s="2579">
        <v>60</v>
      </c>
      <c r="AD325" s="2579">
        <v>60</v>
      </c>
      <c r="AE325" s="2579">
        <v>60</v>
      </c>
      <c r="AF325" s="2236">
        <f t="shared" si="30"/>
        <v>60</v>
      </c>
      <c r="AG325" s="1378"/>
    </row>
    <row r="326" spans="1:114" hidden="1" outlineLevel="1">
      <c r="C326" s="104"/>
    </row>
    <row r="327" spans="1:114" collapsed="1">
      <c r="C327" s="104"/>
    </row>
    <row r="328" spans="1:114" s="7" customFormat="1">
      <c r="A328" s="52"/>
      <c r="B328" s="4025" t="s">
        <v>1409</v>
      </c>
      <c r="C328" s="4026"/>
      <c r="D328" s="4026"/>
      <c r="E328" s="4026"/>
      <c r="F328" s="4026"/>
      <c r="G328" s="4026"/>
      <c r="H328" s="4026"/>
      <c r="I328" s="4817"/>
      <c r="J328" s="4817"/>
      <c r="K328" s="4817"/>
      <c r="L328" s="4817"/>
      <c r="M328" s="4817"/>
      <c r="N328" s="4817"/>
      <c r="O328" s="4818"/>
      <c r="P328" s="66"/>
      <c r="Q328" s="66"/>
      <c r="R328" s="66"/>
      <c r="S328" s="66"/>
      <c r="T328" s="66"/>
      <c r="U328" s="66"/>
      <c r="V328" s="4040" t="str">
        <f>B328</f>
        <v>Weatherstripping</v>
      </c>
      <c r="W328" s="4041"/>
      <c r="X328" s="4041"/>
      <c r="Y328" s="4041"/>
      <c r="Z328" s="4041"/>
      <c r="AA328" s="4041"/>
      <c r="AB328" s="4041"/>
      <c r="AC328" s="4832"/>
      <c r="AD328" s="4832"/>
      <c r="AE328" s="4832"/>
      <c r="AF328" s="4832"/>
      <c r="AG328" s="4832"/>
      <c r="AH328" s="4832"/>
      <c r="AI328" s="4833"/>
      <c r="AU328" s="1505"/>
      <c r="DG328" s="1073"/>
      <c r="DH328" s="66"/>
      <c r="DI328" s="66"/>
      <c r="DJ328" s="1102"/>
    </row>
    <row r="329" spans="1:114" s="7" customFormat="1">
      <c r="A329" s="52"/>
      <c r="B329" s="2086"/>
      <c r="C329" s="2963"/>
      <c r="D329" s="2711"/>
      <c r="E329" s="2711"/>
      <c r="F329" s="2086"/>
      <c r="G329" s="2086"/>
      <c r="H329" s="2086"/>
      <c r="I329" s="2086"/>
      <c r="J329" s="2086"/>
      <c r="K329" s="2086"/>
      <c r="L329" s="2086"/>
      <c r="M329" s="2086"/>
      <c r="N329" s="2086"/>
      <c r="O329" s="2086"/>
      <c r="P329" s="66"/>
      <c r="Q329" s="66"/>
      <c r="R329" s="66"/>
      <c r="S329" s="66"/>
      <c r="T329" s="66"/>
      <c r="U329" s="66"/>
      <c r="V329" s="2723"/>
      <c r="W329" s="2723"/>
      <c r="X329" s="2723"/>
      <c r="Y329" s="2723"/>
      <c r="Z329" s="2723"/>
      <c r="AA329" s="2723"/>
      <c r="AB329" s="2723"/>
      <c r="AC329" s="2723"/>
      <c r="AD329" s="2723"/>
      <c r="AE329" s="2723"/>
      <c r="AF329" s="2723"/>
      <c r="AG329" s="2723"/>
      <c r="AH329" s="2723"/>
      <c r="AI329" s="2723"/>
      <c r="AU329" s="1505"/>
      <c r="DG329" s="1073"/>
      <c r="DH329" s="66"/>
      <c r="DI329" s="66"/>
      <c r="DJ329" s="1102"/>
    </row>
    <row r="330" spans="1:114" s="7" customFormat="1" ht="30">
      <c r="A330" s="52"/>
      <c r="B330" s="2086"/>
      <c r="C330" s="2964" t="s">
        <v>42</v>
      </c>
      <c r="D330" s="2964" t="s">
        <v>953</v>
      </c>
      <c r="E330" s="2965" t="s">
        <v>44</v>
      </c>
      <c r="F330" s="2964" t="s">
        <v>45</v>
      </c>
      <c r="G330" s="2965" t="s">
        <v>46</v>
      </c>
      <c r="H330" s="2965" t="s">
        <v>47</v>
      </c>
      <c r="I330" s="2965" t="s">
        <v>48</v>
      </c>
      <c r="J330" s="2965" t="s">
        <v>49</v>
      </c>
      <c r="K330" s="2965" t="s">
        <v>50</v>
      </c>
      <c r="L330" s="2964" t="s">
        <v>51</v>
      </c>
      <c r="M330" s="635"/>
      <c r="N330" s="635"/>
      <c r="O330" s="2086"/>
      <c r="P330" s="66"/>
      <c r="Q330" s="66"/>
      <c r="R330" s="66"/>
      <c r="S330" s="66"/>
      <c r="T330" s="66"/>
      <c r="U330" s="66"/>
      <c r="V330" s="2640" t="s">
        <v>52</v>
      </c>
      <c r="W330" s="2641">
        <v>43252</v>
      </c>
      <c r="X330" s="2641">
        <f>$X$6</f>
        <v>43465</v>
      </c>
      <c r="Y330" s="2641">
        <f>$Y$6</f>
        <v>43800</v>
      </c>
      <c r="Z330" s="2641">
        <f>$Z$6</f>
        <v>43862</v>
      </c>
      <c r="AA330" s="2641">
        <f>$AA$6</f>
        <v>44013</v>
      </c>
      <c r="AB330" s="2641">
        <f>$AB$6</f>
        <v>44166</v>
      </c>
      <c r="AC330" s="2641">
        <f>$AC$6</f>
        <v>44531</v>
      </c>
      <c r="AD330" s="2641">
        <f>$AD$6</f>
        <v>44774</v>
      </c>
      <c r="AE330" s="2641">
        <f>$AE$6</f>
        <v>45139</v>
      </c>
      <c r="AF330" s="2641">
        <f>$AF$6</f>
        <v>45672</v>
      </c>
      <c r="AG330" s="2641" t="str">
        <f>$AG$6</f>
        <v>-</v>
      </c>
      <c r="AH330" s="2723"/>
      <c r="AI330" s="2723"/>
      <c r="AU330" s="1505"/>
      <c r="DG330" s="2750" t="str">
        <f>$DG$6</f>
        <v>TRC (2025)</v>
      </c>
      <c r="DH330" s="2750" t="str">
        <f>$DH$6</f>
        <v>Benefit Lookup</v>
      </c>
      <c r="DI330" s="2876" t="str">
        <f>$DI$6</f>
        <v>Benefits (2025 $)</v>
      </c>
      <c r="DJ330" s="2752" t="str">
        <f>$DJ$6</f>
        <v>Incremental Cost (2025 $)</v>
      </c>
    </row>
    <row r="331" spans="1:114" s="7" customFormat="1">
      <c r="A331" s="52"/>
      <c r="B331" s="2208">
        <f>VALUE(LEFT(C331,6))</f>
        <v>301200</v>
      </c>
      <c r="C331" s="2733" t="s">
        <v>1717</v>
      </c>
      <c r="D331" s="2409" t="s">
        <v>1139</v>
      </c>
      <c r="E331" s="2714" t="s">
        <v>1411</v>
      </c>
      <c r="F331" s="2762">
        <f>ROUND(((G337 * G338 * G339) + (G337 * G338 * G340 * G341)) * G342,2)</f>
        <v>18.84</v>
      </c>
      <c r="G331" s="2478" t="s">
        <v>1380</v>
      </c>
      <c r="H331" s="2225">
        <f>VLOOKUP(G331,'CP FACTORS'!$A$3:$B$38, 2, FALSE)</f>
        <v>4.6608050000000002E-4</v>
      </c>
      <c r="I331" s="2481">
        <f>ROUND(H331*F331,6)</f>
        <v>8.7810000000000006E-3</v>
      </c>
      <c r="J331" s="2664">
        <f>G343</f>
        <v>20</v>
      </c>
      <c r="K331" s="2665">
        <f>G344</f>
        <v>5</v>
      </c>
      <c r="L331" s="2459" t="s">
        <v>62</v>
      </c>
      <c r="M331" s="2086"/>
      <c r="N331" s="2701"/>
      <c r="O331" s="2966"/>
      <c r="P331" s="66"/>
      <c r="Q331" s="66"/>
      <c r="R331" s="532"/>
      <c r="S331" s="66"/>
      <c r="T331" s="66"/>
      <c r="U331" s="66"/>
      <c r="V331" s="2962" t="s">
        <v>1315</v>
      </c>
      <c r="W331" s="2962"/>
      <c r="X331" s="2962"/>
      <c r="Y331" s="2962"/>
      <c r="Z331" s="2962"/>
      <c r="AA331" s="2962"/>
      <c r="AB331" s="2962"/>
      <c r="AC331" s="2962"/>
      <c r="AD331" s="2962"/>
      <c r="AE331" s="2962"/>
      <c r="AF331" s="2236">
        <f>IF(F331&lt;&gt;"",F331,"")</f>
        <v>18.84</v>
      </c>
      <c r="AG331" s="2962"/>
      <c r="AH331" s="2728"/>
      <c r="AI331" s="2723"/>
      <c r="AU331" s="1505"/>
      <c r="DG331" s="2961">
        <f>IFERROR((DI331)/(DJ331),0)</f>
        <v>5.7369733281538657</v>
      </c>
      <c r="DH331" s="2432" t="str">
        <f>CONCATENATE(G331," ",J331," Year EUL")</f>
        <v>Building Shell RES 20 Year EUL</v>
      </c>
      <c r="DI331" s="2604">
        <f>(INDEX('Avoided Cost Benefits'!$B$4:$B$865,MATCH(DH331,'Avoided Cost Benefits'!$A$4:$A$865,0)))*F331</f>
        <v>28.684866640769329</v>
      </c>
      <c r="DJ331" s="2605">
        <f>K331/(1.0686^(2025-2025))</f>
        <v>5</v>
      </c>
    </row>
    <row r="332" spans="1:114" s="1509" customFormat="1" hidden="1" outlineLevel="1">
      <c r="A332" s="52"/>
      <c r="B332" s="75"/>
      <c r="C332" s="1589"/>
      <c r="D332" s="2219" t="s">
        <v>118</v>
      </c>
      <c r="E332" s="2993" t="s">
        <v>1381</v>
      </c>
      <c r="F332" s="1592"/>
      <c r="G332" s="92"/>
      <c r="H332" s="92"/>
      <c r="I332" s="92"/>
      <c r="J332" s="92"/>
      <c r="K332" s="92"/>
      <c r="L332" s="92"/>
      <c r="M332" s="75"/>
      <c r="N332" s="75"/>
      <c r="O332" s="75"/>
      <c r="P332" s="75"/>
      <c r="Q332" s="75"/>
      <c r="R332" s="75"/>
      <c r="S332" s="75"/>
      <c r="T332" s="75"/>
      <c r="U332" s="75"/>
      <c r="V332" s="75"/>
      <c r="W332" s="75"/>
      <c r="X332" s="75"/>
      <c r="Y332" s="75"/>
      <c r="Z332" s="75"/>
      <c r="AA332" s="75"/>
      <c r="AB332" s="75"/>
      <c r="AC332" s="75"/>
      <c r="AD332" s="75"/>
      <c r="AE332" s="75"/>
      <c r="AF332" s="75"/>
      <c r="AG332" s="75"/>
      <c r="AU332" s="1505"/>
      <c r="DG332" s="1074"/>
      <c r="DH332" s="75"/>
      <c r="DI332" s="75"/>
      <c r="DJ332" s="1102"/>
    </row>
    <row r="333" spans="1:114" s="1509" customFormat="1" hidden="1" outlineLevel="1">
      <c r="A333" s="52"/>
      <c r="B333" s="75"/>
      <c r="C333" s="41"/>
      <c r="D333" s="2219" t="s">
        <v>963</v>
      </c>
      <c r="E333" s="2993" t="s">
        <v>1382</v>
      </c>
      <c r="F333" s="1592"/>
      <c r="G333" s="92"/>
      <c r="H333" s="92"/>
      <c r="I333" s="92"/>
      <c r="J333" s="92"/>
      <c r="K333" s="92"/>
      <c r="L333" s="92"/>
      <c r="M333" s="75"/>
      <c r="N333" s="75"/>
      <c r="O333" s="75"/>
      <c r="P333" s="75"/>
      <c r="Q333" s="75"/>
      <c r="R333" s="75"/>
      <c r="S333" s="75"/>
      <c r="T333" s="75"/>
      <c r="U333" s="75"/>
      <c r="V333" s="75"/>
      <c r="W333" s="75"/>
      <c r="X333" s="75"/>
      <c r="Y333" s="75"/>
      <c r="Z333" s="75"/>
      <c r="AA333" s="75"/>
      <c r="AB333" s="75"/>
      <c r="AC333" s="75"/>
      <c r="AD333" s="75"/>
      <c r="AE333" s="75"/>
      <c r="AF333" s="75"/>
      <c r="AG333" s="75"/>
      <c r="AU333" s="1505"/>
      <c r="DG333" s="1074"/>
      <c r="DH333" s="75"/>
      <c r="DI333" s="75"/>
      <c r="DJ333" s="1102"/>
    </row>
    <row r="334" spans="1:114" s="1509" customFormat="1" hidden="1" outlineLevel="1">
      <c r="A334" s="52"/>
      <c r="B334" s="75"/>
      <c r="C334" s="1589"/>
      <c r="D334" s="2994"/>
      <c r="E334" s="2995" t="s">
        <v>966</v>
      </c>
      <c r="F334" s="92"/>
      <c r="G334" s="92"/>
      <c r="H334" s="92"/>
      <c r="I334" s="92"/>
      <c r="J334" s="92"/>
      <c r="K334" s="92"/>
      <c r="L334" s="92"/>
      <c r="M334" s="75"/>
      <c r="N334" s="75"/>
      <c r="O334" s="75"/>
      <c r="P334" s="75"/>
      <c r="Q334" s="75"/>
      <c r="R334" s="75"/>
      <c r="S334" s="75"/>
      <c r="T334" s="75"/>
      <c r="U334" s="75"/>
      <c r="V334" s="75"/>
      <c r="W334" s="75"/>
      <c r="X334" s="75"/>
      <c r="Y334" s="75"/>
      <c r="Z334" s="75"/>
      <c r="AA334" s="75"/>
      <c r="AB334" s="75"/>
      <c r="AC334" s="75"/>
      <c r="AD334" s="75"/>
      <c r="AE334" s="75"/>
      <c r="AF334" s="75"/>
      <c r="AG334" s="75"/>
      <c r="AU334" s="1505"/>
      <c r="DG334" s="1074"/>
      <c r="DH334" s="75"/>
      <c r="DI334" s="75"/>
      <c r="DJ334" s="1102"/>
    </row>
    <row r="335" spans="1:114" s="1509" customFormat="1" hidden="1" outlineLevel="1">
      <c r="A335" s="52"/>
      <c r="B335" s="75"/>
      <c r="C335" s="1589"/>
      <c r="D335" s="92"/>
      <c r="E335" s="1593"/>
      <c r="F335" s="92"/>
      <c r="G335" s="92"/>
      <c r="H335" s="92"/>
      <c r="I335" s="92"/>
      <c r="J335" s="92"/>
      <c r="K335" s="92"/>
      <c r="L335" s="92"/>
      <c r="M335" s="75"/>
      <c r="N335" s="75"/>
      <c r="O335" s="75"/>
      <c r="P335" s="75"/>
      <c r="Q335" s="75"/>
      <c r="R335" s="75"/>
      <c r="S335" s="75"/>
      <c r="T335" s="75"/>
      <c r="U335" s="75"/>
      <c r="V335" s="75"/>
      <c r="W335" s="75"/>
      <c r="X335" s="75"/>
      <c r="Y335" s="75"/>
      <c r="Z335" s="75"/>
      <c r="AA335" s="75"/>
      <c r="AB335" s="75"/>
      <c r="AC335" s="75"/>
      <c r="AD335" s="75"/>
      <c r="AE335" s="75"/>
      <c r="AF335" s="75"/>
      <c r="AG335" s="75"/>
      <c r="AU335" s="1505"/>
      <c r="DG335" s="1074"/>
      <c r="DH335" s="75"/>
      <c r="DI335" s="75"/>
      <c r="DJ335" s="1102"/>
    </row>
    <row r="336" spans="1:114" s="1509" customFormat="1" hidden="1" outlineLevel="1">
      <c r="A336" s="52"/>
      <c r="B336" s="75"/>
      <c r="C336" s="1589"/>
      <c r="D336" s="2996" t="s">
        <v>1078</v>
      </c>
      <c r="E336" s="2996" t="s">
        <v>967</v>
      </c>
      <c r="F336" s="2964" t="s">
        <v>1215</v>
      </c>
      <c r="G336" s="2997" t="s">
        <v>969</v>
      </c>
      <c r="H336" s="4027" t="s">
        <v>970</v>
      </c>
      <c r="I336" s="4027"/>
      <c r="J336" s="4027" t="s">
        <v>755</v>
      </c>
      <c r="K336" s="4027"/>
      <c r="L336" s="4027"/>
      <c r="M336" s="75"/>
      <c r="N336" s="75"/>
      <c r="O336" s="75"/>
      <c r="P336" s="75"/>
      <c r="Q336" s="75"/>
      <c r="R336" s="75"/>
      <c r="S336" s="75"/>
      <c r="T336" s="75"/>
      <c r="U336" s="75"/>
      <c r="V336" s="2640" t="s">
        <v>52</v>
      </c>
      <c r="W336" s="2641">
        <f>W$6</f>
        <v>43252</v>
      </c>
      <c r="X336" s="2641">
        <f t="shared" ref="X336:AG336" si="31">X$6</f>
        <v>43465</v>
      </c>
      <c r="Y336" s="2642">
        <f t="shared" si="31"/>
        <v>43800</v>
      </c>
      <c r="Z336" s="2641">
        <f t="shared" si="31"/>
        <v>43862</v>
      </c>
      <c r="AA336" s="2641">
        <f t="shared" si="31"/>
        <v>44013</v>
      </c>
      <c r="AB336" s="2641">
        <f t="shared" si="31"/>
        <v>44166</v>
      </c>
      <c r="AC336" s="2641">
        <f t="shared" si="31"/>
        <v>44531</v>
      </c>
      <c r="AD336" s="2641">
        <f t="shared" si="31"/>
        <v>44774</v>
      </c>
      <c r="AE336" s="2641">
        <f t="shared" si="31"/>
        <v>45139</v>
      </c>
      <c r="AF336" s="2641">
        <f t="shared" si="31"/>
        <v>45672</v>
      </c>
      <c r="AG336" s="2641" t="str">
        <f t="shared" si="31"/>
        <v>-</v>
      </c>
      <c r="AU336" s="1505"/>
      <c r="DG336" s="1074"/>
      <c r="DH336" s="75"/>
      <c r="DI336" s="75"/>
      <c r="DJ336" s="1102"/>
    </row>
    <row r="337" spans="1:114" s="7" customFormat="1" ht="18" hidden="1" outlineLevel="1">
      <c r="A337" s="52"/>
      <c r="B337" s="122"/>
      <c r="C337" s="346"/>
      <c r="D337" s="2309" t="s">
        <v>1383</v>
      </c>
      <c r="E337" s="2309" t="s">
        <v>1384</v>
      </c>
      <c r="F337" s="2734" t="s">
        <v>1385</v>
      </c>
      <c r="G337" s="2998">
        <v>17</v>
      </c>
      <c r="H337" s="4024" t="s">
        <v>1399</v>
      </c>
      <c r="I337" s="4024"/>
      <c r="J337" s="4023"/>
      <c r="K337" s="4023"/>
      <c r="L337" s="4023"/>
      <c r="M337" s="64"/>
      <c r="N337" s="64"/>
      <c r="O337" s="64"/>
      <c r="P337" s="64"/>
      <c r="Q337" s="64"/>
      <c r="R337" s="64"/>
      <c r="S337" s="66"/>
      <c r="T337" s="66"/>
      <c r="U337" s="66"/>
      <c r="V337" s="2992" t="s">
        <v>1387</v>
      </c>
      <c r="W337" s="2684"/>
      <c r="X337" s="2684"/>
      <c r="Y337" s="2684"/>
      <c r="Z337" s="2684"/>
      <c r="AA337" s="2684"/>
      <c r="AB337" s="2684"/>
      <c r="AC337" s="2684"/>
      <c r="AD337" s="2684"/>
      <c r="AE337" s="2684"/>
      <c r="AF337" s="2236">
        <f t="shared" ref="AF337:AF344" si="32">IF(G337&lt;&gt;"",G337,"")</f>
        <v>17</v>
      </c>
      <c r="AG337" s="2684"/>
      <c r="AU337" s="1505"/>
      <c r="DG337" s="1073"/>
      <c r="DH337" s="66"/>
      <c r="DI337" s="66"/>
      <c r="DJ337" s="1102"/>
    </row>
    <row r="338" spans="1:114" s="7" customFormat="1" ht="30" hidden="1" outlineLevel="1">
      <c r="A338" s="52"/>
      <c r="B338" s="66"/>
      <c r="C338" s="346"/>
      <c r="D338" s="2309" t="s">
        <v>1388</v>
      </c>
      <c r="E338" s="2999" t="s">
        <v>1389</v>
      </c>
      <c r="F338" s="2734" t="s">
        <v>1385</v>
      </c>
      <c r="G338" s="3000">
        <v>0.8</v>
      </c>
      <c r="H338" s="4028" t="s">
        <v>1386</v>
      </c>
      <c r="I338" s="4029"/>
      <c r="J338" s="4023"/>
      <c r="K338" s="4023"/>
      <c r="L338" s="4023"/>
      <c r="M338" s="64"/>
      <c r="N338" s="64"/>
      <c r="O338" s="64"/>
      <c r="P338" s="64"/>
      <c r="Q338" s="64"/>
      <c r="R338" s="64"/>
      <c r="S338" s="66"/>
      <c r="T338" s="66"/>
      <c r="U338" s="66"/>
      <c r="V338" s="2992" t="s">
        <v>1390</v>
      </c>
      <c r="W338" s="2707"/>
      <c r="X338" s="2707"/>
      <c r="Y338" s="2707"/>
      <c r="Z338" s="2707"/>
      <c r="AA338" s="2707"/>
      <c r="AB338" s="2707"/>
      <c r="AC338" s="2707"/>
      <c r="AD338" s="2707"/>
      <c r="AE338" s="2707"/>
      <c r="AF338" s="2236">
        <f t="shared" si="32"/>
        <v>0.8</v>
      </c>
      <c r="AG338" s="2707"/>
      <c r="AU338" s="1505"/>
      <c r="DG338" s="1073"/>
      <c r="DH338" s="66"/>
      <c r="DI338" s="66"/>
      <c r="DJ338" s="1102"/>
    </row>
    <row r="339" spans="1:114" s="7" customFormat="1" ht="18" hidden="1" outlineLevel="1">
      <c r="A339" s="52"/>
      <c r="B339" s="66"/>
      <c r="C339" s="346"/>
      <c r="D339" s="2309" t="s">
        <v>1391</v>
      </c>
      <c r="E339" s="2309" t="s">
        <v>1392</v>
      </c>
      <c r="F339" s="2734" t="s">
        <v>1385</v>
      </c>
      <c r="G339" s="3000">
        <v>0.11</v>
      </c>
      <c r="H339" s="4030"/>
      <c r="I339" s="4031"/>
      <c r="J339" s="4023"/>
      <c r="K339" s="4023"/>
      <c r="L339" s="4023"/>
      <c r="M339" s="64"/>
      <c r="N339" s="64"/>
      <c r="O339" s="64"/>
      <c r="P339" s="64"/>
      <c r="Q339" s="64"/>
      <c r="R339" s="64"/>
      <c r="S339" s="66"/>
      <c r="T339" s="66"/>
      <c r="U339" s="66"/>
      <c r="V339" s="2992" t="s">
        <v>1393</v>
      </c>
      <c r="W339" s="2707"/>
      <c r="X339" s="2707"/>
      <c r="Y339" s="2707"/>
      <c r="Z339" s="2707"/>
      <c r="AA339" s="2707"/>
      <c r="AB339" s="2707"/>
      <c r="AC339" s="2707"/>
      <c r="AD339" s="2707"/>
      <c r="AE339" s="2707"/>
      <c r="AF339" s="2236">
        <f t="shared" si="32"/>
        <v>0.11</v>
      </c>
      <c r="AG339" s="2707"/>
      <c r="AU339" s="1505"/>
      <c r="DG339" s="1073"/>
      <c r="DH339" s="66"/>
      <c r="DI339" s="66"/>
      <c r="DJ339" s="1102"/>
    </row>
    <row r="340" spans="1:114" s="7" customFormat="1" ht="18" hidden="1" outlineLevel="1">
      <c r="A340" s="52"/>
      <c r="B340" s="66"/>
      <c r="C340" s="346"/>
      <c r="D340" s="2309" t="s">
        <v>1394</v>
      </c>
      <c r="E340" s="2309" t="s">
        <v>1395</v>
      </c>
      <c r="F340" s="2734" t="s">
        <v>1385</v>
      </c>
      <c r="G340" s="3000">
        <v>7.6</v>
      </c>
      <c r="H340" s="4030"/>
      <c r="I340" s="4031"/>
      <c r="J340" s="4023"/>
      <c r="K340" s="4023"/>
      <c r="L340" s="4023"/>
      <c r="M340" s="64"/>
      <c r="N340" s="64"/>
      <c r="O340" s="64"/>
      <c r="P340" s="64"/>
      <c r="Q340" s="64"/>
      <c r="R340" s="64"/>
      <c r="S340" s="66"/>
      <c r="T340" s="66"/>
      <c r="U340" s="66"/>
      <c r="V340" s="2992" t="s">
        <v>1396</v>
      </c>
      <c r="W340" s="2707"/>
      <c r="X340" s="2707"/>
      <c r="Y340" s="2707"/>
      <c r="Z340" s="2707"/>
      <c r="AA340" s="2707"/>
      <c r="AB340" s="2707"/>
      <c r="AC340" s="2707"/>
      <c r="AD340" s="2707"/>
      <c r="AE340" s="2707"/>
      <c r="AF340" s="2236">
        <f t="shared" si="32"/>
        <v>7.6</v>
      </c>
      <c r="AG340" s="2707"/>
      <c r="AU340" s="1505"/>
      <c r="DG340" s="1073"/>
      <c r="DH340" s="66"/>
      <c r="DI340" s="66"/>
      <c r="DJ340" s="1102"/>
    </row>
    <row r="341" spans="1:114" s="7" customFormat="1" hidden="1" outlineLevel="1">
      <c r="A341" s="52"/>
      <c r="B341" s="66"/>
      <c r="C341" s="346"/>
      <c r="D341" s="2309" t="s">
        <v>353</v>
      </c>
      <c r="E341" s="2309" t="s">
        <v>1397</v>
      </c>
      <c r="F341" s="2734" t="s">
        <v>1385</v>
      </c>
      <c r="G341" s="3000">
        <v>0.35</v>
      </c>
      <c r="H341" s="4032"/>
      <c r="I341" s="4033"/>
      <c r="J341" s="4023"/>
      <c r="K341" s="4023"/>
      <c r="L341" s="4023"/>
      <c r="M341" s="64"/>
      <c r="N341" s="64"/>
      <c r="O341" s="64"/>
      <c r="P341" s="64"/>
      <c r="Q341" s="64"/>
      <c r="R341" s="64"/>
      <c r="S341" s="66"/>
      <c r="T341" s="66"/>
      <c r="U341" s="66"/>
      <c r="V341" s="2992" t="s">
        <v>353</v>
      </c>
      <c r="W341" s="2684"/>
      <c r="X341" s="2684"/>
      <c r="Y341" s="2684"/>
      <c r="Z341" s="2684"/>
      <c r="AA341" s="2684"/>
      <c r="AB341" s="2684"/>
      <c r="AC341" s="2684"/>
      <c r="AD341" s="2684"/>
      <c r="AE341" s="2684"/>
      <c r="AF341" s="2236">
        <f t="shared" si="32"/>
        <v>0.35</v>
      </c>
      <c r="AG341" s="2684"/>
      <c r="AU341" s="1505"/>
      <c r="DG341" s="1073"/>
      <c r="DH341" s="66"/>
      <c r="DI341" s="66"/>
      <c r="DJ341" s="1102"/>
    </row>
    <row r="342" spans="1:114" s="273" customFormat="1" hidden="1" outlineLevel="1">
      <c r="A342" s="52"/>
      <c r="B342" s="66"/>
      <c r="C342" s="1595"/>
      <c r="D342" s="2309" t="s">
        <v>128</v>
      </c>
      <c r="E342" s="2309" t="s">
        <v>1198</v>
      </c>
      <c r="F342" s="2734" t="s">
        <v>1385</v>
      </c>
      <c r="G342" s="3001">
        <v>0.5</v>
      </c>
      <c r="H342" s="4021" t="s">
        <v>1399</v>
      </c>
      <c r="I342" s="4021"/>
      <c r="J342" s="4023"/>
      <c r="K342" s="4023"/>
      <c r="L342" s="4023"/>
      <c r="M342" s="283"/>
      <c r="N342" s="283"/>
      <c r="O342" s="283"/>
      <c r="P342" s="283"/>
      <c r="Q342" s="283"/>
      <c r="R342" s="283"/>
      <c r="S342" s="366"/>
      <c r="T342" s="283"/>
      <c r="U342" s="283"/>
      <c r="V342" s="2992" t="s">
        <v>128</v>
      </c>
      <c r="W342" s="2600"/>
      <c r="X342" s="2600"/>
      <c r="Y342" s="2600"/>
      <c r="Z342" s="2600"/>
      <c r="AA342" s="2600"/>
      <c r="AB342" s="2600"/>
      <c r="AC342" s="2600"/>
      <c r="AD342" s="2600"/>
      <c r="AE342" s="2600"/>
      <c r="AF342" s="2236">
        <f t="shared" si="32"/>
        <v>0.5</v>
      </c>
      <c r="AG342" s="2600"/>
      <c r="AK342" s="358"/>
      <c r="DG342" s="540"/>
      <c r="DH342" s="283"/>
      <c r="DI342" s="283"/>
      <c r="DJ342" s="1102"/>
    </row>
    <row r="343" spans="1:114" s="273" customFormat="1" ht="14.45" hidden="1" customHeight="1" outlineLevel="1">
      <c r="A343" s="52"/>
      <c r="B343" s="66"/>
      <c r="C343" s="1595"/>
      <c r="D343" s="2309" t="s">
        <v>49</v>
      </c>
      <c r="E343" s="2309" t="s">
        <v>1198</v>
      </c>
      <c r="F343" s="2734" t="s">
        <v>1385</v>
      </c>
      <c r="G343" s="2378">
        <v>20</v>
      </c>
      <c r="H343" s="4024" t="s">
        <v>1718</v>
      </c>
      <c r="I343" s="4024"/>
      <c r="J343" s="4023"/>
      <c r="K343" s="4023"/>
      <c r="L343" s="4023"/>
      <c r="M343" s="283"/>
      <c r="N343" s="283"/>
      <c r="O343" s="283"/>
      <c r="P343" s="283"/>
      <c r="Q343" s="283"/>
      <c r="R343" s="283"/>
      <c r="S343" s="366"/>
      <c r="T343" s="283"/>
      <c r="U343" s="283"/>
      <c r="V343" s="2992" t="s">
        <v>49</v>
      </c>
      <c r="W343" s="2600"/>
      <c r="X343" s="2600"/>
      <c r="Y343" s="2600"/>
      <c r="Z343" s="2600"/>
      <c r="AA343" s="2600"/>
      <c r="AB343" s="2600"/>
      <c r="AC343" s="2600"/>
      <c r="AD343" s="2600"/>
      <c r="AE343" s="2600"/>
      <c r="AF343" s="2236">
        <f t="shared" si="32"/>
        <v>20</v>
      </c>
      <c r="AG343" s="2600"/>
      <c r="AK343" s="358"/>
      <c r="DG343" s="540"/>
      <c r="DH343" s="283"/>
      <c r="DI343" s="283"/>
      <c r="DJ343" s="1102"/>
    </row>
    <row r="344" spans="1:114" s="273" customFormat="1" hidden="1" outlineLevel="1">
      <c r="A344" s="52"/>
      <c r="B344" s="66"/>
      <c r="C344" s="1595"/>
      <c r="D344" s="2309" t="s">
        <v>50</v>
      </c>
      <c r="E344" s="2309" t="s">
        <v>1135</v>
      </c>
      <c r="F344" s="2734" t="s">
        <v>1385</v>
      </c>
      <c r="G344" s="2263">
        <v>5</v>
      </c>
      <c r="H344" s="4021" t="s">
        <v>1399</v>
      </c>
      <c r="I344" s="4021"/>
      <c r="J344" s="4022"/>
      <c r="K344" s="4022"/>
      <c r="L344" s="4022"/>
      <c r="M344" s="283"/>
      <c r="N344" s="283"/>
      <c r="O344" s="283"/>
      <c r="P344" s="283"/>
      <c r="Q344" s="283"/>
      <c r="R344" s="283"/>
      <c r="S344" s="1023"/>
      <c r="T344" s="283"/>
      <c r="U344" s="283"/>
      <c r="V344" s="2992" t="s">
        <v>50</v>
      </c>
      <c r="W344" s="2600"/>
      <c r="X344" s="2600"/>
      <c r="Y344" s="2600"/>
      <c r="Z344" s="2600"/>
      <c r="AA344" s="2600"/>
      <c r="AB344" s="2600"/>
      <c r="AC344" s="2600"/>
      <c r="AD344" s="2600"/>
      <c r="AE344" s="2600"/>
      <c r="AF344" s="2236">
        <f t="shared" si="32"/>
        <v>5</v>
      </c>
      <c r="AG344" s="2600"/>
      <c r="AK344" s="358"/>
      <c r="DG344" s="540"/>
      <c r="DH344" s="283"/>
      <c r="DI344" s="283"/>
      <c r="DJ344" s="1102"/>
    </row>
    <row r="345" spans="1:114" s="7" customFormat="1" ht="15.75" hidden="1" customHeight="1" outlineLevel="1">
      <c r="A345" s="52"/>
      <c r="B345" s="66"/>
      <c r="C345" s="64"/>
      <c r="D345" s="64"/>
      <c r="E345" s="64"/>
      <c r="F345" s="64"/>
      <c r="G345" s="64"/>
      <c r="H345" s="64"/>
      <c r="I345" s="64"/>
      <c r="J345" s="64"/>
      <c r="K345" s="64"/>
      <c r="L345" s="64"/>
      <c r="M345" s="64"/>
      <c r="N345" s="64"/>
      <c r="O345" s="64"/>
      <c r="P345" s="64"/>
      <c r="Q345" s="64"/>
      <c r="R345" s="64"/>
      <c r="S345" s="66"/>
      <c r="T345" s="66"/>
      <c r="U345" s="66"/>
      <c r="AU345" s="1505"/>
      <c r="DG345" s="1073"/>
      <c r="DH345" s="66"/>
      <c r="DI345" s="66"/>
      <c r="DJ345" s="1102"/>
    </row>
    <row r="346" spans="1:114" s="7" customFormat="1" hidden="1" outlineLevel="1">
      <c r="A346" s="52"/>
      <c r="B346" s="66"/>
      <c r="C346" s="64"/>
      <c r="D346" s="64"/>
      <c r="E346" s="64"/>
      <c r="F346" s="64"/>
      <c r="G346" s="64"/>
      <c r="H346" s="64"/>
      <c r="I346" s="64"/>
      <c r="J346" s="64"/>
      <c r="K346" s="64"/>
      <c r="L346" s="64"/>
      <c r="M346" s="64"/>
      <c r="N346" s="64"/>
      <c r="O346" s="64"/>
      <c r="P346" s="64"/>
      <c r="Q346" s="64"/>
      <c r="R346" s="64"/>
      <c r="S346" s="66"/>
      <c r="T346" s="66"/>
      <c r="U346" s="66"/>
      <c r="AU346" s="1505"/>
      <c r="DG346" s="1073"/>
      <c r="DH346" s="66"/>
      <c r="DI346" s="66"/>
      <c r="DJ346" s="1102"/>
    </row>
    <row r="347" spans="1:114" collapsed="1"/>
  </sheetData>
  <autoFilter ref="A1:A5115" xr:uid="{00000000-0001-0000-0400-000000000000}"/>
  <mergeCells count="449">
    <mergeCell ref="V170:V171"/>
    <mergeCell ref="V160:V162"/>
    <mergeCell ref="V165:V166"/>
    <mergeCell ref="H155:I155"/>
    <mergeCell ref="J102:K102"/>
    <mergeCell ref="J105:K105"/>
    <mergeCell ref="J104:K104"/>
    <mergeCell ref="J114:K114"/>
    <mergeCell ref="J122:K122"/>
    <mergeCell ref="J123:K123"/>
    <mergeCell ref="J124:K124"/>
    <mergeCell ref="J125:K125"/>
    <mergeCell ref="J126:K126"/>
    <mergeCell ref="J115:K115"/>
    <mergeCell ref="J148:K148"/>
    <mergeCell ref="J149:K149"/>
    <mergeCell ref="J152:K152"/>
    <mergeCell ref="J154:K154"/>
    <mergeCell ref="J155:K155"/>
    <mergeCell ref="H148:I148"/>
    <mergeCell ref="V152:V153"/>
    <mergeCell ref="V157:V158"/>
    <mergeCell ref="J157:K157"/>
    <mergeCell ref="J116:K116"/>
    <mergeCell ref="V324:V325"/>
    <mergeCell ref="H344:I344"/>
    <mergeCell ref="J344:L344"/>
    <mergeCell ref="B328:O328"/>
    <mergeCell ref="V328:AI328"/>
    <mergeCell ref="H336:I336"/>
    <mergeCell ref="J336:L336"/>
    <mergeCell ref="H337:I337"/>
    <mergeCell ref="J337:L337"/>
    <mergeCell ref="J338:L338"/>
    <mergeCell ref="J339:L339"/>
    <mergeCell ref="J340:L340"/>
    <mergeCell ref="J341:L341"/>
    <mergeCell ref="H342:I342"/>
    <mergeCell ref="J342:L342"/>
    <mergeCell ref="H343:I343"/>
    <mergeCell ref="J343:L343"/>
    <mergeCell ref="H338:I341"/>
    <mergeCell ref="D324:D325"/>
    <mergeCell ref="E324:E325"/>
    <mergeCell ref="H151:I151"/>
    <mergeCell ref="J153:K153"/>
    <mergeCell ref="J156:K156"/>
    <mergeCell ref="J150:K150"/>
    <mergeCell ref="J166:K166"/>
    <mergeCell ref="J158:K158"/>
    <mergeCell ref="H162:I162"/>
    <mergeCell ref="H161:I161"/>
    <mergeCell ref="H156:I156"/>
    <mergeCell ref="H158:I158"/>
    <mergeCell ref="H157:I157"/>
    <mergeCell ref="J159:K159"/>
    <mergeCell ref="J160:K160"/>
    <mergeCell ref="J161:K161"/>
    <mergeCell ref="J162:K162"/>
    <mergeCell ref="J164:K164"/>
    <mergeCell ref="J165:K165"/>
    <mergeCell ref="J151:K151"/>
    <mergeCell ref="H154:I154"/>
    <mergeCell ref="H153:I153"/>
    <mergeCell ref="H152:I152"/>
    <mergeCell ref="H160:I160"/>
    <mergeCell ref="H159:I159"/>
    <mergeCell ref="J163:K163"/>
    <mergeCell ref="V320:V322"/>
    <mergeCell ref="H256:I256"/>
    <mergeCell ref="D252:D254"/>
    <mergeCell ref="J261:L261"/>
    <mergeCell ref="E299:E300"/>
    <mergeCell ref="V296:V297"/>
    <mergeCell ref="B303:O303"/>
    <mergeCell ref="V149:V150"/>
    <mergeCell ref="H285:I285"/>
    <mergeCell ref="E219:E220"/>
    <mergeCell ref="H286:I286"/>
    <mergeCell ref="H287:I287"/>
    <mergeCell ref="H288:I288"/>
    <mergeCell ref="H289:I289"/>
    <mergeCell ref="D296:D297"/>
    <mergeCell ref="E296:E297"/>
    <mergeCell ref="H244:I245"/>
    <mergeCell ref="H292:I295"/>
    <mergeCell ref="H296:I296"/>
    <mergeCell ref="H297:I297"/>
    <mergeCell ref="H262:I262"/>
    <mergeCell ref="H260:I260"/>
    <mergeCell ref="H225:I225"/>
    <mergeCell ref="H224:I224"/>
    <mergeCell ref="V303:AH303"/>
    <mergeCell ref="H291:I291"/>
    <mergeCell ref="H290:I290"/>
    <mergeCell ref="D288:D291"/>
    <mergeCell ref="E288:E291"/>
    <mergeCell ref="E292:E295"/>
    <mergeCell ref="D292:D295"/>
    <mergeCell ref="E286:E287"/>
    <mergeCell ref="D286:D287"/>
    <mergeCell ref="H298:I298"/>
    <mergeCell ref="H299:I299"/>
    <mergeCell ref="D299:D300"/>
    <mergeCell ref="V221:V223"/>
    <mergeCell ref="D244:D245"/>
    <mergeCell ref="D242:D243"/>
    <mergeCell ref="D239:D240"/>
    <mergeCell ref="V286:V287"/>
    <mergeCell ref="V288:V291"/>
    <mergeCell ref="V292:V295"/>
    <mergeCell ref="V299:V300"/>
    <mergeCell ref="V244:V245"/>
    <mergeCell ref="V242:V243"/>
    <mergeCell ref="V239:V240"/>
    <mergeCell ref="E247:E248"/>
    <mergeCell ref="D247:D248"/>
    <mergeCell ref="H222:I222"/>
    <mergeCell ref="J245:L245"/>
    <mergeCell ref="J243:L243"/>
    <mergeCell ref="J240:L240"/>
    <mergeCell ref="J238:L238"/>
    <mergeCell ref="J239:L239"/>
    <mergeCell ref="J241:L241"/>
    <mergeCell ref="J242:L242"/>
    <mergeCell ref="J244:L244"/>
    <mergeCell ref="H223:I223"/>
    <mergeCell ref="H300:I300"/>
    <mergeCell ref="E320:E322"/>
    <mergeCell ref="H254:I254"/>
    <mergeCell ref="H255:I255"/>
    <mergeCell ref="D320:D322"/>
    <mergeCell ref="D260:D261"/>
    <mergeCell ref="H261:I261"/>
    <mergeCell ref="H264:I264"/>
    <mergeCell ref="H263:I263"/>
    <mergeCell ref="D255:D256"/>
    <mergeCell ref="B267:N267"/>
    <mergeCell ref="H258:I258"/>
    <mergeCell ref="J264:L264"/>
    <mergeCell ref="J262:L262"/>
    <mergeCell ref="D257:D259"/>
    <mergeCell ref="E255:E256"/>
    <mergeCell ref="E260:E261"/>
    <mergeCell ref="D318:D319"/>
    <mergeCell ref="E318:E319"/>
    <mergeCell ref="H259:I259"/>
    <mergeCell ref="E257:E259"/>
    <mergeCell ref="J263:L263"/>
    <mergeCell ref="H257:I257"/>
    <mergeCell ref="E160:E162"/>
    <mergeCell ref="D160:D162"/>
    <mergeCell ref="E157:E158"/>
    <mergeCell ref="D157:D158"/>
    <mergeCell ref="H164:I164"/>
    <mergeCell ref="H163:I163"/>
    <mergeCell ref="H165:I166"/>
    <mergeCell ref="H172:I172"/>
    <mergeCell ref="H171:I171"/>
    <mergeCell ref="H170:I170"/>
    <mergeCell ref="E170:E171"/>
    <mergeCell ref="B179:N179"/>
    <mergeCell ref="J174:K174"/>
    <mergeCell ref="H176:I176"/>
    <mergeCell ref="H175:I175"/>
    <mergeCell ref="J176:K176"/>
    <mergeCell ref="H174:I174"/>
    <mergeCell ref="H173:I173"/>
    <mergeCell ref="D219:D220"/>
    <mergeCell ref="H198:I198"/>
    <mergeCell ref="H197:I197"/>
    <mergeCell ref="H207:I207"/>
    <mergeCell ref="H212:I212"/>
    <mergeCell ref="H206:I206"/>
    <mergeCell ref="H205:I205"/>
    <mergeCell ref="H210:I210"/>
    <mergeCell ref="H219:I219"/>
    <mergeCell ref="D210:D212"/>
    <mergeCell ref="D207:D208"/>
    <mergeCell ref="E210:E212"/>
    <mergeCell ref="E207:E208"/>
    <mergeCell ref="H211:I211"/>
    <mergeCell ref="H209:I209"/>
    <mergeCell ref="H208:I208"/>
    <mergeCell ref="V202:V203"/>
    <mergeCell ref="V199:V200"/>
    <mergeCell ref="H196:I196"/>
    <mergeCell ref="E194:E196"/>
    <mergeCell ref="D194:D196"/>
    <mergeCell ref="H195:I195"/>
    <mergeCell ref="H194:I194"/>
    <mergeCell ref="E199:E200"/>
    <mergeCell ref="D199:D200"/>
    <mergeCell ref="E202:E203"/>
    <mergeCell ref="D202:D203"/>
    <mergeCell ref="V194:V196"/>
    <mergeCell ref="V197:V198"/>
    <mergeCell ref="H199:I199"/>
    <mergeCell ref="H201:I201"/>
    <mergeCell ref="H200:I200"/>
    <mergeCell ref="H203:I203"/>
    <mergeCell ref="H202:I202"/>
    <mergeCell ref="V210:V212"/>
    <mergeCell ref="V207:V208"/>
    <mergeCell ref="E197:E198"/>
    <mergeCell ref="V252:V254"/>
    <mergeCell ref="V260:V261"/>
    <mergeCell ref="J258:L258"/>
    <mergeCell ref="J259:L259"/>
    <mergeCell ref="J257:L257"/>
    <mergeCell ref="J256:L256"/>
    <mergeCell ref="J254:L254"/>
    <mergeCell ref="J253:L253"/>
    <mergeCell ref="J252:L252"/>
    <mergeCell ref="J255:L255"/>
    <mergeCell ref="J260:L260"/>
    <mergeCell ref="E242:E243"/>
    <mergeCell ref="E239:E240"/>
    <mergeCell ref="H247:I247"/>
    <mergeCell ref="H213:I213"/>
    <mergeCell ref="H215:I215"/>
    <mergeCell ref="H238:I238"/>
    <mergeCell ref="V257:V259"/>
    <mergeCell ref="J247:L247"/>
    <mergeCell ref="H220:I220"/>
    <mergeCell ref="E252:E254"/>
    <mergeCell ref="D149:D150"/>
    <mergeCell ref="H149:I149"/>
    <mergeCell ref="H150:I150"/>
    <mergeCell ref="J167:K167"/>
    <mergeCell ref="J168:K168"/>
    <mergeCell ref="J169:K169"/>
    <mergeCell ref="J248:L248"/>
    <mergeCell ref="D170:D171"/>
    <mergeCell ref="H169:I169"/>
    <mergeCell ref="H168:I168"/>
    <mergeCell ref="H167:I167"/>
    <mergeCell ref="E165:E166"/>
    <mergeCell ref="D165:D166"/>
    <mergeCell ref="H216:I216"/>
    <mergeCell ref="D197:D198"/>
    <mergeCell ref="H204:I204"/>
    <mergeCell ref="H193:I193"/>
    <mergeCell ref="H240:I240"/>
    <mergeCell ref="H241:I241"/>
    <mergeCell ref="H242:I242"/>
    <mergeCell ref="H218:I218"/>
    <mergeCell ref="H217:I217"/>
    <mergeCell ref="H214:I214"/>
    <mergeCell ref="J175:K175"/>
    <mergeCell ref="V145:V147"/>
    <mergeCell ref="J117:K117"/>
    <mergeCell ref="J118:K118"/>
    <mergeCell ref="J119:K119"/>
    <mergeCell ref="J120:K120"/>
    <mergeCell ref="J121:K121"/>
    <mergeCell ref="E152:E153"/>
    <mergeCell ref="D152:D153"/>
    <mergeCell ref="D122:D123"/>
    <mergeCell ref="E145:E147"/>
    <mergeCell ref="D145:D147"/>
    <mergeCell ref="H145:I145"/>
    <mergeCell ref="H147:I147"/>
    <mergeCell ref="H146:I146"/>
    <mergeCell ref="J147:K147"/>
    <mergeCell ref="D124:D126"/>
    <mergeCell ref="J127:K127"/>
    <mergeCell ref="J128:K128"/>
    <mergeCell ref="B130:N130"/>
    <mergeCell ref="H125:I125"/>
    <mergeCell ref="H123:I123"/>
    <mergeCell ref="H124:I124"/>
    <mergeCell ref="H122:I122"/>
    <mergeCell ref="E149:E150"/>
    <mergeCell ref="J145:K145"/>
    <mergeCell ref="J146:K146"/>
    <mergeCell ref="H121:I121"/>
    <mergeCell ref="H120:I120"/>
    <mergeCell ref="H144:I144"/>
    <mergeCell ref="H118:I118"/>
    <mergeCell ref="H117:I117"/>
    <mergeCell ref="J144:K144"/>
    <mergeCell ref="H126:I126"/>
    <mergeCell ref="H127:I127"/>
    <mergeCell ref="H128:I128"/>
    <mergeCell ref="V77:V79"/>
    <mergeCell ref="B39:N39"/>
    <mergeCell ref="V39:AH39"/>
    <mergeCell ref="I68:I70"/>
    <mergeCell ref="G31:H31"/>
    <mergeCell ref="G30:H30"/>
    <mergeCell ref="G34:H34"/>
    <mergeCell ref="D100:D102"/>
    <mergeCell ref="D104:D106"/>
    <mergeCell ref="V100:V102"/>
    <mergeCell ref="V104:V106"/>
    <mergeCell ref="J106:K106"/>
    <mergeCell ref="G35:H35"/>
    <mergeCell ref="G36:H36"/>
    <mergeCell ref="G37:H37"/>
    <mergeCell ref="E74:E76"/>
    <mergeCell ref="D74:D76"/>
    <mergeCell ref="V74:V76"/>
    <mergeCell ref="D62:D63"/>
    <mergeCell ref="E62:E63"/>
    <mergeCell ref="V62:V63"/>
    <mergeCell ref="E58:E61"/>
    <mergeCell ref="V58:V61"/>
    <mergeCell ref="D68:D70"/>
    <mergeCell ref="D113:D115"/>
    <mergeCell ref="J113:K113"/>
    <mergeCell ref="E113:E115"/>
    <mergeCell ref="J95:K95"/>
    <mergeCell ref="J99:K99"/>
    <mergeCell ref="J100:K100"/>
    <mergeCell ref="J103:K103"/>
    <mergeCell ref="H101:I101"/>
    <mergeCell ref="E77:E79"/>
    <mergeCell ref="D77:D79"/>
    <mergeCell ref="V54:V57"/>
    <mergeCell ref="D58:D61"/>
    <mergeCell ref="E96:E98"/>
    <mergeCell ref="D71:D73"/>
    <mergeCell ref="D107:D109"/>
    <mergeCell ref="D96:D98"/>
    <mergeCell ref="J111:K111"/>
    <mergeCell ref="V19:V20"/>
    <mergeCell ref="D22:D23"/>
    <mergeCell ref="V22:V23"/>
    <mergeCell ref="D30:D31"/>
    <mergeCell ref="V30:V31"/>
    <mergeCell ref="D32:D33"/>
    <mergeCell ref="V32:V33"/>
    <mergeCell ref="D35:D36"/>
    <mergeCell ref="V35:V36"/>
    <mergeCell ref="D25:D26"/>
    <mergeCell ref="V25:V26"/>
    <mergeCell ref="D27:D29"/>
    <mergeCell ref="V27:V29"/>
    <mergeCell ref="E68:E70"/>
    <mergeCell ref="V68:V70"/>
    <mergeCell ref="E71:E73"/>
    <mergeCell ref="V71:V73"/>
    <mergeCell ref="A1:O1"/>
    <mergeCell ref="D2:J2"/>
    <mergeCell ref="B4:N4"/>
    <mergeCell ref="D110:D111"/>
    <mergeCell ref="G18:H18"/>
    <mergeCell ref="G19:H19"/>
    <mergeCell ref="G24:H24"/>
    <mergeCell ref="G23:H23"/>
    <mergeCell ref="G22:H22"/>
    <mergeCell ref="G21:H21"/>
    <mergeCell ref="G20:H20"/>
    <mergeCell ref="G29:H29"/>
    <mergeCell ref="G28:H28"/>
    <mergeCell ref="G27:H27"/>
    <mergeCell ref="G26:H26"/>
    <mergeCell ref="G25:H25"/>
    <mergeCell ref="G33:H33"/>
    <mergeCell ref="G32:H32"/>
    <mergeCell ref="B81:N81"/>
    <mergeCell ref="H100:I100"/>
    <mergeCell ref="J101:K101"/>
    <mergeCell ref="D54:D57"/>
    <mergeCell ref="E54:E57"/>
    <mergeCell ref="E107:E109"/>
    <mergeCell ref="V4:AH4"/>
    <mergeCell ref="D19:D20"/>
    <mergeCell ref="H95:I95"/>
    <mergeCell ref="H99:I99"/>
    <mergeCell ref="H98:I98"/>
    <mergeCell ref="H97:I97"/>
    <mergeCell ref="H110:I110"/>
    <mergeCell ref="H109:I109"/>
    <mergeCell ref="H108:I108"/>
    <mergeCell ref="H106:I106"/>
    <mergeCell ref="H105:I105"/>
    <mergeCell ref="H104:I104"/>
    <mergeCell ref="H96:I96"/>
    <mergeCell ref="E100:E102"/>
    <mergeCell ref="E104:E106"/>
    <mergeCell ref="E110:E111"/>
    <mergeCell ref="H107:I107"/>
    <mergeCell ref="V81:AH81"/>
    <mergeCell ref="J98:K98"/>
    <mergeCell ref="J96:K96"/>
    <mergeCell ref="J97:K97"/>
    <mergeCell ref="V96:V98"/>
    <mergeCell ref="H103:I103"/>
    <mergeCell ref="H102:I102"/>
    <mergeCell ref="D221:D223"/>
    <mergeCell ref="E221:E223"/>
    <mergeCell ref="H253:I253"/>
    <mergeCell ref="H251:I251"/>
    <mergeCell ref="J246:L246"/>
    <mergeCell ref="H243:I243"/>
    <mergeCell ref="H249:I249"/>
    <mergeCell ref="H248:I248"/>
    <mergeCell ref="H221:I221"/>
    <mergeCell ref="J251:L251"/>
    <mergeCell ref="J250:L250"/>
    <mergeCell ref="B227:N227"/>
    <mergeCell ref="H252:I252"/>
    <mergeCell ref="H246:I246"/>
    <mergeCell ref="J249:L249"/>
    <mergeCell ref="V107:V109"/>
    <mergeCell ref="E124:E126"/>
    <mergeCell ref="V124:V126"/>
    <mergeCell ref="H113:I113"/>
    <mergeCell ref="H112:I112"/>
    <mergeCell ref="H111:I111"/>
    <mergeCell ref="V110:V111"/>
    <mergeCell ref="J107:K107"/>
    <mergeCell ref="J108:K108"/>
    <mergeCell ref="J109:K109"/>
    <mergeCell ref="H115:I115"/>
    <mergeCell ref="E122:E123"/>
    <mergeCell ref="J110:K110"/>
    <mergeCell ref="J112:K112"/>
    <mergeCell ref="V113:V115"/>
    <mergeCell ref="H114:I114"/>
    <mergeCell ref="H119:I119"/>
    <mergeCell ref="H116:I116"/>
    <mergeCell ref="V122:V123"/>
    <mergeCell ref="V219:V220"/>
    <mergeCell ref="V247:V248"/>
    <mergeCell ref="V130:AH130"/>
    <mergeCell ref="H239:I239"/>
    <mergeCell ref="E244:E245"/>
    <mergeCell ref="V318:V319"/>
    <mergeCell ref="D154:D156"/>
    <mergeCell ref="E154:E156"/>
    <mergeCell ref="V154:V156"/>
    <mergeCell ref="D172:D174"/>
    <mergeCell ref="E172:E174"/>
    <mergeCell ref="V172:V174"/>
    <mergeCell ref="D204:D206"/>
    <mergeCell ref="E204:E206"/>
    <mergeCell ref="V204:V206"/>
    <mergeCell ref="V179:AH179"/>
    <mergeCell ref="V227:AH227"/>
    <mergeCell ref="V267:AH267"/>
    <mergeCell ref="V255:V256"/>
    <mergeCell ref="J170:K170"/>
    <mergeCell ref="J171:K171"/>
    <mergeCell ref="J172:K172"/>
    <mergeCell ref="J173:K173"/>
    <mergeCell ref="H250:I250"/>
  </mergeCells>
  <phoneticPr fontId="73" type="noConversion"/>
  <conditionalFormatting sqref="B1:B6 B11:B41 B48:B83 B87:B132 B136:B181 B185:B229 B233:B269 B279:B302 H310 C310:C311 B310:B327 E311 C312:E312 D316:F317 I316:I325 V317:V318 AB317:AB319 H317:H325 D318 F318:G319">
    <cfRule type="cellIs" dxfId="348" priority="129" operator="equal">
      <formula>"x"</formula>
    </cfRule>
  </conditionalFormatting>
  <conditionalFormatting sqref="B304:B305 B347:B1048576">
    <cfRule type="cellIs" dxfId="347" priority="127" operator="equal">
      <formula>"x"</formula>
    </cfRule>
  </conditionalFormatting>
  <conditionalFormatting sqref="B303:O303">
    <cfRule type="cellIs" dxfId="346" priority="137" operator="equal">
      <formula>"x"</formula>
    </cfRule>
  </conditionalFormatting>
  <conditionalFormatting sqref="B328:P330 N331:P331 B332:P332 B333 D333:P333 B334:P335 M336:P336 B336:C341 M337:R341 B342:B344 B345:R346">
    <cfRule type="cellIs" dxfId="345" priority="23" operator="equal">
      <formula>"x"</formula>
    </cfRule>
  </conditionalFormatting>
  <conditionalFormatting sqref="C331:D331">
    <cfRule type="cellIs" dxfId="344" priority="1" operator="equal">
      <formula>"x"</formula>
    </cfRule>
  </conditionalFormatting>
  <conditionalFormatting sqref="C305:L305">
    <cfRule type="cellIs" dxfId="343" priority="136" operator="equal">
      <formula>"x"</formula>
    </cfRule>
  </conditionalFormatting>
  <conditionalFormatting sqref="D7">
    <cfRule type="cellIs" dxfId="342" priority="13" operator="equal">
      <formula>"x"</formula>
    </cfRule>
  </conditionalFormatting>
  <conditionalFormatting sqref="D9:D11">
    <cfRule type="cellIs" dxfId="341" priority="11" operator="equal">
      <formula>"x"</formula>
    </cfRule>
  </conditionalFormatting>
  <conditionalFormatting sqref="D45">
    <cfRule type="cellIs" dxfId="340" priority="10" operator="equal">
      <formula>"x"</formula>
    </cfRule>
  </conditionalFormatting>
  <conditionalFormatting sqref="D47:D48">
    <cfRule type="cellIs" dxfId="339" priority="9" operator="equal">
      <formula>"x"</formula>
    </cfRule>
  </conditionalFormatting>
  <conditionalFormatting sqref="D84">
    <cfRule type="cellIs" dxfId="338" priority="8" operator="equal">
      <formula>"x"</formula>
    </cfRule>
  </conditionalFormatting>
  <conditionalFormatting sqref="D87">
    <cfRule type="cellIs" dxfId="337" priority="115" operator="equal">
      <formula>"x"</formula>
    </cfRule>
  </conditionalFormatting>
  <conditionalFormatting sqref="D133">
    <cfRule type="cellIs" dxfId="336" priority="7" operator="equal">
      <formula>"x"</formula>
    </cfRule>
  </conditionalFormatting>
  <conditionalFormatting sqref="D136">
    <cfRule type="cellIs" dxfId="335" priority="114" operator="equal">
      <formula>"x"</formula>
    </cfRule>
  </conditionalFormatting>
  <conditionalFormatting sqref="D182">
    <cfRule type="cellIs" dxfId="334" priority="6" operator="equal">
      <formula>"x"</formula>
    </cfRule>
  </conditionalFormatting>
  <conditionalFormatting sqref="D185">
    <cfRule type="cellIs" dxfId="333" priority="113" operator="equal">
      <formula>"x"</formula>
    </cfRule>
  </conditionalFormatting>
  <conditionalFormatting sqref="D230">
    <cfRule type="cellIs" dxfId="332" priority="5" operator="equal">
      <formula>"x"</formula>
    </cfRule>
  </conditionalFormatting>
  <conditionalFormatting sqref="D232:D233">
    <cfRule type="cellIs" dxfId="331" priority="4" operator="equal">
      <formula>"x"</formula>
    </cfRule>
  </conditionalFormatting>
  <conditionalFormatting sqref="D270:D279">
    <cfRule type="cellIs" dxfId="330" priority="3" operator="equal">
      <formula>"x"</formula>
    </cfRule>
  </conditionalFormatting>
  <conditionalFormatting sqref="D306:D308">
    <cfRule type="cellIs" dxfId="329" priority="2" operator="equal">
      <formula>"x"</formula>
    </cfRule>
  </conditionalFormatting>
  <conditionalFormatting sqref="D310">
    <cfRule type="cellIs" dxfId="328" priority="110" operator="equal">
      <formula>"x"</formula>
    </cfRule>
  </conditionalFormatting>
  <conditionalFormatting sqref="E10">
    <cfRule type="cellIs" dxfId="327" priority="14" operator="equal">
      <formula>"x"</formula>
    </cfRule>
  </conditionalFormatting>
  <conditionalFormatting sqref="F306:G309 I306:L309">
    <cfRule type="cellIs" dxfId="326" priority="122" operator="equal">
      <formula>"x"</formula>
    </cfRule>
  </conditionalFormatting>
  <conditionalFormatting sqref="G316:H316 D320 D323:F323 F325">
    <cfRule type="cellIs" dxfId="325" priority="142" operator="equal">
      <formula>"x"</formula>
    </cfRule>
  </conditionalFormatting>
  <conditionalFormatting sqref="G119:I119">
    <cfRule type="cellIs" dxfId="324" priority="101" operator="equal">
      <formula>"x"</formula>
    </cfRule>
  </conditionalFormatting>
  <conditionalFormatting sqref="G167:I167">
    <cfRule type="cellIs" dxfId="323" priority="100" operator="equal">
      <formula>"x"</formula>
    </cfRule>
  </conditionalFormatting>
  <conditionalFormatting sqref="G216:I216">
    <cfRule type="cellIs" dxfId="322" priority="105" operator="equal">
      <formula>"x"</formula>
    </cfRule>
  </conditionalFormatting>
  <conditionalFormatting sqref="H314">
    <cfRule type="cellIs" dxfId="321" priority="121" operator="equal">
      <formula>"x"</formula>
    </cfRule>
  </conditionalFormatting>
  <conditionalFormatting sqref="H331:L331">
    <cfRule type="cellIs" dxfId="320" priority="20" operator="equal">
      <formula>"x"</formula>
    </cfRule>
  </conditionalFormatting>
  <conditionalFormatting sqref="V320 V323">
    <cfRule type="cellIs" dxfId="319" priority="131" operator="equal">
      <formula>"x"</formula>
    </cfRule>
  </conditionalFormatting>
  <conditionalFormatting sqref="AB323:AE323">
    <cfRule type="cellIs" dxfId="318" priority="123" operator="equal">
      <formula>"x"</formula>
    </cfRule>
  </conditionalFormatting>
  <conditionalFormatting sqref="AF7:AF10 AF19:AF37 AF42:AF47 AF54:AF79 AF84:AF86 AF96:AF128 AF133:AF135 AF145:AF176 AF182:AF184 AF194:AF225 AF230:AF232 AF239:AF264 AF317:AF325">
    <cfRule type="expression" dxfId="317" priority="66">
      <formula>AND(AF7=AE7,AE7&lt;&gt;"")</formula>
    </cfRule>
    <cfRule type="expression" dxfId="316" priority="67">
      <formula>AF7&lt;&gt;AE7</formula>
    </cfRule>
  </conditionalFormatting>
  <conditionalFormatting sqref="AF270:AF278">
    <cfRule type="expression" dxfId="315" priority="31">
      <formula>AF270&lt;&gt;AE270</formula>
    </cfRule>
    <cfRule type="expression" dxfId="314" priority="30">
      <formula>AND(AF270=AE270,AE270&lt;&gt;"")</formula>
    </cfRule>
  </conditionalFormatting>
  <conditionalFormatting sqref="AF286:AF300">
    <cfRule type="expression" dxfId="313" priority="29">
      <formula>AF286&lt;&gt;AE286</formula>
    </cfRule>
    <cfRule type="expression" dxfId="312" priority="28">
      <formula>AND(AF286=AE286,AE286&lt;&gt;"")</formula>
    </cfRule>
  </conditionalFormatting>
  <conditionalFormatting sqref="AF306:AF309">
    <cfRule type="expression" dxfId="311" priority="27">
      <formula>AF306&lt;&gt;AE306</formula>
    </cfRule>
    <cfRule type="expression" dxfId="310" priority="26">
      <formula>AND(AF306=AE306,AE306&lt;&gt;"")</formula>
    </cfRule>
  </conditionalFormatting>
  <conditionalFormatting sqref="AF331">
    <cfRule type="expression" dxfId="309" priority="19">
      <formula>AF331&lt;&gt;AE331</formula>
    </cfRule>
    <cfRule type="expression" dxfId="308" priority="18">
      <formula>AND(AF331=AE331,AE331&lt;&gt;"")</formula>
    </cfRule>
  </conditionalFormatting>
  <conditionalFormatting sqref="AF337:AF344">
    <cfRule type="expression" dxfId="307" priority="17">
      <formula>AF337&lt;&gt;AE337</formula>
    </cfRule>
    <cfRule type="expression" dxfId="306" priority="16">
      <formula>AND(AF337=AE337,AE337&lt;&gt;"")</formula>
    </cfRule>
  </conditionalFormatting>
  <conditionalFormatting sqref="AH7:AH10 AH42:AH47 AH84:AH86 AH133:AH135 AH182:AH184 AH230:AH232">
    <cfRule type="cellIs" dxfId="305" priority="145" operator="lessThan">
      <formula>-0.1</formula>
    </cfRule>
    <cfRule type="cellIs" dxfId="304" priority="146" operator="greaterThan">
      <formula>0.1</formula>
    </cfRule>
  </conditionalFormatting>
  <conditionalFormatting sqref="AH270:AH278">
    <cfRule type="cellIs" dxfId="303" priority="147" operator="lessThan">
      <formula>-0.1</formula>
    </cfRule>
    <cfRule type="cellIs" dxfId="302" priority="148" operator="greaterThan">
      <formula>0.1</formula>
    </cfRule>
  </conditionalFormatting>
  <conditionalFormatting sqref="AH306:AH315">
    <cfRule type="cellIs" dxfId="301" priority="124" operator="lessThan">
      <formula>-0.1</formula>
    </cfRule>
    <cfRule type="cellIs" dxfId="300" priority="125" operator="greaterThan">
      <formula>0.1</formula>
    </cfRule>
  </conditionalFormatting>
  <conditionalFormatting sqref="AH331">
    <cfRule type="cellIs" dxfId="299" priority="22" operator="greaterThan">
      <formula>0.1</formula>
    </cfRule>
    <cfRule type="cellIs" dxfId="298" priority="21" operator="lessThan">
      <formula>-0.1</formula>
    </cfRule>
  </conditionalFormatting>
  <hyperlinks>
    <hyperlink ref="H168" r:id="rId1" display="http://www.nrel.gov/docs/fy10osti/47246.pdf" xr:uid="{00000000-0004-0000-0400-000004000000}"/>
  </hyperlinks>
  <pageMargins left="0.7" right="0.7" top="0.75" bottom="0.75" header="0.3" footer="0.3"/>
  <pageSetup scale="46" fitToHeight="0" orientation="landscape" r:id="rId2"/>
  <rowBreaks count="1" manualBreakCount="1">
    <brk id="265" max="14" man="1"/>
  </rowBreaks>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9999"/>
    <pageSetUpPr fitToPage="1"/>
  </sheetPr>
  <dimension ref="A1:DM5396"/>
  <sheetViews>
    <sheetView topLeftCell="A724" zoomScaleNormal="100" workbookViewId="0">
      <selection activeCell="F4467" sqref="F4467:M4467"/>
    </sheetView>
  </sheetViews>
  <sheetFormatPr defaultColWidth="9.28515625" defaultRowHeight="15" outlineLevelRow="1"/>
  <cols>
    <col min="1" max="1" width="6" style="52" customWidth="1"/>
    <col min="2" max="2" width="11.5703125" style="52" customWidth="1"/>
    <col min="3" max="3" width="19.28515625" style="41" customWidth="1"/>
    <col min="4" max="4" width="20.28515625" style="52" customWidth="1"/>
    <col min="5" max="5" width="69.42578125" style="52" customWidth="1"/>
    <col min="6" max="6" width="15.5703125" style="52" customWidth="1"/>
    <col min="7" max="7" width="27.5703125" style="52" customWidth="1"/>
    <col min="8" max="8" width="27.42578125" style="52" customWidth="1"/>
    <col min="9" max="9" width="19.42578125" style="52" customWidth="1"/>
    <col min="10" max="10" width="20.28515625" style="52" customWidth="1"/>
    <col min="11" max="11" width="12.28515625" style="52" customWidth="1"/>
    <col min="12" max="12" width="17.7109375" style="52" customWidth="1"/>
    <col min="13" max="13" width="21.5703125" style="52" customWidth="1"/>
    <col min="14" max="14" width="8.5703125" style="52" customWidth="1"/>
    <col min="15" max="15" width="25.28515625" style="52" bestFit="1" customWidth="1"/>
    <col min="16" max="16" width="14" style="52" customWidth="1"/>
    <col min="17" max="17" width="21.28515625" style="52" customWidth="1"/>
    <col min="18" max="18" width="13.28515625" style="52" customWidth="1"/>
    <col min="19" max="19" width="14.42578125" style="76" customWidth="1"/>
    <col min="20" max="20" width="9.28515625" style="76" customWidth="1"/>
    <col min="21" max="21" width="11.7109375" style="76" customWidth="1"/>
    <col min="22" max="22" width="20.5703125" style="76" customWidth="1"/>
    <col min="23" max="23" width="15.42578125" style="76" customWidth="1"/>
    <col min="24" max="24" width="18" style="76" customWidth="1"/>
    <col min="25" max="26" width="16.7109375" style="76" customWidth="1"/>
    <col min="27" max="28" width="17.42578125" style="76" customWidth="1"/>
    <col min="29" max="29" width="18.7109375" style="76" customWidth="1"/>
    <col min="30" max="31" width="15.42578125" style="76" customWidth="1"/>
    <col min="32" max="32" width="17.7109375" style="76" customWidth="1"/>
    <col min="33" max="33" width="15.42578125" style="76" customWidth="1"/>
    <col min="34" max="51" width="9.28515625" style="76" customWidth="1"/>
    <col min="52" max="52" width="12.28515625" style="76" customWidth="1"/>
    <col min="53" max="110" width="9.28515625" style="76" customWidth="1"/>
    <col min="111" max="111" width="13.28515625" style="52" bestFit="1" customWidth="1"/>
    <col min="112" max="112" width="26.42578125" style="52" customWidth="1"/>
    <col min="113" max="113" width="13.28515625" style="52" customWidth="1"/>
    <col min="114" max="114" width="19" style="1102" customWidth="1"/>
    <col min="115" max="115" width="9.28515625" style="76"/>
    <col min="116" max="116" width="9" style="52" customWidth="1"/>
    <col min="117" max="117" width="10" style="52" customWidth="1"/>
    <col min="118" max="16384" width="9.28515625" style="52"/>
  </cols>
  <sheetData>
    <row r="1" spans="1:115" s="265" customFormat="1" ht="18.75">
      <c r="A1" s="4078" t="s">
        <v>1719</v>
      </c>
      <c r="B1" s="4181"/>
      <c r="C1" s="4181"/>
      <c r="D1" s="4181"/>
      <c r="E1" s="4181"/>
      <c r="F1" s="4181"/>
      <c r="G1" s="4181"/>
      <c r="H1" s="4181"/>
      <c r="I1" s="4181"/>
      <c r="J1" s="4181"/>
      <c r="K1" s="4181"/>
      <c r="L1" s="4181"/>
      <c r="M1" s="4181"/>
      <c r="N1" s="4181"/>
      <c r="O1" s="4181"/>
      <c r="P1" s="4348"/>
      <c r="Q1" s="4349"/>
      <c r="R1" s="4349"/>
      <c r="V1" s="799"/>
      <c r="W1" s="5"/>
      <c r="X1" s="5"/>
      <c r="Y1" s="6"/>
      <c r="Z1" s="6"/>
      <c r="AA1" s="6"/>
      <c r="AB1" s="6"/>
      <c r="AC1" s="6"/>
      <c r="AD1" s="6"/>
      <c r="AE1" s="6"/>
      <c r="AF1" s="6"/>
      <c r="AG1" s="6"/>
      <c r="AH1" s="6"/>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1082"/>
      <c r="DH1" s="185"/>
      <c r="DI1" s="1083"/>
      <c r="DJ1" s="1168"/>
      <c r="DK1" s="2"/>
    </row>
    <row r="2" spans="1:115" s="265" customFormat="1" ht="30" hidden="1" customHeight="1" outlineLevel="1">
      <c r="A2" s="698"/>
      <c r="B2" s="457"/>
      <c r="C2" s="60"/>
      <c r="D2" s="4003" t="s">
        <v>39</v>
      </c>
      <c r="E2" s="4081"/>
      <c r="F2" s="4082"/>
      <c r="G2" s="4082"/>
      <c r="H2" s="4082"/>
      <c r="I2" s="4082"/>
      <c r="J2" s="4082"/>
      <c r="K2" s="264"/>
      <c r="L2" s="264"/>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1082"/>
      <c r="DH2" s="185"/>
      <c r="DI2" s="1083"/>
      <c r="DJ2" s="1168"/>
      <c r="DK2" s="2"/>
    </row>
    <row r="3" spans="1:115" s="265" customFormat="1" ht="33.75" customHeight="1" collapsed="1">
      <c r="A3" s="698"/>
      <c r="C3" s="61"/>
      <c r="D3" s="62"/>
      <c r="E3" s="62"/>
      <c r="F3" s="61"/>
      <c r="G3" s="62"/>
      <c r="H3" s="61"/>
      <c r="I3" s="61"/>
      <c r="J3" s="61"/>
      <c r="M3" s="489"/>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1084"/>
      <c r="DH3" s="185"/>
      <c r="DI3" s="1083"/>
      <c r="DJ3" s="1168"/>
      <c r="DK3" s="2"/>
    </row>
    <row r="4" spans="1:115">
      <c r="A4" s="453"/>
      <c r="B4" s="4040" t="s">
        <v>1720</v>
      </c>
      <c r="C4" s="4041"/>
      <c r="D4" s="4041"/>
      <c r="E4" s="4041"/>
      <c r="F4" s="4041"/>
      <c r="G4" s="4041"/>
      <c r="H4" s="4041"/>
      <c r="I4" s="4041"/>
      <c r="J4" s="4041"/>
      <c r="K4" s="4041"/>
      <c r="L4" s="4041"/>
      <c r="M4" s="4041"/>
      <c r="N4" s="4041"/>
      <c r="O4" s="4041"/>
      <c r="P4" s="4041"/>
      <c r="Q4" s="4350"/>
      <c r="R4" s="283"/>
      <c r="S4" s="52"/>
      <c r="T4" s="52"/>
      <c r="U4" s="52"/>
      <c r="V4" s="4040" t="str">
        <f>B4</f>
        <v>ECM/ Blower Motor</v>
      </c>
      <c r="W4" s="4041"/>
      <c r="X4" s="4041"/>
      <c r="Y4" s="4041"/>
      <c r="Z4" s="4041"/>
      <c r="AA4" s="4041"/>
      <c r="AB4" s="4041"/>
      <c r="AC4" s="4832"/>
      <c r="AD4" s="4832"/>
      <c r="AE4" s="4832"/>
      <c r="AF4" s="4832"/>
      <c r="AG4" s="4832"/>
      <c r="AH4" s="4833"/>
      <c r="DG4" s="573"/>
      <c r="DH4" s="159"/>
      <c r="DI4" s="1083"/>
    </row>
    <row r="5" spans="1:115">
      <c r="A5" s="699"/>
      <c r="B5" s="635"/>
      <c r="C5" s="2703"/>
      <c r="D5" s="3167"/>
      <c r="E5" s="3167"/>
      <c r="F5" s="2712"/>
      <c r="G5" s="3167"/>
      <c r="H5" s="2712"/>
      <c r="I5" s="2712"/>
      <c r="J5" s="2712"/>
      <c r="K5" s="2712"/>
      <c r="L5" s="2713"/>
      <c r="M5" s="2696"/>
      <c r="N5" s="2696"/>
      <c r="O5" s="2696"/>
      <c r="P5" s="2696"/>
      <c r="Q5" s="2696"/>
      <c r="R5" s="283"/>
      <c r="S5" s="52"/>
      <c r="T5" s="52"/>
      <c r="U5" s="52"/>
      <c r="V5" s="635"/>
      <c r="W5" s="2237"/>
      <c r="X5" s="2237"/>
      <c r="Y5" s="2237"/>
      <c r="Z5" s="2237"/>
      <c r="AA5" s="2237"/>
      <c r="AB5" s="2237"/>
      <c r="AC5" s="2237"/>
      <c r="AD5" s="2237"/>
      <c r="AE5" s="2237"/>
      <c r="AF5" s="2237"/>
      <c r="AG5" s="2237"/>
      <c r="AH5" s="2237"/>
      <c r="DG5" s="573"/>
      <c r="DH5" s="159"/>
      <c r="DI5" s="1083"/>
    </row>
    <row r="6" spans="1:115" ht="30">
      <c r="A6" s="453"/>
      <c r="B6" s="635"/>
      <c r="C6" s="2207" t="s">
        <v>42</v>
      </c>
      <c r="D6" s="2207" t="s">
        <v>953</v>
      </c>
      <c r="E6" s="2207" t="s">
        <v>44</v>
      </c>
      <c r="F6" s="2207" t="s">
        <v>45</v>
      </c>
      <c r="G6" s="2207" t="s">
        <v>46</v>
      </c>
      <c r="H6" s="2207" t="s">
        <v>47</v>
      </c>
      <c r="I6" s="2207" t="s">
        <v>1443</v>
      </c>
      <c r="J6" s="2207" t="s">
        <v>1444</v>
      </c>
      <c r="K6" s="2207" t="s">
        <v>1721</v>
      </c>
      <c r="L6" s="2207" t="s">
        <v>1722</v>
      </c>
      <c r="M6" s="2207" t="s">
        <v>48</v>
      </c>
      <c r="N6" s="2305" t="s">
        <v>49</v>
      </c>
      <c r="O6" s="2207" t="s">
        <v>50</v>
      </c>
      <c r="P6" s="2207" t="s">
        <v>51</v>
      </c>
      <c r="Q6" s="2696"/>
      <c r="S6" s="52"/>
      <c r="T6" s="52"/>
      <c r="U6" s="52"/>
      <c r="V6" s="2704" t="s">
        <v>52</v>
      </c>
      <c r="W6" s="2641">
        <v>43252</v>
      </c>
      <c r="X6" s="2641">
        <v>43465</v>
      </c>
      <c r="Y6" s="2641">
        <v>43800</v>
      </c>
      <c r="Z6" s="2641">
        <v>43862</v>
      </c>
      <c r="AA6" s="2641">
        <v>44013</v>
      </c>
      <c r="AB6" s="2641">
        <v>44166</v>
      </c>
      <c r="AC6" s="2641">
        <v>44531</v>
      </c>
      <c r="AD6" s="2641">
        <v>44774</v>
      </c>
      <c r="AE6" s="2641">
        <v>45142</v>
      </c>
      <c r="AF6" s="2641">
        <f>'Deemed Savings Tbl Revision Log'!C17</f>
        <v>45672</v>
      </c>
      <c r="AG6" s="2641" t="s">
        <v>53</v>
      </c>
      <c r="AH6" s="2237"/>
      <c r="DG6" s="2744" t="s">
        <v>54</v>
      </c>
      <c r="DH6" s="3243" t="s">
        <v>55</v>
      </c>
      <c r="DI6" s="3244" t="s">
        <v>56</v>
      </c>
      <c r="DJ6" s="2746" t="s">
        <v>57</v>
      </c>
    </row>
    <row r="7" spans="1:115">
      <c r="A7" s="453"/>
      <c r="B7" s="2208">
        <f t="shared" ref="B7:B14" si="0">VALUE(LEFT(C7,6))</f>
        <v>350150</v>
      </c>
      <c r="C7" s="2478" t="s">
        <v>1723</v>
      </c>
      <c r="D7" s="2408" t="s">
        <v>170</v>
      </c>
      <c r="E7" s="2419" t="s">
        <v>1724</v>
      </c>
      <c r="F7" s="2479">
        <f t="shared" ref="F7:F14" si="1">ROUND(I7+J7+K7+L7,2)</f>
        <v>579.09</v>
      </c>
      <c r="G7" s="2432" t="s">
        <v>1205</v>
      </c>
      <c r="H7" s="2213">
        <f>VLOOKUP(G7,'CP FACTORS'!$A$3:$B$38, 2, FALSE)</f>
        <v>4.6608050000000002E-4</v>
      </c>
      <c r="I7" s="2498">
        <f>(1-I26)*I$34*I$35/I$36*I53*$I$61</f>
        <v>264.14545423487061</v>
      </c>
      <c r="J7" s="2480">
        <f>(1-I37)*I$45*I$46/I$47*I53*I$61</f>
        <v>28.219354838709684</v>
      </c>
      <c r="K7" s="3203">
        <f>($I$48*I$46/I$47+$I$49*$I$50-$I$52)*I53*$I$61</f>
        <v>286.72123580720518</v>
      </c>
      <c r="L7" s="3203">
        <v>0</v>
      </c>
      <c r="M7" s="3204">
        <f t="shared" ref="M7:M14" si="2">ROUND(H7*F7,6)</f>
        <v>0.269903</v>
      </c>
      <c r="N7" s="2498">
        <f t="shared" ref="N7:N14" si="3">I62</f>
        <v>6</v>
      </c>
      <c r="O7" s="2500">
        <f t="shared" ref="O7:O14" si="4">I70</f>
        <v>87.5</v>
      </c>
      <c r="P7" s="2408" t="s">
        <v>62</v>
      </c>
      <c r="Q7" s="2696"/>
      <c r="S7" s="52"/>
      <c r="T7" s="52"/>
      <c r="U7" s="52"/>
      <c r="V7" s="2425" t="s">
        <v>45</v>
      </c>
      <c r="W7" s="2413">
        <v>591.90332067911811</v>
      </c>
      <c r="X7" s="2233">
        <v>619.79873095030314</v>
      </c>
      <c r="Y7" s="3220">
        <v>582</v>
      </c>
      <c r="Z7" s="3221">
        <v>582</v>
      </c>
      <c r="AA7" s="3221">
        <v>582</v>
      </c>
      <c r="AB7" s="3222">
        <v>582</v>
      </c>
      <c r="AC7" s="3223">
        <v>582</v>
      </c>
      <c r="AD7" s="3224">
        <v>582</v>
      </c>
      <c r="AE7" s="3224">
        <v>582</v>
      </c>
      <c r="AF7" s="2236">
        <f t="shared" ref="AF7:AF14" si="5">IF(F7&lt;&gt;"",F7,"")</f>
        <v>579.09</v>
      </c>
      <c r="AG7" s="2413"/>
      <c r="AH7" s="2728"/>
      <c r="DG7" s="2747">
        <f>(DI7+DI8)/(DJ7+DJ8)</f>
        <v>4.1244462294213049</v>
      </c>
      <c r="DH7" s="2495" t="str">
        <f t="shared" ref="DH7:DH13" si="6">CONCATENATE(G7," ",N7," Year EUL")</f>
        <v>HVAC RES 6 Year EUL</v>
      </c>
      <c r="DI7" s="3245">
        <f>(INDEX('Avoided Cost Benefits'!$B$4:$B$866,MATCH(DH7,'Avoided Cost Benefits'!$A$4:$A$866,0)))*F7</f>
        <v>360.88904507436416</v>
      </c>
      <c r="DJ7" s="2556">
        <f t="shared" ref="DJ7:DJ14" si="7">O7/(1.0686^(2025-2025))</f>
        <v>87.5</v>
      </c>
    </row>
    <row r="8" spans="1:115">
      <c r="A8" s="453"/>
      <c r="B8" s="2208">
        <f t="shared" si="0"/>
        <v>350150</v>
      </c>
      <c r="C8" s="2478" t="s">
        <v>1723</v>
      </c>
      <c r="D8" s="2408" t="s">
        <v>170</v>
      </c>
      <c r="E8" s="2419" t="s">
        <v>1725</v>
      </c>
      <c r="F8" s="2483">
        <f t="shared" si="1"/>
        <v>0</v>
      </c>
      <c r="G8" s="2419" t="str">
        <f>'CP FACTORS'!$A$17</f>
        <v>HVAC RES ER2</v>
      </c>
      <c r="H8" s="2213">
        <f>VLOOKUP(G8,'CP FACTORS'!$A$3:$B$38, 2, FALSE)</f>
        <v>4.6608050000000002E-4</v>
      </c>
      <c r="I8" s="2498">
        <f>0</f>
        <v>0</v>
      </c>
      <c r="J8" s="2498">
        <f>0</f>
        <v>0</v>
      </c>
      <c r="K8" s="2498">
        <f>0</f>
        <v>0</v>
      </c>
      <c r="L8" s="3203">
        <v>0</v>
      </c>
      <c r="M8" s="3205">
        <f t="shared" si="2"/>
        <v>0</v>
      </c>
      <c r="N8" s="2498">
        <f t="shared" si="3"/>
        <v>0</v>
      </c>
      <c r="O8" s="2482">
        <f t="shared" si="4"/>
        <v>0</v>
      </c>
      <c r="P8" s="2408" t="s">
        <v>62</v>
      </c>
      <c r="Q8" s="2696"/>
      <c r="S8" s="52"/>
      <c r="T8" s="52"/>
      <c r="U8" s="52"/>
      <c r="V8" s="2425" t="s">
        <v>45</v>
      </c>
      <c r="W8" s="2413">
        <v>591.90332067911811</v>
      </c>
      <c r="X8" s="2233">
        <v>619.79873095030314</v>
      </c>
      <c r="Y8" s="3220">
        <v>582</v>
      </c>
      <c r="Z8" s="3221">
        <v>582</v>
      </c>
      <c r="AA8" s="3221">
        <v>582</v>
      </c>
      <c r="AB8" s="3222">
        <v>582</v>
      </c>
      <c r="AC8" s="2709">
        <v>0</v>
      </c>
      <c r="AD8" s="3224">
        <v>0</v>
      </c>
      <c r="AE8" s="3224">
        <v>0</v>
      </c>
      <c r="AF8" s="2236">
        <f t="shared" si="5"/>
        <v>0</v>
      </c>
      <c r="AG8" s="2413"/>
      <c r="AH8" s="2728"/>
      <c r="DG8" s="2748"/>
      <c r="DH8" s="2423" t="str">
        <f t="shared" si="6"/>
        <v>HVAC RES ER2 0 Year EUL</v>
      </c>
      <c r="DI8" s="2511">
        <v>0</v>
      </c>
      <c r="DJ8" s="2484">
        <f t="shared" si="7"/>
        <v>0</v>
      </c>
    </row>
    <row r="9" spans="1:115">
      <c r="A9" s="453"/>
      <c r="B9" s="2208">
        <f t="shared" si="0"/>
        <v>350175</v>
      </c>
      <c r="C9" s="2584" t="s">
        <v>1726</v>
      </c>
      <c r="D9" s="2408" t="s">
        <v>1122</v>
      </c>
      <c r="E9" s="2419" t="s">
        <v>1727</v>
      </c>
      <c r="F9" s="2479">
        <f t="shared" si="1"/>
        <v>579.09</v>
      </c>
      <c r="G9" s="2419" t="s">
        <v>1205</v>
      </c>
      <c r="H9" s="2213">
        <f>VLOOKUP(G9,'CP FACTORS'!$A$3:$B$38, 2, FALSE)</f>
        <v>4.6608050000000002E-4</v>
      </c>
      <c r="I9" s="2498">
        <f>(1-I28)*I$34*I$35/I$36*I55*$I$61</f>
        <v>264.14545423487061</v>
      </c>
      <c r="J9" s="2480">
        <f>(1-I39)*I$45*I$46/I$47*I55*I$61</f>
        <v>28.219354838709684</v>
      </c>
      <c r="K9" s="3203">
        <f>($I$48*I$46/I$47+$I$49*$I$50-$I$52)*I55*$I$61</f>
        <v>286.72123580720518</v>
      </c>
      <c r="L9" s="3203">
        <v>0</v>
      </c>
      <c r="M9" s="3204">
        <f t="shared" si="2"/>
        <v>0.269903</v>
      </c>
      <c r="N9" s="2498">
        <f t="shared" si="3"/>
        <v>6</v>
      </c>
      <c r="O9" s="2500">
        <f t="shared" si="4"/>
        <v>87.5</v>
      </c>
      <c r="P9" s="2408" t="s">
        <v>62</v>
      </c>
      <c r="Q9" s="2696"/>
      <c r="S9" s="52"/>
      <c r="T9" s="52"/>
      <c r="U9" s="52"/>
      <c r="V9" s="2425" t="s">
        <v>45</v>
      </c>
      <c r="W9" s="2413">
        <v>591.90332067911811</v>
      </c>
      <c r="X9" s="2233">
        <v>619.79873095030314</v>
      </c>
      <c r="Y9" s="3220">
        <v>582</v>
      </c>
      <c r="Z9" s="3221">
        <v>582</v>
      </c>
      <c r="AA9" s="3221">
        <v>582</v>
      </c>
      <c r="AB9" s="3222">
        <v>582</v>
      </c>
      <c r="AC9" s="3223">
        <v>582</v>
      </c>
      <c r="AD9" s="3224">
        <v>582</v>
      </c>
      <c r="AE9" s="3224">
        <v>582</v>
      </c>
      <c r="AF9" s="2236">
        <f t="shared" si="5"/>
        <v>579.09</v>
      </c>
      <c r="AG9" s="2413"/>
      <c r="AH9" s="2728"/>
      <c r="DG9" s="2747">
        <f>(DI9+DI10)/(DJ9+DJ10)</f>
        <v>4.1244462294213049</v>
      </c>
      <c r="DH9" s="2495" t="str">
        <f t="shared" si="6"/>
        <v>HVAC RES 6 Year EUL</v>
      </c>
      <c r="DI9" s="3245">
        <f>(INDEX('Avoided Cost Benefits'!$B$4:$B$866,MATCH(DH9,'Avoided Cost Benefits'!$A$4:$A$866,0)))*F9</f>
        <v>360.88904507436416</v>
      </c>
      <c r="DJ9" s="2556">
        <f t="shared" si="7"/>
        <v>87.5</v>
      </c>
    </row>
    <row r="10" spans="1:115">
      <c r="A10" s="453"/>
      <c r="B10" s="2208">
        <f t="shared" si="0"/>
        <v>350175</v>
      </c>
      <c r="C10" s="2584" t="s">
        <v>1726</v>
      </c>
      <c r="D10" s="2408" t="s">
        <v>1122</v>
      </c>
      <c r="E10" s="2419" t="s">
        <v>1728</v>
      </c>
      <c r="F10" s="2483">
        <f t="shared" si="1"/>
        <v>0</v>
      </c>
      <c r="G10" s="2419" t="str">
        <f>'CP FACTORS'!$A$17</f>
        <v>HVAC RES ER2</v>
      </c>
      <c r="H10" s="2213">
        <f>VLOOKUP(G10,'CP FACTORS'!$A$3:$B$38, 2, FALSE)</f>
        <v>4.6608050000000002E-4</v>
      </c>
      <c r="I10" s="2498">
        <f>0</f>
        <v>0</v>
      </c>
      <c r="J10" s="2498">
        <f>0</f>
        <v>0</v>
      </c>
      <c r="K10" s="2498">
        <f>0</f>
        <v>0</v>
      </c>
      <c r="L10" s="3203">
        <v>0</v>
      </c>
      <c r="M10" s="3205">
        <f t="shared" si="2"/>
        <v>0</v>
      </c>
      <c r="N10" s="2498">
        <f t="shared" si="3"/>
        <v>0</v>
      </c>
      <c r="O10" s="2482">
        <f t="shared" si="4"/>
        <v>0</v>
      </c>
      <c r="P10" s="2408" t="s">
        <v>62</v>
      </c>
      <c r="Q10" s="2696"/>
      <c r="R10" s="553"/>
      <c r="S10" s="52"/>
      <c r="T10" s="52"/>
      <c r="U10" s="52"/>
      <c r="V10" s="2425" t="s">
        <v>45</v>
      </c>
      <c r="W10" s="2413">
        <v>591.90332067911811</v>
      </c>
      <c r="X10" s="2233">
        <v>619.79873095030314</v>
      </c>
      <c r="Y10" s="3220">
        <v>582</v>
      </c>
      <c r="Z10" s="3221">
        <v>582</v>
      </c>
      <c r="AA10" s="3221">
        <v>582</v>
      </c>
      <c r="AB10" s="3222">
        <v>582</v>
      </c>
      <c r="AC10" s="2709">
        <v>0</v>
      </c>
      <c r="AD10" s="3224">
        <v>0</v>
      </c>
      <c r="AE10" s="3224">
        <v>0</v>
      </c>
      <c r="AF10" s="2236">
        <f t="shared" si="5"/>
        <v>0</v>
      </c>
      <c r="AG10" s="2413"/>
      <c r="AH10" s="2728"/>
      <c r="DG10" s="2748"/>
      <c r="DH10" s="2423" t="str">
        <f t="shared" si="6"/>
        <v>HVAC RES ER2 0 Year EUL</v>
      </c>
      <c r="DI10" s="2511">
        <v>0</v>
      </c>
      <c r="DJ10" s="2484">
        <f t="shared" si="7"/>
        <v>0</v>
      </c>
    </row>
    <row r="11" spans="1:115">
      <c r="A11" s="453"/>
      <c r="B11" s="2208">
        <f t="shared" si="0"/>
        <v>350300</v>
      </c>
      <c r="C11" s="2478" t="s">
        <v>1729</v>
      </c>
      <c r="D11" s="2408" t="s">
        <v>170</v>
      </c>
      <c r="E11" s="2419" t="s">
        <v>1730</v>
      </c>
      <c r="F11" s="2479">
        <f t="shared" si="1"/>
        <v>579.09</v>
      </c>
      <c r="G11" s="2419" t="s">
        <v>1205</v>
      </c>
      <c r="H11" s="2213">
        <f>VLOOKUP(G11,'CP FACTORS'!$A$3:$B$38, 2, FALSE)</f>
        <v>4.6608050000000002E-4</v>
      </c>
      <c r="I11" s="2498">
        <f>(1-I30)*I$34*I$35/I$36*I57*$I$61</f>
        <v>264.14545423487061</v>
      </c>
      <c r="J11" s="2480">
        <f>(1-I41)*I$45*I$46/I$47*I57*I$61</f>
        <v>28.219354838709684</v>
      </c>
      <c r="K11" s="3203">
        <v>0</v>
      </c>
      <c r="L11" s="3203">
        <f>($I$48*I$46/I$47+$I$49*$I$51-$I$52)*I53*$I$61</f>
        <v>286.72123580720518</v>
      </c>
      <c r="M11" s="3204">
        <f t="shared" si="2"/>
        <v>0.269903</v>
      </c>
      <c r="N11" s="2498">
        <f t="shared" si="3"/>
        <v>6</v>
      </c>
      <c r="O11" s="2500">
        <f t="shared" si="4"/>
        <v>87.5</v>
      </c>
      <c r="P11" s="2408" t="s">
        <v>62</v>
      </c>
      <c r="Q11" s="2696"/>
      <c r="S11" s="52"/>
      <c r="T11" s="52"/>
      <c r="U11" s="52"/>
      <c r="V11" s="2425" t="s">
        <v>45</v>
      </c>
      <c r="W11" s="2413">
        <v>3255.9033206791182</v>
      </c>
      <c r="X11" s="2233">
        <v>3283.7987309503033</v>
      </c>
      <c r="Y11" s="3220">
        <v>582</v>
      </c>
      <c r="Z11" s="3221">
        <v>582</v>
      </c>
      <c r="AA11" s="3221">
        <v>582</v>
      </c>
      <c r="AB11" s="3222">
        <v>582</v>
      </c>
      <c r="AC11" s="3223">
        <v>582</v>
      </c>
      <c r="AD11" s="3224">
        <v>582</v>
      </c>
      <c r="AE11" s="3224">
        <v>582</v>
      </c>
      <c r="AF11" s="2236">
        <f t="shared" si="5"/>
        <v>579.09</v>
      </c>
      <c r="AG11" s="2413"/>
      <c r="AH11" s="2728"/>
      <c r="DG11" s="2747">
        <f>(DI11+DI12)/(DJ11+DJ12)</f>
        <v>4.1244462294213049</v>
      </c>
      <c r="DH11" s="2495" t="str">
        <f t="shared" si="6"/>
        <v>HVAC RES 6 Year EUL</v>
      </c>
      <c r="DI11" s="3245">
        <f>(INDEX('Avoided Cost Benefits'!$B$4:$B$866,MATCH(DH11,'Avoided Cost Benefits'!$A$4:$A$866,0)))*F11</f>
        <v>360.88904507436416</v>
      </c>
      <c r="DJ11" s="2556">
        <f t="shared" si="7"/>
        <v>87.5</v>
      </c>
    </row>
    <row r="12" spans="1:115">
      <c r="A12" s="453"/>
      <c r="B12" s="2208">
        <f t="shared" si="0"/>
        <v>350300</v>
      </c>
      <c r="C12" s="2478" t="s">
        <v>1729</v>
      </c>
      <c r="D12" s="2408" t="s">
        <v>170</v>
      </c>
      <c r="E12" s="2419" t="s">
        <v>1731</v>
      </c>
      <c r="F12" s="2483">
        <f t="shared" si="1"/>
        <v>0</v>
      </c>
      <c r="G12" s="2419" t="str">
        <f>'CP FACTORS'!$A$17</f>
        <v>HVAC RES ER2</v>
      </c>
      <c r="H12" s="2213">
        <f>VLOOKUP(G12,'CP FACTORS'!$A$3:$B$38, 2, FALSE)</f>
        <v>4.6608050000000002E-4</v>
      </c>
      <c r="I12" s="2498">
        <f>0</f>
        <v>0</v>
      </c>
      <c r="J12" s="2498">
        <f>0</f>
        <v>0</v>
      </c>
      <c r="K12" s="3203">
        <v>0</v>
      </c>
      <c r="L12" s="2498">
        <v>0</v>
      </c>
      <c r="M12" s="3205">
        <f t="shared" si="2"/>
        <v>0</v>
      </c>
      <c r="N12" s="2498">
        <f t="shared" si="3"/>
        <v>0</v>
      </c>
      <c r="O12" s="2482">
        <f t="shared" si="4"/>
        <v>0</v>
      </c>
      <c r="P12" s="2408" t="s">
        <v>62</v>
      </c>
      <c r="Q12" s="2696"/>
      <c r="S12" s="52"/>
      <c r="T12" s="52"/>
      <c r="U12" s="52"/>
      <c r="V12" s="2425" t="s">
        <v>45</v>
      </c>
      <c r="W12" s="2413">
        <v>3255.9033206791182</v>
      </c>
      <c r="X12" s="2233">
        <v>3283.7987309503033</v>
      </c>
      <c r="Y12" s="3220">
        <v>582</v>
      </c>
      <c r="Z12" s="3221">
        <v>582</v>
      </c>
      <c r="AA12" s="3221">
        <v>582</v>
      </c>
      <c r="AB12" s="3222">
        <v>582</v>
      </c>
      <c r="AC12" s="2709">
        <v>0</v>
      </c>
      <c r="AD12" s="3224">
        <v>0</v>
      </c>
      <c r="AE12" s="3224">
        <v>0</v>
      </c>
      <c r="AF12" s="2236">
        <f t="shared" si="5"/>
        <v>0</v>
      </c>
      <c r="AG12" s="2413"/>
      <c r="AH12" s="2728"/>
      <c r="DG12" s="2748"/>
      <c r="DH12" s="2423" t="str">
        <f t="shared" si="6"/>
        <v>HVAC RES ER2 0 Year EUL</v>
      </c>
      <c r="DI12" s="2511">
        <v>0</v>
      </c>
      <c r="DJ12" s="2484">
        <f t="shared" si="7"/>
        <v>0</v>
      </c>
    </row>
    <row r="13" spans="1:115">
      <c r="A13" s="453"/>
      <c r="B13" s="2208">
        <f t="shared" si="0"/>
        <v>350350</v>
      </c>
      <c r="C13" s="2478" t="s">
        <v>1732</v>
      </c>
      <c r="D13" s="2408" t="s">
        <v>1122</v>
      </c>
      <c r="E13" s="2419" t="s">
        <v>1733</v>
      </c>
      <c r="F13" s="2479">
        <f t="shared" si="1"/>
        <v>579.09</v>
      </c>
      <c r="G13" s="2419" t="s">
        <v>1205</v>
      </c>
      <c r="H13" s="2213">
        <f>VLOOKUP(G13,'CP FACTORS'!$A$3:$B$38, 2, FALSE)</f>
        <v>4.6608050000000002E-4</v>
      </c>
      <c r="I13" s="2498">
        <f>(1-I32)*I$34*I$35/I$36*I59*$I$61</f>
        <v>264.14545423487061</v>
      </c>
      <c r="J13" s="2480">
        <f>(1-I43)*I$45*I$46/I$47*I59*I$61</f>
        <v>28.219354838709684</v>
      </c>
      <c r="K13" s="3203">
        <v>0</v>
      </c>
      <c r="L13" s="3203">
        <f>($I$48*I$46/I$47+$I$49*$I$51-$I$52)*I55*$I$61</f>
        <v>286.72123580720518</v>
      </c>
      <c r="M13" s="3204">
        <f t="shared" si="2"/>
        <v>0.269903</v>
      </c>
      <c r="N13" s="2498">
        <f t="shared" si="3"/>
        <v>6</v>
      </c>
      <c r="O13" s="2500">
        <f t="shared" si="4"/>
        <v>87.5</v>
      </c>
      <c r="P13" s="2408" t="s">
        <v>62</v>
      </c>
      <c r="Q13" s="2696"/>
      <c r="S13" s="52"/>
      <c r="T13" s="52"/>
      <c r="U13" s="52"/>
      <c r="V13" s="2425" t="s">
        <v>45</v>
      </c>
      <c r="W13" s="2413">
        <v>3255.9033206791182</v>
      </c>
      <c r="X13" s="2233">
        <v>3283.7987309503033</v>
      </c>
      <c r="Y13" s="3220">
        <v>582</v>
      </c>
      <c r="Z13" s="3221">
        <v>582</v>
      </c>
      <c r="AA13" s="3221">
        <v>582</v>
      </c>
      <c r="AB13" s="3222">
        <v>582</v>
      </c>
      <c r="AC13" s="3223">
        <v>582</v>
      </c>
      <c r="AD13" s="3224">
        <v>582</v>
      </c>
      <c r="AE13" s="3224">
        <v>582</v>
      </c>
      <c r="AF13" s="2236">
        <f t="shared" si="5"/>
        <v>579.09</v>
      </c>
      <c r="AG13" s="2413"/>
      <c r="AH13" s="2728"/>
      <c r="DG13" s="2747">
        <f>(DI13+DI14)/(DJ13+DJ14)</f>
        <v>4.1244462294213049</v>
      </c>
      <c r="DH13" s="2495" t="str">
        <f t="shared" si="6"/>
        <v>HVAC RES 6 Year EUL</v>
      </c>
      <c r="DI13" s="3245">
        <f>(INDEX('Avoided Cost Benefits'!$B$4:$B$866,MATCH(DH13,'Avoided Cost Benefits'!$A$4:$A$866,0)))*F13</f>
        <v>360.88904507436416</v>
      </c>
      <c r="DJ13" s="2556">
        <f t="shared" si="7"/>
        <v>87.5</v>
      </c>
    </row>
    <row r="14" spans="1:115">
      <c r="A14" s="453"/>
      <c r="B14" s="2208">
        <f t="shared" si="0"/>
        <v>350350</v>
      </c>
      <c r="C14" s="2478" t="s">
        <v>1732</v>
      </c>
      <c r="D14" s="2408" t="s">
        <v>1122</v>
      </c>
      <c r="E14" s="2419" t="s">
        <v>1734</v>
      </c>
      <c r="F14" s="2483">
        <f t="shared" si="1"/>
        <v>0</v>
      </c>
      <c r="G14" s="2419" t="str">
        <f>'CP FACTORS'!$A$17</f>
        <v>HVAC RES ER2</v>
      </c>
      <c r="H14" s="2213">
        <f>VLOOKUP(G14,'CP FACTORS'!$A$3:$B$38, 2, FALSE)</f>
        <v>4.6608050000000002E-4</v>
      </c>
      <c r="I14" s="2498">
        <f>0</f>
        <v>0</v>
      </c>
      <c r="J14" s="2498">
        <f>0</f>
        <v>0</v>
      </c>
      <c r="K14" s="3203">
        <v>0</v>
      </c>
      <c r="L14" s="2498">
        <v>0</v>
      </c>
      <c r="M14" s="3205">
        <f t="shared" si="2"/>
        <v>0</v>
      </c>
      <c r="N14" s="2498">
        <f t="shared" si="3"/>
        <v>0</v>
      </c>
      <c r="O14" s="2482">
        <f t="shared" si="4"/>
        <v>0</v>
      </c>
      <c r="P14" s="2408" t="s">
        <v>62</v>
      </c>
      <c r="Q14" s="2696"/>
      <c r="S14" s="52"/>
      <c r="T14" s="52"/>
      <c r="U14" s="52"/>
      <c r="V14" s="2425" t="s">
        <v>45</v>
      </c>
      <c r="W14" s="2413">
        <v>3255.9033206791182</v>
      </c>
      <c r="X14" s="2233">
        <v>3283.7987309503033</v>
      </c>
      <c r="Y14" s="3220">
        <v>582</v>
      </c>
      <c r="Z14" s="3221">
        <v>582</v>
      </c>
      <c r="AA14" s="3221">
        <v>582</v>
      </c>
      <c r="AB14" s="3222">
        <v>582</v>
      </c>
      <c r="AC14" s="2709">
        <v>0</v>
      </c>
      <c r="AD14" s="3224">
        <v>0</v>
      </c>
      <c r="AE14" s="3224">
        <v>0</v>
      </c>
      <c r="AF14" s="2236">
        <f t="shared" si="5"/>
        <v>0</v>
      </c>
      <c r="AG14" s="2413"/>
      <c r="AH14" s="2728"/>
      <c r="DG14" s="2748"/>
      <c r="DH14" s="2423" t="str">
        <f>CONCATENATE(G14," ",N14," Year EUL")</f>
        <v>HVAC RES ER2 0 Year EUL</v>
      </c>
      <c r="DI14" s="2511">
        <v>0</v>
      </c>
      <c r="DJ14" s="2484">
        <f t="shared" si="7"/>
        <v>0</v>
      </c>
    </row>
    <row r="15" spans="1:115" ht="15" customHeight="1">
      <c r="A15" s="453"/>
      <c r="B15" s="635"/>
      <c r="C15" s="4352" t="s">
        <v>1735</v>
      </c>
      <c r="D15" s="4352"/>
      <c r="E15" s="4352"/>
      <c r="F15" s="4352"/>
      <c r="G15" s="4352"/>
      <c r="H15" s="4352"/>
      <c r="I15" s="4352"/>
      <c r="J15" s="4352"/>
      <c r="K15" s="4352"/>
      <c r="L15" s="4352"/>
      <c r="M15" s="3206"/>
      <c r="N15" s="3206"/>
      <c r="O15" s="3206"/>
      <c r="P15" s="3206"/>
      <c r="Q15" s="2696"/>
      <c r="R15" s="283"/>
      <c r="V15" s="2237"/>
      <c r="W15" s="2237"/>
      <c r="X15" s="2237"/>
      <c r="Y15" s="2237"/>
      <c r="Z15" s="2237"/>
      <c r="AA15" s="2237"/>
      <c r="AB15" s="2237"/>
      <c r="AC15" s="2237"/>
      <c r="AD15" s="2237"/>
      <c r="AE15" s="2237"/>
      <c r="AF15" s="2237"/>
      <c r="AG15" s="2237"/>
      <c r="AH15" s="2237"/>
      <c r="DG15" s="573"/>
      <c r="DH15" s="573"/>
      <c r="DI15" s="573"/>
    </row>
    <row r="16" spans="1:115">
      <c r="A16" s="453"/>
      <c r="B16" s="635"/>
      <c r="C16" s="4353"/>
      <c r="D16" s="4353"/>
      <c r="E16" s="4353"/>
      <c r="F16" s="4353"/>
      <c r="G16" s="4353"/>
      <c r="H16" s="4353"/>
      <c r="I16" s="4353"/>
      <c r="J16" s="4353"/>
      <c r="K16" s="4353"/>
      <c r="L16" s="4353"/>
      <c r="M16" s="3207"/>
      <c r="N16" s="3207"/>
      <c r="O16" s="3207"/>
      <c r="P16" s="3207"/>
      <c r="Q16" s="2696"/>
      <c r="R16" s="283"/>
      <c r="V16" s="2237"/>
      <c r="W16" s="2237"/>
      <c r="X16" s="2237"/>
      <c r="Y16" s="2237"/>
      <c r="Z16" s="2237"/>
      <c r="AA16" s="2237"/>
      <c r="AB16" s="2237"/>
      <c r="AC16" s="2237"/>
      <c r="AD16" s="2237"/>
      <c r="AE16" s="2237"/>
      <c r="AF16" s="2237"/>
      <c r="AG16" s="2237"/>
      <c r="AH16" s="2237"/>
      <c r="DG16" s="573"/>
      <c r="DH16" s="573"/>
      <c r="DI16" s="573"/>
    </row>
    <row r="17" spans="1:113" hidden="1" outlineLevel="1">
      <c r="A17" s="453"/>
      <c r="B17" s="635"/>
      <c r="C17" s="3207"/>
      <c r="D17" s="2754" t="s">
        <v>118</v>
      </c>
      <c r="E17" s="2754" t="s">
        <v>1736</v>
      </c>
      <c r="F17" s="2754"/>
      <c r="G17" s="2703"/>
      <c r="H17" s="2703"/>
      <c r="I17" s="2703"/>
      <c r="J17" s="2703"/>
      <c r="K17" s="2703"/>
      <c r="L17" s="2703"/>
      <c r="M17" s="2703"/>
      <c r="N17" s="2703"/>
      <c r="O17" s="2703"/>
      <c r="P17" s="2703"/>
      <c r="Q17" s="2696"/>
      <c r="R17" s="283"/>
      <c r="V17" s="2237"/>
      <c r="W17" s="2237"/>
      <c r="X17" s="2237"/>
      <c r="Y17" s="2237"/>
      <c r="Z17" s="2237"/>
      <c r="AA17" s="2237"/>
      <c r="AB17" s="2237"/>
      <c r="AC17" s="2237"/>
      <c r="AD17" s="2237"/>
      <c r="AE17" s="2237"/>
      <c r="AF17" s="2237"/>
      <c r="AG17" s="2237"/>
      <c r="AH17" s="2237"/>
      <c r="DG17" s="573"/>
      <c r="DH17" s="573"/>
      <c r="DI17" s="573"/>
    </row>
    <row r="18" spans="1:113" hidden="1" outlineLevel="1">
      <c r="A18" s="453"/>
      <c r="B18" s="635"/>
      <c r="C18" s="2703"/>
      <c r="D18" s="2754" t="s">
        <v>963</v>
      </c>
      <c r="E18" s="2754" t="s">
        <v>1737</v>
      </c>
      <c r="F18" s="2754"/>
      <c r="G18" s="2703"/>
      <c r="H18" s="2703"/>
      <c r="I18" s="2703"/>
      <c r="J18" s="2703"/>
      <c r="K18" s="2703"/>
      <c r="L18" s="2703"/>
      <c r="M18" s="2703"/>
      <c r="N18" s="2703"/>
      <c r="O18" s="2703"/>
      <c r="P18" s="2703"/>
      <c r="Q18" s="2696"/>
      <c r="R18" s="283"/>
      <c r="V18" s="2237"/>
      <c r="W18" s="2237"/>
      <c r="X18" s="2237"/>
      <c r="Y18" s="2237"/>
      <c r="Z18" s="2237"/>
      <c r="AA18" s="2237"/>
      <c r="AB18" s="2237"/>
      <c r="AC18" s="2237"/>
      <c r="AD18" s="2237"/>
      <c r="AE18" s="2237"/>
      <c r="AF18" s="2237"/>
      <c r="AG18" s="2237"/>
      <c r="AH18" s="2237"/>
      <c r="DG18" s="573"/>
      <c r="DH18" s="573"/>
      <c r="DI18" s="573"/>
    </row>
    <row r="19" spans="1:113" hidden="1" outlineLevel="1">
      <c r="A19" s="453"/>
      <c r="B19" s="635"/>
      <c r="C19" s="2703"/>
      <c r="D19" s="2754"/>
      <c r="E19" s="2754" t="s">
        <v>1738</v>
      </c>
      <c r="F19" s="2754"/>
      <c r="G19" s="2703"/>
      <c r="H19" s="2703"/>
      <c r="I19" s="2703"/>
      <c r="J19" s="2703"/>
      <c r="K19" s="2703"/>
      <c r="L19" s="2703"/>
      <c r="M19" s="2703"/>
      <c r="N19" s="2703"/>
      <c r="O19" s="2703"/>
      <c r="P19" s="2703"/>
      <c r="Q19" s="2696"/>
      <c r="R19" s="283"/>
      <c r="V19" s="2237"/>
      <c r="W19" s="2237"/>
      <c r="X19" s="2237"/>
      <c r="Y19" s="2237"/>
      <c r="Z19" s="2237"/>
      <c r="AA19" s="2237"/>
      <c r="AB19" s="2237"/>
      <c r="AC19" s="2237"/>
      <c r="AD19" s="2237"/>
      <c r="AE19" s="2237"/>
      <c r="AF19" s="2237"/>
      <c r="AG19" s="2237"/>
      <c r="AH19" s="2237"/>
      <c r="DG19" s="573"/>
      <c r="DH19" s="573"/>
      <c r="DI19" s="573"/>
    </row>
    <row r="20" spans="1:113" hidden="1" outlineLevel="1">
      <c r="A20" s="453"/>
      <c r="B20" s="635"/>
      <c r="C20" s="2703"/>
      <c r="D20" s="2754"/>
      <c r="E20" s="2754" t="s">
        <v>1739</v>
      </c>
      <c r="F20" s="2754"/>
      <c r="G20" s="2703"/>
      <c r="H20" s="2703"/>
      <c r="I20" s="2703"/>
      <c r="J20" s="2703"/>
      <c r="K20" s="2703"/>
      <c r="L20" s="2703"/>
      <c r="M20" s="2703"/>
      <c r="N20" s="2703"/>
      <c r="O20" s="2703"/>
      <c r="P20" s="2703"/>
      <c r="Q20" s="2696"/>
      <c r="R20" s="283"/>
      <c r="V20" s="2237"/>
      <c r="W20" s="2237"/>
      <c r="X20" s="2237"/>
      <c r="Y20" s="2237"/>
      <c r="Z20" s="2237"/>
      <c r="AA20" s="2237"/>
      <c r="AB20" s="2237"/>
      <c r="AC20" s="2237"/>
      <c r="AD20" s="2237"/>
      <c r="AE20" s="2237"/>
      <c r="AF20" s="2237"/>
      <c r="AG20" s="2237"/>
      <c r="AH20" s="2237"/>
      <c r="DG20" s="573"/>
      <c r="DH20" s="573"/>
      <c r="DI20" s="573"/>
    </row>
    <row r="21" spans="1:113" ht="26.25" hidden="1" outlineLevel="1">
      <c r="A21" s="453"/>
      <c r="B21" s="635"/>
      <c r="C21" s="2703"/>
      <c r="D21" s="2754"/>
      <c r="E21" s="2754" t="s">
        <v>1740</v>
      </c>
      <c r="F21" s="2754"/>
      <c r="G21" s="2703"/>
      <c r="H21" s="2703"/>
      <c r="I21" s="2703"/>
      <c r="J21" s="2703"/>
      <c r="K21" s="2703"/>
      <c r="L21" s="2703"/>
      <c r="M21" s="2703"/>
      <c r="N21" s="2703"/>
      <c r="O21" s="2703"/>
      <c r="P21" s="2703"/>
      <c r="Q21" s="2696"/>
      <c r="R21" s="283"/>
      <c r="S21" s="189"/>
      <c r="T21" s="189"/>
      <c r="U21" s="189"/>
      <c r="V21" s="3225"/>
      <c r="W21" s="3225"/>
      <c r="X21" s="3225"/>
      <c r="Y21" s="3225"/>
      <c r="Z21" s="3225"/>
      <c r="AA21" s="3225"/>
      <c r="AB21" s="3225"/>
      <c r="AC21" s="3225"/>
      <c r="AD21" s="2237"/>
      <c r="AE21" s="2237"/>
      <c r="AF21" s="2237"/>
      <c r="AG21" s="2237"/>
      <c r="AH21" s="2237"/>
      <c r="DG21" s="573"/>
      <c r="DH21" s="573"/>
      <c r="DI21" s="573"/>
    </row>
    <row r="22" spans="1:113" hidden="1" outlineLevel="1">
      <c r="A22" s="453"/>
      <c r="B22" s="635"/>
      <c r="C22" s="2703"/>
      <c r="D22" s="2754"/>
      <c r="E22" s="2754" t="s">
        <v>966</v>
      </c>
      <c r="F22" s="2754"/>
      <c r="G22" s="2703"/>
      <c r="H22" s="2703"/>
      <c r="I22" s="2703"/>
      <c r="J22" s="2703"/>
      <c r="K22" s="2703"/>
      <c r="L22" s="2703"/>
      <c r="M22" s="2703"/>
      <c r="N22" s="2703"/>
      <c r="O22" s="2703"/>
      <c r="P22" s="2703"/>
      <c r="Q22" s="2696"/>
      <c r="R22" s="283"/>
      <c r="V22" s="2237"/>
      <c r="W22" s="2237"/>
      <c r="X22" s="2237"/>
      <c r="Y22" s="2237"/>
      <c r="Z22" s="2237"/>
      <c r="AA22" s="2237"/>
      <c r="AB22" s="2237"/>
      <c r="AC22" s="2237"/>
      <c r="AD22" s="2237"/>
      <c r="AE22" s="2237"/>
      <c r="AF22" s="2237"/>
      <c r="AG22" s="2237"/>
      <c r="AH22" s="2237"/>
      <c r="DG22" s="573"/>
      <c r="DH22" s="573"/>
      <c r="DI22" s="573"/>
    </row>
    <row r="23" spans="1:113" ht="19.5" hidden="1" customHeight="1" outlineLevel="1">
      <c r="A23" s="453"/>
      <c r="B23" s="635"/>
      <c r="C23" s="2703"/>
      <c r="D23" s="2754"/>
      <c r="E23" s="2754"/>
      <c r="F23" s="2754"/>
      <c r="G23" s="2703"/>
      <c r="H23" s="2703"/>
      <c r="I23" s="2703"/>
      <c r="J23" s="2703"/>
      <c r="K23" s="2703"/>
      <c r="L23" s="2703"/>
      <c r="M23" s="2703"/>
      <c r="N23" s="2703"/>
      <c r="O23" s="2703"/>
      <c r="P23" s="2703"/>
      <c r="Q23" s="2696"/>
      <c r="R23" s="283"/>
      <c r="V23" s="2237"/>
      <c r="W23" s="2237"/>
      <c r="X23" s="2237"/>
      <c r="Y23" s="2237"/>
      <c r="Z23" s="2237"/>
      <c r="AA23" s="2237"/>
      <c r="AB23" s="2237"/>
      <c r="AC23" s="2237"/>
      <c r="AD23" s="2237"/>
      <c r="AE23" s="2237"/>
      <c r="AF23" s="2237"/>
      <c r="AG23" s="2237"/>
      <c r="AH23" s="2237"/>
      <c r="DG23" s="573"/>
      <c r="DH23" s="573"/>
      <c r="DI23" s="573"/>
    </row>
    <row r="24" spans="1:113" ht="21" hidden="1" customHeight="1" outlineLevel="1">
      <c r="A24" s="453"/>
      <c r="B24" s="635"/>
      <c r="C24" s="2703"/>
      <c r="D24" s="2703"/>
      <c r="E24" s="2703"/>
      <c r="F24" s="2703"/>
      <c r="G24" s="2703"/>
      <c r="H24" s="2703"/>
      <c r="I24" s="2703"/>
      <c r="J24" s="2703"/>
      <c r="K24" s="2703"/>
      <c r="L24" s="2703"/>
      <c r="M24" s="2703"/>
      <c r="N24" s="2703"/>
      <c r="O24" s="2703"/>
      <c r="P24" s="2703"/>
      <c r="Q24" s="2696"/>
      <c r="R24" s="283"/>
      <c r="S24" s="52"/>
      <c r="T24" s="52"/>
      <c r="U24" s="52"/>
      <c r="V24" s="635"/>
      <c r="W24" s="2237"/>
      <c r="X24" s="2237"/>
      <c r="Y24" s="2237"/>
      <c r="Z24" s="2237"/>
      <c r="AA24" s="2237"/>
      <c r="AB24" s="2237"/>
      <c r="AC24" s="2237"/>
      <c r="AD24" s="2237"/>
      <c r="AE24" s="2237"/>
      <c r="AF24" s="2237"/>
      <c r="AG24" s="2237"/>
      <c r="AH24" s="2237"/>
      <c r="DG24" s="573"/>
      <c r="DH24" s="573"/>
      <c r="DI24" s="573"/>
    </row>
    <row r="25" spans="1:113" hidden="1" outlineLevel="1">
      <c r="A25" s="453"/>
      <c r="B25" s="635"/>
      <c r="C25" s="2703"/>
      <c r="D25" s="2303" t="s">
        <v>1078</v>
      </c>
      <c r="E25" s="2303" t="s">
        <v>967</v>
      </c>
      <c r="F25" s="4052" t="s">
        <v>968</v>
      </c>
      <c r="G25" s="4052"/>
      <c r="H25" s="4052"/>
      <c r="I25" s="2207" t="s">
        <v>969</v>
      </c>
      <c r="J25" s="2207" t="s">
        <v>970</v>
      </c>
      <c r="K25" s="2207" t="s">
        <v>1079</v>
      </c>
      <c r="L25" s="2696"/>
      <c r="M25" s="2696"/>
      <c r="N25" s="2703"/>
      <c r="O25" s="2696"/>
      <c r="P25" s="635"/>
      <c r="Q25" s="635"/>
      <c r="U25" s="52"/>
      <c r="V25" s="2704" t="s">
        <v>52</v>
      </c>
      <c r="W25" s="2641">
        <v>43252</v>
      </c>
      <c r="X25" s="2641">
        <f>$X$6</f>
        <v>43465</v>
      </c>
      <c r="Y25" s="2641">
        <f>$Y$6</f>
        <v>43800</v>
      </c>
      <c r="Z25" s="2641">
        <f>$Z$6</f>
        <v>43862</v>
      </c>
      <c r="AA25" s="2641">
        <f>$AA$6</f>
        <v>44013</v>
      </c>
      <c r="AB25" s="2641">
        <f>$AB$6</f>
        <v>44166</v>
      </c>
      <c r="AC25" s="2641">
        <f>$AC$6</f>
        <v>44531</v>
      </c>
      <c r="AD25" s="2641">
        <f>$AD$6</f>
        <v>44774</v>
      </c>
      <c r="AE25" s="2641">
        <f>$AE$6</f>
        <v>45142</v>
      </c>
      <c r="AF25" s="2641">
        <f>$AF$6</f>
        <v>45672</v>
      </c>
      <c r="AG25" s="2641" t="str">
        <f>$AG$6</f>
        <v>-</v>
      </c>
      <c r="AH25" s="2237"/>
      <c r="DG25" s="573"/>
      <c r="DH25" s="573"/>
      <c r="DI25" s="573"/>
    </row>
    <row r="26" spans="1:113" hidden="1" outlineLevel="1">
      <c r="A26" s="453"/>
      <c r="B26" s="635"/>
      <c r="C26" s="2703"/>
      <c r="D26" s="4278" t="s">
        <v>1741</v>
      </c>
      <c r="E26" s="4281" t="s">
        <v>1742</v>
      </c>
      <c r="F26" s="4274" t="str">
        <f t="shared" ref="F26:F33" si="8">E7</f>
        <v>ECM Auto Fan ER1 - SF</v>
      </c>
      <c r="G26" s="4274"/>
      <c r="H26" s="4274"/>
      <c r="I26" s="2319">
        <v>0.16336956521739129</v>
      </c>
      <c r="J26" s="4284" t="s">
        <v>1743</v>
      </c>
      <c r="K26" s="2487"/>
      <c r="L26" s="2696"/>
      <c r="M26" s="2696"/>
      <c r="N26" s="2703"/>
      <c r="O26" s="2696"/>
      <c r="P26" s="635"/>
      <c r="Q26" s="635"/>
      <c r="U26" s="52"/>
      <c r="V26" s="4278" t="s">
        <v>1741</v>
      </c>
      <c r="W26" s="3027">
        <v>0.16</v>
      </c>
      <c r="X26" s="3027">
        <f t="shared" ref="X26:X33" si="9">1759/10801</f>
        <v>0.16285529117674288</v>
      </c>
      <c r="Y26" s="2797">
        <v>0.16336956521739129</v>
      </c>
      <c r="Z26" s="2789">
        <v>0.16336956521739129</v>
      </c>
      <c r="AA26" s="2789">
        <v>0.16336956521739129</v>
      </c>
      <c r="AB26" s="3027">
        <v>0.16336956521739129</v>
      </c>
      <c r="AC26" s="3027">
        <v>0.16336956521739129</v>
      </c>
      <c r="AD26" s="2794">
        <v>0.16336956521739129</v>
      </c>
      <c r="AE26" s="2794">
        <v>0.16336956521739129</v>
      </c>
      <c r="AF26" s="2236">
        <f t="shared" ref="AF26:AF49" si="10">IF(I26&lt;&gt;"",I26,"")</f>
        <v>0.16336956521739129</v>
      </c>
      <c r="AG26" s="3027"/>
      <c r="AH26" s="2237"/>
      <c r="DG26" s="573"/>
      <c r="DH26" s="573"/>
      <c r="DI26" s="573"/>
    </row>
    <row r="27" spans="1:113" hidden="1" outlineLevel="1">
      <c r="A27" s="453"/>
      <c r="B27" s="635"/>
      <c r="C27" s="2703"/>
      <c r="D27" s="4279"/>
      <c r="E27" s="4282"/>
      <c r="F27" s="4274" t="str">
        <f t="shared" si="8"/>
        <v>ECM Auto Fan ER2 - SF</v>
      </c>
      <c r="G27" s="4274"/>
      <c r="H27" s="4274"/>
      <c r="I27" s="2319">
        <f t="shared" ref="I27:I33" si="11">I26</f>
        <v>0.16336956521739129</v>
      </c>
      <c r="J27" s="4285"/>
      <c r="K27" s="2487"/>
      <c r="L27" s="2696"/>
      <c r="M27" s="2696"/>
      <c r="N27" s="2703"/>
      <c r="O27" s="2696"/>
      <c r="P27" s="635"/>
      <c r="Q27" s="635"/>
      <c r="U27" s="52"/>
      <c r="V27" s="4279"/>
      <c r="W27" s="3027">
        <v>0.16</v>
      </c>
      <c r="X27" s="3027">
        <f t="shared" si="9"/>
        <v>0.16285529117674288</v>
      </c>
      <c r="Y27" s="2797">
        <v>0.16336956521739129</v>
      </c>
      <c r="Z27" s="2789">
        <v>0.16336956521739129</v>
      </c>
      <c r="AA27" s="2789">
        <v>0.16336956521739129</v>
      </c>
      <c r="AB27" s="3027">
        <v>0.16336956521739129</v>
      </c>
      <c r="AC27" s="3027">
        <v>0.16336956521739129</v>
      </c>
      <c r="AD27" s="2794">
        <v>0.16336956521739129</v>
      </c>
      <c r="AE27" s="2794">
        <v>0.16336956521739129</v>
      </c>
      <c r="AF27" s="2236">
        <f t="shared" si="10"/>
        <v>0.16336956521739129</v>
      </c>
      <c r="AG27" s="3027"/>
      <c r="AH27" s="2237"/>
      <c r="DG27" s="573"/>
      <c r="DH27" s="573"/>
      <c r="DI27" s="573"/>
    </row>
    <row r="28" spans="1:113" hidden="1" outlineLevel="1">
      <c r="A28" s="453"/>
      <c r="B28" s="635"/>
      <c r="C28" s="2703"/>
      <c r="D28" s="4279"/>
      <c r="E28" s="4282"/>
      <c r="F28" s="4274" t="str">
        <f t="shared" si="8"/>
        <v>ECM Auto Fan ER1 - MF</v>
      </c>
      <c r="G28" s="4274"/>
      <c r="H28" s="4274"/>
      <c r="I28" s="2319">
        <f t="shared" si="11"/>
        <v>0.16336956521739129</v>
      </c>
      <c r="J28" s="4285"/>
      <c r="K28" s="2487"/>
      <c r="L28" s="2696"/>
      <c r="M28" s="2696"/>
      <c r="N28" s="2703"/>
      <c r="O28" s="2696"/>
      <c r="P28" s="635"/>
      <c r="Q28" s="635"/>
      <c r="U28" s="52"/>
      <c r="V28" s="4279"/>
      <c r="W28" s="3027">
        <v>0.16</v>
      </c>
      <c r="X28" s="3027">
        <f t="shared" si="9"/>
        <v>0.16285529117674288</v>
      </c>
      <c r="Y28" s="2797">
        <v>0.16336956521739129</v>
      </c>
      <c r="Z28" s="2789">
        <v>0.16336956521739129</v>
      </c>
      <c r="AA28" s="2789">
        <v>0.16336956521739129</v>
      </c>
      <c r="AB28" s="3027">
        <v>0.16336956521739129</v>
      </c>
      <c r="AC28" s="3027">
        <v>0.16336956521739129</v>
      </c>
      <c r="AD28" s="2794">
        <v>0.16336956521739129</v>
      </c>
      <c r="AE28" s="2794">
        <v>0.16336956521739129</v>
      </c>
      <c r="AF28" s="2236">
        <f t="shared" si="10"/>
        <v>0.16336956521739129</v>
      </c>
      <c r="AG28" s="3027"/>
      <c r="AH28" s="2237"/>
      <c r="DG28" s="573"/>
      <c r="DH28" s="573"/>
      <c r="DI28" s="573"/>
    </row>
    <row r="29" spans="1:113" hidden="1" outlineLevel="1">
      <c r="A29" s="453"/>
      <c r="B29" s="635"/>
      <c r="C29" s="2703"/>
      <c r="D29" s="4279"/>
      <c r="E29" s="4282"/>
      <c r="F29" s="4274" t="str">
        <f t="shared" si="8"/>
        <v>ECM Auto Fan ER2 - MF</v>
      </c>
      <c r="G29" s="4274"/>
      <c r="H29" s="4274"/>
      <c r="I29" s="2319">
        <f t="shared" si="11"/>
        <v>0.16336956521739129</v>
      </c>
      <c r="J29" s="4285"/>
      <c r="K29" s="2487"/>
      <c r="L29" s="2696"/>
      <c r="M29" s="2696"/>
      <c r="N29" s="2703"/>
      <c r="O29" s="2696"/>
      <c r="P29" s="635"/>
      <c r="Q29" s="635"/>
      <c r="U29" s="52"/>
      <c r="V29" s="4279"/>
      <c r="W29" s="3027">
        <v>0.16</v>
      </c>
      <c r="X29" s="3027">
        <f t="shared" si="9"/>
        <v>0.16285529117674288</v>
      </c>
      <c r="Y29" s="2797">
        <v>0.16336956521739129</v>
      </c>
      <c r="Z29" s="2789">
        <v>0.16336956521739129</v>
      </c>
      <c r="AA29" s="2789">
        <v>0.16336956521739129</v>
      </c>
      <c r="AB29" s="3027">
        <v>0.16336956521739129</v>
      </c>
      <c r="AC29" s="3027">
        <v>0.16336956521739129</v>
      </c>
      <c r="AD29" s="2794">
        <v>0.16336956521739129</v>
      </c>
      <c r="AE29" s="2794">
        <v>0.16336956521739129</v>
      </c>
      <c r="AF29" s="2236">
        <f t="shared" si="10"/>
        <v>0.16336956521739129</v>
      </c>
      <c r="AG29" s="3027"/>
      <c r="AH29" s="2237"/>
      <c r="DG29" s="573"/>
      <c r="DH29" s="573"/>
      <c r="DI29" s="573"/>
    </row>
    <row r="30" spans="1:113" hidden="1" outlineLevel="1">
      <c r="A30" s="453"/>
      <c r="B30" s="635"/>
      <c r="C30" s="2703"/>
      <c r="D30" s="4279"/>
      <c r="E30" s="4282"/>
      <c r="F30" s="4354" t="str">
        <f t="shared" si="8"/>
        <v>ECM Continuous Fan ER1 - SF</v>
      </c>
      <c r="G30" s="4355"/>
      <c r="H30" s="4356"/>
      <c r="I30" s="2319">
        <f t="shared" si="11"/>
        <v>0.16336956521739129</v>
      </c>
      <c r="J30" s="4285"/>
      <c r="K30" s="2487"/>
      <c r="L30" s="2696"/>
      <c r="M30" s="2696"/>
      <c r="N30" s="2703"/>
      <c r="O30" s="2696"/>
      <c r="P30" s="635"/>
      <c r="Q30" s="635"/>
      <c r="U30" s="52"/>
      <c r="V30" s="4279"/>
      <c r="W30" s="3027">
        <v>0.16</v>
      </c>
      <c r="X30" s="3027">
        <f t="shared" si="9"/>
        <v>0.16285529117674288</v>
      </c>
      <c r="Y30" s="2797">
        <v>0.16336956521739129</v>
      </c>
      <c r="Z30" s="2789">
        <v>0.16336956521739129</v>
      </c>
      <c r="AA30" s="2789">
        <v>0.16336956521739129</v>
      </c>
      <c r="AB30" s="3027">
        <v>0.16336956521739129</v>
      </c>
      <c r="AC30" s="3027">
        <v>0.16336956521739129</v>
      </c>
      <c r="AD30" s="2794">
        <v>0.16336956521739129</v>
      </c>
      <c r="AE30" s="2794">
        <v>0.16336956521739129</v>
      </c>
      <c r="AF30" s="2236">
        <f t="shared" si="10"/>
        <v>0.16336956521739129</v>
      </c>
      <c r="AG30" s="3027"/>
      <c r="AH30" s="2237"/>
      <c r="DG30" s="573"/>
      <c r="DH30" s="573"/>
      <c r="DI30" s="573"/>
    </row>
    <row r="31" spans="1:113" hidden="1" outlineLevel="1">
      <c r="A31" s="453"/>
      <c r="B31" s="635"/>
      <c r="C31" s="2703"/>
      <c r="D31" s="4279"/>
      <c r="E31" s="4282"/>
      <c r="F31" s="4354" t="str">
        <f t="shared" si="8"/>
        <v>ECM Continuous Fan ER2 - SF</v>
      </c>
      <c r="G31" s="4355"/>
      <c r="H31" s="4356"/>
      <c r="I31" s="2319">
        <f t="shared" si="11"/>
        <v>0.16336956521739129</v>
      </c>
      <c r="J31" s="4285"/>
      <c r="K31" s="2487"/>
      <c r="L31" s="2696"/>
      <c r="M31" s="2696"/>
      <c r="N31" s="2703"/>
      <c r="O31" s="2696"/>
      <c r="P31" s="635"/>
      <c r="Q31" s="635"/>
      <c r="U31" s="52"/>
      <c r="V31" s="4279"/>
      <c r="W31" s="3027">
        <v>0.16</v>
      </c>
      <c r="X31" s="3027">
        <f t="shared" si="9"/>
        <v>0.16285529117674288</v>
      </c>
      <c r="Y31" s="2797">
        <v>0.16336956521739129</v>
      </c>
      <c r="Z31" s="2789">
        <v>0.16336956521739129</v>
      </c>
      <c r="AA31" s="2789">
        <v>0.16336956521739129</v>
      </c>
      <c r="AB31" s="3027">
        <v>0.16336956521739129</v>
      </c>
      <c r="AC31" s="3027">
        <v>0.16336956521739129</v>
      </c>
      <c r="AD31" s="2794">
        <v>0.16336956521739129</v>
      </c>
      <c r="AE31" s="2794">
        <v>0.16336956521739129</v>
      </c>
      <c r="AF31" s="2236">
        <f t="shared" si="10"/>
        <v>0.16336956521739129</v>
      </c>
      <c r="AG31" s="3027"/>
      <c r="AH31" s="2237"/>
      <c r="DG31" s="573"/>
      <c r="DH31" s="573"/>
      <c r="DI31" s="573"/>
    </row>
    <row r="32" spans="1:113" hidden="1" outlineLevel="1">
      <c r="A32" s="453"/>
      <c r="B32" s="635"/>
      <c r="C32" s="2703"/>
      <c r="D32" s="4279"/>
      <c r="E32" s="4282"/>
      <c r="F32" s="4274" t="str">
        <f t="shared" si="8"/>
        <v>ECM Continuous Fan ER1 - MF</v>
      </c>
      <c r="G32" s="4274"/>
      <c r="H32" s="4274"/>
      <c r="I32" s="2319">
        <f t="shared" si="11"/>
        <v>0.16336956521739129</v>
      </c>
      <c r="J32" s="4285"/>
      <c r="K32" s="2487"/>
      <c r="L32" s="2696"/>
      <c r="M32" s="2696"/>
      <c r="N32" s="2703"/>
      <c r="O32" s="2696"/>
      <c r="P32" s="635"/>
      <c r="Q32" s="635"/>
      <c r="U32" s="52"/>
      <c r="V32" s="4279"/>
      <c r="W32" s="3027">
        <v>0.16</v>
      </c>
      <c r="X32" s="3027">
        <f t="shared" si="9"/>
        <v>0.16285529117674288</v>
      </c>
      <c r="Y32" s="2797">
        <v>0.16336956521739129</v>
      </c>
      <c r="Z32" s="2789">
        <v>0.16336956521739129</v>
      </c>
      <c r="AA32" s="2789">
        <v>0.16336956521739129</v>
      </c>
      <c r="AB32" s="3027">
        <v>0.16336956521739129</v>
      </c>
      <c r="AC32" s="3027">
        <v>0.16336956521739129</v>
      </c>
      <c r="AD32" s="2794">
        <v>0.16336956521739129</v>
      </c>
      <c r="AE32" s="2794">
        <v>0.16336956521739129</v>
      </c>
      <c r="AF32" s="2236">
        <f t="shared" si="10"/>
        <v>0.16336956521739129</v>
      </c>
      <c r="AG32" s="3027"/>
      <c r="AH32" s="2237"/>
      <c r="DG32" s="573"/>
      <c r="DH32" s="573"/>
      <c r="DI32" s="573"/>
    </row>
    <row r="33" spans="1:114" hidden="1" outlineLevel="1">
      <c r="A33" s="453"/>
      <c r="B33" s="635"/>
      <c r="C33" s="2703"/>
      <c r="D33" s="4280"/>
      <c r="E33" s="4283"/>
      <c r="F33" s="4274" t="str">
        <f t="shared" si="8"/>
        <v>ECM Continuous Fan ER2 - MF</v>
      </c>
      <c r="G33" s="4274"/>
      <c r="H33" s="4274"/>
      <c r="I33" s="2319">
        <f t="shared" si="11"/>
        <v>0.16336956521739129</v>
      </c>
      <c r="J33" s="4286"/>
      <c r="K33" s="2487"/>
      <c r="L33" s="2696"/>
      <c r="M33" s="2696"/>
      <c r="N33" s="2703"/>
      <c r="O33" s="2696"/>
      <c r="P33" s="2696"/>
      <c r="Q33" s="635"/>
      <c r="S33" s="52"/>
      <c r="T33" s="52"/>
      <c r="U33" s="52"/>
      <c r="V33" s="4280"/>
      <c r="W33" s="3027">
        <v>0.16</v>
      </c>
      <c r="X33" s="3027">
        <f t="shared" si="9"/>
        <v>0.16285529117674288</v>
      </c>
      <c r="Y33" s="2797">
        <v>0.16336956521739129</v>
      </c>
      <c r="Z33" s="2789">
        <v>0.16336956521739129</v>
      </c>
      <c r="AA33" s="2789">
        <v>0.16336956521739129</v>
      </c>
      <c r="AB33" s="3027">
        <v>0.16336956521739129</v>
      </c>
      <c r="AC33" s="3027">
        <v>0.16336956521739129</v>
      </c>
      <c r="AD33" s="2794">
        <v>0.16336956521739129</v>
      </c>
      <c r="AE33" s="2794">
        <v>0.16336956521739129</v>
      </c>
      <c r="AF33" s="2236">
        <f t="shared" si="10"/>
        <v>0.16336956521739129</v>
      </c>
      <c r="AG33" s="3027"/>
      <c r="AH33" s="2237"/>
      <c r="DG33" s="573"/>
      <c r="DH33" s="573"/>
      <c r="DI33" s="573"/>
    </row>
    <row r="34" spans="1:114" ht="45" hidden="1" outlineLevel="1">
      <c r="A34" s="453"/>
      <c r="B34" s="635"/>
      <c r="C34" s="2703"/>
      <c r="D34" s="2306" t="s">
        <v>1744</v>
      </c>
      <c r="E34" s="2291" t="s">
        <v>1745</v>
      </c>
      <c r="F34" s="4351" t="s">
        <v>1102</v>
      </c>
      <c r="G34" s="4351"/>
      <c r="H34" s="4351"/>
      <c r="I34" s="3208">
        <v>400</v>
      </c>
      <c r="J34" s="2489" t="s">
        <v>1746</v>
      </c>
      <c r="K34" s="2202"/>
      <c r="L34" s="2696"/>
      <c r="M34" s="2696"/>
      <c r="N34" s="2703"/>
      <c r="O34" s="2696"/>
      <c r="P34" s="2696"/>
      <c r="Q34" s="635"/>
      <c r="S34" s="52"/>
      <c r="T34" s="52"/>
      <c r="U34" s="52"/>
      <c r="V34" s="2306" t="s">
        <v>1744</v>
      </c>
      <c r="W34" s="2821"/>
      <c r="X34" s="2821"/>
      <c r="Y34" s="2493">
        <v>400</v>
      </c>
      <c r="Z34" s="2493">
        <v>400</v>
      </c>
      <c r="AA34" s="2493">
        <v>400</v>
      </c>
      <c r="AB34" s="3226">
        <v>400</v>
      </c>
      <c r="AC34" s="3226">
        <v>400</v>
      </c>
      <c r="AD34" s="3227">
        <v>400</v>
      </c>
      <c r="AE34" s="3227">
        <v>400</v>
      </c>
      <c r="AF34" s="2236">
        <f t="shared" si="10"/>
        <v>400</v>
      </c>
      <c r="AG34" s="3027"/>
      <c r="AH34" s="2237"/>
      <c r="DG34" s="573"/>
      <c r="DH34" s="573"/>
      <c r="DI34" s="573"/>
    </row>
    <row r="35" spans="1:114" ht="75" hidden="1" outlineLevel="1">
      <c r="A35" s="453"/>
      <c r="B35" s="635"/>
      <c r="C35" s="2703"/>
      <c r="D35" s="3209" t="s">
        <v>1747</v>
      </c>
      <c r="E35" s="2291" t="s">
        <v>1748</v>
      </c>
      <c r="F35" s="4351" t="s">
        <v>1102</v>
      </c>
      <c r="G35" s="4351"/>
      <c r="H35" s="4351"/>
      <c r="I35" s="2485">
        <v>2009</v>
      </c>
      <c r="J35" s="1629" t="s">
        <v>1749</v>
      </c>
      <c r="K35" s="2487"/>
      <c r="L35" s="2696"/>
      <c r="M35" s="2696"/>
      <c r="N35" s="2703"/>
      <c r="O35" s="2696"/>
      <c r="P35" s="2696"/>
      <c r="Q35" s="635"/>
      <c r="S35" s="52"/>
      <c r="T35" s="209"/>
      <c r="U35" s="52"/>
      <c r="V35" s="3209" t="s">
        <v>1747</v>
      </c>
      <c r="W35" s="2490">
        <v>2009</v>
      </c>
      <c r="X35" s="2490">
        <v>2009</v>
      </c>
      <c r="Y35" s="2494">
        <v>2009</v>
      </c>
      <c r="Z35" s="2493">
        <v>2009</v>
      </c>
      <c r="AA35" s="2493">
        <v>2009</v>
      </c>
      <c r="AB35" s="2490">
        <v>2009</v>
      </c>
      <c r="AC35" s="2490">
        <v>2009</v>
      </c>
      <c r="AD35" s="2821">
        <v>2009</v>
      </c>
      <c r="AE35" s="2821">
        <v>2009</v>
      </c>
      <c r="AF35" s="2236">
        <f t="shared" si="10"/>
        <v>2009</v>
      </c>
      <c r="AG35" s="2490"/>
      <c r="AH35" s="2237"/>
      <c r="DG35" s="573"/>
      <c r="DH35" s="573"/>
      <c r="DI35" s="573"/>
    </row>
    <row r="36" spans="1:114" ht="45" hidden="1" outlineLevel="1">
      <c r="A36" s="453"/>
      <c r="B36" s="635"/>
      <c r="C36" s="2703"/>
      <c r="D36" s="3209" t="s">
        <v>1750</v>
      </c>
      <c r="E36" s="2291" t="s">
        <v>1751</v>
      </c>
      <c r="F36" s="4351" t="s">
        <v>1102</v>
      </c>
      <c r="G36" s="4351"/>
      <c r="H36" s="4351"/>
      <c r="I36" s="3210">
        <v>2545.25</v>
      </c>
      <c r="J36" s="2489" t="s">
        <v>1752</v>
      </c>
      <c r="K36" s="2487"/>
      <c r="L36" s="2696"/>
      <c r="M36" s="2696"/>
      <c r="N36" s="2703"/>
      <c r="O36" s="2696"/>
      <c r="P36" s="2696"/>
      <c r="Q36" s="635"/>
      <c r="U36" s="52"/>
      <c r="V36" s="3209" t="s">
        <v>1750</v>
      </c>
      <c r="W36" s="3228">
        <v>2545.25</v>
      </c>
      <c r="X36" s="3228">
        <v>2545.25</v>
      </c>
      <c r="Y36" s="3229">
        <v>2545.25</v>
      </c>
      <c r="Z36" s="3230">
        <v>2545.25</v>
      </c>
      <c r="AA36" s="3230">
        <v>2545.25</v>
      </c>
      <c r="AB36" s="3228">
        <v>2545.25</v>
      </c>
      <c r="AC36" s="3228">
        <v>2545.25</v>
      </c>
      <c r="AD36" s="2771">
        <v>2545.25</v>
      </c>
      <c r="AE36" s="2771">
        <v>2545.25</v>
      </c>
      <c r="AF36" s="2236">
        <f t="shared" si="10"/>
        <v>2545.25</v>
      </c>
      <c r="AG36" s="3228"/>
      <c r="AH36" s="2237"/>
      <c r="DG36" s="573"/>
      <c r="DH36" s="573"/>
      <c r="DI36" s="573"/>
    </row>
    <row r="37" spans="1:114" ht="15" hidden="1" customHeight="1" outlineLevel="1">
      <c r="A37" s="453"/>
      <c r="B37" s="635"/>
      <c r="C37" s="2703"/>
      <c r="D37" s="4278" t="s">
        <v>1753</v>
      </c>
      <c r="E37" s="4281" t="s">
        <v>1754</v>
      </c>
      <c r="F37" s="4274" t="str">
        <f t="shared" ref="F37:F44" si="12">E7</f>
        <v>ECM Auto Fan ER1 - SF</v>
      </c>
      <c r="G37" s="4274"/>
      <c r="H37" s="4274"/>
      <c r="I37" s="3211">
        <v>0.82</v>
      </c>
      <c r="J37" s="4284" t="s">
        <v>1755</v>
      </c>
      <c r="K37" s="2487"/>
      <c r="L37" s="2696"/>
      <c r="M37" s="2696"/>
      <c r="N37" s="2703"/>
      <c r="O37" s="2696"/>
      <c r="P37" s="2696"/>
      <c r="Q37" s="635"/>
      <c r="U37" s="52"/>
      <c r="V37" s="4278" t="s">
        <v>1753</v>
      </c>
      <c r="W37" s="3027">
        <v>0.97</v>
      </c>
      <c r="X37" s="3027">
        <f t="shared" ref="X37:X44" si="13">8493/10801</f>
        <v>0.78631608184427371</v>
      </c>
      <c r="Y37" s="2797">
        <v>0.80141304347826092</v>
      </c>
      <c r="Z37" s="2789">
        <v>0.80141304347826092</v>
      </c>
      <c r="AA37" s="2789">
        <v>0.80141304347826092</v>
      </c>
      <c r="AB37" s="3027">
        <v>0.80141304347826092</v>
      </c>
      <c r="AC37" s="3027">
        <v>0.80141304347826092</v>
      </c>
      <c r="AD37" s="2794">
        <v>0.80141304347826092</v>
      </c>
      <c r="AE37" s="2794">
        <v>0.80141304347826092</v>
      </c>
      <c r="AF37" s="2236">
        <f t="shared" si="10"/>
        <v>0.82</v>
      </c>
      <c r="AG37" s="3027"/>
      <c r="AH37" s="2237"/>
      <c r="DG37" s="573"/>
      <c r="DH37" s="573"/>
      <c r="DI37" s="573"/>
    </row>
    <row r="38" spans="1:114" ht="15" hidden="1" customHeight="1" outlineLevel="1">
      <c r="A38" s="453"/>
      <c r="B38" s="635"/>
      <c r="C38" s="2703"/>
      <c r="D38" s="4279"/>
      <c r="E38" s="4282"/>
      <c r="F38" s="4274" t="str">
        <f t="shared" si="12"/>
        <v>ECM Auto Fan ER2 - SF</v>
      </c>
      <c r="G38" s="4274"/>
      <c r="H38" s="4274"/>
      <c r="I38" s="3211">
        <f t="shared" ref="I38:I43" si="14">I37</f>
        <v>0.82</v>
      </c>
      <c r="J38" s="4285"/>
      <c r="K38" s="2487"/>
      <c r="L38" s="3212"/>
      <c r="M38" s="2696"/>
      <c r="N38" s="2703"/>
      <c r="O38" s="2696"/>
      <c r="P38" s="2696"/>
      <c r="Q38" s="2696"/>
      <c r="R38" s="283"/>
      <c r="S38" s="52"/>
      <c r="T38" s="52"/>
      <c r="U38" s="52"/>
      <c r="V38" s="4279"/>
      <c r="W38" s="3027">
        <v>0.97</v>
      </c>
      <c r="X38" s="3027">
        <f t="shared" si="13"/>
        <v>0.78631608184427371</v>
      </c>
      <c r="Y38" s="2797">
        <v>0.80141304347826092</v>
      </c>
      <c r="Z38" s="2789">
        <v>0.80141304347826092</v>
      </c>
      <c r="AA38" s="2789">
        <v>0.80141304347826092</v>
      </c>
      <c r="AB38" s="3027">
        <v>0.80141304347826092</v>
      </c>
      <c r="AC38" s="3027">
        <v>0.80141304347826092</v>
      </c>
      <c r="AD38" s="2794">
        <v>0.80141304347826092</v>
      </c>
      <c r="AE38" s="2794">
        <v>0.80141304347826092</v>
      </c>
      <c r="AF38" s="2236">
        <f t="shared" si="10"/>
        <v>0.82</v>
      </c>
      <c r="AG38" s="3027"/>
      <c r="AH38" s="2237"/>
      <c r="DG38" s="573"/>
      <c r="DH38" s="573"/>
      <c r="DI38" s="573"/>
    </row>
    <row r="39" spans="1:114" hidden="1" outlineLevel="1">
      <c r="A39" s="453"/>
      <c r="B39" s="635"/>
      <c r="C39" s="2703"/>
      <c r="D39" s="4279"/>
      <c r="E39" s="4282"/>
      <c r="F39" s="4274" t="str">
        <f t="shared" si="12"/>
        <v>ECM Auto Fan ER1 - MF</v>
      </c>
      <c r="G39" s="4274"/>
      <c r="H39" s="4274"/>
      <c r="I39" s="3211">
        <f t="shared" si="14"/>
        <v>0.82</v>
      </c>
      <c r="J39" s="4285"/>
      <c r="K39" s="2487"/>
      <c r="L39" s="3212"/>
      <c r="M39" s="2696"/>
      <c r="N39" s="2703"/>
      <c r="O39" s="2696"/>
      <c r="P39" s="2696"/>
      <c r="Q39" s="2696"/>
      <c r="R39" s="283"/>
      <c r="S39" s="52"/>
      <c r="T39" s="52"/>
      <c r="U39" s="52"/>
      <c r="V39" s="4279"/>
      <c r="W39" s="3027">
        <v>0.97</v>
      </c>
      <c r="X39" s="3027">
        <f t="shared" si="13"/>
        <v>0.78631608184427371</v>
      </c>
      <c r="Y39" s="2797">
        <v>0.80141304347826092</v>
      </c>
      <c r="Z39" s="2789">
        <v>0.80141304347826092</v>
      </c>
      <c r="AA39" s="2789">
        <v>0.80141304347826092</v>
      </c>
      <c r="AB39" s="3027">
        <v>0.80141304347826092</v>
      </c>
      <c r="AC39" s="3027">
        <v>0.80141304347826092</v>
      </c>
      <c r="AD39" s="2794">
        <v>0.80141304347826092</v>
      </c>
      <c r="AE39" s="2794">
        <v>0.80141304347826092</v>
      </c>
      <c r="AF39" s="2236">
        <f t="shared" si="10"/>
        <v>0.82</v>
      </c>
      <c r="AG39" s="3027"/>
      <c r="AH39" s="2237"/>
      <c r="DG39" s="573"/>
      <c r="DH39" s="573"/>
      <c r="DI39" s="573"/>
    </row>
    <row r="40" spans="1:114" hidden="1" outlineLevel="1">
      <c r="A40" s="453"/>
      <c r="B40" s="635"/>
      <c r="C40" s="2703"/>
      <c r="D40" s="4279"/>
      <c r="E40" s="4282"/>
      <c r="F40" s="4274" t="str">
        <f t="shared" si="12"/>
        <v>ECM Auto Fan ER2 - MF</v>
      </c>
      <c r="G40" s="4274"/>
      <c r="H40" s="4274"/>
      <c r="I40" s="3211">
        <f t="shared" si="14"/>
        <v>0.82</v>
      </c>
      <c r="J40" s="4285"/>
      <c r="K40" s="2487"/>
      <c r="L40" s="3212"/>
      <c r="M40" s="2696"/>
      <c r="N40" s="2703"/>
      <c r="O40" s="2696"/>
      <c r="P40" s="2696"/>
      <c r="Q40" s="2696"/>
      <c r="R40" s="281"/>
      <c r="S40" s="52"/>
      <c r="T40" s="52"/>
      <c r="U40" s="52"/>
      <c r="V40" s="4279"/>
      <c r="W40" s="3027">
        <v>0.97</v>
      </c>
      <c r="X40" s="3027">
        <f t="shared" si="13"/>
        <v>0.78631608184427371</v>
      </c>
      <c r="Y40" s="2797">
        <v>0.80141304347826092</v>
      </c>
      <c r="Z40" s="2789">
        <v>0.80141304347826092</v>
      </c>
      <c r="AA40" s="2789">
        <v>0.80141304347826092</v>
      </c>
      <c r="AB40" s="3027">
        <v>0.80141304347826092</v>
      </c>
      <c r="AC40" s="3027">
        <v>0.80141304347826092</v>
      </c>
      <c r="AD40" s="2794">
        <v>0.80141304347826092</v>
      </c>
      <c r="AE40" s="2794">
        <v>0.80141304347826092</v>
      </c>
      <c r="AF40" s="2236">
        <f t="shared" si="10"/>
        <v>0.82</v>
      </c>
      <c r="AG40" s="3027"/>
      <c r="AH40" s="2237"/>
      <c r="DG40" s="573"/>
      <c r="DH40" s="573"/>
      <c r="DI40" s="573"/>
    </row>
    <row r="41" spans="1:114" hidden="1" outlineLevel="1">
      <c r="A41" s="453"/>
      <c r="B41" s="635"/>
      <c r="C41" s="2703"/>
      <c r="D41" s="4279"/>
      <c r="E41" s="4282"/>
      <c r="F41" s="4274" t="str">
        <f t="shared" si="12"/>
        <v>ECM Continuous Fan ER1 - SF</v>
      </c>
      <c r="G41" s="4274"/>
      <c r="H41" s="4274"/>
      <c r="I41" s="3211">
        <f t="shared" si="14"/>
        <v>0.82</v>
      </c>
      <c r="J41" s="4285"/>
      <c r="K41" s="2487"/>
      <c r="L41" s="3212"/>
      <c r="M41" s="2696"/>
      <c r="N41" s="2703"/>
      <c r="O41" s="2696"/>
      <c r="P41" s="2696"/>
      <c r="Q41" s="2696"/>
      <c r="R41" s="283"/>
      <c r="S41" s="52"/>
      <c r="T41" s="52"/>
      <c r="U41" s="52"/>
      <c r="V41" s="4279"/>
      <c r="W41" s="3027">
        <v>0.97</v>
      </c>
      <c r="X41" s="3027">
        <f t="shared" si="13"/>
        <v>0.78631608184427371</v>
      </c>
      <c r="Y41" s="2797">
        <v>0.80141304347826092</v>
      </c>
      <c r="Z41" s="2789">
        <v>0.80141304347826092</v>
      </c>
      <c r="AA41" s="2789">
        <v>0.80141304347826092</v>
      </c>
      <c r="AB41" s="3027">
        <v>0.80141304347826092</v>
      </c>
      <c r="AC41" s="3027">
        <v>0.80141304347826092</v>
      </c>
      <c r="AD41" s="2794">
        <v>0.80141304347826092</v>
      </c>
      <c r="AE41" s="2794">
        <v>0.80141304347826092</v>
      </c>
      <c r="AF41" s="2236">
        <f t="shared" si="10"/>
        <v>0.82</v>
      </c>
      <c r="AG41" s="3027"/>
      <c r="AH41" s="2237"/>
      <c r="DG41" s="573"/>
      <c r="DH41" s="573"/>
      <c r="DI41" s="573"/>
    </row>
    <row r="42" spans="1:114" ht="18" hidden="1" customHeight="1" outlineLevel="1">
      <c r="A42" s="453"/>
      <c r="B42" s="635"/>
      <c r="C42" s="2703"/>
      <c r="D42" s="4279"/>
      <c r="E42" s="4282"/>
      <c r="F42" s="4274" t="str">
        <f t="shared" si="12"/>
        <v>ECM Continuous Fan ER2 - SF</v>
      </c>
      <c r="G42" s="4274"/>
      <c r="H42" s="4274"/>
      <c r="I42" s="3211">
        <f t="shared" si="14"/>
        <v>0.82</v>
      </c>
      <c r="J42" s="4285"/>
      <c r="K42" s="2487"/>
      <c r="L42" s="3212"/>
      <c r="M42" s="2696"/>
      <c r="N42" s="2703"/>
      <c r="O42" s="2696"/>
      <c r="P42" s="2696"/>
      <c r="Q42" s="2696"/>
      <c r="R42" s="283"/>
      <c r="S42" s="52"/>
      <c r="T42" s="52"/>
      <c r="U42" s="52"/>
      <c r="V42" s="4279"/>
      <c r="W42" s="3027">
        <v>0.97</v>
      </c>
      <c r="X42" s="3027">
        <f t="shared" si="13"/>
        <v>0.78631608184427371</v>
      </c>
      <c r="Y42" s="2797">
        <v>0.80141304347826092</v>
      </c>
      <c r="Z42" s="2789">
        <v>0.80141304347826092</v>
      </c>
      <c r="AA42" s="2789">
        <v>0.80141304347826092</v>
      </c>
      <c r="AB42" s="3027">
        <v>0.80141304347826092</v>
      </c>
      <c r="AC42" s="3027">
        <v>0.80141304347826092</v>
      </c>
      <c r="AD42" s="2794">
        <v>0.80141304347826092</v>
      </c>
      <c r="AE42" s="2794">
        <v>0.80141304347826092</v>
      </c>
      <c r="AF42" s="2236">
        <f t="shared" si="10"/>
        <v>0.82</v>
      </c>
      <c r="AG42" s="3027"/>
      <c r="AH42" s="2237"/>
      <c r="DG42" s="573"/>
      <c r="DH42" s="573"/>
      <c r="DI42" s="573"/>
    </row>
    <row r="43" spans="1:114" ht="18" hidden="1" customHeight="1" outlineLevel="1">
      <c r="A43" s="453"/>
      <c r="B43" s="635"/>
      <c r="C43" s="2703"/>
      <c r="D43" s="4279"/>
      <c r="E43" s="4282"/>
      <c r="F43" s="4274" t="str">
        <f t="shared" si="12"/>
        <v>ECM Continuous Fan ER1 - MF</v>
      </c>
      <c r="G43" s="4274"/>
      <c r="H43" s="4274"/>
      <c r="I43" s="3211">
        <f t="shared" si="14"/>
        <v>0.82</v>
      </c>
      <c r="J43" s="4285"/>
      <c r="K43" s="2487"/>
      <c r="L43" s="3212"/>
      <c r="M43" s="2696"/>
      <c r="N43" s="2703"/>
      <c r="O43" s="2696"/>
      <c r="P43" s="2696"/>
      <c r="Q43" s="2696"/>
      <c r="R43" s="283"/>
      <c r="S43" s="52"/>
      <c r="T43" s="52"/>
      <c r="U43" s="52"/>
      <c r="V43" s="4279"/>
      <c r="W43" s="3027">
        <v>0.97</v>
      </c>
      <c r="X43" s="3027">
        <f t="shared" si="13"/>
        <v>0.78631608184427371</v>
      </c>
      <c r="Y43" s="2797">
        <v>0.80141304347826092</v>
      </c>
      <c r="Z43" s="2789">
        <v>0.80141304347826092</v>
      </c>
      <c r="AA43" s="2789">
        <v>0.80141304347826092</v>
      </c>
      <c r="AB43" s="3027">
        <v>0.80141304347826092</v>
      </c>
      <c r="AC43" s="3027">
        <v>0.80141304347826092</v>
      </c>
      <c r="AD43" s="2794">
        <v>0.80141304347826092</v>
      </c>
      <c r="AE43" s="2794">
        <v>0.80141304347826092</v>
      </c>
      <c r="AF43" s="2236">
        <f t="shared" si="10"/>
        <v>0.82</v>
      </c>
      <c r="AG43" s="3027"/>
      <c r="AH43" s="2237"/>
      <c r="DG43" s="573"/>
      <c r="DH43" s="573"/>
      <c r="DI43" s="573"/>
    </row>
    <row r="44" spans="1:114" ht="18" hidden="1" customHeight="1" outlineLevel="1">
      <c r="A44" s="453"/>
      <c r="B44" s="635"/>
      <c r="C44" s="2703"/>
      <c r="D44" s="4280"/>
      <c r="E44" s="4283"/>
      <c r="F44" s="4274" t="str">
        <f t="shared" si="12"/>
        <v>ECM Continuous Fan ER2 - MF</v>
      </c>
      <c r="G44" s="4274"/>
      <c r="H44" s="4274"/>
      <c r="I44" s="3211">
        <f>I43</f>
        <v>0.82</v>
      </c>
      <c r="J44" s="4286"/>
      <c r="K44" s="2487"/>
      <c r="L44" s="3212"/>
      <c r="M44" s="2696"/>
      <c r="N44" s="2703"/>
      <c r="O44" s="2696"/>
      <c r="P44" s="2696"/>
      <c r="Q44" s="2696"/>
      <c r="R44" s="283"/>
      <c r="S44" s="52"/>
      <c r="T44" s="52"/>
      <c r="U44" s="52"/>
      <c r="V44" s="4280"/>
      <c r="W44" s="3027">
        <v>0.97</v>
      </c>
      <c r="X44" s="3027">
        <f t="shared" si="13"/>
        <v>0.78631608184427371</v>
      </c>
      <c r="Y44" s="2797">
        <v>0.80141304347826092</v>
      </c>
      <c r="Z44" s="2789">
        <v>0.80141304347826092</v>
      </c>
      <c r="AA44" s="2789">
        <v>0.80141304347826092</v>
      </c>
      <c r="AB44" s="3027">
        <v>0.80141304347826092</v>
      </c>
      <c r="AC44" s="3027">
        <v>0.80141304347826092</v>
      </c>
      <c r="AD44" s="2794">
        <v>0.80141304347826092</v>
      </c>
      <c r="AE44" s="2794">
        <v>0.80141304347826092</v>
      </c>
      <c r="AF44" s="2236">
        <f t="shared" si="10"/>
        <v>0.82</v>
      </c>
      <c r="AG44" s="3027"/>
      <c r="AH44" s="2237"/>
      <c r="DG44" s="573"/>
      <c r="DH44" s="573"/>
      <c r="DI44" s="573"/>
    </row>
    <row r="45" spans="1:114" ht="45" hidden="1" outlineLevel="1">
      <c r="A45" s="453"/>
      <c r="B45" s="635"/>
      <c r="C45" s="2703"/>
      <c r="D45" s="2306" t="s">
        <v>1756</v>
      </c>
      <c r="E45" s="2291" t="s">
        <v>1757</v>
      </c>
      <c r="F45" s="4275" t="s">
        <v>1102</v>
      </c>
      <c r="G45" s="4275"/>
      <c r="H45" s="4275"/>
      <c r="I45" s="3208">
        <v>70</v>
      </c>
      <c r="J45" s="1629" t="s">
        <v>1758</v>
      </c>
      <c r="K45" s="3213"/>
      <c r="L45" s="3212"/>
      <c r="M45" s="2696"/>
      <c r="N45" s="2703"/>
      <c r="O45" s="2696"/>
      <c r="P45" s="2696"/>
      <c r="Q45" s="2696"/>
      <c r="R45" s="283"/>
      <c r="S45" s="52"/>
      <c r="T45" s="52"/>
      <c r="U45" s="52"/>
      <c r="V45" s="2306" t="s">
        <v>1756</v>
      </c>
      <c r="W45" s="3027"/>
      <c r="X45" s="3027"/>
      <c r="Y45" s="2821">
        <v>70</v>
      </c>
      <c r="Z45" s="2821">
        <v>70</v>
      </c>
      <c r="AA45" s="2821">
        <v>70</v>
      </c>
      <c r="AB45" s="3226">
        <v>70</v>
      </c>
      <c r="AC45" s="3226">
        <v>70</v>
      </c>
      <c r="AD45" s="3227">
        <v>70</v>
      </c>
      <c r="AE45" s="3227">
        <v>70</v>
      </c>
      <c r="AF45" s="2236">
        <f t="shared" si="10"/>
        <v>70</v>
      </c>
      <c r="AG45" s="3027"/>
      <c r="AH45" s="2237"/>
      <c r="DG45" s="573"/>
      <c r="DH45" s="573"/>
      <c r="DI45" s="573"/>
    </row>
    <row r="46" spans="1:114" ht="33.75" hidden="1" customHeight="1" outlineLevel="1">
      <c r="A46" s="453"/>
      <c r="B46" s="635"/>
      <c r="C46" s="2703"/>
      <c r="D46" s="3209" t="s">
        <v>1759</v>
      </c>
      <c r="E46" s="2291" t="s">
        <v>1760</v>
      </c>
      <c r="F46" s="4275" t="s">
        <v>1102</v>
      </c>
      <c r="G46" s="4275"/>
      <c r="H46" s="4275"/>
      <c r="I46" s="3210">
        <v>1215</v>
      </c>
      <c r="J46" s="1629" t="s">
        <v>1758</v>
      </c>
      <c r="K46" s="2487"/>
      <c r="L46" s="3212"/>
      <c r="M46" s="2696"/>
      <c r="N46" s="2703"/>
      <c r="O46" s="2696"/>
      <c r="P46" s="2696"/>
      <c r="Q46" s="2696"/>
      <c r="R46" s="283"/>
      <c r="S46" s="52"/>
      <c r="T46" s="52"/>
      <c r="U46" s="52"/>
      <c r="V46" s="3209" t="s">
        <v>1759</v>
      </c>
      <c r="W46" s="3231">
        <v>1215</v>
      </c>
      <c r="X46" s="3232">
        <v>1215</v>
      </c>
      <c r="Y46" s="3229">
        <v>1215</v>
      </c>
      <c r="Z46" s="3230">
        <v>1215</v>
      </c>
      <c r="AA46" s="3230">
        <v>1215</v>
      </c>
      <c r="AB46" s="3231">
        <v>1215</v>
      </c>
      <c r="AC46" s="3231">
        <v>1215</v>
      </c>
      <c r="AD46" s="3233">
        <v>1215</v>
      </c>
      <c r="AE46" s="3233">
        <v>1215</v>
      </c>
      <c r="AF46" s="2236">
        <f t="shared" si="10"/>
        <v>1215</v>
      </c>
      <c r="AG46" s="3231"/>
      <c r="AH46" s="2237"/>
      <c r="DG46" s="573"/>
      <c r="DH46" s="573"/>
      <c r="DI46" s="573"/>
    </row>
    <row r="47" spans="1:114" ht="45.75" hidden="1" customHeight="1" outlineLevel="1">
      <c r="A47" s="453"/>
      <c r="B47" s="635"/>
      <c r="C47" s="2703"/>
      <c r="D47" s="3209" t="s">
        <v>1761</v>
      </c>
      <c r="E47" s="2291" t="s">
        <v>1762</v>
      </c>
      <c r="F47" s="4275" t="s">
        <v>1102</v>
      </c>
      <c r="G47" s="4275"/>
      <c r="H47" s="4275"/>
      <c r="I47" s="3208">
        <v>542.5</v>
      </c>
      <c r="J47" s="1629" t="s">
        <v>1758</v>
      </c>
      <c r="K47" s="2487"/>
      <c r="L47" s="3212"/>
      <c r="M47" s="2696"/>
      <c r="N47" s="2703"/>
      <c r="O47" s="2696"/>
      <c r="P47" s="2696"/>
      <c r="Q47" s="2696"/>
      <c r="R47" s="283"/>
      <c r="S47" s="52"/>
      <c r="T47" s="52"/>
      <c r="U47" s="52"/>
      <c r="V47" s="3209" t="s">
        <v>1761</v>
      </c>
      <c r="W47" s="3234">
        <v>542.5</v>
      </c>
      <c r="X47" s="3234">
        <v>542.5</v>
      </c>
      <c r="Y47" s="3235">
        <v>542.5</v>
      </c>
      <c r="Z47" s="3236">
        <v>542.5</v>
      </c>
      <c r="AA47" s="3236">
        <v>542.5</v>
      </c>
      <c r="AB47" s="3234">
        <v>542.5</v>
      </c>
      <c r="AC47" s="3234">
        <v>542.5</v>
      </c>
      <c r="AD47" s="3236">
        <v>542.5</v>
      </c>
      <c r="AE47" s="3236">
        <v>542.5</v>
      </c>
      <c r="AF47" s="2236">
        <f t="shared" si="10"/>
        <v>542.5</v>
      </c>
      <c r="AG47" s="3234"/>
      <c r="AH47" s="2237"/>
      <c r="DG47" s="573"/>
      <c r="DH47" s="573"/>
      <c r="DI47" s="573"/>
    </row>
    <row r="48" spans="1:114" ht="27" hidden="1" customHeight="1" outlineLevel="1">
      <c r="A48" s="453"/>
      <c r="B48" s="635"/>
      <c r="C48" s="2703"/>
      <c r="D48" s="2306" t="s">
        <v>1763</v>
      </c>
      <c r="E48" s="2291" t="s">
        <v>1764</v>
      </c>
      <c r="F48" s="4275" t="s">
        <v>1102</v>
      </c>
      <c r="G48" s="4275"/>
      <c r="H48" s="4275"/>
      <c r="I48" s="3208">
        <v>25</v>
      </c>
      <c r="J48" s="4276" t="s">
        <v>1765</v>
      </c>
      <c r="K48" s="2487"/>
      <c r="L48" s="2696"/>
      <c r="M48" s="2696"/>
      <c r="N48" s="3214"/>
      <c r="O48" s="2696"/>
      <c r="P48" s="2696"/>
      <c r="Q48" s="2696"/>
      <c r="R48" s="283"/>
      <c r="S48" s="52"/>
      <c r="T48" s="52"/>
      <c r="U48" s="52"/>
      <c r="V48" s="2306" t="s">
        <v>1763</v>
      </c>
      <c r="W48" s="3041"/>
      <c r="X48" s="3041"/>
      <c r="Y48" s="3236">
        <v>25</v>
      </c>
      <c r="Z48" s="3236">
        <v>25</v>
      </c>
      <c r="AA48" s="3236">
        <v>25</v>
      </c>
      <c r="AB48" s="3236">
        <v>25</v>
      </c>
      <c r="AC48" s="3236">
        <v>25</v>
      </c>
      <c r="AD48" s="3236">
        <v>25</v>
      </c>
      <c r="AE48" s="3236">
        <v>25</v>
      </c>
      <c r="AF48" s="2236">
        <f t="shared" si="10"/>
        <v>25</v>
      </c>
      <c r="AG48" s="3236"/>
      <c r="AH48" s="2237"/>
      <c r="DG48" s="1085"/>
      <c r="DH48" s="1085"/>
      <c r="DI48" s="1085"/>
      <c r="DJ48" s="1187"/>
    </row>
    <row r="49" spans="1:114" ht="27" hidden="1" customHeight="1" outlineLevel="1">
      <c r="A49" s="453"/>
      <c r="B49" s="635"/>
      <c r="C49" s="2703"/>
      <c r="D49" s="2306" t="s">
        <v>1766</v>
      </c>
      <c r="E49" s="2291" t="s">
        <v>1767</v>
      </c>
      <c r="F49" s="4275" t="s">
        <v>1102</v>
      </c>
      <c r="G49" s="4275"/>
      <c r="H49" s="4275"/>
      <c r="I49" s="3208">
        <v>2960</v>
      </c>
      <c r="J49" s="4051"/>
      <c r="K49" s="2487"/>
      <c r="L49" s="2696"/>
      <c r="M49" s="2696"/>
      <c r="N49" s="3214"/>
      <c r="O49" s="2696"/>
      <c r="P49" s="2696"/>
      <c r="Q49" s="2696"/>
      <c r="R49" s="283"/>
      <c r="S49" s="52"/>
      <c r="T49" s="52"/>
      <c r="U49" s="52"/>
      <c r="V49" s="2306" t="s">
        <v>1766</v>
      </c>
      <c r="W49" s="3041"/>
      <c r="X49" s="3041"/>
      <c r="Y49" s="3236">
        <v>2960</v>
      </c>
      <c r="Z49" s="3236">
        <v>2960</v>
      </c>
      <c r="AA49" s="3236">
        <v>2960</v>
      </c>
      <c r="AB49" s="3236">
        <v>2960</v>
      </c>
      <c r="AC49" s="3236">
        <v>2960</v>
      </c>
      <c r="AD49" s="3236">
        <v>2960</v>
      </c>
      <c r="AE49" s="3236">
        <v>2960</v>
      </c>
      <c r="AF49" s="2236">
        <f t="shared" si="10"/>
        <v>2960</v>
      </c>
      <c r="AG49" s="3236"/>
      <c r="AH49" s="2237"/>
      <c r="DG49" s="1085"/>
      <c r="DH49" s="1085"/>
      <c r="DI49" s="1085"/>
      <c r="DJ49" s="1187"/>
    </row>
    <row r="50" spans="1:114" ht="60" hidden="1" customHeight="1" outlineLevel="1">
      <c r="A50" s="453"/>
      <c r="B50" s="635"/>
      <c r="C50" s="2703"/>
      <c r="D50" s="4055" t="s">
        <v>1768</v>
      </c>
      <c r="E50" s="4055" t="s">
        <v>1769</v>
      </c>
      <c r="F50" s="4275" t="s">
        <v>1770</v>
      </c>
      <c r="G50" s="4275"/>
      <c r="H50" s="4275"/>
      <c r="I50" s="2512">
        <v>8.8084612296306403E-2</v>
      </c>
      <c r="J50" s="4277" t="s">
        <v>1771</v>
      </c>
      <c r="K50" s="2487"/>
      <c r="L50" s="2696"/>
      <c r="M50" s="2696"/>
      <c r="N50" s="3214"/>
      <c r="O50" s="2696"/>
      <c r="P50" s="2696"/>
      <c r="Q50" s="2696"/>
      <c r="R50" s="283"/>
      <c r="S50" s="52"/>
      <c r="T50" s="52"/>
      <c r="U50" s="52"/>
      <c r="V50" s="4055" t="s">
        <v>1768</v>
      </c>
      <c r="W50" s="3041"/>
      <c r="X50" s="3041"/>
      <c r="Y50" s="2515">
        <v>8.8084612296306403E-2</v>
      </c>
      <c r="Z50" s="2516">
        <v>8.8084612296306403E-2</v>
      </c>
      <c r="AA50" s="2516">
        <v>8.8084612296306403E-2</v>
      </c>
      <c r="AB50" s="2516">
        <v>8.8084612296306403E-2</v>
      </c>
      <c r="AC50" s="2516">
        <v>8.8084612296306403E-2</v>
      </c>
      <c r="AD50" s="2516">
        <v>8.8084612296306403E-2</v>
      </c>
      <c r="AE50" s="2516">
        <v>8.8084612296306403E-2</v>
      </c>
      <c r="AF50" s="2236">
        <f t="shared" ref="AF50:AF71" si="15">IF(I50&lt;&gt;"",I50,"")</f>
        <v>8.8084612296306403E-2</v>
      </c>
      <c r="AG50" s="2516"/>
      <c r="AH50" s="2237"/>
      <c r="DG50" s="1085"/>
      <c r="DH50" s="1085"/>
      <c r="DI50" s="1085"/>
      <c r="DJ50" s="1187"/>
    </row>
    <row r="51" spans="1:114" ht="30" hidden="1" customHeight="1" outlineLevel="1">
      <c r="A51" s="453"/>
      <c r="B51" s="635"/>
      <c r="C51" s="2703"/>
      <c r="D51" s="4055"/>
      <c r="E51" s="4055"/>
      <c r="F51" s="4275" t="s">
        <v>1772</v>
      </c>
      <c r="G51" s="4275"/>
      <c r="H51" s="4275"/>
      <c r="I51" s="2512">
        <v>8.8084612296306403E-2</v>
      </c>
      <c r="J51" s="4277"/>
      <c r="K51" s="2487"/>
      <c r="L51" s="2696"/>
      <c r="M51" s="2696"/>
      <c r="N51" s="3214"/>
      <c r="O51" s="2696"/>
      <c r="P51" s="2696"/>
      <c r="Q51" s="2696"/>
      <c r="R51" s="283"/>
      <c r="S51" s="52"/>
      <c r="T51" s="52"/>
      <c r="U51" s="52"/>
      <c r="V51" s="4055"/>
      <c r="W51" s="3041"/>
      <c r="X51" s="3041"/>
      <c r="Y51" s="2515">
        <v>8.8084612296306403E-2</v>
      </c>
      <c r="Z51" s="2516">
        <v>8.8084612296306403E-2</v>
      </c>
      <c r="AA51" s="2516">
        <v>8.8084612296306403E-2</v>
      </c>
      <c r="AB51" s="2516">
        <v>8.8084612296306403E-2</v>
      </c>
      <c r="AC51" s="2516">
        <v>8.8084612296306403E-2</v>
      </c>
      <c r="AD51" s="2516">
        <v>8.8084612296306403E-2</v>
      </c>
      <c r="AE51" s="2516">
        <v>8.8084612296306403E-2</v>
      </c>
      <c r="AF51" s="2236">
        <f t="shared" si="15"/>
        <v>8.8084612296306403E-2</v>
      </c>
      <c r="AG51" s="2516"/>
      <c r="AH51" s="2237"/>
      <c r="DG51" s="1085"/>
      <c r="DH51" s="1085"/>
      <c r="DI51" s="1085"/>
      <c r="DJ51" s="1187"/>
    </row>
    <row r="52" spans="1:114" ht="45" hidden="1" outlineLevel="1">
      <c r="A52" s="453"/>
      <c r="B52" s="635"/>
      <c r="C52" s="2703"/>
      <c r="D52" s="2306" t="s">
        <v>1773</v>
      </c>
      <c r="E52" s="2291" t="s">
        <v>1774</v>
      </c>
      <c r="F52" s="4275" t="s">
        <v>1102</v>
      </c>
      <c r="G52" s="4275"/>
      <c r="H52" s="4275"/>
      <c r="I52" s="3208">
        <v>30</v>
      </c>
      <c r="J52" s="1629" t="s">
        <v>1765</v>
      </c>
      <c r="K52" s="2487"/>
      <c r="L52" s="2696"/>
      <c r="M52" s="2696"/>
      <c r="N52" s="3214"/>
      <c r="O52" s="2696"/>
      <c r="P52" s="2696"/>
      <c r="Q52" s="2696"/>
      <c r="R52" s="283"/>
      <c r="S52" s="52"/>
      <c r="T52" s="52"/>
      <c r="U52" s="52"/>
      <c r="V52" s="2306" t="s">
        <v>1773</v>
      </c>
      <c r="W52" s="3041"/>
      <c r="X52" s="3041"/>
      <c r="Y52" s="3236">
        <v>30</v>
      </c>
      <c r="Z52" s="3236">
        <v>30</v>
      </c>
      <c r="AA52" s="3236">
        <v>30</v>
      </c>
      <c r="AB52" s="3236">
        <v>30</v>
      </c>
      <c r="AC52" s="3236">
        <v>30</v>
      </c>
      <c r="AD52" s="3236">
        <v>30</v>
      </c>
      <c r="AE52" s="3236">
        <v>30</v>
      </c>
      <c r="AF52" s="2236">
        <f t="shared" si="15"/>
        <v>30</v>
      </c>
      <c r="AG52" s="3236"/>
      <c r="AH52" s="2237"/>
      <c r="DG52" s="1085"/>
      <c r="DH52" s="1085"/>
      <c r="DI52" s="1085"/>
      <c r="DJ52" s="1187"/>
    </row>
    <row r="53" spans="1:114" ht="18" hidden="1" customHeight="1" outlineLevel="1">
      <c r="A53" s="453"/>
      <c r="B53" s="635"/>
      <c r="C53" s="2703"/>
      <c r="D53" s="4048" t="s">
        <v>1089</v>
      </c>
      <c r="E53" s="4357" t="s">
        <v>1775</v>
      </c>
      <c r="F53" s="4274" t="str">
        <f t="shared" ref="F53:F60" si="16">E7</f>
        <v>ECM Auto Fan ER1 - SF</v>
      </c>
      <c r="G53" s="4274"/>
      <c r="H53" s="4274"/>
      <c r="I53" s="2779">
        <v>1</v>
      </c>
      <c r="J53" s="2487"/>
      <c r="K53" s="2487"/>
      <c r="L53" s="3212"/>
      <c r="M53" s="2696"/>
      <c r="N53" s="2703"/>
      <c r="O53" s="2696"/>
      <c r="P53" s="2696"/>
      <c r="Q53" s="2696"/>
      <c r="R53" s="283"/>
      <c r="S53" s="52"/>
      <c r="T53" s="52"/>
      <c r="U53" s="52"/>
      <c r="V53" s="4048" t="s">
        <v>1089</v>
      </c>
      <c r="W53" s="2793">
        <v>1</v>
      </c>
      <c r="X53" s="2793">
        <v>1</v>
      </c>
      <c r="Y53" s="2793">
        <v>1</v>
      </c>
      <c r="Z53" s="2820">
        <v>1</v>
      </c>
      <c r="AA53" s="2820">
        <v>1</v>
      </c>
      <c r="AB53" s="2793">
        <v>1</v>
      </c>
      <c r="AC53" s="2793">
        <v>1</v>
      </c>
      <c r="AD53" s="2820">
        <v>1</v>
      </c>
      <c r="AE53" s="2820">
        <v>1</v>
      </c>
      <c r="AF53" s="2236">
        <f t="shared" si="15"/>
        <v>1</v>
      </c>
      <c r="AG53" s="2793"/>
      <c r="AH53" s="2237"/>
      <c r="DG53" s="573"/>
      <c r="DH53" s="573"/>
      <c r="DI53" s="573"/>
    </row>
    <row r="54" spans="1:114" ht="18" hidden="1" customHeight="1" outlineLevel="1">
      <c r="A54" s="453"/>
      <c r="B54" s="635"/>
      <c r="C54" s="2703"/>
      <c r="D54" s="4273"/>
      <c r="E54" s="4358"/>
      <c r="F54" s="4274" t="str">
        <f t="shared" si="16"/>
        <v>ECM Auto Fan ER2 - SF</v>
      </c>
      <c r="G54" s="4274"/>
      <c r="H54" s="4274"/>
      <c r="I54" s="2779">
        <v>1</v>
      </c>
      <c r="J54" s="2487"/>
      <c r="K54" s="2487"/>
      <c r="L54" s="3212"/>
      <c r="M54" s="2696"/>
      <c r="N54" s="2703"/>
      <c r="O54" s="2696"/>
      <c r="P54" s="2696"/>
      <c r="Q54" s="2696"/>
      <c r="R54" s="283"/>
      <c r="S54" s="52"/>
      <c r="T54" s="52"/>
      <c r="U54" s="52"/>
      <c r="V54" s="4273"/>
      <c r="W54" s="2793">
        <v>1</v>
      </c>
      <c r="X54" s="2793">
        <v>1</v>
      </c>
      <c r="Y54" s="2793">
        <v>1</v>
      </c>
      <c r="Z54" s="2820">
        <v>1</v>
      </c>
      <c r="AA54" s="2820">
        <v>1</v>
      </c>
      <c r="AB54" s="2793">
        <v>1</v>
      </c>
      <c r="AC54" s="2793">
        <v>1</v>
      </c>
      <c r="AD54" s="2820">
        <v>1</v>
      </c>
      <c r="AE54" s="2820">
        <v>1</v>
      </c>
      <c r="AF54" s="2236">
        <f t="shared" si="15"/>
        <v>1</v>
      </c>
      <c r="AG54" s="2793"/>
      <c r="AH54" s="2237"/>
      <c r="DG54" s="573"/>
      <c r="DH54" s="573"/>
      <c r="DI54" s="573"/>
    </row>
    <row r="55" spans="1:114" ht="18" hidden="1" customHeight="1" outlineLevel="1">
      <c r="A55" s="453"/>
      <c r="B55" s="635"/>
      <c r="C55" s="2703"/>
      <c r="D55" s="4273"/>
      <c r="E55" s="4358"/>
      <c r="F55" s="4274" t="str">
        <f t="shared" si="16"/>
        <v>ECM Auto Fan ER1 - MF</v>
      </c>
      <c r="G55" s="4274"/>
      <c r="H55" s="4274"/>
      <c r="I55" s="2779">
        <v>1</v>
      </c>
      <c r="J55" s="2487"/>
      <c r="K55" s="2487"/>
      <c r="L55" s="3212"/>
      <c r="M55" s="2696"/>
      <c r="N55" s="2703"/>
      <c r="O55" s="2696"/>
      <c r="P55" s="2696"/>
      <c r="Q55" s="2696"/>
      <c r="R55" s="283"/>
      <c r="S55" s="52"/>
      <c r="T55" s="52"/>
      <c r="U55" s="52"/>
      <c r="V55" s="4273"/>
      <c r="W55" s="2793">
        <v>1</v>
      </c>
      <c r="X55" s="2793">
        <v>1</v>
      </c>
      <c r="Y55" s="2793">
        <v>1</v>
      </c>
      <c r="Z55" s="2820">
        <v>1</v>
      </c>
      <c r="AA55" s="2820">
        <v>1</v>
      </c>
      <c r="AB55" s="2793">
        <v>1</v>
      </c>
      <c r="AC55" s="2793">
        <v>1</v>
      </c>
      <c r="AD55" s="2820">
        <v>1</v>
      </c>
      <c r="AE55" s="2820">
        <v>1</v>
      </c>
      <c r="AF55" s="2236">
        <f t="shared" si="15"/>
        <v>1</v>
      </c>
      <c r="AG55" s="2793"/>
      <c r="AH55" s="2237"/>
      <c r="DG55" s="573"/>
      <c r="DH55" s="573"/>
      <c r="DI55" s="573"/>
    </row>
    <row r="56" spans="1:114" ht="18" hidden="1" customHeight="1" outlineLevel="1">
      <c r="A56" s="453"/>
      <c r="B56" s="635"/>
      <c r="C56" s="2703"/>
      <c r="D56" s="4273"/>
      <c r="E56" s="4358"/>
      <c r="F56" s="4274" t="str">
        <f t="shared" si="16"/>
        <v>ECM Auto Fan ER2 - MF</v>
      </c>
      <c r="G56" s="4274"/>
      <c r="H56" s="4274"/>
      <c r="I56" s="2779">
        <v>1</v>
      </c>
      <c r="J56" s="2487"/>
      <c r="K56" s="2487"/>
      <c r="L56" s="3212"/>
      <c r="M56" s="2696"/>
      <c r="N56" s="2703"/>
      <c r="O56" s="2696"/>
      <c r="P56" s="2696"/>
      <c r="Q56" s="2696"/>
      <c r="R56" s="283"/>
      <c r="S56" s="52"/>
      <c r="T56" s="52"/>
      <c r="U56" s="52"/>
      <c r="V56" s="4273"/>
      <c r="W56" s="2793">
        <v>1</v>
      </c>
      <c r="X56" s="2793">
        <v>1</v>
      </c>
      <c r="Y56" s="2793">
        <v>1</v>
      </c>
      <c r="Z56" s="2820">
        <v>1</v>
      </c>
      <c r="AA56" s="2820">
        <v>1</v>
      </c>
      <c r="AB56" s="2793">
        <v>1</v>
      </c>
      <c r="AC56" s="2793">
        <v>1</v>
      </c>
      <c r="AD56" s="2820">
        <v>1</v>
      </c>
      <c r="AE56" s="2820">
        <v>1</v>
      </c>
      <c r="AF56" s="2236">
        <f t="shared" si="15"/>
        <v>1</v>
      </c>
      <c r="AG56" s="2793"/>
      <c r="AH56" s="2237"/>
      <c r="DG56" s="573"/>
      <c r="DH56" s="573"/>
      <c r="DI56" s="573"/>
    </row>
    <row r="57" spans="1:114" hidden="1" outlineLevel="1">
      <c r="A57" s="453"/>
      <c r="B57" s="635"/>
      <c r="C57" s="2703"/>
      <c r="D57" s="4273"/>
      <c r="E57" s="4358"/>
      <c r="F57" s="4274" t="str">
        <f t="shared" si="16"/>
        <v>ECM Continuous Fan ER1 - SF</v>
      </c>
      <c r="G57" s="4274"/>
      <c r="H57" s="4274"/>
      <c r="I57" s="2779">
        <v>1</v>
      </c>
      <c r="J57" s="2487"/>
      <c r="K57" s="2487"/>
      <c r="L57" s="3212"/>
      <c r="M57" s="2696"/>
      <c r="N57" s="2703"/>
      <c r="O57" s="2696"/>
      <c r="P57" s="2696"/>
      <c r="Q57" s="2696"/>
      <c r="R57" s="283"/>
      <c r="S57" s="52"/>
      <c r="T57" s="52"/>
      <c r="U57" s="52"/>
      <c r="V57" s="4273"/>
      <c r="W57" s="2793">
        <v>1</v>
      </c>
      <c r="X57" s="2793">
        <v>1</v>
      </c>
      <c r="Y57" s="2793">
        <v>1</v>
      </c>
      <c r="Z57" s="2820">
        <v>1</v>
      </c>
      <c r="AA57" s="2820">
        <v>1</v>
      </c>
      <c r="AB57" s="2793">
        <v>1</v>
      </c>
      <c r="AC57" s="2793">
        <v>1</v>
      </c>
      <c r="AD57" s="2820">
        <v>1</v>
      </c>
      <c r="AE57" s="2820">
        <v>1</v>
      </c>
      <c r="AF57" s="2236">
        <f t="shared" si="15"/>
        <v>1</v>
      </c>
      <c r="AG57" s="2793"/>
      <c r="AH57" s="2237"/>
      <c r="DG57" s="573"/>
      <c r="DH57" s="573"/>
      <c r="DI57" s="573"/>
    </row>
    <row r="58" spans="1:114" hidden="1" outlineLevel="1">
      <c r="A58" s="453"/>
      <c r="B58" s="635"/>
      <c r="C58" s="2703"/>
      <c r="D58" s="4273"/>
      <c r="E58" s="4358"/>
      <c r="F58" s="4274" t="str">
        <f t="shared" si="16"/>
        <v>ECM Continuous Fan ER2 - SF</v>
      </c>
      <c r="G58" s="4274"/>
      <c r="H58" s="4274"/>
      <c r="I58" s="2779">
        <v>1</v>
      </c>
      <c r="J58" s="2487"/>
      <c r="K58" s="2487"/>
      <c r="L58" s="3212"/>
      <c r="M58" s="2696"/>
      <c r="N58" s="2703"/>
      <c r="O58" s="2696"/>
      <c r="P58" s="2696"/>
      <c r="Q58" s="2696"/>
      <c r="R58" s="283"/>
      <c r="S58" s="52"/>
      <c r="T58" s="52"/>
      <c r="U58" s="52"/>
      <c r="V58" s="4273"/>
      <c r="W58" s="2793">
        <v>1</v>
      </c>
      <c r="X58" s="2793">
        <v>1</v>
      </c>
      <c r="Y58" s="2793">
        <v>1</v>
      </c>
      <c r="Z58" s="2820">
        <v>1</v>
      </c>
      <c r="AA58" s="2820">
        <v>1</v>
      </c>
      <c r="AB58" s="2793">
        <v>1</v>
      </c>
      <c r="AC58" s="2793">
        <v>1</v>
      </c>
      <c r="AD58" s="2820">
        <v>1</v>
      </c>
      <c r="AE58" s="2820">
        <v>1</v>
      </c>
      <c r="AF58" s="2236">
        <f t="shared" si="15"/>
        <v>1</v>
      </c>
      <c r="AG58" s="2793"/>
      <c r="AH58" s="2237"/>
      <c r="DG58" s="573"/>
      <c r="DH58" s="573"/>
      <c r="DI58" s="573"/>
    </row>
    <row r="59" spans="1:114" ht="16.5" hidden="1" customHeight="1" outlineLevel="1">
      <c r="A59" s="453"/>
      <c r="B59" s="635"/>
      <c r="C59" s="2703"/>
      <c r="D59" s="4273"/>
      <c r="E59" s="4358"/>
      <c r="F59" s="4274" t="str">
        <f t="shared" si="16"/>
        <v>ECM Continuous Fan ER1 - MF</v>
      </c>
      <c r="G59" s="4274"/>
      <c r="H59" s="4274"/>
      <c r="I59" s="2779">
        <v>1</v>
      </c>
      <c r="J59" s="2487"/>
      <c r="K59" s="2487"/>
      <c r="L59" s="3212"/>
      <c r="M59" s="2696"/>
      <c r="N59" s="2703"/>
      <c r="O59" s="2696"/>
      <c r="P59" s="2696"/>
      <c r="Q59" s="2696"/>
      <c r="R59" s="283"/>
      <c r="S59" s="52"/>
      <c r="T59" s="52"/>
      <c r="U59" s="52"/>
      <c r="V59" s="4273"/>
      <c r="W59" s="2793">
        <v>1</v>
      </c>
      <c r="X59" s="2793">
        <v>1</v>
      </c>
      <c r="Y59" s="2793">
        <v>1</v>
      </c>
      <c r="Z59" s="2820">
        <v>1</v>
      </c>
      <c r="AA59" s="2820">
        <v>1</v>
      </c>
      <c r="AB59" s="2793">
        <v>1</v>
      </c>
      <c r="AC59" s="2793">
        <v>1</v>
      </c>
      <c r="AD59" s="2820">
        <v>1</v>
      </c>
      <c r="AE59" s="2820">
        <v>1</v>
      </c>
      <c r="AF59" s="2236">
        <f t="shared" si="15"/>
        <v>1</v>
      </c>
      <c r="AG59" s="2793"/>
      <c r="AH59" s="2237"/>
      <c r="DG59" s="573"/>
      <c r="DH59" s="573"/>
      <c r="DI59" s="573"/>
    </row>
    <row r="60" spans="1:114" hidden="1" outlineLevel="1">
      <c r="A60" s="453"/>
      <c r="B60" s="635"/>
      <c r="C60" s="2703"/>
      <c r="D60" s="4049"/>
      <c r="E60" s="4359"/>
      <c r="F60" s="4274" t="str">
        <f t="shared" si="16"/>
        <v>ECM Continuous Fan ER2 - MF</v>
      </c>
      <c r="G60" s="4274"/>
      <c r="H60" s="4274"/>
      <c r="I60" s="2779">
        <v>1</v>
      </c>
      <c r="J60" s="2487"/>
      <c r="K60" s="2487"/>
      <c r="L60" s="3212"/>
      <c r="M60" s="2696"/>
      <c r="N60" s="2703"/>
      <c r="O60" s="2696"/>
      <c r="P60" s="2696"/>
      <c r="Q60" s="2696"/>
      <c r="R60" s="283"/>
      <c r="S60" s="52"/>
      <c r="T60" s="52"/>
      <c r="U60" s="52"/>
      <c r="V60" s="4049"/>
      <c r="W60" s="2793">
        <v>1</v>
      </c>
      <c r="X60" s="2793">
        <v>1</v>
      </c>
      <c r="Y60" s="2793">
        <v>1</v>
      </c>
      <c r="Z60" s="2820">
        <v>1</v>
      </c>
      <c r="AA60" s="2820">
        <v>1</v>
      </c>
      <c r="AB60" s="2793">
        <v>1</v>
      </c>
      <c r="AC60" s="2793">
        <v>1</v>
      </c>
      <c r="AD60" s="2820">
        <v>1</v>
      </c>
      <c r="AE60" s="2820">
        <v>1</v>
      </c>
      <c r="AF60" s="2236">
        <f t="shared" si="15"/>
        <v>1</v>
      </c>
      <c r="AG60" s="2793"/>
      <c r="AH60" s="2237"/>
      <c r="DG60" s="573"/>
      <c r="DH60" s="573"/>
      <c r="DI60" s="573"/>
    </row>
    <row r="61" spans="1:114" ht="45" hidden="1" outlineLevel="1">
      <c r="A61" s="453"/>
      <c r="B61" s="635"/>
      <c r="C61" s="2703"/>
      <c r="D61" s="2306" t="s">
        <v>128</v>
      </c>
      <c r="E61" s="2306" t="s">
        <v>1398</v>
      </c>
      <c r="F61" s="4351" t="s">
        <v>1102</v>
      </c>
      <c r="G61" s="4351"/>
      <c r="H61" s="4351"/>
      <c r="I61" s="2320">
        <v>1</v>
      </c>
      <c r="J61" s="2202" t="s">
        <v>1776</v>
      </c>
      <c r="K61" s="2487"/>
      <c r="L61" s="3212"/>
      <c r="M61" s="2696"/>
      <c r="N61" s="2703"/>
      <c r="O61" s="2696"/>
      <c r="P61" s="2696"/>
      <c r="Q61" s="2696"/>
      <c r="R61" s="283"/>
      <c r="S61" s="52"/>
      <c r="T61" s="52"/>
      <c r="U61" s="52"/>
      <c r="V61" s="2306" t="s">
        <v>128</v>
      </c>
      <c r="W61" s="2793"/>
      <c r="X61" s="2793"/>
      <c r="Y61" s="2793"/>
      <c r="Z61" s="2820"/>
      <c r="AA61" s="2820"/>
      <c r="AB61" s="2796">
        <v>1</v>
      </c>
      <c r="AC61" s="2793">
        <v>1</v>
      </c>
      <c r="AD61" s="2820">
        <v>1</v>
      </c>
      <c r="AE61" s="2820">
        <v>1</v>
      </c>
      <c r="AF61" s="2236">
        <f t="shared" si="15"/>
        <v>1</v>
      </c>
      <c r="AG61" s="2793"/>
      <c r="AH61" s="2237"/>
      <c r="DG61" s="573"/>
      <c r="DH61" s="573"/>
      <c r="DI61" s="573"/>
    </row>
    <row r="62" spans="1:114" ht="18" hidden="1" customHeight="1" outlineLevel="1">
      <c r="A62" s="453"/>
      <c r="B62" s="635"/>
      <c r="C62" s="2703"/>
      <c r="D62" s="4048" t="s">
        <v>49</v>
      </c>
      <c r="E62" s="4048" t="s">
        <v>1777</v>
      </c>
      <c r="F62" s="4274" t="str">
        <f t="shared" ref="F62:F69" si="17">E7</f>
        <v>ECM Auto Fan ER1 - SF</v>
      </c>
      <c r="G62" s="4274"/>
      <c r="H62" s="4274"/>
      <c r="I62" s="3215">
        <v>6</v>
      </c>
      <c r="J62" s="4284" t="s">
        <v>1778</v>
      </c>
      <c r="K62" s="2487" t="s">
        <v>62</v>
      </c>
      <c r="L62" s="3212"/>
      <c r="M62" s="2696"/>
      <c r="N62" s="2703"/>
      <c r="O62" s="2696"/>
      <c r="P62" s="2696"/>
      <c r="Q62" s="2696"/>
      <c r="R62" s="283"/>
      <c r="S62" s="52"/>
      <c r="T62" s="52"/>
      <c r="U62" s="52"/>
      <c r="V62" s="4048" t="s">
        <v>49</v>
      </c>
      <c r="W62" s="2504">
        <v>6</v>
      </c>
      <c r="X62" s="2504">
        <v>6</v>
      </c>
      <c r="Y62" s="2504">
        <v>6</v>
      </c>
      <c r="Z62" s="3237">
        <v>6</v>
      </c>
      <c r="AA62" s="3237">
        <v>6</v>
      </c>
      <c r="AB62" s="2504">
        <v>6</v>
      </c>
      <c r="AC62" s="3238">
        <v>6</v>
      </c>
      <c r="AD62" s="3238">
        <v>6</v>
      </c>
      <c r="AE62" s="3238">
        <v>6</v>
      </c>
      <c r="AF62" s="2236">
        <f t="shared" si="15"/>
        <v>6</v>
      </c>
      <c r="AG62" s="2504"/>
      <c r="AH62" s="2237"/>
      <c r="DG62" s="573"/>
      <c r="DH62" s="573"/>
      <c r="DI62" s="573"/>
    </row>
    <row r="63" spans="1:114" ht="18" hidden="1" customHeight="1" outlineLevel="1">
      <c r="A63" s="453"/>
      <c r="B63" s="635"/>
      <c r="C63" s="2703"/>
      <c r="D63" s="4273"/>
      <c r="E63" s="4273"/>
      <c r="F63" s="4274" t="str">
        <f t="shared" si="17"/>
        <v>ECM Auto Fan ER2 - SF</v>
      </c>
      <c r="G63" s="4274"/>
      <c r="H63" s="4274"/>
      <c r="I63" s="3216">
        <v>0</v>
      </c>
      <c r="J63" s="4285"/>
      <c r="K63" s="2487" t="s">
        <v>62</v>
      </c>
      <c r="L63" s="3212"/>
      <c r="M63" s="2696"/>
      <c r="N63" s="2703"/>
      <c r="O63" s="2696"/>
      <c r="P63" s="2696"/>
      <c r="Q63" s="2696"/>
      <c r="R63" s="283"/>
      <c r="S63" s="52"/>
      <c r="T63" s="52"/>
      <c r="U63" s="52"/>
      <c r="V63" s="4273"/>
      <c r="W63" s="2504">
        <v>12</v>
      </c>
      <c r="X63" s="2504">
        <v>12</v>
      </c>
      <c r="Y63" s="2504">
        <v>12</v>
      </c>
      <c r="Z63" s="3237">
        <v>12</v>
      </c>
      <c r="AA63" s="3237">
        <v>12</v>
      </c>
      <c r="AB63" s="2504">
        <v>12</v>
      </c>
      <c r="AC63" s="3239">
        <v>0</v>
      </c>
      <c r="AD63" s="3238">
        <v>0</v>
      </c>
      <c r="AE63" s="3238">
        <v>0</v>
      </c>
      <c r="AF63" s="2236">
        <f t="shared" si="15"/>
        <v>0</v>
      </c>
      <c r="AG63" s="2504"/>
      <c r="AH63" s="2237"/>
      <c r="DG63" s="573"/>
      <c r="DH63" s="573"/>
      <c r="DI63" s="573"/>
    </row>
    <row r="64" spans="1:114" ht="18" hidden="1" customHeight="1" outlineLevel="1">
      <c r="A64" s="453"/>
      <c r="B64" s="635"/>
      <c r="C64" s="2703"/>
      <c r="D64" s="4273"/>
      <c r="E64" s="4273"/>
      <c r="F64" s="4274" t="str">
        <f t="shared" si="17"/>
        <v>ECM Auto Fan ER1 - MF</v>
      </c>
      <c r="G64" s="4274"/>
      <c r="H64" s="4274"/>
      <c r="I64" s="3215">
        <v>6</v>
      </c>
      <c r="J64" s="4285"/>
      <c r="K64" s="2487" t="s">
        <v>62</v>
      </c>
      <c r="L64" s="3212"/>
      <c r="M64" s="2696"/>
      <c r="N64" s="2703"/>
      <c r="O64" s="2696"/>
      <c r="P64" s="2696"/>
      <c r="Q64" s="2696"/>
      <c r="R64" s="283"/>
      <c r="S64" s="52"/>
      <c r="T64" s="52"/>
      <c r="U64" s="52"/>
      <c r="V64" s="4273"/>
      <c r="W64" s="2504">
        <v>6</v>
      </c>
      <c r="X64" s="2504">
        <v>6</v>
      </c>
      <c r="Y64" s="2504">
        <v>6</v>
      </c>
      <c r="Z64" s="3237">
        <v>6</v>
      </c>
      <c r="AA64" s="3237">
        <v>6</v>
      </c>
      <c r="AB64" s="2504">
        <v>6</v>
      </c>
      <c r="AC64" s="3238">
        <v>6</v>
      </c>
      <c r="AD64" s="3238">
        <v>6</v>
      </c>
      <c r="AE64" s="3238">
        <v>6</v>
      </c>
      <c r="AF64" s="2236">
        <f t="shared" si="15"/>
        <v>6</v>
      </c>
      <c r="AG64" s="2504"/>
      <c r="AH64" s="2237"/>
      <c r="DG64" s="573"/>
      <c r="DH64" s="573"/>
      <c r="DI64" s="573"/>
    </row>
    <row r="65" spans="1:113" ht="18" hidden="1" customHeight="1" outlineLevel="1">
      <c r="A65" s="453"/>
      <c r="B65" s="635"/>
      <c r="C65" s="2703"/>
      <c r="D65" s="4273"/>
      <c r="E65" s="4273"/>
      <c r="F65" s="4274" t="str">
        <f t="shared" si="17"/>
        <v>ECM Auto Fan ER2 - MF</v>
      </c>
      <c r="G65" s="4274"/>
      <c r="H65" s="4274"/>
      <c r="I65" s="3216">
        <v>0</v>
      </c>
      <c r="J65" s="4285"/>
      <c r="K65" s="2487" t="s">
        <v>62</v>
      </c>
      <c r="L65" s="3212"/>
      <c r="M65" s="2696"/>
      <c r="N65" s="2703"/>
      <c r="O65" s="2696"/>
      <c r="P65" s="2696"/>
      <c r="Q65" s="2696"/>
      <c r="R65" s="283"/>
      <c r="S65" s="52"/>
      <c r="T65" s="52"/>
      <c r="U65" s="52"/>
      <c r="V65" s="4273"/>
      <c r="W65" s="2504">
        <v>12</v>
      </c>
      <c r="X65" s="2504">
        <v>12</v>
      </c>
      <c r="Y65" s="2504">
        <v>12</v>
      </c>
      <c r="Z65" s="3237">
        <v>12</v>
      </c>
      <c r="AA65" s="3237">
        <v>12</v>
      </c>
      <c r="AB65" s="2504">
        <v>12</v>
      </c>
      <c r="AC65" s="3239">
        <v>0</v>
      </c>
      <c r="AD65" s="3238">
        <v>0</v>
      </c>
      <c r="AE65" s="3238">
        <v>0</v>
      </c>
      <c r="AF65" s="2236">
        <f t="shared" si="15"/>
        <v>0</v>
      </c>
      <c r="AG65" s="2504"/>
      <c r="AH65" s="2237"/>
      <c r="DG65" s="573"/>
      <c r="DH65" s="573"/>
      <c r="DI65" s="573"/>
    </row>
    <row r="66" spans="1:113" hidden="1" outlineLevel="1">
      <c r="A66" s="453"/>
      <c r="B66" s="635"/>
      <c r="C66" s="2703"/>
      <c r="D66" s="4273"/>
      <c r="E66" s="4273"/>
      <c r="F66" s="4274" t="str">
        <f t="shared" si="17"/>
        <v>ECM Continuous Fan ER1 - SF</v>
      </c>
      <c r="G66" s="4274"/>
      <c r="H66" s="4274"/>
      <c r="I66" s="3215">
        <v>6</v>
      </c>
      <c r="J66" s="4285"/>
      <c r="K66" s="2487" t="s">
        <v>62</v>
      </c>
      <c r="L66" s="3212"/>
      <c r="M66" s="2696"/>
      <c r="N66" s="2703"/>
      <c r="O66" s="2696"/>
      <c r="P66" s="2696"/>
      <c r="Q66" s="2696"/>
      <c r="R66" s="283"/>
      <c r="S66" s="52"/>
      <c r="T66" s="52"/>
      <c r="U66" s="52"/>
      <c r="V66" s="4273"/>
      <c r="W66" s="2504">
        <v>6</v>
      </c>
      <c r="X66" s="2504">
        <v>6</v>
      </c>
      <c r="Y66" s="2504">
        <v>6</v>
      </c>
      <c r="Z66" s="3237">
        <v>6</v>
      </c>
      <c r="AA66" s="3237">
        <v>6</v>
      </c>
      <c r="AB66" s="2504">
        <v>6</v>
      </c>
      <c r="AC66" s="3238">
        <v>6</v>
      </c>
      <c r="AD66" s="3238">
        <v>6</v>
      </c>
      <c r="AE66" s="3238">
        <v>6</v>
      </c>
      <c r="AF66" s="2236">
        <f t="shared" si="15"/>
        <v>6</v>
      </c>
      <c r="AG66" s="2504"/>
      <c r="AH66" s="2237"/>
      <c r="DG66" s="573"/>
      <c r="DH66" s="573"/>
      <c r="DI66" s="573"/>
    </row>
    <row r="67" spans="1:113" hidden="1" outlineLevel="1">
      <c r="A67" s="453"/>
      <c r="B67" s="635"/>
      <c r="C67" s="2703"/>
      <c r="D67" s="4273"/>
      <c r="E67" s="4273"/>
      <c r="F67" s="4274" t="str">
        <f t="shared" si="17"/>
        <v>ECM Continuous Fan ER2 - SF</v>
      </c>
      <c r="G67" s="4274"/>
      <c r="H67" s="4274"/>
      <c r="I67" s="3216">
        <v>0</v>
      </c>
      <c r="J67" s="4285"/>
      <c r="K67" s="2487" t="s">
        <v>62</v>
      </c>
      <c r="L67" s="3212"/>
      <c r="M67" s="2696"/>
      <c r="N67" s="2703"/>
      <c r="O67" s="2696"/>
      <c r="P67" s="2696"/>
      <c r="Q67" s="2696"/>
      <c r="R67" s="283"/>
      <c r="S67" s="52"/>
      <c r="T67" s="52"/>
      <c r="U67" s="52"/>
      <c r="V67" s="4273"/>
      <c r="W67" s="2504">
        <v>12</v>
      </c>
      <c r="X67" s="2504">
        <v>12</v>
      </c>
      <c r="Y67" s="2504">
        <v>12</v>
      </c>
      <c r="Z67" s="3237">
        <v>12</v>
      </c>
      <c r="AA67" s="3237">
        <v>12</v>
      </c>
      <c r="AB67" s="2504">
        <v>12</v>
      </c>
      <c r="AC67" s="3239">
        <v>0</v>
      </c>
      <c r="AD67" s="3238">
        <v>0</v>
      </c>
      <c r="AE67" s="3238">
        <v>0</v>
      </c>
      <c r="AF67" s="2236">
        <f t="shared" si="15"/>
        <v>0</v>
      </c>
      <c r="AG67" s="2504"/>
      <c r="AH67" s="2237"/>
      <c r="DG67" s="573"/>
      <c r="DH67" s="573"/>
      <c r="DI67" s="573"/>
    </row>
    <row r="68" spans="1:113" ht="16.5" hidden="1" customHeight="1" outlineLevel="1">
      <c r="A68" s="453"/>
      <c r="B68" s="635"/>
      <c r="C68" s="2703"/>
      <c r="D68" s="4273"/>
      <c r="E68" s="4273"/>
      <c r="F68" s="4274" t="str">
        <f t="shared" si="17"/>
        <v>ECM Continuous Fan ER1 - MF</v>
      </c>
      <c r="G68" s="4274"/>
      <c r="H68" s="4274"/>
      <c r="I68" s="3215">
        <v>6</v>
      </c>
      <c r="J68" s="4285"/>
      <c r="K68" s="2487" t="s">
        <v>62</v>
      </c>
      <c r="L68" s="3212"/>
      <c r="M68" s="2696"/>
      <c r="N68" s="2703"/>
      <c r="O68" s="2696"/>
      <c r="P68" s="2696"/>
      <c r="Q68" s="2696"/>
      <c r="R68" s="283"/>
      <c r="S68" s="52"/>
      <c r="T68" s="52"/>
      <c r="U68" s="52"/>
      <c r="V68" s="4273"/>
      <c r="W68" s="2504">
        <v>6</v>
      </c>
      <c r="X68" s="2504">
        <v>6</v>
      </c>
      <c r="Y68" s="2504">
        <v>6</v>
      </c>
      <c r="Z68" s="3237">
        <v>6</v>
      </c>
      <c r="AA68" s="3237">
        <v>6</v>
      </c>
      <c r="AB68" s="2504">
        <v>6</v>
      </c>
      <c r="AC68" s="3238">
        <v>6</v>
      </c>
      <c r="AD68" s="3238">
        <v>6</v>
      </c>
      <c r="AE68" s="3238">
        <v>6</v>
      </c>
      <c r="AF68" s="2236">
        <f t="shared" si="15"/>
        <v>6</v>
      </c>
      <c r="AG68" s="2504"/>
      <c r="AH68" s="2237"/>
      <c r="DG68" s="573"/>
      <c r="DH68" s="573"/>
      <c r="DI68" s="573"/>
    </row>
    <row r="69" spans="1:113" hidden="1" outlineLevel="1">
      <c r="A69" s="453"/>
      <c r="B69" s="635"/>
      <c r="C69" s="2703"/>
      <c r="D69" s="4049"/>
      <c r="E69" s="4049"/>
      <c r="F69" s="4274" t="str">
        <f t="shared" si="17"/>
        <v>ECM Continuous Fan ER2 - MF</v>
      </c>
      <c r="G69" s="4274"/>
      <c r="H69" s="4274"/>
      <c r="I69" s="3216">
        <v>0</v>
      </c>
      <c r="J69" s="4286"/>
      <c r="K69" s="2487" t="s">
        <v>62</v>
      </c>
      <c r="L69" s="3212"/>
      <c r="M69" s="2696"/>
      <c r="N69" s="2703"/>
      <c r="O69" s="2696"/>
      <c r="P69" s="2696"/>
      <c r="Q69" s="2696"/>
      <c r="R69" s="283"/>
      <c r="S69" s="52"/>
      <c r="T69" s="52"/>
      <c r="U69" s="52"/>
      <c r="V69" s="4049"/>
      <c r="W69" s="2504">
        <v>12</v>
      </c>
      <c r="X69" s="2504">
        <v>12</v>
      </c>
      <c r="Y69" s="2504">
        <v>12</v>
      </c>
      <c r="Z69" s="3237">
        <v>12</v>
      </c>
      <c r="AA69" s="3237">
        <v>12</v>
      </c>
      <c r="AB69" s="2504">
        <v>12</v>
      </c>
      <c r="AC69" s="3239">
        <v>0</v>
      </c>
      <c r="AD69" s="3238">
        <v>0</v>
      </c>
      <c r="AE69" s="3238">
        <v>0</v>
      </c>
      <c r="AF69" s="2236">
        <f t="shared" si="15"/>
        <v>0</v>
      </c>
      <c r="AG69" s="2504"/>
      <c r="AH69" s="2237"/>
      <c r="DG69" s="573"/>
      <c r="DH69" s="573"/>
      <c r="DI69" s="573"/>
    </row>
    <row r="70" spans="1:113" ht="30" hidden="1" customHeight="1" outlineLevel="1">
      <c r="A70" s="453"/>
      <c r="B70" s="635"/>
      <c r="C70" s="2703"/>
      <c r="D70" s="4048" t="s">
        <v>50</v>
      </c>
      <c r="E70" s="4048" t="s">
        <v>1280</v>
      </c>
      <c r="F70" s="4274" t="str">
        <f t="shared" ref="F70:F77" si="18">E7</f>
        <v>ECM Auto Fan ER1 - SF</v>
      </c>
      <c r="G70" s="4274"/>
      <c r="H70" s="4274"/>
      <c r="I70" s="3217">
        <f>0.75*0+0.25*350</f>
        <v>87.5</v>
      </c>
      <c r="J70" s="1629" t="s">
        <v>1779</v>
      </c>
      <c r="K70" s="2487" t="s">
        <v>62</v>
      </c>
      <c r="L70" s="3212"/>
      <c r="M70" s="2696"/>
      <c r="N70" s="2703"/>
      <c r="O70" s="2696"/>
      <c r="P70" s="2696"/>
      <c r="Q70" s="2696"/>
      <c r="R70" s="283"/>
      <c r="S70" s="52"/>
      <c r="T70" s="52"/>
      <c r="U70" s="52"/>
      <c r="V70" s="4048" t="s">
        <v>50</v>
      </c>
      <c r="W70" s="3240">
        <f>$Q$66</f>
        <v>0</v>
      </c>
      <c r="X70" s="3240">
        <f>$Q$66</f>
        <v>0</v>
      </c>
      <c r="Y70" s="3240">
        <f>$Q$66</f>
        <v>0</v>
      </c>
      <c r="Z70" s="3241">
        <f>$Q$66</f>
        <v>0</v>
      </c>
      <c r="AA70" s="3241">
        <f>$Q$66</f>
        <v>0</v>
      </c>
      <c r="AB70" s="3240">
        <v>74.327224020150311</v>
      </c>
      <c r="AC70" s="3240">
        <v>74.327224020150311</v>
      </c>
      <c r="AD70" s="3241">
        <v>74.327224020150311</v>
      </c>
      <c r="AE70" s="3241">
        <v>74.327224020150311</v>
      </c>
      <c r="AF70" s="3242">
        <f t="shared" si="15"/>
        <v>87.5</v>
      </c>
      <c r="AG70" s="3240"/>
      <c r="AH70" s="2237"/>
      <c r="DG70" s="573"/>
      <c r="DH70" s="573"/>
      <c r="DI70" s="573"/>
    </row>
    <row r="71" spans="1:113" ht="18" hidden="1" customHeight="1" outlineLevel="1">
      <c r="A71" s="453"/>
      <c r="B71" s="635"/>
      <c r="C71" s="2703"/>
      <c r="D71" s="4273"/>
      <c r="E71" s="4273"/>
      <c r="F71" s="4274" t="str">
        <f t="shared" si="18"/>
        <v>ECM Auto Fan ER2 - SF</v>
      </c>
      <c r="G71" s="4274"/>
      <c r="H71" s="4274"/>
      <c r="I71" s="3218"/>
      <c r="J71" s="2487"/>
      <c r="K71" s="2487" t="s">
        <v>62</v>
      </c>
      <c r="L71" s="3212"/>
      <c r="M71" s="2696"/>
      <c r="N71" s="2703"/>
      <c r="O71" s="2696"/>
      <c r="P71" s="2696"/>
      <c r="Q71" s="2696"/>
      <c r="R71" s="283"/>
      <c r="S71" s="52"/>
      <c r="T71" s="52"/>
      <c r="U71" s="52"/>
      <c r="V71" s="4273"/>
      <c r="W71" s="3240"/>
      <c r="X71" s="3240"/>
      <c r="Y71" s="3240"/>
      <c r="Z71" s="3241"/>
      <c r="AA71" s="3241"/>
      <c r="AB71" s="3240"/>
      <c r="AC71" s="3240"/>
      <c r="AD71" s="3240"/>
      <c r="AE71" s="3240"/>
      <c r="AF71" s="3242" t="str">
        <f t="shared" si="15"/>
        <v/>
      </c>
      <c r="AG71" s="3240"/>
      <c r="AH71" s="2237"/>
      <c r="DG71" s="573"/>
      <c r="DH71" s="573"/>
      <c r="DI71" s="573"/>
    </row>
    <row r="72" spans="1:113" ht="28.5" hidden="1" customHeight="1" outlineLevel="1">
      <c r="A72" s="453"/>
      <c r="B72" s="635"/>
      <c r="C72" s="2703"/>
      <c r="D72" s="4273"/>
      <c r="E72" s="4273"/>
      <c r="F72" s="4274" t="str">
        <f t="shared" si="18"/>
        <v>ECM Auto Fan ER1 - MF</v>
      </c>
      <c r="G72" s="4274"/>
      <c r="H72" s="4274"/>
      <c r="I72" s="3217">
        <f>0.75*0+0.25*350</f>
        <v>87.5</v>
      </c>
      <c r="J72" s="1629" t="s">
        <v>1779</v>
      </c>
      <c r="K72" s="2487" t="s">
        <v>62</v>
      </c>
      <c r="L72" s="3212"/>
      <c r="M72" s="3219"/>
      <c r="N72" s="2703"/>
      <c r="O72" s="2696"/>
      <c r="P72" s="2696"/>
      <c r="Q72" s="2696"/>
      <c r="R72" s="283"/>
      <c r="S72" s="52"/>
      <c r="T72" s="52"/>
      <c r="U72" s="52"/>
      <c r="V72" s="4273"/>
      <c r="W72" s="3240">
        <f>$Q$66</f>
        <v>0</v>
      </c>
      <c r="X72" s="3240">
        <f>$Q$66</f>
        <v>0</v>
      </c>
      <c r="Y72" s="3240">
        <f>$Q$66</f>
        <v>0</v>
      </c>
      <c r="Z72" s="3241">
        <f>$Q$66</f>
        <v>0</v>
      </c>
      <c r="AA72" s="3241">
        <f>$Q$66</f>
        <v>0</v>
      </c>
      <c r="AB72" s="3240">
        <v>74.327224020150311</v>
      </c>
      <c r="AC72" s="3240">
        <v>74.327224020150311</v>
      </c>
      <c r="AD72" s="3240">
        <v>74.327224020150311</v>
      </c>
      <c r="AE72" s="3240">
        <v>74.327224020150311</v>
      </c>
      <c r="AF72" s="3242">
        <f t="shared" ref="AF72:AF77" si="19">IF(I72&lt;&gt;"",I72,"")</f>
        <v>87.5</v>
      </c>
      <c r="AG72" s="3240"/>
      <c r="AH72" s="2237"/>
      <c r="DG72" s="573"/>
      <c r="DH72" s="573"/>
      <c r="DI72" s="573"/>
    </row>
    <row r="73" spans="1:113" ht="18" hidden="1" customHeight="1" outlineLevel="1">
      <c r="A73" s="453"/>
      <c r="B73" s="635"/>
      <c r="C73" s="2703"/>
      <c r="D73" s="4273"/>
      <c r="E73" s="4273"/>
      <c r="F73" s="4274" t="str">
        <f t="shared" si="18"/>
        <v>ECM Auto Fan ER2 - MF</v>
      </c>
      <c r="G73" s="4274"/>
      <c r="H73" s="4274"/>
      <c r="I73" s="3218"/>
      <c r="J73" s="2487"/>
      <c r="K73" s="2487" t="s">
        <v>62</v>
      </c>
      <c r="L73" s="3212"/>
      <c r="M73" s="2696"/>
      <c r="N73" s="2703"/>
      <c r="O73" s="2696"/>
      <c r="P73" s="2696"/>
      <c r="Q73" s="2696"/>
      <c r="R73" s="283"/>
      <c r="S73" s="52"/>
      <c r="T73" s="52"/>
      <c r="U73" s="52"/>
      <c r="V73" s="4273"/>
      <c r="W73" s="3240"/>
      <c r="X73" s="3240"/>
      <c r="Y73" s="3240"/>
      <c r="Z73" s="3241"/>
      <c r="AA73" s="3241"/>
      <c r="AB73" s="3240"/>
      <c r="AC73" s="3240"/>
      <c r="AD73" s="3240"/>
      <c r="AE73" s="3240"/>
      <c r="AF73" s="3242" t="str">
        <f t="shared" si="19"/>
        <v/>
      </c>
      <c r="AG73" s="3240"/>
      <c r="AH73" s="2237"/>
      <c r="DG73" s="573"/>
      <c r="DH73" s="573"/>
      <c r="DI73" s="573"/>
    </row>
    <row r="74" spans="1:113" ht="31.5" hidden="1" customHeight="1" outlineLevel="1">
      <c r="A74" s="453"/>
      <c r="B74" s="635"/>
      <c r="C74" s="2703"/>
      <c r="D74" s="4273"/>
      <c r="E74" s="4273"/>
      <c r="F74" s="4274" t="str">
        <f t="shared" si="18"/>
        <v>ECM Continuous Fan ER1 - SF</v>
      </c>
      <c r="G74" s="4274"/>
      <c r="H74" s="4274"/>
      <c r="I74" s="3217">
        <f>0.75*0+0.25*350</f>
        <v>87.5</v>
      </c>
      <c r="J74" s="1629" t="s">
        <v>1779</v>
      </c>
      <c r="K74" s="2487" t="s">
        <v>62</v>
      </c>
      <c r="L74" s="3212"/>
      <c r="M74" s="2696"/>
      <c r="N74" s="2703"/>
      <c r="O74" s="635"/>
      <c r="P74" s="635"/>
      <c r="Q74" s="635"/>
      <c r="S74" s="52"/>
      <c r="T74" s="52"/>
      <c r="U74" s="52"/>
      <c r="V74" s="4273"/>
      <c r="W74" s="3240">
        <f>$Q$66</f>
        <v>0</v>
      </c>
      <c r="X74" s="3240">
        <f>$Q$66</f>
        <v>0</v>
      </c>
      <c r="Y74" s="3240">
        <f>$Q$66</f>
        <v>0</v>
      </c>
      <c r="Z74" s="3241">
        <f>$Q$66</f>
        <v>0</v>
      </c>
      <c r="AA74" s="3241">
        <f>$Q$66</f>
        <v>0</v>
      </c>
      <c r="AB74" s="3240">
        <v>74.327224020150311</v>
      </c>
      <c r="AC74" s="3240">
        <v>74.327224020150311</v>
      </c>
      <c r="AD74" s="3240">
        <v>74.327224020150311</v>
      </c>
      <c r="AE74" s="3240">
        <v>74.327224020150311</v>
      </c>
      <c r="AF74" s="3242">
        <f t="shared" si="19"/>
        <v>87.5</v>
      </c>
      <c r="AG74" s="3240"/>
      <c r="AH74" s="2237"/>
      <c r="DG74" s="573"/>
      <c r="DH74" s="573"/>
      <c r="DI74" s="573"/>
    </row>
    <row r="75" spans="1:113" hidden="1" outlineLevel="1">
      <c r="A75" s="453"/>
      <c r="B75" s="635"/>
      <c r="C75" s="2703"/>
      <c r="D75" s="4273"/>
      <c r="E75" s="4273"/>
      <c r="F75" s="4274" t="str">
        <f t="shared" si="18"/>
        <v>ECM Continuous Fan ER2 - SF</v>
      </c>
      <c r="G75" s="4274"/>
      <c r="H75" s="4274"/>
      <c r="I75" s="3218"/>
      <c r="J75" s="2487"/>
      <c r="K75" s="2487" t="s">
        <v>62</v>
      </c>
      <c r="L75" s="3212"/>
      <c r="M75" s="2696"/>
      <c r="N75" s="2703"/>
      <c r="O75" s="635"/>
      <c r="P75" s="635"/>
      <c r="Q75" s="635"/>
      <c r="S75" s="52"/>
      <c r="T75" s="52"/>
      <c r="U75" s="52"/>
      <c r="V75" s="4273"/>
      <c r="W75" s="3240"/>
      <c r="X75" s="3240"/>
      <c r="Y75" s="3240"/>
      <c r="Z75" s="3241"/>
      <c r="AA75" s="3241"/>
      <c r="AB75" s="3240"/>
      <c r="AC75" s="3240"/>
      <c r="AD75" s="3240"/>
      <c r="AE75" s="3240"/>
      <c r="AF75" s="3242" t="str">
        <f t="shared" si="19"/>
        <v/>
      </c>
      <c r="AG75" s="3240"/>
      <c r="AH75" s="2237"/>
      <c r="DG75" s="573"/>
      <c r="DH75" s="573"/>
      <c r="DI75" s="573"/>
    </row>
    <row r="76" spans="1:113" ht="31.5" hidden="1" customHeight="1" outlineLevel="1">
      <c r="A76" s="453"/>
      <c r="B76" s="635"/>
      <c r="C76" s="2703"/>
      <c r="D76" s="4273"/>
      <c r="E76" s="4273"/>
      <c r="F76" s="4274" t="str">
        <f t="shared" si="18"/>
        <v>ECM Continuous Fan ER1 - MF</v>
      </c>
      <c r="G76" s="4274"/>
      <c r="H76" s="4274"/>
      <c r="I76" s="3217">
        <f>0.75*0+0.25*350</f>
        <v>87.5</v>
      </c>
      <c r="J76" s="1629" t="s">
        <v>1779</v>
      </c>
      <c r="K76" s="2487" t="s">
        <v>62</v>
      </c>
      <c r="L76" s="3212"/>
      <c r="M76" s="2696"/>
      <c r="N76" s="2703"/>
      <c r="O76" s="2696"/>
      <c r="P76" s="2696"/>
      <c r="Q76" s="2696"/>
      <c r="R76" s="283"/>
      <c r="S76" s="52"/>
      <c r="T76" s="52"/>
      <c r="U76" s="52"/>
      <c r="V76" s="4273"/>
      <c r="W76" s="3240">
        <f>$Q$66</f>
        <v>0</v>
      </c>
      <c r="X76" s="3240">
        <f>$Q$66</f>
        <v>0</v>
      </c>
      <c r="Y76" s="3240">
        <f>$Q$66</f>
        <v>0</v>
      </c>
      <c r="Z76" s="3241">
        <f>$Q$66</f>
        <v>0</v>
      </c>
      <c r="AA76" s="3241">
        <f>$Q$66</f>
        <v>0</v>
      </c>
      <c r="AB76" s="3240">
        <v>74.327224020150311</v>
      </c>
      <c r="AC76" s="3240">
        <v>74.327224020150311</v>
      </c>
      <c r="AD76" s="3240">
        <v>74.327224020150311</v>
      </c>
      <c r="AE76" s="3240">
        <v>74.327224020150311</v>
      </c>
      <c r="AF76" s="3242">
        <f t="shared" si="19"/>
        <v>87.5</v>
      </c>
      <c r="AG76" s="3240"/>
      <c r="AH76" s="2237"/>
      <c r="DG76" s="573"/>
      <c r="DH76" s="573"/>
      <c r="DI76" s="573"/>
    </row>
    <row r="77" spans="1:113" hidden="1" outlineLevel="1">
      <c r="A77" s="453"/>
      <c r="B77" s="635"/>
      <c r="C77" s="2703"/>
      <c r="D77" s="4049"/>
      <c r="E77" s="4049"/>
      <c r="F77" s="4274" t="str">
        <f t="shared" si="18"/>
        <v>ECM Continuous Fan ER2 - MF</v>
      </c>
      <c r="G77" s="4274"/>
      <c r="H77" s="4274"/>
      <c r="I77" s="3218"/>
      <c r="J77" s="2487"/>
      <c r="K77" s="2487" t="s">
        <v>62</v>
      </c>
      <c r="L77" s="3212"/>
      <c r="M77" s="2696"/>
      <c r="N77" s="2703"/>
      <c r="O77" s="2696"/>
      <c r="P77" s="2696"/>
      <c r="Q77" s="2696"/>
      <c r="R77" s="283"/>
      <c r="S77" s="52"/>
      <c r="T77" s="52"/>
      <c r="U77" s="52"/>
      <c r="V77" s="4049"/>
      <c r="W77" s="3240"/>
      <c r="X77" s="3240"/>
      <c r="Y77" s="3240"/>
      <c r="Z77" s="3241"/>
      <c r="AA77" s="3241"/>
      <c r="AB77" s="3240"/>
      <c r="AC77" s="3240"/>
      <c r="AD77" s="3240"/>
      <c r="AE77" s="3240"/>
      <c r="AF77" s="2236" t="str">
        <f t="shared" si="19"/>
        <v/>
      </c>
      <c r="AG77" s="3240"/>
      <c r="AH77" s="2237"/>
      <c r="DG77" s="573"/>
      <c r="DH77" s="573"/>
      <c r="DI77" s="573"/>
    </row>
    <row r="78" spans="1:113" collapsed="1">
      <c r="A78" s="453"/>
      <c r="B78" s="635"/>
      <c r="C78" s="2205"/>
      <c r="D78" s="2206"/>
      <c r="E78" s="2206"/>
      <c r="F78" s="635"/>
      <c r="G78" s="2206"/>
      <c r="H78" s="635"/>
      <c r="I78" s="635"/>
      <c r="J78" s="635"/>
      <c r="K78" s="635"/>
      <c r="L78" s="635"/>
      <c r="M78" s="635"/>
      <c r="N78" s="2205"/>
      <c r="O78" s="635"/>
      <c r="P78" s="635"/>
      <c r="Q78" s="635"/>
      <c r="S78" s="52"/>
      <c r="T78" s="52"/>
      <c r="U78" s="52"/>
      <c r="V78" s="52"/>
      <c r="DG78" s="573"/>
      <c r="DH78" s="573"/>
      <c r="DI78" s="573"/>
    </row>
    <row r="79" spans="1:113">
      <c r="A79" s="453"/>
      <c r="C79" s="51"/>
      <c r="D79" s="104"/>
      <c r="E79" s="104"/>
      <c r="G79" s="104"/>
      <c r="S79" s="52"/>
      <c r="T79" s="52"/>
      <c r="U79" s="52"/>
      <c r="V79" s="52"/>
      <c r="DG79" s="573"/>
      <c r="DH79" s="573"/>
      <c r="DI79" s="573"/>
    </row>
    <row r="80" spans="1:113">
      <c r="A80" s="453"/>
      <c r="B80" s="4066" t="s">
        <v>1780</v>
      </c>
      <c r="C80" s="4067"/>
      <c r="D80" s="4067"/>
      <c r="E80" s="4067"/>
      <c r="F80" s="4067"/>
      <c r="G80" s="4067"/>
      <c r="H80" s="4067"/>
      <c r="I80" s="4067"/>
      <c r="J80" s="4067"/>
      <c r="K80" s="4067"/>
      <c r="L80" s="4067"/>
      <c r="M80" s="4067"/>
      <c r="N80" s="4067"/>
      <c r="O80" s="4067"/>
      <c r="P80" s="4067"/>
      <c r="Q80" s="4360"/>
      <c r="S80" s="52"/>
      <c r="T80" s="52"/>
      <c r="U80" s="52"/>
      <c r="V80" s="4066" t="str">
        <f>B80</f>
        <v>Central Air Conditioners</v>
      </c>
      <c r="W80" s="4067"/>
      <c r="X80" s="4067"/>
      <c r="Y80" s="4067"/>
      <c r="Z80" s="4067"/>
      <c r="AA80" s="4067"/>
      <c r="AB80" s="4067"/>
      <c r="AC80" s="4837"/>
      <c r="AD80" s="4837"/>
      <c r="AE80" s="4837"/>
      <c r="AF80" s="4837"/>
      <c r="AG80" s="4837"/>
      <c r="AH80" s="4838"/>
      <c r="DG80" s="573"/>
      <c r="DH80" s="573"/>
      <c r="DI80" s="573"/>
    </row>
    <row r="81" spans="1:114">
      <c r="A81" s="453"/>
      <c r="C81" s="51"/>
      <c r="D81" s="104"/>
      <c r="E81" s="104"/>
      <c r="G81" s="104"/>
      <c r="H81" s="51"/>
      <c r="I81" s="51"/>
      <c r="J81" s="51"/>
      <c r="K81" s="51"/>
      <c r="L81" s="51"/>
      <c r="M81" s="551"/>
      <c r="S81" s="52"/>
      <c r="T81" s="52"/>
      <c r="U81" s="52"/>
      <c r="V81" s="52"/>
      <c r="DG81" s="573"/>
      <c r="DH81" s="573"/>
      <c r="DI81" s="573"/>
    </row>
    <row r="82" spans="1:114">
      <c r="A82" s="453"/>
      <c r="C82" s="51"/>
      <c r="D82" s="2206" t="s">
        <v>1781</v>
      </c>
      <c r="E82" s="104"/>
      <c r="G82" s="104"/>
      <c r="H82" s="51"/>
      <c r="I82" s="51"/>
      <c r="J82" s="51"/>
      <c r="K82" s="51"/>
      <c r="L82" s="51"/>
      <c r="M82" s="104"/>
      <c r="S82" s="52"/>
      <c r="T82" s="52"/>
      <c r="U82" s="52"/>
      <c r="V82" s="52"/>
      <c r="DG82" s="573"/>
      <c r="DH82" s="573"/>
      <c r="DI82" s="573"/>
    </row>
    <row r="83" spans="1:114" ht="30">
      <c r="A83" s="453"/>
      <c r="C83" s="1371" t="s">
        <v>42</v>
      </c>
      <c r="D83" s="1371" t="s">
        <v>43</v>
      </c>
      <c r="E83" s="1371" t="s">
        <v>44</v>
      </c>
      <c r="F83" s="1371" t="s">
        <v>45</v>
      </c>
      <c r="G83" s="1371" t="s">
        <v>46</v>
      </c>
      <c r="H83" s="1371" t="s">
        <v>47</v>
      </c>
      <c r="I83" s="1371" t="s">
        <v>48</v>
      </c>
      <c r="J83" s="1383" t="s">
        <v>49</v>
      </c>
      <c r="K83" s="1371" t="s">
        <v>50</v>
      </c>
      <c r="L83" s="1371" t="s">
        <v>1782</v>
      </c>
      <c r="M83" s="104"/>
      <c r="S83" s="52"/>
      <c r="T83" s="52"/>
      <c r="U83" s="52"/>
      <c r="V83" s="177" t="s">
        <v>52</v>
      </c>
      <c r="W83" s="669">
        <f>W$6</f>
        <v>43252</v>
      </c>
      <c r="X83" s="669">
        <f t="shared" ref="X83:AG83" si="20">X$6</f>
        <v>43465</v>
      </c>
      <c r="Y83" s="669">
        <f t="shared" si="20"/>
        <v>43800</v>
      </c>
      <c r="Z83" s="669">
        <f t="shared" si="20"/>
        <v>43862</v>
      </c>
      <c r="AA83" s="669">
        <f t="shared" si="20"/>
        <v>44013</v>
      </c>
      <c r="AB83" s="669">
        <f t="shared" si="20"/>
        <v>44166</v>
      </c>
      <c r="AC83" s="669">
        <f t="shared" si="20"/>
        <v>44531</v>
      </c>
      <c r="AD83" s="669">
        <f t="shared" si="20"/>
        <v>44774</v>
      </c>
      <c r="AE83" s="669">
        <f t="shared" si="20"/>
        <v>45142</v>
      </c>
      <c r="AF83" s="669">
        <f t="shared" si="20"/>
        <v>45672</v>
      </c>
      <c r="AG83" s="669" t="str">
        <f t="shared" si="20"/>
        <v>-</v>
      </c>
      <c r="DG83" s="997" t="str">
        <f>$DG$6</f>
        <v>TRC (2025)</v>
      </c>
      <c r="DH83" s="997" t="str">
        <f>$DH$6</f>
        <v>Benefit Lookup</v>
      </c>
      <c r="DI83" s="1086" t="str">
        <f>$DI$6</f>
        <v>Benefits (2025 $)</v>
      </c>
      <c r="DJ83" s="1186" t="str">
        <f>$DJ$6</f>
        <v>Incremental Cost (2025 $)</v>
      </c>
    </row>
    <row r="84" spans="1:114">
      <c r="A84" s="453"/>
      <c r="B84" s="1454">
        <f t="shared" ref="B84:B147" si="21">VALUE(LEFT(C84,6))</f>
        <v>350400</v>
      </c>
      <c r="C84" s="2554" t="s">
        <v>1783</v>
      </c>
      <c r="D84" s="2408" t="s">
        <v>170</v>
      </c>
      <c r="E84" s="2936" t="s">
        <v>1784</v>
      </c>
      <c r="F84" s="2553">
        <f>ROUND(((J166*J238*(1/J454-1/J382))/1000)*J526*$J$598,2)</f>
        <v>1507.85</v>
      </c>
      <c r="G84" s="3246" t="s">
        <v>1045</v>
      </c>
      <c r="H84" s="2213">
        <f>VLOOKUP(G84,'CP FACTORS'!$A$3:$B$38, 2, FALSE)</f>
        <v>9.4741810000000004E-4</v>
      </c>
      <c r="I84" s="2519">
        <f>ROUND(F84*H84,6)</f>
        <v>1.4285639999999999</v>
      </c>
      <c r="J84" s="3247">
        <f t="shared" ref="J84:J90" si="22">J599</f>
        <v>6</v>
      </c>
      <c r="K84" s="2988">
        <f>J671</f>
        <v>185.34665593474892</v>
      </c>
      <c r="L84" s="2573">
        <f>K238</f>
        <v>2.98</v>
      </c>
      <c r="T84" s="52"/>
      <c r="U84" s="52"/>
      <c r="V84" s="2425" t="s">
        <v>45</v>
      </c>
      <c r="W84" s="3249">
        <v>1612.0233596702167</v>
      </c>
      <c r="X84" s="3250">
        <v>1572.0312023114329</v>
      </c>
      <c r="Y84" s="3251">
        <v>1532.85</v>
      </c>
      <c r="Z84" s="2877">
        <v>1532.85</v>
      </c>
      <c r="AA84" s="2877">
        <v>1532.85</v>
      </c>
      <c r="AB84" s="3222">
        <v>1532.85</v>
      </c>
      <c r="AC84" s="3252">
        <v>1529.78</v>
      </c>
      <c r="AD84" s="2553">
        <v>1529.78</v>
      </c>
      <c r="AE84" s="2552">
        <v>1507.85</v>
      </c>
      <c r="AF84" s="2236">
        <f t="shared" ref="AF84:AF115" si="23">IF(F84&lt;&gt;"",F84,"")</f>
        <v>1507.85</v>
      </c>
      <c r="AG84" s="356"/>
      <c r="AH84" s="121"/>
      <c r="DG84" s="2747">
        <f>(DI84+DI85)/(DJ84+DJ85)</f>
        <v>8.7939733776785278</v>
      </c>
      <c r="DH84" s="2521" t="str">
        <f t="shared" ref="DH84:DH119" si="24">CONCATENATE(G84," ",J84," Year EUL")</f>
        <v>Cooling RES 6 Year EUL</v>
      </c>
      <c r="DI84" s="3253">
        <f>(INDEX('Avoided Cost Benefits'!$B$4:$B$866,MATCH(DH84,'Avoided Cost Benefits'!$A$4:$A$866,0)))*F84</f>
        <v>1501.5895535501304</v>
      </c>
      <c r="DJ84" s="2556">
        <f t="shared" ref="DJ84:DJ115" si="25">K84/(1.0686^(2025-2025))</f>
        <v>185.34665593474892</v>
      </c>
    </row>
    <row r="85" spans="1:114">
      <c r="A85" s="453"/>
      <c r="B85" s="1454">
        <f t="shared" si="21"/>
        <v>350400</v>
      </c>
      <c r="C85" s="2554" t="s">
        <v>1783</v>
      </c>
      <c r="D85" s="2402" t="s">
        <v>170</v>
      </c>
      <c r="E85" s="2939" t="s">
        <v>1785</v>
      </c>
      <c r="F85" s="2552">
        <f>ROUND(((J167*J239*(1/J311-1/J383))/1000)*J527*$J$598,2)</f>
        <v>99.19</v>
      </c>
      <c r="G85" s="3246" t="s">
        <v>1786</v>
      </c>
      <c r="H85" s="2213">
        <f>VLOOKUP(G85,'CP FACTORS'!$A$3:$B$38, 2, FALSE)</f>
        <v>9.4741810000000004E-4</v>
      </c>
      <c r="I85" s="2404">
        <f t="shared" ref="I85:I119" si="26">ROUND(F85*H85,6)</f>
        <v>9.3974000000000002E-2</v>
      </c>
      <c r="J85" s="3247">
        <f t="shared" si="22"/>
        <v>12</v>
      </c>
      <c r="K85" s="2583">
        <f t="shared" ref="K85:K148" si="27">J672</f>
        <v>0</v>
      </c>
      <c r="L85" s="2573">
        <f t="shared" ref="L85:L148" si="28">K239</f>
        <v>2.98</v>
      </c>
      <c r="T85" s="52"/>
      <c r="U85" s="52"/>
      <c r="V85" s="2425" t="s">
        <v>45</v>
      </c>
      <c r="W85" s="3249">
        <v>925.30140845070434</v>
      </c>
      <c r="X85" s="3250">
        <v>200.42516297262068</v>
      </c>
      <c r="Y85" s="3251">
        <v>192.72</v>
      </c>
      <c r="Z85" s="2877">
        <v>192.72</v>
      </c>
      <c r="AA85" s="2877">
        <v>192.72</v>
      </c>
      <c r="AB85" s="3222">
        <v>192.72</v>
      </c>
      <c r="AC85" s="3252">
        <v>192.34</v>
      </c>
      <c r="AD85" s="2553">
        <v>192.34</v>
      </c>
      <c r="AE85" s="2552">
        <v>0</v>
      </c>
      <c r="AF85" s="2236">
        <f t="shared" si="23"/>
        <v>99.19</v>
      </c>
      <c r="AG85" s="356"/>
      <c r="AH85" s="121"/>
      <c r="DG85" s="2748"/>
      <c r="DH85" s="2522" t="str">
        <f t="shared" si="24"/>
        <v>Cooling RES ER2 12 Year EUL</v>
      </c>
      <c r="DI85" s="3254">
        <f>(INDEX('Avoided Cost Benefits'!$B$4:$B$866,MATCH(DH85,'Avoided Cost Benefits'!$A$4:$A$866,0)))*F85</f>
        <v>128.3440043817935</v>
      </c>
      <c r="DJ85" s="2484">
        <f t="shared" si="25"/>
        <v>0</v>
      </c>
    </row>
    <row r="86" spans="1:114">
      <c r="A86" s="453"/>
      <c r="B86" s="1454">
        <f t="shared" si="21"/>
        <v>350450</v>
      </c>
      <c r="C86" s="2554" t="s">
        <v>1787</v>
      </c>
      <c r="D86" s="2402" t="s">
        <v>170</v>
      </c>
      <c r="E86" s="2936" t="s">
        <v>1788</v>
      </c>
      <c r="F86" s="2552">
        <f>ROUND(((J168*J240*(1/J312-1/J384))/1000)*J528*$J$598,2)</f>
        <v>98.86</v>
      </c>
      <c r="G86" s="3246" t="s">
        <v>1045</v>
      </c>
      <c r="H86" s="2213">
        <f>VLOOKUP(G86,'CP FACTORS'!$A$3:$B$38, 2, FALSE)</f>
        <v>9.4741810000000004E-4</v>
      </c>
      <c r="I86" s="2404">
        <f t="shared" si="26"/>
        <v>9.3661999999999995E-2</v>
      </c>
      <c r="J86" s="3247">
        <f t="shared" si="22"/>
        <v>18</v>
      </c>
      <c r="K86" s="2988">
        <f>J673</f>
        <v>111.40021423594317</v>
      </c>
      <c r="L86" s="2573">
        <f t="shared" si="28"/>
        <v>2.97</v>
      </c>
      <c r="T86" s="52"/>
      <c r="U86" s="52"/>
      <c r="V86" s="2425" t="s">
        <v>45</v>
      </c>
      <c r="W86" s="3249">
        <v>203.36294691224271</v>
      </c>
      <c r="X86" s="3250">
        <v>200.42516297262068</v>
      </c>
      <c r="Y86" s="3251">
        <v>192.07</v>
      </c>
      <c r="Z86" s="2877">
        <v>192.07</v>
      </c>
      <c r="AA86" s="2877">
        <v>192.07</v>
      </c>
      <c r="AB86" s="3222">
        <v>192.07</v>
      </c>
      <c r="AC86" s="3252">
        <v>191.69</v>
      </c>
      <c r="AD86" s="2553">
        <v>191.69</v>
      </c>
      <c r="AE86" s="2552">
        <v>0</v>
      </c>
      <c r="AF86" s="2236">
        <f t="shared" si="23"/>
        <v>98.86</v>
      </c>
      <c r="AG86" s="356"/>
      <c r="AH86" s="121"/>
      <c r="DG86" s="2961">
        <f>IFERROR((DI86)/(DJ86),"")</f>
        <v>2.0320118320333687</v>
      </c>
      <c r="DH86" s="3255" t="str">
        <f t="shared" si="24"/>
        <v>Cooling RES 18 Year EUL</v>
      </c>
      <c r="DI86" s="3256">
        <f>(INDEX('Avoided Cost Benefits'!$B$4:$B$866,MATCH(DH86,'Avoided Cost Benefits'!$A$4:$A$866,0)))*F86</f>
        <v>226.36655341848862</v>
      </c>
      <c r="DJ86" s="3257">
        <f t="shared" si="25"/>
        <v>111.40021423594317</v>
      </c>
    </row>
    <row r="87" spans="1:114">
      <c r="A87" s="453"/>
      <c r="B87" s="1454">
        <f t="shared" si="21"/>
        <v>350500</v>
      </c>
      <c r="C87" s="2554" t="s">
        <v>1789</v>
      </c>
      <c r="D87" s="2402" t="s">
        <v>1122</v>
      </c>
      <c r="E87" s="2936" t="s">
        <v>1790</v>
      </c>
      <c r="F87" s="2553">
        <f>ROUND(((J169*J241*(1/J457-1/J385))/1000)*J529*$J$598,2)</f>
        <v>1011.98</v>
      </c>
      <c r="G87" s="3246" t="s">
        <v>1045</v>
      </c>
      <c r="H87" s="2213">
        <f>VLOOKUP(G87,'CP FACTORS'!$A$3:$B$38, 2, FALSE)</f>
        <v>9.4741810000000004E-4</v>
      </c>
      <c r="I87" s="2519">
        <f t="shared" si="26"/>
        <v>0.95876799999999995</v>
      </c>
      <c r="J87" s="3247">
        <f t="shared" si="22"/>
        <v>6</v>
      </c>
      <c r="K87" s="2988">
        <f t="shared" si="27"/>
        <v>185.34665593474892</v>
      </c>
      <c r="L87" s="2573">
        <f t="shared" si="28"/>
        <v>2</v>
      </c>
      <c r="T87" s="52"/>
      <c r="U87" s="52"/>
      <c r="V87" s="2425" t="s">
        <v>45</v>
      </c>
      <c r="W87" s="3249">
        <v>1047.8151837856408</v>
      </c>
      <c r="X87" s="3250">
        <v>1489.5657573374176</v>
      </c>
      <c r="Y87" s="3251">
        <v>1014.01</v>
      </c>
      <c r="Z87" s="2877">
        <v>1014.01</v>
      </c>
      <c r="AA87" s="2877">
        <v>1014.01</v>
      </c>
      <c r="AB87" s="3222">
        <v>1014.01</v>
      </c>
      <c r="AC87" s="3252">
        <v>1011.98</v>
      </c>
      <c r="AD87" s="2553">
        <v>1011.98</v>
      </c>
      <c r="AE87" s="2553">
        <v>1011.98</v>
      </c>
      <c r="AF87" s="2236">
        <f t="shared" si="23"/>
        <v>1011.98</v>
      </c>
      <c r="AG87" s="356"/>
      <c r="AH87" s="121"/>
      <c r="DG87" s="2747">
        <f>(DI87+DI88)/(DJ87+DJ88)</f>
        <v>5.9019929969784171</v>
      </c>
      <c r="DH87" s="2521" t="str">
        <f t="shared" si="24"/>
        <v>Cooling RES 6 Year EUL</v>
      </c>
      <c r="DI87" s="3253">
        <f>(INDEX('Avoided Cost Benefits'!$B$4:$B$866,MATCH(DH87,'Avoided Cost Benefits'!$A$4:$A$866,0)))*F87</f>
        <v>1007.7783575300336</v>
      </c>
      <c r="DJ87" s="2556">
        <f t="shared" si="25"/>
        <v>185.34665593474892</v>
      </c>
    </row>
    <row r="88" spans="1:114">
      <c r="A88" s="453"/>
      <c r="B88" s="1454">
        <f t="shared" si="21"/>
        <v>350500</v>
      </c>
      <c r="C88" s="2554" t="s">
        <v>1789</v>
      </c>
      <c r="D88" s="2402" t="s">
        <v>1122</v>
      </c>
      <c r="E88" s="2939" t="s">
        <v>1791</v>
      </c>
      <c r="F88" s="2552">
        <f>ROUND(((J170*J242*(1/J314-1/J386))/1000)*J530*$J$598,2)</f>
        <v>66.569999999999993</v>
      </c>
      <c r="G88" s="3246" t="s">
        <v>1786</v>
      </c>
      <c r="H88" s="2213">
        <f>VLOOKUP(G88,'CP FACTORS'!$A$3:$B$38, 2, FALSE)</f>
        <v>9.4741810000000004E-4</v>
      </c>
      <c r="I88" s="2404">
        <f t="shared" si="26"/>
        <v>6.3070000000000001E-2</v>
      </c>
      <c r="J88" s="3247">
        <f t="shared" si="22"/>
        <v>12</v>
      </c>
      <c r="K88" s="2583">
        <f t="shared" si="27"/>
        <v>0</v>
      </c>
      <c r="L88" s="2573">
        <f t="shared" si="28"/>
        <v>2</v>
      </c>
      <c r="T88" s="52"/>
      <c r="U88" s="52"/>
      <c r="V88" s="2425" t="s">
        <v>45</v>
      </c>
      <c r="W88" s="3249">
        <v>601.44591549295785</v>
      </c>
      <c r="X88" s="3250">
        <v>232.04244031830254</v>
      </c>
      <c r="Y88" s="3251">
        <v>114.59</v>
      </c>
      <c r="Z88" s="2877">
        <v>114.59</v>
      </c>
      <c r="AA88" s="2877">
        <v>114.59</v>
      </c>
      <c r="AB88" s="3222">
        <v>114.59</v>
      </c>
      <c r="AC88" s="3252">
        <v>114.36</v>
      </c>
      <c r="AD88" s="2553">
        <v>114.36</v>
      </c>
      <c r="AE88" s="2552">
        <v>0</v>
      </c>
      <c r="AF88" s="2236">
        <f t="shared" si="23"/>
        <v>66.569999999999993</v>
      </c>
      <c r="AG88" s="356"/>
      <c r="AH88" s="121"/>
      <c r="DG88" s="2748"/>
      <c r="DH88" s="2522" t="str">
        <f t="shared" si="24"/>
        <v>Cooling RES ER2 12 Year EUL</v>
      </c>
      <c r="DI88" s="3254">
        <f>(INDEX('Avoided Cost Benefits'!$B$4:$B$866,MATCH(DH88,'Avoided Cost Benefits'!$A$4:$A$866,0)))*F88</f>
        <v>86.136307810222718</v>
      </c>
      <c r="DJ88" s="2484">
        <f t="shared" si="25"/>
        <v>0</v>
      </c>
    </row>
    <row r="89" spans="1:114">
      <c r="A89" s="453"/>
      <c r="B89" s="1454">
        <f t="shared" si="21"/>
        <v>350501</v>
      </c>
      <c r="C89" s="2554" t="s">
        <v>1792</v>
      </c>
      <c r="D89" s="2402" t="s">
        <v>1118</v>
      </c>
      <c r="E89" s="2936" t="s">
        <v>1793</v>
      </c>
      <c r="F89" s="2553">
        <f>ROUND(((J171*J243*(1/J459-1/J387))/1000)*J531*$J$598,2)</f>
        <v>735.98</v>
      </c>
      <c r="G89" s="3246" t="s">
        <v>1045</v>
      </c>
      <c r="H89" s="2213">
        <f>VLOOKUP(G89,'CP FACTORS'!$A$3:$B$38, 2, FALSE)</f>
        <v>9.4741810000000004E-4</v>
      </c>
      <c r="I89" s="2519">
        <f t="shared" si="26"/>
        <v>0.69728100000000004</v>
      </c>
      <c r="J89" s="3247">
        <f t="shared" si="22"/>
        <v>6</v>
      </c>
      <c r="K89" s="2988">
        <f t="shared" si="27"/>
        <v>185.34665593474892</v>
      </c>
      <c r="L89" s="2573">
        <f t="shared" si="28"/>
        <v>2</v>
      </c>
      <c r="T89" s="52"/>
      <c r="U89" s="52"/>
      <c r="V89" s="2425" t="s">
        <v>45</v>
      </c>
      <c r="W89" s="3249"/>
      <c r="X89" s="3250"/>
      <c r="Y89" s="3251">
        <v>737.46</v>
      </c>
      <c r="Z89" s="2877">
        <v>737.46</v>
      </c>
      <c r="AA89" s="2877">
        <v>737.46</v>
      </c>
      <c r="AB89" s="3222">
        <v>737.46</v>
      </c>
      <c r="AC89" s="3252">
        <v>735.98</v>
      </c>
      <c r="AD89" s="2553">
        <v>735.98</v>
      </c>
      <c r="AE89" s="2553">
        <v>735.98</v>
      </c>
      <c r="AF89" s="2236">
        <f t="shared" si="23"/>
        <v>735.98</v>
      </c>
      <c r="AG89" s="356"/>
      <c r="AH89" s="121"/>
      <c r="DG89" s="2747">
        <f>(DI89+DI90)/(DJ89+DJ90)</f>
        <v>4.2922975043521312</v>
      </c>
      <c r="DH89" s="2521" t="str">
        <f t="shared" si="24"/>
        <v>Cooling RES 6 Year EUL</v>
      </c>
      <c r="DI89" s="3253">
        <f>(INDEX('Avoided Cost Benefits'!$B$4:$B$866,MATCH(DH89,'Avoided Cost Benefits'!$A$4:$A$866,0)))*F89</f>
        <v>732.92428266858451</v>
      </c>
      <c r="DJ89" s="2556">
        <f t="shared" si="25"/>
        <v>185.34665593474892</v>
      </c>
    </row>
    <row r="90" spans="1:114">
      <c r="A90" s="453"/>
      <c r="B90" s="1454">
        <f t="shared" si="21"/>
        <v>350501</v>
      </c>
      <c r="C90" s="2554" t="s">
        <v>1792</v>
      </c>
      <c r="D90" s="2402" t="s">
        <v>1118</v>
      </c>
      <c r="E90" s="2939" t="s">
        <v>1794</v>
      </c>
      <c r="F90" s="2552">
        <f>ROUND(((J172*J244*(1/J316-1/J388))/1000)*J532*$J$598,2)</f>
        <v>48.41</v>
      </c>
      <c r="G90" s="3246" t="s">
        <v>1786</v>
      </c>
      <c r="H90" s="2213">
        <f>VLOOKUP(G90,'CP FACTORS'!$A$3:$B$38, 2, FALSE)</f>
        <v>9.4741810000000004E-4</v>
      </c>
      <c r="I90" s="2404">
        <f t="shared" si="26"/>
        <v>4.5865000000000003E-2</v>
      </c>
      <c r="J90" s="3247">
        <f t="shared" si="22"/>
        <v>12</v>
      </c>
      <c r="K90" s="2583">
        <f t="shared" si="27"/>
        <v>0</v>
      </c>
      <c r="L90" s="2573">
        <f t="shared" si="28"/>
        <v>2</v>
      </c>
      <c r="T90" s="52"/>
      <c r="U90" s="52"/>
      <c r="V90" s="2425" t="s">
        <v>45</v>
      </c>
      <c r="W90" s="3249"/>
      <c r="X90" s="3250"/>
      <c r="Y90" s="3251">
        <v>83.34</v>
      </c>
      <c r="Z90" s="2877">
        <v>83.34</v>
      </c>
      <c r="AA90" s="2877">
        <v>83.34</v>
      </c>
      <c r="AB90" s="3222">
        <v>83.34</v>
      </c>
      <c r="AC90" s="3252">
        <v>83.17</v>
      </c>
      <c r="AD90" s="2553">
        <v>83.17</v>
      </c>
      <c r="AE90" s="2552">
        <v>0</v>
      </c>
      <c r="AF90" s="2236">
        <f t="shared" si="23"/>
        <v>48.41</v>
      </c>
      <c r="AG90" s="356"/>
      <c r="AH90" s="121"/>
      <c r="DG90" s="2748"/>
      <c r="DH90" s="2522" t="str">
        <f t="shared" si="24"/>
        <v>Cooling RES ER2 12 Year EUL</v>
      </c>
      <c r="DI90" s="3254">
        <f>(INDEX('Avoided Cost Benefits'!$B$4:$B$866,MATCH(DH90,'Avoided Cost Benefits'!$A$4:$A$866,0)))*F90</f>
        <v>62.638706040151447</v>
      </c>
      <c r="DJ90" s="2484">
        <f t="shared" si="25"/>
        <v>0</v>
      </c>
    </row>
    <row r="91" spans="1:114">
      <c r="A91" s="453"/>
      <c r="B91" s="1454">
        <f t="shared" si="21"/>
        <v>350550</v>
      </c>
      <c r="C91" s="2554" t="s">
        <v>1795</v>
      </c>
      <c r="D91" s="2402" t="s">
        <v>1122</v>
      </c>
      <c r="E91" s="2936" t="s">
        <v>1796</v>
      </c>
      <c r="F91" s="2552">
        <f>ROUND(((J173*J245*(1/J317-1/J389))/1000)*J533*$J$598,2)</f>
        <v>66.569999999999993</v>
      </c>
      <c r="G91" s="3246" t="s">
        <v>1045</v>
      </c>
      <c r="H91" s="2213">
        <f>VLOOKUP(G91,'CP FACTORS'!$A$3:$B$38, 2, FALSE)</f>
        <v>9.4741810000000004E-4</v>
      </c>
      <c r="I91" s="2404">
        <f t="shared" si="26"/>
        <v>6.3070000000000001E-2</v>
      </c>
      <c r="J91" s="3248">
        <v>18</v>
      </c>
      <c r="K91" s="2988">
        <f t="shared" si="27"/>
        <v>111.40021423594317</v>
      </c>
      <c r="L91" s="2573">
        <f t="shared" si="28"/>
        <v>2</v>
      </c>
      <c r="T91" s="52"/>
      <c r="U91" s="52"/>
      <c r="V91" s="2425" t="s">
        <v>45</v>
      </c>
      <c r="W91" s="3249">
        <v>132.18591549295778</v>
      </c>
      <c r="X91" s="3250">
        <v>232.04244031830254</v>
      </c>
      <c r="Y91" s="3251">
        <v>114.59</v>
      </c>
      <c r="Z91" s="2877">
        <v>114.59</v>
      </c>
      <c r="AA91" s="2877">
        <v>114.59</v>
      </c>
      <c r="AB91" s="3222">
        <v>114.59</v>
      </c>
      <c r="AC91" s="3252">
        <v>114.36</v>
      </c>
      <c r="AD91" s="2553">
        <v>114.36</v>
      </c>
      <c r="AE91" s="2552">
        <v>0</v>
      </c>
      <c r="AF91" s="2236">
        <f t="shared" si="23"/>
        <v>66.569999999999993</v>
      </c>
      <c r="AG91" s="356"/>
      <c r="AH91" s="121"/>
      <c r="DG91" s="2961">
        <f>IFERROR((DI91)/(DJ91),"")</f>
        <v>1.3683089991752109</v>
      </c>
      <c r="DH91" s="3255" t="str">
        <f t="shared" si="24"/>
        <v>Cooling RES 18 Year EUL</v>
      </c>
      <c r="DI91" s="3256">
        <f>(INDEX('Avoided Cost Benefits'!$B$4:$B$866,MATCH(DH91,'Avoided Cost Benefits'!$A$4:$A$866,0)))*F91</f>
        <v>152.42991564908746</v>
      </c>
      <c r="DJ91" s="3257">
        <f t="shared" si="25"/>
        <v>111.40021423594317</v>
      </c>
    </row>
    <row r="92" spans="1:114">
      <c r="A92" s="453"/>
      <c r="B92" s="1454">
        <f t="shared" si="21"/>
        <v>350551</v>
      </c>
      <c r="C92" s="2554" t="s">
        <v>1797</v>
      </c>
      <c r="D92" s="2402" t="s">
        <v>1118</v>
      </c>
      <c r="E92" s="2936" t="s">
        <v>1798</v>
      </c>
      <c r="F92" s="2552">
        <f>ROUND(((J174*J246*(1/J318-1/J390))/1000)*J534*$J$598,2)</f>
        <v>48.41</v>
      </c>
      <c r="G92" s="3246" t="s">
        <v>1045</v>
      </c>
      <c r="H92" s="2213">
        <f>VLOOKUP(G92,'CP FACTORS'!$A$3:$B$38, 2, FALSE)</f>
        <v>9.4741810000000004E-4</v>
      </c>
      <c r="I92" s="2404">
        <f t="shared" si="26"/>
        <v>4.5865000000000003E-2</v>
      </c>
      <c r="J92" s="3248">
        <v>18</v>
      </c>
      <c r="K92" s="2988">
        <f t="shared" si="27"/>
        <v>111.40021423594317</v>
      </c>
      <c r="L92" s="2573">
        <f t="shared" si="28"/>
        <v>2</v>
      </c>
      <c r="T92" s="52"/>
      <c r="U92" s="52"/>
      <c r="V92" s="2425" t="s">
        <v>45</v>
      </c>
      <c r="W92" s="3249"/>
      <c r="X92" s="3250"/>
      <c r="Y92" s="3251">
        <v>83.34</v>
      </c>
      <c r="Z92" s="2877">
        <v>83.34</v>
      </c>
      <c r="AA92" s="2877">
        <v>83.34</v>
      </c>
      <c r="AB92" s="3222">
        <v>83.34</v>
      </c>
      <c r="AC92" s="3252">
        <v>83.17</v>
      </c>
      <c r="AD92" s="2553">
        <v>83.17</v>
      </c>
      <c r="AE92" s="2552">
        <v>0</v>
      </c>
      <c r="AF92" s="2236">
        <f t="shared" si="23"/>
        <v>48.41</v>
      </c>
      <c r="AG92" s="356"/>
      <c r="AH92" s="121"/>
      <c r="DG92" s="2961">
        <f>IFERROR((DI92)/(DJ92),"")</f>
        <v>0.99504038831413488</v>
      </c>
      <c r="DH92" s="3255" t="str">
        <f t="shared" si="24"/>
        <v>Cooling RES 18 Year EUL</v>
      </c>
      <c r="DI92" s="3256">
        <f>(INDEX('Avoided Cost Benefits'!$B$4:$B$866,MATCH(DH92,'Avoided Cost Benefits'!$A$4:$A$866,0)))*F92</f>
        <v>110.8477124316107</v>
      </c>
      <c r="DJ92" s="3257">
        <f t="shared" si="25"/>
        <v>111.40021423594317</v>
      </c>
    </row>
    <row r="93" spans="1:114">
      <c r="A93" s="453"/>
      <c r="B93" s="1454">
        <f t="shared" si="21"/>
        <v>350600</v>
      </c>
      <c r="C93" s="682" t="s">
        <v>1799</v>
      </c>
      <c r="D93" s="1894" t="s">
        <v>1800</v>
      </c>
      <c r="E93" s="1394" t="s">
        <v>1801</v>
      </c>
      <c r="F93" s="723">
        <f>ROUND(((J175*J247*(1/J463-1/J391))/1000)*J535*$J$598,2)</f>
        <v>2107.9899999999998</v>
      </c>
      <c r="G93" s="266" t="s">
        <v>1045</v>
      </c>
      <c r="H93" s="69">
        <f>VLOOKUP(G93,'CP FACTORS'!$A$3:$B$38, 2, FALSE)</f>
        <v>9.4741810000000004E-4</v>
      </c>
      <c r="I93" s="554">
        <f t="shared" si="26"/>
        <v>1.9971479999999999</v>
      </c>
      <c r="J93" s="199">
        <f t="shared" ref="J93:J100" si="29">J608</f>
        <v>6</v>
      </c>
      <c r="K93" s="206">
        <f t="shared" si="27"/>
        <v>526.97397959163982</v>
      </c>
      <c r="L93" s="21">
        <f t="shared" si="28"/>
        <v>3.1148319327731095</v>
      </c>
      <c r="T93" s="52"/>
      <c r="U93" s="52"/>
      <c r="V93" s="1378" t="s">
        <v>45</v>
      </c>
      <c r="W93" s="950">
        <v>1932.6604621309377</v>
      </c>
      <c r="X93" s="201">
        <v>1720.1937397650352</v>
      </c>
      <c r="Y93" s="678">
        <v>1844.27</v>
      </c>
      <c r="Z93" s="202">
        <v>1844.27</v>
      </c>
      <c r="AA93" s="202">
        <v>1844.27</v>
      </c>
      <c r="AB93" s="659">
        <v>2258.48</v>
      </c>
      <c r="AC93" s="826">
        <v>1789.74</v>
      </c>
      <c r="AD93" s="131">
        <v>2221.96</v>
      </c>
      <c r="AE93" s="131">
        <v>2107.9899999999998</v>
      </c>
      <c r="AF93" s="271">
        <f t="shared" si="23"/>
        <v>2107.9899999999998</v>
      </c>
      <c r="AG93" s="356"/>
      <c r="AH93" s="121"/>
      <c r="DG93" s="992">
        <f>(DI93+DI94)/(DJ93+DJ94)</f>
        <v>4.6546743470487746</v>
      </c>
      <c r="DH93" s="1369" t="str">
        <f t="shared" si="24"/>
        <v>Cooling RES 6 Year EUL</v>
      </c>
      <c r="DI93" s="1087">
        <f>(INDEX('Avoided Cost Benefits'!$B$4:$B$866,MATCH(DH93,'Avoided Cost Benefits'!$A$4:$A$866,0)))*F93</f>
        <v>2099.2378306782102</v>
      </c>
      <c r="DJ93" s="1174">
        <f t="shared" si="25"/>
        <v>526.97397959163982</v>
      </c>
    </row>
    <row r="94" spans="1:114">
      <c r="A94" s="453"/>
      <c r="B94" s="1454">
        <f t="shared" si="21"/>
        <v>350600</v>
      </c>
      <c r="C94" s="682" t="s">
        <v>1799</v>
      </c>
      <c r="D94" s="1894" t="s">
        <v>1800</v>
      </c>
      <c r="E94" s="1395" t="s">
        <v>1802</v>
      </c>
      <c r="F94" s="131">
        <f>ROUND(((J176*J248*(1/J320-1/J392))/1000)*J536*$J$598,2)</f>
        <v>273.32</v>
      </c>
      <c r="G94" s="266" t="s">
        <v>1786</v>
      </c>
      <c r="H94" s="69">
        <f>VLOOKUP(G94,'CP FACTORS'!$A$3:$B$38, 2, FALSE)</f>
        <v>9.4741810000000004E-4</v>
      </c>
      <c r="I94" s="1473">
        <f t="shared" si="26"/>
        <v>0.25894800000000001</v>
      </c>
      <c r="J94" s="199">
        <f t="shared" si="29"/>
        <v>12</v>
      </c>
      <c r="K94" s="135">
        <f t="shared" si="27"/>
        <v>0</v>
      </c>
      <c r="L94" s="21">
        <f t="shared" si="28"/>
        <v>3.1148319327731095</v>
      </c>
      <c r="T94" s="52"/>
      <c r="U94" s="52"/>
      <c r="V94" s="1378" t="s">
        <v>45</v>
      </c>
      <c r="W94" s="950">
        <v>1177.266315789474</v>
      </c>
      <c r="X94" s="201">
        <v>348.58770042622297</v>
      </c>
      <c r="Y94" s="678">
        <v>373.73</v>
      </c>
      <c r="Z94" s="202">
        <v>373.73</v>
      </c>
      <c r="AA94" s="202">
        <v>373.73</v>
      </c>
      <c r="AB94" s="659">
        <v>363.6</v>
      </c>
      <c r="AC94" s="826">
        <v>348.11</v>
      </c>
      <c r="AD94" s="131">
        <v>350.43</v>
      </c>
      <c r="AE94" s="131">
        <v>169.64</v>
      </c>
      <c r="AF94" s="271">
        <f t="shared" si="23"/>
        <v>273.32</v>
      </c>
      <c r="AG94" s="356"/>
      <c r="AH94" s="121"/>
      <c r="DG94" s="995"/>
      <c r="DH94" s="1370" t="str">
        <f t="shared" si="24"/>
        <v>Cooling RES ER2 12 Year EUL</v>
      </c>
      <c r="DI94" s="1088">
        <f>(INDEX('Avoided Cost Benefits'!$B$4:$B$866,MATCH(DH94,'Avoided Cost Benefits'!$A$4:$A$866,0)))*F94</f>
        <v>353.65443368920046</v>
      </c>
      <c r="DJ94" s="1175">
        <f t="shared" si="25"/>
        <v>0</v>
      </c>
    </row>
    <row r="95" spans="1:114">
      <c r="A95" s="453"/>
      <c r="B95" s="1454">
        <f t="shared" si="21"/>
        <v>350650</v>
      </c>
      <c r="C95" s="682" t="s">
        <v>1803</v>
      </c>
      <c r="D95" s="1894" t="s">
        <v>1800</v>
      </c>
      <c r="E95" s="1394" t="s">
        <v>1804</v>
      </c>
      <c r="F95" s="131">
        <f>ROUND(((J177*J249*(1/J321-1/J393))/1000)*J537*$J$598,2)</f>
        <v>262.89999999999998</v>
      </c>
      <c r="G95" s="266" t="s">
        <v>1045</v>
      </c>
      <c r="H95" s="69">
        <f>VLOOKUP(G95,'CP FACTORS'!$A$3:$B$38, 2, FALSE)</f>
        <v>9.4741810000000004E-4</v>
      </c>
      <c r="I95" s="1473">
        <f t="shared" si="26"/>
        <v>0.24907599999999999</v>
      </c>
      <c r="J95" s="199">
        <f t="shared" si="29"/>
        <v>18</v>
      </c>
      <c r="K95" s="206">
        <f t="shared" si="27"/>
        <v>453.02753789283406</v>
      </c>
      <c r="L95" s="175">
        <f t="shared" si="28"/>
        <v>2.9891966173361513</v>
      </c>
      <c r="T95" s="52"/>
      <c r="U95" s="52"/>
      <c r="V95" s="1378" t="s">
        <v>45</v>
      </c>
      <c r="W95" s="950">
        <v>334.67345899133977</v>
      </c>
      <c r="X95" s="201">
        <v>348.58770042622297</v>
      </c>
      <c r="Y95" s="678">
        <v>369.27</v>
      </c>
      <c r="Z95" s="202">
        <v>369.27</v>
      </c>
      <c r="AA95" s="202">
        <v>369.27</v>
      </c>
      <c r="AB95" s="659">
        <v>373.31</v>
      </c>
      <c r="AC95" s="826">
        <v>347.48</v>
      </c>
      <c r="AD95" s="131">
        <v>340.39</v>
      </c>
      <c r="AE95" s="131">
        <v>161.06</v>
      </c>
      <c r="AF95" s="271">
        <f t="shared" si="23"/>
        <v>262.89999999999998</v>
      </c>
      <c r="AG95" s="356"/>
      <c r="AH95" s="121"/>
      <c r="DG95" s="998">
        <f>(DI95)/(DJ95)</f>
        <v>1.3287939327387319</v>
      </c>
      <c r="DH95" s="204" t="str">
        <f t="shared" si="24"/>
        <v>Cooling RES 18 Year EUL</v>
      </c>
      <c r="DI95" s="1089">
        <f>(INDEX('Avoided Cost Benefits'!$B$4:$B$866,MATCH(DH95,'Avoided Cost Benefits'!$A$4:$A$866,0)))*F95</f>
        <v>601.98024371556392</v>
      </c>
      <c r="DJ95" s="1177">
        <f t="shared" si="25"/>
        <v>453.02753789283406</v>
      </c>
    </row>
    <row r="96" spans="1:114">
      <c r="A96" s="453"/>
      <c r="B96" s="1454">
        <f t="shared" si="21"/>
        <v>350700</v>
      </c>
      <c r="C96" s="2554" t="s">
        <v>1805</v>
      </c>
      <c r="D96" s="2402" t="s">
        <v>1122</v>
      </c>
      <c r="E96" s="2936" t="s">
        <v>1806</v>
      </c>
      <c r="F96" s="2553">
        <f>ROUND(((J178*J250*(1/J466-1/J394))/1000)*J538*$J$598,2)</f>
        <v>1759.78</v>
      </c>
      <c r="G96" s="3246" t="s">
        <v>1045</v>
      </c>
      <c r="H96" s="2213">
        <f>VLOOKUP(G96,'CP FACTORS'!$A$3:$B$38, 2, FALSE)</f>
        <v>9.4741810000000004E-4</v>
      </c>
      <c r="I96" s="2519">
        <f t="shared" si="26"/>
        <v>1.6672469999999999</v>
      </c>
      <c r="J96" s="3247">
        <f t="shared" si="29"/>
        <v>6</v>
      </c>
      <c r="K96" s="2988">
        <f t="shared" si="27"/>
        <v>526.97397959163982</v>
      </c>
      <c r="L96" s="2573">
        <f t="shared" si="28"/>
        <v>2.4444444444444446</v>
      </c>
      <c r="T96" s="52"/>
      <c r="U96" s="52"/>
      <c r="V96" s="2425" t="s">
        <v>45</v>
      </c>
      <c r="W96" s="3249">
        <v>1256.2293003851096</v>
      </c>
      <c r="X96" s="3250">
        <v>1592.2642887629986</v>
      </c>
      <c r="Y96" s="3251">
        <v>1113.32</v>
      </c>
      <c r="Z96" s="2877">
        <v>1113.32</v>
      </c>
      <c r="AA96" s="2877">
        <v>1113.32</v>
      </c>
      <c r="AB96" s="3258">
        <v>1738.76</v>
      </c>
      <c r="AC96" s="3252">
        <v>1478.57</v>
      </c>
      <c r="AD96" s="2552">
        <v>1818.89</v>
      </c>
      <c r="AE96" s="2552">
        <v>1759.78</v>
      </c>
      <c r="AF96" s="2236">
        <f t="shared" si="23"/>
        <v>1759.78</v>
      </c>
      <c r="AG96" s="356"/>
      <c r="AH96" s="121"/>
      <c r="DG96" s="2747">
        <f>(DI96+DI97)/(DJ96+DJ97)</f>
        <v>3.8488313363601621</v>
      </c>
      <c r="DH96" s="2521" t="str">
        <f t="shared" si="24"/>
        <v>Cooling RES 6 Year EUL</v>
      </c>
      <c r="DI96" s="3253">
        <f>(INDEX('Avoided Cost Benefits'!$B$4:$B$866,MATCH(DH96,'Avoided Cost Benefits'!$A$4:$A$866,0)))*F96</f>
        <v>1752.4735647089888</v>
      </c>
      <c r="DJ96" s="2556">
        <f t="shared" si="25"/>
        <v>526.97397959163982</v>
      </c>
    </row>
    <row r="97" spans="1:114">
      <c r="A97" s="453"/>
      <c r="B97" s="1454">
        <f t="shared" si="21"/>
        <v>350700</v>
      </c>
      <c r="C97" s="2554" t="s">
        <v>1805</v>
      </c>
      <c r="D97" s="2402" t="s">
        <v>1122</v>
      </c>
      <c r="E97" s="2939" t="s">
        <v>1807</v>
      </c>
      <c r="F97" s="2552">
        <f>ROUND(((J179*J251*(1/J323-1/J395))/1000)*J539*$J$598,2)</f>
        <v>213.12</v>
      </c>
      <c r="G97" s="3246" t="s">
        <v>1786</v>
      </c>
      <c r="H97" s="2213">
        <f>VLOOKUP(G97,'CP FACTORS'!$A$3:$B$38, 2, FALSE)</f>
        <v>9.4741810000000004E-4</v>
      </c>
      <c r="I97" s="2404">
        <f t="shared" si="26"/>
        <v>0.20191400000000001</v>
      </c>
      <c r="J97" s="3247">
        <f t="shared" si="29"/>
        <v>12</v>
      </c>
      <c r="K97" s="2583">
        <f t="shared" si="27"/>
        <v>0</v>
      </c>
      <c r="L97" s="2573">
        <f t="shared" si="28"/>
        <v>2.4444444444444446</v>
      </c>
      <c r="T97" s="52"/>
      <c r="U97" s="52"/>
      <c r="V97" s="2425" t="s">
        <v>45</v>
      </c>
      <c r="W97" s="3249">
        <v>765.22310526315812</v>
      </c>
      <c r="X97" s="3250">
        <v>322.66350822001232</v>
      </c>
      <c r="Y97" s="3251">
        <v>213.91</v>
      </c>
      <c r="Z97" s="2877">
        <v>213.91</v>
      </c>
      <c r="AA97" s="2877">
        <v>213.91</v>
      </c>
      <c r="AB97" s="3258">
        <v>263.63</v>
      </c>
      <c r="AC97" s="3252">
        <v>288.56</v>
      </c>
      <c r="AD97" s="2552">
        <v>278.45</v>
      </c>
      <c r="AE97" s="2552">
        <v>131.75</v>
      </c>
      <c r="AF97" s="2236">
        <f t="shared" si="23"/>
        <v>213.12</v>
      </c>
      <c r="AG97" s="356"/>
      <c r="AH97" s="121"/>
      <c r="DG97" s="2748"/>
      <c r="DH97" s="2522" t="str">
        <f t="shared" si="24"/>
        <v>Cooling RES ER2 12 Year EUL</v>
      </c>
      <c r="DI97" s="3254">
        <f>(INDEX('Avoided Cost Benefits'!$B$4:$B$866,MATCH(DH97,'Avoided Cost Benefits'!$A$4:$A$866,0)))*F97</f>
        <v>275.76040138973514</v>
      </c>
      <c r="DJ97" s="2484">
        <f t="shared" si="25"/>
        <v>0</v>
      </c>
    </row>
    <row r="98" spans="1:114">
      <c r="A98" s="453"/>
      <c r="B98" s="1454">
        <f t="shared" si="21"/>
        <v>350701</v>
      </c>
      <c r="C98" s="2554" t="s">
        <v>1808</v>
      </c>
      <c r="D98" s="2402" t="s">
        <v>1118</v>
      </c>
      <c r="E98" s="2936" t="s">
        <v>1809</v>
      </c>
      <c r="F98" s="2553">
        <f>ROUND(((J180*J252*(1/J468-1/J396))/1000)*J540*$J$598,2)</f>
        <v>1279.8399999999999</v>
      </c>
      <c r="G98" s="3246" t="s">
        <v>1045</v>
      </c>
      <c r="H98" s="2213">
        <f>VLOOKUP(G98,'CP FACTORS'!$A$3:$B$38, 2, FALSE)</f>
        <v>9.4741810000000004E-4</v>
      </c>
      <c r="I98" s="2519">
        <f t="shared" si="26"/>
        <v>1.2125440000000001</v>
      </c>
      <c r="J98" s="3247">
        <f t="shared" si="29"/>
        <v>6</v>
      </c>
      <c r="K98" s="2988">
        <f t="shared" si="27"/>
        <v>526.97397959163982</v>
      </c>
      <c r="L98" s="2573">
        <f t="shared" si="28"/>
        <v>2.4444444444444446</v>
      </c>
      <c r="T98" s="52"/>
      <c r="U98" s="52"/>
      <c r="V98" s="2425" t="s">
        <v>45</v>
      </c>
      <c r="W98" s="3249"/>
      <c r="X98" s="3250"/>
      <c r="Y98" s="3251">
        <v>809.69</v>
      </c>
      <c r="Z98" s="2877">
        <v>809.69</v>
      </c>
      <c r="AA98" s="2877">
        <v>809.69</v>
      </c>
      <c r="AB98" s="3258">
        <v>1078.19</v>
      </c>
      <c r="AC98" s="3252">
        <v>1058.6099999999999</v>
      </c>
      <c r="AD98" s="2552">
        <v>1322.83</v>
      </c>
      <c r="AE98" s="2552">
        <v>1279.8399999999999</v>
      </c>
      <c r="AF98" s="2236">
        <f t="shared" si="23"/>
        <v>1279.8399999999999</v>
      </c>
      <c r="AG98" s="356"/>
      <c r="AH98" s="121"/>
      <c r="DG98" s="2747">
        <f>(DI98+DI99)/(DJ98+DJ99)</f>
        <v>2.799134437668791</v>
      </c>
      <c r="DH98" s="2521" t="str">
        <f t="shared" si="24"/>
        <v>Cooling RES 6 Year EUL</v>
      </c>
      <c r="DI98" s="3253">
        <f>(INDEX('Avoided Cost Benefits'!$B$4:$B$866,MATCH(DH98,'Avoided Cost Benefits'!$A$4:$A$866,0)))*F98</f>
        <v>1274.5262288792644</v>
      </c>
      <c r="DJ98" s="2556">
        <f t="shared" si="25"/>
        <v>526.97397959163982</v>
      </c>
    </row>
    <row r="99" spans="1:114">
      <c r="A99" s="453"/>
      <c r="B99" s="1454">
        <f t="shared" si="21"/>
        <v>350701</v>
      </c>
      <c r="C99" s="2554" t="s">
        <v>1808</v>
      </c>
      <c r="D99" s="2402" t="s">
        <v>1118</v>
      </c>
      <c r="E99" s="2939" t="s">
        <v>1810</v>
      </c>
      <c r="F99" s="2552">
        <f>ROUND(((J181*J253*(1/J325-1/J397))/1000)*J541*$J$598,2)</f>
        <v>154.99</v>
      </c>
      <c r="G99" s="3246" t="s">
        <v>1786</v>
      </c>
      <c r="H99" s="2213">
        <f>VLOOKUP(G99,'CP FACTORS'!$A$3:$B$38, 2, FALSE)</f>
        <v>9.4741810000000004E-4</v>
      </c>
      <c r="I99" s="2404">
        <f t="shared" si="26"/>
        <v>0.14684</v>
      </c>
      <c r="J99" s="3247">
        <f t="shared" si="29"/>
        <v>12</v>
      </c>
      <c r="K99" s="2583">
        <v>0</v>
      </c>
      <c r="L99" s="2573">
        <f t="shared" si="28"/>
        <v>2.4444444444444446</v>
      </c>
      <c r="T99" s="52"/>
      <c r="U99" s="52"/>
      <c r="V99" s="2425" t="s">
        <v>45</v>
      </c>
      <c r="W99" s="3249"/>
      <c r="X99" s="3250"/>
      <c r="Y99" s="3251">
        <v>155.57</v>
      </c>
      <c r="Z99" s="2877">
        <v>155.57</v>
      </c>
      <c r="AA99" s="2877">
        <v>155.57</v>
      </c>
      <c r="AB99" s="3222">
        <v>155.57</v>
      </c>
      <c r="AC99" s="3252">
        <v>193.15</v>
      </c>
      <c r="AD99" s="2552">
        <v>202.51</v>
      </c>
      <c r="AE99" s="2552">
        <v>95.82</v>
      </c>
      <c r="AF99" s="2236">
        <f t="shared" si="23"/>
        <v>154.99</v>
      </c>
      <c r="AG99" s="356"/>
      <c r="AH99" s="121"/>
      <c r="DG99" s="2748"/>
      <c r="DH99" s="2522" t="str">
        <f t="shared" si="24"/>
        <v>Cooling RES ER2 12 Year EUL</v>
      </c>
      <c r="DI99" s="3254">
        <f>(INDEX('Avoided Cost Benefits'!$B$4:$B$866,MATCH(DH99,'Avoided Cost Benefits'!$A$4:$A$866,0)))*F99</f>
        <v>200.54478515106535</v>
      </c>
      <c r="DJ99" s="2484">
        <f t="shared" si="25"/>
        <v>0</v>
      </c>
    </row>
    <row r="100" spans="1:114">
      <c r="A100" s="453"/>
      <c r="B100" s="1454">
        <f t="shared" si="21"/>
        <v>350750</v>
      </c>
      <c r="C100" s="2554" t="s">
        <v>1811</v>
      </c>
      <c r="D100" s="2402" t="s">
        <v>1122</v>
      </c>
      <c r="E100" s="2936" t="s">
        <v>1812</v>
      </c>
      <c r="F100" s="2552">
        <f>ROUND(((J182*J254*(1/J326-1/J398))/1000)*J542*$J$598,2)</f>
        <v>165.69</v>
      </c>
      <c r="G100" s="3246" t="s">
        <v>1045</v>
      </c>
      <c r="H100" s="2213">
        <f>VLOOKUP(G100,'CP FACTORS'!$A$3:$B$38, 2, FALSE)</f>
        <v>9.4741810000000004E-4</v>
      </c>
      <c r="I100" s="2404">
        <f t="shared" si="26"/>
        <v>0.15697800000000001</v>
      </c>
      <c r="J100" s="3247">
        <f t="shared" si="29"/>
        <v>18</v>
      </c>
      <c r="K100" s="2988">
        <f t="shared" si="27"/>
        <v>453.02753789283406</v>
      </c>
      <c r="L100" s="2572">
        <f>K254</f>
        <v>2</v>
      </c>
      <c r="T100" s="52"/>
      <c r="U100" s="52"/>
      <c r="V100" s="2425" t="s">
        <v>45</v>
      </c>
      <c r="W100" s="3249">
        <v>217.53774834437087</v>
      </c>
      <c r="X100" s="3250">
        <v>322.66350822001232</v>
      </c>
      <c r="Y100" s="3251">
        <v>213.91</v>
      </c>
      <c r="Z100" s="2877">
        <v>213.91</v>
      </c>
      <c r="AA100" s="2877">
        <v>213.91</v>
      </c>
      <c r="AB100" s="3258">
        <v>230.82</v>
      </c>
      <c r="AC100" s="3252">
        <v>309.3</v>
      </c>
      <c r="AD100" s="2552">
        <v>161.52000000000001</v>
      </c>
      <c r="AE100" s="2552">
        <v>74.989999999999995</v>
      </c>
      <c r="AF100" s="2236">
        <f t="shared" si="23"/>
        <v>165.69</v>
      </c>
      <c r="AG100" s="356"/>
      <c r="AH100" s="121"/>
      <c r="DG100" s="2961">
        <f>(DI100)/(DJ100)</f>
        <v>0.83745860294971686</v>
      </c>
      <c r="DH100" s="3255" t="str">
        <f t="shared" si="24"/>
        <v>Cooling RES 18 Year EUL</v>
      </c>
      <c r="DI100" s="3256">
        <f>(INDEX('Avoided Cost Benefits'!$B$4:$B$866,MATCH(DH100,'Avoided Cost Benefits'!$A$4:$A$866,0)))*F100</f>
        <v>379.39180898148271</v>
      </c>
      <c r="DJ100" s="3257">
        <f t="shared" si="25"/>
        <v>453.02753789283406</v>
      </c>
    </row>
    <row r="101" spans="1:114">
      <c r="A101" s="453"/>
      <c r="B101" s="1454">
        <f t="shared" si="21"/>
        <v>350751</v>
      </c>
      <c r="C101" s="2554" t="s">
        <v>1813</v>
      </c>
      <c r="D101" s="2402" t="s">
        <v>1118</v>
      </c>
      <c r="E101" s="2936" t="s">
        <v>1814</v>
      </c>
      <c r="F101" s="2552">
        <f>ROUND(((J183*J255*(1/J327-1/J399))/1000)*J543*$J$598,2)</f>
        <v>120.5</v>
      </c>
      <c r="G101" s="3246" t="s">
        <v>1045</v>
      </c>
      <c r="H101" s="2213">
        <f>VLOOKUP(G101,'CP FACTORS'!$A$3:$B$38, 2, FALSE)</f>
        <v>9.4741810000000004E-4</v>
      </c>
      <c r="I101" s="2404">
        <f t="shared" si="26"/>
        <v>0.114164</v>
      </c>
      <c r="J101" s="3248">
        <v>18</v>
      </c>
      <c r="K101" s="2988">
        <f t="shared" si="27"/>
        <v>453.02753789283406</v>
      </c>
      <c r="L101" s="2572">
        <f t="shared" si="28"/>
        <v>2</v>
      </c>
      <c r="T101" s="52"/>
      <c r="U101" s="52"/>
      <c r="V101" s="2425" t="s">
        <v>45</v>
      </c>
      <c r="W101" s="3249"/>
      <c r="X101" s="3250"/>
      <c r="Y101" s="3251">
        <v>155.57</v>
      </c>
      <c r="Z101" s="2877">
        <v>155.57</v>
      </c>
      <c r="AA101" s="2877">
        <v>155.57</v>
      </c>
      <c r="AB101" s="3222">
        <v>155.57</v>
      </c>
      <c r="AC101" s="3252">
        <v>213.48</v>
      </c>
      <c r="AD101" s="2552">
        <v>117.47</v>
      </c>
      <c r="AE101" s="2552">
        <v>54.54</v>
      </c>
      <c r="AF101" s="2236">
        <f t="shared" si="23"/>
        <v>120.5</v>
      </c>
      <c r="AG101" s="356"/>
      <c r="AH101" s="121"/>
      <c r="DG101" s="2961">
        <f>(DI101)/(DJ101)</f>
        <v>0.60905161238119909</v>
      </c>
      <c r="DH101" s="3255" t="str">
        <f t="shared" si="24"/>
        <v>Cooling RES 18 Year EUL</v>
      </c>
      <c r="DI101" s="3256">
        <f>(INDEX('Avoided Cost Benefits'!$B$4:$B$866,MATCH(DH101,'Avoided Cost Benefits'!$A$4:$A$866,0)))*F101</f>
        <v>275.91715240671533</v>
      </c>
      <c r="DJ101" s="3257">
        <f t="shared" si="25"/>
        <v>453.02753789283406</v>
      </c>
    </row>
    <row r="102" spans="1:114">
      <c r="A102" s="453"/>
      <c r="B102" s="1454">
        <f t="shared" si="21"/>
        <v>350800</v>
      </c>
      <c r="C102" s="682" t="s">
        <v>1815</v>
      </c>
      <c r="D102" s="1894" t="s">
        <v>1043</v>
      </c>
      <c r="E102" s="1394" t="s">
        <v>1816</v>
      </c>
      <c r="F102" s="131">
        <f>ROUND(((J184*J256*(1/J472-1/J400))/1000)*J544*$J$598,2)</f>
        <v>2184.27</v>
      </c>
      <c r="G102" s="266" t="s">
        <v>1045</v>
      </c>
      <c r="H102" s="69">
        <f>VLOOKUP(G102,'CP FACTORS'!$A$3:$B$38, 2, FALSE)</f>
        <v>9.4741810000000004E-4</v>
      </c>
      <c r="I102" s="1473">
        <f t="shared" si="26"/>
        <v>2.0694170000000001</v>
      </c>
      <c r="J102" s="199">
        <f t="shared" ref="J102:J109" si="30">J617</f>
        <v>6</v>
      </c>
      <c r="K102" s="206">
        <f t="shared" si="27"/>
        <v>708.92766284367963</v>
      </c>
      <c r="L102" s="175">
        <f t="shared" si="28"/>
        <v>2.8756478324403312</v>
      </c>
      <c r="O102" s="557"/>
      <c r="T102" s="52"/>
      <c r="U102" s="52"/>
      <c r="V102" s="1378" t="s">
        <v>45</v>
      </c>
      <c r="W102" s="950">
        <v>1921.8676829268297</v>
      </c>
      <c r="X102" s="201">
        <v>1872.8908664383187</v>
      </c>
      <c r="Y102" s="678">
        <v>1880.22</v>
      </c>
      <c r="Z102" s="202">
        <v>1880.22</v>
      </c>
      <c r="AA102" s="202">
        <v>1880.22</v>
      </c>
      <c r="AB102" s="659">
        <v>2198.3200000000002</v>
      </c>
      <c r="AC102" s="826">
        <v>1809.8</v>
      </c>
      <c r="AD102" s="131">
        <v>2164.25</v>
      </c>
      <c r="AE102" s="131">
        <v>2134.7800000000002</v>
      </c>
      <c r="AF102" s="271">
        <f t="shared" si="23"/>
        <v>2184.27</v>
      </c>
      <c r="AG102" s="356"/>
      <c r="AH102" s="121"/>
      <c r="DG102" s="992">
        <f>(DI102+DI103)/(DJ102+DJ103)</f>
        <v>3.737573071863415</v>
      </c>
      <c r="DH102" s="1369" t="str">
        <f t="shared" si="24"/>
        <v>Cooling RES 6 Year EUL</v>
      </c>
      <c r="DI102" s="1087">
        <f>(INDEX('Avoided Cost Benefits'!$B$4:$B$866,MATCH(DH102,'Avoided Cost Benefits'!$A$4:$A$866,0)))*F102</f>
        <v>2175.2011235420923</v>
      </c>
      <c r="DJ102" s="1174">
        <f t="shared" si="25"/>
        <v>708.92766284367963</v>
      </c>
    </row>
    <row r="103" spans="1:114">
      <c r="A103" s="453"/>
      <c r="B103" s="1454">
        <f t="shared" si="21"/>
        <v>350800</v>
      </c>
      <c r="C103" s="682" t="s">
        <v>1815</v>
      </c>
      <c r="D103" s="1894" t="s">
        <v>1043</v>
      </c>
      <c r="E103" s="1395" t="s">
        <v>1817</v>
      </c>
      <c r="F103" s="131">
        <f>ROUND(((J185*J257*(1/J329-1/J401))/1000)*J545*$J$598,2)</f>
        <v>366.69</v>
      </c>
      <c r="G103" s="266" t="s">
        <v>1786</v>
      </c>
      <c r="H103" s="69">
        <f>VLOOKUP(G103,'CP FACTORS'!$A$3:$B$38, 2, FALSE)</f>
        <v>9.4741810000000004E-4</v>
      </c>
      <c r="I103" s="1473">
        <f t="shared" si="26"/>
        <v>0.34740900000000002</v>
      </c>
      <c r="J103" s="199">
        <f t="shared" si="30"/>
        <v>12</v>
      </c>
      <c r="K103" s="135">
        <f t="shared" si="27"/>
        <v>0</v>
      </c>
      <c r="L103" s="175">
        <f t="shared" si="28"/>
        <v>2.8756478324403312</v>
      </c>
      <c r="O103" s="557"/>
      <c r="T103" s="52"/>
      <c r="U103" s="52"/>
      <c r="V103" s="1378" t="s">
        <v>45</v>
      </c>
      <c r="W103" s="950">
        <v>1212.2550000000003</v>
      </c>
      <c r="X103" s="201">
        <v>501.2848270995064</v>
      </c>
      <c r="Y103" s="678">
        <v>504.12</v>
      </c>
      <c r="Z103" s="202">
        <v>504.12</v>
      </c>
      <c r="AA103" s="202">
        <v>504.12</v>
      </c>
      <c r="AB103" s="659">
        <v>451.39</v>
      </c>
      <c r="AC103" s="826">
        <v>446.81</v>
      </c>
      <c r="AD103" s="131">
        <v>439.92</v>
      </c>
      <c r="AE103" s="131">
        <v>275.66000000000003</v>
      </c>
      <c r="AF103" s="271">
        <f t="shared" si="23"/>
        <v>366.69</v>
      </c>
      <c r="AG103" s="356"/>
      <c r="AH103" s="121"/>
      <c r="DG103" s="995"/>
      <c r="DH103" s="1370" t="str">
        <f t="shared" si="24"/>
        <v>Cooling RES ER2 12 Year EUL</v>
      </c>
      <c r="DI103" s="1088">
        <f>(INDEX('Avoided Cost Benefits'!$B$4:$B$866,MATCH(DH103,'Avoided Cost Benefits'!$A$4:$A$866,0)))*F103</f>
        <v>474.46781900151075</v>
      </c>
      <c r="DJ103" s="1175">
        <f t="shared" si="25"/>
        <v>0</v>
      </c>
    </row>
    <row r="104" spans="1:114">
      <c r="A104" s="453"/>
      <c r="B104" s="1454">
        <f t="shared" si="21"/>
        <v>350850</v>
      </c>
      <c r="C104" s="682" t="s">
        <v>1818</v>
      </c>
      <c r="D104" s="1894" t="s">
        <v>1043</v>
      </c>
      <c r="E104" s="1394" t="s">
        <v>1819</v>
      </c>
      <c r="F104" s="131">
        <f>ROUND(((J186*J258*(1/J330-1/J402))/1000)*J546*$J$598,2)</f>
        <v>363.43</v>
      </c>
      <c r="G104" s="266" t="s">
        <v>1045</v>
      </c>
      <c r="H104" s="69">
        <f>VLOOKUP(G104,'CP FACTORS'!$A$3:$B$38, 2, FALSE)</f>
        <v>9.4741810000000004E-4</v>
      </c>
      <c r="I104" s="1473">
        <f t="shared" si="26"/>
        <v>0.34432000000000001</v>
      </c>
      <c r="J104" s="199">
        <f t="shared" si="30"/>
        <v>18</v>
      </c>
      <c r="K104" s="206">
        <f t="shared" si="27"/>
        <v>634.98122114487387</v>
      </c>
      <c r="L104" s="175">
        <f t="shared" si="28"/>
        <v>2.8453773584905662</v>
      </c>
      <c r="O104" s="557"/>
      <c r="T104" s="52"/>
      <c r="U104" s="52"/>
      <c r="V104" s="1378" t="s">
        <v>45</v>
      </c>
      <c r="W104" s="950">
        <v>436.17115384615397</v>
      </c>
      <c r="X104" s="201">
        <v>501.2848270995064</v>
      </c>
      <c r="Y104" s="678">
        <v>493.75</v>
      </c>
      <c r="Z104" s="202">
        <v>493.75</v>
      </c>
      <c r="AA104" s="202">
        <v>493.75</v>
      </c>
      <c r="AB104" s="659">
        <v>458.17</v>
      </c>
      <c r="AC104" s="826">
        <v>459.15</v>
      </c>
      <c r="AD104" s="131">
        <v>455.22</v>
      </c>
      <c r="AE104" s="131">
        <v>283.54000000000002</v>
      </c>
      <c r="AF104" s="271">
        <f t="shared" si="23"/>
        <v>363.43</v>
      </c>
      <c r="AG104" s="356"/>
      <c r="AH104" s="121"/>
      <c r="DG104" s="998">
        <f>(DI104)/(DJ104)</f>
        <v>1.3105438137147511</v>
      </c>
      <c r="DH104" s="204" t="str">
        <f t="shared" si="24"/>
        <v>Cooling RES 18 Year EUL</v>
      </c>
      <c r="DI104" s="1089">
        <f>(INDEX('Avoided Cost Benefits'!$B$4:$B$866,MATCH(DH104,'Avoided Cost Benefits'!$A$4:$A$866,0)))*F104</f>
        <v>832.17071119645277</v>
      </c>
      <c r="DJ104" s="1177">
        <f t="shared" si="25"/>
        <v>634.98122114487387</v>
      </c>
    </row>
    <row r="105" spans="1:114">
      <c r="A105" s="453"/>
      <c r="B105" s="1454">
        <f t="shared" si="21"/>
        <v>350900</v>
      </c>
      <c r="C105" s="682" t="s">
        <v>1820</v>
      </c>
      <c r="D105" s="555" t="s">
        <v>959</v>
      </c>
      <c r="E105" s="1394" t="s">
        <v>1821</v>
      </c>
      <c r="F105" s="131">
        <f>ROUND(((J187*J259*(1/J475-1/J403))/1000)*J547*$J$598,2)</f>
        <v>1902.85</v>
      </c>
      <c r="G105" s="266" t="s">
        <v>1045</v>
      </c>
      <c r="H105" s="69">
        <f>VLOOKUP(G105,'CP FACTORS'!$A$3:$B$38, 2, FALSE)</f>
        <v>9.4741810000000004E-4</v>
      </c>
      <c r="I105" s="1473">
        <f t="shared" si="26"/>
        <v>1.8027949999999999</v>
      </c>
      <c r="J105" s="199">
        <f t="shared" si="30"/>
        <v>6</v>
      </c>
      <c r="K105" s="206">
        <f t="shared" si="27"/>
        <v>708.92766284367963</v>
      </c>
      <c r="L105" s="175">
        <f t="shared" si="28"/>
        <v>2.5384615384615383</v>
      </c>
      <c r="T105" s="52"/>
      <c r="U105" s="52"/>
      <c r="V105" s="1378" t="s">
        <v>45</v>
      </c>
      <c r="W105" s="950">
        <v>1249.2139939024394</v>
      </c>
      <c r="X105" s="201">
        <v>1710.3337488745497</v>
      </c>
      <c r="Y105" s="678">
        <v>1200.22</v>
      </c>
      <c r="Z105" s="202">
        <v>1200.22</v>
      </c>
      <c r="AA105" s="202">
        <v>1200.22</v>
      </c>
      <c r="AB105" s="659">
        <v>1687.17</v>
      </c>
      <c r="AC105" s="826">
        <v>1518.6</v>
      </c>
      <c r="AD105" s="131">
        <v>1566.43</v>
      </c>
      <c r="AE105" s="131">
        <v>1835.08</v>
      </c>
      <c r="AF105" s="271">
        <f t="shared" si="23"/>
        <v>1902.85</v>
      </c>
      <c r="AG105" s="356"/>
      <c r="AH105" s="121"/>
      <c r="DG105" s="1090">
        <f>(DI105+DI106)/(DJ105+DJ106)</f>
        <v>3.2644297990868072</v>
      </c>
      <c r="DH105" s="1393" t="str">
        <f t="shared" si="24"/>
        <v>Cooling RES 6 Year EUL</v>
      </c>
      <c r="DI105" s="1091">
        <f>(INDEX('Avoided Cost Benefits'!$B$4:$B$866,MATCH(DH105,'Avoided Cost Benefits'!$A$4:$A$866,0)))*F105</f>
        <v>1894.9495519931463</v>
      </c>
      <c r="DJ105" s="1176">
        <f t="shared" si="25"/>
        <v>708.92766284367963</v>
      </c>
    </row>
    <row r="106" spans="1:114">
      <c r="A106" s="453"/>
      <c r="B106" s="1454">
        <f t="shared" si="21"/>
        <v>350900</v>
      </c>
      <c r="C106" s="682" t="s">
        <v>1820</v>
      </c>
      <c r="D106" s="555" t="s">
        <v>959</v>
      </c>
      <c r="E106" s="1395" t="s">
        <v>1822</v>
      </c>
      <c r="F106" s="131">
        <f>ROUND(((J188*J260*(1/J332-1/J404))/1000)*J548*$J$598,2)</f>
        <v>324.05</v>
      </c>
      <c r="G106" s="266" t="s">
        <v>1786</v>
      </c>
      <c r="H106" s="69">
        <f>VLOOKUP(G106,'CP FACTORS'!$A$3:$B$38, 2, FALSE)</f>
        <v>9.4741810000000004E-4</v>
      </c>
      <c r="I106" s="1473">
        <f t="shared" si="26"/>
        <v>0.30701099999999998</v>
      </c>
      <c r="J106" s="199">
        <f t="shared" si="30"/>
        <v>12</v>
      </c>
      <c r="K106" s="135">
        <f t="shared" si="27"/>
        <v>0</v>
      </c>
      <c r="L106" s="175">
        <f t="shared" si="28"/>
        <v>2.5384615384615383</v>
      </c>
      <c r="T106" s="52"/>
      <c r="U106" s="52"/>
      <c r="V106" s="1378" t="s">
        <v>45</v>
      </c>
      <c r="W106" s="950">
        <v>787.9657500000003</v>
      </c>
      <c r="X106" s="201">
        <v>428.65550480769241</v>
      </c>
      <c r="Y106" s="678">
        <v>300.81</v>
      </c>
      <c r="Z106" s="202">
        <v>300.81</v>
      </c>
      <c r="AA106" s="202">
        <v>300.81</v>
      </c>
      <c r="AB106" s="659">
        <v>391.02</v>
      </c>
      <c r="AC106" s="826">
        <v>378.59</v>
      </c>
      <c r="AD106" s="131">
        <v>327.91</v>
      </c>
      <c r="AE106" s="131">
        <v>238.17</v>
      </c>
      <c r="AF106" s="271">
        <f t="shared" si="23"/>
        <v>324.05</v>
      </c>
      <c r="AG106" s="356"/>
      <c r="AH106" s="121"/>
      <c r="DG106" s="1092"/>
      <c r="DH106" s="1370" t="str">
        <f t="shared" si="24"/>
        <v>Cooling RES ER2 12 Year EUL</v>
      </c>
      <c r="DI106" s="1091">
        <f>(INDEX('Avoided Cost Benefits'!$B$4:$B$866,MATCH(DH106,'Avoided Cost Benefits'!$A$4:$A$866,0)))*F106</f>
        <v>419.29503599072672</v>
      </c>
      <c r="DJ106" s="1176">
        <f t="shared" si="25"/>
        <v>0</v>
      </c>
    </row>
    <row r="107" spans="1:114">
      <c r="A107" s="453"/>
      <c r="B107" s="1454">
        <f t="shared" si="21"/>
        <v>350901</v>
      </c>
      <c r="C107" s="2554" t="s">
        <v>1823</v>
      </c>
      <c r="D107" s="2402" t="s">
        <v>1118</v>
      </c>
      <c r="E107" s="2936" t="s">
        <v>1824</v>
      </c>
      <c r="F107" s="2552">
        <f>ROUND(((J189*J261*(1/J477-1/J405))/1000)*J549*$J$598,2)</f>
        <v>1383.89</v>
      </c>
      <c r="G107" s="3246" t="s">
        <v>1045</v>
      </c>
      <c r="H107" s="2213">
        <f>VLOOKUP(G107,'CP FACTORS'!$A$3:$B$38, 2, FALSE)</f>
        <v>9.4741810000000004E-4</v>
      </c>
      <c r="I107" s="2404">
        <f t="shared" si="26"/>
        <v>1.3111219999999999</v>
      </c>
      <c r="J107" s="3247">
        <f t="shared" si="30"/>
        <v>6</v>
      </c>
      <c r="K107" s="2988">
        <f t="shared" si="27"/>
        <v>708.92766284367963</v>
      </c>
      <c r="L107" s="2572">
        <f t="shared" si="28"/>
        <v>2.5384615384615383</v>
      </c>
      <c r="T107" s="52"/>
      <c r="U107" s="52"/>
      <c r="V107" s="2425" t="s">
        <v>45</v>
      </c>
      <c r="W107" s="3249"/>
      <c r="X107" s="3250"/>
      <c r="Y107" s="3251">
        <v>872.89</v>
      </c>
      <c r="Z107" s="2877">
        <v>872.89</v>
      </c>
      <c r="AA107" s="2877">
        <v>872.89</v>
      </c>
      <c r="AB107" s="3258">
        <v>951.94</v>
      </c>
      <c r="AC107" s="3252">
        <v>1103.99</v>
      </c>
      <c r="AD107" s="2552">
        <v>1139.23</v>
      </c>
      <c r="AE107" s="2552">
        <v>1334.6</v>
      </c>
      <c r="AF107" s="2236">
        <f t="shared" si="23"/>
        <v>1383.89</v>
      </c>
      <c r="AG107" s="356"/>
      <c r="AH107" s="121"/>
      <c r="DG107" s="3259">
        <f>(DI107+DI108)/(DJ107+DJ108)</f>
        <v>2.3741245081854521</v>
      </c>
      <c r="DH107" s="2521" t="str">
        <f t="shared" si="24"/>
        <v>Cooling RES 6 Year EUL</v>
      </c>
      <c r="DI107" s="3260">
        <f>(INDEX('Avoided Cost Benefits'!$B$4:$B$866,MATCH(DH107,'Avoided Cost Benefits'!$A$4:$A$866,0)))*F107</f>
        <v>1378.1442234058363</v>
      </c>
      <c r="DJ107" s="2507">
        <f t="shared" si="25"/>
        <v>708.92766284367963</v>
      </c>
    </row>
    <row r="108" spans="1:114">
      <c r="A108" s="453"/>
      <c r="B108" s="1454">
        <f t="shared" si="21"/>
        <v>350901</v>
      </c>
      <c r="C108" s="2554" t="s">
        <v>1823</v>
      </c>
      <c r="D108" s="2402" t="s">
        <v>1118</v>
      </c>
      <c r="E108" s="2939" t="s">
        <v>1825</v>
      </c>
      <c r="F108" s="2552">
        <f>ROUND(((J190*J262*(1/J334-1/J406))/1000)*J550*$J$598,2)</f>
        <v>235.67</v>
      </c>
      <c r="G108" s="3246" t="s">
        <v>1786</v>
      </c>
      <c r="H108" s="2213">
        <f>VLOOKUP(G108,'CP FACTORS'!$A$3:$B$38, 2, FALSE)</f>
        <v>9.4741810000000004E-4</v>
      </c>
      <c r="I108" s="2404">
        <f t="shared" si="26"/>
        <v>0.223278</v>
      </c>
      <c r="J108" s="3247">
        <f t="shared" si="30"/>
        <v>12</v>
      </c>
      <c r="K108" s="2583">
        <f t="shared" si="27"/>
        <v>0</v>
      </c>
      <c r="L108" s="2572">
        <f t="shared" si="28"/>
        <v>2.5384615384615383</v>
      </c>
      <c r="T108" s="52"/>
      <c r="U108" s="52"/>
      <c r="V108" s="2425" t="s">
        <v>45</v>
      </c>
      <c r="W108" s="3249"/>
      <c r="X108" s="3250"/>
      <c r="Y108" s="3251">
        <v>218.77</v>
      </c>
      <c r="Z108" s="2877">
        <v>218.77</v>
      </c>
      <c r="AA108" s="2877">
        <v>218.77</v>
      </c>
      <c r="AB108" s="3222">
        <v>218.77</v>
      </c>
      <c r="AC108" s="3252">
        <v>274.89</v>
      </c>
      <c r="AD108" s="2552">
        <v>238.48</v>
      </c>
      <c r="AE108" s="2552">
        <v>173.22</v>
      </c>
      <c r="AF108" s="2236">
        <f t="shared" si="23"/>
        <v>235.67</v>
      </c>
      <c r="AG108" s="356"/>
      <c r="AH108" s="121"/>
      <c r="DG108" s="3261"/>
      <c r="DH108" s="2522" t="str">
        <f t="shared" si="24"/>
        <v>Cooling RES ER2 12 Year EUL</v>
      </c>
      <c r="DI108" s="3260">
        <f>(INDEX('Avoided Cost Benefits'!$B$4:$B$866,MATCH(DH108,'Avoided Cost Benefits'!$A$4:$A$866,0)))*F108</f>
        <v>304.9383154819767</v>
      </c>
      <c r="DJ108" s="2507">
        <f t="shared" si="25"/>
        <v>0</v>
      </c>
    </row>
    <row r="109" spans="1:114">
      <c r="A109" s="453"/>
      <c r="B109" s="1454">
        <f t="shared" si="21"/>
        <v>350950</v>
      </c>
      <c r="C109" s="2554" t="s">
        <v>1826</v>
      </c>
      <c r="D109" s="2402" t="s">
        <v>1122</v>
      </c>
      <c r="E109" s="2936" t="s">
        <v>1827</v>
      </c>
      <c r="F109" s="2552">
        <f>ROUND(((J191*J263*(1/J335-1/J407))/1000)*J551*$J$598,2)</f>
        <v>349.39</v>
      </c>
      <c r="G109" s="3246" t="s">
        <v>1045</v>
      </c>
      <c r="H109" s="2213">
        <f>VLOOKUP(G109,'CP FACTORS'!$A$3:$B$38, 2, FALSE)</f>
        <v>9.4741810000000004E-4</v>
      </c>
      <c r="I109" s="2404">
        <f t="shared" si="26"/>
        <v>0.33101799999999998</v>
      </c>
      <c r="J109" s="3247">
        <f t="shared" si="30"/>
        <v>18</v>
      </c>
      <c r="K109" s="2988">
        <f t="shared" si="27"/>
        <v>634.98122114487387</v>
      </c>
      <c r="L109" s="2573">
        <f t="shared" si="28"/>
        <v>2.75</v>
      </c>
      <c r="T109" s="52"/>
      <c r="U109" s="52"/>
      <c r="V109" s="2425" t="s">
        <v>45</v>
      </c>
      <c r="W109" s="3249">
        <v>283.51125000000008</v>
      </c>
      <c r="X109" s="3250">
        <v>428.65550480769241</v>
      </c>
      <c r="Y109" s="3251">
        <v>300.81</v>
      </c>
      <c r="Z109" s="2877">
        <v>300.81</v>
      </c>
      <c r="AA109" s="2877">
        <v>300.81</v>
      </c>
      <c r="AB109" s="3258">
        <v>408.24</v>
      </c>
      <c r="AC109" s="3252">
        <v>315.22000000000003</v>
      </c>
      <c r="AD109" s="2552">
        <v>415.11</v>
      </c>
      <c r="AE109" s="2552">
        <v>257.86</v>
      </c>
      <c r="AF109" s="2236">
        <f t="shared" si="23"/>
        <v>349.39</v>
      </c>
      <c r="AG109" s="2413"/>
      <c r="AH109" s="121"/>
      <c r="DG109" s="3259">
        <f>(DI109)/(DJ109)</f>
        <v>1.2599149852070464</v>
      </c>
      <c r="DH109" s="3255" t="str">
        <f t="shared" si="24"/>
        <v>Cooling RES 18 Year EUL</v>
      </c>
      <c r="DI109" s="3260">
        <f>(INDEX('Avoided Cost Benefits'!$B$4:$B$866,MATCH(DH109,'Avoided Cost Benefits'!$A$4:$A$866,0)))*F109</f>
        <v>800.02235584549601</v>
      </c>
      <c r="DJ109" s="2507">
        <f t="shared" si="25"/>
        <v>634.98122114487387</v>
      </c>
    </row>
    <row r="110" spans="1:114">
      <c r="A110" s="453"/>
      <c r="B110" s="1454">
        <f t="shared" si="21"/>
        <v>350951</v>
      </c>
      <c r="C110" s="2554" t="s">
        <v>1828</v>
      </c>
      <c r="D110" s="2402" t="s">
        <v>1118</v>
      </c>
      <c r="E110" s="2936" t="s">
        <v>1829</v>
      </c>
      <c r="F110" s="2552">
        <f>ROUND(((J192*J264*(1/J336-1/J408))/1000)*J552*$J$598,2)</f>
        <v>254.1</v>
      </c>
      <c r="G110" s="3246" t="s">
        <v>1045</v>
      </c>
      <c r="H110" s="2213">
        <f>VLOOKUP(G110,'CP FACTORS'!$A$3:$B$38, 2, FALSE)</f>
        <v>9.4741810000000004E-4</v>
      </c>
      <c r="I110" s="2404">
        <f t="shared" si="26"/>
        <v>0.24073900000000001</v>
      </c>
      <c r="J110" s="3248">
        <v>18</v>
      </c>
      <c r="K110" s="2988">
        <f t="shared" si="27"/>
        <v>634.98122114487387</v>
      </c>
      <c r="L110" s="2573">
        <f t="shared" si="28"/>
        <v>2.75</v>
      </c>
      <c r="T110" s="52"/>
      <c r="U110" s="52"/>
      <c r="V110" s="2425" t="s">
        <v>45</v>
      </c>
      <c r="W110" s="3249"/>
      <c r="X110" s="3250"/>
      <c r="Y110" s="3251">
        <v>218.77</v>
      </c>
      <c r="Z110" s="2877">
        <v>218.77</v>
      </c>
      <c r="AA110" s="2877">
        <v>218.77</v>
      </c>
      <c r="AB110" s="3222">
        <v>218.77</v>
      </c>
      <c r="AC110" s="3252">
        <v>229.25</v>
      </c>
      <c r="AD110" s="2552">
        <v>301.89999999999998</v>
      </c>
      <c r="AE110" s="2552">
        <v>187.53</v>
      </c>
      <c r="AF110" s="2236">
        <f t="shared" si="23"/>
        <v>254.1</v>
      </c>
      <c r="AG110" s="2413"/>
      <c r="AH110" s="121"/>
      <c r="DG110" s="3259">
        <f>(DI110)/(DJ110)</f>
        <v>0.91629525098345821</v>
      </c>
      <c r="DH110" s="3255" t="str">
        <f t="shared" si="24"/>
        <v>Cooling RES 18 Year EUL</v>
      </c>
      <c r="DI110" s="3260">
        <f>(INDEX('Avoided Cost Benefits'!$B$4:$B$866,MATCH(DH110,'Avoided Cost Benefits'!$A$4:$A$866,0)))*F110</f>
        <v>581.830277398725</v>
      </c>
      <c r="DJ110" s="2507">
        <f t="shared" si="25"/>
        <v>634.98122114487387</v>
      </c>
    </row>
    <row r="111" spans="1:114">
      <c r="A111" s="453"/>
      <c r="B111" s="1454">
        <f t="shared" si="21"/>
        <v>351000</v>
      </c>
      <c r="C111" s="682" t="s">
        <v>1830</v>
      </c>
      <c r="D111" s="1894" t="s">
        <v>1043</v>
      </c>
      <c r="E111" s="1394" t="s">
        <v>1831</v>
      </c>
      <c r="F111" s="131">
        <f>ROUND(((J193*J265*(1/J481-1/J409))/1000)*J553*$J$598,2)</f>
        <v>2381.9499999999998</v>
      </c>
      <c r="G111" s="266" t="s">
        <v>1045</v>
      </c>
      <c r="H111" s="69">
        <f>VLOOKUP(G111,'CP FACTORS'!$A$3:$B$38, 2, FALSE)</f>
        <v>9.4741810000000004E-4</v>
      </c>
      <c r="I111" s="1473">
        <f t="shared" si="26"/>
        <v>2.2567029999999999</v>
      </c>
      <c r="J111" s="199">
        <f t="shared" ref="J111:J122" si="31">J626</f>
        <v>6</v>
      </c>
      <c r="K111" s="206">
        <f t="shared" si="27"/>
        <v>965.14815558634655</v>
      </c>
      <c r="L111" s="175">
        <f t="shared" si="28"/>
        <v>3.1718995290423861</v>
      </c>
      <c r="T111" s="52"/>
      <c r="U111" s="52"/>
      <c r="V111" s="1378" t="s">
        <v>45</v>
      </c>
      <c r="W111" s="950">
        <v>2040.7162123385942</v>
      </c>
      <c r="X111" s="201">
        <v>1979.1918367346937</v>
      </c>
      <c r="Y111" s="678">
        <v>1953.65</v>
      </c>
      <c r="Z111" s="202">
        <v>1953.65</v>
      </c>
      <c r="AA111" s="202">
        <v>1953.65</v>
      </c>
      <c r="AB111" s="659">
        <v>2431.04</v>
      </c>
      <c r="AC111" s="826">
        <v>1896.58</v>
      </c>
      <c r="AD111" s="131">
        <v>2272.7399999999998</v>
      </c>
      <c r="AE111" s="131">
        <v>2272.7399999999998</v>
      </c>
      <c r="AF111" s="271">
        <f t="shared" si="23"/>
        <v>2381.9499999999998</v>
      </c>
      <c r="AG111" s="356"/>
      <c r="AH111" s="121"/>
      <c r="DG111" s="1090">
        <f>(DI111+DI112)/(DJ111+DJ112)</f>
        <v>3.1687674818130427</v>
      </c>
      <c r="DH111" s="1369" t="str">
        <f t="shared" si="24"/>
        <v>Cooling RES 6 Year EUL</v>
      </c>
      <c r="DI111" s="1091">
        <f>(INDEX('Avoided Cost Benefits'!$B$4:$B$866,MATCH(DH111,'Avoided Cost Benefits'!$A$4:$A$866,0)))*F111</f>
        <v>2372.0603754211184</v>
      </c>
      <c r="DJ111" s="1176">
        <f t="shared" si="25"/>
        <v>965.14815558634655</v>
      </c>
    </row>
    <row r="112" spans="1:114">
      <c r="A112" s="453"/>
      <c r="B112" s="1454">
        <f t="shared" si="21"/>
        <v>351000</v>
      </c>
      <c r="C112" s="682" t="s">
        <v>1830</v>
      </c>
      <c r="D112" s="1894" t="s">
        <v>1043</v>
      </c>
      <c r="E112" s="1395" t="s">
        <v>1832</v>
      </c>
      <c r="F112" s="131">
        <f>ROUND(((J194*J266*(1/J338-1/J410))/1000)*J554*$J$598,2)</f>
        <v>530.38</v>
      </c>
      <c r="G112" s="266" t="s">
        <v>1786</v>
      </c>
      <c r="H112" s="69">
        <f>VLOOKUP(G112,'CP FACTORS'!$A$3:$B$38, 2, FALSE)</f>
        <v>9.4741810000000004E-4</v>
      </c>
      <c r="I112" s="1473">
        <f t="shared" si="26"/>
        <v>0.50249200000000005</v>
      </c>
      <c r="J112" s="199">
        <f t="shared" si="31"/>
        <v>12</v>
      </c>
      <c r="K112" s="135">
        <f t="shared" si="27"/>
        <v>0</v>
      </c>
      <c r="L112" s="175">
        <f t="shared" si="28"/>
        <v>3.1718995290423861</v>
      </c>
      <c r="T112" s="52"/>
      <c r="U112" s="52"/>
      <c r="V112" s="1378" t="s">
        <v>45</v>
      </c>
      <c r="W112" s="950">
        <v>1331.1035294117648</v>
      </c>
      <c r="X112" s="201">
        <v>585.10045248868789</v>
      </c>
      <c r="Y112" s="678">
        <v>577.54999999999995</v>
      </c>
      <c r="Z112" s="202">
        <v>577.54999999999995</v>
      </c>
      <c r="AA112" s="202">
        <v>577.54999999999995</v>
      </c>
      <c r="AB112" s="659">
        <v>645.84</v>
      </c>
      <c r="AC112" s="826">
        <v>576.42999999999995</v>
      </c>
      <c r="AD112" s="131">
        <v>562.64</v>
      </c>
      <c r="AE112" s="131">
        <v>394.29</v>
      </c>
      <c r="AF112" s="271">
        <f t="shared" si="23"/>
        <v>530.38</v>
      </c>
      <c r="AG112" s="356"/>
      <c r="AH112" s="121"/>
      <c r="DG112" s="1092"/>
      <c r="DH112" s="1370" t="str">
        <f t="shared" si="24"/>
        <v>Cooling RES ER2 12 Year EUL</v>
      </c>
      <c r="DI112" s="1091">
        <f>(INDEX('Avoided Cost Benefits'!$B$4:$B$866,MATCH(DH112,'Avoided Cost Benefits'!$A$4:$A$866,0)))*F112</f>
        <v>686.26971513273145</v>
      </c>
      <c r="DJ112" s="1176">
        <f t="shared" si="25"/>
        <v>0</v>
      </c>
    </row>
    <row r="113" spans="1:114">
      <c r="A113" s="453"/>
      <c r="B113" s="1454">
        <f t="shared" si="21"/>
        <v>351050</v>
      </c>
      <c r="C113" s="682" t="s">
        <v>1833</v>
      </c>
      <c r="D113" s="1894" t="s">
        <v>1043</v>
      </c>
      <c r="E113" s="1394" t="s">
        <v>1834</v>
      </c>
      <c r="F113" s="131">
        <f>ROUND(((J195*J267*(1/J339-1/J411))/1000)*J555*$J$598,2)</f>
        <v>549.48</v>
      </c>
      <c r="G113" s="266" t="s">
        <v>1045</v>
      </c>
      <c r="H113" s="69">
        <f>VLOOKUP(G113,'CP FACTORS'!$A$3:$B$38, 2, FALSE)</f>
        <v>9.4741810000000004E-4</v>
      </c>
      <c r="I113" s="1473">
        <f t="shared" si="26"/>
        <v>0.52058700000000002</v>
      </c>
      <c r="J113" s="199">
        <f t="shared" si="31"/>
        <v>18</v>
      </c>
      <c r="K113" s="206">
        <f t="shared" si="27"/>
        <v>891.20171388754079</v>
      </c>
      <c r="L113" s="175">
        <f t="shared" si="28"/>
        <v>3.3001127819548874</v>
      </c>
      <c r="T113" s="52"/>
      <c r="U113" s="52"/>
      <c r="V113" s="1378" t="s">
        <v>45</v>
      </c>
      <c r="W113" s="950">
        <v>547.35203619909521</v>
      </c>
      <c r="X113" s="201">
        <v>547.35203619909521</v>
      </c>
      <c r="Y113" s="678">
        <v>564.34</v>
      </c>
      <c r="Z113" s="202">
        <v>564.34</v>
      </c>
      <c r="AA113" s="202">
        <v>564.34</v>
      </c>
      <c r="AB113" s="659">
        <v>665.3</v>
      </c>
      <c r="AC113" s="826">
        <v>595.16999999999996</v>
      </c>
      <c r="AD113" s="131">
        <v>559.92999999999995</v>
      </c>
      <c r="AE113" s="131">
        <v>384.26</v>
      </c>
      <c r="AF113" s="271">
        <f t="shared" si="23"/>
        <v>549.48</v>
      </c>
      <c r="AG113" s="356"/>
      <c r="AH113" s="121"/>
      <c r="DG113" s="1090">
        <f>(DI113)/(DJ113)</f>
        <v>1.4117816374996219</v>
      </c>
      <c r="DH113" s="204" t="str">
        <f t="shared" si="24"/>
        <v>Cooling RES 18 Year EUL</v>
      </c>
      <c r="DI113" s="1091">
        <f>(INDEX('Avoided Cost Benefits'!$B$4:$B$866,MATCH(DH113,'Avoided Cost Benefits'!$A$4:$A$866,0)))*F113</f>
        <v>1258.182214974622</v>
      </c>
      <c r="DJ113" s="1176">
        <f t="shared" si="25"/>
        <v>891.20171388754079</v>
      </c>
    </row>
    <row r="114" spans="1:114">
      <c r="A114" s="453"/>
      <c r="B114" s="1454">
        <f t="shared" si="21"/>
        <v>351100</v>
      </c>
      <c r="C114" s="2554" t="s">
        <v>1835</v>
      </c>
      <c r="D114" s="2402" t="s">
        <v>1122</v>
      </c>
      <c r="E114" s="2936" t="s">
        <v>1836</v>
      </c>
      <c r="F114" s="2553">
        <f>ROUND(((J196*J268*(1/J484-1/J412))/1000)*J556*$J$598,2)</f>
        <v>1936.61</v>
      </c>
      <c r="G114" s="3246" t="s">
        <v>1045</v>
      </c>
      <c r="H114" s="2213">
        <f>VLOOKUP(G114,'CP FACTORS'!$A$3:$B$38, 2, FALSE)</f>
        <v>9.4741810000000004E-4</v>
      </c>
      <c r="I114" s="2519">
        <f t="shared" si="26"/>
        <v>1.8347789999999999</v>
      </c>
      <c r="J114" s="3247">
        <f t="shared" si="31"/>
        <v>6</v>
      </c>
      <c r="K114" s="2988">
        <f t="shared" si="27"/>
        <v>965.14815558634655</v>
      </c>
      <c r="L114" s="2573">
        <f t="shared" si="28"/>
        <v>2.4</v>
      </c>
      <c r="T114" s="52"/>
      <c r="U114" s="52"/>
      <c r="V114" s="2425" t="s">
        <v>45</v>
      </c>
      <c r="W114" s="3249">
        <v>1326.4655380200863</v>
      </c>
      <c r="X114" s="3250">
        <v>1979.1918367346937</v>
      </c>
      <c r="Y114" s="3251">
        <v>1276.9000000000001</v>
      </c>
      <c r="Z114" s="2877">
        <v>1276.9000000000001</v>
      </c>
      <c r="AA114" s="2877">
        <v>1276.9000000000001</v>
      </c>
      <c r="AB114" s="3258">
        <v>2200.86</v>
      </c>
      <c r="AC114" s="3252">
        <v>1604.29</v>
      </c>
      <c r="AD114" s="2552">
        <v>2166.1999999999998</v>
      </c>
      <c r="AE114" s="2552">
        <v>1936.61</v>
      </c>
      <c r="AF114" s="2236">
        <f t="shared" si="23"/>
        <v>1936.61</v>
      </c>
      <c r="AG114" s="356"/>
      <c r="AH114" s="121"/>
      <c r="DG114" s="3259">
        <f>(DI114+DI115)/(DJ114+DJ115)</f>
        <v>2.5442419105516176</v>
      </c>
      <c r="DH114" s="2521" t="str">
        <f t="shared" si="24"/>
        <v>Cooling RES 6 Year EUL</v>
      </c>
      <c r="DI114" s="3260">
        <f>(INDEX('Avoided Cost Benefits'!$B$4:$B$866,MATCH(DH114,'Avoided Cost Benefits'!$A$4:$A$866,0)))*F114</f>
        <v>1928.5693837588076</v>
      </c>
      <c r="DJ114" s="2507">
        <f t="shared" si="25"/>
        <v>965.14815558634655</v>
      </c>
    </row>
    <row r="115" spans="1:114">
      <c r="A115" s="453"/>
      <c r="B115" s="1454">
        <f t="shared" si="21"/>
        <v>351100</v>
      </c>
      <c r="C115" s="2554" t="s">
        <v>1835</v>
      </c>
      <c r="D115" s="2402" t="s">
        <v>1122</v>
      </c>
      <c r="E115" s="2939" t="s">
        <v>1837</v>
      </c>
      <c r="F115" s="2552">
        <f>ROUND(((J197*J269*(1/J341-1/J413))/1000)*J557*$J$598,2)</f>
        <v>407.29</v>
      </c>
      <c r="G115" s="3246" t="s">
        <v>1786</v>
      </c>
      <c r="H115" s="2213">
        <f>VLOOKUP(G115,'CP FACTORS'!$A$3:$B$38, 2, FALSE)</f>
        <v>9.4741810000000004E-4</v>
      </c>
      <c r="I115" s="2404">
        <f t="shared" si="26"/>
        <v>0.38587399999999999</v>
      </c>
      <c r="J115" s="3247">
        <f t="shared" si="31"/>
        <v>12</v>
      </c>
      <c r="K115" s="2583">
        <f t="shared" si="27"/>
        <v>0</v>
      </c>
      <c r="L115" s="2573">
        <f t="shared" si="28"/>
        <v>2.4</v>
      </c>
      <c r="T115" s="52"/>
      <c r="U115" s="52"/>
      <c r="V115" s="2425" t="s">
        <v>45</v>
      </c>
      <c r="W115" s="3249">
        <v>865.21729411764716</v>
      </c>
      <c r="X115" s="3250">
        <v>585.10045248868789</v>
      </c>
      <c r="Y115" s="3251">
        <v>377.48</v>
      </c>
      <c r="Z115" s="2877">
        <v>377.48</v>
      </c>
      <c r="AA115" s="2877">
        <v>377.48</v>
      </c>
      <c r="AB115" s="3258">
        <v>475.26</v>
      </c>
      <c r="AC115" s="3252">
        <v>496.97</v>
      </c>
      <c r="AD115" s="2552">
        <v>518.20000000000005</v>
      </c>
      <c r="AE115" s="2552">
        <v>327.41000000000003</v>
      </c>
      <c r="AF115" s="2236">
        <f t="shared" si="23"/>
        <v>407.29</v>
      </c>
      <c r="AG115" s="356"/>
      <c r="AH115" s="121"/>
      <c r="DG115" s="3261"/>
      <c r="DH115" s="2522" t="str">
        <f t="shared" si="24"/>
        <v>Cooling RES ER2 12 Year EUL</v>
      </c>
      <c r="DI115" s="3260">
        <f>(INDEX('Avoided Cost Benefits'!$B$4:$B$866,MATCH(DH115,'Avoided Cost Benefits'!$A$4:$A$866,0)))*F115</f>
        <v>527.0010035755688</v>
      </c>
      <c r="DJ115" s="2507">
        <f t="shared" si="25"/>
        <v>0</v>
      </c>
    </row>
    <row r="116" spans="1:114">
      <c r="A116" s="453"/>
      <c r="B116" s="1454">
        <f t="shared" si="21"/>
        <v>351101</v>
      </c>
      <c r="C116" s="2554" t="s">
        <v>1838</v>
      </c>
      <c r="D116" s="2402" t="s">
        <v>1118</v>
      </c>
      <c r="E116" s="2936" t="s">
        <v>1839</v>
      </c>
      <c r="F116" s="2553">
        <f>ROUND(((J198*J270*(1/J486-1/J414))/1000)*J558*$J$598,2)</f>
        <v>1408.44</v>
      </c>
      <c r="G116" s="3246" t="s">
        <v>1045</v>
      </c>
      <c r="H116" s="2213">
        <f>VLOOKUP(G116,'CP FACTORS'!$A$3:$B$38, 2, FALSE)</f>
        <v>9.4741810000000004E-4</v>
      </c>
      <c r="I116" s="2519">
        <f t="shared" si="26"/>
        <v>1.334382</v>
      </c>
      <c r="J116" s="3247">
        <f t="shared" si="31"/>
        <v>6</v>
      </c>
      <c r="K116" s="2988">
        <f t="shared" si="27"/>
        <v>965.14815558634655</v>
      </c>
      <c r="L116" s="2573">
        <f t="shared" si="28"/>
        <v>2.4</v>
      </c>
      <c r="T116" s="52"/>
      <c r="U116" s="52"/>
      <c r="V116" s="2425" t="s">
        <v>45</v>
      </c>
      <c r="W116" s="3249"/>
      <c r="X116" s="3250"/>
      <c r="Y116" s="3251">
        <v>928.65</v>
      </c>
      <c r="Z116" s="2877">
        <v>928.65</v>
      </c>
      <c r="AA116" s="2877">
        <v>928.65</v>
      </c>
      <c r="AB116" s="3222">
        <v>928.65</v>
      </c>
      <c r="AC116" s="3252">
        <v>1187.46</v>
      </c>
      <c r="AD116" s="2552">
        <v>1575.42</v>
      </c>
      <c r="AE116" s="2552">
        <v>1408.44</v>
      </c>
      <c r="AF116" s="2236">
        <f t="shared" ref="AF116:AF147" si="32">IF(F116&lt;&gt;"",F116,"")</f>
        <v>1408.44</v>
      </c>
      <c r="AG116" s="356"/>
      <c r="AH116" s="121"/>
      <c r="DG116" s="3259">
        <f>(DI116+DI117)/(DJ116+DJ117)</f>
        <v>1.8503527823294905</v>
      </c>
      <c r="DH116" s="2521" t="str">
        <f t="shared" si="24"/>
        <v>Cooling RES 6 Year EUL</v>
      </c>
      <c r="DI116" s="3260">
        <f>(INDEX('Avoided Cost Benefits'!$B$4:$B$866,MATCH(DH116,'Avoided Cost Benefits'!$A$4:$A$866,0)))*F116</f>
        <v>1402.5922941951428</v>
      </c>
      <c r="DJ116" s="2507">
        <f t="shared" ref="DJ116:DJ147" si="33">K116/(1.0686^(2025-2025))</f>
        <v>965.14815558634655</v>
      </c>
    </row>
    <row r="117" spans="1:114">
      <c r="A117" s="453"/>
      <c r="B117" s="1454">
        <f t="shared" si="21"/>
        <v>351101</v>
      </c>
      <c r="C117" s="2554" t="s">
        <v>1838</v>
      </c>
      <c r="D117" s="2402" t="s">
        <v>1118</v>
      </c>
      <c r="E117" s="2939" t="s">
        <v>1840</v>
      </c>
      <c r="F117" s="2552">
        <f>ROUND(((J199*J271*(1/J343-1/J415))/1000)*J559*$J$598,2)</f>
        <v>296.20999999999998</v>
      </c>
      <c r="G117" s="3246" t="s">
        <v>1786</v>
      </c>
      <c r="H117" s="2213">
        <f>VLOOKUP(G117,'CP FACTORS'!$A$3:$B$38, 2, FALSE)</f>
        <v>9.4741810000000004E-4</v>
      </c>
      <c r="I117" s="2404">
        <f t="shared" si="26"/>
        <v>0.28063500000000002</v>
      </c>
      <c r="J117" s="3247">
        <f t="shared" si="31"/>
        <v>12</v>
      </c>
      <c r="K117" s="2583">
        <f t="shared" si="27"/>
        <v>0</v>
      </c>
      <c r="L117" s="2573">
        <f t="shared" si="28"/>
        <v>2.4</v>
      </c>
      <c r="T117" s="52"/>
      <c r="U117" s="52"/>
      <c r="V117" s="2425" t="s">
        <v>45</v>
      </c>
      <c r="W117" s="3249"/>
      <c r="X117" s="3250"/>
      <c r="Y117" s="3251">
        <v>274.52999999999997</v>
      </c>
      <c r="Z117" s="2877">
        <v>274.52999999999997</v>
      </c>
      <c r="AA117" s="2877">
        <v>274.52999999999997</v>
      </c>
      <c r="AB117" s="3222">
        <v>274.52999999999997</v>
      </c>
      <c r="AC117" s="3252">
        <v>351.04</v>
      </c>
      <c r="AD117" s="2552">
        <v>376.87</v>
      </c>
      <c r="AE117" s="2552">
        <v>238.11</v>
      </c>
      <c r="AF117" s="2236">
        <f t="shared" si="32"/>
        <v>296.20999999999998</v>
      </c>
      <c r="AG117" s="356"/>
      <c r="AH117" s="121"/>
      <c r="DG117" s="3261"/>
      <c r="DH117" s="2522" t="str">
        <f t="shared" si="24"/>
        <v>Cooling RES ER2 12 Year EUL</v>
      </c>
      <c r="DI117" s="3260">
        <f>(INDEX('Avoided Cost Benefits'!$B$4:$B$866,MATCH(DH117,'Avoided Cost Benefits'!$A$4:$A$866,0)))*F117</f>
        <v>383.27228085422973</v>
      </c>
      <c r="DJ117" s="2507">
        <f t="shared" si="33"/>
        <v>0</v>
      </c>
    </row>
    <row r="118" spans="1:114">
      <c r="A118" s="453"/>
      <c r="B118" s="1454">
        <f t="shared" si="21"/>
        <v>351150</v>
      </c>
      <c r="C118" s="2554" t="s">
        <v>1841</v>
      </c>
      <c r="D118" s="2402" t="s">
        <v>1122</v>
      </c>
      <c r="E118" s="2936" t="s">
        <v>1842</v>
      </c>
      <c r="F118" s="2552">
        <f>ROUND(((J200*J272*(1/J344-1/J416))/1000)*J560*$J$598,2)</f>
        <v>452.29</v>
      </c>
      <c r="G118" s="3246" t="s">
        <v>1045</v>
      </c>
      <c r="H118" s="2213">
        <f>VLOOKUP(G118,'CP FACTORS'!$A$3:$B$38, 2, FALSE)</f>
        <v>9.4741810000000004E-4</v>
      </c>
      <c r="I118" s="2404">
        <f t="shared" si="26"/>
        <v>0.428508</v>
      </c>
      <c r="J118" s="3247">
        <f t="shared" si="31"/>
        <v>18</v>
      </c>
      <c r="K118" s="2988">
        <f t="shared" si="27"/>
        <v>891.20171388754079</v>
      </c>
      <c r="L118" s="2573">
        <f t="shared" si="28"/>
        <v>2.75</v>
      </c>
      <c r="T118" s="52"/>
      <c r="U118" s="52"/>
      <c r="V118" s="2425" t="s">
        <v>45</v>
      </c>
      <c r="W118" s="3249">
        <v>355.77882352941191</v>
      </c>
      <c r="X118" s="3250">
        <v>547.35203619909521</v>
      </c>
      <c r="Y118" s="3251">
        <v>377.48</v>
      </c>
      <c r="Z118" s="2877">
        <v>377.48</v>
      </c>
      <c r="AA118" s="2877">
        <v>377.48</v>
      </c>
      <c r="AB118" s="3258">
        <v>754.97</v>
      </c>
      <c r="AC118" s="3252">
        <v>518</v>
      </c>
      <c r="AD118" s="2553">
        <v>518</v>
      </c>
      <c r="AE118" s="2552">
        <v>360.75</v>
      </c>
      <c r="AF118" s="2236">
        <f t="shared" si="32"/>
        <v>452.29</v>
      </c>
      <c r="AG118" s="356"/>
      <c r="AH118" s="121"/>
      <c r="DG118" s="3259">
        <f>(DI118)/(DJ118)</f>
        <v>1.1620708976208487</v>
      </c>
      <c r="DH118" s="3255" t="str">
        <f t="shared" si="24"/>
        <v>Cooling RES 18 Year EUL</v>
      </c>
      <c r="DI118" s="3260">
        <f>(INDEX('Avoided Cost Benefits'!$B$4:$B$866,MATCH(DH118,'Avoided Cost Benefits'!$A$4:$A$866,0)))*F118</f>
        <v>1035.6395756185334</v>
      </c>
      <c r="DJ118" s="2507">
        <f t="shared" si="33"/>
        <v>891.20171388754079</v>
      </c>
    </row>
    <row r="119" spans="1:114">
      <c r="A119" s="453"/>
      <c r="B119" s="1454">
        <f t="shared" si="21"/>
        <v>351151</v>
      </c>
      <c r="C119" s="2554" t="s">
        <v>1843</v>
      </c>
      <c r="D119" s="2402" t="s">
        <v>1118</v>
      </c>
      <c r="E119" s="2936" t="s">
        <v>1844</v>
      </c>
      <c r="F119" s="2552">
        <f>ROUND(((J201*J273*(1/J345-1/J417))/1000)*J561*$J$598,2)</f>
        <v>328.94</v>
      </c>
      <c r="G119" s="3246" t="s">
        <v>1045</v>
      </c>
      <c r="H119" s="2213">
        <f>VLOOKUP(G119,'CP FACTORS'!$A$3:$B$38, 2, FALSE)</f>
        <v>9.4741810000000004E-4</v>
      </c>
      <c r="I119" s="2404">
        <f t="shared" si="26"/>
        <v>0.31164399999999998</v>
      </c>
      <c r="J119" s="3247">
        <f t="shared" si="31"/>
        <v>18</v>
      </c>
      <c r="K119" s="2988">
        <f t="shared" si="27"/>
        <v>891.20171388754079</v>
      </c>
      <c r="L119" s="2573">
        <f t="shared" si="28"/>
        <v>2.75</v>
      </c>
      <c r="T119" s="52"/>
      <c r="U119" s="52"/>
      <c r="V119" s="2425" t="s">
        <v>45</v>
      </c>
      <c r="W119" s="3249"/>
      <c r="X119" s="3250"/>
      <c r="Y119" s="3251">
        <v>274.52999999999997</v>
      </c>
      <c r="Z119" s="2877">
        <v>274.52999999999997</v>
      </c>
      <c r="AA119" s="2877">
        <v>274.52999999999997</v>
      </c>
      <c r="AB119" s="3222">
        <v>274.52999999999997</v>
      </c>
      <c r="AC119" s="3252">
        <v>376.73</v>
      </c>
      <c r="AD119" s="2553">
        <v>376.73</v>
      </c>
      <c r="AE119" s="2552">
        <v>262.36</v>
      </c>
      <c r="AF119" s="2236">
        <f t="shared" si="32"/>
        <v>328.94</v>
      </c>
      <c r="AG119" s="356"/>
      <c r="AH119" s="121"/>
      <c r="DG119" s="3086">
        <f>(DI119)/(DJ119)</f>
        <v>0.84514714246037292</v>
      </c>
      <c r="DH119" s="3255" t="str">
        <f t="shared" si="24"/>
        <v>Cooling RES 18 Year EUL</v>
      </c>
      <c r="DI119" s="3254">
        <f>(INDEX('Avoided Cost Benefits'!$B$4:$B$866,MATCH(DH119,'Avoided Cost Benefits'!$A$4:$A$866,0)))*F119</f>
        <v>753.19658184784191</v>
      </c>
      <c r="DJ119" s="2484">
        <f t="shared" si="33"/>
        <v>891.20171388754079</v>
      </c>
    </row>
    <row r="120" spans="1:114">
      <c r="A120" s="453"/>
      <c r="B120" s="1454">
        <f t="shared" si="21"/>
        <v>351160</v>
      </c>
      <c r="C120" s="682" t="s">
        <v>1845</v>
      </c>
      <c r="D120" s="1894" t="s">
        <v>1043</v>
      </c>
      <c r="E120" s="1394" t="s">
        <v>1846</v>
      </c>
      <c r="F120" s="723">
        <f>ROUND(((J202*J274*(1/J490-1/J418))/1000)*J562*$J$598,2)</f>
        <v>2517.94</v>
      </c>
      <c r="G120" s="266" t="s">
        <v>1045</v>
      </c>
      <c r="H120" s="69">
        <f>VLOOKUP(G120,'CP FACTORS'!$A$3:$B$38, 2, FALSE)</f>
        <v>9.4741810000000004E-4</v>
      </c>
      <c r="I120" s="554">
        <f>ROUND(F120*H120,6)</f>
        <v>2.3855420000000001</v>
      </c>
      <c r="J120" s="199">
        <f t="shared" si="31"/>
        <v>6</v>
      </c>
      <c r="K120" s="206">
        <f t="shared" si="27"/>
        <v>994.85487938259848</v>
      </c>
      <c r="L120" s="21">
        <f t="shared" si="28"/>
        <v>3.3330761421319792</v>
      </c>
      <c r="T120" s="52"/>
      <c r="U120" s="52"/>
      <c r="V120" s="1378" t="s">
        <v>45</v>
      </c>
      <c r="W120" s="950"/>
      <c r="X120" s="201"/>
      <c r="Y120" s="678"/>
      <c r="Z120" s="678">
        <v>2017.58</v>
      </c>
      <c r="AA120" s="202">
        <v>2017.58</v>
      </c>
      <c r="AB120" s="948">
        <v>2017.58</v>
      </c>
      <c r="AC120" s="826">
        <v>2213.29</v>
      </c>
      <c r="AD120" s="131">
        <v>2517.94</v>
      </c>
      <c r="AE120" s="723">
        <v>2517.94</v>
      </c>
      <c r="AF120" s="271">
        <f t="shared" si="32"/>
        <v>2517.94</v>
      </c>
      <c r="AG120" s="356"/>
      <c r="AH120" s="121"/>
      <c r="DG120" s="992">
        <f>(DI120+DI121)/(DJ120+DJ121)</f>
        <v>3.3816804496492248</v>
      </c>
      <c r="DH120" s="1369" t="str">
        <f t="shared" ref="DH120:DH155" si="34">CONCATENATE(G120," ",J120," Year EUL")</f>
        <v>Cooling RES 6 Year EUL</v>
      </c>
      <c r="DI120" s="1087">
        <f>(INDEX('Avoided Cost Benefits'!$B$4:$B$866,MATCH(DH120,'Avoided Cost Benefits'!$A$4:$A$866,0)))*F120</f>
        <v>2507.4857581762217</v>
      </c>
      <c r="DJ120" s="1174">
        <f t="shared" si="33"/>
        <v>994.85487938259848</v>
      </c>
    </row>
    <row r="121" spans="1:114">
      <c r="A121" s="453"/>
      <c r="B121" s="1454">
        <f t="shared" si="21"/>
        <v>351160</v>
      </c>
      <c r="C121" s="682" t="s">
        <v>1845</v>
      </c>
      <c r="D121" s="1894" t="s">
        <v>1043</v>
      </c>
      <c r="E121" s="1395" t="s">
        <v>1847</v>
      </c>
      <c r="F121" s="131">
        <f>ROUND(((J203*J275*(1/J347-1/J419))/1000)*J563*$J$598,2)</f>
        <v>662.17</v>
      </c>
      <c r="G121" s="266" t="s">
        <v>1786</v>
      </c>
      <c r="H121" s="69">
        <f>VLOOKUP(G121,'CP FACTORS'!$A$3:$B$38, 2, FALSE)</f>
        <v>9.4741810000000004E-4</v>
      </c>
      <c r="I121" s="1473">
        <f t="shared" ref="I121:I155" si="35">ROUND(F121*H121,6)</f>
        <v>0.62735200000000002</v>
      </c>
      <c r="J121" s="199">
        <f t="shared" si="31"/>
        <v>12</v>
      </c>
      <c r="K121" s="135">
        <f t="shared" si="27"/>
        <v>0</v>
      </c>
      <c r="L121" s="21">
        <f t="shared" si="28"/>
        <v>3.3330761421319792</v>
      </c>
      <c r="T121" s="52"/>
      <c r="U121" s="52"/>
      <c r="V121" s="1378" t="s">
        <v>45</v>
      </c>
      <c r="W121" s="950"/>
      <c r="X121" s="201"/>
      <c r="Y121" s="678"/>
      <c r="Z121" s="678">
        <v>668.46</v>
      </c>
      <c r="AA121" s="202">
        <v>668.46</v>
      </c>
      <c r="AB121" s="948">
        <v>668.46</v>
      </c>
      <c r="AC121" s="826">
        <v>720.84</v>
      </c>
      <c r="AD121" s="131">
        <v>741.82</v>
      </c>
      <c r="AE121" s="131">
        <v>551.22</v>
      </c>
      <c r="AF121" s="271">
        <f t="shared" si="32"/>
        <v>662.17</v>
      </c>
      <c r="AG121" s="356"/>
      <c r="AH121" s="121"/>
      <c r="DG121" s="1092"/>
      <c r="DH121" s="1370" t="str">
        <f t="shared" si="34"/>
        <v>Cooling RES ER2 12 Year EUL</v>
      </c>
      <c r="DI121" s="1091">
        <f>(INDEX('Avoided Cost Benefits'!$B$4:$B$866,MATCH(DH121,'Avoided Cost Benefits'!$A$4:$A$866,0)))*F121</f>
        <v>856.79553767004927</v>
      </c>
      <c r="DJ121" s="1176">
        <f t="shared" si="33"/>
        <v>0</v>
      </c>
    </row>
    <row r="122" spans="1:114">
      <c r="A122" s="453"/>
      <c r="B122" s="1454">
        <f t="shared" si="21"/>
        <v>351161</v>
      </c>
      <c r="C122" s="682" t="s">
        <v>1848</v>
      </c>
      <c r="D122" s="1894" t="s">
        <v>1043</v>
      </c>
      <c r="E122" s="1394" t="s">
        <v>1849</v>
      </c>
      <c r="F122" s="131">
        <f>ROUND(((J204*J276*(1/J348-1/J420))/1000)*J564*$J$598,2)</f>
        <v>660.62</v>
      </c>
      <c r="G122" s="266" t="s">
        <v>1045</v>
      </c>
      <c r="H122" s="69">
        <f>VLOOKUP(G122,'CP FACTORS'!$A$3:$B$38, 2, FALSE)</f>
        <v>9.4741810000000004E-4</v>
      </c>
      <c r="I122" s="1473">
        <f t="shared" si="35"/>
        <v>0.62588299999999997</v>
      </c>
      <c r="J122" s="199">
        <f t="shared" si="31"/>
        <v>18</v>
      </c>
      <c r="K122" s="206">
        <f t="shared" si="27"/>
        <v>920.90843768379273</v>
      </c>
      <c r="L122" s="175">
        <f t="shared" si="28"/>
        <v>3.3284552845487805</v>
      </c>
      <c r="T122" s="52"/>
      <c r="U122" s="52"/>
      <c r="V122" s="1378" t="s">
        <v>45</v>
      </c>
      <c r="W122" s="950"/>
      <c r="X122" s="201"/>
      <c r="Y122" s="678"/>
      <c r="Z122" s="678">
        <v>668.46</v>
      </c>
      <c r="AA122" s="202">
        <v>668.46</v>
      </c>
      <c r="AB122" s="948">
        <v>668.46</v>
      </c>
      <c r="AC122" s="826">
        <v>706.92</v>
      </c>
      <c r="AD122" s="131">
        <v>755.44</v>
      </c>
      <c r="AE122" s="131">
        <v>561.19000000000005</v>
      </c>
      <c r="AF122" s="271">
        <f t="shared" si="32"/>
        <v>660.62</v>
      </c>
      <c r="AG122" s="356"/>
      <c r="AH122" s="121"/>
      <c r="DG122" s="1090">
        <f>IFERROR((DI122)/(DJ122),"")</f>
        <v>1.6425814647602304</v>
      </c>
      <c r="DH122" s="204" t="str">
        <f t="shared" si="34"/>
        <v>Cooling RES 18 Year EUL</v>
      </c>
      <c r="DI122" s="1091">
        <f>(INDEX('Avoided Cost Benefits'!$B$4:$B$866,MATCH(DH122,'Avoided Cost Benefits'!$A$4:$A$866,0)))*F122</f>
        <v>1512.6671304806996</v>
      </c>
      <c r="DJ122" s="1176">
        <f t="shared" si="33"/>
        <v>920.90843768379273</v>
      </c>
    </row>
    <row r="123" spans="1:114">
      <c r="A123" s="453"/>
      <c r="B123" s="1454">
        <f t="shared" si="21"/>
        <v>351162</v>
      </c>
      <c r="C123" s="2554" t="s">
        <v>1850</v>
      </c>
      <c r="D123" s="2402" t="s">
        <v>1122</v>
      </c>
      <c r="E123" s="2936" t="s">
        <v>1851</v>
      </c>
      <c r="F123" s="2553">
        <f>ROUND(((J205*J277*(1/J493-1/J421))/1000)*J565*$J$598,2)</f>
        <v>2128.65</v>
      </c>
      <c r="G123" s="3246" t="s">
        <v>1045</v>
      </c>
      <c r="H123" s="2213">
        <f>VLOOKUP(G123,'CP FACTORS'!$A$3:$B$38, 2, FALSE)</f>
        <v>9.4741810000000004E-4</v>
      </c>
      <c r="I123" s="2519">
        <f t="shared" si="35"/>
        <v>2.0167220000000001</v>
      </c>
      <c r="J123" s="3247">
        <f>J638</f>
        <v>6</v>
      </c>
      <c r="K123" s="2988">
        <f t="shared" si="27"/>
        <v>994.85487938259848</v>
      </c>
      <c r="L123" s="2573">
        <f t="shared" si="28"/>
        <v>2.5</v>
      </c>
      <c r="N123" s="561"/>
      <c r="T123" s="52"/>
      <c r="U123" s="52"/>
      <c r="V123" s="2425" t="s">
        <v>45</v>
      </c>
      <c r="W123" s="3249"/>
      <c r="X123" s="3250"/>
      <c r="Y123" s="3251"/>
      <c r="Z123" s="3251">
        <v>1345.05</v>
      </c>
      <c r="AA123" s="2877">
        <v>1345.05</v>
      </c>
      <c r="AB123" s="3222">
        <v>1345.05</v>
      </c>
      <c r="AC123" s="3252">
        <v>2910.14</v>
      </c>
      <c r="AD123" s="2552">
        <v>2128.65</v>
      </c>
      <c r="AE123" s="2553">
        <v>2128.65</v>
      </c>
      <c r="AF123" s="2236">
        <f t="shared" si="32"/>
        <v>2128.65</v>
      </c>
      <c r="AG123" s="2413"/>
      <c r="AH123" s="121"/>
      <c r="DG123" s="3259">
        <f>(DI123+DI124)/(DJ123+DJ124)</f>
        <v>2.7761261190018329</v>
      </c>
      <c r="DH123" s="2521" t="str">
        <f t="shared" si="34"/>
        <v>Cooling RES 6 Year EUL</v>
      </c>
      <c r="DI123" s="3260">
        <f>(INDEX('Avoided Cost Benefits'!$B$4:$B$866,MATCH(DH123,'Avoided Cost Benefits'!$A$4:$A$866,0)))*F123</f>
        <v>2119.8120523689263</v>
      </c>
      <c r="DJ123" s="2507">
        <f t="shared" si="33"/>
        <v>994.85487938259848</v>
      </c>
    </row>
    <row r="124" spans="1:114">
      <c r="A124" s="453"/>
      <c r="B124" s="1454">
        <f t="shared" si="21"/>
        <v>351162</v>
      </c>
      <c r="C124" s="2554" t="s">
        <v>1850</v>
      </c>
      <c r="D124" s="2402" t="s">
        <v>1122</v>
      </c>
      <c r="E124" s="2939" t="s">
        <v>1852</v>
      </c>
      <c r="F124" s="2552">
        <f>ROUND(((J206*J278*(1/J350-1/J422))/1000)*J566*$J$598,2)</f>
        <v>496.19</v>
      </c>
      <c r="G124" s="3246" t="s">
        <v>1786</v>
      </c>
      <c r="H124" s="2213">
        <f>VLOOKUP(G124,'CP FACTORS'!$A$3:$B$38, 2, FALSE)</f>
        <v>9.4741810000000004E-4</v>
      </c>
      <c r="I124" s="2404">
        <f t="shared" si="35"/>
        <v>0.47009899999999999</v>
      </c>
      <c r="J124" s="3247">
        <f>J639</f>
        <v>12</v>
      </c>
      <c r="K124" s="2583">
        <f>J711</f>
        <v>0</v>
      </c>
      <c r="L124" s="2573">
        <f t="shared" si="28"/>
        <v>2.5</v>
      </c>
      <c r="N124" s="561"/>
      <c r="T124" s="52"/>
      <c r="U124" s="52"/>
      <c r="V124" s="2425" t="s">
        <v>45</v>
      </c>
      <c r="W124" s="3249"/>
      <c r="X124" s="3250"/>
      <c r="Y124" s="3251"/>
      <c r="Z124" s="3251">
        <v>445.64</v>
      </c>
      <c r="AA124" s="2877">
        <v>445.64</v>
      </c>
      <c r="AB124" s="3222">
        <v>445.64</v>
      </c>
      <c r="AC124" s="3252">
        <v>667.12</v>
      </c>
      <c r="AD124" s="2552">
        <v>555.94000000000005</v>
      </c>
      <c r="AE124" s="2552">
        <v>412.98</v>
      </c>
      <c r="AF124" s="2236">
        <f t="shared" si="32"/>
        <v>496.19</v>
      </c>
      <c r="AG124" s="2413"/>
      <c r="AH124" s="121"/>
      <c r="DG124" s="3261"/>
      <c r="DH124" s="2522" t="str">
        <f t="shared" si="34"/>
        <v>Cooling RES ER2 12 Year EUL</v>
      </c>
      <c r="DI124" s="3260">
        <f>(INDEX('Avoided Cost Benefits'!$B$4:$B$866,MATCH(DH124,'Avoided Cost Benefits'!$A$4:$A$866,0)))*F124</f>
        <v>642.03056290152347</v>
      </c>
      <c r="DJ124" s="2507">
        <f t="shared" si="33"/>
        <v>0</v>
      </c>
    </row>
    <row r="125" spans="1:114">
      <c r="A125" s="453"/>
      <c r="B125" s="1454">
        <f t="shared" si="21"/>
        <v>351163</v>
      </c>
      <c r="C125" s="2554" t="s">
        <v>1853</v>
      </c>
      <c r="D125" s="2402" t="s">
        <v>1118</v>
      </c>
      <c r="E125" s="2936" t="s">
        <v>1854</v>
      </c>
      <c r="F125" s="2553">
        <f>ROUND(((J207*J279*(1/J495-1/J423))/1000)*J567*$J$598,2)</f>
        <v>1220.33</v>
      </c>
      <c r="G125" s="3246" t="s">
        <v>1045</v>
      </c>
      <c r="H125" s="2213">
        <f>VLOOKUP(G125,'CP FACTORS'!$A$3:$B$38, 2, FALSE)</f>
        <v>9.4741810000000004E-4</v>
      </c>
      <c r="I125" s="2519">
        <f t="shared" si="35"/>
        <v>1.1561630000000001</v>
      </c>
      <c r="J125" s="3247">
        <f>J640</f>
        <v>6</v>
      </c>
      <c r="K125" s="2988">
        <f t="shared" si="27"/>
        <v>994.85487938259848</v>
      </c>
      <c r="L125" s="2573">
        <f t="shared" si="28"/>
        <v>2.5</v>
      </c>
      <c r="N125" s="561"/>
      <c r="T125" s="52"/>
      <c r="U125" s="52"/>
      <c r="V125" s="2425" t="s">
        <v>45</v>
      </c>
      <c r="W125" s="3249"/>
      <c r="X125" s="3250"/>
      <c r="Y125" s="3251"/>
      <c r="Z125" s="3251">
        <v>978.22</v>
      </c>
      <c r="AA125" s="2877">
        <v>978.22</v>
      </c>
      <c r="AB125" s="3222">
        <v>978.22</v>
      </c>
      <c r="AC125" s="3252">
        <v>1464.4</v>
      </c>
      <c r="AD125" s="2552">
        <v>1220.33</v>
      </c>
      <c r="AE125" s="2553">
        <v>1220.33</v>
      </c>
      <c r="AF125" s="2236">
        <f t="shared" si="32"/>
        <v>1220.33</v>
      </c>
      <c r="AG125" s="2413"/>
      <c r="AH125" s="121"/>
      <c r="DG125" s="3259">
        <f>(DI125+DI126)/(DJ125+DJ126)</f>
        <v>1.6909003950239456</v>
      </c>
      <c r="DH125" s="2521" t="str">
        <f t="shared" si="34"/>
        <v>Cooling RES 6 Year EUL</v>
      </c>
      <c r="DI125" s="3260">
        <f>(INDEX('Avoided Cost Benefits'!$B$4:$B$866,MATCH(DH125,'Avoided Cost Benefits'!$A$4:$A$866,0)))*F125</f>
        <v>1215.263308607508</v>
      </c>
      <c r="DJ125" s="2507">
        <f t="shared" si="33"/>
        <v>994.85487938259848</v>
      </c>
    </row>
    <row r="126" spans="1:114">
      <c r="A126" s="453"/>
      <c r="B126" s="1454">
        <f t="shared" si="21"/>
        <v>351163</v>
      </c>
      <c r="C126" s="2554" t="s">
        <v>1853</v>
      </c>
      <c r="D126" s="2402" t="s">
        <v>1118</v>
      </c>
      <c r="E126" s="2939" t="s">
        <v>1855</v>
      </c>
      <c r="F126" s="2552">
        <f>ROUND(((J208*J280*(1/J352-1/J424))/1000)*J568*$J$598,2)</f>
        <v>360.87</v>
      </c>
      <c r="G126" s="3246" t="s">
        <v>1786</v>
      </c>
      <c r="H126" s="2213">
        <f>VLOOKUP(G126,'CP FACTORS'!$A$3:$B$38, 2, FALSE)</f>
        <v>9.4741810000000004E-4</v>
      </c>
      <c r="I126" s="2404">
        <f t="shared" si="35"/>
        <v>0.341895</v>
      </c>
      <c r="J126" s="3247">
        <f>J641</f>
        <v>12</v>
      </c>
      <c r="K126" s="2583">
        <f t="shared" si="27"/>
        <v>0</v>
      </c>
      <c r="L126" s="2573">
        <f t="shared" si="28"/>
        <v>2.5</v>
      </c>
      <c r="N126" s="561"/>
      <c r="T126" s="52"/>
      <c r="U126" s="52"/>
      <c r="V126" s="2425" t="s">
        <v>45</v>
      </c>
      <c r="W126" s="3249"/>
      <c r="X126" s="3250"/>
      <c r="Y126" s="3251"/>
      <c r="Z126" s="3251">
        <v>324.10000000000002</v>
      </c>
      <c r="AA126" s="2877">
        <v>324.10000000000002</v>
      </c>
      <c r="AB126" s="3222">
        <v>324.10000000000002</v>
      </c>
      <c r="AC126" s="3252">
        <v>485.18</v>
      </c>
      <c r="AD126" s="2552">
        <v>404.32</v>
      </c>
      <c r="AE126" s="2552">
        <v>300.35000000000002</v>
      </c>
      <c r="AF126" s="2236">
        <f t="shared" si="32"/>
        <v>360.87</v>
      </c>
      <c r="AG126" s="2413"/>
      <c r="AH126" s="121"/>
      <c r="DG126" s="3261"/>
      <c r="DH126" s="2522" t="str">
        <f t="shared" si="34"/>
        <v>Cooling RES ER2 12 Year EUL</v>
      </c>
      <c r="DI126" s="3260">
        <f>(INDEX('Avoided Cost Benefits'!$B$4:$B$866,MATCH(DH126,'Avoided Cost Benefits'!$A$4:$A$866,0)))*F126</f>
        <v>466.93719993202757</v>
      </c>
      <c r="DJ126" s="2507">
        <f t="shared" si="33"/>
        <v>0</v>
      </c>
    </row>
    <row r="127" spans="1:114">
      <c r="A127" s="453"/>
      <c r="B127" s="1454">
        <f t="shared" si="21"/>
        <v>351164</v>
      </c>
      <c r="C127" s="2554" t="s">
        <v>1856</v>
      </c>
      <c r="D127" s="2402" t="s">
        <v>1122</v>
      </c>
      <c r="E127" s="2936" t="s">
        <v>1857</v>
      </c>
      <c r="F127" s="2552">
        <f>ROUND(((J209*J281*(1/J353-1/J425))/1000)*J569*$J$598,2)</f>
        <v>396.96</v>
      </c>
      <c r="G127" s="3246" t="s">
        <v>1045</v>
      </c>
      <c r="H127" s="2213">
        <f>VLOOKUP(G127,'CP FACTORS'!$A$3:$B$38, 2, FALSE)</f>
        <v>9.4741810000000004E-4</v>
      </c>
      <c r="I127" s="2404">
        <f t="shared" si="35"/>
        <v>0.376087</v>
      </c>
      <c r="J127" s="3248">
        <v>18</v>
      </c>
      <c r="K127" s="2988">
        <f t="shared" si="27"/>
        <v>920.90843768379273</v>
      </c>
      <c r="L127" s="2573">
        <f t="shared" si="28"/>
        <v>2</v>
      </c>
      <c r="N127" s="561"/>
      <c r="T127" s="52"/>
      <c r="U127" s="52"/>
      <c r="V127" s="2425" t="s">
        <v>45</v>
      </c>
      <c r="W127" s="3249"/>
      <c r="X127" s="3250"/>
      <c r="Y127" s="3251"/>
      <c r="Z127" s="3251">
        <v>445.64</v>
      </c>
      <c r="AA127" s="2877">
        <v>445.64</v>
      </c>
      <c r="AB127" s="3222">
        <v>445.64</v>
      </c>
      <c r="AC127" s="3252">
        <v>444.75</v>
      </c>
      <c r="AD127" s="2553">
        <v>444.75</v>
      </c>
      <c r="AE127" s="2552">
        <v>330.39</v>
      </c>
      <c r="AF127" s="2236">
        <f t="shared" si="32"/>
        <v>396.96</v>
      </c>
      <c r="AG127" s="2413"/>
      <c r="AH127" s="121"/>
      <c r="DG127" s="3259">
        <f>IFERROR((DI127)/(DJ127),"")</f>
        <v>0.98701089620541449</v>
      </c>
      <c r="DH127" s="3255" t="str">
        <f t="shared" si="34"/>
        <v>Cooling RES 18 Year EUL</v>
      </c>
      <c r="DI127" s="3260">
        <f>(INDEX('Avoided Cost Benefits'!$B$4:$B$866,MATCH(DH127,'Avoided Cost Benefits'!$A$4:$A$866,0)))*F127</f>
        <v>908.94666240140839</v>
      </c>
      <c r="DJ127" s="2507">
        <f t="shared" si="33"/>
        <v>920.90843768379273</v>
      </c>
    </row>
    <row r="128" spans="1:114">
      <c r="A128" s="453"/>
      <c r="B128" s="1454">
        <f t="shared" si="21"/>
        <v>351165</v>
      </c>
      <c r="C128" s="2554" t="s">
        <v>1858</v>
      </c>
      <c r="D128" s="2402" t="s">
        <v>1118</v>
      </c>
      <c r="E128" s="2936" t="s">
        <v>1859</v>
      </c>
      <c r="F128" s="2552">
        <f>ROUND(((J210*J282*(1/J354-1/J426))/1000)*J570*$J$598,2)</f>
        <v>288.7</v>
      </c>
      <c r="G128" s="3246" t="s">
        <v>1045</v>
      </c>
      <c r="H128" s="2213">
        <f>VLOOKUP(G128,'CP FACTORS'!$A$3:$B$38, 2, FALSE)</f>
        <v>9.4741810000000004E-4</v>
      </c>
      <c r="I128" s="2404">
        <f t="shared" si="35"/>
        <v>0.27351999999999999</v>
      </c>
      <c r="J128" s="3248">
        <v>18</v>
      </c>
      <c r="K128" s="2988">
        <f t="shared" si="27"/>
        <v>920.90843768379273</v>
      </c>
      <c r="L128" s="2573">
        <f t="shared" si="28"/>
        <v>2</v>
      </c>
      <c r="N128" s="561"/>
      <c r="T128" s="52"/>
      <c r="U128" s="52"/>
      <c r="V128" s="2425" t="s">
        <v>45</v>
      </c>
      <c r="W128" s="3249"/>
      <c r="X128" s="3250"/>
      <c r="Y128" s="3251"/>
      <c r="Z128" s="3251">
        <v>324.10000000000002</v>
      </c>
      <c r="AA128" s="2877">
        <v>324.10000000000002</v>
      </c>
      <c r="AB128" s="3222">
        <v>324.10000000000002</v>
      </c>
      <c r="AC128" s="3252">
        <v>323.45</v>
      </c>
      <c r="AD128" s="2553">
        <v>323.45</v>
      </c>
      <c r="AE128" s="2552">
        <v>240.28</v>
      </c>
      <c r="AF128" s="2236">
        <f t="shared" si="32"/>
        <v>288.7</v>
      </c>
      <c r="AG128" s="2413"/>
      <c r="AH128" s="121"/>
      <c r="DG128" s="3259">
        <f>IFERROR((DI128)/(DJ128),"")</f>
        <v>0.71783062710223489</v>
      </c>
      <c r="DH128" s="3255" t="str">
        <f t="shared" si="34"/>
        <v>Cooling RES 18 Year EUL</v>
      </c>
      <c r="DI128" s="3260">
        <f>(INDEX('Avoided Cost Benefits'!$B$4:$B$866,MATCH(DH128,'Avoided Cost Benefits'!$A$4:$A$866,0)))*F128</f>
        <v>661.05628132629636</v>
      </c>
      <c r="DJ128" s="2507">
        <f t="shared" si="33"/>
        <v>920.90843768379273</v>
      </c>
    </row>
    <row r="129" spans="1:114">
      <c r="A129" s="453"/>
      <c r="B129" s="1454">
        <f t="shared" si="21"/>
        <v>351170</v>
      </c>
      <c r="C129" s="682" t="s">
        <v>1860</v>
      </c>
      <c r="D129" s="1894" t="s">
        <v>1043</v>
      </c>
      <c r="E129" s="1394" t="s">
        <v>1861</v>
      </c>
      <c r="F129" s="723">
        <f>ROUND(((J211*J283*(1/J499-1/J427))/1000)*J571*$J$598,2)</f>
        <v>3468.74</v>
      </c>
      <c r="G129" s="266" t="s">
        <v>1045</v>
      </c>
      <c r="H129" s="69">
        <f>VLOOKUP(G129,'CP FACTORS'!$A$3:$B$38, 2, FALSE)</f>
        <v>9.4741810000000004E-4</v>
      </c>
      <c r="I129" s="554">
        <f t="shared" si="35"/>
        <v>3.2863470000000001</v>
      </c>
      <c r="J129" s="199">
        <f t="shared" ref="J129:J136" si="36">J644</f>
        <v>6</v>
      </c>
      <c r="K129" s="206">
        <f t="shared" si="27"/>
        <v>994.85487938259848</v>
      </c>
      <c r="L129" s="21">
        <f t="shared" si="28"/>
        <v>4.3031428571428565</v>
      </c>
      <c r="N129" s="561"/>
      <c r="T129" s="52"/>
      <c r="U129" s="52"/>
      <c r="V129" s="1378" t="s">
        <v>45</v>
      </c>
      <c r="W129" s="950"/>
      <c r="X129" s="201"/>
      <c r="Y129" s="678"/>
      <c r="Z129" s="678">
        <v>2109.06</v>
      </c>
      <c r="AA129" s="202">
        <v>2109.06</v>
      </c>
      <c r="AB129" s="948">
        <v>2109.06</v>
      </c>
      <c r="AC129" s="826">
        <v>3099.52</v>
      </c>
      <c r="AD129" s="131">
        <v>3353.86</v>
      </c>
      <c r="AE129" s="131">
        <v>3468.74</v>
      </c>
      <c r="AF129" s="271">
        <f t="shared" si="32"/>
        <v>3468.74</v>
      </c>
      <c r="AG129" s="356"/>
      <c r="AH129" s="121"/>
      <c r="DG129" s="1090">
        <f>(DI129+DI130)/(DJ129+DJ130)</f>
        <v>4.7754558872000947</v>
      </c>
      <c r="DH129" s="1369" t="str">
        <f t="shared" si="34"/>
        <v>Cooling RES 6 Year EUL</v>
      </c>
      <c r="DI129" s="1091">
        <f>(INDEX('Avoided Cost Benefits'!$B$4:$B$866,MATCH(DH129,'Avoided Cost Benefits'!$A$4:$A$866,0)))*F129</f>
        <v>3454.3381291119672</v>
      </c>
      <c r="DJ129" s="1176">
        <f t="shared" si="33"/>
        <v>994.85487938259848</v>
      </c>
    </row>
    <row r="130" spans="1:114">
      <c r="A130" s="453"/>
      <c r="B130" s="1454">
        <f t="shared" si="21"/>
        <v>351170</v>
      </c>
      <c r="C130" s="682" t="s">
        <v>1860</v>
      </c>
      <c r="D130" s="1894" t="s">
        <v>1043</v>
      </c>
      <c r="E130" s="1395" t="s">
        <v>1862</v>
      </c>
      <c r="F130" s="131">
        <f>ROUND(((J212*J284*(1/J356-1/J428))/1000)*J572*$J$598,2)</f>
        <v>1002.03</v>
      </c>
      <c r="G130" s="266" t="s">
        <v>1786</v>
      </c>
      <c r="H130" s="69">
        <f>VLOOKUP(G130,'CP FACTORS'!$A$3:$B$38, 2, FALSE)</f>
        <v>9.4741810000000004E-4</v>
      </c>
      <c r="I130" s="1473">
        <f t="shared" si="35"/>
        <v>0.94934099999999999</v>
      </c>
      <c r="J130" s="199">
        <f t="shared" si="36"/>
        <v>12</v>
      </c>
      <c r="K130" s="135">
        <f t="shared" si="27"/>
        <v>0</v>
      </c>
      <c r="L130" s="21">
        <f t="shared" si="28"/>
        <v>4.3031428571428565</v>
      </c>
      <c r="N130" s="561"/>
      <c r="T130" s="52"/>
      <c r="U130" s="52"/>
      <c r="V130" s="1378" t="s">
        <v>45</v>
      </c>
      <c r="W130" s="950"/>
      <c r="X130" s="201"/>
      <c r="Y130" s="678"/>
      <c r="Z130" s="678">
        <v>759.94</v>
      </c>
      <c r="AA130" s="202">
        <v>759.94</v>
      </c>
      <c r="AB130" s="948">
        <v>759.94</v>
      </c>
      <c r="AC130" s="826">
        <v>1090.6400000000001</v>
      </c>
      <c r="AD130" s="131">
        <v>1110.54</v>
      </c>
      <c r="AE130" s="131">
        <v>858.8</v>
      </c>
      <c r="AF130" s="271">
        <f t="shared" si="32"/>
        <v>1002.03</v>
      </c>
      <c r="AG130" s="356"/>
      <c r="AH130" s="121"/>
      <c r="DG130" s="1092"/>
      <c r="DH130" s="1370" t="str">
        <f t="shared" si="34"/>
        <v>Cooling RES ER2 12 Year EUL</v>
      </c>
      <c r="DI130" s="1091">
        <f>(INDEX('Avoided Cost Benefits'!$B$4:$B$866,MATCH(DH130,'Avoided Cost Benefits'!$A$4:$A$866,0)))*F130</f>
        <v>1296.5474615454029</v>
      </c>
      <c r="DJ130" s="1176">
        <f t="shared" si="33"/>
        <v>0</v>
      </c>
    </row>
    <row r="131" spans="1:114">
      <c r="A131" s="453"/>
      <c r="B131" s="1454">
        <f t="shared" si="21"/>
        <v>351171</v>
      </c>
      <c r="C131" s="682" t="s">
        <v>1863</v>
      </c>
      <c r="D131" s="1894" t="s">
        <v>1043</v>
      </c>
      <c r="E131" s="1394" t="s">
        <v>1864</v>
      </c>
      <c r="F131" s="131">
        <f>ROUND(((J213*J285*(1/J357-1/J429))/1000)*J573*$J$598,2)</f>
        <v>1037.44</v>
      </c>
      <c r="G131" s="266" t="s">
        <v>1045</v>
      </c>
      <c r="H131" s="69">
        <f>VLOOKUP(G131,'CP FACTORS'!$A$3:$B$38, 2, FALSE)</f>
        <v>9.4741810000000004E-4</v>
      </c>
      <c r="I131" s="1473">
        <f t="shared" si="35"/>
        <v>0.98288900000000001</v>
      </c>
      <c r="J131" s="199">
        <f t="shared" si="36"/>
        <v>18</v>
      </c>
      <c r="K131" s="206">
        <f t="shared" si="27"/>
        <v>920.90843768379273</v>
      </c>
      <c r="L131" s="175">
        <f t="shared" si="28"/>
        <v>4.4285714285714288</v>
      </c>
      <c r="N131" s="561"/>
      <c r="T131" s="52"/>
      <c r="U131" s="52"/>
      <c r="V131" s="1378" t="s">
        <v>45</v>
      </c>
      <c r="W131" s="950"/>
      <c r="X131" s="201"/>
      <c r="Y131" s="678"/>
      <c r="Z131" s="678">
        <v>759.94</v>
      </c>
      <c r="AA131" s="202">
        <v>759.94</v>
      </c>
      <c r="AB131" s="948">
        <v>759.94</v>
      </c>
      <c r="AC131" s="826">
        <v>1119.32</v>
      </c>
      <c r="AD131" s="131">
        <v>1117.5899999999999</v>
      </c>
      <c r="AE131" s="131">
        <v>852.72</v>
      </c>
      <c r="AF131" s="271">
        <f t="shared" si="32"/>
        <v>1037.44</v>
      </c>
      <c r="AG131" s="356"/>
      <c r="AH131" s="121"/>
      <c r="DG131" s="1090">
        <f>(DI131)/(DJ131)</f>
        <v>2.5795157803288631</v>
      </c>
      <c r="DH131" s="204" t="str">
        <f t="shared" si="34"/>
        <v>Cooling RES 18 Year EUL</v>
      </c>
      <c r="DI131" s="1091">
        <f>(INDEX('Avoided Cost Benefits'!$B$4:$B$866,MATCH(DH131,'Avoided Cost Benefits'!$A$4:$A$866,0)))*F131</f>
        <v>2375.4978472433427</v>
      </c>
      <c r="DJ131" s="1176">
        <f t="shared" si="33"/>
        <v>920.90843768379273</v>
      </c>
    </row>
    <row r="132" spans="1:114">
      <c r="A132" s="453"/>
      <c r="B132" s="1454">
        <f t="shared" si="21"/>
        <v>351172</v>
      </c>
      <c r="C132" s="2554" t="s">
        <v>1865</v>
      </c>
      <c r="D132" s="2402" t="s">
        <v>1122</v>
      </c>
      <c r="E132" s="2936" t="s">
        <v>1866</v>
      </c>
      <c r="F132" s="2553">
        <f>ROUND(((J214*J286*(1/J502-1/J430))/1000)*J574*$J$598,2)</f>
        <v>1403.23</v>
      </c>
      <c r="G132" s="3246" t="s">
        <v>1045</v>
      </c>
      <c r="H132" s="2213">
        <f>VLOOKUP(G132,'CP FACTORS'!$A$3:$B$38, 2, FALSE)</f>
        <v>9.4741810000000004E-4</v>
      </c>
      <c r="I132" s="2519">
        <f t="shared" si="35"/>
        <v>1.3294459999999999</v>
      </c>
      <c r="J132" s="3247">
        <f t="shared" si="36"/>
        <v>6</v>
      </c>
      <c r="K132" s="2988">
        <f t="shared" si="27"/>
        <v>994.85487938259848</v>
      </c>
      <c r="L132" s="2573">
        <f t="shared" si="28"/>
        <v>2</v>
      </c>
      <c r="N132" s="561"/>
      <c r="T132" s="52"/>
      <c r="U132" s="52"/>
      <c r="V132" s="2425" t="s">
        <v>45</v>
      </c>
      <c r="W132" s="3249"/>
      <c r="X132" s="3250"/>
      <c r="Y132" s="3251"/>
      <c r="Z132" s="3251">
        <v>1406.04</v>
      </c>
      <c r="AA132" s="2877">
        <v>1406.04</v>
      </c>
      <c r="AB132" s="3222">
        <v>1406.04</v>
      </c>
      <c r="AC132" s="3252">
        <v>1403.23</v>
      </c>
      <c r="AD132" s="2553">
        <v>1403.23</v>
      </c>
      <c r="AE132" s="2553">
        <v>1403.23</v>
      </c>
      <c r="AF132" s="2236">
        <f t="shared" si="32"/>
        <v>1403.23</v>
      </c>
      <c r="AG132" s="356"/>
      <c r="AH132" s="121"/>
      <c r="DG132" s="3259">
        <f>(DI132+DI133)/(DJ132+DJ133)</f>
        <v>2.0000773867235453</v>
      </c>
      <c r="DH132" s="2521" t="str">
        <f t="shared" si="34"/>
        <v>Cooling RES 6 Year EUL</v>
      </c>
      <c r="DI132" s="3260">
        <f>(INDEX('Avoided Cost Benefits'!$B$4:$B$866,MATCH(DH132,'Avoided Cost Benefits'!$A$4:$A$866,0)))*F132</f>
        <v>1397.4039256080841</v>
      </c>
      <c r="DJ132" s="2507">
        <f t="shared" si="33"/>
        <v>994.85487938259848</v>
      </c>
    </row>
    <row r="133" spans="1:114">
      <c r="A133" s="453"/>
      <c r="B133" s="1454">
        <f t="shared" si="21"/>
        <v>351172</v>
      </c>
      <c r="C133" s="2554" t="s">
        <v>1865</v>
      </c>
      <c r="D133" s="2402" t="s">
        <v>1122</v>
      </c>
      <c r="E133" s="2939" t="s">
        <v>1867</v>
      </c>
      <c r="F133" s="2552">
        <f>ROUND(((J215*J287*(1/J359-1/J431))/1000)*J575*$J$598,2)</f>
        <v>457.82</v>
      </c>
      <c r="G133" s="3246" t="s">
        <v>1786</v>
      </c>
      <c r="H133" s="2213">
        <f>VLOOKUP(G133,'CP FACTORS'!$A$3:$B$38, 2, FALSE)</f>
        <v>9.4741810000000004E-4</v>
      </c>
      <c r="I133" s="2404">
        <f t="shared" si="35"/>
        <v>0.43374699999999999</v>
      </c>
      <c r="J133" s="3247">
        <f t="shared" si="36"/>
        <v>12</v>
      </c>
      <c r="K133" s="2583">
        <f t="shared" si="27"/>
        <v>0</v>
      </c>
      <c r="L133" s="2573">
        <f t="shared" si="28"/>
        <v>2</v>
      </c>
      <c r="N133" s="561"/>
      <c r="T133" s="52"/>
      <c r="U133" s="52"/>
      <c r="V133" s="2425" t="s">
        <v>45</v>
      </c>
      <c r="W133" s="3249"/>
      <c r="X133" s="3250"/>
      <c r="Y133" s="3251"/>
      <c r="Z133" s="3251">
        <v>506.62</v>
      </c>
      <c r="AA133" s="2877">
        <v>506.62</v>
      </c>
      <c r="AB133" s="3222">
        <v>506.62</v>
      </c>
      <c r="AC133" s="3252">
        <v>505.61</v>
      </c>
      <c r="AD133" s="2553">
        <v>505.61</v>
      </c>
      <c r="AE133" s="2552">
        <v>391.25</v>
      </c>
      <c r="AF133" s="2236">
        <f t="shared" si="32"/>
        <v>457.82</v>
      </c>
      <c r="AG133" s="356"/>
      <c r="AH133" s="121"/>
      <c r="DG133" s="3261"/>
      <c r="DH133" s="2522" t="str">
        <f t="shared" si="34"/>
        <v>Cooling RES ER2 12 Year EUL</v>
      </c>
      <c r="DI133" s="3260">
        <f>(INDEX('Avoided Cost Benefits'!$B$4:$B$866,MATCH(DH133,'Avoided Cost Benefits'!$A$4:$A$866,0)))*F133</f>
        <v>592.38282171663161</v>
      </c>
      <c r="DJ133" s="2507">
        <f t="shared" si="33"/>
        <v>0</v>
      </c>
    </row>
    <row r="134" spans="1:114">
      <c r="A134" s="453"/>
      <c r="B134" s="1454">
        <f t="shared" si="21"/>
        <v>351173</v>
      </c>
      <c r="C134" s="2554" t="s">
        <v>1868</v>
      </c>
      <c r="D134" s="2402" t="s">
        <v>1118</v>
      </c>
      <c r="E134" s="2936" t="s">
        <v>1869</v>
      </c>
      <c r="F134" s="2553">
        <f>ROUND(((J216*J288*(1/J504-1/J432))/1000)*J576*$J$598,2)</f>
        <v>1020.53</v>
      </c>
      <c r="G134" s="3246" t="s">
        <v>1045</v>
      </c>
      <c r="H134" s="2213">
        <f>VLOOKUP(G134,'CP FACTORS'!$A$3:$B$38, 2, FALSE)</f>
        <v>9.4741810000000004E-4</v>
      </c>
      <c r="I134" s="2519">
        <f t="shared" si="35"/>
        <v>0.96686899999999998</v>
      </c>
      <c r="J134" s="3247">
        <f t="shared" si="36"/>
        <v>6</v>
      </c>
      <c r="K134" s="2988">
        <f t="shared" si="27"/>
        <v>994.85487938259848</v>
      </c>
      <c r="L134" s="2573">
        <f t="shared" si="28"/>
        <v>2</v>
      </c>
      <c r="N134" s="561"/>
      <c r="T134" s="52"/>
      <c r="U134" s="52"/>
      <c r="V134" s="2425" t="s">
        <v>45</v>
      </c>
      <c r="W134" s="3249"/>
      <c r="X134" s="3250"/>
      <c r="Y134" s="3251"/>
      <c r="Z134" s="3251">
        <v>1022.57</v>
      </c>
      <c r="AA134" s="2877">
        <v>1022.57</v>
      </c>
      <c r="AB134" s="3222">
        <v>1022.57</v>
      </c>
      <c r="AC134" s="3252">
        <v>1020.53</v>
      </c>
      <c r="AD134" s="2553">
        <v>1020.53</v>
      </c>
      <c r="AE134" s="2553">
        <v>1020.53</v>
      </c>
      <c r="AF134" s="2236">
        <f t="shared" si="32"/>
        <v>1020.53</v>
      </c>
      <c r="AG134" s="356"/>
      <c r="AH134" s="121"/>
      <c r="DG134" s="3259">
        <f>(DI134+DI135)/(DJ134+DJ135)</f>
        <v>1.4546008258004381</v>
      </c>
      <c r="DH134" s="2521" t="str">
        <f t="shared" si="34"/>
        <v>Cooling RES 6 Year EUL</v>
      </c>
      <c r="DI134" s="3260">
        <f>(INDEX('Avoided Cost Benefits'!$B$4:$B$866,MATCH(DH134,'Avoided Cost Benefits'!$A$4:$A$866,0)))*F134</f>
        <v>1016.2928587621545</v>
      </c>
      <c r="DJ134" s="2507">
        <f t="shared" si="33"/>
        <v>994.85487938259848</v>
      </c>
    </row>
    <row r="135" spans="1:114">
      <c r="A135" s="453"/>
      <c r="B135" s="1454">
        <f t="shared" si="21"/>
        <v>351173</v>
      </c>
      <c r="C135" s="2554" t="s">
        <v>1868</v>
      </c>
      <c r="D135" s="2402" t="s">
        <v>1118</v>
      </c>
      <c r="E135" s="2939" t="s">
        <v>1870</v>
      </c>
      <c r="F135" s="2552">
        <f>ROUND(((J217*J289*(1/J361-1/J433))/1000)*J577*$J$598,2)</f>
        <v>332.96</v>
      </c>
      <c r="G135" s="3246" t="s">
        <v>1786</v>
      </c>
      <c r="H135" s="2213">
        <f>VLOOKUP(G135,'CP FACTORS'!$A$3:$B$38, 2, FALSE)</f>
        <v>9.4741810000000004E-4</v>
      </c>
      <c r="I135" s="2404">
        <f t="shared" si="35"/>
        <v>0.31545200000000001</v>
      </c>
      <c r="J135" s="3247">
        <f t="shared" si="36"/>
        <v>12</v>
      </c>
      <c r="K135" s="2583">
        <f t="shared" si="27"/>
        <v>0</v>
      </c>
      <c r="L135" s="2573">
        <f t="shared" si="28"/>
        <v>2</v>
      </c>
      <c r="N135" s="561"/>
      <c r="T135" s="52"/>
      <c r="U135" s="52"/>
      <c r="V135" s="2425" t="s">
        <v>45</v>
      </c>
      <c r="W135" s="3249"/>
      <c r="X135" s="3250"/>
      <c r="Y135" s="3251"/>
      <c r="Z135" s="3251">
        <v>368.45</v>
      </c>
      <c r="AA135" s="2877">
        <v>368.45</v>
      </c>
      <c r="AB135" s="3222">
        <v>368.45</v>
      </c>
      <c r="AC135" s="3252">
        <v>367.72</v>
      </c>
      <c r="AD135" s="2553">
        <v>367.72</v>
      </c>
      <c r="AE135" s="2552">
        <v>284.54000000000002</v>
      </c>
      <c r="AF135" s="2236">
        <f t="shared" si="32"/>
        <v>332.96</v>
      </c>
      <c r="AG135" s="356"/>
      <c r="AH135" s="121"/>
      <c r="DG135" s="3261"/>
      <c r="DH135" s="2522" t="str">
        <f t="shared" si="34"/>
        <v>Cooling RES ER2 12 Year EUL</v>
      </c>
      <c r="DI135" s="3260">
        <f>(INDEX('Avoided Cost Benefits'!$B$4:$B$866,MATCH(DH135,'Avoided Cost Benefits'!$A$4:$A$866,0)))*F135</f>
        <v>430.82387033936845</v>
      </c>
      <c r="DJ135" s="2507">
        <f t="shared" si="33"/>
        <v>0</v>
      </c>
    </row>
    <row r="136" spans="1:114">
      <c r="A136" s="453"/>
      <c r="B136" s="1454">
        <f t="shared" si="21"/>
        <v>351174</v>
      </c>
      <c r="C136" s="2554" t="s">
        <v>1871</v>
      </c>
      <c r="D136" s="2402" t="s">
        <v>1122</v>
      </c>
      <c r="E136" s="2936" t="s">
        <v>1872</v>
      </c>
      <c r="F136" s="2552">
        <f>ROUND(((J218*J290*(1/J362-1/J434))/1000)*J578*$J$598,2)</f>
        <v>457.82</v>
      </c>
      <c r="G136" s="3246" t="s">
        <v>1045</v>
      </c>
      <c r="H136" s="2213">
        <f>VLOOKUP(G136,'CP FACTORS'!$A$3:$B$38, 2, FALSE)</f>
        <v>9.4741810000000004E-4</v>
      </c>
      <c r="I136" s="2404">
        <f t="shared" si="35"/>
        <v>0.43374699999999999</v>
      </c>
      <c r="J136" s="3247">
        <f t="shared" si="36"/>
        <v>18</v>
      </c>
      <c r="K136" s="2988">
        <f t="shared" si="27"/>
        <v>920.90843768379273</v>
      </c>
      <c r="L136" s="2573">
        <f t="shared" si="28"/>
        <v>2</v>
      </c>
      <c r="N136" s="561"/>
      <c r="T136" s="52"/>
      <c r="U136" s="52"/>
      <c r="V136" s="2425" t="s">
        <v>45</v>
      </c>
      <c r="W136" s="3249"/>
      <c r="X136" s="3250"/>
      <c r="Y136" s="3251"/>
      <c r="Z136" s="3251">
        <v>506.62</v>
      </c>
      <c r="AA136" s="2877">
        <v>506.62</v>
      </c>
      <c r="AB136" s="3222">
        <v>506.62</v>
      </c>
      <c r="AC136" s="3252">
        <v>505.61</v>
      </c>
      <c r="AD136" s="2553">
        <v>505.61</v>
      </c>
      <c r="AE136" s="2552">
        <v>391.25</v>
      </c>
      <c r="AF136" s="2236">
        <f t="shared" si="32"/>
        <v>457.82</v>
      </c>
      <c r="AG136" s="356"/>
      <c r="AH136" s="121"/>
      <c r="DG136" s="3259">
        <f>(DI136)/(DJ136)</f>
        <v>1.138334664703655</v>
      </c>
      <c r="DH136" s="3255" t="str">
        <f t="shared" si="34"/>
        <v>Cooling RES 18 Year EUL</v>
      </c>
      <c r="DI136" s="3260">
        <f>(INDEX('Avoided Cost Benefits'!$B$4:$B$866,MATCH(DH136,'Avoided Cost Benefits'!$A$4:$A$866,0)))*F136</f>
        <v>1048.301997633547</v>
      </c>
      <c r="DJ136" s="2507">
        <f t="shared" si="33"/>
        <v>920.90843768379273</v>
      </c>
    </row>
    <row r="137" spans="1:114">
      <c r="A137" s="453"/>
      <c r="B137" s="1454">
        <f t="shared" si="21"/>
        <v>351175</v>
      </c>
      <c r="C137" s="2554" t="s">
        <v>1873</v>
      </c>
      <c r="D137" s="2402" t="s">
        <v>1118</v>
      </c>
      <c r="E137" s="2936" t="s">
        <v>1874</v>
      </c>
      <c r="F137" s="2552">
        <f>ROUND(((J219*J291*(1/J363-1/J435))/1000)*J579*$J$598,2)</f>
        <v>332.96</v>
      </c>
      <c r="G137" s="3246" t="s">
        <v>1045</v>
      </c>
      <c r="H137" s="2213">
        <f>VLOOKUP(G137,'CP FACTORS'!$A$3:$B$38, 2, FALSE)</f>
        <v>9.4741810000000004E-4</v>
      </c>
      <c r="I137" s="2404">
        <f t="shared" si="35"/>
        <v>0.31545200000000001</v>
      </c>
      <c r="J137" s="3248">
        <v>18</v>
      </c>
      <c r="K137" s="2988">
        <f t="shared" si="27"/>
        <v>920.90843768379273</v>
      </c>
      <c r="L137" s="2573">
        <f t="shared" si="28"/>
        <v>2</v>
      </c>
      <c r="N137" s="561"/>
      <c r="T137" s="52"/>
      <c r="U137" s="52"/>
      <c r="V137" s="2425" t="s">
        <v>45</v>
      </c>
      <c r="W137" s="3249"/>
      <c r="X137" s="3250"/>
      <c r="Y137" s="3251"/>
      <c r="Z137" s="3251">
        <v>368.45</v>
      </c>
      <c r="AA137" s="2877">
        <v>368.45</v>
      </c>
      <c r="AB137" s="3222">
        <v>368.45</v>
      </c>
      <c r="AC137" s="3252">
        <v>367.72</v>
      </c>
      <c r="AD137" s="2553">
        <v>367.72</v>
      </c>
      <c r="AE137" s="2552">
        <v>284.54000000000002</v>
      </c>
      <c r="AF137" s="2236">
        <f t="shared" si="32"/>
        <v>332.96</v>
      </c>
      <c r="AG137" s="356"/>
      <c r="AH137" s="121"/>
      <c r="DG137" s="3259">
        <f>(DI137)/(DJ137)</f>
        <v>0.82787975614811271</v>
      </c>
      <c r="DH137" s="3255" t="str">
        <f t="shared" si="34"/>
        <v>Cooling RES 18 Year EUL</v>
      </c>
      <c r="DI137" s="3260">
        <f>(INDEX('Avoided Cost Benefits'!$B$4:$B$866,MATCH(DH137,'Avoided Cost Benefits'!$A$4:$A$866,0)))*F137</f>
        <v>762.40145282439778</v>
      </c>
      <c r="DJ137" s="2507">
        <f t="shared" si="33"/>
        <v>920.90843768379273</v>
      </c>
    </row>
    <row r="138" spans="1:114">
      <c r="A138" s="453"/>
      <c r="B138" s="1454">
        <f t="shared" si="21"/>
        <v>351180</v>
      </c>
      <c r="C138" s="682" t="s">
        <v>1875</v>
      </c>
      <c r="D138" s="1894" t="s">
        <v>1043</v>
      </c>
      <c r="E138" s="1394" t="s">
        <v>1876</v>
      </c>
      <c r="F138" s="131">
        <f>ROUND(((J220*J292*(1/J508-1/J436))/1000)*J580*$J$598,2)</f>
        <v>2828.06</v>
      </c>
      <c r="G138" s="266" t="s">
        <v>1045</v>
      </c>
      <c r="H138" s="69">
        <f>VLOOKUP(G138,'CP FACTORS'!$A$3:$B$38, 2, FALSE)</f>
        <v>9.4741810000000004E-4</v>
      </c>
      <c r="I138" s="1473">
        <f t="shared" si="35"/>
        <v>2.6793550000000002</v>
      </c>
      <c r="J138" s="199">
        <f t="shared" ref="J138:J145" si="37">J653</f>
        <v>6</v>
      </c>
      <c r="K138" s="206">
        <f t="shared" si="27"/>
        <v>1080.2617102968206</v>
      </c>
      <c r="L138" s="175">
        <f t="shared" si="28"/>
        <v>3.6090823970000003</v>
      </c>
      <c r="N138" s="561"/>
      <c r="O138" s="557"/>
      <c r="T138" s="52"/>
      <c r="U138" s="52"/>
      <c r="V138" s="1378" t="s">
        <v>45</v>
      </c>
      <c r="W138" s="950"/>
      <c r="X138" s="201"/>
      <c r="Y138" s="678"/>
      <c r="Z138" s="678">
        <v>2191.38</v>
      </c>
      <c r="AA138" s="202">
        <v>2191.38</v>
      </c>
      <c r="AB138" s="948">
        <v>2191.38</v>
      </c>
      <c r="AC138" s="826">
        <v>2498.15</v>
      </c>
      <c r="AD138" s="131">
        <v>2895.68</v>
      </c>
      <c r="AE138" s="131">
        <v>2749.75</v>
      </c>
      <c r="AF138" s="271">
        <f t="shared" si="32"/>
        <v>2828.06</v>
      </c>
      <c r="AG138" s="356"/>
      <c r="AH138" s="121"/>
      <c r="DG138" s="1090">
        <f>(DI138+DI139)/(DJ138+DJ139)</f>
        <v>3.7273821117244457</v>
      </c>
      <c r="DH138" s="1369" t="str">
        <f t="shared" si="34"/>
        <v>Cooling RES 6 Year EUL</v>
      </c>
      <c r="DI138" s="1091">
        <f>(INDEX('Avoided Cost Benefits'!$B$4:$B$866,MATCH(DH138,'Avoided Cost Benefits'!$A$4:$A$866,0)))*F138</f>
        <v>2816.3181701183685</v>
      </c>
      <c r="DJ138" s="1176">
        <f t="shared" si="33"/>
        <v>1080.2617102968206</v>
      </c>
    </row>
    <row r="139" spans="1:114">
      <c r="A139" s="453"/>
      <c r="B139" s="1454">
        <f t="shared" si="21"/>
        <v>351180</v>
      </c>
      <c r="C139" s="682" t="s">
        <v>1875</v>
      </c>
      <c r="D139" s="1894" t="s">
        <v>1043</v>
      </c>
      <c r="E139" s="1395" t="s">
        <v>1877</v>
      </c>
      <c r="F139" s="131">
        <f>ROUND(((J221*J293*(1/J365-1/J437))/1000)*J581*$J$598,2)</f>
        <v>935.32</v>
      </c>
      <c r="G139" s="266" t="s">
        <v>1786</v>
      </c>
      <c r="H139" s="69">
        <f>VLOOKUP(G139,'CP FACTORS'!$A$3:$B$38, 2, FALSE)</f>
        <v>9.4741810000000004E-4</v>
      </c>
      <c r="I139" s="1473">
        <f t="shared" si="35"/>
        <v>0.88613900000000001</v>
      </c>
      <c r="J139" s="199">
        <f t="shared" si="37"/>
        <v>12</v>
      </c>
      <c r="K139" s="135">
        <f t="shared" si="27"/>
        <v>0</v>
      </c>
      <c r="L139" s="175">
        <f t="shared" si="28"/>
        <v>3.6090823970000003</v>
      </c>
      <c r="N139" s="561"/>
      <c r="O139" s="557"/>
      <c r="T139" s="52"/>
      <c r="U139" s="52"/>
      <c r="V139" s="1378" t="s">
        <v>45</v>
      </c>
      <c r="W139" s="950"/>
      <c r="X139" s="201"/>
      <c r="Y139" s="678"/>
      <c r="Z139" s="678">
        <v>842.26</v>
      </c>
      <c r="AA139" s="202">
        <v>842.26</v>
      </c>
      <c r="AB139" s="948">
        <v>842.26</v>
      </c>
      <c r="AC139" s="826">
        <v>975.66</v>
      </c>
      <c r="AD139" s="131">
        <v>967.28</v>
      </c>
      <c r="AE139" s="131">
        <v>764.57</v>
      </c>
      <c r="AF139" s="271">
        <f t="shared" si="32"/>
        <v>935.32</v>
      </c>
      <c r="AG139" s="356"/>
      <c r="AH139" s="121"/>
      <c r="DG139" s="1092"/>
      <c r="DH139" s="1370" t="str">
        <f t="shared" si="34"/>
        <v>Cooling RES ER2 12 Year EUL</v>
      </c>
      <c r="DI139" s="1091">
        <f>(INDEX('Avoided Cost Benefits'!$B$4:$B$866,MATCH(DH139,'Avoided Cost Benefits'!$A$4:$A$866,0)))*F139</f>
        <v>1210.230004822856</v>
      </c>
      <c r="DJ139" s="1176">
        <f t="shared" si="33"/>
        <v>0</v>
      </c>
    </row>
    <row r="140" spans="1:114">
      <c r="A140" s="453"/>
      <c r="B140" s="1454">
        <f t="shared" si="21"/>
        <v>351181</v>
      </c>
      <c r="C140" s="682" t="s">
        <v>1878</v>
      </c>
      <c r="D140" s="1894" t="s">
        <v>1043</v>
      </c>
      <c r="E140" s="1394" t="s">
        <v>1879</v>
      </c>
      <c r="F140" s="131">
        <f>ROUND(((J222*J294*(1/J366-1/J438))/1000)*J582*$J$598,2)</f>
        <v>968.73</v>
      </c>
      <c r="G140" s="266" t="s">
        <v>1045</v>
      </c>
      <c r="H140" s="69">
        <f>VLOOKUP(G140,'CP FACTORS'!$A$3:$B$38, 2, FALSE)</f>
        <v>9.4741810000000004E-4</v>
      </c>
      <c r="I140" s="1473">
        <f t="shared" si="35"/>
        <v>0.91779200000000005</v>
      </c>
      <c r="J140" s="199">
        <f t="shared" si="37"/>
        <v>18</v>
      </c>
      <c r="K140" s="206">
        <f t="shared" si="27"/>
        <v>1006.3152685980149</v>
      </c>
      <c r="L140" s="175">
        <f t="shared" si="28"/>
        <v>3.7737500000000002</v>
      </c>
      <c r="N140" s="561"/>
      <c r="O140" s="557"/>
      <c r="T140" s="52"/>
      <c r="U140" s="52"/>
      <c r="V140" s="1378" t="s">
        <v>45</v>
      </c>
      <c r="W140" s="950"/>
      <c r="X140" s="201"/>
      <c r="Y140" s="678"/>
      <c r="Z140" s="678">
        <v>842.26</v>
      </c>
      <c r="AA140" s="202">
        <v>842.26</v>
      </c>
      <c r="AB140" s="948">
        <v>842.26</v>
      </c>
      <c r="AC140" s="826">
        <v>917.64</v>
      </c>
      <c r="AD140" s="131">
        <v>951.42</v>
      </c>
      <c r="AE140" s="131">
        <v>662.85</v>
      </c>
      <c r="AF140" s="271">
        <f t="shared" si="32"/>
        <v>968.73</v>
      </c>
      <c r="AG140" s="356"/>
      <c r="AH140" s="121"/>
      <c r="DG140" s="1090">
        <f>(DI140)/(DJ140)</f>
        <v>2.2042474116877364</v>
      </c>
      <c r="DH140" s="204" t="str">
        <f t="shared" si="34"/>
        <v>Cooling RES 18 Year EUL</v>
      </c>
      <c r="DI140" s="1091">
        <f>(INDEX('Avoided Cost Benefits'!$B$4:$B$866,MATCH(DH140,'Avoided Cost Benefits'!$A$4:$A$866,0)))*F140</f>
        <v>2218.1678261490238</v>
      </c>
      <c r="DJ140" s="1176">
        <f t="shared" si="33"/>
        <v>1006.3152685980149</v>
      </c>
    </row>
    <row r="141" spans="1:114">
      <c r="A141" s="453"/>
      <c r="B141" s="1454">
        <f t="shared" si="21"/>
        <v>351182</v>
      </c>
      <c r="C141" s="2554" t="s">
        <v>1880</v>
      </c>
      <c r="D141" s="2402" t="s">
        <v>1122</v>
      </c>
      <c r="E141" s="2936" t="s">
        <v>1881</v>
      </c>
      <c r="F141" s="2553">
        <f>ROUND(((J223*J295*(1/J511-1/J439))/1000)*J583*$J$598,2)</f>
        <v>1436.44</v>
      </c>
      <c r="G141" s="3246" t="s">
        <v>1045</v>
      </c>
      <c r="H141" s="2213">
        <f>VLOOKUP(G141,'CP FACTORS'!$A$3:$B$38, 2, FALSE)</f>
        <v>9.4741810000000004E-4</v>
      </c>
      <c r="I141" s="2519">
        <f t="shared" si="35"/>
        <v>1.3609089999999999</v>
      </c>
      <c r="J141" s="3247">
        <f t="shared" si="37"/>
        <v>6</v>
      </c>
      <c r="K141" s="2988">
        <f t="shared" si="27"/>
        <v>1080.2617102968206</v>
      </c>
      <c r="L141" s="2573">
        <f t="shared" si="28"/>
        <v>2</v>
      </c>
      <c r="N141" s="561"/>
      <c r="T141" s="52"/>
      <c r="U141" s="52"/>
      <c r="V141" s="2425" t="s">
        <v>45</v>
      </c>
      <c r="W141" s="3249"/>
      <c r="X141" s="3250"/>
      <c r="Y141" s="3251"/>
      <c r="Z141" s="3251">
        <v>1460.92</v>
      </c>
      <c r="AA141" s="2877">
        <v>1460.92</v>
      </c>
      <c r="AB141" s="3222">
        <v>1460.92</v>
      </c>
      <c r="AC141" s="3252">
        <v>1436.44</v>
      </c>
      <c r="AD141" s="2553">
        <v>1436.44</v>
      </c>
      <c r="AE141" s="2553">
        <v>1436.44</v>
      </c>
      <c r="AF141" s="2236">
        <f t="shared" si="32"/>
        <v>1436.44</v>
      </c>
      <c r="AG141" s="356"/>
      <c r="AH141" s="121"/>
      <c r="DG141" s="3259">
        <f>(DI141+DI142)/(DJ141+DJ142)</f>
        <v>1.9381663582285509</v>
      </c>
      <c r="DH141" s="2521" t="str">
        <f t="shared" si="34"/>
        <v>Cooling RES 6 Year EUL</v>
      </c>
      <c r="DI141" s="3260">
        <f>(INDEX('Avoided Cost Benefits'!$B$4:$B$866,MATCH(DH141,'Avoided Cost Benefits'!$A$4:$A$866,0)))*F141</f>
        <v>1430.4760409202172</v>
      </c>
      <c r="DJ141" s="2507">
        <f t="shared" si="33"/>
        <v>1080.2617102968206</v>
      </c>
    </row>
    <row r="142" spans="1:114">
      <c r="A142" s="453"/>
      <c r="B142" s="1454">
        <f t="shared" si="21"/>
        <v>351182</v>
      </c>
      <c r="C142" s="2554" t="s">
        <v>1880</v>
      </c>
      <c r="D142" s="2402" t="s">
        <v>1122</v>
      </c>
      <c r="E142" s="2939" t="s">
        <v>1882</v>
      </c>
      <c r="F142" s="2552">
        <f>ROUND(((J224*J296*(1/J368-1/J440))/1000)*J584*$J$598,2)</f>
        <v>512.59</v>
      </c>
      <c r="G142" s="3246" t="s">
        <v>1786</v>
      </c>
      <c r="H142" s="2213">
        <f>VLOOKUP(G142,'CP FACTORS'!$A$3:$B$38, 2, FALSE)</f>
        <v>9.4741810000000004E-4</v>
      </c>
      <c r="I142" s="2404">
        <f t="shared" si="35"/>
        <v>0.48563699999999999</v>
      </c>
      <c r="J142" s="3247">
        <f t="shared" si="37"/>
        <v>12</v>
      </c>
      <c r="K142" s="2583">
        <f t="shared" si="27"/>
        <v>0</v>
      </c>
      <c r="L142" s="2573">
        <f t="shared" si="28"/>
        <v>2</v>
      </c>
      <c r="N142" s="561"/>
      <c r="T142" s="52"/>
      <c r="U142" s="52"/>
      <c r="V142" s="2425" t="s">
        <v>45</v>
      </c>
      <c r="W142" s="3249"/>
      <c r="X142" s="3250"/>
      <c r="Y142" s="3251"/>
      <c r="Z142" s="3251">
        <v>561.51</v>
      </c>
      <c r="AA142" s="2877">
        <v>561.51</v>
      </c>
      <c r="AB142" s="3222">
        <v>561.51</v>
      </c>
      <c r="AC142" s="3252">
        <v>560.38</v>
      </c>
      <c r="AD142" s="2553">
        <v>560.38</v>
      </c>
      <c r="AE142" s="2552">
        <v>446.02</v>
      </c>
      <c r="AF142" s="2236">
        <f t="shared" si="32"/>
        <v>512.59</v>
      </c>
      <c r="AG142" s="356"/>
      <c r="AH142" s="121"/>
      <c r="DG142" s="3261"/>
      <c r="DH142" s="2522" t="str">
        <f t="shared" si="34"/>
        <v>Cooling RES ER2 12 Year EUL</v>
      </c>
      <c r="DI142" s="3260">
        <f>(INDEX('Avoided Cost Benefits'!$B$4:$B$866,MATCH(DH142,'Avoided Cost Benefits'!$A$4:$A$866,0)))*F142</f>
        <v>663.25086405951743</v>
      </c>
      <c r="DJ142" s="2507">
        <f t="shared" si="33"/>
        <v>0</v>
      </c>
    </row>
    <row r="143" spans="1:114">
      <c r="A143" s="453"/>
      <c r="B143" s="1454">
        <f t="shared" si="21"/>
        <v>351183</v>
      </c>
      <c r="C143" s="2554" t="s">
        <v>1883</v>
      </c>
      <c r="D143" s="2402" t="s">
        <v>1118</v>
      </c>
      <c r="E143" s="2936" t="s">
        <v>1884</v>
      </c>
      <c r="F143" s="2553">
        <f>ROUND(((J225*J297*(1/J513-1/J441))/1000)*J585*$J$598,2)</f>
        <v>1060.3599999999999</v>
      </c>
      <c r="G143" s="3246" t="s">
        <v>1045</v>
      </c>
      <c r="H143" s="2213">
        <f>VLOOKUP(G143,'CP FACTORS'!$A$3:$B$38, 2, FALSE)</f>
        <v>9.4741810000000004E-4</v>
      </c>
      <c r="I143" s="2519">
        <f t="shared" si="35"/>
        <v>1.0046040000000001</v>
      </c>
      <c r="J143" s="3247">
        <f t="shared" si="37"/>
        <v>6</v>
      </c>
      <c r="K143" s="2988">
        <f t="shared" si="27"/>
        <v>1080.2617102968206</v>
      </c>
      <c r="L143" s="2573">
        <f t="shared" si="28"/>
        <v>2</v>
      </c>
      <c r="N143" s="561"/>
      <c r="T143" s="52"/>
      <c r="U143" s="52"/>
      <c r="V143" s="2425" t="s">
        <v>45</v>
      </c>
      <c r="W143" s="3249"/>
      <c r="X143" s="3250"/>
      <c r="Y143" s="3251"/>
      <c r="Z143" s="3251">
        <v>1062.49</v>
      </c>
      <c r="AA143" s="2877">
        <v>1062.49</v>
      </c>
      <c r="AB143" s="3222">
        <v>1062.49</v>
      </c>
      <c r="AC143" s="3252">
        <v>1060.3599999999999</v>
      </c>
      <c r="AD143" s="2553">
        <v>1060.3599999999999</v>
      </c>
      <c r="AE143" s="2553">
        <v>1060.3599999999999</v>
      </c>
      <c r="AF143" s="2236">
        <f t="shared" si="32"/>
        <v>1060.3599999999999</v>
      </c>
      <c r="AG143" s="356"/>
      <c r="AH143" s="121"/>
      <c r="DG143" s="3259">
        <f>(DI143+DI144)/(DJ143+DJ144)</f>
        <v>1.4240236506684441</v>
      </c>
      <c r="DH143" s="2521" t="str">
        <f t="shared" si="34"/>
        <v>Cooling RES 6 Year EUL</v>
      </c>
      <c r="DI143" s="3260">
        <f>(INDEX('Avoided Cost Benefits'!$B$4:$B$866,MATCH(DH143,'Avoided Cost Benefits'!$A$4:$A$866,0)))*F143</f>
        <v>1055.9574884785729</v>
      </c>
      <c r="DJ143" s="2507">
        <f t="shared" si="33"/>
        <v>1080.2617102968206</v>
      </c>
    </row>
    <row r="144" spans="1:114">
      <c r="A144" s="453"/>
      <c r="B144" s="1454">
        <f t="shared" si="21"/>
        <v>351183</v>
      </c>
      <c r="C144" s="2554" t="s">
        <v>1883</v>
      </c>
      <c r="D144" s="2402" t="s">
        <v>1118</v>
      </c>
      <c r="E144" s="2939" t="s">
        <v>1885</v>
      </c>
      <c r="F144" s="2552">
        <f>ROUND(((J226*J298*(1/J370-1/J442))/1000)*J586*$J$598,2)</f>
        <v>372.79</v>
      </c>
      <c r="G144" s="3246" t="s">
        <v>1786</v>
      </c>
      <c r="H144" s="2213">
        <f>VLOOKUP(G144,'CP FACTORS'!$A$3:$B$38, 2, FALSE)</f>
        <v>9.4741810000000004E-4</v>
      </c>
      <c r="I144" s="2404">
        <f t="shared" si="35"/>
        <v>0.353188</v>
      </c>
      <c r="J144" s="3247">
        <f t="shared" si="37"/>
        <v>12</v>
      </c>
      <c r="K144" s="2583">
        <f t="shared" si="27"/>
        <v>0</v>
      </c>
      <c r="L144" s="2573">
        <f t="shared" si="28"/>
        <v>2</v>
      </c>
      <c r="N144" s="561"/>
      <c r="T144" s="52"/>
      <c r="U144" s="52"/>
      <c r="V144" s="2425" t="s">
        <v>45</v>
      </c>
      <c r="W144" s="3249"/>
      <c r="X144" s="3250"/>
      <c r="Y144" s="3251"/>
      <c r="Z144" s="3251">
        <v>408.37</v>
      </c>
      <c r="AA144" s="2877">
        <v>408.37</v>
      </c>
      <c r="AB144" s="3222">
        <v>408.37</v>
      </c>
      <c r="AC144" s="3252">
        <v>407.55</v>
      </c>
      <c r="AD144" s="2553">
        <v>407.55</v>
      </c>
      <c r="AE144" s="2552">
        <v>324.38</v>
      </c>
      <c r="AF144" s="2236">
        <f t="shared" si="32"/>
        <v>372.79</v>
      </c>
      <c r="AG144" s="356"/>
      <c r="AH144" s="121"/>
      <c r="DG144" s="3261"/>
      <c r="DH144" s="2522" t="str">
        <f t="shared" si="34"/>
        <v>Cooling RES ER2 12 Year EUL</v>
      </c>
      <c r="DI144" s="3260">
        <f>(INDEX('Avoided Cost Benefits'!$B$4:$B$866,MATCH(DH144,'Avoided Cost Benefits'!$A$4:$A$866,0)))*F144</f>
        <v>482.36073589564268</v>
      </c>
      <c r="DJ144" s="2507">
        <f t="shared" si="33"/>
        <v>0</v>
      </c>
    </row>
    <row r="145" spans="1:114">
      <c r="A145" s="453"/>
      <c r="B145" s="1454">
        <f t="shared" si="21"/>
        <v>351184</v>
      </c>
      <c r="C145" s="2554" t="s">
        <v>1886</v>
      </c>
      <c r="D145" s="2402" t="s">
        <v>1122</v>
      </c>
      <c r="E145" s="2936" t="s">
        <v>1887</v>
      </c>
      <c r="F145" s="2552">
        <f>ROUND(((J227*J299*(1/J371-1/J443))/1000)*J587*$J$598,2)</f>
        <v>512.59</v>
      </c>
      <c r="G145" s="3246" t="s">
        <v>1045</v>
      </c>
      <c r="H145" s="2213">
        <f>VLOOKUP(G145,'CP FACTORS'!$A$3:$B$38, 2, FALSE)</f>
        <v>9.4741810000000004E-4</v>
      </c>
      <c r="I145" s="2404">
        <f t="shared" si="35"/>
        <v>0.48563699999999999</v>
      </c>
      <c r="J145" s="3247">
        <f t="shared" si="37"/>
        <v>18</v>
      </c>
      <c r="K145" s="2988">
        <f t="shared" si="27"/>
        <v>1006.3152685980149</v>
      </c>
      <c r="L145" s="2573">
        <f t="shared" si="28"/>
        <v>2</v>
      </c>
      <c r="N145" s="561"/>
      <c r="T145" s="52"/>
      <c r="U145" s="52"/>
      <c r="V145" s="2425" t="s">
        <v>45</v>
      </c>
      <c r="W145" s="3249"/>
      <c r="X145" s="3250"/>
      <c r="Y145" s="3251"/>
      <c r="Z145" s="3251">
        <v>561.51</v>
      </c>
      <c r="AA145" s="2877">
        <v>561.51</v>
      </c>
      <c r="AB145" s="3222">
        <v>561.51</v>
      </c>
      <c r="AC145" s="3252">
        <v>560.38</v>
      </c>
      <c r="AD145" s="2553">
        <v>560.38</v>
      </c>
      <c r="AE145" s="2552">
        <v>446.02</v>
      </c>
      <c r="AF145" s="2236">
        <f t="shared" si="32"/>
        <v>512.59</v>
      </c>
      <c r="AG145" s="356"/>
      <c r="AH145" s="121"/>
      <c r="DG145" s="3259">
        <f>(DI145)/(DJ145)</f>
        <v>1.1663468466518192</v>
      </c>
      <c r="DH145" s="3255" t="str">
        <f t="shared" si="34"/>
        <v>Cooling RES 18 Year EUL</v>
      </c>
      <c r="DI145" s="3260">
        <f>(INDEX('Avoided Cost Benefits'!$B$4:$B$866,MATCH(DH145,'Avoided Cost Benefits'!$A$4:$A$866,0)))*F145</f>
        <v>1173.7126402668732</v>
      </c>
      <c r="DJ145" s="2507">
        <f t="shared" si="33"/>
        <v>1006.3152685980149</v>
      </c>
    </row>
    <row r="146" spans="1:114">
      <c r="A146" s="453"/>
      <c r="B146" s="1454">
        <f t="shared" si="21"/>
        <v>351185</v>
      </c>
      <c r="C146" s="2554" t="s">
        <v>1888</v>
      </c>
      <c r="D146" s="2402" t="s">
        <v>1118</v>
      </c>
      <c r="E146" s="2936" t="s">
        <v>1889</v>
      </c>
      <c r="F146" s="2552">
        <f>ROUND(((J228*J300*(1/J372-1/J444))/1000)*J588*$J$598,2)</f>
        <v>372.79</v>
      </c>
      <c r="G146" s="3246" t="s">
        <v>1045</v>
      </c>
      <c r="H146" s="2213">
        <f>VLOOKUP(G146,'CP FACTORS'!$A$3:$B$38, 2, FALSE)</f>
        <v>9.4741810000000004E-4</v>
      </c>
      <c r="I146" s="2404">
        <f t="shared" si="35"/>
        <v>0.353188</v>
      </c>
      <c r="J146" s="3248">
        <v>18</v>
      </c>
      <c r="K146" s="2988">
        <f t="shared" si="27"/>
        <v>1006.3152685980149</v>
      </c>
      <c r="L146" s="2573">
        <f t="shared" si="28"/>
        <v>2</v>
      </c>
      <c r="N146" s="561"/>
      <c r="T146" s="52"/>
      <c r="U146" s="52"/>
      <c r="V146" s="2425" t="s">
        <v>45</v>
      </c>
      <c r="W146" s="3249"/>
      <c r="X146" s="3250"/>
      <c r="Y146" s="3251"/>
      <c r="Z146" s="3251">
        <v>408.37</v>
      </c>
      <c r="AA146" s="2877">
        <v>408.37</v>
      </c>
      <c r="AB146" s="3222">
        <v>408.37</v>
      </c>
      <c r="AC146" s="3252">
        <v>407.55</v>
      </c>
      <c r="AD146" s="2553">
        <v>407.55</v>
      </c>
      <c r="AE146" s="2552">
        <v>324.38</v>
      </c>
      <c r="AF146" s="2236">
        <f t="shared" si="32"/>
        <v>372.79</v>
      </c>
      <c r="AG146" s="356"/>
      <c r="AH146" s="121"/>
      <c r="DG146" s="3259">
        <f>(DI146)/(DJ146)</f>
        <v>0.84824604647638802</v>
      </c>
      <c r="DH146" s="3255" t="str">
        <f t="shared" si="34"/>
        <v>Cooling RES 18 Year EUL</v>
      </c>
      <c r="DI146" s="3260">
        <f>(INDEX('Avoided Cost Benefits'!$B$4:$B$866,MATCH(DH146,'Avoided Cost Benefits'!$A$4:$A$866,0)))*F146</f>
        <v>853.60294809709058</v>
      </c>
      <c r="DJ146" s="2507">
        <f t="shared" si="33"/>
        <v>1006.3152685980149</v>
      </c>
    </row>
    <row r="147" spans="1:114">
      <c r="A147" s="453"/>
      <c r="B147" s="1454">
        <f t="shared" si="21"/>
        <v>351190</v>
      </c>
      <c r="C147" s="682" t="s">
        <v>1890</v>
      </c>
      <c r="D147" s="1894" t="s">
        <v>1043</v>
      </c>
      <c r="E147" s="1394" t="s">
        <v>1891</v>
      </c>
      <c r="F147" s="131">
        <f>ROUND(((J229*J301*(1/J517-1/J445))/1000)*J589*$J$598,2)</f>
        <v>2724.14</v>
      </c>
      <c r="G147" s="266" t="s">
        <v>1045</v>
      </c>
      <c r="H147" s="69">
        <f>VLOOKUP(G147,'CP FACTORS'!$A$3:$B$38, 2, FALSE)</f>
        <v>9.4741810000000004E-4</v>
      </c>
      <c r="I147" s="1473">
        <f t="shared" si="35"/>
        <v>2.5809000000000002</v>
      </c>
      <c r="J147" s="199">
        <f t="shared" ref="J147:J155" si="38">J662</f>
        <v>6</v>
      </c>
      <c r="K147" s="206">
        <f t="shared" si="27"/>
        <v>1193.5185947700302</v>
      </c>
      <c r="L147" s="175">
        <f t="shared" si="28"/>
        <v>3.297874149663266</v>
      </c>
      <c r="N147" s="561"/>
      <c r="T147" s="52"/>
      <c r="U147" s="52"/>
      <c r="V147" s="1378" t="s">
        <v>45</v>
      </c>
      <c r="W147" s="950"/>
      <c r="X147" s="201"/>
      <c r="Y147" s="678"/>
      <c r="Z147" s="678">
        <v>2265.87</v>
      </c>
      <c r="AA147" s="202">
        <v>2265.87</v>
      </c>
      <c r="AB147" s="948">
        <v>2265.87</v>
      </c>
      <c r="AC147" s="826">
        <v>2515.91</v>
      </c>
      <c r="AD147" s="131">
        <v>2849.43</v>
      </c>
      <c r="AE147" s="131">
        <v>2671.22</v>
      </c>
      <c r="AF147" s="271">
        <f t="shared" si="32"/>
        <v>2724.14</v>
      </c>
      <c r="AG147" s="356"/>
      <c r="AH147" s="121"/>
      <c r="DG147" s="1090">
        <f>(DI147+DI148)/(DJ147+DJ148)</f>
        <v>3.3685067344796575</v>
      </c>
      <c r="DH147" s="1369" t="str">
        <f t="shared" si="34"/>
        <v>Cooling RES 6 Year EUL</v>
      </c>
      <c r="DI147" s="1091">
        <f>(INDEX('Avoided Cost Benefits'!$B$4:$B$866,MATCH(DH147,'Avoided Cost Benefits'!$A$4:$A$866,0)))*F147</f>
        <v>2712.8296358444491</v>
      </c>
      <c r="DJ147" s="1176">
        <f t="shared" si="33"/>
        <v>1193.5185947700302</v>
      </c>
    </row>
    <row r="148" spans="1:114">
      <c r="A148" s="453"/>
      <c r="B148" s="1454">
        <f t="shared" ref="B148:B155" si="39">VALUE(LEFT(C148,6))</f>
        <v>351190</v>
      </c>
      <c r="C148" s="682" t="s">
        <v>1890</v>
      </c>
      <c r="D148" s="1894" t="s">
        <v>1043</v>
      </c>
      <c r="E148" s="1395" t="s">
        <v>1892</v>
      </c>
      <c r="F148" s="131">
        <f>ROUND(((J230*J302*(1/J374-1/J446))/1000)*J590*$J$598,2)</f>
        <v>1010.53</v>
      </c>
      <c r="G148" s="266" t="s">
        <v>1786</v>
      </c>
      <c r="H148" s="69">
        <f>VLOOKUP(G148,'CP FACTORS'!$A$3:$B$38, 2, FALSE)</f>
        <v>9.4741810000000004E-4</v>
      </c>
      <c r="I148" s="1473">
        <f t="shared" si="35"/>
        <v>0.95739399999999997</v>
      </c>
      <c r="J148" s="199">
        <f t="shared" si="38"/>
        <v>12</v>
      </c>
      <c r="K148" s="135">
        <f t="shared" si="27"/>
        <v>0</v>
      </c>
      <c r="L148" s="175">
        <f t="shared" si="28"/>
        <v>3.297874149663266</v>
      </c>
      <c r="N148" s="561"/>
      <c r="T148" s="52"/>
      <c r="U148" s="52"/>
      <c r="V148" s="1378" t="s">
        <v>45</v>
      </c>
      <c r="W148" s="950"/>
      <c r="X148" s="201"/>
      <c r="Y148" s="678"/>
      <c r="Z148" s="678">
        <v>916.75</v>
      </c>
      <c r="AA148" s="202">
        <v>916.75</v>
      </c>
      <c r="AB148" s="948">
        <v>916.75</v>
      </c>
      <c r="AC148" s="826">
        <v>1081.83</v>
      </c>
      <c r="AD148" s="131">
        <v>1055.1400000000001</v>
      </c>
      <c r="AE148" s="131">
        <v>880.23</v>
      </c>
      <c r="AF148" s="271">
        <f t="shared" ref="AF148:AF155" si="40">IF(F148&lt;&gt;"",F148,"")</f>
        <v>1010.53</v>
      </c>
      <c r="AG148" s="356"/>
      <c r="AH148" s="121"/>
      <c r="DG148" s="1092"/>
      <c r="DH148" s="1370" t="str">
        <f t="shared" si="34"/>
        <v>Cooling RES ER2 12 Year EUL</v>
      </c>
      <c r="DI148" s="1091">
        <f>(INDEX('Avoided Cost Benefits'!$B$4:$B$866,MATCH(DH148,'Avoided Cost Benefits'!$A$4:$A$866,0)))*F148</f>
        <v>1307.5457883650949</v>
      </c>
      <c r="DJ148" s="1176">
        <f t="shared" ref="DJ148:DJ155" si="41">K148/(1.0686^(2025-2025))</f>
        <v>0</v>
      </c>
    </row>
    <row r="149" spans="1:114">
      <c r="A149" s="453"/>
      <c r="B149" s="1454">
        <f t="shared" si="39"/>
        <v>351191</v>
      </c>
      <c r="C149" s="682" t="s">
        <v>1893</v>
      </c>
      <c r="D149" s="1894" t="s">
        <v>1043</v>
      </c>
      <c r="E149" s="1394" t="s">
        <v>1894</v>
      </c>
      <c r="F149" s="131">
        <f>ROUND(((J231*J303*(1/J375-1/J447))/1000)*J591*$J$598,2)</f>
        <v>1067.57</v>
      </c>
      <c r="G149" s="266" t="s">
        <v>1045</v>
      </c>
      <c r="H149" s="69">
        <f>VLOOKUP(G149,'CP FACTORS'!$A$3:$B$38, 2, FALSE)</f>
        <v>9.4741810000000004E-4</v>
      </c>
      <c r="I149" s="1473">
        <f t="shared" si="35"/>
        <v>1.0114350000000001</v>
      </c>
      <c r="J149" s="199">
        <f t="shared" si="38"/>
        <v>18</v>
      </c>
      <c r="K149" s="206">
        <f t="shared" ref="K149:K155" si="42">J736</f>
        <v>1240.2557184934958</v>
      </c>
      <c r="L149" s="175">
        <f t="shared" ref="L149:L155" si="43">K303</f>
        <v>3.376689189189189</v>
      </c>
      <c r="N149" s="561"/>
      <c r="T149" s="52"/>
      <c r="U149" s="52"/>
      <c r="V149" s="1378" t="s">
        <v>45</v>
      </c>
      <c r="W149" s="950"/>
      <c r="X149" s="201"/>
      <c r="Y149" s="678"/>
      <c r="Z149" s="678">
        <v>916.75</v>
      </c>
      <c r="AA149" s="202">
        <v>916.75</v>
      </c>
      <c r="AB149" s="948">
        <v>916.75</v>
      </c>
      <c r="AC149" s="826">
        <v>1009.72</v>
      </c>
      <c r="AD149" s="131">
        <v>1069.17</v>
      </c>
      <c r="AE149" s="131">
        <v>990.06</v>
      </c>
      <c r="AF149" s="271">
        <f t="shared" si="40"/>
        <v>1067.57</v>
      </c>
      <c r="AG149" s="356"/>
      <c r="AH149" s="121"/>
      <c r="DG149" s="1090">
        <f>(DI149)/(DJ149)</f>
        <v>1.9709553019910859</v>
      </c>
      <c r="DH149" s="204" t="str">
        <f t="shared" si="34"/>
        <v>Cooling RES 18 Year EUL</v>
      </c>
      <c r="DI149" s="1091">
        <f>(INDEX('Avoided Cost Benefits'!$B$4:$B$866,MATCH(DH149,'Avoided Cost Benefits'!$A$4:$A$866,0)))*F149</f>
        <v>2444.4885841895193</v>
      </c>
      <c r="DJ149" s="1176">
        <f t="shared" si="41"/>
        <v>1240.2557184934958</v>
      </c>
    </row>
    <row r="150" spans="1:114">
      <c r="A150" s="453"/>
      <c r="B150" s="1454">
        <f t="shared" si="39"/>
        <v>351192</v>
      </c>
      <c r="C150" s="2554" t="s">
        <v>1895</v>
      </c>
      <c r="D150" s="2402" t="s">
        <v>1122</v>
      </c>
      <c r="E150" s="2936" t="s">
        <v>1896</v>
      </c>
      <c r="F150" s="2553">
        <f>ROUND(((J232*J304*(1/J520-1/J448))/1000)*J592*$J$598,2)</f>
        <v>1507.56</v>
      </c>
      <c r="G150" s="3246" t="s">
        <v>1045</v>
      </c>
      <c r="H150" s="2213">
        <f>VLOOKUP(G150,'CP FACTORS'!$A$3:$B$38, 2, FALSE)</f>
        <v>9.4741810000000004E-4</v>
      </c>
      <c r="I150" s="2519">
        <f t="shared" si="35"/>
        <v>1.4282900000000001</v>
      </c>
      <c r="J150" s="3247">
        <f t="shared" si="38"/>
        <v>6</v>
      </c>
      <c r="K150" s="2988">
        <f t="shared" si="42"/>
        <v>1080.2617102968206</v>
      </c>
      <c r="L150" s="2573">
        <f t="shared" si="43"/>
        <v>2</v>
      </c>
      <c r="N150" s="561"/>
      <c r="T150" s="52"/>
      <c r="U150" s="52"/>
      <c r="V150" s="2425" t="s">
        <v>45</v>
      </c>
      <c r="W150" s="3249"/>
      <c r="X150" s="3250"/>
      <c r="Y150" s="3251"/>
      <c r="Z150" s="3251">
        <v>1510.58</v>
      </c>
      <c r="AA150" s="2877">
        <v>1510.58</v>
      </c>
      <c r="AB150" s="3222">
        <v>1510.58</v>
      </c>
      <c r="AC150" s="3252">
        <v>1507.56</v>
      </c>
      <c r="AD150" s="2553">
        <v>1507.56</v>
      </c>
      <c r="AE150" s="2553">
        <v>1507.56</v>
      </c>
      <c r="AF150" s="2236">
        <f t="shared" si="40"/>
        <v>1507.56</v>
      </c>
      <c r="AG150" s="356"/>
      <c r="AH150" s="121"/>
      <c r="DG150" s="3259">
        <f>(DI150+DI151)/(DJ150+DJ151)</f>
        <v>2.0630911152186182</v>
      </c>
      <c r="DH150" s="2521" t="str">
        <f t="shared" si="34"/>
        <v>Cooling RES 6 Year EUL</v>
      </c>
      <c r="DI150" s="3260">
        <f>(INDEX('Avoided Cost Benefits'!$B$4:$B$866,MATCH(DH150,'Avoided Cost Benefits'!$A$4:$A$866,0)))*F150</f>
        <v>1501.3007576019065</v>
      </c>
      <c r="DJ150" s="2507">
        <f t="shared" si="41"/>
        <v>1080.2617102968206</v>
      </c>
    </row>
    <row r="151" spans="1:114">
      <c r="A151" s="453"/>
      <c r="B151" s="1454">
        <f t="shared" si="39"/>
        <v>351192</v>
      </c>
      <c r="C151" s="2554" t="s">
        <v>1895</v>
      </c>
      <c r="D151" s="2402" t="s">
        <v>1122</v>
      </c>
      <c r="E151" s="2939" t="s">
        <v>1897</v>
      </c>
      <c r="F151" s="2552">
        <f>ROUND(((J233*J305*(1/J377-1/J449))/1000)*J593*$J$598,2)</f>
        <v>562.15</v>
      </c>
      <c r="G151" s="3246" t="s">
        <v>1786</v>
      </c>
      <c r="H151" s="2213">
        <f>VLOOKUP(G151,'CP FACTORS'!$A$3:$B$38, 2, FALSE)</f>
        <v>9.4741810000000004E-4</v>
      </c>
      <c r="I151" s="2404">
        <f t="shared" si="35"/>
        <v>0.53259100000000004</v>
      </c>
      <c r="J151" s="3247">
        <f t="shared" si="38"/>
        <v>12</v>
      </c>
      <c r="K151" s="2583">
        <f t="shared" si="42"/>
        <v>0</v>
      </c>
      <c r="L151" s="2573">
        <f t="shared" si="43"/>
        <v>2</v>
      </c>
      <c r="N151" s="561"/>
      <c r="T151" s="52"/>
      <c r="U151" s="52"/>
      <c r="V151" s="2425" t="s">
        <v>45</v>
      </c>
      <c r="W151" s="3249"/>
      <c r="X151" s="3250"/>
      <c r="Y151" s="3251"/>
      <c r="Z151" s="3251">
        <v>611.16</v>
      </c>
      <c r="AA151" s="2877">
        <v>611.16</v>
      </c>
      <c r="AB151" s="3222">
        <v>611.16</v>
      </c>
      <c r="AC151" s="3252">
        <v>609.94000000000005</v>
      </c>
      <c r="AD151" s="2553">
        <v>609.94000000000005</v>
      </c>
      <c r="AE151" s="2552">
        <v>495.58</v>
      </c>
      <c r="AF151" s="2236">
        <f t="shared" si="40"/>
        <v>562.15</v>
      </c>
      <c r="AG151" s="356"/>
      <c r="AH151" s="121"/>
      <c r="DG151" s="3261"/>
      <c r="DH151" s="2522" t="str">
        <f t="shared" si="34"/>
        <v>Cooling RES ER2 12 Year EUL</v>
      </c>
      <c r="DI151" s="3260">
        <f>(INDEX('Avoided Cost Benefits'!$B$4:$B$866,MATCH(DH151,'Avoided Cost Benefits'!$A$4:$A$866,0)))*F151</f>
        <v>727.37757902233295</v>
      </c>
      <c r="DJ151" s="2507">
        <f t="shared" si="41"/>
        <v>0</v>
      </c>
    </row>
    <row r="152" spans="1:114">
      <c r="A152" s="453"/>
      <c r="B152" s="1454">
        <f t="shared" si="39"/>
        <v>351193</v>
      </c>
      <c r="C152" s="2554" t="s">
        <v>1898</v>
      </c>
      <c r="D152" s="2402" t="s">
        <v>1118</v>
      </c>
      <c r="E152" s="2936" t="s">
        <v>1899</v>
      </c>
      <c r="F152" s="2553">
        <f>ROUND(((J234*J306*(1/J522-1/J450))/1000)*J594*$J$598,2)</f>
        <v>1096.4100000000001</v>
      </c>
      <c r="G152" s="3246" t="s">
        <v>1045</v>
      </c>
      <c r="H152" s="2213">
        <f>VLOOKUP(G152,'CP FACTORS'!$A$3:$B$38, 2, FALSE)</f>
        <v>9.4741810000000004E-4</v>
      </c>
      <c r="I152" s="2519">
        <f t="shared" si="35"/>
        <v>1.038759</v>
      </c>
      <c r="J152" s="3247">
        <f t="shared" si="38"/>
        <v>6</v>
      </c>
      <c r="K152" s="2988">
        <f t="shared" si="42"/>
        <v>1080.2617102968206</v>
      </c>
      <c r="L152" s="2573">
        <f t="shared" si="43"/>
        <v>2</v>
      </c>
      <c r="N152" s="561"/>
      <c r="T152" s="52"/>
      <c r="U152" s="52"/>
      <c r="V152" s="2425" t="s">
        <v>45</v>
      </c>
      <c r="W152" s="3249"/>
      <c r="X152" s="3250"/>
      <c r="Y152" s="3251"/>
      <c r="Z152" s="3251">
        <v>1098.5999999999999</v>
      </c>
      <c r="AA152" s="2877">
        <v>1098.5999999999999</v>
      </c>
      <c r="AB152" s="3222">
        <v>1098.5999999999999</v>
      </c>
      <c r="AC152" s="3252">
        <v>1096.4100000000001</v>
      </c>
      <c r="AD152" s="2553">
        <v>1096.4100000000001</v>
      </c>
      <c r="AE152" s="2553">
        <v>1096.4100000000001</v>
      </c>
      <c r="AF152" s="2236">
        <f t="shared" si="40"/>
        <v>1096.4100000000001</v>
      </c>
      <c r="AG152" s="356"/>
      <c r="AH152" s="121"/>
      <c r="DG152" s="3259">
        <f>(DI152+DI153)/(DJ152+DJ153)</f>
        <v>1.5004367717160927</v>
      </c>
      <c r="DH152" s="2521" t="str">
        <f t="shared" si="34"/>
        <v>Cooling RES 6 Year EUL</v>
      </c>
      <c r="DI152" s="3260">
        <f>(INDEX('Avoided Cost Benefits'!$B$4:$B$866,MATCH(DH152,'Avoided Cost Benefits'!$A$4:$A$866,0)))*F152</f>
        <v>1091.8578123871066</v>
      </c>
      <c r="DJ152" s="2507">
        <f t="shared" si="41"/>
        <v>1080.2617102968206</v>
      </c>
    </row>
    <row r="153" spans="1:114">
      <c r="A153" s="453"/>
      <c r="B153" s="1454">
        <f t="shared" si="39"/>
        <v>351193</v>
      </c>
      <c r="C153" s="2554" t="s">
        <v>1898</v>
      </c>
      <c r="D153" s="2402" t="s">
        <v>1118</v>
      </c>
      <c r="E153" s="2939" t="s">
        <v>1900</v>
      </c>
      <c r="F153" s="2552">
        <f>ROUND(((J235*J307*(1/J379-1/J451))/1000)*J595*$J$598,2)</f>
        <v>408.84</v>
      </c>
      <c r="G153" s="3246" t="s">
        <v>1786</v>
      </c>
      <c r="H153" s="2213">
        <f>VLOOKUP(G153,'CP FACTORS'!$A$3:$B$38, 2, FALSE)</f>
        <v>9.4741810000000004E-4</v>
      </c>
      <c r="I153" s="2404">
        <f t="shared" si="35"/>
        <v>0.38734200000000002</v>
      </c>
      <c r="J153" s="3247">
        <f t="shared" si="38"/>
        <v>12</v>
      </c>
      <c r="K153" s="2583">
        <f t="shared" si="42"/>
        <v>0</v>
      </c>
      <c r="L153" s="2573">
        <f t="shared" si="43"/>
        <v>2</v>
      </c>
      <c r="N153" s="561"/>
      <c r="T153" s="52"/>
      <c r="U153" s="52"/>
      <c r="V153" s="2425" t="s">
        <v>45</v>
      </c>
      <c r="W153" s="3249"/>
      <c r="X153" s="3250"/>
      <c r="Y153" s="3251"/>
      <c r="Z153" s="3251">
        <v>444.48</v>
      </c>
      <c r="AA153" s="2877">
        <v>444.48</v>
      </c>
      <c r="AB153" s="3222">
        <v>444.48</v>
      </c>
      <c r="AC153" s="3252">
        <v>443.59</v>
      </c>
      <c r="AD153" s="2553">
        <v>443.59</v>
      </c>
      <c r="AE153" s="2552">
        <v>360.42</v>
      </c>
      <c r="AF153" s="2236">
        <f t="shared" si="40"/>
        <v>408.84</v>
      </c>
      <c r="AG153" s="356"/>
      <c r="AH153" s="121"/>
      <c r="DG153" s="3261"/>
      <c r="DH153" s="2522" t="str">
        <f t="shared" si="34"/>
        <v>Cooling RES ER2 12 Year EUL</v>
      </c>
      <c r="DI153" s="3260">
        <f>(INDEX('Avoided Cost Benefits'!$B$4:$B$866,MATCH(DH153,'Avoided Cost Benefits'!$A$4:$A$866,0)))*F153</f>
        <v>529.00658081915969</v>
      </c>
      <c r="DJ153" s="2507">
        <f t="shared" si="41"/>
        <v>0</v>
      </c>
    </row>
    <row r="154" spans="1:114">
      <c r="A154" s="453"/>
      <c r="B154" s="1454">
        <f t="shared" si="39"/>
        <v>351194</v>
      </c>
      <c r="C154" s="2554" t="s">
        <v>1901</v>
      </c>
      <c r="D154" s="2402" t="s">
        <v>1122</v>
      </c>
      <c r="E154" s="2936" t="s">
        <v>1902</v>
      </c>
      <c r="F154" s="2552">
        <f>ROUND(((J236*J308*(1/J380-1/J452))/1000)*J596*$J$598,2)</f>
        <v>562.15</v>
      </c>
      <c r="G154" s="3246" t="s">
        <v>1045</v>
      </c>
      <c r="H154" s="2213">
        <f>VLOOKUP(G154,'CP FACTORS'!$A$3:$B$38, 2, FALSE)</f>
        <v>9.4741810000000004E-4</v>
      </c>
      <c r="I154" s="2404">
        <f t="shared" si="35"/>
        <v>0.53259100000000004</v>
      </c>
      <c r="J154" s="3247">
        <f t="shared" si="38"/>
        <v>18</v>
      </c>
      <c r="K154" s="2988">
        <f t="shared" si="42"/>
        <v>1006.3152685980149</v>
      </c>
      <c r="L154" s="2573">
        <f t="shared" si="43"/>
        <v>2</v>
      </c>
      <c r="N154" s="561"/>
      <c r="T154" s="52"/>
      <c r="U154" s="52"/>
      <c r="V154" s="2425" t="s">
        <v>45</v>
      </c>
      <c r="W154" s="3249"/>
      <c r="X154" s="3250"/>
      <c r="Y154" s="3251"/>
      <c r="Z154" s="3251">
        <v>611.16</v>
      </c>
      <c r="AA154" s="2877">
        <v>611.16</v>
      </c>
      <c r="AB154" s="3222">
        <v>611.16</v>
      </c>
      <c r="AC154" s="3252">
        <v>609.94000000000005</v>
      </c>
      <c r="AD154" s="2553">
        <v>609.94000000000005</v>
      </c>
      <c r="AE154" s="2552">
        <v>495.58</v>
      </c>
      <c r="AF154" s="2236">
        <f t="shared" si="40"/>
        <v>562.15</v>
      </c>
      <c r="AG154" s="356"/>
      <c r="AH154" s="121"/>
      <c r="DG154" s="3259">
        <f>(DI154)/(DJ154)</f>
        <v>1.2791156281732381</v>
      </c>
      <c r="DH154" s="3255" t="str">
        <f t="shared" si="34"/>
        <v>Cooling RES 18 Year EUL</v>
      </c>
      <c r="DI154" s="3260">
        <f>(INDEX('Avoided Cost Benefits'!$B$4:$B$866,MATCH(DH154,'Avoided Cost Benefits'!$A$4:$A$866,0)))*F154</f>
        <v>1287.1935869330707</v>
      </c>
      <c r="DJ154" s="2507">
        <f t="shared" si="41"/>
        <v>1006.3152685980149</v>
      </c>
    </row>
    <row r="155" spans="1:114">
      <c r="A155" s="453"/>
      <c r="B155" s="1454">
        <f t="shared" si="39"/>
        <v>351195</v>
      </c>
      <c r="C155" s="2554" t="s">
        <v>1903</v>
      </c>
      <c r="D155" s="2402" t="s">
        <v>1118</v>
      </c>
      <c r="E155" s="2835" t="s">
        <v>1904</v>
      </c>
      <c r="F155" s="2552">
        <f>ROUND(((J237*J309*(1/J381-1/J453))/1000)*J597*$J$598,2)</f>
        <v>408.84</v>
      </c>
      <c r="G155" s="3246" t="s">
        <v>1045</v>
      </c>
      <c r="H155" s="2213">
        <f>VLOOKUP(G155,'CP FACTORS'!$A$3:$B$38, 2, FALSE)</f>
        <v>9.4741810000000004E-4</v>
      </c>
      <c r="I155" s="2404">
        <f t="shared" si="35"/>
        <v>0.38734200000000002</v>
      </c>
      <c r="J155" s="3247">
        <f t="shared" si="38"/>
        <v>18</v>
      </c>
      <c r="K155" s="2988">
        <f t="shared" si="42"/>
        <v>1006.3152685980149</v>
      </c>
      <c r="L155" s="2573">
        <f t="shared" si="43"/>
        <v>2</v>
      </c>
      <c r="N155" s="561"/>
      <c r="T155" s="52"/>
      <c r="U155" s="52"/>
      <c r="V155" s="2425" t="s">
        <v>45</v>
      </c>
      <c r="W155" s="3249"/>
      <c r="X155" s="3250"/>
      <c r="Y155" s="3251"/>
      <c r="Z155" s="3251">
        <v>444.48</v>
      </c>
      <c r="AA155" s="2877">
        <v>444.48</v>
      </c>
      <c r="AB155" s="3222">
        <v>444.48</v>
      </c>
      <c r="AC155" s="3252">
        <v>443.59</v>
      </c>
      <c r="AD155" s="2553">
        <v>443.59</v>
      </c>
      <c r="AE155" s="2552">
        <v>360.42</v>
      </c>
      <c r="AF155" s="2236">
        <f t="shared" si="40"/>
        <v>408.84</v>
      </c>
      <c r="AG155" s="356"/>
      <c r="AH155" s="121"/>
      <c r="DG155" s="3086">
        <f>(DI155)/(DJ155)</f>
        <v>0.93027418557742003</v>
      </c>
      <c r="DH155" s="3255" t="str">
        <f t="shared" si="34"/>
        <v>Cooling RES 18 Year EUL</v>
      </c>
      <c r="DI155" s="3254">
        <f>(INDEX('Avoided Cost Benefits'!$B$4:$B$866,MATCH(DH155,'Avoided Cost Benefits'!$A$4:$A$866,0)))*F155</f>
        <v>936.14911692914097</v>
      </c>
      <c r="DJ155" s="2484">
        <f t="shared" si="41"/>
        <v>1006.3152685980149</v>
      </c>
    </row>
    <row r="156" spans="1:114" outlineLevel="1">
      <c r="A156" s="453"/>
      <c r="C156" s="51"/>
      <c r="D156" s="77" t="s">
        <v>118</v>
      </c>
      <c r="E156" s="973" t="s">
        <v>1905</v>
      </c>
      <c r="F156" s="558"/>
      <c r="G156" s="973"/>
      <c r="H156" s="974"/>
      <c r="I156" s="975"/>
      <c r="J156" s="976"/>
      <c r="K156" s="559"/>
      <c r="L156" s="559"/>
      <c r="M156" s="560"/>
      <c r="N156" s="561"/>
      <c r="S156" s="52"/>
      <c r="T156" s="52"/>
      <c r="U156" s="52"/>
      <c r="V156" s="52"/>
      <c r="DG156" s="573"/>
      <c r="DH156" s="188"/>
      <c r="DI156" s="1091"/>
      <c r="DJ156" s="1187"/>
    </row>
    <row r="157" spans="1:114" outlineLevel="1">
      <c r="A157" s="453"/>
      <c r="C157" s="51"/>
      <c r="D157" s="77" t="s">
        <v>963</v>
      </c>
      <c r="E157" s="973" t="s">
        <v>1906</v>
      </c>
      <c r="F157" s="558"/>
      <c r="G157" s="973"/>
      <c r="H157" s="974"/>
      <c r="I157" s="975"/>
      <c r="J157" s="976"/>
      <c r="K157" s="559"/>
      <c r="L157" s="559"/>
      <c r="M157" s="560"/>
      <c r="N157" s="561"/>
      <c r="S157" s="52"/>
      <c r="T157" s="52"/>
      <c r="U157" s="52"/>
      <c r="V157" s="52"/>
      <c r="DG157" s="1085"/>
      <c r="DH157" s="556"/>
      <c r="DI157" s="1091"/>
      <c r="DJ157" s="1187"/>
    </row>
    <row r="158" spans="1:114" outlineLevel="1">
      <c r="A158" s="453"/>
      <c r="C158" s="51"/>
      <c r="E158" s="973" t="s">
        <v>1907</v>
      </c>
      <c r="F158" s="558"/>
      <c r="G158" s="973"/>
      <c r="H158" s="974"/>
      <c r="I158" s="975"/>
      <c r="J158" s="976"/>
      <c r="K158" s="559"/>
      <c r="L158" s="559"/>
      <c r="M158" s="560"/>
      <c r="N158" s="561"/>
      <c r="S158" s="52"/>
      <c r="T158" s="52"/>
      <c r="U158" s="52"/>
      <c r="V158" s="52"/>
      <c r="DG158" s="1085"/>
      <c r="DH158" s="556"/>
      <c r="DI158" s="1091"/>
      <c r="DJ158" s="1187"/>
    </row>
    <row r="159" spans="1:114" outlineLevel="1">
      <c r="A159" s="453"/>
      <c r="C159" s="51"/>
      <c r="D159" s="973"/>
      <c r="E159" s="973" t="s">
        <v>1908</v>
      </c>
      <c r="F159" s="558"/>
      <c r="G159" s="973"/>
      <c r="H159" s="974"/>
      <c r="I159" s="975"/>
      <c r="J159" s="976"/>
      <c r="K159" s="559"/>
      <c r="L159" s="559"/>
      <c r="M159" s="560"/>
      <c r="N159" s="561"/>
      <c r="S159" s="52"/>
      <c r="T159" s="52"/>
      <c r="U159" s="52"/>
      <c r="V159" s="52"/>
      <c r="DG159" s="1085"/>
      <c r="DH159" s="556"/>
      <c r="DI159" s="1091"/>
      <c r="DJ159" s="1187"/>
    </row>
    <row r="160" spans="1:114" outlineLevel="1">
      <c r="A160" s="453"/>
      <c r="C160" s="51"/>
      <c r="D160" s="973"/>
      <c r="E160" s="973" t="s">
        <v>1909</v>
      </c>
      <c r="F160" s="558"/>
      <c r="G160" s="973"/>
      <c r="H160" s="974"/>
      <c r="I160" s="975"/>
      <c r="J160" s="976"/>
      <c r="K160" s="559"/>
      <c r="L160" s="559"/>
      <c r="M160" s="560"/>
      <c r="N160" s="561"/>
      <c r="S160" s="52"/>
      <c r="T160" s="52"/>
      <c r="U160" s="52"/>
      <c r="V160" s="52"/>
      <c r="DG160" s="1085"/>
      <c r="DH160" s="556"/>
      <c r="DI160" s="1091"/>
      <c r="DJ160" s="1187"/>
    </row>
    <row r="161" spans="1:114" outlineLevel="1">
      <c r="A161" s="453"/>
      <c r="C161" s="51"/>
      <c r="E161" s="104" t="s">
        <v>1910</v>
      </c>
      <c r="G161" s="104"/>
      <c r="N161" s="561"/>
      <c r="O161" s="559"/>
      <c r="S161" s="52"/>
      <c r="T161" s="52"/>
      <c r="U161" s="52"/>
      <c r="V161" s="52"/>
      <c r="DG161" s="1085"/>
      <c r="DH161" s="556"/>
      <c r="DI161" s="1091"/>
      <c r="DJ161" s="1187"/>
    </row>
    <row r="162" spans="1:114" outlineLevel="1">
      <c r="A162" s="453"/>
      <c r="C162" s="51"/>
      <c r="D162" s="104"/>
      <c r="E162" s="104" t="s">
        <v>1911</v>
      </c>
      <c r="F162" s="104"/>
      <c r="H162" s="104"/>
      <c r="N162" s="561"/>
      <c r="O162" s="559"/>
      <c r="S162" s="52"/>
      <c r="T162" s="52"/>
      <c r="U162" s="52"/>
      <c r="V162" s="52"/>
      <c r="DG162" s="1085"/>
      <c r="DH162" s="556"/>
      <c r="DI162" s="1091"/>
      <c r="DJ162" s="1187"/>
    </row>
    <row r="163" spans="1:114" outlineLevel="1">
      <c r="A163" s="453"/>
      <c r="C163" s="51"/>
      <c r="D163" s="104"/>
      <c r="E163" s="52" t="s">
        <v>966</v>
      </c>
      <c r="G163" s="104"/>
      <c r="I163" s="51"/>
      <c r="J163" s="51"/>
      <c r="K163" s="51"/>
      <c r="L163" s="51"/>
      <c r="M163" s="51"/>
      <c r="N163" s="561"/>
      <c r="S163" s="52"/>
      <c r="T163" s="52"/>
      <c r="U163" s="52"/>
      <c r="V163" s="52"/>
      <c r="DG163" s="1085"/>
      <c r="DH163" s="556"/>
      <c r="DI163" s="1091"/>
      <c r="DJ163" s="1187"/>
    </row>
    <row r="164" spans="1:114" outlineLevel="1">
      <c r="A164" s="453"/>
      <c r="C164" s="51"/>
      <c r="D164" s="104"/>
      <c r="G164" s="104"/>
      <c r="I164" s="51"/>
      <c r="J164" s="51"/>
      <c r="K164" s="51"/>
      <c r="L164" s="51"/>
      <c r="M164" s="51"/>
      <c r="N164" s="561"/>
      <c r="S164" s="52"/>
      <c r="T164" s="52"/>
      <c r="U164" s="52"/>
      <c r="V164" s="52"/>
      <c r="DG164" s="1085"/>
      <c r="DH164" s="556"/>
      <c r="DI164" s="1091"/>
      <c r="DJ164" s="1187"/>
    </row>
    <row r="165" spans="1:114" ht="30" outlineLevel="1">
      <c r="A165" s="453"/>
      <c r="C165" s="51"/>
      <c r="D165" s="1443" t="s">
        <v>1078</v>
      </c>
      <c r="E165" s="1443" t="s">
        <v>967</v>
      </c>
      <c r="F165" s="4068" t="s">
        <v>968</v>
      </c>
      <c r="G165" s="4068"/>
      <c r="H165" s="4068"/>
      <c r="I165" s="1371" t="s">
        <v>42</v>
      </c>
      <c r="J165" s="1371" t="s">
        <v>969</v>
      </c>
      <c r="K165" s="1371" t="s">
        <v>1912</v>
      </c>
      <c r="L165" s="1371" t="s">
        <v>1184</v>
      </c>
      <c r="N165" s="561"/>
      <c r="O165" s="561"/>
      <c r="P165" s="283"/>
      <c r="R165"/>
      <c r="S165" s="4287" t="s">
        <v>1913</v>
      </c>
      <c r="T165" s="4287"/>
      <c r="U165" s="52"/>
      <c r="V165" s="177" t="s">
        <v>52</v>
      </c>
      <c r="W165" s="669">
        <v>43252</v>
      </c>
      <c r="X165" s="669">
        <f>$X$6</f>
        <v>43465</v>
      </c>
      <c r="Y165" s="669">
        <f>$Y$6</f>
        <v>43800</v>
      </c>
      <c r="Z165" s="669">
        <f>$Z$6</f>
        <v>43862</v>
      </c>
      <c r="AA165" s="669">
        <f>$AA$6</f>
        <v>44013</v>
      </c>
      <c r="AB165" s="669">
        <f>$AB$6</f>
        <v>44166</v>
      </c>
      <c r="AC165" s="669">
        <f>$AC$6</f>
        <v>44531</v>
      </c>
      <c r="AD165" s="669">
        <f>$AD$6</f>
        <v>44774</v>
      </c>
      <c r="AE165" s="669">
        <f>$AE$6</f>
        <v>45142</v>
      </c>
      <c r="AF165" s="669">
        <f t="shared" ref="AF165" si="44">AF$6</f>
        <v>45672</v>
      </c>
      <c r="AG165" s="669" t="str">
        <f>$AG$6</f>
        <v>-</v>
      </c>
      <c r="DG165" s="573"/>
      <c r="DH165" s="188"/>
      <c r="DI165" s="1091"/>
      <c r="DJ165" s="1187"/>
    </row>
    <row r="166" spans="1:114" ht="14.65" customHeight="1" outlineLevel="1">
      <c r="A166" s="453"/>
      <c r="C166" s="51"/>
      <c r="D166" s="4293" t="s">
        <v>1914</v>
      </c>
      <c r="E166" s="4293" t="s">
        <v>1915</v>
      </c>
      <c r="F166" s="4339" t="str">
        <f t="shared" ref="F166:F197" si="45">E84</f>
        <v>CAC-SEER14_ER1_SF</v>
      </c>
      <c r="G166" s="4339"/>
      <c r="H166" s="4339"/>
      <c r="I166" s="3262" t="str">
        <f t="shared" ref="I166:I197" si="46">C84</f>
        <v>350400_2024_12_</v>
      </c>
      <c r="J166" s="3263">
        <v>869</v>
      </c>
      <c r="K166" s="1442"/>
      <c r="L166" s="4288" t="s">
        <v>1916</v>
      </c>
      <c r="N166" s="561"/>
      <c r="O166" s="561"/>
      <c r="Q166" s="1883" t="s">
        <v>1917</v>
      </c>
      <c r="R166" s="1883" t="s">
        <v>1918</v>
      </c>
      <c r="S166" s="1884" t="s">
        <v>1919</v>
      </c>
      <c r="T166" s="1884" t="s">
        <v>1920</v>
      </c>
      <c r="U166" s="52"/>
      <c r="V166" s="4293" t="str">
        <f>D166</f>
        <v>FLHcool</v>
      </c>
      <c r="W166" s="3262">
        <v>869</v>
      </c>
      <c r="X166" s="3262">
        <f>W166</f>
        <v>869</v>
      </c>
      <c r="Y166" s="3262">
        <v>869</v>
      </c>
      <c r="Z166" s="3262">
        <v>869</v>
      </c>
      <c r="AA166" s="3262">
        <v>869</v>
      </c>
      <c r="AB166" s="3264">
        <v>869</v>
      </c>
      <c r="AC166" s="3264">
        <v>869</v>
      </c>
      <c r="AD166" s="3264">
        <v>869</v>
      </c>
      <c r="AE166" s="3262">
        <v>869</v>
      </c>
      <c r="AF166" s="2236">
        <f t="shared" ref="AF166:AF229" si="47">IF(J166&lt;&gt;"",J166,"")</f>
        <v>869</v>
      </c>
      <c r="AG166" s="1396"/>
      <c r="DG166" s="573"/>
      <c r="DH166" s="188"/>
      <c r="DI166" s="1091"/>
      <c r="DJ166" s="1187"/>
    </row>
    <row r="167" spans="1:114" ht="14.65" customHeight="1" outlineLevel="1">
      <c r="A167" s="453"/>
      <c r="C167" s="51"/>
      <c r="D167" s="4199"/>
      <c r="E167" s="4293"/>
      <c r="F167" s="4292" t="str">
        <f t="shared" si="45"/>
        <v>CAC-SEER14_ER2_SF</v>
      </c>
      <c r="G167" s="4292"/>
      <c r="H167" s="4292"/>
      <c r="I167" s="3262" t="str">
        <f t="shared" si="46"/>
        <v>350400_2024_12_</v>
      </c>
      <c r="J167" s="3263">
        <v>869</v>
      </c>
      <c r="K167" s="1442"/>
      <c r="L167" s="4197"/>
      <c r="N167" s="561"/>
      <c r="O167" s="561"/>
      <c r="Q167" s="1644">
        <v>13.9</v>
      </c>
      <c r="R167" s="1885">
        <v>111.40021423594317</v>
      </c>
      <c r="S167" s="1886">
        <v>3449.6933008396918</v>
      </c>
      <c r="T167" s="1887">
        <f>S167-S$178*S$184</f>
        <v>185.34665593474892</v>
      </c>
      <c r="U167" s="52"/>
      <c r="V167" s="4293"/>
      <c r="W167" s="3262">
        <v>869</v>
      </c>
      <c r="X167" s="3262">
        <f>W167</f>
        <v>869</v>
      </c>
      <c r="Y167" s="3262">
        <v>869</v>
      </c>
      <c r="Z167" s="3262">
        <v>869</v>
      </c>
      <c r="AA167" s="3262">
        <v>869</v>
      </c>
      <c r="AB167" s="3264">
        <v>869</v>
      </c>
      <c r="AC167" s="3264">
        <v>869</v>
      </c>
      <c r="AD167" s="3264">
        <v>869</v>
      </c>
      <c r="AE167" s="3262">
        <v>869</v>
      </c>
      <c r="AF167" s="2236">
        <f t="shared" si="47"/>
        <v>869</v>
      </c>
      <c r="AG167" s="1396"/>
      <c r="DG167" s="573"/>
      <c r="DH167" s="188"/>
      <c r="DI167" s="1091"/>
      <c r="DJ167" s="1187"/>
    </row>
    <row r="168" spans="1:114" ht="14.65" customHeight="1" outlineLevel="1">
      <c r="A168" s="453"/>
      <c r="C168" s="51"/>
      <c r="D168" s="4199"/>
      <c r="E168" s="4293"/>
      <c r="F168" s="4292" t="str">
        <f t="shared" si="45"/>
        <v>CAC-SEER14_ROF_SF</v>
      </c>
      <c r="G168" s="4292"/>
      <c r="H168" s="4292"/>
      <c r="I168" s="3262" t="str">
        <f t="shared" si="46"/>
        <v>350450_2024_12_</v>
      </c>
      <c r="J168" s="3263">
        <v>869</v>
      </c>
      <c r="K168" s="1442"/>
      <c r="L168" s="4197"/>
      <c r="N168" s="561"/>
      <c r="O168" s="561"/>
      <c r="Q168" s="1644">
        <v>14.4</v>
      </c>
      <c r="R168" s="1885">
        <v>230.22710942094773</v>
      </c>
      <c r="S168" s="1886">
        <v>3568.5201960246964</v>
      </c>
      <c r="T168" s="1887">
        <f t="shared" ref="T168:T176" si="48">S168-S$178*S$184</f>
        <v>304.17355111975348</v>
      </c>
      <c r="U168" s="52"/>
      <c r="V168" s="4293"/>
      <c r="W168" s="3262">
        <v>869</v>
      </c>
      <c r="X168" s="3262">
        <f>W168</f>
        <v>869</v>
      </c>
      <c r="Y168" s="3262">
        <v>869</v>
      </c>
      <c r="Z168" s="3262">
        <v>869</v>
      </c>
      <c r="AA168" s="3262">
        <v>869</v>
      </c>
      <c r="AB168" s="3264">
        <v>869</v>
      </c>
      <c r="AC168" s="3264">
        <v>869</v>
      </c>
      <c r="AD168" s="3264">
        <v>869</v>
      </c>
      <c r="AE168" s="3262">
        <v>869</v>
      </c>
      <c r="AF168" s="2236">
        <f t="shared" si="47"/>
        <v>869</v>
      </c>
      <c r="AG168" s="1396"/>
      <c r="DG168" s="573"/>
      <c r="DH168" s="188"/>
      <c r="DI168" s="1091"/>
      <c r="DJ168" s="1187"/>
    </row>
    <row r="169" spans="1:114" ht="14.65" customHeight="1" outlineLevel="1">
      <c r="A169" s="453"/>
      <c r="C169" s="51"/>
      <c r="D169" s="4199"/>
      <c r="E169" s="4293"/>
      <c r="F169" s="4292" t="str">
        <f t="shared" si="45"/>
        <v>CAC-SEER14_ER1_MF</v>
      </c>
      <c r="G169" s="4292"/>
      <c r="H169" s="4292"/>
      <c r="I169" s="3262" t="str">
        <f t="shared" si="46"/>
        <v>350500_2024_12_</v>
      </c>
      <c r="J169" s="3263">
        <v>869</v>
      </c>
      <c r="K169" s="1442"/>
      <c r="L169" s="4197"/>
      <c r="N169" s="561"/>
      <c r="O169" s="561"/>
      <c r="Q169" s="1644">
        <v>14.9</v>
      </c>
      <c r="R169" s="1885">
        <v>453.02753789283406</v>
      </c>
      <c r="S169" s="1886">
        <v>3791.3206244965827</v>
      </c>
      <c r="T169" s="1887">
        <f t="shared" si="48"/>
        <v>526.97397959163982</v>
      </c>
      <c r="U169" s="159"/>
      <c r="V169" s="4293"/>
      <c r="W169" s="3262">
        <v>869</v>
      </c>
      <c r="X169" s="3265">
        <v>1215</v>
      </c>
      <c r="Y169" s="3265">
        <v>869</v>
      </c>
      <c r="Z169" s="3262">
        <v>869</v>
      </c>
      <c r="AA169" s="3262">
        <v>869</v>
      </c>
      <c r="AB169" s="3264">
        <v>869</v>
      </c>
      <c r="AC169" s="3264">
        <v>869</v>
      </c>
      <c r="AD169" s="3264">
        <v>869</v>
      </c>
      <c r="AE169" s="3262">
        <v>869</v>
      </c>
      <c r="AF169" s="2236">
        <f t="shared" si="47"/>
        <v>869</v>
      </c>
      <c r="AG169" s="1396"/>
      <c r="DG169" s="573"/>
      <c r="DH169" s="188"/>
      <c r="DI169" s="1091"/>
      <c r="DJ169" s="1187"/>
    </row>
    <row r="170" spans="1:114" ht="14.65" customHeight="1" outlineLevel="1">
      <c r="A170" s="453"/>
      <c r="C170" s="51"/>
      <c r="D170" s="4199"/>
      <c r="E170" s="4293"/>
      <c r="F170" s="4292" t="str">
        <f t="shared" si="45"/>
        <v>CAC-SEER14_ER2_MF</v>
      </c>
      <c r="G170" s="4292"/>
      <c r="H170" s="4292"/>
      <c r="I170" s="3262" t="str">
        <f t="shared" si="46"/>
        <v>350500_2024_12_</v>
      </c>
      <c r="J170" s="3263">
        <v>869</v>
      </c>
      <c r="K170" s="1442"/>
      <c r="L170" s="4197"/>
      <c r="N170" s="561"/>
      <c r="O170" s="561"/>
      <c r="Q170" s="1644">
        <v>15.4</v>
      </c>
      <c r="R170" s="1885">
        <v>634.98122114487387</v>
      </c>
      <c r="S170" s="1886">
        <v>3973.2743077486225</v>
      </c>
      <c r="T170" s="1887">
        <f t="shared" si="48"/>
        <v>708.92766284367963</v>
      </c>
      <c r="U170" s="159"/>
      <c r="V170" s="4293"/>
      <c r="W170" s="3262">
        <v>869</v>
      </c>
      <c r="X170" s="3265">
        <v>1215</v>
      </c>
      <c r="Y170" s="3265">
        <v>869</v>
      </c>
      <c r="Z170" s="3262">
        <v>869</v>
      </c>
      <c r="AA170" s="3262">
        <v>869</v>
      </c>
      <c r="AB170" s="3264">
        <v>869</v>
      </c>
      <c r="AC170" s="3264">
        <v>869</v>
      </c>
      <c r="AD170" s="3264">
        <v>869</v>
      </c>
      <c r="AE170" s="3262">
        <v>869</v>
      </c>
      <c r="AF170" s="2236">
        <f t="shared" si="47"/>
        <v>869</v>
      </c>
      <c r="AG170" s="1396"/>
      <c r="DG170" s="573"/>
      <c r="DH170" s="188"/>
      <c r="DI170" s="1091"/>
      <c r="DJ170" s="1187"/>
    </row>
    <row r="171" spans="1:114" ht="14.65" customHeight="1" outlineLevel="1">
      <c r="A171" s="453"/>
      <c r="C171" s="51"/>
      <c r="D171" s="4199"/>
      <c r="E171" s="4293"/>
      <c r="F171" s="4292" t="str">
        <f t="shared" si="45"/>
        <v>CAC-SEER14_ER1_MF_CompE</v>
      </c>
      <c r="G171" s="4292"/>
      <c r="H171" s="4292"/>
      <c r="I171" s="3262" t="str">
        <f t="shared" si="46"/>
        <v>350501_2024_12_</v>
      </c>
      <c r="J171" s="3263">
        <v>632</v>
      </c>
      <c r="K171" s="1442"/>
      <c r="L171" s="4197"/>
      <c r="N171" s="561"/>
      <c r="O171" s="561"/>
      <c r="Q171" s="1644">
        <v>16.3</v>
      </c>
      <c r="R171" s="1885">
        <v>861.49499009128976</v>
      </c>
      <c r="S171" s="1886">
        <v>4199.7880766950384</v>
      </c>
      <c r="T171" s="1887">
        <f t="shared" si="48"/>
        <v>935.44143179009552</v>
      </c>
      <c r="U171" s="159"/>
      <c r="V171" s="4293"/>
      <c r="W171" s="3262"/>
      <c r="X171" s="3265"/>
      <c r="Y171" s="3265">
        <v>632</v>
      </c>
      <c r="Z171" s="3262">
        <v>632</v>
      </c>
      <c r="AA171" s="3262">
        <v>632</v>
      </c>
      <c r="AB171" s="3264">
        <v>632</v>
      </c>
      <c r="AC171" s="3264">
        <v>632</v>
      </c>
      <c r="AD171" s="3264">
        <v>632</v>
      </c>
      <c r="AE171" s="3262">
        <v>632</v>
      </c>
      <c r="AF171" s="2236">
        <f t="shared" si="47"/>
        <v>632</v>
      </c>
      <c r="AG171" s="1396"/>
      <c r="DG171" s="573"/>
      <c r="DH171" s="188"/>
      <c r="DI171" s="1091"/>
      <c r="DJ171" s="1187"/>
    </row>
    <row r="172" spans="1:114" ht="14.65" customHeight="1" outlineLevel="1">
      <c r="A172" s="453"/>
      <c r="C172" s="51"/>
      <c r="D172" s="4199"/>
      <c r="E172" s="4293"/>
      <c r="F172" s="4292" t="str">
        <f t="shared" si="45"/>
        <v>CAC-SEER14_ER2_MF_CompE</v>
      </c>
      <c r="G172" s="4292"/>
      <c r="H172" s="4292"/>
      <c r="I172" s="3262" t="str">
        <f t="shared" si="46"/>
        <v>350501_2024_12_</v>
      </c>
      <c r="J172" s="3263">
        <f>$J$171</f>
        <v>632</v>
      </c>
      <c r="K172" s="1442"/>
      <c r="L172" s="4197"/>
      <c r="N172" s="561"/>
      <c r="O172" s="561"/>
      <c r="Q172" s="1644">
        <v>16.8</v>
      </c>
      <c r="R172" s="1885">
        <v>891.20171388754079</v>
      </c>
      <c r="S172" s="1886">
        <v>4229.4948004912894</v>
      </c>
      <c r="T172" s="1887">
        <f t="shared" si="48"/>
        <v>965.14815558634655</v>
      </c>
      <c r="U172" s="52"/>
      <c r="V172" s="4293"/>
      <c r="W172" s="3262"/>
      <c r="X172" s="3265"/>
      <c r="Y172" s="3265">
        <v>632</v>
      </c>
      <c r="Z172" s="3262">
        <v>632</v>
      </c>
      <c r="AA172" s="3262">
        <v>632</v>
      </c>
      <c r="AB172" s="3264">
        <v>632</v>
      </c>
      <c r="AC172" s="3264">
        <v>632</v>
      </c>
      <c r="AD172" s="3264">
        <v>632</v>
      </c>
      <c r="AE172" s="3262">
        <v>632</v>
      </c>
      <c r="AF172" s="2236">
        <f t="shared" si="47"/>
        <v>632</v>
      </c>
      <c r="AG172" s="1396"/>
      <c r="DG172" s="573"/>
      <c r="DH172" s="188"/>
      <c r="DI172" s="1091"/>
      <c r="DJ172" s="1187"/>
    </row>
    <row r="173" spans="1:114" ht="14.65" customHeight="1" outlineLevel="1">
      <c r="A173" s="453"/>
      <c r="C173" s="51"/>
      <c r="D173" s="4199"/>
      <c r="E173" s="4293"/>
      <c r="F173" s="4292" t="str">
        <f t="shared" si="45"/>
        <v>CAC-SEER14_ROF_MF</v>
      </c>
      <c r="G173" s="4292"/>
      <c r="H173" s="4292"/>
      <c r="I173" s="3262" t="str">
        <f t="shared" si="46"/>
        <v>350550_2024_12_</v>
      </c>
      <c r="J173" s="3263">
        <v>869</v>
      </c>
      <c r="K173" s="1442"/>
      <c r="L173" s="4197"/>
      <c r="N173" s="561"/>
      <c r="O173" s="561"/>
      <c r="Q173" s="1644">
        <v>17.3</v>
      </c>
      <c r="R173" s="1885">
        <v>920.90843768379273</v>
      </c>
      <c r="S173" s="1886">
        <v>4259.2015242875414</v>
      </c>
      <c r="T173" s="1887">
        <f t="shared" si="48"/>
        <v>994.85487938259848</v>
      </c>
      <c r="U173" s="52"/>
      <c r="V173" s="4293"/>
      <c r="W173" s="3262">
        <v>869</v>
      </c>
      <c r="X173" s="3265">
        <v>1215</v>
      </c>
      <c r="Y173" s="3262">
        <v>869</v>
      </c>
      <c r="Z173" s="3262">
        <v>869</v>
      </c>
      <c r="AA173" s="3262">
        <v>869</v>
      </c>
      <c r="AB173" s="3264">
        <v>869</v>
      </c>
      <c r="AC173" s="3264">
        <v>869</v>
      </c>
      <c r="AD173" s="3264">
        <v>869</v>
      </c>
      <c r="AE173" s="3262">
        <v>869</v>
      </c>
      <c r="AF173" s="2236">
        <f t="shared" si="47"/>
        <v>869</v>
      </c>
      <c r="AG173" s="1396"/>
      <c r="DG173" s="573"/>
      <c r="DH173" s="188"/>
      <c r="DI173" s="1091"/>
      <c r="DJ173" s="1187"/>
    </row>
    <row r="174" spans="1:114" ht="14.65" customHeight="1" outlineLevel="1">
      <c r="A174" s="453"/>
      <c r="C174" s="51"/>
      <c r="D174" s="4199"/>
      <c r="E174" s="4293"/>
      <c r="F174" s="4292" t="str">
        <f t="shared" si="45"/>
        <v>CAC-SEER14_ROF_MF_CompE</v>
      </c>
      <c r="G174" s="4292"/>
      <c r="H174" s="4292"/>
      <c r="I174" s="3262" t="str">
        <f t="shared" si="46"/>
        <v>350551_2024_12_</v>
      </c>
      <c r="J174" s="3263">
        <f>$J$171</f>
        <v>632</v>
      </c>
      <c r="K174" s="1442"/>
      <c r="L174" s="4197"/>
      <c r="N174" s="561"/>
      <c r="O174" s="561"/>
      <c r="Q174" s="1644">
        <v>19.200000000000003</v>
      </c>
      <c r="R174" s="1885">
        <v>1006.3152685980149</v>
      </c>
      <c r="S174" s="1886">
        <v>4344.6083552017635</v>
      </c>
      <c r="T174" s="1887">
        <f t="shared" si="48"/>
        <v>1080.2617102968206</v>
      </c>
      <c r="U174" s="52"/>
      <c r="V174" s="4293"/>
      <c r="W174" s="3262"/>
      <c r="X174" s="3265"/>
      <c r="Y174" s="3265">
        <v>632</v>
      </c>
      <c r="Z174" s="3262">
        <v>632</v>
      </c>
      <c r="AA174" s="3262">
        <v>632</v>
      </c>
      <c r="AB174" s="3264">
        <v>632</v>
      </c>
      <c r="AC174" s="3264">
        <v>632</v>
      </c>
      <c r="AD174" s="3264">
        <v>632</v>
      </c>
      <c r="AE174" s="3262">
        <v>632</v>
      </c>
      <c r="AF174" s="2236">
        <f t="shared" si="47"/>
        <v>632</v>
      </c>
      <c r="AG174" s="1396"/>
      <c r="DG174" s="573"/>
      <c r="DH174" s="188"/>
      <c r="DI174" s="1091"/>
      <c r="DJ174" s="1187"/>
    </row>
    <row r="175" spans="1:114" outlineLevel="1">
      <c r="A175" s="453"/>
      <c r="C175" s="51"/>
      <c r="D175" s="4199"/>
      <c r="E175" s="4293"/>
      <c r="F175" s="4338" t="str">
        <f t="shared" si="45"/>
        <v>CAC-SEER15_ER1_SF</v>
      </c>
      <c r="G175" s="4338"/>
      <c r="H175" s="4338"/>
      <c r="I175" s="1396" t="str">
        <f t="shared" si="46"/>
        <v>350600_2024_12_</v>
      </c>
      <c r="J175" s="1790">
        <v>869</v>
      </c>
      <c r="K175" s="1442"/>
      <c r="L175" s="4197"/>
      <c r="N175" s="561"/>
      <c r="O175" s="561"/>
      <c r="Q175" s="1644">
        <v>21.1</v>
      </c>
      <c r="R175" s="1885">
        <v>1119.5721530712244</v>
      </c>
      <c r="S175" s="1886">
        <v>4457.8652396749731</v>
      </c>
      <c r="T175" s="1887">
        <f t="shared" si="48"/>
        <v>1193.5185947700302</v>
      </c>
      <c r="U175" s="52"/>
      <c r="V175" s="4293"/>
      <c r="W175" s="1396">
        <v>869</v>
      </c>
      <c r="X175" s="1396">
        <f>W175</f>
        <v>869</v>
      </c>
      <c r="Y175" s="1396">
        <v>869</v>
      </c>
      <c r="Z175" s="1396">
        <v>869</v>
      </c>
      <c r="AA175" s="1396">
        <v>869</v>
      </c>
      <c r="AB175" s="951">
        <v>869</v>
      </c>
      <c r="AC175" s="951">
        <v>869</v>
      </c>
      <c r="AD175" s="951">
        <v>869</v>
      </c>
      <c r="AE175" s="1396">
        <v>869</v>
      </c>
      <c r="AF175" s="271">
        <f t="shared" si="47"/>
        <v>869</v>
      </c>
      <c r="AG175" s="1396"/>
      <c r="DG175" s="573"/>
      <c r="DH175" s="188"/>
      <c r="DI175" s="1091"/>
      <c r="DJ175" s="1187"/>
    </row>
    <row r="176" spans="1:114" ht="15" customHeight="1" outlineLevel="1">
      <c r="A176" s="453"/>
      <c r="C176" s="51"/>
      <c r="D176" s="4199"/>
      <c r="E176" s="4293"/>
      <c r="F176" s="4338" t="str">
        <f t="shared" si="45"/>
        <v>CAC-SEER15_ER2_SF</v>
      </c>
      <c r="G176" s="4338"/>
      <c r="H176" s="4338"/>
      <c r="I176" s="1396" t="str">
        <f t="shared" si="46"/>
        <v>350600_2024_12_</v>
      </c>
      <c r="J176" s="1790">
        <v>869</v>
      </c>
      <c r="K176" s="1442"/>
      <c r="L176" s="4197"/>
      <c r="N176" s="561"/>
      <c r="O176" s="561"/>
      <c r="Q176" s="1644">
        <v>22.400000000000002</v>
      </c>
      <c r="R176" s="1885">
        <v>1240.2557184934958</v>
      </c>
      <c r="S176" s="1886">
        <v>4578.5488050972444</v>
      </c>
      <c r="T176" s="1887">
        <f t="shared" si="48"/>
        <v>1314.2021601923016</v>
      </c>
      <c r="U176" s="52"/>
      <c r="V176" s="4293"/>
      <c r="W176" s="1396">
        <v>869</v>
      </c>
      <c r="X176" s="1396">
        <f>W176</f>
        <v>869</v>
      </c>
      <c r="Y176" s="1396">
        <v>869</v>
      </c>
      <c r="Z176" s="1396">
        <v>869</v>
      </c>
      <c r="AA176" s="1396">
        <v>869</v>
      </c>
      <c r="AB176" s="951">
        <v>869</v>
      </c>
      <c r="AC176" s="951">
        <v>869</v>
      </c>
      <c r="AD176" s="951">
        <v>869</v>
      </c>
      <c r="AE176" s="1396">
        <v>869</v>
      </c>
      <c r="AF176" s="271">
        <f t="shared" si="47"/>
        <v>869</v>
      </c>
      <c r="AG176" s="1396"/>
      <c r="DG176" s="573"/>
      <c r="DH176" s="188"/>
      <c r="DI176" s="1091"/>
      <c r="DJ176" s="1187"/>
    </row>
    <row r="177" spans="1:114" outlineLevel="1">
      <c r="A177" s="453"/>
      <c r="C177" s="51"/>
      <c r="D177" s="4199"/>
      <c r="E177" s="4293"/>
      <c r="F177" s="4338" t="str">
        <f t="shared" si="45"/>
        <v>CAC-SEER15_ROF_SF</v>
      </c>
      <c r="G177" s="4338"/>
      <c r="H177" s="4338"/>
      <c r="I177" s="1396" t="str">
        <f t="shared" si="46"/>
        <v>350650_2024_12_</v>
      </c>
      <c r="J177" s="1790">
        <v>869</v>
      </c>
      <c r="K177" s="1442"/>
      <c r="L177" s="4197"/>
      <c r="N177" s="561"/>
      <c r="O177" s="561"/>
      <c r="U177" s="52"/>
      <c r="V177" s="4293"/>
      <c r="W177" s="1396">
        <v>869</v>
      </c>
      <c r="X177" s="1396">
        <f>W177</f>
        <v>869</v>
      </c>
      <c r="Y177" s="1396">
        <v>869</v>
      </c>
      <c r="Z177" s="1396">
        <v>869</v>
      </c>
      <c r="AA177" s="1396">
        <v>869</v>
      </c>
      <c r="AB177" s="951">
        <v>869</v>
      </c>
      <c r="AC177" s="951">
        <v>869</v>
      </c>
      <c r="AD177" s="951">
        <v>869</v>
      </c>
      <c r="AE177" s="1396">
        <v>869</v>
      </c>
      <c r="AF177" s="271">
        <f t="shared" si="47"/>
        <v>869</v>
      </c>
      <c r="AG177" s="1396"/>
      <c r="DG177" s="573"/>
      <c r="DH177" s="188"/>
      <c r="DI177" s="1091"/>
      <c r="DJ177" s="1187"/>
    </row>
    <row r="178" spans="1:114" outlineLevel="1">
      <c r="A178" s="453"/>
      <c r="C178" s="51"/>
      <c r="D178" s="4199"/>
      <c r="E178" s="4293"/>
      <c r="F178" s="4292" t="str">
        <f t="shared" si="45"/>
        <v>CAC-SEER15_ER1_MF</v>
      </c>
      <c r="G178" s="4292"/>
      <c r="H178" s="4292"/>
      <c r="I178" s="3262" t="str">
        <f t="shared" si="46"/>
        <v>350700_2024_12_</v>
      </c>
      <c r="J178" s="3263">
        <v>869</v>
      </c>
      <c r="K178" s="1442"/>
      <c r="L178" s="4197"/>
      <c r="N178" s="561"/>
      <c r="O178" s="561"/>
      <c r="P178" s="561"/>
      <c r="Q178" s="283"/>
      <c r="R178" s="1643" t="s">
        <v>1921</v>
      </c>
      <c r="S178" s="1886">
        <v>3669.5133412312694</v>
      </c>
      <c r="T178" s="283"/>
      <c r="U178" s="52"/>
      <c r="V178" s="4293"/>
      <c r="W178" s="3262">
        <v>869</v>
      </c>
      <c r="X178" s="3265">
        <v>1215</v>
      </c>
      <c r="Y178" s="3265">
        <v>869</v>
      </c>
      <c r="Z178" s="3262">
        <v>869</v>
      </c>
      <c r="AA178" s="3262">
        <v>869</v>
      </c>
      <c r="AB178" s="3264">
        <v>869</v>
      </c>
      <c r="AC178" s="3264">
        <v>869</v>
      </c>
      <c r="AD178" s="3264">
        <v>869</v>
      </c>
      <c r="AE178" s="3262">
        <v>869</v>
      </c>
      <c r="AF178" s="2236">
        <f t="shared" si="47"/>
        <v>869</v>
      </c>
      <c r="AG178" s="3262"/>
      <c r="DG178" s="573"/>
      <c r="DH178" s="188"/>
      <c r="DI178" s="1091"/>
      <c r="DJ178" s="1187"/>
    </row>
    <row r="179" spans="1:114" outlineLevel="1">
      <c r="A179" s="453"/>
      <c r="C179" s="51"/>
      <c r="D179" s="4199"/>
      <c r="E179" s="4293"/>
      <c r="F179" s="4292" t="str">
        <f t="shared" si="45"/>
        <v>CAC-SEER15_ER2_MF</v>
      </c>
      <c r="G179" s="4292"/>
      <c r="H179" s="4292"/>
      <c r="I179" s="3262" t="str">
        <f t="shared" si="46"/>
        <v>350700_2024_12_</v>
      </c>
      <c r="J179" s="3263">
        <v>869</v>
      </c>
      <c r="K179" s="1442"/>
      <c r="L179" s="4197"/>
      <c r="N179" s="561"/>
      <c r="O179" s="561"/>
      <c r="P179" s="561"/>
      <c r="S179"/>
      <c r="T179"/>
      <c r="U179" s="52"/>
      <c r="V179" s="4293"/>
      <c r="W179" s="3262">
        <v>869</v>
      </c>
      <c r="X179" s="3265">
        <v>1215</v>
      </c>
      <c r="Y179" s="3265">
        <v>869</v>
      </c>
      <c r="Z179" s="3262">
        <v>869</v>
      </c>
      <c r="AA179" s="3262">
        <v>869</v>
      </c>
      <c r="AB179" s="3264">
        <v>869</v>
      </c>
      <c r="AC179" s="3264">
        <v>869</v>
      </c>
      <c r="AD179" s="3264">
        <v>869</v>
      </c>
      <c r="AE179" s="3262">
        <v>869</v>
      </c>
      <c r="AF179" s="2236">
        <f t="shared" si="47"/>
        <v>869</v>
      </c>
      <c r="AG179" s="3262"/>
      <c r="DG179" s="573"/>
      <c r="DH179" s="188"/>
      <c r="DI179" s="1091"/>
      <c r="DJ179" s="1187"/>
    </row>
    <row r="180" spans="1:114" outlineLevel="1">
      <c r="A180" s="453"/>
      <c r="C180" s="51"/>
      <c r="D180" s="4199"/>
      <c r="E180" s="4293"/>
      <c r="F180" s="4292" t="str">
        <f t="shared" si="45"/>
        <v>CAC-SEER15_ER1_MF_CompE</v>
      </c>
      <c r="G180" s="4292"/>
      <c r="H180" s="4292"/>
      <c r="I180" s="3262" t="str">
        <f t="shared" si="46"/>
        <v>350701_2024_12_</v>
      </c>
      <c r="J180" s="3263">
        <f>$J$171</f>
        <v>632</v>
      </c>
      <c r="K180" s="1442"/>
      <c r="L180" s="4197"/>
      <c r="N180" s="561"/>
      <c r="O180" s="561"/>
      <c r="P180" s="561"/>
      <c r="S180" s="52"/>
      <c r="T180" s="52"/>
      <c r="U180" s="52"/>
      <c r="V180" s="4293"/>
      <c r="W180" s="3262"/>
      <c r="X180" s="3265"/>
      <c r="Y180" s="3265">
        <v>632</v>
      </c>
      <c r="Z180" s="3262">
        <v>632</v>
      </c>
      <c r="AA180" s="3262">
        <v>632</v>
      </c>
      <c r="AB180" s="3264">
        <v>632</v>
      </c>
      <c r="AC180" s="3264">
        <v>632</v>
      </c>
      <c r="AD180" s="3264">
        <v>632</v>
      </c>
      <c r="AE180" s="3262">
        <v>632</v>
      </c>
      <c r="AF180" s="2236">
        <f t="shared" si="47"/>
        <v>632</v>
      </c>
      <c r="AG180" s="3262"/>
      <c r="DG180" s="573"/>
      <c r="DH180" s="188"/>
      <c r="DI180" s="1091"/>
      <c r="DJ180" s="1187"/>
    </row>
    <row r="181" spans="1:114" outlineLevel="1">
      <c r="A181" s="453"/>
      <c r="C181" s="51"/>
      <c r="D181" s="4199"/>
      <c r="E181" s="4293"/>
      <c r="F181" s="4292" t="str">
        <f t="shared" si="45"/>
        <v>CAC-SEER15_ER2_MF_CompE</v>
      </c>
      <c r="G181" s="4292"/>
      <c r="H181" s="4292"/>
      <c r="I181" s="3262" t="str">
        <f t="shared" si="46"/>
        <v>350701_2024_12_</v>
      </c>
      <c r="J181" s="3263">
        <f>$J$171</f>
        <v>632</v>
      </c>
      <c r="K181" s="1442"/>
      <c r="L181" s="4197"/>
      <c r="N181" s="561"/>
      <c r="O181" s="561"/>
      <c r="P181" s="561"/>
      <c r="R181" s="1643" t="s">
        <v>1922</v>
      </c>
      <c r="S181" s="1643" t="s">
        <v>969</v>
      </c>
      <c r="T181" s="1643" t="s">
        <v>970</v>
      </c>
      <c r="U181" s="52"/>
      <c r="V181" s="4293"/>
      <c r="W181" s="3262"/>
      <c r="X181" s="3265"/>
      <c r="Y181" s="3265">
        <v>632</v>
      </c>
      <c r="Z181" s="3262">
        <v>632</v>
      </c>
      <c r="AA181" s="3262">
        <v>632</v>
      </c>
      <c r="AB181" s="3264">
        <v>632</v>
      </c>
      <c r="AC181" s="3264">
        <v>632</v>
      </c>
      <c r="AD181" s="3264">
        <v>632</v>
      </c>
      <c r="AE181" s="3262">
        <v>632</v>
      </c>
      <c r="AF181" s="2236">
        <f t="shared" si="47"/>
        <v>632</v>
      </c>
      <c r="AG181" s="3262"/>
      <c r="DG181" s="573"/>
      <c r="DH181" s="188"/>
      <c r="DI181" s="1091"/>
      <c r="DJ181" s="1187"/>
    </row>
    <row r="182" spans="1:114" outlineLevel="1">
      <c r="A182" s="453"/>
      <c r="C182" s="51"/>
      <c r="D182" s="4199"/>
      <c r="E182" s="4293"/>
      <c r="F182" s="4292" t="str">
        <f t="shared" si="45"/>
        <v>CAC-SEER15_ROF_MF</v>
      </c>
      <c r="G182" s="4292"/>
      <c r="H182" s="4292"/>
      <c r="I182" s="3262" t="str">
        <f t="shared" si="46"/>
        <v>350750_2024_12_</v>
      </c>
      <c r="J182" s="3263">
        <v>869</v>
      </c>
      <c r="K182" s="1442"/>
      <c r="L182" s="4197"/>
      <c r="N182" s="561"/>
      <c r="O182" s="561"/>
      <c r="P182" s="561"/>
      <c r="R182" s="71" t="s">
        <v>1923</v>
      </c>
      <c r="S182" s="260">
        <v>2.3128228708516586E-2</v>
      </c>
      <c r="T182" s="71" t="s">
        <v>1924</v>
      </c>
      <c r="U182" s="52"/>
      <c r="V182" s="4293"/>
      <c r="W182" s="3262">
        <v>869</v>
      </c>
      <c r="X182" s="3265">
        <v>1215</v>
      </c>
      <c r="Y182" s="3265">
        <v>869</v>
      </c>
      <c r="Z182" s="3262">
        <v>869</v>
      </c>
      <c r="AA182" s="3262">
        <v>869</v>
      </c>
      <c r="AB182" s="3264">
        <v>869</v>
      </c>
      <c r="AC182" s="3264">
        <v>869</v>
      </c>
      <c r="AD182" s="3264">
        <v>869</v>
      </c>
      <c r="AE182" s="3262">
        <v>869</v>
      </c>
      <c r="AF182" s="2236">
        <f t="shared" si="47"/>
        <v>869</v>
      </c>
      <c r="AG182" s="3262"/>
      <c r="DG182" s="573"/>
      <c r="DH182" s="188"/>
      <c r="DI182" s="1091"/>
      <c r="DJ182" s="1187"/>
    </row>
    <row r="183" spans="1:114" outlineLevel="1">
      <c r="A183" s="453"/>
      <c r="C183" s="51"/>
      <c r="D183" s="4199"/>
      <c r="E183" s="4293"/>
      <c r="F183" s="4292" t="str">
        <f t="shared" si="45"/>
        <v>CAC-SEER15_ROF_MF_CompE</v>
      </c>
      <c r="G183" s="4292"/>
      <c r="H183" s="4292"/>
      <c r="I183" s="3262" t="str">
        <f t="shared" si="46"/>
        <v>350751_2024_12_</v>
      </c>
      <c r="J183" s="3263">
        <f>$J$171</f>
        <v>632</v>
      </c>
      <c r="K183" s="1442"/>
      <c r="L183" s="4197"/>
      <c r="N183" s="561"/>
      <c r="O183" s="561"/>
      <c r="P183" s="561"/>
      <c r="R183" s="71" t="s">
        <v>1925</v>
      </c>
      <c r="S183" s="1378">
        <v>6</v>
      </c>
      <c r="T183" s="71" t="s">
        <v>1926</v>
      </c>
      <c r="U183" s="52"/>
      <c r="V183" s="4293"/>
      <c r="W183" s="3262"/>
      <c r="X183" s="3265"/>
      <c r="Y183" s="3262">
        <v>632</v>
      </c>
      <c r="Z183" s="3262">
        <v>632</v>
      </c>
      <c r="AA183" s="3262">
        <v>632</v>
      </c>
      <c r="AB183" s="3264">
        <v>632</v>
      </c>
      <c r="AC183" s="3264">
        <v>632</v>
      </c>
      <c r="AD183" s="3264">
        <v>632</v>
      </c>
      <c r="AE183" s="3262">
        <v>632</v>
      </c>
      <c r="AF183" s="2236">
        <f t="shared" si="47"/>
        <v>632</v>
      </c>
      <c r="AG183" s="3262"/>
      <c r="DG183" s="573"/>
      <c r="DH183" s="188"/>
      <c r="DI183" s="1091"/>
      <c r="DJ183" s="1187"/>
    </row>
    <row r="184" spans="1:114" outlineLevel="1">
      <c r="A184" s="453"/>
      <c r="C184" s="51"/>
      <c r="D184" s="4199"/>
      <c r="E184" s="4293"/>
      <c r="F184" s="4338" t="str">
        <f t="shared" si="45"/>
        <v>CAC-SEER16_ER1_SF</v>
      </c>
      <c r="G184" s="4338"/>
      <c r="H184" s="4338"/>
      <c r="I184" s="1396" t="str">
        <f t="shared" si="46"/>
        <v>350800_2024_12_</v>
      </c>
      <c r="J184" s="1790">
        <v>869</v>
      </c>
      <c r="K184" s="1442"/>
      <c r="L184" s="4197"/>
      <c r="N184" s="561"/>
      <c r="O184" s="561"/>
      <c r="P184" s="561"/>
      <c r="R184" s="71" t="s">
        <v>1927</v>
      </c>
      <c r="S184" s="202">
        <f>(1-S182)^(S183-1)</f>
        <v>0.88958571378558426</v>
      </c>
      <c r="T184" s="71" t="s">
        <v>1928</v>
      </c>
      <c r="U184" s="52"/>
      <c r="V184" s="4293"/>
      <c r="W184" s="1396">
        <v>869</v>
      </c>
      <c r="X184" s="1396">
        <f>W184</f>
        <v>869</v>
      </c>
      <c r="Y184" s="1396">
        <v>869</v>
      </c>
      <c r="Z184" s="1396">
        <v>869</v>
      </c>
      <c r="AA184" s="1396">
        <v>869</v>
      </c>
      <c r="AB184" s="951">
        <v>869</v>
      </c>
      <c r="AC184" s="951">
        <v>869</v>
      </c>
      <c r="AD184" s="951">
        <v>869</v>
      </c>
      <c r="AE184" s="1396">
        <v>869</v>
      </c>
      <c r="AF184" s="271">
        <f t="shared" si="47"/>
        <v>869</v>
      </c>
      <c r="AG184" s="1396"/>
      <c r="DG184" s="573"/>
      <c r="DH184" s="188"/>
      <c r="DI184" s="1091"/>
      <c r="DJ184" s="1187"/>
    </row>
    <row r="185" spans="1:114" outlineLevel="1">
      <c r="A185" s="453"/>
      <c r="C185" s="51"/>
      <c r="D185" s="4199"/>
      <c r="E185" s="4293"/>
      <c r="F185" s="4338" t="str">
        <f t="shared" si="45"/>
        <v>CAC-SEER16_ER2_SF</v>
      </c>
      <c r="G185" s="4338"/>
      <c r="H185" s="4338"/>
      <c r="I185" s="1396" t="str">
        <f t="shared" si="46"/>
        <v>350800_2024_12_</v>
      </c>
      <c r="J185" s="1790">
        <v>869</v>
      </c>
      <c r="K185" s="1442"/>
      <c r="L185" s="4197"/>
      <c r="N185" s="561"/>
      <c r="O185" s="561"/>
      <c r="P185" s="561"/>
      <c r="Q185" s="561"/>
      <c r="R185" s="561"/>
      <c r="S185" s="561"/>
      <c r="T185" s="52"/>
      <c r="U185" s="52"/>
      <c r="V185" s="4293"/>
      <c r="W185" s="1396">
        <v>869</v>
      </c>
      <c r="X185" s="1396">
        <f>W185</f>
        <v>869</v>
      </c>
      <c r="Y185" s="1396">
        <v>869</v>
      </c>
      <c r="Z185" s="1396">
        <v>869</v>
      </c>
      <c r="AA185" s="1396">
        <v>869</v>
      </c>
      <c r="AB185" s="951">
        <v>869</v>
      </c>
      <c r="AC185" s="951">
        <v>869</v>
      </c>
      <c r="AD185" s="951">
        <v>869</v>
      </c>
      <c r="AE185" s="1396">
        <v>869</v>
      </c>
      <c r="AF185" s="271">
        <f t="shared" si="47"/>
        <v>869</v>
      </c>
      <c r="AG185" s="1396"/>
      <c r="DG185" s="573"/>
      <c r="DH185" s="188"/>
      <c r="DI185" s="1091"/>
      <c r="DJ185" s="1187"/>
    </row>
    <row r="186" spans="1:114" outlineLevel="1">
      <c r="A186" s="453"/>
      <c r="C186" s="51"/>
      <c r="D186" s="4199"/>
      <c r="E186" s="4293"/>
      <c r="F186" s="4338" t="str">
        <f t="shared" si="45"/>
        <v>CAC-SEER16_ROF_SF</v>
      </c>
      <c r="G186" s="4338"/>
      <c r="H186" s="4338"/>
      <c r="I186" s="1396" t="str">
        <f t="shared" si="46"/>
        <v>350850_2024_12_</v>
      </c>
      <c r="J186" s="1790">
        <v>869</v>
      </c>
      <c r="K186" s="1442"/>
      <c r="L186" s="4197"/>
      <c r="N186" s="561"/>
      <c r="O186" s="561"/>
      <c r="P186" s="561"/>
      <c r="Q186" s="561"/>
      <c r="R186" s="561"/>
      <c r="S186" s="561"/>
      <c r="T186" s="52"/>
      <c r="U186" s="52"/>
      <c r="V186" s="4293"/>
      <c r="W186" s="1396">
        <v>869</v>
      </c>
      <c r="X186" s="1396">
        <f>W186</f>
        <v>869</v>
      </c>
      <c r="Y186" s="1396">
        <v>869</v>
      </c>
      <c r="Z186" s="1396">
        <v>869</v>
      </c>
      <c r="AA186" s="1396">
        <v>869</v>
      </c>
      <c r="AB186" s="951">
        <v>869</v>
      </c>
      <c r="AC186" s="951">
        <v>869</v>
      </c>
      <c r="AD186" s="951">
        <v>869</v>
      </c>
      <c r="AE186" s="1396">
        <v>869</v>
      </c>
      <c r="AF186" s="271">
        <f t="shared" si="47"/>
        <v>869</v>
      </c>
      <c r="AG186" s="1396"/>
      <c r="DG186" s="573"/>
      <c r="DH186" s="188"/>
      <c r="DI186" s="1091"/>
      <c r="DJ186" s="1187"/>
    </row>
    <row r="187" spans="1:114" ht="15" customHeight="1" outlineLevel="1">
      <c r="A187" s="453"/>
      <c r="C187" s="51"/>
      <c r="D187" s="4199"/>
      <c r="E187" s="4293"/>
      <c r="F187" s="4338" t="str">
        <f t="shared" si="45"/>
        <v>CAC-SEER16_ER1_MF</v>
      </c>
      <c r="G187" s="4338"/>
      <c r="H187" s="4338"/>
      <c r="I187" s="1396" t="str">
        <f t="shared" si="46"/>
        <v>350900_2024_12_</v>
      </c>
      <c r="J187" s="1790">
        <v>869</v>
      </c>
      <c r="K187" s="1442"/>
      <c r="L187" s="4197"/>
      <c r="N187" s="561"/>
      <c r="O187" s="561"/>
      <c r="P187" s="561"/>
      <c r="Q187" s="561"/>
      <c r="R187" s="561"/>
      <c r="S187" s="561"/>
      <c r="T187" s="52"/>
      <c r="U187" s="52"/>
      <c r="V187" s="4293"/>
      <c r="W187" s="1396">
        <v>869</v>
      </c>
      <c r="X187" s="833">
        <v>1215</v>
      </c>
      <c r="Y187" s="833">
        <v>869</v>
      </c>
      <c r="Z187" s="1396">
        <v>869</v>
      </c>
      <c r="AA187" s="1396">
        <v>869</v>
      </c>
      <c r="AB187" s="951">
        <v>869</v>
      </c>
      <c r="AC187" s="951">
        <v>869</v>
      </c>
      <c r="AD187" s="951">
        <v>869</v>
      </c>
      <c r="AE187" s="1396">
        <v>869</v>
      </c>
      <c r="AF187" s="271">
        <f t="shared" si="47"/>
        <v>869</v>
      </c>
      <c r="AG187" s="1396"/>
      <c r="DG187" s="573"/>
      <c r="DH187" s="188"/>
      <c r="DI187" s="1091"/>
      <c r="DJ187" s="1187"/>
    </row>
    <row r="188" spans="1:114" outlineLevel="1">
      <c r="A188" s="453"/>
      <c r="C188" s="51"/>
      <c r="D188" s="4199"/>
      <c r="E188" s="4293"/>
      <c r="F188" s="4338" t="str">
        <f t="shared" si="45"/>
        <v>CAC-SEER16_ER2_MF</v>
      </c>
      <c r="G188" s="4338"/>
      <c r="H188" s="4338"/>
      <c r="I188" s="1396" t="str">
        <f t="shared" si="46"/>
        <v>350900_2024_12_</v>
      </c>
      <c r="J188" s="1790">
        <v>869</v>
      </c>
      <c r="K188" s="1442"/>
      <c r="L188" s="4197"/>
      <c r="N188" s="561"/>
      <c r="S188" s="52"/>
      <c r="T188" s="52"/>
      <c r="U188" s="52"/>
      <c r="V188" s="4293"/>
      <c r="W188" s="1396">
        <v>869</v>
      </c>
      <c r="X188" s="833">
        <v>1215</v>
      </c>
      <c r="Y188" s="833">
        <v>869</v>
      </c>
      <c r="Z188" s="1396">
        <v>869</v>
      </c>
      <c r="AA188" s="1396">
        <v>869</v>
      </c>
      <c r="AB188" s="951">
        <v>869</v>
      </c>
      <c r="AC188" s="951">
        <v>869</v>
      </c>
      <c r="AD188" s="951">
        <v>869</v>
      </c>
      <c r="AE188" s="1396">
        <v>869</v>
      </c>
      <c r="AF188" s="271">
        <f t="shared" si="47"/>
        <v>869</v>
      </c>
      <c r="AG188" s="1396"/>
      <c r="DG188" s="573"/>
      <c r="DH188" s="188"/>
      <c r="DI188" s="1091"/>
      <c r="DJ188" s="1187"/>
    </row>
    <row r="189" spans="1:114" outlineLevel="1">
      <c r="A189" s="453"/>
      <c r="C189" s="51"/>
      <c r="D189" s="4199"/>
      <c r="E189" s="4293"/>
      <c r="F189" s="4292" t="str">
        <f t="shared" si="45"/>
        <v>CAC-SEER16_ER1_MF_CompE</v>
      </c>
      <c r="G189" s="4292"/>
      <c r="H189" s="4292"/>
      <c r="I189" s="3262" t="str">
        <f t="shared" si="46"/>
        <v>350901_2024_12_</v>
      </c>
      <c r="J189" s="3263">
        <f>$J$171</f>
        <v>632</v>
      </c>
      <c r="K189" s="1442"/>
      <c r="L189" s="4197"/>
      <c r="N189" s="561"/>
      <c r="S189" s="52"/>
      <c r="T189" s="52"/>
      <c r="U189" s="52"/>
      <c r="V189" s="4293"/>
      <c r="W189" s="3262"/>
      <c r="X189" s="3265"/>
      <c r="Y189" s="3265">
        <v>632</v>
      </c>
      <c r="Z189" s="3262">
        <v>632</v>
      </c>
      <c r="AA189" s="3262">
        <v>632</v>
      </c>
      <c r="AB189" s="3264">
        <v>632</v>
      </c>
      <c r="AC189" s="3264">
        <v>632</v>
      </c>
      <c r="AD189" s="3264">
        <v>632</v>
      </c>
      <c r="AE189" s="3262">
        <v>632</v>
      </c>
      <c r="AF189" s="2236">
        <f t="shared" si="47"/>
        <v>632</v>
      </c>
      <c r="AG189" s="3262"/>
      <c r="DG189" s="573"/>
      <c r="DH189" s="188"/>
      <c r="DI189" s="1091"/>
      <c r="DJ189" s="1187"/>
    </row>
    <row r="190" spans="1:114" outlineLevel="1">
      <c r="A190" s="453"/>
      <c r="C190" s="51"/>
      <c r="D190" s="4199"/>
      <c r="E190" s="4293"/>
      <c r="F190" s="4292" t="str">
        <f t="shared" si="45"/>
        <v>CAC-SEER16_ER2_MF_CompE</v>
      </c>
      <c r="G190" s="4292"/>
      <c r="H190" s="4292"/>
      <c r="I190" s="3262" t="str">
        <f t="shared" si="46"/>
        <v>350901_2024_12_</v>
      </c>
      <c r="J190" s="3263">
        <f>$J$171</f>
        <v>632</v>
      </c>
      <c r="K190" s="1442"/>
      <c r="L190" s="4197"/>
      <c r="N190" s="561"/>
      <c r="S190" s="52"/>
      <c r="T190" s="52"/>
      <c r="U190" s="52"/>
      <c r="V190" s="4293"/>
      <c r="W190" s="3262"/>
      <c r="X190" s="3265"/>
      <c r="Y190" s="3265">
        <v>632</v>
      </c>
      <c r="Z190" s="3262">
        <v>632</v>
      </c>
      <c r="AA190" s="3262">
        <v>632</v>
      </c>
      <c r="AB190" s="3264">
        <v>632</v>
      </c>
      <c r="AC190" s="3264">
        <v>632</v>
      </c>
      <c r="AD190" s="3264">
        <v>632</v>
      </c>
      <c r="AE190" s="3262">
        <v>632</v>
      </c>
      <c r="AF190" s="2236">
        <f t="shared" si="47"/>
        <v>632</v>
      </c>
      <c r="AG190" s="3262"/>
      <c r="DG190" s="573"/>
      <c r="DH190" s="188"/>
      <c r="DI190" s="1091"/>
      <c r="DJ190" s="1187"/>
    </row>
    <row r="191" spans="1:114" outlineLevel="1">
      <c r="A191" s="453"/>
      <c r="C191" s="51"/>
      <c r="D191" s="4199"/>
      <c r="E191" s="4293"/>
      <c r="F191" s="4292" t="str">
        <f t="shared" si="45"/>
        <v>CAC-SEER16_ROF_MF</v>
      </c>
      <c r="G191" s="4292"/>
      <c r="H191" s="4292"/>
      <c r="I191" s="3262" t="str">
        <f t="shared" si="46"/>
        <v>350950_2024_12_</v>
      </c>
      <c r="J191" s="3263">
        <v>869</v>
      </c>
      <c r="K191" s="1442"/>
      <c r="L191" s="4197"/>
      <c r="N191" s="561"/>
      <c r="S191" s="52"/>
      <c r="T191" s="52"/>
      <c r="U191" s="52"/>
      <c r="V191" s="4293"/>
      <c r="W191" s="3262">
        <v>869</v>
      </c>
      <c r="X191" s="3265">
        <v>1215</v>
      </c>
      <c r="Y191" s="3262">
        <v>869</v>
      </c>
      <c r="Z191" s="3262">
        <v>869</v>
      </c>
      <c r="AA191" s="3262">
        <v>869</v>
      </c>
      <c r="AB191" s="3264">
        <v>869</v>
      </c>
      <c r="AC191" s="3264">
        <v>869</v>
      </c>
      <c r="AD191" s="3264">
        <v>869</v>
      </c>
      <c r="AE191" s="3262">
        <v>869</v>
      </c>
      <c r="AF191" s="2236">
        <f t="shared" si="47"/>
        <v>869</v>
      </c>
      <c r="AG191" s="3262"/>
      <c r="DG191" s="573"/>
      <c r="DH191" s="188"/>
      <c r="DI191" s="1091"/>
      <c r="DJ191" s="1187"/>
    </row>
    <row r="192" spans="1:114" outlineLevel="1">
      <c r="A192" s="453"/>
      <c r="C192" s="51"/>
      <c r="D192" s="4199"/>
      <c r="E192" s="4293"/>
      <c r="F192" s="4292" t="str">
        <f t="shared" si="45"/>
        <v>CAC-SEER16_ROF_MF_CompE</v>
      </c>
      <c r="G192" s="4292"/>
      <c r="H192" s="4292"/>
      <c r="I192" s="3262" t="str">
        <f t="shared" si="46"/>
        <v>350951_2024_12_</v>
      </c>
      <c r="J192" s="3263">
        <f>$J$171</f>
        <v>632</v>
      </c>
      <c r="K192" s="1442"/>
      <c r="L192" s="4197"/>
      <c r="N192" s="561"/>
      <c r="S192" s="52"/>
      <c r="T192" s="52"/>
      <c r="U192" s="52"/>
      <c r="V192" s="4293"/>
      <c r="W192" s="3262"/>
      <c r="X192" s="3265"/>
      <c r="Y192" s="3265">
        <v>632</v>
      </c>
      <c r="Z192" s="3262">
        <v>632</v>
      </c>
      <c r="AA192" s="3262">
        <v>632</v>
      </c>
      <c r="AB192" s="3264">
        <v>632</v>
      </c>
      <c r="AC192" s="3264">
        <v>632</v>
      </c>
      <c r="AD192" s="3264">
        <v>632</v>
      </c>
      <c r="AE192" s="3262">
        <v>632</v>
      </c>
      <c r="AF192" s="2236">
        <f t="shared" si="47"/>
        <v>632</v>
      </c>
      <c r="AG192" s="3262"/>
      <c r="DG192" s="573"/>
      <c r="DH192" s="188"/>
      <c r="DI192" s="1091"/>
      <c r="DJ192" s="1187"/>
    </row>
    <row r="193" spans="1:114" outlineLevel="1">
      <c r="A193" s="453"/>
      <c r="C193" s="51"/>
      <c r="D193" s="4199"/>
      <c r="E193" s="4293"/>
      <c r="F193" s="4338" t="str">
        <f t="shared" si="45"/>
        <v>CAC-SEER17_ER1_SF</v>
      </c>
      <c r="G193" s="4338"/>
      <c r="H193" s="4338"/>
      <c r="I193" s="1396" t="str">
        <f t="shared" si="46"/>
        <v>351000_2024_12_</v>
      </c>
      <c r="J193" s="1790">
        <v>869</v>
      </c>
      <c r="K193" s="1442"/>
      <c r="L193" s="4197"/>
      <c r="N193" s="561"/>
      <c r="S193" s="52"/>
      <c r="T193" s="52"/>
      <c r="U193" s="52"/>
      <c r="V193" s="4293"/>
      <c r="W193" s="1396">
        <v>869</v>
      </c>
      <c r="X193" s="1396">
        <f>W193</f>
        <v>869</v>
      </c>
      <c r="Y193" s="1396">
        <v>869</v>
      </c>
      <c r="Z193" s="1396">
        <v>869</v>
      </c>
      <c r="AA193" s="1396">
        <v>869</v>
      </c>
      <c r="AB193" s="951">
        <v>869</v>
      </c>
      <c r="AC193" s="951">
        <v>869</v>
      </c>
      <c r="AD193" s="951">
        <v>869</v>
      </c>
      <c r="AE193" s="1396">
        <v>869</v>
      </c>
      <c r="AF193" s="271">
        <f t="shared" si="47"/>
        <v>869</v>
      </c>
      <c r="AG193" s="1396"/>
      <c r="DG193" s="573"/>
      <c r="DH193" s="188"/>
      <c r="DI193" s="1091"/>
      <c r="DJ193" s="1187"/>
    </row>
    <row r="194" spans="1:114" outlineLevel="1">
      <c r="A194" s="453"/>
      <c r="C194" s="51"/>
      <c r="D194" s="4199"/>
      <c r="E194" s="4293"/>
      <c r="F194" s="4338" t="str">
        <f t="shared" si="45"/>
        <v>CAC-SEER17_ER2_SF</v>
      </c>
      <c r="G194" s="4338"/>
      <c r="H194" s="4338"/>
      <c r="I194" s="1396" t="str">
        <f t="shared" si="46"/>
        <v>351000_2024_12_</v>
      </c>
      <c r="J194" s="1790">
        <v>869</v>
      </c>
      <c r="K194" s="1442"/>
      <c r="L194" s="4197"/>
      <c r="N194" s="561"/>
      <c r="S194" s="52"/>
      <c r="T194" s="52"/>
      <c r="U194" s="52"/>
      <c r="V194" s="4293"/>
      <c r="W194" s="1396">
        <v>869</v>
      </c>
      <c r="X194" s="1396">
        <f>W194</f>
        <v>869</v>
      </c>
      <c r="Y194" s="1396">
        <v>869</v>
      </c>
      <c r="Z194" s="1396">
        <v>869</v>
      </c>
      <c r="AA194" s="1396">
        <v>869</v>
      </c>
      <c r="AB194" s="951">
        <v>869</v>
      </c>
      <c r="AC194" s="951">
        <v>869</v>
      </c>
      <c r="AD194" s="951">
        <v>869</v>
      </c>
      <c r="AE194" s="1396">
        <v>869</v>
      </c>
      <c r="AF194" s="271">
        <f t="shared" si="47"/>
        <v>869</v>
      </c>
      <c r="AG194" s="1396"/>
      <c r="DG194" s="573"/>
      <c r="DH194" s="188"/>
      <c r="DI194" s="1091"/>
      <c r="DJ194" s="1187"/>
    </row>
    <row r="195" spans="1:114" outlineLevel="1">
      <c r="A195" s="453"/>
      <c r="C195" s="51"/>
      <c r="D195" s="4199"/>
      <c r="E195" s="4293"/>
      <c r="F195" s="4338" t="str">
        <f t="shared" si="45"/>
        <v>CAC-SEER17_ROF_SF</v>
      </c>
      <c r="G195" s="4338"/>
      <c r="H195" s="4338"/>
      <c r="I195" s="1396" t="str">
        <f t="shared" si="46"/>
        <v>351050_2024_12_</v>
      </c>
      <c r="J195" s="1790">
        <v>869</v>
      </c>
      <c r="K195" s="1442"/>
      <c r="L195" s="4197"/>
      <c r="N195" s="561"/>
      <c r="S195" s="52"/>
      <c r="T195" s="52"/>
      <c r="U195" s="52"/>
      <c r="V195" s="4293"/>
      <c r="W195" s="1396">
        <v>869</v>
      </c>
      <c r="X195" s="1396">
        <f>W195</f>
        <v>869</v>
      </c>
      <c r="Y195" s="1396">
        <v>869</v>
      </c>
      <c r="Z195" s="1396">
        <v>869</v>
      </c>
      <c r="AA195" s="1396">
        <v>869</v>
      </c>
      <c r="AB195" s="951">
        <v>869</v>
      </c>
      <c r="AC195" s="951">
        <v>869</v>
      </c>
      <c r="AD195" s="951">
        <v>869</v>
      </c>
      <c r="AE195" s="1396">
        <v>869</v>
      </c>
      <c r="AF195" s="271">
        <f t="shared" si="47"/>
        <v>869</v>
      </c>
      <c r="AG195" s="1396"/>
      <c r="DG195" s="573"/>
      <c r="DH195" s="188"/>
      <c r="DI195" s="1091"/>
      <c r="DJ195" s="1187"/>
    </row>
    <row r="196" spans="1:114" outlineLevel="1">
      <c r="A196" s="453"/>
      <c r="C196" s="51"/>
      <c r="D196" s="4199"/>
      <c r="E196" s="4293"/>
      <c r="F196" s="4292" t="str">
        <f t="shared" si="45"/>
        <v>CAC-SEER17_ER1_MF</v>
      </c>
      <c r="G196" s="4292"/>
      <c r="H196" s="4292"/>
      <c r="I196" s="3262" t="str">
        <f t="shared" si="46"/>
        <v>351100_2024_12_</v>
      </c>
      <c r="J196" s="3263">
        <v>869</v>
      </c>
      <c r="K196" s="2962"/>
      <c r="L196" s="4197"/>
      <c r="N196" s="561"/>
      <c r="S196" s="52"/>
      <c r="T196" s="52"/>
      <c r="U196" s="52"/>
      <c r="V196" s="4293"/>
      <c r="W196" s="3262">
        <v>869</v>
      </c>
      <c r="X196" s="3262">
        <f>W196</f>
        <v>869</v>
      </c>
      <c r="Y196" s="3262">
        <v>869</v>
      </c>
      <c r="Z196" s="3262">
        <v>869</v>
      </c>
      <c r="AA196" s="3262">
        <v>869</v>
      </c>
      <c r="AB196" s="3264">
        <v>869</v>
      </c>
      <c r="AC196" s="3264">
        <v>869</v>
      </c>
      <c r="AD196" s="3264">
        <v>869</v>
      </c>
      <c r="AE196" s="3262">
        <v>869</v>
      </c>
      <c r="AF196" s="2236">
        <f t="shared" si="47"/>
        <v>869</v>
      </c>
      <c r="AG196" s="1396"/>
      <c r="DG196" s="573"/>
      <c r="DH196" s="188"/>
      <c r="DI196" s="1091"/>
      <c r="DJ196" s="1187"/>
    </row>
    <row r="197" spans="1:114" ht="14.65" customHeight="1" outlineLevel="1">
      <c r="A197" s="453"/>
      <c r="C197" s="51"/>
      <c r="D197" s="4199"/>
      <c r="E197" s="4293"/>
      <c r="F197" s="4292" t="str">
        <f t="shared" si="45"/>
        <v>CAC-SEER17_ER2_MF</v>
      </c>
      <c r="G197" s="4292"/>
      <c r="H197" s="4292"/>
      <c r="I197" s="3262" t="str">
        <f t="shared" si="46"/>
        <v>351100_2024_12_</v>
      </c>
      <c r="J197" s="3263">
        <v>869</v>
      </c>
      <c r="K197" s="2962"/>
      <c r="L197" s="4197"/>
      <c r="N197" s="561"/>
      <c r="S197" s="52"/>
      <c r="T197" s="52"/>
      <c r="U197" s="52"/>
      <c r="V197" s="4293"/>
      <c r="W197" s="3262">
        <v>869</v>
      </c>
      <c r="X197" s="3262">
        <f>W197</f>
        <v>869</v>
      </c>
      <c r="Y197" s="3262">
        <v>869</v>
      </c>
      <c r="Z197" s="3262">
        <v>869</v>
      </c>
      <c r="AA197" s="3262">
        <v>869</v>
      </c>
      <c r="AB197" s="3264">
        <v>869</v>
      </c>
      <c r="AC197" s="3264">
        <v>869</v>
      </c>
      <c r="AD197" s="3264">
        <v>869</v>
      </c>
      <c r="AE197" s="3262">
        <v>869</v>
      </c>
      <c r="AF197" s="2236">
        <f t="shared" si="47"/>
        <v>869</v>
      </c>
      <c r="AG197" s="1396"/>
      <c r="DG197" s="573"/>
      <c r="DH197" s="188"/>
      <c r="DI197" s="1091"/>
      <c r="DJ197" s="1187"/>
    </row>
    <row r="198" spans="1:114" ht="14.65" customHeight="1" outlineLevel="1">
      <c r="A198" s="453"/>
      <c r="C198" s="51"/>
      <c r="D198" s="4199"/>
      <c r="E198" s="4293"/>
      <c r="F198" s="4292" t="str">
        <f t="shared" ref="F198:F229" si="49">E116</f>
        <v>CAC-SEER17_ER1_MF_CompE</v>
      </c>
      <c r="G198" s="4292"/>
      <c r="H198" s="4292"/>
      <c r="I198" s="3262" t="str">
        <f t="shared" ref="I198:I229" si="50">C116</f>
        <v>351101_2024_12_</v>
      </c>
      <c r="J198" s="3263">
        <f>$J$171</f>
        <v>632</v>
      </c>
      <c r="K198" s="2962"/>
      <c r="L198" s="4197"/>
      <c r="N198" s="561"/>
      <c r="S198" s="52"/>
      <c r="T198" s="52"/>
      <c r="U198" s="52"/>
      <c r="V198" s="4293"/>
      <c r="W198" s="3262"/>
      <c r="X198" s="3262"/>
      <c r="Y198" s="3265">
        <v>632</v>
      </c>
      <c r="Z198" s="3262">
        <v>632</v>
      </c>
      <c r="AA198" s="3262">
        <v>632</v>
      </c>
      <c r="AB198" s="3264">
        <v>632</v>
      </c>
      <c r="AC198" s="3264">
        <v>632</v>
      </c>
      <c r="AD198" s="3264">
        <v>632</v>
      </c>
      <c r="AE198" s="3262">
        <v>632</v>
      </c>
      <c r="AF198" s="2236">
        <f t="shared" si="47"/>
        <v>632</v>
      </c>
      <c r="AG198" s="1396"/>
      <c r="DG198" s="573"/>
      <c r="DH198" s="188"/>
      <c r="DI198" s="1091"/>
      <c r="DJ198" s="1187"/>
    </row>
    <row r="199" spans="1:114" ht="14.65" customHeight="1" outlineLevel="1">
      <c r="A199" s="453"/>
      <c r="C199" s="51"/>
      <c r="D199" s="4199"/>
      <c r="E199" s="4293"/>
      <c r="F199" s="4292" t="str">
        <f t="shared" si="49"/>
        <v>CAC-SEER17_ER2_MF_CompE</v>
      </c>
      <c r="G199" s="4292"/>
      <c r="H199" s="4292"/>
      <c r="I199" s="3262" t="str">
        <f t="shared" si="50"/>
        <v>351101_2024_12_</v>
      </c>
      <c r="J199" s="3263">
        <f>$J$171</f>
        <v>632</v>
      </c>
      <c r="K199" s="2962"/>
      <c r="L199" s="4197"/>
      <c r="N199" s="561"/>
      <c r="S199" s="52"/>
      <c r="T199" s="52"/>
      <c r="U199" s="52"/>
      <c r="V199" s="4293"/>
      <c r="W199" s="3262"/>
      <c r="X199" s="3262"/>
      <c r="Y199" s="3265">
        <v>632</v>
      </c>
      <c r="Z199" s="3262">
        <v>632</v>
      </c>
      <c r="AA199" s="3262">
        <v>632</v>
      </c>
      <c r="AB199" s="3264">
        <v>632</v>
      </c>
      <c r="AC199" s="3264">
        <v>632</v>
      </c>
      <c r="AD199" s="3264">
        <v>632</v>
      </c>
      <c r="AE199" s="3262">
        <v>632</v>
      </c>
      <c r="AF199" s="2236">
        <f t="shared" si="47"/>
        <v>632</v>
      </c>
      <c r="AG199" s="1396"/>
      <c r="DG199" s="573"/>
      <c r="DH199" s="188"/>
      <c r="DI199" s="1091"/>
      <c r="DJ199" s="1187"/>
    </row>
    <row r="200" spans="1:114" ht="15" customHeight="1" outlineLevel="1">
      <c r="A200" s="453"/>
      <c r="C200" s="51"/>
      <c r="D200" s="4199"/>
      <c r="E200" s="4293"/>
      <c r="F200" s="4292" t="str">
        <f t="shared" si="49"/>
        <v>CAC-SEER17_ROF_MF</v>
      </c>
      <c r="G200" s="4292"/>
      <c r="H200" s="4292"/>
      <c r="I200" s="3262" t="str">
        <f t="shared" si="50"/>
        <v>351150_2024_12_</v>
      </c>
      <c r="J200" s="3263">
        <v>869</v>
      </c>
      <c r="K200" s="2962"/>
      <c r="L200" s="4197"/>
      <c r="N200" s="561"/>
      <c r="S200" s="52"/>
      <c r="T200" s="52"/>
      <c r="U200" s="52"/>
      <c r="V200" s="4293"/>
      <c r="W200" s="3262">
        <v>869</v>
      </c>
      <c r="X200" s="3262">
        <f>W200</f>
        <v>869</v>
      </c>
      <c r="Y200" s="3262">
        <v>869</v>
      </c>
      <c r="Z200" s="3262">
        <v>869</v>
      </c>
      <c r="AA200" s="3262">
        <v>869</v>
      </c>
      <c r="AB200" s="3264">
        <v>869</v>
      </c>
      <c r="AC200" s="3264">
        <v>869</v>
      </c>
      <c r="AD200" s="3264">
        <v>869</v>
      </c>
      <c r="AE200" s="3262">
        <v>869</v>
      </c>
      <c r="AF200" s="2236">
        <f t="shared" si="47"/>
        <v>869</v>
      </c>
      <c r="AG200" s="1396"/>
      <c r="DG200" s="573"/>
      <c r="DH200" s="188"/>
      <c r="DI200" s="1091"/>
      <c r="DJ200" s="1187"/>
    </row>
    <row r="201" spans="1:114" ht="15" customHeight="1" outlineLevel="1">
      <c r="A201" s="453"/>
      <c r="C201" s="51"/>
      <c r="D201" s="4199"/>
      <c r="E201" s="4199"/>
      <c r="F201" s="4292" t="str">
        <f t="shared" si="49"/>
        <v>CAC-SEER17_ROF_MF_CompE</v>
      </c>
      <c r="G201" s="4292"/>
      <c r="H201" s="4292"/>
      <c r="I201" s="3262" t="str">
        <f t="shared" si="50"/>
        <v>351151_2024_12_</v>
      </c>
      <c r="J201" s="3263">
        <f>$J$171</f>
        <v>632</v>
      </c>
      <c r="K201" s="2962"/>
      <c r="L201" s="4197"/>
      <c r="N201" s="561"/>
      <c r="S201" s="52"/>
      <c r="T201" s="52"/>
      <c r="U201" s="52"/>
      <c r="V201" s="4199"/>
      <c r="W201" s="3262"/>
      <c r="X201" s="3262"/>
      <c r="Y201" s="3265">
        <v>632</v>
      </c>
      <c r="Z201" s="3262">
        <v>632</v>
      </c>
      <c r="AA201" s="3262">
        <v>632</v>
      </c>
      <c r="AB201" s="3264">
        <v>632</v>
      </c>
      <c r="AC201" s="3264">
        <v>632</v>
      </c>
      <c r="AD201" s="3264">
        <v>632</v>
      </c>
      <c r="AE201" s="3262">
        <v>632</v>
      </c>
      <c r="AF201" s="2236">
        <f t="shared" si="47"/>
        <v>632</v>
      </c>
      <c r="AG201" s="1396"/>
      <c r="DG201" s="573"/>
      <c r="DH201" s="188"/>
      <c r="DI201" s="1091"/>
      <c r="DJ201" s="1187"/>
    </row>
    <row r="202" spans="1:114" ht="14.65" customHeight="1" outlineLevel="1">
      <c r="A202" s="453"/>
      <c r="C202" s="51"/>
      <c r="D202" s="4199"/>
      <c r="E202" s="4199"/>
      <c r="F202" s="4338" t="str">
        <f t="shared" si="49"/>
        <v>CAC-SEER18_ER1_SF</v>
      </c>
      <c r="G202" s="4338"/>
      <c r="H202" s="4338"/>
      <c r="I202" s="1396" t="str">
        <f t="shared" si="50"/>
        <v>351160_2024_12_</v>
      </c>
      <c r="J202" s="1790">
        <v>869</v>
      </c>
      <c r="K202" s="1442"/>
      <c r="L202" s="4197"/>
      <c r="P202" s="563"/>
      <c r="Q202" s="652"/>
      <c r="R202" s="652"/>
      <c r="S202" s="556"/>
      <c r="T202" s="52"/>
      <c r="U202" s="52"/>
      <c r="V202" s="4199"/>
      <c r="W202" s="1396"/>
      <c r="X202" s="1396"/>
      <c r="Y202" s="1396"/>
      <c r="Z202" s="833">
        <v>869</v>
      </c>
      <c r="AA202" s="1396">
        <v>869</v>
      </c>
      <c r="AB202" s="951">
        <v>869</v>
      </c>
      <c r="AC202" s="951">
        <v>869</v>
      </c>
      <c r="AD202" s="951">
        <v>869</v>
      </c>
      <c r="AE202" s="1396">
        <v>869</v>
      </c>
      <c r="AF202" s="271">
        <f t="shared" si="47"/>
        <v>869</v>
      </c>
      <c r="AG202" s="1396"/>
      <c r="DG202" s="573"/>
      <c r="DH202" s="188"/>
      <c r="DI202" s="1091"/>
      <c r="DJ202" s="1187"/>
    </row>
    <row r="203" spans="1:114" ht="14.65" customHeight="1" outlineLevel="1">
      <c r="A203" s="453"/>
      <c r="C203" s="51"/>
      <c r="D203" s="4199"/>
      <c r="E203" s="4199"/>
      <c r="F203" s="4338" t="str">
        <f t="shared" si="49"/>
        <v>CAC-SEER18_ER2_SF</v>
      </c>
      <c r="G203" s="4338"/>
      <c r="H203" s="4338"/>
      <c r="I203" s="1396" t="str">
        <f t="shared" si="50"/>
        <v>351160_2024_12_</v>
      </c>
      <c r="J203" s="1790">
        <v>869</v>
      </c>
      <c r="K203" s="1442"/>
      <c r="L203" s="4197"/>
      <c r="P203" s="563"/>
      <c r="Q203" s="652"/>
      <c r="R203" s="652"/>
      <c r="S203" s="556"/>
      <c r="T203" s="52"/>
      <c r="U203" s="52"/>
      <c r="V203" s="4199"/>
      <c r="W203" s="1396"/>
      <c r="X203" s="1396"/>
      <c r="Y203" s="1396"/>
      <c r="Z203" s="833">
        <v>869</v>
      </c>
      <c r="AA203" s="1396">
        <v>869</v>
      </c>
      <c r="AB203" s="951">
        <v>869</v>
      </c>
      <c r="AC203" s="951">
        <v>869</v>
      </c>
      <c r="AD203" s="951">
        <v>869</v>
      </c>
      <c r="AE203" s="1396">
        <v>869</v>
      </c>
      <c r="AF203" s="271">
        <f t="shared" si="47"/>
        <v>869</v>
      </c>
      <c r="AG203" s="1396"/>
      <c r="DG203" s="573"/>
      <c r="DH203" s="188"/>
      <c r="DI203" s="1091"/>
      <c r="DJ203" s="1187"/>
    </row>
    <row r="204" spans="1:114" ht="14.65" customHeight="1" outlineLevel="1">
      <c r="A204" s="453"/>
      <c r="C204" s="51"/>
      <c r="D204" s="4199"/>
      <c r="E204" s="4199"/>
      <c r="F204" s="4338" t="str">
        <f t="shared" si="49"/>
        <v>CAC-SEER18_ROF_SF</v>
      </c>
      <c r="G204" s="4338"/>
      <c r="H204" s="4338"/>
      <c r="I204" s="1396" t="str">
        <f t="shared" si="50"/>
        <v>351161_2024_12_</v>
      </c>
      <c r="J204" s="1790">
        <v>869</v>
      </c>
      <c r="K204" s="1442"/>
      <c r="L204" s="4197"/>
      <c r="P204" s="563"/>
      <c r="Q204" s="652"/>
      <c r="R204" s="652"/>
      <c r="S204" s="556"/>
      <c r="T204" s="52"/>
      <c r="U204" s="52"/>
      <c r="V204" s="4199"/>
      <c r="W204" s="1396"/>
      <c r="X204" s="1396"/>
      <c r="Y204" s="1396"/>
      <c r="Z204" s="833">
        <v>869</v>
      </c>
      <c r="AA204" s="1396">
        <v>869</v>
      </c>
      <c r="AB204" s="951">
        <v>869</v>
      </c>
      <c r="AC204" s="951">
        <v>869</v>
      </c>
      <c r="AD204" s="951">
        <v>869</v>
      </c>
      <c r="AE204" s="1396">
        <v>869</v>
      </c>
      <c r="AF204" s="271">
        <f t="shared" si="47"/>
        <v>869</v>
      </c>
      <c r="AG204" s="1396"/>
      <c r="DG204" s="573"/>
      <c r="DH204" s="188"/>
      <c r="DI204" s="1091"/>
      <c r="DJ204" s="1187"/>
    </row>
    <row r="205" spans="1:114" ht="14.65" customHeight="1" outlineLevel="1">
      <c r="A205" s="453"/>
      <c r="C205" s="51"/>
      <c r="D205" s="4199"/>
      <c r="E205" s="4199"/>
      <c r="F205" s="4292" t="str">
        <f t="shared" si="49"/>
        <v>CAC-SEER18_ER1_MF</v>
      </c>
      <c r="G205" s="4292"/>
      <c r="H205" s="4292"/>
      <c r="I205" s="3262" t="str">
        <f t="shared" si="50"/>
        <v>351162_2024_12_</v>
      </c>
      <c r="J205" s="3263">
        <v>869</v>
      </c>
      <c r="K205" s="1442"/>
      <c r="L205" s="4197"/>
      <c r="P205" s="563"/>
      <c r="Q205" s="652"/>
      <c r="R205" s="652"/>
      <c r="S205" s="556"/>
      <c r="T205" s="52"/>
      <c r="U205" s="159"/>
      <c r="V205" s="4199"/>
      <c r="W205" s="3262"/>
      <c r="X205" s="3265"/>
      <c r="Y205" s="3265"/>
      <c r="Z205" s="3265">
        <v>869</v>
      </c>
      <c r="AA205" s="3262">
        <v>869</v>
      </c>
      <c r="AB205" s="3264">
        <v>869</v>
      </c>
      <c r="AC205" s="3264">
        <v>869</v>
      </c>
      <c r="AD205" s="3264">
        <v>869</v>
      </c>
      <c r="AE205" s="3262">
        <v>869</v>
      </c>
      <c r="AF205" s="2236">
        <f t="shared" si="47"/>
        <v>869</v>
      </c>
      <c r="AG205" s="1396"/>
      <c r="DG205" s="573"/>
      <c r="DH205" s="188"/>
      <c r="DI205" s="1091"/>
      <c r="DJ205" s="1187"/>
    </row>
    <row r="206" spans="1:114" ht="14.65" customHeight="1" outlineLevel="1">
      <c r="A206" s="453"/>
      <c r="C206" s="51"/>
      <c r="D206" s="4199"/>
      <c r="E206" s="4199"/>
      <c r="F206" s="4292" t="str">
        <f t="shared" si="49"/>
        <v>CAC-SEER18_ER2_MF</v>
      </c>
      <c r="G206" s="4292"/>
      <c r="H206" s="4292"/>
      <c r="I206" s="3262" t="str">
        <f t="shared" si="50"/>
        <v>351162_2024_12_</v>
      </c>
      <c r="J206" s="3263">
        <v>869</v>
      </c>
      <c r="K206" s="1442"/>
      <c r="L206" s="4197"/>
      <c r="P206" s="563"/>
      <c r="Q206" s="652"/>
      <c r="R206" s="652"/>
      <c r="S206" s="535"/>
      <c r="T206" s="1436"/>
      <c r="U206" s="159"/>
      <c r="V206" s="4199"/>
      <c r="W206" s="3262"/>
      <c r="X206" s="3265"/>
      <c r="Y206" s="3265"/>
      <c r="Z206" s="3265">
        <v>869</v>
      </c>
      <c r="AA206" s="3262">
        <v>869</v>
      </c>
      <c r="AB206" s="3264">
        <v>869</v>
      </c>
      <c r="AC206" s="3264">
        <v>869</v>
      </c>
      <c r="AD206" s="3264">
        <v>869</v>
      </c>
      <c r="AE206" s="3262">
        <v>869</v>
      </c>
      <c r="AF206" s="2236">
        <f t="shared" si="47"/>
        <v>869</v>
      </c>
      <c r="AG206" s="1396"/>
      <c r="DG206" s="573"/>
      <c r="DH206" s="188"/>
      <c r="DI206" s="1091"/>
      <c r="DJ206" s="1187"/>
    </row>
    <row r="207" spans="1:114" ht="14.65" customHeight="1" outlineLevel="1">
      <c r="A207" s="453"/>
      <c r="C207" s="51"/>
      <c r="D207" s="4199"/>
      <c r="E207" s="4199"/>
      <c r="F207" s="4292" t="str">
        <f t="shared" si="49"/>
        <v>CAC-SEER18_ER1_MF_CompE</v>
      </c>
      <c r="G207" s="4292"/>
      <c r="H207" s="4292"/>
      <c r="I207" s="3262" t="str">
        <f t="shared" si="50"/>
        <v>351163_2024_12_</v>
      </c>
      <c r="J207" s="3263">
        <v>632</v>
      </c>
      <c r="K207" s="1442"/>
      <c r="L207" s="4197"/>
      <c r="P207" s="563"/>
      <c r="Q207" s="652"/>
      <c r="R207" s="652"/>
      <c r="S207" s="535"/>
      <c r="T207" s="1436"/>
      <c r="U207" s="159"/>
      <c r="V207" s="4199"/>
      <c r="W207" s="3262"/>
      <c r="X207" s="3265"/>
      <c r="Y207" s="3265"/>
      <c r="Z207" s="3265">
        <v>632</v>
      </c>
      <c r="AA207" s="3262">
        <v>632</v>
      </c>
      <c r="AB207" s="3264">
        <v>632</v>
      </c>
      <c r="AC207" s="3264">
        <v>632</v>
      </c>
      <c r="AD207" s="3264">
        <v>632</v>
      </c>
      <c r="AE207" s="3262">
        <v>632</v>
      </c>
      <c r="AF207" s="2236">
        <f t="shared" si="47"/>
        <v>632</v>
      </c>
      <c r="AG207" s="1396"/>
      <c r="DG207" s="573"/>
      <c r="DH207" s="188"/>
      <c r="DI207" s="1091"/>
      <c r="DJ207" s="1187"/>
    </row>
    <row r="208" spans="1:114" ht="14.65" customHeight="1" outlineLevel="1">
      <c r="A208" s="453"/>
      <c r="C208" s="51"/>
      <c r="D208" s="4199"/>
      <c r="E208" s="4199"/>
      <c r="F208" s="4292" t="str">
        <f t="shared" si="49"/>
        <v>CAC-SEER18_ER2_MF_CompE</v>
      </c>
      <c r="G208" s="4292"/>
      <c r="H208" s="4292"/>
      <c r="I208" s="3262" t="str">
        <f t="shared" si="50"/>
        <v>351163_2024_12_</v>
      </c>
      <c r="J208" s="3263">
        <f>$J$171</f>
        <v>632</v>
      </c>
      <c r="K208" s="1442"/>
      <c r="L208" s="4197"/>
      <c r="P208" s="563"/>
      <c r="Q208" s="652"/>
      <c r="R208" s="652"/>
      <c r="S208" s="535"/>
      <c r="T208" s="1436"/>
      <c r="U208" s="52"/>
      <c r="V208" s="4199"/>
      <c r="W208" s="3262"/>
      <c r="X208" s="3265"/>
      <c r="Y208" s="3265"/>
      <c r="Z208" s="3265">
        <v>632</v>
      </c>
      <c r="AA208" s="3262">
        <v>632</v>
      </c>
      <c r="AB208" s="3264">
        <v>632</v>
      </c>
      <c r="AC208" s="3264">
        <v>632</v>
      </c>
      <c r="AD208" s="3264">
        <v>632</v>
      </c>
      <c r="AE208" s="3262">
        <v>632</v>
      </c>
      <c r="AF208" s="2236">
        <f t="shared" si="47"/>
        <v>632</v>
      </c>
      <c r="AG208" s="1396"/>
      <c r="DG208" s="573"/>
      <c r="DH208" s="188"/>
      <c r="DI208" s="1091"/>
      <c r="DJ208" s="1187"/>
    </row>
    <row r="209" spans="1:114" ht="14.65" customHeight="1" outlineLevel="1">
      <c r="A209" s="453"/>
      <c r="C209" s="51"/>
      <c r="D209" s="4199"/>
      <c r="E209" s="4199"/>
      <c r="F209" s="4292" t="str">
        <f t="shared" si="49"/>
        <v>CAC-SEER18_ROF_MF</v>
      </c>
      <c r="G209" s="4292"/>
      <c r="H209" s="4292"/>
      <c r="I209" s="3262" t="str">
        <f t="shared" si="50"/>
        <v>351164_2024_12_</v>
      </c>
      <c r="J209" s="3263">
        <v>869</v>
      </c>
      <c r="K209" s="1442"/>
      <c r="L209" s="4197"/>
      <c r="P209" s="563"/>
      <c r="Q209" s="652"/>
      <c r="R209" s="652"/>
      <c r="S209" s="535"/>
      <c r="T209" s="1436"/>
      <c r="U209" s="52"/>
      <c r="V209" s="4199"/>
      <c r="W209" s="3262"/>
      <c r="X209" s="3265"/>
      <c r="Y209" s="3262"/>
      <c r="Z209" s="3265">
        <v>869</v>
      </c>
      <c r="AA209" s="3262">
        <v>869</v>
      </c>
      <c r="AB209" s="3264">
        <v>869</v>
      </c>
      <c r="AC209" s="3264">
        <v>869</v>
      </c>
      <c r="AD209" s="3264">
        <v>869</v>
      </c>
      <c r="AE209" s="3262">
        <v>869</v>
      </c>
      <c r="AF209" s="2236">
        <f t="shared" si="47"/>
        <v>869</v>
      </c>
      <c r="AG209" s="1396"/>
      <c r="DG209" s="573"/>
      <c r="DH209" s="188"/>
      <c r="DI209" s="1091"/>
      <c r="DJ209" s="1187"/>
    </row>
    <row r="210" spans="1:114" ht="14.65" customHeight="1" outlineLevel="1">
      <c r="A210" s="453"/>
      <c r="C210" s="51"/>
      <c r="D210" s="4199"/>
      <c r="E210" s="4199"/>
      <c r="F210" s="4292" t="str">
        <f t="shared" si="49"/>
        <v>CAC-SEER18_ROF_MF_CompE</v>
      </c>
      <c r="G210" s="4292"/>
      <c r="H210" s="4292"/>
      <c r="I210" s="3262" t="str">
        <f t="shared" si="50"/>
        <v>351165_2024_12_</v>
      </c>
      <c r="J210" s="3263">
        <f>$J$171</f>
        <v>632</v>
      </c>
      <c r="K210" s="1442"/>
      <c r="L210" s="4197"/>
      <c r="P210" s="563"/>
      <c r="Q210" s="652"/>
      <c r="R210" s="652"/>
      <c r="S210" s="52"/>
      <c r="T210" s="52"/>
      <c r="U210" s="52"/>
      <c r="V210" s="4199"/>
      <c r="W210" s="3262"/>
      <c r="X210" s="3265"/>
      <c r="Y210" s="3265"/>
      <c r="Z210" s="3265">
        <v>632</v>
      </c>
      <c r="AA210" s="3262">
        <v>632</v>
      </c>
      <c r="AB210" s="3264">
        <v>632</v>
      </c>
      <c r="AC210" s="3264">
        <v>632</v>
      </c>
      <c r="AD210" s="3264">
        <v>632</v>
      </c>
      <c r="AE210" s="3262">
        <v>632</v>
      </c>
      <c r="AF210" s="2236">
        <f t="shared" si="47"/>
        <v>632</v>
      </c>
      <c r="AG210" s="1396"/>
      <c r="DG210" s="573"/>
      <c r="DH210" s="188"/>
      <c r="DI210" s="1091"/>
      <c r="DJ210" s="1187"/>
    </row>
    <row r="211" spans="1:114" outlineLevel="1">
      <c r="A211" s="453"/>
      <c r="C211" s="51"/>
      <c r="D211" s="4199"/>
      <c r="E211" s="4199"/>
      <c r="F211" s="4338" t="str">
        <f t="shared" si="49"/>
        <v>CAC-SEER19_ER1_SF</v>
      </c>
      <c r="G211" s="4338"/>
      <c r="H211" s="4338"/>
      <c r="I211" s="1396" t="str">
        <f t="shared" si="50"/>
        <v>351170_2024_12_</v>
      </c>
      <c r="J211" s="1790">
        <v>869</v>
      </c>
      <c r="K211" s="1442"/>
      <c r="L211" s="4197"/>
      <c r="N211" s="561"/>
      <c r="P211" s="63"/>
      <c r="Q211" s="51"/>
      <c r="S211" s="52"/>
      <c r="T211" s="52"/>
      <c r="U211" s="52"/>
      <c r="V211" s="4199"/>
      <c r="W211" s="1396"/>
      <c r="X211" s="1396"/>
      <c r="Y211" s="1396"/>
      <c r="Z211" s="833">
        <v>869</v>
      </c>
      <c r="AA211" s="1396">
        <v>869</v>
      </c>
      <c r="AB211" s="951">
        <v>869</v>
      </c>
      <c r="AC211" s="951">
        <v>869</v>
      </c>
      <c r="AD211" s="951">
        <v>869</v>
      </c>
      <c r="AE211" s="1396">
        <v>869</v>
      </c>
      <c r="AF211" s="271">
        <f t="shared" si="47"/>
        <v>869</v>
      </c>
      <c r="AG211" s="1396"/>
      <c r="DG211" s="573"/>
      <c r="DH211" s="188"/>
      <c r="DI211" s="1091"/>
      <c r="DJ211" s="1187"/>
    </row>
    <row r="212" spans="1:114" ht="15" customHeight="1" outlineLevel="1">
      <c r="A212" s="453"/>
      <c r="C212" s="51"/>
      <c r="D212" s="4199"/>
      <c r="E212" s="4199"/>
      <c r="F212" s="4338" t="str">
        <f t="shared" si="49"/>
        <v>CAC-SEER19_ER2_SF</v>
      </c>
      <c r="G212" s="4338"/>
      <c r="H212" s="4338"/>
      <c r="I212" s="1396" t="str">
        <f t="shared" si="50"/>
        <v>351170_2024_12_</v>
      </c>
      <c r="J212" s="1790">
        <v>869</v>
      </c>
      <c r="K212" s="1442"/>
      <c r="L212" s="4197"/>
      <c r="N212" s="561"/>
      <c r="T212" s="52"/>
      <c r="U212" s="52"/>
      <c r="V212" s="4199"/>
      <c r="W212" s="1396"/>
      <c r="X212" s="1396"/>
      <c r="Y212" s="1396"/>
      <c r="Z212" s="833">
        <v>869</v>
      </c>
      <c r="AA212" s="1396">
        <v>869</v>
      </c>
      <c r="AB212" s="951">
        <v>869</v>
      </c>
      <c r="AC212" s="951">
        <v>869</v>
      </c>
      <c r="AD212" s="951">
        <v>869</v>
      </c>
      <c r="AE212" s="1396">
        <v>869</v>
      </c>
      <c r="AF212" s="271">
        <f t="shared" si="47"/>
        <v>869</v>
      </c>
      <c r="AG212" s="1396"/>
      <c r="DG212" s="573"/>
      <c r="DH212" s="188"/>
      <c r="DI212" s="1091"/>
      <c r="DJ212" s="1187"/>
    </row>
    <row r="213" spans="1:114" outlineLevel="1">
      <c r="A213" s="453"/>
      <c r="C213" s="51"/>
      <c r="D213" s="4199"/>
      <c r="E213" s="4199"/>
      <c r="F213" s="4338" t="str">
        <f t="shared" si="49"/>
        <v>CAC-SEER19_ROF_SF</v>
      </c>
      <c r="G213" s="4338"/>
      <c r="H213" s="4338"/>
      <c r="I213" s="1396" t="str">
        <f t="shared" si="50"/>
        <v>351171_2024_12_</v>
      </c>
      <c r="J213" s="1790">
        <v>869</v>
      </c>
      <c r="K213" s="1442"/>
      <c r="L213" s="4197"/>
      <c r="N213" s="561"/>
      <c r="P213" s="4361"/>
      <c r="Q213" s="4845"/>
      <c r="R213" s="4845"/>
      <c r="S213" s="52"/>
      <c r="T213" s="52"/>
      <c r="U213" s="52"/>
      <c r="V213" s="4199"/>
      <c r="W213" s="1396"/>
      <c r="X213" s="1396"/>
      <c r="Y213" s="1396"/>
      <c r="Z213" s="833">
        <v>869</v>
      </c>
      <c r="AA213" s="1396">
        <v>869</v>
      </c>
      <c r="AB213" s="951">
        <v>869</v>
      </c>
      <c r="AC213" s="951">
        <v>869</v>
      </c>
      <c r="AD213" s="951">
        <v>869</v>
      </c>
      <c r="AE213" s="1396">
        <v>869</v>
      </c>
      <c r="AF213" s="271">
        <f t="shared" si="47"/>
        <v>869</v>
      </c>
      <c r="AG213" s="1396"/>
      <c r="DG213" s="573"/>
      <c r="DH213" s="188"/>
      <c r="DI213" s="1091"/>
      <c r="DJ213" s="1187"/>
    </row>
    <row r="214" spans="1:114" outlineLevel="1">
      <c r="A214" s="453"/>
      <c r="C214" s="51"/>
      <c r="D214" s="4199"/>
      <c r="E214" s="4199"/>
      <c r="F214" s="4292" t="str">
        <f t="shared" si="49"/>
        <v>CAC-SEER19_ER1_MF</v>
      </c>
      <c r="G214" s="4292"/>
      <c r="H214" s="4292"/>
      <c r="I214" s="3262" t="str">
        <f t="shared" si="50"/>
        <v>351172_2024_12_</v>
      </c>
      <c r="J214" s="3263">
        <v>869</v>
      </c>
      <c r="K214" s="1442"/>
      <c r="L214" s="4197"/>
      <c r="N214" s="561"/>
      <c r="P214" s="654"/>
      <c r="Q214" s="51"/>
      <c r="R214" s="51"/>
      <c r="S214" s="52"/>
      <c r="T214" s="52"/>
      <c r="U214" s="52"/>
      <c r="V214" s="4199"/>
      <c r="W214" s="3262"/>
      <c r="X214" s="3265"/>
      <c r="Y214" s="3265"/>
      <c r="Z214" s="3265">
        <v>869</v>
      </c>
      <c r="AA214" s="3262">
        <v>869</v>
      </c>
      <c r="AB214" s="3264">
        <v>869</v>
      </c>
      <c r="AC214" s="3264">
        <v>869</v>
      </c>
      <c r="AD214" s="3264">
        <v>869</v>
      </c>
      <c r="AE214" s="3262">
        <v>869</v>
      </c>
      <c r="AF214" s="2236">
        <f t="shared" si="47"/>
        <v>869</v>
      </c>
      <c r="AG214" s="1396"/>
      <c r="DG214" s="573"/>
      <c r="DH214" s="188"/>
      <c r="DI214" s="1091"/>
      <c r="DJ214" s="1187"/>
    </row>
    <row r="215" spans="1:114" outlineLevel="1">
      <c r="A215" s="453"/>
      <c r="C215" s="51"/>
      <c r="D215" s="4199"/>
      <c r="E215" s="4199"/>
      <c r="F215" s="4292" t="str">
        <f t="shared" si="49"/>
        <v>CAC-SEER19_ER2_MF</v>
      </c>
      <c r="G215" s="4292"/>
      <c r="H215" s="4292"/>
      <c r="I215" s="3262" t="str">
        <f t="shared" si="50"/>
        <v>351172_2024_12_</v>
      </c>
      <c r="J215" s="3263">
        <v>869</v>
      </c>
      <c r="K215" s="1442"/>
      <c r="L215" s="4197"/>
      <c r="N215" s="561"/>
      <c r="P215" s="654"/>
      <c r="Q215" s="655"/>
      <c r="R215" s="655"/>
      <c r="S215" s="52"/>
      <c r="T215" s="653"/>
      <c r="U215" s="52"/>
      <c r="V215" s="4199"/>
      <c r="W215" s="3262"/>
      <c r="X215" s="3265"/>
      <c r="Y215" s="3265"/>
      <c r="Z215" s="3265">
        <v>869</v>
      </c>
      <c r="AA215" s="3262">
        <v>869</v>
      </c>
      <c r="AB215" s="3264">
        <v>869</v>
      </c>
      <c r="AC215" s="3264">
        <v>869</v>
      </c>
      <c r="AD215" s="3264">
        <v>869</v>
      </c>
      <c r="AE215" s="3262">
        <v>869</v>
      </c>
      <c r="AF215" s="2236">
        <f t="shared" si="47"/>
        <v>869</v>
      </c>
      <c r="AG215" s="1396"/>
      <c r="DG215" s="573"/>
      <c r="DH215" s="188"/>
      <c r="DI215" s="1091"/>
      <c r="DJ215" s="1187"/>
    </row>
    <row r="216" spans="1:114" outlineLevel="1">
      <c r="A216" s="453"/>
      <c r="C216" s="51"/>
      <c r="D216" s="4199"/>
      <c r="E216" s="4199"/>
      <c r="F216" s="4292" t="str">
        <f t="shared" si="49"/>
        <v>CAC-SEER19_ER1_MF_CompE</v>
      </c>
      <c r="G216" s="4292"/>
      <c r="H216" s="4292"/>
      <c r="I216" s="3262" t="str">
        <f t="shared" si="50"/>
        <v>351173_2024_12_</v>
      </c>
      <c r="J216" s="3263">
        <f>$J$171</f>
        <v>632</v>
      </c>
      <c r="K216" s="1442"/>
      <c r="L216" s="4197"/>
      <c r="N216" s="561"/>
      <c r="P216" s="654"/>
      <c r="R216" s="656"/>
      <c r="S216" s="52"/>
      <c r="T216" s="52"/>
      <c r="U216" s="52"/>
      <c r="V216" s="4199"/>
      <c r="W216" s="3262"/>
      <c r="X216" s="3265"/>
      <c r="Y216" s="3265"/>
      <c r="Z216" s="3265">
        <v>632</v>
      </c>
      <c r="AA216" s="3262">
        <v>632</v>
      </c>
      <c r="AB216" s="3264">
        <v>632</v>
      </c>
      <c r="AC216" s="3264">
        <v>632</v>
      </c>
      <c r="AD216" s="3264">
        <v>632</v>
      </c>
      <c r="AE216" s="3262">
        <v>632</v>
      </c>
      <c r="AF216" s="2236">
        <f t="shared" si="47"/>
        <v>632</v>
      </c>
      <c r="AG216" s="1396"/>
      <c r="DG216" s="573"/>
      <c r="DH216" s="188"/>
      <c r="DI216" s="1091"/>
      <c r="DJ216" s="1187"/>
    </row>
    <row r="217" spans="1:114" outlineLevel="1">
      <c r="A217" s="453"/>
      <c r="C217" s="51"/>
      <c r="D217" s="4199"/>
      <c r="E217" s="4199"/>
      <c r="F217" s="4292" t="str">
        <f t="shared" si="49"/>
        <v>CAC-SEER19_ER2_MF_CompE</v>
      </c>
      <c r="G217" s="4292"/>
      <c r="H217" s="4292"/>
      <c r="I217" s="3262" t="str">
        <f t="shared" si="50"/>
        <v>351173_2024_12_</v>
      </c>
      <c r="J217" s="3263">
        <f>$J$171</f>
        <v>632</v>
      </c>
      <c r="K217" s="1442"/>
      <c r="L217" s="4197"/>
      <c r="N217" s="561"/>
      <c r="P217" s="657"/>
      <c r="R217" s="656"/>
      <c r="S217" s="52"/>
      <c r="T217" s="52"/>
      <c r="U217" s="52"/>
      <c r="V217" s="4199"/>
      <c r="W217" s="3262"/>
      <c r="X217" s="3265"/>
      <c r="Y217" s="3265"/>
      <c r="Z217" s="3265">
        <v>632</v>
      </c>
      <c r="AA217" s="3262">
        <v>632</v>
      </c>
      <c r="AB217" s="3264">
        <v>632</v>
      </c>
      <c r="AC217" s="3264">
        <v>632</v>
      </c>
      <c r="AD217" s="3264">
        <v>632</v>
      </c>
      <c r="AE217" s="3262">
        <v>632</v>
      </c>
      <c r="AF217" s="2236">
        <f t="shared" si="47"/>
        <v>632</v>
      </c>
      <c r="AG217" s="1396"/>
      <c r="DG217" s="573"/>
      <c r="DH217" s="188"/>
      <c r="DI217" s="1091"/>
      <c r="DJ217" s="1187"/>
    </row>
    <row r="218" spans="1:114" outlineLevel="1">
      <c r="A218" s="453"/>
      <c r="C218" s="51"/>
      <c r="D218" s="4199"/>
      <c r="E218" s="4199"/>
      <c r="F218" s="4292" t="str">
        <f t="shared" si="49"/>
        <v>CAC-SEER19_ROF_MF</v>
      </c>
      <c r="G218" s="4292"/>
      <c r="H218" s="4292"/>
      <c r="I218" s="3262" t="str">
        <f t="shared" si="50"/>
        <v>351174_2024_12_</v>
      </c>
      <c r="J218" s="3263">
        <v>869</v>
      </c>
      <c r="K218" s="1442"/>
      <c r="L218" s="4197"/>
      <c r="N218" s="561"/>
      <c r="P218" s="104"/>
      <c r="S218" s="52"/>
      <c r="T218" s="52"/>
      <c r="U218" s="52"/>
      <c r="V218" s="4199"/>
      <c r="W218" s="3262"/>
      <c r="X218" s="3265"/>
      <c r="Y218" s="3265"/>
      <c r="Z218" s="3265">
        <v>869</v>
      </c>
      <c r="AA218" s="3262">
        <v>869</v>
      </c>
      <c r="AB218" s="3264">
        <v>869</v>
      </c>
      <c r="AC218" s="3264">
        <v>869</v>
      </c>
      <c r="AD218" s="3264">
        <v>869</v>
      </c>
      <c r="AE218" s="3262">
        <v>869</v>
      </c>
      <c r="AF218" s="2236">
        <f t="shared" si="47"/>
        <v>869</v>
      </c>
      <c r="AG218" s="1396"/>
      <c r="DG218" s="573"/>
      <c r="DH218" s="188"/>
      <c r="DI218" s="1091"/>
      <c r="DJ218" s="1187"/>
    </row>
    <row r="219" spans="1:114" outlineLevel="1">
      <c r="A219" s="453"/>
      <c r="C219" s="51"/>
      <c r="D219" s="4199"/>
      <c r="E219" s="4199"/>
      <c r="F219" s="4292" t="str">
        <f t="shared" si="49"/>
        <v>CAC-SEER19_ROF_MF_CompE</v>
      </c>
      <c r="G219" s="4292"/>
      <c r="H219" s="4292"/>
      <c r="I219" s="3262" t="str">
        <f t="shared" si="50"/>
        <v>351175_2024_12_</v>
      </c>
      <c r="J219" s="3263">
        <f>$J$171</f>
        <v>632</v>
      </c>
      <c r="K219" s="1442"/>
      <c r="L219" s="4197"/>
      <c r="N219" s="561"/>
      <c r="O219" s="559"/>
      <c r="P219" s="209"/>
      <c r="S219" s="52"/>
      <c r="T219" s="52"/>
      <c r="U219" s="52"/>
      <c r="V219" s="4199"/>
      <c r="W219" s="3262"/>
      <c r="X219" s="3265"/>
      <c r="Y219" s="3262"/>
      <c r="Z219" s="3265">
        <v>632</v>
      </c>
      <c r="AA219" s="3262">
        <v>632</v>
      </c>
      <c r="AB219" s="3264">
        <v>632</v>
      </c>
      <c r="AC219" s="3264">
        <v>632</v>
      </c>
      <c r="AD219" s="3264">
        <v>632</v>
      </c>
      <c r="AE219" s="3262">
        <v>632</v>
      </c>
      <c r="AF219" s="2236">
        <f t="shared" si="47"/>
        <v>632</v>
      </c>
      <c r="AG219" s="1396"/>
      <c r="DG219" s="573"/>
      <c r="DH219" s="188"/>
      <c r="DI219" s="1091"/>
      <c r="DJ219" s="1187"/>
    </row>
    <row r="220" spans="1:114" outlineLevel="1">
      <c r="A220" s="453"/>
      <c r="C220" s="51"/>
      <c r="D220" s="4199"/>
      <c r="E220" s="4199"/>
      <c r="F220" s="4338" t="str">
        <f t="shared" si="49"/>
        <v>CAC-SEER20_ER1_SF</v>
      </c>
      <c r="G220" s="4338"/>
      <c r="H220" s="4338"/>
      <c r="I220" s="1396" t="str">
        <f t="shared" si="50"/>
        <v>351180_2024_12_</v>
      </c>
      <c r="J220" s="1790">
        <v>869</v>
      </c>
      <c r="K220" s="1442"/>
      <c r="L220" s="4197"/>
      <c r="N220" s="561"/>
      <c r="S220" s="52"/>
      <c r="T220" s="52"/>
      <c r="U220" s="52"/>
      <c r="V220" s="4199"/>
      <c r="W220" s="1396"/>
      <c r="X220" s="1396"/>
      <c r="Y220" s="1396"/>
      <c r="Z220" s="833">
        <v>869</v>
      </c>
      <c r="AA220" s="1396">
        <v>869</v>
      </c>
      <c r="AB220" s="951">
        <v>869</v>
      </c>
      <c r="AC220" s="951">
        <v>869</v>
      </c>
      <c r="AD220" s="951">
        <v>869</v>
      </c>
      <c r="AE220" s="1396">
        <v>869</v>
      </c>
      <c r="AF220" s="271">
        <f t="shared" si="47"/>
        <v>869</v>
      </c>
      <c r="AG220" s="1396"/>
      <c r="DG220" s="573"/>
      <c r="DH220" s="188"/>
      <c r="DI220" s="1091"/>
      <c r="DJ220" s="1187"/>
    </row>
    <row r="221" spans="1:114" outlineLevel="1">
      <c r="A221" s="453"/>
      <c r="C221" s="51"/>
      <c r="D221" s="4199"/>
      <c r="E221" s="4199"/>
      <c r="F221" s="4338" t="str">
        <f t="shared" si="49"/>
        <v>CAC-SEER20_ER2_SF</v>
      </c>
      <c r="G221" s="4338"/>
      <c r="H221" s="4338"/>
      <c r="I221" s="1396" t="str">
        <f t="shared" si="50"/>
        <v>351180_2024_12_</v>
      </c>
      <c r="J221" s="1790">
        <v>869</v>
      </c>
      <c r="K221" s="1442"/>
      <c r="L221" s="4197"/>
      <c r="N221" s="561"/>
      <c r="S221" s="52"/>
      <c r="T221" s="52"/>
      <c r="U221" s="52"/>
      <c r="V221" s="4199"/>
      <c r="W221" s="1396"/>
      <c r="X221" s="1396"/>
      <c r="Y221" s="1396"/>
      <c r="Z221" s="833">
        <v>869</v>
      </c>
      <c r="AA221" s="1396">
        <v>869</v>
      </c>
      <c r="AB221" s="951">
        <v>869</v>
      </c>
      <c r="AC221" s="951">
        <v>869</v>
      </c>
      <c r="AD221" s="951">
        <v>869</v>
      </c>
      <c r="AE221" s="1396">
        <v>869</v>
      </c>
      <c r="AF221" s="271">
        <f t="shared" si="47"/>
        <v>869</v>
      </c>
      <c r="AG221" s="1396"/>
      <c r="DG221" s="573"/>
      <c r="DH221" s="188"/>
      <c r="DI221" s="1091"/>
      <c r="DJ221" s="1187"/>
    </row>
    <row r="222" spans="1:114" outlineLevel="1">
      <c r="A222" s="453"/>
      <c r="C222" s="51"/>
      <c r="D222" s="4199"/>
      <c r="E222" s="4199"/>
      <c r="F222" s="4338" t="str">
        <f t="shared" si="49"/>
        <v>CAC-SEER20_ROF_SF</v>
      </c>
      <c r="G222" s="4338"/>
      <c r="H222" s="4338"/>
      <c r="I222" s="1396" t="str">
        <f t="shared" si="50"/>
        <v>351181_2024_12_</v>
      </c>
      <c r="J222" s="1790">
        <v>869</v>
      </c>
      <c r="K222" s="1442"/>
      <c r="L222" s="4197"/>
      <c r="N222" s="561"/>
      <c r="S222" s="52"/>
      <c r="T222" s="52"/>
      <c r="U222" s="52"/>
      <c r="V222" s="4199"/>
      <c r="W222" s="1396"/>
      <c r="X222" s="1396"/>
      <c r="Y222" s="1396"/>
      <c r="Z222" s="833">
        <v>869</v>
      </c>
      <c r="AA222" s="1396">
        <v>869</v>
      </c>
      <c r="AB222" s="951">
        <v>869</v>
      </c>
      <c r="AC222" s="951">
        <v>869</v>
      </c>
      <c r="AD222" s="951">
        <v>869</v>
      </c>
      <c r="AE222" s="1396">
        <v>869</v>
      </c>
      <c r="AF222" s="271">
        <f t="shared" si="47"/>
        <v>869</v>
      </c>
      <c r="AG222" s="1396"/>
      <c r="DG222" s="573"/>
      <c r="DH222" s="188"/>
      <c r="DI222" s="1091"/>
      <c r="DJ222" s="1187"/>
    </row>
    <row r="223" spans="1:114" ht="15" customHeight="1" outlineLevel="1">
      <c r="A223" s="453"/>
      <c r="C223" s="51"/>
      <c r="D223" s="4199"/>
      <c r="E223" s="4199"/>
      <c r="F223" s="4292" t="str">
        <f t="shared" si="49"/>
        <v>CAC-SEER20_ER1_MF</v>
      </c>
      <c r="G223" s="4292"/>
      <c r="H223" s="4292"/>
      <c r="I223" s="3262" t="str">
        <f t="shared" si="50"/>
        <v>351182_2024_12_</v>
      </c>
      <c r="J223" s="3263">
        <v>869</v>
      </c>
      <c r="K223" s="1442"/>
      <c r="L223" s="4197"/>
      <c r="N223" s="561"/>
      <c r="S223" s="52"/>
      <c r="T223" s="52"/>
      <c r="U223" s="52"/>
      <c r="V223" s="4199"/>
      <c r="W223" s="3262"/>
      <c r="X223" s="3265"/>
      <c r="Y223" s="3265"/>
      <c r="Z223" s="3265">
        <v>869</v>
      </c>
      <c r="AA223" s="3262">
        <v>869</v>
      </c>
      <c r="AB223" s="3264">
        <v>869</v>
      </c>
      <c r="AC223" s="3264">
        <v>869</v>
      </c>
      <c r="AD223" s="3264">
        <v>869</v>
      </c>
      <c r="AE223" s="3262">
        <v>869</v>
      </c>
      <c r="AF223" s="2236">
        <f t="shared" si="47"/>
        <v>869</v>
      </c>
      <c r="AG223" s="1396"/>
      <c r="DG223" s="573"/>
      <c r="DH223" s="188"/>
      <c r="DI223" s="1091"/>
      <c r="DJ223" s="1187"/>
    </row>
    <row r="224" spans="1:114" outlineLevel="1">
      <c r="A224" s="453"/>
      <c r="C224" s="51"/>
      <c r="D224" s="4199"/>
      <c r="E224" s="4199"/>
      <c r="F224" s="4292" t="str">
        <f t="shared" si="49"/>
        <v>CAC-SEER20_ER2_MF</v>
      </c>
      <c r="G224" s="4292"/>
      <c r="H224" s="4292"/>
      <c r="I224" s="3262" t="str">
        <f t="shared" si="50"/>
        <v>351182_2024_12_</v>
      </c>
      <c r="J224" s="3263">
        <v>869</v>
      </c>
      <c r="K224" s="1442"/>
      <c r="L224" s="4197"/>
      <c r="N224" s="561"/>
      <c r="S224" s="52"/>
      <c r="T224" s="52"/>
      <c r="U224" s="52"/>
      <c r="V224" s="4199"/>
      <c r="W224" s="3262"/>
      <c r="X224" s="3265"/>
      <c r="Y224" s="3265"/>
      <c r="Z224" s="3265">
        <v>869</v>
      </c>
      <c r="AA224" s="3262">
        <v>869</v>
      </c>
      <c r="AB224" s="3264">
        <v>869</v>
      </c>
      <c r="AC224" s="3264">
        <v>869</v>
      </c>
      <c r="AD224" s="3264">
        <v>869</v>
      </c>
      <c r="AE224" s="3262">
        <v>869</v>
      </c>
      <c r="AF224" s="2236">
        <f t="shared" si="47"/>
        <v>869</v>
      </c>
      <c r="AG224" s="1396"/>
      <c r="DG224" s="573"/>
      <c r="DH224" s="188"/>
      <c r="DI224" s="1091"/>
      <c r="DJ224" s="1187"/>
    </row>
    <row r="225" spans="1:114" outlineLevel="1">
      <c r="A225" s="453"/>
      <c r="C225" s="51"/>
      <c r="D225" s="4199"/>
      <c r="E225" s="4199"/>
      <c r="F225" s="4292" t="str">
        <f t="shared" si="49"/>
        <v>CAC-SEER20_ER1_MF_CompE</v>
      </c>
      <c r="G225" s="4292"/>
      <c r="H225" s="4292"/>
      <c r="I225" s="3262" t="str">
        <f t="shared" si="50"/>
        <v>351183_2024_12_</v>
      </c>
      <c r="J225" s="3263">
        <f>$J$171</f>
        <v>632</v>
      </c>
      <c r="K225" s="1442"/>
      <c r="L225" s="4197"/>
      <c r="N225" s="561"/>
      <c r="S225" s="52"/>
      <c r="T225" s="52"/>
      <c r="U225" s="52"/>
      <c r="V225" s="4199"/>
      <c r="W225" s="3262"/>
      <c r="X225" s="3265"/>
      <c r="Y225" s="3265"/>
      <c r="Z225" s="3265">
        <v>632</v>
      </c>
      <c r="AA225" s="3262">
        <v>632</v>
      </c>
      <c r="AB225" s="3264">
        <v>632</v>
      </c>
      <c r="AC225" s="3264">
        <v>632</v>
      </c>
      <c r="AD225" s="3264">
        <v>632</v>
      </c>
      <c r="AE225" s="3262">
        <v>632</v>
      </c>
      <c r="AF225" s="2236">
        <f t="shared" si="47"/>
        <v>632</v>
      </c>
      <c r="AG225" s="1396"/>
      <c r="DG225" s="573"/>
      <c r="DH225" s="188"/>
      <c r="DI225" s="1091"/>
      <c r="DJ225" s="1187"/>
    </row>
    <row r="226" spans="1:114" outlineLevel="1">
      <c r="A226" s="453"/>
      <c r="C226" s="51"/>
      <c r="D226" s="4199"/>
      <c r="E226" s="4199"/>
      <c r="F226" s="4292" t="str">
        <f t="shared" si="49"/>
        <v>CAC-SEER20_ER2_MF_CompE</v>
      </c>
      <c r="G226" s="4292"/>
      <c r="H226" s="4292"/>
      <c r="I226" s="3262" t="str">
        <f t="shared" si="50"/>
        <v>351183_2024_12_</v>
      </c>
      <c r="J226" s="3263">
        <f>$J$171</f>
        <v>632</v>
      </c>
      <c r="K226" s="1442"/>
      <c r="L226" s="4197"/>
      <c r="N226" s="561"/>
      <c r="S226" s="52"/>
      <c r="T226" s="52"/>
      <c r="U226" s="52"/>
      <c r="V226" s="4199"/>
      <c r="W226" s="3262"/>
      <c r="X226" s="3265"/>
      <c r="Y226" s="3265"/>
      <c r="Z226" s="3265">
        <v>632</v>
      </c>
      <c r="AA226" s="3262">
        <v>632</v>
      </c>
      <c r="AB226" s="3264">
        <v>632</v>
      </c>
      <c r="AC226" s="3264">
        <v>632</v>
      </c>
      <c r="AD226" s="3264">
        <v>632</v>
      </c>
      <c r="AE226" s="3262">
        <v>632</v>
      </c>
      <c r="AF226" s="2236">
        <f t="shared" si="47"/>
        <v>632</v>
      </c>
      <c r="AG226" s="1396"/>
      <c r="DG226" s="573"/>
      <c r="DH226" s="188"/>
      <c r="DI226" s="1091"/>
      <c r="DJ226" s="1187"/>
    </row>
    <row r="227" spans="1:114" outlineLevel="1">
      <c r="A227" s="453"/>
      <c r="C227" s="51"/>
      <c r="D227" s="4199"/>
      <c r="E227" s="4199"/>
      <c r="F227" s="4292" t="str">
        <f t="shared" si="49"/>
        <v>CAC-SEER20_ROF_MF</v>
      </c>
      <c r="G227" s="4292"/>
      <c r="H227" s="4292"/>
      <c r="I227" s="3262" t="str">
        <f t="shared" si="50"/>
        <v>351184_2024_12_</v>
      </c>
      <c r="J227" s="3263">
        <v>869</v>
      </c>
      <c r="K227" s="1442"/>
      <c r="L227" s="4197"/>
      <c r="N227" s="561"/>
      <c r="S227" s="52"/>
      <c r="T227" s="52"/>
      <c r="U227" s="52"/>
      <c r="V227" s="4199"/>
      <c r="W227" s="3262"/>
      <c r="X227" s="3265"/>
      <c r="Y227" s="3262"/>
      <c r="Z227" s="3265">
        <v>869</v>
      </c>
      <c r="AA227" s="3262">
        <v>869</v>
      </c>
      <c r="AB227" s="3264">
        <v>869</v>
      </c>
      <c r="AC227" s="3264">
        <v>869</v>
      </c>
      <c r="AD227" s="3264">
        <v>869</v>
      </c>
      <c r="AE227" s="3262">
        <v>869</v>
      </c>
      <c r="AF227" s="2236">
        <f t="shared" si="47"/>
        <v>869</v>
      </c>
      <c r="AG227" s="1396"/>
      <c r="DG227" s="573"/>
      <c r="DH227" s="188"/>
      <c r="DI227" s="1091"/>
      <c r="DJ227" s="1187"/>
    </row>
    <row r="228" spans="1:114" outlineLevel="1">
      <c r="A228" s="453"/>
      <c r="C228" s="51"/>
      <c r="D228" s="4199"/>
      <c r="E228" s="4199"/>
      <c r="F228" s="4292" t="str">
        <f t="shared" si="49"/>
        <v>CAC-SEER20_ROF_MF_CompE</v>
      </c>
      <c r="G228" s="4292"/>
      <c r="H228" s="4292"/>
      <c r="I228" s="3262" t="str">
        <f t="shared" si="50"/>
        <v>351185_2024_12_</v>
      </c>
      <c r="J228" s="3263">
        <f>$J$171</f>
        <v>632</v>
      </c>
      <c r="K228" s="1442"/>
      <c r="L228" s="4197"/>
      <c r="N228" s="561"/>
      <c r="S228" s="52"/>
      <c r="T228" s="52"/>
      <c r="U228" s="52"/>
      <c r="V228" s="4199"/>
      <c r="W228" s="3262"/>
      <c r="X228" s="3265"/>
      <c r="Y228" s="3265"/>
      <c r="Z228" s="3265">
        <v>632</v>
      </c>
      <c r="AA228" s="3262">
        <v>632</v>
      </c>
      <c r="AB228" s="3264">
        <v>632</v>
      </c>
      <c r="AC228" s="3264">
        <v>632</v>
      </c>
      <c r="AD228" s="3264">
        <v>632</v>
      </c>
      <c r="AE228" s="3262">
        <v>632</v>
      </c>
      <c r="AF228" s="2236">
        <f t="shared" si="47"/>
        <v>632</v>
      </c>
      <c r="AG228" s="1396"/>
      <c r="DG228" s="573"/>
      <c r="DH228" s="188"/>
      <c r="DI228" s="1091"/>
      <c r="DJ228" s="1187"/>
    </row>
    <row r="229" spans="1:114" outlineLevel="1">
      <c r="A229" s="453"/>
      <c r="C229" s="51"/>
      <c r="D229" s="4199"/>
      <c r="E229" s="4199"/>
      <c r="F229" s="4338" t="str">
        <f t="shared" si="49"/>
        <v>CAC-SEER21+_ER1_SF</v>
      </c>
      <c r="G229" s="4338"/>
      <c r="H229" s="4338"/>
      <c r="I229" s="1396" t="str">
        <f t="shared" si="50"/>
        <v>351190_2024_12_</v>
      </c>
      <c r="J229" s="1790">
        <v>869</v>
      </c>
      <c r="K229" s="1442"/>
      <c r="L229" s="4197"/>
      <c r="N229" s="561"/>
      <c r="S229" s="52"/>
      <c r="T229" s="52"/>
      <c r="U229" s="52"/>
      <c r="V229" s="4199"/>
      <c r="W229" s="1396"/>
      <c r="X229" s="1396"/>
      <c r="Y229" s="1396"/>
      <c r="Z229" s="833">
        <v>869</v>
      </c>
      <c r="AA229" s="1396">
        <v>869</v>
      </c>
      <c r="AB229" s="951">
        <v>869</v>
      </c>
      <c r="AC229" s="951">
        <v>869</v>
      </c>
      <c r="AD229" s="951">
        <v>869</v>
      </c>
      <c r="AE229" s="1396">
        <v>869</v>
      </c>
      <c r="AF229" s="271">
        <f t="shared" si="47"/>
        <v>869</v>
      </c>
      <c r="AG229" s="1396"/>
      <c r="DG229" s="573"/>
      <c r="DH229" s="188"/>
      <c r="DI229" s="1091"/>
      <c r="DJ229" s="1187"/>
    </row>
    <row r="230" spans="1:114" outlineLevel="1">
      <c r="A230" s="453"/>
      <c r="C230" s="51"/>
      <c r="D230" s="4199"/>
      <c r="E230" s="4199"/>
      <c r="F230" s="4338" t="str">
        <f t="shared" ref="F230:F237" si="51">E148</f>
        <v>CAC-SEER21+_ER2_SF</v>
      </c>
      <c r="G230" s="4338"/>
      <c r="H230" s="4338"/>
      <c r="I230" s="1396" t="str">
        <f t="shared" ref="I230:I237" si="52">C148</f>
        <v>351190_2024_12_</v>
      </c>
      <c r="J230" s="1790">
        <v>869</v>
      </c>
      <c r="K230" s="1442"/>
      <c r="L230" s="4197"/>
      <c r="N230" s="561"/>
      <c r="S230" s="52"/>
      <c r="T230" s="52"/>
      <c r="U230" s="52"/>
      <c r="V230" s="4199"/>
      <c r="W230" s="1396"/>
      <c r="X230" s="1396"/>
      <c r="Y230" s="1396"/>
      <c r="Z230" s="833">
        <v>869</v>
      </c>
      <c r="AA230" s="1396">
        <v>869</v>
      </c>
      <c r="AB230" s="951">
        <v>869</v>
      </c>
      <c r="AC230" s="951">
        <v>869</v>
      </c>
      <c r="AD230" s="951">
        <v>869</v>
      </c>
      <c r="AE230" s="1396">
        <v>869</v>
      </c>
      <c r="AF230" s="271">
        <f t="shared" ref="AF230:AF293" si="53">IF(J230&lt;&gt;"",J230,"")</f>
        <v>869</v>
      </c>
      <c r="AG230" s="1396"/>
      <c r="DG230" s="573"/>
      <c r="DH230" s="188"/>
      <c r="DI230" s="1091"/>
      <c r="DJ230" s="1187"/>
    </row>
    <row r="231" spans="1:114" outlineLevel="1">
      <c r="A231" s="453"/>
      <c r="C231" s="51"/>
      <c r="D231" s="4199"/>
      <c r="E231" s="4199"/>
      <c r="F231" s="4338" t="str">
        <f t="shared" si="51"/>
        <v>CAC-SEER21+_ROF_SF</v>
      </c>
      <c r="G231" s="4338"/>
      <c r="H231" s="4338"/>
      <c r="I231" s="1396" t="str">
        <f t="shared" si="52"/>
        <v>351191_2024_12_</v>
      </c>
      <c r="J231" s="1790">
        <v>869</v>
      </c>
      <c r="K231" s="1442"/>
      <c r="L231" s="4197"/>
      <c r="N231" s="561"/>
      <c r="S231" s="52"/>
      <c r="T231" s="52"/>
      <c r="U231" s="52"/>
      <c r="V231" s="4199"/>
      <c r="W231" s="1396"/>
      <c r="X231" s="1396"/>
      <c r="Y231" s="1396"/>
      <c r="Z231" s="833">
        <v>869</v>
      </c>
      <c r="AA231" s="1396">
        <v>869</v>
      </c>
      <c r="AB231" s="951">
        <v>869</v>
      </c>
      <c r="AC231" s="951">
        <v>869</v>
      </c>
      <c r="AD231" s="951">
        <v>869</v>
      </c>
      <c r="AE231" s="1396">
        <v>869</v>
      </c>
      <c r="AF231" s="271">
        <f t="shared" si="53"/>
        <v>869</v>
      </c>
      <c r="AG231" s="1396"/>
      <c r="DG231" s="573"/>
      <c r="DH231" s="188"/>
      <c r="DI231" s="1091"/>
      <c r="DJ231" s="1187"/>
    </row>
    <row r="232" spans="1:114" outlineLevel="1">
      <c r="A232" s="453"/>
      <c r="C232" s="51"/>
      <c r="D232" s="4199"/>
      <c r="E232" s="4199"/>
      <c r="F232" s="4292" t="str">
        <f t="shared" si="51"/>
        <v>CAC-SEER21+_ER1_MF</v>
      </c>
      <c r="G232" s="4292"/>
      <c r="H232" s="4292"/>
      <c r="I232" s="3262" t="str">
        <f t="shared" si="52"/>
        <v>351192_2024_12_</v>
      </c>
      <c r="J232" s="3263">
        <v>869</v>
      </c>
      <c r="K232" s="1442"/>
      <c r="L232" s="4197"/>
      <c r="N232" s="561"/>
      <c r="S232" s="52"/>
      <c r="T232" s="52"/>
      <c r="U232" s="52"/>
      <c r="V232" s="4199"/>
      <c r="W232" s="1396"/>
      <c r="X232" s="1396"/>
      <c r="Y232" s="1396"/>
      <c r="Z232" s="3265">
        <v>869</v>
      </c>
      <c r="AA232" s="3262">
        <v>869</v>
      </c>
      <c r="AB232" s="3264">
        <v>869</v>
      </c>
      <c r="AC232" s="3264">
        <v>869</v>
      </c>
      <c r="AD232" s="3264">
        <v>869</v>
      </c>
      <c r="AE232" s="3262">
        <v>869</v>
      </c>
      <c r="AF232" s="2236">
        <f t="shared" si="53"/>
        <v>869</v>
      </c>
      <c r="AG232" s="1396"/>
      <c r="DG232" s="573"/>
      <c r="DH232" s="188"/>
      <c r="DI232" s="1091"/>
      <c r="DJ232" s="1187"/>
    </row>
    <row r="233" spans="1:114" ht="14.65" customHeight="1" outlineLevel="1">
      <c r="A233" s="453"/>
      <c r="C233" s="51"/>
      <c r="D233" s="4199"/>
      <c r="E233" s="4199"/>
      <c r="F233" s="4292" t="str">
        <f t="shared" si="51"/>
        <v>CAC-SEER21+_ER2_MF</v>
      </c>
      <c r="G233" s="4292"/>
      <c r="H233" s="4292"/>
      <c r="I233" s="3262" t="str">
        <f t="shared" si="52"/>
        <v>351192_2024_12_</v>
      </c>
      <c r="J233" s="3263">
        <v>869</v>
      </c>
      <c r="K233" s="1442"/>
      <c r="L233" s="4197"/>
      <c r="N233" s="561"/>
      <c r="S233" s="52"/>
      <c r="T233" s="52"/>
      <c r="U233" s="52"/>
      <c r="V233" s="4199"/>
      <c r="W233" s="1396"/>
      <c r="X233" s="1396"/>
      <c r="Y233" s="1396"/>
      <c r="Z233" s="3265">
        <v>869</v>
      </c>
      <c r="AA233" s="3262">
        <v>869</v>
      </c>
      <c r="AB233" s="3264">
        <v>869</v>
      </c>
      <c r="AC233" s="3264">
        <v>869</v>
      </c>
      <c r="AD233" s="3264">
        <v>869</v>
      </c>
      <c r="AE233" s="3262">
        <v>869</v>
      </c>
      <c r="AF233" s="2236">
        <f t="shared" si="53"/>
        <v>869</v>
      </c>
      <c r="AG233" s="1396"/>
      <c r="DG233" s="573"/>
      <c r="DH233" s="188"/>
      <c r="DI233" s="1091"/>
      <c r="DJ233" s="1187"/>
    </row>
    <row r="234" spans="1:114" ht="14.65" customHeight="1" outlineLevel="1">
      <c r="A234" s="453"/>
      <c r="C234" s="51"/>
      <c r="D234" s="4199"/>
      <c r="E234" s="4199"/>
      <c r="F234" s="4292" t="str">
        <f t="shared" si="51"/>
        <v>CAC-SEER21+_ER1_MF_CompE</v>
      </c>
      <c r="G234" s="4292"/>
      <c r="H234" s="4292"/>
      <c r="I234" s="3262" t="str">
        <f t="shared" si="52"/>
        <v>351193_2024_12_</v>
      </c>
      <c r="J234" s="3263">
        <f>$J$171</f>
        <v>632</v>
      </c>
      <c r="K234" s="1442"/>
      <c r="L234" s="4197"/>
      <c r="N234" s="561"/>
      <c r="S234" s="52"/>
      <c r="T234" s="52"/>
      <c r="U234" s="52"/>
      <c r="V234" s="4199"/>
      <c r="W234" s="1396"/>
      <c r="X234" s="1396"/>
      <c r="Y234" s="833"/>
      <c r="Z234" s="3265">
        <v>632</v>
      </c>
      <c r="AA234" s="3262">
        <v>632</v>
      </c>
      <c r="AB234" s="3264">
        <v>632</v>
      </c>
      <c r="AC234" s="3264">
        <v>632</v>
      </c>
      <c r="AD234" s="3264">
        <v>632</v>
      </c>
      <c r="AE234" s="3262">
        <v>632</v>
      </c>
      <c r="AF234" s="2236">
        <f t="shared" si="53"/>
        <v>632</v>
      </c>
      <c r="AG234" s="1396"/>
      <c r="DG234" s="573"/>
      <c r="DH234" s="188"/>
      <c r="DI234" s="1091"/>
      <c r="DJ234" s="1187"/>
    </row>
    <row r="235" spans="1:114" ht="14.65" customHeight="1" outlineLevel="1">
      <c r="A235" s="453"/>
      <c r="C235" s="51"/>
      <c r="D235" s="4199"/>
      <c r="E235" s="4199"/>
      <c r="F235" s="4292" t="str">
        <f t="shared" si="51"/>
        <v>CAC-SEER21+_ER2_MF_CompE</v>
      </c>
      <c r="G235" s="4292"/>
      <c r="H235" s="4292"/>
      <c r="I235" s="3262" t="str">
        <f t="shared" si="52"/>
        <v>351193_2024_12_</v>
      </c>
      <c r="J235" s="3263">
        <f>$J$171</f>
        <v>632</v>
      </c>
      <c r="K235" s="1442"/>
      <c r="L235" s="4197"/>
      <c r="N235" s="561"/>
      <c r="S235" s="52"/>
      <c r="T235" s="52"/>
      <c r="U235" s="52"/>
      <c r="V235" s="4199"/>
      <c r="W235" s="1396"/>
      <c r="X235" s="1396"/>
      <c r="Y235" s="833"/>
      <c r="Z235" s="3265">
        <v>632</v>
      </c>
      <c r="AA235" s="3262">
        <v>632</v>
      </c>
      <c r="AB235" s="3264">
        <v>632</v>
      </c>
      <c r="AC235" s="3264">
        <v>632</v>
      </c>
      <c r="AD235" s="3264">
        <v>632</v>
      </c>
      <c r="AE235" s="3262">
        <v>632</v>
      </c>
      <c r="AF235" s="2236">
        <f t="shared" si="53"/>
        <v>632</v>
      </c>
      <c r="AG235" s="1396"/>
      <c r="DG235" s="573"/>
      <c r="DH235" s="188"/>
      <c r="DI235" s="1091"/>
      <c r="DJ235" s="1187"/>
    </row>
    <row r="236" spans="1:114" ht="15" customHeight="1" outlineLevel="1">
      <c r="A236" s="453"/>
      <c r="C236" s="51"/>
      <c r="D236" s="4199"/>
      <c r="E236" s="4199"/>
      <c r="F236" s="4292" t="str">
        <f t="shared" si="51"/>
        <v>CAC-SEER21+_ROF_MF</v>
      </c>
      <c r="G236" s="4292"/>
      <c r="H236" s="4292"/>
      <c r="I236" s="3262" t="str">
        <f t="shared" si="52"/>
        <v>351194_2024_12_</v>
      </c>
      <c r="J236" s="3263">
        <v>869</v>
      </c>
      <c r="K236" s="1442"/>
      <c r="L236" s="4197"/>
      <c r="N236" s="561"/>
      <c r="S236" s="52"/>
      <c r="T236" s="52"/>
      <c r="U236" s="52"/>
      <c r="V236" s="4199"/>
      <c r="W236" s="1396"/>
      <c r="X236" s="1396"/>
      <c r="Y236" s="1396"/>
      <c r="Z236" s="3265">
        <v>869</v>
      </c>
      <c r="AA236" s="3262">
        <v>869</v>
      </c>
      <c r="AB236" s="3264">
        <v>869</v>
      </c>
      <c r="AC236" s="3264">
        <v>869</v>
      </c>
      <c r="AD236" s="3264">
        <v>869</v>
      </c>
      <c r="AE236" s="3262">
        <v>869</v>
      </c>
      <c r="AF236" s="2236">
        <f t="shared" si="53"/>
        <v>869</v>
      </c>
      <c r="AG236" s="1396"/>
      <c r="DG236" s="573"/>
      <c r="DH236" s="188"/>
      <c r="DI236" s="1091"/>
      <c r="DJ236" s="1187"/>
    </row>
    <row r="237" spans="1:114" ht="15" customHeight="1" outlineLevel="1">
      <c r="A237" s="453"/>
      <c r="C237" s="51"/>
      <c r="D237" s="4199"/>
      <c r="E237" s="4199"/>
      <c r="F237" s="4292" t="str">
        <f t="shared" si="51"/>
        <v>CAC-SEER21+_ROF_MF_CompE</v>
      </c>
      <c r="G237" s="4292"/>
      <c r="H237" s="4292"/>
      <c r="I237" s="3262" t="str">
        <f t="shared" si="52"/>
        <v>351195_2024_12_</v>
      </c>
      <c r="J237" s="3263">
        <f>$J$171</f>
        <v>632</v>
      </c>
      <c r="K237" s="1442"/>
      <c r="L237" s="4197"/>
      <c r="N237" s="561"/>
      <c r="S237" s="52"/>
      <c r="T237" s="52"/>
      <c r="U237" s="52"/>
      <c r="V237" s="4199"/>
      <c r="W237" s="1396"/>
      <c r="X237" s="1396"/>
      <c r="Y237" s="833"/>
      <c r="Z237" s="3265">
        <v>632</v>
      </c>
      <c r="AA237" s="3262">
        <v>632</v>
      </c>
      <c r="AB237" s="3264">
        <v>632</v>
      </c>
      <c r="AC237" s="3264">
        <v>632</v>
      </c>
      <c r="AD237" s="3264">
        <v>632</v>
      </c>
      <c r="AE237" s="3262">
        <v>632</v>
      </c>
      <c r="AF237" s="2236">
        <f t="shared" si="53"/>
        <v>632</v>
      </c>
      <c r="AG237" s="1396"/>
      <c r="DG237" s="573"/>
      <c r="DH237" s="188"/>
      <c r="DI237" s="1091"/>
      <c r="DJ237" s="1187"/>
    </row>
    <row r="238" spans="1:114" ht="14.65" customHeight="1" outlineLevel="1">
      <c r="A238" s="453"/>
      <c r="C238" s="51"/>
      <c r="D238" s="4293" t="s">
        <v>1929</v>
      </c>
      <c r="E238" s="4293" t="s">
        <v>1930</v>
      </c>
      <c r="F238" s="4339" t="s">
        <v>1784</v>
      </c>
      <c r="G238" s="4339"/>
      <c r="H238" s="4339"/>
      <c r="I238" s="3262" t="str">
        <f t="shared" ref="I238:I301" si="54">I166</f>
        <v>350400_2024_12_</v>
      </c>
      <c r="J238" s="3266">
        <f>2.98*12000</f>
        <v>35760</v>
      </c>
      <c r="K238" s="2573">
        <f t="shared" ref="K238:K301" si="55">J238/12000</f>
        <v>2.98</v>
      </c>
      <c r="L238" s="3267" t="s">
        <v>1931</v>
      </c>
      <c r="N238" s="561"/>
      <c r="S238" s="52"/>
      <c r="T238" s="52"/>
      <c r="U238" s="52"/>
      <c r="V238" s="4293" t="str">
        <f>D238</f>
        <v>Btu/hr / Capacity</v>
      </c>
      <c r="W238" s="3262">
        <v>36000</v>
      </c>
      <c r="X238" s="3265">
        <f>3.05*12000</f>
        <v>36600</v>
      </c>
      <c r="Y238" s="3265">
        <v>35760</v>
      </c>
      <c r="Z238" s="3262">
        <v>35760</v>
      </c>
      <c r="AA238" s="3262">
        <v>35760</v>
      </c>
      <c r="AB238" s="3269">
        <v>35760</v>
      </c>
      <c r="AC238" s="3267">
        <v>35760</v>
      </c>
      <c r="AD238" s="3267">
        <v>35760</v>
      </c>
      <c r="AE238" s="3267">
        <v>35760</v>
      </c>
      <c r="AF238" s="2236">
        <f t="shared" si="53"/>
        <v>35760</v>
      </c>
      <c r="AG238" s="1396"/>
      <c r="DG238" s="573"/>
      <c r="DH238" s="188"/>
      <c r="DI238" s="1091"/>
      <c r="DJ238" s="1187"/>
    </row>
    <row r="239" spans="1:114" ht="14.65" customHeight="1" outlineLevel="1">
      <c r="A239" s="453"/>
      <c r="C239" s="51"/>
      <c r="D239" s="4199"/>
      <c r="E239" s="4293"/>
      <c r="F239" s="4292" t="s">
        <v>1785</v>
      </c>
      <c r="G239" s="4292"/>
      <c r="H239" s="4292"/>
      <c r="I239" s="3262" t="str">
        <f t="shared" si="54"/>
        <v>350400_2024_12_</v>
      </c>
      <c r="J239" s="3266">
        <f>2.98*12000</f>
        <v>35760</v>
      </c>
      <c r="K239" s="2573">
        <f t="shared" si="55"/>
        <v>2.98</v>
      </c>
      <c r="L239" s="3267" t="s">
        <v>1931</v>
      </c>
      <c r="N239" s="561"/>
      <c r="S239" s="52"/>
      <c r="T239" s="52"/>
      <c r="U239" s="52"/>
      <c r="V239" s="4293"/>
      <c r="W239" s="3262">
        <v>36000</v>
      </c>
      <c r="X239" s="3265">
        <f>3.05*12000</f>
        <v>36600</v>
      </c>
      <c r="Y239" s="3265">
        <v>35760</v>
      </c>
      <c r="Z239" s="3262">
        <v>35760</v>
      </c>
      <c r="AA239" s="3262">
        <v>35760</v>
      </c>
      <c r="AB239" s="3269">
        <v>35760</v>
      </c>
      <c r="AC239" s="3267">
        <v>35760</v>
      </c>
      <c r="AD239" s="3267">
        <v>35760</v>
      </c>
      <c r="AE239" s="3267">
        <v>35760</v>
      </c>
      <c r="AF239" s="2236">
        <f t="shared" si="53"/>
        <v>35760</v>
      </c>
      <c r="AG239" s="1396"/>
      <c r="DG239" s="573"/>
      <c r="DH239" s="188"/>
      <c r="DI239" s="1091"/>
      <c r="DJ239" s="1187"/>
    </row>
    <row r="240" spans="1:114" ht="14.65" customHeight="1" outlineLevel="1">
      <c r="A240" s="453"/>
      <c r="C240" s="51"/>
      <c r="D240" s="4199"/>
      <c r="E240" s="4293"/>
      <c r="F240" s="4292" t="s">
        <v>1788</v>
      </c>
      <c r="G240" s="4292"/>
      <c r="H240" s="4292"/>
      <c r="I240" s="3262" t="str">
        <f t="shared" si="54"/>
        <v>350450_2024_12_</v>
      </c>
      <c r="J240" s="3266">
        <f>2.97*12000</f>
        <v>35640</v>
      </c>
      <c r="K240" s="2573">
        <f t="shared" si="55"/>
        <v>2.97</v>
      </c>
      <c r="L240" s="3267" t="s">
        <v>1931</v>
      </c>
      <c r="M240" s="563"/>
      <c r="N240" s="561"/>
      <c r="S240" s="52"/>
      <c r="T240" s="52"/>
      <c r="U240" s="52"/>
      <c r="V240" s="4293"/>
      <c r="W240" s="3262">
        <v>36000</v>
      </c>
      <c r="X240" s="3265">
        <f>3.05*12000</f>
        <v>36600</v>
      </c>
      <c r="Y240" s="3265">
        <v>35640</v>
      </c>
      <c r="Z240" s="3262">
        <v>35640</v>
      </c>
      <c r="AA240" s="3262">
        <v>35640</v>
      </c>
      <c r="AB240" s="3269">
        <v>35640</v>
      </c>
      <c r="AC240" s="3267">
        <v>35640</v>
      </c>
      <c r="AD240" s="3267">
        <v>35640</v>
      </c>
      <c r="AE240" s="3267">
        <v>35640</v>
      </c>
      <c r="AF240" s="2236">
        <f t="shared" si="53"/>
        <v>35640</v>
      </c>
      <c r="AG240" s="1396"/>
      <c r="DG240" s="573"/>
      <c r="DH240" s="188"/>
      <c r="DI240" s="1091"/>
      <c r="DJ240" s="1187"/>
    </row>
    <row r="241" spans="1:114" ht="14.65" customHeight="1" outlineLevel="1">
      <c r="A241" s="453"/>
      <c r="C241" s="51"/>
      <c r="D241" s="4199"/>
      <c r="E241" s="4293"/>
      <c r="F241" s="4292" t="s">
        <v>1790</v>
      </c>
      <c r="G241" s="4292"/>
      <c r="H241" s="4292"/>
      <c r="I241" s="3262" t="str">
        <f t="shared" si="54"/>
        <v>350500_2024_12_</v>
      </c>
      <c r="J241" s="3266">
        <v>24000</v>
      </c>
      <c r="K241" s="2573">
        <f t="shared" si="55"/>
        <v>2</v>
      </c>
      <c r="L241" s="3267" t="s">
        <v>1932</v>
      </c>
      <c r="M241" s="563"/>
      <c r="N241" s="561"/>
      <c r="S241" s="52"/>
      <c r="T241" s="52"/>
      <c r="U241" s="52"/>
      <c r="V241" s="4293"/>
      <c r="W241" s="3262">
        <v>36000</v>
      </c>
      <c r="X241" s="3265">
        <v>24000</v>
      </c>
      <c r="Y241" s="3262">
        <v>24000</v>
      </c>
      <c r="Z241" s="3262">
        <v>24000</v>
      </c>
      <c r="AA241" s="3262">
        <v>24000</v>
      </c>
      <c r="AB241" s="3269">
        <v>24000</v>
      </c>
      <c r="AC241" s="3267">
        <v>24000</v>
      </c>
      <c r="AD241" s="3267">
        <v>24000</v>
      </c>
      <c r="AE241" s="3267">
        <v>24000</v>
      </c>
      <c r="AF241" s="2236">
        <f t="shared" si="53"/>
        <v>24000</v>
      </c>
      <c r="AG241" s="1396"/>
      <c r="DG241" s="573"/>
      <c r="DH241" s="188"/>
      <c r="DI241" s="1091"/>
      <c r="DJ241" s="1187"/>
    </row>
    <row r="242" spans="1:114" ht="14.65" customHeight="1" outlineLevel="1">
      <c r="A242" s="453"/>
      <c r="C242" s="51"/>
      <c r="D242" s="4199"/>
      <c r="E242" s="4293"/>
      <c r="F242" s="4292" t="s">
        <v>1791</v>
      </c>
      <c r="G242" s="4292"/>
      <c r="H242" s="4292"/>
      <c r="I242" s="3262" t="str">
        <f t="shared" si="54"/>
        <v>350500_2024_12_</v>
      </c>
      <c r="J242" s="3266">
        <v>24000</v>
      </c>
      <c r="K242" s="2573">
        <f t="shared" si="55"/>
        <v>2</v>
      </c>
      <c r="L242" s="3267" t="s">
        <v>1932</v>
      </c>
      <c r="M242" s="563"/>
      <c r="N242" s="561"/>
      <c r="S242" s="52"/>
      <c r="T242" s="52"/>
      <c r="U242" s="52"/>
      <c r="V242" s="4293"/>
      <c r="W242" s="3262">
        <v>36000</v>
      </c>
      <c r="X242" s="3265">
        <v>24000</v>
      </c>
      <c r="Y242" s="3262">
        <v>24000</v>
      </c>
      <c r="Z242" s="3262">
        <v>24000</v>
      </c>
      <c r="AA242" s="3262">
        <v>24000</v>
      </c>
      <c r="AB242" s="3269">
        <v>24000</v>
      </c>
      <c r="AC242" s="3267">
        <v>24000</v>
      </c>
      <c r="AD242" s="3267">
        <v>24000</v>
      </c>
      <c r="AE242" s="3267">
        <v>24000</v>
      </c>
      <c r="AF242" s="2236">
        <f t="shared" si="53"/>
        <v>24000</v>
      </c>
      <c r="AG242" s="1396"/>
      <c r="DG242" s="573"/>
      <c r="DH242" s="188"/>
      <c r="DI242" s="1091"/>
      <c r="DJ242" s="1187"/>
    </row>
    <row r="243" spans="1:114" ht="14.65" customHeight="1" outlineLevel="1">
      <c r="A243" s="453"/>
      <c r="C243" s="51"/>
      <c r="D243" s="4199"/>
      <c r="E243" s="4293"/>
      <c r="F243" s="4292" t="s">
        <v>1793</v>
      </c>
      <c r="G243" s="4292"/>
      <c r="H243" s="4292"/>
      <c r="I243" s="3262" t="str">
        <f t="shared" si="54"/>
        <v>350501_2024_12_</v>
      </c>
      <c r="J243" s="3266">
        <f>J241</f>
        <v>24000</v>
      </c>
      <c r="K243" s="2573">
        <f t="shared" si="55"/>
        <v>2</v>
      </c>
      <c r="L243" s="3267" t="s">
        <v>1933</v>
      </c>
      <c r="M243" s="563"/>
      <c r="N243" s="561"/>
      <c r="S243" s="52"/>
      <c r="T243" s="52"/>
      <c r="U243" s="52"/>
      <c r="V243" s="4293"/>
      <c r="W243" s="3262"/>
      <c r="X243" s="3265"/>
      <c r="Y243" s="3265">
        <v>24000</v>
      </c>
      <c r="Z243" s="3262">
        <v>24000</v>
      </c>
      <c r="AA243" s="3262">
        <v>24000</v>
      </c>
      <c r="AB243" s="3269">
        <v>24000</v>
      </c>
      <c r="AC243" s="3267">
        <v>24000</v>
      </c>
      <c r="AD243" s="3267">
        <v>24000</v>
      </c>
      <c r="AE243" s="3267">
        <v>24000</v>
      </c>
      <c r="AF243" s="2236">
        <f t="shared" si="53"/>
        <v>24000</v>
      </c>
      <c r="AG243" s="1396"/>
      <c r="DG243" s="573"/>
      <c r="DH243" s="188"/>
      <c r="DI243" s="1091"/>
      <c r="DJ243" s="1187"/>
    </row>
    <row r="244" spans="1:114" ht="14.65" customHeight="1" outlineLevel="1">
      <c r="A244" s="453"/>
      <c r="C244" s="51"/>
      <c r="D244" s="4199"/>
      <c r="E244" s="4293"/>
      <c r="F244" s="4292" t="s">
        <v>1794</v>
      </c>
      <c r="G244" s="4292"/>
      <c r="H244" s="4292"/>
      <c r="I244" s="3262" t="str">
        <f t="shared" si="54"/>
        <v>350501_2024_12_</v>
      </c>
      <c r="J244" s="3266">
        <f>J242</f>
        <v>24000</v>
      </c>
      <c r="K244" s="2573">
        <f t="shared" si="55"/>
        <v>2</v>
      </c>
      <c r="L244" s="3267" t="s">
        <v>1933</v>
      </c>
      <c r="M244" s="563"/>
      <c r="N244" s="561"/>
      <c r="S244" s="52"/>
      <c r="T244" s="52"/>
      <c r="U244" s="52"/>
      <c r="V244" s="4293"/>
      <c r="W244" s="3262"/>
      <c r="X244" s="3265"/>
      <c r="Y244" s="3265">
        <v>24000</v>
      </c>
      <c r="Z244" s="3262">
        <v>24000</v>
      </c>
      <c r="AA244" s="3262">
        <v>24000</v>
      </c>
      <c r="AB244" s="3269">
        <v>24000</v>
      </c>
      <c r="AC244" s="3267">
        <v>24000</v>
      </c>
      <c r="AD244" s="3267">
        <v>24000</v>
      </c>
      <c r="AE244" s="3267">
        <v>24000</v>
      </c>
      <c r="AF244" s="2236">
        <f t="shared" si="53"/>
        <v>24000</v>
      </c>
      <c r="AG244" s="1396"/>
      <c r="DG244" s="573"/>
      <c r="DH244" s="188"/>
      <c r="DI244" s="1091"/>
      <c r="DJ244" s="1187"/>
    </row>
    <row r="245" spans="1:114" ht="14.25" customHeight="1" outlineLevel="1">
      <c r="A245" s="453"/>
      <c r="C245" s="51"/>
      <c r="D245" s="4199"/>
      <c r="E245" s="4293"/>
      <c r="F245" s="4292" t="s">
        <v>1796</v>
      </c>
      <c r="G245" s="4292"/>
      <c r="H245" s="4292"/>
      <c r="I245" s="3262" t="str">
        <f t="shared" si="54"/>
        <v>350550_2024_12_</v>
      </c>
      <c r="J245" s="3266">
        <v>24000</v>
      </c>
      <c r="K245" s="2528">
        <f t="shared" si="55"/>
        <v>2</v>
      </c>
      <c r="L245" s="3268" t="s">
        <v>1547</v>
      </c>
      <c r="M245" s="563"/>
      <c r="N245" s="561"/>
      <c r="S245" s="52"/>
      <c r="T245" s="52"/>
      <c r="U245" s="52"/>
      <c r="V245" s="4293"/>
      <c r="W245" s="3262">
        <v>36000</v>
      </c>
      <c r="X245" s="3265">
        <v>24000</v>
      </c>
      <c r="Y245" s="3265">
        <v>24000</v>
      </c>
      <c r="Z245" s="3262">
        <v>24000</v>
      </c>
      <c r="AA245" s="3262">
        <v>24000</v>
      </c>
      <c r="AB245" s="3270">
        <v>24000</v>
      </c>
      <c r="AC245" s="3268">
        <v>24000</v>
      </c>
      <c r="AD245" s="3268">
        <v>24000</v>
      </c>
      <c r="AE245" s="3268">
        <v>24000</v>
      </c>
      <c r="AF245" s="2236">
        <f t="shared" si="53"/>
        <v>24000</v>
      </c>
      <c r="AG245" s="1396"/>
      <c r="DG245" s="573"/>
      <c r="DH245" s="188"/>
      <c r="DI245" s="1091"/>
      <c r="DJ245" s="1187"/>
    </row>
    <row r="246" spans="1:114" ht="14.65" customHeight="1" outlineLevel="1">
      <c r="A246" s="453"/>
      <c r="C246" s="51"/>
      <c r="D246" s="4199"/>
      <c r="E246" s="4293"/>
      <c r="F246" s="4292" t="s">
        <v>1798</v>
      </c>
      <c r="G246" s="4292"/>
      <c r="H246" s="4292"/>
      <c r="I246" s="3262" t="str">
        <f t="shared" si="54"/>
        <v>350551_2024_12_</v>
      </c>
      <c r="J246" s="3266">
        <f>J245</f>
        <v>24000</v>
      </c>
      <c r="K246" s="2528">
        <f t="shared" si="55"/>
        <v>2</v>
      </c>
      <c r="L246" s="3267" t="s">
        <v>1933</v>
      </c>
      <c r="M246" s="563"/>
      <c r="N246" s="561"/>
      <c r="S246" s="52"/>
      <c r="T246" s="52"/>
      <c r="U246" s="52"/>
      <c r="V246" s="4293"/>
      <c r="W246" s="3262"/>
      <c r="X246" s="3265"/>
      <c r="Y246" s="3262">
        <v>24000</v>
      </c>
      <c r="Z246" s="3262">
        <v>24000</v>
      </c>
      <c r="AA246" s="3262">
        <v>24000</v>
      </c>
      <c r="AB246" s="3270">
        <v>24000</v>
      </c>
      <c r="AC246" s="3268">
        <v>24000</v>
      </c>
      <c r="AD246" s="3268">
        <v>24000</v>
      </c>
      <c r="AE246" s="3268">
        <v>24000</v>
      </c>
      <c r="AF246" s="2236">
        <f t="shared" si="53"/>
        <v>24000</v>
      </c>
      <c r="AG246" s="1396"/>
      <c r="DG246" s="573"/>
      <c r="DH246" s="188"/>
      <c r="DI246" s="1091"/>
      <c r="DJ246" s="1187"/>
    </row>
    <row r="247" spans="1:114" ht="14.65" customHeight="1" outlineLevel="1">
      <c r="A247" s="453"/>
      <c r="C247" s="51"/>
      <c r="D247" s="4199"/>
      <c r="E247" s="4293"/>
      <c r="F247" s="4338" t="s">
        <v>1801</v>
      </c>
      <c r="G247" s="4338"/>
      <c r="H247" s="4338"/>
      <c r="I247" s="1396" t="str">
        <f t="shared" si="54"/>
        <v>350600_2024_12_</v>
      </c>
      <c r="J247" s="1781">
        <v>37377.983193277316</v>
      </c>
      <c r="K247" s="18">
        <f t="shared" si="55"/>
        <v>3.1148319327731095</v>
      </c>
      <c r="L247" s="1759" t="s">
        <v>1934</v>
      </c>
      <c r="M247" s="563"/>
      <c r="N247" s="561"/>
      <c r="S247" s="52"/>
      <c r="T247" s="52"/>
      <c r="U247" s="52"/>
      <c r="V247" s="4293"/>
      <c r="W247" s="1396">
        <v>39600</v>
      </c>
      <c r="X247" s="833">
        <f>3.05*12000</f>
        <v>36600</v>
      </c>
      <c r="Y247" s="833">
        <v>39240</v>
      </c>
      <c r="Z247" s="1396">
        <v>39240</v>
      </c>
      <c r="AA247" s="1396">
        <v>39240</v>
      </c>
      <c r="AB247" s="734">
        <v>38991.153460381152</v>
      </c>
      <c r="AC247" s="734">
        <v>37553.669972948606</v>
      </c>
      <c r="AD247" s="734">
        <v>37693.038869257951</v>
      </c>
      <c r="AE247" s="734">
        <v>37377.983193277316</v>
      </c>
      <c r="AF247" s="271">
        <f t="shared" si="53"/>
        <v>37377.983193277316</v>
      </c>
      <c r="AG247" s="1396"/>
      <c r="DG247" s="573"/>
      <c r="DH247" s="188"/>
      <c r="DI247" s="1091"/>
      <c r="DJ247" s="1187"/>
    </row>
    <row r="248" spans="1:114" ht="14.65" customHeight="1" outlineLevel="1">
      <c r="A248" s="453"/>
      <c r="C248" s="51"/>
      <c r="D248" s="4199"/>
      <c r="E248" s="4293"/>
      <c r="F248" s="4338" t="s">
        <v>1802</v>
      </c>
      <c r="G248" s="4338"/>
      <c r="H248" s="4338"/>
      <c r="I248" s="1396" t="str">
        <f t="shared" si="54"/>
        <v>350600_2024_12_</v>
      </c>
      <c r="J248" s="1781">
        <f>J247</f>
        <v>37377.983193277316</v>
      </c>
      <c r="K248" s="18">
        <f t="shared" si="55"/>
        <v>3.1148319327731095</v>
      </c>
      <c r="L248" s="1759" t="s">
        <v>1934</v>
      </c>
      <c r="M248" s="563"/>
      <c r="N248" s="561"/>
      <c r="S248" s="52"/>
      <c r="T248" s="52"/>
      <c r="U248" s="52"/>
      <c r="V248" s="4293"/>
      <c r="W248" s="1396">
        <v>39600</v>
      </c>
      <c r="X248" s="833">
        <f>3.05*12000</f>
        <v>36600</v>
      </c>
      <c r="Y248" s="833">
        <v>39240</v>
      </c>
      <c r="Z248" s="1396">
        <v>39240</v>
      </c>
      <c r="AA248" s="1396">
        <v>39240</v>
      </c>
      <c r="AB248" s="734">
        <v>38991.153460381152</v>
      </c>
      <c r="AC248" s="734">
        <v>37553.669972948606</v>
      </c>
      <c r="AD248" s="734">
        <v>37693.038869257951</v>
      </c>
      <c r="AE248" s="734">
        <v>37377.983193277316</v>
      </c>
      <c r="AF248" s="271">
        <f t="shared" si="53"/>
        <v>37377.983193277316</v>
      </c>
      <c r="AG248" s="1396"/>
      <c r="DG248" s="573"/>
      <c r="DH248" s="188"/>
      <c r="DI248" s="1091"/>
      <c r="DJ248" s="1187"/>
    </row>
    <row r="249" spans="1:114" ht="14.65" customHeight="1" outlineLevel="1">
      <c r="A249" s="453"/>
      <c r="C249" s="51"/>
      <c r="D249" s="4199"/>
      <c r="E249" s="4293"/>
      <c r="F249" s="4338" t="s">
        <v>1804</v>
      </c>
      <c r="G249" s="4338"/>
      <c r="H249" s="4338"/>
      <c r="I249" s="1396" t="str">
        <f t="shared" si="54"/>
        <v>350650_2024_12_</v>
      </c>
      <c r="J249" s="1782">
        <v>35870.359408033815</v>
      </c>
      <c r="K249" s="117">
        <f t="shared" si="55"/>
        <v>2.9891966173361513</v>
      </c>
      <c r="L249" s="1609" t="s">
        <v>1935</v>
      </c>
      <c r="M249" s="563"/>
      <c r="N249" s="561"/>
      <c r="S249" s="52"/>
      <c r="T249" s="52"/>
      <c r="U249" s="52"/>
      <c r="V249" s="4293"/>
      <c r="W249" s="1396">
        <v>36000</v>
      </c>
      <c r="X249" s="833">
        <f>3.05*12000</f>
        <v>36600</v>
      </c>
      <c r="Y249" s="833">
        <v>39240</v>
      </c>
      <c r="Z249" s="1396">
        <v>39240</v>
      </c>
      <c r="AA249" s="1396">
        <v>39240</v>
      </c>
      <c r="AB249" s="734">
        <v>39839.242902208207</v>
      </c>
      <c r="AC249" s="734">
        <v>37360</v>
      </c>
      <c r="AD249" s="734">
        <v>36703.815028901736</v>
      </c>
      <c r="AE249" s="734">
        <v>35355.905511811026</v>
      </c>
      <c r="AF249" s="271">
        <f t="shared" si="53"/>
        <v>35870.359408033815</v>
      </c>
      <c r="AG249" s="1396"/>
      <c r="DG249" s="573"/>
      <c r="DH249" s="188"/>
      <c r="DI249" s="1091"/>
      <c r="DJ249" s="1187"/>
    </row>
    <row r="250" spans="1:114" ht="14.65" customHeight="1" outlineLevel="1">
      <c r="A250" s="453"/>
      <c r="C250" s="51"/>
      <c r="D250" s="4199"/>
      <c r="E250" s="4293"/>
      <c r="F250" s="4292" t="s">
        <v>1806</v>
      </c>
      <c r="G250" s="4292"/>
      <c r="H250" s="4292"/>
      <c r="I250" s="3262" t="str">
        <f t="shared" si="54"/>
        <v>350700_2024_12_</v>
      </c>
      <c r="J250" s="3271">
        <v>29333.333333333336</v>
      </c>
      <c r="K250" s="2528">
        <f t="shared" si="55"/>
        <v>2.4444444444444446</v>
      </c>
      <c r="L250" s="3272" t="s">
        <v>1934</v>
      </c>
      <c r="M250" s="563"/>
      <c r="N250" s="561"/>
      <c r="S250" s="52"/>
      <c r="T250" s="52"/>
      <c r="U250" s="52"/>
      <c r="V250" s="4293"/>
      <c r="W250" s="3262">
        <v>39600</v>
      </c>
      <c r="X250" s="3265">
        <f>AVERAGE($X$241,$X$259)</f>
        <v>24230.5</v>
      </c>
      <c r="Y250" s="3262">
        <v>24000</v>
      </c>
      <c r="Z250" s="3262">
        <v>24000</v>
      </c>
      <c r="AA250" s="3262">
        <v>24000</v>
      </c>
      <c r="AB250" s="3276">
        <v>27906.976744186049</v>
      </c>
      <c r="AC250" s="3276">
        <v>29857.142857142899</v>
      </c>
      <c r="AD250" s="3276">
        <v>28800</v>
      </c>
      <c r="AE250" s="3276">
        <v>29333.333333333336</v>
      </c>
      <c r="AF250" s="2236">
        <f t="shared" si="53"/>
        <v>29333.333333333336</v>
      </c>
      <c r="AG250" s="1396"/>
      <c r="DG250" s="573"/>
      <c r="DH250" s="188"/>
      <c r="DI250" s="1091"/>
      <c r="DJ250" s="1187"/>
    </row>
    <row r="251" spans="1:114" ht="14.65" customHeight="1" outlineLevel="1">
      <c r="A251" s="453"/>
      <c r="C251" s="51"/>
      <c r="D251" s="4199"/>
      <c r="E251" s="4293"/>
      <c r="F251" s="4292" t="s">
        <v>1807</v>
      </c>
      <c r="G251" s="4292"/>
      <c r="H251" s="4292"/>
      <c r="I251" s="3262" t="str">
        <f t="shared" si="54"/>
        <v>350700_2024_12_</v>
      </c>
      <c r="J251" s="3271">
        <f>J250</f>
        <v>29333.333333333336</v>
      </c>
      <c r="K251" s="2528">
        <f t="shared" si="55"/>
        <v>2.4444444444444446</v>
      </c>
      <c r="L251" s="3272" t="s">
        <v>1934</v>
      </c>
      <c r="M251" s="563"/>
      <c r="N251" s="561"/>
      <c r="S251" s="52"/>
      <c r="T251" s="52"/>
      <c r="U251" s="52"/>
      <c r="V251" s="4293"/>
      <c r="W251" s="3262">
        <v>39600</v>
      </c>
      <c r="X251" s="3265">
        <f>AVERAGE($X$241,$X$259)</f>
        <v>24230.5</v>
      </c>
      <c r="Y251" s="3262">
        <v>24000</v>
      </c>
      <c r="Z251" s="3262">
        <v>24000</v>
      </c>
      <c r="AA251" s="3262">
        <v>24000</v>
      </c>
      <c r="AB251" s="3276">
        <v>27906.976744186049</v>
      </c>
      <c r="AC251" s="3276">
        <v>29857.142857142859</v>
      </c>
      <c r="AD251" s="3276">
        <v>28800</v>
      </c>
      <c r="AE251" s="3276">
        <v>29333.333333333336</v>
      </c>
      <c r="AF251" s="2236">
        <f t="shared" si="53"/>
        <v>29333.333333333336</v>
      </c>
      <c r="AG251" s="1396"/>
      <c r="DG251" s="573"/>
      <c r="DH251" s="188"/>
      <c r="DI251" s="1091"/>
      <c r="DJ251" s="1187"/>
    </row>
    <row r="252" spans="1:114" ht="14.65" customHeight="1" outlineLevel="1">
      <c r="A252" s="453"/>
      <c r="C252" s="51"/>
      <c r="D252" s="4199"/>
      <c r="E252" s="4293"/>
      <c r="F252" s="4292" t="s">
        <v>1809</v>
      </c>
      <c r="G252" s="4292"/>
      <c r="H252" s="4292"/>
      <c r="I252" s="3262" t="str">
        <f t="shared" si="54"/>
        <v>350701_2024_12_</v>
      </c>
      <c r="J252" s="3271">
        <f>J250</f>
        <v>29333.333333333336</v>
      </c>
      <c r="K252" s="2528">
        <f t="shared" si="55"/>
        <v>2.4444444444444446</v>
      </c>
      <c r="L252" s="3273" t="s">
        <v>1936</v>
      </c>
      <c r="M252" s="563"/>
      <c r="N252" s="561"/>
      <c r="S252" s="52"/>
      <c r="T252" s="52"/>
      <c r="U252" s="52"/>
      <c r="V252" s="4293"/>
      <c r="W252" s="3262"/>
      <c r="X252" s="3265"/>
      <c r="Y252" s="3265">
        <v>24000</v>
      </c>
      <c r="Z252" s="3262">
        <v>24000</v>
      </c>
      <c r="AA252" s="3262">
        <v>24000</v>
      </c>
      <c r="AB252" s="3270">
        <v>24000</v>
      </c>
      <c r="AC252" s="3277">
        <v>29857.142857142859</v>
      </c>
      <c r="AD252" s="3276">
        <v>28800</v>
      </c>
      <c r="AE252" s="3276">
        <v>29333.333333333336</v>
      </c>
      <c r="AF252" s="2236">
        <f t="shared" si="53"/>
        <v>29333.333333333336</v>
      </c>
      <c r="AG252" s="1396"/>
      <c r="DG252" s="573"/>
      <c r="DH252" s="188"/>
      <c r="DI252" s="1091"/>
      <c r="DJ252" s="1187"/>
    </row>
    <row r="253" spans="1:114" ht="14.65" customHeight="1" outlineLevel="1">
      <c r="A253" s="453"/>
      <c r="C253" s="51"/>
      <c r="D253" s="4199"/>
      <c r="E253" s="4293"/>
      <c r="F253" s="4292" t="s">
        <v>1810</v>
      </c>
      <c r="G253" s="4292"/>
      <c r="H253" s="4292"/>
      <c r="I253" s="3262" t="str">
        <f t="shared" si="54"/>
        <v>350701_2024_12_</v>
      </c>
      <c r="J253" s="3271">
        <f>J251</f>
        <v>29333.333333333336</v>
      </c>
      <c r="K253" s="2528">
        <f t="shared" si="55"/>
        <v>2.4444444444444446</v>
      </c>
      <c r="L253" s="3273" t="s">
        <v>1936</v>
      </c>
      <c r="M253" s="563"/>
      <c r="N253" s="561"/>
      <c r="S253" s="52"/>
      <c r="T253" s="52"/>
      <c r="U253" s="52"/>
      <c r="V253" s="4293"/>
      <c r="W253" s="3262"/>
      <c r="X253" s="3265"/>
      <c r="Y253" s="3265">
        <v>24000</v>
      </c>
      <c r="Z253" s="3262">
        <v>24000</v>
      </c>
      <c r="AA253" s="3262">
        <v>24000</v>
      </c>
      <c r="AB253" s="3270">
        <v>24000</v>
      </c>
      <c r="AC253" s="3277">
        <v>29857.142857142859</v>
      </c>
      <c r="AD253" s="3276">
        <v>28800</v>
      </c>
      <c r="AE253" s="3276">
        <v>29333.333333333336</v>
      </c>
      <c r="AF253" s="2236">
        <f t="shared" si="53"/>
        <v>29333.333333333336</v>
      </c>
      <c r="AG253" s="1396"/>
      <c r="DG253" s="573"/>
      <c r="DH253" s="188"/>
      <c r="DI253" s="1091"/>
      <c r="DJ253" s="1187"/>
    </row>
    <row r="254" spans="1:114" ht="14.65" customHeight="1" outlineLevel="1">
      <c r="A254" s="453"/>
      <c r="C254" s="51"/>
      <c r="D254" s="4199"/>
      <c r="E254" s="4293"/>
      <c r="F254" s="4292" t="s">
        <v>1812</v>
      </c>
      <c r="G254" s="4292"/>
      <c r="H254" s="4292"/>
      <c r="I254" s="3262" t="str">
        <f t="shared" si="54"/>
        <v>350750_2024_12_</v>
      </c>
      <c r="J254" s="3274">
        <v>24000</v>
      </c>
      <c r="K254" s="2529">
        <f t="shared" si="55"/>
        <v>2</v>
      </c>
      <c r="L254" s="3275" t="s">
        <v>1935</v>
      </c>
      <c r="M254" s="563"/>
      <c r="N254" s="561"/>
      <c r="S254" s="52"/>
      <c r="T254" s="52"/>
      <c r="U254" s="52"/>
      <c r="V254" s="4293"/>
      <c r="W254" s="3262">
        <v>36000</v>
      </c>
      <c r="X254" s="3265">
        <f>AVERAGE($X$241,$X$259)</f>
        <v>24230.5</v>
      </c>
      <c r="Y254" s="3265">
        <v>24000</v>
      </c>
      <c r="Z254" s="3262">
        <v>24000</v>
      </c>
      <c r="AA254" s="3262">
        <v>24000</v>
      </c>
      <c r="AB254" s="3277">
        <v>25000</v>
      </c>
      <c r="AC254" s="3277">
        <v>33000</v>
      </c>
      <c r="AD254" s="3277">
        <v>18158.940397350994</v>
      </c>
      <c r="AE254" s="3268">
        <v>18158.940397350994</v>
      </c>
      <c r="AF254" s="2236">
        <f t="shared" si="53"/>
        <v>24000</v>
      </c>
      <c r="AG254" s="1396"/>
      <c r="DG254" s="573"/>
      <c r="DH254" s="188"/>
      <c r="DI254" s="1091"/>
      <c r="DJ254" s="1187"/>
    </row>
    <row r="255" spans="1:114" ht="14.65" customHeight="1" outlineLevel="1">
      <c r="A255" s="453"/>
      <c r="C255" s="51"/>
      <c r="D255" s="4199"/>
      <c r="E255" s="4293"/>
      <c r="F255" s="4292" t="s">
        <v>1814</v>
      </c>
      <c r="G255" s="4292"/>
      <c r="H255" s="4292"/>
      <c r="I255" s="3262" t="str">
        <f t="shared" si="54"/>
        <v>350751_2024_12_</v>
      </c>
      <c r="J255" s="3274">
        <f>J254</f>
        <v>24000</v>
      </c>
      <c r="K255" s="2529">
        <f t="shared" si="55"/>
        <v>2</v>
      </c>
      <c r="L255" s="3275" t="s">
        <v>1935</v>
      </c>
      <c r="M255" s="563"/>
      <c r="N255" s="561"/>
      <c r="S255" s="52"/>
      <c r="T255" s="52"/>
      <c r="U255" s="52"/>
      <c r="V255" s="4293"/>
      <c r="W255" s="3262"/>
      <c r="X255" s="3265"/>
      <c r="Y255" s="3265">
        <v>24000</v>
      </c>
      <c r="Z255" s="3262">
        <v>24000</v>
      </c>
      <c r="AA255" s="3262">
        <v>24000</v>
      </c>
      <c r="AB255" s="3270">
        <v>24000</v>
      </c>
      <c r="AC255" s="3277">
        <v>33000</v>
      </c>
      <c r="AD255" s="3277">
        <v>18158.940397350994</v>
      </c>
      <c r="AE255" s="3268">
        <v>18158.940397350994</v>
      </c>
      <c r="AF255" s="2236">
        <f t="shared" si="53"/>
        <v>24000</v>
      </c>
      <c r="AG255" s="1396"/>
      <c r="DG255" s="573"/>
      <c r="DH255" s="188"/>
      <c r="DI255" s="1091"/>
      <c r="DJ255" s="1187"/>
    </row>
    <row r="256" spans="1:114" ht="14.65" customHeight="1" outlineLevel="1">
      <c r="A256" s="453"/>
      <c r="C256" s="51"/>
      <c r="D256" s="4199"/>
      <c r="E256" s="4293"/>
      <c r="F256" s="4338" t="s">
        <v>1816</v>
      </c>
      <c r="G256" s="4338"/>
      <c r="H256" s="4338"/>
      <c r="I256" s="1396" t="str">
        <f t="shared" si="54"/>
        <v>350800_2024_12_</v>
      </c>
      <c r="J256" s="1782">
        <v>34507.773989283975</v>
      </c>
      <c r="K256" s="117">
        <f t="shared" si="55"/>
        <v>2.8756478324403312</v>
      </c>
      <c r="L256" s="1609" t="s">
        <v>1935</v>
      </c>
      <c r="M256" s="563"/>
      <c r="N256" s="561"/>
      <c r="S256" s="52"/>
      <c r="T256" s="52"/>
      <c r="U256" s="52"/>
      <c r="V256" s="4293"/>
      <c r="W256" s="1396">
        <v>37200</v>
      </c>
      <c r="X256" s="833">
        <f>3.05*12000</f>
        <v>36600</v>
      </c>
      <c r="Y256" s="833">
        <v>36720</v>
      </c>
      <c r="Z256" s="1396">
        <v>36720</v>
      </c>
      <c r="AA256" s="1396">
        <v>36720</v>
      </c>
      <c r="AB256" s="735">
        <v>35734.902975420438</v>
      </c>
      <c r="AC256" s="735">
        <v>35455.827196858118</v>
      </c>
      <c r="AD256" s="735">
        <v>34928.920972644381</v>
      </c>
      <c r="AE256" s="735">
        <v>35105.30215608867</v>
      </c>
      <c r="AF256" s="271">
        <f t="shared" si="53"/>
        <v>34507.773989283975</v>
      </c>
      <c r="AG256" s="1396"/>
      <c r="DG256" s="573"/>
      <c r="DH256" s="188"/>
      <c r="DI256" s="1091"/>
      <c r="DJ256" s="1187"/>
    </row>
    <row r="257" spans="1:114" ht="14.65" customHeight="1" outlineLevel="1">
      <c r="A257" s="453"/>
      <c r="C257" s="51"/>
      <c r="D257" s="4199"/>
      <c r="E257" s="4293"/>
      <c r="F257" s="4338" t="s">
        <v>1817</v>
      </c>
      <c r="G257" s="4338"/>
      <c r="H257" s="4338"/>
      <c r="I257" s="1396" t="str">
        <f t="shared" si="54"/>
        <v>350800_2024_12_</v>
      </c>
      <c r="J257" s="1783">
        <f>J256</f>
        <v>34507.773989283975</v>
      </c>
      <c r="K257" s="117">
        <f t="shared" si="55"/>
        <v>2.8756478324403312</v>
      </c>
      <c r="L257" s="1609" t="s">
        <v>1935</v>
      </c>
      <c r="M257" s="563"/>
      <c r="N257" s="561"/>
      <c r="S257" s="52"/>
      <c r="T257" s="52"/>
      <c r="U257" s="52"/>
      <c r="V257" s="4293"/>
      <c r="W257" s="1396">
        <v>37200</v>
      </c>
      <c r="X257" s="833">
        <f>3.05*12000</f>
        <v>36600</v>
      </c>
      <c r="Y257" s="833">
        <v>36720</v>
      </c>
      <c r="Z257" s="1396">
        <v>36720</v>
      </c>
      <c r="AA257" s="1396">
        <v>36720</v>
      </c>
      <c r="AB257" s="735">
        <v>35734.902975420438</v>
      </c>
      <c r="AC257" s="735">
        <v>35455.827196858118</v>
      </c>
      <c r="AD257" s="735">
        <v>34928.920972644381</v>
      </c>
      <c r="AE257" s="735">
        <v>35105.30215608867</v>
      </c>
      <c r="AF257" s="271">
        <f t="shared" si="53"/>
        <v>34507.773989283975</v>
      </c>
      <c r="AG257" s="1396"/>
      <c r="DG257" s="573"/>
      <c r="DH257" s="188"/>
      <c r="DI257" s="1091"/>
      <c r="DJ257" s="1187"/>
    </row>
    <row r="258" spans="1:114" ht="14.65" customHeight="1" outlineLevel="1">
      <c r="A258" s="453"/>
      <c r="C258" s="51"/>
      <c r="D258" s="4199"/>
      <c r="E258" s="4293"/>
      <c r="F258" s="4338" t="s">
        <v>1819</v>
      </c>
      <c r="G258" s="4338"/>
      <c r="H258" s="4338"/>
      <c r="I258" s="1396" t="str">
        <f t="shared" si="54"/>
        <v>350850_2024_12_</v>
      </c>
      <c r="J258" s="1783">
        <v>34144.528301886792</v>
      </c>
      <c r="K258" s="117">
        <f t="shared" si="55"/>
        <v>2.8453773584905662</v>
      </c>
      <c r="L258" s="1609" t="s">
        <v>1935</v>
      </c>
      <c r="M258" s="563"/>
      <c r="N258" s="561"/>
      <c r="S258" s="52"/>
      <c r="T258" s="52"/>
      <c r="U258" s="52"/>
      <c r="V258" s="4293"/>
      <c r="W258" s="1396">
        <v>34800</v>
      </c>
      <c r="X258" s="833">
        <f>3.05*12000</f>
        <v>36600</v>
      </c>
      <c r="Y258" s="833">
        <v>35880</v>
      </c>
      <c r="Z258" s="1396">
        <v>35880</v>
      </c>
      <c r="AA258" s="1396">
        <v>35880</v>
      </c>
      <c r="AB258" s="735">
        <v>36194.49901768173</v>
      </c>
      <c r="AC258" s="735">
        <v>36399.092122830436</v>
      </c>
      <c r="AD258" s="735">
        <v>36027.146529562975</v>
      </c>
      <c r="AE258" s="803">
        <v>36027.146529562975</v>
      </c>
      <c r="AF258" s="271">
        <f t="shared" si="53"/>
        <v>34144.528301886792</v>
      </c>
      <c r="AG258" s="1396"/>
      <c r="DG258" s="573"/>
      <c r="DH258" s="188"/>
      <c r="DI258" s="1091"/>
      <c r="DJ258" s="1187"/>
    </row>
    <row r="259" spans="1:114" ht="14.65" customHeight="1" outlineLevel="1">
      <c r="A259" s="453"/>
      <c r="C259" s="51"/>
      <c r="D259" s="4199"/>
      <c r="E259" s="4293"/>
      <c r="F259" s="4338" t="s">
        <v>1821</v>
      </c>
      <c r="G259" s="4338"/>
      <c r="H259" s="4338"/>
      <c r="I259" s="1396" t="str">
        <f t="shared" si="54"/>
        <v>350900_2024_12_</v>
      </c>
      <c r="J259" s="1783">
        <v>30461.538461538461</v>
      </c>
      <c r="K259" s="117">
        <f t="shared" si="55"/>
        <v>2.5384615384615383</v>
      </c>
      <c r="L259" s="1609" t="s">
        <v>1935</v>
      </c>
      <c r="M259" s="563"/>
      <c r="N259" s="561"/>
      <c r="S259" s="52"/>
      <c r="T259" s="52"/>
      <c r="U259" s="52"/>
      <c r="V259" s="4293"/>
      <c r="W259" s="1396">
        <v>37200</v>
      </c>
      <c r="X259" s="833">
        <v>24461</v>
      </c>
      <c r="Y259" s="833">
        <v>24000</v>
      </c>
      <c r="Z259" s="1396">
        <v>24000</v>
      </c>
      <c r="AA259" s="1396">
        <v>24000</v>
      </c>
      <c r="AB259" s="735">
        <v>30857.142857142859</v>
      </c>
      <c r="AC259" s="735">
        <v>30216.867469879515</v>
      </c>
      <c r="AD259" s="735">
        <v>26175.824175824175</v>
      </c>
      <c r="AE259" s="735">
        <v>30285.714285714286</v>
      </c>
      <c r="AF259" s="271">
        <f t="shared" si="53"/>
        <v>30461.538461538461</v>
      </c>
      <c r="AG259" s="1396"/>
      <c r="DG259" s="573"/>
      <c r="DH259" s="188"/>
      <c r="DI259" s="1091"/>
      <c r="DJ259" s="1187"/>
    </row>
    <row r="260" spans="1:114" ht="14.65" customHeight="1" outlineLevel="1">
      <c r="A260" s="453"/>
      <c r="C260" s="51"/>
      <c r="D260" s="4199"/>
      <c r="E260" s="4293"/>
      <c r="F260" s="4338" t="s">
        <v>1822</v>
      </c>
      <c r="G260" s="4338"/>
      <c r="H260" s="4338"/>
      <c r="I260" s="1396" t="str">
        <f t="shared" si="54"/>
        <v>350900_2024_12_</v>
      </c>
      <c r="J260" s="1783">
        <f>J259</f>
        <v>30461.538461538461</v>
      </c>
      <c r="K260" s="117">
        <f t="shared" si="55"/>
        <v>2.5384615384615383</v>
      </c>
      <c r="L260" s="1609" t="s">
        <v>1935</v>
      </c>
      <c r="M260" s="563"/>
      <c r="N260" s="561"/>
      <c r="S260" s="52"/>
      <c r="T260" s="52"/>
      <c r="U260" s="52"/>
      <c r="V260" s="4293"/>
      <c r="W260" s="1396">
        <v>37200</v>
      </c>
      <c r="X260" s="833">
        <v>24461</v>
      </c>
      <c r="Y260" s="833">
        <v>24000</v>
      </c>
      <c r="Z260" s="1396">
        <v>24000</v>
      </c>
      <c r="AA260" s="1396">
        <v>24000</v>
      </c>
      <c r="AB260" s="735">
        <v>30857.142857142859</v>
      </c>
      <c r="AC260" s="735">
        <v>30216.867469879515</v>
      </c>
      <c r="AD260" s="735">
        <v>26175.824175824175</v>
      </c>
      <c r="AE260" s="735">
        <v>30285.714285714286</v>
      </c>
      <c r="AF260" s="271">
        <f t="shared" si="53"/>
        <v>30461.538461538461</v>
      </c>
      <c r="AG260" s="1396"/>
      <c r="DG260" s="573"/>
      <c r="DH260" s="188"/>
      <c r="DI260" s="1091"/>
      <c r="DJ260" s="1187"/>
    </row>
    <row r="261" spans="1:114" ht="14.65" customHeight="1" outlineLevel="1">
      <c r="A261" s="453"/>
      <c r="C261" s="51"/>
      <c r="D261" s="4199"/>
      <c r="E261" s="4293"/>
      <c r="F261" s="4292" t="s">
        <v>1824</v>
      </c>
      <c r="G261" s="4292"/>
      <c r="H261" s="4292"/>
      <c r="I261" s="3262" t="str">
        <f t="shared" si="54"/>
        <v>350901_2024_12_</v>
      </c>
      <c r="J261" s="3278">
        <f>J259</f>
        <v>30461.538461538461</v>
      </c>
      <c r="K261" s="2529">
        <f t="shared" si="55"/>
        <v>2.5384615384615383</v>
      </c>
      <c r="L261" s="3275" t="s">
        <v>1935</v>
      </c>
      <c r="M261" s="563"/>
      <c r="N261" s="561"/>
      <c r="S261" s="52"/>
      <c r="T261" s="52"/>
      <c r="U261" s="52"/>
      <c r="V261" s="4293"/>
      <c r="W261" s="3262"/>
      <c r="X261" s="3265"/>
      <c r="Y261" s="3265">
        <v>24000</v>
      </c>
      <c r="Z261" s="3262">
        <v>24000</v>
      </c>
      <c r="AA261" s="3262">
        <v>24000</v>
      </c>
      <c r="AB261" s="3270">
        <v>24000</v>
      </c>
      <c r="AC261" s="3277">
        <v>30216.867469879515</v>
      </c>
      <c r="AD261" s="3277">
        <v>26175.824175824175</v>
      </c>
      <c r="AE261" s="3277">
        <v>30285.714285714286</v>
      </c>
      <c r="AF261" s="2236">
        <f t="shared" si="53"/>
        <v>30461.538461538461</v>
      </c>
      <c r="AG261" s="1396"/>
      <c r="DG261" s="573"/>
      <c r="DH261" s="188"/>
      <c r="DI261" s="1091"/>
      <c r="DJ261" s="1187"/>
    </row>
    <row r="262" spans="1:114" ht="14.65" customHeight="1" outlineLevel="1">
      <c r="A262" s="453"/>
      <c r="C262" s="51"/>
      <c r="D262" s="4199"/>
      <c r="E262" s="4293"/>
      <c r="F262" s="4292" t="s">
        <v>1825</v>
      </c>
      <c r="G262" s="4292"/>
      <c r="H262" s="4292"/>
      <c r="I262" s="3262" t="str">
        <f t="shared" si="54"/>
        <v>350901_2024_12_</v>
      </c>
      <c r="J262" s="3278">
        <f>J260</f>
        <v>30461.538461538461</v>
      </c>
      <c r="K262" s="2529">
        <f t="shared" si="55"/>
        <v>2.5384615384615383</v>
      </c>
      <c r="L262" s="3275" t="s">
        <v>1935</v>
      </c>
      <c r="M262" s="563"/>
      <c r="N262" s="561"/>
      <c r="S262" s="52"/>
      <c r="T262" s="52"/>
      <c r="U262" s="52"/>
      <c r="V262" s="4293"/>
      <c r="W262" s="3262"/>
      <c r="X262" s="3265"/>
      <c r="Y262" s="3265">
        <v>24000</v>
      </c>
      <c r="Z262" s="3262">
        <v>24000</v>
      </c>
      <c r="AA262" s="3262">
        <v>24000</v>
      </c>
      <c r="AB262" s="3270">
        <v>24000</v>
      </c>
      <c r="AC262" s="3277">
        <v>30216.867469879515</v>
      </c>
      <c r="AD262" s="3277">
        <v>26175.824175824175</v>
      </c>
      <c r="AE262" s="3277">
        <v>30285.714285714286</v>
      </c>
      <c r="AF262" s="2236">
        <f t="shared" si="53"/>
        <v>30461.538461538461</v>
      </c>
      <c r="AG262" s="1396"/>
      <c r="DG262" s="573"/>
      <c r="DH262" s="188"/>
      <c r="DI262" s="1091"/>
      <c r="DJ262" s="1187"/>
    </row>
    <row r="263" spans="1:114" ht="14.65" customHeight="1" outlineLevel="1">
      <c r="A263" s="453"/>
      <c r="C263" s="51"/>
      <c r="D263" s="4199"/>
      <c r="E263" s="4293"/>
      <c r="F263" s="4292" t="s">
        <v>1827</v>
      </c>
      <c r="G263" s="4292"/>
      <c r="H263" s="4292"/>
      <c r="I263" s="3262" t="str">
        <f t="shared" si="54"/>
        <v>350950_2024_12_</v>
      </c>
      <c r="J263" s="3266">
        <v>33000</v>
      </c>
      <c r="K263" s="2528">
        <f t="shared" si="55"/>
        <v>2.75</v>
      </c>
      <c r="L263" s="3272" t="s">
        <v>1937</v>
      </c>
      <c r="M263" s="563"/>
      <c r="N263" s="561"/>
      <c r="S263" s="52"/>
      <c r="T263" s="52"/>
      <c r="U263" s="52"/>
      <c r="V263" s="4293"/>
      <c r="W263" s="3262">
        <v>34800</v>
      </c>
      <c r="X263" s="3265">
        <v>24461</v>
      </c>
      <c r="Y263" s="3265">
        <v>24000</v>
      </c>
      <c r="Z263" s="3262">
        <v>24000</v>
      </c>
      <c r="AA263" s="3262">
        <v>24000</v>
      </c>
      <c r="AB263" s="3277">
        <v>32571.428571428572</v>
      </c>
      <c r="AC263" s="3277">
        <v>25200</v>
      </c>
      <c r="AD263" s="3277">
        <v>33000</v>
      </c>
      <c r="AE263" s="3268">
        <v>33000</v>
      </c>
      <c r="AF263" s="2236">
        <f t="shared" si="53"/>
        <v>33000</v>
      </c>
      <c r="AG263" s="1396"/>
      <c r="DG263" s="573"/>
      <c r="DH263" s="188"/>
      <c r="DI263" s="1091"/>
      <c r="DJ263" s="1187"/>
    </row>
    <row r="264" spans="1:114" ht="14.65" customHeight="1" outlineLevel="1">
      <c r="A264" s="453"/>
      <c r="C264" s="51"/>
      <c r="D264" s="4199"/>
      <c r="E264" s="4293"/>
      <c r="F264" s="4292" t="s">
        <v>1829</v>
      </c>
      <c r="G264" s="4292"/>
      <c r="H264" s="4292"/>
      <c r="I264" s="3262" t="str">
        <f t="shared" si="54"/>
        <v>350951_2024_12_</v>
      </c>
      <c r="J264" s="3266">
        <f>J263</f>
        <v>33000</v>
      </c>
      <c r="K264" s="2528">
        <f t="shared" si="55"/>
        <v>2.75</v>
      </c>
      <c r="L264" s="3267" t="s">
        <v>1933</v>
      </c>
      <c r="M264" s="563"/>
      <c r="N264" s="561"/>
      <c r="S264" s="52"/>
      <c r="T264" s="52"/>
      <c r="U264" s="52"/>
      <c r="V264" s="4293"/>
      <c r="W264" s="3262"/>
      <c r="X264" s="3265"/>
      <c r="Y264" s="3265">
        <v>24000</v>
      </c>
      <c r="Z264" s="3262">
        <v>24000</v>
      </c>
      <c r="AA264" s="3262">
        <v>24000</v>
      </c>
      <c r="AB264" s="3270">
        <v>24000</v>
      </c>
      <c r="AC264" s="3277">
        <v>25200</v>
      </c>
      <c r="AD264" s="3277">
        <v>33000</v>
      </c>
      <c r="AE264" s="3268">
        <v>33000</v>
      </c>
      <c r="AF264" s="2236">
        <f t="shared" si="53"/>
        <v>33000</v>
      </c>
      <c r="AG264" s="1396"/>
      <c r="DG264" s="573"/>
      <c r="DH264" s="188"/>
      <c r="DI264" s="1091"/>
      <c r="DJ264" s="1187"/>
    </row>
    <row r="265" spans="1:114" ht="14.65" customHeight="1" outlineLevel="1">
      <c r="A265" s="453"/>
      <c r="C265" s="51"/>
      <c r="D265" s="4199"/>
      <c r="E265" s="4293"/>
      <c r="F265" s="4338" t="s">
        <v>1831</v>
      </c>
      <c r="G265" s="4338"/>
      <c r="H265" s="4338"/>
      <c r="I265" s="1396" t="str">
        <f t="shared" si="54"/>
        <v>351000_2024_12_</v>
      </c>
      <c r="J265" s="1783">
        <v>38062.794348508636</v>
      </c>
      <c r="K265" s="117">
        <f t="shared" si="55"/>
        <v>3.1718995290423861</v>
      </c>
      <c r="L265" s="1609" t="s">
        <v>1935</v>
      </c>
      <c r="M265" s="563"/>
      <c r="N265" s="561"/>
      <c r="S265" s="52"/>
      <c r="T265" s="52"/>
      <c r="U265" s="52"/>
      <c r="V265" s="4293"/>
      <c r="W265" s="1396">
        <v>37200</v>
      </c>
      <c r="X265" s="951">
        <f>W265</f>
        <v>37200</v>
      </c>
      <c r="Y265" s="833">
        <v>36720</v>
      </c>
      <c r="Z265" s="1396">
        <v>36720</v>
      </c>
      <c r="AA265" s="1396">
        <v>36720</v>
      </c>
      <c r="AB265" s="735">
        <v>36976.704980842915</v>
      </c>
      <c r="AC265" s="735">
        <v>35029.739776951676</v>
      </c>
      <c r="AD265" s="735">
        <v>35328.775637041639</v>
      </c>
      <c r="AE265" s="803">
        <v>35328.775637041639</v>
      </c>
      <c r="AF265" s="271">
        <f t="shared" si="53"/>
        <v>38062.794348508636</v>
      </c>
      <c r="AG265" s="1396"/>
      <c r="DG265" s="573"/>
      <c r="DH265" s="188"/>
      <c r="DI265" s="1091"/>
      <c r="DJ265" s="1187"/>
    </row>
    <row r="266" spans="1:114" ht="14.65" customHeight="1" outlineLevel="1">
      <c r="A266" s="453"/>
      <c r="C266" s="51"/>
      <c r="D266" s="4199"/>
      <c r="E266" s="4293"/>
      <c r="F266" s="4338" t="s">
        <v>1832</v>
      </c>
      <c r="G266" s="4338"/>
      <c r="H266" s="4338"/>
      <c r="I266" s="1396" t="str">
        <f t="shared" si="54"/>
        <v>351000_2024_12_</v>
      </c>
      <c r="J266" s="1783">
        <f>J265</f>
        <v>38062.794348508636</v>
      </c>
      <c r="K266" s="117">
        <f t="shared" si="55"/>
        <v>3.1718995290423861</v>
      </c>
      <c r="L266" s="1609" t="s">
        <v>1935</v>
      </c>
      <c r="M266" s="563"/>
      <c r="N266" s="561"/>
      <c r="S266" s="52"/>
      <c r="T266" s="52"/>
      <c r="U266" s="52"/>
      <c r="V266" s="4293"/>
      <c r="W266" s="1396">
        <v>37200</v>
      </c>
      <c r="X266" s="951">
        <f t="shared" ref="X266:X272" si="56">W266</f>
        <v>37200</v>
      </c>
      <c r="Y266" s="833">
        <v>36720</v>
      </c>
      <c r="Z266" s="1396">
        <v>36720</v>
      </c>
      <c r="AA266" s="1396">
        <v>36720</v>
      </c>
      <c r="AB266" s="735">
        <v>36976.704980842915</v>
      </c>
      <c r="AC266" s="735">
        <v>35029.739776951676</v>
      </c>
      <c r="AD266" s="735">
        <v>35328.775637041639</v>
      </c>
      <c r="AE266" s="803">
        <v>35328.775637041639</v>
      </c>
      <c r="AF266" s="271">
        <f t="shared" si="53"/>
        <v>38062.794348508636</v>
      </c>
      <c r="AG266" s="1396"/>
      <c r="DG266" s="573"/>
      <c r="DH266" s="188"/>
      <c r="DI266" s="1091"/>
      <c r="DJ266" s="1187"/>
    </row>
    <row r="267" spans="1:114" ht="14.65" customHeight="1" outlineLevel="1">
      <c r="A267" s="453"/>
      <c r="C267" s="51"/>
      <c r="D267" s="4199"/>
      <c r="E267" s="4293"/>
      <c r="F267" s="4338" t="s">
        <v>1834</v>
      </c>
      <c r="G267" s="4338"/>
      <c r="H267" s="4338"/>
      <c r="I267" s="1396" t="str">
        <f t="shared" si="54"/>
        <v>351050_2024_12_</v>
      </c>
      <c r="J267" s="1783">
        <v>39601.353383458649</v>
      </c>
      <c r="K267" s="117">
        <f t="shared" si="55"/>
        <v>3.3001127819548874</v>
      </c>
      <c r="L267" s="1609" t="s">
        <v>1935</v>
      </c>
      <c r="M267" s="563"/>
      <c r="N267" s="561"/>
      <c r="S267" s="52"/>
      <c r="T267" s="52"/>
      <c r="U267" s="52"/>
      <c r="V267" s="4293"/>
      <c r="W267" s="1396">
        <v>34800</v>
      </c>
      <c r="X267" s="951">
        <f t="shared" si="56"/>
        <v>34800</v>
      </c>
      <c r="Y267" s="833">
        <v>35880</v>
      </c>
      <c r="Z267" s="1396">
        <v>35880</v>
      </c>
      <c r="AA267" s="1396">
        <v>35880</v>
      </c>
      <c r="AB267" s="735">
        <v>38408.163265306124</v>
      </c>
      <c r="AC267" s="735">
        <v>36358.695652173912</v>
      </c>
      <c r="AD267" s="735">
        <v>35148.936170212764</v>
      </c>
      <c r="AE267" s="735">
        <v>34613.981762917931</v>
      </c>
      <c r="AF267" s="271">
        <f t="shared" si="53"/>
        <v>39601.353383458649</v>
      </c>
      <c r="AG267" s="1396"/>
      <c r="DG267" s="573"/>
      <c r="DH267" s="188"/>
      <c r="DI267" s="1091"/>
      <c r="DJ267" s="1187"/>
    </row>
    <row r="268" spans="1:114" ht="14.65" customHeight="1" outlineLevel="1">
      <c r="A268" s="453"/>
      <c r="C268" s="51"/>
      <c r="D268" s="4199"/>
      <c r="E268" s="4293"/>
      <c r="F268" s="4292" t="s">
        <v>1836</v>
      </c>
      <c r="G268" s="4292"/>
      <c r="H268" s="4292"/>
      <c r="I268" s="3262" t="str">
        <f t="shared" si="54"/>
        <v>351100_2024_12_</v>
      </c>
      <c r="J268" s="3266">
        <v>28800</v>
      </c>
      <c r="K268" s="2528">
        <f t="shared" si="55"/>
        <v>2.4</v>
      </c>
      <c r="L268" s="3272" t="s">
        <v>1934</v>
      </c>
      <c r="M268" s="563"/>
      <c r="N268" s="561"/>
      <c r="S268" s="52"/>
      <c r="T268" s="52"/>
      <c r="U268" s="52"/>
      <c r="V268" s="4293"/>
      <c r="W268" s="3262">
        <v>37200</v>
      </c>
      <c r="X268" s="3264">
        <f t="shared" si="56"/>
        <v>37200</v>
      </c>
      <c r="Y268" s="3265">
        <v>24000</v>
      </c>
      <c r="Z268" s="3262">
        <v>24000</v>
      </c>
      <c r="AA268" s="3262">
        <v>24000</v>
      </c>
      <c r="AB268" s="3277">
        <v>29454.545454545456</v>
      </c>
      <c r="AC268" s="3277">
        <v>30750</v>
      </c>
      <c r="AD268" s="3277">
        <v>32666.666666666668</v>
      </c>
      <c r="AE268" s="3277">
        <v>28800</v>
      </c>
      <c r="AF268" s="2236">
        <f t="shared" si="53"/>
        <v>28800</v>
      </c>
      <c r="AG268" s="1396"/>
      <c r="DG268" s="573"/>
      <c r="DH268" s="188"/>
      <c r="DI268" s="1091"/>
      <c r="DJ268" s="1187"/>
    </row>
    <row r="269" spans="1:114" ht="14.65" customHeight="1" outlineLevel="1">
      <c r="A269" s="453"/>
      <c r="C269" s="51"/>
      <c r="D269" s="4199"/>
      <c r="E269" s="4293"/>
      <c r="F269" s="4292" t="s">
        <v>1837</v>
      </c>
      <c r="G269" s="4292"/>
      <c r="H269" s="4292"/>
      <c r="I269" s="3262" t="str">
        <f t="shared" si="54"/>
        <v>351100_2024_12_</v>
      </c>
      <c r="J269" s="3266">
        <f>J268</f>
        <v>28800</v>
      </c>
      <c r="K269" s="2528">
        <f t="shared" si="55"/>
        <v>2.4</v>
      </c>
      <c r="L269" s="3272" t="s">
        <v>1934</v>
      </c>
      <c r="M269" s="563"/>
      <c r="N269" s="561"/>
      <c r="S269" s="52"/>
      <c r="T269" s="52"/>
      <c r="U269" s="52"/>
      <c r="V269" s="4293"/>
      <c r="W269" s="3262">
        <v>37200</v>
      </c>
      <c r="X269" s="3264">
        <f t="shared" si="56"/>
        <v>37200</v>
      </c>
      <c r="Y269" s="3265">
        <v>24000</v>
      </c>
      <c r="Z269" s="3262">
        <v>24000</v>
      </c>
      <c r="AA269" s="3262">
        <v>24000</v>
      </c>
      <c r="AB269" s="3277">
        <v>29454.545454545456</v>
      </c>
      <c r="AC269" s="3277">
        <v>30750</v>
      </c>
      <c r="AD269" s="3277">
        <v>32666.666666666668</v>
      </c>
      <c r="AE269" s="3277">
        <v>28800</v>
      </c>
      <c r="AF269" s="2236">
        <f t="shared" si="53"/>
        <v>28800</v>
      </c>
      <c r="AG269" s="1396"/>
      <c r="DG269" s="573"/>
      <c r="DH269" s="188"/>
      <c r="DI269" s="1091"/>
      <c r="DJ269" s="1187"/>
    </row>
    <row r="270" spans="1:114" ht="14.65" customHeight="1" outlineLevel="1">
      <c r="A270" s="453"/>
      <c r="C270" s="51"/>
      <c r="D270" s="4199"/>
      <c r="E270" s="4293"/>
      <c r="F270" s="4292" t="s">
        <v>1839</v>
      </c>
      <c r="G270" s="4292"/>
      <c r="H270" s="4292"/>
      <c r="I270" s="3262" t="str">
        <f t="shared" si="54"/>
        <v>351101_2024_12_</v>
      </c>
      <c r="J270" s="3266">
        <f>J268</f>
        <v>28800</v>
      </c>
      <c r="K270" s="2528">
        <f t="shared" si="55"/>
        <v>2.4</v>
      </c>
      <c r="L270" s="3267" t="s">
        <v>1933</v>
      </c>
      <c r="M270" s="563"/>
      <c r="N270" s="561"/>
      <c r="S270" s="52"/>
      <c r="T270" s="52"/>
      <c r="U270" s="52"/>
      <c r="V270" s="4293"/>
      <c r="W270" s="3262"/>
      <c r="X270" s="3264"/>
      <c r="Y270" s="3265">
        <v>24000</v>
      </c>
      <c r="Z270" s="3262">
        <v>24000</v>
      </c>
      <c r="AA270" s="3262">
        <v>24000</v>
      </c>
      <c r="AB270" s="3270">
        <v>24000</v>
      </c>
      <c r="AC270" s="3277">
        <v>30750</v>
      </c>
      <c r="AD270" s="3277">
        <v>32666.666666666668</v>
      </c>
      <c r="AE270" s="3277">
        <v>28800</v>
      </c>
      <c r="AF270" s="2236">
        <f t="shared" si="53"/>
        <v>28800</v>
      </c>
      <c r="AG270" s="1396"/>
      <c r="DG270" s="573"/>
      <c r="DH270" s="188"/>
      <c r="DI270" s="1091"/>
      <c r="DJ270" s="1187"/>
    </row>
    <row r="271" spans="1:114" ht="14.65" customHeight="1" outlineLevel="1">
      <c r="A271" s="453"/>
      <c r="C271" s="51"/>
      <c r="D271" s="4199"/>
      <c r="E271" s="4293"/>
      <c r="F271" s="4292" t="s">
        <v>1840</v>
      </c>
      <c r="G271" s="4292"/>
      <c r="H271" s="4292"/>
      <c r="I271" s="3262" t="str">
        <f t="shared" si="54"/>
        <v>351101_2024_12_</v>
      </c>
      <c r="J271" s="3266">
        <f>J269</f>
        <v>28800</v>
      </c>
      <c r="K271" s="2528">
        <f t="shared" si="55"/>
        <v>2.4</v>
      </c>
      <c r="L271" s="3267" t="s">
        <v>1933</v>
      </c>
      <c r="M271" s="563"/>
      <c r="N271" s="561"/>
      <c r="S271" s="52"/>
      <c r="T271" s="52"/>
      <c r="U271" s="52"/>
      <c r="V271" s="4293"/>
      <c r="W271" s="3262"/>
      <c r="X271" s="3264"/>
      <c r="Y271" s="3265">
        <v>24000</v>
      </c>
      <c r="Z271" s="3262">
        <v>24000</v>
      </c>
      <c r="AA271" s="3262">
        <v>24000</v>
      </c>
      <c r="AB271" s="3270">
        <v>24000</v>
      </c>
      <c r="AC271" s="3277">
        <v>30750</v>
      </c>
      <c r="AD271" s="3277">
        <v>32666.666666666668</v>
      </c>
      <c r="AE271" s="3277">
        <v>28800</v>
      </c>
      <c r="AF271" s="2236">
        <f t="shared" si="53"/>
        <v>28800</v>
      </c>
      <c r="AG271" s="1396"/>
      <c r="DG271" s="573"/>
      <c r="DH271" s="188"/>
      <c r="DI271" s="1091"/>
      <c r="DJ271" s="1187"/>
    </row>
    <row r="272" spans="1:114" ht="14.65" customHeight="1" outlineLevel="1">
      <c r="A272" s="453"/>
      <c r="C272" s="51"/>
      <c r="D272" s="4199"/>
      <c r="E272" s="4293"/>
      <c r="F272" s="4292" t="s">
        <v>1842</v>
      </c>
      <c r="G272" s="4292"/>
      <c r="H272" s="4292"/>
      <c r="I272" s="3262" t="str">
        <f t="shared" si="54"/>
        <v>351150_2024_12_</v>
      </c>
      <c r="J272" s="3266">
        <v>33000</v>
      </c>
      <c r="K272" s="2528">
        <f t="shared" si="55"/>
        <v>2.75</v>
      </c>
      <c r="L272" s="3272" t="s">
        <v>1937</v>
      </c>
      <c r="M272" s="563"/>
      <c r="N272" s="561"/>
      <c r="S272" s="52"/>
      <c r="T272" s="52"/>
      <c r="U272" s="52"/>
      <c r="V272" s="4293"/>
      <c r="W272" s="3262">
        <v>34800</v>
      </c>
      <c r="X272" s="3264">
        <f t="shared" si="56"/>
        <v>34800</v>
      </c>
      <c r="Y272" s="3262">
        <v>24000</v>
      </c>
      <c r="Z272" s="3262">
        <v>24000</v>
      </c>
      <c r="AA272" s="3262">
        <v>24000</v>
      </c>
      <c r="AB272" s="3277">
        <v>48000</v>
      </c>
      <c r="AC272" s="3277">
        <v>33000</v>
      </c>
      <c r="AD272" s="3268">
        <v>33000</v>
      </c>
      <c r="AE272" s="3268">
        <v>33000</v>
      </c>
      <c r="AF272" s="2236">
        <f t="shared" si="53"/>
        <v>33000</v>
      </c>
      <c r="AG272" s="1396"/>
      <c r="DG272" s="573"/>
      <c r="DH272" s="188"/>
      <c r="DI272" s="1091"/>
      <c r="DJ272" s="1187"/>
    </row>
    <row r="273" spans="1:114" ht="14.65" customHeight="1" outlineLevel="1">
      <c r="A273" s="453"/>
      <c r="C273" s="51"/>
      <c r="D273" s="4199"/>
      <c r="E273" s="4199"/>
      <c r="F273" s="4292" t="s">
        <v>1844</v>
      </c>
      <c r="G273" s="4292"/>
      <c r="H273" s="4292"/>
      <c r="I273" s="3262" t="str">
        <f t="shared" si="54"/>
        <v>351151_2024_12_</v>
      </c>
      <c r="J273" s="3266">
        <f>J272</f>
        <v>33000</v>
      </c>
      <c r="K273" s="2573">
        <f t="shared" si="55"/>
        <v>2.75</v>
      </c>
      <c r="L273" s="3267" t="s">
        <v>1933</v>
      </c>
      <c r="M273" s="563"/>
      <c r="N273" s="561"/>
      <c r="S273" s="52"/>
      <c r="T273" s="52"/>
      <c r="U273" s="52"/>
      <c r="V273" s="4199"/>
      <c r="W273" s="3262"/>
      <c r="X273" s="3264"/>
      <c r="Y273" s="3265">
        <v>24000</v>
      </c>
      <c r="Z273" s="3262">
        <v>24000</v>
      </c>
      <c r="AA273" s="3262">
        <v>24000</v>
      </c>
      <c r="AB273" s="3269">
        <v>24000</v>
      </c>
      <c r="AC273" s="3279">
        <v>33000</v>
      </c>
      <c r="AD273" s="3268">
        <v>33000</v>
      </c>
      <c r="AE273" s="3268">
        <v>33000</v>
      </c>
      <c r="AF273" s="2236">
        <f t="shared" si="53"/>
        <v>33000</v>
      </c>
      <c r="AG273" s="1396"/>
      <c r="DG273" s="573"/>
      <c r="DH273" s="188"/>
      <c r="DI273" s="1091"/>
      <c r="DJ273" s="1187"/>
    </row>
    <row r="274" spans="1:114" ht="14.65" customHeight="1" outlineLevel="1">
      <c r="A274" s="453"/>
      <c r="C274" s="51"/>
      <c r="D274" s="4199"/>
      <c r="E274" s="4199"/>
      <c r="F274" s="4338" t="s">
        <v>1846</v>
      </c>
      <c r="G274" s="4338"/>
      <c r="H274" s="4338"/>
      <c r="I274" s="1396" t="str">
        <f t="shared" si="54"/>
        <v>351160_2024_12_</v>
      </c>
      <c r="J274" s="1771">
        <v>39996.913705583749</v>
      </c>
      <c r="K274" s="21">
        <f t="shared" si="55"/>
        <v>3.3330761421319792</v>
      </c>
      <c r="L274" s="1759" t="s">
        <v>1937</v>
      </c>
      <c r="N274" s="561"/>
      <c r="S274" s="52"/>
      <c r="T274" s="52"/>
      <c r="U274" s="52"/>
      <c r="V274" s="4199"/>
      <c r="W274" s="1396"/>
      <c r="X274" s="833"/>
      <c r="Y274" s="833"/>
      <c r="Z274" s="833">
        <v>36000</v>
      </c>
      <c r="AA274" s="1396">
        <v>36000</v>
      </c>
      <c r="AB274" s="952">
        <v>36000</v>
      </c>
      <c r="AC274" s="825">
        <v>38898.876404494382</v>
      </c>
      <c r="AD274" s="735">
        <v>39996.913705583749</v>
      </c>
      <c r="AE274" s="803">
        <v>39996.913705583749</v>
      </c>
      <c r="AF274" s="271">
        <f t="shared" si="53"/>
        <v>39996.913705583749</v>
      </c>
      <c r="AG274" s="1396"/>
      <c r="DG274" s="573"/>
      <c r="DH274" s="188"/>
      <c r="DI274" s="1091"/>
      <c r="DJ274" s="1187"/>
    </row>
    <row r="275" spans="1:114" ht="14.65" customHeight="1" outlineLevel="1">
      <c r="A275" s="453"/>
      <c r="C275" s="51"/>
      <c r="D275" s="4199"/>
      <c r="E275" s="4199"/>
      <c r="F275" s="4338" t="s">
        <v>1847</v>
      </c>
      <c r="G275" s="4338"/>
      <c r="H275" s="4338"/>
      <c r="I275" s="1396" t="str">
        <f t="shared" si="54"/>
        <v>351160_2024_12_</v>
      </c>
      <c r="J275" s="1771">
        <f>J274</f>
        <v>39996.913705583749</v>
      </c>
      <c r="K275" s="21">
        <f t="shared" si="55"/>
        <v>3.3330761421319792</v>
      </c>
      <c r="L275" s="1759" t="s">
        <v>1937</v>
      </c>
      <c r="N275" s="561"/>
      <c r="S275" s="52"/>
      <c r="T275" s="52"/>
      <c r="U275" s="52"/>
      <c r="V275" s="4199"/>
      <c r="W275" s="1396"/>
      <c r="X275" s="833"/>
      <c r="Y275" s="833"/>
      <c r="Z275" s="833">
        <v>36000</v>
      </c>
      <c r="AA275" s="1396">
        <v>36000</v>
      </c>
      <c r="AB275" s="952">
        <v>36000</v>
      </c>
      <c r="AC275" s="825">
        <v>38898.876404494382</v>
      </c>
      <c r="AD275" s="735">
        <v>39996.913705583749</v>
      </c>
      <c r="AE275" s="803">
        <v>39996.913705583749</v>
      </c>
      <c r="AF275" s="271">
        <f t="shared" si="53"/>
        <v>39996.913705583749</v>
      </c>
      <c r="AG275" s="1396"/>
      <c r="DG275" s="573"/>
      <c r="DH275" s="188"/>
      <c r="DI275" s="1091"/>
      <c r="DJ275" s="1187"/>
    </row>
    <row r="276" spans="1:114" ht="14.65" customHeight="1" outlineLevel="1">
      <c r="A276" s="453"/>
      <c r="C276" s="51"/>
      <c r="D276" s="4199"/>
      <c r="E276" s="4199"/>
      <c r="F276" s="4338" t="s">
        <v>1849</v>
      </c>
      <c r="G276" s="4338"/>
      <c r="H276" s="4338"/>
      <c r="I276" s="1396" t="str">
        <f t="shared" si="54"/>
        <v>351161_2024_12_</v>
      </c>
      <c r="J276" s="1783">
        <v>39941.463414585363</v>
      </c>
      <c r="K276" s="175">
        <f t="shared" si="55"/>
        <v>3.3284552845487805</v>
      </c>
      <c r="L276" s="1609" t="s">
        <v>1935</v>
      </c>
      <c r="N276" s="561"/>
      <c r="S276" s="52"/>
      <c r="T276" s="52"/>
      <c r="U276" s="52"/>
      <c r="V276" s="4199"/>
      <c r="W276" s="1396"/>
      <c r="X276" s="833"/>
      <c r="Y276" s="833"/>
      <c r="Z276" s="833">
        <v>36000</v>
      </c>
      <c r="AA276" s="1396">
        <v>36000</v>
      </c>
      <c r="AB276" s="952">
        <v>36000</v>
      </c>
      <c r="AC276" s="825">
        <v>38076.923076923078</v>
      </c>
      <c r="AD276" s="735">
        <v>40765.935483870977</v>
      </c>
      <c r="AE276" s="803">
        <v>40765.935483870977</v>
      </c>
      <c r="AF276" s="271">
        <f t="shared" si="53"/>
        <v>39941.463414585363</v>
      </c>
      <c r="AG276" s="1396"/>
      <c r="DG276" s="573"/>
      <c r="DH276" s="188"/>
      <c r="DI276" s="1091"/>
      <c r="DJ276" s="1187"/>
    </row>
    <row r="277" spans="1:114" ht="14.65" customHeight="1" outlineLevel="1">
      <c r="A277" s="453"/>
      <c r="C277" s="51"/>
      <c r="D277" s="4199"/>
      <c r="E277" s="4199"/>
      <c r="F277" s="4292" t="s">
        <v>1851</v>
      </c>
      <c r="G277" s="4292"/>
      <c r="H277" s="4292"/>
      <c r="I277" s="3262" t="str">
        <f t="shared" si="54"/>
        <v>351162_2024_12_</v>
      </c>
      <c r="J277" s="3266">
        <v>30000</v>
      </c>
      <c r="K277" s="2573">
        <f t="shared" si="55"/>
        <v>2.5</v>
      </c>
      <c r="L277" s="3272" t="s">
        <v>1937</v>
      </c>
      <c r="M277" s="563"/>
      <c r="N277" s="561"/>
      <c r="S277" s="52"/>
      <c r="T277" s="52"/>
      <c r="U277" s="52"/>
      <c r="V277" s="4199"/>
      <c r="W277" s="1396"/>
      <c r="X277" s="833"/>
      <c r="Y277" s="1396"/>
      <c r="Z277" s="3265">
        <v>24000</v>
      </c>
      <c r="AA277" s="3262">
        <v>24000</v>
      </c>
      <c r="AB277" s="3269">
        <v>24000</v>
      </c>
      <c r="AC277" s="3279">
        <v>36000</v>
      </c>
      <c r="AD277" s="3277">
        <v>30000</v>
      </c>
      <c r="AE277" s="3268">
        <v>30000</v>
      </c>
      <c r="AF277" s="2236">
        <f t="shared" si="53"/>
        <v>30000</v>
      </c>
      <c r="AG277" s="1396"/>
      <c r="DG277" s="573"/>
      <c r="DH277" s="188"/>
      <c r="DI277" s="1091"/>
      <c r="DJ277" s="1187"/>
    </row>
    <row r="278" spans="1:114" ht="14.65" customHeight="1" outlineLevel="1">
      <c r="A278" s="453"/>
      <c r="C278" s="51"/>
      <c r="D278" s="4199"/>
      <c r="E278" s="4199"/>
      <c r="F278" s="4292" t="s">
        <v>1852</v>
      </c>
      <c r="G278" s="4292"/>
      <c r="H278" s="4292"/>
      <c r="I278" s="3262" t="str">
        <f t="shared" si="54"/>
        <v>351162_2024_12_</v>
      </c>
      <c r="J278" s="3266">
        <f>J277</f>
        <v>30000</v>
      </c>
      <c r="K278" s="2573">
        <f t="shared" si="55"/>
        <v>2.5</v>
      </c>
      <c r="L278" s="3272" t="s">
        <v>1937</v>
      </c>
      <c r="M278" s="563"/>
      <c r="N278" s="561"/>
      <c r="S278" s="52"/>
      <c r="T278" s="52"/>
      <c r="U278" s="52"/>
      <c r="V278" s="4199"/>
      <c r="W278" s="1396"/>
      <c r="X278" s="833"/>
      <c r="Y278" s="1396"/>
      <c r="Z278" s="3265">
        <v>24000</v>
      </c>
      <c r="AA278" s="3262">
        <v>24000</v>
      </c>
      <c r="AB278" s="3269">
        <v>24000</v>
      </c>
      <c r="AC278" s="3279">
        <v>36000</v>
      </c>
      <c r="AD278" s="3277">
        <v>30000</v>
      </c>
      <c r="AE278" s="3268">
        <v>30000</v>
      </c>
      <c r="AF278" s="2236">
        <f t="shared" si="53"/>
        <v>30000</v>
      </c>
      <c r="AG278" s="1396"/>
      <c r="DG278" s="573"/>
      <c r="DH278" s="188"/>
      <c r="DI278" s="1091"/>
      <c r="DJ278" s="1187"/>
    </row>
    <row r="279" spans="1:114" ht="14.65" customHeight="1" outlineLevel="1">
      <c r="A279" s="453"/>
      <c r="C279" s="51"/>
      <c r="D279" s="4199"/>
      <c r="E279" s="4199"/>
      <c r="F279" s="4292" t="s">
        <v>1854</v>
      </c>
      <c r="G279" s="4292"/>
      <c r="H279" s="4292"/>
      <c r="I279" s="3262" t="str">
        <f t="shared" si="54"/>
        <v>351163_2024_12_</v>
      </c>
      <c r="J279" s="3266">
        <f>J277</f>
        <v>30000</v>
      </c>
      <c r="K279" s="2573">
        <f t="shared" si="55"/>
        <v>2.5</v>
      </c>
      <c r="L279" s="3267" t="s">
        <v>1933</v>
      </c>
      <c r="M279" s="563"/>
      <c r="N279" s="561"/>
      <c r="S279" s="52"/>
      <c r="T279" s="52"/>
      <c r="U279" s="52"/>
      <c r="V279" s="4199"/>
      <c r="W279" s="1396"/>
      <c r="X279" s="833"/>
      <c r="Y279" s="833"/>
      <c r="Z279" s="3265">
        <v>24000</v>
      </c>
      <c r="AA279" s="3262">
        <v>24000</v>
      </c>
      <c r="AB279" s="3269">
        <v>24000</v>
      </c>
      <c r="AC279" s="3279">
        <v>36000</v>
      </c>
      <c r="AD279" s="3277">
        <v>30000</v>
      </c>
      <c r="AE279" s="3268">
        <v>30000</v>
      </c>
      <c r="AF279" s="2236">
        <f t="shared" si="53"/>
        <v>30000</v>
      </c>
      <c r="AG279" s="1396"/>
      <c r="DG279" s="573"/>
      <c r="DH279" s="188"/>
      <c r="DI279" s="1091"/>
      <c r="DJ279" s="1187"/>
    </row>
    <row r="280" spans="1:114" ht="14.65" customHeight="1" outlineLevel="1">
      <c r="A280" s="453"/>
      <c r="C280" s="51"/>
      <c r="D280" s="4199"/>
      <c r="E280" s="4199"/>
      <c r="F280" s="4292" t="s">
        <v>1855</v>
      </c>
      <c r="G280" s="4292"/>
      <c r="H280" s="4292"/>
      <c r="I280" s="3262" t="str">
        <f t="shared" si="54"/>
        <v>351163_2024_12_</v>
      </c>
      <c r="J280" s="3266">
        <f>J278</f>
        <v>30000</v>
      </c>
      <c r="K280" s="2573">
        <f t="shared" si="55"/>
        <v>2.5</v>
      </c>
      <c r="L280" s="3267" t="s">
        <v>1933</v>
      </c>
      <c r="M280" s="563"/>
      <c r="N280" s="561"/>
      <c r="S280" s="52"/>
      <c r="T280" s="52"/>
      <c r="U280" s="52"/>
      <c r="V280" s="4199"/>
      <c r="W280" s="1396"/>
      <c r="X280" s="833"/>
      <c r="Y280" s="833"/>
      <c r="Z280" s="3265">
        <v>24000</v>
      </c>
      <c r="AA280" s="3262">
        <v>24000</v>
      </c>
      <c r="AB280" s="3269">
        <v>24000</v>
      </c>
      <c r="AC280" s="3279">
        <v>36000</v>
      </c>
      <c r="AD280" s="3277">
        <v>30000</v>
      </c>
      <c r="AE280" s="3268">
        <v>30000</v>
      </c>
      <c r="AF280" s="2236">
        <f t="shared" si="53"/>
        <v>30000</v>
      </c>
      <c r="AG280" s="1396"/>
      <c r="DG280" s="573"/>
      <c r="DH280" s="188"/>
      <c r="DI280" s="1091"/>
      <c r="DJ280" s="1187"/>
    </row>
    <row r="281" spans="1:114" ht="14.65" customHeight="1" outlineLevel="1">
      <c r="A281" s="453"/>
      <c r="C281" s="51"/>
      <c r="D281" s="4199"/>
      <c r="E281" s="4199"/>
      <c r="F281" s="4292" t="s">
        <v>1857</v>
      </c>
      <c r="G281" s="4292"/>
      <c r="H281" s="4292"/>
      <c r="I281" s="3262" t="str">
        <f t="shared" si="54"/>
        <v>351164_2024_12_</v>
      </c>
      <c r="J281" s="3266">
        <v>24000</v>
      </c>
      <c r="K281" s="2573">
        <f t="shared" si="55"/>
        <v>2</v>
      </c>
      <c r="L281" s="3272" t="s">
        <v>1938</v>
      </c>
      <c r="M281" s="563"/>
      <c r="N281" s="561"/>
      <c r="S281" s="52"/>
      <c r="T281" s="52"/>
      <c r="U281" s="52"/>
      <c r="V281" s="4199"/>
      <c r="W281" s="1396"/>
      <c r="X281" s="833"/>
      <c r="Y281" s="833"/>
      <c r="Z281" s="3265">
        <v>24000</v>
      </c>
      <c r="AA281" s="3262">
        <v>24000</v>
      </c>
      <c r="AB281" s="3269">
        <v>24000</v>
      </c>
      <c r="AC281" s="3267">
        <v>24000</v>
      </c>
      <c r="AD281" s="3267">
        <v>24000</v>
      </c>
      <c r="AE281" s="3267">
        <v>24000</v>
      </c>
      <c r="AF281" s="2236">
        <f t="shared" si="53"/>
        <v>24000</v>
      </c>
      <c r="AG281" s="1396"/>
      <c r="DG281" s="573"/>
      <c r="DH281" s="188"/>
      <c r="DI281" s="1091"/>
      <c r="DJ281" s="1187"/>
    </row>
    <row r="282" spans="1:114" ht="14.65" customHeight="1" outlineLevel="1">
      <c r="A282" s="453"/>
      <c r="C282" s="51"/>
      <c r="D282" s="4199"/>
      <c r="E282" s="4199"/>
      <c r="F282" s="4292" t="s">
        <v>1859</v>
      </c>
      <c r="G282" s="4292"/>
      <c r="H282" s="4292"/>
      <c r="I282" s="3262" t="str">
        <f t="shared" si="54"/>
        <v>351165_2024_12_</v>
      </c>
      <c r="J282" s="3266">
        <f>J281</f>
        <v>24000</v>
      </c>
      <c r="K282" s="2573">
        <f t="shared" si="55"/>
        <v>2</v>
      </c>
      <c r="L282" s="3267" t="s">
        <v>1933</v>
      </c>
      <c r="M282" s="563"/>
      <c r="N282" s="561"/>
      <c r="S282" s="52"/>
      <c r="T282" s="52"/>
      <c r="U282" s="52"/>
      <c r="V282" s="4199"/>
      <c r="W282" s="1396"/>
      <c r="X282" s="833"/>
      <c r="Y282" s="1396"/>
      <c r="Z282" s="3265">
        <v>24000</v>
      </c>
      <c r="AA282" s="3262">
        <v>24000</v>
      </c>
      <c r="AB282" s="3269">
        <v>24000</v>
      </c>
      <c r="AC282" s="3267">
        <v>24000</v>
      </c>
      <c r="AD282" s="3267">
        <v>24000</v>
      </c>
      <c r="AE282" s="3267">
        <v>24000</v>
      </c>
      <c r="AF282" s="2236">
        <f t="shared" si="53"/>
        <v>24000</v>
      </c>
      <c r="AG282" s="1396"/>
      <c r="DG282" s="573"/>
      <c r="DH282" s="188"/>
      <c r="DI282" s="1091"/>
      <c r="DJ282" s="1187"/>
    </row>
    <row r="283" spans="1:114" ht="14.65" customHeight="1" outlineLevel="1">
      <c r="A283" s="453"/>
      <c r="C283" s="51"/>
      <c r="D283" s="4199"/>
      <c r="E283" s="4199"/>
      <c r="F283" s="4338" t="s">
        <v>1861</v>
      </c>
      <c r="G283" s="4338"/>
      <c r="H283" s="4338"/>
      <c r="I283" s="1396" t="str">
        <f t="shared" si="54"/>
        <v>351170_2024_12_</v>
      </c>
      <c r="J283" s="1771">
        <v>51637.714285714283</v>
      </c>
      <c r="K283" s="21">
        <f t="shared" si="55"/>
        <v>4.3031428571428565</v>
      </c>
      <c r="L283" s="1759" t="s">
        <v>1934</v>
      </c>
      <c r="M283" s="563"/>
      <c r="N283" s="561"/>
      <c r="S283" s="52"/>
      <c r="T283" s="52"/>
      <c r="U283" s="52"/>
      <c r="V283" s="4199"/>
      <c r="W283" s="1396"/>
      <c r="X283" s="833"/>
      <c r="Y283" s="833"/>
      <c r="Z283" s="833">
        <v>36000</v>
      </c>
      <c r="AA283" s="1396">
        <v>36000</v>
      </c>
      <c r="AB283" s="952">
        <v>36000</v>
      </c>
      <c r="AC283" s="825">
        <v>50823.529411764706</v>
      </c>
      <c r="AD283" s="735">
        <v>51760.434782608703</v>
      </c>
      <c r="AE283" s="735">
        <v>51637.714285714283</v>
      </c>
      <c r="AF283" s="271">
        <f t="shared" si="53"/>
        <v>51637.714285714283</v>
      </c>
      <c r="AG283" s="1396"/>
      <c r="DG283" s="573"/>
      <c r="DH283" s="188"/>
      <c r="DI283" s="1091"/>
      <c r="DJ283" s="1187"/>
    </row>
    <row r="284" spans="1:114" ht="14.65" customHeight="1" outlineLevel="1">
      <c r="A284" s="453"/>
      <c r="C284" s="51"/>
      <c r="D284" s="4199"/>
      <c r="E284" s="4199"/>
      <c r="F284" s="4338" t="s">
        <v>1862</v>
      </c>
      <c r="G284" s="4338"/>
      <c r="H284" s="4338"/>
      <c r="I284" s="1396" t="str">
        <f t="shared" si="54"/>
        <v>351170_2024_12_</v>
      </c>
      <c r="J284" s="1771">
        <f>J283</f>
        <v>51637.714285714283</v>
      </c>
      <c r="K284" s="21">
        <f t="shared" si="55"/>
        <v>4.3031428571428565</v>
      </c>
      <c r="L284" s="1759" t="s">
        <v>1934</v>
      </c>
      <c r="M284" s="563"/>
      <c r="N284" s="561"/>
      <c r="S284" s="52"/>
      <c r="T284" s="52"/>
      <c r="U284" s="52"/>
      <c r="V284" s="4199"/>
      <c r="W284" s="1396"/>
      <c r="X284" s="833"/>
      <c r="Y284" s="833"/>
      <c r="Z284" s="833">
        <v>36000</v>
      </c>
      <c r="AA284" s="1396">
        <v>36000</v>
      </c>
      <c r="AB284" s="952">
        <v>36000</v>
      </c>
      <c r="AC284" s="825">
        <v>50823.529411764706</v>
      </c>
      <c r="AD284" s="735">
        <v>51760.434782608703</v>
      </c>
      <c r="AE284" s="735">
        <v>51637.714285714283</v>
      </c>
      <c r="AF284" s="271">
        <f t="shared" si="53"/>
        <v>51637.714285714283</v>
      </c>
      <c r="AG284" s="1396"/>
      <c r="DG284" s="573"/>
      <c r="DH284" s="188"/>
      <c r="DI284" s="1091"/>
      <c r="DJ284" s="1187"/>
    </row>
    <row r="285" spans="1:114" ht="14.65" customHeight="1" outlineLevel="1">
      <c r="A285" s="453"/>
      <c r="C285" s="51"/>
      <c r="D285" s="4199"/>
      <c r="E285" s="4199"/>
      <c r="F285" s="4338" t="s">
        <v>1864</v>
      </c>
      <c r="G285" s="4338"/>
      <c r="H285" s="4338"/>
      <c r="I285" s="1396" t="str">
        <f t="shared" si="54"/>
        <v>351171_2024_12_</v>
      </c>
      <c r="J285" s="1783">
        <v>53142.857142857145</v>
      </c>
      <c r="K285" s="175">
        <f t="shared" si="55"/>
        <v>4.4285714285714288</v>
      </c>
      <c r="L285" s="1609" t="s">
        <v>1935</v>
      </c>
      <c r="M285" s="563"/>
      <c r="N285" s="561"/>
      <c r="S285" s="52"/>
      <c r="T285" s="52"/>
      <c r="U285" s="52"/>
      <c r="V285" s="4199"/>
      <c r="W285" s="1396"/>
      <c r="X285" s="833"/>
      <c r="Y285" s="833"/>
      <c r="Z285" s="833">
        <v>36000</v>
      </c>
      <c r="AA285" s="1396">
        <v>36000</v>
      </c>
      <c r="AB285" s="952">
        <v>36000</v>
      </c>
      <c r="AC285" s="825">
        <v>52285.714285714283</v>
      </c>
      <c r="AD285" s="735">
        <v>51772.5</v>
      </c>
      <c r="AE285" s="735">
        <v>50915</v>
      </c>
      <c r="AF285" s="271">
        <f t="shared" si="53"/>
        <v>53142.857142857145</v>
      </c>
      <c r="AG285" s="1396"/>
      <c r="DG285" s="573"/>
      <c r="DH285" s="188"/>
      <c r="DI285" s="1091"/>
      <c r="DJ285" s="1187"/>
    </row>
    <row r="286" spans="1:114" ht="14.65" customHeight="1" outlineLevel="1">
      <c r="A286" s="453"/>
      <c r="C286" s="51"/>
      <c r="D286" s="4199"/>
      <c r="E286" s="4199"/>
      <c r="F286" s="4292" t="s">
        <v>1866</v>
      </c>
      <c r="G286" s="4292"/>
      <c r="H286" s="4292"/>
      <c r="I286" s="3262" t="str">
        <f t="shared" si="54"/>
        <v>351172_2024_12_</v>
      </c>
      <c r="J286" s="3266">
        <v>24000</v>
      </c>
      <c r="K286" s="2573">
        <f t="shared" si="55"/>
        <v>2</v>
      </c>
      <c r="L286" s="3267" t="s">
        <v>1933</v>
      </c>
      <c r="M286" s="563"/>
      <c r="N286" s="561"/>
      <c r="P286" s="945"/>
      <c r="S286" s="52"/>
      <c r="T286" s="52"/>
      <c r="U286" s="52"/>
      <c r="V286" s="4199"/>
      <c r="W286" s="1396"/>
      <c r="X286" s="833"/>
      <c r="Y286" s="1396"/>
      <c r="Z286" s="3265">
        <v>24000</v>
      </c>
      <c r="AA286" s="3262">
        <v>24000</v>
      </c>
      <c r="AB286" s="3269">
        <v>24000</v>
      </c>
      <c r="AC286" s="3267">
        <v>24000</v>
      </c>
      <c r="AD286" s="3267">
        <v>24000</v>
      </c>
      <c r="AE286" s="3267">
        <v>24000</v>
      </c>
      <c r="AF286" s="2236">
        <f t="shared" si="53"/>
        <v>24000</v>
      </c>
      <c r="AG286" s="3262"/>
      <c r="DG286" s="573"/>
      <c r="DH286" s="188"/>
      <c r="DI286" s="1091"/>
      <c r="DJ286" s="1187"/>
    </row>
    <row r="287" spans="1:114" ht="14.65" customHeight="1" outlineLevel="1">
      <c r="A287" s="453"/>
      <c r="C287" s="51"/>
      <c r="D287" s="4199"/>
      <c r="E287" s="4199"/>
      <c r="F287" s="4292" t="s">
        <v>1867</v>
      </c>
      <c r="G287" s="4292"/>
      <c r="H287" s="4292"/>
      <c r="I287" s="3262" t="str">
        <f t="shared" si="54"/>
        <v>351172_2024_12_</v>
      </c>
      <c r="J287" s="3266">
        <v>24000</v>
      </c>
      <c r="K287" s="2573">
        <f t="shared" si="55"/>
        <v>2</v>
      </c>
      <c r="L287" s="3267" t="s">
        <v>1933</v>
      </c>
      <c r="M287" s="563"/>
      <c r="N287" s="561"/>
      <c r="S287" s="52"/>
      <c r="T287" s="52"/>
      <c r="U287" s="52"/>
      <c r="V287" s="4199"/>
      <c r="W287" s="1396"/>
      <c r="X287" s="833"/>
      <c r="Y287" s="1396"/>
      <c r="Z287" s="3265">
        <v>24000</v>
      </c>
      <c r="AA287" s="3262">
        <v>24000</v>
      </c>
      <c r="AB287" s="3269">
        <v>24000</v>
      </c>
      <c r="AC287" s="3267">
        <v>24000</v>
      </c>
      <c r="AD287" s="3267">
        <v>24000</v>
      </c>
      <c r="AE287" s="3267">
        <v>24000</v>
      </c>
      <c r="AF287" s="2236">
        <f t="shared" si="53"/>
        <v>24000</v>
      </c>
      <c r="AG287" s="3262"/>
      <c r="DG287" s="573"/>
      <c r="DH287" s="188"/>
      <c r="DI287" s="1091"/>
      <c r="DJ287" s="1187"/>
    </row>
    <row r="288" spans="1:114" ht="14.65" customHeight="1" outlineLevel="1">
      <c r="A288" s="453"/>
      <c r="C288" s="51"/>
      <c r="D288" s="4199"/>
      <c r="E288" s="4199"/>
      <c r="F288" s="4292" t="s">
        <v>1869</v>
      </c>
      <c r="G288" s="4292"/>
      <c r="H288" s="4292"/>
      <c r="I288" s="3262" t="str">
        <f t="shared" si="54"/>
        <v>351173_2024_12_</v>
      </c>
      <c r="J288" s="3266">
        <f>J286</f>
        <v>24000</v>
      </c>
      <c r="K288" s="2573">
        <f t="shared" si="55"/>
        <v>2</v>
      </c>
      <c r="L288" s="3267" t="s">
        <v>1933</v>
      </c>
      <c r="M288" s="563"/>
      <c r="N288" s="561"/>
      <c r="S288" s="52"/>
      <c r="T288" s="52"/>
      <c r="U288" s="52"/>
      <c r="V288" s="4199"/>
      <c r="W288" s="1396"/>
      <c r="X288" s="833"/>
      <c r="Y288" s="833"/>
      <c r="Z288" s="3265">
        <v>24000</v>
      </c>
      <c r="AA288" s="3262">
        <v>24000</v>
      </c>
      <c r="AB288" s="3269">
        <v>24000</v>
      </c>
      <c r="AC288" s="3267">
        <v>24000</v>
      </c>
      <c r="AD288" s="3267">
        <v>24000</v>
      </c>
      <c r="AE288" s="3267">
        <v>24000</v>
      </c>
      <c r="AF288" s="2236">
        <f t="shared" si="53"/>
        <v>24000</v>
      </c>
      <c r="AG288" s="3262"/>
      <c r="DG288" s="573"/>
      <c r="DH288" s="188"/>
      <c r="DI288" s="1091"/>
      <c r="DJ288" s="1187"/>
    </row>
    <row r="289" spans="1:114" ht="14.65" customHeight="1" outlineLevel="1">
      <c r="A289" s="453"/>
      <c r="C289" s="51"/>
      <c r="D289" s="4199"/>
      <c r="E289" s="4199"/>
      <c r="F289" s="4292" t="s">
        <v>1870</v>
      </c>
      <c r="G289" s="4292"/>
      <c r="H289" s="4292"/>
      <c r="I289" s="3262" t="str">
        <f t="shared" si="54"/>
        <v>351173_2024_12_</v>
      </c>
      <c r="J289" s="3266">
        <f>J287</f>
        <v>24000</v>
      </c>
      <c r="K289" s="2573">
        <f t="shared" si="55"/>
        <v>2</v>
      </c>
      <c r="L289" s="3267" t="s">
        <v>1933</v>
      </c>
      <c r="M289" s="563"/>
      <c r="N289" s="561"/>
      <c r="S289" s="52"/>
      <c r="T289" s="52"/>
      <c r="U289" s="52"/>
      <c r="V289" s="4199"/>
      <c r="W289" s="1396"/>
      <c r="X289" s="833"/>
      <c r="Y289" s="833"/>
      <c r="Z289" s="3265">
        <v>24000</v>
      </c>
      <c r="AA289" s="3262">
        <v>24000</v>
      </c>
      <c r="AB289" s="3269">
        <v>24000</v>
      </c>
      <c r="AC289" s="3267">
        <v>24000</v>
      </c>
      <c r="AD289" s="3267">
        <v>24000</v>
      </c>
      <c r="AE289" s="3267">
        <v>24000</v>
      </c>
      <c r="AF289" s="2236">
        <f t="shared" si="53"/>
        <v>24000</v>
      </c>
      <c r="AG289" s="3262"/>
      <c r="DG289" s="573"/>
      <c r="DH289" s="188"/>
      <c r="DI289" s="1091"/>
      <c r="DJ289" s="1187"/>
    </row>
    <row r="290" spans="1:114" ht="14.65" customHeight="1" outlineLevel="1">
      <c r="A290" s="453"/>
      <c r="C290" s="51"/>
      <c r="D290" s="4199"/>
      <c r="E290" s="4199"/>
      <c r="F290" s="4292" t="s">
        <v>1872</v>
      </c>
      <c r="G290" s="4292"/>
      <c r="H290" s="4292"/>
      <c r="I290" s="3262" t="str">
        <f t="shared" si="54"/>
        <v>351174_2024_12_</v>
      </c>
      <c r="J290" s="3266">
        <v>24000</v>
      </c>
      <c r="K290" s="2573">
        <f t="shared" si="55"/>
        <v>2</v>
      </c>
      <c r="L290" s="3267" t="s">
        <v>1933</v>
      </c>
      <c r="M290" s="563"/>
      <c r="N290" s="561"/>
      <c r="S290" s="52"/>
      <c r="T290" s="52"/>
      <c r="U290" s="52"/>
      <c r="V290" s="4199"/>
      <c r="W290" s="1396"/>
      <c r="X290" s="833"/>
      <c r="Y290" s="833"/>
      <c r="Z290" s="3265">
        <v>24000</v>
      </c>
      <c r="AA290" s="3262">
        <v>24000</v>
      </c>
      <c r="AB290" s="3269">
        <v>24000</v>
      </c>
      <c r="AC290" s="3267">
        <v>24000</v>
      </c>
      <c r="AD290" s="3267">
        <v>24000</v>
      </c>
      <c r="AE290" s="3267">
        <v>24000</v>
      </c>
      <c r="AF290" s="2236">
        <f t="shared" si="53"/>
        <v>24000</v>
      </c>
      <c r="AG290" s="3262"/>
      <c r="DG290" s="573"/>
      <c r="DH290" s="188"/>
      <c r="DI290" s="1091"/>
      <c r="DJ290" s="1187"/>
    </row>
    <row r="291" spans="1:114" ht="14.65" customHeight="1" outlineLevel="1">
      <c r="A291" s="453"/>
      <c r="C291" s="51"/>
      <c r="D291" s="4199"/>
      <c r="E291" s="4199"/>
      <c r="F291" s="4292" t="s">
        <v>1874</v>
      </c>
      <c r="G291" s="4292"/>
      <c r="H291" s="4292"/>
      <c r="I291" s="3262" t="str">
        <f t="shared" si="54"/>
        <v>351175_2024_12_</v>
      </c>
      <c r="J291" s="3266">
        <f>J290</f>
        <v>24000</v>
      </c>
      <c r="K291" s="2573">
        <f t="shared" si="55"/>
        <v>2</v>
      </c>
      <c r="L291" s="3267" t="s">
        <v>1933</v>
      </c>
      <c r="M291" s="563"/>
      <c r="N291" s="561"/>
      <c r="S291" s="52"/>
      <c r="T291" s="52"/>
      <c r="U291" s="52"/>
      <c r="V291" s="4199"/>
      <c r="W291" s="1396"/>
      <c r="X291" s="833"/>
      <c r="Y291" s="833"/>
      <c r="Z291" s="3265">
        <v>24000</v>
      </c>
      <c r="AA291" s="3262">
        <v>24000</v>
      </c>
      <c r="AB291" s="3269">
        <v>24000</v>
      </c>
      <c r="AC291" s="3267">
        <v>24000</v>
      </c>
      <c r="AD291" s="3267">
        <v>24000</v>
      </c>
      <c r="AE291" s="3267">
        <v>24000</v>
      </c>
      <c r="AF291" s="2236">
        <f t="shared" si="53"/>
        <v>24000</v>
      </c>
      <c r="AG291" s="3262"/>
      <c r="DG291" s="573"/>
      <c r="DH291" s="188"/>
      <c r="DI291" s="1091"/>
      <c r="DJ291" s="1187"/>
    </row>
    <row r="292" spans="1:114" ht="14.65" customHeight="1" outlineLevel="1">
      <c r="A292" s="453"/>
      <c r="C292" s="51"/>
      <c r="D292" s="4199"/>
      <c r="E292" s="4199"/>
      <c r="F292" s="4338" t="s">
        <v>1876</v>
      </c>
      <c r="G292" s="4338"/>
      <c r="H292" s="4338"/>
      <c r="I292" s="1396" t="str">
        <f t="shared" si="54"/>
        <v>351180_2024_12_</v>
      </c>
      <c r="J292" s="1783">
        <v>43308.988764000002</v>
      </c>
      <c r="K292" s="175">
        <f t="shared" si="55"/>
        <v>3.6090823970000003</v>
      </c>
      <c r="L292" s="1609" t="s">
        <v>1935</v>
      </c>
      <c r="M292" s="563"/>
      <c r="N292" s="561"/>
      <c r="S292" s="52"/>
      <c r="T292" s="52"/>
      <c r="U292" s="52"/>
      <c r="V292" s="4199"/>
      <c r="W292" s="1396"/>
      <c r="X292" s="833"/>
      <c r="Y292" s="833"/>
      <c r="Z292" s="833">
        <v>36000</v>
      </c>
      <c r="AA292" s="1396">
        <v>36000</v>
      </c>
      <c r="AB292" s="952">
        <v>36000</v>
      </c>
      <c r="AC292" s="825">
        <v>41052.631578947367</v>
      </c>
      <c r="AD292" s="735">
        <v>40910.503597122304</v>
      </c>
      <c r="AE292" s="735">
        <v>40619.469026548672</v>
      </c>
      <c r="AF292" s="271">
        <f t="shared" si="53"/>
        <v>43308.988764000002</v>
      </c>
      <c r="AG292" s="1396"/>
      <c r="DG292" s="573"/>
      <c r="DH292" s="188"/>
      <c r="DI292" s="1091"/>
      <c r="DJ292" s="1187"/>
    </row>
    <row r="293" spans="1:114" ht="14.65" customHeight="1" outlineLevel="1">
      <c r="A293" s="453"/>
      <c r="C293" s="51"/>
      <c r="D293" s="4199"/>
      <c r="E293" s="4199"/>
      <c r="F293" s="4338" t="s">
        <v>1877</v>
      </c>
      <c r="G293" s="4338"/>
      <c r="H293" s="4338"/>
      <c r="I293" s="1396" t="str">
        <f t="shared" si="54"/>
        <v>351180_2024_12_</v>
      </c>
      <c r="J293" s="1783">
        <f>J292</f>
        <v>43308.988764000002</v>
      </c>
      <c r="K293" s="175">
        <f t="shared" si="55"/>
        <v>3.6090823970000003</v>
      </c>
      <c r="L293" s="1609" t="s">
        <v>1935</v>
      </c>
      <c r="M293" s="563"/>
      <c r="N293" s="561"/>
      <c r="S293" s="52"/>
      <c r="T293" s="52"/>
      <c r="U293" s="52"/>
      <c r="V293" s="4199"/>
      <c r="W293" s="1396"/>
      <c r="X293" s="833"/>
      <c r="Y293" s="833"/>
      <c r="Z293" s="833">
        <v>36000</v>
      </c>
      <c r="AA293" s="1396">
        <v>36000</v>
      </c>
      <c r="AB293" s="952">
        <v>36000</v>
      </c>
      <c r="AC293" s="825">
        <v>41052.631578947367</v>
      </c>
      <c r="AD293" s="735">
        <v>40910.503597122304</v>
      </c>
      <c r="AE293" s="735">
        <v>40619.469026548672</v>
      </c>
      <c r="AF293" s="271">
        <f t="shared" si="53"/>
        <v>43308.988764000002</v>
      </c>
      <c r="AG293" s="1396"/>
      <c r="DG293" s="573"/>
      <c r="DH293" s="188"/>
      <c r="DI293" s="1091"/>
      <c r="DJ293" s="1187"/>
    </row>
    <row r="294" spans="1:114" ht="14.65" customHeight="1" outlineLevel="1">
      <c r="A294" s="453"/>
      <c r="C294" s="51"/>
      <c r="D294" s="4199"/>
      <c r="E294" s="4199"/>
      <c r="F294" s="4338" t="s">
        <v>1879</v>
      </c>
      <c r="G294" s="4338"/>
      <c r="H294" s="4338"/>
      <c r="I294" s="1396" t="str">
        <f t="shared" si="54"/>
        <v>351181_2024_12_</v>
      </c>
      <c r="J294" s="1783">
        <v>45285</v>
      </c>
      <c r="K294" s="175">
        <f t="shared" si="55"/>
        <v>3.7737500000000002</v>
      </c>
      <c r="L294" s="1609" t="s">
        <v>1935</v>
      </c>
      <c r="M294" s="563"/>
      <c r="N294" s="561"/>
      <c r="S294" s="52"/>
      <c r="T294" s="52"/>
      <c r="U294" s="52"/>
      <c r="V294" s="4199"/>
      <c r="W294" s="1396"/>
      <c r="X294" s="833"/>
      <c r="Y294" s="833"/>
      <c r="Z294" s="833">
        <v>36000</v>
      </c>
      <c r="AA294" s="1396">
        <v>36000</v>
      </c>
      <c r="AB294" s="952">
        <v>36000</v>
      </c>
      <c r="AC294" s="825">
        <v>39000</v>
      </c>
      <c r="AD294" s="735">
        <v>40333.333333333336</v>
      </c>
      <c r="AE294" s="735">
        <v>35602.5</v>
      </c>
      <c r="AF294" s="271">
        <f t="shared" ref="AF294:AF357" si="57">IF(J294&lt;&gt;"",J294,"")</f>
        <v>45285</v>
      </c>
      <c r="AG294" s="1396"/>
      <c r="DG294" s="573"/>
      <c r="DH294" s="188"/>
      <c r="DI294" s="1091"/>
      <c r="DJ294" s="1187"/>
    </row>
    <row r="295" spans="1:114" ht="14.65" customHeight="1" outlineLevel="1">
      <c r="A295" s="453"/>
      <c r="C295" s="51"/>
      <c r="D295" s="4199"/>
      <c r="E295" s="4199"/>
      <c r="F295" s="4292" t="s">
        <v>1881</v>
      </c>
      <c r="G295" s="4292"/>
      <c r="H295" s="4292"/>
      <c r="I295" s="3262" t="str">
        <f t="shared" si="54"/>
        <v>351182_2024_12_</v>
      </c>
      <c r="J295" s="3266">
        <v>24000</v>
      </c>
      <c r="K295" s="2573">
        <f t="shared" si="55"/>
        <v>2</v>
      </c>
      <c r="L295" s="3272" t="s">
        <v>1938</v>
      </c>
      <c r="M295" s="563"/>
      <c r="N295" s="561"/>
      <c r="S295" s="52"/>
      <c r="T295" s="52"/>
      <c r="U295" s="52"/>
      <c r="V295" s="4199"/>
      <c r="W295" s="1396"/>
      <c r="X295" s="833"/>
      <c r="Y295" s="833"/>
      <c r="Z295" s="3265">
        <v>24000</v>
      </c>
      <c r="AA295" s="3262">
        <v>24000</v>
      </c>
      <c r="AB295" s="3269">
        <v>24000</v>
      </c>
      <c r="AC295" s="3267">
        <v>24000</v>
      </c>
      <c r="AD295" s="3267">
        <v>24000</v>
      </c>
      <c r="AE295" s="3267">
        <v>24000</v>
      </c>
      <c r="AF295" s="2236">
        <f t="shared" si="57"/>
        <v>24000</v>
      </c>
      <c r="AG295" s="1396"/>
      <c r="DG295" s="573"/>
      <c r="DH295" s="188"/>
      <c r="DI295" s="1091"/>
      <c r="DJ295" s="1187"/>
    </row>
    <row r="296" spans="1:114" ht="14.65" customHeight="1" outlineLevel="1">
      <c r="A296" s="453"/>
      <c r="C296" s="51"/>
      <c r="D296" s="4199"/>
      <c r="E296" s="4199"/>
      <c r="F296" s="4292" t="s">
        <v>1882</v>
      </c>
      <c r="G296" s="4292"/>
      <c r="H296" s="4292"/>
      <c r="I296" s="3262" t="str">
        <f t="shared" si="54"/>
        <v>351182_2024_12_</v>
      </c>
      <c r="J296" s="3266">
        <f>J295</f>
        <v>24000</v>
      </c>
      <c r="K296" s="2573">
        <f t="shared" si="55"/>
        <v>2</v>
      </c>
      <c r="L296" s="3272" t="s">
        <v>1938</v>
      </c>
      <c r="M296" s="563"/>
      <c r="N296" s="561"/>
      <c r="S296" s="52"/>
      <c r="T296" s="52"/>
      <c r="U296" s="52"/>
      <c r="V296" s="4199"/>
      <c r="W296" s="1396"/>
      <c r="X296" s="833"/>
      <c r="Y296" s="833"/>
      <c r="Z296" s="3265">
        <v>24000</v>
      </c>
      <c r="AA296" s="3262">
        <v>24000</v>
      </c>
      <c r="AB296" s="3269">
        <v>24000</v>
      </c>
      <c r="AC296" s="3267">
        <v>24000</v>
      </c>
      <c r="AD296" s="3267">
        <v>24000</v>
      </c>
      <c r="AE296" s="3267">
        <v>24000</v>
      </c>
      <c r="AF296" s="2236">
        <f t="shared" si="57"/>
        <v>24000</v>
      </c>
      <c r="AG296" s="1396"/>
      <c r="DG296" s="573"/>
      <c r="DH296" s="188"/>
      <c r="DI296" s="1091"/>
      <c r="DJ296" s="1187"/>
    </row>
    <row r="297" spans="1:114" ht="14.65" customHeight="1" outlineLevel="1">
      <c r="A297" s="453"/>
      <c r="C297" s="51"/>
      <c r="D297" s="4199"/>
      <c r="E297" s="4199"/>
      <c r="F297" s="4292" t="s">
        <v>1884</v>
      </c>
      <c r="G297" s="4292"/>
      <c r="H297" s="4292"/>
      <c r="I297" s="3262" t="str">
        <f t="shared" si="54"/>
        <v>351183_2024_12_</v>
      </c>
      <c r="J297" s="3266">
        <f>J295</f>
        <v>24000</v>
      </c>
      <c r="K297" s="2573">
        <f t="shared" si="55"/>
        <v>2</v>
      </c>
      <c r="L297" s="3267" t="s">
        <v>1933</v>
      </c>
      <c r="M297" s="563"/>
      <c r="N297" s="561"/>
      <c r="S297" s="52"/>
      <c r="T297" s="52"/>
      <c r="U297" s="52"/>
      <c r="V297" s="4199"/>
      <c r="W297" s="1396"/>
      <c r="X297" s="833"/>
      <c r="Y297" s="833"/>
      <c r="Z297" s="3265">
        <v>24000</v>
      </c>
      <c r="AA297" s="3262">
        <v>24000</v>
      </c>
      <c r="AB297" s="3269">
        <v>24000</v>
      </c>
      <c r="AC297" s="3267">
        <v>24000</v>
      </c>
      <c r="AD297" s="3267">
        <v>24000</v>
      </c>
      <c r="AE297" s="3267">
        <v>24000</v>
      </c>
      <c r="AF297" s="2236">
        <f t="shared" si="57"/>
        <v>24000</v>
      </c>
      <c r="AG297" s="1396"/>
      <c r="DG297" s="573"/>
      <c r="DH297" s="188"/>
      <c r="DI297" s="1091"/>
      <c r="DJ297" s="1187"/>
    </row>
    <row r="298" spans="1:114" ht="14.65" customHeight="1" outlineLevel="1">
      <c r="A298" s="453"/>
      <c r="C298" s="51"/>
      <c r="D298" s="4199"/>
      <c r="E298" s="4199"/>
      <c r="F298" s="4292" t="s">
        <v>1885</v>
      </c>
      <c r="G298" s="4292"/>
      <c r="H298" s="4292"/>
      <c r="I298" s="3262" t="str">
        <f t="shared" si="54"/>
        <v>351183_2024_12_</v>
      </c>
      <c r="J298" s="3266">
        <f>J296</f>
        <v>24000</v>
      </c>
      <c r="K298" s="2573">
        <f t="shared" si="55"/>
        <v>2</v>
      </c>
      <c r="L298" s="3267" t="s">
        <v>1933</v>
      </c>
      <c r="M298" s="563"/>
      <c r="N298" s="561"/>
      <c r="S298" s="52"/>
      <c r="T298" s="52"/>
      <c r="U298" s="52"/>
      <c r="V298" s="4199"/>
      <c r="W298" s="1396"/>
      <c r="X298" s="833"/>
      <c r="Y298" s="833"/>
      <c r="Z298" s="3265">
        <v>24000</v>
      </c>
      <c r="AA298" s="3262">
        <v>24000</v>
      </c>
      <c r="AB298" s="3269">
        <v>24000</v>
      </c>
      <c r="AC298" s="3267">
        <v>24000</v>
      </c>
      <c r="AD298" s="3267">
        <v>24000</v>
      </c>
      <c r="AE298" s="3267">
        <v>24000</v>
      </c>
      <c r="AF298" s="2236">
        <f t="shared" si="57"/>
        <v>24000</v>
      </c>
      <c r="AG298" s="1396"/>
      <c r="DG298" s="573"/>
      <c r="DH298" s="188"/>
      <c r="DI298" s="1091"/>
      <c r="DJ298" s="1187"/>
    </row>
    <row r="299" spans="1:114" ht="14.65" customHeight="1" outlineLevel="1">
      <c r="A299" s="453"/>
      <c r="C299" s="51"/>
      <c r="D299" s="4199"/>
      <c r="E299" s="4199"/>
      <c r="F299" s="4292" t="s">
        <v>1887</v>
      </c>
      <c r="G299" s="4292"/>
      <c r="H299" s="4292"/>
      <c r="I299" s="3262" t="str">
        <f t="shared" si="54"/>
        <v>351184_2024_12_</v>
      </c>
      <c r="J299" s="3266">
        <v>24000</v>
      </c>
      <c r="K299" s="2573">
        <f t="shared" si="55"/>
        <v>2</v>
      </c>
      <c r="L299" s="3267" t="s">
        <v>1933</v>
      </c>
      <c r="M299" s="563"/>
      <c r="N299" s="561"/>
      <c r="S299" s="52"/>
      <c r="T299" s="52"/>
      <c r="U299" s="52"/>
      <c r="V299" s="4199"/>
      <c r="W299" s="1396"/>
      <c r="X299" s="833"/>
      <c r="Y299" s="833"/>
      <c r="Z299" s="3265">
        <v>24000</v>
      </c>
      <c r="AA299" s="3262">
        <v>24000</v>
      </c>
      <c r="AB299" s="3269">
        <v>24000</v>
      </c>
      <c r="AC299" s="3267">
        <v>24000</v>
      </c>
      <c r="AD299" s="3267">
        <v>24000</v>
      </c>
      <c r="AE299" s="3267">
        <v>24000</v>
      </c>
      <c r="AF299" s="2236">
        <f t="shared" si="57"/>
        <v>24000</v>
      </c>
      <c r="AG299" s="1396"/>
      <c r="DG299" s="573"/>
      <c r="DH299" s="188"/>
      <c r="DI299" s="1091"/>
      <c r="DJ299" s="1187"/>
    </row>
    <row r="300" spans="1:114" ht="14.65" customHeight="1" outlineLevel="1">
      <c r="A300" s="453"/>
      <c r="C300" s="51"/>
      <c r="D300" s="4199"/>
      <c r="E300" s="4199"/>
      <c r="F300" s="4292" t="s">
        <v>1889</v>
      </c>
      <c r="G300" s="4292"/>
      <c r="H300" s="4292"/>
      <c r="I300" s="3262" t="str">
        <f t="shared" si="54"/>
        <v>351185_2024_12_</v>
      </c>
      <c r="J300" s="3266">
        <f>J299</f>
        <v>24000</v>
      </c>
      <c r="K300" s="2573">
        <f t="shared" si="55"/>
        <v>2</v>
      </c>
      <c r="L300" s="3267" t="s">
        <v>1933</v>
      </c>
      <c r="M300" s="563"/>
      <c r="N300" s="561"/>
      <c r="S300" s="52"/>
      <c r="T300" s="52"/>
      <c r="U300" s="52"/>
      <c r="V300" s="4199"/>
      <c r="W300" s="1396"/>
      <c r="X300" s="833"/>
      <c r="Y300" s="833"/>
      <c r="Z300" s="3265">
        <v>24000</v>
      </c>
      <c r="AA300" s="3262">
        <v>24000</v>
      </c>
      <c r="AB300" s="3269">
        <v>24000</v>
      </c>
      <c r="AC300" s="3267">
        <v>24000</v>
      </c>
      <c r="AD300" s="3267">
        <v>24000</v>
      </c>
      <c r="AE300" s="3267">
        <v>24000</v>
      </c>
      <c r="AF300" s="2236">
        <f t="shared" si="57"/>
        <v>24000</v>
      </c>
      <c r="AG300" s="1396"/>
      <c r="DG300" s="573"/>
      <c r="DH300" s="188"/>
      <c r="DI300" s="1091"/>
      <c r="DJ300" s="1187"/>
    </row>
    <row r="301" spans="1:114" ht="14.65" customHeight="1" outlineLevel="1">
      <c r="A301" s="453"/>
      <c r="C301" s="51"/>
      <c r="D301" s="4199"/>
      <c r="E301" s="4199"/>
      <c r="F301" s="4338" t="s">
        <v>1891</v>
      </c>
      <c r="G301" s="4338"/>
      <c r="H301" s="4338"/>
      <c r="I301" s="1396" t="str">
        <f t="shared" si="54"/>
        <v>351190_2024_12_</v>
      </c>
      <c r="J301" s="1783">
        <v>39574.489795959191</v>
      </c>
      <c r="K301" s="175">
        <f t="shared" si="55"/>
        <v>3.297874149663266</v>
      </c>
      <c r="L301" s="1609" t="s">
        <v>1935</v>
      </c>
      <c r="M301" s="563"/>
      <c r="N301" s="561"/>
      <c r="S301" s="52"/>
      <c r="T301" s="52"/>
      <c r="U301" s="52"/>
      <c r="V301" s="4199"/>
      <c r="W301" s="1396"/>
      <c r="X301" s="951"/>
      <c r="Y301" s="833"/>
      <c r="Z301" s="833">
        <v>36000</v>
      </c>
      <c r="AA301" s="1396">
        <v>36000</v>
      </c>
      <c r="AB301" s="952">
        <v>36000</v>
      </c>
      <c r="AC301" s="825">
        <v>39974.025974025972</v>
      </c>
      <c r="AD301" s="735">
        <v>38854.368932038837</v>
      </c>
      <c r="AE301" s="735">
        <v>38672.727272727272</v>
      </c>
      <c r="AF301" s="271">
        <f t="shared" si="57"/>
        <v>39574.489795959191</v>
      </c>
      <c r="AG301" s="1396"/>
      <c r="DG301" s="573"/>
      <c r="DH301" s="188"/>
      <c r="DI301" s="1091"/>
      <c r="DJ301" s="1187"/>
    </row>
    <row r="302" spans="1:114" ht="14.65" customHeight="1" outlineLevel="1">
      <c r="A302" s="453"/>
      <c r="C302" s="51"/>
      <c r="D302" s="4199"/>
      <c r="E302" s="4199"/>
      <c r="F302" s="4338" t="s">
        <v>1892</v>
      </c>
      <c r="G302" s="4338"/>
      <c r="H302" s="4338"/>
      <c r="I302" s="1396" t="str">
        <f t="shared" ref="I302:I365" si="58">I230</f>
        <v>351190_2024_12_</v>
      </c>
      <c r="J302" s="1783">
        <f>J301</f>
        <v>39574.489795959191</v>
      </c>
      <c r="K302" s="175">
        <f t="shared" ref="K302:K309" si="59">J302/12000</f>
        <v>3.297874149663266</v>
      </c>
      <c r="L302" s="1609" t="s">
        <v>1935</v>
      </c>
      <c r="M302" s="563"/>
      <c r="N302" s="561"/>
      <c r="S302" s="52"/>
      <c r="T302" s="52"/>
      <c r="U302" s="52"/>
      <c r="V302" s="4199"/>
      <c r="W302" s="1396"/>
      <c r="X302" s="951"/>
      <c r="Y302" s="833"/>
      <c r="Z302" s="833">
        <v>36000</v>
      </c>
      <c r="AA302" s="1396">
        <v>36000</v>
      </c>
      <c r="AB302" s="952">
        <v>36000</v>
      </c>
      <c r="AC302" s="825">
        <v>39974.025974025972</v>
      </c>
      <c r="AD302" s="735">
        <v>38854.368932038837</v>
      </c>
      <c r="AE302" s="735">
        <v>38672.727272727272</v>
      </c>
      <c r="AF302" s="271">
        <f t="shared" si="57"/>
        <v>39574.489795959191</v>
      </c>
      <c r="AG302" s="1396"/>
      <c r="DG302" s="573"/>
      <c r="DH302" s="188"/>
      <c r="DI302" s="1091"/>
      <c r="DJ302" s="1187"/>
    </row>
    <row r="303" spans="1:114" ht="14.65" customHeight="1" outlineLevel="1">
      <c r="A303" s="453"/>
      <c r="C303" s="51"/>
      <c r="D303" s="4199"/>
      <c r="E303" s="4199"/>
      <c r="F303" s="4338" t="s">
        <v>1894</v>
      </c>
      <c r="G303" s="4338"/>
      <c r="H303" s="4338"/>
      <c r="I303" s="1396" t="str">
        <f t="shared" si="58"/>
        <v>351191_2024_12_</v>
      </c>
      <c r="J303" s="1783">
        <v>40520.270270270266</v>
      </c>
      <c r="K303" s="175">
        <f t="shared" si="59"/>
        <v>3.376689189189189</v>
      </c>
      <c r="L303" s="1609" t="s">
        <v>1935</v>
      </c>
      <c r="M303" s="563"/>
      <c r="N303" s="561"/>
      <c r="S303" s="52"/>
      <c r="T303" s="52"/>
      <c r="U303" s="52"/>
      <c r="V303" s="4199"/>
      <c r="W303" s="1396"/>
      <c r="X303" s="951"/>
      <c r="Y303" s="833"/>
      <c r="Z303" s="833">
        <v>36000</v>
      </c>
      <c r="AA303" s="1396">
        <v>36000</v>
      </c>
      <c r="AB303" s="952">
        <v>36000</v>
      </c>
      <c r="AC303" s="825">
        <v>37714.28571428571</v>
      </c>
      <c r="AD303" s="735">
        <v>38250</v>
      </c>
      <c r="AE303" s="735">
        <v>42000</v>
      </c>
      <c r="AF303" s="271">
        <f t="shared" si="57"/>
        <v>40520.270270270266</v>
      </c>
      <c r="AG303" s="1396"/>
      <c r="DG303" s="573"/>
      <c r="DH303" s="188"/>
      <c r="DI303" s="1091"/>
      <c r="DJ303" s="1187"/>
    </row>
    <row r="304" spans="1:114" ht="14.65" customHeight="1" outlineLevel="1">
      <c r="A304" s="453"/>
      <c r="C304" s="51"/>
      <c r="D304" s="4199"/>
      <c r="E304" s="4199"/>
      <c r="F304" s="4292" t="s">
        <v>1896</v>
      </c>
      <c r="G304" s="4292"/>
      <c r="H304" s="4292"/>
      <c r="I304" s="3262" t="str">
        <f t="shared" si="58"/>
        <v>351192_2024_12_</v>
      </c>
      <c r="J304" s="3266">
        <v>24000</v>
      </c>
      <c r="K304" s="2573">
        <f t="shared" si="59"/>
        <v>2</v>
      </c>
      <c r="L304" s="3267" t="s">
        <v>1933</v>
      </c>
      <c r="M304" s="563"/>
      <c r="N304" s="561"/>
      <c r="S304" s="52"/>
      <c r="T304" s="52"/>
      <c r="U304" s="52"/>
      <c r="V304" s="4199"/>
      <c r="W304" s="1396"/>
      <c r="X304" s="951"/>
      <c r="Y304" s="833"/>
      <c r="Z304" s="3265">
        <v>24000</v>
      </c>
      <c r="AA304" s="3262">
        <v>24000</v>
      </c>
      <c r="AB304" s="3269">
        <v>24000</v>
      </c>
      <c r="AC304" s="3267">
        <v>24000</v>
      </c>
      <c r="AD304" s="3267">
        <v>24000</v>
      </c>
      <c r="AE304" s="3267">
        <v>24000</v>
      </c>
      <c r="AF304" s="2236">
        <f t="shared" si="57"/>
        <v>24000</v>
      </c>
      <c r="AG304" s="1396"/>
      <c r="DG304" s="573"/>
      <c r="DH304" s="188"/>
      <c r="DI304" s="1091"/>
      <c r="DJ304" s="1187"/>
    </row>
    <row r="305" spans="1:114" ht="14.65" customHeight="1" outlineLevel="1">
      <c r="A305" s="453"/>
      <c r="C305" s="51"/>
      <c r="D305" s="4199"/>
      <c r="E305" s="4199"/>
      <c r="F305" s="4292" t="s">
        <v>1897</v>
      </c>
      <c r="G305" s="4292"/>
      <c r="H305" s="4292"/>
      <c r="I305" s="3262" t="str">
        <f t="shared" si="58"/>
        <v>351192_2024_12_</v>
      </c>
      <c r="J305" s="3266">
        <v>24000</v>
      </c>
      <c r="K305" s="2573">
        <f t="shared" si="59"/>
        <v>2</v>
      </c>
      <c r="L305" s="3267" t="s">
        <v>1933</v>
      </c>
      <c r="M305" s="563"/>
      <c r="N305" s="561"/>
      <c r="S305" s="52"/>
      <c r="T305" s="52"/>
      <c r="U305" s="52"/>
      <c r="V305" s="4199"/>
      <c r="W305" s="1396"/>
      <c r="X305" s="951"/>
      <c r="Y305" s="833"/>
      <c r="Z305" s="3265">
        <v>24000</v>
      </c>
      <c r="AA305" s="3262">
        <v>24000</v>
      </c>
      <c r="AB305" s="3269">
        <v>24000</v>
      </c>
      <c r="AC305" s="3267">
        <v>24000</v>
      </c>
      <c r="AD305" s="3267">
        <v>24000</v>
      </c>
      <c r="AE305" s="3267">
        <v>24000</v>
      </c>
      <c r="AF305" s="2236">
        <f t="shared" si="57"/>
        <v>24000</v>
      </c>
      <c r="AG305" s="1396"/>
      <c r="DG305" s="573"/>
      <c r="DH305" s="188"/>
      <c r="DI305" s="1091"/>
      <c r="DJ305" s="1187"/>
    </row>
    <row r="306" spans="1:114" ht="14.65" customHeight="1" outlineLevel="1">
      <c r="A306" s="453"/>
      <c r="C306" s="51"/>
      <c r="D306" s="4199"/>
      <c r="E306" s="4199"/>
      <c r="F306" s="4292" t="s">
        <v>1899</v>
      </c>
      <c r="G306" s="4292"/>
      <c r="H306" s="4292"/>
      <c r="I306" s="3262" t="str">
        <f t="shared" si="58"/>
        <v>351193_2024_12_</v>
      </c>
      <c r="J306" s="3266">
        <f>J304</f>
        <v>24000</v>
      </c>
      <c r="K306" s="2573">
        <f t="shared" si="59"/>
        <v>2</v>
      </c>
      <c r="L306" s="3267" t="s">
        <v>1933</v>
      </c>
      <c r="M306" s="563"/>
      <c r="N306" s="561"/>
      <c r="S306" s="52"/>
      <c r="T306" s="52"/>
      <c r="U306" s="52"/>
      <c r="V306" s="4199"/>
      <c r="W306" s="1396"/>
      <c r="X306" s="951"/>
      <c r="Y306" s="833"/>
      <c r="Z306" s="3265">
        <v>24000</v>
      </c>
      <c r="AA306" s="3262">
        <v>24000</v>
      </c>
      <c r="AB306" s="3269">
        <v>24000</v>
      </c>
      <c r="AC306" s="3267">
        <v>24000</v>
      </c>
      <c r="AD306" s="3267">
        <v>24000</v>
      </c>
      <c r="AE306" s="3267">
        <v>24000</v>
      </c>
      <c r="AF306" s="2236">
        <f t="shared" si="57"/>
        <v>24000</v>
      </c>
      <c r="AG306" s="1396"/>
      <c r="DG306" s="573"/>
      <c r="DH306" s="188"/>
      <c r="DI306" s="1091"/>
      <c r="DJ306" s="1187"/>
    </row>
    <row r="307" spans="1:114" ht="14.65" customHeight="1" outlineLevel="1">
      <c r="A307" s="453"/>
      <c r="C307" s="51"/>
      <c r="D307" s="4199"/>
      <c r="E307" s="4199"/>
      <c r="F307" s="4292" t="s">
        <v>1900</v>
      </c>
      <c r="G307" s="4292"/>
      <c r="H307" s="4292"/>
      <c r="I307" s="3262" t="str">
        <f t="shared" si="58"/>
        <v>351193_2024_12_</v>
      </c>
      <c r="J307" s="3266">
        <f>J305</f>
        <v>24000</v>
      </c>
      <c r="K307" s="2573">
        <f t="shared" si="59"/>
        <v>2</v>
      </c>
      <c r="L307" s="3267" t="s">
        <v>1933</v>
      </c>
      <c r="M307" s="563"/>
      <c r="N307" s="561"/>
      <c r="S307" s="52"/>
      <c r="T307" s="52"/>
      <c r="U307" s="52"/>
      <c r="V307" s="4199"/>
      <c r="W307" s="1396"/>
      <c r="X307" s="951"/>
      <c r="Y307" s="833"/>
      <c r="Z307" s="3265">
        <v>24000</v>
      </c>
      <c r="AA307" s="3262">
        <v>24000</v>
      </c>
      <c r="AB307" s="3269">
        <v>24000</v>
      </c>
      <c r="AC307" s="3267">
        <v>24000</v>
      </c>
      <c r="AD307" s="3267">
        <v>24000</v>
      </c>
      <c r="AE307" s="3267">
        <v>24000</v>
      </c>
      <c r="AF307" s="2236">
        <f t="shared" si="57"/>
        <v>24000</v>
      </c>
      <c r="AG307" s="1396"/>
      <c r="DG307" s="573"/>
      <c r="DH307" s="188"/>
      <c r="DI307" s="1091"/>
      <c r="DJ307" s="1187"/>
    </row>
    <row r="308" spans="1:114" ht="14.65" customHeight="1" outlineLevel="1">
      <c r="A308" s="453"/>
      <c r="C308" s="51"/>
      <c r="D308" s="4199"/>
      <c r="E308" s="4199"/>
      <c r="F308" s="4292" t="s">
        <v>1902</v>
      </c>
      <c r="G308" s="4292"/>
      <c r="H308" s="4292"/>
      <c r="I308" s="3262" t="str">
        <f t="shared" si="58"/>
        <v>351194_2024_12_</v>
      </c>
      <c r="J308" s="3266">
        <v>24000</v>
      </c>
      <c r="K308" s="2573">
        <f t="shared" si="59"/>
        <v>2</v>
      </c>
      <c r="L308" s="3267" t="s">
        <v>1933</v>
      </c>
      <c r="M308" s="563"/>
      <c r="N308" s="561"/>
      <c r="S308" s="52"/>
      <c r="T308" s="52"/>
      <c r="U308" s="52"/>
      <c r="V308" s="4199"/>
      <c r="W308" s="1396"/>
      <c r="X308" s="951"/>
      <c r="Y308" s="1396"/>
      <c r="Z308" s="3265">
        <v>24000</v>
      </c>
      <c r="AA308" s="3262">
        <v>24000</v>
      </c>
      <c r="AB308" s="3269">
        <v>24000</v>
      </c>
      <c r="AC308" s="3267">
        <v>24000</v>
      </c>
      <c r="AD308" s="3267">
        <v>24000</v>
      </c>
      <c r="AE308" s="3267">
        <v>24000</v>
      </c>
      <c r="AF308" s="2236">
        <f t="shared" si="57"/>
        <v>24000</v>
      </c>
      <c r="AG308" s="1396"/>
      <c r="DG308" s="573"/>
      <c r="DH308" s="188"/>
      <c r="DI308" s="1091"/>
      <c r="DJ308" s="1187"/>
    </row>
    <row r="309" spans="1:114" ht="14.65" customHeight="1" outlineLevel="1">
      <c r="A309" s="453"/>
      <c r="C309" s="51"/>
      <c r="D309" s="4199"/>
      <c r="E309" s="4199"/>
      <c r="F309" s="4292" t="s">
        <v>1904</v>
      </c>
      <c r="G309" s="4292"/>
      <c r="H309" s="4292"/>
      <c r="I309" s="3262" t="str">
        <f t="shared" si="58"/>
        <v>351195_2024_12_</v>
      </c>
      <c r="J309" s="3266">
        <f>J308</f>
        <v>24000</v>
      </c>
      <c r="K309" s="2573">
        <f t="shared" si="59"/>
        <v>2</v>
      </c>
      <c r="L309" s="3280" t="s">
        <v>1933</v>
      </c>
      <c r="M309" s="563"/>
      <c r="N309" s="561"/>
      <c r="S309" s="52"/>
      <c r="T309" s="52"/>
      <c r="U309" s="52"/>
      <c r="V309" s="4199"/>
      <c r="W309" s="1396"/>
      <c r="X309" s="951"/>
      <c r="Y309" s="833"/>
      <c r="Z309" s="3265">
        <v>24000</v>
      </c>
      <c r="AA309" s="3262">
        <v>24000</v>
      </c>
      <c r="AB309" s="3269">
        <v>24000</v>
      </c>
      <c r="AC309" s="3267">
        <v>24000</v>
      </c>
      <c r="AD309" s="3267">
        <v>24000</v>
      </c>
      <c r="AE309" s="3267">
        <v>24000</v>
      </c>
      <c r="AF309" s="2236">
        <f t="shared" si="57"/>
        <v>24000</v>
      </c>
      <c r="AG309" s="1396"/>
      <c r="DG309" s="573"/>
      <c r="DH309" s="188"/>
      <c r="DI309" s="1091"/>
      <c r="DJ309" s="1187"/>
    </row>
    <row r="310" spans="1:114" ht="14.65" customHeight="1" outlineLevel="1">
      <c r="A310" s="453"/>
      <c r="C310" s="51"/>
      <c r="D310" s="4294" t="s">
        <v>1939</v>
      </c>
      <c r="E310" s="4293" t="s">
        <v>1940</v>
      </c>
      <c r="F310" s="4339" t="s">
        <v>1784</v>
      </c>
      <c r="G310" s="4339"/>
      <c r="H310" s="4339"/>
      <c r="I310" s="3262" t="str">
        <f t="shared" si="58"/>
        <v>350400_2024_12_</v>
      </c>
      <c r="J310" s="3281"/>
      <c r="K310" s="2962"/>
      <c r="L310" s="2425"/>
      <c r="M310" s="563"/>
      <c r="N310" s="561"/>
      <c r="S310" s="52"/>
      <c r="T310" s="52"/>
      <c r="U310" s="52"/>
      <c r="V310" s="4293" t="str">
        <f>D310</f>
        <v>SEER2base</v>
      </c>
      <c r="W310" s="3262">
        <v>10</v>
      </c>
      <c r="X310" s="3265"/>
      <c r="Y310" s="3265"/>
      <c r="Z310" s="3265"/>
      <c r="AA310" s="3262"/>
      <c r="AB310" s="3264"/>
      <c r="AC310" s="3262"/>
      <c r="AD310" s="3262"/>
      <c r="AE310" s="3282"/>
      <c r="AF310" s="2236" t="str">
        <f t="shared" si="57"/>
        <v/>
      </c>
      <c r="AG310" s="1396"/>
      <c r="DG310" s="573"/>
      <c r="DH310" s="188"/>
      <c r="DI310" s="1091"/>
      <c r="DJ310" s="1187"/>
    </row>
    <row r="311" spans="1:114" ht="14.65" customHeight="1" outlineLevel="1">
      <c r="A311" s="453"/>
      <c r="C311" s="51"/>
      <c r="D311" s="4294"/>
      <c r="E311" s="4293"/>
      <c r="F311" s="4292" t="s">
        <v>1785</v>
      </c>
      <c r="G311" s="4292"/>
      <c r="H311" s="4292"/>
      <c r="I311" s="3262" t="str">
        <f t="shared" si="58"/>
        <v>350400_2024_12_</v>
      </c>
      <c r="J311" s="3281">
        <v>13.4</v>
      </c>
      <c r="K311" s="2962"/>
      <c r="L311" s="2425" t="s">
        <v>1941</v>
      </c>
      <c r="M311" s="563"/>
      <c r="N311" s="561"/>
      <c r="S311" s="52"/>
      <c r="T311" s="52"/>
      <c r="U311" s="52"/>
      <c r="V311" s="4293"/>
      <c r="W311" s="3262">
        <v>13</v>
      </c>
      <c r="X311" s="3262">
        <v>13</v>
      </c>
      <c r="Y311" s="3262">
        <v>13</v>
      </c>
      <c r="Z311" s="3262">
        <v>13</v>
      </c>
      <c r="AA311" s="3262">
        <v>13</v>
      </c>
      <c r="AB311" s="3264">
        <v>13</v>
      </c>
      <c r="AC311" s="3262">
        <v>13</v>
      </c>
      <c r="AD311" s="3262">
        <v>13</v>
      </c>
      <c r="AE311" s="3282">
        <v>14</v>
      </c>
      <c r="AF311" s="2236">
        <f t="shared" si="57"/>
        <v>13.4</v>
      </c>
      <c r="AG311" s="1396"/>
      <c r="DG311" s="573"/>
      <c r="DH311" s="188"/>
      <c r="DI311" s="1091"/>
      <c r="DJ311" s="1187"/>
    </row>
    <row r="312" spans="1:114" ht="14.65" customHeight="1" outlineLevel="1">
      <c r="A312" s="453"/>
      <c r="C312" s="51"/>
      <c r="D312" s="4294"/>
      <c r="E312" s="4293"/>
      <c r="F312" s="4292" t="s">
        <v>1788</v>
      </c>
      <c r="G312" s="4292"/>
      <c r="H312" s="4292"/>
      <c r="I312" s="3262" t="str">
        <f t="shared" si="58"/>
        <v>350450_2024_12_</v>
      </c>
      <c r="J312" s="3281">
        <v>13.4</v>
      </c>
      <c r="K312" s="2962"/>
      <c r="L312" s="2425" t="s">
        <v>1941</v>
      </c>
      <c r="M312" s="563"/>
      <c r="N312" s="561"/>
      <c r="O312" s="51"/>
      <c r="S312" s="52"/>
      <c r="T312" s="52"/>
      <c r="U312" s="52"/>
      <c r="V312" s="4293"/>
      <c r="W312" s="3262">
        <v>13</v>
      </c>
      <c r="X312" s="3262">
        <v>13</v>
      </c>
      <c r="Y312" s="3262">
        <v>13</v>
      </c>
      <c r="Z312" s="3262">
        <v>13</v>
      </c>
      <c r="AA312" s="3262">
        <v>13</v>
      </c>
      <c r="AB312" s="3264">
        <v>13</v>
      </c>
      <c r="AC312" s="3262">
        <v>13</v>
      </c>
      <c r="AD312" s="3262">
        <v>13</v>
      </c>
      <c r="AE312" s="3282">
        <v>14</v>
      </c>
      <c r="AF312" s="2236">
        <f t="shared" si="57"/>
        <v>13.4</v>
      </c>
      <c r="AG312" s="1396"/>
      <c r="DG312" s="573"/>
      <c r="DH312" s="188"/>
      <c r="DI312" s="1091"/>
      <c r="DJ312" s="1187"/>
    </row>
    <row r="313" spans="1:114" outlineLevel="1">
      <c r="A313" s="453"/>
      <c r="C313" s="51"/>
      <c r="D313" s="4294"/>
      <c r="E313" s="4293"/>
      <c r="F313" s="4292" t="s">
        <v>1790</v>
      </c>
      <c r="G313" s="4292"/>
      <c r="H313" s="4292"/>
      <c r="I313" s="3262" t="str">
        <f t="shared" si="58"/>
        <v>350500_2024_12_</v>
      </c>
      <c r="J313" s="3281"/>
      <c r="K313" s="2962"/>
      <c r="L313" s="2425"/>
      <c r="M313" s="51"/>
      <c r="N313" s="561"/>
      <c r="O313" s="51"/>
      <c r="S313" s="52"/>
      <c r="T313" s="52"/>
      <c r="U313" s="52"/>
      <c r="V313" s="4293"/>
      <c r="W313" s="3262">
        <v>10</v>
      </c>
      <c r="X313" s="3265"/>
      <c r="Y313" s="3265"/>
      <c r="Z313" s="3265"/>
      <c r="AA313" s="3262"/>
      <c r="AB313" s="3264"/>
      <c r="AC313" s="3262"/>
      <c r="AD313" s="3262"/>
      <c r="AE313" s="3282"/>
      <c r="AF313" s="2236" t="str">
        <f t="shared" si="57"/>
        <v/>
      </c>
      <c r="AG313" s="1396"/>
      <c r="DG313" s="573"/>
      <c r="DH313" s="188"/>
      <c r="DI313" s="1091"/>
      <c r="DJ313" s="1187"/>
    </row>
    <row r="314" spans="1:114" outlineLevel="1">
      <c r="A314" s="453"/>
      <c r="C314" s="51"/>
      <c r="D314" s="4294"/>
      <c r="E314" s="4293"/>
      <c r="F314" s="4292" t="s">
        <v>1791</v>
      </c>
      <c r="G314" s="4292"/>
      <c r="H314" s="4292"/>
      <c r="I314" s="3262" t="str">
        <f t="shared" si="58"/>
        <v>350500_2024_12_</v>
      </c>
      <c r="J314" s="3281">
        <v>13.4</v>
      </c>
      <c r="K314" s="2962"/>
      <c r="L314" s="2425" t="s">
        <v>1941</v>
      </c>
      <c r="M314" s="51"/>
      <c r="N314" s="561"/>
      <c r="O314" s="51"/>
      <c r="S314" s="52"/>
      <c r="T314" s="52"/>
      <c r="U314" s="52"/>
      <c r="V314" s="4293"/>
      <c r="W314" s="3262">
        <v>13</v>
      </c>
      <c r="X314" s="3262">
        <v>13</v>
      </c>
      <c r="Y314" s="3262">
        <v>13</v>
      </c>
      <c r="Z314" s="3262">
        <v>13</v>
      </c>
      <c r="AA314" s="3262">
        <v>13</v>
      </c>
      <c r="AB314" s="3264">
        <v>13</v>
      </c>
      <c r="AC314" s="3262">
        <v>13</v>
      </c>
      <c r="AD314" s="3262">
        <v>13</v>
      </c>
      <c r="AE314" s="3282">
        <v>14</v>
      </c>
      <c r="AF314" s="2236">
        <f t="shared" si="57"/>
        <v>13.4</v>
      </c>
      <c r="AG314" s="1396"/>
      <c r="DG314" s="573"/>
      <c r="DH314" s="188"/>
      <c r="DI314" s="1091"/>
      <c r="DJ314" s="1187"/>
    </row>
    <row r="315" spans="1:114" outlineLevel="1">
      <c r="A315" s="453"/>
      <c r="C315" s="51"/>
      <c r="D315" s="4294"/>
      <c r="E315" s="4293"/>
      <c r="F315" s="4292" t="s">
        <v>1793</v>
      </c>
      <c r="G315" s="4292"/>
      <c r="H315" s="4292"/>
      <c r="I315" s="3262" t="str">
        <f t="shared" si="58"/>
        <v>350501_2024_12_</v>
      </c>
      <c r="J315" s="3281"/>
      <c r="K315" s="2962"/>
      <c r="L315" s="2425"/>
      <c r="M315" s="51"/>
      <c r="N315" s="561"/>
      <c r="O315" s="51"/>
      <c r="S315" s="52"/>
      <c r="T315" s="52"/>
      <c r="U315" s="52"/>
      <c r="V315" s="4293"/>
      <c r="W315" s="3262"/>
      <c r="X315" s="3262"/>
      <c r="Y315" s="3262"/>
      <c r="Z315" s="3262"/>
      <c r="AA315" s="3262"/>
      <c r="AB315" s="3264"/>
      <c r="AC315" s="3262"/>
      <c r="AD315" s="3262"/>
      <c r="AE315" s="3282"/>
      <c r="AF315" s="2236" t="str">
        <f t="shared" si="57"/>
        <v/>
      </c>
      <c r="AG315" s="1396"/>
      <c r="DG315" s="573"/>
      <c r="DH315" s="188"/>
      <c r="DI315" s="1091"/>
      <c r="DJ315" s="1187"/>
    </row>
    <row r="316" spans="1:114" outlineLevel="1">
      <c r="A316" s="453"/>
      <c r="C316" s="51"/>
      <c r="D316" s="4294"/>
      <c r="E316" s="4293"/>
      <c r="F316" s="4292" t="s">
        <v>1794</v>
      </c>
      <c r="G316" s="4292"/>
      <c r="H316" s="4292"/>
      <c r="I316" s="3262" t="str">
        <f t="shared" si="58"/>
        <v>350501_2024_12_</v>
      </c>
      <c r="J316" s="3281">
        <v>13.4</v>
      </c>
      <c r="K316" s="2962"/>
      <c r="L316" s="2425" t="s">
        <v>1941</v>
      </c>
      <c r="M316" s="51"/>
      <c r="N316" s="561"/>
      <c r="O316" s="51"/>
      <c r="S316" s="52"/>
      <c r="T316" s="52"/>
      <c r="U316" s="52"/>
      <c r="V316" s="4293"/>
      <c r="W316" s="3262"/>
      <c r="X316" s="3262"/>
      <c r="Y316" s="3262">
        <v>13</v>
      </c>
      <c r="Z316" s="3262">
        <v>13</v>
      </c>
      <c r="AA316" s="3262">
        <v>13</v>
      </c>
      <c r="AB316" s="3264">
        <v>13</v>
      </c>
      <c r="AC316" s="3262">
        <v>13</v>
      </c>
      <c r="AD316" s="3262">
        <v>13</v>
      </c>
      <c r="AE316" s="3282">
        <v>14</v>
      </c>
      <c r="AF316" s="2236">
        <f t="shared" si="57"/>
        <v>13.4</v>
      </c>
      <c r="AG316" s="1396"/>
      <c r="DG316" s="573"/>
      <c r="DH316" s="188"/>
      <c r="DI316" s="1091"/>
      <c r="DJ316" s="1187"/>
    </row>
    <row r="317" spans="1:114" outlineLevel="1">
      <c r="A317" s="453"/>
      <c r="C317" s="51"/>
      <c r="D317" s="4294"/>
      <c r="E317" s="4293"/>
      <c r="F317" s="4292" t="s">
        <v>1796</v>
      </c>
      <c r="G317" s="4292"/>
      <c r="H317" s="4292"/>
      <c r="I317" s="3262" t="str">
        <f t="shared" si="58"/>
        <v>350550_2024_12_</v>
      </c>
      <c r="J317" s="3281">
        <v>13.4</v>
      </c>
      <c r="K317" s="2962"/>
      <c r="L317" s="2425" t="s">
        <v>1941</v>
      </c>
      <c r="M317" s="51"/>
      <c r="N317" s="561"/>
      <c r="O317" s="51"/>
      <c r="S317" s="52"/>
      <c r="T317" s="52"/>
      <c r="U317" s="52"/>
      <c r="V317" s="4293"/>
      <c r="W317" s="3262">
        <v>13</v>
      </c>
      <c r="X317" s="3262">
        <v>13</v>
      </c>
      <c r="Y317" s="3262">
        <v>13</v>
      </c>
      <c r="Z317" s="3262">
        <v>13</v>
      </c>
      <c r="AA317" s="3262">
        <v>13</v>
      </c>
      <c r="AB317" s="3264">
        <v>13</v>
      </c>
      <c r="AC317" s="3262">
        <v>13</v>
      </c>
      <c r="AD317" s="3262">
        <v>13</v>
      </c>
      <c r="AE317" s="3282">
        <v>14</v>
      </c>
      <c r="AF317" s="2236">
        <f t="shared" si="57"/>
        <v>13.4</v>
      </c>
      <c r="AG317" s="1396"/>
      <c r="DG317" s="573"/>
      <c r="DH317" s="188"/>
      <c r="DI317" s="1091"/>
      <c r="DJ317" s="1187"/>
    </row>
    <row r="318" spans="1:114" outlineLevel="1">
      <c r="A318" s="453"/>
      <c r="C318" s="51"/>
      <c r="D318" s="4294"/>
      <c r="E318" s="4293"/>
      <c r="F318" s="4292" t="s">
        <v>1798</v>
      </c>
      <c r="G318" s="4292"/>
      <c r="H318" s="4292"/>
      <c r="I318" s="3262" t="str">
        <f t="shared" si="58"/>
        <v>350551_2024_12_</v>
      </c>
      <c r="J318" s="3281">
        <v>13.4</v>
      </c>
      <c r="K318" s="2962"/>
      <c r="L318" s="2425" t="s">
        <v>1941</v>
      </c>
      <c r="M318" s="51"/>
      <c r="N318" s="561"/>
      <c r="O318" s="51"/>
      <c r="S318" s="52"/>
      <c r="T318" s="52"/>
      <c r="U318" s="52"/>
      <c r="V318" s="4293"/>
      <c r="W318" s="3262"/>
      <c r="X318" s="3262"/>
      <c r="Y318" s="3262">
        <v>13</v>
      </c>
      <c r="Z318" s="3262">
        <v>13</v>
      </c>
      <c r="AA318" s="3262">
        <v>13</v>
      </c>
      <c r="AB318" s="3264">
        <v>13</v>
      </c>
      <c r="AC318" s="3262">
        <v>13</v>
      </c>
      <c r="AD318" s="3262">
        <v>13</v>
      </c>
      <c r="AE318" s="3282">
        <v>14</v>
      </c>
      <c r="AF318" s="2236">
        <f t="shared" si="57"/>
        <v>13.4</v>
      </c>
      <c r="AG318" s="1396"/>
      <c r="DG318" s="573"/>
      <c r="DH318" s="188"/>
      <c r="DI318" s="1091"/>
      <c r="DJ318" s="1187"/>
    </row>
    <row r="319" spans="1:114" outlineLevel="1">
      <c r="A319" s="453"/>
      <c r="C319" s="51"/>
      <c r="D319" s="4294"/>
      <c r="E319" s="4293"/>
      <c r="F319" s="4338" t="s">
        <v>1801</v>
      </c>
      <c r="G319" s="4338"/>
      <c r="H319" s="4338"/>
      <c r="I319" s="1396" t="str">
        <f t="shared" si="58"/>
        <v>350600_2024_12_</v>
      </c>
      <c r="J319" s="1791"/>
      <c r="K319" s="1442"/>
      <c r="L319" s="1378"/>
      <c r="M319" s="51"/>
      <c r="N319" s="561"/>
      <c r="O319" s="51"/>
      <c r="S319" s="52"/>
      <c r="T319" s="52"/>
      <c r="U319" s="52"/>
      <c r="V319" s="4293"/>
      <c r="W319" s="1396">
        <v>10</v>
      </c>
      <c r="X319" s="833"/>
      <c r="Y319" s="833"/>
      <c r="Z319" s="833"/>
      <c r="AA319" s="1396"/>
      <c r="AB319" s="951"/>
      <c r="AC319" s="1396"/>
      <c r="AD319" s="1396"/>
      <c r="AE319" s="736"/>
      <c r="AF319" s="271" t="str">
        <f t="shared" si="57"/>
        <v/>
      </c>
      <c r="AG319" s="1396"/>
      <c r="DG319" s="573"/>
      <c r="DH319" s="188"/>
      <c r="DI319" s="1091"/>
      <c r="DJ319" s="1187"/>
    </row>
    <row r="320" spans="1:114" outlineLevel="1">
      <c r="A320" s="453"/>
      <c r="C320" s="51"/>
      <c r="D320" s="4294"/>
      <c r="E320" s="4293"/>
      <c r="F320" s="4338" t="s">
        <v>1802</v>
      </c>
      <c r="G320" s="4338"/>
      <c r="H320" s="4338"/>
      <c r="I320" s="1396" t="str">
        <f t="shared" si="58"/>
        <v>350600_2024_12_</v>
      </c>
      <c r="J320" s="1791">
        <v>13.4</v>
      </c>
      <c r="K320" s="1442"/>
      <c r="L320" s="1378" t="s">
        <v>1941</v>
      </c>
      <c r="M320" s="51"/>
      <c r="N320" s="561"/>
      <c r="O320" s="51"/>
      <c r="S320" s="52"/>
      <c r="T320" s="52"/>
      <c r="U320" s="52"/>
      <c r="V320" s="4293"/>
      <c r="W320" s="1396">
        <v>13</v>
      </c>
      <c r="X320" s="1396">
        <v>13</v>
      </c>
      <c r="Y320" s="1396">
        <v>13</v>
      </c>
      <c r="Z320" s="1396">
        <v>13</v>
      </c>
      <c r="AA320" s="1396">
        <v>13</v>
      </c>
      <c r="AB320" s="951">
        <v>13</v>
      </c>
      <c r="AC320" s="1396">
        <v>13</v>
      </c>
      <c r="AD320" s="1396">
        <v>13</v>
      </c>
      <c r="AE320" s="736">
        <v>14</v>
      </c>
      <c r="AF320" s="271">
        <f t="shared" si="57"/>
        <v>13.4</v>
      </c>
      <c r="AG320" s="1396"/>
      <c r="DG320" s="573"/>
      <c r="DH320" s="188"/>
      <c r="DI320" s="1091"/>
      <c r="DJ320" s="1187"/>
    </row>
    <row r="321" spans="1:114" outlineLevel="1">
      <c r="A321" s="453"/>
      <c r="C321" s="51"/>
      <c r="D321" s="4294"/>
      <c r="E321" s="4293"/>
      <c r="F321" s="4338" t="s">
        <v>1804</v>
      </c>
      <c r="G321" s="4338"/>
      <c r="H321" s="4338"/>
      <c r="I321" s="1396" t="str">
        <f t="shared" si="58"/>
        <v>350650_2024_12_</v>
      </c>
      <c r="J321" s="1791">
        <v>13.4</v>
      </c>
      <c r="K321" s="1442"/>
      <c r="L321" s="1378" t="s">
        <v>1941</v>
      </c>
      <c r="M321" s="51"/>
      <c r="N321" s="561"/>
      <c r="O321" s="51"/>
      <c r="S321" s="52"/>
      <c r="T321" s="52"/>
      <c r="U321" s="52"/>
      <c r="V321" s="4293"/>
      <c r="W321" s="1396">
        <v>13</v>
      </c>
      <c r="X321" s="1396">
        <v>13</v>
      </c>
      <c r="Y321" s="1396">
        <v>13</v>
      </c>
      <c r="Z321" s="1396">
        <v>13</v>
      </c>
      <c r="AA321" s="1396">
        <v>13</v>
      </c>
      <c r="AB321" s="951">
        <v>13</v>
      </c>
      <c r="AC321" s="1396">
        <v>13</v>
      </c>
      <c r="AD321" s="1396">
        <v>13</v>
      </c>
      <c r="AE321" s="736">
        <v>14</v>
      </c>
      <c r="AF321" s="271">
        <f t="shared" si="57"/>
        <v>13.4</v>
      </c>
      <c r="AG321" s="1396"/>
      <c r="DG321" s="573"/>
      <c r="DH321" s="188"/>
      <c r="DI321" s="1091"/>
      <c r="DJ321" s="1187"/>
    </row>
    <row r="322" spans="1:114" outlineLevel="1">
      <c r="A322" s="453"/>
      <c r="C322" s="51"/>
      <c r="D322" s="4294"/>
      <c r="E322" s="4293"/>
      <c r="F322" s="4292" t="s">
        <v>1806</v>
      </c>
      <c r="G322" s="4292"/>
      <c r="H322" s="4292"/>
      <c r="I322" s="3262" t="str">
        <f t="shared" si="58"/>
        <v>350700_2024_12_</v>
      </c>
      <c r="J322" s="3281"/>
      <c r="K322" s="2962"/>
      <c r="L322" s="2425"/>
      <c r="M322" s="51"/>
      <c r="N322" s="561"/>
      <c r="O322" s="51"/>
      <c r="S322" s="52"/>
      <c r="T322" s="52"/>
      <c r="U322" s="52"/>
      <c r="V322" s="4293"/>
      <c r="W322" s="3262">
        <v>10</v>
      </c>
      <c r="X322" s="3265"/>
      <c r="Y322" s="3265"/>
      <c r="Z322" s="3265"/>
      <c r="AA322" s="3262"/>
      <c r="AB322" s="3264"/>
      <c r="AC322" s="3262"/>
      <c r="AD322" s="3262"/>
      <c r="AE322" s="3282"/>
      <c r="AF322" s="2236" t="str">
        <f t="shared" si="57"/>
        <v/>
      </c>
      <c r="AG322" s="1396"/>
      <c r="DG322" s="573"/>
      <c r="DH322" s="188"/>
      <c r="DI322" s="1091"/>
      <c r="DJ322" s="1187"/>
    </row>
    <row r="323" spans="1:114" outlineLevel="1">
      <c r="A323" s="453"/>
      <c r="C323" s="51"/>
      <c r="D323" s="4294"/>
      <c r="E323" s="4293"/>
      <c r="F323" s="4292" t="s">
        <v>1807</v>
      </c>
      <c r="G323" s="4292"/>
      <c r="H323" s="4292"/>
      <c r="I323" s="3262" t="str">
        <f t="shared" si="58"/>
        <v>350700_2024_12_</v>
      </c>
      <c r="J323" s="3281">
        <v>13.4</v>
      </c>
      <c r="K323" s="2962"/>
      <c r="L323" s="2425" t="s">
        <v>1941</v>
      </c>
      <c r="M323" s="51"/>
      <c r="N323" s="561"/>
      <c r="O323" s="51"/>
      <c r="S323" s="52"/>
      <c r="T323" s="52"/>
      <c r="U323" s="52"/>
      <c r="V323" s="4293"/>
      <c r="W323" s="3262">
        <v>13</v>
      </c>
      <c r="X323" s="3262">
        <v>13</v>
      </c>
      <c r="Y323" s="3262">
        <v>13</v>
      </c>
      <c r="Z323" s="3262">
        <v>13</v>
      </c>
      <c r="AA323" s="3262">
        <v>13</v>
      </c>
      <c r="AB323" s="3264">
        <v>13</v>
      </c>
      <c r="AC323" s="3262">
        <v>13</v>
      </c>
      <c r="AD323" s="3262">
        <v>13</v>
      </c>
      <c r="AE323" s="3282">
        <v>14</v>
      </c>
      <c r="AF323" s="2236">
        <f t="shared" si="57"/>
        <v>13.4</v>
      </c>
      <c r="AG323" s="1396"/>
      <c r="DG323" s="573"/>
      <c r="DH323" s="188"/>
      <c r="DI323" s="1091"/>
      <c r="DJ323" s="1187"/>
    </row>
    <row r="324" spans="1:114" outlineLevel="1">
      <c r="A324" s="453"/>
      <c r="C324" s="51"/>
      <c r="D324" s="4294"/>
      <c r="E324" s="4293"/>
      <c r="F324" s="4292" t="s">
        <v>1809</v>
      </c>
      <c r="G324" s="4292"/>
      <c r="H324" s="4292"/>
      <c r="I324" s="3262" t="str">
        <f t="shared" si="58"/>
        <v>350701_2024_12_</v>
      </c>
      <c r="J324" s="3281"/>
      <c r="K324" s="2962"/>
      <c r="L324" s="2425"/>
      <c r="M324" s="51"/>
      <c r="N324" s="561"/>
      <c r="O324" s="51"/>
      <c r="S324" s="52"/>
      <c r="T324" s="52"/>
      <c r="U324" s="52"/>
      <c r="V324" s="4293"/>
      <c r="W324" s="3262"/>
      <c r="X324" s="3262"/>
      <c r="Y324" s="3262"/>
      <c r="Z324" s="3262"/>
      <c r="AA324" s="3262"/>
      <c r="AB324" s="3264"/>
      <c r="AC324" s="3262"/>
      <c r="AD324" s="3262"/>
      <c r="AE324" s="3282"/>
      <c r="AF324" s="2236" t="str">
        <f t="shared" si="57"/>
        <v/>
      </c>
      <c r="AG324" s="1396"/>
      <c r="DG324" s="573"/>
      <c r="DH324" s="188"/>
      <c r="DI324" s="1091"/>
      <c r="DJ324" s="1187"/>
    </row>
    <row r="325" spans="1:114" outlineLevel="1">
      <c r="A325" s="453"/>
      <c r="C325" s="51"/>
      <c r="D325" s="4294"/>
      <c r="E325" s="4293"/>
      <c r="F325" s="4292" t="s">
        <v>1810</v>
      </c>
      <c r="G325" s="4292"/>
      <c r="H325" s="4292"/>
      <c r="I325" s="3262" t="str">
        <f t="shared" si="58"/>
        <v>350701_2024_12_</v>
      </c>
      <c r="J325" s="3281">
        <v>13.4</v>
      </c>
      <c r="K325" s="2962"/>
      <c r="L325" s="2425" t="s">
        <v>1941</v>
      </c>
      <c r="M325" s="51"/>
      <c r="N325" s="561"/>
      <c r="O325" s="51"/>
      <c r="S325" s="52"/>
      <c r="T325" s="52"/>
      <c r="U325" s="52"/>
      <c r="V325" s="4293"/>
      <c r="W325" s="3262"/>
      <c r="X325" s="3262"/>
      <c r="Y325" s="3262">
        <v>13</v>
      </c>
      <c r="Z325" s="3262">
        <v>13</v>
      </c>
      <c r="AA325" s="3262">
        <v>13</v>
      </c>
      <c r="AB325" s="3264">
        <v>13</v>
      </c>
      <c r="AC325" s="3262">
        <v>13</v>
      </c>
      <c r="AD325" s="3262">
        <v>13</v>
      </c>
      <c r="AE325" s="3282">
        <v>14</v>
      </c>
      <c r="AF325" s="2236">
        <f t="shared" si="57"/>
        <v>13.4</v>
      </c>
      <c r="AG325" s="1396"/>
      <c r="DG325" s="573"/>
      <c r="DH325" s="188"/>
      <c r="DI325" s="1091"/>
      <c r="DJ325" s="1187"/>
    </row>
    <row r="326" spans="1:114" outlineLevel="1">
      <c r="A326" s="453"/>
      <c r="C326" s="51"/>
      <c r="D326" s="4294"/>
      <c r="E326" s="4293"/>
      <c r="F326" s="4292" t="s">
        <v>1812</v>
      </c>
      <c r="G326" s="4292"/>
      <c r="H326" s="4292"/>
      <c r="I326" s="3262" t="str">
        <f t="shared" si="58"/>
        <v>350750_2024_12_</v>
      </c>
      <c r="J326" s="3281">
        <v>13.4</v>
      </c>
      <c r="K326" s="2962"/>
      <c r="L326" s="2425" t="s">
        <v>1941</v>
      </c>
      <c r="M326" s="51"/>
      <c r="N326" s="561"/>
      <c r="O326" s="51"/>
      <c r="S326" s="52"/>
      <c r="T326" s="52"/>
      <c r="U326" s="52"/>
      <c r="V326" s="4293"/>
      <c r="W326" s="3262">
        <v>13</v>
      </c>
      <c r="X326" s="3262">
        <v>13</v>
      </c>
      <c r="Y326" s="3262">
        <v>13</v>
      </c>
      <c r="Z326" s="3262">
        <v>13</v>
      </c>
      <c r="AA326" s="3262">
        <v>13</v>
      </c>
      <c r="AB326" s="3264">
        <v>13</v>
      </c>
      <c r="AC326" s="3262">
        <v>13</v>
      </c>
      <c r="AD326" s="3262">
        <v>13</v>
      </c>
      <c r="AE326" s="3282">
        <v>14</v>
      </c>
      <c r="AF326" s="2236">
        <f t="shared" si="57"/>
        <v>13.4</v>
      </c>
      <c r="AG326" s="1396"/>
      <c r="DG326" s="573"/>
      <c r="DH326" s="188"/>
      <c r="DI326" s="1091"/>
      <c r="DJ326" s="1187"/>
    </row>
    <row r="327" spans="1:114" outlineLevel="1">
      <c r="A327" s="453"/>
      <c r="C327" s="51"/>
      <c r="D327" s="4294"/>
      <c r="E327" s="4293"/>
      <c r="F327" s="4292" t="s">
        <v>1814</v>
      </c>
      <c r="G327" s="4292"/>
      <c r="H327" s="4292"/>
      <c r="I327" s="3262" t="str">
        <f t="shared" si="58"/>
        <v>350751_2024_12_</v>
      </c>
      <c r="J327" s="3281">
        <v>13.4</v>
      </c>
      <c r="K327" s="2962"/>
      <c r="L327" s="2425" t="s">
        <v>1941</v>
      </c>
      <c r="M327" s="51"/>
      <c r="N327" s="561"/>
      <c r="O327" s="51"/>
      <c r="S327" s="52"/>
      <c r="T327" s="52"/>
      <c r="U327" s="52"/>
      <c r="V327" s="4293"/>
      <c r="W327" s="3262"/>
      <c r="X327" s="3262"/>
      <c r="Y327" s="3262">
        <v>13</v>
      </c>
      <c r="Z327" s="3262">
        <v>13</v>
      </c>
      <c r="AA327" s="3262">
        <v>13</v>
      </c>
      <c r="AB327" s="3264">
        <v>13</v>
      </c>
      <c r="AC327" s="3262">
        <v>13</v>
      </c>
      <c r="AD327" s="3262">
        <v>13</v>
      </c>
      <c r="AE327" s="3282">
        <v>14</v>
      </c>
      <c r="AF327" s="2236">
        <f t="shared" si="57"/>
        <v>13.4</v>
      </c>
      <c r="AG327" s="1396"/>
      <c r="DG327" s="573"/>
      <c r="DH327" s="188"/>
      <c r="DI327" s="1091"/>
      <c r="DJ327" s="1187"/>
    </row>
    <row r="328" spans="1:114" outlineLevel="1">
      <c r="A328" s="453"/>
      <c r="C328" s="51"/>
      <c r="D328" s="4294"/>
      <c r="E328" s="4293"/>
      <c r="F328" s="4338" t="s">
        <v>1816</v>
      </c>
      <c r="G328" s="4338"/>
      <c r="H328" s="4338"/>
      <c r="I328" s="1396" t="str">
        <f t="shared" si="58"/>
        <v>350800_2024_12_</v>
      </c>
      <c r="J328" s="1791"/>
      <c r="K328" s="1442"/>
      <c r="L328" s="1378"/>
      <c r="M328" s="51"/>
      <c r="N328" s="561"/>
      <c r="O328" s="51"/>
      <c r="S328" s="52"/>
      <c r="T328" s="52"/>
      <c r="U328" s="52"/>
      <c r="V328" s="4293"/>
      <c r="W328" s="1396">
        <v>10</v>
      </c>
      <c r="X328" s="833"/>
      <c r="Y328" s="833"/>
      <c r="Z328" s="833"/>
      <c r="AA328" s="1396"/>
      <c r="AB328" s="951"/>
      <c r="AC328" s="1396"/>
      <c r="AD328" s="1396"/>
      <c r="AE328" s="736"/>
      <c r="AF328" s="271" t="str">
        <f t="shared" si="57"/>
        <v/>
      </c>
      <c r="AG328" s="1396"/>
      <c r="DG328" s="573"/>
      <c r="DH328" s="188"/>
      <c r="DI328" s="1091"/>
      <c r="DJ328" s="1187"/>
    </row>
    <row r="329" spans="1:114" outlineLevel="1">
      <c r="A329" s="453"/>
      <c r="C329" s="51"/>
      <c r="D329" s="4294"/>
      <c r="E329" s="4293"/>
      <c r="F329" s="4338" t="s">
        <v>1817</v>
      </c>
      <c r="G329" s="4338"/>
      <c r="H329" s="4338"/>
      <c r="I329" s="1396" t="str">
        <f t="shared" si="58"/>
        <v>350800_2024_12_</v>
      </c>
      <c r="J329" s="1791">
        <v>13.4</v>
      </c>
      <c r="K329" s="1442"/>
      <c r="L329" s="1378" t="s">
        <v>1941</v>
      </c>
      <c r="M329" s="51"/>
      <c r="N329" s="561"/>
      <c r="O329" s="51"/>
      <c r="S329" s="52"/>
      <c r="T329" s="52"/>
      <c r="U329" s="52"/>
      <c r="V329" s="4293"/>
      <c r="W329" s="1396">
        <v>13</v>
      </c>
      <c r="X329" s="1396">
        <v>13</v>
      </c>
      <c r="Y329" s="1396">
        <v>13</v>
      </c>
      <c r="Z329" s="1396">
        <v>13</v>
      </c>
      <c r="AA329" s="1396">
        <v>13</v>
      </c>
      <c r="AB329" s="951">
        <v>13</v>
      </c>
      <c r="AC329" s="1396">
        <v>13</v>
      </c>
      <c r="AD329" s="1396">
        <v>13</v>
      </c>
      <c r="AE329" s="736">
        <v>14</v>
      </c>
      <c r="AF329" s="271">
        <f t="shared" si="57"/>
        <v>13.4</v>
      </c>
      <c r="AG329" s="1396"/>
      <c r="DG329" s="573"/>
      <c r="DH329" s="188"/>
      <c r="DI329" s="1091"/>
      <c r="DJ329" s="1187"/>
    </row>
    <row r="330" spans="1:114" outlineLevel="1">
      <c r="A330" s="453"/>
      <c r="C330" s="51"/>
      <c r="D330" s="4294"/>
      <c r="E330" s="4293"/>
      <c r="F330" s="4338" t="s">
        <v>1819</v>
      </c>
      <c r="G330" s="4338"/>
      <c r="H330" s="4338"/>
      <c r="I330" s="1396" t="str">
        <f t="shared" si="58"/>
        <v>350850_2024_12_</v>
      </c>
      <c r="J330" s="1791">
        <v>13.4</v>
      </c>
      <c r="K330" s="1442"/>
      <c r="L330" s="1378" t="s">
        <v>1941</v>
      </c>
      <c r="M330" s="51"/>
      <c r="N330" s="561"/>
      <c r="O330" s="51"/>
      <c r="S330" s="52"/>
      <c r="T330" s="52"/>
      <c r="U330" s="52"/>
      <c r="V330" s="4293"/>
      <c r="W330" s="1396">
        <v>13</v>
      </c>
      <c r="X330" s="1396">
        <v>13</v>
      </c>
      <c r="Y330" s="1396">
        <v>13</v>
      </c>
      <c r="Z330" s="1396">
        <v>13</v>
      </c>
      <c r="AA330" s="1396">
        <v>13</v>
      </c>
      <c r="AB330" s="951">
        <v>13</v>
      </c>
      <c r="AC330" s="1396">
        <v>13</v>
      </c>
      <c r="AD330" s="1396">
        <v>13</v>
      </c>
      <c r="AE330" s="736">
        <v>14</v>
      </c>
      <c r="AF330" s="271">
        <f t="shared" si="57"/>
        <v>13.4</v>
      </c>
      <c r="AG330" s="1396"/>
      <c r="DG330" s="573"/>
      <c r="DH330" s="188"/>
      <c r="DI330" s="1091"/>
      <c r="DJ330" s="1187"/>
    </row>
    <row r="331" spans="1:114" outlineLevel="1">
      <c r="A331" s="453"/>
      <c r="C331" s="51"/>
      <c r="D331" s="4294"/>
      <c r="E331" s="4293"/>
      <c r="F331" s="4338" t="s">
        <v>1821</v>
      </c>
      <c r="G331" s="4338"/>
      <c r="H331" s="4338"/>
      <c r="I331" s="1396" t="str">
        <f t="shared" si="58"/>
        <v>350900_2024_12_</v>
      </c>
      <c r="J331" s="1791"/>
      <c r="K331" s="1442"/>
      <c r="L331" s="1378"/>
      <c r="M331" s="51"/>
      <c r="N331" s="561"/>
      <c r="O331" s="51"/>
      <c r="S331" s="52"/>
      <c r="T331" s="52"/>
      <c r="U331" s="52"/>
      <c r="V331" s="4293"/>
      <c r="W331" s="1396">
        <v>10</v>
      </c>
      <c r="X331" s="833"/>
      <c r="Y331" s="833"/>
      <c r="Z331" s="833"/>
      <c r="AA331" s="1396"/>
      <c r="AB331" s="951"/>
      <c r="AC331" s="1396"/>
      <c r="AD331" s="1396"/>
      <c r="AE331" s="736"/>
      <c r="AF331" s="271" t="str">
        <f t="shared" si="57"/>
        <v/>
      </c>
      <c r="AG331" s="1396"/>
      <c r="DG331" s="573"/>
      <c r="DH331" s="188"/>
      <c r="DI331" s="1091"/>
      <c r="DJ331" s="1187"/>
    </row>
    <row r="332" spans="1:114" outlineLevel="1">
      <c r="A332" s="453"/>
      <c r="C332" s="51"/>
      <c r="D332" s="4294"/>
      <c r="E332" s="4293"/>
      <c r="F332" s="4338" t="s">
        <v>1822</v>
      </c>
      <c r="G332" s="4338"/>
      <c r="H332" s="4338"/>
      <c r="I332" s="1396" t="str">
        <f t="shared" si="58"/>
        <v>350900_2024_12_</v>
      </c>
      <c r="J332" s="1791">
        <v>13.4</v>
      </c>
      <c r="K332" s="1442"/>
      <c r="L332" s="1378" t="s">
        <v>1941</v>
      </c>
      <c r="M332" s="51"/>
      <c r="N332" s="561"/>
      <c r="O332" s="51"/>
      <c r="S332" s="52"/>
      <c r="T332" s="52"/>
      <c r="U332" s="52"/>
      <c r="V332" s="4293"/>
      <c r="W332" s="1396">
        <v>13</v>
      </c>
      <c r="X332" s="1396">
        <v>13</v>
      </c>
      <c r="Y332" s="1396">
        <v>13</v>
      </c>
      <c r="Z332" s="1396">
        <v>13</v>
      </c>
      <c r="AA332" s="1396">
        <v>13</v>
      </c>
      <c r="AB332" s="951">
        <v>13</v>
      </c>
      <c r="AC332" s="1396">
        <v>13</v>
      </c>
      <c r="AD332" s="1396">
        <v>13</v>
      </c>
      <c r="AE332" s="736">
        <v>14</v>
      </c>
      <c r="AF332" s="271">
        <f t="shared" si="57"/>
        <v>13.4</v>
      </c>
      <c r="AG332" s="1396"/>
      <c r="DG332" s="573"/>
      <c r="DH332" s="188"/>
      <c r="DI332" s="1091"/>
      <c r="DJ332" s="1187"/>
    </row>
    <row r="333" spans="1:114" outlineLevel="1">
      <c r="A333" s="453"/>
      <c r="C333" s="51"/>
      <c r="D333" s="4294"/>
      <c r="E333" s="4293"/>
      <c r="F333" s="4292" t="s">
        <v>1824</v>
      </c>
      <c r="G333" s="4292"/>
      <c r="H333" s="4292"/>
      <c r="I333" s="3262" t="str">
        <f t="shared" si="58"/>
        <v>350901_2024_12_</v>
      </c>
      <c r="J333" s="3281"/>
      <c r="K333" s="2962"/>
      <c r="L333" s="2425"/>
      <c r="M333" s="51"/>
      <c r="N333" s="561"/>
      <c r="O333" s="51"/>
      <c r="S333" s="52"/>
      <c r="T333" s="52"/>
      <c r="U333" s="52"/>
      <c r="V333" s="4293"/>
      <c r="W333" s="3262"/>
      <c r="X333" s="3262"/>
      <c r="Y333" s="3262"/>
      <c r="Z333" s="3262"/>
      <c r="AA333" s="3262"/>
      <c r="AB333" s="3264"/>
      <c r="AC333" s="3262"/>
      <c r="AD333" s="3262"/>
      <c r="AE333" s="3282"/>
      <c r="AF333" s="2236" t="str">
        <f t="shared" si="57"/>
        <v/>
      </c>
      <c r="AG333" s="1396"/>
      <c r="DG333" s="573"/>
      <c r="DH333" s="188"/>
      <c r="DI333" s="1091"/>
      <c r="DJ333" s="1187"/>
    </row>
    <row r="334" spans="1:114" outlineLevel="1">
      <c r="A334" s="453"/>
      <c r="C334" s="51"/>
      <c r="D334" s="4294"/>
      <c r="E334" s="4293"/>
      <c r="F334" s="4292" t="s">
        <v>1825</v>
      </c>
      <c r="G334" s="4292"/>
      <c r="H334" s="4292"/>
      <c r="I334" s="3262" t="str">
        <f t="shared" si="58"/>
        <v>350901_2024_12_</v>
      </c>
      <c r="J334" s="3281">
        <v>13.4</v>
      </c>
      <c r="K334" s="2962"/>
      <c r="L334" s="2425" t="s">
        <v>1941</v>
      </c>
      <c r="M334" s="51"/>
      <c r="N334" s="561"/>
      <c r="O334" s="51"/>
      <c r="S334" s="52"/>
      <c r="T334" s="52"/>
      <c r="U334" s="52"/>
      <c r="V334" s="4293"/>
      <c r="W334" s="3262"/>
      <c r="X334" s="3262"/>
      <c r="Y334" s="3262">
        <v>13</v>
      </c>
      <c r="Z334" s="3262">
        <v>13</v>
      </c>
      <c r="AA334" s="3262">
        <v>13</v>
      </c>
      <c r="AB334" s="3264">
        <v>13</v>
      </c>
      <c r="AC334" s="3262">
        <v>13</v>
      </c>
      <c r="AD334" s="3262">
        <v>13</v>
      </c>
      <c r="AE334" s="3282">
        <v>14</v>
      </c>
      <c r="AF334" s="2236">
        <f t="shared" si="57"/>
        <v>13.4</v>
      </c>
      <c r="AG334" s="1396"/>
      <c r="DG334" s="573"/>
      <c r="DH334" s="188"/>
      <c r="DI334" s="1091"/>
      <c r="DJ334" s="1187"/>
    </row>
    <row r="335" spans="1:114" outlineLevel="1">
      <c r="A335" s="453"/>
      <c r="C335" s="51"/>
      <c r="D335" s="4294"/>
      <c r="E335" s="4293"/>
      <c r="F335" s="4292" t="s">
        <v>1827</v>
      </c>
      <c r="G335" s="4292"/>
      <c r="H335" s="4292"/>
      <c r="I335" s="3262" t="str">
        <f t="shared" si="58"/>
        <v>350950_2024_12_</v>
      </c>
      <c r="J335" s="3281">
        <v>13.4</v>
      </c>
      <c r="K335" s="2962"/>
      <c r="L335" s="2425" t="s">
        <v>1941</v>
      </c>
      <c r="M335" s="51"/>
      <c r="N335" s="561"/>
      <c r="O335" s="51"/>
      <c r="S335" s="52"/>
      <c r="T335" s="52"/>
      <c r="U335" s="52"/>
      <c r="V335" s="4293"/>
      <c r="W335" s="3262">
        <v>13</v>
      </c>
      <c r="X335" s="3262">
        <v>13</v>
      </c>
      <c r="Y335" s="3262">
        <v>13</v>
      </c>
      <c r="Z335" s="3262">
        <v>13</v>
      </c>
      <c r="AA335" s="3262">
        <v>13</v>
      </c>
      <c r="AB335" s="3264">
        <v>13</v>
      </c>
      <c r="AC335" s="3262">
        <v>13</v>
      </c>
      <c r="AD335" s="3262">
        <v>13</v>
      </c>
      <c r="AE335" s="3282">
        <v>14</v>
      </c>
      <c r="AF335" s="2236">
        <f t="shared" si="57"/>
        <v>13.4</v>
      </c>
      <c r="AG335" s="1396"/>
      <c r="DG335" s="573"/>
      <c r="DH335" s="188"/>
      <c r="DI335" s="1091"/>
      <c r="DJ335" s="1187"/>
    </row>
    <row r="336" spans="1:114" outlineLevel="1">
      <c r="A336" s="453"/>
      <c r="C336" s="51"/>
      <c r="D336" s="4294"/>
      <c r="E336" s="4293"/>
      <c r="F336" s="4292" t="s">
        <v>1829</v>
      </c>
      <c r="G336" s="4292"/>
      <c r="H336" s="4292"/>
      <c r="I336" s="3262" t="str">
        <f t="shared" si="58"/>
        <v>350951_2024_12_</v>
      </c>
      <c r="J336" s="3281">
        <v>13.4</v>
      </c>
      <c r="K336" s="2962"/>
      <c r="L336" s="2425" t="s">
        <v>1941</v>
      </c>
      <c r="M336" s="51"/>
      <c r="N336" s="561"/>
      <c r="O336" s="51"/>
      <c r="S336" s="52"/>
      <c r="T336" s="52"/>
      <c r="U336" s="52"/>
      <c r="V336" s="4293"/>
      <c r="W336" s="3262"/>
      <c r="X336" s="3262"/>
      <c r="Y336" s="3262">
        <v>13</v>
      </c>
      <c r="Z336" s="3262">
        <v>13</v>
      </c>
      <c r="AA336" s="3262">
        <v>13</v>
      </c>
      <c r="AB336" s="3264">
        <v>13</v>
      </c>
      <c r="AC336" s="3262">
        <v>13</v>
      </c>
      <c r="AD336" s="3262">
        <v>13</v>
      </c>
      <c r="AE336" s="3282">
        <v>14</v>
      </c>
      <c r="AF336" s="2236">
        <f t="shared" si="57"/>
        <v>13.4</v>
      </c>
      <c r="AG336" s="1396"/>
      <c r="DG336" s="573"/>
      <c r="DH336" s="188"/>
      <c r="DI336" s="1091"/>
      <c r="DJ336" s="1187"/>
    </row>
    <row r="337" spans="1:114" outlineLevel="1">
      <c r="A337" s="453"/>
      <c r="C337" s="51"/>
      <c r="D337" s="4294"/>
      <c r="E337" s="4293"/>
      <c r="F337" s="4338" t="s">
        <v>1831</v>
      </c>
      <c r="G337" s="4338"/>
      <c r="H337" s="4338"/>
      <c r="I337" s="1396" t="str">
        <f t="shared" si="58"/>
        <v>351000_2024_12_</v>
      </c>
      <c r="J337" s="1791"/>
      <c r="K337" s="1442"/>
      <c r="L337" s="1378"/>
      <c r="M337" s="51"/>
      <c r="N337" s="561"/>
      <c r="O337" s="51"/>
      <c r="S337" s="52"/>
      <c r="T337" s="52"/>
      <c r="U337" s="52"/>
      <c r="V337" s="4293"/>
      <c r="W337" s="1396">
        <v>10</v>
      </c>
      <c r="X337" s="833"/>
      <c r="Y337" s="833"/>
      <c r="Z337" s="833"/>
      <c r="AA337" s="1396"/>
      <c r="AB337" s="951"/>
      <c r="AC337" s="1396"/>
      <c r="AD337" s="1396"/>
      <c r="AE337" s="736"/>
      <c r="AF337" s="271" t="str">
        <f t="shared" si="57"/>
        <v/>
      </c>
      <c r="AG337" s="1396"/>
      <c r="DG337" s="573"/>
      <c r="DH337" s="188"/>
      <c r="DI337" s="1091"/>
      <c r="DJ337" s="1187"/>
    </row>
    <row r="338" spans="1:114" ht="14.65" customHeight="1" outlineLevel="1">
      <c r="A338" s="453"/>
      <c r="C338" s="51"/>
      <c r="D338" s="4294"/>
      <c r="E338" s="4293"/>
      <c r="F338" s="4338" t="s">
        <v>1832</v>
      </c>
      <c r="G338" s="4338"/>
      <c r="H338" s="4338"/>
      <c r="I338" s="1396" t="str">
        <f t="shared" si="58"/>
        <v>351000_2024_12_</v>
      </c>
      <c r="J338" s="1791">
        <v>13.4</v>
      </c>
      <c r="K338" s="1442"/>
      <c r="L338" s="1378" t="s">
        <v>1941</v>
      </c>
      <c r="M338" s="51"/>
      <c r="N338" s="561"/>
      <c r="O338" s="51"/>
      <c r="S338" s="52"/>
      <c r="T338" s="52"/>
      <c r="U338" s="52"/>
      <c r="V338" s="4293"/>
      <c r="W338" s="1396">
        <v>13</v>
      </c>
      <c r="X338" s="1396">
        <v>13</v>
      </c>
      <c r="Y338" s="1396">
        <v>13</v>
      </c>
      <c r="Z338" s="1396">
        <v>13</v>
      </c>
      <c r="AA338" s="1396">
        <v>13</v>
      </c>
      <c r="AB338" s="951">
        <v>13</v>
      </c>
      <c r="AC338" s="1396">
        <v>13</v>
      </c>
      <c r="AD338" s="1396">
        <v>13</v>
      </c>
      <c r="AE338" s="736">
        <v>14</v>
      </c>
      <c r="AF338" s="271">
        <f t="shared" si="57"/>
        <v>13.4</v>
      </c>
      <c r="AG338" s="1396"/>
      <c r="DG338" s="573"/>
      <c r="DH338" s="188"/>
      <c r="DI338" s="1091"/>
      <c r="DJ338" s="1187"/>
    </row>
    <row r="339" spans="1:114" ht="14.65" customHeight="1" outlineLevel="1">
      <c r="A339" s="453"/>
      <c r="C339" s="51"/>
      <c r="D339" s="4294"/>
      <c r="E339" s="4293"/>
      <c r="F339" s="4338" t="s">
        <v>1834</v>
      </c>
      <c r="G339" s="4338"/>
      <c r="H339" s="4338"/>
      <c r="I339" s="1396" t="str">
        <f t="shared" si="58"/>
        <v>351050_2024_12_</v>
      </c>
      <c r="J339" s="1791">
        <v>13.4</v>
      </c>
      <c r="K339" s="1442"/>
      <c r="L339" s="1378" t="s">
        <v>1941</v>
      </c>
      <c r="M339" s="51"/>
      <c r="N339" s="561"/>
      <c r="O339" s="51"/>
      <c r="S339" s="52"/>
      <c r="T339" s="52"/>
      <c r="U339" s="52"/>
      <c r="V339" s="4293"/>
      <c r="W339" s="1396">
        <v>13</v>
      </c>
      <c r="X339" s="1396">
        <v>13</v>
      </c>
      <c r="Y339" s="1396">
        <v>13</v>
      </c>
      <c r="Z339" s="1396">
        <v>13</v>
      </c>
      <c r="AA339" s="1396">
        <v>13</v>
      </c>
      <c r="AB339" s="951">
        <v>13</v>
      </c>
      <c r="AC339" s="1396">
        <v>13</v>
      </c>
      <c r="AD339" s="1396">
        <v>13</v>
      </c>
      <c r="AE339" s="736">
        <v>14</v>
      </c>
      <c r="AF339" s="271">
        <f t="shared" si="57"/>
        <v>13.4</v>
      </c>
      <c r="AG339" s="1396"/>
      <c r="DG339" s="573"/>
      <c r="DH339" s="188"/>
      <c r="DI339" s="1091"/>
      <c r="DJ339" s="1187"/>
    </row>
    <row r="340" spans="1:114" ht="14.65" customHeight="1" outlineLevel="1">
      <c r="A340" s="453"/>
      <c r="C340" s="51"/>
      <c r="D340" s="4294"/>
      <c r="E340" s="4293"/>
      <c r="F340" s="4292" t="s">
        <v>1836</v>
      </c>
      <c r="G340" s="4292"/>
      <c r="H340" s="4292"/>
      <c r="I340" s="3262" t="str">
        <f t="shared" si="58"/>
        <v>351100_2024_12_</v>
      </c>
      <c r="J340" s="3281"/>
      <c r="K340" s="2962"/>
      <c r="L340" s="2425"/>
      <c r="M340" s="51"/>
      <c r="N340" s="561"/>
      <c r="O340" s="51"/>
      <c r="S340" s="52"/>
      <c r="T340" s="52"/>
      <c r="U340" s="52"/>
      <c r="V340" s="4293"/>
      <c r="W340" s="3262">
        <v>10</v>
      </c>
      <c r="X340" s="3265"/>
      <c r="Y340" s="3265"/>
      <c r="Z340" s="3265"/>
      <c r="AA340" s="3262"/>
      <c r="AB340" s="3264"/>
      <c r="AC340" s="3262"/>
      <c r="AD340" s="3262"/>
      <c r="AE340" s="3282"/>
      <c r="AF340" s="2236" t="str">
        <f t="shared" si="57"/>
        <v/>
      </c>
      <c r="AG340" s="1396"/>
      <c r="DG340" s="573"/>
      <c r="DH340" s="188"/>
      <c r="DI340" s="1091"/>
      <c r="DJ340" s="1187"/>
    </row>
    <row r="341" spans="1:114" ht="14.65" customHeight="1" outlineLevel="1">
      <c r="A341" s="453"/>
      <c r="C341" s="51"/>
      <c r="D341" s="4294"/>
      <c r="E341" s="4293"/>
      <c r="F341" s="4292" t="s">
        <v>1837</v>
      </c>
      <c r="G341" s="4292"/>
      <c r="H341" s="4292"/>
      <c r="I341" s="3262" t="str">
        <f t="shared" si="58"/>
        <v>351100_2024_12_</v>
      </c>
      <c r="J341" s="3281">
        <v>13.4</v>
      </c>
      <c r="K341" s="2962"/>
      <c r="L341" s="2425" t="s">
        <v>1941</v>
      </c>
      <c r="M341" s="51"/>
      <c r="N341" s="561"/>
      <c r="O341" s="51"/>
      <c r="S341" s="52"/>
      <c r="T341" s="52"/>
      <c r="U341" s="52"/>
      <c r="V341" s="4293"/>
      <c r="W341" s="3262">
        <v>13</v>
      </c>
      <c r="X341" s="3262">
        <v>13</v>
      </c>
      <c r="Y341" s="3262">
        <v>13</v>
      </c>
      <c r="Z341" s="3262">
        <v>13</v>
      </c>
      <c r="AA341" s="3262">
        <v>13</v>
      </c>
      <c r="AB341" s="3264">
        <v>13</v>
      </c>
      <c r="AC341" s="3262">
        <v>13</v>
      </c>
      <c r="AD341" s="3262">
        <v>13</v>
      </c>
      <c r="AE341" s="3282">
        <v>14</v>
      </c>
      <c r="AF341" s="2236">
        <f t="shared" si="57"/>
        <v>13.4</v>
      </c>
      <c r="AG341" s="1396"/>
      <c r="DG341" s="573"/>
      <c r="DH341" s="188"/>
      <c r="DI341" s="1091"/>
      <c r="DJ341" s="1187"/>
    </row>
    <row r="342" spans="1:114" ht="14.65" customHeight="1" outlineLevel="1">
      <c r="A342" s="453"/>
      <c r="C342" s="51"/>
      <c r="D342" s="4294"/>
      <c r="E342" s="4293"/>
      <c r="F342" s="4292" t="s">
        <v>1839</v>
      </c>
      <c r="G342" s="4292"/>
      <c r="H342" s="4292"/>
      <c r="I342" s="3262" t="str">
        <f t="shared" si="58"/>
        <v>351101_2024_12_</v>
      </c>
      <c r="J342" s="3281"/>
      <c r="K342" s="2962"/>
      <c r="L342" s="2425"/>
      <c r="M342" s="51"/>
      <c r="N342" s="561"/>
      <c r="O342" s="51"/>
      <c r="S342" s="52"/>
      <c r="T342" s="52"/>
      <c r="U342" s="52"/>
      <c r="V342" s="4293"/>
      <c r="W342" s="3262"/>
      <c r="X342" s="3262"/>
      <c r="Y342" s="3262"/>
      <c r="Z342" s="3262"/>
      <c r="AA342" s="3262"/>
      <c r="AB342" s="3264"/>
      <c r="AC342" s="3262"/>
      <c r="AD342" s="3262"/>
      <c r="AE342" s="3282"/>
      <c r="AF342" s="2236" t="str">
        <f t="shared" si="57"/>
        <v/>
      </c>
      <c r="AG342" s="1396"/>
      <c r="DG342" s="573"/>
      <c r="DH342" s="188"/>
      <c r="DI342" s="1091"/>
      <c r="DJ342" s="1187"/>
    </row>
    <row r="343" spans="1:114" ht="14.65" customHeight="1" outlineLevel="1">
      <c r="A343" s="453"/>
      <c r="C343" s="51"/>
      <c r="D343" s="4294"/>
      <c r="E343" s="4293"/>
      <c r="F343" s="4292" t="s">
        <v>1840</v>
      </c>
      <c r="G343" s="4292"/>
      <c r="H343" s="4292"/>
      <c r="I343" s="3262" t="str">
        <f t="shared" si="58"/>
        <v>351101_2024_12_</v>
      </c>
      <c r="J343" s="3281">
        <v>13.4</v>
      </c>
      <c r="K343" s="2962"/>
      <c r="L343" s="2425" t="s">
        <v>1941</v>
      </c>
      <c r="M343" s="51"/>
      <c r="N343" s="561"/>
      <c r="O343" s="51"/>
      <c r="S343" s="52"/>
      <c r="T343" s="52"/>
      <c r="U343" s="52"/>
      <c r="V343" s="4293"/>
      <c r="W343" s="3262"/>
      <c r="X343" s="3262"/>
      <c r="Y343" s="3262">
        <v>13</v>
      </c>
      <c r="Z343" s="3262">
        <v>13</v>
      </c>
      <c r="AA343" s="3262">
        <v>13</v>
      </c>
      <c r="AB343" s="3264">
        <v>13</v>
      </c>
      <c r="AC343" s="3262">
        <v>13</v>
      </c>
      <c r="AD343" s="3262">
        <v>13</v>
      </c>
      <c r="AE343" s="3282">
        <v>14</v>
      </c>
      <c r="AF343" s="2236">
        <f t="shared" si="57"/>
        <v>13.4</v>
      </c>
      <c r="AG343" s="1396"/>
      <c r="DG343" s="573"/>
      <c r="DH343" s="188"/>
      <c r="DI343" s="1091"/>
      <c r="DJ343" s="1187"/>
    </row>
    <row r="344" spans="1:114" ht="15" customHeight="1" outlineLevel="1">
      <c r="A344" s="453"/>
      <c r="C344" s="51"/>
      <c r="D344" s="4294"/>
      <c r="E344" s="4293"/>
      <c r="F344" s="4292" t="s">
        <v>1842</v>
      </c>
      <c r="G344" s="4292"/>
      <c r="H344" s="4292"/>
      <c r="I344" s="3262" t="str">
        <f t="shared" si="58"/>
        <v>351150_2024_12_</v>
      </c>
      <c r="J344" s="3281">
        <v>13.4</v>
      </c>
      <c r="K344" s="2962"/>
      <c r="L344" s="2425" t="s">
        <v>1941</v>
      </c>
      <c r="M344" s="51"/>
      <c r="N344" s="561"/>
      <c r="O344" s="51"/>
      <c r="S344" s="52"/>
      <c r="T344" s="52"/>
      <c r="U344" s="52"/>
      <c r="V344" s="4293"/>
      <c r="W344" s="3262">
        <v>13</v>
      </c>
      <c r="X344" s="3262">
        <v>13</v>
      </c>
      <c r="Y344" s="3262">
        <v>13</v>
      </c>
      <c r="Z344" s="3262">
        <v>13</v>
      </c>
      <c r="AA344" s="3262">
        <v>13</v>
      </c>
      <c r="AB344" s="3264">
        <v>13</v>
      </c>
      <c r="AC344" s="3262">
        <v>13</v>
      </c>
      <c r="AD344" s="3262">
        <v>13</v>
      </c>
      <c r="AE344" s="3282">
        <v>14</v>
      </c>
      <c r="AF344" s="2236">
        <f t="shared" si="57"/>
        <v>13.4</v>
      </c>
      <c r="AG344" s="1396"/>
      <c r="DG344" s="573"/>
      <c r="DH344" s="188"/>
      <c r="DI344" s="1091"/>
      <c r="DJ344" s="1187"/>
    </row>
    <row r="345" spans="1:114" ht="15" customHeight="1" outlineLevel="1">
      <c r="A345" s="453"/>
      <c r="C345" s="51"/>
      <c r="D345" s="4198"/>
      <c r="E345" s="4199"/>
      <c r="F345" s="4292" t="s">
        <v>1844</v>
      </c>
      <c r="G345" s="4292"/>
      <c r="H345" s="4292"/>
      <c r="I345" s="3262" t="str">
        <f t="shared" si="58"/>
        <v>351151_2024_12_</v>
      </c>
      <c r="J345" s="3281">
        <v>13.4</v>
      </c>
      <c r="K345" s="2962"/>
      <c r="L345" s="2425" t="s">
        <v>1941</v>
      </c>
      <c r="M345" s="51"/>
      <c r="N345" s="561"/>
      <c r="O345" s="51"/>
      <c r="S345" s="52"/>
      <c r="T345" s="52"/>
      <c r="U345" s="52"/>
      <c r="V345" s="4199"/>
      <c r="W345" s="3262"/>
      <c r="X345" s="3262"/>
      <c r="Y345" s="3262">
        <v>13</v>
      </c>
      <c r="Z345" s="3262">
        <v>13</v>
      </c>
      <c r="AA345" s="3262">
        <v>13</v>
      </c>
      <c r="AB345" s="3264">
        <v>13</v>
      </c>
      <c r="AC345" s="3262">
        <v>13</v>
      </c>
      <c r="AD345" s="3262">
        <v>13</v>
      </c>
      <c r="AE345" s="3282">
        <v>14</v>
      </c>
      <c r="AF345" s="2236">
        <f t="shared" si="57"/>
        <v>13.4</v>
      </c>
      <c r="AG345" s="1396"/>
      <c r="DG345" s="573"/>
      <c r="DH345" s="188"/>
      <c r="DI345" s="1091"/>
      <c r="DJ345" s="1187"/>
    </row>
    <row r="346" spans="1:114" ht="14.65" customHeight="1" outlineLevel="1">
      <c r="A346" s="453"/>
      <c r="C346" s="51"/>
      <c r="D346" s="4198"/>
      <c r="E346" s="4199"/>
      <c r="F346" s="4338" t="s">
        <v>1846</v>
      </c>
      <c r="G346" s="4338"/>
      <c r="H346" s="4338"/>
      <c r="I346" s="1396" t="str">
        <f t="shared" si="58"/>
        <v>351160_2024_12_</v>
      </c>
      <c r="J346" s="1791"/>
      <c r="K346" s="1442"/>
      <c r="L346" s="1378"/>
      <c r="M346" s="563"/>
      <c r="N346" s="561"/>
      <c r="S346" s="52"/>
      <c r="T346" s="52"/>
      <c r="U346" s="52"/>
      <c r="V346" s="4199"/>
      <c r="W346" s="1396"/>
      <c r="X346" s="833"/>
      <c r="Y346" s="833"/>
      <c r="Z346" s="833"/>
      <c r="AA346" s="1396"/>
      <c r="AB346" s="951"/>
      <c r="AC346" s="1396"/>
      <c r="AD346" s="1396"/>
      <c r="AE346" s="736"/>
      <c r="AF346" s="271" t="str">
        <f t="shared" si="57"/>
        <v/>
      </c>
      <c r="AG346" s="1396"/>
      <c r="DG346" s="573"/>
      <c r="DH346" s="188"/>
      <c r="DI346" s="1091"/>
      <c r="DJ346" s="1187"/>
    </row>
    <row r="347" spans="1:114" ht="14.65" customHeight="1" outlineLevel="1">
      <c r="A347" s="453"/>
      <c r="C347" s="51"/>
      <c r="D347" s="4198"/>
      <c r="E347" s="4199"/>
      <c r="F347" s="4338" t="s">
        <v>1847</v>
      </c>
      <c r="G347" s="4338"/>
      <c r="H347" s="4338"/>
      <c r="I347" s="1396" t="str">
        <f t="shared" si="58"/>
        <v>351160_2024_12_</v>
      </c>
      <c r="J347" s="1791">
        <v>13.4</v>
      </c>
      <c r="K347" s="1442"/>
      <c r="L347" s="1378" t="s">
        <v>1941</v>
      </c>
      <c r="M347" s="563"/>
      <c r="N347" s="561"/>
      <c r="S347" s="52"/>
      <c r="T347" s="52"/>
      <c r="U347" s="52"/>
      <c r="V347" s="4199"/>
      <c r="W347" s="1396"/>
      <c r="X347" s="1396"/>
      <c r="Y347" s="1396"/>
      <c r="Z347" s="833">
        <v>13</v>
      </c>
      <c r="AA347" s="1396">
        <v>13</v>
      </c>
      <c r="AB347" s="951">
        <v>13</v>
      </c>
      <c r="AC347" s="1396">
        <v>13</v>
      </c>
      <c r="AD347" s="1396">
        <v>13</v>
      </c>
      <c r="AE347" s="736">
        <v>14</v>
      </c>
      <c r="AF347" s="271">
        <f t="shared" si="57"/>
        <v>13.4</v>
      </c>
      <c r="AG347" s="1396"/>
      <c r="DG347" s="573"/>
      <c r="DH347" s="188"/>
      <c r="DI347" s="1091"/>
      <c r="DJ347" s="1187"/>
    </row>
    <row r="348" spans="1:114" ht="14.65" customHeight="1" outlineLevel="1">
      <c r="A348" s="453"/>
      <c r="C348" s="51"/>
      <c r="D348" s="4198"/>
      <c r="E348" s="4199"/>
      <c r="F348" s="4338" t="s">
        <v>1849</v>
      </c>
      <c r="G348" s="4338"/>
      <c r="H348" s="4338"/>
      <c r="I348" s="1396" t="str">
        <f t="shared" si="58"/>
        <v>351161_2024_12_</v>
      </c>
      <c r="J348" s="1791">
        <v>13.4</v>
      </c>
      <c r="K348" s="1442"/>
      <c r="L348" s="1378" t="s">
        <v>1941</v>
      </c>
      <c r="M348" s="51"/>
      <c r="N348" s="561"/>
      <c r="O348" s="51"/>
      <c r="S348" s="52"/>
      <c r="T348" s="52"/>
      <c r="U348" s="52"/>
      <c r="V348" s="4199"/>
      <c r="W348" s="1396"/>
      <c r="X348" s="1396"/>
      <c r="Y348" s="1396"/>
      <c r="Z348" s="833">
        <v>13</v>
      </c>
      <c r="AA348" s="1396">
        <v>13</v>
      </c>
      <c r="AB348" s="951">
        <v>13</v>
      </c>
      <c r="AC348" s="1396">
        <v>13</v>
      </c>
      <c r="AD348" s="1396">
        <v>13</v>
      </c>
      <c r="AE348" s="736">
        <v>14</v>
      </c>
      <c r="AF348" s="271">
        <f t="shared" si="57"/>
        <v>13.4</v>
      </c>
      <c r="AG348" s="1396"/>
      <c r="DG348" s="573"/>
      <c r="DH348" s="188"/>
      <c r="DI348" s="1091"/>
      <c r="DJ348" s="1187"/>
    </row>
    <row r="349" spans="1:114" outlineLevel="1">
      <c r="A349" s="453"/>
      <c r="C349" s="51"/>
      <c r="D349" s="4198"/>
      <c r="E349" s="4199"/>
      <c r="F349" s="4292" t="s">
        <v>1851</v>
      </c>
      <c r="G349" s="4292"/>
      <c r="H349" s="4292"/>
      <c r="I349" s="3262" t="str">
        <f t="shared" si="58"/>
        <v>351162_2024_12_</v>
      </c>
      <c r="J349" s="3281"/>
      <c r="K349" s="2962"/>
      <c r="L349" s="2425"/>
      <c r="M349" s="51"/>
      <c r="N349" s="561"/>
      <c r="O349" s="51"/>
      <c r="S349" s="52"/>
      <c r="T349" s="52"/>
      <c r="U349" s="52"/>
      <c r="V349" s="4199"/>
      <c r="W349" s="1396"/>
      <c r="X349" s="833"/>
      <c r="Y349" s="833"/>
      <c r="Z349" s="3265"/>
      <c r="AA349" s="3262"/>
      <c r="AB349" s="3264"/>
      <c r="AC349" s="3262"/>
      <c r="AD349" s="3262"/>
      <c r="AE349" s="3282"/>
      <c r="AF349" s="2236" t="str">
        <f t="shared" si="57"/>
        <v/>
      </c>
      <c r="AG349" s="1396"/>
      <c r="DG349" s="573"/>
      <c r="DH349" s="188"/>
      <c r="DI349" s="1091"/>
      <c r="DJ349" s="1187"/>
    </row>
    <row r="350" spans="1:114" outlineLevel="1">
      <c r="A350" s="453"/>
      <c r="C350" s="51"/>
      <c r="D350" s="4198"/>
      <c r="E350" s="4199"/>
      <c r="F350" s="4292" t="s">
        <v>1852</v>
      </c>
      <c r="G350" s="4292"/>
      <c r="H350" s="4292"/>
      <c r="I350" s="3262" t="str">
        <f t="shared" si="58"/>
        <v>351162_2024_12_</v>
      </c>
      <c r="J350" s="3281">
        <v>13.4</v>
      </c>
      <c r="K350" s="2962"/>
      <c r="L350" s="2425" t="s">
        <v>1941</v>
      </c>
      <c r="M350" s="51"/>
      <c r="N350" s="561"/>
      <c r="O350" s="51"/>
      <c r="S350" s="52"/>
      <c r="T350" s="52"/>
      <c r="U350" s="52"/>
      <c r="V350" s="4199"/>
      <c r="W350" s="1396"/>
      <c r="X350" s="1396"/>
      <c r="Y350" s="1396"/>
      <c r="Z350" s="3265">
        <v>13</v>
      </c>
      <c r="AA350" s="3262">
        <v>13</v>
      </c>
      <c r="AB350" s="3264">
        <v>13</v>
      </c>
      <c r="AC350" s="3262">
        <v>13</v>
      </c>
      <c r="AD350" s="3262">
        <v>13</v>
      </c>
      <c r="AE350" s="3282">
        <v>14</v>
      </c>
      <c r="AF350" s="2236">
        <f t="shared" si="57"/>
        <v>13.4</v>
      </c>
      <c r="AG350" s="1396"/>
      <c r="DG350" s="573"/>
      <c r="DH350" s="188"/>
      <c r="DI350" s="1091"/>
      <c r="DJ350" s="1187"/>
    </row>
    <row r="351" spans="1:114" outlineLevel="1">
      <c r="A351" s="453"/>
      <c r="C351" s="51"/>
      <c r="D351" s="4198"/>
      <c r="E351" s="4199"/>
      <c r="F351" s="4292" t="s">
        <v>1854</v>
      </c>
      <c r="G351" s="4292"/>
      <c r="H351" s="4292"/>
      <c r="I351" s="3262" t="str">
        <f t="shared" si="58"/>
        <v>351163_2024_12_</v>
      </c>
      <c r="J351" s="3281"/>
      <c r="K351" s="2962"/>
      <c r="L351" s="2425"/>
      <c r="M351" s="51"/>
      <c r="N351" s="561"/>
      <c r="O351" s="51"/>
      <c r="S351" s="52"/>
      <c r="T351" s="52"/>
      <c r="U351" s="52"/>
      <c r="V351" s="4199"/>
      <c r="W351" s="1396"/>
      <c r="X351" s="1396"/>
      <c r="Y351" s="1396"/>
      <c r="Z351" s="3265"/>
      <c r="AA351" s="3262"/>
      <c r="AB351" s="3264"/>
      <c r="AC351" s="3262"/>
      <c r="AD351" s="3262"/>
      <c r="AE351" s="3282"/>
      <c r="AF351" s="2236" t="str">
        <f t="shared" si="57"/>
        <v/>
      </c>
      <c r="AG351" s="1396"/>
      <c r="DG351" s="573"/>
      <c r="DH351" s="188"/>
      <c r="DI351" s="1091"/>
      <c r="DJ351" s="1187"/>
    </row>
    <row r="352" spans="1:114" outlineLevel="1">
      <c r="A352" s="453"/>
      <c r="C352" s="51"/>
      <c r="D352" s="4198"/>
      <c r="E352" s="4199"/>
      <c r="F352" s="4292" t="s">
        <v>1855</v>
      </c>
      <c r="G352" s="4292"/>
      <c r="H352" s="4292"/>
      <c r="I352" s="3262" t="str">
        <f t="shared" si="58"/>
        <v>351163_2024_12_</v>
      </c>
      <c r="J352" s="3281">
        <v>13.4</v>
      </c>
      <c r="K352" s="2962"/>
      <c r="L352" s="2425" t="s">
        <v>1941</v>
      </c>
      <c r="M352" s="51"/>
      <c r="N352" s="561"/>
      <c r="O352" s="51"/>
      <c r="S352" s="52"/>
      <c r="T352" s="52"/>
      <c r="U352" s="52"/>
      <c r="V352" s="4199"/>
      <c r="W352" s="1396"/>
      <c r="X352" s="1396"/>
      <c r="Y352" s="1396"/>
      <c r="Z352" s="3265">
        <v>13</v>
      </c>
      <c r="AA352" s="3262">
        <v>13</v>
      </c>
      <c r="AB352" s="3264">
        <v>13</v>
      </c>
      <c r="AC352" s="3262">
        <v>13</v>
      </c>
      <c r="AD352" s="3262">
        <v>13</v>
      </c>
      <c r="AE352" s="3282">
        <v>14</v>
      </c>
      <c r="AF352" s="2236">
        <f t="shared" si="57"/>
        <v>13.4</v>
      </c>
      <c r="AG352" s="1396"/>
      <c r="DG352" s="573"/>
      <c r="DH352" s="188"/>
      <c r="DI352" s="1091"/>
      <c r="DJ352" s="1187"/>
    </row>
    <row r="353" spans="1:114" outlineLevel="1">
      <c r="A353" s="453"/>
      <c r="C353" s="51"/>
      <c r="D353" s="4198"/>
      <c r="E353" s="4199"/>
      <c r="F353" s="4292" t="s">
        <v>1857</v>
      </c>
      <c r="G353" s="4292"/>
      <c r="H353" s="4292"/>
      <c r="I353" s="3262" t="str">
        <f t="shared" si="58"/>
        <v>351164_2024_12_</v>
      </c>
      <c r="J353" s="3281">
        <v>13.4</v>
      </c>
      <c r="K353" s="2962"/>
      <c r="L353" s="2425" t="s">
        <v>1941</v>
      </c>
      <c r="M353" s="51"/>
      <c r="N353" s="561"/>
      <c r="O353" s="51"/>
      <c r="S353" s="52"/>
      <c r="T353" s="52"/>
      <c r="U353" s="52"/>
      <c r="V353" s="4199"/>
      <c r="W353" s="1396"/>
      <c r="X353" s="1396"/>
      <c r="Y353" s="1396"/>
      <c r="Z353" s="3265">
        <v>13</v>
      </c>
      <c r="AA353" s="3262">
        <v>13</v>
      </c>
      <c r="AB353" s="3264">
        <v>13</v>
      </c>
      <c r="AC353" s="3262">
        <v>13</v>
      </c>
      <c r="AD353" s="3262">
        <v>13</v>
      </c>
      <c r="AE353" s="3282">
        <v>14</v>
      </c>
      <c r="AF353" s="2236">
        <f t="shared" si="57"/>
        <v>13.4</v>
      </c>
      <c r="AG353" s="1396"/>
      <c r="DG353" s="573"/>
      <c r="DH353" s="188"/>
      <c r="DI353" s="1091"/>
      <c r="DJ353" s="1187"/>
    </row>
    <row r="354" spans="1:114" outlineLevel="1">
      <c r="A354" s="453"/>
      <c r="C354" s="51"/>
      <c r="D354" s="4198"/>
      <c r="E354" s="4199"/>
      <c r="F354" s="4292" t="s">
        <v>1859</v>
      </c>
      <c r="G354" s="4292"/>
      <c r="H354" s="4292"/>
      <c r="I354" s="3262" t="str">
        <f t="shared" si="58"/>
        <v>351165_2024_12_</v>
      </c>
      <c r="J354" s="3281">
        <v>13.4</v>
      </c>
      <c r="K354" s="2962"/>
      <c r="L354" s="2425" t="s">
        <v>1941</v>
      </c>
      <c r="M354" s="51"/>
      <c r="N354" s="561"/>
      <c r="O354" s="51"/>
      <c r="S354" s="52"/>
      <c r="T354" s="52"/>
      <c r="U354" s="52"/>
      <c r="V354" s="4199"/>
      <c r="W354" s="1396"/>
      <c r="X354" s="1396"/>
      <c r="Y354" s="1396"/>
      <c r="Z354" s="3265">
        <v>13</v>
      </c>
      <c r="AA354" s="3262">
        <v>13</v>
      </c>
      <c r="AB354" s="3264">
        <v>13</v>
      </c>
      <c r="AC354" s="3262">
        <v>13</v>
      </c>
      <c r="AD354" s="3262">
        <v>13</v>
      </c>
      <c r="AE354" s="3282">
        <v>14</v>
      </c>
      <c r="AF354" s="2236">
        <f t="shared" si="57"/>
        <v>13.4</v>
      </c>
      <c r="AG354" s="1396"/>
      <c r="DG354" s="573"/>
      <c r="DH354" s="188"/>
      <c r="DI354" s="1091"/>
      <c r="DJ354" s="1187"/>
    </row>
    <row r="355" spans="1:114" outlineLevel="1">
      <c r="A355" s="453"/>
      <c r="C355" s="51"/>
      <c r="D355" s="4198"/>
      <c r="E355" s="4199"/>
      <c r="F355" s="4338" t="s">
        <v>1861</v>
      </c>
      <c r="G355" s="4338"/>
      <c r="H355" s="4338"/>
      <c r="I355" s="1396" t="str">
        <f t="shared" si="58"/>
        <v>351170_2024_12_</v>
      </c>
      <c r="J355" s="1791"/>
      <c r="K355" s="1442"/>
      <c r="L355" s="1378"/>
      <c r="M355" s="51"/>
      <c r="N355" s="561"/>
      <c r="O355" s="51"/>
      <c r="S355" s="52"/>
      <c r="T355" s="52"/>
      <c r="U355" s="52"/>
      <c r="V355" s="4199"/>
      <c r="W355" s="1396"/>
      <c r="X355" s="833"/>
      <c r="Y355" s="833"/>
      <c r="Z355" s="833"/>
      <c r="AA355" s="1396"/>
      <c r="AB355" s="951"/>
      <c r="AC355" s="1396"/>
      <c r="AD355" s="1396"/>
      <c r="AE355" s="736"/>
      <c r="AF355" s="271" t="str">
        <f t="shared" si="57"/>
        <v/>
      </c>
      <c r="AG355" s="1396"/>
      <c r="DG355" s="573"/>
      <c r="DH355" s="188"/>
      <c r="DI355" s="1091"/>
      <c r="DJ355" s="1187"/>
    </row>
    <row r="356" spans="1:114" outlineLevel="1">
      <c r="A356" s="453"/>
      <c r="C356" s="51"/>
      <c r="D356" s="4198"/>
      <c r="E356" s="4199"/>
      <c r="F356" s="4338" t="s">
        <v>1862</v>
      </c>
      <c r="G356" s="4338"/>
      <c r="H356" s="4338"/>
      <c r="I356" s="1396" t="str">
        <f t="shared" si="58"/>
        <v>351170_2024_12_</v>
      </c>
      <c r="J356" s="1791">
        <v>13.4</v>
      </c>
      <c r="K356" s="1442"/>
      <c r="L356" s="1378" t="s">
        <v>1941</v>
      </c>
      <c r="M356" s="51"/>
      <c r="N356" s="561"/>
      <c r="O356" s="51"/>
      <c r="S356" s="52"/>
      <c r="T356" s="52"/>
      <c r="U356" s="52"/>
      <c r="V356" s="4199"/>
      <c r="W356" s="1396"/>
      <c r="X356" s="1396"/>
      <c r="Y356" s="1396"/>
      <c r="Z356" s="833">
        <v>13</v>
      </c>
      <c r="AA356" s="1396">
        <v>13</v>
      </c>
      <c r="AB356" s="951">
        <v>13</v>
      </c>
      <c r="AC356" s="1396">
        <v>13</v>
      </c>
      <c r="AD356" s="1396">
        <v>13</v>
      </c>
      <c r="AE356" s="736">
        <v>14</v>
      </c>
      <c r="AF356" s="271">
        <f t="shared" si="57"/>
        <v>13.4</v>
      </c>
      <c r="AG356" s="1396"/>
      <c r="DG356" s="573"/>
      <c r="DH356" s="188"/>
      <c r="DI356" s="1091"/>
      <c r="DJ356" s="1187"/>
    </row>
    <row r="357" spans="1:114" outlineLevel="1">
      <c r="A357" s="453"/>
      <c r="C357" s="51"/>
      <c r="D357" s="4198"/>
      <c r="E357" s="4199"/>
      <c r="F357" s="4338" t="s">
        <v>1864</v>
      </c>
      <c r="G357" s="4338"/>
      <c r="H357" s="4338"/>
      <c r="I357" s="1396" t="str">
        <f t="shared" si="58"/>
        <v>351171_2024_12_</v>
      </c>
      <c r="J357" s="1791">
        <v>13.4</v>
      </c>
      <c r="K357" s="1442"/>
      <c r="L357" s="1378" t="s">
        <v>1941</v>
      </c>
      <c r="M357" s="51"/>
      <c r="N357" s="561"/>
      <c r="O357" s="51"/>
      <c r="S357" s="52"/>
      <c r="T357" s="52"/>
      <c r="U357" s="52"/>
      <c r="V357" s="4199"/>
      <c r="W357" s="1396"/>
      <c r="X357" s="1396"/>
      <c r="Y357" s="1396"/>
      <c r="Z357" s="833">
        <v>13</v>
      </c>
      <c r="AA357" s="1396">
        <v>13</v>
      </c>
      <c r="AB357" s="951">
        <v>13</v>
      </c>
      <c r="AC357" s="1396">
        <v>13</v>
      </c>
      <c r="AD357" s="1396">
        <v>13</v>
      </c>
      <c r="AE357" s="736">
        <v>14</v>
      </c>
      <c r="AF357" s="271">
        <f t="shared" si="57"/>
        <v>13.4</v>
      </c>
      <c r="AG357" s="1396"/>
      <c r="DG357" s="573"/>
      <c r="DH357" s="188"/>
      <c r="DI357" s="1091"/>
      <c r="DJ357" s="1187"/>
    </row>
    <row r="358" spans="1:114" outlineLevel="1">
      <c r="A358" s="453"/>
      <c r="C358" s="51"/>
      <c r="D358" s="4198"/>
      <c r="E358" s="4199"/>
      <c r="F358" s="4292" t="s">
        <v>1866</v>
      </c>
      <c r="G358" s="4292"/>
      <c r="H358" s="4292"/>
      <c r="I358" s="3262" t="str">
        <f t="shared" si="58"/>
        <v>351172_2024_12_</v>
      </c>
      <c r="J358" s="3281"/>
      <c r="K358" s="2962"/>
      <c r="L358" s="2425"/>
      <c r="M358" s="51"/>
      <c r="N358" s="561"/>
      <c r="O358" s="51"/>
      <c r="S358" s="52"/>
      <c r="T358" s="52"/>
      <c r="U358" s="52"/>
      <c r="V358" s="4199"/>
      <c r="W358" s="1396"/>
      <c r="X358" s="833"/>
      <c r="Y358" s="833"/>
      <c r="Z358" s="3265"/>
      <c r="AA358" s="3262"/>
      <c r="AB358" s="3264"/>
      <c r="AC358" s="3262"/>
      <c r="AD358" s="3262"/>
      <c r="AE358" s="3282"/>
      <c r="AF358" s="2236" t="str">
        <f t="shared" ref="AF358:AF421" si="60">IF(J358&lt;&gt;"",J358,"")</f>
        <v/>
      </c>
      <c r="AG358" s="1396"/>
      <c r="DG358" s="573"/>
      <c r="DH358" s="188"/>
      <c r="DI358" s="1091"/>
      <c r="DJ358" s="1187"/>
    </row>
    <row r="359" spans="1:114" outlineLevel="1">
      <c r="A359" s="453"/>
      <c r="C359" s="51"/>
      <c r="D359" s="4198"/>
      <c r="E359" s="4199"/>
      <c r="F359" s="4292" t="s">
        <v>1867</v>
      </c>
      <c r="G359" s="4292"/>
      <c r="H359" s="4292"/>
      <c r="I359" s="3262" t="str">
        <f t="shared" si="58"/>
        <v>351172_2024_12_</v>
      </c>
      <c r="J359" s="3281">
        <v>13.4</v>
      </c>
      <c r="K359" s="2962"/>
      <c r="L359" s="2425" t="s">
        <v>1941</v>
      </c>
      <c r="M359" s="51"/>
      <c r="N359" s="561"/>
      <c r="O359" s="51"/>
      <c r="S359" s="52"/>
      <c r="T359" s="52"/>
      <c r="U359" s="52"/>
      <c r="V359" s="4199"/>
      <c r="W359" s="1396"/>
      <c r="X359" s="1396"/>
      <c r="Y359" s="1396"/>
      <c r="Z359" s="3265">
        <v>13</v>
      </c>
      <c r="AA359" s="3262">
        <v>13</v>
      </c>
      <c r="AB359" s="3264">
        <v>13</v>
      </c>
      <c r="AC359" s="3262">
        <v>13</v>
      </c>
      <c r="AD359" s="3262">
        <v>13</v>
      </c>
      <c r="AE359" s="3282">
        <v>14</v>
      </c>
      <c r="AF359" s="2236">
        <f t="shared" si="60"/>
        <v>13.4</v>
      </c>
      <c r="AG359" s="1396"/>
      <c r="DG359" s="573"/>
      <c r="DH359" s="188"/>
      <c r="DI359" s="1091"/>
      <c r="DJ359" s="1187"/>
    </row>
    <row r="360" spans="1:114" outlineLevel="1">
      <c r="A360" s="453"/>
      <c r="C360" s="51"/>
      <c r="D360" s="4198"/>
      <c r="E360" s="4199"/>
      <c r="F360" s="4292" t="s">
        <v>1869</v>
      </c>
      <c r="G360" s="4292"/>
      <c r="H360" s="4292"/>
      <c r="I360" s="3262" t="str">
        <f t="shared" si="58"/>
        <v>351173_2024_12_</v>
      </c>
      <c r="J360" s="3281"/>
      <c r="K360" s="2962"/>
      <c r="L360" s="2425"/>
      <c r="M360" s="51"/>
      <c r="N360" s="561"/>
      <c r="O360" s="51"/>
      <c r="S360" s="52"/>
      <c r="T360" s="52"/>
      <c r="U360" s="52"/>
      <c r="V360" s="4199"/>
      <c r="W360" s="1396"/>
      <c r="X360" s="1396"/>
      <c r="Y360" s="1396"/>
      <c r="Z360" s="3265"/>
      <c r="AA360" s="3262"/>
      <c r="AB360" s="3264"/>
      <c r="AC360" s="3262"/>
      <c r="AD360" s="3262"/>
      <c r="AE360" s="3282"/>
      <c r="AF360" s="2236" t="str">
        <f t="shared" si="60"/>
        <v/>
      </c>
      <c r="AG360" s="1396"/>
      <c r="DG360" s="573"/>
      <c r="DH360" s="188"/>
      <c r="DI360" s="1091"/>
      <c r="DJ360" s="1187"/>
    </row>
    <row r="361" spans="1:114" outlineLevel="1">
      <c r="A361" s="453"/>
      <c r="C361" s="51"/>
      <c r="D361" s="4198"/>
      <c r="E361" s="4199"/>
      <c r="F361" s="4292" t="s">
        <v>1870</v>
      </c>
      <c r="G361" s="4292"/>
      <c r="H361" s="4292"/>
      <c r="I361" s="3262" t="str">
        <f t="shared" si="58"/>
        <v>351173_2024_12_</v>
      </c>
      <c r="J361" s="3281">
        <v>13.4</v>
      </c>
      <c r="K361" s="2962"/>
      <c r="L361" s="2425" t="s">
        <v>1941</v>
      </c>
      <c r="M361" s="51"/>
      <c r="N361" s="561"/>
      <c r="O361" s="51"/>
      <c r="S361" s="52"/>
      <c r="T361" s="52"/>
      <c r="U361" s="52"/>
      <c r="V361" s="4199"/>
      <c r="W361" s="1396"/>
      <c r="X361" s="1396"/>
      <c r="Y361" s="1396"/>
      <c r="Z361" s="3265">
        <v>13</v>
      </c>
      <c r="AA361" s="3262">
        <v>13</v>
      </c>
      <c r="AB361" s="3264">
        <v>13</v>
      </c>
      <c r="AC361" s="3262">
        <v>13</v>
      </c>
      <c r="AD361" s="3262">
        <v>13</v>
      </c>
      <c r="AE361" s="3282">
        <v>14</v>
      </c>
      <c r="AF361" s="2236">
        <f t="shared" si="60"/>
        <v>13.4</v>
      </c>
      <c r="AG361" s="1396"/>
      <c r="DG361" s="573"/>
      <c r="DH361" s="188"/>
      <c r="DI361" s="1091"/>
      <c r="DJ361" s="1187"/>
    </row>
    <row r="362" spans="1:114" outlineLevel="1">
      <c r="A362" s="453"/>
      <c r="C362" s="51"/>
      <c r="D362" s="4198"/>
      <c r="E362" s="4199"/>
      <c r="F362" s="4292" t="s">
        <v>1872</v>
      </c>
      <c r="G362" s="4292"/>
      <c r="H362" s="4292"/>
      <c r="I362" s="3262" t="str">
        <f t="shared" si="58"/>
        <v>351174_2024_12_</v>
      </c>
      <c r="J362" s="3281">
        <v>13.4</v>
      </c>
      <c r="K362" s="2962"/>
      <c r="L362" s="2425" t="s">
        <v>1941</v>
      </c>
      <c r="M362" s="51"/>
      <c r="N362" s="561"/>
      <c r="O362" s="51"/>
      <c r="S362" s="52"/>
      <c r="T362" s="52"/>
      <c r="U362" s="52"/>
      <c r="V362" s="4199"/>
      <c r="W362" s="1396"/>
      <c r="X362" s="1396"/>
      <c r="Y362" s="1396"/>
      <c r="Z362" s="3265">
        <v>13</v>
      </c>
      <c r="AA362" s="3262">
        <v>13</v>
      </c>
      <c r="AB362" s="3264">
        <v>13</v>
      </c>
      <c r="AC362" s="3262">
        <v>13</v>
      </c>
      <c r="AD362" s="3262">
        <v>13</v>
      </c>
      <c r="AE362" s="3282">
        <v>14</v>
      </c>
      <c r="AF362" s="2236">
        <f t="shared" si="60"/>
        <v>13.4</v>
      </c>
      <c r="AG362" s="1396"/>
      <c r="DG362" s="573"/>
      <c r="DH362" s="188"/>
      <c r="DI362" s="1091"/>
      <c r="DJ362" s="1187"/>
    </row>
    <row r="363" spans="1:114" outlineLevel="1">
      <c r="A363" s="453"/>
      <c r="C363" s="51"/>
      <c r="D363" s="4198"/>
      <c r="E363" s="4199"/>
      <c r="F363" s="4292" t="s">
        <v>1874</v>
      </c>
      <c r="G363" s="4292"/>
      <c r="H363" s="4292"/>
      <c r="I363" s="3262" t="str">
        <f t="shared" si="58"/>
        <v>351175_2024_12_</v>
      </c>
      <c r="J363" s="3281">
        <v>13.4</v>
      </c>
      <c r="K363" s="2962"/>
      <c r="L363" s="2425" t="s">
        <v>1941</v>
      </c>
      <c r="M363" s="51"/>
      <c r="N363" s="561"/>
      <c r="O363" s="51"/>
      <c r="S363" s="52"/>
      <c r="T363" s="52"/>
      <c r="U363" s="52"/>
      <c r="V363" s="4199"/>
      <c r="W363" s="1396"/>
      <c r="X363" s="1396"/>
      <c r="Y363" s="1396"/>
      <c r="Z363" s="3265">
        <v>13</v>
      </c>
      <c r="AA363" s="3262">
        <v>13</v>
      </c>
      <c r="AB363" s="3264">
        <v>13</v>
      </c>
      <c r="AC363" s="3262">
        <v>13</v>
      </c>
      <c r="AD363" s="3262">
        <v>13</v>
      </c>
      <c r="AE363" s="3282">
        <v>14</v>
      </c>
      <c r="AF363" s="2236">
        <f t="shared" si="60"/>
        <v>13.4</v>
      </c>
      <c r="AG363" s="1396"/>
      <c r="DG363" s="573"/>
      <c r="DH363" s="188"/>
      <c r="DI363" s="1091"/>
      <c r="DJ363" s="1187"/>
    </row>
    <row r="364" spans="1:114" outlineLevel="1">
      <c r="A364" s="453"/>
      <c r="C364" s="51"/>
      <c r="D364" s="4198"/>
      <c r="E364" s="4199"/>
      <c r="F364" s="4338" t="s">
        <v>1876</v>
      </c>
      <c r="G364" s="4338"/>
      <c r="H364" s="4338"/>
      <c r="I364" s="1396" t="str">
        <f t="shared" si="58"/>
        <v>351180_2024_12_</v>
      </c>
      <c r="J364" s="1791"/>
      <c r="K364" s="1442"/>
      <c r="L364" s="1378"/>
      <c r="M364" s="51"/>
      <c r="N364" s="561"/>
      <c r="O364" s="51"/>
      <c r="S364" s="52"/>
      <c r="T364" s="52"/>
      <c r="U364" s="52"/>
      <c r="V364" s="4199"/>
      <c r="W364" s="1396"/>
      <c r="X364" s="833"/>
      <c r="Y364" s="833"/>
      <c r="Z364" s="833"/>
      <c r="AA364" s="1396"/>
      <c r="AB364" s="951"/>
      <c r="AC364" s="1396"/>
      <c r="AD364" s="1396"/>
      <c r="AE364" s="736"/>
      <c r="AF364" s="271" t="str">
        <f t="shared" si="60"/>
        <v/>
      </c>
      <c r="AG364" s="1396"/>
      <c r="DG364" s="573"/>
      <c r="DH364" s="188"/>
      <c r="DI364" s="1091"/>
      <c r="DJ364" s="1187"/>
    </row>
    <row r="365" spans="1:114" outlineLevel="1">
      <c r="A365" s="453"/>
      <c r="C365" s="51"/>
      <c r="D365" s="4198"/>
      <c r="E365" s="4199"/>
      <c r="F365" s="4338" t="s">
        <v>1877</v>
      </c>
      <c r="G365" s="4338"/>
      <c r="H365" s="4338"/>
      <c r="I365" s="1396" t="str">
        <f t="shared" si="58"/>
        <v>351180_2024_12_</v>
      </c>
      <c r="J365" s="1791">
        <v>13.4</v>
      </c>
      <c r="K365" s="1442"/>
      <c r="L365" s="1378" t="s">
        <v>1941</v>
      </c>
      <c r="M365" s="51"/>
      <c r="N365" s="561"/>
      <c r="O365" s="51"/>
      <c r="S365" s="52"/>
      <c r="T365" s="52"/>
      <c r="U365" s="52"/>
      <c r="V365" s="4199"/>
      <c r="W365" s="1396"/>
      <c r="X365" s="1396"/>
      <c r="Y365" s="1396"/>
      <c r="Z365" s="833">
        <v>13</v>
      </c>
      <c r="AA365" s="1396">
        <v>13</v>
      </c>
      <c r="AB365" s="951">
        <v>13</v>
      </c>
      <c r="AC365" s="1396">
        <v>13</v>
      </c>
      <c r="AD365" s="1396">
        <v>13</v>
      </c>
      <c r="AE365" s="736">
        <v>14</v>
      </c>
      <c r="AF365" s="271">
        <f t="shared" si="60"/>
        <v>13.4</v>
      </c>
      <c r="AG365" s="1396"/>
      <c r="DG365" s="573"/>
      <c r="DH365" s="188"/>
      <c r="DI365" s="1091"/>
      <c r="DJ365" s="1187"/>
    </row>
    <row r="366" spans="1:114" outlineLevel="1">
      <c r="A366" s="453"/>
      <c r="C366" s="51"/>
      <c r="D366" s="4198"/>
      <c r="E366" s="4199"/>
      <c r="F366" s="4338" t="s">
        <v>1879</v>
      </c>
      <c r="G366" s="4338"/>
      <c r="H366" s="4338"/>
      <c r="I366" s="1396" t="str">
        <f t="shared" ref="I366:I429" si="61">I294</f>
        <v>351181_2024_12_</v>
      </c>
      <c r="J366" s="1791">
        <v>13.4</v>
      </c>
      <c r="K366" s="1442"/>
      <c r="L366" s="1378" t="s">
        <v>1941</v>
      </c>
      <c r="M366" s="51"/>
      <c r="N366" s="561"/>
      <c r="O366" s="51"/>
      <c r="S366" s="52"/>
      <c r="T366" s="52"/>
      <c r="U366" s="52"/>
      <c r="V366" s="4199"/>
      <c r="W366" s="1396"/>
      <c r="X366" s="1396"/>
      <c r="Y366" s="1396"/>
      <c r="Z366" s="833">
        <v>13</v>
      </c>
      <c r="AA366" s="1396">
        <v>13</v>
      </c>
      <c r="AB366" s="951">
        <v>13</v>
      </c>
      <c r="AC366" s="1396">
        <v>13</v>
      </c>
      <c r="AD366" s="1396">
        <v>13</v>
      </c>
      <c r="AE366" s="736">
        <v>14</v>
      </c>
      <c r="AF366" s="271">
        <f t="shared" si="60"/>
        <v>13.4</v>
      </c>
      <c r="AG366" s="1396"/>
      <c r="DG366" s="573"/>
      <c r="DH366" s="188"/>
      <c r="DI366" s="1091"/>
      <c r="DJ366" s="1187"/>
    </row>
    <row r="367" spans="1:114" outlineLevel="1">
      <c r="A367" s="453"/>
      <c r="C367" s="51"/>
      <c r="D367" s="4198"/>
      <c r="E367" s="4199"/>
      <c r="F367" s="4292" t="s">
        <v>1881</v>
      </c>
      <c r="G367" s="4292"/>
      <c r="H367" s="4292"/>
      <c r="I367" s="3262" t="str">
        <f t="shared" si="61"/>
        <v>351182_2024_12_</v>
      </c>
      <c r="J367" s="3281"/>
      <c r="K367" s="2962"/>
      <c r="L367" s="2425"/>
      <c r="M367" s="51"/>
      <c r="N367" s="561"/>
      <c r="O367" s="51"/>
      <c r="S367" s="52"/>
      <c r="T367" s="52"/>
      <c r="U367" s="52"/>
      <c r="V367" s="4199"/>
      <c r="W367" s="1396"/>
      <c r="X367" s="833"/>
      <c r="Y367" s="833"/>
      <c r="Z367" s="3265"/>
      <c r="AA367" s="3262"/>
      <c r="AB367" s="3264"/>
      <c r="AC367" s="3262"/>
      <c r="AD367" s="3262"/>
      <c r="AE367" s="3282"/>
      <c r="AF367" s="2236" t="str">
        <f t="shared" si="60"/>
        <v/>
      </c>
      <c r="AG367" s="1396"/>
      <c r="DG367" s="573"/>
      <c r="DH367" s="188"/>
      <c r="DI367" s="1091"/>
      <c r="DJ367" s="1187"/>
    </row>
    <row r="368" spans="1:114" outlineLevel="1">
      <c r="A368" s="453"/>
      <c r="C368" s="51"/>
      <c r="D368" s="4198"/>
      <c r="E368" s="4199"/>
      <c r="F368" s="4292" t="s">
        <v>1882</v>
      </c>
      <c r="G368" s="4292"/>
      <c r="H368" s="4292"/>
      <c r="I368" s="3262" t="str">
        <f t="shared" si="61"/>
        <v>351182_2024_12_</v>
      </c>
      <c r="J368" s="3281">
        <v>13.4</v>
      </c>
      <c r="K368" s="2962"/>
      <c r="L368" s="2425" t="s">
        <v>1941</v>
      </c>
      <c r="M368" s="51"/>
      <c r="N368" s="561"/>
      <c r="O368" s="51"/>
      <c r="S368" s="52"/>
      <c r="T368" s="52"/>
      <c r="U368" s="52"/>
      <c r="V368" s="4199"/>
      <c r="W368" s="1396"/>
      <c r="X368" s="1396"/>
      <c r="Y368" s="1396"/>
      <c r="Z368" s="3265">
        <v>13</v>
      </c>
      <c r="AA368" s="3262">
        <v>13</v>
      </c>
      <c r="AB368" s="3264">
        <v>13</v>
      </c>
      <c r="AC368" s="3262">
        <v>13</v>
      </c>
      <c r="AD368" s="3262">
        <v>13</v>
      </c>
      <c r="AE368" s="3282">
        <v>14</v>
      </c>
      <c r="AF368" s="2236">
        <f t="shared" si="60"/>
        <v>13.4</v>
      </c>
      <c r="AG368" s="1396"/>
      <c r="DG368" s="573"/>
      <c r="DH368" s="188"/>
      <c r="DI368" s="1091"/>
      <c r="DJ368" s="1187"/>
    </row>
    <row r="369" spans="1:114" outlineLevel="1">
      <c r="A369" s="453"/>
      <c r="C369" s="51"/>
      <c r="D369" s="4198"/>
      <c r="E369" s="4199"/>
      <c r="F369" s="4292" t="s">
        <v>1884</v>
      </c>
      <c r="G369" s="4292"/>
      <c r="H369" s="4292"/>
      <c r="I369" s="3262" t="str">
        <f t="shared" si="61"/>
        <v>351183_2024_12_</v>
      </c>
      <c r="J369" s="3281"/>
      <c r="K369" s="2962"/>
      <c r="L369" s="2425"/>
      <c r="M369" s="51"/>
      <c r="N369" s="561"/>
      <c r="O369" s="51"/>
      <c r="S369" s="52"/>
      <c r="T369" s="52"/>
      <c r="U369" s="52"/>
      <c r="V369" s="4199"/>
      <c r="W369" s="1396"/>
      <c r="X369" s="1396"/>
      <c r="Y369" s="1396"/>
      <c r="Z369" s="3265"/>
      <c r="AA369" s="3262"/>
      <c r="AB369" s="3264"/>
      <c r="AC369" s="3262"/>
      <c r="AD369" s="3262"/>
      <c r="AE369" s="3282"/>
      <c r="AF369" s="2236" t="str">
        <f t="shared" si="60"/>
        <v/>
      </c>
      <c r="AG369" s="1396"/>
      <c r="DG369" s="573"/>
      <c r="DH369" s="188"/>
      <c r="DI369" s="1091"/>
      <c r="DJ369" s="1187"/>
    </row>
    <row r="370" spans="1:114" outlineLevel="1">
      <c r="A370" s="453"/>
      <c r="C370" s="51"/>
      <c r="D370" s="4198"/>
      <c r="E370" s="4199"/>
      <c r="F370" s="4292" t="s">
        <v>1885</v>
      </c>
      <c r="G370" s="4292"/>
      <c r="H370" s="4292"/>
      <c r="I370" s="3262" t="str">
        <f t="shared" si="61"/>
        <v>351183_2024_12_</v>
      </c>
      <c r="J370" s="3281">
        <v>13.4</v>
      </c>
      <c r="K370" s="2962"/>
      <c r="L370" s="2425" t="s">
        <v>1941</v>
      </c>
      <c r="M370" s="51"/>
      <c r="N370" s="561"/>
      <c r="O370" s="51"/>
      <c r="S370" s="52"/>
      <c r="T370" s="52"/>
      <c r="U370" s="52"/>
      <c r="V370" s="4199"/>
      <c r="W370" s="1396"/>
      <c r="X370" s="1396"/>
      <c r="Y370" s="1396"/>
      <c r="Z370" s="3265">
        <v>13</v>
      </c>
      <c r="AA370" s="3262">
        <v>13</v>
      </c>
      <c r="AB370" s="3264">
        <v>13</v>
      </c>
      <c r="AC370" s="3262">
        <v>13</v>
      </c>
      <c r="AD370" s="3262">
        <v>13</v>
      </c>
      <c r="AE370" s="3282">
        <v>14</v>
      </c>
      <c r="AF370" s="2236">
        <f t="shared" si="60"/>
        <v>13.4</v>
      </c>
      <c r="AG370" s="1396"/>
      <c r="DG370" s="573"/>
      <c r="DH370" s="188"/>
      <c r="DI370" s="1091"/>
      <c r="DJ370" s="1187"/>
    </row>
    <row r="371" spans="1:114" outlineLevel="1">
      <c r="A371" s="453"/>
      <c r="C371" s="51"/>
      <c r="D371" s="4198"/>
      <c r="E371" s="4199"/>
      <c r="F371" s="4292" t="s">
        <v>1887</v>
      </c>
      <c r="G371" s="4292"/>
      <c r="H371" s="4292"/>
      <c r="I371" s="3262" t="str">
        <f t="shared" si="61"/>
        <v>351184_2024_12_</v>
      </c>
      <c r="J371" s="3281">
        <v>13.4</v>
      </c>
      <c r="K371" s="2962"/>
      <c r="L371" s="2425" t="s">
        <v>1941</v>
      </c>
      <c r="M371" s="51"/>
      <c r="N371" s="561"/>
      <c r="O371" s="51"/>
      <c r="S371" s="52"/>
      <c r="T371" s="52"/>
      <c r="U371" s="52"/>
      <c r="V371" s="4199"/>
      <c r="W371" s="1396"/>
      <c r="X371" s="1396"/>
      <c r="Y371" s="1396"/>
      <c r="Z371" s="3265">
        <v>13</v>
      </c>
      <c r="AA371" s="3262">
        <v>13</v>
      </c>
      <c r="AB371" s="3264">
        <v>13</v>
      </c>
      <c r="AC371" s="3262">
        <v>13</v>
      </c>
      <c r="AD371" s="3262">
        <v>13</v>
      </c>
      <c r="AE371" s="3282">
        <v>14</v>
      </c>
      <c r="AF371" s="2236">
        <f t="shared" si="60"/>
        <v>13.4</v>
      </c>
      <c r="AG371" s="1396"/>
      <c r="DG371" s="573"/>
      <c r="DH371" s="188"/>
      <c r="DI371" s="1091"/>
      <c r="DJ371" s="1187"/>
    </row>
    <row r="372" spans="1:114" outlineLevel="1">
      <c r="A372" s="453"/>
      <c r="C372" s="51"/>
      <c r="D372" s="4198"/>
      <c r="E372" s="4199"/>
      <c r="F372" s="4292" t="s">
        <v>1889</v>
      </c>
      <c r="G372" s="4292"/>
      <c r="H372" s="4292"/>
      <c r="I372" s="3262" t="str">
        <f t="shared" si="61"/>
        <v>351185_2024_12_</v>
      </c>
      <c r="J372" s="3281">
        <v>13.4</v>
      </c>
      <c r="K372" s="2962"/>
      <c r="L372" s="2425" t="s">
        <v>1941</v>
      </c>
      <c r="M372" s="51"/>
      <c r="N372" s="561"/>
      <c r="O372" s="51"/>
      <c r="S372" s="52"/>
      <c r="T372" s="52"/>
      <c r="U372" s="52"/>
      <c r="V372" s="4199"/>
      <c r="W372" s="1396"/>
      <c r="X372" s="1396"/>
      <c r="Y372" s="1396"/>
      <c r="Z372" s="3265">
        <v>13</v>
      </c>
      <c r="AA372" s="3262">
        <v>13</v>
      </c>
      <c r="AB372" s="3264">
        <v>13</v>
      </c>
      <c r="AC372" s="3262">
        <v>13</v>
      </c>
      <c r="AD372" s="3262">
        <v>13</v>
      </c>
      <c r="AE372" s="3282">
        <v>14</v>
      </c>
      <c r="AF372" s="2236">
        <f t="shared" si="60"/>
        <v>13.4</v>
      </c>
      <c r="AG372" s="1396"/>
      <c r="DG372" s="573"/>
      <c r="DH372" s="188"/>
      <c r="DI372" s="1091"/>
      <c r="DJ372" s="1187"/>
    </row>
    <row r="373" spans="1:114" outlineLevel="1">
      <c r="A373" s="453"/>
      <c r="C373" s="51"/>
      <c r="D373" s="4198"/>
      <c r="E373" s="4199"/>
      <c r="F373" s="4338" t="s">
        <v>1891</v>
      </c>
      <c r="G373" s="4338"/>
      <c r="H373" s="4338"/>
      <c r="I373" s="1396" t="str">
        <f t="shared" si="61"/>
        <v>351190_2024_12_</v>
      </c>
      <c r="J373" s="1791"/>
      <c r="K373" s="1442"/>
      <c r="L373" s="1378"/>
      <c r="M373" s="51"/>
      <c r="N373" s="561"/>
      <c r="O373" s="51"/>
      <c r="S373" s="52"/>
      <c r="T373" s="52"/>
      <c r="U373" s="52"/>
      <c r="V373" s="4199"/>
      <c r="W373" s="1396"/>
      <c r="X373" s="833"/>
      <c r="Y373" s="833"/>
      <c r="Z373" s="833"/>
      <c r="AA373" s="1396"/>
      <c r="AB373" s="951"/>
      <c r="AC373" s="1396"/>
      <c r="AD373" s="1396"/>
      <c r="AE373" s="736"/>
      <c r="AF373" s="271" t="str">
        <f t="shared" si="60"/>
        <v/>
      </c>
      <c r="AG373" s="1396"/>
      <c r="DG373" s="573"/>
      <c r="DH373" s="188"/>
      <c r="DI373" s="1091"/>
      <c r="DJ373" s="1187"/>
    </row>
    <row r="374" spans="1:114" ht="14.65" customHeight="1" outlineLevel="1">
      <c r="A374" s="453"/>
      <c r="C374" s="51"/>
      <c r="D374" s="4198"/>
      <c r="E374" s="4199"/>
      <c r="F374" s="4338" t="s">
        <v>1892</v>
      </c>
      <c r="G374" s="4338"/>
      <c r="H374" s="4338"/>
      <c r="I374" s="1396" t="str">
        <f t="shared" si="61"/>
        <v>351190_2024_12_</v>
      </c>
      <c r="J374" s="1791">
        <v>13.4</v>
      </c>
      <c r="K374" s="1442"/>
      <c r="L374" s="1378" t="s">
        <v>1941</v>
      </c>
      <c r="M374" s="51"/>
      <c r="N374" s="561"/>
      <c r="O374" s="51"/>
      <c r="S374" s="52"/>
      <c r="T374" s="52"/>
      <c r="U374" s="52"/>
      <c r="V374" s="4199"/>
      <c r="W374" s="1396"/>
      <c r="X374" s="1396"/>
      <c r="Y374" s="1396"/>
      <c r="Z374" s="833">
        <v>13</v>
      </c>
      <c r="AA374" s="1396">
        <v>13</v>
      </c>
      <c r="AB374" s="951">
        <v>13</v>
      </c>
      <c r="AC374" s="1396">
        <v>13</v>
      </c>
      <c r="AD374" s="1396">
        <v>13</v>
      </c>
      <c r="AE374" s="736">
        <v>14</v>
      </c>
      <c r="AF374" s="271">
        <f t="shared" si="60"/>
        <v>13.4</v>
      </c>
      <c r="AG374" s="1396"/>
      <c r="DG374" s="573"/>
      <c r="DH374" s="188"/>
      <c r="DI374" s="1091"/>
      <c r="DJ374" s="1187"/>
    </row>
    <row r="375" spans="1:114" ht="14.65" customHeight="1" outlineLevel="1">
      <c r="A375" s="453"/>
      <c r="C375" s="51"/>
      <c r="D375" s="4198"/>
      <c r="E375" s="4199"/>
      <c r="F375" s="4338" t="s">
        <v>1894</v>
      </c>
      <c r="G375" s="4338"/>
      <c r="H375" s="4338"/>
      <c r="I375" s="1396" t="str">
        <f t="shared" si="61"/>
        <v>351191_2024_12_</v>
      </c>
      <c r="J375" s="1791">
        <v>13.4</v>
      </c>
      <c r="K375" s="1442"/>
      <c r="L375" s="1378" t="s">
        <v>1941</v>
      </c>
      <c r="M375" s="51"/>
      <c r="N375" s="561"/>
      <c r="O375" s="51"/>
      <c r="S375" s="52"/>
      <c r="T375" s="52"/>
      <c r="U375" s="52"/>
      <c r="V375" s="4199"/>
      <c r="W375" s="1396"/>
      <c r="X375" s="1396"/>
      <c r="Y375" s="1396"/>
      <c r="Z375" s="833">
        <v>13</v>
      </c>
      <c r="AA375" s="1396">
        <v>13</v>
      </c>
      <c r="AB375" s="951">
        <v>13</v>
      </c>
      <c r="AC375" s="1396">
        <v>13</v>
      </c>
      <c r="AD375" s="1396">
        <v>13</v>
      </c>
      <c r="AE375" s="736">
        <v>14</v>
      </c>
      <c r="AF375" s="271">
        <f t="shared" si="60"/>
        <v>13.4</v>
      </c>
      <c r="AG375" s="1396"/>
      <c r="DG375" s="573"/>
      <c r="DH375" s="188"/>
      <c r="DI375" s="1091"/>
      <c r="DJ375" s="1187"/>
    </row>
    <row r="376" spans="1:114" ht="14.65" customHeight="1" outlineLevel="1">
      <c r="A376" s="453"/>
      <c r="C376" s="51"/>
      <c r="D376" s="4198"/>
      <c r="E376" s="4199"/>
      <c r="F376" s="4292" t="s">
        <v>1896</v>
      </c>
      <c r="G376" s="4292"/>
      <c r="H376" s="4292"/>
      <c r="I376" s="3262" t="str">
        <f t="shared" si="61"/>
        <v>351192_2024_12_</v>
      </c>
      <c r="J376" s="3281"/>
      <c r="K376" s="2962"/>
      <c r="L376" s="2425"/>
      <c r="M376" s="51"/>
      <c r="N376" s="561"/>
      <c r="O376" s="51"/>
      <c r="S376" s="52"/>
      <c r="T376" s="52"/>
      <c r="U376" s="52"/>
      <c r="V376" s="4199"/>
      <c r="W376" s="1396"/>
      <c r="X376" s="833"/>
      <c r="Y376" s="833"/>
      <c r="Z376" s="3265"/>
      <c r="AA376" s="3262"/>
      <c r="AB376" s="3264"/>
      <c r="AC376" s="3262"/>
      <c r="AD376" s="3262"/>
      <c r="AE376" s="3282"/>
      <c r="AF376" s="2236" t="str">
        <f t="shared" si="60"/>
        <v/>
      </c>
      <c r="AG376" s="1396"/>
      <c r="DG376" s="573"/>
      <c r="DH376" s="188"/>
      <c r="DI376" s="1091"/>
      <c r="DJ376" s="1187"/>
    </row>
    <row r="377" spans="1:114" ht="14.65" customHeight="1" outlineLevel="1">
      <c r="A377" s="453"/>
      <c r="C377" s="51"/>
      <c r="D377" s="4198"/>
      <c r="E377" s="4199"/>
      <c r="F377" s="4292" t="s">
        <v>1897</v>
      </c>
      <c r="G377" s="4292"/>
      <c r="H377" s="4292"/>
      <c r="I377" s="3262" t="str">
        <f t="shared" si="61"/>
        <v>351192_2024_12_</v>
      </c>
      <c r="J377" s="3281">
        <v>13.4</v>
      </c>
      <c r="K377" s="2962"/>
      <c r="L377" s="2425" t="s">
        <v>1941</v>
      </c>
      <c r="M377" s="51"/>
      <c r="N377" s="561"/>
      <c r="O377" s="51"/>
      <c r="S377" s="52"/>
      <c r="T377" s="52"/>
      <c r="U377" s="52"/>
      <c r="V377" s="4199"/>
      <c r="W377" s="1396"/>
      <c r="X377" s="1396"/>
      <c r="Y377" s="1396"/>
      <c r="Z377" s="3265">
        <v>13</v>
      </c>
      <c r="AA377" s="3262">
        <v>13</v>
      </c>
      <c r="AB377" s="3264">
        <v>13</v>
      </c>
      <c r="AC377" s="3262">
        <v>13</v>
      </c>
      <c r="AD377" s="3262">
        <v>13</v>
      </c>
      <c r="AE377" s="3282">
        <v>14</v>
      </c>
      <c r="AF377" s="2236">
        <f t="shared" si="60"/>
        <v>13.4</v>
      </c>
      <c r="AG377" s="1396"/>
      <c r="DG377" s="573"/>
      <c r="DH377" s="188"/>
      <c r="DI377" s="1091"/>
      <c r="DJ377" s="1187"/>
    </row>
    <row r="378" spans="1:114" ht="14.65" customHeight="1" outlineLevel="1">
      <c r="A378" s="453"/>
      <c r="C378" s="51"/>
      <c r="D378" s="4198"/>
      <c r="E378" s="4199"/>
      <c r="F378" s="4292" t="s">
        <v>1899</v>
      </c>
      <c r="G378" s="4292"/>
      <c r="H378" s="4292"/>
      <c r="I378" s="3262" t="str">
        <f t="shared" si="61"/>
        <v>351193_2024_12_</v>
      </c>
      <c r="J378" s="3281"/>
      <c r="K378" s="2962"/>
      <c r="L378" s="2425"/>
      <c r="M378" s="51"/>
      <c r="N378" s="561"/>
      <c r="O378" s="51"/>
      <c r="S378" s="52"/>
      <c r="T378" s="52"/>
      <c r="U378" s="52"/>
      <c r="V378" s="4199"/>
      <c r="W378" s="1396"/>
      <c r="X378" s="1396"/>
      <c r="Y378" s="1396"/>
      <c r="Z378" s="3265"/>
      <c r="AA378" s="3262"/>
      <c r="AB378" s="3264"/>
      <c r="AC378" s="3262"/>
      <c r="AD378" s="3262"/>
      <c r="AE378" s="3282"/>
      <c r="AF378" s="2236" t="str">
        <f t="shared" si="60"/>
        <v/>
      </c>
      <c r="AG378" s="1396"/>
      <c r="DG378" s="573"/>
      <c r="DH378" s="188"/>
      <c r="DI378" s="1091"/>
      <c r="DJ378" s="1187"/>
    </row>
    <row r="379" spans="1:114" ht="14.65" customHeight="1" outlineLevel="1">
      <c r="A379" s="453"/>
      <c r="C379" s="51"/>
      <c r="D379" s="4198"/>
      <c r="E379" s="4199"/>
      <c r="F379" s="4292" t="s">
        <v>1900</v>
      </c>
      <c r="G379" s="4292"/>
      <c r="H379" s="4292"/>
      <c r="I379" s="3262" t="str">
        <f t="shared" si="61"/>
        <v>351193_2024_12_</v>
      </c>
      <c r="J379" s="3281">
        <v>13.4</v>
      </c>
      <c r="K379" s="2962"/>
      <c r="L379" s="2425" t="s">
        <v>1941</v>
      </c>
      <c r="M379" s="51"/>
      <c r="N379" s="561"/>
      <c r="O379" s="51"/>
      <c r="S379" s="52"/>
      <c r="T379" s="52"/>
      <c r="U379" s="52"/>
      <c r="V379" s="4199"/>
      <c r="W379" s="1396"/>
      <c r="X379" s="1396"/>
      <c r="Y379" s="1396"/>
      <c r="Z379" s="3265">
        <v>13</v>
      </c>
      <c r="AA379" s="3262">
        <v>13</v>
      </c>
      <c r="AB379" s="3264">
        <v>13</v>
      </c>
      <c r="AC379" s="3262">
        <v>13</v>
      </c>
      <c r="AD379" s="3262">
        <v>13</v>
      </c>
      <c r="AE379" s="3282">
        <v>14</v>
      </c>
      <c r="AF379" s="2236">
        <f t="shared" si="60"/>
        <v>13.4</v>
      </c>
      <c r="AG379" s="1396"/>
      <c r="DG379" s="573"/>
      <c r="DH379" s="188"/>
      <c r="DI379" s="1091"/>
      <c r="DJ379" s="1187"/>
    </row>
    <row r="380" spans="1:114" ht="15" customHeight="1" outlineLevel="1">
      <c r="A380" s="453"/>
      <c r="C380" s="51"/>
      <c r="D380" s="4198"/>
      <c r="E380" s="4199"/>
      <c r="F380" s="4292" t="s">
        <v>1902</v>
      </c>
      <c r="G380" s="4292"/>
      <c r="H380" s="4292"/>
      <c r="I380" s="3262" t="str">
        <f t="shared" si="61"/>
        <v>351194_2024_12_</v>
      </c>
      <c r="J380" s="3281">
        <v>13.4</v>
      </c>
      <c r="K380" s="2962"/>
      <c r="L380" s="2425" t="s">
        <v>1941</v>
      </c>
      <c r="M380" s="51"/>
      <c r="N380" s="561"/>
      <c r="O380" s="51"/>
      <c r="S380" s="52"/>
      <c r="T380" s="52"/>
      <c r="U380" s="52"/>
      <c r="V380" s="4199"/>
      <c r="W380" s="1396"/>
      <c r="X380" s="1396"/>
      <c r="Y380" s="1396"/>
      <c r="Z380" s="3265">
        <v>13</v>
      </c>
      <c r="AA380" s="3262">
        <v>13</v>
      </c>
      <c r="AB380" s="3264">
        <v>13</v>
      </c>
      <c r="AC380" s="3262">
        <v>13</v>
      </c>
      <c r="AD380" s="3262">
        <v>13</v>
      </c>
      <c r="AE380" s="3282">
        <v>14</v>
      </c>
      <c r="AF380" s="2236">
        <f t="shared" si="60"/>
        <v>13.4</v>
      </c>
      <c r="AG380" s="1396"/>
      <c r="DG380" s="573"/>
      <c r="DH380" s="188"/>
      <c r="DI380" s="1091"/>
      <c r="DJ380" s="1187"/>
    </row>
    <row r="381" spans="1:114" ht="15" customHeight="1" outlineLevel="1">
      <c r="A381" s="453"/>
      <c r="C381" s="51"/>
      <c r="D381" s="4198"/>
      <c r="E381" s="4199"/>
      <c r="F381" s="4292" t="s">
        <v>1904</v>
      </c>
      <c r="G381" s="4292"/>
      <c r="H381" s="4292"/>
      <c r="I381" s="3262" t="str">
        <f t="shared" si="61"/>
        <v>351195_2024_12_</v>
      </c>
      <c r="J381" s="3281">
        <v>13.4</v>
      </c>
      <c r="K381" s="2962"/>
      <c r="L381" s="2425" t="s">
        <v>1941</v>
      </c>
      <c r="M381" s="51"/>
      <c r="N381" s="561"/>
      <c r="O381" s="51"/>
      <c r="S381" s="52"/>
      <c r="T381" s="52"/>
      <c r="U381" s="52"/>
      <c r="V381" s="4199"/>
      <c r="W381" s="1396"/>
      <c r="X381" s="1396"/>
      <c r="Y381" s="1396"/>
      <c r="Z381" s="3265">
        <v>13</v>
      </c>
      <c r="AA381" s="3262">
        <v>13</v>
      </c>
      <c r="AB381" s="3264">
        <v>13</v>
      </c>
      <c r="AC381" s="3262">
        <v>13</v>
      </c>
      <c r="AD381" s="3262">
        <v>13</v>
      </c>
      <c r="AE381" s="3282">
        <v>14</v>
      </c>
      <c r="AF381" s="2236">
        <f t="shared" si="60"/>
        <v>13.4</v>
      </c>
      <c r="AG381" s="1396"/>
      <c r="DG381" s="573"/>
      <c r="DH381" s="188"/>
      <c r="DI381" s="1091"/>
      <c r="DJ381" s="1187"/>
    </row>
    <row r="382" spans="1:114" ht="14.65" customHeight="1" outlineLevel="1">
      <c r="A382" s="453"/>
      <c r="C382" s="51"/>
      <c r="D382" s="4294" t="s">
        <v>1942</v>
      </c>
      <c r="E382" s="4293" t="s">
        <v>1943</v>
      </c>
      <c r="F382" s="4339" t="s">
        <v>1784</v>
      </c>
      <c r="G382" s="4339"/>
      <c r="H382" s="4339"/>
      <c r="I382" s="3262" t="str">
        <f t="shared" si="61"/>
        <v>350400_2024_12_</v>
      </c>
      <c r="J382" s="3283">
        <v>14</v>
      </c>
      <c r="K382" s="2425"/>
      <c r="L382" s="3284" t="s">
        <v>1931</v>
      </c>
      <c r="M382" s="51"/>
      <c r="N382" s="561"/>
      <c r="O382" s="51"/>
      <c r="S382" s="52"/>
      <c r="T382" s="52"/>
      <c r="U382" s="52"/>
      <c r="V382" s="4293" t="str">
        <f>D382</f>
        <v>SEER2ee</v>
      </c>
      <c r="W382" s="3262">
        <v>14.2</v>
      </c>
      <c r="X382" s="3285">
        <v>14.16</v>
      </c>
      <c r="Y382" s="3285">
        <v>14.14</v>
      </c>
      <c r="Z382" s="3286">
        <v>14.14</v>
      </c>
      <c r="AA382" s="3286">
        <v>14.14</v>
      </c>
      <c r="AB382" s="3287">
        <v>14.14</v>
      </c>
      <c r="AC382" s="3288">
        <v>14.14</v>
      </c>
      <c r="AD382" s="3288">
        <v>14.14</v>
      </c>
      <c r="AE382" s="3282">
        <v>14</v>
      </c>
      <c r="AF382" s="2236">
        <f t="shared" si="60"/>
        <v>14</v>
      </c>
      <c r="AG382" s="1396"/>
      <c r="DG382" s="573"/>
      <c r="DH382" s="188"/>
      <c r="DI382" s="1091"/>
      <c r="DJ382" s="1187"/>
    </row>
    <row r="383" spans="1:114" ht="14.65" customHeight="1" outlineLevel="1">
      <c r="A383" s="453"/>
      <c r="C383" s="51"/>
      <c r="D383" s="4294"/>
      <c r="E383" s="4293"/>
      <c r="F383" s="4292" t="s">
        <v>1785</v>
      </c>
      <c r="G383" s="4292"/>
      <c r="H383" s="4292"/>
      <c r="I383" s="3262" t="str">
        <f t="shared" si="61"/>
        <v>350400_2024_12_</v>
      </c>
      <c r="J383" s="3283">
        <v>14</v>
      </c>
      <c r="K383" s="2425"/>
      <c r="L383" s="3284" t="s">
        <v>1931</v>
      </c>
      <c r="M383" s="51"/>
      <c r="N383" s="561"/>
      <c r="O383" s="51"/>
      <c r="S383" s="52"/>
      <c r="T383" s="52"/>
      <c r="U383" s="52"/>
      <c r="V383" s="4293"/>
      <c r="W383" s="3262">
        <v>14.2</v>
      </c>
      <c r="X383" s="3285">
        <v>14.16</v>
      </c>
      <c r="Y383" s="3285">
        <v>14.14</v>
      </c>
      <c r="Z383" s="3286">
        <v>14.14</v>
      </c>
      <c r="AA383" s="3286">
        <v>14.14</v>
      </c>
      <c r="AB383" s="3287">
        <v>14.14</v>
      </c>
      <c r="AC383" s="3288">
        <v>14.14</v>
      </c>
      <c r="AD383" s="3288">
        <v>14.14</v>
      </c>
      <c r="AE383" s="3282">
        <v>14</v>
      </c>
      <c r="AF383" s="2236">
        <f t="shared" si="60"/>
        <v>14</v>
      </c>
      <c r="AG383" s="1396"/>
      <c r="DG383" s="573"/>
      <c r="DH383" s="188"/>
      <c r="DI383" s="1091"/>
      <c r="DJ383" s="1187"/>
    </row>
    <row r="384" spans="1:114" ht="14.65" customHeight="1" outlineLevel="1">
      <c r="A384" s="453"/>
      <c r="C384" s="51"/>
      <c r="D384" s="4294"/>
      <c r="E384" s="4293"/>
      <c r="F384" s="4292" t="s">
        <v>1788</v>
      </c>
      <c r="G384" s="4292"/>
      <c r="H384" s="4292"/>
      <c r="I384" s="3262" t="str">
        <f t="shared" si="61"/>
        <v>350450_2024_12_</v>
      </c>
      <c r="J384" s="3283">
        <v>14</v>
      </c>
      <c r="K384" s="2425"/>
      <c r="L384" s="3284" t="s">
        <v>1931</v>
      </c>
      <c r="M384" s="51"/>
      <c r="N384" s="561"/>
      <c r="O384" s="51"/>
      <c r="S384" s="52"/>
      <c r="T384" s="52"/>
      <c r="U384" s="52"/>
      <c r="V384" s="4293"/>
      <c r="W384" s="3262">
        <v>14.2</v>
      </c>
      <c r="X384" s="3285">
        <f>X383</f>
        <v>14.16</v>
      </c>
      <c r="Y384" s="3285">
        <v>14.14</v>
      </c>
      <c r="Z384" s="3286">
        <v>14.14</v>
      </c>
      <c r="AA384" s="3286">
        <v>14.14</v>
      </c>
      <c r="AB384" s="3287">
        <v>14.14</v>
      </c>
      <c r="AC384" s="3288">
        <v>14.14</v>
      </c>
      <c r="AD384" s="3288">
        <v>14.14</v>
      </c>
      <c r="AE384" s="3282">
        <v>14</v>
      </c>
      <c r="AF384" s="2236">
        <f t="shared" si="60"/>
        <v>14</v>
      </c>
      <c r="AG384" s="1396"/>
      <c r="DG384" s="573"/>
      <c r="DH384" s="188"/>
      <c r="DI384" s="1091"/>
      <c r="DJ384" s="1187"/>
    </row>
    <row r="385" spans="1:114" ht="45" outlineLevel="1">
      <c r="A385" s="453"/>
      <c r="C385" s="51"/>
      <c r="D385" s="4294"/>
      <c r="E385" s="4293"/>
      <c r="F385" s="4292" t="s">
        <v>1790</v>
      </c>
      <c r="G385" s="4292"/>
      <c r="H385" s="4292"/>
      <c r="I385" s="3262" t="str">
        <f t="shared" si="61"/>
        <v>350500_2024_12_</v>
      </c>
      <c r="J385" s="3283">
        <v>14</v>
      </c>
      <c r="K385" s="2425"/>
      <c r="L385" s="3284" t="s">
        <v>1944</v>
      </c>
      <c r="M385" s="51"/>
      <c r="N385" s="561"/>
      <c r="O385" s="51"/>
      <c r="S385" s="52"/>
      <c r="T385" s="52"/>
      <c r="U385" s="52"/>
      <c r="V385" s="4293"/>
      <c r="W385" s="3262">
        <v>14.2</v>
      </c>
      <c r="X385" s="3285">
        <v>14.5</v>
      </c>
      <c r="Y385" s="3285">
        <v>14</v>
      </c>
      <c r="Z385" s="3286">
        <v>14</v>
      </c>
      <c r="AA385" s="3286">
        <v>14</v>
      </c>
      <c r="AB385" s="3287">
        <v>14</v>
      </c>
      <c r="AC385" s="3288">
        <v>14</v>
      </c>
      <c r="AD385" s="3288">
        <v>14</v>
      </c>
      <c r="AE385" s="3288">
        <v>14</v>
      </c>
      <c r="AF385" s="2236">
        <f t="shared" si="60"/>
        <v>14</v>
      </c>
      <c r="AG385" s="1396"/>
      <c r="DG385" s="573"/>
      <c r="DH385" s="188"/>
      <c r="DI385" s="1091"/>
      <c r="DJ385" s="1187"/>
    </row>
    <row r="386" spans="1:114" ht="45" outlineLevel="1">
      <c r="A386" s="453"/>
      <c r="C386" s="51"/>
      <c r="D386" s="4294"/>
      <c r="E386" s="4293"/>
      <c r="F386" s="4292" t="s">
        <v>1791</v>
      </c>
      <c r="G386" s="4292"/>
      <c r="H386" s="4292"/>
      <c r="I386" s="3262" t="str">
        <f t="shared" si="61"/>
        <v>350500_2024_12_</v>
      </c>
      <c r="J386" s="3283">
        <v>14</v>
      </c>
      <c r="K386" s="2425"/>
      <c r="L386" s="3284" t="s">
        <v>1944</v>
      </c>
      <c r="M386" s="51"/>
      <c r="N386" s="561"/>
      <c r="O386" s="51"/>
      <c r="S386" s="52"/>
      <c r="T386" s="52"/>
      <c r="U386" s="52"/>
      <c r="V386" s="4293"/>
      <c r="W386" s="3262">
        <v>14.2</v>
      </c>
      <c r="X386" s="3285">
        <v>14.5</v>
      </c>
      <c r="Y386" s="3285">
        <v>14</v>
      </c>
      <c r="Z386" s="3286">
        <v>14</v>
      </c>
      <c r="AA386" s="3286">
        <v>14</v>
      </c>
      <c r="AB386" s="3287">
        <v>14</v>
      </c>
      <c r="AC386" s="3288">
        <v>14</v>
      </c>
      <c r="AD386" s="3288">
        <v>14</v>
      </c>
      <c r="AE386" s="3288">
        <v>14</v>
      </c>
      <c r="AF386" s="2236">
        <f t="shared" si="60"/>
        <v>14</v>
      </c>
      <c r="AG386" s="1396"/>
      <c r="DG386" s="573"/>
      <c r="DH386" s="188"/>
      <c r="DI386" s="1091"/>
      <c r="DJ386" s="1187"/>
    </row>
    <row r="387" spans="1:114" outlineLevel="1">
      <c r="A387" s="453"/>
      <c r="C387" s="51"/>
      <c r="D387" s="4294"/>
      <c r="E387" s="4293"/>
      <c r="F387" s="4292" t="s">
        <v>1793</v>
      </c>
      <c r="G387" s="4292"/>
      <c r="H387" s="4292"/>
      <c r="I387" s="3262" t="str">
        <f t="shared" si="61"/>
        <v>350501_2024_12_</v>
      </c>
      <c r="J387" s="3283">
        <v>14</v>
      </c>
      <c r="K387" s="2425"/>
      <c r="L387" s="3284" t="s">
        <v>1945</v>
      </c>
      <c r="M387" s="51"/>
      <c r="N387" s="561"/>
      <c r="O387" s="51"/>
      <c r="S387" s="52"/>
      <c r="T387" s="52"/>
      <c r="U387" s="52"/>
      <c r="V387" s="4293"/>
      <c r="W387" s="3262"/>
      <c r="X387" s="3285"/>
      <c r="Y387" s="3285">
        <v>14</v>
      </c>
      <c r="Z387" s="3286">
        <v>14</v>
      </c>
      <c r="AA387" s="3286">
        <v>14</v>
      </c>
      <c r="AB387" s="3287">
        <v>14</v>
      </c>
      <c r="AC387" s="3288">
        <v>14</v>
      </c>
      <c r="AD387" s="3288">
        <v>14</v>
      </c>
      <c r="AE387" s="3288">
        <v>14</v>
      </c>
      <c r="AF387" s="2236">
        <f t="shared" si="60"/>
        <v>14</v>
      </c>
      <c r="AG387" s="1396"/>
      <c r="DG387" s="573"/>
      <c r="DH387" s="188"/>
      <c r="DI387" s="1091"/>
      <c r="DJ387" s="1187"/>
    </row>
    <row r="388" spans="1:114" outlineLevel="1">
      <c r="A388" s="453"/>
      <c r="C388" s="51"/>
      <c r="D388" s="4294"/>
      <c r="E388" s="4293"/>
      <c r="F388" s="4292" t="s">
        <v>1794</v>
      </c>
      <c r="G388" s="4292"/>
      <c r="H388" s="4292"/>
      <c r="I388" s="3262" t="str">
        <f t="shared" si="61"/>
        <v>350501_2024_12_</v>
      </c>
      <c r="J388" s="3283">
        <v>14</v>
      </c>
      <c r="K388" s="2425"/>
      <c r="L388" s="3284" t="s">
        <v>1945</v>
      </c>
      <c r="M388" s="51"/>
      <c r="N388" s="561"/>
      <c r="O388" s="51"/>
      <c r="S388" s="52"/>
      <c r="T388" s="52"/>
      <c r="U388" s="52"/>
      <c r="V388" s="4293"/>
      <c r="W388" s="3262"/>
      <c r="X388" s="3285"/>
      <c r="Y388" s="3285">
        <v>14</v>
      </c>
      <c r="Z388" s="3286">
        <v>14</v>
      </c>
      <c r="AA388" s="3286">
        <v>14</v>
      </c>
      <c r="AB388" s="3287">
        <v>14</v>
      </c>
      <c r="AC388" s="3288">
        <v>14</v>
      </c>
      <c r="AD388" s="3288">
        <v>14</v>
      </c>
      <c r="AE388" s="3288">
        <v>14</v>
      </c>
      <c r="AF388" s="2236">
        <f t="shared" si="60"/>
        <v>14</v>
      </c>
      <c r="AG388" s="1396"/>
      <c r="DG388" s="573"/>
      <c r="DH388" s="188"/>
      <c r="DI388" s="1091"/>
      <c r="DJ388" s="1187"/>
    </row>
    <row r="389" spans="1:114" ht="45" outlineLevel="1">
      <c r="A389" s="453"/>
      <c r="C389" s="51"/>
      <c r="D389" s="4294"/>
      <c r="E389" s="4293"/>
      <c r="F389" s="4292" t="s">
        <v>1796</v>
      </c>
      <c r="G389" s="4292"/>
      <c r="H389" s="4292"/>
      <c r="I389" s="3262" t="str">
        <f t="shared" si="61"/>
        <v>350550_2024_12_</v>
      </c>
      <c r="J389" s="3283">
        <v>14</v>
      </c>
      <c r="K389" s="2425"/>
      <c r="L389" s="3284" t="s">
        <v>1944</v>
      </c>
      <c r="M389" s="51"/>
      <c r="N389" s="561"/>
      <c r="O389" s="51"/>
      <c r="S389" s="52"/>
      <c r="T389" s="52"/>
      <c r="U389" s="52"/>
      <c r="V389" s="4293"/>
      <c r="W389" s="3262">
        <v>14.2</v>
      </c>
      <c r="X389" s="3285">
        <v>14.5</v>
      </c>
      <c r="Y389" s="3285">
        <v>14</v>
      </c>
      <c r="Z389" s="3286">
        <v>14</v>
      </c>
      <c r="AA389" s="3286">
        <v>14</v>
      </c>
      <c r="AB389" s="3287">
        <v>14</v>
      </c>
      <c r="AC389" s="3288">
        <v>14</v>
      </c>
      <c r="AD389" s="3288">
        <v>14</v>
      </c>
      <c r="AE389" s="3288">
        <v>14</v>
      </c>
      <c r="AF389" s="2236">
        <f t="shared" si="60"/>
        <v>14</v>
      </c>
      <c r="AG389" s="1396"/>
      <c r="DG389" s="573"/>
      <c r="DH389" s="188"/>
      <c r="DI389" s="1091"/>
      <c r="DJ389" s="1187"/>
    </row>
    <row r="390" spans="1:114" outlineLevel="1">
      <c r="A390" s="453"/>
      <c r="C390" s="51"/>
      <c r="D390" s="4294"/>
      <c r="E390" s="4293"/>
      <c r="F390" s="4292" t="s">
        <v>1798</v>
      </c>
      <c r="G390" s="4292"/>
      <c r="H390" s="4292"/>
      <c r="I390" s="3262" t="str">
        <f t="shared" si="61"/>
        <v>350551_2024_12_</v>
      </c>
      <c r="J390" s="3283">
        <v>14</v>
      </c>
      <c r="K390" s="2425"/>
      <c r="L390" s="3284" t="s">
        <v>1945</v>
      </c>
      <c r="M390" s="51"/>
      <c r="N390" s="561"/>
      <c r="O390" s="51"/>
      <c r="S390" s="52"/>
      <c r="T390" s="52"/>
      <c r="U390" s="52"/>
      <c r="V390" s="4293"/>
      <c r="W390" s="3262"/>
      <c r="X390" s="3285"/>
      <c r="Y390" s="3285">
        <v>14</v>
      </c>
      <c r="Z390" s="3286">
        <v>14</v>
      </c>
      <c r="AA390" s="3286">
        <v>14</v>
      </c>
      <c r="AB390" s="3287">
        <v>14</v>
      </c>
      <c r="AC390" s="3288">
        <v>14</v>
      </c>
      <c r="AD390" s="3288">
        <v>14</v>
      </c>
      <c r="AE390" s="3288">
        <v>14</v>
      </c>
      <c r="AF390" s="2236">
        <f t="shared" si="60"/>
        <v>14</v>
      </c>
      <c r="AG390" s="1396"/>
      <c r="DG390" s="573"/>
      <c r="DH390" s="188"/>
      <c r="DI390" s="1091"/>
      <c r="DJ390" s="1187"/>
    </row>
    <row r="391" spans="1:114" outlineLevel="1">
      <c r="A391" s="453"/>
      <c r="C391" s="51"/>
      <c r="D391" s="4294"/>
      <c r="E391" s="4293"/>
      <c r="F391" s="4338" t="s">
        <v>1801</v>
      </c>
      <c r="G391" s="4338"/>
      <c r="H391" s="4338"/>
      <c r="I391" s="1396" t="str">
        <f t="shared" si="61"/>
        <v>350600_2024_12_</v>
      </c>
      <c r="J391" s="1772">
        <v>15.10681605975719</v>
      </c>
      <c r="K391" s="1378"/>
      <c r="L391" s="1759" t="s">
        <v>1934</v>
      </c>
      <c r="M391" s="51"/>
      <c r="N391" s="561"/>
      <c r="O391" s="51"/>
      <c r="S391" s="52"/>
      <c r="T391" s="52"/>
      <c r="U391" s="52"/>
      <c r="V391" s="4293"/>
      <c r="W391" s="1396">
        <v>15.2</v>
      </c>
      <c r="X391" s="212">
        <v>15.16</v>
      </c>
      <c r="Y391" s="212">
        <v>15.16</v>
      </c>
      <c r="Z391" s="211">
        <v>15.16</v>
      </c>
      <c r="AA391" s="211">
        <v>15.16</v>
      </c>
      <c r="AB391" s="736">
        <v>15.107566616390109</v>
      </c>
      <c r="AC391" s="736">
        <v>15.097858431018889</v>
      </c>
      <c r="AD391" s="939">
        <v>15.105013250883337</v>
      </c>
      <c r="AE391" s="939">
        <v>15.10681605975719</v>
      </c>
      <c r="AF391" s="271">
        <f t="shared" si="60"/>
        <v>15.10681605975719</v>
      </c>
      <c r="AG391" s="1396"/>
      <c r="DG391" s="573"/>
      <c r="DH391" s="188"/>
      <c r="DI391" s="1091"/>
      <c r="DJ391" s="1187"/>
    </row>
    <row r="392" spans="1:114" outlineLevel="1">
      <c r="A392" s="453"/>
      <c r="C392" s="51"/>
      <c r="D392" s="4294"/>
      <c r="E392" s="4293"/>
      <c r="F392" s="4338" t="s">
        <v>1802</v>
      </c>
      <c r="G392" s="4338"/>
      <c r="H392" s="4338"/>
      <c r="I392" s="1396" t="str">
        <f t="shared" si="61"/>
        <v>350600_2024_12_</v>
      </c>
      <c r="J392" s="1758">
        <f>J391</f>
        <v>15.10681605975719</v>
      </c>
      <c r="K392" s="1378"/>
      <c r="L392" s="1759" t="s">
        <v>1934</v>
      </c>
      <c r="M392" s="51"/>
      <c r="N392" s="561"/>
      <c r="O392" s="51"/>
      <c r="S392" s="52"/>
      <c r="T392" s="52"/>
      <c r="U392" s="52"/>
      <c r="V392" s="4293"/>
      <c r="W392" s="1396">
        <v>15.2</v>
      </c>
      <c r="X392" s="212">
        <v>15.16</v>
      </c>
      <c r="Y392" s="212">
        <v>15.16</v>
      </c>
      <c r="Z392" s="211">
        <v>15.16</v>
      </c>
      <c r="AA392" s="211">
        <v>15.16</v>
      </c>
      <c r="AB392" s="736">
        <v>15.107566616390109</v>
      </c>
      <c r="AC392" s="736">
        <v>15.097858431018889</v>
      </c>
      <c r="AD392" s="736">
        <v>15.105013250883337</v>
      </c>
      <c r="AE392" s="736">
        <v>15.10681605975719</v>
      </c>
      <c r="AF392" s="271">
        <f t="shared" si="60"/>
        <v>15.10681605975719</v>
      </c>
      <c r="AG392" s="1396"/>
      <c r="DG392" s="573"/>
      <c r="DH392" s="188"/>
      <c r="DI392" s="1091"/>
      <c r="DJ392" s="1187"/>
    </row>
    <row r="393" spans="1:114" outlineLevel="1">
      <c r="A393" s="453"/>
      <c r="C393" s="51"/>
      <c r="D393" s="4294"/>
      <c r="E393" s="4293"/>
      <c r="F393" s="4338" t="s">
        <v>1804</v>
      </c>
      <c r="G393" s="4338"/>
      <c r="H393" s="4338"/>
      <c r="I393" s="1396" t="str">
        <f t="shared" si="61"/>
        <v>350650_2024_12_</v>
      </c>
      <c r="J393" s="1772">
        <v>15.111256544502622</v>
      </c>
      <c r="K393" s="1378"/>
      <c r="L393" s="1759" t="s">
        <v>1934</v>
      </c>
      <c r="M393" s="51"/>
      <c r="N393" s="561"/>
      <c r="O393" s="51"/>
      <c r="S393" s="52"/>
      <c r="T393" s="52"/>
      <c r="U393" s="52"/>
      <c r="V393" s="4293"/>
      <c r="W393" s="1396">
        <v>15.1</v>
      </c>
      <c r="X393" s="212">
        <v>15.16</v>
      </c>
      <c r="Y393" s="212">
        <v>15.13</v>
      </c>
      <c r="Z393" s="211">
        <v>15.13</v>
      </c>
      <c r="AA393" s="211">
        <v>15.13</v>
      </c>
      <c r="AB393" s="736">
        <v>15.119400630914827</v>
      </c>
      <c r="AC393" s="736">
        <v>15.106015037593986</v>
      </c>
      <c r="AD393" s="939">
        <v>15.098944337811908</v>
      </c>
      <c r="AE393" s="939">
        <v>15.111256544502622</v>
      </c>
      <c r="AF393" s="271">
        <f t="shared" si="60"/>
        <v>15.111256544502622</v>
      </c>
      <c r="AG393" s="1396"/>
      <c r="DG393" s="573"/>
      <c r="DH393" s="188"/>
      <c r="DI393" s="1091"/>
      <c r="DJ393" s="1187"/>
    </row>
    <row r="394" spans="1:114" outlineLevel="1">
      <c r="A394" s="453"/>
      <c r="C394" s="51"/>
      <c r="D394" s="4294"/>
      <c r="E394" s="4293"/>
      <c r="F394" s="4292" t="s">
        <v>1806</v>
      </c>
      <c r="G394" s="4292"/>
      <c r="H394" s="4292"/>
      <c r="I394" s="3262" t="str">
        <f t="shared" si="61"/>
        <v>350700_2024_12_</v>
      </c>
      <c r="J394" s="3289">
        <v>15.094444444444443</v>
      </c>
      <c r="K394" s="2425"/>
      <c r="L394" s="3272" t="s">
        <v>1934</v>
      </c>
      <c r="M394" s="51"/>
      <c r="N394" s="561"/>
      <c r="O394" s="51"/>
      <c r="S394" s="52"/>
      <c r="T394" s="52"/>
      <c r="U394" s="52"/>
      <c r="V394" s="4293"/>
      <c r="W394" s="3262">
        <v>15.2</v>
      </c>
      <c r="X394" s="3285">
        <v>15.16</v>
      </c>
      <c r="Y394" s="3285">
        <v>15</v>
      </c>
      <c r="Z394" s="3286">
        <v>15</v>
      </c>
      <c r="AA394" s="3286">
        <v>15</v>
      </c>
      <c r="AB394" s="3282">
        <v>15.13953488372093</v>
      </c>
      <c r="AC394" s="3282">
        <v>15.202380952380954</v>
      </c>
      <c r="AD394" s="3290">
        <v>15.203333333333335</v>
      </c>
      <c r="AE394" s="3290">
        <v>15.094444444444443</v>
      </c>
      <c r="AF394" s="2236">
        <f t="shared" si="60"/>
        <v>15.094444444444443</v>
      </c>
      <c r="AG394" s="1396"/>
      <c r="DG394" s="573"/>
      <c r="DH394" s="188"/>
      <c r="DI394" s="1091"/>
      <c r="DJ394" s="1187"/>
    </row>
    <row r="395" spans="1:114" outlineLevel="1">
      <c r="A395" s="453"/>
      <c r="C395" s="51"/>
      <c r="D395" s="4294"/>
      <c r="E395" s="4293"/>
      <c r="F395" s="4292" t="s">
        <v>1807</v>
      </c>
      <c r="G395" s="4292"/>
      <c r="H395" s="4292"/>
      <c r="I395" s="3262" t="str">
        <f t="shared" si="61"/>
        <v>350700_2024_12_</v>
      </c>
      <c r="J395" s="3283">
        <f>J394</f>
        <v>15.094444444444443</v>
      </c>
      <c r="K395" s="2425"/>
      <c r="L395" s="3272" t="s">
        <v>1934</v>
      </c>
      <c r="M395" s="51"/>
      <c r="N395" s="561"/>
      <c r="O395" s="51"/>
      <c r="S395" s="52"/>
      <c r="T395" s="52"/>
      <c r="U395" s="52"/>
      <c r="V395" s="4293"/>
      <c r="W395" s="3262">
        <v>15.2</v>
      </c>
      <c r="X395" s="3285">
        <v>15.16</v>
      </c>
      <c r="Y395" s="3285">
        <v>15</v>
      </c>
      <c r="Z395" s="3286">
        <v>15</v>
      </c>
      <c r="AA395" s="3286">
        <v>15</v>
      </c>
      <c r="AB395" s="3282">
        <v>15.13953488372093</v>
      </c>
      <c r="AC395" s="3282">
        <v>15.202380952380954</v>
      </c>
      <c r="AD395" s="3282">
        <v>15.203333333333335</v>
      </c>
      <c r="AE395" s="3282">
        <v>15.094444444444443</v>
      </c>
      <c r="AF395" s="2236">
        <f t="shared" si="60"/>
        <v>15.094444444444443</v>
      </c>
      <c r="AG395" s="1396"/>
      <c r="DG395" s="573"/>
      <c r="DH395" s="188"/>
      <c r="DI395" s="1091"/>
      <c r="DJ395" s="1187"/>
    </row>
    <row r="396" spans="1:114" outlineLevel="1">
      <c r="A396" s="453"/>
      <c r="C396" s="51"/>
      <c r="D396" s="4294"/>
      <c r="E396" s="4293"/>
      <c r="F396" s="4292" t="s">
        <v>1809</v>
      </c>
      <c r="G396" s="4292"/>
      <c r="H396" s="4292"/>
      <c r="I396" s="3262" t="str">
        <f t="shared" si="61"/>
        <v>350701_2024_12_</v>
      </c>
      <c r="J396" s="3283">
        <f>J394</f>
        <v>15.094444444444443</v>
      </c>
      <c r="K396" s="2425"/>
      <c r="L396" s="3284" t="s">
        <v>1933</v>
      </c>
      <c r="M396" s="51"/>
      <c r="N396" s="561"/>
      <c r="O396" s="51"/>
      <c r="S396" s="52"/>
      <c r="T396" s="52"/>
      <c r="U396" s="52"/>
      <c r="V396" s="4293"/>
      <c r="W396" s="3262"/>
      <c r="X396" s="3285"/>
      <c r="Y396" s="3285">
        <v>15</v>
      </c>
      <c r="Z396" s="3286">
        <v>15</v>
      </c>
      <c r="AA396" s="3286">
        <v>15</v>
      </c>
      <c r="AB396" s="3287">
        <v>15</v>
      </c>
      <c r="AC396" s="3288">
        <v>15</v>
      </c>
      <c r="AD396" s="3282">
        <v>15.203333333333335</v>
      </c>
      <c r="AE396" s="3282">
        <v>15.094444444444443</v>
      </c>
      <c r="AF396" s="2236">
        <f t="shared" si="60"/>
        <v>15.094444444444443</v>
      </c>
      <c r="AG396" s="1396"/>
      <c r="DG396" s="573"/>
      <c r="DH396" s="188"/>
      <c r="DI396" s="1091"/>
      <c r="DJ396" s="1187"/>
    </row>
    <row r="397" spans="1:114" outlineLevel="1">
      <c r="A397" s="453"/>
      <c r="C397" s="51"/>
      <c r="D397" s="4294"/>
      <c r="E397" s="4293"/>
      <c r="F397" s="4292" t="s">
        <v>1810</v>
      </c>
      <c r="G397" s="4292"/>
      <c r="H397" s="4292"/>
      <c r="I397" s="3262" t="str">
        <f t="shared" si="61"/>
        <v>350701_2024_12_</v>
      </c>
      <c r="J397" s="3283">
        <f>J395</f>
        <v>15.094444444444443</v>
      </c>
      <c r="K397" s="2425"/>
      <c r="L397" s="3284" t="s">
        <v>1933</v>
      </c>
      <c r="M397" s="51"/>
      <c r="N397" s="561"/>
      <c r="O397" s="51"/>
      <c r="S397" s="52"/>
      <c r="T397" s="52"/>
      <c r="U397" s="52"/>
      <c r="V397" s="4293"/>
      <c r="W397" s="3262"/>
      <c r="X397" s="3285"/>
      <c r="Y397" s="3285">
        <v>15</v>
      </c>
      <c r="Z397" s="3286">
        <v>15</v>
      </c>
      <c r="AA397" s="3286">
        <v>15</v>
      </c>
      <c r="AB397" s="3287">
        <v>15</v>
      </c>
      <c r="AC397" s="3288">
        <v>15</v>
      </c>
      <c r="AD397" s="3282">
        <v>15.203333333333335</v>
      </c>
      <c r="AE397" s="3282">
        <v>15.094444444444443</v>
      </c>
      <c r="AF397" s="2236">
        <f t="shared" si="60"/>
        <v>15.094444444444443</v>
      </c>
      <c r="AG397" s="1396"/>
      <c r="DG397" s="573"/>
      <c r="DH397" s="188"/>
      <c r="DI397" s="1091"/>
      <c r="DJ397" s="1187"/>
    </row>
    <row r="398" spans="1:114" outlineLevel="1">
      <c r="A398" s="453"/>
      <c r="C398" s="51"/>
      <c r="D398" s="4294"/>
      <c r="E398" s="4293"/>
      <c r="F398" s="4292" t="s">
        <v>1812</v>
      </c>
      <c r="G398" s="4292"/>
      <c r="H398" s="4292"/>
      <c r="I398" s="3262" t="str">
        <f t="shared" si="61"/>
        <v>350750_2024_12_</v>
      </c>
      <c r="J398" s="3283">
        <v>15</v>
      </c>
      <c r="K398" s="2425"/>
      <c r="L398" s="3272" t="s">
        <v>1937</v>
      </c>
      <c r="M398" s="51"/>
      <c r="N398" s="561"/>
      <c r="O398" s="51"/>
      <c r="S398" s="52"/>
      <c r="T398" s="52"/>
      <c r="U398" s="52"/>
      <c r="V398" s="4293"/>
      <c r="W398" s="3262">
        <v>15.1</v>
      </c>
      <c r="X398" s="3285">
        <v>15.16</v>
      </c>
      <c r="Y398" s="3285">
        <v>15</v>
      </c>
      <c r="Z398" s="3286">
        <v>15</v>
      </c>
      <c r="AA398" s="3286">
        <v>15</v>
      </c>
      <c r="AB398" s="3282">
        <v>15.083333333333334</v>
      </c>
      <c r="AC398" s="3282">
        <v>15.125</v>
      </c>
      <c r="AD398" s="3282">
        <v>15</v>
      </c>
      <c r="AE398" s="3288">
        <v>15</v>
      </c>
      <c r="AF398" s="2236">
        <f t="shared" si="60"/>
        <v>15</v>
      </c>
      <c r="AG398" s="1396"/>
      <c r="DG398" s="573"/>
      <c r="DH398" s="188"/>
      <c r="DI398" s="1091"/>
      <c r="DJ398" s="1187"/>
    </row>
    <row r="399" spans="1:114" outlineLevel="1">
      <c r="A399" s="453"/>
      <c r="C399" s="51"/>
      <c r="D399" s="4294"/>
      <c r="E399" s="4293"/>
      <c r="F399" s="4292" t="s">
        <v>1814</v>
      </c>
      <c r="G399" s="4292"/>
      <c r="H399" s="4292"/>
      <c r="I399" s="3262" t="str">
        <f t="shared" si="61"/>
        <v>350751_2024_12_</v>
      </c>
      <c r="J399" s="3283">
        <f>J398</f>
        <v>15</v>
      </c>
      <c r="K399" s="2425"/>
      <c r="L399" s="3284" t="s">
        <v>1933</v>
      </c>
      <c r="M399" s="51"/>
      <c r="N399" s="561"/>
      <c r="O399" s="51"/>
      <c r="S399" s="52"/>
      <c r="T399" s="52"/>
      <c r="U399" s="52"/>
      <c r="V399" s="4293"/>
      <c r="W399" s="3262"/>
      <c r="X399" s="3285"/>
      <c r="Y399" s="3285">
        <v>15</v>
      </c>
      <c r="Z399" s="3286">
        <v>15</v>
      </c>
      <c r="AA399" s="3286">
        <v>15</v>
      </c>
      <c r="AB399" s="3287">
        <v>15</v>
      </c>
      <c r="AC399" s="3288">
        <v>15</v>
      </c>
      <c r="AD399" s="3282">
        <v>15</v>
      </c>
      <c r="AE399" s="3288">
        <v>15</v>
      </c>
      <c r="AF399" s="2236">
        <f t="shared" si="60"/>
        <v>15</v>
      </c>
      <c r="AG399" s="1396"/>
      <c r="DG399" s="573"/>
      <c r="DH399" s="188"/>
      <c r="DI399" s="1091"/>
      <c r="DJ399" s="1187"/>
    </row>
    <row r="400" spans="1:114" outlineLevel="1">
      <c r="A400" s="453"/>
      <c r="C400" s="51"/>
      <c r="D400" s="4294"/>
      <c r="E400" s="4293"/>
      <c r="F400" s="4338" t="s">
        <v>1816</v>
      </c>
      <c r="G400" s="4338"/>
      <c r="H400" s="4338"/>
      <c r="I400" s="1396" t="str">
        <f t="shared" si="61"/>
        <v>350800_2024_12_</v>
      </c>
      <c r="J400" s="1772">
        <v>16.032257819617371</v>
      </c>
      <c r="K400" s="1378"/>
      <c r="L400" s="1759" t="s">
        <v>1934</v>
      </c>
      <c r="M400" s="51"/>
      <c r="N400" s="561"/>
      <c r="O400" s="51"/>
      <c r="P400" s="52" t="s">
        <v>1946</v>
      </c>
      <c r="S400" s="52"/>
      <c r="T400" s="52"/>
      <c r="U400" s="52"/>
      <c r="V400" s="4293"/>
      <c r="W400" s="1396">
        <v>16</v>
      </c>
      <c r="X400" s="212">
        <v>16.350000000000001</v>
      </c>
      <c r="Y400" s="212">
        <v>16.36</v>
      </c>
      <c r="Z400" s="211">
        <v>16.36</v>
      </c>
      <c r="AA400" s="211">
        <v>16.36</v>
      </c>
      <c r="AB400" s="736">
        <v>16.028875215889464</v>
      </c>
      <c r="AC400" s="736">
        <v>16.027565046637211</v>
      </c>
      <c r="AD400" s="939">
        <v>16.025474924012158</v>
      </c>
      <c r="AE400" s="939">
        <v>16.032257819617371</v>
      </c>
      <c r="AF400" s="271">
        <f t="shared" si="60"/>
        <v>16.032257819617371</v>
      </c>
      <c r="AG400" s="1396"/>
      <c r="DG400" s="573"/>
      <c r="DH400" s="188"/>
      <c r="DI400" s="1091"/>
      <c r="DJ400" s="1187"/>
    </row>
    <row r="401" spans="1:114" outlineLevel="1">
      <c r="A401" s="453"/>
      <c r="C401" s="51"/>
      <c r="D401" s="4294"/>
      <c r="E401" s="4293"/>
      <c r="F401" s="4338" t="s">
        <v>1817</v>
      </c>
      <c r="G401" s="4338"/>
      <c r="H401" s="4338"/>
      <c r="I401" s="1396" t="str">
        <f t="shared" si="61"/>
        <v>350800_2024_12_</v>
      </c>
      <c r="J401" s="1758">
        <f>J400</f>
        <v>16.032257819617371</v>
      </c>
      <c r="K401" s="1378"/>
      <c r="L401" s="1759" t="s">
        <v>1934</v>
      </c>
      <c r="M401" s="51"/>
      <c r="N401" s="561"/>
      <c r="O401" s="51"/>
      <c r="P401" s="52" t="s">
        <v>1946</v>
      </c>
      <c r="S401" s="52"/>
      <c r="T401" s="52"/>
      <c r="U401" s="52"/>
      <c r="V401" s="4293"/>
      <c r="W401" s="1396">
        <v>16</v>
      </c>
      <c r="X401" s="212">
        <v>16.350000000000001</v>
      </c>
      <c r="Y401" s="212">
        <v>16.36</v>
      </c>
      <c r="Z401" s="211">
        <v>16.36</v>
      </c>
      <c r="AA401" s="211">
        <v>16.36</v>
      </c>
      <c r="AB401" s="736">
        <v>16.028875215889464</v>
      </c>
      <c r="AC401" s="736">
        <v>16.027565046637211</v>
      </c>
      <c r="AD401" s="736">
        <v>16.025474924012158</v>
      </c>
      <c r="AE401" s="736">
        <v>16.032257819617371</v>
      </c>
      <c r="AF401" s="271">
        <f t="shared" si="60"/>
        <v>16.032257819617371</v>
      </c>
      <c r="AG401" s="1396"/>
      <c r="DG401" s="573"/>
      <c r="DH401" s="188"/>
      <c r="DI401" s="1091"/>
      <c r="DJ401" s="1187"/>
    </row>
    <row r="402" spans="1:114" outlineLevel="1">
      <c r="A402" s="453"/>
      <c r="C402" s="51"/>
      <c r="D402" s="4294"/>
      <c r="E402" s="4293"/>
      <c r="F402" s="4338" t="s">
        <v>1819</v>
      </c>
      <c r="G402" s="4338"/>
      <c r="H402" s="4338"/>
      <c r="I402" s="1396" t="str">
        <f t="shared" si="61"/>
        <v>350850_2024_12_</v>
      </c>
      <c r="J402" s="1772">
        <v>16.037510692899918</v>
      </c>
      <c r="K402" s="1378"/>
      <c r="L402" s="1759" t="s">
        <v>1937</v>
      </c>
      <c r="M402" s="51"/>
      <c r="N402" s="561"/>
      <c r="O402" s="51"/>
      <c r="S402" s="52"/>
      <c r="T402" s="52"/>
      <c r="U402" s="52"/>
      <c r="V402" s="4293"/>
      <c r="W402" s="1396">
        <v>16</v>
      </c>
      <c r="X402" s="212">
        <v>16.350000000000001</v>
      </c>
      <c r="Y402" s="212">
        <v>16.37</v>
      </c>
      <c r="Z402" s="211">
        <v>16.37</v>
      </c>
      <c r="AA402" s="211">
        <v>16.37</v>
      </c>
      <c r="AB402" s="736">
        <v>16.036909448818896</v>
      </c>
      <c r="AC402" s="736">
        <v>16.031308411214955</v>
      </c>
      <c r="AD402" s="939">
        <v>16.037510692899918</v>
      </c>
      <c r="AE402" s="1043">
        <v>16.037510692899918</v>
      </c>
      <c r="AF402" s="271">
        <f t="shared" si="60"/>
        <v>16.037510692899918</v>
      </c>
      <c r="AG402" s="1396"/>
      <c r="DG402" s="573"/>
      <c r="DH402" s="188"/>
      <c r="DI402" s="1091"/>
      <c r="DJ402" s="1187"/>
    </row>
    <row r="403" spans="1:114" outlineLevel="1">
      <c r="A403" s="453"/>
      <c r="C403" s="51"/>
      <c r="D403" s="4294"/>
      <c r="E403" s="4293"/>
      <c r="F403" s="4338" t="s">
        <v>1821</v>
      </c>
      <c r="G403" s="4338"/>
      <c r="H403" s="4338"/>
      <c r="I403" s="1396" t="str">
        <f t="shared" si="61"/>
        <v>350900_2024_12_</v>
      </c>
      <c r="J403" s="1758">
        <v>16.035714285714285</v>
      </c>
      <c r="K403" s="1378"/>
      <c r="L403" s="1759" t="s">
        <v>1934</v>
      </c>
      <c r="M403" s="51"/>
      <c r="N403" s="561"/>
      <c r="O403" s="51"/>
      <c r="P403" s="52" t="s">
        <v>1946</v>
      </c>
      <c r="S403" s="52"/>
      <c r="T403" s="52"/>
      <c r="U403" s="52"/>
      <c r="V403" s="4293"/>
      <c r="W403" s="1396">
        <v>16</v>
      </c>
      <c r="X403" s="212">
        <v>16</v>
      </c>
      <c r="Y403" s="211">
        <v>16</v>
      </c>
      <c r="Z403" s="211">
        <v>16</v>
      </c>
      <c r="AA403" s="211">
        <v>16</v>
      </c>
      <c r="AB403" s="736">
        <v>16.040816326530614</v>
      </c>
      <c r="AC403" s="736">
        <v>16.006024096385541</v>
      </c>
      <c r="AD403" s="736">
        <v>16.005494505494507</v>
      </c>
      <c r="AE403" s="736">
        <v>16.035714285714285</v>
      </c>
      <c r="AF403" s="271">
        <f t="shared" si="60"/>
        <v>16.035714285714285</v>
      </c>
      <c r="AG403" s="1396"/>
      <c r="DG403" s="573"/>
      <c r="DH403" s="188"/>
      <c r="DI403" s="1091"/>
      <c r="DJ403" s="1187"/>
    </row>
    <row r="404" spans="1:114" outlineLevel="1">
      <c r="A404" s="453"/>
      <c r="C404" s="51"/>
      <c r="D404" s="4294"/>
      <c r="E404" s="4293"/>
      <c r="F404" s="4338" t="s">
        <v>1822</v>
      </c>
      <c r="G404" s="4338"/>
      <c r="H404" s="4338"/>
      <c r="I404" s="1396" t="str">
        <f t="shared" si="61"/>
        <v>350900_2024_12_</v>
      </c>
      <c r="J404" s="1758">
        <f>J403</f>
        <v>16.035714285714285</v>
      </c>
      <c r="K404" s="1378"/>
      <c r="L404" s="1759" t="s">
        <v>1934</v>
      </c>
      <c r="M404" s="51"/>
      <c r="N404" s="561"/>
      <c r="O404" s="51"/>
      <c r="P404" s="52" t="s">
        <v>1946</v>
      </c>
      <c r="S404" s="52"/>
      <c r="T404" s="52"/>
      <c r="U404" s="52"/>
      <c r="V404" s="4293"/>
      <c r="W404" s="1396">
        <v>16</v>
      </c>
      <c r="X404" s="212">
        <v>16</v>
      </c>
      <c r="Y404" s="211">
        <v>16</v>
      </c>
      <c r="Z404" s="211">
        <v>16</v>
      </c>
      <c r="AA404" s="211">
        <v>16</v>
      </c>
      <c r="AB404" s="736">
        <v>16.040816326530614</v>
      </c>
      <c r="AC404" s="736">
        <v>16.006024096385541</v>
      </c>
      <c r="AD404" s="736">
        <v>16.005494505494507</v>
      </c>
      <c r="AE404" s="736">
        <v>16.035714285714285</v>
      </c>
      <c r="AF404" s="271">
        <f t="shared" si="60"/>
        <v>16.035714285714285</v>
      </c>
      <c r="AG404" s="1396"/>
      <c r="DG404" s="573"/>
      <c r="DH404" s="188"/>
      <c r="DI404" s="1091"/>
      <c r="DJ404" s="1187"/>
    </row>
    <row r="405" spans="1:114" outlineLevel="1">
      <c r="A405" s="453"/>
      <c r="C405" s="51"/>
      <c r="D405" s="4294"/>
      <c r="E405" s="4293"/>
      <c r="F405" s="4292" t="s">
        <v>1824</v>
      </c>
      <c r="G405" s="4292"/>
      <c r="H405" s="4292"/>
      <c r="I405" s="3262" t="str">
        <f t="shared" si="61"/>
        <v>350901_2024_12_</v>
      </c>
      <c r="J405" s="3283">
        <f>J403</f>
        <v>16.035714285714285</v>
      </c>
      <c r="K405" s="2425"/>
      <c r="L405" s="3267" t="s">
        <v>1933</v>
      </c>
      <c r="M405" s="51"/>
      <c r="N405" s="561"/>
      <c r="O405" s="51"/>
      <c r="S405" s="52"/>
      <c r="T405" s="52"/>
      <c r="U405" s="52"/>
      <c r="V405" s="4293"/>
      <c r="W405" s="3262"/>
      <c r="X405" s="3285"/>
      <c r="Y405" s="3286">
        <v>16</v>
      </c>
      <c r="Z405" s="3286">
        <v>16</v>
      </c>
      <c r="AA405" s="3286">
        <v>16</v>
      </c>
      <c r="AB405" s="3287">
        <v>16</v>
      </c>
      <c r="AC405" s="3288">
        <v>16</v>
      </c>
      <c r="AD405" s="3282">
        <v>16.005494505494507</v>
      </c>
      <c r="AE405" s="3282">
        <v>16.035714285714285</v>
      </c>
      <c r="AF405" s="2236">
        <f t="shared" si="60"/>
        <v>16.035714285714285</v>
      </c>
      <c r="AG405" s="1396"/>
      <c r="DG405" s="573"/>
      <c r="DH405" s="188"/>
      <c r="DI405" s="1091"/>
      <c r="DJ405" s="1187"/>
    </row>
    <row r="406" spans="1:114" outlineLevel="1">
      <c r="A406" s="453"/>
      <c r="C406" s="51"/>
      <c r="D406" s="4294"/>
      <c r="E406" s="4293"/>
      <c r="F406" s="4292" t="s">
        <v>1825</v>
      </c>
      <c r="G406" s="4292"/>
      <c r="H406" s="4292"/>
      <c r="I406" s="3262" t="str">
        <f t="shared" si="61"/>
        <v>350901_2024_12_</v>
      </c>
      <c r="J406" s="3283">
        <f>J404</f>
        <v>16.035714285714285</v>
      </c>
      <c r="K406" s="2425"/>
      <c r="L406" s="3267" t="s">
        <v>1933</v>
      </c>
      <c r="M406" s="51"/>
      <c r="N406" s="561"/>
      <c r="O406" s="51"/>
      <c r="S406" s="52"/>
      <c r="T406" s="52"/>
      <c r="U406" s="52"/>
      <c r="V406" s="4293"/>
      <c r="W406" s="3262"/>
      <c r="X406" s="3285"/>
      <c r="Y406" s="3286">
        <v>16</v>
      </c>
      <c r="Z406" s="3286">
        <v>16</v>
      </c>
      <c r="AA406" s="3286">
        <v>16</v>
      </c>
      <c r="AB406" s="3287">
        <v>16</v>
      </c>
      <c r="AC406" s="3288">
        <v>16</v>
      </c>
      <c r="AD406" s="3282">
        <v>16.005494505494507</v>
      </c>
      <c r="AE406" s="3282">
        <v>16.035714285714285</v>
      </c>
      <c r="AF406" s="2236">
        <f t="shared" si="60"/>
        <v>16.035714285714285</v>
      </c>
      <c r="AG406" s="1396"/>
      <c r="DG406" s="573"/>
      <c r="DH406" s="188"/>
      <c r="DI406" s="1091"/>
      <c r="DJ406" s="1187"/>
    </row>
    <row r="407" spans="1:114" outlineLevel="1">
      <c r="A407" s="453"/>
      <c r="C407" s="51"/>
      <c r="D407" s="4294"/>
      <c r="E407" s="4293"/>
      <c r="F407" s="4292" t="s">
        <v>1827</v>
      </c>
      <c r="G407" s="4292"/>
      <c r="H407" s="4292"/>
      <c r="I407" s="3262" t="str">
        <f t="shared" si="61"/>
        <v>350950_2024_12_</v>
      </c>
      <c r="J407" s="3283">
        <v>16.020833333333332</v>
      </c>
      <c r="K407" s="2425"/>
      <c r="L407" s="3272" t="s">
        <v>1937</v>
      </c>
      <c r="M407" s="51"/>
      <c r="N407" s="561"/>
      <c r="O407" s="51"/>
      <c r="S407" s="52"/>
      <c r="T407" s="52"/>
      <c r="U407" s="52"/>
      <c r="V407" s="4293"/>
      <c r="W407" s="3262">
        <v>16</v>
      </c>
      <c r="X407" s="3285">
        <v>16</v>
      </c>
      <c r="Y407" s="3286">
        <v>16</v>
      </c>
      <c r="Z407" s="3286">
        <v>16</v>
      </c>
      <c r="AA407" s="3286">
        <v>16</v>
      </c>
      <c r="AB407" s="3282">
        <v>16</v>
      </c>
      <c r="AC407" s="3288">
        <v>16</v>
      </c>
      <c r="AD407" s="3282">
        <v>16.020833333333332</v>
      </c>
      <c r="AE407" s="3288">
        <v>16.020833333333332</v>
      </c>
      <c r="AF407" s="2236">
        <f t="shared" si="60"/>
        <v>16.020833333333332</v>
      </c>
      <c r="AG407" s="1396"/>
      <c r="DG407" s="573"/>
      <c r="DH407" s="188"/>
      <c r="DI407" s="1091"/>
      <c r="DJ407" s="1187"/>
    </row>
    <row r="408" spans="1:114" outlineLevel="1">
      <c r="A408" s="453"/>
      <c r="C408" s="51"/>
      <c r="D408" s="4294"/>
      <c r="E408" s="4293"/>
      <c r="F408" s="4292" t="s">
        <v>1829</v>
      </c>
      <c r="G408" s="4292"/>
      <c r="H408" s="4292"/>
      <c r="I408" s="3262" t="str">
        <f t="shared" si="61"/>
        <v>350951_2024_12_</v>
      </c>
      <c r="J408" s="3283">
        <f>J407</f>
        <v>16.020833333333332</v>
      </c>
      <c r="K408" s="2425"/>
      <c r="L408" s="3267" t="s">
        <v>1933</v>
      </c>
      <c r="M408" s="51"/>
      <c r="N408" s="561"/>
      <c r="O408" s="51"/>
      <c r="S408" s="52"/>
      <c r="T408" s="52"/>
      <c r="U408" s="52"/>
      <c r="V408" s="4293"/>
      <c r="W408" s="3262"/>
      <c r="X408" s="3285"/>
      <c r="Y408" s="3286">
        <v>16</v>
      </c>
      <c r="Z408" s="3286">
        <v>16</v>
      </c>
      <c r="AA408" s="3286">
        <v>16</v>
      </c>
      <c r="AB408" s="3287">
        <v>16</v>
      </c>
      <c r="AC408" s="3288">
        <v>16</v>
      </c>
      <c r="AD408" s="3282">
        <v>16.020833333333332</v>
      </c>
      <c r="AE408" s="3288">
        <v>16.020833333333332</v>
      </c>
      <c r="AF408" s="2236">
        <f t="shared" si="60"/>
        <v>16.020833333333332</v>
      </c>
      <c r="AG408" s="1396"/>
      <c r="DG408" s="573"/>
      <c r="DH408" s="188"/>
      <c r="DI408" s="1091"/>
      <c r="DJ408" s="1187"/>
    </row>
    <row r="409" spans="1:114" outlineLevel="1">
      <c r="A409" s="453"/>
      <c r="C409" s="51"/>
      <c r="D409" s="4294"/>
      <c r="E409" s="4293"/>
      <c r="F409" s="4338" t="s">
        <v>1831</v>
      </c>
      <c r="G409" s="4338"/>
      <c r="H409" s="4338"/>
      <c r="I409" s="1396" t="str">
        <f t="shared" si="61"/>
        <v>351000_2024_12_</v>
      </c>
      <c r="J409" s="1758">
        <v>17.076594157862026</v>
      </c>
      <c r="K409" s="1378"/>
      <c r="L409" s="1759" t="s">
        <v>1937</v>
      </c>
      <c r="M409" s="51"/>
      <c r="N409" s="561"/>
      <c r="O409" s="51"/>
      <c r="S409" s="52"/>
      <c r="T409" s="52"/>
      <c r="U409" s="52"/>
      <c r="V409" s="4293"/>
      <c r="W409" s="1396">
        <v>17</v>
      </c>
      <c r="X409" s="211">
        <f t="shared" ref="X409:X416" si="62">W409</f>
        <v>17</v>
      </c>
      <c r="Y409" s="211">
        <v>17</v>
      </c>
      <c r="Z409" s="211">
        <v>17</v>
      </c>
      <c r="AA409" s="211">
        <v>17</v>
      </c>
      <c r="AB409" s="736">
        <v>17.598210862619805</v>
      </c>
      <c r="AC409" s="736">
        <v>17.256511771995044</v>
      </c>
      <c r="AD409" s="736">
        <v>17.076594157862026</v>
      </c>
      <c r="AE409" s="741">
        <v>17.076594157862026</v>
      </c>
      <c r="AF409" s="271">
        <f t="shared" si="60"/>
        <v>17.076594157862026</v>
      </c>
      <c r="AG409" s="1396"/>
      <c r="DG409" s="573"/>
      <c r="DH409" s="188"/>
      <c r="DI409" s="1091"/>
      <c r="DJ409" s="1187"/>
    </row>
    <row r="410" spans="1:114" ht="14.65" customHeight="1" outlineLevel="1">
      <c r="A410" s="453"/>
      <c r="C410" s="51"/>
      <c r="D410" s="4294"/>
      <c r="E410" s="4293"/>
      <c r="F410" s="4338" t="s">
        <v>1832</v>
      </c>
      <c r="G410" s="4338"/>
      <c r="H410" s="4338"/>
      <c r="I410" s="1396" t="str">
        <f t="shared" si="61"/>
        <v>351000_2024_12_</v>
      </c>
      <c r="J410" s="1758">
        <f>J409</f>
        <v>17.076594157862026</v>
      </c>
      <c r="K410" s="1378"/>
      <c r="L410" s="1759" t="s">
        <v>1937</v>
      </c>
      <c r="M410" s="51"/>
      <c r="N410" s="561"/>
      <c r="O410" s="51"/>
      <c r="S410" s="52"/>
      <c r="T410" s="52"/>
      <c r="U410" s="52"/>
      <c r="V410" s="4293"/>
      <c r="W410" s="1396">
        <v>17</v>
      </c>
      <c r="X410" s="211">
        <f t="shared" si="62"/>
        <v>17</v>
      </c>
      <c r="Y410" s="211">
        <v>17</v>
      </c>
      <c r="Z410" s="211">
        <v>17</v>
      </c>
      <c r="AA410" s="211">
        <v>17</v>
      </c>
      <c r="AB410" s="736">
        <v>17.598210862619805</v>
      </c>
      <c r="AC410" s="736">
        <v>17.256511771995044</v>
      </c>
      <c r="AD410" s="736">
        <v>17.076594157862026</v>
      </c>
      <c r="AE410" s="741">
        <v>17.076594157862026</v>
      </c>
      <c r="AF410" s="271">
        <f t="shared" si="60"/>
        <v>17.076594157862026</v>
      </c>
      <c r="AG410" s="1396"/>
      <c r="DG410" s="573"/>
      <c r="DH410" s="188"/>
      <c r="DI410" s="1091"/>
      <c r="DJ410" s="1187"/>
    </row>
    <row r="411" spans="1:114" ht="14.65" customHeight="1" outlineLevel="1">
      <c r="A411" s="453"/>
      <c r="C411" s="51"/>
      <c r="D411" s="4294"/>
      <c r="E411" s="4293"/>
      <c r="F411" s="4338" t="s">
        <v>1834</v>
      </c>
      <c r="G411" s="4338"/>
      <c r="H411" s="4338"/>
      <c r="I411" s="1396" t="str">
        <f t="shared" si="61"/>
        <v>351050_2024_12_</v>
      </c>
      <c r="J411" s="1758">
        <v>17.056686930091182</v>
      </c>
      <c r="K411" s="1378"/>
      <c r="L411" s="1759" t="s">
        <v>1934</v>
      </c>
      <c r="M411" s="51"/>
      <c r="N411" s="561"/>
      <c r="O411" s="51"/>
      <c r="S411" s="52"/>
      <c r="T411" s="52"/>
      <c r="U411" s="52"/>
      <c r="V411" s="4293"/>
      <c r="W411" s="1396">
        <v>17</v>
      </c>
      <c r="X411" s="211">
        <f t="shared" si="62"/>
        <v>17</v>
      </c>
      <c r="Y411" s="211">
        <v>17</v>
      </c>
      <c r="Z411" s="211">
        <v>17</v>
      </c>
      <c r="AA411" s="211">
        <v>17</v>
      </c>
      <c r="AB411" s="736">
        <v>17.546938775510206</v>
      </c>
      <c r="AC411" s="736">
        <v>17.227010869565216</v>
      </c>
      <c r="AD411" s="736">
        <v>17.078014184397162</v>
      </c>
      <c r="AE411" s="736">
        <v>17.056686930091182</v>
      </c>
      <c r="AF411" s="271">
        <f t="shared" si="60"/>
        <v>17.056686930091182</v>
      </c>
      <c r="AG411" s="1396"/>
      <c r="DG411" s="573"/>
      <c r="DH411" s="188"/>
      <c r="DI411" s="1091"/>
      <c r="DJ411" s="1187"/>
    </row>
    <row r="412" spans="1:114" ht="14.65" customHeight="1" outlineLevel="1">
      <c r="A412" s="453"/>
      <c r="C412" s="51"/>
      <c r="D412" s="4294"/>
      <c r="E412" s="4293"/>
      <c r="F412" s="4292" t="s">
        <v>1836</v>
      </c>
      <c r="G412" s="4292"/>
      <c r="H412" s="4292"/>
      <c r="I412" s="3262" t="str">
        <f t="shared" si="61"/>
        <v>351100_2024_12_</v>
      </c>
      <c r="J412" s="3283">
        <v>17.146666666666665</v>
      </c>
      <c r="K412" s="2425"/>
      <c r="L412" s="3272" t="s">
        <v>1934</v>
      </c>
      <c r="M412" s="51"/>
      <c r="N412" s="561"/>
      <c r="O412" s="51"/>
      <c r="S412" s="52"/>
      <c r="T412" s="52"/>
      <c r="U412" s="52"/>
      <c r="V412" s="4293"/>
      <c r="W412" s="3262">
        <v>17</v>
      </c>
      <c r="X412" s="3286">
        <f t="shared" si="62"/>
        <v>17</v>
      </c>
      <c r="Y412" s="3286">
        <v>17</v>
      </c>
      <c r="Z412" s="3286">
        <v>17</v>
      </c>
      <c r="AA412" s="3286">
        <v>17</v>
      </c>
      <c r="AB412" s="3282">
        <v>17.136363636363637</v>
      </c>
      <c r="AC412" s="3282">
        <v>17.15625</v>
      </c>
      <c r="AD412" s="3282">
        <v>17.055555555555557</v>
      </c>
      <c r="AE412" s="3282">
        <v>17.146666666666665</v>
      </c>
      <c r="AF412" s="2236">
        <f t="shared" si="60"/>
        <v>17.146666666666665</v>
      </c>
      <c r="AG412" s="1396"/>
      <c r="DG412" s="573"/>
      <c r="DH412" s="188"/>
      <c r="DI412" s="1091"/>
      <c r="DJ412" s="1187"/>
    </row>
    <row r="413" spans="1:114" ht="14.65" customHeight="1" outlineLevel="1">
      <c r="A413" s="453"/>
      <c r="C413" s="51"/>
      <c r="D413" s="4294"/>
      <c r="E413" s="4293"/>
      <c r="F413" s="4292" t="s">
        <v>1837</v>
      </c>
      <c r="G413" s="4292"/>
      <c r="H413" s="4292"/>
      <c r="I413" s="3262" t="str">
        <f t="shared" si="61"/>
        <v>351100_2024_12_</v>
      </c>
      <c r="J413" s="3283">
        <f>J412</f>
        <v>17.146666666666665</v>
      </c>
      <c r="K413" s="2425"/>
      <c r="L413" s="3272" t="s">
        <v>1934</v>
      </c>
      <c r="M413" s="51"/>
      <c r="N413" s="561"/>
      <c r="O413" s="51"/>
      <c r="S413" s="52"/>
      <c r="T413" s="52"/>
      <c r="U413" s="52"/>
      <c r="V413" s="4293"/>
      <c r="W413" s="3262">
        <v>17</v>
      </c>
      <c r="X413" s="3286">
        <f t="shared" si="62"/>
        <v>17</v>
      </c>
      <c r="Y413" s="3286">
        <v>17</v>
      </c>
      <c r="Z413" s="3286">
        <v>17</v>
      </c>
      <c r="AA413" s="3286">
        <v>17</v>
      </c>
      <c r="AB413" s="3282">
        <v>17.136363636363637</v>
      </c>
      <c r="AC413" s="3282">
        <v>17.15625</v>
      </c>
      <c r="AD413" s="3282">
        <v>17.055555555555557</v>
      </c>
      <c r="AE413" s="3282">
        <v>17.146666666666665</v>
      </c>
      <c r="AF413" s="2236">
        <f t="shared" si="60"/>
        <v>17.146666666666665</v>
      </c>
      <c r="AG413" s="1396"/>
      <c r="DG413" s="573"/>
      <c r="DH413" s="188"/>
      <c r="DI413" s="1091"/>
      <c r="DJ413" s="1187"/>
    </row>
    <row r="414" spans="1:114" ht="14.65" customHeight="1" outlineLevel="1">
      <c r="A414" s="453"/>
      <c r="C414" s="51"/>
      <c r="D414" s="4294"/>
      <c r="E414" s="4293"/>
      <c r="F414" s="4292" t="s">
        <v>1839</v>
      </c>
      <c r="G414" s="4292"/>
      <c r="H414" s="4292"/>
      <c r="I414" s="3262" t="str">
        <f t="shared" si="61"/>
        <v>351101_2024_12_</v>
      </c>
      <c r="J414" s="3283">
        <f>J412</f>
        <v>17.146666666666665</v>
      </c>
      <c r="K414" s="2425"/>
      <c r="L414" s="3267" t="s">
        <v>1933</v>
      </c>
      <c r="M414" s="51"/>
      <c r="N414" s="561"/>
      <c r="O414" s="51"/>
      <c r="S414" s="52"/>
      <c r="T414" s="52"/>
      <c r="U414" s="52"/>
      <c r="V414" s="4293"/>
      <c r="W414" s="3262"/>
      <c r="X414" s="3286"/>
      <c r="Y414" s="3286">
        <v>17</v>
      </c>
      <c r="Z414" s="3286">
        <v>17</v>
      </c>
      <c r="AA414" s="3286">
        <v>17</v>
      </c>
      <c r="AB414" s="3287">
        <v>17</v>
      </c>
      <c r="AC414" s="3288">
        <v>17</v>
      </c>
      <c r="AD414" s="3282">
        <v>17.055555555555557</v>
      </c>
      <c r="AE414" s="3282">
        <v>17.146666666666665</v>
      </c>
      <c r="AF414" s="2236">
        <f t="shared" si="60"/>
        <v>17.146666666666665</v>
      </c>
      <c r="AG414" s="1396"/>
      <c r="DG414" s="573"/>
      <c r="DH414" s="188"/>
      <c r="DI414" s="1091"/>
      <c r="DJ414" s="1187"/>
    </row>
    <row r="415" spans="1:114" ht="14.65" customHeight="1" outlineLevel="1">
      <c r="A415" s="453"/>
      <c r="C415" s="51"/>
      <c r="D415" s="4294"/>
      <c r="E415" s="4293"/>
      <c r="F415" s="4292" t="s">
        <v>1840</v>
      </c>
      <c r="G415" s="4292"/>
      <c r="H415" s="4292"/>
      <c r="I415" s="3262" t="str">
        <f t="shared" si="61"/>
        <v>351101_2024_12_</v>
      </c>
      <c r="J415" s="3283">
        <f>J413</f>
        <v>17.146666666666665</v>
      </c>
      <c r="K415" s="2425"/>
      <c r="L415" s="3267" t="s">
        <v>1933</v>
      </c>
      <c r="M415" s="51"/>
      <c r="N415" s="553"/>
      <c r="O415" s="51"/>
      <c r="S415" s="52"/>
      <c r="T415" s="52"/>
      <c r="U415" s="52"/>
      <c r="V415" s="4293"/>
      <c r="W415" s="3262"/>
      <c r="X415" s="3286"/>
      <c r="Y415" s="3286">
        <v>17</v>
      </c>
      <c r="Z415" s="3286">
        <v>17</v>
      </c>
      <c r="AA415" s="3286">
        <v>17</v>
      </c>
      <c r="AB415" s="3287">
        <v>17</v>
      </c>
      <c r="AC415" s="3288">
        <v>17</v>
      </c>
      <c r="AD415" s="3282">
        <v>17.055555555555557</v>
      </c>
      <c r="AE415" s="3282">
        <v>17.146666666666665</v>
      </c>
      <c r="AF415" s="2236">
        <f t="shared" si="60"/>
        <v>17.146666666666665</v>
      </c>
      <c r="AG415" s="1396"/>
      <c r="DG415" s="573"/>
      <c r="DH415" s="188"/>
      <c r="DI415" s="1091"/>
      <c r="DJ415" s="1187"/>
    </row>
    <row r="416" spans="1:114" ht="15" customHeight="1" outlineLevel="1">
      <c r="A416" s="453"/>
      <c r="C416" s="51"/>
      <c r="D416" s="4294"/>
      <c r="E416" s="4293"/>
      <c r="F416" s="4292" t="s">
        <v>1842</v>
      </c>
      <c r="G416" s="4292"/>
      <c r="H416" s="4292"/>
      <c r="I416" s="3262" t="str">
        <f t="shared" si="61"/>
        <v>351150_2024_12_</v>
      </c>
      <c r="J416" s="3283">
        <v>17</v>
      </c>
      <c r="K416" s="2425"/>
      <c r="L416" s="3272" t="s">
        <v>1937</v>
      </c>
      <c r="M416" s="51"/>
      <c r="N416" s="561"/>
      <c r="O416" s="51"/>
      <c r="S416" s="52"/>
      <c r="T416" s="52"/>
      <c r="U416" s="52"/>
      <c r="V416" s="4293"/>
      <c r="W416" s="3262">
        <v>17</v>
      </c>
      <c r="X416" s="3286">
        <f t="shared" si="62"/>
        <v>17</v>
      </c>
      <c r="Y416" s="3286">
        <v>17</v>
      </c>
      <c r="Z416" s="3286">
        <v>17</v>
      </c>
      <c r="AA416" s="3286">
        <v>17</v>
      </c>
      <c r="AB416" s="3282">
        <v>17</v>
      </c>
      <c r="AC416" s="3288">
        <v>17</v>
      </c>
      <c r="AD416" s="3282">
        <v>17</v>
      </c>
      <c r="AE416" s="3288">
        <v>17</v>
      </c>
      <c r="AF416" s="2236">
        <f t="shared" si="60"/>
        <v>17</v>
      </c>
      <c r="AG416" s="1396"/>
      <c r="DG416" s="573"/>
      <c r="DH416" s="188"/>
      <c r="DI416" s="1091"/>
      <c r="DJ416" s="1187"/>
    </row>
    <row r="417" spans="1:114" ht="15" customHeight="1" outlineLevel="1">
      <c r="A417" s="453"/>
      <c r="C417" s="51"/>
      <c r="D417" s="4198"/>
      <c r="E417" s="4199"/>
      <c r="F417" s="4292" t="s">
        <v>1844</v>
      </c>
      <c r="G417" s="4292"/>
      <c r="H417" s="4292"/>
      <c r="I417" s="3262" t="str">
        <f t="shared" si="61"/>
        <v>351151_2024_12_</v>
      </c>
      <c r="J417" s="3283">
        <f>J416</f>
        <v>17</v>
      </c>
      <c r="K417" s="2425"/>
      <c r="L417" s="3267" t="s">
        <v>1933</v>
      </c>
      <c r="M417" s="51"/>
      <c r="N417" s="561"/>
      <c r="O417" s="51"/>
      <c r="S417" s="52"/>
      <c r="T417" s="52"/>
      <c r="U417" s="52"/>
      <c r="V417" s="4199"/>
      <c r="W417" s="3262"/>
      <c r="X417" s="3286"/>
      <c r="Y417" s="3286">
        <v>17</v>
      </c>
      <c r="Z417" s="3286">
        <v>17</v>
      </c>
      <c r="AA417" s="3286">
        <v>17</v>
      </c>
      <c r="AB417" s="3287">
        <v>17</v>
      </c>
      <c r="AC417" s="3288">
        <v>17</v>
      </c>
      <c r="AD417" s="3282">
        <v>17</v>
      </c>
      <c r="AE417" s="3288">
        <v>17</v>
      </c>
      <c r="AF417" s="2236">
        <f t="shared" si="60"/>
        <v>17</v>
      </c>
      <c r="AG417" s="1396"/>
      <c r="DG417" s="573"/>
      <c r="DH417" s="188"/>
      <c r="DI417" s="1091"/>
      <c r="DJ417" s="1187"/>
    </row>
    <row r="418" spans="1:114" ht="14.65" customHeight="1" outlineLevel="1">
      <c r="A418" s="453"/>
      <c r="C418" s="51"/>
      <c r="D418" s="4198"/>
      <c r="E418" s="4199"/>
      <c r="F418" s="4338" t="s">
        <v>1846</v>
      </c>
      <c r="G418" s="4338"/>
      <c r="H418" s="4338"/>
      <c r="I418" s="1396" t="str">
        <f t="shared" si="61"/>
        <v>351160_2024_12_</v>
      </c>
      <c r="J418" s="1772">
        <v>18.005837563451777</v>
      </c>
      <c r="K418" s="1378"/>
      <c r="L418" s="1759" t="s">
        <v>1937</v>
      </c>
      <c r="M418" s="51"/>
      <c r="N418" s="561"/>
      <c r="O418" s="51"/>
      <c r="P418" s="635" t="s">
        <v>1946</v>
      </c>
      <c r="S418" s="52"/>
      <c r="T418" s="52"/>
      <c r="U418" s="52"/>
      <c r="V418" s="4199"/>
      <c r="W418" s="1396"/>
      <c r="X418" s="212"/>
      <c r="Y418" s="212"/>
      <c r="Z418" s="833">
        <v>18</v>
      </c>
      <c r="AA418" s="211">
        <v>18</v>
      </c>
      <c r="AB418" s="953">
        <v>18</v>
      </c>
      <c r="AC418" s="736">
        <v>18.00561797752809</v>
      </c>
      <c r="AD418" s="939">
        <v>18.005837563451777</v>
      </c>
      <c r="AE418" s="1043">
        <v>18.005837563451777</v>
      </c>
      <c r="AF418" s="271">
        <f t="shared" si="60"/>
        <v>18.005837563451777</v>
      </c>
      <c r="AG418" s="1396"/>
      <c r="DG418" s="573"/>
      <c r="DH418" s="188"/>
      <c r="DI418" s="1091"/>
      <c r="DJ418" s="1187"/>
    </row>
    <row r="419" spans="1:114" ht="14.65" customHeight="1" outlineLevel="1">
      <c r="A419" s="453"/>
      <c r="C419" s="51"/>
      <c r="D419" s="4198"/>
      <c r="E419" s="4199"/>
      <c r="F419" s="4338" t="s">
        <v>1847</v>
      </c>
      <c r="G419" s="4338"/>
      <c r="H419" s="4338"/>
      <c r="I419" s="1396" t="str">
        <f t="shared" si="61"/>
        <v>351160_2024_12_</v>
      </c>
      <c r="J419" s="1758">
        <f>J418</f>
        <v>18.005837563451777</v>
      </c>
      <c r="K419" s="1378"/>
      <c r="L419" s="1759" t="s">
        <v>1937</v>
      </c>
      <c r="M419" s="51"/>
      <c r="N419" s="561"/>
      <c r="O419" s="51"/>
      <c r="P419" s="635" t="s">
        <v>1946</v>
      </c>
      <c r="S419" s="52"/>
      <c r="T419" s="52"/>
      <c r="U419" s="52"/>
      <c r="V419" s="4199"/>
      <c r="W419" s="1396"/>
      <c r="X419" s="212"/>
      <c r="Y419" s="212"/>
      <c r="Z419" s="833">
        <v>18</v>
      </c>
      <c r="AA419" s="211">
        <v>18</v>
      </c>
      <c r="AB419" s="953">
        <v>18</v>
      </c>
      <c r="AC419" s="953">
        <v>18</v>
      </c>
      <c r="AD419" s="736">
        <v>18.005837563451777</v>
      </c>
      <c r="AE419" s="741">
        <v>18.005837563451777</v>
      </c>
      <c r="AF419" s="271">
        <f t="shared" si="60"/>
        <v>18.005837563451777</v>
      </c>
      <c r="AG419" s="1396"/>
      <c r="DG419" s="573"/>
      <c r="DH419" s="188"/>
      <c r="DI419" s="1091"/>
      <c r="DJ419" s="1187"/>
    </row>
    <row r="420" spans="1:114" ht="14.65" customHeight="1" outlineLevel="1">
      <c r="A420" s="453"/>
      <c r="C420" s="51"/>
      <c r="D420" s="4198"/>
      <c r="E420" s="4199"/>
      <c r="F420" s="4338" t="s">
        <v>1849</v>
      </c>
      <c r="G420" s="4338"/>
      <c r="H420" s="4338"/>
      <c r="I420" s="1396" t="str">
        <f t="shared" si="61"/>
        <v>351161_2024_12_</v>
      </c>
      <c r="J420" s="1772">
        <v>18</v>
      </c>
      <c r="K420" s="1378"/>
      <c r="L420" s="1759" t="s">
        <v>1937</v>
      </c>
      <c r="M420" s="51"/>
      <c r="N420" s="561"/>
      <c r="O420" s="51"/>
      <c r="S420" s="52"/>
      <c r="T420" s="52"/>
      <c r="U420" s="52"/>
      <c r="V420" s="4199"/>
      <c r="W420" s="1396"/>
      <c r="X420" s="212"/>
      <c r="Y420" s="212"/>
      <c r="Z420" s="833">
        <v>18</v>
      </c>
      <c r="AA420" s="211">
        <v>18</v>
      </c>
      <c r="AB420" s="953">
        <v>18</v>
      </c>
      <c r="AC420" s="736">
        <v>18.012820512820515</v>
      </c>
      <c r="AD420" s="939">
        <v>18</v>
      </c>
      <c r="AE420" s="1043">
        <v>18</v>
      </c>
      <c r="AF420" s="271">
        <f t="shared" si="60"/>
        <v>18</v>
      </c>
      <c r="AG420" s="1396"/>
      <c r="DG420" s="573"/>
      <c r="DH420" s="188"/>
      <c r="DI420" s="1091"/>
      <c r="DJ420" s="1187"/>
    </row>
    <row r="421" spans="1:114" outlineLevel="1">
      <c r="A421" s="453"/>
      <c r="C421" s="51"/>
      <c r="D421" s="4198"/>
      <c r="E421" s="4199"/>
      <c r="F421" s="4292" t="s">
        <v>1851</v>
      </c>
      <c r="G421" s="4292"/>
      <c r="H421" s="4292"/>
      <c r="I421" s="3262" t="str">
        <f t="shared" si="61"/>
        <v>351162_2024_12_</v>
      </c>
      <c r="J421" s="3289">
        <v>18</v>
      </c>
      <c r="K421" s="2425"/>
      <c r="L421" s="3272" t="s">
        <v>1937</v>
      </c>
      <c r="M421" s="2205"/>
      <c r="N421" s="3291"/>
      <c r="O421" s="2205"/>
      <c r="P421" s="635" t="s">
        <v>1946</v>
      </c>
      <c r="S421" s="52"/>
      <c r="T421" s="52"/>
      <c r="U421" s="52"/>
      <c r="V421" s="4199"/>
      <c r="W421" s="1396"/>
      <c r="X421" s="212"/>
      <c r="Y421" s="212"/>
      <c r="Z421" s="3265">
        <v>18</v>
      </c>
      <c r="AA421" s="3286">
        <v>18</v>
      </c>
      <c r="AB421" s="3287">
        <v>18</v>
      </c>
      <c r="AC421" s="3288">
        <v>18</v>
      </c>
      <c r="AD421" s="3290">
        <v>18</v>
      </c>
      <c r="AE421" s="3292">
        <v>18</v>
      </c>
      <c r="AF421" s="2236">
        <f t="shared" si="60"/>
        <v>18</v>
      </c>
      <c r="AG421" s="1396"/>
      <c r="DG421" s="573"/>
      <c r="DH421" s="188"/>
      <c r="DI421" s="1091"/>
      <c r="DJ421" s="1187"/>
    </row>
    <row r="422" spans="1:114" outlineLevel="1">
      <c r="A422" s="453"/>
      <c r="C422" s="51"/>
      <c r="D422" s="4198"/>
      <c r="E422" s="4199"/>
      <c r="F422" s="4292" t="s">
        <v>1852</v>
      </c>
      <c r="G422" s="4292"/>
      <c r="H422" s="4292"/>
      <c r="I422" s="3262" t="str">
        <f t="shared" si="61"/>
        <v>351162_2024_12_</v>
      </c>
      <c r="J422" s="3289">
        <f>J421</f>
        <v>18</v>
      </c>
      <c r="K422" s="2425"/>
      <c r="L422" s="3272" t="s">
        <v>1937</v>
      </c>
      <c r="M422" s="2205"/>
      <c r="N422" s="3291"/>
      <c r="O422" s="2205"/>
      <c r="P422" s="635" t="s">
        <v>1946</v>
      </c>
      <c r="S422" s="52"/>
      <c r="T422" s="52"/>
      <c r="U422" s="52"/>
      <c r="V422" s="4199"/>
      <c r="W422" s="1396"/>
      <c r="X422" s="212"/>
      <c r="Y422" s="212"/>
      <c r="Z422" s="3265">
        <v>18</v>
      </c>
      <c r="AA422" s="3286">
        <v>18</v>
      </c>
      <c r="AB422" s="3287">
        <v>18</v>
      </c>
      <c r="AC422" s="3288">
        <v>18</v>
      </c>
      <c r="AD422" s="3290">
        <v>18</v>
      </c>
      <c r="AE422" s="3292">
        <v>18</v>
      </c>
      <c r="AF422" s="2236">
        <f t="shared" ref="AF422:AF485" si="63">IF(J422&lt;&gt;"",J422,"")</f>
        <v>18</v>
      </c>
      <c r="AG422" s="1396"/>
      <c r="DG422" s="573"/>
      <c r="DH422" s="188"/>
      <c r="DI422" s="1091"/>
      <c r="DJ422" s="1187"/>
    </row>
    <row r="423" spans="1:114" outlineLevel="1">
      <c r="A423" s="453"/>
      <c r="C423" s="51"/>
      <c r="D423" s="4198"/>
      <c r="E423" s="4199"/>
      <c r="F423" s="4292" t="s">
        <v>1854</v>
      </c>
      <c r="G423" s="4292"/>
      <c r="H423" s="4292"/>
      <c r="I423" s="3262" t="str">
        <f t="shared" si="61"/>
        <v>351163_2024_12_</v>
      </c>
      <c r="J423" s="3289">
        <f>J421</f>
        <v>18</v>
      </c>
      <c r="K423" s="2425"/>
      <c r="L423" s="3267" t="s">
        <v>1933</v>
      </c>
      <c r="M423" s="2205"/>
      <c r="N423" s="3291"/>
      <c r="O423" s="2205"/>
      <c r="P423" s="635"/>
      <c r="S423" s="52"/>
      <c r="T423" s="52"/>
      <c r="U423" s="52"/>
      <c r="V423" s="4199"/>
      <c r="W423" s="1396"/>
      <c r="X423" s="212"/>
      <c r="Y423" s="212"/>
      <c r="Z423" s="3265">
        <v>18</v>
      </c>
      <c r="AA423" s="3286">
        <v>18</v>
      </c>
      <c r="AB423" s="3287">
        <v>18</v>
      </c>
      <c r="AC423" s="3288">
        <v>18</v>
      </c>
      <c r="AD423" s="3290">
        <v>18</v>
      </c>
      <c r="AE423" s="3292">
        <v>18</v>
      </c>
      <c r="AF423" s="2236">
        <f t="shared" si="63"/>
        <v>18</v>
      </c>
      <c r="AG423" s="1396"/>
      <c r="DG423" s="573"/>
      <c r="DH423" s="188"/>
      <c r="DI423" s="1091"/>
      <c r="DJ423" s="1187"/>
    </row>
    <row r="424" spans="1:114" outlineLevel="1">
      <c r="A424" s="453"/>
      <c r="C424" s="51"/>
      <c r="D424" s="4198"/>
      <c r="E424" s="4199"/>
      <c r="F424" s="4292" t="s">
        <v>1855</v>
      </c>
      <c r="G424" s="4292"/>
      <c r="H424" s="4292"/>
      <c r="I424" s="3262" t="str">
        <f t="shared" si="61"/>
        <v>351163_2024_12_</v>
      </c>
      <c r="J424" s="3289">
        <f>J422</f>
        <v>18</v>
      </c>
      <c r="K424" s="2425"/>
      <c r="L424" s="3267" t="s">
        <v>1933</v>
      </c>
      <c r="M424" s="2205"/>
      <c r="N424" s="3291"/>
      <c r="O424" s="2205"/>
      <c r="P424" s="635"/>
      <c r="S424" s="52"/>
      <c r="T424" s="52"/>
      <c r="U424" s="52"/>
      <c r="V424" s="4199"/>
      <c r="W424" s="1396"/>
      <c r="X424" s="212"/>
      <c r="Y424" s="212"/>
      <c r="Z424" s="3265">
        <v>18</v>
      </c>
      <c r="AA424" s="3286">
        <v>18</v>
      </c>
      <c r="AB424" s="3287">
        <v>18</v>
      </c>
      <c r="AC424" s="3288">
        <v>18</v>
      </c>
      <c r="AD424" s="3290">
        <v>18</v>
      </c>
      <c r="AE424" s="3292">
        <v>18</v>
      </c>
      <c r="AF424" s="2236">
        <f t="shared" si="63"/>
        <v>18</v>
      </c>
      <c r="AG424" s="1396"/>
      <c r="DG424" s="573"/>
      <c r="DH424" s="188"/>
      <c r="DI424" s="1091"/>
      <c r="DJ424" s="1187"/>
    </row>
    <row r="425" spans="1:114" outlineLevel="1">
      <c r="A425" s="453"/>
      <c r="C425" s="51"/>
      <c r="D425" s="4198"/>
      <c r="E425" s="4199"/>
      <c r="F425" s="4292" t="s">
        <v>1857</v>
      </c>
      <c r="G425" s="4292"/>
      <c r="H425" s="4292"/>
      <c r="I425" s="3262" t="str">
        <f t="shared" si="61"/>
        <v>351164_2024_12_</v>
      </c>
      <c r="J425" s="3283">
        <v>18</v>
      </c>
      <c r="K425" s="2425"/>
      <c r="L425" s="3272" t="s">
        <v>1938</v>
      </c>
      <c r="M425" s="2205"/>
      <c r="N425" s="3291"/>
      <c r="O425" s="2205"/>
      <c r="P425" s="635"/>
      <c r="S425" s="52"/>
      <c r="T425" s="52"/>
      <c r="U425" s="52"/>
      <c r="V425" s="4199"/>
      <c r="W425" s="1396"/>
      <c r="X425" s="212"/>
      <c r="Y425" s="212"/>
      <c r="Z425" s="3265">
        <v>18</v>
      </c>
      <c r="AA425" s="3286">
        <v>18</v>
      </c>
      <c r="AB425" s="3287">
        <v>18</v>
      </c>
      <c r="AC425" s="3288">
        <v>18</v>
      </c>
      <c r="AD425" s="3288">
        <v>18</v>
      </c>
      <c r="AE425" s="3288">
        <v>18</v>
      </c>
      <c r="AF425" s="2236">
        <f t="shared" si="63"/>
        <v>18</v>
      </c>
      <c r="AG425" s="1396"/>
      <c r="DG425" s="573"/>
      <c r="DH425" s="188"/>
      <c r="DI425" s="1091"/>
      <c r="DJ425" s="1187"/>
    </row>
    <row r="426" spans="1:114" outlineLevel="1">
      <c r="A426" s="453"/>
      <c r="C426" s="51"/>
      <c r="D426" s="4198"/>
      <c r="E426" s="4199"/>
      <c r="F426" s="4292" t="s">
        <v>1859</v>
      </c>
      <c r="G426" s="4292"/>
      <c r="H426" s="4292"/>
      <c r="I426" s="3262" t="str">
        <f t="shared" si="61"/>
        <v>351165_2024_12_</v>
      </c>
      <c r="J426" s="3283">
        <f>J425</f>
        <v>18</v>
      </c>
      <c r="K426" s="2425"/>
      <c r="L426" s="3267" t="s">
        <v>1933</v>
      </c>
      <c r="M426" s="2205"/>
      <c r="N426" s="3291"/>
      <c r="O426" s="2205"/>
      <c r="P426" s="635"/>
      <c r="S426" s="52"/>
      <c r="T426" s="52"/>
      <c r="U426" s="52"/>
      <c r="V426" s="4199"/>
      <c r="W426" s="1396"/>
      <c r="X426" s="212"/>
      <c r="Y426" s="212"/>
      <c r="Z426" s="3265">
        <v>18</v>
      </c>
      <c r="AA426" s="3286">
        <v>18</v>
      </c>
      <c r="AB426" s="3287">
        <v>18</v>
      </c>
      <c r="AC426" s="3288">
        <v>18</v>
      </c>
      <c r="AD426" s="3282">
        <v>18</v>
      </c>
      <c r="AE426" s="3288">
        <v>18</v>
      </c>
      <c r="AF426" s="2236">
        <f t="shared" si="63"/>
        <v>18</v>
      </c>
      <c r="AG426" s="1396"/>
      <c r="DG426" s="573"/>
      <c r="DH426" s="188"/>
      <c r="DI426" s="1091"/>
      <c r="DJ426" s="1187"/>
    </row>
    <row r="427" spans="1:114" outlineLevel="1">
      <c r="A427" s="453"/>
      <c r="C427" s="51"/>
      <c r="D427" s="4198"/>
      <c r="E427" s="4199"/>
      <c r="F427" s="4338" t="s">
        <v>1861</v>
      </c>
      <c r="G427" s="4338"/>
      <c r="H427" s="4338"/>
      <c r="I427" s="1396" t="str">
        <f t="shared" si="61"/>
        <v>351170_2024_12_</v>
      </c>
      <c r="J427" s="1772">
        <v>19.138095238095239</v>
      </c>
      <c r="K427" s="1378"/>
      <c r="L427" s="1759" t="s">
        <v>1934</v>
      </c>
      <c r="M427" s="51"/>
      <c r="N427" s="561"/>
      <c r="O427" s="51"/>
      <c r="S427" s="52"/>
      <c r="T427" s="52"/>
      <c r="U427" s="52"/>
      <c r="V427" s="4199"/>
      <c r="W427" s="1396"/>
      <c r="X427" s="212"/>
      <c r="Y427" s="212"/>
      <c r="Z427" s="833">
        <v>19</v>
      </c>
      <c r="AA427" s="211">
        <v>19</v>
      </c>
      <c r="AB427" s="953">
        <v>19</v>
      </c>
      <c r="AC427" s="736">
        <v>19.164705882352941</v>
      </c>
      <c r="AD427" s="939">
        <v>19.163043478260871</v>
      </c>
      <c r="AE427" s="939">
        <v>19.138095238095239</v>
      </c>
      <c r="AF427" s="271">
        <f t="shared" si="63"/>
        <v>19.138095238095239</v>
      </c>
      <c r="AG427" s="1396"/>
      <c r="DG427" s="573"/>
      <c r="DH427" s="188"/>
      <c r="DI427" s="1091"/>
      <c r="DJ427" s="1187"/>
    </row>
    <row r="428" spans="1:114" outlineLevel="1">
      <c r="A428" s="453"/>
      <c r="C428" s="51"/>
      <c r="D428" s="4198"/>
      <c r="E428" s="4199"/>
      <c r="F428" s="4338" t="s">
        <v>1862</v>
      </c>
      <c r="G428" s="4338"/>
      <c r="H428" s="4338"/>
      <c r="I428" s="1396" t="str">
        <f t="shared" si="61"/>
        <v>351170_2024_12_</v>
      </c>
      <c r="J428" s="1758">
        <f>J427</f>
        <v>19.138095238095239</v>
      </c>
      <c r="K428" s="1378"/>
      <c r="L428" s="1759" t="s">
        <v>1934</v>
      </c>
      <c r="M428" s="51"/>
      <c r="N428" s="561"/>
      <c r="O428" s="51"/>
      <c r="S428" s="52"/>
      <c r="T428" s="52"/>
      <c r="U428" s="52"/>
      <c r="V428" s="4199"/>
      <c r="W428" s="1396"/>
      <c r="X428" s="212"/>
      <c r="Y428" s="212"/>
      <c r="Z428" s="833">
        <v>19</v>
      </c>
      <c r="AA428" s="211">
        <v>19</v>
      </c>
      <c r="AB428" s="953">
        <v>19</v>
      </c>
      <c r="AC428" s="736">
        <v>19.164705882352941</v>
      </c>
      <c r="AD428" s="736">
        <v>19.163043478260871</v>
      </c>
      <c r="AE428" s="736">
        <v>19.138095238095239</v>
      </c>
      <c r="AF428" s="271">
        <f t="shared" si="63"/>
        <v>19.138095238095239</v>
      </c>
      <c r="AG428" s="1396"/>
      <c r="DG428" s="573"/>
      <c r="DH428" s="188"/>
      <c r="DI428" s="1091"/>
      <c r="DJ428" s="1187"/>
    </row>
    <row r="429" spans="1:114" outlineLevel="1">
      <c r="A429" s="453"/>
      <c r="C429" s="51"/>
      <c r="D429" s="4198"/>
      <c r="E429" s="4199"/>
      <c r="F429" s="4338" t="s">
        <v>1864</v>
      </c>
      <c r="G429" s="4338"/>
      <c r="H429" s="4338"/>
      <c r="I429" s="1396" t="str">
        <f t="shared" si="61"/>
        <v>351171_2024_12_</v>
      </c>
      <c r="J429" s="1772">
        <v>19.1875</v>
      </c>
      <c r="K429" s="1378"/>
      <c r="L429" s="1759" t="s">
        <v>1934</v>
      </c>
      <c r="M429" s="51"/>
      <c r="N429" s="561"/>
      <c r="O429" s="51"/>
      <c r="S429" s="52"/>
      <c r="T429" s="52"/>
      <c r="U429" s="52"/>
      <c r="V429" s="4199"/>
      <c r="W429" s="1396"/>
      <c r="X429" s="212"/>
      <c r="Y429" s="212"/>
      <c r="Z429" s="833">
        <v>19</v>
      </c>
      <c r="AA429" s="211">
        <v>19</v>
      </c>
      <c r="AB429" s="953">
        <v>19</v>
      </c>
      <c r="AC429" s="736">
        <v>19.142857142857142</v>
      </c>
      <c r="AD429" s="939">
        <v>19.21875</v>
      </c>
      <c r="AE429" s="939">
        <v>19.1875</v>
      </c>
      <c r="AF429" s="271">
        <f t="shared" si="63"/>
        <v>19.1875</v>
      </c>
      <c r="AG429" s="1396"/>
      <c r="DG429" s="573"/>
      <c r="DH429" s="188"/>
      <c r="DI429" s="1091"/>
      <c r="DJ429" s="1187"/>
    </row>
    <row r="430" spans="1:114" outlineLevel="1">
      <c r="A430" s="453"/>
      <c r="C430" s="51"/>
      <c r="D430" s="4198"/>
      <c r="E430" s="4199"/>
      <c r="F430" s="4292" t="s">
        <v>1866</v>
      </c>
      <c r="G430" s="4292"/>
      <c r="H430" s="4292"/>
      <c r="I430" s="3262" t="str">
        <f t="shared" ref="I430:I493" si="64">I358</f>
        <v>351172_2024_12_</v>
      </c>
      <c r="J430" s="3283">
        <v>19</v>
      </c>
      <c r="K430" s="2425"/>
      <c r="L430" s="3284" t="s">
        <v>1945</v>
      </c>
      <c r="M430" s="51"/>
      <c r="N430" s="561"/>
      <c r="O430" s="51"/>
      <c r="S430" s="52"/>
      <c r="T430" s="52"/>
      <c r="U430" s="52"/>
      <c r="V430" s="4199"/>
      <c r="W430" s="1396"/>
      <c r="X430" s="212"/>
      <c r="Y430" s="212"/>
      <c r="Z430" s="3265">
        <v>19</v>
      </c>
      <c r="AA430" s="3286">
        <v>19</v>
      </c>
      <c r="AB430" s="3287">
        <v>19</v>
      </c>
      <c r="AC430" s="3288">
        <v>19</v>
      </c>
      <c r="AD430" s="3288">
        <v>19</v>
      </c>
      <c r="AE430" s="3288">
        <v>19</v>
      </c>
      <c r="AF430" s="2236">
        <f t="shared" si="63"/>
        <v>19</v>
      </c>
      <c r="AG430" s="1396"/>
      <c r="DG430" s="573"/>
      <c r="DH430" s="188"/>
      <c r="DI430" s="1091"/>
      <c r="DJ430" s="1187"/>
    </row>
    <row r="431" spans="1:114" outlineLevel="1">
      <c r="A431" s="453"/>
      <c r="C431" s="51"/>
      <c r="D431" s="4198"/>
      <c r="E431" s="4199"/>
      <c r="F431" s="4292" t="s">
        <v>1867</v>
      </c>
      <c r="G431" s="4292"/>
      <c r="H431" s="4292"/>
      <c r="I431" s="3262" t="str">
        <f t="shared" si="64"/>
        <v>351172_2024_12_</v>
      </c>
      <c r="J431" s="3283">
        <v>19</v>
      </c>
      <c r="K431" s="2425"/>
      <c r="L431" s="3284" t="s">
        <v>1945</v>
      </c>
      <c r="M431" s="51"/>
      <c r="N431" s="561"/>
      <c r="O431" s="51"/>
      <c r="S431" s="52"/>
      <c r="T431" s="52"/>
      <c r="U431" s="52"/>
      <c r="V431" s="4199"/>
      <c r="W431" s="1396"/>
      <c r="X431" s="212"/>
      <c r="Y431" s="212"/>
      <c r="Z431" s="3265">
        <v>19</v>
      </c>
      <c r="AA431" s="3286">
        <v>19</v>
      </c>
      <c r="AB431" s="3287">
        <v>19</v>
      </c>
      <c r="AC431" s="3288">
        <v>19</v>
      </c>
      <c r="AD431" s="3288">
        <v>19</v>
      </c>
      <c r="AE431" s="3288">
        <v>19</v>
      </c>
      <c r="AF431" s="2236">
        <f t="shared" si="63"/>
        <v>19</v>
      </c>
      <c r="AG431" s="1396"/>
      <c r="DG431" s="573"/>
      <c r="DH431" s="188"/>
      <c r="DI431" s="1091"/>
      <c r="DJ431" s="1187"/>
    </row>
    <row r="432" spans="1:114" outlineLevel="1">
      <c r="A432" s="453"/>
      <c r="C432" s="51"/>
      <c r="D432" s="4198"/>
      <c r="E432" s="4199"/>
      <c r="F432" s="4292" t="s">
        <v>1869</v>
      </c>
      <c r="G432" s="4292"/>
      <c r="H432" s="4292"/>
      <c r="I432" s="3262" t="str">
        <f t="shared" si="64"/>
        <v>351173_2024_12_</v>
      </c>
      <c r="J432" s="3283">
        <v>19</v>
      </c>
      <c r="K432" s="2425"/>
      <c r="L432" s="3284" t="s">
        <v>1945</v>
      </c>
      <c r="M432" s="51"/>
      <c r="N432" s="561"/>
      <c r="O432" s="51"/>
      <c r="S432" s="52"/>
      <c r="T432" s="52"/>
      <c r="U432" s="52"/>
      <c r="V432" s="4199"/>
      <c r="W432" s="1396"/>
      <c r="X432" s="212"/>
      <c r="Y432" s="212"/>
      <c r="Z432" s="3265">
        <v>19</v>
      </c>
      <c r="AA432" s="3286">
        <v>19</v>
      </c>
      <c r="AB432" s="3287">
        <v>19</v>
      </c>
      <c r="AC432" s="3288">
        <v>19</v>
      </c>
      <c r="AD432" s="3288">
        <v>19</v>
      </c>
      <c r="AE432" s="3288">
        <v>19</v>
      </c>
      <c r="AF432" s="2236">
        <f t="shared" si="63"/>
        <v>19</v>
      </c>
      <c r="AG432" s="1396"/>
      <c r="DG432" s="573"/>
      <c r="DH432" s="188"/>
      <c r="DI432" s="1091"/>
      <c r="DJ432" s="1187"/>
    </row>
    <row r="433" spans="1:114" outlineLevel="1">
      <c r="A433" s="453"/>
      <c r="C433" s="51"/>
      <c r="D433" s="4198"/>
      <c r="E433" s="4199"/>
      <c r="F433" s="4292" t="s">
        <v>1870</v>
      </c>
      <c r="G433" s="4292"/>
      <c r="H433" s="4292"/>
      <c r="I433" s="3262" t="str">
        <f t="shared" si="64"/>
        <v>351173_2024_12_</v>
      </c>
      <c r="J433" s="3283">
        <v>19</v>
      </c>
      <c r="K433" s="2425"/>
      <c r="L433" s="3284" t="s">
        <v>1945</v>
      </c>
      <c r="M433" s="51"/>
      <c r="N433" s="561"/>
      <c r="O433" s="51"/>
      <c r="S433" s="52"/>
      <c r="T433" s="52"/>
      <c r="U433" s="52"/>
      <c r="V433" s="4199"/>
      <c r="W433" s="1396"/>
      <c r="X433" s="212"/>
      <c r="Y433" s="212"/>
      <c r="Z433" s="3265">
        <v>19</v>
      </c>
      <c r="AA433" s="3286">
        <v>19</v>
      </c>
      <c r="AB433" s="3287">
        <v>19</v>
      </c>
      <c r="AC433" s="3288">
        <v>19</v>
      </c>
      <c r="AD433" s="3288">
        <v>19</v>
      </c>
      <c r="AE433" s="3288">
        <v>19</v>
      </c>
      <c r="AF433" s="2236">
        <f t="shared" si="63"/>
        <v>19</v>
      </c>
      <c r="AG433" s="1396"/>
      <c r="DG433" s="573"/>
      <c r="DH433" s="188"/>
      <c r="DI433" s="1091"/>
      <c r="DJ433" s="1187"/>
    </row>
    <row r="434" spans="1:114" outlineLevel="1">
      <c r="A434" s="453"/>
      <c r="C434" s="51"/>
      <c r="D434" s="4198"/>
      <c r="E434" s="4199"/>
      <c r="F434" s="4292" t="s">
        <v>1872</v>
      </c>
      <c r="G434" s="4292"/>
      <c r="H434" s="4292"/>
      <c r="I434" s="3262" t="str">
        <f t="shared" si="64"/>
        <v>351174_2024_12_</v>
      </c>
      <c r="J434" s="3283">
        <v>19</v>
      </c>
      <c r="K434" s="2425"/>
      <c r="L434" s="3284" t="s">
        <v>1945</v>
      </c>
      <c r="M434" s="51"/>
      <c r="N434" s="561"/>
      <c r="O434" s="51"/>
      <c r="S434" s="52"/>
      <c r="T434" s="52"/>
      <c r="U434" s="52"/>
      <c r="V434" s="4199"/>
      <c r="W434" s="1396"/>
      <c r="X434" s="212"/>
      <c r="Y434" s="212"/>
      <c r="Z434" s="3265">
        <v>19</v>
      </c>
      <c r="AA434" s="3286">
        <v>19</v>
      </c>
      <c r="AB434" s="3287">
        <v>19</v>
      </c>
      <c r="AC434" s="3288">
        <v>19</v>
      </c>
      <c r="AD434" s="3288">
        <v>19</v>
      </c>
      <c r="AE434" s="3288">
        <v>19</v>
      </c>
      <c r="AF434" s="2236">
        <f t="shared" si="63"/>
        <v>19</v>
      </c>
      <c r="AG434" s="1396"/>
      <c r="DG434" s="573"/>
      <c r="DH434" s="188"/>
      <c r="DI434" s="1091"/>
      <c r="DJ434" s="1187"/>
    </row>
    <row r="435" spans="1:114" outlineLevel="1">
      <c r="A435" s="453"/>
      <c r="C435" s="51"/>
      <c r="D435" s="4198"/>
      <c r="E435" s="4199"/>
      <c r="F435" s="4292" t="s">
        <v>1874</v>
      </c>
      <c r="G435" s="4292"/>
      <c r="H435" s="4292"/>
      <c r="I435" s="3262" t="str">
        <f t="shared" si="64"/>
        <v>351175_2024_12_</v>
      </c>
      <c r="J435" s="3283">
        <v>19</v>
      </c>
      <c r="K435" s="2425"/>
      <c r="L435" s="3284" t="s">
        <v>1945</v>
      </c>
      <c r="M435" s="51"/>
      <c r="N435" s="561"/>
      <c r="O435" s="51"/>
      <c r="S435" s="52"/>
      <c r="T435" s="52"/>
      <c r="U435" s="52"/>
      <c r="V435" s="4199"/>
      <c r="W435" s="1396"/>
      <c r="X435" s="212"/>
      <c r="Y435" s="212"/>
      <c r="Z435" s="3265">
        <v>19</v>
      </c>
      <c r="AA435" s="3286">
        <v>19</v>
      </c>
      <c r="AB435" s="3287">
        <v>19</v>
      </c>
      <c r="AC435" s="3288">
        <v>19</v>
      </c>
      <c r="AD435" s="3288">
        <v>19</v>
      </c>
      <c r="AE435" s="3288">
        <v>19</v>
      </c>
      <c r="AF435" s="2236">
        <f t="shared" si="63"/>
        <v>19</v>
      </c>
      <c r="AG435" s="1396"/>
      <c r="DG435" s="573"/>
      <c r="DH435" s="188"/>
      <c r="DI435" s="1091"/>
      <c r="DJ435" s="1187"/>
    </row>
    <row r="436" spans="1:114" outlineLevel="1">
      <c r="A436" s="453"/>
      <c r="C436" s="51"/>
      <c r="D436" s="4198"/>
      <c r="E436" s="4199"/>
      <c r="F436" s="4338" t="s">
        <v>1876</v>
      </c>
      <c r="G436" s="4338"/>
      <c r="H436" s="4338"/>
      <c r="I436" s="1396" t="str">
        <f t="shared" si="64"/>
        <v>351180_2024_12_</v>
      </c>
      <c r="J436" s="1772">
        <v>20.110619469026549</v>
      </c>
      <c r="K436" s="1378"/>
      <c r="L436" s="1759" t="s">
        <v>1934</v>
      </c>
      <c r="M436" s="51"/>
      <c r="N436" s="561"/>
      <c r="O436" s="51"/>
      <c r="S436" s="52"/>
      <c r="T436" s="52"/>
      <c r="U436" s="52"/>
      <c r="V436" s="4199"/>
      <c r="W436" s="1396"/>
      <c r="X436" s="212"/>
      <c r="Y436" s="212"/>
      <c r="Z436" s="833">
        <v>20</v>
      </c>
      <c r="AA436" s="211">
        <v>20</v>
      </c>
      <c r="AB436" s="953">
        <v>20</v>
      </c>
      <c r="AC436" s="736">
        <v>20.194078947368421</v>
      </c>
      <c r="AD436" s="939">
        <v>20.136690647482013</v>
      </c>
      <c r="AE436" s="939">
        <v>20.110619469026549</v>
      </c>
      <c r="AF436" s="271">
        <f t="shared" si="63"/>
        <v>20.110619469026549</v>
      </c>
      <c r="AG436" s="1396"/>
      <c r="DG436" s="573"/>
      <c r="DH436" s="188"/>
      <c r="DI436" s="1091"/>
      <c r="DJ436" s="1187"/>
    </row>
    <row r="437" spans="1:114" outlineLevel="1">
      <c r="A437" s="453"/>
      <c r="C437" s="51"/>
      <c r="D437" s="4198"/>
      <c r="E437" s="4199"/>
      <c r="F437" s="4338" t="s">
        <v>1877</v>
      </c>
      <c r="G437" s="4338"/>
      <c r="H437" s="4338"/>
      <c r="I437" s="1396" t="str">
        <f t="shared" si="64"/>
        <v>351180_2024_12_</v>
      </c>
      <c r="J437" s="1772">
        <f>J436</f>
        <v>20.110619469026549</v>
      </c>
      <c r="K437" s="1378"/>
      <c r="L437" s="1759" t="s">
        <v>1934</v>
      </c>
      <c r="M437" s="51"/>
      <c r="N437" s="561"/>
      <c r="O437" s="51"/>
      <c r="S437" s="52"/>
      <c r="T437" s="52"/>
      <c r="U437" s="52"/>
      <c r="V437" s="4199"/>
      <c r="W437" s="1396"/>
      <c r="X437" s="212"/>
      <c r="Y437" s="212"/>
      <c r="Z437" s="833">
        <v>20</v>
      </c>
      <c r="AA437" s="211">
        <v>20</v>
      </c>
      <c r="AB437" s="953">
        <v>20</v>
      </c>
      <c r="AC437" s="736">
        <v>20.194078947368421</v>
      </c>
      <c r="AD437" s="939">
        <v>20.136690647482013</v>
      </c>
      <c r="AE437" s="939">
        <v>20.110619469026549</v>
      </c>
      <c r="AF437" s="271">
        <f t="shared" si="63"/>
        <v>20.110619469026549</v>
      </c>
      <c r="AG437" s="1396"/>
      <c r="DG437" s="573"/>
      <c r="DH437" s="188"/>
      <c r="DI437" s="1091"/>
      <c r="DJ437" s="1187"/>
    </row>
    <row r="438" spans="1:114" outlineLevel="1">
      <c r="A438" s="453"/>
      <c r="C438" s="51"/>
      <c r="D438" s="4198"/>
      <c r="E438" s="4199"/>
      <c r="F438" s="4338" t="s">
        <v>1879</v>
      </c>
      <c r="G438" s="4338"/>
      <c r="H438" s="4338"/>
      <c r="I438" s="1396" t="str">
        <f t="shared" si="64"/>
        <v>351181_2024_12_</v>
      </c>
      <c r="J438" s="1772">
        <v>20.015625</v>
      </c>
      <c r="K438" s="1378"/>
      <c r="L438" s="1759" t="s">
        <v>1934</v>
      </c>
      <c r="M438" s="51"/>
      <c r="N438" s="561"/>
      <c r="O438" s="51"/>
      <c r="S438" s="52"/>
      <c r="T438" s="52"/>
      <c r="U438" s="52"/>
      <c r="V438" s="4199"/>
      <c r="W438" s="1396"/>
      <c r="X438" s="212"/>
      <c r="Y438" s="212"/>
      <c r="Z438" s="833">
        <v>20</v>
      </c>
      <c r="AA438" s="211">
        <v>20</v>
      </c>
      <c r="AB438" s="953">
        <v>20</v>
      </c>
      <c r="AC438" s="736">
        <v>20.083333333333332</v>
      </c>
      <c r="AD438" s="939">
        <v>20.111111111111111</v>
      </c>
      <c r="AE438" s="939">
        <v>20.015625</v>
      </c>
      <c r="AF438" s="271">
        <f t="shared" si="63"/>
        <v>20.015625</v>
      </c>
      <c r="AG438" s="1396"/>
      <c r="DG438" s="573"/>
      <c r="DH438" s="188"/>
      <c r="DI438" s="1091"/>
      <c r="DJ438" s="1187"/>
    </row>
    <row r="439" spans="1:114" outlineLevel="1">
      <c r="A439" s="453"/>
      <c r="C439" s="51"/>
      <c r="D439" s="4198"/>
      <c r="E439" s="4199"/>
      <c r="F439" s="4292" t="s">
        <v>1881</v>
      </c>
      <c r="G439" s="4292"/>
      <c r="H439" s="4292"/>
      <c r="I439" s="3262" t="str">
        <f t="shared" si="64"/>
        <v>351182_2024_12_</v>
      </c>
      <c r="J439" s="3283">
        <v>20</v>
      </c>
      <c r="K439" s="2425"/>
      <c r="L439" s="3272" t="s">
        <v>1938</v>
      </c>
      <c r="M439" s="51"/>
      <c r="N439" s="561"/>
      <c r="O439" s="51"/>
      <c r="S439" s="52"/>
      <c r="T439" s="52"/>
      <c r="U439" s="52"/>
      <c r="V439" s="4199"/>
      <c r="W439" s="1396"/>
      <c r="X439" s="212"/>
      <c r="Y439" s="211"/>
      <c r="Z439" s="3265">
        <v>20</v>
      </c>
      <c r="AA439" s="3286">
        <v>20</v>
      </c>
      <c r="AB439" s="3287">
        <v>20</v>
      </c>
      <c r="AC439" s="3288">
        <v>20</v>
      </c>
      <c r="AD439" s="3288">
        <v>20</v>
      </c>
      <c r="AE439" s="3288">
        <v>20</v>
      </c>
      <c r="AF439" s="2236">
        <f t="shared" si="63"/>
        <v>20</v>
      </c>
      <c r="AG439" s="1396"/>
      <c r="DG439" s="573"/>
      <c r="DH439" s="188"/>
      <c r="DI439" s="1091"/>
      <c r="DJ439" s="1187"/>
    </row>
    <row r="440" spans="1:114" outlineLevel="1">
      <c r="A440" s="453"/>
      <c r="C440" s="51"/>
      <c r="D440" s="4198"/>
      <c r="E440" s="4199"/>
      <c r="F440" s="4292" t="s">
        <v>1882</v>
      </c>
      <c r="G440" s="4292"/>
      <c r="H440" s="4292"/>
      <c r="I440" s="3262" t="str">
        <f t="shared" si="64"/>
        <v>351182_2024_12_</v>
      </c>
      <c r="J440" s="3283">
        <f>J439</f>
        <v>20</v>
      </c>
      <c r="K440" s="2425"/>
      <c r="L440" s="3272" t="s">
        <v>1938</v>
      </c>
      <c r="M440" s="51"/>
      <c r="N440" s="561"/>
      <c r="O440" s="51"/>
      <c r="S440" s="52"/>
      <c r="T440" s="52"/>
      <c r="U440" s="52"/>
      <c r="V440" s="4199"/>
      <c r="W440" s="1396"/>
      <c r="X440" s="212"/>
      <c r="Y440" s="211"/>
      <c r="Z440" s="3265">
        <v>20</v>
      </c>
      <c r="AA440" s="3286">
        <v>20</v>
      </c>
      <c r="AB440" s="3287">
        <v>20</v>
      </c>
      <c r="AC440" s="3288">
        <v>20</v>
      </c>
      <c r="AD440" s="3288">
        <v>20</v>
      </c>
      <c r="AE440" s="3288">
        <v>20</v>
      </c>
      <c r="AF440" s="2236">
        <f t="shared" si="63"/>
        <v>20</v>
      </c>
      <c r="AG440" s="1396"/>
      <c r="DG440" s="573"/>
      <c r="DH440" s="188"/>
      <c r="DI440" s="1091"/>
      <c r="DJ440" s="1187"/>
    </row>
    <row r="441" spans="1:114" outlineLevel="1">
      <c r="A441" s="453"/>
      <c r="C441" s="51"/>
      <c r="D441" s="4198"/>
      <c r="E441" s="4199"/>
      <c r="F441" s="4292" t="s">
        <v>1884</v>
      </c>
      <c r="G441" s="4292"/>
      <c r="H441" s="4292"/>
      <c r="I441" s="3262" t="str">
        <f t="shared" si="64"/>
        <v>351183_2024_12_</v>
      </c>
      <c r="J441" s="3283">
        <v>20</v>
      </c>
      <c r="K441" s="2425"/>
      <c r="L441" s="3284" t="s">
        <v>1945</v>
      </c>
      <c r="M441" s="51"/>
      <c r="N441" s="561"/>
      <c r="O441" s="51"/>
      <c r="S441" s="52"/>
      <c r="T441" s="52"/>
      <c r="U441" s="52"/>
      <c r="V441" s="4199"/>
      <c r="W441" s="1396"/>
      <c r="X441" s="212"/>
      <c r="Y441" s="211"/>
      <c r="Z441" s="3265">
        <v>20</v>
      </c>
      <c r="AA441" s="3286">
        <v>20</v>
      </c>
      <c r="AB441" s="3287">
        <v>20</v>
      </c>
      <c r="AC441" s="3288">
        <v>20</v>
      </c>
      <c r="AD441" s="3288">
        <v>20</v>
      </c>
      <c r="AE441" s="3288">
        <v>20</v>
      </c>
      <c r="AF441" s="2236">
        <f t="shared" si="63"/>
        <v>20</v>
      </c>
      <c r="AG441" s="1396"/>
      <c r="DG441" s="573"/>
      <c r="DH441" s="188"/>
      <c r="DI441" s="1091"/>
      <c r="DJ441" s="1187"/>
    </row>
    <row r="442" spans="1:114" outlineLevel="1">
      <c r="A442" s="453"/>
      <c r="C442" s="51"/>
      <c r="D442" s="4198"/>
      <c r="E442" s="4199"/>
      <c r="F442" s="4292" t="s">
        <v>1885</v>
      </c>
      <c r="G442" s="4292"/>
      <c r="H442" s="4292"/>
      <c r="I442" s="3262" t="str">
        <f t="shared" si="64"/>
        <v>351183_2024_12_</v>
      </c>
      <c r="J442" s="3283">
        <v>20</v>
      </c>
      <c r="K442" s="2425"/>
      <c r="L442" s="3284" t="s">
        <v>1945</v>
      </c>
      <c r="M442" s="51"/>
      <c r="N442" s="561"/>
      <c r="O442" s="51"/>
      <c r="S442" s="52"/>
      <c r="T442" s="52"/>
      <c r="U442" s="52"/>
      <c r="V442" s="4199"/>
      <c r="W442" s="1396"/>
      <c r="X442" s="212"/>
      <c r="Y442" s="211"/>
      <c r="Z442" s="3265">
        <v>20</v>
      </c>
      <c r="AA442" s="3286">
        <v>20</v>
      </c>
      <c r="AB442" s="3287">
        <v>20</v>
      </c>
      <c r="AC442" s="3288">
        <v>20</v>
      </c>
      <c r="AD442" s="3288">
        <v>20</v>
      </c>
      <c r="AE442" s="3288">
        <v>20</v>
      </c>
      <c r="AF442" s="2236">
        <f t="shared" si="63"/>
        <v>20</v>
      </c>
      <c r="AG442" s="1396"/>
      <c r="DG442" s="573"/>
      <c r="DH442" s="188"/>
      <c r="DI442" s="1091"/>
      <c r="DJ442" s="1187"/>
    </row>
    <row r="443" spans="1:114" outlineLevel="1">
      <c r="A443" s="453"/>
      <c r="C443" s="51"/>
      <c r="D443" s="4198"/>
      <c r="E443" s="4199"/>
      <c r="F443" s="4292" t="s">
        <v>1887</v>
      </c>
      <c r="G443" s="4292"/>
      <c r="H443" s="4292"/>
      <c r="I443" s="3262" t="str">
        <f t="shared" si="64"/>
        <v>351184_2024_12_</v>
      </c>
      <c r="J443" s="3283">
        <v>20</v>
      </c>
      <c r="K443" s="2425"/>
      <c r="L443" s="3284" t="s">
        <v>1945</v>
      </c>
      <c r="M443" s="51"/>
      <c r="N443" s="561"/>
      <c r="O443" s="51"/>
      <c r="S443" s="52"/>
      <c r="T443" s="52"/>
      <c r="U443" s="52"/>
      <c r="V443" s="4199"/>
      <c r="W443" s="1396"/>
      <c r="X443" s="212"/>
      <c r="Y443" s="211"/>
      <c r="Z443" s="3265">
        <v>20</v>
      </c>
      <c r="AA443" s="3286">
        <v>20</v>
      </c>
      <c r="AB443" s="3287">
        <v>20</v>
      </c>
      <c r="AC443" s="3288">
        <v>20</v>
      </c>
      <c r="AD443" s="3288">
        <v>20</v>
      </c>
      <c r="AE443" s="3288">
        <v>20</v>
      </c>
      <c r="AF443" s="2236">
        <f t="shared" si="63"/>
        <v>20</v>
      </c>
      <c r="AG443" s="1396"/>
      <c r="DG443" s="573"/>
      <c r="DH443" s="188"/>
      <c r="DI443" s="1091"/>
      <c r="DJ443" s="1187"/>
    </row>
    <row r="444" spans="1:114" outlineLevel="1">
      <c r="A444" s="453"/>
      <c r="C444" s="51"/>
      <c r="D444" s="4198"/>
      <c r="E444" s="4199"/>
      <c r="F444" s="4292" t="s">
        <v>1889</v>
      </c>
      <c r="G444" s="4292"/>
      <c r="H444" s="4292"/>
      <c r="I444" s="3262" t="str">
        <f t="shared" si="64"/>
        <v>351185_2024_12_</v>
      </c>
      <c r="J444" s="3283">
        <v>20</v>
      </c>
      <c r="K444" s="2425"/>
      <c r="L444" s="3284" t="s">
        <v>1945</v>
      </c>
      <c r="M444" s="51"/>
      <c r="N444" s="561"/>
      <c r="O444" s="51"/>
      <c r="S444" s="52"/>
      <c r="T444" s="52"/>
      <c r="U444" s="52"/>
      <c r="V444" s="4199"/>
      <c r="W444" s="1396"/>
      <c r="X444" s="212"/>
      <c r="Y444" s="211"/>
      <c r="Z444" s="3265">
        <v>20</v>
      </c>
      <c r="AA444" s="3286">
        <v>20</v>
      </c>
      <c r="AB444" s="3287">
        <v>20</v>
      </c>
      <c r="AC444" s="3288">
        <v>20</v>
      </c>
      <c r="AD444" s="3288">
        <v>20</v>
      </c>
      <c r="AE444" s="3288">
        <v>20</v>
      </c>
      <c r="AF444" s="2236">
        <f t="shared" si="63"/>
        <v>20</v>
      </c>
      <c r="AG444" s="1396"/>
      <c r="DG444" s="573"/>
      <c r="DH444" s="188"/>
      <c r="DI444" s="1091"/>
      <c r="DJ444" s="1187"/>
    </row>
    <row r="445" spans="1:114" outlineLevel="1">
      <c r="A445" s="453"/>
      <c r="C445" s="51"/>
      <c r="D445" s="4198"/>
      <c r="E445" s="4199"/>
      <c r="F445" s="4338" t="s">
        <v>1891</v>
      </c>
      <c r="G445" s="4338"/>
      <c r="H445" s="4338"/>
      <c r="I445" s="1396" t="str">
        <f t="shared" si="64"/>
        <v>351190_2024_12_</v>
      </c>
      <c r="J445" s="1758">
        <v>22.131818181818183</v>
      </c>
      <c r="K445" s="1378"/>
      <c r="L445" s="1759" t="s">
        <v>1937</v>
      </c>
      <c r="M445" s="51"/>
      <c r="N445" s="561"/>
      <c r="O445" s="51"/>
      <c r="S445" s="52"/>
      <c r="T445" s="52"/>
      <c r="U445" s="52"/>
      <c r="V445" s="4199"/>
      <c r="W445" s="1396"/>
      <c r="X445" s="211"/>
      <c r="Y445" s="211"/>
      <c r="Z445" s="833">
        <v>21</v>
      </c>
      <c r="AA445" s="211">
        <v>21</v>
      </c>
      <c r="AB445" s="953">
        <v>21</v>
      </c>
      <c r="AC445" s="736">
        <v>21.873376623376622</v>
      </c>
      <c r="AD445" s="736">
        <v>21.924757281553397</v>
      </c>
      <c r="AE445" s="736">
        <v>22.131818181818183</v>
      </c>
      <c r="AF445" s="271">
        <f t="shared" si="63"/>
        <v>22.131818181818183</v>
      </c>
      <c r="AG445" s="1396"/>
      <c r="DG445" s="573"/>
      <c r="DH445" s="188"/>
      <c r="DI445" s="1091"/>
      <c r="DJ445" s="1187"/>
    </row>
    <row r="446" spans="1:114" ht="14.65" customHeight="1" outlineLevel="1">
      <c r="A446" s="453"/>
      <c r="C446" s="51"/>
      <c r="D446" s="4198"/>
      <c r="E446" s="4199"/>
      <c r="F446" s="4338" t="s">
        <v>1892</v>
      </c>
      <c r="G446" s="4338"/>
      <c r="H446" s="4338"/>
      <c r="I446" s="1396" t="str">
        <f t="shared" si="64"/>
        <v>351190_2024_12_</v>
      </c>
      <c r="J446" s="1758">
        <f>J445</f>
        <v>22.131818181818183</v>
      </c>
      <c r="K446" s="1378"/>
      <c r="L446" s="1759" t="s">
        <v>1937</v>
      </c>
      <c r="M446" s="51"/>
      <c r="N446" s="561"/>
      <c r="O446" s="51"/>
      <c r="S446" s="52"/>
      <c r="T446" s="52"/>
      <c r="U446" s="52"/>
      <c r="V446" s="4199"/>
      <c r="W446" s="1396"/>
      <c r="X446" s="211"/>
      <c r="Y446" s="211"/>
      <c r="Z446" s="833">
        <v>21</v>
      </c>
      <c r="AA446" s="211">
        <v>21</v>
      </c>
      <c r="AB446" s="953">
        <v>21</v>
      </c>
      <c r="AC446" s="736">
        <v>21.873376623376622</v>
      </c>
      <c r="AD446" s="736">
        <v>21.924757281553397</v>
      </c>
      <c r="AE446" s="736">
        <v>22.131818181818183</v>
      </c>
      <c r="AF446" s="271">
        <f t="shared" si="63"/>
        <v>22.131818181818183</v>
      </c>
      <c r="AG446" s="1396"/>
      <c r="DG446" s="573"/>
      <c r="DH446" s="188"/>
      <c r="DI446" s="1091"/>
      <c r="DJ446" s="1187"/>
    </row>
    <row r="447" spans="1:114" ht="14.65" customHeight="1" outlineLevel="1">
      <c r="A447" s="453"/>
      <c r="C447" s="51"/>
      <c r="D447" s="4198"/>
      <c r="E447" s="4199"/>
      <c r="F447" s="4338" t="s">
        <v>1894</v>
      </c>
      <c r="G447" s="4338"/>
      <c r="H447" s="4338"/>
      <c r="I447" s="1396" t="str">
        <f t="shared" si="64"/>
        <v>351191_2024_12_</v>
      </c>
      <c r="J447" s="1772">
        <v>22.6</v>
      </c>
      <c r="K447" s="1378"/>
      <c r="L447" s="1759" t="s">
        <v>1937</v>
      </c>
      <c r="M447" s="51"/>
      <c r="N447" s="561"/>
      <c r="O447" s="51"/>
      <c r="S447" s="52"/>
      <c r="T447" s="52"/>
      <c r="U447" s="52"/>
      <c r="V447" s="4199"/>
      <c r="W447" s="1396"/>
      <c r="X447" s="211"/>
      <c r="Y447" s="211"/>
      <c r="Z447" s="833">
        <v>21</v>
      </c>
      <c r="AA447" s="211">
        <v>21</v>
      </c>
      <c r="AB447" s="953">
        <v>21</v>
      </c>
      <c r="AC447" s="736">
        <v>21.714285714285715</v>
      </c>
      <c r="AD447" s="939">
        <v>22.375</v>
      </c>
      <c r="AE447" s="939">
        <v>22.6</v>
      </c>
      <c r="AF447" s="271">
        <f t="shared" si="63"/>
        <v>22.6</v>
      </c>
      <c r="AG447" s="1396"/>
      <c r="DG447" s="573"/>
      <c r="DH447" s="188"/>
      <c r="DI447" s="1091"/>
      <c r="DJ447" s="1187"/>
    </row>
    <row r="448" spans="1:114" ht="14.65" customHeight="1" outlineLevel="1">
      <c r="A448" s="453"/>
      <c r="C448" s="51"/>
      <c r="D448" s="4198"/>
      <c r="E448" s="4199"/>
      <c r="F448" s="4292" t="s">
        <v>1896</v>
      </c>
      <c r="G448" s="4292"/>
      <c r="H448" s="4292"/>
      <c r="I448" s="3262" t="str">
        <f t="shared" si="64"/>
        <v>351192_2024_12_</v>
      </c>
      <c r="J448" s="3283">
        <v>21</v>
      </c>
      <c r="K448" s="2425"/>
      <c r="L448" s="3284" t="s">
        <v>1945</v>
      </c>
      <c r="M448" s="51"/>
      <c r="N448" s="561"/>
      <c r="O448" s="51"/>
      <c r="S448" s="52"/>
      <c r="T448" s="52"/>
      <c r="U448" s="52"/>
      <c r="V448" s="4199"/>
      <c r="W448" s="1396"/>
      <c r="X448" s="211"/>
      <c r="Y448" s="211"/>
      <c r="Z448" s="3265">
        <v>21</v>
      </c>
      <c r="AA448" s="3286">
        <v>21</v>
      </c>
      <c r="AB448" s="3287">
        <v>21</v>
      </c>
      <c r="AC448" s="3288">
        <v>21</v>
      </c>
      <c r="AD448" s="3288">
        <v>21</v>
      </c>
      <c r="AE448" s="3288">
        <v>21</v>
      </c>
      <c r="AF448" s="2236">
        <f t="shared" si="63"/>
        <v>21</v>
      </c>
      <c r="AG448" s="1396"/>
      <c r="DG448" s="573"/>
      <c r="DH448" s="188"/>
      <c r="DI448" s="1091"/>
      <c r="DJ448" s="1187"/>
    </row>
    <row r="449" spans="1:114" ht="14.65" customHeight="1" outlineLevel="1">
      <c r="A449" s="453"/>
      <c r="C449" s="51"/>
      <c r="D449" s="4198"/>
      <c r="E449" s="4199"/>
      <c r="F449" s="4292" t="s">
        <v>1897</v>
      </c>
      <c r="G449" s="4292"/>
      <c r="H449" s="4292"/>
      <c r="I449" s="3262" t="str">
        <f t="shared" si="64"/>
        <v>351192_2024_12_</v>
      </c>
      <c r="J449" s="3283">
        <v>21</v>
      </c>
      <c r="K449" s="2425"/>
      <c r="L449" s="3284" t="s">
        <v>1945</v>
      </c>
      <c r="M449" s="51"/>
      <c r="N449" s="561"/>
      <c r="O449" s="51"/>
      <c r="S449" s="52"/>
      <c r="T449" s="52"/>
      <c r="U449" s="52"/>
      <c r="V449" s="4199"/>
      <c r="W449" s="1396"/>
      <c r="X449" s="211"/>
      <c r="Y449" s="211"/>
      <c r="Z449" s="3265">
        <v>21</v>
      </c>
      <c r="AA449" s="3286">
        <v>21</v>
      </c>
      <c r="AB449" s="3287">
        <v>21</v>
      </c>
      <c r="AC449" s="3288">
        <v>21</v>
      </c>
      <c r="AD449" s="3288">
        <v>21</v>
      </c>
      <c r="AE449" s="3288">
        <v>21</v>
      </c>
      <c r="AF449" s="2236">
        <f t="shared" si="63"/>
        <v>21</v>
      </c>
      <c r="AG449" s="1396"/>
      <c r="DG449" s="573"/>
      <c r="DH449" s="188"/>
      <c r="DI449" s="1091"/>
      <c r="DJ449" s="1187"/>
    </row>
    <row r="450" spans="1:114" ht="14.65" customHeight="1" outlineLevel="1">
      <c r="A450" s="453"/>
      <c r="C450" s="51"/>
      <c r="D450" s="4198"/>
      <c r="E450" s="4199"/>
      <c r="F450" s="4292" t="s">
        <v>1899</v>
      </c>
      <c r="G450" s="4292"/>
      <c r="H450" s="4292"/>
      <c r="I450" s="3262" t="str">
        <f t="shared" si="64"/>
        <v>351193_2024_12_</v>
      </c>
      <c r="J450" s="3283">
        <v>21</v>
      </c>
      <c r="K450" s="2425"/>
      <c r="L450" s="3284" t="s">
        <v>1945</v>
      </c>
      <c r="M450" s="51"/>
      <c r="N450" s="561"/>
      <c r="O450" s="51"/>
      <c r="S450" s="52"/>
      <c r="T450" s="52"/>
      <c r="U450" s="52"/>
      <c r="V450" s="4199"/>
      <c r="W450" s="1396"/>
      <c r="X450" s="211"/>
      <c r="Y450" s="211"/>
      <c r="Z450" s="3265">
        <v>21</v>
      </c>
      <c r="AA450" s="3286">
        <v>21</v>
      </c>
      <c r="AB450" s="3287">
        <v>21</v>
      </c>
      <c r="AC450" s="3288">
        <v>21</v>
      </c>
      <c r="AD450" s="3288">
        <v>21</v>
      </c>
      <c r="AE450" s="3288">
        <v>21</v>
      </c>
      <c r="AF450" s="2236">
        <f t="shared" si="63"/>
        <v>21</v>
      </c>
      <c r="AG450" s="1396"/>
      <c r="DG450" s="573"/>
      <c r="DH450" s="188"/>
      <c r="DI450" s="1091"/>
      <c r="DJ450" s="1187"/>
    </row>
    <row r="451" spans="1:114" ht="14.65" customHeight="1" outlineLevel="1">
      <c r="A451" s="453"/>
      <c r="C451" s="51"/>
      <c r="D451" s="4198"/>
      <c r="E451" s="4199"/>
      <c r="F451" s="4292" t="s">
        <v>1900</v>
      </c>
      <c r="G451" s="4292"/>
      <c r="H451" s="4292"/>
      <c r="I451" s="3262" t="str">
        <f t="shared" si="64"/>
        <v>351193_2024_12_</v>
      </c>
      <c r="J451" s="3283">
        <v>21</v>
      </c>
      <c r="K451" s="2425"/>
      <c r="L451" s="3284" t="s">
        <v>1945</v>
      </c>
      <c r="M451" s="51"/>
      <c r="N451" s="561"/>
      <c r="O451" s="51"/>
      <c r="S451" s="52"/>
      <c r="T451" s="52"/>
      <c r="U451" s="52"/>
      <c r="V451" s="4199"/>
      <c r="W451" s="1396"/>
      <c r="X451" s="211"/>
      <c r="Y451" s="211"/>
      <c r="Z451" s="3265">
        <v>21</v>
      </c>
      <c r="AA451" s="3286">
        <v>21</v>
      </c>
      <c r="AB451" s="3287">
        <v>21</v>
      </c>
      <c r="AC451" s="3288">
        <v>21</v>
      </c>
      <c r="AD451" s="3288">
        <v>21</v>
      </c>
      <c r="AE451" s="3288">
        <v>21</v>
      </c>
      <c r="AF451" s="2236">
        <f t="shared" si="63"/>
        <v>21</v>
      </c>
      <c r="AG451" s="1396"/>
      <c r="DG451" s="573"/>
      <c r="DH451" s="188"/>
      <c r="DI451" s="1091"/>
      <c r="DJ451" s="1187"/>
    </row>
    <row r="452" spans="1:114" ht="15" customHeight="1" outlineLevel="1">
      <c r="A452" s="453"/>
      <c r="C452" s="51"/>
      <c r="D452" s="4198"/>
      <c r="E452" s="4199"/>
      <c r="F452" s="4292" t="s">
        <v>1902</v>
      </c>
      <c r="G452" s="4292"/>
      <c r="H452" s="4292"/>
      <c r="I452" s="3262" t="str">
        <f t="shared" si="64"/>
        <v>351194_2024_12_</v>
      </c>
      <c r="J452" s="3283">
        <v>21</v>
      </c>
      <c r="K452" s="2425"/>
      <c r="L452" s="3284" t="s">
        <v>1945</v>
      </c>
      <c r="M452" s="51"/>
      <c r="N452" s="561"/>
      <c r="O452" s="51"/>
      <c r="S452" s="52"/>
      <c r="T452" s="52"/>
      <c r="U452" s="52"/>
      <c r="V452" s="4199"/>
      <c r="W452" s="1396"/>
      <c r="X452" s="211"/>
      <c r="Y452" s="211"/>
      <c r="Z452" s="3265">
        <v>21</v>
      </c>
      <c r="AA452" s="3286">
        <v>21</v>
      </c>
      <c r="AB452" s="3287">
        <v>21</v>
      </c>
      <c r="AC452" s="3288">
        <v>21</v>
      </c>
      <c r="AD452" s="3288">
        <v>21</v>
      </c>
      <c r="AE452" s="3288">
        <v>21</v>
      </c>
      <c r="AF452" s="2236">
        <f t="shared" si="63"/>
        <v>21</v>
      </c>
      <c r="AG452" s="1396"/>
      <c r="DG452" s="573"/>
      <c r="DH452" s="188"/>
      <c r="DI452" s="1091"/>
      <c r="DJ452" s="1187"/>
    </row>
    <row r="453" spans="1:114" ht="15" customHeight="1" outlineLevel="1">
      <c r="A453" s="453"/>
      <c r="C453" s="51"/>
      <c r="D453" s="4198"/>
      <c r="E453" s="4199"/>
      <c r="F453" s="4292" t="s">
        <v>1904</v>
      </c>
      <c r="G453" s="4292"/>
      <c r="H453" s="4292"/>
      <c r="I453" s="3262" t="str">
        <f t="shared" si="64"/>
        <v>351195_2024_12_</v>
      </c>
      <c r="J453" s="3283">
        <v>21</v>
      </c>
      <c r="K453" s="2425"/>
      <c r="L453" s="3284" t="s">
        <v>1945</v>
      </c>
      <c r="M453" s="51"/>
      <c r="N453" s="561"/>
      <c r="O453" s="51"/>
      <c r="S453" s="52"/>
      <c r="T453" s="52"/>
      <c r="U453" s="52"/>
      <c r="V453" s="4199"/>
      <c r="W453" s="1396"/>
      <c r="X453" s="211"/>
      <c r="Y453" s="211"/>
      <c r="Z453" s="3265">
        <v>21</v>
      </c>
      <c r="AA453" s="3286">
        <v>21</v>
      </c>
      <c r="AB453" s="3287">
        <v>21</v>
      </c>
      <c r="AC453" s="3288">
        <v>21</v>
      </c>
      <c r="AD453" s="3288">
        <v>21</v>
      </c>
      <c r="AE453" s="3288">
        <v>21</v>
      </c>
      <c r="AF453" s="2236">
        <f t="shared" si="63"/>
        <v>21</v>
      </c>
      <c r="AG453" s="1396"/>
      <c r="DG453" s="573"/>
      <c r="DH453" s="188"/>
      <c r="DI453" s="1091"/>
      <c r="DJ453" s="1187"/>
    </row>
    <row r="454" spans="1:114" ht="14.65" customHeight="1" outlineLevel="1">
      <c r="A454" s="453"/>
      <c r="C454" s="51"/>
      <c r="D454" s="4294" t="s">
        <v>1947</v>
      </c>
      <c r="E454" s="4293" t="s">
        <v>1948</v>
      </c>
      <c r="F454" s="4339" t="s">
        <v>1784</v>
      </c>
      <c r="G454" s="4339"/>
      <c r="H454" s="4339"/>
      <c r="I454" s="3262" t="str">
        <f t="shared" si="64"/>
        <v>350400_2024_12_</v>
      </c>
      <c r="J454" s="3283">
        <v>8.33</v>
      </c>
      <c r="K454" s="3224"/>
      <c r="L454" s="1777" t="s">
        <v>1949</v>
      </c>
      <c r="M454" s="51"/>
      <c r="N454" s="561"/>
      <c r="O454" s="51"/>
      <c r="S454" s="52"/>
      <c r="T454" s="52"/>
      <c r="U454" s="52"/>
      <c r="V454" s="4293" t="str">
        <f>D454</f>
        <v>SEER2exist</v>
      </c>
      <c r="W454" s="3262">
        <v>8.1999999999999993</v>
      </c>
      <c r="X454" s="3265">
        <v>8.33</v>
      </c>
      <c r="Y454" s="3262">
        <v>8.33</v>
      </c>
      <c r="Z454" s="3262">
        <v>8.33</v>
      </c>
      <c r="AA454" s="3262">
        <v>8.33</v>
      </c>
      <c r="AB454" s="3287">
        <v>8.33</v>
      </c>
      <c r="AC454" s="3288">
        <v>8.33</v>
      </c>
      <c r="AD454" s="3288">
        <v>8.33</v>
      </c>
      <c r="AE454" s="3288">
        <v>8.33</v>
      </c>
      <c r="AF454" s="2236">
        <f t="shared" si="63"/>
        <v>8.33</v>
      </c>
      <c r="AG454" s="1396"/>
      <c r="DG454" s="573"/>
      <c r="DH454" s="188"/>
      <c r="DI454" s="1091"/>
      <c r="DJ454" s="1187"/>
    </row>
    <row r="455" spans="1:114" ht="14.65" customHeight="1" outlineLevel="1">
      <c r="A455" s="453"/>
      <c r="C455" s="51"/>
      <c r="D455" s="4294"/>
      <c r="E455" s="4293"/>
      <c r="F455" s="4292" t="s">
        <v>1785</v>
      </c>
      <c r="G455" s="4292"/>
      <c r="H455" s="4292"/>
      <c r="I455" s="3262" t="str">
        <f t="shared" si="64"/>
        <v>350400_2024_12_</v>
      </c>
      <c r="J455" s="3283"/>
      <c r="K455" s="3224"/>
      <c r="L455" s="1777"/>
      <c r="M455" s="51"/>
      <c r="N455" s="561"/>
      <c r="O455" s="51"/>
      <c r="S455" s="52"/>
      <c r="T455" s="52"/>
      <c r="U455" s="52"/>
      <c r="V455" s="4293"/>
      <c r="W455" s="3262"/>
      <c r="X455" s="3262"/>
      <c r="Y455" s="3262"/>
      <c r="Z455" s="3262"/>
      <c r="AA455" s="3262"/>
      <c r="AB455" s="3287"/>
      <c r="AC455" s="3288"/>
      <c r="AD455" s="3288"/>
      <c r="AE455" s="3288"/>
      <c r="AF455" s="2236" t="str">
        <f t="shared" si="63"/>
        <v/>
      </c>
      <c r="AG455" s="1396"/>
      <c r="DG455" s="573"/>
      <c r="DH455" s="188"/>
      <c r="DI455" s="1091"/>
      <c r="DJ455" s="1187"/>
    </row>
    <row r="456" spans="1:114" ht="14.65" customHeight="1" outlineLevel="1">
      <c r="A456" s="453"/>
      <c r="C456" s="51"/>
      <c r="D456" s="4294"/>
      <c r="E456" s="4293"/>
      <c r="F456" s="4292" t="s">
        <v>1788</v>
      </c>
      <c r="G456" s="4292"/>
      <c r="H456" s="4292"/>
      <c r="I456" s="3262" t="str">
        <f t="shared" si="64"/>
        <v>350450_2024_12_</v>
      </c>
      <c r="J456" s="3283"/>
      <c r="K456" s="3224"/>
      <c r="L456" s="1777"/>
      <c r="M456" s="51"/>
      <c r="N456" s="561"/>
      <c r="O456" s="51"/>
      <c r="S456" s="52"/>
      <c r="T456" s="52"/>
      <c r="U456" s="52"/>
      <c r="V456" s="4293"/>
      <c r="W456" s="3262"/>
      <c r="X456" s="3262"/>
      <c r="Y456" s="3262"/>
      <c r="Z456" s="3262"/>
      <c r="AA456" s="3262"/>
      <c r="AB456" s="3287"/>
      <c r="AC456" s="3288"/>
      <c r="AD456" s="3288"/>
      <c r="AE456" s="3288"/>
      <c r="AF456" s="2236" t="str">
        <f t="shared" si="63"/>
        <v/>
      </c>
      <c r="AG456" s="1396"/>
      <c r="DG456" s="573"/>
      <c r="DH456" s="188"/>
      <c r="DI456" s="1091"/>
      <c r="DJ456" s="1187"/>
    </row>
    <row r="457" spans="1:114" ht="28.9" customHeight="1" outlineLevel="1">
      <c r="A457" s="453"/>
      <c r="C457" s="51"/>
      <c r="D457" s="4294"/>
      <c r="E457" s="4293"/>
      <c r="F457" s="4292" t="s">
        <v>1790</v>
      </c>
      <c r="G457" s="4292"/>
      <c r="H457" s="4292"/>
      <c r="I457" s="3262" t="str">
        <f t="shared" si="64"/>
        <v>350500_2024_12_</v>
      </c>
      <c r="J457" s="3283">
        <v>8.33</v>
      </c>
      <c r="K457" s="3224"/>
      <c r="L457" s="1777" t="s">
        <v>1949</v>
      </c>
      <c r="M457" s="51"/>
      <c r="N457" s="561"/>
      <c r="O457" s="51"/>
      <c r="S457" s="52"/>
      <c r="T457" s="52"/>
      <c r="U457" s="52"/>
      <c r="V457" s="4293"/>
      <c r="W457" s="3262">
        <v>8.1999999999999993</v>
      </c>
      <c r="X457" s="3265">
        <v>8.33</v>
      </c>
      <c r="Y457" s="3262">
        <v>8.33</v>
      </c>
      <c r="Z457" s="3262">
        <v>8.33</v>
      </c>
      <c r="AA457" s="3262">
        <v>8.33</v>
      </c>
      <c r="AB457" s="3287">
        <v>8.33</v>
      </c>
      <c r="AC457" s="3288">
        <v>8.33</v>
      </c>
      <c r="AD457" s="3288">
        <v>8.33</v>
      </c>
      <c r="AE457" s="3288">
        <v>8.33</v>
      </c>
      <c r="AF457" s="2236">
        <f t="shared" si="63"/>
        <v>8.33</v>
      </c>
      <c r="AG457" s="1396"/>
      <c r="DG457" s="573"/>
      <c r="DH457" s="188"/>
      <c r="DI457" s="1091"/>
      <c r="DJ457" s="1187"/>
    </row>
    <row r="458" spans="1:114" outlineLevel="1">
      <c r="A458" s="453"/>
      <c r="C458" s="51"/>
      <c r="D458" s="4294"/>
      <c r="E458" s="4293"/>
      <c r="F458" s="4292" t="s">
        <v>1791</v>
      </c>
      <c r="G458" s="4292"/>
      <c r="H458" s="4292"/>
      <c r="I458" s="3262" t="str">
        <f t="shared" si="64"/>
        <v>350500_2024_12_</v>
      </c>
      <c r="J458" s="3283"/>
      <c r="K458" s="3224"/>
      <c r="L458" s="3224"/>
      <c r="M458" s="51"/>
      <c r="N458" s="561"/>
      <c r="O458" s="51"/>
      <c r="S458" s="52"/>
      <c r="T458" s="52"/>
      <c r="U458" s="52"/>
      <c r="V458" s="4293"/>
      <c r="W458" s="3262"/>
      <c r="X458" s="3262"/>
      <c r="Y458" s="3262"/>
      <c r="Z458" s="3262"/>
      <c r="AA458" s="3262"/>
      <c r="AB458" s="3287"/>
      <c r="AC458" s="3288"/>
      <c r="AD458" s="3288"/>
      <c r="AE458" s="3288"/>
      <c r="AF458" s="2236" t="str">
        <f t="shared" si="63"/>
        <v/>
      </c>
      <c r="AG458" s="1396"/>
      <c r="DG458" s="573"/>
      <c r="DH458" s="188"/>
      <c r="DI458" s="1091"/>
      <c r="DJ458" s="1187"/>
    </row>
    <row r="459" spans="1:114" ht="28.9" customHeight="1" outlineLevel="1">
      <c r="A459" s="453"/>
      <c r="C459" s="51"/>
      <c r="D459" s="4294"/>
      <c r="E459" s="4293"/>
      <c r="F459" s="4292" t="s">
        <v>1793</v>
      </c>
      <c r="G459" s="4292"/>
      <c r="H459" s="4292"/>
      <c r="I459" s="3262" t="str">
        <f t="shared" si="64"/>
        <v>350501_2024_12_</v>
      </c>
      <c r="J459" s="3283">
        <v>8.33</v>
      </c>
      <c r="K459" s="3224"/>
      <c r="L459" s="1777" t="s">
        <v>1949</v>
      </c>
      <c r="M459" s="51"/>
      <c r="N459" s="561"/>
      <c r="O459" s="51"/>
      <c r="S459" s="52"/>
      <c r="T459" s="52"/>
      <c r="U459" s="52"/>
      <c r="V459" s="4293"/>
      <c r="W459" s="3262"/>
      <c r="X459" s="3262"/>
      <c r="Y459" s="3262">
        <v>8.33</v>
      </c>
      <c r="Z459" s="3262">
        <v>8.33</v>
      </c>
      <c r="AA459" s="3262">
        <v>8.33</v>
      </c>
      <c r="AB459" s="3287">
        <v>8.33</v>
      </c>
      <c r="AC459" s="3288">
        <v>8.33</v>
      </c>
      <c r="AD459" s="3288">
        <v>8.33</v>
      </c>
      <c r="AE459" s="3288">
        <v>8.33</v>
      </c>
      <c r="AF459" s="2236">
        <f t="shared" si="63"/>
        <v>8.33</v>
      </c>
      <c r="AG459" s="1396"/>
      <c r="DG459" s="573"/>
      <c r="DH459" s="188"/>
      <c r="DI459" s="1091"/>
      <c r="DJ459" s="1187"/>
    </row>
    <row r="460" spans="1:114" outlineLevel="1">
      <c r="A460" s="453"/>
      <c r="C460" s="51"/>
      <c r="D460" s="4294"/>
      <c r="E460" s="4293"/>
      <c r="F460" s="4292" t="s">
        <v>1794</v>
      </c>
      <c r="G460" s="4292"/>
      <c r="H460" s="4292"/>
      <c r="I460" s="3262" t="str">
        <f t="shared" si="64"/>
        <v>350501_2024_12_</v>
      </c>
      <c r="J460" s="3283"/>
      <c r="K460" s="3224"/>
      <c r="L460" s="1777"/>
      <c r="M460" s="51"/>
      <c r="N460" s="561"/>
      <c r="O460" s="51"/>
      <c r="S460" s="52"/>
      <c r="T460" s="52"/>
      <c r="U460" s="52"/>
      <c r="V460" s="4293"/>
      <c r="W460" s="3262"/>
      <c r="X460" s="3262"/>
      <c r="Y460" s="3262"/>
      <c r="Z460" s="3262"/>
      <c r="AA460" s="3262"/>
      <c r="AB460" s="3287"/>
      <c r="AC460" s="3288"/>
      <c r="AD460" s="3288"/>
      <c r="AE460" s="3288"/>
      <c r="AF460" s="2236" t="str">
        <f t="shared" si="63"/>
        <v/>
      </c>
      <c r="AG460" s="1396"/>
      <c r="DG460" s="573"/>
      <c r="DH460" s="188"/>
      <c r="DI460" s="1091"/>
      <c r="DJ460" s="1187"/>
    </row>
    <row r="461" spans="1:114" outlineLevel="1">
      <c r="A461" s="453"/>
      <c r="C461" s="51"/>
      <c r="D461" s="4294"/>
      <c r="E461" s="4293"/>
      <c r="F461" s="4292" t="s">
        <v>1796</v>
      </c>
      <c r="G461" s="4292"/>
      <c r="H461" s="4292"/>
      <c r="I461" s="3262" t="str">
        <f t="shared" si="64"/>
        <v>350550_2024_12_</v>
      </c>
      <c r="J461" s="3283"/>
      <c r="K461" s="3224"/>
      <c r="L461" s="1777"/>
      <c r="M461" s="51"/>
      <c r="N461" s="561"/>
      <c r="O461" s="51"/>
      <c r="S461" s="52"/>
      <c r="T461" s="52"/>
      <c r="U461" s="52"/>
      <c r="V461" s="4293"/>
      <c r="W461" s="3262"/>
      <c r="X461" s="3262"/>
      <c r="Y461" s="3262"/>
      <c r="Z461" s="3262"/>
      <c r="AA461" s="3262"/>
      <c r="AB461" s="3287"/>
      <c r="AC461" s="3288"/>
      <c r="AD461" s="3288"/>
      <c r="AE461" s="3288"/>
      <c r="AF461" s="2236" t="str">
        <f t="shared" si="63"/>
        <v/>
      </c>
      <c r="AG461" s="1396"/>
      <c r="DG461" s="573"/>
      <c r="DH461" s="188"/>
      <c r="DI461" s="1091"/>
      <c r="DJ461" s="1187"/>
    </row>
    <row r="462" spans="1:114" outlineLevel="1">
      <c r="A462" s="453"/>
      <c r="C462" s="51"/>
      <c r="D462" s="4294"/>
      <c r="E462" s="4293"/>
      <c r="F462" s="4292" t="s">
        <v>1798</v>
      </c>
      <c r="G462" s="4292"/>
      <c r="H462" s="4292"/>
      <c r="I462" s="3262" t="str">
        <f t="shared" si="64"/>
        <v>350551_2024_12_</v>
      </c>
      <c r="J462" s="3283"/>
      <c r="K462" s="3224"/>
      <c r="L462" s="1777"/>
      <c r="M462" s="51"/>
      <c r="N462" s="561"/>
      <c r="O462" s="51"/>
      <c r="S462" s="52"/>
      <c r="T462" s="52"/>
      <c r="U462" s="52"/>
      <c r="V462" s="4293"/>
      <c r="W462" s="3262"/>
      <c r="X462" s="3262"/>
      <c r="Y462" s="3262"/>
      <c r="Z462" s="3262"/>
      <c r="AA462" s="3262"/>
      <c r="AB462" s="3287"/>
      <c r="AC462" s="3288"/>
      <c r="AD462" s="3288"/>
      <c r="AE462" s="3288"/>
      <c r="AF462" s="2236" t="str">
        <f t="shared" si="63"/>
        <v/>
      </c>
      <c r="AG462" s="1396"/>
      <c r="DG462" s="573"/>
      <c r="DH462" s="188"/>
      <c r="DI462" s="1091"/>
      <c r="DJ462" s="1187"/>
    </row>
    <row r="463" spans="1:114" outlineLevel="1">
      <c r="A463" s="453"/>
      <c r="C463" s="51"/>
      <c r="D463" s="4294"/>
      <c r="E463" s="4293"/>
      <c r="F463" s="4338" t="s">
        <v>1801</v>
      </c>
      <c r="G463" s="4338"/>
      <c r="H463" s="4338"/>
      <c r="I463" s="1396" t="str">
        <f t="shared" si="64"/>
        <v>350600_2024_12_</v>
      </c>
      <c r="J463" s="1772">
        <v>7.6205760700821035</v>
      </c>
      <c r="K463" s="55"/>
      <c r="L463" s="1740" t="s">
        <v>1934</v>
      </c>
      <c r="M463" s="51"/>
      <c r="N463" s="561"/>
      <c r="O463" s="51"/>
      <c r="S463" s="52"/>
      <c r="T463" s="52"/>
      <c r="U463" s="52"/>
      <c r="V463" s="4293"/>
      <c r="W463" s="1396">
        <v>8.1999999999999993</v>
      </c>
      <c r="X463" s="833">
        <v>8.33</v>
      </c>
      <c r="Y463" s="1396">
        <v>8.33</v>
      </c>
      <c r="Z463" s="1396">
        <v>8.33</v>
      </c>
      <c r="AA463" s="1396">
        <v>8.33</v>
      </c>
      <c r="AB463" s="736">
        <v>7.5274715869040065</v>
      </c>
      <c r="AC463" s="736">
        <v>8.2517061990859339</v>
      </c>
      <c r="AD463" s="939">
        <v>7.4529882194918962</v>
      </c>
      <c r="AE463" s="939">
        <v>7.6205760700821035</v>
      </c>
      <c r="AF463" s="271">
        <f t="shared" si="63"/>
        <v>7.6205760700821035</v>
      </c>
      <c r="AG463" s="1396"/>
      <c r="DG463" s="573"/>
      <c r="DH463" s="188"/>
      <c r="DI463" s="1091"/>
      <c r="DJ463" s="1187"/>
    </row>
    <row r="464" spans="1:114" outlineLevel="1">
      <c r="A464" s="453"/>
      <c r="C464" s="51"/>
      <c r="D464" s="4294"/>
      <c r="E464" s="4293"/>
      <c r="F464" s="4338" t="s">
        <v>1802</v>
      </c>
      <c r="G464" s="4338"/>
      <c r="H464" s="4338"/>
      <c r="I464" s="1396" t="str">
        <f t="shared" si="64"/>
        <v>350600_2024_12_</v>
      </c>
      <c r="J464" s="1758"/>
      <c r="K464" s="55"/>
      <c r="L464" s="1777"/>
      <c r="M464" s="51"/>
      <c r="N464" s="561"/>
      <c r="O464" s="51"/>
      <c r="S464" s="52"/>
      <c r="T464" s="52"/>
      <c r="U464" s="52"/>
      <c r="V464" s="4293"/>
      <c r="W464" s="1396"/>
      <c r="X464" s="1396"/>
      <c r="Y464" s="1396"/>
      <c r="Z464" s="1396"/>
      <c r="AA464" s="1396"/>
      <c r="AB464" s="953"/>
      <c r="AC464" s="741"/>
      <c r="AD464" s="741"/>
      <c r="AE464" s="741"/>
      <c r="AF464" s="271" t="str">
        <f t="shared" si="63"/>
        <v/>
      </c>
      <c r="AG464" s="1396"/>
      <c r="DG464" s="573"/>
      <c r="DH464" s="188"/>
      <c r="DI464" s="1091"/>
      <c r="DJ464" s="1187"/>
    </row>
    <row r="465" spans="1:114" outlineLevel="1">
      <c r="A465" s="453"/>
      <c r="C465" s="51"/>
      <c r="D465" s="4294"/>
      <c r="E465" s="4293"/>
      <c r="F465" s="4338" t="s">
        <v>1804</v>
      </c>
      <c r="G465" s="4338"/>
      <c r="H465" s="4338"/>
      <c r="I465" s="1396" t="str">
        <f t="shared" si="64"/>
        <v>350650_2024_12_</v>
      </c>
      <c r="J465" s="1758"/>
      <c r="K465" s="55"/>
      <c r="L465" s="1777"/>
      <c r="M465" s="51"/>
      <c r="N465" s="561"/>
      <c r="O465" s="51"/>
      <c r="S465" s="52"/>
      <c r="T465" s="52"/>
      <c r="U465" s="52"/>
      <c r="V465" s="4293"/>
      <c r="W465" s="1396"/>
      <c r="X465" s="1396"/>
      <c r="Y465" s="1396"/>
      <c r="Z465" s="1396"/>
      <c r="AA465" s="1396"/>
      <c r="AB465" s="953"/>
      <c r="AC465" s="741"/>
      <c r="AD465" s="741"/>
      <c r="AE465" s="741"/>
      <c r="AF465" s="271" t="str">
        <f t="shared" si="63"/>
        <v/>
      </c>
      <c r="AG465" s="1396"/>
      <c r="DG465" s="573"/>
      <c r="DH465" s="188"/>
      <c r="DI465" s="1091"/>
      <c r="DJ465" s="1187"/>
    </row>
    <row r="466" spans="1:114" outlineLevel="1">
      <c r="A466" s="453"/>
      <c r="C466" s="51"/>
      <c r="D466" s="4294"/>
      <c r="E466" s="4293"/>
      <c r="F466" s="4292" t="s">
        <v>1806</v>
      </c>
      <c r="G466" s="4292"/>
      <c r="H466" s="4292"/>
      <c r="I466" s="3262" t="str">
        <f t="shared" si="64"/>
        <v>350700_2024_12_</v>
      </c>
      <c r="J466" s="3289">
        <v>7.3842048875865771</v>
      </c>
      <c r="K466" s="3224"/>
      <c r="L466" s="3293" t="s">
        <v>1934</v>
      </c>
      <c r="M466" s="51"/>
      <c r="N466" s="561"/>
      <c r="O466" s="51"/>
      <c r="S466" s="52"/>
      <c r="T466" s="52"/>
      <c r="U466" s="52"/>
      <c r="V466" s="4293"/>
      <c r="W466" s="3262">
        <v>8.1999999999999993</v>
      </c>
      <c r="X466" s="3265">
        <v>8.33</v>
      </c>
      <c r="Y466" s="3262">
        <v>8.33</v>
      </c>
      <c r="Z466" s="3262">
        <v>8.33</v>
      </c>
      <c r="AA466" s="3262">
        <v>8.33</v>
      </c>
      <c r="AB466" s="3282">
        <v>7.2595221661569607</v>
      </c>
      <c r="AC466" s="3282">
        <v>8.1380151250559827</v>
      </c>
      <c r="AD466" s="3290">
        <v>7.2151508807483591</v>
      </c>
      <c r="AE466" s="3290">
        <v>7.3842048875865771</v>
      </c>
      <c r="AF466" s="2236">
        <f t="shared" si="63"/>
        <v>7.3842048875865771</v>
      </c>
      <c r="AG466" s="1396"/>
      <c r="DG466" s="573"/>
      <c r="DH466" s="188"/>
      <c r="DI466" s="1091"/>
      <c r="DJ466" s="1187"/>
    </row>
    <row r="467" spans="1:114" outlineLevel="1">
      <c r="A467" s="453"/>
      <c r="C467" s="51"/>
      <c r="D467" s="4294"/>
      <c r="E467" s="4293"/>
      <c r="F467" s="4292" t="s">
        <v>1807</v>
      </c>
      <c r="G467" s="4292"/>
      <c r="H467" s="4292"/>
      <c r="I467" s="3262" t="str">
        <f t="shared" si="64"/>
        <v>350700_2024_12_</v>
      </c>
      <c r="J467" s="3283"/>
      <c r="K467" s="3224"/>
      <c r="L467" s="1777"/>
      <c r="M467" s="51"/>
      <c r="N467" s="561"/>
      <c r="O467" s="51"/>
      <c r="S467" s="52"/>
      <c r="T467" s="52"/>
      <c r="U467" s="52"/>
      <c r="V467" s="4293"/>
      <c r="W467" s="3262"/>
      <c r="X467" s="3262"/>
      <c r="Y467" s="3262"/>
      <c r="Z467" s="3262"/>
      <c r="AA467" s="3262"/>
      <c r="AB467" s="3287"/>
      <c r="AC467" s="3288"/>
      <c r="AD467" s="3288"/>
      <c r="AE467" s="3288"/>
      <c r="AF467" s="2236" t="str">
        <f t="shared" si="63"/>
        <v/>
      </c>
      <c r="AG467" s="1396"/>
      <c r="DG467" s="573"/>
      <c r="DH467" s="188"/>
      <c r="DI467" s="1091"/>
      <c r="DJ467" s="1187"/>
    </row>
    <row r="468" spans="1:114" outlineLevel="1">
      <c r="A468" s="453"/>
      <c r="C468" s="51"/>
      <c r="D468" s="4294"/>
      <c r="E468" s="4293"/>
      <c r="F468" s="4292" t="s">
        <v>1809</v>
      </c>
      <c r="G468" s="4292"/>
      <c r="H468" s="4292"/>
      <c r="I468" s="3262" t="str">
        <f t="shared" si="64"/>
        <v>350701_2024_12_</v>
      </c>
      <c r="J468" s="3283">
        <f>J466</f>
        <v>7.3842048875865771</v>
      </c>
      <c r="K468" s="3224"/>
      <c r="L468" s="1777" t="s">
        <v>1933</v>
      </c>
      <c r="M468" s="51"/>
      <c r="N468" s="561"/>
      <c r="O468" s="51"/>
      <c r="S468" s="52"/>
      <c r="T468" s="52"/>
      <c r="U468" s="52"/>
      <c r="V468" s="4293"/>
      <c r="W468" s="3262"/>
      <c r="X468" s="3262"/>
      <c r="Y468" s="3262">
        <v>8.33</v>
      </c>
      <c r="Z468" s="3262">
        <v>8.33</v>
      </c>
      <c r="AA468" s="3262">
        <v>8.33</v>
      </c>
      <c r="AB468" s="3282">
        <v>7.2595221661569607</v>
      </c>
      <c r="AC468" s="3282">
        <v>8.1380151250559827</v>
      </c>
      <c r="AD468" s="3282">
        <v>7.2151508807483591</v>
      </c>
      <c r="AE468" s="3282">
        <v>7.3842048875865771</v>
      </c>
      <c r="AF468" s="2236">
        <f t="shared" si="63"/>
        <v>7.3842048875865771</v>
      </c>
      <c r="AG468" s="1396"/>
      <c r="DG468" s="573"/>
      <c r="DH468" s="188"/>
      <c r="DI468" s="1091"/>
      <c r="DJ468" s="1187"/>
    </row>
    <row r="469" spans="1:114" outlineLevel="1">
      <c r="A469" s="453"/>
      <c r="C469" s="51"/>
      <c r="D469" s="4294"/>
      <c r="E469" s="4293"/>
      <c r="F469" s="4292" t="s">
        <v>1810</v>
      </c>
      <c r="G469" s="4292"/>
      <c r="H469" s="4292"/>
      <c r="I469" s="3262" t="str">
        <f t="shared" si="64"/>
        <v>350701_2024_12_</v>
      </c>
      <c r="J469" s="3283"/>
      <c r="K469" s="3224"/>
      <c r="L469" s="1777"/>
      <c r="M469" s="51"/>
      <c r="N469" s="561"/>
      <c r="O469" s="51"/>
      <c r="S469" s="52"/>
      <c r="T469" s="52"/>
      <c r="U469" s="52"/>
      <c r="V469" s="4293"/>
      <c r="W469" s="3262"/>
      <c r="X469" s="3262"/>
      <c r="Y469" s="3262"/>
      <c r="Z469" s="3262"/>
      <c r="AA469" s="3262"/>
      <c r="AB469" s="3287"/>
      <c r="AC469" s="3288"/>
      <c r="AD469" s="3288"/>
      <c r="AE469" s="3288"/>
      <c r="AF469" s="2236" t="str">
        <f t="shared" si="63"/>
        <v/>
      </c>
      <c r="AG469" s="1396"/>
      <c r="DG469" s="573"/>
      <c r="DH469" s="188"/>
      <c r="DI469" s="1091"/>
      <c r="DJ469" s="1187"/>
    </row>
    <row r="470" spans="1:114" outlineLevel="1">
      <c r="A470" s="453"/>
      <c r="C470" s="51"/>
      <c r="D470" s="4294"/>
      <c r="E470" s="4293"/>
      <c r="F470" s="4292" t="s">
        <v>1812</v>
      </c>
      <c r="G470" s="4292"/>
      <c r="H470" s="4292"/>
      <c r="I470" s="3262" t="str">
        <f t="shared" si="64"/>
        <v>350750_2024_12_</v>
      </c>
      <c r="J470" s="3283"/>
      <c r="K470" s="3224"/>
      <c r="L470" s="1777"/>
      <c r="M470" s="51"/>
      <c r="N470" s="561"/>
      <c r="O470" s="51"/>
      <c r="S470" s="52"/>
      <c r="T470" s="52"/>
      <c r="U470" s="52"/>
      <c r="V470" s="4293"/>
      <c r="W470" s="3262"/>
      <c r="X470" s="3262"/>
      <c r="Y470" s="3262"/>
      <c r="Z470" s="3262"/>
      <c r="AA470" s="3262"/>
      <c r="AB470" s="3287"/>
      <c r="AC470" s="3288"/>
      <c r="AD470" s="3288"/>
      <c r="AE470" s="3288"/>
      <c r="AF470" s="2236" t="str">
        <f t="shared" si="63"/>
        <v/>
      </c>
      <c r="AG470" s="1396"/>
      <c r="DG470" s="573"/>
      <c r="DH470" s="188"/>
      <c r="DI470" s="1091"/>
      <c r="DJ470" s="1187"/>
    </row>
    <row r="471" spans="1:114" outlineLevel="1">
      <c r="A471" s="453"/>
      <c r="C471" s="51"/>
      <c r="D471" s="4294"/>
      <c r="E471" s="4293"/>
      <c r="F471" s="4292" t="s">
        <v>1814</v>
      </c>
      <c r="G471" s="4292"/>
      <c r="H471" s="4292"/>
      <c r="I471" s="3262" t="str">
        <f t="shared" si="64"/>
        <v>350751_2024_12_</v>
      </c>
      <c r="J471" s="3283"/>
      <c r="K471" s="3224"/>
      <c r="L471" s="1777"/>
      <c r="M471" s="51"/>
      <c r="N471" s="561"/>
      <c r="O471" s="51"/>
      <c r="S471" s="52"/>
      <c r="T471" s="52"/>
      <c r="U471" s="52"/>
      <c r="V471" s="4293"/>
      <c r="W471" s="3262"/>
      <c r="X471" s="3262"/>
      <c r="Y471" s="3262"/>
      <c r="Z471" s="3262"/>
      <c r="AA471" s="3262"/>
      <c r="AB471" s="3287"/>
      <c r="AC471" s="3288"/>
      <c r="AD471" s="3288"/>
      <c r="AE471" s="3288"/>
      <c r="AF471" s="2236" t="str">
        <f t="shared" si="63"/>
        <v/>
      </c>
      <c r="AG471" s="1396"/>
      <c r="DG471" s="573"/>
      <c r="DH471" s="188"/>
      <c r="DI471" s="1091"/>
      <c r="DJ471" s="1187"/>
    </row>
    <row r="472" spans="1:114" outlineLevel="1">
      <c r="A472" s="453"/>
      <c r="C472" s="51"/>
      <c r="D472" s="4294"/>
      <c r="E472" s="4293"/>
      <c r="F472" s="4338" t="s">
        <v>1816</v>
      </c>
      <c r="G472" s="4338"/>
      <c r="H472" s="4338"/>
      <c r="I472" s="1396" t="str">
        <f t="shared" si="64"/>
        <v>350800_2024_12_</v>
      </c>
      <c r="J472" s="1773">
        <v>7.3876970461088041</v>
      </c>
      <c r="K472" s="55"/>
      <c r="L472" s="1609" t="s">
        <v>1950</v>
      </c>
      <c r="M472" s="51"/>
      <c r="N472" s="561"/>
      <c r="O472" s="51"/>
      <c r="S472" s="52"/>
      <c r="T472" s="52"/>
      <c r="U472" s="52"/>
      <c r="V472" s="4293"/>
      <c r="W472" s="1396">
        <v>8.1999999999999993</v>
      </c>
      <c r="X472" s="833">
        <v>8.33</v>
      </c>
      <c r="Y472" s="1396">
        <v>8.33</v>
      </c>
      <c r="Z472" s="1396">
        <v>8.33</v>
      </c>
      <c r="AA472" s="1396">
        <v>8.33</v>
      </c>
      <c r="AB472" s="736">
        <v>7.508722873173407</v>
      </c>
      <c r="AC472" s="736">
        <v>8.2475141229575382</v>
      </c>
      <c r="AD472" s="939">
        <v>7.4712867392476277</v>
      </c>
      <c r="AE472" s="939">
        <v>7.5476111173509768</v>
      </c>
      <c r="AF472" s="271">
        <f t="shared" si="63"/>
        <v>7.3876970461088041</v>
      </c>
      <c r="AG472" s="1396"/>
      <c r="DG472" s="573"/>
      <c r="DH472" s="188"/>
      <c r="DI472" s="1091"/>
      <c r="DJ472" s="1187"/>
    </row>
    <row r="473" spans="1:114" outlineLevel="1">
      <c r="A473" s="453"/>
      <c r="C473" s="51"/>
      <c r="D473" s="4294"/>
      <c r="E473" s="4293"/>
      <c r="F473" s="4338" t="s">
        <v>1817</v>
      </c>
      <c r="G473" s="4338"/>
      <c r="H473" s="4338"/>
      <c r="I473" s="1396" t="str">
        <f t="shared" si="64"/>
        <v>350800_2024_12_</v>
      </c>
      <c r="J473" s="1758"/>
      <c r="K473" s="55"/>
      <c r="L473" s="1778"/>
      <c r="M473" s="51"/>
      <c r="N473" s="561"/>
      <c r="O473" s="51"/>
      <c r="S473" s="52"/>
      <c r="T473" s="52"/>
      <c r="U473" s="52"/>
      <c r="V473" s="4293"/>
      <c r="W473" s="1396"/>
      <c r="X473" s="1396"/>
      <c r="Y473" s="1396"/>
      <c r="Z473" s="1396"/>
      <c r="AA473" s="1396"/>
      <c r="AB473" s="953"/>
      <c r="AC473" s="741"/>
      <c r="AD473" s="741"/>
      <c r="AE473" s="741"/>
      <c r="AF473" s="271" t="str">
        <f t="shared" si="63"/>
        <v/>
      </c>
      <c r="AG473" s="1396"/>
      <c r="DG473" s="573"/>
      <c r="DH473" s="188"/>
      <c r="DI473" s="1091"/>
      <c r="DJ473" s="1187"/>
    </row>
    <row r="474" spans="1:114" outlineLevel="1">
      <c r="A474" s="453"/>
      <c r="C474" s="51"/>
      <c r="D474" s="4294"/>
      <c r="E474" s="4293"/>
      <c r="F474" s="4338" t="s">
        <v>1819</v>
      </c>
      <c r="G474" s="4338"/>
      <c r="H474" s="4338"/>
      <c r="I474" s="1396" t="str">
        <f t="shared" si="64"/>
        <v>350850_2024_12_</v>
      </c>
      <c r="J474" s="1758"/>
      <c r="K474" s="55"/>
      <c r="L474" s="1777"/>
      <c r="M474" s="51"/>
      <c r="N474" s="561"/>
      <c r="O474" s="51"/>
      <c r="S474" s="52"/>
      <c r="T474" s="52"/>
      <c r="U474" s="52"/>
      <c r="V474" s="4293"/>
      <c r="W474" s="1396"/>
      <c r="X474" s="1396"/>
      <c r="Y474" s="1396"/>
      <c r="Z474" s="1396"/>
      <c r="AA474" s="1396"/>
      <c r="AB474" s="953"/>
      <c r="AC474" s="741"/>
      <c r="AD474" s="741"/>
      <c r="AE474" s="741"/>
      <c r="AF474" s="271" t="str">
        <f t="shared" si="63"/>
        <v/>
      </c>
      <c r="AG474" s="1396"/>
      <c r="DG474" s="573"/>
      <c r="DH474" s="188"/>
      <c r="DI474" s="1091"/>
      <c r="DJ474" s="1187"/>
    </row>
    <row r="475" spans="1:114" outlineLevel="1">
      <c r="A475" s="453"/>
      <c r="C475" s="51"/>
      <c r="D475" s="4294"/>
      <c r="E475" s="4293"/>
      <c r="F475" s="4338" t="s">
        <v>1821</v>
      </c>
      <c r="G475" s="4338"/>
      <c r="H475" s="4338"/>
      <c r="I475" s="1396" t="str">
        <f t="shared" si="64"/>
        <v>350900_2024_12_</v>
      </c>
      <c r="J475" s="1773">
        <v>7.4410849195197439</v>
      </c>
      <c r="K475" s="55"/>
      <c r="L475" s="1609" t="s">
        <v>1950</v>
      </c>
      <c r="M475" s="51"/>
      <c r="N475" s="561"/>
      <c r="O475" s="51"/>
      <c r="S475" s="52"/>
      <c r="T475" s="52"/>
      <c r="U475" s="52"/>
      <c r="V475" s="4293"/>
      <c r="W475" s="1396">
        <v>8.1999999999999993</v>
      </c>
      <c r="X475" s="833">
        <v>8.33</v>
      </c>
      <c r="Y475" s="1396">
        <v>8.33</v>
      </c>
      <c r="Z475" s="1396">
        <v>8.33</v>
      </c>
      <c r="AA475" s="1396">
        <v>8.33</v>
      </c>
      <c r="AB475" s="736">
        <v>7.983392742151227</v>
      </c>
      <c r="AC475" s="736">
        <v>8.3039211249486229</v>
      </c>
      <c r="AD475" s="939">
        <v>7.6056879052271524</v>
      </c>
      <c r="AE475" s="939">
        <v>7.5627579008933568</v>
      </c>
      <c r="AF475" s="271">
        <f t="shared" si="63"/>
        <v>7.4410849195197439</v>
      </c>
      <c r="AG475" s="1396"/>
      <c r="DG475" s="573"/>
      <c r="DH475" s="188"/>
      <c r="DI475" s="1091"/>
      <c r="DJ475" s="1187"/>
    </row>
    <row r="476" spans="1:114" outlineLevel="1">
      <c r="A476" s="453"/>
      <c r="C476" s="51"/>
      <c r="D476" s="4294"/>
      <c r="E476" s="4293"/>
      <c r="F476" s="4338" t="s">
        <v>1822</v>
      </c>
      <c r="G476" s="4338"/>
      <c r="H476" s="4338"/>
      <c r="I476" s="1396" t="str">
        <f t="shared" si="64"/>
        <v>350900_2024_12_</v>
      </c>
      <c r="J476" s="1758"/>
      <c r="K476" s="55"/>
      <c r="L476" s="1778"/>
      <c r="M476" s="51"/>
      <c r="N476" s="561"/>
      <c r="O476" s="51"/>
      <c r="S476" s="52"/>
      <c r="T476" s="52"/>
      <c r="U476" s="52"/>
      <c r="V476" s="4293"/>
      <c r="W476" s="1396"/>
      <c r="X476" s="1396"/>
      <c r="Y476" s="1396"/>
      <c r="Z476" s="1396"/>
      <c r="AA476" s="1396"/>
      <c r="AB476" s="953"/>
      <c r="AC476" s="741"/>
      <c r="AD476" s="741"/>
      <c r="AE476" s="741"/>
      <c r="AF476" s="271" t="str">
        <f t="shared" si="63"/>
        <v/>
      </c>
      <c r="AG476" s="1396"/>
      <c r="DG476" s="573"/>
      <c r="DH476" s="188"/>
      <c r="DI476" s="1091"/>
      <c r="DJ476" s="1187"/>
    </row>
    <row r="477" spans="1:114" outlineLevel="1">
      <c r="A477" s="453"/>
      <c r="C477" s="51"/>
      <c r="D477" s="4294"/>
      <c r="E477" s="4293"/>
      <c r="F477" s="4292" t="s">
        <v>1824</v>
      </c>
      <c r="G477" s="4292"/>
      <c r="H477" s="4292"/>
      <c r="I477" s="3262" t="str">
        <f t="shared" si="64"/>
        <v>350901_2024_12_</v>
      </c>
      <c r="J477" s="3294">
        <f>J475</f>
        <v>7.4410849195197439</v>
      </c>
      <c r="K477" s="3224"/>
      <c r="L477" s="3275" t="s">
        <v>1950</v>
      </c>
      <c r="M477" s="51"/>
      <c r="N477" s="561"/>
      <c r="O477" s="51"/>
      <c r="S477" s="52"/>
      <c r="T477" s="52"/>
      <c r="U477" s="52"/>
      <c r="V477" s="4293"/>
      <c r="W477" s="3262"/>
      <c r="X477" s="3262"/>
      <c r="Y477" s="3262">
        <v>8.33</v>
      </c>
      <c r="Z477" s="3262">
        <v>8.33</v>
      </c>
      <c r="AA477" s="3262">
        <v>8.33</v>
      </c>
      <c r="AB477" s="3282">
        <v>7.983392742151227</v>
      </c>
      <c r="AC477" s="3282">
        <v>8.3039211249486229</v>
      </c>
      <c r="AD477" s="3282">
        <v>7.6056879052271524</v>
      </c>
      <c r="AE477" s="3282">
        <v>7.5627579008933568</v>
      </c>
      <c r="AF477" s="2236">
        <f t="shared" si="63"/>
        <v>7.4410849195197439</v>
      </c>
      <c r="AG477" s="1396"/>
      <c r="DG477" s="573"/>
      <c r="DH477" s="188"/>
      <c r="DI477" s="1091"/>
      <c r="DJ477" s="1187"/>
    </row>
    <row r="478" spans="1:114" outlineLevel="1">
      <c r="A478" s="453"/>
      <c r="C478" s="51"/>
      <c r="D478" s="4294"/>
      <c r="E478" s="4293"/>
      <c r="F478" s="4292" t="s">
        <v>1825</v>
      </c>
      <c r="G478" s="4292"/>
      <c r="H478" s="4292"/>
      <c r="I478" s="3262" t="str">
        <f t="shared" si="64"/>
        <v>350901_2024_12_</v>
      </c>
      <c r="J478" s="3283"/>
      <c r="K478" s="3224"/>
      <c r="L478" s="1777"/>
      <c r="M478" s="51"/>
      <c r="N478" s="561"/>
      <c r="O478" s="51"/>
      <c r="S478" s="52"/>
      <c r="T478" s="52"/>
      <c r="U478" s="52"/>
      <c r="V478" s="4293"/>
      <c r="W478" s="3262"/>
      <c r="X478" s="3262"/>
      <c r="Y478" s="3262"/>
      <c r="Z478" s="3262"/>
      <c r="AA478" s="3262"/>
      <c r="AB478" s="3287"/>
      <c r="AC478" s="3288"/>
      <c r="AD478" s="3288"/>
      <c r="AE478" s="3288"/>
      <c r="AF478" s="2236" t="str">
        <f t="shared" si="63"/>
        <v/>
      </c>
      <c r="AG478" s="1396"/>
      <c r="DG478" s="573"/>
      <c r="DH478" s="188"/>
      <c r="DI478" s="1091"/>
      <c r="DJ478" s="1187"/>
    </row>
    <row r="479" spans="1:114" outlineLevel="1">
      <c r="A479" s="453"/>
      <c r="C479" s="51"/>
      <c r="D479" s="4294"/>
      <c r="E479" s="4293"/>
      <c r="F479" s="4292" t="s">
        <v>1827</v>
      </c>
      <c r="G479" s="4292"/>
      <c r="H479" s="4292"/>
      <c r="I479" s="3262" t="str">
        <f t="shared" si="64"/>
        <v>350950_2024_12_</v>
      </c>
      <c r="J479" s="3283"/>
      <c r="K479" s="3224"/>
      <c r="L479" s="1777"/>
      <c r="M479" s="51"/>
      <c r="N479" s="561"/>
      <c r="O479" s="51"/>
      <c r="S479" s="52"/>
      <c r="T479" s="52"/>
      <c r="U479" s="52"/>
      <c r="V479" s="4293"/>
      <c r="W479" s="3262"/>
      <c r="X479" s="3262"/>
      <c r="Y479" s="3262"/>
      <c r="Z479" s="3262"/>
      <c r="AA479" s="3262"/>
      <c r="AB479" s="3287"/>
      <c r="AC479" s="3288"/>
      <c r="AD479" s="3288"/>
      <c r="AE479" s="3288"/>
      <c r="AF479" s="2236" t="str">
        <f t="shared" si="63"/>
        <v/>
      </c>
      <c r="AG479" s="1396"/>
      <c r="DG479" s="573"/>
      <c r="DH479" s="188"/>
      <c r="DI479" s="1091"/>
      <c r="DJ479" s="1187"/>
    </row>
    <row r="480" spans="1:114" outlineLevel="1">
      <c r="A480" s="453"/>
      <c r="C480" s="51"/>
      <c r="D480" s="4294"/>
      <c r="E480" s="4293"/>
      <c r="F480" s="4292" t="s">
        <v>1829</v>
      </c>
      <c r="G480" s="4292"/>
      <c r="H480" s="4292"/>
      <c r="I480" s="3262" t="str">
        <f t="shared" si="64"/>
        <v>350951_2024_12_</v>
      </c>
      <c r="J480" s="3283"/>
      <c r="K480" s="3224"/>
      <c r="L480" s="1777"/>
      <c r="M480" s="51"/>
      <c r="N480" s="561"/>
      <c r="O480" s="51"/>
      <c r="S480" s="52"/>
      <c r="T480" s="52"/>
      <c r="U480" s="52"/>
      <c r="V480" s="4293"/>
      <c r="W480" s="3262"/>
      <c r="X480" s="3262"/>
      <c r="Y480" s="3262"/>
      <c r="Z480" s="3262"/>
      <c r="AA480" s="3262"/>
      <c r="AB480" s="3287"/>
      <c r="AC480" s="3288"/>
      <c r="AD480" s="3288"/>
      <c r="AE480" s="3288"/>
      <c r="AF480" s="2236" t="str">
        <f t="shared" si="63"/>
        <v/>
      </c>
      <c r="AG480" s="1396"/>
      <c r="DG480" s="573"/>
      <c r="DH480" s="188"/>
      <c r="DI480" s="1091"/>
      <c r="DJ480" s="1187"/>
    </row>
    <row r="481" spans="1:114" outlineLevel="1">
      <c r="A481" s="453"/>
      <c r="C481" s="51"/>
      <c r="D481" s="4294"/>
      <c r="E481" s="4293"/>
      <c r="F481" s="4338" t="s">
        <v>1831</v>
      </c>
      <c r="G481" s="4338"/>
      <c r="H481" s="4338"/>
      <c r="I481" s="1396" t="str">
        <f t="shared" si="64"/>
        <v>351000_2024_12_</v>
      </c>
      <c r="J481" s="1773">
        <v>7.6500934614747482</v>
      </c>
      <c r="K481" s="55"/>
      <c r="L481" s="1609" t="s">
        <v>1950</v>
      </c>
      <c r="M481" s="51"/>
      <c r="N481" s="561"/>
      <c r="O481" s="51"/>
      <c r="S481" s="52"/>
      <c r="T481" s="52"/>
      <c r="U481" s="52"/>
      <c r="V481" s="4293"/>
      <c r="W481" s="1396">
        <v>8.1999999999999993</v>
      </c>
      <c r="X481" s="833">
        <v>8.33</v>
      </c>
      <c r="Y481" s="1396">
        <v>8.33</v>
      </c>
      <c r="Z481" s="1396">
        <v>8.33</v>
      </c>
      <c r="AA481" s="1396">
        <v>8.33</v>
      </c>
      <c r="AB481" s="736">
        <v>7.5482963446217566</v>
      </c>
      <c r="AC481" s="736">
        <v>8.3071815083938851</v>
      </c>
      <c r="AD481" s="939">
        <v>7.5336948652838496</v>
      </c>
      <c r="AE481" s="1043">
        <v>7.5336948652838496</v>
      </c>
      <c r="AF481" s="271">
        <f t="shared" si="63"/>
        <v>7.6500934614747482</v>
      </c>
      <c r="AG481" s="1396"/>
      <c r="DG481" s="573"/>
      <c r="DH481" s="188"/>
      <c r="DI481" s="1091"/>
      <c r="DJ481" s="1187"/>
    </row>
    <row r="482" spans="1:114" ht="14.65" customHeight="1" outlineLevel="1">
      <c r="A482" s="453"/>
      <c r="C482" s="51"/>
      <c r="D482" s="4294"/>
      <c r="E482" s="4293"/>
      <c r="F482" s="4338" t="s">
        <v>1832</v>
      </c>
      <c r="G482" s="4338"/>
      <c r="H482" s="4338"/>
      <c r="I482" s="1396" t="str">
        <f t="shared" si="64"/>
        <v>351000_2024_12_</v>
      </c>
      <c r="J482" s="1758"/>
      <c r="K482" s="55"/>
      <c r="L482" s="1778"/>
      <c r="M482" s="51"/>
      <c r="N482" s="561"/>
      <c r="O482" s="51"/>
      <c r="S482" s="52"/>
      <c r="T482" s="52"/>
      <c r="U482" s="52"/>
      <c r="V482" s="4293"/>
      <c r="W482" s="1396"/>
      <c r="X482" s="1396"/>
      <c r="Y482" s="1396"/>
      <c r="Z482" s="1396"/>
      <c r="AA482" s="1396"/>
      <c r="AB482" s="953"/>
      <c r="AC482" s="741"/>
      <c r="AD482" s="741"/>
      <c r="AE482" s="741"/>
      <c r="AF482" s="271" t="str">
        <f t="shared" si="63"/>
        <v/>
      </c>
      <c r="AG482" s="1396"/>
      <c r="DG482" s="573"/>
      <c r="DH482" s="188"/>
      <c r="DI482" s="1091"/>
      <c r="DJ482" s="1187"/>
    </row>
    <row r="483" spans="1:114" ht="14.65" customHeight="1" outlineLevel="1">
      <c r="A483" s="453"/>
      <c r="C483" s="51"/>
      <c r="D483" s="4294"/>
      <c r="E483" s="4293"/>
      <c r="F483" s="4338" t="s">
        <v>1834</v>
      </c>
      <c r="G483" s="4338"/>
      <c r="H483" s="4338"/>
      <c r="I483" s="1396" t="str">
        <f t="shared" si="64"/>
        <v>351050_2024_12_</v>
      </c>
      <c r="J483" s="1758"/>
      <c r="K483" s="55"/>
      <c r="L483" s="1777"/>
      <c r="M483" s="51"/>
      <c r="N483" s="561"/>
      <c r="O483" s="51"/>
      <c r="S483" s="52"/>
      <c r="T483" s="52"/>
      <c r="U483" s="52"/>
      <c r="V483" s="4293"/>
      <c r="W483" s="1396"/>
      <c r="X483" s="1396"/>
      <c r="Y483" s="1396"/>
      <c r="Z483" s="1396"/>
      <c r="AA483" s="1396"/>
      <c r="AB483" s="953"/>
      <c r="AC483" s="741"/>
      <c r="AD483" s="741"/>
      <c r="AE483" s="741"/>
      <c r="AF483" s="271" t="str">
        <f t="shared" si="63"/>
        <v/>
      </c>
      <c r="AG483" s="1396"/>
      <c r="DG483" s="573"/>
      <c r="DH483" s="188"/>
      <c r="DI483" s="1091"/>
      <c r="DJ483" s="1187"/>
    </row>
    <row r="484" spans="1:114" ht="14.65" customHeight="1" outlineLevel="1">
      <c r="A484" s="453"/>
      <c r="C484" s="51"/>
      <c r="D484" s="4294"/>
      <c r="E484" s="4293"/>
      <c r="F484" s="4292" t="s">
        <v>1836</v>
      </c>
      <c r="G484" s="4292"/>
      <c r="H484" s="4292"/>
      <c r="I484" s="3262" t="str">
        <f t="shared" si="64"/>
        <v>351100_2024_12_</v>
      </c>
      <c r="J484" s="3289">
        <v>7.3607640996561363</v>
      </c>
      <c r="K484" s="3224"/>
      <c r="L484" s="3293" t="s">
        <v>1934</v>
      </c>
      <c r="M484" s="51"/>
      <c r="N484" s="561"/>
      <c r="O484" s="51"/>
      <c r="S484" s="52"/>
      <c r="T484" s="52"/>
      <c r="U484" s="52"/>
      <c r="V484" s="4293"/>
      <c r="W484" s="3262">
        <v>8.1999999999999993</v>
      </c>
      <c r="X484" s="3265">
        <v>8.33</v>
      </c>
      <c r="Y484" s="3262">
        <v>8.33</v>
      </c>
      <c r="Z484" s="3262">
        <v>8.33</v>
      </c>
      <c r="AA484" s="3262">
        <v>8.33</v>
      </c>
      <c r="AB484" s="3282">
        <v>6.9280914499938051</v>
      </c>
      <c r="AC484" s="3282">
        <v>8.4427503572736704</v>
      </c>
      <c r="AD484" s="3290">
        <v>7.4022825442469706</v>
      </c>
      <c r="AE484" s="3290">
        <v>7.3607640996561363</v>
      </c>
      <c r="AF484" s="2236">
        <f t="shared" si="63"/>
        <v>7.3607640996561363</v>
      </c>
      <c r="AG484" s="1396"/>
      <c r="DG484" s="573"/>
      <c r="DH484" s="188"/>
      <c r="DI484" s="1091"/>
      <c r="DJ484" s="1187"/>
    </row>
    <row r="485" spans="1:114" ht="14.65" customHeight="1" outlineLevel="1">
      <c r="A485" s="453"/>
      <c r="C485" s="51"/>
      <c r="D485" s="4294"/>
      <c r="E485" s="4293"/>
      <c r="F485" s="4292" t="s">
        <v>1837</v>
      </c>
      <c r="G485" s="4292"/>
      <c r="H485" s="4292"/>
      <c r="I485" s="3262" t="str">
        <f t="shared" si="64"/>
        <v>351100_2024_12_</v>
      </c>
      <c r="J485" s="3283"/>
      <c r="K485" s="3224"/>
      <c r="L485" s="1777"/>
      <c r="M485" s="51"/>
      <c r="N485" s="561"/>
      <c r="O485" s="51"/>
      <c r="S485" s="52"/>
      <c r="T485" s="52"/>
      <c r="U485" s="52"/>
      <c r="V485" s="4293"/>
      <c r="W485" s="3262"/>
      <c r="X485" s="3262"/>
      <c r="Y485" s="3262"/>
      <c r="Z485" s="3262"/>
      <c r="AA485" s="3262"/>
      <c r="AB485" s="3287"/>
      <c r="AC485" s="3288"/>
      <c r="AD485" s="3288"/>
      <c r="AE485" s="3288"/>
      <c r="AF485" s="2236" t="str">
        <f t="shared" si="63"/>
        <v/>
      </c>
      <c r="AG485" s="1396"/>
      <c r="DG485" s="573"/>
      <c r="DH485" s="188"/>
      <c r="DI485" s="1091"/>
      <c r="DJ485" s="1187"/>
    </row>
    <row r="486" spans="1:114" ht="14.65" customHeight="1" outlineLevel="1">
      <c r="A486" s="453"/>
      <c r="C486" s="51"/>
      <c r="D486" s="4294"/>
      <c r="E486" s="4293"/>
      <c r="F486" s="4292" t="s">
        <v>1839</v>
      </c>
      <c r="G486" s="4292"/>
      <c r="H486" s="4292"/>
      <c r="I486" s="3262" t="str">
        <f t="shared" si="64"/>
        <v>351101_2024_12_</v>
      </c>
      <c r="J486" s="3289">
        <f>J484</f>
        <v>7.3607640996561363</v>
      </c>
      <c r="K486" s="3224"/>
      <c r="L486" s="1777" t="s">
        <v>1933</v>
      </c>
      <c r="M486" s="51"/>
      <c r="O486" s="51"/>
      <c r="S486" s="52"/>
      <c r="T486" s="52"/>
      <c r="U486" s="52"/>
      <c r="V486" s="4293"/>
      <c r="W486" s="3262"/>
      <c r="X486" s="3262"/>
      <c r="Y486" s="3262">
        <v>8.33</v>
      </c>
      <c r="Z486" s="3262">
        <v>8.33</v>
      </c>
      <c r="AA486" s="3262">
        <v>8.33</v>
      </c>
      <c r="AB486" s="3287">
        <v>8.33</v>
      </c>
      <c r="AC486" s="3288">
        <v>8.33</v>
      </c>
      <c r="AD486" s="3290">
        <v>7.4022825442469706</v>
      </c>
      <c r="AE486" s="3290">
        <v>7.3607640996561363</v>
      </c>
      <c r="AF486" s="2236">
        <f t="shared" ref="AF486:AF549" si="65">IF(J486&lt;&gt;"",J486,"")</f>
        <v>7.3607640996561363</v>
      </c>
      <c r="AG486" s="1396"/>
      <c r="DG486" s="573"/>
      <c r="DH486" s="188"/>
      <c r="DI486" s="1091"/>
      <c r="DJ486" s="1187"/>
    </row>
    <row r="487" spans="1:114" ht="14.65" customHeight="1" outlineLevel="1">
      <c r="A487" s="453"/>
      <c r="C487" s="51"/>
      <c r="D487" s="4294"/>
      <c r="E487" s="4293"/>
      <c r="F487" s="4292" t="s">
        <v>1840</v>
      </c>
      <c r="G487" s="4292"/>
      <c r="H487" s="4292"/>
      <c r="I487" s="3262" t="str">
        <f t="shared" si="64"/>
        <v>351101_2024_12_</v>
      </c>
      <c r="J487" s="3283"/>
      <c r="K487" s="3224"/>
      <c r="L487" s="1777"/>
      <c r="M487" s="51"/>
      <c r="N487" s="561"/>
      <c r="O487" s="51"/>
      <c r="S487" s="52"/>
      <c r="T487" s="52"/>
      <c r="U487" s="52"/>
      <c r="V487" s="4293"/>
      <c r="W487" s="3262"/>
      <c r="X487" s="3262"/>
      <c r="Y487" s="3262"/>
      <c r="Z487" s="3262"/>
      <c r="AA487" s="3262"/>
      <c r="AB487" s="3287"/>
      <c r="AC487" s="3288"/>
      <c r="AD487" s="3288"/>
      <c r="AE487" s="3288"/>
      <c r="AF487" s="2236" t="str">
        <f t="shared" si="65"/>
        <v/>
      </c>
      <c r="AG487" s="1396"/>
      <c r="DG487" s="573"/>
      <c r="DH487" s="188"/>
      <c r="DI487" s="1091"/>
      <c r="DJ487" s="1187"/>
    </row>
    <row r="488" spans="1:114" ht="15" customHeight="1" outlineLevel="1">
      <c r="A488" s="453"/>
      <c r="C488" s="51"/>
      <c r="D488" s="4294"/>
      <c r="E488" s="4293"/>
      <c r="F488" s="4292" t="s">
        <v>1842</v>
      </c>
      <c r="G488" s="4292"/>
      <c r="H488" s="4292"/>
      <c r="I488" s="3262" t="str">
        <f t="shared" si="64"/>
        <v>351150_2024_12_</v>
      </c>
      <c r="J488" s="3283"/>
      <c r="K488" s="3224"/>
      <c r="L488" s="1777"/>
      <c r="M488" s="51"/>
      <c r="N488" s="561"/>
      <c r="O488" s="51"/>
      <c r="S488" s="52"/>
      <c r="T488" s="52"/>
      <c r="U488" s="52"/>
      <c r="V488" s="4293"/>
      <c r="W488" s="3262"/>
      <c r="X488" s="3262"/>
      <c r="Y488" s="3262"/>
      <c r="Z488" s="3262"/>
      <c r="AA488" s="3262"/>
      <c r="AB488" s="3287"/>
      <c r="AC488" s="3288"/>
      <c r="AD488" s="3288"/>
      <c r="AE488" s="3288"/>
      <c r="AF488" s="2236" t="str">
        <f t="shared" si="65"/>
        <v/>
      </c>
      <c r="AG488" s="1396"/>
      <c r="DG488" s="573"/>
      <c r="DH488" s="188"/>
      <c r="DI488" s="1091"/>
      <c r="DJ488" s="1187"/>
    </row>
    <row r="489" spans="1:114" outlineLevel="1">
      <c r="A489" s="453"/>
      <c r="C489" s="51"/>
      <c r="D489" s="4198"/>
      <c r="E489" s="4199"/>
      <c r="F489" s="4292" t="s">
        <v>1844</v>
      </c>
      <c r="G489" s="4292"/>
      <c r="H489" s="4292"/>
      <c r="I489" s="3262" t="str">
        <f t="shared" si="64"/>
        <v>351151_2024_12_</v>
      </c>
      <c r="J489" s="3283"/>
      <c r="K489" s="3224"/>
      <c r="L489" s="1777"/>
      <c r="M489" s="51"/>
      <c r="N489" s="561"/>
      <c r="O489" s="51"/>
      <c r="S489" s="52"/>
      <c r="T489" s="52"/>
      <c r="U489" s="52"/>
      <c r="V489" s="4199"/>
      <c r="W489" s="3262"/>
      <c r="X489" s="3262"/>
      <c r="Y489" s="3262"/>
      <c r="Z489" s="3262"/>
      <c r="AA489" s="3262"/>
      <c r="AB489" s="3287"/>
      <c r="AC489" s="3288"/>
      <c r="AD489" s="3288"/>
      <c r="AE489" s="3288"/>
      <c r="AF489" s="2236" t="str">
        <f t="shared" si="65"/>
        <v/>
      </c>
      <c r="AG489" s="1396"/>
      <c r="DG489" s="573"/>
      <c r="DH489" s="188"/>
      <c r="DI489" s="1091"/>
      <c r="DJ489" s="1187"/>
    </row>
    <row r="490" spans="1:114" ht="14.65" customHeight="1" outlineLevel="1">
      <c r="A490" s="453"/>
      <c r="C490" s="51"/>
      <c r="D490" s="4198"/>
      <c r="E490" s="4199"/>
      <c r="F490" s="4338" t="s">
        <v>1846</v>
      </c>
      <c r="G490" s="4338"/>
      <c r="H490" s="4338"/>
      <c r="I490" s="1396" t="str">
        <f t="shared" si="64"/>
        <v>351160_2024_12_</v>
      </c>
      <c r="J490" s="1772">
        <v>7.8048008052100615</v>
      </c>
      <c r="K490" s="55"/>
      <c r="L490" s="1740" t="s">
        <v>1937</v>
      </c>
      <c r="M490" s="51"/>
      <c r="N490" s="561"/>
      <c r="O490" s="51"/>
      <c r="S490" s="52"/>
      <c r="T490" s="52"/>
      <c r="U490" s="52"/>
      <c r="V490" s="4199"/>
      <c r="W490" s="1396"/>
      <c r="X490" s="833"/>
      <c r="Y490" s="1396"/>
      <c r="Z490" s="833">
        <v>8.33</v>
      </c>
      <c r="AA490" s="1396">
        <v>8.33</v>
      </c>
      <c r="AB490" s="953">
        <v>8.33</v>
      </c>
      <c r="AC490" s="736">
        <v>8.2545556293481042</v>
      </c>
      <c r="AD490" s="939">
        <v>7.8048008052100615</v>
      </c>
      <c r="AE490" s="1043">
        <v>7.8048008052100615</v>
      </c>
      <c r="AF490" s="271">
        <f t="shared" si="65"/>
        <v>7.8048008052100615</v>
      </c>
      <c r="AG490" s="1396"/>
      <c r="DG490" s="573"/>
      <c r="DH490" s="188"/>
      <c r="DI490" s="1091"/>
      <c r="DJ490" s="1187"/>
    </row>
    <row r="491" spans="1:114" ht="14.65" customHeight="1" outlineLevel="1">
      <c r="A491" s="453"/>
      <c r="C491" s="51"/>
      <c r="D491" s="4198"/>
      <c r="E491" s="4199"/>
      <c r="F491" s="4338" t="s">
        <v>1847</v>
      </c>
      <c r="G491" s="4338"/>
      <c r="H491" s="4338"/>
      <c r="I491" s="1396" t="str">
        <f t="shared" si="64"/>
        <v>351160_2024_12_</v>
      </c>
      <c r="J491" s="1758"/>
      <c r="K491" s="55"/>
      <c r="L491" s="1777"/>
      <c r="M491" s="51"/>
      <c r="N491" s="561"/>
      <c r="O491" s="51"/>
      <c r="S491" s="52"/>
      <c r="T491" s="52"/>
      <c r="U491" s="52"/>
      <c r="V491" s="4199"/>
      <c r="W491" s="1396"/>
      <c r="X491" s="1396"/>
      <c r="Y491" s="1396"/>
      <c r="Z491" s="833"/>
      <c r="AA491" s="1396"/>
      <c r="AB491" s="953"/>
      <c r="AC491" s="741"/>
      <c r="AD491" s="741"/>
      <c r="AE491" s="741"/>
      <c r="AF491" s="271" t="str">
        <f t="shared" si="65"/>
        <v/>
      </c>
      <c r="AG491" s="1396"/>
      <c r="DG491" s="573"/>
      <c r="DH491" s="188"/>
      <c r="DI491" s="1091"/>
      <c r="DJ491" s="1187"/>
    </row>
    <row r="492" spans="1:114" ht="14.65" customHeight="1" outlineLevel="1">
      <c r="A492" s="453"/>
      <c r="C492" s="51"/>
      <c r="D492" s="4198"/>
      <c r="E492" s="4199"/>
      <c r="F492" s="4338" t="s">
        <v>1849</v>
      </c>
      <c r="G492" s="4338"/>
      <c r="H492" s="4338"/>
      <c r="I492" s="1396" t="str">
        <f t="shared" si="64"/>
        <v>351161_2024_12_</v>
      </c>
      <c r="J492" s="1758"/>
      <c r="K492" s="55"/>
      <c r="L492" s="1777"/>
      <c r="M492" s="51"/>
      <c r="N492" s="561"/>
      <c r="O492" s="51"/>
      <c r="S492" s="52"/>
      <c r="T492" s="52"/>
      <c r="U492" s="52"/>
      <c r="V492" s="4199"/>
      <c r="W492" s="1396"/>
      <c r="X492" s="1396"/>
      <c r="Y492" s="1396"/>
      <c r="Z492" s="833"/>
      <c r="AA492" s="1396"/>
      <c r="AB492" s="953"/>
      <c r="AC492" s="741"/>
      <c r="AD492" s="741"/>
      <c r="AE492" s="741"/>
      <c r="AF492" s="271" t="str">
        <f t="shared" si="65"/>
        <v/>
      </c>
      <c r="AG492" s="1396"/>
      <c r="DG492" s="573"/>
      <c r="DH492" s="188"/>
      <c r="DI492" s="1091"/>
      <c r="DJ492" s="1187"/>
    </row>
    <row r="493" spans="1:114" outlineLevel="1">
      <c r="A493" s="453"/>
      <c r="C493" s="51"/>
      <c r="D493" s="4198"/>
      <c r="E493" s="4199"/>
      <c r="F493" s="4292" t="s">
        <v>1851</v>
      </c>
      <c r="G493" s="4292"/>
      <c r="H493" s="4292"/>
      <c r="I493" s="3262" t="str">
        <f t="shared" si="64"/>
        <v>351162_2024_12_</v>
      </c>
      <c r="J493" s="3289">
        <v>7.2795904076069675</v>
      </c>
      <c r="K493" s="3224"/>
      <c r="L493" s="3293" t="s">
        <v>1937</v>
      </c>
      <c r="M493" s="51"/>
      <c r="N493" s="561"/>
      <c r="O493" s="51"/>
      <c r="S493" s="52"/>
      <c r="T493" s="52"/>
      <c r="U493" s="52"/>
      <c r="V493" s="4199"/>
      <c r="W493" s="1396"/>
      <c r="X493" s="833"/>
      <c r="Y493" s="1396"/>
      <c r="Z493" s="3265">
        <v>8.33</v>
      </c>
      <c r="AA493" s="3262">
        <v>8.33</v>
      </c>
      <c r="AB493" s="3287">
        <v>8.33</v>
      </c>
      <c r="AC493" s="3282">
        <v>6.7219971629290205</v>
      </c>
      <c r="AD493" s="3290">
        <v>7.2795904076069675</v>
      </c>
      <c r="AE493" s="3292">
        <v>7.2795904076069675</v>
      </c>
      <c r="AF493" s="2236">
        <f t="shared" si="65"/>
        <v>7.2795904076069675</v>
      </c>
      <c r="AG493" s="1396"/>
      <c r="DG493" s="573"/>
      <c r="DH493" s="188"/>
      <c r="DI493" s="1091"/>
      <c r="DJ493" s="1187"/>
    </row>
    <row r="494" spans="1:114" outlineLevel="1">
      <c r="A494" s="453"/>
      <c r="C494" s="51"/>
      <c r="D494" s="4198"/>
      <c r="E494" s="4199"/>
      <c r="F494" s="4292" t="s">
        <v>1852</v>
      </c>
      <c r="G494" s="4292"/>
      <c r="H494" s="4292"/>
      <c r="I494" s="3262" t="str">
        <f t="shared" ref="I494:I557" si="66">I422</f>
        <v>351162_2024_12_</v>
      </c>
      <c r="J494" s="3283"/>
      <c r="K494" s="3224"/>
      <c r="L494" s="1777"/>
      <c r="M494" s="51"/>
      <c r="N494" s="561"/>
      <c r="O494" s="51"/>
      <c r="S494" s="52"/>
      <c r="T494" s="52"/>
      <c r="U494" s="52"/>
      <c r="V494" s="4199"/>
      <c r="W494" s="1396"/>
      <c r="X494" s="1396"/>
      <c r="Y494" s="1396"/>
      <c r="Z494" s="3265"/>
      <c r="AA494" s="3262"/>
      <c r="AB494" s="3287"/>
      <c r="AC494" s="3288"/>
      <c r="AD494" s="3288"/>
      <c r="AE494" s="3288"/>
      <c r="AF494" s="2236" t="str">
        <f t="shared" si="65"/>
        <v/>
      </c>
      <c r="AG494" s="1396"/>
      <c r="DG494" s="573"/>
      <c r="DH494" s="188"/>
      <c r="DI494" s="1091"/>
      <c r="DJ494" s="1187"/>
    </row>
    <row r="495" spans="1:114" ht="45" outlineLevel="1">
      <c r="A495" s="453"/>
      <c r="C495" s="51"/>
      <c r="D495" s="4198"/>
      <c r="E495" s="4199"/>
      <c r="F495" s="4292" t="s">
        <v>1854</v>
      </c>
      <c r="G495" s="4292"/>
      <c r="H495" s="4292"/>
      <c r="I495" s="3262" t="str">
        <f t="shared" si="66"/>
        <v>351163_2024_12_</v>
      </c>
      <c r="J495" s="3283">
        <v>8.33</v>
      </c>
      <c r="K495" s="3224"/>
      <c r="L495" s="1777" t="s">
        <v>1949</v>
      </c>
      <c r="M495" s="51"/>
      <c r="N495" s="561"/>
      <c r="O495" s="51"/>
      <c r="S495" s="52"/>
      <c r="T495" s="52"/>
      <c r="U495" s="52"/>
      <c r="V495" s="4199"/>
      <c r="W495" s="1396"/>
      <c r="X495" s="1396"/>
      <c r="Y495" s="1396"/>
      <c r="Z495" s="3265">
        <v>8.33</v>
      </c>
      <c r="AA495" s="3262">
        <v>8.33</v>
      </c>
      <c r="AB495" s="3287">
        <v>8.33</v>
      </c>
      <c r="AC495" s="3288">
        <v>8.33</v>
      </c>
      <c r="AD495" s="3288">
        <v>8.33</v>
      </c>
      <c r="AE495" s="3288">
        <v>8.33</v>
      </c>
      <c r="AF495" s="2236">
        <f t="shared" si="65"/>
        <v>8.33</v>
      </c>
      <c r="AG495" s="1396"/>
      <c r="DG495" s="573"/>
      <c r="DH495" s="188"/>
      <c r="DI495" s="1091"/>
      <c r="DJ495" s="1187"/>
    </row>
    <row r="496" spans="1:114" outlineLevel="1">
      <c r="A496" s="453"/>
      <c r="C496" s="51"/>
      <c r="D496" s="4198"/>
      <c r="E496" s="4199"/>
      <c r="F496" s="4292" t="s">
        <v>1855</v>
      </c>
      <c r="G496" s="4292"/>
      <c r="H496" s="4292"/>
      <c r="I496" s="3262" t="str">
        <f t="shared" si="66"/>
        <v>351163_2024_12_</v>
      </c>
      <c r="J496" s="3283"/>
      <c r="K496" s="3224"/>
      <c r="L496" s="1777"/>
      <c r="M496" s="51"/>
      <c r="N496" s="561"/>
      <c r="O496" s="51"/>
      <c r="S496" s="52"/>
      <c r="T496" s="52"/>
      <c r="U496" s="52"/>
      <c r="V496" s="4199"/>
      <c r="W496" s="1396"/>
      <c r="X496" s="1396"/>
      <c r="Y496" s="1396"/>
      <c r="Z496" s="3265"/>
      <c r="AA496" s="3262"/>
      <c r="AB496" s="3287"/>
      <c r="AC496" s="3288"/>
      <c r="AD496" s="3288"/>
      <c r="AE496" s="3288"/>
      <c r="AF496" s="2236" t="str">
        <f t="shared" si="65"/>
        <v/>
      </c>
      <c r="AG496" s="1396"/>
      <c r="DG496" s="573"/>
      <c r="DH496" s="188"/>
      <c r="DI496" s="1091"/>
      <c r="DJ496" s="1187"/>
    </row>
    <row r="497" spans="1:114" outlineLevel="1">
      <c r="A497" s="453"/>
      <c r="C497" s="51"/>
      <c r="D497" s="4198"/>
      <c r="E497" s="4199"/>
      <c r="F497" s="4292" t="s">
        <v>1857</v>
      </c>
      <c r="G497" s="4292"/>
      <c r="H497" s="4292"/>
      <c r="I497" s="3262" t="str">
        <f t="shared" si="66"/>
        <v>351164_2024_12_</v>
      </c>
      <c r="J497" s="3283"/>
      <c r="K497" s="3224"/>
      <c r="L497" s="1777"/>
      <c r="M497" s="51"/>
      <c r="N497" s="561"/>
      <c r="O497" s="51"/>
      <c r="S497" s="52"/>
      <c r="T497" s="52"/>
      <c r="U497" s="52"/>
      <c r="V497" s="4199"/>
      <c r="W497" s="1396"/>
      <c r="X497" s="1396"/>
      <c r="Y497" s="1396"/>
      <c r="Z497" s="3265"/>
      <c r="AA497" s="3262"/>
      <c r="AB497" s="3287"/>
      <c r="AC497" s="3288"/>
      <c r="AD497" s="3288"/>
      <c r="AE497" s="3288"/>
      <c r="AF497" s="2236" t="str">
        <f t="shared" si="65"/>
        <v/>
      </c>
      <c r="AG497" s="1396"/>
      <c r="DG497" s="573"/>
      <c r="DH497" s="188"/>
      <c r="DI497" s="1091"/>
      <c r="DJ497" s="1187"/>
    </row>
    <row r="498" spans="1:114" outlineLevel="1">
      <c r="A498" s="453"/>
      <c r="C498" s="51"/>
      <c r="D498" s="4198"/>
      <c r="E498" s="4199"/>
      <c r="F498" s="4292" t="s">
        <v>1859</v>
      </c>
      <c r="G498" s="4292"/>
      <c r="H498" s="4292"/>
      <c r="I498" s="3262" t="str">
        <f t="shared" si="66"/>
        <v>351165_2024_12_</v>
      </c>
      <c r="J498" s="3283"/>
      <c r="K498" s="3224"/>
      <c r="L498" s="1777"/>
      <c r="M498" s="51"/>
      <c r="N498" s="561"/>
      <c r="O498" s="51"/>
      <c r="S498" s="52"/>
      <c r="T498" s="52"/>
      <c r="U498" s="52"/>
      <c r="V498" s="4199"/>
      <c r="W498" s="1396"/>
      <c r="X498" s="1396"/>
      <c r="Y498" s="1396"/>
      <c r="Z498" s="3265"/>
      <c r="AA498" s="3262"/>
      <c r="AB498" s="3287"/>
      <c r="AC498" s="3288"/>
      <c r="AD498" s="3288"/>
      <c r="AE498" s="3288"/>
      <c r="AF498" s="2236" t="str">
        <f t="shared" si="65"/>
        <v/>
      </c>
      <c r="AG498" s="1396"/>
      <c r="DG498" s="573"/>
      <c r="DH498" s="188"/>
      <c r="DI498" s="1091"/>
      <c r="DJ498" s="1187"/>
    </row>
    <row r="499" spans="1:114" outlineLevel="1">
      <c r="A499" s="453"/>
      <c r="C499" s="51"/>
      <c r="D499" s="4198"/>
      <c r="E499" s="4199"/>
      <c r="F499" s="4338" t="s">
        <v>1861</v>
      </c>
      <c r="G499" s="4338"/>
      <c r="H499" s="4338"/>
      <c r="I499" s="1396" t="str">
        <f t="shared" si="66"/>
        <v>351170_2024_12_</v>
      </c>
      <c r="J499" s="1772">
        <v>7.7096367887427188</v>
      </c>
      <c r="K499" s="55"/>
      <c r="L499" s="1740" t="s">
        <v>1934</v>
      </c>
      <c r="M499" s="51"/>
      <c r="N499" s="561"/>
      <c r="O499" s="51"/>
      <c r="S499" s="52"/>
      <c r="T499" s="52"/>
      <c r="U499" s="52"/>
      <c r="V499" s="4199"/>
      <c r="W499" s="1396"/>
      <c r="X499" s="833"/>
      <c r="Y499" s="1396"/>
      <c r="Z499" s="833">
        <v>8.33</v>
      </c>
      <c r="AA499" s="1396">
        <v>8.33</v>
      </c>
      <c r="AB499" s="953">
        <v>8.33</v>
      </c>
      <c r="AC499" s="736">
        <v>8.1633174958765817</v>
      </c>
      <c r="AD499" s="939">
        <v>7.8804195940950725</v>
      </c>
      <c r="AE499" s="939">
        <v>7.7096367887427188</v>
      </c>
      <c r="AF499" s="271">
        <f t="shared" si="65"/>
        <v>7.7096367887427188</v>
      </c>
      <c r="AG499" s="1396"/>
      <c r="DG499" s="573"/>
      <c r="DH499" s="188"/>
      <c r="DI499" s="1091"/>
      <c r="DJ499" s="1187"/>
    </row>
    <row r="500" spans="1:114" outlineLevel="1">
      <c r="A500" s="453"/>
      <c r="C500" s="51"/>
      <c r="D500" s="4198"/>
      <c r="E500" s="4199"/>
      <c r="F500" s="4338" t="s">
        <v>1862</v>
      </c>
      <c r="G500" s="4338"/>
      <c r="H500" s="4338"/>
      <c r="I500" s="1396" t="str">
        <f t="shared" si="66"/>
        <v>351170_2024_12_</v>
      </c>
      <c r="J500" s="1758"/>
      <c r="K500" s="55"/>
      <c r="L500" s="1777"/>
      <c r="M500" s="51"/>
      <c r="N500" s="561"/>
      <c r="O500" s="51"/>
      <c r="S500" s="52"/>
      <c r="T500" s="52"/>
      <c r="U500" s="52"/>
      <c r="V500" s="4199"/>
      <c r="W500" s="1396"/>
      <c r="X500" s="1396"/>
      <c r="Y500" s="1396"/>
      <c r="Z500" s="833"/>
      <c r="AA500" s="1396"/>
      <c r="AB500" s="953"/>
      <c r="AC500" s="741"/>
      <c r="AD500" s="741"/>
      <c r="AE500" s="741"/>
      <c r="AF500" s="271" t="str">
        <f t="shared" si="65"/>
        <v/>
      </c>
      <c r="AG500" s="1396"/>
      <c r="DG500" s="573"/>
      <c r="DH500" s="188"/>
      <c r="DI500" s="1091"/>
      <c r="DJ500" s="1187"/>
    </row>
    <row r="501" spans="1:114" outlineLevel="1">
      <c r="A501" s="453"/>
      <c r="C501" s="51"/>
      <c r="D501" s="4198"/>
      <c r="E501" s="4199"/>
      <c r="F501" s="4338" t="s">
        <v>1864</v>
      </c>
      <c r="G501" s="4338"/>
      <c r="H501" s="4338"/>
      <c r="I501" s="1396" t="str">
        <f t="shared" si="66"/>
        <v>351171_2024_12_</v>
      </c>
      <c r="J501" s="1758"/>
      <c r="K501" s="55"/>
      <c r="L501" s="1777"/>
      <c r="M501" s="51"/>
      <c r="N501" s="561"/>
      <c r="O501" s="51"/>
      <c r="S501" s="52"/>
      <c r="T501" s="52"/>
      <c r="U501" s="52"/>
      <c r="V501" s="4199"/>
      <c r="W501" s="1396"/>
      <c r="X501" s="1396"/>
      <c r="Y501" s="1396"/>
      <c r="Z501" s="833"/>
      <c r="AA501" s="1396"/>
      <c r="AB501" s="953"/>
      <c r="AC501" s="741"/>
      <c r="AD501" s="741"/>
      <c r="AE501" s="741"/>
      <c r="AF501" s="271" t="str">
        <f t="shared" si="65"/>
        <v/>
      </c>
      <c r="AG501" s="1396"/>
      <c r="DG501" s="573"/>
      <c r="DH501" s="188"/>
      <c r="DI501" s="1091"/>
      <c r="DJ501" s="1187"/>
    </row>
    <row r="502" spans="1:114" ht="45" outlineLevel="1">
      <c r="A502" s="453"/>
      <c r="C502" s="51"/>
      <c r="D502" s="4198"/>
      <c r="E502" s="4199"/>
      <c r="F502" s="4292" t="s">
        <v>1866</v>
      </c>
      <c r="G502" s="4292"/>
      <c r="H502" s="4292"/>
      <c r="I502" s="3262" t="str">
        <f t="shared" si="66"/>
        <v>351172_2024_12_</v>
      </c>
      <c r="J502" s="3283">
        <v>8.33</v>
      </c>
      <c r="K502" s="3224"/>
      <c r="L502" s="1777" t="s">
        <v>1949</v>
      </c>
      <c r="M502" s="51"/>
      <c r="N502" s="561"/>
      <c r="O502" s="51"/>
      <c r="S502" s="52"/>
      <c r="T502" s="52"/>
      <c r="U502" s="52"/>
      <c r="V502" s="4199"/>
      <c r="W502" s="1396"/>
      <c r="X502" s="833"/>
      <c r="Y502" s="1396"/>
      <c r="Z502" s="3265">
        <v>8.33</v>
      </c>
      <c r="AA502" s="3262">
        <v>8.33</v>
      </c>
      <c r="AB502" s="3287">
        <v>8.33</v>
      </c>
      <c r="AC502" s="3288">
        <v>8.33</v>
      </c>
      <c r="AD502" s="3288">
        <v>8.33</v>
      </c>
      <c r="AE502" s="3288">
        <v>8.33</v>
      </c>
      <c r="AF502" s="2236">
        <f t="shared" si="65"/>
        <v>8.33</v>
      </c>
      <c r="AG502" s="1396"/>
      <c r="DG502" s="573"/>
      <c r="DH502" s="188"/>
      <c r="DI502" s="1091"/>
      <c r="DJ502" s="1187"/>
    </row>
    <row r="503" spans="1:114" outlineLevel="1">
      <c r="A503" s="453"/>
      <c r="C503" s="51"/>
      <c r="D503" s="4198"/>
      <c r="E503" s="4199"/>
      <c r="F503" s="4292" t="s">
        <v>1867</v>
      </c>
      <c r="G503" s="4292"/>
      <c r="H503" s="4292"/>
      <c r="I503" s="3262" t="str">
        <f t="shared" si="66"/>
        <v>351172_2024_12_</v>
      </c>
      <c r="J503" s="3283"/>
      <c r="K503" s="3224"/>
      <c r="L503" s="1777"/>
      <c r="M503" s="51"/>
      <c r="N503" s="561"/>
      <c r="O503" s="51"/>
      <c r="S503" s="52"/>
      <c r="T503" s="52"/>
      <c r="U503" s="52"/>
      <c r="V503" s="4199"/>
      <c r="W503" s="1396"/>
      <c r="X503" s="1396"/>
      <c r="Y503" s="1396"/>
      <c r="Z503" s="3265"/>
      <c r="AA503" s="3262"/>
      <c r="AB503" s="3287"/>
      <c r="AC503" s="3288"/>
      <c r="AD503" s="3288"/>
      <c r="AE503" s="3288"/>
      <c r="AF503" s="2236" t="str">
        <f t="shared" si="65"/>
        <v/>
      </c>
      <c r="AG503" s="1396"/>
      <c r="DG503" s="573"/>
      <c r="DH503" s="188"/>
      <c r="DI503" s="1091"/>
      <c r="DJ503" s="1187"/>
    </row>
    <row r="504" spans="1:114" ht="45" outlineLevel="1">
      <c r="A504" s="453"/>
      <c r="C504" s="51"/>
      <c r="D504" s="4198"/>
      <c r="E504" s="4199"/>
      <c r="F504" s="4292" t="s">
        <v>1869</v>
      </c>
      <c r="G504" s="4292"/>
      <c r="H504" s="4292"/>
      <c r="I504" s="3262" t="str">
        <f t="shared" si="66"/>
        <v>351173_2024_12_</v>
      </c>
      <c r="J504" s="3283">
        <v>8.33</v>
      </c>
      <c r="K504" s="3224"/>
      <c r="L504" s="1777" t="s">
        <v>1949</v>
      </c>
      <c r="M504" s="51"/>
      <c r="N504" s="561"/>
      <c r="O504" s="51"/>
      <c r="S504" s="52"/>
      <c r="T504" s="52"/>
      <c r="U504" s="52"/>
      <c r="V504" s="4199"/>
      <c r="W504" s="1396"/>
      <c r="X504" s="1396"/>
      <c r="Y504" s="1396"/>
      <c r="Z504" s="3265">
        <v>8.33</v>
      </c>
      <c r="AA504" s="3262">
        <v>8.33</v>
      </c>
      <c r="AB504" s="3287">
        <v>8.33</v>
      </c>
      <c r="AC504" s="3288">
        <v>8.33</v>
      </c>
      <c r="AD504" s="3288">
        <v>8.33</v>
      </c>
      <c r="AE504" s="3288">
        <v>8.33</v>
      </c>
      <c r="AF504" s="2236">
        <f t="shared" si="65"/>
        <v>8.33</v>
      </c>
      <c r="AG504" s="1396"/>
      <c r="DG504" s="573"/>
      <c r="DH504" s="188"/>
      <c r="DI504" s="1091"/>
      <c r="DJ504" s="1187"/>
    </row>
    <row r="505" spans="1:114" outlineLevel="1">
      <c r="A505" s="453"/>
      <c r="C505" s="51"/>
      <c r="D505" s="4198"/>
      <c r="E505" s="4199"/>
      <c r="F505" s="4292" t="s">
        <v>1870</v>
      </c>
      <c r="G505" s="4292"/>
      <c r="H505" s="4292"/>
      <c r="I505" s="3262" t="str">
        <f t="shared" si="66"/>
        <v>351173_2024_12_</v>
      </c>
      <c r="J505" s="3283"/>
      <c r="K505" s="3224"/>
      <c r="L505" s="1777"/>
      <c r="M505" s="51"/>
      <c r="N505" s="561"/>
      <c r="O505" s="51"/>
      <c r="S505" s="52"/>
      <c r="T505" s="52"/>
      <c r="U505" s="52"/>
      <c r="V505" s="4199"/>
      <c r="W505" s="1396"/>
      <c r="X505" s="1396"/>
      <c r="Y505" s="1396"/>
      <c r="Z505" s="3265"/>
      <c r="AA505" s="3262"/>
      <c r="AB505" s="3287"/>
      <c r="AC505" s="3288"/>
      <c r="AD505" s="3288"/>
      <c r="AE505" s="3288"/>
      <c r="AF505" s="2236" t="str">
        <f t="shared" si="65"/>
        <v/>
      </c>
      <c r="AG505" s="1396"/>
      <c r="DG505" s="573"/>
      <c r="DH505" s="188"/>
      <c r="DI505" s="1091"/>
      <c r="DJ505" s="1187"/>
    </row>
    <row r="506" spans="1:114" outlineLevel="1">
      <c r="A506" s="453"/>
      <c r="C506" s="51"/>
      <c r="D506" s="4198"/>
      <c r="E506" s="4199"/>
      <c r="F506" s="4292" t="s">
        <v>1872</v>
      </c>
      <c r="G506" s="4292"/>
      <c r="H506" s="4292"/>
      <c r="I506" s="3262" t="str">
        <f t="shared" si="66"/>
        <v>351174_2024_12_</v>
      </c>
      <c r="J506" s="3283"/>
      <c r="K506" s="3224"/>
      <c r="L506" s="1777"/>
      <c r="M506" s="51"/>
      <c r="N506" s="561"/>
      <c r="O506" s="51"/>
      <c r="S506" s="52"/>
      <c r="T506" s="52"/>
      <c r="U506" s="52"/>
      <c r="V506" s="4199"/>
      <c r="W506" s="1396"/>
      <c r="X506" s="1396"/>
      <c r="Y506" s="1396"/>
      <c r="Z506" s="3265"/>
      <c r="AA506" s="3262"/>
      <c r="AB506" s="3287"/>
      <c r="AC506" s="3288"/>
      <c r="AD506" s="3288"/>
      <c r="AE506" s="3288"/>
      <c r="AF506" s="2236" t="str">
        <f t="shared" si="65"/>
        <v/>
      </c>
      <c r="AG506" s="1396"/>
      <c r="DG506" s="573"/>
      <c r="DH506" s="188"/>
      <c r="DI506" s="1091"/>
      <c r="DJ506" s="1187"/>
    </row>
    <row r="507" spans="1:114" outlineLevel="1">
      <c r="A507" s="453"/>
      <c r="C507" s="51"/>
      <c r="D507" s="4198"/>
      <c r="E507" s="4199"/>
      <c r="F507" s="4292" t="s">
        <v>1874</v>
      </c>
      <c r="G507" s="4292"/>
      <c r="H507" s="4292"/>
      <c r="I507" s="3262" t="str">
        <f t="shared" si="66"/>
        <v>351175_2024_12_</v>
      </c>
      <c r="J507" s="3283"/>
      <c r="K507" s="3224"/>
      <c r="L507" s="1777"/>
      <c r="M507" s="51"/>
      <c r="N507" s="561"/>
      <c r="O507" s="51"/>
      <c r="S507" s="52"/>
      <c r="T507" s="52"/>
      <c r="U507" s="52"/>
      <c r="V507" s="4199"/>
      <c r="W507" s="1396"/>
      <c r="X507" s="1396"/>
      <c r="Y507" s="1396"/>
      <c r="Z507" s="3265"/>
      <c r="AA507" s="3262"/>
      <c r="AB507" s="3287"/>
      <c r="AC507" s="3288"/>
      <c r="AD507" s="3288"/>
      <c r="AE507" s="3288"/>
      <c r="AF507" s="2236" t="str">
        <f t="shared" si="65"/>
        <v/>
      </c>
      <c r="AG507" s="1396"/>
      <c r="DG507" s="573"/>
      <c r="DH507" s="188"/>
      <c r="DI507" s="1091"/>
      <c r="DJ507" s="1187"/>
    </row>
    <row r="508" spans="1:114" outlineLevel="1">
      <c r="A508" s="453"/>
      <c r="C508" s="51"/>
      <c r="D508" s="4198"/>
      <c r="E508" s="4199"/>
      <c r="F508" s="4338" t="s">
        <v>1876</v>
      </c>
      <c r="G508" s="4338"/>
      <c r="H508" s="4338"/>
      <c r="I508" s="1396" t="str">
        <f t="shared" si="66"/>
        <v>351180_2024_12_</v>
      </c>
      <c r="J508" s="1773">
        <v>7.9987867945547162</v>
      </c>
      <c r="K508" s="55"/>
      <c r="L508" s="1609" t="s">
        <v>1950</v>
      </c>
      <c r="M508" s="51"/>
      <c r="N508" s="561"/>
      <c r="O508" s="51"/>
      <c r="S508" s="52"/>
      <c r="T508" s="52"/>
      <c r="U508" s="52"/>
      <c r="V508" s="4199"/>
      <c r="W508" s="1396"/>
      <c r="X508" s="833"/>
      <c r="Y508" s="1396"/>
      <c r="Z508" s="833">
        <v>8.33</v>
      </c>
      <c r="AA508" s="1396">
        <v>8.33</v>
      </c>
      <c r="AB508" s="953">
        <v>8.33</v>
      </c>
      <c r="AC508" s="736">
        <v>8.3552367744076541</v>
      </c>
      <c r="AD508" s="939">
        <v>7.6176123405448148</v>
      </c>
      <c r="AE508" s="939">
        <v>7.8258652574658409</v>
      </c>
      <c r="AF508" s="271">
        <f t="shared" si="65"/>
        <v>7.9987867945547162</v>
      </c>
      <c r="AG508" s="1396"/>
      <c r="DG508" s="573"/>
      <c r="DH508" s="188"/>
      <c r="DI508" s="1091"/>
      <c r="DJ508" s="1187"/>
    </row>
    <row r="509" spans="1:114" outlineLevel="1">
      <c r="A509" s="453"/>
      <c r="C509" s="51"/>
      <c r="D509" s="4198"/>
      <c r="E509" s="4199"/>
      <c r="F509" s="4338" t="s">
        <v>1877</v>
      </c>
      <c r="G509" s="4338"/>
      <c r="H509" s="4338"/>
      <c r="I509" s="1396" t="str">
        <f t="shared" si="66"/>
        <v>351180_2024_12_</v>
      </c>
      <c r="J509" s="1758"/>
      <c r="K509" s="55"/>
      <c r="L509" s="1778"/>
      <c r="M509" s="51"/>
      <c r="N509" s="561"/>
      <c r="O509" s="51"/>
      <c r="S509" s="52"/>
      <c r="T509" s="52"/>
      <c r="U509" s="52"/>
      <c r="V509" s="4199"/>
      <c r="W509" s="1396"/>
      <c r="X509" s="1396"/>
      <c r="Y509" s="1396"/>
      <c r="Z509" s="833"/>
      <c r="AA509" s="1396"/>
      <c r="AB509" s="953"/>
      <c r="AC509" s="741"/>
      <c r="AD509" s="741"/>
      <c r="AE509" s="741"/>
      <c r="AF509" s="271" t="str">
        <f t="shared" si="65"/>
        <v/>
      </c>
      <c r="AG509" s="1396"/>
      <c r="DG509" s="573"/>
      <c r="DH509" s="188"/>
      <c r="DI509" s="1091"/>
      <c r="DJ509" s="1187"/>
    </row>
    <row r="510" spans="1:114" outlineLevel="1">
      <c r="A510" s="453"/>
      <c r="C510" s="51"/>
      <c r="D510" s="4198"/>
      <c r="E510" s="4199"/>
      <c r="F510" s="4338" t="s">
        <v>1879</v>
      </c>
      <c r="G510" s="4338"/>
      <c r="H510" s="4338"/>
      <c r="I510" s="1396" t="str">
        <f t="shared" si="66"/>
        <v>351181_2024_12_</v>
      </c>
      <c r="J510" s="1758"/>
      <c r="K510" s="55"/>
      <c r="L510" s="1777"/>
      <c r="M510" s="51"/>
      <c r="N510" s="561"/>
      <c r="O510" s="51"/>
      <c r="S510" s="52"/>
      <c r="T510" s="52"/>
      <c r="U510" s="52"/>
      <c r="V510" s="4199"/>
      <c r="W510" s="1396"/>
      <c r="X510" s="1396"/>
      <c r="Y510" s="1396"/>
      <c r="Z510" s="833"/>
      <c r="AA510" s="1396"/>
      <c r="AB510" s="953"/>
      <c r="AC510" s="741"/>
      <c r="AD510" s="741"/>
      <c r="AE510" s="741"/>
      <c r="AF510" s="271" t="str">
        <f t="shared" si="65"/>
        <v/>
      </c>
      <c r="AG510" s="1396"/>
      <c r="DG510" s="573"/>
      <c r="DH510" s="188"/>
      <c r="DI510" s="1091"/>
      <c r="DJ510" s="1187"/>
    </row>
    <row r="511" spans="1:114" outlineLevel="1">
      <c r="A511" s="453"/>
      <c r="C511" s="51"/>
      <c r="D511" s="4198"/>
      <c r="E511" s="4199"/>
      <c r="F511" s="4292" t="s">
        <v>1881</v>
      </c>
      <c r="G511" s="4292"/>
      <c r="H511" s="4292"/>
      <c r="I511" s="3262" t="str">
        <f t="shared" si="66"/>
        <v>351182_2024_12_</v>
      </c>
      <c r="J511" s="3283">
        <v>8.402496453661275</v>
      </c>
      <c r="K511" s="3224"/>
      <c r="L511" s="4365" t="s">
        <v>1938</v>
      </c>
      <c r="M511" s="51"/>
      <c r="N511" s="561"/>
      <c r="O511" s="51"/>
      <c r="S511" s="52"/>
      <c r="T511" s="52"/>
      <c r="U511" s="52"/>
      <c r="V511" s="4199"/>
      <c r="W511" s="1396"/>
      <c r="X511" s="833"/>
      <c r="Y511" s="1396"/>
      <c r="Z511" s="3265">
        <v>8.33</v>
      </c>
      <c r="AA511" s="3262">
        <v>8.33</v>
      </c>
      <c r="AB511" s="3287">
        <v>8.33</v>
      </c>
      <c r="AC511" s="3282">
        <v>8.402496453661275</v>
      </c>
      <c r="AD511" s="3288">
        <v>8.402496453661275</v>
      </c>
      <c r="AE511" s="3288">
        <v>8.402496453661275</v>
      </c>
      <c r="AF511" s="2236">
        <f t="shared" si="65"/>
        <v>8.402496453661275</v>
      </c>
      <c r="AG511" s="1396"/>
      <c r="DG511" s="573"/>
      <c r="DH511" s="188"/>
      <c r="DI511" s="1091"/>
      <c r="DJ511" s="1187"/>
    </row>
    <row r="512" spans="1:114" outlineLevel="1">
      <c r="A512" s="453"/>
      <c r="C512" s="51"/>
      <c r="D512" s="4198"/>
      <c r="E512" s="4199"/>
      <c r="F512" s="4292" t="s">
        <v>1882</v>
      </c>
      <c r="G512" s="4292"/>
      <c r="H512" s="4292"/>
      <c r="I512" s="3262" t="str">
        <f t="shared" si="66"/>
        <v>351182_2024_12_</v>
      </c>
      <c r="J512" s="3283"/>
      <c r="K512" s="3224"/>
      <c r="L512" s="4365"/>
      <c r="M512" s="51"/>
      <c r="N512" s="561"/>
      <c r="O512" s="51"/>
      <c r="S512" s="52"/>
      <c r="T512" s="52"/>
      <c r="U512" s="52"/>
      <c r="V512" s="4199"/>
      <c r="W512" s="1396"/>
      <c r="X512" s="1396"/>
      <c r="Y512" s="1396"/>
      <c r="Z512" s="3265"/>
      <c r="AA512" s="3262"/>
      <c r="AB512" s="3287"/>
      <c r="AC512" s="3288"/>
      <c r="AD512" s="3288"/>
      <c r="AE512" s="3288"/>
      <c r="AF512" s="2236" t="str">
        <f t="shared" si="65"/>
        <v/>
      </c>
      <c r="AG512" s="1396"/>
      <c r="DG512" s="573"/>
      <c r="DH512" s="188"/>
      <c r="DI512" s="1091"/>
      <c r="DJ512" s="1187"/>
    </row>
    <row r="513" spans="1:114" ht="45" outlineLevel="1">
      <c r="A513" s="453"/>
      <c r="C513" s="51"/>
      <c r="D513" s="4198"/>
      <c r="E513" s="4199"/>
      <c r="F513" s="4292" t="s">
        <v>1884</v>
      </c>
      <c r="G513" s="4292"/>
      <c r="H513" s="4292"/>
      <c r="I513" s="3262" t="str">
        <f t="shared" si="66"/>
        <v>351183_2024_12_</v>
      </c>
      <c r="J513" s="3283">
        <v>8.33</v>
      </c>
      <c r="K513" s="3224"/>
      <c r="L513" s="1777" t="s">
        <v>1949</v>
      </c>
      <c r="M513" s="51"/>
      <c r="N513" s="561"/>
      <c r="O513" s="51"/>
      <c r="S513" s="52"/>
      <c r="T513" s="52"/>
      <c r="U513" s="52"/>
      <c r="V513" s="4199"/>
      <c r="W513" s="1396"/>
      <c r="X513" s="1396"/>
      <c r="Y513" s="1396"/>
      <c r="Z513" s="3265">
        <v>8.33</v>
      </c>
      <c r="AA513" s="3262">
        <v>8.33</v>
      </c>
      <c r="AB513" s="3287">
        <v>8.33</v>
      </c>
      <c r="AC513" s="3288">
        <v>8.33</v>
      </c>
      <c r="AD513" s="3288">
        <v>8.33</v>
      </c>
      <c r="AE513" s="3288">
        <v>8.33</v>
      </c>
      <c r="AF513" s="2236">
        <f t="shared" si="65"/>
        <v>8.33</v>
      </c>
      <c r="AG513" s="1396"/>
      <c r="DG513" s="573"/>
      <c r="DH513" s="188"/>
      <c r="DI513" s="1091"/>
      <c r="DJ513" s="1187"/>
    </row>
    <row r="514" spans="1:114" outlineLevel="1">
      <c r="A514" s="453"/>
      <c r="C514" s="51"/>
      <c r="D514" s="4198"/>
      <c r="E514" s="4199"/>
      <c r="F514" s="4292" t="s">
        <v>1885</v>
      </c>
      <c r="G514" s="4292"/>
      <c r="H514" s="4292"/>
      <c r="I514" s="3262" t="str">
        <f t="shared" si="66"/>
        <v>351183_2024_12_</v>
      </c>
      <c r="J514" s="3283"/>
      <c r="K514" s="3224"/>
      <c r="L514" s="1777"/>
      <c r="M514" s="51"/>
      <c r="N514" s="561"/>
      <c r="O514" s="51"/>
      <c r="S514" s="52"/>
      <c r="T514" s="52"/>
      <c r="U514" s="52"/>
      <c r="V514" s="4199"/>
      <c r="W514" s="1396"/>
      <c r="X514" s="1396"/>
      <c r="Y514" s="1396"/>
      <c r="Z514" s="3265"/>
      <c r="AA514" s="3262"/>
      <c r="AB514" s="3287"/>
      <c r="AC514" s="3288"/>
      <c r="AD514" s="3288"/>
      <c r="AE514" s="3288"/>
      <c r="AF514" s="2236" t="str">
        <f t="shared" si="65"/>
        <v/>
      </c>
      <c r="AG514" s="1396"/>
      <c r="DG514" s="573"/>
      <c r="DH514" s="188"/>
      <c r="DI514" s="1091"/>
      <c r="DJ514" s="1187"/>
    </row>
    <row r="515" spans="1:114" outlineLevel="1">
      <c r="A515" s="453"/>
      <c r="C515" s="51"/>
      <c r="D515" s="4198"/>
      <c r="E515" s="4199"/>
      <c r="F515" s="4292" t="s">
        <v>1887</v>
      </c>
      <c r="G515" s="4292"/>
      <c r="H515" s="4292"/>
      <c r="I515" s="3262" t="str">
        <f t="shared" si="66"/>
        <v>351184_2024_12_</v>
      </c>
      <c r="J515" s="3283"/>
      <c r="K515" s="3224"/>
      <c r="L515" s="1777"/>
      <c r="M515" s="51"/>
      <c r="N515" s="561"/>
      <c r="O515" s="51"/>
      <c r="S515" s="52"/>
      <c r="T515" s="52"/>
      <c r="U515" s="52"/>
      <c r="V515" s="4199"/>
      <c r="W515" s="1396"/>
      <c r="X515" s="1396"/>
      <c r="Y515" s="1396"/>
      <c r="Z515" s="3265"/>
      <c r="AA515" s="3262"/>
      <c r="AB515" s="3287"/>
      <c r="AC515" s="3288"/>
      <c r="AD515" s="3288"/>
      <c r="AE515" s="3288"/>
      <c r="AF515" s="2236" t="str">
        <f t="shared" si="65"/>
        <v/>
      </c>
      <c r="AG515" s="1396"/>
      <c r="DG515" s="573"/>
      <c r="DH515" s="188"/>
      <c r="DI515" s="1091"/>
      <c r="DJ515" s="1187"/>
    </row>
    <row r="516" spans="1:114" outlineLevel="1">
      <c r="A516" s="453"/>
      <c r="C516" s="51"/>
      <c r="D516" s="4198"/>
      <c r="E516" s="4199"/>
      <c r="F516" s="4292" t="s">
        <v>1889</v>
      </c>
      <c r="G516" s="4292"/>
      <c r="H516" s="4292"/>
      <c r="I516" s="3262" t="str">
        <f t="shared" si="66"/>
        <v>351185_2024_12_</v>
      </c>
      <c r="J516" s="3283"/>
      <c r="K516" s="3224"/>
      <c r="L516" s="1777"/>
      <c r="M516" s="51"/>
      <c r="N516" s="561"/>
      <c r="O516" s="51"/>
      <c r="S516" s="52"/>
      <c r="T516" s="52"/>
      <c r="U516" s="52"/>
      <c r="V516" s="4199"/>
      <c r="W516" s="1396"/>
      <c r="X516" s="1396"/>
      <c r="Y516" s="1396"/>
      <c r="Z516" s="3265"/>
      <c r="AA516" s="3262"/>
      <c r="AB516" s="3287"/>
      <c r="AC516" s="3288"/>
      <c r="AD516" s="3288"/>
      <c r="AE516" s="3288"/>
      <c r="AF516" s="2236" t="str">
        <f t="shared" si="65"/>
        <v/>
      </c>
      <c r="AG516" s="1396"/>
      <c r="DG516" s="573"/>
      <c r="DH516" s="188"/>
      <c r="DI516" s="1091"/>
      <c r="DJ516" s="1187"/>
    </row>
    <row r="517" spans="1:114" outlineLevel="1">
      <c r="A517" s="453"/>
      <c r="C517" s="51"/>
      <c r="D517" s="4198"/>
      <c r="E517" s="4199"/>
      <c r="F517" s="4338" t="s">
        <v>1891</v>
      </c>
      <c r="G517" s="4338"/>
      <c r="H517" s="4338"/>
      <c r="I517" s="1396" t="str">
        <f t="shared" si="66"/>
        <v>351190_2024_12_</v>
      </c>
      <c r="J517" s="1773">
        <v>8.0285797341563221</v>
      </c>
      <c r="K517" s="55"/>
      <c r="L517" s="1609" t="s">
        <v>1950</v>
      </c>
      <c r="M517" s="51"/>
      <c r="N517" s="561"/>
      <c r="O517" s="51"/>
      <c r="S517" s="52"/>
      <c r="T517" s="52"/>
      <c r="U517" s="52"/>
      <c r="V517" s="4199"/>
      <c r="W517" s="1396"/>
      <c r="X517" s="833"/>
      <c r="Y517" s="1396"/>
      <c r="Z517" s="833">
        <v>8.33</v>
      </c>
      <c r="AA517" s="1396">
        <v>8.33</v>
      </c>
      <c r="AB517" s="953">
        <v>8.33</v>
      </c>
      <c r="AC517" s="736">
        <v>8.45383975017978</v>
      </c>
      <c r="AD517" s="939">
        <v>7.6821918988181608</v>
      </c>
      <c r="AE517" s="939">
        <v>8.0110213856427208</v>
      </c>
      <c r="AF517" s="271">
        <f t="shared" si="65"/>
        <v>8.0285797341563221</v>
      </c>
      <c r="AG517" s="1396"/>
      <c r="DG517" s="573"/>
      <c r="DH517" s="188"/>
      <c r="DI517" s="1091"/>
      <c r="DJ517" s="1187"/>
    </row>
    <row r="518" spans="1:114" ht="14.65" customHeight="1" outlineLevel="1">
      <c r="A518" s="453"/>
      <c r="C518" s="51"/>
      <c r="D518" s="4198"/>
      <c r="E518" s="4199"/>
      <c r="F518" s="4338" t="s">
        <v>1892</v>
      </c>
      <c r="G518" s="4338"/>
      <c r="H518" s="4338"/>
      <c r="I518" s="1396" t="str">
        <f t="shared" si="66"/>
        <v>351190_2024_12_</v>
      </c>
      <c r="J518" s="1758"/>
      <c r="K518" s="55"/>
      <c r="L518" s="1778"/>
      <c r="M518" s="51"/>
      <c r="N518" s="561"/>
      <c r="O518" s="51"/>
      <c r="S518" s="52"/>
      <c r="T518" s="52"/>
      <c r="U518" s="52"/>
      <c r="V518" s="4199"/>
      <c r="W518" s="1396"/>
      <c r="X518" s="1396"/>
      <c r="Y518" s="1396"/>
      <c r="Z518" s="833"/>
      <c r="AA518" s="1396"/>
      <c r="AB518" s="953"/>
      <c r="AC518" s="741"/>
      <c r="AD518" s="741"/>
      <c r="AE518" s="741"/>
      <c r="AF518" s="271" t="str">
        <f t="shared" si="65"/>
        <v/>
      </c>
      <c r="AG518" s="1396"/>
      <c r="DG518" s="573"/>
      <c r="DH518" s="188"/>
      <c r="DI518" s="1091"/>
      <c r="DJ518" s="1187"/>
    </row>
    <row r="519" spans="1:114" ht="14.65" customHeight="1" outlineLevel="1">
      <c r="A519" s="453"/>
      <c r="C519" s="51"/>
      <c r="D519" s="4198"/>
      <c r="E519" s="4199"/>
      <c r="F519" s="4338" t="s">
        <v>1894</v>
      </c>
      <c r="G519" s="4338"/>
      <c r="H519" s="4338"/>
      <c r="I519" s="1396" t="str">
        <f t="shared" si="66"/>
        <v>351191_2024_12_</v>
      </c>
      <c r="J519" s="1758"/>
      <c r="K519" s="55"/>
      <c r="L519" s="1777"/>
      <c r="M519" s="51"/>
      <c r="N519" s="561"/>
      <c r="O519" s="51"/>
      <c r="S519" s="52"/>
      <c r="T519" s="52"/>
      <c r="U519" s="52"/>
      <c r="V519" s="4199"/>
      <c r="W519" s="1396"/>
      <c r="X519" s="1396"/>
      <c r="Y519" s="1396"/>
      <c r="Z519" s="833"/>
      <c r="AA519" s="1396"/>
      <c r="AB519" s="953"/>
      <c r="AC519" s="741"/>
      <c r="AD519" s="741"/>
      <c r="AE519" s="741"/>
      <c r="AF519" s="271" t="str">
        <f t="shared" si="65"/>
        <v/>
      </c>
      <c r="AG519" s="1396"/>
      <c r="DG519" s="573"/>
      <c r="DH519" s="188"/>
      <c r="DI519" s="1091"/>
      <c r="DJ519" s="1187"/>
    </row>
    <row r="520" spans="1:114" ht="14.65" customHeight="1" outlineLevel="1">
      <c r="A520" s="453"/>
      <c r="C520" s="51"/>
      <c r="D520" s="4198"/>
      <c r="E520" s="4199"/>
      <c r="F520" s="4292" t="s">
        <v>1896</v>
      </c>
      <c r="G520" s="4292"/>
      <c r="H520" s="4292"/>
      <c r="I520" s="3262" t="str">
        <f t="shared" si="66"/>
        <v>351192_2024_12_</v>
      </c>
      <c r="J520" s="3283">
        <v>8.33</v>
      </c>
      <c r="K520" s="3224"/>
      <c r="L520" s="1777" t="s">
        <v>1949</v>
      </c>
      <c r="M520" s="51"/>
      <c r="N520" s="561"/>
      <c r="O520" s="51"/>
      <c r="S520" s="52"/>
      <c r="T520" s="52"/>
      <c r="U520" s="52"/>
      <c r="V520" s="4199"/>
      <c r="W520" s="1396"/>
      <c r="X520" s="833"/>
      <c r="Y520" s="1396"/>
      <c r="Z520" s="3265">
        <v>8.33</v>
      </c>
      <c r="AA520" s="3262">
        <v>8.33</v>
      </c>
      <c r="AB520" s="3287">
        <v>8.33</v>
      </c>
      <c r="AC520" s="3288">
        <v>8.33</v>
      </c>
      <c r="AD520" s="3288">
        <v>8.33</v>
      </c>
      <c r="AE520" s="3288">
        <v>8.33</v>
      </c>
      <c r="AF520" s="2236">
        <f t="shared" si="65"/>
        <v>8.33</v>
      </c>
      <c r="AG520" s="1396"/>
      <c r="DG520" s="573"/>
      <c r="DH520" s="188"/>
      <c r="DI520" s="1091"/>
      <c r="DJ520" s="1187"/>
    </row>
    <row r="521" spans="1:114" ht="14.65" customHeight="1" outlineLevel="1">
      <c r="A521" s="453"/>
      <c r="C521" s="51"/>
      <c r="D521" s="4198"/>
      <c r="E521" s="4199"/>
      <c r="F521" s="4292" t="s">
        <v>1897</v>
      </c>
      <c r="G521" s="4292"/>
      <c r="H521" s="4292"/>
      <c r="I521" s="3262" t="str">
        <f t="shared" si="66"/>
        <v>351192_2024_12_</v>
      </c>
      <c r="J521" s="3283"/>
      <c r="K521" s="3224"/>
      <c r="L521" s="1777"/>
      <c r="M521" s="51"/>
      <c r="N521" s="561"/>
      <c r="O521" s="51"/>
      <c r="S521" s="52"/>
      <c r="T521" s="52"/>
      <c r="U521" s="52"/>
      <c r="V521" s="4199"/>
      <c r="W521" s="1396"/>
      <c r="X521" s="1396"/>
      <c r="Y521" s="1396"/>
      <c r="Z521" s="3265"/>
      <c r="AA521" s="3262"/>
      <c r="AB521" s="3287"/>
      <c r="AC521" s="3288"/>
      <c r="AD521" s="3288"/>
      <c r="AE521" s="3288"/>
      <c r="AF521" s="2236" t="str">
        <f t="shared" si="65"/>
        <v/>
      </c>
      <c r="AG521" s="1396"/>
      <c r="DG521" s="573"/>
      <c r="DH521" s="188"/>
      <c r="DI521" s="1091"/>
      <c r="DJ521" s="1187"/>
    </row>
    <row r="522" spans="1:114" ht="14.65" customHeight="1" outlineLevel="1">
      <c r="A522" s="453"/>
      <c r="C522" s="51"/>
      <c r="D522" s="4198"/>
      <c r="E522" s="4199"/>
      <c r="F522" s="4292" t="s">
        <v>1899</v>
      </c>
      <c r="G522" s="4292"/>
      <c r="H522" s="4292"/>
      <c r="I522" s="3262" t="str">
        <f t="shared" si="66"/>
        <v>351193_2024_12_</v>
      </c>
      <c r="J522" s="3283">
        <v>8.33</v>
      </c>
      <c r="K522" s="3224"/>
      <c r="L522" s="1777" t="s">
        <v>1949</v>
      </c>
      <c r="M522" s="51"/>
      <c r="N522" s="561"/>
      <c r="O522" s="51"/>
      <c r="S522" s="52"/>
      <c r="T522" s="52"/>
      <c r="U522" s="52"/>
      <c r="V522" s="4199"/>
      <c r="W522" s="1396"/>
      <c r="X522" s="1396"/>
      <c r="Y522" s="1396"/>
      <c r="Z522" s="3265">
        <v>8.33</v>
      </c>
      <c r="AA522" s="3262">
        <v>8.33</v>
      </c>
      <c r="AB522" s="3287">
        <v>8.33</v>
      </c>
      <c r="AC522" s="3288">
        <v>8.33</v>
      </c>
      <c r="AD522" s="3288">
        <v>8.33</v>
      </c>
      <c r="AE522" s="3288">
        <v>8.33</v>
      </c>
      <c r="AF522" s="2236">
        <f t="shared" si="65"/>
        <v>8.33</v>
      </c>
      <c r="AG522" s="1396"/>
      <c r="DG522" s="573"/>
      <c r="DH522" s="188"/>
      <c r="DI522" s="1091"/>
      <c r="DJ522" s="1187"/>
    </row>
    <row r="523" spans="1:114" ht="14.65" customHeight="1" outlineLevel="1">
      <c r="A523" s="453"/>
      <c r="C523" s="51"/>
      <c r="D523" s="4198"/>
      <c r="E523" s="4199"/>
      <c r="F523" s="4292" t="s">
        <v>1900</v>
      </c>
      <c r="G523" s="4292"/>
      <c r="H523" s="4292"/>
      <c r="I523" s="3262" t="str">
        <f t="shared" si="66"/>
        <v>351193_2024_12_</v>
      </c>
      <c r="J523" s="3283"/>
      <c r="K523" s="3224"/>
      <c r="L523" s="1777"/>
      <c r="M523" s="51"/>
      <c r="N523" s="561"/>
      <c r="O523" s="51"/>
      <c r="S523" s="52"/>
      <c r="T523" s="52"/>
      <c r="U523" s="52"/>
      <c r="V523" s="4199"/>
      <c r="W523" s="1396"/>
      <c r="X523" s="1396"/>
      <c r="Y523" s="1396"/>
      <c r="Z523" s="3265"/>
      <c r="AA523" s="3262"/>
      <c r="AB523" s="3287"/>
      <c r="AC523" s="3288"/>
      <c r="AD523" s="3288"/>
      <c r="AE523" s="3288"/>
      <c r="AF523" s="2236" t="str">
        <f t="shared" si="65"/>
        <v/>
      </c>
      <c r="AG523" s="1396"/>
      <c r="DG523" s="573"/>
      <c r="DH523" s="188"/>
      <c r="DI523" s="1091"/>
      <c r="DJ523" s="1187"/>
    </row>
    <row r="524" spans="1:114" ht="15" customHeight="1" outlineLevel="1">
      <c r="A524" s="453"/>
      <c r="C524" s="51"/>
      <c r="D524" s="4198"/>
      <c r="E524" s="4199"/>
      <c r="F524" s="4292" t="s">
        <v>1902</v>
      </c>
      <c r="G524" s="4292"/>
      <c r="H524" s="4292"/>
      <c r="I524" s="3262" t="str">
        <f t="shared" si="66"/>
        <v>351194_2024_12_</v>
      </c>
      <c r="J524" s="3283"/>
      <c r="K524" s="3224"/>
      <c r="L524" s="1777"/>
      <c r="M524" s="51"/>
      <c r="N524" s="561"/>
      <c r="O524" s="51"/>
      <c r="S524" s="52"/>
      <c r="T524" s="52"/>
      <c r="U524" s="52"/>
      <c r="V524" s="4199"/>
      <c r="W524" s="1396"/>
      <c r="X524" s="1396"/>
      <c r="Y524" s="1396"/>
      <c r="Z524" s="3265"/>
      <c r="AA524" s="3262"/>
      <c r="AB524" s="3287"/>
      <c r="AC524" s="3288"/>
      <c r="AD524" s="3288"/>
      <c r="AE524" s="3288"/>
      <c r="AF524" s="2236" t="str">
        <f t="shared" si="65"/>
        <v/>
      </c>
      <c r="AG524" s="1396"/>
      <c r="DG524" s="573"/>
      <c r="DH524" s="188"/>
      <c r="DI524" s="1091"/>
      <c r="DJ524" s="1187"/>
    </row>
    <row r="525" spans="1:114" outlineLevel="1">
      <c r="A525" s="453"/>
      <c r="C525" s="51"/>
      <c r="D525" s="4198"/>
      <c r="E525" s="4199"/>
      <c r="F525" s="4292" t="s">
        <v>1904</v>
      </c>
      <c r="G525" s="4292"/>
      <c r="H525" s="4292"/>
      <c r="I525" s="3262" t="str">
        <f t="shared" si="66"/>
        <v>351195_2024_12_</v>
      </c>
      <c r="J525" s="3283"/>
      <c r="K525" s="3224"/>
      <c r="L525" s="1777"/>
      <c r="M525" s="51"/>
      <c r="N525" s="561"/>
      <c r="O525" s="51"/>
      <c r="S525" s="52"/>
      <c r="T525" s="52"/>
      <c r="U525" s="52"/>
      <c r="V525" s="4199"/>
      <c r="W525" s="1396"/>
      <c r="X525" s="1396"/>
      <c r="Y525" s="1396"/>
      <c r="Z525" s="3265"/>
      <c r="AA525" s="3262"/>
      <c r="AB525" s="3287"/>
      <c r="AC525" s="3288"/>
      <c r="AD525" s="3288"/>
      <c r="AE525" s="3288"/>
      <c r="AF525" s="2236" t="str">
        <f t="shared" si="65"/>
        <v/>
      </c>
      <c r="AG525" s="1396"/>
      <c r="DG525" s="573"/>
      <c r="DH525" s="188"/>
      <c r="DI525" s="1091"/>
      <c r="DJ525" s="1187"/>
    </row>
    <row r="526" spans="1:114" ht="14.65" customHeight="1" outlineLevel="1">
      <c r="A526" s="453"/>
      <c r="C526" s="51"/>
      <c r="D526" s="4293" t="s">
        <v>1089</v>
      </c>
      <c r="E526" s="4293" t="s">
        <v>1951</v>
      </c>
      <c r="F526" s="4339" t="s">
        <v>1784</v>
      </c>
      <c r="G526" s="4339"/>
      <c r="H526" s="4339"/>
      <c r="I526" s="3295" t="str">
        <f t="shared" si="66"/>
        <v>350400_2024_12_</v>
      </c>
      <c r="J526" s="3296">
        <v>1</v>
      </c>
      <c r="K526" s="1442"/>
      <c r="L526" s="1442"/>
      <c r="M526" s="51"/>
      <c r="N526" s="561"/>
      <c r="O526" s="51"/>
      <c r="S526" s="52"/>
      <c r="T526" s="52"/>
      <c r="U526" s="52"/>
      <c r="V526" s="4293" t="str">
        <f>D526</f>
        <v>HF</v>
      </c>
      <c r="W526" s="3297">
        <v>1</v>
      </c>
      <c r="X526" s="3297">
        <f>W526</f>
        <v>1</v>
      </c>
      <c r="Y526" s="3297">
        <v>1</v>
      </c>
      <c r="Z526" s="3297">
        <v>1</v>
      </c>
      <c r="AA526" s="3297">
        <v>1</v>
      </c>
      <c r="AB526" s="3297">
        <v>1</v>
      </c>
      <c r="AC526" s="3297">
        <v>1</v>
      </c>
      <c r="AD526" s="3297">
        <v>1</v>
      </c>
      <c r="AE526" s="3297">
        <v>1</v>
      </c>
      <c r="AF526" s="2236">
        <f t="shared" si="65"/>
        <v>1</v>
      </c>
      <c r="AG526" s="213"/>
      <c r="DG526" s="1093"/>
      <c r="DH526" s="188"/>
      <c r="DI526" s="1091"/>
      <c r="DJ526" s="1187"/>
    </row>
    <row r="527" spans="1:114" ht="14.65" customHeight="1" outlineLevel="1">
      <c r="A527" s="453"/>
      <c r="C527" s="51"/>
      <c r="D527" s="4293"/>
      <c r="E527" s="4293"/>
      <c r="F527" s="4292" t="s">
        <v>1785</v>
      </c>
      <c r="G527" s="4292"/>
      <c r="H527" s="4292"/>
      <c r="I527" s="3295" t="str">
        <f t="shared" si="66"/>
        <v>350400_2024_12_</v>
      </c>
      <c r="J527" s="3296">
        <v>1</v>
      </c>
      <c r="K527" s="1442"/>
      <c r="L527" s="1442"/>
      <c r="M527" s="51"/>
      <c r="N527" s="561"/>
      <c r="O527" s="51"/>
      <c r="S527" s="52"/>
      <c r="T527" s="52"/>
      <c r="U527" s="52"/>
      <c r="V527" s="4293"/>
      <c r="W527" s="3297">
        <v>1</v>
      </c>
      <c r="X527" s="3297">
        <f>W527</f>
        <v>1</v>
      </c>
      <c r="Y527" s="3297">
        <v>1</v>
      </c>
      <c r="Z527" s="3297">
        <v>1</v>
      </c>
      <c r="AA527" s="3297">
        <v>1</v>
      </c>
      <c r="AB527" s="3297">
        <v>1</v>
      </c>
      <c r="AC527" s="3297">
        <v>1</v>
      </c>
      <c r="AD527" s="3297">
        <v>1</v>
      </c>
      <c r="AE527" s="3297">
        <v>1</v>
      </c>
      <c r="AF527" s="2236">
        <f t="shared" si="65"/>
        <v>1</v>
      </c>
      <c r="AG527" s="213"/>
      <c r="DG527" s="1093"/>
      <c r="DH527" s="188"/>
      <c r="DI527" s="1091"/>
      <c r="DJ527" s="1187"/>
    </row>
    <row r="528" spans="1:114" ht="14.65" customHeight="1" outlineLevel="1">
      <c r="A528" s="453"/>
      <c r="C528" s="51"/>
      <c r="D528" s="4293"/>
      <c r="E528" s="4293"/>
      <c r="F528" s="4292" t="s">
        <v>1788</v>
      </c>
      <c r="G528" s="4292"/>
      <c r="H528" s="4292"/>
      <c r="I528" s="3295" t="str">
        <f t="shared" si="66"/>
        <v>350450_2024_12_</v>
      </c>
      <c r="J528" s="3296">
        <v>1</v>
      </c>
      <c r="K528" s="1442"/>
      <c r="L528" s="1442"/>
      <c r="M528" s="51"/>
      <c r="N528" s="561"/>
      <c r="O528" s="51"/>
      <c r="S528" s="52"/>
      <c r="T528" s="52"/>
      <c r="U528" s="52"/>
      <c r="V528" s="4293"/>
      <c r="W528" s="3297">
        <v>1</v>
      </c>
      <c r="X528" s="3297">
        <f>W528</f>
        <v>1</v>
      </c>
      <c r="Y528" s="3297">
        <v>1</v>
      </c>
      <c r="Z528" s="3297">
        <v>1</v>
      </c>
      <c r="AA528" s="3297">
        <v>1</v>
      </c>
      <c r="AB528" s="3297">
        <v>1</v>
      </c>
      <c r="AC528" s="3297">
        <v>1</v>
      </c>
      <c r="AD528" s="3297">
        <v>1</v>
      </c>
      <c r="AE528" s="3297">
        <v>1</v>
      </c>
      <c r="AF528" s="2236">
        <f t="shared" si="65"/>
        <v>1</v>
      </c>
      <c r="AG528" s="213"/>
      <c r="DG528" s="1093"/>
      <c r="DH528" s="188"/>
      <c r="DI528" s="1091"/>
      <c r="DJ528" s="1187"/>
    </row>
    <row r="529" spans="1:114" ht="14.65" customHeight="1" outlineLevel="1">
      <c r="A529" s="453"/>
      <c r="C529" s="51"/>
      <c r="D529" s="4293"/>
      <c r="E529" s="4293"/>
      <c r="F529" s="4292" t="s">
        <v>1790</v>
      </c>
      <c r="G529" s="4292"/>
      <c r="H529" s="4292"/>
      <c r="I529" s="3295" t="str">
        <f t="shared" si="66"/>
        <v>350500_2024_12_</v>
      </c>
      <c r="J529" s="3296">
        <v>1</v>
      </c>
      <c r="K529" s="1442"/>
      <c r="L529" s="1442"/>
      <c r="M529" s="51"/>
      <c r="N529" s="561"/>
      <c r="O529" s="51"/>
      <c r="S529" s="52"/>
      <c r="T529" s="52"/>
      <c r="U529" s="52"/>
      <c r="V529" s="4293"/>
      <c r="W529" s="3297">
        <v>0.65</v>
      </c>
      <c r="X529" s="3298">
        <v>1</v>
      </c>
      <c r="Y529" s="3297">
        <v>1</v>
      </c>
      <c r="Z529" s="3297">
        <v>1</v>
      </c>
      <c r="AA529" s="3297">
        <v>1</v>
      </c>
      <c r="AB529" s="3297">
        <v>1</v>
      </c>
      <c r="AC529" s="3297">
        <v>1</v>
      </c>
      <c r="AD529" s="3297">
        <v>1</v>
      </c>
      <c r="AE529" s="3297">
        <v>1</v>
      </c>
      <c r="AF529" s="2236">
        <f t="shared" si="65"/>
        <v>1</v>
      </c>
      <c r="AG529" s="213"/>
      <c r="DG529" s="1093"/>
      <c r="DH529" s="188"/>
      <c r="DI529" s="1091"/>
      <c r="DJ529" s="1187"/>
    </row>
    <row r="530" spans="1:114" ht="14.65" customHeight="1" outlineLevel="1">
      <c r="A530" s="453"/>
      <c r="C530" s="51"/>
      <c r="D530" s="4293"/>
      <c r="E530" s="4293"/>
      <c r="F530" s="4292" t="s">
        <v>1791</v>
      </c>
      <c r="G530" s="4292"/>
      <c r="H530" s="4292"/>
      <c r="I530" s="3295" t="str">
        <f t="shared" si="66"/>
        <v>350500_2024_12_</v>
      </c>
      <c r="J530" s="3296">
        <v>1</v>
      </c>
      <c r="K530" s="1442"/>
      <c r="L530" s="1442"/>
      <c r="M530" s="51"/>
      <c r="N530" s="561"/>
      <c r="O530" s="51"/>
      <c r="S530" s="52"/>
      <c r="T530" s="52"/>
      <c r="U530" s="52"/>
      <c r="V530" s="4293"/>
      <c r="W530" s="3297">
        <v>0.65</v>
      </c>
      <c r="X530" s="3298">
        <v>1</v>
      </c>
      <c r="Y530" s="3297">
        <v>1</v>
      </c>
      <c r="Z530" s="3297">
        <v>1</v>
      </c>
      <c r="AA530" s="3297">
        <v>1</v>
      </c>
      <c r="AB530" s="3297">
        <v>1</v>
      </c>
      <c r="AC530" s="3297">
        <v>1</v>
      </c>
      <c r="AD530" s="3297">
        <v>1</v>
      </c>
      <c r="AE530" s="3297">
        <v>1</v>
      </c>
      <c r="AF530" s="2236">
        <f t="shared" si="65"/>
        <v>1</v>
      </c>
      <c r="AG530" s="213"/>
      <c r="DG530" s="1093"/>
      <c r="DH530" s="188"/>
      <c r="DI530" s="1091"/>
      <c r="DJ530" s="1187"/>
    </row>
    <row r="531" spans="1:114" ht="14.65" customHeight="1" outlineLevel="1">
      <c r="A531" s="453"/>
      <c r="C531" s="51"/>
      <c r="D531" s="4293"/>
      <c r="E531" s="4293"/>
      <c r="F531" s="4292" t="s">
        <v>1793</v>
      </c>
      <c r="G531" s="4292"/>
      <c r="H531" s="4292"/>
      <c r="I531" s="3295" t="str">
        <f t="shared" si="66"/>
        <v>350501_2024_12_</v>
      </c>
      <c r="J531" s="3296">
        <v>1</v>
      </c>
      <c r="K531" s="1442"/>
      <c r="L531" s="1442"/>
      <c r="M531" s="51"/>
      <c r="N531" s="561"/>
      <c r="O531" s="51"/>
      <c r="S531" s="52"/>
      <c r="T531" s="52"/>
      <c r="U531" s="52"/>
      <c r="V531" s="4293"/>
      <c r="W531" s="3297"/>
      <c r="X531" s="3298"/>
      <c r="Y531" s="3297">
        <v>1</v>
      </c>
      <c r="Z531" s="3297">
        <v>1</v>
      </c>
      <c r="AA531" s="3297">
        <v>1</v>
      </c>
      <c r="AB531" s="3297">
        <v>1</v>
      </c>
      <c r="AC531" s="3297">
        <v>1</v>
      </c>
      <c r="AD531" s="3297">
        <v>1</v>
      </c>
      <c r="AE531" s="3297">
        <v>1</v>
      </c>
      <c r="AF531" s="2236">
        <f t="shared" si="65"/>
        <v>1</v>
      </c>
      <c r="AG531" s="213"/>
      <c r="DG531" s="1093"/>
      <c r="DH531" s="188"/>
      <c r="DI531" s="1091"/>
      <c r="DJ531" s="1187"/>
    </row>
    <row r="532" spans="1:114" ht="14.65" customHeight="1" outlineLevel="1">
      <c r="A532" s="453"/>
      <c r="C532" s="51"/>
      <c r="D532" s="4293"/>
      <c r="E532" s="4293"/>
      <c r="F532" s="4292" t="s">
        <v>1794</v>
      </c>
      <c r="G532" s="4292"/>
      <c r="H532" s="4292"/>
      <c r="I532" s="3295" t="str">
        <f t="shared" si="66"/>
        <v>350501_2024_12_</v>
      </c>
      <c r="J532" s="3296">
        <v>1</v>
      </c>
      <c r="K532" s="1442"/>
      <c r="L532" s="1442"/>
      <c r="M532" s="51"/>
      <c r="N532" s="561"/>
      <c r="O532" s="51"/>
      <c r="S532" s="52"/>
      <c r="T532" s="52"/>
      <c r="U532" s="52"/>
      <c r="V532" s="4293"/>
      <c r="W532" s="3297"/>
      <c r="X532" s="3298"/>
      <c r="Y532" s="3297">
        <v>1</v>
      </c>
      <c r="Z532" s="3297">
        <v>1</v>
      </c>
      <c r="AA532" s="3297">
        <v>1</v>
      </c>
      <c r="AB532" s="3297">
        <v>1</v>
      </c>
      <c r="AC532" s="3297">
        <v>1</v>
      </c>
      <c r="AD532" s="3297">
        <v>1</v>
      </c>
      <c r="AE532" s="3297">
        <v>1</v>
      </c>
      <c r="AF532" s="2236">
        <f t="shared" si="65"/>
        <v>1</v>
      </c>
      <c r="AG532" s="213"/>
      <c r="DG532" s="1093"/>
      <c r="DH532" s="188"/>
      <c r="DI532" s="1091"/>
      <c r="DJ532" s="1187"/>
    </row>
    <row r="533" spans="1:114" ht="14.65" customHeight="1" outlineLevel="1">
      <c r="A533" s="453"/>
      <c r="C533" s="51"/>
      <c r="D533" s="4293"/>
      <c r="E533" s="4293"/>
      <c r="F533" s="4292" t="s">
        <v>1796</v>
      </c>
      <c r="G533" s="4292"/>
      <c r="H533" s="4292"/>
      <c r="I533" s="3295" t="str">
        <f t="shared" si="66"/>
        <v>350550_2024_12_</v>
      </c>
      <c r="J533" s="3296">
        <v>1</v>
      </c>
      <c r="K533" s="1442"/>
      <c r="L533" s="1442"/>
      <c r="M533" s="51"/>
      <c r="N533" s="561"/>
      <c r="O533" s="51"/>
      <c r="S533" s="52"/>
      <c r="T533" s="52"/>
      <c r="U533" s="52"/>
      <c r="V533" s="4293"/>
      <c r="W533" s="3297">
        <v>0.65</v>
      </c>
      <c r="X533" s="3298">
        <v>1</v>
      </c>
      <c r="Y533" s="3297">
        <v>1</v>
      </c>
      <c r="Z533" s="3297">
        <v>1</v>
      </c>
      <c r="AA533" s="3297">
        <v>1</v>
      </c>
      <c r="AB533" s="3297">
        <v>1</v>
      </c>
      <c r="AC533" s="3297">
        <v>1</v>
      </c>
      <c r="AD533" s="3297">
        <v>1</v>
      </c>
      <c r="AE533" s="3297">
        <v>1</v>
      </c>
      <c r="AF533" s="2236">
        <f t="shared" si="65"/>
        <v>1</v>
      </c>
      <c r="AG533" s="213"/>
      <c r="DG533" s="1093"/>
      <c r="DH533" s="188"/>
      <c r="DI533" s="1091"/>
      <c r="DJ533" s="1187"/>
    </row>
    <row r="534" spans="1:114" ht="14.65" customHeight="1" outlineLevel="1">
      <c r="A534" s="453"/>
      <c r="C534" s="51"/>
      <c r="D534" s="4293"/>
      <c r="E534" s="4293"/>
      <c r="F534" s="4292" t="s">
        <v>1798</v>
      </c>
      <c r="G534" s="4292"/>
      <c r="H534" s="4292"/>
      <c r="I534" s="3295" t="str">
        <f t="shared" si="66"/>
        <v>350551_2024_12_</v>
      </c>
      <c r="J534" s="3296">
        <v>1</v>
      </c>
      <c r="K534" s="1442"/>
      <c r="L534" s="1442"/>
      <c r="M534" s="51"/>
      <c r="N534" s="561"/>
      <c r="O534" s="51"/>
      <c r="S534" s="52"/>
      <c r="T534" s="52"/>
      <c r="U534" s="52"/>
      <c r="V534" s="4293"/>
      <c r="W534" s="3297"/>
      <c r="X534" s="3298"/>
      <c r="Y534" s="3297">
        <v>1</v>
      </c>
      <c r="Z534" s="3297">
        <v>1</v>
      </c>
      <c r="AA534" s="3297">
        <v>1</v>
      </c>
      <c r="AB534" s="3297">
        <v>1</v>
      </c>
      <c r="AC534" s="3297">
        <v>1</v>
      </c>
      <c r="AD534" s="3297">
        <v>1</v>
      </c>
      <c r="AE534" s="3297">
        <v>1</v>
      </c>
      <c r="AF534" s="2236">
        <f t="shared" si="65"/>
        <v>1</v>
      </c>
      <c r="AG534" s="213"/>
      <c r="DG534" s="1093"/>
      <c r="DH534" s="188"/>
      <c r="DI534" s="1091"/>
      <c r="DJ534" s="1187"/>
    </row>
    <row r="535" spans="1:114" ht="14.65" customHeight="1" outlineLevel="1">
      <c r="A535" s="453"/>
      <c r="C535" s="51"/>
      <c r="D535" s="4293"/>
      <c r="E535" s="4293"/>
      <c r="F535" s="4338" t="s">
        <v>1801</v>
      </c>
      <c r="G535" s="4338"/>
      <c r="H535" s="4338"/>
      <c r="I535" s="927" t="str">
        <f t="shared" si="66"/>
        <v>350600_2024_12_</v>
      </c>
      <c r="J535" s="1785">
        <v>1</v>
      </c>
      <c r="K535" s="1442"/>
      <c r="L535" s="1442"/>
      <c r="M535" s="51"/>
      <c r="N535" s="561"/>
      <c r="O535" s="51"/>
      <c r="S535" s="52"/>
      <c r="T535" s="52"/>
      <c r="U535" s="52"/>
      <c r="V535" s="4293"/>
      <c r="W535" s="213">
        <v>1</v>
      </c>
      <c r="X535" s="213">
        <f>W535</f>
        <v>1</v>
      </c>
      <c r="Y535" s="213">
        <v>1</v>
      </c>
      <c r="Z535" s="213">
        <v>1</v>
      </c>
      <c r="AA535" s="213">
        <v>1</v>
      </c>
      <c r="AB535" s="213">
        <v>1</v>
      </c>
      <c r="AC535" s="213">
        <v>1</v>
      </c>
      <c r="AD535" s="213">
        <v>1</v>
      </c>
      <c r="AE535" s="213">
        <v>1</v>
      </c>
      <c r="AF535" s="271">
        <f t="shared" si="65"/>
        <v>1</v>
      </c>
      <c r="AG535" s="213"/>
      <c r="DG535" s="1093"/>
      <c r="DH535" s="188"/>
      <c r="DI535" s="1091"/>
      <c r="DJ535" s="1187"/>
    </row>
    <row r="536" spans="1:114" ht="14.65" customHeight="1" outlineLevel="1">
      <c r="A536" s="453"/>
      <c r="C536" s="51"/>
      <c r="D536" s="4293"/>
      <c r="E536" s="4293"/>
      <c r="F536" s="4338" t="s">
        <v>1802</v>
      </c>
      <c r="G536" s="4338"/>
      <c r="H536" s="4338"/>
      <c r="I536" s="927" t="str">
        <f t="shared" si="66"/>
        <v>350600_2024_12_</v>
      </c>
      <c r="J536" s="1785">
        <v>1</v>
      </c>
      <c r="K536" s="1442"/>
      <c r="L536" s="1442"/>
      <c r="M536" s="51"/>
      <c r="N536" s="561"/>
      <c r="O536" s="51"/>
      <c r="S536" s="52"/>
      <c r="T536" s="52"/>
      <c r="U536" s="52"/>
      <c r="V536" s="4293"/>
      <c r="W536" s="213">
        <v>1</v>
      </c>
      <c r="X536" s="213">
        <f>W536</f>
        <v>1</v>
      </c>
      <c r="Y536" s="213">
        <v>1</v>
      </c>
      <c r="Z536" s="213">
        <v>1</v>
      </c>
      <c r="AA536" s="213">
        <v>1</v>
      </c>
      <c r="AB536" s="213">
        <v>1</v>
      </c>
      <c r="AC536" s="213">
        <v>1</v>
      </c>
      <c r="AD536" s="213">
        <v>1</v>
      </c>
      <c r="AE536" s="213">
        <v>1</v>
      </c>
      <c r="AF536" s="271">
        <f t="shared" si="65"/>
        <v>1</v>
      </c>
      <c r="AG536" s="213"/>
      <c r="DG536" s="1093"/>
      <c r="DH536" s="188"/>
      <c r="DI536" s="1091"/>
      <c r="DJ536" s="1187"/>
    </row>
    <row r="537" spans="1:114" ht="14.65" customHeight="1" outlineLevel="1">
      <c r="A537" s="453"/>
      <c r="C537" s="51"/>
      <c r="D537" s="4293"/>
      <c r="E537" s="4293"/>
      <c r="F537" s="4338" t="s">
        <v>1804</v>
      </c>
      <c r="G537" s="4338"/>
      <c r="H537" s="4338"/>
      <c r="I537" s="927" t="str">
        <f t="shared" si="66"/>
        <v>350650_2024_12_</v>
      </c>
      <c r="J537" s="1785">
        <v>1</v>
      </c>
      <c r="K537" s="1442"/>
      <c r="L537" s="1442"/>
      <c r="M537" s="51"/>
      <c r="N537" s="561"/>
      <c r="O537" s="51"/>
      <c r="S537" s="52"/>
      <c r="T537" s="52"/>
      <c r="U537" s="52"/>
      <c r="V537" s="4293"/>
      <c r="W537" s="213">
        <v>1</v>
      </c>
      <c r="X537" s="213">
        <f>W537</f>
        <v>1</v>
      </c>
      <c r="Y537" s="213">
        <v>1</v>
      </c>
      <c r="Z537" s="213">
        <v>1</v>
      </c>
      <c r="AA537" s="213">
        <v>1</v>
      </c>
      <c r="AB537" s="213">
        <v>1</v>
      </c>
      <c r="AC537" s="213">
        <v>1</v>
      </c>
      <c r="AD537" s="213">
        <v>1</v>
      </c>
      <c r="AE537" s="213">
        <v>1</v>
      </c>
      <c r="AF537" s="271">
        <f t="shared" si="65"/>
        <v>1</v>
      </c>
      <c r="AG537" s="213"/>
      <c r="DG537" s="1093"/>
      <c r="DH537" s="188"/>
      <c r="DI537" s="1091"/>
      <c r="DJ537" s="1187"/>
    </row>
    <row r="538" spans="1:114" ht="14.65" customHeight="1" outlineLevel="1">
      <c r="A538" s="453"/>
      <c r="C538" s="51"/>
      <c r="D538" s="4293"/>
      <c r="E538" s="4293"/>
      <c r="F538" s="4292" t="s">
        <v>1806</v>
      </c>
      <c r="G538" s="4292"/>
      <c r="H538" s="4292"/>
      <c r="I538" s="3295" t="str">
        <f t="shared" si="66"/>
        <v>350700_2024_12_</v>
      </c>
      <c r="J538" s="3296">
        <v>1</v>
      </c>
      <c r="K538" s="1442"/>
      <c r="L538" s="1442"/>
      <c r="M538" s="51"/>
      <c r="N538" s="561"/>
      <c r="O538" s="51"/>
      <c r="S538" s="52"/>
      <c r="T538" s="52"/>
      <c r="U538" s="52"/>
      <c r="V538" s="4293"/>
      <c r="W538" s="3297">
        <v>0.65</v>
      </c>
      <c r="X538" s="3298">
        <v>1</v>
      </c>
      <c r="Y538" s="3297">
        <v>1</v>
      </c>
      <c r="Z538" s="3297">
        <v>1</v>
      </c>
      <c r="AA538" s="3297">
        <v>1</v>
      </c>
      <c r="AB538" s="3297">
        <v>1</v>
      </c>
      <c r="AC538" s="3297">
        <v>1</v>
      </c>
      <c r="AD538" s="3297">
        <v>1</v>
      </c>
      <c r="AE538" s="3297">
        <v>1</v>
      </c>
      <c r="AF538" s="2236">
        <f t="shared" si="65"/>
        <v>1</v>
      </c>
      <c r="AG538" s="213"/>
      <c r="DG538" s="1093"/>
      <c r="DH538" s="188"/>
      <c r="DI538" s="1091"/>
      <c r="DJ538" s="1187"/>
    </row>
    <row r="539" spans="1:114" ht="14.65" customHeight="1" outlineLevel="1">
      <c r="A539" s="453"/>
      <c r="C539" s="51"/>
      <c r="D539" s="4293"/>
      <c r="E539" s="4293"/>
      <c r="F539" s="4292" t="s">
        <v>1807</v>
      </c>
      <c r="G539" s="4292"/>
      <c r="H539" s="4292"/>
      <c r="I539" s="3295" t="str">
        <f t="shared" si="66"/>
        <v>350700_2024_12_</v>
      </c>
      <c r="J539" s="3296">
        <v>1</v>
      </c>
      <c r="K539" s="1442"/>
      <c r="L539" s="1442"/>
      <c r="M539" s="51"/>
      <c r="N539" s="561"/>
      <c r="O539" s="51"/>
      <c r="S539" s="52"/>
      <c r="T539" s="52"/>
      <c r="U539" s="52"/>
      <c r="V539" s="4293"/>
      <c r="W539" s="3297">
        <v>0.65</v>
      </c>
      <c r="X539" s="3298">
        <v>1</v>
      </c>
      <c r="Y539" s="3297">
        <v>1</v>
      </c>
      <c r="Z539" s="3297">
        <v>1</v>
      </c>
      <c r="AA539" s="3297">
        <v>1</v>
      </c>
      <c r="AB539" s="3297">
        <v>1</v>
      </c>
      <c r="AC539" s="3297">
        <v>1</v>
      </c>
      <c r="AD539" s="3297">
        <v>1</v>
      </c>
      <c r="AE539" s="3297">
        <v>1</v>
      </c>
      <c r="AF539" s="2236">
        <f t="shared" si="65"/>
        <v>1</v>
      </c>
      <c r="AG539" s="213"/>
      <c r="DG539" s="1093"/>
      <c r="DH539" s="188"/>
      <c r="DI539" s="1091"/>
      <c r="DJ539" s="1187"/>
    </row>
    <row r="540" spans="1:114" ht="14.65" customHeight="1" outlineLevel="1">
      <c r="A540" s="453"/>
      <c r="C540" s="51"/>
      <c r="D540" s="4293"/>
      <c r="E540" s="4293"/>
      <c r="F540" s="4292" t="s">
        <v>1809</v>
      </c>
      <c r="G540" s="4292"/>
      <c r="H540" s="4292"/>
      <c r="I540" s="3295" t="str">
        <f t="shared" si="66"/>
        <v>350701_2024_12_</v>
      </c>
      <c r="J540" s="3296">
        <v>1</v>
      </c>
      <c r="K540" s="1442"/>
      <c r="L540" s="1442"/>
      <c r="M540" s="51"/>
      <c r="N540" s="561"/>
      <c r="O540" s="51"/>
      <c r="S540" s="52"/>
      <c r="T540" s="52"/>
      <c r="U540" s="52"/>
      <c r="V540" s="4293"/>
      <c r="W540" s="3297"/>
      <c r="X540" s="3298"/>
      <c r="Y540" s="3297">
        <v>1</v>
      </c>
      <c r="Z540" s="3297">
        <v>1</v>
      </c>
      <c r="AA540" s="3297">
        <v>1</v>
      </c>
      <c r="AB540" s="3297">
        <v>1</v>
      </c>
      <c r="AC540" s="3297">
        <v>1</v>
      </c>
      <c r="AD540" s="3297">
        <v>1</v>
      </c>
      <c r="AE540" s="3297">
        <v>1</v>
      </c>
      <c r="AF540" s="2236">
        <f t="shared" si="65"/>
        <v>1</v>
      </c>
      <c r="AG540" s="213"/>
      <c r="DG540" s="1093"/>
      <c r="DH540" s="188"/>
      <c r="DI540" s="1091"/>
      <c r="DJ540" s="1187"/>
    </row>
    <row r="541" spans="1:114" ht="14.65" customHeight="1" outlineLevel="1">
      <c r="A541" s="453"/>
      <c r="C541" s="51"/>
      <c r="D541" s="4293"/>
      <c r="E541" s="4293"/>
      <c r="F541" s="4292" t="s">
        <v>1810</v>
      </c>
      <c r="G541" s="4292"/>
      <c r="H541" s="4292"/>
      <c r="I541" s="3295" t="str">
        <f t="shared" si="66"/>
        <v>350701_2024_12_</v>
      </c>
      <c r="J541" s="3296">
        <v>1</v>
      </c>
      <c r="K541" s="1442"/>
      <c r="L541" s="1442"/>
      <c r="M541" s="51"/>
      <c r="N541" s="561"/>
      <c r="O541" s="51"/>
      <c r="S541" s="52"/>
      <c r="T541" s="52"/>
      <c r="U541" s="52"/>
      <c r="V541" s="4293"/>
      <c r="W541" s="3297"/>
      <c r="X541" s="3298"/>
      <c r="Y541" s="3297">
        <v>1</v>
      </c>
      <c r="Z541" s="3297">
        <v>1</v>
      </c>
      <c r="AA541" s="3297">
        <v>1</v>
      </c>
      <c r="AB541" s="3297">
        <v>1</v>
      </c>
      <c r="AC541" s="3297">
        <v>1</v>
      </c>
      <c r="AD541" s="3297">
        <v>1</v>
      </c>
      <c r="AE541" s="3297">
        <v>1</v>
      </c>
      <c r="AF541" s="2236">
        <f t="shared" si="65"/>
        <v>1</v>
      </c>
      <c r="AG541" s="213"/>
      <c r="DG541" s="1093"/>
      <c r="DH541" s="188"/>
      <c r="DI541" s="1091"/>
      <c r="DJ541" s="1187"/>
    </row>
    <row r="542" spans="1:114" ht="14.65" customHeight="1" outlineLevel="1">
      <c r="A542" s="453"/>
      <c r="C542" s="51"/>
      <c r="D542" s="4293"/>
      <c r="E542" s="4293"/>
      <c r="F542" s="4292" t="s">
        <v>1812</v>
      </c>
      <c r="G542" s="4292"/>
      <c r="H542" s="4292"/>
      <c r="I542" s="3295" t="str">
        <f t="shared" si="66"/>
        <v>350750_2024_12_</v>
      </c>
      <c r="J542" s="3296">
        <v>1</v>
      </c>
      <c r="K542" s="1442"/>
      <c r="L542" s="1442"/>
      <c r="M542" s="51"/>
      <c r="N542" s="561"/>
      <c r="O542" s="51"/>
      <c r="S542" s="52"/>
      <c r="T542" s="52"/>
      <c r="U542" s="52"/>
      <c r="V542" s="4293"/>
      <c r="W542" s="3297">
        <v>0.65</v>
      </c>
      <c r="X542" s="3298">
        <v>1</v>
      </c>
      <c r="Y542" s="3297">
        <v>1</v>
      </c>
      <c r="Z542" s="3297">
        <v>1</v>
      </c>
      <c r="AA542" s="3297">
        <v>1</v>
      </c>
      <c r="AB542" s="3297">
        <v>1</v>
      </c>
      <c r="AC542" s="3297">
        <v>1</v>
      </c>
      <c r="AD542" s="3297">
        <v>1</v>
      </c>
      <c r="AE542" s="3297">
        <v>1</v>
      </c>
      <c r="AF542" s="2236">
        <f t="shared" si="65"/>
        <v>1</v>
      </c>
      <c r="AG542" s="213"/>
      <c r="DG542" s="1093"/>
      <c r="DH542" s="188"/>
      <c r="DI542" s="1091"/>
      <c r="DJ542" s="1187"/>
    </row>
    <row r="543" spans="1:114" ht="14.65" customHeight="1" outlineLevel="1">
      <c r="A543" s="453"/>
      <c r="C543" s="51"/>
      <c r="D543" s="4293"/>
      <c r="E543" s="4293"/>
      <c r="F543" s="4292" t="s">
        <v>1814</v>
      </c>
      <c r="G543" s="4292"/>
      <c r="H543" s="4292"/>
      <c r="I543" s="3295" t="str">
        <f t="shared" si="66"/>
        <v>350751_2024_12_</v>
      </c>
      <c r="J543" s="3296">
        <v>1</v>
      </c>
      <c r="K543" s="1442"/>
      <c r="L543" s="1442"/>
      <c r="M543" s="51"/>
      <c r="N543" s="561"/>
      <c r="O543" s="51"/>
      <c r="S543" s="52"/>
      <c r="T543" s="52"/>
      <c r="U543" s="52"/>
      <c r="V543" s="4293"/>
      <c r="W543" s="3297"/>
      <c r="X543" s="3298"/>
      <c r="Y543" s="3297">
        <v>1</v>
      </c>
      <c r="Z543" s="3297">
        <v>1</v>
      </c>
      <c r="AA543" s="3297">
        <v>1</v>
      </c>
      <c r="AB543" s="3297">
        <v>1</v>
      </c>
      <c r="AC543" s="3297">
        <v>1</v>
      </c>
      <c r="AD543" s="3297">
        <v>1</v>
      </c>
      <c r="AE543" s="3297">
        <v>1</v>
      </c>
      <c r="AF543" s="2236">
        <f t="shared" si="65"/>
        <v>1</v>
      </c>
      <c r="AG543" s="213"/>
      <c r="DG543" s="1093"/>
      <c r="DH543" s="188"/>
      <c r="DI543" s="1091"/>
      <c r="DJ543" s="1187"/>
    </row>
    <row r="544" spans="1:114" ht="14.65" customHeight="1" outlineLevel="1">
      <c r="A544" s="453"/>
      <c r="C544" s="51"/>
      <c r="D544" s="4293"/>
      <c r="E544" s="4293"/>
      <c r="F544" s="4338" t="s">
        <v>1816</v>
      </c>
      <c r="G544" s="4338"/>
      <c r="H544" s="4338"/>
      <c r="I544" s="927" t="str">
        <f t="shared" si="66"/>
        <v>350800_2024_12_</v>
      </c>
      <c r="J544" s="1785">
        <v>1</v>
      </c>
      <c r="K544" s="1442"/>
      <c r="L544" s="1442"/>
      <c r="M544" s="51"/>
      <c r="N544" s="561"/>
      <c r="O544" s="51"/>
      <c r="S544" s="52"/>
      <c r="T544" s="52"/>
      <c r="U544" s="52"/>
      <c r="V544" s="4293"/>
      <c r="W544" s="213">
        <v>1</v>
      </c>
      <c r="X544" s="213">
        <f>W544</f>
        <v>1</v>
      </c>
      <c r="Y544" s="213">
        <v>1</v>
      </c>
      <c r="Z544" s="213">
        <v>1</v>
      </c>
      <c r="AA544" s="213">
        <v>1</v>
      </c>
      <c r="AB544" s="213">
        <v>1</v>
      </c>
      <c r="AC544" s="213">
        <v>1</v>
      </c>
      <c r="AD544" s="213">
        <v>1</v>
      </c>
      <c r="AE544" s="213">
        <v>1</v>
      </c>
      <c r="AF544" s="271">
        <f t="shared" si="65"/>
        <v>1</v>
      </c>
      <c r="AG544" s="213"/>
      <c r="DG544" s="1093"/>
      <c r="DH544" s="188"/>
      <c r="DI544" s="1091"/>
      <c r="DJ544" s="1187"/>
    </row>
    <row r="545" spans="1:114" ht="14.65" customHeight="1" outlineLevel="1">
      <c r="A545" s="453"/>
      <c r="C545" s="51"/>
      <c r="D545" s="4293"/>
      <c r="E545" s="4293"/>
      <c r="F545" s="4338" t="s">
        <v>1817</v>
      </c>
      <c r="G545" s="4338"/>
      <c r="H545" s="4338"/>
      <c r="I545" s="927" t="str">
        <f t="shared" si="66"/>
        <v>350800_2024_12_</v>
      </c>
      <c r="J545" s="1785">
        <v>1</v>
      </c>
      <c r="K545" s="1442"/>
      <c r="L545" s="1442"/>
      <c r="M545" s="51"/>
      <c r="N545" s="561"/>
      <c r="O545" s="51"/>
      <c r="S545" s="52"/>
      <c r="T545" s="52"/>
      <c r="U545" s="52"/>
      <c r="V545" s="4293"/>
      <c r="W545" s="213">
        <v>1</v>
      </c>
      <c r="X545" s="213">
        <f>W545</f>
        <v>1</v>
      </c>
      <c r="Y545" s="213">
        <v>1</v>
      </c>
      <c r="Z545" s="213">
        <v>1</v>
      </c>
      <c r="AA545" s="213">
        <v>1</v>
      </c>
      <c r="AB545" s="213">
        <v>1</v>
      </c>
      <c r="AC545" s="213">
        <v>1</v>
      </c>
      <c r="AD545" s="213">
        <v>1</v>
      </c>
      <c r="AE545" s="213">
        <v>1</v>
      </c>
      <c r="AF545" s="271">
        <f t="shared" si="65"/>
        <v>1</v>
      </c>
      <c r="AG545" s="213"/>
      <c r="DG545" s="1093"/>
      <c r="DH545" s="188"/>
      <c r="DI545" s="1091"/>
      <c r="DJ545" s="1187"/>
    </row>
    <row r="546" spans="1:114" ht="14.65" customHeight="1" outlineLevel="1">
      <c r="A546" s="453"/>
      <c r="C546" s="51"/>
      <c r="D546" s="4293"/>
      <c r="E546" s="4293"/>
      <c r="F546" s="4338" t="s">
        <v>1819</v>
      </c>
      <c r="G546" s="4338"/>
      <c r="H546" s="4338"/>
      <c r="I546" s="927" t="str">
        <f t="shared" si="66"/>
        <v>350850_2024_12_</v>
      </c>
      <c r="J546" s="1785">
        <v>1</v>
      </c>
      <c r="K546" s="1442"/>
      <c r="L546" s="1442"/>
      <c r="M546" s="51"/>
      <c r="N546" s="561"/>
      <c r="O546" s="51"/>
      <c r="S546" s="52"/>
      <c r="T546" s="52"/>
      <c r="U546" s="52"/>
      <c r="V546" s="4293"/>
      <c r="W546" s="213">
        <v>1</v>
      </c>
      <c r="X546" s="213">
        <f>W546</f>
        <v>1</v>
      </c>
      <c r="Y546" s="213">
        <v>1</v>
      </c>
      <c r="Z546" s="213">
        <v>1</v>
      </c>
      <c r="AA546" s="213">
        <v>1</v>
      </c>
      <c r="AB546" s="213">
        <v>1</v>
      </c>
      <c r="AC546" s="213">
        <v>1</v>
      </c>
      <c r="AD546" s="213">
        <v>1</v>
      </c>
      <c r="AE546" s="213">
        <v>1</v>
      </c>
      <c r="AF546" s="271">
        <f t="shared" si="65"/>
        <v>1</v>
      </c>
      <c r="AG546" s="213"/>
      <c r="DG546" s="1093"/>
      <c r="DH546" s="188"/>
      <c r="DI546" s="1091"/>
      <c r="DJ546" s="1187"/>
    </row>
    <row r="547" spans="1:114" ht="14.65" customHeight="1" outlineLevel="1">
      <c r="A547" s="453"/>
      <c r="C547" s="51"/>
      <c r="D547" s="4293"/>
      <c r="E547" s="4293"/>
      <c r="F547" s="4338" t="s">
        <v>1821</v>
      </c>
      <c r="G547" s="4338"/>
      <c r="H547" s="4338"/>
      <c r="I547" s="927" t="str">
        <f t="shared" si="66"/>
        <v>350900_2024_12_</v>
      </c>
      <c r="J547" s="1785">
        <v>1</v>
      </c>
      <c r="K547" s="1442"/>
      <c r="L547" s="1442"/>
      <c r="M547" s="51"/>
      <c r="N547" s="561"/>
      <c r="O547" s="51"/>
      <c r="S547" s="52"/>
      <c r="T547" s="52"/>
      <c r="U547" s="52"/>
      <c r="V547" s="4293"/>
      <c r="W547" s="213">
        <v>0.65</v>
      </c>
      <c r="X547" s="214">
        <v>1</v>
      </c>
      <c r="Y547" s="213">
        <v>1</v>
      </c>
      <c r="Z547" s="213">
        <v>1</v>
      </c>
      <c r="AA547" s="213">
        <v>1</v>
      </c>
      <c r="AB547" s="213">
        <v>1</v>
      </c>
      <c r="AC547" s="213">
        <v>1</v>
      </c>
      <c r="AD547" s="213">
        <v>1</v>
      </c>
      <c r="AE547" s="213">
        <v>1</v>
      </c>
      <c r="AF547" s="271">
        <f t="shared" si="65"/>
        <v>1</v>
      </c>
      <c r="AG547" s="213"/>
      <c r="DG547" s="1093"/>
      <c r="DH547" s="188"/>
      <c r="DI547" s="1091"/>
      <c r="DJ547" s="1187"/>
    </row>
    <row r="548" spans="1:114" ht="14.65" customHeight="1" outlineLevel="1">
      <c r="A548" s="453"/>
      <c r="C548" s="51"/>
      <c r="D548" s="4293"/>
      <c r="E548" s="4293"/>
      <c r="F548" s="4338" t="s">
        <v>1822</v>
      </c>
      <c r="G548" s="4338"/>
      <c r="H548" s="4338"/>
      <c r="I548" s="927" t="str">
        <f t="shared" si="66"/>
        <v>350900_2024_12_</v>
      </c>
      <c r="J548" s="1785">
        <v>1</v>
      </c>
      <c r="K548" s="1442"/>
      <c r="L548" s="1442"/>
      <c r="M548" s="51"/>
      <c r="N548" s="561"/>
      <c r="O548" s="51"/>
      <c r="S548" s="52"/>
      <c r="T548" s="52"/>
      <c r="U548" s="52"/>
      <c r="V548" s="4293"/>
      <c r="W548" s="213">
        <v>0.65</v>
      </c>
      <c r="X548" s="214">
        <v>1</v>
      </c>
      <c r="Y548" s="213">
        <v>1</v>
      </c>
      <c r="Z548" s="213">
        <v>1</v>
      </c>
      <c r="AA548" s="213">
        <v>1</v>
      </c>
      <c r="AB548" s="213">
        <v>1</v>
      </c>
      <c r="AC548" s="213">
        <v>1</v>
      </c>
      <c r="AD548" s="213">
        <v>1</v>
      </c>
      <c r="AE548" s="213">
        <v>1</v>
      </c>
      <c r="AF548" s="271">
        <f t="shared" si="65"/>
        <v>1</v>
      </c>
      <c r="AG548" s="213"/>
      <c r="DG548" s="1093"/>
      <c r="DH548" s="188"/>
      <c r="DI548" s="1091"/>
      <c r="DJ548" s="1187"/>
    </row>
    <row r="549" spans="1:114" ht="14.65" customHeight="1" outlineLevel="1">
      <c r="A549" s="453"/>
      <c r="C549" s="51"/>
      <c r="D549" s="4293"/>
      <c r="E549" s="4293"/>
      <c r="F549" s="4292" t="s">
        <v>1824</v>
      </c>
      <c r="G549" s="4292"/>
      <c r="H549" s="4292"/>
      <c r="I549" s="3295" t="str">
        <f t="shared" si="66"/>
        <v>350901_2024_12_</v>
      </c>
      <c r="J549" s="3296">
        <v>1</v>
      </c>
      <c r="K549" s="1442"/>
      <c r="L549" s="1442"/>
      <c r="M549" s="51"/>
      <c r="N549" s="561"/>
      <c r="O549" s="51"/>
      <c r="S549" s="52"/>
      <c r="T549" s="52"/>
      <c r="U549" s="52"/>
      <c r="V549" s="4293"/>
      <c r="W549" s="3297"/>
      <c r="X549" s="3298"/>
      <c r="Y549" s="3297">
        <v>1</v>
      </c>
      <c r="Z549" s="3297">
        <v>1</v>
      </c>
      <c r="AA549" s="3297">
        <v>1</v>
      </c>
      <c r="AB549" s="3297">
        <v>1</v>
      </c>
      <c r="AC549" s="3297">
        <v>1</v>
      </c>
      <c r="AD549" s="3297">
        <v>1</v>
      </c>
      <c r="AE549" s="3297">
        <v>1</v>
      </c>
      <c r="AF549" s="2236">
        <f t="shared" si="65"/>
        <v>1</v>
      </c>
      <c r="AG549" s="213"/>
      <c r="DG549" s="1093"/>
      <c r="DH549" s="188"/>
      <c r="DI549" s="1091"/>
      <c r="DJ549" s="1187"/>
    </row>
    <row r="550" spans="1:114" ht="14.65" customHeight="1" outlineLevel="1">
      <c r="A550" s="453"/>
      <c r="C550" s="51"/>
      <c r="D550" s="4293"/>
      <c r="E550" s="4293"/>
      <c r="F550" s="4292" t="s">
        <v>1825</v>
      </c>
      <c r="G550" s="4292"/>
      <c r="H550" s="4292"/>
      <c r="I550" s="3295" t="str">
        <f t="shared" si="66"/>
        <v>350901_2024_12_</v>
      </c>
      <c r="J550" s="3296">
        <v>1</v>
      </c>
      <c r="K550" s="1442"/>
      <c r="L550" s="1442"/>
      <c r="M550" s="51"/>
      <c r="N550" s="561"/>
      <c r="O550" s="51"/>
      <c r="S550" s="52"/>
      <c r="T550" s="52"/>
      <c r="U550" s="52"/>
      <c r="V550" s="4293"/>
      <c r="W550" s="3297"/>
      <c r="X550" s="3298"/>
      <c r="Y550" s="3297">
        <v>1</v>
      </c>
      <c r="Z550" s="3297">
        <v>1</v>
      </c>
      <c r="AA550" s="3297">
        <v>1</v>
      </c>
      <c r="AB550" s="3297">
        <v>1</v>
      </c>
      <c r="AC550" s="3297">
        <v>1</v>
      </c>
      <c r="AD550" s="3297">
        <v>1</v>
      </c>
      <c r="AE550" s="3297">
        <v>1</v>
      </c>
      <c r="AF550" s="2236">
        <f t="shared" ref="AF550:AF613" si="67">IF(J550&lt;&gt;"",J550,"")</f>
        <v>1</v>
      </c>
      <c r="AG550" s="213"/>
      <c r="DG550" s="1093"/>
      <c r="DH550" s="188"/>
      <c r="DI550" s="1091"/>
      <c r="DJ550" s="1187"/>
    </row>
    <row r="551" spans="1:114" ht="14.65" customHeight="1" outlineLevel="1">
      <c r="A551" s="453"/>
      <c r="C551" s="51"/>
      <c r="D551" s="4293"/>
      <c r="E551" s="4293"/>
      <c r="F551" s="4292" t="s">
        <v>1827</v>
      </c>
      <c r="G551" s="4292"/>
      <c r="H551" s="4292"/>
      <c r="I551" s="3295" t="str">
        <f t="shared" si="66"/>
        <v>350950_2024_12_</v>
      </c>
      <c r="J551" s="3296">
        <v>1</v>
      </c>
      <c r="K551" s="1442"/>
      <c r="L551" s="1442"/>
      <c r="M551" s="51"/>
      <c r="N551" s="561"/>
      <c r="O551" s="51"/>
      <c r="S551" s="52"/>
      <c r="T551" s="52"/>
      <c r="U551" s="52"/>
      <c r="V551" s="4293"/>
      <c r="W551" s="3297">
        <v>0.65</v>
      </c>
      <c r="X551" s="3298">
        <v>1</v>
      </c>
      <c r="Y551" s="3297">
        <v>1</v>
      </c>
      <c r="Z551" s="3297">
        <v>1</v>
      </c>
      <c r="AA551" s="3297">
        <v>1</v>
      </c>
      <c r="AB551" s="3297">
        <v>1</v>
      </c>
      <c r="AC551" s="3297">
        <v>1</v>
      </c>
      <c r="AD551" s="3297">
        <v>1</v>
      </c>
      <c r="AE551" s="3297">
        <v>1</v>
      </c>
      <c r="AF551" s="2236">
        <f t="shared" si="67"/>
        <v>1</v>
      </c>
      <c r="AG551" s="213"/>
      <c r="DG551" s="1093"/>
      <c r="DH551" s="188"/>
      <c r="DI551" s="1091"/>
      <c r="DJ551" s="1187"/>
    </row>
    <row r="552" spans="1:114" ht="14.65" customHeight="1" outlineLevel="1">
      <c r="A552" s="453"/>
      <c r="C552" s="51"/>
      <c r="D552" s="4293"/>
      <c r="E552" s="4293"/>
      <c r="F552" s="4292" t="s">
        <v>1829</v>
      </c>
      <c r="G552" s="4292"/>
      <c r="H552" s="4292"/>
      <c r="I552" s="3295" t="str">
        <f t="shared" si="66"/>
        <v>350951_2024_12_</v>
      </c>
      <c r="J552" s="3296">
        <v>1</v>
      </c>
      <c r="K552" s="1442"/>
      <c r="L552" s="1442"/>
      <c r="M552" s="51"/>
      <c r="N552" s="561"/>
      <c r="O552" s="51"/>
      <c r="S552" s="52"/>
      <c r="T552" s="52"/>
      <c r="U552" s="52"/>
      <c r="V552" s="4293"/>
      <c r="W552" s="3297"/>
      <c r="X552" s="3298"/>
      <c r="Y552" s="3297">
        <v>1</v>
      </c>
      <c r="Z552" s="3297">
        <v>1</v>
      </c>
      <c r="AA552" s="3297">
        <v>1</v>
      </c>
      <c r="AB552" s="3297">
        <v>1</v>
      </c>
      <c r="AC552" s="3297">
        <v>1</v>
      </c>
      <c r="AD552" s="3297">
        <v>1</v>
      </c>
      <c r="AE552" s="3297">
        <v>1</v>
      </c>
      <c r="AF552" s="2236">
        <f t="shared" si="67"/>
        <v>1</v>
      </c>
      <c r="AG552" s="213"/>
      <c r="DG552" s="1093"/>
      <c r="DH552" s="188"/>
      <c r="DI552" s="1091"/>
      <c r="DJ552" s="1187"/>
    </row>
    <row r="553" spans="1:114" ht="14.65" customHeight="1" outlineLevel="1">
      <c r="A553" s="453"/>
      <c r="C553" s="51"/>
      <c r="D553" s="4293"/>
      <c r="E553" s="4293"/>
      <c r="F553" s="4338" t="s">
        <v>1831</v>
      </c>
      <c r="G553" s="4338"/>
      <c r="H553" s="4338"/>
      <c r="I553" s="927" t="str">
        <f t="shared" si="66"/>
        <v>351000_2024_12_</v>
      </c>
      <c r="J553" s="1785">
        <v>1</v>
      </c>
      <c r="K553" s="1442"/>
      <c r="L553" s="1442"/>
      <c r="M553" s="51"/>
      <c r="N553" s="561"/>
      <c r="O553" s="51"/>
      <c r="S553" s="52"/>
      <c r="T553" s="52"/>
      <c r="U553" s="52"/>
      <c r="V553" s="4293"/>
      <c r="W553" s="213">
        <v>1</v>
      </c>
      <c r="X553" s="213">
        <f>W553</f>
        <v>1</v>
      </c>
      <c r="Y553" s="213">
        <v>1</v>
      </c>
      <c r="Z553" s="213">
        <v>1</v>
      </c>
      <c r="AA553" s="213">
        <v>1</v>
      </c>
      <c r="AB553" s="213">
        <v>1</v>
      </c>
      <c r="AC553" s="213">
        <v>1</v>
      </c>
      <c r="AD553" s="213">
        <v>1</v>
      </c>
      <c r="AE553" s="213">
        <v>1</v>
      </c>
      <c r="AF553" s="271">
        <f t="shared" si="67"/>
        <v>1</v>
      </c>
      <c r="AG553" s="213"/>
      <c r="DG553" s="1093"/>
      <c r="DH553" s="188"/>
      <c r="DI553" s="1091"/>
      <c r="DJ553" s="1187"/>
    </row>
    <row r="554" spans="1:114" ht="14.65" customHeight="1" outlineLevel="1">
      <c r="A554" s="453"/>
      <c r="C554" s="51"/>
      <c r="D554" s="4293"/>
      <c r="E554" s="4293"/>
      <c r="F554" s="4338" t="s">
        <v>1832</v>
      </c>
      <c r="G554" s="4338"/>
      <c r="H554" s="4338"/>
      <c r="I554" s="927" t="str">
        <f t="shared" si="66"/>
        <v>351000_2024_12_</v>
      </c>
      <c r="J554" s="1785">
        <v>1</v>
      </c>
      <c r="K554" s="1442"/>
      <c r="L554" s="1442"/>
      <c r="M554" s="51"/>
      <c r="N554" s="561"/>
      <c r="O554" s="51"/>
      <c r="S554" s="52"/>
      <c r="T554" s="52"/>
      <c r="U554" s="52"/>
      <c r="V554" s="4293"/>
      <c r="W554" s="213">
        <v>1</v>
      </c>
      <c r="X554" s="213">
        <f>W554</f>
        <v>1</v>
      </c>
      <c r="Y554" s="213">
        <v>1</v>
      </c>
      <c r="Z554" s="213">
        <v>1</v>
      </c>
      <c r="AA554" s="213">
        <v>1</v>
      </c>
      <c r="AB554" s="213">
        <v>1</v>
      </c>
      <c r="AC554" s="213">
        <v>1</v>
      </c>
      <c r="AD554" s="213">
        <v>1</v>
      </c>
      <c r="AE554" s="213">
        <v>1</v>
      </c>
      <c r="AF554" s="271">
        <f t="shared" si="67"/>
        <v>1</v>
      </c>
      <c r="AG554" s="213"/>
      <c r="DG554" s="1093"/>
      <c r="DH554" s="188"/>
      <c r="DI554" s="1091"/>
      <c r="DJ554" s="1187"/>
    </row>
    <row r="555" spans="1:114" ht="14.65" customHeight="1" outlineLevel="1">
      <c r="A555" s="453"/>
      <c r="C555" s="51"/>
      <c r="D555" s="4293"/>
      <c r="E555" s="4293"/>
      <c r="F555" s="4338" t="s">
        <v>1834</v>
      </c>
      <c r="G555" s="4338"/>
      <c r="H555" s="4338"/>
      <c r="I555" s="927" t="str">
        <f t="shared" si="66"/>
        <v>351050_2024_12_</v>
      </c>
      <c r="J555" s="1785">
        <v>1</v>
      </c>
      <c r="K555" s="1442"/>
      <c r="L555" s="1442"/>
      <c r="M555" s="51"/>
      <c r="N555" s="561"/>
      <c r="O555" s="51"/>
      <c r="S555" s="52"/>
      <c r="T555" s="52"/>
      <c r="U555" s="52"/>
      <c r="V555" s="4293"/>
      <c r="W555" s="213">
        <v>1</v>
      </c>
      <c r="X555" s="213">
        <f>W555</f>
        <v>1</v>
      </c>
      <c r="Y555" s="213">
        <v>1</v>
      </c>
      <c r="Z555" s="213">
        <v>1</v>
      </c>
      <c r="AA555" s="213">
        <v>1</v>
      </c>
      <c r="AB555" s="213">
        <v>1</v>
      </c>
      <c r="AC555" s="213">
        <v>1</v>
      </c>
      <c r="AD555" s="213">
        <v>1</v>
      </c>
      <c r="AE555" s="213">
        <v>1</v>
      </c>
      <c r="AF555" s="271">
        <f t="shared" si="67"/>
        <v>1</v>
      </c>
      <c r="AG555" s="213"/>
      <c r="DG555" s="1093"/>
      <c r="DH555" s="188"/>
      <c r="DI555" s="1091"/>
      <c r="DJ555" s="1187"/>
    </row>
    <row r="556" spans="1:114" ht="14.65" customHeight="1" outlineLevel="1">
      <c r="A556" s="453"/>
      <c r="C556" s="51"/>
      <c r="D556" s="4293"/>
      <c r="E556" s="4293"/>
      <c r="F556" s="4292" t="s">
        <v>1836</v>
      </c>
      <c r="G556" s="4292"/>
      <c r="H556" s="4292"/>
      <c r="I556" s="3295" t="str">
        <f t="shared" si="66"/>
        <v>351100_2024_12_</v>
      </c>
      <c r="J556" s="3296">
        <v>1</v>
      </c>
      <c r="K556" s="1442"/>
      <c r="L556" s="1442"/>
      <c r="M556" s="51"/>
      <c r="N556" s="561"/>
      <c r="O556" s="51"/>
      <c r="S556" s="52"/>
      <c r="T556" s="52"/>
      <c r="U556" s="52"/>
      <c r="V556" s="4293"/>
      <c r="W556" s="3297">
        <v>0.65</v>
      </c>
      <c r="X556" s="3298">
        <v>1</v>
      </c>
      <c r="Y556" s="3297">
        <v>1</v>
      </c>
      <c r="Z556" s="3297">
        <v>1</v>
      </c>
      <c r="AA556" s="3297">
        <v>1</v>
      </c>
      <c r="AB556" s="3297">
        <v>1</v>
      </c>
      <c r="AC556" s="3297">
        <v>1</v>
      </c>
      <c r="AD556" s="3297">
        <v>1</v>
      </c>
      <c r="AE556" s="3297">
        <v>1</v>
      </c>
      <c r="AF556" s="2236">
        <f t="shared" si="67"/>
        <v>1</v>
      </c>
      <c r="AG556" s="213"/>
      <c r="DG556" s="1093"/>
      <c r="DH556" s="188"/>
      <c r="DI556" s="1091"/>
      <c r="DJ556" s="1187"/>
    </row>
    <row r="557" spans="1:114" ht="14.65" customHeight="1" outlineLevel="1">
      <c r="A557" s="453"/>
      <c r="C557" s="51"/>
      <c r="D557" s="4293"/>
      <c r="E557" s="4293"/>
      <c r="F557" s="4292" t="s">
        <v>1837</v>
      </c>
      <c r="G557" s="4292"/>
      <c r="H557" s="4292"/>
      <c r="I557" s="3295" t="str">
        <f t="shared" si="66"/>
        <v>351100_2024_12_</v>
      </c>
      <c r="J557" s="3296">
        <v>1</v>
      </c>
      <c r="K557" s="1442"/>
      <c r="L557" s="1442"/>
      <c r="M557" s="51"/>
      <c r="N557" s="561"/>
      <c r="O557" s="51"/>
      <c r="S557" s="52"/>
      <c r="T557" s="52"/>
      <c r="U557" s="52"/>
      <c r="V557" s="4293"/>
      <c r="W557" s="3297">
        <v>0.65</v>
      </c>
      <c r="X557" s="3298">
        <v>1</v>
      </c>
      <c r="Y557" s="3297">
        <v>1</v>
      </c>
      <c r="Z557" s="3297">
        <v>1</v>
      </c>
      <c r="AA557" s="3297">
        <v>1</v>
      </c>
      <c r="AB557" s="3297">
        <v>1</v>
      </c>
      <c r="AC557" s="3297">
        <v>1</v>
      </c>
      <c r="AD557" s="3297">
        <v>1</v>
      </c>
      <c r="AE557" s="3297">
        <v>1</v>
      </c>
      <c r="AF557" s="2236">
        <f t="shared" si="67"/>
        <v>1</v>
      </c>
      <c r="AG557" s="213"/>
      <c r="DG557" s="1093"/>
      <c r="DH557" s="188"/>
      <c r="DI557" s="1091"/>
      <c r="DJ557" s="1187"/>
    </row>
    <row r="558" spans="1:114" ht="14.65" customHeight="1" outlineLevel="1">
      <c r="A558" s="453"/>
      <c r="C558" s="51"/>
      <c r="D558" s="4293"/>
      <c r="E558" s="4293"/>
      <c r="F558" s="4292" t="s">
        <v>1839</v>
      </c>
      <c r="G558" s="4292"/>
      <c r="H558" s="4292"/>
      <c r="I558" s="3295" t="str">
        <f t="shared" ref="I558:I597" si="68">I486</f>
        <v>351101_2024_12_</v>
      </c>
      <c r="J558" s="3296">
        <v>1</v>
      </c>
      <c r="K558" s="1442"/>
      <c r="L558" s="1442"/>
      <c r="M558" s="51"/>
      <c r="N558" s="561"/>
      <c r="O558" s="51"/>
      <c r="S558" s="52"/>
      <c r="T558" s="52"/>
      <c r="U558" s="52"/>
      <c r="V558" s="4293"/>
      <c r="W558" s="3297"/>
      <c r="X558" s="3298"/>
      <c r="Y558" s="3297">
        <v>1</v>
      </c>
      <c r="Z558" s="3297">
        <v>1</v>
      </c>
      <c r="AA558" s="3297">
        <v>1</v>
      </c>
      <c r="AB558" s="3297">
        <v>1</v>
      </c>
      <c r="AC558" s="3297">
        <v>1</v>
      </c>
      <c r="AD558" s="3297">
        <v>1</v>
      </c>
      <c r="AE558" s="3297">
        <v>1</v>
      </c>
      <c r="AF558" s="2236">
        <f t="shared" si="67"/>
        <v>1</v>
      </c>
      <c r="AG558" s="213"/>
      <c r="DG558" s="1093"/>
      <c r="DH558" s="188"/>
      <c r="DI558" s="1091"/>
      <c r="DJ558" s="1187"/>
    </row>
    <row r="559" spans="1:114" ht="14.65" customHeight="1" outlineLevel="1">
      <c r="A559" s="453"/>
      <c r="C559" s="51"/>
      <c r="D559" s="4293"/>
      <c r="E559" s="4293"/>
      <c r="F559" s="4292" t="s">
        <v>1840</v>
      </c>
      <c r="G559" s="4292"/>
      <c r="H559" s="4292"/>
      <c r="I559" s="3295" t="str">
        <f t="shared" si="68"/>
        <v>351101_2024_12_</v>
      </c>
      <c r="J559" s="3296">
        <v>1</v>
      </c>
      <c r="K559" s="1442"/>
      <c r="L559" s="1442"/>
      <c r="M559" s="51"/>
      <c r="N559" s="561"/>
      <c r="O559" s="51"/>
      <c r="S559" s="52"/>
      <c r="T559" s="52"/>
      <c r="U559" s="52"/>
      <c r="V559" s="4293"/>
      <c r="W559" s="3297"/>
      <c r="X559" s="3298"/>
      <c r="Y559" s="3297">
        <v>1</v>
      </c>
      <c r="Z559" s="3297">
        <v>1</v>
      </c>
      <c r="AA559" s="3297">
        <v>1</v>
      </c>
      <c r="AB559" s="3297">
        <v>1</v>
      </c>
      <c r="AC559" s="3297">
        <v>1</v>
      </c>
      <c r="AD559" s="3297">
        <v>1</v>
      </c>
      <c r="AE559" s="3297">
        <v>1</v>
      </c>
      <c r="AF559" s="2236">
        <f t="shared" si="67"/>
        <v>1</v>
      </c>
      <c r="AG559" s="213"/>
      <c r="DG559" s="1093"/>
      <c r="DH559" s="188"/>
      <c r="DI559" s="1091"/>
      <c r="DJ559" s="1187"/>
    </row>
    <row r="560" spans="1:114" ht="14.65" customHeight="1" outlineLevel="1">
      <c r="A560" s="453"/>
      <c r="C560" s="51"/>
      <c r="D560" s="4293"/>
      <c r="E560" s="4293"/>
      <c r="F560" s="4292" t="s">
        <v>1842</v>
      </c>
      <c r="G560" s="4292"/>
      <c r="H560" s="4292"/>
      <c r="I560" s="3295" t="str">
        <f t="shared" si="68"/>
        <v>351150_2024_12_</v>
      </c>
      <c r="J560" s="3296">
        <v>1</v>
      </c>
      <c r="K560" s="1442"/>
      <c r="L560" s="1442"/>
      <c r="M560" s="51"/>
      <c r="N560" s="561"/>
      <c r="O560" s="51"/>
      <c r="S560" s="52"/>
      <c r="T560" s="52"/>
      <c r="U560" s="52"/>
      <c r="V560" s="4293"/>
      <c r="W560" s="3297">
        <v>0.65</v>
      </c>
      <c r="X560" s="3298">
        <v>1</v>
      </c>
      <c r="Y560" s="3297">
        <v>1</v>
      </c>
      <c r="Z560" s="3297">
        <v>1</v>
      </c>
      <c r="AA560" s="3297">
        <v>1</v>
      </c>
      <c r="AB560" s="3297">
        <v>1</v>
      </c>
      <c r="AC560" s="3297">
        <v>1</v>
      </c>
      <c r="AD560" s="3297">
        <v>1</v>
      </c>
      <c r="AE560" s="3297">
        <v>1</v>
      </c>
      <c r="AF560" s="2236">
        <f t="shared" si="67"/>
        <v>1</v>
      </c>
      <c r="AG560" s="213"/>
      <c r="DG560" s="1093"/>
      <c r="DH560" s="188"/>
      <c r="DI560" s="1091"/>
      <c r="DJ560" s="1187"/>
    </row>
    <row r="561" spans="1:114" ht="14.65" customHeight="1" outlineLevel="1">
      <c r="A561" s="453"/>
      <c r="C561" s="51"/>
      <c r="D561" s="4199"/>
      <c r="E561" s="4199"/>
      <c r="F561" s="4292" t="s">
        <v>1844</v>
      </c>
      <c r="G561" s="4292"/>
      <c r="H561" s="4292"/>
      <c r="I561" s="3295" t="str">
        <f t="shared" si="68"/>
        <v>351151_2024_12_</v>
      </c>
      <c r="J561" s="3296">
        <v>1</v>
      </c>
      <c r="K561" s="1442"/>
      <c r="L561" s="1442"/>
      <c r="M561" s="51"/>
      <c r="N561" s="561"/>
      <c r="O561" s="51"/>
      <c r="S561" s="52"/>
      <c r="T561" s="52"/>
      <c r="U561" s="52"/>
      <c r="V561" s="4199"/>
      <c r="W561" s="3297"/>
      <c r="X561" s="3298"/>
      <c r="Y561" s="3297">
        <v>1</v>
      </c>
      <c r="Z561" s="3297">
        <v>1</v>
      </c>
      <c r="AA561" s="3297">
        <v>1</v>
      </c>
      <c r="AB561" s="3297">
        <v>1</v>
      </c>
      <c r="AC561" s="3297">
        <v>1</v>
      </c>
      <c r="AD561" s="3297">
        <v>1</v>
      </c>
      <c r="AE561" s="3297">
        <v>1</v>
      </c>
      <c r="AF561" s="2236">
        <f t="shared" si="67"/>
        <v>1</v>
      </c>
      <c r="AG561" s="213"/>
      <c r="DG561" s="1093"/>
      <c r="DH561" s="188"/>
      <c r="DI561" s="1091"/>
      <c r="DJ561" s="1187"/>
    </row>
    <row r="562" spans="1:114" ht="14.65" customHeight="1" outlineLevel="1">
      <c r="A562" s="453"/>
      <c r="C562" s="51"/>
      <c r="D562" s="4199"/>
      <c r="E562" s="4199"/>
      <c r="F562" s="4338" t="s">
        <v>1846</v>
      </c>
      <c r="G562" s="4338"/>
      <c r="H562" s="4338"/>
      <c r="I562" s="927" t="str">
        <f t="shared" si="68"/>
        <v>351160_2024_12_</v>
      </c>
      <c r="J562" s="1785">
        <v>1</v>
      </c>
      <c r="K562" s="1442"/>
      <c r="L562" s="1442"/>
      <c r="M562" s="51"/>
      <c r="N562" s="561"/>
      <c r="O562" s="51"/>
      <c r="S562" s="52"/>
      <c r="T562" s="52"/>
      <c r="U562" s="52"/>
      <c r="V562" s="4199"/>
      <c r="W562" s="213"/>
      <c r="X562" s="213"/>
      <c r="Y562" s="213"/>
      <c r="Z562" s="214">
        <v>1</v>
      </c>
      <c r="AA562" s="213">
        <v>1</v>
      </c>
      <c r="AB562" s="213">
        <v>1</v>
      </c>
      <c r="AC562" s="213">
        <v>1</v>
      </c>
      <c r="AD562" s="213">
        <v>1</v>
      </c>
      <c r="AE562" s="213">
        <v>1</v>
      </c>
      <c r="AF562" s="271">
        <f t="shared" si="67"/>
        <v>1</v>
      </c>
      <c r="AG562" s="213"/>
      <c r="DG562" s="1093"/>
      <c r="DH562" s="188"/>
      <c r="DI562" s="1091"/>
      <c r="DJ562" s="1187"/>
    </row>
    <row r="563" spans="1:114" ht="14.65" customHeight="1" outlineLevel="1">
      <c r="A563" s="453"/>
      <c r="C563" s="51"/>
      <c r="D563" s="4199"/>
      <c r="E563" s="4199"/>
      <c r="F563" s="4338" t="s">
        <v>1847</v>
      </c>
      <c r="G563" s="4338"/>
      <c r="H563" s="4338"/>
      <c r="I563" s="927" t="str">
        <f t="shared" si="68"/>
        <v>351160_2024_12_</v>
      </c>
      <c r="J563" s="1785">
        <v>1</v>
      </c>
      <c r="K563" s="1442"/>
      <c r="L563" s="1442"/>
      <c r="M563" s="51"/>
      <c r="N563" s="561"/>
      <c r="O563" s="51"/>
      <c r="S563" s="52"/>
      <c r="T563" s="52"/>
      <c r="U563" s="52"/>
      <c r="V563" s="4199"/>
      <c r="W563" s="213"/>
      <c r="X563" s="213"/>
      <c r="Y563" s="213"/>
      <c r="Z563" s="214">
        <v>1</v>
      </c>
      <c r="AA563" s="213">
        <v>1</v>
      </c>
      <c r="AB563" s="213">
        <v>1</v>
      </c>
      <c r="AC563" s="213">
        <v>1</v>
      </c>
      <c r="AD563" s="213">
        <v>1</v>
      </c>
      <c r="AE563" s="213">
        <v>1</v>
      </c>
      <c r="AF563" s="271">
        <f t="shared" si="67"/>
        <v>1</v>
      </c>
      <c r="AG563" s="213"/>
      <c r="DG563" s="1093"/>
      <c r="DH563" s="188"/>
      <c r="DI563" s="1091"/>
      <c r="DJ563" s="1187"/>
    </row>
    <row r="564" spans="1:114" ht="14.65" customHeight="1" outlineLevel="1">
      <c r="A564" s="453"/>
      <c r="C564" s="51"/>
      <c r="D564" s="4199"/>
      <c r="E564" s="4199"/>
      <c r="F564" s="4338" t="s">
        <v>1849</v>
      </c>
      <c r="G564" s="4338"/>
      <c r="H564" s="4338"/>
      <c r="I564" s="927" t="str">
        <f t="shared" si="68"/>
        <v>351161_2024_12_</v>
      </c>
      <c r="J564" s="1785">
        <v>1</v>
      </c>
      <c r="K564" s="1442"/>
      <c r="L564" s="1442"/>
      <c r="M564" s="51"/>
      <c r="N564" s="561"/>
      <c r="O564" s="51"/>
      <c r="S564" s="52"/>
      <c r="T564" s="52"/>
      <c r="U564" s="52"/>
      <c r="V564" s="4199"/>
      <c r="W564" s="213"/>
      <c r="X564" s="213"/>
      <c r="Y564" s="213"/>
      <c r="Z564" s="214">
        <v>1</v>
      </c>
      <c r="AA564" s="213">
        <v>1</v>
      </c>
      <c r="AB564" s="213">
        <v>1</v>
      </c>
      <c r="AC564" s="213">
        <v>1</v>
      </c>
      <c r="AD564" s="213">
        <v>1</v>
      </c>
      <c r="AE564" s="213">
        <v>1</v>
      </c>
      <c r="AF564" s="271">
        <f t="shared" si="67"/>
        <v>1</v>
      </c>
      <c r="AG564" s="213"/>
      <c r="DG564" s="1093"/>
      <c r="DH564" s="188"/>
      <c r="DI564" s="1091"/>
      <c r="DJ564" s="1187"/>
    </row>
    <row r="565" spans="1:114" ht="14.65" customHeight="1" outlineLevel="1">
      <c r="A565" s="453"/>
      <c r="C565" s="51"/>
      <c r="D565" s="4199"/>
      <c r="E565" s="4199"/>
      <c r="F565" s="4292" t="s">
        <v>1851</v>
      </c>
      <c r="G565" s="4292"/>
      <c r="H565" s="4292"/>
      <c r="I565" s="3295" t="str">
        <f t="shared" si="68"/>
        <v>351162_2024_12_</v>
      </c>
      <c r="J565" s="3296">
        <v>1</v>
      </c>
      <c r="K565" s="1442"/>
      <c r="L565" s="1442"/>
      <c r="M565" s="51"/>
      <c r="N565" s="561"/>
      <c r="O565" s="51"/>
      <c r="S565" s="52"/>
      <c r="T565" s="52"/>
      <c r="U565" s="52"/>
      <c r="V565" s="4199"/>
      <c r="W565" s="213"/>
      <c r="X565" s="214"/>
      <c r="Y565" s="213"/>
      <c r="Z565" s="3298">
        <v>1</v>
      </c>
      <c r="AA565" s="3297">
        <v>1</v>
      </c>
      <c r="AB565" s="3297">
        <v>1</v>
      </c>
      <c r="AC565" s="3297">
        <v>1</v>
      </c>
      <c r="AD565" s="3297">
        <v>1</v>
      </c>
      <c r="AE565" s="3297">
        <v>1</v>
      </c>
      <c r="AF565" s="2236">
        <f t="shared" si="67"/>
        <v>1</v>
      </c>
      <c r="AG565" s="213"/>
      <c r="DG565" s="1093"/>
      <c r="DH565" s="188"/>
      <c r="DI565" s="1091"/>
      <c r="DJ565" s="1187"/>
    </row>
    <row r="566" spans="1:114" ht="14.65" customHeight="1" outlineLevel="1">
      <c r="A566" s="453"/>
      <c r="C566" s="51"/>
      <c r="D566" s="4199"/>
      <c r="E566" s="4199"/>
      <c r="F566" s="4292" t="s">
        <v>1852</v>
      </c>
      <c r="G566" s="4292"/>
      <c r="H566" s="4292"/>
      <c r="I566" s="3295" t="str">
        <f t="shared" si="68"/>
        <v>351162_2024_12_</v>
      </c>
      <c r="J566" s="3296">
        <v>1</v>
      </c>
      <c r="K566" s="1442"/>
      <c r="L566" s="1442"/>
      <c r="M566" s="51"/>
      <c r="N566" s="561"/>
      <c r="O566" s="51"/>
      <c r="S566" s="52"/>
      <c r="T566" s="52"/>
      <c r="U566" s="52"/>
      <c r="V566" s="4199"/>
      <c r="W566" s="213"/>
      <c r="X566" s="214"/>
      <c r="Y566" s="213"/>
      <c r="Z566" s="3298">
        <v>1</v>
      </c>
      <c r="AA566" s="3297">
        <v>1</v>
      </c>
      <c r="AB566" s="3297">
        <v>1</v>
      </c>
      <c r="AC566" s="3297">
        <v>1</v>
      </c>
      <c r="AD566" s="3297">
        <v>1</v>
      </c>
      <c r="AE566" s="3297">
        <v>1</v>
      </c>
      <c r="AF566" s="2236">
        <f t="shared" si="67"/>
        <v>1</v>
      </c>
      <c r="AG566" s="213"/>
      <c r="DG566" s="1093"/>
      <c r="DH566" s="188"/>
      <c r="DI566" s="1091"/>
      <c r="DJ566" s="1187"/>
    </row>
    <row r="567" spans="1:114" ht="14.65" customHeight="1" outlineLevel="1">
      <c r="A567" s="453"/>
      <c r="C567" s="51"/>
      <c r="D567" s="4199"/>
      <c r="E567" s="4199"/>
      <c r="F567" s="4292" t="s">
        <v>1854</v>
      </c>
      <c r="G567" s="4292"/>
      <c r="H567" s="4292"/>
      <c r="I567" s="3295" t="str">
        <f t="shared" si="68"/>
        <v>351163_2024_12_</v>
      </c>
      <c r="J567" s="3296">
        <v>1</v>
      </c>
      <c r="K567" s="1442"/>
      <c r="L567" s="1442"/>
      <c r="M567" s="51"/>
      <c r="N567" s="561"/>
      <c r="O567" s="51"/>
      <c r="S567" s="52"/>
      <c r="T567" s="52"/>
      <c r="U567" s="52"/>
      <c r="V567" s="4199"/>
      <c r="W567" s="213"/>
      <c r="X567" s="214"/>
      <c r="Y567" s="213"/>
      <c r="Z567" s="3298">
        <v>1</v>
      </c>
      <c r="AA567" s="3297">
        <v>1</v>
      </c>
      <c r="AB567" s="3297">
        <v>1</v>
      </c>
      <c r="AC567" s="3297">
        <v>1</v>
      </c>
      <c r="AD567" s="3297">
        <v>1</v>
      </c>
      <c r="AE567" s="3297">
        <v>1</v>
      </c>
      <c r="AF567" s="2236">
        <f t="shared" si="67"/>
        <v>1</v>
      </c>
      <c r="AG567" s="213"/>
      <c r="DG567" s="1093"/>
      <c r="DH567" s="188"/>
      <c r="DI567" s="1091"/>
      <c r="DJ567" s="1187"/>
    </row>
    <row r="568" spans="1:114" ht="14.65" customHeight="1" outlineLevel="1">
      <c r="A568" s="453"/>
      <c r="C568" s="51"/>
      <c r="D568" s="4199"/>
      <c r="E568" s="4199"/>
      <c r="F568" s="4292" t="s">
        <v>1855</v>
      </c>
      <c r="G568" s="4292"/>
      <c r="H568" s="4292"/>
      <c r="I568" s="3295" t="str">
        <f t="shared" si="68"/>
        <v>351163_2024_12_</v>
      </c>
      <c r="J568" s="3296">
        <v>1</v>
      </c>
      <c r="K568" s="1442"/>
      <c r="L568" s="1442"/>
      <c r="M568" s="51"/>
      <c r="N568" s="561"/>
      <c r="O568" s="51"/>
      <c r="S568" s="52"/>
      <c r="T568" s="52"/>
      <c r="U568" s="52"/>
      <c r="V568" s="4199"/>
      <c r="W568" s="213"/>
      <c r="X568" s="214"/>
      <c r="Y568" s="213"/>
      <c r="Z568" s="3298">
        <v>1</v>
      </c>
      <c r="AA568" s="3297">
        <v>1</v>
      </c>
      <c r="AB568" s="3297">
        <v>1</v>
      </c>
      <c r="AC568" s="3297">
        <v>1</v>
      </c>
      <c r="AD568" s="3297">
        <v>1</v>
      </c>
      <c r="AE568" s="3297">
        <v>1</v>
      </c>
      <c r="AF568" s="2236">
        <f t="shared" si="67"/>
        <v>1</v>
      </c>
      <c r="AG568" s="213"/>
      <c r="DG568" s="1093"/>
      <c r="DH568" s="188"/>
      <c r="DI568" s="1091"/>
      <c r="DJ568" s="1187"/>
    </row>
    <row r="569" spans="1:114" ht="14.65" customHeight="1" outlineLevel="1">
      <c r="A569" s="453"/>
      <c r="C569" s="51"/>
      <c r="D569" s="4199"/>
      <c r="E569" s="4199"/>
      <c r="F569" s="4292" t="s">
        <v>1857</v>
      </c>
      <c r="G569" s="4292"/>
      <c r="H569" s="4292"/>
      <c r="I569" s="3295" t="str">
        <f t="shared" si="68"/>
        <v>351164_2024_12_</v>
      </c>
      <c r="J569" s="3296">
        <v>1</v>
      </c>
      <c r="K569" s="1442"/>
      <c r="L569" s="1442"/>
      <c r="M569" s="51"/>
      <c r="N569" s="561"/>
      <c r="O569" s="51"/>
      <c r="S569" s="52"/>
      <c r="T569" s="52"/>
      <c r="U569" s="52"/>
      <c r="V569" s="4199"/>
      <c r="W569" s="213"/>
      <c r="X569" s="214"/>
      <c r="Y569" s="213"/>
      <c r="Z569" s="3298">
        <v>1</v>
      </c>
      <c r="AA569" s="3297">
        <v>1</v>
      </c>
      <c r="AB569" s="3297">
        <v>1</v>
      </c>
      <c r="AC569" s="3297">
        <v>1</v>
      </c>
      <c r="AD569" s="3297">
        <v>1</v>
      </c>
      <c r="AE569" s="3297">
        <v>1</v>
      </c>
      <c r="AF569" s="2236">
        <f t="shared" si="67"/>
        <v>1</v>
      </c>
      <c r="AG569" s="213"/>
      <c r="DG569" s="1093"/>
      <c r="DH569" s="188"/>
      <c r="DI569" s="1091"/>
      <c r="DJ569" s="1187"/>
    </row>
    <row r="570" spans="1:114" ht="14.65" customHeight="1" outlineLevel="1">
      <c r="A570" s="453"/>
      <c r="C570" s="51"/>
      <c r="D570" s="4199"/>
      <c r="E570" s="4199"/>
      <c r="F570" s="4292" t="s">
        <v>1859</v>
      </c>
      <c r="G570" s="4292"/>
      <c r="H570" s="4292"/>
      <c r="I570" s="3295" t="str">
        <f t="shared" si="68"/>
        <v>351165_2024_12_</v>
      </c>
      <c r="J570" s="3296">
        <v>1</v>
      </c>
      <c r="K570" s="1442"/>
      <c r="L570" s="1442"/>
      <c r="M570" s="51"/>
      <c r="N570" s="561"/>
      <c r="O570" s="51"/>
      <c r="S570" s="52"/>
      <c r="T570" s="52"/>
      <c r="U570" s="52"/>
      <c r="V570" s="4199"/>
      <c r="W570" s="213"/>
      <c r="X570" s="214"/>
      <c r="Y570" s="213"/>
      <c r="Z570" s="3298">
        <v>1</v>
      </c>
      <c r="AA570" s="3297">
        <v>1</v>
      </c>
      <c r="AB570" s="3297">
        <v>1</v>
      </c>
      <c r="AC570" s="3297">
        <v>1</v>
      </c>
      <c r="AD570" s="3297">
        <v>1</v>
      </c>
      <c r="AE570" s="3297">
        <v>1</v>
      </c>
      <c r="AF570" s="2236">
        <f t="shared" si="67"/>
        <v>1</v>
      </c>
      <c r="AG570" s="213"/>
      <c r="DG570" s="1093"/>
      <c r="DH570" s="188"/>
      <c r="DI570" s="1091"/>
      <c r="DJ570" s="1187"/>
    </row>
    <row r="571" spans="1:114" ht="14.65" customHeight="1" outlineLevel="1">
      <c r="A571" s="453"/>
      <c r="C571" s="51"/>
      <c r="D571" s="4199"/>
      <c r="E571" s="4199"/>
      <c r="F571" s="4338" t="s">
        <v>1861</v>
      </c>
      <c r="G571" s="4338"/>
      <c r="H571" s="4338"/>
      <c r="I571" s="927" t="str">
        <f t="shared" si="68"/>
        <v>351170_2024_12_</v>
      </c>
      <c r="J571" s="1785">
        <v>1</v>
      </c>
      <c r="K571" s="1442"/>
      <c r="L571" s="1442"/>
      <c r="M571" s="51"/>
      <c r="N571" s="561"/>
      <c r="O571" s="51"/>
      <c r="S571" s="52"/>
      <c r="T571" s="52"/>
      <c r="U571" s="52"/>
      <c r="V571" s="4199"/>
      <c r="W571" s="213"/>
      <c r="X571" s="213"/>
      <c r="Y571" s="213"/>
      <c r="Z571" s="214">
        <v>1</v>
      </c>
      <c r="AA571" s="213">
        <v>1</v>
      </c>
      <c r="AB571" s="213">
        <v>1</v>
      </c>
      <c r="AC571" s="213">
        <v>1</v>
      </c>
      <c r="AD571" s="213">
        <v>1</v>
      </c>
      <c r="AE571" s="213">
        <v>1</v>
      </c>
      <c r="AF571" s="271">
        <f t="shared" si="67"/>
        <v>1</v>
      </c>
      <c r="AG571" s="213"/>
      <c r="DG571" s="1093"/>
      <c r="DH571" s="188"/>
      <c r="DI571" s="1091"/>
      <c r="DJ571" s="1187"/>
    </row>
    <row r="572" spans="1:114" ht="14.65" customHeight="1" outlineLevel="1">
      <c r="A572" s="453"/>
      <c r="C572" s="51"/>
      <c r="D572" s="4199"/>
      <c r="E572" s="4199"/>
      <c r="F572" s="4338" t="s">
        <v>1862</v>
      </c>
      <c r="G572" s="4338"/>
      <c r="H572" s="4338"/>
      <c r="I572" s="927" t="str">
        <f t="shared" si="68"/>
        <v>351170_2024_12_</v>
      </c>
      <c r="J572" s="1785">
        <v>1</v>
      </c>
      <c r="K572" s="1442"/>
      <c r="L572" s="1442"/>
      <c r="M572" s="51"/>
      <c r="N572" s="561"/>
      <c r="O572" s="51"/>
      <c r="S572" s="52"/>
      <c r="T572" s="52"/>
      <c r="U572" s="52"/>
      <c r="V572" s="4199"/>
      <c r="W572" s="213"/>
      <c r="X572" s="213"/>
      <c r="Y572" s="213"/>
      <c r="Z572" s="214">
        <v>1</v>
      </c>
      <c r="AA572" s="213">
        <v>1</v>
      </c>
      <c r="AB572" s="213">
        <v>1</v>
      </c>
      <c r="AC572" s="213">
        <v>1</v>
      </c>
      <c r="AD572" s="213">
        <v>1</v>
      </c>
      <c r="AE572" s="213">
        <v>1</v>
      </c>
      <c r="AF572" s="271">
        <f t="shared" si="67"/>
        <v>1</v>
      </c>
      <c r="AG572" s="213"/>
      <c r="DG572" s="1093"/>
      <c r="DH572" s="188"/>
      <c r="DI572" s="1091"/>
      <c r="DJ572" s="1187"/>
    </row>
    <row r="573" spans="1:114" ht="14.65" customHeight="1" outlineLevel="1">
      <c r="A573" s="453"/>
      <c r="C573" s="51"/>
      <c r="D573" s="4199"/>
      <c r="E573" s="4199"/>
      <c r="F573" s="4338" t="s">
        <v>1864</v>
      </c>
      <c r="G573" s="4338"/>
      <c r="H573" s="4338"/>
      <c r="I573" s="927" t="str">
        <f t="shared" si="68"/>
        <v>351171_2024_12_</v>
      </c>
      <c r="J573" s="1785">
        <v>1</v>
      </c>
      <c r="K573" s="1442"/>
      <c r="L573" s="1442"/>
      <c r="M573" s="51"/>
      <c r="N573" s="561"/>
      <c r="O573" s="51"/>
      <c r="S573" s="52"/>
      <c r="T573" s="52"/>
      <c r="U573" s="52"/>
      <c r="V573" s="4199"/>
      <c r="W573" s="213"/>
      <c r="X573" s="213"/>
      <c r="Y573" s="213"/>
      <c r="Z573" s="214">
        <v>1</v>
      </c>
      <c r="AA573" s="213">
        <v>1</v>
      </c>
      <c r="AB573" s="213">
        <v>1</v>
      </c>
      <c r="AC573" s="213">
        <v>1</v>
      </c>
      <c r="AD573" s="213">
        <v>1</v>
      </c>
      <c r="AE573" s="213">
        <v>1</v>
      </c>
      <c r="AF573" s="271">
        <f t="shared" si="67"/>
        <v>1</v>
      </c>
      <c r="AG573" s="213"/>
      <c r="DG573" s="1093"/>
      <c r="DH573" s="188"/>
      <c r="DI573" s="1091"/>
      <c r="DJ573" s="1187"/>
    </row>
    <row r="574" spans="1:114" ht="14.65" customHeight="1" outlineLevel="1">
      <c r="A574" s="453"/>
      <c r="C574" s="51"/>
      <c r="D574" s="4199"/>
      <c r="E574" s="4199"/>
      <c r="F574" s="4292" t="s">
        <v>1866</v>
      </c>
      <c r="G574" s="4292"/>
      <c r="H574" s="4292"/>
      <c r="I574" s="3295" t="str">
        <f t="shared" si="68"/>
        <v>351172_2024_12_</v>
      </c>
      <c r="J574" s="3296">
        <v>1</v>
      </c>
      <c r="K574" s="1442"/>
      <c r="L574" s="1442"/>
      <c r="M574" s="51"/>
      <c r="N574" s="561"/>
      <c r="O574" s="51"/>
      <c r="S574" s="52"/>
      <c r="T574" s="52"/>
      <c r="U574" s="52"/>
      <c r="V574" s="4199"/>
      <c r="W574" s="213"/>
      <c r="X574" s="214"/>
      <c r="Y574" s="213"/>
      <c r="Z574" s="3298">
        <v>1</v>
      </c>
      <c r="AA574" s="3297">
        <v>1</v>
      </c>
      <c r="AB574" s="3297">
        <v>1</v>
      </c>
      <c r="AC574" s="3297">
        <v>1</v>
      </c>
      <c r="AD574" s="3297">
        <v>1</v>
      </c>
      <c r="AE574" s="3297">
        <v>1</v>
      </c>
      <c r="AF574" s="2236">
        <f t="shared" si="67"/>
        <v>1</v>
      </c>
      <c r="AG574" s="213"/>
      <c r="DG574" s="1093"/>
      <c r="DH574" s="188"/>
      <c r="DI574" s="1091"/>
      <c r="DJ574" s="1187"/>
    </row>
    <row r="575" spans="1:114" ht="14.65" customHeight="1" outlineLevel="1">
      <c r="A575" s="453"/>
      <c r="C575" s="51"/>
      <c r="D575" s="4199"/>
      <c r="E575" s="4199"/>
      <c r="F575" s="4292" t="s">
        <v>1867</v>
      </c>
      <c r="G575" s="4292"/>
      <c r="H575" s="4292"/>
      <c r="I575" s="3295" t="str">
        <f t="shared" si="68"/>
        <v>351172_2024_12_</v>
      </c>
      <c r="J575" s="3296">
        <v>1</v>
      </c>
      <c r="K575" s="1442"/>
      <c r="L575" s="1442"/>
      <c r="M575" s="51"/>
      <c r="N575" s="561"/>
      <c r="O575" s="51"/>
      <c r="S575" s="52"/>
      <c r="T575" s="52"/>
      <c r="U575" s="52"/>
      <c r="V575" s="4199"/>
      <c r="W575" s="213"/>
      <c r="X575" s="214"/>
      <c r="Y575" s="213"/>
      <c r="Z575" s="3298">
        <v>1</v>
      </c>
      <c r="AA575" s="3297">
        <v>1</v>
      </c>
      <c r="AB575" s="3297">
        <v>1</v>
      </c>
      <c r="AC575" s="3297">
        <v>1</v>
      </c>
      <c r="AD575" s="3297">
        <v>1</v>
      </c>
      <c r="AE575" s="3297">
        <v>1</v>
      </c>
      <c r="AF575" s="2236">
        <f t="shared" si="67"/>
        <v>1</v>
      </c>
      <c r="AG575" s="213"/>
      <c r="DG575" s="1093"/>
      <c r="DH575" s="188"/>
      <c r="DI575" s="1091"/>
      <c r="DJ575" s="1187"/>
    </row>
    <row r="576" spans="1:114" ht="14.65" customHeight="1" outlineLevel="1">
      <c r="A576" s="453"/>
      <c r="C576" s="51"/>
      <c r="D576" s="4199"/>
      <c r="E576" s="4199"/>
      <c r="F576" s="4292" t="s">
        <v>1869</v>
      </c>
      <c r="G576" s="4292"/>
      <c r="H576" s="4292"/>
      <c r="I576" s="3295" t="str">
        <f t="shared" si="68"/>
        <v>351173_2024_12_</v>
      </c>
      <c r="J576" s="3296">
        <v>1</v>
      </c>
      <c r="K576" s="1442"/>
      <c r="L576" s="1442"/>
      <c r="M576" s="51"/>
      <c r="N576" s="561"/>
      <c r="O576" s="51"/>
      <c r="S576" s="52"/>
      <c r="T576" s="52"/>
      <c r="U576" s="52"/>
      <c r="V576" s="4199"/>
      <c r="W576" s="213"/>
      <c r="X576" s="214"/>
      <c r="Y576" s="213"/>
      <c r="Z576" s="3298">
        <v>1</v>
      </c>
      <c r="AA576" s="3297">
        <v>1</v>
      </c>
      <c r="AB576" s="3297">
        <v>1</v>
      </c>
      <c r="AC576" s="3297">
        <v>1</v>
      </c>
      <c r="AD576" s="3297">
        <v>1</v>
      </c>
      <c r="AE576" s="3297">
        <v>1</v>
      </c>
      <c r="AF576" s="2236">
        <f t="shared" si="67"/>
        <v>1</v>
      </c>
      <c r="AG576" s="213"/>
      <c r="DG576" s="1093"/>
      <c r="DH576" s="188"/>
      <c r="DI576" s="1091"/>
      <c r="DJ576" s="1187"/>
    </row>
    <row r="577" spans="1:114" ht="14.65" customHeight="1" outlineLevel="1">
      <c r="A577" s="453"/>
      <c r="C577" s="51"/>
      <c r="D577" s="4199"/>
      <c r="E577" s="4199"/>
      <c r="F577" s="4292" t="s">
        <v>1870</v>
      </c>
      <c r="G577" s="4292"/>
      <c r="H577" s="4292"/>
      <c r="I577" s="3295" t="str">
        <f t="shared" si="68"/>
        <v>351173_2024_12_</v>
      </c>
      <c r="J577" s="3296">
        <v>1</v>
      </c>
      <c r="K577" s="1442"/>
      <c r="L577" s="1442"/>
      <c r="M577" s="51"/>
      <c r="N577" s="561"/>
      <c r="O577" s="51"/>
      <c r="S577" s="52"/>
      <c r="T577" s="52"/>
      <c r="U577" s="52"/>
      <c r="V577" s="4199"/>
      <c r="W577" s="213"/>
      <c r="X577" s="214"/>
      <c r="Y577" s="213"/>
      <c r="Z577" s="3298">
        <v>1</v>
      </c>
      <c r="AA577" s="3297">
        <v>1</v>
      </c>
      <c r="AB577" s="3297">
        <v>1</v>
      </c>
      <c r="AC577" s="3297">
        <v>1</v>
      </c>
      <c r="AD577" s="3297">
        <v>1</v>
      </c>
      <c r="AE577" s="3297">
        <v>1</v>
      </c>
      <c r="AF577" s="2236">
        <f t="shared" si="67"/>
        <v>1</v>
      </c>
      <c r="AG577" s="213"/>
      <c r="DG577" s="1093"/>
      <c r="DH577" s="188"/>
      <c r="DI577" s="1091"/>
      <c r="DJ577" s="1187"/>
    </row>
    <row r="578" spans="1:114" ht="14.65" customHeight="1" outlineLevel="1">
      <c r="A578" s="453"/>
      <c r="C578" s="51"/>
      <c r="D578" s="4199"/>
      <c r="E578" s="4199"/>
      <c r="F578" s="4292" t="s">
        <v>1872</v>
      </c>
      <c r="G578" s="4292"/>
      <c r="H578" s="4292"/>
      <c r="I578" s="3295" t="str">
        <f t="shared" si="68"/>
        <v>351174_2024_12_</v>
      </c>
      <c r="J578" s="3296">
        <v>1</v>
      </c>
      <c r="K578" s="1442"/>
      <c r="L578" s="1442"/>
      <c r="M578" s="51"/>
      <c r="N578" s="561"/>
      <c r="O578" s="51"/>
      <c r="S578" s="52"/>
      <c r="T578" s="52"/>
      <c r="U578" s="52"/>
      <c r="V578" s="4199"/>
      <c r="W578" s="213"/>
      <c r="X578" s="214"/>
      <c r="Y578" s="213"/>
      <c r="Z578" s="3298">
        <v>1</v>
      </c>
      <c r="AA578" s="3297">
        <v>1</v>
      </c>
      <c r="AB578" s="3297">
        <v>1</v>
      </c>
      <c r="AC578" s="3297">
        <v>1</v>
      </c>
      <c r="AD578" s="3297">
        <v>1</v>
      </c>
      <c r="AE578" s="3297">
        <v>1</v>
      </c>
      <c r="AF578" s="2236">
        <f t="shared" si="67"/>
        <v>1</v>
      </c>
      <c r="AG578" s="213"/>
      <c r="DG578" s="1093"/>
      <c r="DH578" s="188"/>
      <c r="DI578" s="1091"/>
      <c r="DJ578" s="1187"/>
    </row>
    <row r="579" spans="1:114" ht="14.65" customHeight="1" outlineLevel="1">
      <c r="A579" s="453"/>
      <c r="C579" s="51"/>
      <c r="D579" s="4199"/>
      <c r="E579" s="4199"/>
      <c r="F579" s="4292" t="s">
        <v>1874</v>
      </c>
      <c r="G579" s="4292"/>
      <c r="H579" s="4292"/>
      <c r="I579" s="3295" t="str">
        <f t="shared" si="68"/>
        <v>351175_2024_12_</v>
      </c>
      <c r="J579" s="3296">
        <v>1</v>
      </c>
      <c r="K579" s="1442"/>
      <c r="L579" s="1442"/>
      <c r="M579" s="51"/>
      <c r="N579" s="561"/>
      <c r="O579" s="51"/>
      <c r="S579" s="52"/>
      <c r="T579" s="52"/>
      <c r="U579" s="52"/>
      <c r="V579" s="4199"/>
      <c r="W579" s="213"/>
      <c r="X579" s="214"/>
      <c r="Y579" s="213"/>
      <c r="Z579" s="3298">
        <v>1</v>
      </c>
      <c r="AA579" s="3297">
        <v>1</v>
      </c>
      <c r="AB579" s="3297">
        <v>1</v>
      </c>
      <c r="AC579" s="3297">
        <v>1</v>
      </c>
      <c r="AD579" s="3297">
        <v>1</v>
      </c>
      <c r="AE579" s="3297">
        <v>1</v>
      </c>
      <c r="AF579" s="2236">
        <f t="shared" si="67"/>
        <v>1</v>
      </c>
      <c r="AG579" s="213"/>
      <c r="DG579" s="1093"/>
      <c r="DH579" s="188"/>
      <c r="DI579" s="1091"/>
      <c r="DJ579" s="1187"/>
    </row>
    <row r="580" spans="1:114" ht="14.65" customHeight="1" outlineLevel="1">
      <c r="A580" s="453"/>
      <c r="C580" s="51"/>
      <c r="D580" s="4199"/>
      <c r="E580" s="4199"/>
      <c r="F580" s="4338" t="s">
        <v>1876</v>
      </c>
      <c r="G580" s="4338"/>
      <c r="H580" s="4338"/>
      <c r="I580" s="927" t="str">
        <f t="shared" si="68"/>
        <v>351180_2024_12_</v>
      </c>
      <c r="J580" s="1785">
        <v>1</v>
      </c>
      <c r="K580" s="1442"/>
      <c r="L580" s="1442"/>
      <c r="M580" s="51"/>
      <c r="N580" s="561"/>
      <c r="O580" s="51"/>
      <c r="S580" s="52"/>
      <c r="T580" s="52"/>
      <c r="U580" s="52"/>
      <c r="V580" s="4199"/>
      <c r="W580" s="213"/>
      <c r="X580" s="213"/>
      <c r="Y580" s="213"/>
      <c r="Z580" s="214">
        <v>1</v>
      </c>
      <c r="AA580" s="213">
        <v>1</v>
      </c>
      <c r="AB580" s="213">
        <v>1</v>
      </c>
      <c r="AC580" s="213">
        <v>1</v>
      </c>
      <c r="AD580" s="213">
        <v>1</v>
      </c>
      <c r="AE580" s="213">
        <v>1</v>
      </c>
      <c r="AF580" s="271">
        <f t="shared" si="67"/>
        <v>1</v>
      </c>
      <c r="AG580" s="213"/>
      <c r="DG580" s="1093"/>
      <c r="DH580" s="188"/>
      <c r="DI580" s="1091"/>
      <c r="DJ580" s="1187"/>
    </row>
    <row r="581" spans="1:114" ht="14.65" customHeight="1" outlineLevel="1">
      <c r="A581" s="453"/>
      <c r="C581" s="51"/>
      <c r="D581" s="4199"/>
      <c r="E581" s="4199"/>
      <c r="F581" s="4338" t="s">
        <v>1877</v>
      </c>
      <c r="G581" s="4338"/>
      <c r="H581" s="4338"/>
      <c r="I581" s="927" t="str">
        <f t="shared" si="68"/>
        <v>351180_2024_12_</v>
      </c>
      <c r="J581" s="1785">
        <v>1</v>
      </c>
      <c r="K581" s="1442"/>
      <c r="L581" s="1442"/>
      <c r="M581" s="51"/>
      <c r="N581" s="561"/>
      <c r="O581" s="51"/>
      <c r="S581" s="52"/>
      <c r="T581" s="52"/>
      <c r="U581" s="52"/>
      <c r="V581" s="4199"/>
      <c r="W581" s="213"/>
      <c r="X581" s="213"/>
      <c r="Y581" s="213"/>
      <c r="Z581" s="214">
        <v>1</v>
      </c>
      <c r="AA581" s="213">
        <v>1</v>
      </c>
      <c r="AB581" s="213">
        <v>1</v>
      </c>
      <c r="AC581" s="213">
        <v>1</v>
      </c>
      <c r="AD581" s="213">
        <v>1</v>
      </c>
      <c r="AE581" s="213">
        <v>1</v>
      </c>
      <c r="AF581" s="271">
        <f t="shared" si="67"/>
        <v>1</v>
      </c>
      <c r="AG581" s="213"/>
      <c r="DG581" s="1093"/>
      <c r="DH581" s="188"/>
      <c r="DI581" s="1091"/>
      <c r="DJ581" s="1187"/>
    </row>
    <row r="582" spans="1:114" ht="14.65" customHeight="1" outlineLevel="1">
      <c r="A582" s="453"/>
      <c r="C582" s="51"/>
      <c r="D582" s="4199"/>
      <c r="E582" s="4199"/>
      <c r="F582" s="4338" t="s">
        <v>1879</v>
      </c>
      <c r="G582" s="4338"/>
      <c r="H582" s="4338"/>
      <c r="I582" s="927" t="str">
        <f t="shared" si="68"/>
        <v>351181_2024_12_</v>
      </c>
      <c r="J582" s="1785">
        <v>1</v>
      </c>
      <c r="K582" s="1442"/>
      <c r="L582" s="1442"/>
      <c r="M582" s="51"/>
      <c r="N582" s="561"/>
      <c r="O582" s="51"/>
      <c r="S582" s="52"/>
      <c r="T582" s="52"/>
      <c r="U582" s="52"/>
      <c r="V582" s="4199"/>
      <c r="W582" s="213"/>
      <c r="X582" s="213"/>
      <c r="Y582" s="213"/>
      <c r="Z582" s="214">
        <v>1</v>
      </c>
      <c r="AA582" s="213">
        <v>1</v>
      </c>
      <c r="AB582" s="213">
        <v>1</v>
      </c>
      <c r="AC582" s="213">
        <v>1</v>
      </c>
      <c r="AD582" s="213">
        <v>1</v>
      </c>
      <c r="AE582" s="213">
        <v>1</v>
      </c>
      <c r="AF582" s="271">
        <f t="shared" si="67"/>
        <v>1</v>
      </c>
      <c r="AG582" s="213"/>
      <c r="DG582" s="1093"/>
      <c r="DH582" s="188"/>
      <c r="DI582" s="1091"/>
      <c r="DJ582" s="1187"/>
    </row>
    <row r="583" spans="1:114" ht="14.65" customHeight="1" outlineLevel="1">
      <c r="A583" s="453"/>
      <c r="C583" s="51"/>
      <c r="D583" s="4199"/>
      <c r="E583" s="4199"/>
      <c r="F583" s="4292" t="s">
        <v>1881</v>
      </c>
      <c r="G583" s="4292"/>
      <c r="H583" s="4292"/>
      <c r="I583" s="3295" t="str">
        <f t="shared" si="68"/>
        <v>351182_2024_12_</v>
      </c>
      <c r="J583" s="3296">
        <v>1</v>
      </c>
      <c r="K583" s="1442"/>
      <c r="L583" s="1442"/>
      <c r="M583" s="51"/>
      <c r="N583" s="561"/>
      <c r="O583" s="51"/>
      <c r="S583" s="52"/>
      <c r="T583" s="52"/>
      <c r="U583" s="52"/>
      <c r="V583" s="4199"/>
      <c r="W583" s="213"/>
      <c r="X583" s="214"/>
      <c r="Y583" s="213"/>
      <c r="Z583" s="3298">
        <v>1</v>
      </c>
      <c r="AA583" s="3297">
        <v>1</v>
      </c>
      <c r="AB583" s="3297">
        <v>1</v>
      </c>
      <c r="AC583" s="3297">
        <v>1</v>
      </c>
      <c r="AD583" s="3297">
        <v>1</v>
      </c>
      <c r="AE583" s="3297">
        <v>1</v>
      </c>
      <c r="AF583" s="2236">
        <f t="shared" si="67"/>
        <v>1</v>
      </c>
      <c r="AG583" s="213"/>
      <c r="DG583" s="1093"/>
      <c r="DH583" s="188"/>
      <c r="DI583" s="1091"/>
      <c r="DJ583" s="1187"/>
    </row>
    <row r="584" spans="1:114" ht="14.65" customHeight="1" outlineLevel="1">
      <c r="A584" s="453"/>
      <c r="C584" s="51"/>
      <c r="D584" s="4199"/>
      <c r="E584" s="4199"/>
      <c r="F584" s="4292" t="s">
        <v>1882</v>
      </c>
      <c r="G584" s="4292"/>
      <c r="H584" s="4292"/>
      <c r="I584" s="3295" t="str">
        <f t="shared" si="68"/>
        <v>351182_2024_12_</v>
      </c>
      <c r="J584" s="3296">
        <v>1</v>
      </c>
      <c r="K584" s="1442"/>
      <c r="L584" s="1442"/>
      <c r="M584" s="51"/>
      <c r="N584" s="561"/>
      <c r="O584" s="51"/>
      <c r="S584" s="52"/>
      <c r="T584" s="52"/>
      <c r="U584" s="52"/>
      <c r="V584" s="4199"/>
      <c r="W584" s="213"/>
      <c r="X584" s="214"/>
      <c r="Y584" s="213"/>
      <c r="Z584" s="3298">
        <v>1</v>
      </c>
      <c r="AA584" s="3297">
        <v>1</v>
      </c>
      <c r="AB584" s="3297">
        <v>1</v>
      </c>
      <c r="AC584" s="3297">
        <v>1</v>
      </c>
      <c r="AD584" s="3297">
        <v>1</v>
      </c>
      <c r="AE584" s="3297">
        <v>1</v>
      </c>
      <c r="AF584" s="2236">
        <f t="shared" si="67"/>
        <v>1</v>
      </c>
      <c r="AG584" s="213"/>
      <c r="DG584" s="1093"/>
      <c r="DH584" s="188"/>
      <c r="DI584" s="1091"/>
      <c r="DJ584" s="1187"/>
    </row>
    <row r="585" spans="1:114" ht="14.65" customHeight="1" outlineLevel="1">
      <c r="A585" s="453"/>
      <c r="C585" s="51"/>
      <c r="D585" s="4199"/>
      <c r="E585" s="4199"/>
      <c r="F585" s="4292" t="s">
        <v>1884</v>
      </c>
      <c r="G585" s="4292"/>
      <c r="H585" s="4292"/>
      <c r="I585" s="3295" t="str">
        <f t="shared" si="68"/>
        <v>351183_2024_12_</v>
      </c>
      <c r="J585" s="3296">
        <v>1</v>
      </c>
      <c r="K585" s="1442"/>
      <c r="L585" s="1442"/>
      <c r="M585" s="51"/>
      <c r="N585" s="561"/>
      <c r="O585" s="51"/>
      <c r="S585" s="52"/>
      <c r="T585" s="52"/>
      <c r="U585" s="52"/>
      <c r="V585" s="4199"/>
      <c r="W585" s="213"/>
      <c r="X585" s="214"/>
      <c r="Y585" s="213"/>
      <c r="Z585" s="3298">
        <v>1</v>
      </c>
      <c r="AA585" s="3297">
        <v>1</v>
      </c>
      <c r="AB585" s="3297">
        <v>1</v>
      </c>
      <c r="AC585" s="3297">
        <v>1</v>
      </c>
      <c r="AD585" s="3297">
        <v>1</v>
      </c>
      <c r="AE585" s="3297">
        <v>1</v>
      </c>
      <c r="AF585" s="2236">
        <f t="shared" si="67"/>
        <v>1</v>
      </c>
      <c r="AG585" s="213"/>
      <c r="DG585" s="1093"/>
      <c r="DH585" s="188"/>
      <c r="DI585" s="1091"/>
      <c r="DJ585" s="1187"/>
    </row>
    <row r="586" spans="1:114" ht="14.65" customHeight="1" outlineLevel="1">
      <c r="A586" s="453"/>
      <c r="C586" s="51"/>
      <c r="D586" s="4199"/>
      <c r="E586" s="4199"/>
      <c r="F586" s="4292" t="s">
        <v>1885</v>
      </c>
      <c r="G586" s="4292"/>
      <c r="H586" s="4292"/>
      <c r="I586" s="3295" t="str">
        <f t="shared" si="68"/>
        <v>351183_2024_12_</v>
      </c>
      <c r="J586" s="3296">
        <v>1</v>
      </c>
      <c r="K586" s="1442"/>
      <c r="L586" s="1442"/>
      <c r="M586" s="51"/>
      <c r="N586" s="561"/>
      <c r="O586" s="51"/>
      <c r="S586" s="52"/>
      <c r="T586" s="52"/>
      <c r="U586" s="52"/>
      <c r="V586" s="4199"/>
      <c r="W586" s="213"/>
      <c r="X586" s="214"/>
      <c r="Y586" s="213"/>
      <c r="Z586" s="3298">
        <v>1</v>
      </c>
      <c r="AA586" s="3297">
        <v>1</v>
      </c>
      <c r="AB586" s="3297">
        <v>1</v>
      </c>
      <c r="AC586" s="3297">
        <v>1</v>
      </c>
      <c r="AD586" s="3297">
        <v>1</v>
      </c>
      <c r="AE586" s="3297">
        <v>1</v>
      </c>
      <c r="AF586" s="2236">
        <f t="shared" si="67"/>
        <v>1</v>
      </c>
      <c r="AG586" s="213"/>
      <c r="DG586" s="1093"/>
      <c r="DH586" s="188"/>
      <c r="DI586" s="1091"/>
      <c r="DJ586" s="1187"/>
    </row>
    <row r="587" spans="1:114" ht="14.65" customHeight="1" outlineLevel="1">
      <c r="A587" s="453"/>
      <c r="C587" s="51"/>
      <c r="D587" s="4199"/>
      <c r="E587" s="4199"/>
      <c r="F587" s="4292" t="s">
        <v>1887</v>
      </c>
      <c r="G587" s="4292"/>
      <c r="H587" s="4292"/>
      <c r="I587" s="3295" t="str">
        <f t="shared" si="68"/>
        <v>351184_2024_12_</v>
      </c>
      <c r="J587" s="3296">
        <v>1</v>
      </c>
      <c r="K587" s="1442"/>
      <c r="L587" s="1442"/>
      <c r="M587" s="51"/>
      <c r="N587" s="561"/>
      <c r="O587" s="51"/>
      <c r="S587" s="52"/>
      <c r="T587" s="52"/>
      <c r="U587" s="52"/>
      <c r="V587" s="4199"/>
      <c r="W587" s="213"/>
      <c r="X587" s="214"/>
      <c r="Y587" s="213"/>
      <c r="Z587" s="3298">
        <v>1</v>
      </c>
      <c r="AA587" s="3297">
        <v>1</v>
      </c>
      <c r="AB587" s="3297">
        <v>1</v>
      </c>
      <c r="AC587" s="3297">
        <v>1</v>
      </c>
      <c r="AD587" s="3297">
        <v>1</v>
      </c>
      <c r="AE587" s="3297">
        <v>1</v>
      </c>
      <c r="AF587" s="2236">
        <f t="shared" si="67"/>
        <v>1</v>
      </c>
      <c r="AG587" s="213"/>
      <c r="DG587" s="1093"/>
      <c r="DH587" s="188"/>
      <c r="DI587" s="1091"/>
      <c r="DJ587" s="1187"/>
    </row>
    <row r="588" spans="1:114" ht="14.65" customHeight="1" outlineLevel="1">
      <c r="A588" s="453"/>
      <c r="C588" s="51"/>
      <c r="D588" s="4199"/>
      <c r="E588" s="4199"/>
      <c r="F588" s="4292" t="s">
        <v>1889</v>
      </c>
      <c r="G588" s="4292"/>
      <c r="H588" s="4292"/>
      <c r="I588" s="3295" t="str">
        <f t="shared" si="68"/>
        <v>351185_2024_12_</v>
      </c>
      <c r="J588" s="3296">
        <v>1</v>
      </c>
      <c r="K588" s="1442"/>
      <c r="L588" s="1442"/>
      <c r="M588" s="51"/>
      <c r="N588" s="561"/>
      <c r="O588" s="51"/>
      <c r="S588" s="52"/>
      <c r="T588" s="52"/>
      <c r="U588" s="52"/>
      <c r="V588" s="4199"/>
      <c r="W588" s="213"/>
      <c r="X588" s="214"/>
      <c r="Y588" s="213"/>
      <c r="Z588" s="3298">
        <v>1</v>
      </c>
      <c r="AA588" s="3297">
        <v>1</v>
      </c>
      <c r="AB588" s="3297">
        <v>1</v>
      </c>
      <c r="AC588" s="3297">
        <v>1</v>
      </c>
      <c r="AD588" s="3297">
        <v>1</v>
      </c>
      <c r="AE588" s="3297">
        <v>1</v>
      </c>
      <c r="AF588" s="2236">
        <f t="shared" si="67"/>
        <v>1</v>
      </c>
      <c r="AG588" s="213"/>
      <c r="DG588" s="1093"/>
      <c r="DH588" s="188"/>
      <c r="DI588" s="1091"/>
      <c r="DJ588" s="1187"/>
    </row>
    <row r="589" spans="1:114" ht="14.65" customHeight="1" outlineLevel="1">
      <c r="A589" s="453"/>
      <c r="C589" s="51"/>
      <c r="D589" s="4199"/>
      <c r="E589" s="4199"/>
      <c r="F589" s="4338" t="s">
        <v>1891</v>
      </c>
      <c r="G589" s="4338"/>
      <c r="H589" s="4338"/>
      <c r="I589" s="927" t="str">
        <f t="shared" si="68"/>
        <v>351190_2024_12_</v>
      </c>
      <c r="J589" s="1785">
        <v>1</v>
      </c>
      <c r="K589" s="1442"/>
      <c r="L589" s="1442"/>
      <c r="M589" s="51"/>
      <c r="N589" s="561"/>
      <c r="O589" s="51"/>
      <c r="S589" s="52"/>
      <c r="T589" s="52"/>
      <c r="U589" s="52"/>
      <c r="V589" s="4199"/>
      <c r="W589" s="213"/>
      <c r="X589" s="213"/>
      <c r="Y589" s="213"/>
      <c r="Z589" s="214">
        <v>1</v>
      </c>
      <c r="AA589" s="213">
        <v>1</v>
      </c>
      <c r="AB589" s="213">
        <v>1</v>
      </c>
      <c r="AC589" s="213">
        <v>1</v>
      </c>
      <c r="AD589" s="213">
        <v>1</v>
      </c>
      <c r="AE589" s="213">
        <v>1</v>
      </c>
      <c r="AF589" s="271">
        <f t="shared" si="67"/>
        <v>1</v>
      </c>
      <c r="AG589" s="213"/>
      <c r="DG589" s="1093"/>
      <c r="DH589" s="188"/>
      <c r="DI589" s="1091"/>
      <c r="DJ589" s="1187"/>
    </row>
    <row r="590" spans="1:114" ht="14.65" customHeight="1" outlineLevel="1">
      <c r="A590" s="453"/>
      <c r="C590" s="51"/>
      <c r="D590" s="4199"/>
      <c r="E590" s="4199"/>
      <c r="F590" s="4338" t="s">
        <v>1892</v>
      </c>
      <c r="G590" s="4338"/>
      <c r="H590" s="4338"/>
      <c r="I590" s="927" t="str">
        <f t="shared" si="68"/>
        <v>351190_2024_12_</v>
      </c>
      <c r="J590" s="1785">
        <v>1</v>
      </c>
      <c r="K590" s="1442"/>
      <c r="L590" s="1442"/>
      <c r="M590" s="51"/>
      <c r="N590" s="561"/>
      <c r="O590" s="51"/>
      <c r="S590" s="52"/>
      <c r="T590" s="52"/>
      <c r="U590" s="52"/>
      <c r="V590" s="4199"/>
      <c r="W590" s="213"/>
      <c r="X590" s="213"/>
      <c r="Y590" s="213"/>
      <c r="Z590" s="214">
        <v>1</v>
      </c>
      <c r="AA590" s="213">
        <v>1</v>
      </c>
      <c r="AB590" s="213">
        <v>1</v>
      </c>
      <c r="AC590" s="213">
        <v>1</v>
      </c>
      <c r="AD590" s="213">
        <v>1</v>
      </c>
      <c r="AE590" s="213">
        <v>1</v>
      </c>
      <c r="AF590" s="271">
        <f t="shared" si="67"/>
        <v>1</v>
      </c>
      <c r="AG590" s="213"/>
      <c r="DG590" s="1093"/>
      <c r="DH590" s="188"/>
      <c r="DI590" s="1091"/>
      <c r="DJ590" s="1187"/>
    </row>
    <row r="591" spans="1:114" ht="14.65" customHeight="1" outlineLevel="1">
      <c r="A591" s="453"/>
      <c r="C591" s="51"/>
      <c r="D591" s="4199"/>
      <c r="E591" s="4199"/>
      <c r="F591" s="4338" t="s">
        <v>1894</v>
      </c>
      <c r="G591" s="4338"/>
      <c r="H591" s="4338"/>
      <c r="I591" s="927" t="str">
        <f t="shared" si="68"/>
        <v>351191_2024_12_</v>
      </c>
      <c r="J591" s="1785">
        <v>1</v>
      </c>
      <c r="K591" s="1442"/>
      <c r="L591" s="1442"/>
      <c r="M591" s="51"/>
      <c r="N591" s="561"/>
      <c r="O591" s="51"/>
      <c r="S591" s="52"/>
      <c r="T591" s="52"/>
      <c r="U591" s="52"/>
      <c r="V591" s="4199"/>
      <c r="W591" s="213"/>
      <c r="X591" s="213"/>
      <c r="Y591" s="213"/>
      <c r="Z591" s="214">
        <v>1</v>
      </c>
      <c r="AA591" s="213">
        <v>1</v>
      </c>
      <c r="AB591" s="213">
        <v>1</v>
      </c>
      <c r="AC591" s="213">
        <v>1</v>
      </c>
      <c r="AD591" s="213">
        <v>1</v>
      </c>
      <c r="AE591" s="213">
        <v>1</v>
      </c>
      <c r="AF591" s="271">
        <f t="shared" si="67"/>
        <v>1</v>
      </c>
      <c r="AG591" s="213"/>
      <c r="DG591" s="1093"/>
      <c r="DH591" s="188"/>
      <c r="DI591" s="1091"/>
      <c r="DJ591" s="1187"/>
    </row>
    <row r="592" spans="1:114" ht="14.65" customHeight="1" outlineLevel="1">
      <c r="A592" s="453"/>
      <c r="C592" s="51"/>
      <c r="D592" s="4199"/>
      <c r="E592" s="4199"/>
      <c r="F592" s="4292" t="s">
        <v>1896</v>
      </c>
      <c r="G592" s="4292"/>
      <c r="H592" s="4292"/>
      <c r="I592" s="3295" t="str">
        <f t="shared" si="68"/>
        <v>351192_2024_12_</v>
      </c>
      <c r="J592" s="3296">
        <v>1</v>
      </c>
      <c r="K592" s="1442"/>
      <c r="L592" s="1442"/>
      <c r="M592" s="51"/>
      <c r="N592" s="561"/>
      <c r="O592" s="51"/>
      <c r="S592" s="52"/>
      <c r="T592" s="52"/>
      <c r="U592" s="52"/>
      <c r="V592" s="4199"/>
      <c r="W592" s="213"/>
      <c r="X592" s="214"/>
      <c r="Y592" s="213"/>
      <c r="Z592" s="3298">
        <v>1</v>
      </c>
      <c r="AA592" s="3297">
        <v>1</v>
      </c>
      <c r="AB592" s="3297">
        <v>1</v>
      </c>
      <c r="AC592" s="3297">
        <v>1</v>
      </c>
      <c r="AD592" s="3297">
        <v>1</v>
      </c>
      <c r="AE592" s="3297">
        <v>1</v>
      </c>
      <c r="AF592" s="2236">
        <f t="shared" si="67"/>
        <v>1</v>
      </c>
      <c r="AG592" s="213"/>
      <c r="DG592" s="1093"/>
      <c r="DH592" s="188"/>
      <c r="DI592" s="1091"/>
      <c r="DJ592" s="1187"/>
    </row>
    <row r="593" spans="1:114" ht="14.65" customHeight="1" outlineLevel="1">
      <c r="A593" s="453"/>
      <c r="C593" s="51"/>
      <c r="D593" s="4199"/>
      <c r="E593" s="4199"/>
      <c r="F593" s="4292" t="s">
        <v>1897</v>
      </c>
      <c r="G593" s="4292"/>
      <c r="H593" s="4292"/>
      <c r="I593" s="3295" t="str">
        <f t="shared" si="68"/>
        <v>351192_2024_12_</v>
      </c>
      <c r="J593" s="3296">
        <v>1</v>
      </c>
      <c r="K593" s="1442"/>
      <c r="L593" s="1442"/>
      <c r="M593" s="51"/>
      <c r="N593" s="561"/>
      <c r="O593" s="51"/>
      <c r="S593" s="52"/>
      <c r="T593" s="52"/>
      <c r="U593" s="52"/>
      <c r="V593" s="4199"/>
      <c r="W593" s="213"/>
      <c r="X593" s="214"/>
      <c r="Y593" s="213"/>
      <c r="Z593" s="3298">
        <v>1</v>
      </c>
      <c r="AA593" s="3297">
        <v>1</v>
      </c>
      <c r="AB593" s="3297">
        <v>1</v>
      </c>
      <c r="AC593" s="3297">
        <v>1</v>
      </c>
      <c r="AD593" s="3297">
        <v>1</v>
      </c>
      <c r="AE593" s="3297">
        <v>1</v>
      </c>
      <c r="AF593" s="2236">
        <f t="shared" si="67"/>
        <v>1</v>
      </c>
      <c r="AG593" s="213"/>
      <c r="DG593" s="1093"/>
      <c r="DH593" s="188"/>
      <c r="DI593" s="1091"/>
      <c r="DJ593" s="1187"/>
    </row>
    <row r="594" spans="1:114" ht="14.65" customHeight="1" outlineLevel="1">
      <c r="A594" s="453"/>
      <c r="C594" s="51"/>
      <c r="D594" s="4199"/>
      <c r="E594" s="4199"/>
      <c r="F594" s="4292" t="s">
        <v>1899</v>
      </c>
      <c r="G594" s="4292"/>
      <c r="H594" s="4292"/>
      <c r="I594" s="3295" t="str">
        <f t="shared" si="68"/>
        <v>351193_2024_12_</v>
      </c>
      <c r="J594" s="3296">
        <v>1</v>
      </c>
      <c r="K594" s="1442"/>
      <c r="L594" s="1442"/>
      <c r="M594" s="51"/>
      <c r="N594" s="561"/>
      <c r="O594" s="51"/>
      <c r="S594" s="52"/>
      <c r="T594" s="52"/>
      <c r="U594" s="52"/>
      <c r="V594" s="4199"/>
      <c r="W594" s="213"/>
      <c r="X594" s="214"/>
      <c r="Y594" s="213"/>
      <c r="Z594" s="3298">
        <v>1</v>
      </c>
      <c r="AA594" s="3297">
        <v>1</v>
      </c>
      <c r="AB594" s="3297">
        <v>1</v>
      </c>
      <c r="AC594" s="3297">
        <v>1</v>
      </c>
      <c r="AD594" s="3297">
        <v>1</v>
      </c>
      <c r="AE594" s="3297">
        <v>1</v>
      </c>
      <c r="AF594" s="2236">
        <f t="shared" si="67"/>
        <v>1</v>
      </c>
      <c r="AG594" s="213"/>
      <c r="DG594" s="1093"/>
      <c r="DH594" s="188"/>
      <c r="DI594" s="1091"/>
      <c r="DJ594" s="1187"/>
    </row>
    <row r="595" spans="1:114" ht="14.65" customHeight="1" outlineLevel="1">
      <c r="A595" s="453"/>
      <c r="C595" s="51"/>
      <c r="D595" s="4199"/>
      <c r="E595" s="4199"/>
      <c r="F595" s="4292" t="s">
        <v>1900</v>
      </c>
      <c r="G595" s="4292"/>
      <c r="H595" s="4292"/>
      <c r="I595" s="3295" t="str">
        <f t="shared" si="68"/>
        <v>351193_2024_12_</v>
      </c>
      <c r="J595" s="3296">
        <v>1</v>
      </c>
      <c r="K595" s="1442"/>
      <c r="L595" s="1442"/>
      <c r="M595" s="51"/>
      <c r="N595" s="561"/>
      <c r="O595" s="51"/>
      <c r="S595" s="52"/>
      <c r="T595" s="52"/>
      <c r="U595" s="52"/>
      <c r="V595" s="4199"/>
      <c r="W595" s="213"/>
      <c r="X595" s="214"/>
      <c r="Y595" s="213"/>
      <c r="Z595" s="3298">
        <v>1</v>
      </c>
      <c r="AA595" s="3297">
        <v>1</v>
      </c>
      <c r="AB595" s="3297">
        <v>1</v>
      </c>
      <c r="AC595" s="3297">
        <v>1</v>
      </c>
      <c r="AD595" s="3297">
        <v>1</v>
      </c>
      <c r="AE595" s="3297">
        <v>1</v>
      </c>
      <c r="AF595" s="2236">
        <f t="shared" si="67"/>
        <v>1</v>
      </c>
      <c r="AG595" s="213"/>
      <c r="DG595" s="1093"/>
      <c r="DH595" s="188"/>
      <c r="DI595" s="1091"/>
      <c r="DJ595" s="1187"/>
    </row>
    <row r="596" spans="1:114" ht="14.65" customHeight="1" outlineLevel="1">
      <c r="A596" s="453"/>
      <c r="C596" s="51"/>
      <c r="D596" s="4199"/>
      <c r="E596" s="4199"/>
      <c r="F596" s="4292" t="s">
        <v>1902</v>
      </c>
      <c r="G596" s="4292"/>
      <c r="H596" s="4292"/>
      <c r="I596" s="3295" t="str">
        <f t="shared" si="68"/>
        <v>351194_2024_12_</v>
      </c>
      <c r="J596" s="3296">
        <v>1</v>
      </c>
      <c r="K596" s="1442"/>
      <c r="L596" s="1442"/>
      <c r="M596" s="51"/>
      <c r="N596" s="561"/>
      <c r="O596" s="51"/>
      <c r="S596" s="52"/>
      <c r="T596" s="52"/>
      <c r="U596" s="52"/>
      <c r="V596" s="4199"/>
      <c r="W596" s="213"/>
      <c r="X596" s="214"/>
      <c r="Y596" s="213"/>
      <c r="Z596" s="3298">
        <v>1</v>
      </c>
      <c r="AA596" s="3297">
        <v>1</v>
      </c>
      <c r="AB596" s="3297">
        <v>1</v>
      </c>
      <c r="AC596" s="3297">
        <v>1</v>
      </c>
      <c r="AD596" s="3297">
        <v>1</v>
      </c>
      <c r="AE596" s="3297">
        <v>1</v>
      </c>
      <c r="AF596" s="2236">
        <f t="shared" si="67"/>
        <v>1</v>
      </c>
      <c r="AG596" s="213"/>
      <c r="DG596" s="1093"/>
      <c r="DH596" s="188"/>
      <c r="DI596" s="1091"/>
      <c r="DJ596" s="1187"/>
    </row>
    <row r="597" spans="1:114" ht="14.65" customHeight="1" outlineLevel="1">
      <c r="A597" s="453"/>
      <c r="C597" s="51"/>
      <c r="D597" s="4199"/>
      <c r="E597" s="4199"/>
      <c r="F597" s="4292" t="s">
        <v>1904</v>
      </c>
      <c r="G597" s="4292"/>
      <c r="H597" s="4292"/>
      <c r="I597" s="3295" t="str">
        <f t="shared" si="68"/>
        <v>351195_2024_12_</v>
      </c>
      <c r="J597" s="3296">
        <v>1</v>
      </c>
      <c r="K597" s="1442"/>
      <c r="L597" s="1442"/>
      <c r="M597" s="51"/>
      <c r="N597" s="561"/>
      <c r="O597" s="51"/>
      <c r="S597" s="52"/>
      <c r="T597" s="52"/>
      <c r="U597" s="52"/>
      <c r="V597" s="4199"/>
      <c r="W597" s="213"/>
      <c r="X597" s="214"/>
      <c r="Y597" s="213"/>
      <c r="Z597" s="3298">
        <v>1</v>
      </c>
      <c r="AA597" s="3297">
        <v>1</v>
      </c>
      <c r="AB597" s="3297">
        <v>1</v>
      </c>
      <c r="AC597" s="3297">
        <v>1</v>
      </c>
      <c r="AD597" s="3297">
        <v>1</v>
      </c>
      <c r="AE597" s="3297">
        <v>1</v>
      </c>
      <c r="AF597" s="2236">
        <f t="shared" si="67"/>
        <v>1</v>
      </c>
      <c r="AG597" s="213"/>
      <c r="DG597" s="1093"/>
      <c r="DH597" s="188"/>
      <c r="DI597" s="1091"/>
      <c r="DJ597" s="1187"/>
    </row>
    <row r="598" spans="1:114" outlineLevel="1">
      <c r="A598" s="453"/>
      <c r="C598" s="51"/>
      <c r="D598" s="1377" t="s">
        <v>128</v>
      </c>
      <c r="E598" s="1377" t="s">
        <v>1398</v>
      </c>
      <c r="F598" s="4340" t="s">
        <v>1102</v>
      </c>
      <c r="G598" s="4340"/>
      <c r="H598" s="4340"/>
      <c r="I598" s="1760" t="s">
        <v>1102</v>
      </c>
      <c r="J598" s="1662">
        <v>0.998</v>
      </c>
      <c r="K598" s="1378"/>
      <c r="L598" s="1411" t="s">
        <v>1952</v>
      </c>
      <c r="M598" s="51"/>
      <c r="N598" s="561"/>
      <c r="O598" s="51"/>
      <c r="S598" s="52"/>
      <c r="T598" s="52"/>
      <c r="U598" s="52"/>
      <c r="V598" s="1377" t="s">
        <v>128</v>
      </c>
      <c r="W598" s="213"/>
      <c r="X598" s="214"/>
      <c r="Y598" s="213"/>
      <c r="Z598" s="214"/>
      <c r="AA598" s="213"/>
      <c r="AB598" s="214">
        <v>1</v>
      </c>
      <c r="AC598" s="1850">
        <v>0.998</v>
      </c>
      <c r="AD598" s="1779">
        <v>0.998</v>
      </c>
      <c r="AE598" s="1779">
        <v>0.998</v>
      </c>
      <c r="AF598" s="271">
        <f t="shared" si="67"/>
        <v>0.998</v>
      </c>
      <c r="AG598" s="213"/>
      <c r="DG598" s="1093"/>
      <c r="DH598" s="188"/>
      <c r="DI598" s="1091"/>
      <c r="DJ598" s="1187"/>
    </row>
    <row r="599" spans="1:114" ht="14.65" customHeight="1" outlineLevel="1">
      <c r="A599" s="453"/>
      <c r="C599" s="51"/>
      <c r="D599" s="4293" t="s">
        <v>49</v>
      </c>
      <c r="E599" s="4293" t="s">
        <v>49</v>
      </c>
      <c r="F599" s="4339" t="s">
        <v>1784</v>
      </c>
      <c r="G599" s="4339"/>
      <c r="H599" s="4339"/>
      <c r="I599" s="3295" t="str">
        <f t="shared" ref="I599:I662" si="69">I526</f>
        <v>350400_2024_12_</v>
      </c>
      <c r="J599" s="3299">
        <v>6</v>
      </c>
      <c r="K599" s="1442"/>
      <c r="L599" s="4367" t="s">
        <v>1953</v>
      </c>
      <c r="M599" s="51"/>
      <c r="N599" s="561"/>
      <c r="O599" s="51"/>
      <c r="S599" s="52"/>
      <c r="T599" s="52"/>
      <c r="U599" s="52"/>
      <c r="V599" s="4293" t="str">
        <f>D599</f>
        <v>EUL</v>
      </c>
      <c r="W599" s="3300">
        <v>6</v>
      </c>
      <c r="X599" s="3300">
        <v>6</v>
      </c>
      <c r="Y599" s="3300">
        <v>6</v>
      </c>
      <c r="Z599" s="3300">
        <v>6</v>
      </c>
      <c r="AA599" s="3300">
        <v>6</v>
      </c>
      <c r="AB599" s="3300">
        <v>6</v>
      </c>
      <c r="AC599" s="3301">
        <v>6</v>
      </c>
      <c r="AD599" s="3302">
        <v>6</v>
      </c>
      <c r="AE599" s="3302">
        <v>6</v>
      </c>
      <c r="AF599" s="2236">
        <f t="shared" si="67"/>
        <v>6</v>
      </c>
      <c r="AG599" s="216"/>
      <c r="DG599" s="1093"/>
      <c r="DH599" s="188"/>
      <c r="DI599" s="1091"/>
      <c r="DJ599" s="1187"/>
    </row>
    <row r="600" spans="1:114" ht="14.65" customHeight="1" outlineLevel="1">
      <c r="A600" s="453"/>
      <c r="C600" s="51"/>
      <c r="D600" s="4293"/>
      <c r="E600" s="4293"/>
      <c r="F600" s="4292" t="s">
        <v>1785</v>
      </c>
      <c r="G600" s="4292"/>
      <c r="H600" s="4292"/>
      <c r="I600" s="3295" t="str">
        <f t="shared" si="69"/>
        <v>350400_2024_12_</v>
      </c>
      <c r="J600" s="3299">
        <v>12</v>
      </c>
      <c r="K600" s="1442"/>
      <c r="L600" s="4368"/>
      <c r="M600" s="51"/>
      <c r="N600" s="561"/>
      <c r="O600" s="51"/>
      <c r="S600" s="52"/>
      <c r="T600" s="52"/>
      <c r="U600" s="52"/>
      <c r="V600" s="4293"/>
      <c r="W600" s="3300">
        <v>12</v>
      </c>
      <c r="X600" s="3300">
        <v>12</v>
      </c>
      <c r="Y600" s="3300">
        <v>12</v>
      </c>
      <c r="Z600" s="3300">
        <v>12</v>
      </c>
      <c r="AA600" s="3300">
        <v>12</v>
      </c>
      <c r="AB600" s="3300">
        <v>12</v>
      </c>
      <c r="AC600" s="3301">
        <v>12</v>
      </c>
      <c r="AD600" s="3302">
        <v>12</v>
      </c>
      <c r="AE600" s="3302">
        <v>12</v>
      </c>
      <c r="AF600" s="2236">
        <f t="shared" si="67"/>
        <v>12</v>
      </c>
      <c r="AG600" s="216"/>
      <c r="DG600" s="1093"/>
      <c r="DH600" s="188"/>
      <c r="DI600" s="1091"/>
      <c r="DJ600" s="1187"/>
    </row>
    <row r="601" spans="1:114" ht="14.65" customHeight="1" outlineLevel="1">
      <c r="A601" s="453"/>
      <c r="C601" s="51"/>
      <c r="D601" s="4293"/>
      <c r="E601" s="4293"/>
      <c r="F601" s="4292" t="s">
        <v>1788</v>
      </c>
      <c r="G601" s="4292"/>
      <c r="H601" s="4292"/>
      <c r="I601" s="3295" t="str">
        <f t="shared" si="69"/>
        <v>350450_2024_12_</v>
      </c>
      <c r="J601" s="3299">
        <v>18</v>
      </c>
      <c r="K601" s="1442"/>
      <c r="L601" s="4368"/>
      <c r="M601" s="51"/>
      <c r="N601" s="561"/>
      <c r="O601" s="51"/>
      <c r="S601" s="52"/>
      <c r="T601" s="52"/>
      <c r="U601" s="52"/>
      <c r="V601" s="4293"/>
      <c r="W601" s="3300">
        <v>18</v>
      </c>
      <c r="X601" s="3300">
        <v>18</v>
      </c>
      <c r="Y601" s="3300">
        <v>18</v>
      </c>
      <c r="Z601" s="3300">
        <v>18</v>
      </c>
      <c r="AA601" s="3300">
        <v>18</v>
      </c>
      <c r="AB601" s="3300">
        <v>18</v>
      </c>
      <c r="AC601" s="3301">
        <v>18</v>
      </c>
      <c r="AD601" s="3302">
        <v>18</v>
      </c>
      <c r="AE601" s="3302">
        <v>18</v>
      </c>
      <c r="AF601" s="2236">
        <f t="shared" si="67"/>
        <v>18</v>
      </c>
      <c r="AG601" s="216"/>
      <c r="DG601" s="1093"/>
      <c r="DH601" s="188"/>
      <c r="DI601" s="1091"/>
      <c r="DJ601" s="1187"/>
    </row>
    <row r="602" spans="1:114" ht="14.65" customHeight="1" outlineLevel="1">
      <c r="A602" s="453"/>
      <c r="C602" s="51"/>
      <c r="D602" s="4293"/>
      <c r="E602" s="4293"/>
      <c r="F602" s="4292" t="s">
        <v>1790</v>
      </c>
      <c r="G602" s="4292"/>
      <c r="H602" s="4292"/>
      <c r="I602" s="3295" t="str">
        <f t="shared" si="69"/>
        <v>350500_2024_12_</v>
      </c>
      <c r="J602" s="3299">
        <v>6</v>
      </c>
      <c r="K602" s="1442"/>
      <c r="L602" s="4368"/>
      <c r="M602" s="51"/>
      <c r="N602" s="561"/>
      <c r="O602" s="51"/>
      <c r="S602" s="52"/>
      <c r="T602" s="52"/>
      <c r="U602" s="52"/>
      <c r="V602" s="4293"/>
      <c r="W602" s="3300">
        <v>6</v>
      </c>
      <c r="X602" s="3300">
        <v>6</v>
      </c>
      <c r="Y602" s="3300">
        <v>6</v>
      </c>
      <c r="Z602" s="3300">
        <v>6</v>
      </c>
      <c r="AA602" s="3300">
        <v>6</v>
      </c>
      <c r="AB602" s="3300">
        <v>6</v>
      </c>
      <c r="AC602" s="3301">
        <v>6</v>
      </c>
      <c r="AD602" s="3302">
        <v>6</v>
      </c>
      <c r="AE602" s="3302">
        <v>6</v>
      </c>
      <c r="AF602" s="2236">
        <f t="shared" si="67"/>
        <v>6</v>
      </c>
      <c r="AG602" s="216"/>
      <c r="DG602" s="1093"/>
      <c r="DH602" s="188"/>
      <c r="DI602" s="1091"/>
      <c r="DJ602" s="1187"/>
    </row>
    <row r="603" spans="1:114" ht="14.65" customHeight="1" outlineLevel="1">
      <c r="A603" s="453"/>
      <c r="C603" s="51"/>
      <c r="D603" s="4293"/>
      <c r="E603" s="4293"/>
      <c r="F603" s="4292" t="s">
        <v>1791</v>
      </c>
      <c r="G603" s="4292"/>
      <c r="H603" s="4292"/>
      <c r="I603" s="3295" t="str">
        <f t="shared" si="69"/>
        <v>350500_2024_12_</v>
      </c>
      <c r="J603" s="3299">
        <v>12</v>
      </c>
      <c r="K603" s="1442"/>
      <c r="L603" s="4368"/>
      <c r="M603" s="51"/>
      <c r="N603" s="561"/>
      <c r="O603" s="51"/>
      <c r="S603" s="52"/>
      <c r="T603" s="52"/>
      <c r="U603" s="52"/>
      <c r="V603" s="4293"/>
      <c r="W603" s="3300">
        <v>12</v>
      </c>
      <c r="X603" s="3300">
        <v>12</v>
      </c>
      <c r="Y603" s="3300">
        <v>12</v>
      </c>
      <c r="Z603" s="3300">
        <v>12</v>
      </c>
      <c r="AA603" s="3300">
        <v>12</v>
      </c>
      <c r="AB603" s="3300">
        <v>12</v>
      </c>
      <c r="AC603" s="3301">
        <v>12</v>
      </c>
      <c r="AD603" s="3302">
        <v>12</v>
      </c>
      <c r="AE603" s="3302">
        <v>12</v>
      </c>
      <c r="AF603" s="2236">
        <f t="shared" si="67"/>
        <v>12</v>
      </c>
      <c r="AG603" s="216"/>
      <c r="DG603" s="1093"/>
      <c r="DH603" s="188"/>
      <c r="DI603" s="1091"/>
      <c r="DJ603" s="1187"/>
    </row>
    <row r="604" spans="1:114" ht="14.65" customHeight="1" outlineLevel="1">
      <c r="A604" s="453"/>
      <c r="C604" s="51"/>
      <c r="D604" s="4293"/>
      <c r="E604" s="4293"/>
      <c r="F604" s="4292" t="s">
        <v>1793</v>
      </c>
      <c r="G604" s="4292"/>
      <c r="H604" s="4292"/>
      <c r="I604" s="3295" t="str">
        <f t="shared" si="69"/>
        <v>350501_2024_12_</v>
      </c>
      <c r="J604" s="3299">
        <v>6</v>
      </c>
      <c r="K604" s="1442"/>
      <c r="L604" s="4368"/>
      <c r="M604" s="51"/>
      <c r="N604" s="561"/>
      <c r="O604" s="51"/>
      <c r="S604" s="52"/>
      <c r="T604" s="52"/>
      <c r="U604" s="52"/>
      <c r="V604" s="4293"/>
      <c r="W604" s="3300"/>
      <c r="X604" s="3300"/>
      <c r="Y604" s="3300">
        <v>6</v>
      </c>
      <c r="Z604" s="3300">
        <v>6</v>
      </c>
      <c r="AA604" s="3300">
        <v>6</v>
      </c>
      <c r="AB604" s="3300">
        <v>6</v>
      </c>
      <c r="AC604" s="3301">
        <v>6</v>
      </c>
      <c r="AD604" s="3302">
        <v>6</v>
      </c>
      <c r="AE604" s="3302">
        <v>6</v>
      </c>
      <c r="AF604" s="2236">
        <f t="shared" si="67"/>
        <v>6</v>
      </c>
      <c r="AG604" s="216"/>
      <c r="DG604" s="1093"/>
      <c r="DH604" s="188"/>
      <c r="DI604" s="1091"/>
      <c r="DJ604" s="1187"/>
    </row>
    <row r="605" spans="1:114" ht="14.65" customHeight="1" outlineLevel="1">
      <c r="A605" s="453"/>
      <c r="C605" s="51"/>
      <c r="D605" s="4293"/>
      <c r="E605" s="4293"/>
      <c r="F605" s="4292" t="s">
        <v>1794</v>
      </c>
      <c r="G605" s="4292"/>
      <c r="H605" s="4292"/>
      <c r="I605" s="3295" t="str">
        <f t="shared" si="69"/>
        <v>350501_2024_12_</v>
      </c>
      <c r="J605" s="3299">
        <v>12</v>
      </c>
      <c r="K605" s="1442"/>
      <c r="L605" s="4368"/>
      <c r="M605" s="51"/>
      <c r="N605" s="561"/>
      <c r="O605" s="51"/>
      <c r="S605" s="52"/>
      <c r="T605" s="52"/>
      <c r="U605" s="52"/>
      <c r="V605" s="4293"/>
      <c r="W605" s="3300"/>
      <c r="X605" s="3300"/>
      <c r="Y605" s="3300">
        <v>12</v>
      </c>
      <c r="Z605" s="3300">
        <v>12</v>
      </c>
      <c r="AA605" s="3300">
        <v>12</v>
      </c>
      <c r="AB605" s="3300">
        <v>12</v>
      </c>
      <c r="AC605" s="3301">
        <v>12</v>
      </c>
      <c r="AD605" s="3302">
        <v>12</v>
      </c>
      <c r="AE605" s="3302">
        <v>12</v>
      </c>
      <c r="AF605" s="2236">
        <f t="shared" si="67"/>
        <v>12</v>
      </c>
      <c r="AG605" s="216"/>
      <c r="DG605" s="1093"/>
      <c r="DH605" s="188"/>
      <c r="DI605" s="1091"/>
      <c r="DJ605" s="1187"/>
    </row>
    <row r="606" spans="1:114" ht="14.65" customHeight="1" outlineLevel="1">
      <c r="A606" s="453"/>
      <c r="C606" s="51"/>
      <c r="D606" s="4293"/>
      <c r="E606" s="4293"/>
      <c r="F606" s="4292" t="s">
        <v>1796</v>
      </c>
      <c r="G606" s="4292"/>
      <c r="H606" s="4292"/>
      <c r="I606" s="3295" t="str">
        <f t="shared" si="69"/>
        <v>350550_2024_12_</v>
      </c>
      <c r="J606" s="3299">
        <v>18</v>
      </c>
      <c r="K606" s="1442"/>
      <c r="L606" s="4368"/>
      <c r="M606" s="51"/>
      <c r="N606" s="561"/>
      <c r="O606" s="51"/>
      <c r="S606" s="52"/>
      <c r="T606" s="52"/>
      <c r="U606" s="52"/>
      <c r="V606" s="4293"/>
      <c r="W606" s="3300">
        <v>16</v>
      </c>
      <c r="X606" s="3300">
        <v>16</v>
      </c>
      <c r="Y606" s="3303">
        <v>18</v>
      </c>
      <c r="Z606" s="3300">
        <v>18</v>
      </c>
      <c r="AA606" s="3300">
        <v>18</v>
      </c>
      <c r="AB606" s="3300">
        <v>18</v>
      </c>
      <c r="AC606" s="3301">
        <v>18</v>
      </c>
      <c r="AD606" s="3302">
        <v>18</v>
      </c>
      <c r="AE606" s="3302">
        <v>18</v>
      </c>
      <c r="AF606" s="2236">
        <f t="shared" si="67"/>
        <v>18</v>
      </c>
      <c r="AG606" s="216"/>
      <c r="DG606" s="1093"/>
      <c r="DH606" s="188"/>
      <c r="DI606" s="1091"/>
      <c r="DJ606" s="1187"/>
    </row>
    <row r="607" spans="1:114" ht="14.65" customHeight="1" outlineLevel="1">
      <c r="A607" s="453"/>
      <c r="C607" s="51"/>
      <c r="D607" s="4293"/>
      <c r="E607" s="4293"/>
      <c r="F607" s="4292" t="s">
        <v>1798</v>
      </c>
      <c r="G607" s="4292"/>
      <c r="H607" s="4292"/>
      <c r="I607" s="3295" t="str">
        <f t="shared" si="69"/>
        <v>350551_2024_12_</v>
      </c>
      <c r="J607" s="3299">
        <v>18</v>
      </c>
      <c r="K607" s="1442"/>
      <c r="L607" s="4368"/>
      <c r="M607" s="51"/>
      <c r="N607" s="561"/>
      <c r="O607" s="51"/>
      <c r="S607" s="52"/>
      <c r="T607" s="52"/>
      <c r="U607" s="52"/>
      <c r="V607" s="4293"/>
      <c r="W607" s="3300"/>
      <c r="X607" s="3300"/>
      <c r="Y607" s="3300">
        <v>18</v>
      </c>
      <c r="Z607" s="3300">
        <v>18</v>
      </c>
      <c r="AA607" s="3300">
        <v>18</v>
      </c>
      <c r="AB607" s="3300">
        <v>18</v>
      </c>
      <c r="AC607" s="3301">
        <v>18</v>
      </c>
      <c r="AD607" s="3302">
        <v>18</v>
      </c>
      <c r="AE607" s="3302">
        <v>18</v>
      </c>
      <c r="AF607" s="2236">
        <f t="shared" si="67"/>
        <v>18</v>
      </c>
      <c r="AG607" s="216"/>
      <c r="DG607" s="1093"/>
      <c r="DH607" s="188"/>
      <c r="DI607" s="1091"/>
      <c r="DJ607" s="1187"/>
    </row>
    <row r="608" spans="1:114" ht="14.65" customHeight="1" outlineLevel="1">
      <c r="A608" s="453"/>
      <c r="C608" s="51"/>
      <c r="D608" s="4293"/>
      <c r="E608" s="4293"/>
      <c r="F608" s="4338" t="s">
        <v>1801</v>
      </c>
      <c r="G608" s="4338"/>
      <c r="H608" s="4338"/>
      <c r="I608" s="927" t="str">
        <f t="shared" si="69"/>
        <v>350600_2024_12_</v>
      </c>
      <c r="J608" s="1792">
        <v>6</v>
      </c>
      <c r="K608" s="1442"/>
      <c r="L608" s="4368"/>
      <c r="M608" s="51"/>
      <c r="N608" s="561"/>
      <c r="O608" s="51"/>
      <c r="S608" s="52"/>
      <c r="T608" s="52"/>
      <c r="U608" s="52"/>
      <c r="V608" s="4293"/>
      <c r="W608" s="216">
        <v>6</v>
      </c>
      <c r="X608" s="216">
        <v>6</v>
      </c>
      <c r="Y608" s="216">
        <v>6</v>
      </c>
      <c r="Z608" s="216">
        <v>6</v>
      </c>
      <c r="AA608" s="216">
        <v>6</v>
      </c>
      <c r="AB608" s="216">
        <v>6</v>
      </c>
      <c r="AC608" s="954">
        <v>6</v>
      </c>
      <c r="AD608" s="928">
        <v>6</v>
      </c>
      <c r="AE608" s="928">
        <v>6</v>
      </c>
      <c r="AF608" s="271">
        <f t="shared" si="67"/>
        <v>6</v>
      </c>
      <c r="AG608" s="216"/>
      <c r="DG608" s="1093"/>
      <c r="DH608" s="188"/>
      <c r="DI608" s="1091"/>
      <c r="DJ608" s="1187"/>
    </row>
    <row r="609" spans="1:114" ht="14.65" customHeight="1" outlineLevel="1">
      <c r="A609" s="453"/>
      <c r="C609" s="51"/>
      <c r="D609" s="4293"/>
      <c r="E609" s="4293"/>
      <c r="F609" s="4338" t="s">
        <v>1802</v>
      </c>
      <c r="G609" s="4338"/>
      <c r="H609" s="4338"/>
      <c r="I609" s="927" t="str">
        <f t="shared" si="69"/>
        <v>350600_2024_12_</v>
      </c>
      <c r="J609" s="1792">
        <v>12</v>
      </c>
      <c r="K609" s="1442"/>
      <c r="L609" s="4368"/>
      <c r="M609" s="51"/>
      <c r="N609" s="561"/>
      <c r="O609" s="51"/>
      <c r="S609" s="52"/>
      <c r="T609" s="52"/>
      <c r="U609" s="52"/>
      <c r="V609" s="4293"/>
      <c r="W609" s="216">
        <v>12</v>
      </c>
      <c r="X609" s="216">
        <v>12</v>
      </c>
      <c r="Y609" s="216">
        <v>12</v>
      </c>
      <c r="Z609" s="216">
        <v>12</v>
      </c>
      <c r="AA609" s="216">
        <v>12</v>
      </c>
      <c r="AB609" s="216">
        <v>12</v>
      </c>
      <c r="AC609" s="954">
        <v>12</v>
      </c>
      <c r="AD609" s="928">
        <v>12</v>
      </c>
      <c r="AE609" s="928">
        <v>12</v>
      </c>
      <c r="AF609" s="271">
        <f t="shared" si="67"/>
        <v>12</v>
      </c>
      <c r="AG609" s="216"/>
      <c r="DG609" s="1093"/>
      <c r="DH609" s="188"/>
      <c r="DI609" s="1091"/>
      <c r="DJ609" s="1187"/>
    </row>
    <row r="610" spans="1:114" ht="14.65" customHeight="1" outlineLevel="1">
      <c r="A610" s="453"/>
      <c r="C610" s="51"/>
      <c r="D610" s="4293"/>
      <c r="E610" s="4293"/>
      <c r="F610" s="4338" t="s">
        <v>1804</v>
      </c>
      <c r="G610" s="4338"/>
      <c r="H610" s="4338"/>
      <c r="I610" s="927" t="str">
        <f t="shared" si="69"/>
        <v>350650_2024_12_</v>
      </c>
      <c r="J610" s="1792">
        <v>18</v>
      </c>
      <c r="K610" s="1442"/>
      <c r="L610" s="4368"/>
      <c r="M610" s="51"/>
      <c r="N610" s="561"/>
      <c r="O610" s="51"/>
      <c r="S610" s="52"/>
      <c r="T610" s="52"/>
      <c r="U610" s="52"/>
      <c r="V610" s="4293"/>
      <c r="W610" s="216">
        <v>18</v>
      </c>
      <c r="X610" s="216">
        <v>18</v>
      </c>
      <c r="Y610" s="216">
        <v>18</v>
      </c>
      <c r="Z610" s="216">
        <v>18</v>
      </c>
      <c r="AA610" s="216">
        <v>18</v>
      </c>
      <c r="AB610" s="216">
        <v>18</v>
      </c>
      <c r="AC610" s="954">
        <v>18</v>
      </c>
      <c r="AD610" s="928">
        <v>18</v>
      </c>
      <c r="AE610" s="928">
        <v>18</v>
      </c>
      <c r="AF610" s="271">
        <f t="shared" si="67"/>
        <v>18</v>
      </c>
      <c r="AG610" s="216"/>
      <c r="DG610" s="1093"/>
      <c r="DH610" s="188"/>
      <c r="DI610" s="1091"/>
      <c r="DJ610" s="1187"/>
    </row>
    <row r="611" spans="1:114" ht="14.65" customHeight="1" outlineLevel="1">
      <c r="A611" s="453"/>
      <c r="C611" s="51"/>
      <c r="D611" s="4293"/>
      <c r="E611" s="4293"/>
      <c r="F611" s="4292" t="s">
        <v>1806</v>
      </c>
      <c r="G611" s="4292"/>
      <c r="H611" s="4292"/>
      <c r="I611" s="3295" t="str">
        <f t="shared" si="69"/>
        <v>350700_2024_12_</v>
      </c>
      <c r="J611" s="3299">
        <v>6</v>
      </c>
      <c r="K611" s="1442"/>
      <c r="L611" s="4368"/>
      <c r="M611" s="51"/>
      <c r="N611" s="561"/>
      <c r="O611" s="51"/>
      <c r="S611" s="52"/>
      <c r="T611" s="52"/>
      <c r="U611" s="52"/>
      <c r="V611" s="4293"/>
      <c r="W611" s="3300">
        <v>6</v>
      </c>
      <c r="X611" s="3300">
        <v>6</v>
      </c>
      <c r="Y611" s="3300">
        <v>6</v>
      </c>
      <c r="Z611" s="3300">
        <v>6</v>
      </c>
      <c r="AA611" s="3300">
        <v>6</v>
      </c>
      <c r="AB611" s="3300">
        <v>6</v>
      </c>
      <c r="AC611" s="3301">
        <v>6</v>
      </c>
      <c r="AD611" s="3302">
        <v>6</v>
      </c>
      <c r="AE611" s="3302">
        <v>6</v>
      </c>
      <c r="AF611" s="2236">
        <f t="shared" si="67"/>
        <v>6</v>
      </c>
      <c r="AG611" s="216"/>
      <c r="DG611" s="1093"/>
      <c r="DH611" s="188"/>
      <c r="DI611" s="1091"/>
      <c r="DJ611" s="1187"/>
    </row>
    <row r="612" spans="1:114" ht="14.65" customHeight="1" outlineLevel="1">
      <c r="A612" s="453"/>
      <c r="C612" s="51"/>
      <c r="D612" s="4293"/>
      <c r="E612" s="4293"/>
      <c r="F612" s="4292" t="s">
        <v>1807</v>
      </c>
      <c r="G612" s="4292"/>
      <c r="H612" s="4292"/>
      <c r="I612" s="3295" t="str">
        <f t="shared" si="69"/>
        <v>350700_2024_12_</v>
      </c>
      <c r="J612" s="3299">
        <v>12</v>
      </c>
      <c r="K612" s="1442"/>
      <c r="L612" s="4368"/>
      <c r="M612" s="51"/>
      <c r="N612" s="561"/>
      <c r="O612" s="51"/>
      <c r="S612" s="52"/>
      <c r="T612" s="52"/>
      <c r="U612" s="52"/>
      <c r="V612" s="4293"/>
      <c r="W612" s="3300">
        <v>12</v>
      </c>
      <c r="X612" s="3300">
        <v>12</v>
      </c>
      <c r="Y612" s="3300">
        <v>12</v>
      </c>
      <c r="Z612" s="3300">
        <v>12</v>
      </c>
      <c r="AA612" s="3300">
        <v>12</v>
      </c>
      <c r="AB612" s="3300">
        <v>12</v>
      </c>
      <c r="AC612" s="3301">
        <v>12</v>
      </c>
      <c r="AD612" s="3302">
        <v>12</v>
      </c>
      <c r="AE612" s="3302">
        <v>12</v>
      </c>
      <c r="AF612" s="2236">
        <f t="shared" si="67"/>
        <v>12</v>
      </c>
      <c r="AG612" s="216"/>
      <c r="DG612" s="1093"/>
      <c r="DH612" s="188"/>
      <c r="DI612" s="1091"/>
      <c r="DJ612" s="1187"/>
    </row>
    <row r="613" spans="1:114" ht="14.65" customHeight="1" outlineLevel="1">
      <c r="A613" s="453"/>
      <c r="C613" s="51"/>
      <c r="D613" s="4293"/>
      <c r="E613" s="4293"/>
      <c r="F613" s="4292" t="s">
        <v>1809</v>
      </c>
      <c r="G613" s="4292"/>
      <c r="H613" s="4292"/>
      <c r="I613" s="3295" t="str">
        <f t="shared" si="69"/>
        <v>350701_2024_12_</v>
      </c>
      <c r="J613" s="3299">
        <v>6</v>
      </c>
      <c r="K613" s="1442"/>
      <c r="L613" s="4368"/>
      <c r="M613" s="51"/>
      <c r="N613" s="561"/>
      <c r="O613" s="51"/>
      <c r="S613" s="52"/>
      <c r="T613" s="52"/>
      <c r="U613" s="52"/>
      <c r="V613" s="4293"/>
      <c r="W613" s="3300"/>
      <c r="X613" s="3300"/>
      <c r="Y613" s="3300">
        <v>6</v>
      </c>
      <c r="Z613" s="3300">
        <v>6</v>
      </c>
      <c r="AA613" s="3300">
        <v>6</v>
      </c>
      <c r="AB613" s="3300">
        <v>6</v>
      </c>
      <c r="AC613" s="3301">
        <v>6</v>
      </c>
      <c r="AD613" s="3302">
        <v>6</v>
      </c>
      <c r="AE613" s="3302">
        <v>6</v>
      </c>
      <c r="AF613" s="2236">
        <f t="shared" si="67"/>
        <v>6</v>
      </c>
      <c r="AG613" s="216"/>
      <c r="DG613" s="1093"/>
      <c r="DH613" s="188"/>
      <c r="DI613" s="1091"/>
      <c r="DJ613" s="1187"/>
    </row>
    <row r="614" spans="1:114" ht="14.65" customHeight="1" outlineLevel="1">
      <c r="A614" s="453"/>
      <c r="C614" s="51"/>
      <c r="D614" s="4293"/>
      <c r="E614" s="4293"/>
      <c r="F614" s="4292" t="s">
        <v>1810</v>
      </c>
      <c r="G614" s="4292"/>
      <c r="H614" s="4292"/>
      <c r="I614" s="3295" t="str">
        <f t="shared" si="69"/>
        <v>350701_2024_12_</v>
      </c>
      <c r="J614" s="3299">
        <v>12</v>
      </c>
      <c r="K614" s="1442"/>
      <c r="L614" s="4368"/>
      <c r="M614" s="51"/>
      <c r="N614" s="561"/>
      <c r="O614" s="51"/>
      <c r="S614" s="52"/>
      <c r="T614" s="52"/>
      <c r="U614" s="52"/>
      <c r="V614" s="4293"/>
      <c r="W614" s="3300"/>
      <c r="X614" s="3300"/>
      <c r="Y614" s="3300">
        <v>12</v>
      </c>
      <c r="Z614" s="3300">
        <v>12</v>
      </c>
      <c r="AA614" s="3300">
        <v>12</v>
      </c>
      <c r="AB614" s="3300">
        <v>12</v>
      </c>
      <c r="AC614" s="3301">
        <v>12</v>
      </c>
      <c r="AD614" s="3302">
        <v>12</v>
      </c>
      <c r="AE614" s="3302">
        <v>12</v>
      </c>
      <c r="AF614" s="2236">
        <f t="shared" ref="AF614:AF677" si="70">IF(J614&lt;&gt;"",J614,"")</f>
        <v>12</v>
      </c>
      <c r="AG614" s="216"/>
      <c r="DG614" s="1093"/>
      <c r="DH614" s="188"/>
      <c r="DI614" s="1091"/>
      <c r="DJ614" s="1187"/>
    </row>
    <row r="615" spans="1:114" ht="14.65" customHeight="1" outlineLevel="1">
      <c r="A615" s="453"/>
      <c r="C615" s="51"/>
      <c r="D615" s="4293"/>
      <c r="E615" s="4293"/>
      <c r="F615" s="4292" t="s">
        <v>1812</v>
      </c>
      <c r="G615" s="4292"/>
      <c r="H615" s="4292"/>
      <c r="I615" s="3295" t="str">
        <f t="shared" si="69"/>
        <v>350750_2024_12_</v>
      </c>
      <c r="J615" s="3299">
        <v>18</v>
      </c>
      <c r="K615" s="1442"/>
      <c r="L615" s="4368"/>
      <c r="M615" s="51"/>
      <c r="N615" s="561"/>
      <c r="O615" s="51"/>
      <c r="S615" s="52"/>
      <c r="T615" s="52"/>
      <c r="U615" s="52"/>
      <c r="V615" s="4293"/>
      <c r="W615" s="3300">
        <v>18</v>
      </c>
      <c r="X615" s="3300">
        <v>18</v>
      </c>
      <c r="Y615" s="3300">
        <v>18</v>
      </c>
      <c r="Z615" s="3300">
        <v>18</v>
      </c>
      <c r="AA615" s="3300">
        <v>18</v>
      </c>
      <c r="AB615" s="3300">
        <v>18</v>
      </c>
      <c r="AC615" s="3301">
        <v>18</v>
      </c>
      <c r="AD615" s="3302">
        <v>18</v>
      </c>
      <c r="AE615" s="3302">
        <v>18</v>
      </c>
      <c r="AF615" s="2236">
        <f t="shared" si="70"/>
        <v>18</v>
      </c>
      <c r="AG615" s="216"/>
      <c r="DG615" s="1093"/>
      <c r="DH615" s="188"/>
      <c r="DI615" s="1091"/>
      <c r="DJ615" s="1187"/>
    </row>
    <row r="616" spans="1:114" ht="14.65" customHeight="1" outlineLevel="1">
      <c r="A616" s="453"/>
      <c r="C616" s="51"/>
      <c r="D616" s="4293"/>
      <c r="E616" s="4293"/>
      <c r="F616" s="4292" t="s">
        <v>1814</v>
      </c>
      <c r="G616" s="4292"/>
      <c r="H616" s="4292"/>
      <c r="I616" s="3295" t="str">
        <f t="shared" si="69"/>
        <v>350751_2024_12_</v>
      </c>
      <c r="J616" s="3299">
        <v>18</v>
      </c>
      <c r="K616" s="1442"/>
      <c r="L616" s="4368"/>
      <c r="M616" s="51"/>
      <c r="N616" s="561"/>
      <c r="O616" s="51"/>
      <c r="S616" s="52"/>
      <c r="T616" s="52"/>
      <c r="U616" s="52"/>
      <c r="V616" s="4293"/>
      <c r="W616" s="3300"/>
      <c r="X616" s="3300"/>
      <c r="Y616" s="3300">
        <v>18</v>
      </c>
      <c r="Z616" s="3300">
        <v>18</v>
      </c>
      <c r="AA616" s="3300">
        <v>18</v>
      </c>
      <c r="AB616" s="3300">
        <v>18</v>
      </c>
      <c r="AC616" s="3301">
        <v>18</v>
      </c>
      <c r="AD616" s="3302">
        <v>18</v>
      </c>
      <c r="AE616" s="3302">
        <v>18</v>
      </c>
      <c r="AF616" s="2236">
        <f t="shared" si="70"/>
        <v>18</v>
      </c>
      <c r="AG616" s="216"/>
      <c r="DG616" s="1093"/>
      <c r="DH616" s="188"/>
      <c r="DI616" s="1091"/>
      <c r="DJ616" s="1187"/>
    </row>
    <row r="617" spans="1:114" ht="14.65" customHeight="1" outlineLevel="1">
      <c r="A617" s="453"/>
      <c r="C617" s="51"/>
      <c r="D617" s="4293"/>
      <c r="E617" s="4293"/>
      <c r="F617" s="4338" t="s">
        <v>1816</v>
      </c>
      <c r="G617" s="4338"/>
      <c r="H617" s="4338"/>
      <c r="I617" s="927" t="str">
        <f t="shared" si="69"/>
        <v>350800_2024_12_</v>
      </c>
      <c r="J617" s="1792">
        <v>6</v>
      </c>
      <c r="K617" s="1442"/>
      <c r="L617" s="4368"/>
      <c r="M617" s="51"/>
      <c r="N617" s="561"/>
      <c r="O617" s="51"/>
      <c r="S617" s="52"/>
      <c r="T617" s="52"/>
      <c r="U617" s="52"/>
      <c r="V617" s="4293"/>
      <c r="W617" s="216">
        <v>6</v>
      </c>
      <c r="X617" s="216">
        <v>6</v>
      </c>
      <c r="Y617" s="216">
        <v>6</v>
      </c>
      <c r="Z617" s="216">
        <v>6</v>
      </c>
      <c r="AA617" s="216">
        <v>6</v>
      </c>
      <c r="AB617" s="216">
        <v>6</v>
      </c>
      <c r="AC617" s="954">
        <v>6</v>
      </c>
      <c r="AD617" s="928">
        <v>6</v>
      </c>
      <c r="AE617" s="928">
        <v>6</v>
      </c>
      <c r="AF617" s="271">
        <f t="shared" si="70"/>
        <v>6</v>
      </c>
      <c r="AG617" s="216"/>
      <c r="DG617" s="1093"/>
      <c r="DH617" s="188"/>
      <c r="DI617" s="1091"/>
      <c r="DJ617" s="1187"/>
    </row>
    <row r="618" spans="1:114" ht="14.65" customHeight="1" outlineLevel="1">
      <c r="A618" s="453"/>
      <c r="C618" s="51"/>
      <c r="D618" s="4293"/>
      <c r="E618" s="4293"/>
      <c r="F618" s="4338" t="s">
        <v>1817</v>
      </c>
      <c r="G618" s="4338"/>
      <c r="H618" s="4338"/>
      <c r="I618" s="927" t="str">
        <f t="shared" si="69"/>
        <v>350800_2024_12_</v>
      </c>
      <c r="J618" s="1792">
        <v>12</v>
      </c>
      <c r="K618" s="1442"/>
      <c r="L618" s="4368"/>
      <c r="M618" s="51"/>
      <c r="N618" s="561"/>
      <c r="O618" s="51"/>
      <c r="S618" s="52"/>
      <c r="T618" s="52"/>
      <c r="U618" s="52"/>
      <c r="V618" s="4293"/>
      <c r="W618" s="216">
        <v>12</v>
      </c>
      <c r="X618" s="216">
        <v>12</v>
      </c>
      <c r="Y618" s="216">
        <v>12</v>
      </c>
      <c r="Z618" s="216">
        <v>12</v>
      </c>
      <c r="AA618" s="216">
        <v>12</v>
      </c>
      <c r="AB618" s="216">
        <v>12</v>
      </c>
      <c r="AC618" s="954">
        <v>12</v>
      </c>
      <c r="AD618" s="928">
        <v>12</v>
      </c>
      <c r="AE618" s="928">
        <v>12</v>
      </c>
      <c r="AF618" s="271">
        <f t="shared" si="70"/>
        <v>12</v>
      </c>
      <c r="AG618" s="216"/>
      <c r="DG618" s="1093"/>
      <c r="DH618" s="188"/>
      <c r="DI618" s="1091"/>
      <c r="DJ618" s="1187"/>
    </row>
    <row r="619" spans="1:114" ht="14.65" customHeight="1" outlineLevel="1">
      <c r="A619" s="453"/>
      <c r="C619" s="51"/>
      <c r="D619" s="4293"/>
      <c r="E619" s="4293"/>
      <c r="F619" s="4338" t="s">
        <v>1819</v>
      </c>
      <c r="G619" s="4338"/>
      <c r="H619" s="4338"/>
      <c r="I619" s="927" t="str">
        <f t="shared" si="69"/>
        <v>350850_2024_12_</v>
      </c>
      <c r="J619" s="1792">
        <v>18</v>
      </c>
      <c r="K619" s="1442"/>
      <c r="L619" s="4368"/>
      <c r="M619" s="51"/>
      <c r="N619" s="561"/>
      <c r="O619" s="51"/>
      <c r="S619" s="52"/>
      <c r="T619" s="52"/>
      <c r="U619" s="52"/>
      <c r="V619" s="4293"/>
      <c r="W619" s="216">
        <v>18</v>
      </c>
      <c r="X619" s="216">
        <v>18</v>
      </c>
      <c r="Y619" s="216">
        <v>18</v>
      </c>
      <c r="Z619" s="216">
        <v>18</v>
      </c>
      <c r="AA619" s="216">
        <v>18</v>
      </c>
      <c r="AB619" s="216">
        <v>18</v>
      </c>
      <c r="AC619" s="954">
        <v>18</v>
      </c>
      <c r="AD619" s="928">
        <v>18</v>
      </c>
      <c r="AE619" s="928">
        <v>18</v>
      </c>
      <c r="AF619" s="271">
        <f t="shared" si="70"/>
        <v>18</v>
      </c>
      <c r="AG619" s="216"/>
      <c r="DG619" s="1093"/>
      <c r="DH619" s="188"/>
      <c r="DI619" s="1091"/>
      <c r="DJ619" s="1187"/>
    </row>
    <row r="620" spans="1:114" ht="14.65" customHeight="1" outlineLevel="1">
      <c r="A620" s="453"/>
      <c r="C620" s="51"/>
      <c r="D620" s="4293"/>
      <c r="E620" s="4293"/>
      <c r="F620" s="4338" t="s">
        <v>1821</v>
      </c>
      <c r="G620" s="4338"/>
      <c r="H620" s="4338"/>
      <c r="I620" s="927" t="str">
        <f t="shared" si="69"/>
        <v>350900_2024_12_</v>
      </c>
      <c r="J620" s="1792">
        <v>6</v>
      </c>
      <c r="K620" s="1442"/>
      <c r="L620" s="4368"/>
      <c r="M620" s="51"/>
      <c r="N620" s="561"/>
      <c r="O620" s="51"/>
      <c r="S620" s="52"/>
      <c r="T620" s="52"/>
      <c r="U620" s="52"/>
      <c r="V620" s="4293"/>
      <c r="W620" s="216">
        <v>6</v>
      </c>
      <c r="X620" s="216">
        <v>6</v>
      </c>
      <c r="Y620" s="216">
        <v>6</v>
      </c>
      <c r="Z620" s="216">
        <v>6</v>
      </c>
      <c r="AA620" s="216">
        <v>6</v>
      </c>
      <c r="AB620" s="216">
        <v>6</v>
      </c>
      <c r="AC620" s="954">
        <v>6</v>
      </c>
      <c r="AD620" s="928">
        <v>6</v>
      </c>
      <c r="AE620" s="928">
        <v>6</v>
      </c>
      <c r="AF620" s="271">
        <f t="shared" si="70"/>
        <v>6</v>
      </c>
      <c r="AG620" s="216"/>
      <c r="DG620" s="1093"/>
      <c r="DH620" s="188"/>
      <c r="DI620" s="1091"/>
      <c r="DJ620" s="1187"/>
    </row>
    <row r="621" spans="1:114" ht="14.65" customHeight="1" outlineLevel="1">
      <c r="A621" s="453"/>
      <c r="C621" s="51"/>
      <c r="D621" s="4293"/>
      <c r="E621" s="4293"/>
      <c r="F621" s="4338" t="s">
        <v>1822</v>
      </c>
      <c r="G621" s="4338"/>
      <c r="H621" s="4338"/>
      <c r="I621" s="927" t="str">
        <f t="shared" si="69"/>
        <v>350900_2024_12_</v>
      </c>
      <c r="J621" s="1792">
        <v>12</v>
      </c>
      <c r="K621" s="1442"/>
      <c r="L621" s="4368"/>
      <c r="M621" s="51"/>
      <c r="N621" s="561"/>
      <c r="O621" s="51"/>
      <c r="S621" s="52"/>
      <c r="T621" s="52"/>
      <c r="U621" s="52"/>
      <c r="V621" s="4293"/>
      <c r="W621" s="216">
        <v>12</v>
      </c>
      <c r="X621" s="216">
        <v>12</v>
      </c>
      <c r="Y621" s="216">
        <v>12</v>
      </c>
      <c r="Z621" s="216">
        <v>12</v>
      </c>
      <c r="AA621" s="216">
        <v>12</v>
      </c>
      <c r="AB621" s="216">
        <v>12</v>
      </c>
      <c r="AC621" s="954">
        <v>12</v>
      </c>
      <c r="AD621" s="928">
        <v>12</v>
      </c>
      <c r="AE621" s="928">
        <v>12</v>
      </c>
      <c r="AF621" s="271">
        <f t="shared" si="70"/>
        <v>12</v>
      </c>
      <c r="AG621" s="216"/>
      <c r="DG621" s="1093"/>
      <c r="DH621" s="188"/>
      <c r="DI621" s="1091"/>
      <c r="DJ621" s="1187"/>
    </row>
    <row r="622" spans="1:114" ht="14.65" customHeight="1" outlineLevel="1">
      <c r="A622" s="453"/>
      <c r="C622" s="51"/>
      <c r="D622" s="4293"/>
      <c r="E622" s="4293"/>
      <c r="F622" s="4292" t="s">
        <v>1824</v>
      </c>
      <c r="G622" s="4292"/>
      <c r="H622" s="4292"/>
      <c r="I622" s="3295" t="str">
        <f t="shared" si="69"/>
        <v>350901_2024_12_</v>
      </c>
      <c r="J622" s="3299">
        <v>6</v>
      </c>
      <c r="K622" s="1442"/>
      <c r="L622" s="4368"/>
      <c r="M622" s="51"/>
      <c r="N622" s="561"/>
      <c r="O622" s="51"/>
      <c r="S622" s="52"/>
      <c r="T622" s="52"/>
      <c r="U622" s="52"/>
      <c r="V622" s="4293"/>
      <c r="W622" s="3300"/>
      <c r="X622" s="3300"/>
      <c r="Y622" s="3300">
        <v>6</v>
      </c>
      <c r="Z622" s="3300">
        <v>6</v>
      </c>
      <c r="AA622" s="3300">
        <v>6</v>
      </c>
      <c r="AB622" s="3300">
        <v>6</v>
      </c>
      <c r="AC622" s="3301">
        <v>6</v>
      </c>
      <c r="AD622" s="3302">
        <v>6</v>
      </c>
      <c r="AE622" s="3302">
        <v>6</v>
      </c>
      <c r="AF622" s="2236">
        <f t="shared" si="70"/>
        <v>6</v>
      </c>
      <c r="AG622" s="216"/>
      <c r="DG622" s="1093"/>
      <c r="DH622" s="188"/>
      <c r="DI622" s="1091"/>
      <c r="DJ622" s="1187"/>
    </row>
    <row r="623" spans="1:114" ht="14.65" customHeight="1" outlineLevel="1">
      <c r="A623" s="453"/>
      <c r="C623" s="51"/>
      <c r="D623" s="4293"/>
      <c r="E623" s="4293"/>
      <c r="F623" s="4292" t="s">
        <v>1825</v>
      </c>
      <c r="G623" s="4292"/>
      <c r="H623" s="4292"/>
      <c r="I623" s="3295" t="str">
        <f t="shared" si="69"/>
        <v>350901_2024_12_</v>
      </c>
      <c r="J623" s="3299">
        <v>12</v>
      </c>
      <c r="K623" s="1442"/>
      <c r="L623" s="4368"/>
      <c r="M623" s="51"/>
      <c r="N623" s="561"/>
      <c r="O623" s="51"/>
      <c r="S623" s="52"/>
      <c r="T623" s="52"/>
      <c r="U623" s="52"/>
      <c r="V623" s="4293"/>
      <c r="W623" s="3300"/>
      <c r="X623" s="3300"/>
      <c r="Y623" s="3300">
        <v>12</v>
      </c>
      <c r="Z623" s="3300">
        <v>12</v>
      </c>
      <c r="AA623" s="3300">
        <v>12</v>
      </c>
      <c r="AB623" s="3300">
        <v>12</v>
      </c>
      <c r="AC623" s="3301">
        <v>12</v>
      </c>
      <c r="AD623" s="3302">
        <v>12</v>
      </c>
      <c r="AE623" s="3302">
        <v>12</v>
      </c>
      <c r="AF623" s="2236">
        <f t="shared" si="70"/>
        <v>12</v>
      </c>
      <c r="AG623" s="216"/>
      <c r="DG623" s="1093"/>
      <c r="DH623" s="188"/>
      <c r="DI623" s="1091"/>
      <c r="DJ623" s="1187"/>
    </row>
    <row r="624" spans="1:114" ht="14.65" customHeight="1" outlineLevel="1">
      <c r="A624" s="453"/>
      <c r="C624" s="51"/>
      <c r="D624" s="4293"/>
      <c r="E624" s="4293"/>
      <c r="F624" s="4292" t="s">
        <v>1827</v>
      </c>
      <c r="G624" s="4292"/>
      <c r="H624" s="4292"/>
      <c r="I624" s="3295" t="str">
        <f t="shared" si="69"/>
        <v>350950_2024_12_</v>
      </c>
      <c r="J624" s="3299">
        <v>18</v>
      </c>
      <c r="K624" s="1442"/>
      <c r="L624" s="4368"/>
      <c r="M624" s="51"/>
      <c r="N624" s="561"/>
      <c r="O624" s="51"/>
      <c r="S624" s="52"/>
      <c r="T624" s="52"/>
      <c r="U624" s="52"/>
      <c r="V624" s="4293"/>
      <c r="W624" s="3300">
        <v>18</v>
      </c>
      <c r="X624" s="3300">
        <v>18</v>
      </c>
      <c r="Y624" s="3300">
        <v>18</v>
      </c>
      <c r="Z624" s="3300">
        <v>18</v>
      </c>
      <c r="AA624" s="3300">
        <v>18</v>
      </c>
      <c r="AB624" s="3300">
        <v>18</v>
      </c>
      <c r="AC624" s="3301">
        <v>18</v>
      </c>
      <c r="AD624" s="3302">
        <v>18</v>
      </c>
      <c r="AE624" s="3302">
        <v>18</v>
      </c>
      <c r="AF624" s="2236">
        <f t="shared" si="70"/>
        <v>18</v>
      </c>
      <c r="AG624" s="216"/>
      <c r="DG624" s="1093"/>
      <c r="DH624" s="188"/>
      <c r="DI624" s="1091"/>
      <c r="DJ624" s="1187"/>
    </row>
    <row r="625" spans="1:114" ht="14.65" customHeight="1" outlineLevel="1">
      <c r="A625" s="453"/>
      <c r="C625" s="51"/>
      <c r="D625" s="4293"/>
      <c r="E625" s="4293"/>
      <c r="F625" s="4292" t="s">
        <v>1829</v>
      </c>
      <c r="G625" s="4292"/>
      <c r="H625" s="4292"/>
      <c r="I625" s="3295" t="str">
        <f t="shared" si="69"/>
        <v>350951_2024_12_</v>
      </c>
      <c r="J625" s="3299">
        <v>18</v>
      </c>
      <c r="K625" s="1442"/>
      <c r="L625" s="4368"/>
      <c r="M625" s="51"/>
      <c r="N625" s="561"/>
      <c r="O625" s="51"/>
      <c r="S625" s="52"/>
      <c r="T625" s="52"/>
      <c r="U625" s="52"/>
      <c r="V625" s="4293"/>
      <c r="W625" s="3300"/>
      <c r="X625" s="3300"/>
      <c r="Y625" s="3300">
        <v>18</v>
      </c>
      <c r="Z625" s="3300">
        <v>18</v>
      </c>
      <c r="AA625" s="3300">
        <v>18</v>
      </c>
      <c r="AB625" s="3300">
        <v>18</v>
      </c>
      <c r="AC625" s="3301">
        <v>18</v>
      </c>
      <c r="AD625" s="3302">
        <v>18</v>
      </c>
      <c r="AE625" s="3302">
        <v>18</v>
      </c>
      <c r="AF625" s="2236">
        <f t="shared" si="70"/>
        <v>18</v>
      </c>
      <c r="AG625" s="216"/>
      <c r="DG625" s="1093"/>
      <c r="DH625" s="188"/>
      <c r="DI625" s="1091"/>
      <c r="DJ625" s="1187"/>
    </row>
    <row r="626" spans="1:114" ht="14.65" customHeight="1" outlineLevel="1">
      <c r="A626" s="453"/>
      <c r="C626" s="51"/>
      <c r="D626" s="4293"/>
      <c r="E626" s="4293"/>
      <c r="F626" s="4338" t="s">
        <v>1831</v>
      </c>
      <c r="G626" s="4338"/>
      <c r="H626" s="4338"/>
      <c r="I626" s="927" t="str">
        <f t="shared" si="69"/>
        <v>351000_2024_12_</v>
      </c>
      <c r="J626" s="1792">
        <v>6</v>
      </c>
      <c r="K626" s="1442"/>
      <c r="L626" s="4368"/>
      <c r="M626" s="51"/>
      <c r="N626" s="561"/>
      <c r="O626" s="51"/>
      <c r="S626" s="52"/>
      <c r="T626" s="52"/>
      <c r="U626" s="52"/>
      <c r="V626" s="4293"/>
      <c r="W626" s="216">
        <v>6</v>
      </c>
      <c r="X626" s="216">
        <v>6</v>
      </c>
      <c r="Y626" s="216">
        <v>6</v>
      </c>
      <c r="Z626" s="216">
        <v>6</v>
      </c>
      <c r="AA626" s="216">
        <v>6</v>
      </c>
      <c r="AB626" s="216">
        <v>6</v>
      </c>
      <c r="AC626" s="954">
        <v>6</v>
      </c>
      <c r="AD626" s="928">
        <v>6</v>
      </c>
      <c r="AE626" s="928">
        <v>6</v>
      </c>
      <c r="AF626" s="271">
        <f t="shared" si="70"/>
        <v>6</v>
      </c>
      <c r="AG626" s="216"/>
      <c r="DG626" s="1093"/>
      <c r="DH626" s="188"/>
      <c r="DI626" s="1091"/>
      <c r="DJ626" s="1187"/>
    </row>
    <row r="627" spans="1:114" ht="14.65" customHeight="1" outlineLevel="1">
      <c r="A627" s="453"/>
      <c r="C627" s="51"/>
      <c r="D627" s="4293"/>
      <c r="E627" s="4293"/>
      <c r="F627" s="4338" t="s">
        <v>1832</v>
      </c>
      <c r="G627" s="4338"/>
      <c r="H627" s="4338"/>
      <c r="I627" s="927" t="str">
        <f t="shared" si="69"/>
        <v>351000_2024_12_</v>
      </c>
      <c r="J627" s="1792">
        <v>12</v>
      </c>
      <c r="K627" s="1442"/>
      <c r="L627" s="4368"/>
      <c r="M627" s="51"/>
      <c r="N627" s="561"/>
      <c r="O627" s="51"/>
      <c r="S627" s="52"/>
      <c r="T627" s="52"/>
      <c r="U627" s="52"/>
      <c r="V627" s="4293"/>
      <c r="W627" s="216">
        <v>12</v>
      </c>
      <c r="X627" s="216">
        <v>12</v>
      </c>
      <c r="Y627" s="216">
        <v>12</v>
      </c>
      <c r="Z627" s="216">
        <v>12</v>
      </c>
      <c r="AA627" s="216">
        <v>12</v>
      </c>
      <c r="AB627" s="216">
        <v>12</v>
      </c>
      <c r="AC627" s="954">
        <v>12</v>
      </c>
      <c r="AD627" s="928">
        <v>12</v>
      </c>
      <c r="AE627" s="928">
        <v>12</v>
      </c>
      <c r="AF627" s="271">
        <f t="shared" si="70"/>
        <v>12</v>
      </c>
      <c r="AG627" s="216"/>
      <c r="DG627" s="1093"/>
      <c r="DH627" s="188"/>
      <c r="DI627" s="1091"/>
      <c r="DJ627" s="1187"/>
    </row>
    <row r="628" spans="1:114" ht="14.65" customHeight="1" outlineLevel="1">
      <c r="A628" s="453"/>
      <c r="C628" s="51"/>
      <c r="D628" s="4293"/>
      <c r="E628" s="4293"/>
      <c r="F628" s="4338" t="s">
        <v>1834</v>
      </c>
      <c r="G628" s="4338"/>
      <c r="H628" s="4338"/>
      <c r="I628" s="927" t="str">
        <f t="shared" si="69"/>
        <v>351050_2024_12_</v>
      </c>
      <c r="J628" s="1792">
        <v>18</v>
      </c>
      <c r="K628" s="1442"/>
      <c r="L628" s="4368"/>
      <c r="M628" s="51"/>
      <c r="N628" s="561"/>
      <c r="O628" s="51"/>
      <c r="S628" s="52"/>
      <c r="T628" s="52"/>
      <c r="U628" s="52"/>
      <c r="V628" s="4293"/>
      <c r="W628" s="216">
        <v>18</v>
      </c>
      <c r="X628" s="216">
        <v>18</v>
      </c>
      <c r="Y628" s="216">
        <v>18</v>
      </c>
      <c r="Z628" s="216">
        <v>18</v>
      </c>
      <c r="AA628" s="216">
        <v>18</v>
      </c>
      <c r="AB628" s="216">
        <v>18</v>
      </c>
      <c r="AC628" s="954">
        <v>18</v>
      </c>
      <c r="AD628" s="928">
        <v>18</v>
      </c>
      <c r="AE628" s="928">
        <v>18</v>
      </c>
      <c r="AF628" s="271">
        <f t="shared" si="70"/>
        <v>18</v>
      </c>
      <c r="AG628" s="216"/>
      <c r="DG628" s="1093"/>
      <c r="DH628" s="188"/>
      <c r="DI628" s="1091"/>
      <c r="DJ628" s="1187"/>
    </row>
    <row r="629" spans="1:114" ht="14.65" customHeight="1" outlineLevel="1">
      <c r="A629" s="453"/>
      <c r="C629" s="51"/>
      <c r="D629" s="4293"/>
      <c r="E629" s="4293"/>
      <c r="F629" s="4292" t="s">
        <v>1836</v>
      </c>
      <c r="G629" s="4292"/>
      <c r="H629" s="4292"/>
      <c r="I629" s="3295" t="str">
        <f t="shared" si="69"/>
        <v>351100_2024_12_</v>
      </c>
      <c r="J629" s="3299">
        <v>6</v>
      </c>
      <c r="K629" s="1442"/>
      <c r="L629" s="4368"/>
      <c r="M629" s="51"/>
      <c r="N629" s="561"/>
      <c r="O629" s="51"/>
      <c r="S629" s="52"/>
      <c r="T629" s="52"/>
      <c r="U629" s="52"/>
      <c r="V629" s="4293"/>
      <c r="W629" s="3300">
        <v>6</v>
      </c>
      <c r="X629" s="3300">
        <v>6</v>
      </c>
      <c r="Y629" s="3300">
        <v>6</v>
      </c>
      <c r="Z629" s="3300">
        <v>6</v>
      </c>
      <c r="AA629" s="3300">
        <v>6</v>
      </c>
      <c r="AB629" s="3300">
        <v>6</v>
      </c>
      <c r="AC629" s="3301">
        <v>6</v>
      </c>
      <c r="AD629" s="3302">
        <v>6</v>
      </c>
      <c r="AE629" s="3302">
        <v>6</v>
      </c>
      <c r="AF629" s="2236">
        <f t="shared" si="70"/>
        <v>6</v>
      </c>
      <c r="AG629" s="216"/>
      <c r="DG629" s="1093"/>
      <c r="DH629" s="188"/>
      <c r="DI629" s="1091"/>
      <c r="DJ629" s="1187"/>
    </row>
    <row r="630" spans="1:114" ht="14.65" customHeight="1" outlineLevel="1">
      <c r="A630" s="453"/>
      <c r="C630" s="51"/>
      <c r="D630" s="4293"/>
      <c r="E630" s="4293"/>
      <c r="F630" s="4292" t="s">
        <v>1837</v>
      </c>
      <c r="G630" s="4292"/>
      <c r="H630" s="4292"/>
      <c r="I630" s="3295" t="str">
        <f t="shared" si="69"/>
        <v>351100_2024_12_</v>
      </c>
      <c r="J630" s="3299">
        <v>12</v>
      </c>
      <c r="K630" s="1442"/>
      <c r="L630" s="4368"/>
      <c r="M630" s="51"/>
      <c r="N630" s="561"/>
      <c r="O630" s="51"/>
      <c r="S630" s="52"/>
      <c r="T630" s="52"/>
      <c r="U630" s="52"/>
      <c r="V630" s="4293"/>
      <c r="W630" s="3300">
        <v>12</v>
      </c>
      <c r="X630" s="3300">
        <v>12</v>
      </c>
      <c r="Y630" s="3300">
        <v>12</v>
      </c>
      <c r="Z630" s="3300">
        <v>12</v>
      </c>
      <c r="AA630" s="3300">
        <v>12</v>
      </c>
      <c r="AB630" s="3300">
        <v>12</v>
      </c>
      <c r="AC630" s="3301">
        <v>12</v>
      </c>
      <c r="AD630" s="3302">
        <v>12</v>
      </c>
      <c r="AE630" s="3302">
        <v>12</v>
      </c>
      <c r="AF630" s="2236">
        <f t="shared" si="70"/>
        <v>12</v>
      </c>
      <c r="AG630" s="216"/>
      <c r="DG630" s="1093"/>
      <c r="DH630" s="188"/>
      <c r="DI630" s="1091"/>
      <c r="DJ630" s="1187"/>
    </row>
    <row r="631" spans="1:114" ht="14.65" customHeight="1" outlineLevel="1">
      <c r="A631" s="453"/>
      <c r="C631" s="51"/>
      <c r="D631" s="4293"/>
      <c r="E631" s="4293"/>
      <c r="F631" s="4292" t="s">
        <v>1839</v>
      </c>
      <c r="G631" s="4292"/>
      <c r="H631" s="4292"/>
      <c r="I631" s="3295" t="str">
        <f t="shared" si="69"/>
        <v>351101_2024_12_</v>
      </c>
      <c r="J631" s="3299">
        <v>6</v>
      </c>
      <c r="K631" s="1442"/>
      <c r="L631" s="4368"/>
      <c r="M631" s="51"/>
      <c r="N631" s="561"/>
      <c r="O631" s="51"/>
      <c r="S631" s="52"/>
      <c r="T631" s="52"/>
      <c r="U631" s="52"/>
      <c r="V631" s="4293"/>
      <c r="W631" s="3300"/>
      <c r="X631" s="3300"/>
      <c r="Y631" s="3300">
        <v>6</v>
      </c>
      <c r="Z631" s="3300">
        <v>6</v>
      </c>
      <c r="AA631" s="3300">
        <v>6</v>
      </c>
      <c r="AB631" s="3300">
        <v>6</v>
      </c>
      <c r="AC631" s="3301">
        <v>6</v>
      </c>
      <c r="AD631" s="3302">
        <v>6</v>
      </c>
      <c r="AE631" s="3302">
        <v>6</v>
      </c>
      <c r="AF631" s="2236">
        <f t="shared" si="70"/>
        <v>6</v>
      </c>
      <c r="AG631" s="216"/>
      <c r="DG631" s="1093"/>
      <c r="DH631" s="188"/>
      <c r="DI631" s="1091"/>
      <c r="DJ631" s="1187"/>
    </row>
    <row r="632" spans="1:114" ht="14.65" customHeight="1" outlineLevel="1">
      <c r="A632" s="453"/>
      <c r="C632" s="51"/>
      <c r="D632" s="4293"/>
      <c r="E632" s="4293"/>
      <c r="F632" s="4292" t="s">
        <v>1840</v>
      </c>
      <c r="G632" s="4292"/>
      <c r="H632" s="4292"/>
      <c r="I632" s="3295" t="str">
        <f t="shared" si="69"/>
        <v>351101_2024_12_</v>
      </c>
      <c r="J632" s="3299">
        <v>12</v>
      </c>
      <c r="K632" s="1442"/>
      <c r="L632" s="4368"/>
      <c r="M632" s="51"/>
      <c r="N632" s="561"/>
      <c r="O632" s="51"/>
      <c r="S632" s="52"/>
      <c r="T632" s="52"/>
      <c r="U632" s="52"/>
      <c r="V632" s="4293"/>
      <c r="W632" s="3300"/>
      <c r="X632" s="3300"/>
      <c r="Y632" s="3300">
        <v>12</v>
      </c>
      <c r="Z632" s="3300">
        <v>12</v>
      </c>
      <c r="AA632" s="3300">
        <v>12</v>
      </c>
      <c r="AB632" s="3300">
        <v>12</v>
      </c>
      <c r="AC632" s="3301">
        <v>12</v>
      </c>
      <c r="AD632" s="3302">
        <v>12</v>
      </c>
      <c r="AE632" s="3302">
        <v>12</v>
      </c>
      <c r="AF632" s="2236">
        <f t="shared" si="70"/>
        <v>12</v>
      </c>
      <c r="AG632" s="216"/>
      <c r="DG632" s="1093"/>
      <c r="DH632" s="188"/>
      <c r="DI632" s="1091"/>
      <c r="DJ632" s="1187"/>
    </row>
    <row r="633" spans="1:114" ht="14.65" customHeight="1" outlineLevel="1">
      <c r="A633" s="453"/>
      <c r="C633" s="51"/>
      <c r="D633" s="4293"/>
      <c r="E633" s="4293"/>
      <c r="F633" s="4292" t="s">
        <v>1842</v>
      </c>
      <c r="G633" s="4292"/>
      <c r="H633" s="4292"/>
      <c r="I633" s="3295" t="str">
        <f t="shared" si="69"/>
        <v>351150_2024_12_</v>
      </c>
      <c r="J633" s="3299">
        <v>18</v>
      </c>
      <c r="K633" s="1442"/>
      <c r="L633" s="4368"/>
      <c r="M633" s="51"/>
      <c r="N633" s="561"/>
      <c r="O633" s="51"/>
      <c r="S633" s="52"/>
      <c r="T633" s="52"/>
      <c r="U633" s="52"/>
      <c r="V633" s="4293"/>
      <c r="W633" s="3300">
        <v>18</v>
      </c>
      <c r="X633" s="3300">
        <v>18</v>
      </c>
      <c r="Y633" s="3300">
        <v>18</v>
      </c>
      <c r="Z633" s="3300">
        <v>18</v>
      </c>
      <c r="AA633" s="3300">
        <v>18</v>
      </c>
      <c r="AB633" s="3300">
        <v>18</v>
      </c>
      <c r="AC633" s="3301">
        <v>18</v>
      </c>
      <c r="AD633" s="3302">
        <v>18</v>
      </c>
      <c r="AE633" s="3302">
        <v>18</v>
      </c>
      <c r="AF633" s="2236">
        <f t="shared" si="70"/>
        <v>18</v>
      </c>
      <c r="AG633" s="216"/>
      <c r="DG633" s="1093"/>
      <c r="DH633" s="188"/>
      <c r="DI633" s="1091"/>
      <c r="DJ633" s="1187"/>
    </row>
    <row r="634" spans="1:114" ht="14.65" customHeight="1" outlineLevel="1">
      <c r="A634" s="453"/>
      <c r="C634" s="51"/>
      <c r="D634" s="4199"/>
      <c r="E634" s="4199"/>
      <c r="F634" s="4292" t="s">
        <v>1844</v>
      </c>
      <c r="G634" s="4292"/>
      <c r="H634" s="4292"/>
      <c r="I634" s="3295" t="str">
        <f t="shared" si="69"/>
        <v>351151_2024_12_</v>
      </c>
      <c r="J634" s="3299">
        <v>18</v>
      </c>
      <c r="K634" s="1442"/>
      <c r="L634" s="4368"/>
      <c r="M634" s="51"/>
      <c r="N634" s="561"/>
      <c r="O634" s="51"/>
      <c r="S634" s="52"/>
      <c r="T634" s="52"/>
      <c r="U634" s="52"/>
      <c r="V634" s="4199"/>
      <c r="W634" s="3300"/>
      <c r="X634" s="3300"/>
      <c r="Y634" s="3300">
        <v>18</v>
      </c>
      <c r="Z634" s="3300">
        <v>18</v>
      </c>
      <c r="AA634" s="3300">
        <v>18</v>
      </c>
      <c r="AB634" s="3300">
        <v>18</v>
      </c>
      <c r="AC634" s="3301">
        <v>18</v>
      </c>
      <c r="AD634" s="3302">
        <v>18</v>
      </c>
      <c r="AE634" s="3302">
        <v>18</v>
      </c>
      <c r="AF634" s="2236">
        <f t="shared" si="70"/>
        <v>18</v>
      </c>
      <c r="AG634" s="216"/>
      <c r="DG634" s="1093"/>
      <c r="DH634" s="188"/>
      <c r="DI634" s="1091"/>
      <c r="DJ634" s="1187"/>
    </row>
    <row r="635" spans="1:114" ht="14.65" customHeight="1" outlineLevel="1">
      <c r="A635" s="453"/>
      <c r="C635" s="51"/>
      <c r="D635" s="4199"/>
      <c r="E635" s="4199"/>
      <c r="F635" s="4338" t="s">
        <v>1846</v>
      </c>
      <c r="G635" s="4338"/>
      <c r="H635" s="4338"/>
      <c r="I635" s="927" t="str">
        <f t="shared" si="69"/>
        <v>351160_2024_12_</v>
      </c>
      <c r="J635" s="1792">
        <v>6</v>
      </c>
      <c r="K635" s="1442"/>
      <c r="L635" s="4368"/>
      <c r="M635" s="51"/>
      <c r="N635" s="561"/>
      <c r="O635" s="51"/>
      <c r="S635" s="52"/>
      <c r="T635" s="52"/>
      <c r="U635" s="52"/>
      <c r="V635" s="4199"/>
      <c r="W635" s="216"/>
      <c r="X635" s="216"/>
      <c r="Y635" s="216"/>
      <c r="Z635" s="217">
        <v>6</v>
      </c>
      <c r="AA635" s="216">
        <v>6</v>
      </c>
      <c r="AB635" s="216">
        <v>6</v>
      </c>
      <c r="AC635" s="954">
        <v>6</v>
      </c>
      <c r="AD635" s="928">
        <v>6</v>
      </c>
      <c r="AE635" s="928">
        <v>6</v>
      </c>
      <c r="AF635" s="271">
        <f t="shared" si="70"/>
        <v>6</v>
      </c>
      <c r="AG635" s="216"/>
      <c r="DG635" s="1093"/>
      <c r="DH635" s="188"/>
      <c r="DI635" s="1091"/>
      <c r="DJ635" s="1187"/>
    </row>
    <row r="636" spans="1:114" ht="14.65" customHeight="1" outlineLevel="1">
      <c r="A636" s="453"/>
      <c r="C636" s="51"/>
      <c r="D636" s="4199"/>
      <c r="E636" s="4199"/>
      <c r="F636" s="4338" t="s">
        <v>1847</v>
      </c>
      <c r="G636" s="4338"/>
      <c r="H636" s="4338"/>
      <c r="I636" s="927" t="str">
        <f t="shared" si="69"/>
        <v>351160_2024_12_</v>
      </c>
      <c r="J636" s="1792">
        <v>12</v>
      </c>
      <c r="K636" s="1442"/>
      <c r="L636" s="4368"/>
      <c r="M636" s="51"/>
      <c r="N636" s="561"/>
      <c r="O636" s="51"/>
      <c r="S636" s="52"/>
      <c r="T636" s="52"/>
      <c r="U636" s="52"/>
      <c r="V636" s="4199"/>
      <c r="W636" s="216"/>
      <c r="X636" s="216"/>
      <c r="Y636" s="216"/>
      <c r="Z636" s="217">
        <v>12</v>
      </c>
      <c r="AA636" s="216">
        <v>12</v>
      </c>
      <c r="AB636" s="216">
        <v>12</v>
      </c>
      <c r="AC636" s="954">
        <v>12</v>
      </c>
      <c r="AD636" s="928">
        <v>12</v>
      </c>
      <c r="AE636" s="928">
        <v>12</v>
      </c>
      <c r="AF636" s="271">
        <f t="shared" si="70"/>
        <v>12</v>
      </c>
      <c r="AG636" s="216"/>
      <c r="DG636" s="1093"/>
      <c r="DH636" s="188"/>
      <c r="DI636" s="1091"/>
      <c r="DJ636" s="1187"/>
    </row>
    <row r="637" spans="1:114" ht="14.65" customHeight="1" outlineLevel="1">
      <c r="A637" s="453"/>
      <c r="C637" s="51"/>
      <c r="D637" s="4199"/>
      <c r="E637" s="4199"/>
      <c r="F637" s="4338" t="s">
        <v>1849</v>
      </c>
      <c r="G637" s="4338"/>
      <c r="H637" s="4338"/>
      <c r="I637" s="927" t="str">
        <f t="shared" si="69"/>
        <v>351161_2024_12_</v>
      </c>
      <c r="J637" s="1792">
        <v>18</v>
      </c>
      <c r="K637" s="1442"/>
      <c r="L637" s="4368"/>
      <c r="M637" s="51"/>
      <c r="N637" s="561"/>
      <c r="O637" s="51"/>
      <c r="S637" s="52"/>
      <c r="T637" s="52"/>
      <c r="U637" s="52"/>
      <c r="V637" s="4199"/>
      <c r="W637" s="216"/>
      <c r="X637" s="216"/>
      <c r="Y637" s="216"/>
      <c r="Z637" s="217">
        <v>18</v>
      </c>
      <c r="AA637" s="216">
        <v>18</v>
      </c>
      <c r="AB637" s="216">
        <v>18</v>
      </c>
      <c r="AC637" s="954">
        <v>18</v>
      </c>
      <c r="AD637" s="928">
        <v>18</v>
      </c>
      <c r="AE637" s="928">
        <v>18</v>
      </c>
      <c r="AF637" s="271">
        <f t="shared" si="70"/>
        <v>18</v>
      </c>
      <c r="AG637" s="216"/>
      <c r="DG637" s="1093"/>
      <c r="DH637" s="188"/>
      <c r="DI637" s="1091"/>
      <c r="DJ637" s="1187"/>
    </row>
    <row r="638" spans="1:114" ht="14.65" customHeight="1" outlineLevel="1">
      <c r="A638" s="453"/>
      <c r="C638" s="51"/>
      <c r="D638" s="4199"/>
      <c r="E638" s="4199"/>
      <c r="F638" s="4292" t="s">
        <v>1851</v>
      </c>
      <c r="G638" s="4292"/>
      <c r="H638" s="4292"/>
      <c r="I638" s="3295" t="str">
        <f t="shared" si="69"/>
        <v>351162_2024_12_</v>
      </c>
      <c r="J638" s="3299">
        <v>6</v>
      </c>
      <c r="K638" s="1442"/>
      <c r="L638" s="4368"/>
      <c r="M638" s="51"/>
      <c r="N638" s="561"/>
      <c r="O638" s="51"/>
      <c r="S638" s="52"/>
      <c r="T638" s="52"/>
      <c r="U638" s="52"/>
      <c r="V638" s="4199"/>
      <c r="W638" s="216"/>
      <c r="X638" s="216"/>
      <c r="Y638" s="216"/>
      <c r="Z638" s="3303">
        <v>6</v>
      </c>
      <c r="AA638" s="3300">
        <v>6</v>
      </c>
      <c r="AB638" s="3300">
        <v>6</v>
      </c>
      <c r="AC638" s="3301">
        <v>6</v>
      </c>
      <c r="AD638" s="3302">
        <v>6</v>
      </c>
      <c r="AE638" s="3302">
        <v>6</v>
      </c>
      <c r="AF638" s="2236">
        <f t="shared" si="70"/>
        <v>6</v>
      </c>
      <c r="AG638" s="216"/>
      <c r="DG638" s="1093"/>
      <c r="DH638" s="188"/>
      <c r="DI638" s="1091"/>
      <c r="DJ638" s="1187"/>
    </row>
    <row r="639" spans="1:114" ht="14.65" customHeight="1" outlineLevel="1">
      <c r="A639" s="453"/>
      <c r="C639" s="51"/>
      <c r="D639" s="4199"/>
      <c r="E639" s="4199"/>
      <c r="F639" s="4292" t="s">
        <v>1852</v>
      </c>
      <c r="G639" s="4292"/>
      <c r="H639" s="4292"/>
      <c r="I639" s="3295" t="str">
        <f t="shared" si="69"/>
        <v>351162_2024_12_</v>
      </c>
      <c r="J639" s="3299">
        <v>12</v>
      </c>
      <c r="K639" s="1442"/>
      <c r="L639" s="4368"/>
      <c r="M639" s="51"/>
      <c r="N639" s="561"/>
      <c r="O639" s="51"/>
      <c r="S639" s="52"/>
      <c r="T639" s="52"/>
      <c r="U639" s="52"/>
      <c r="V639" s="4199"/>
      <c r="W639" s="216"/>
      <c r="X639" s="216"/>
      <c r="Y639" s="216"/>
      <c r="Z639" s="3303">
        <v>12</v>
      </c>
      <c r="AA639" s="3300">
        <v>12</v>
      </c>
      <c r="AB639" s="3300">
        <v>12</v>
      </c>
      <c r="AC639" s="3301">
        <v>12</v>
      </c>
      <c r="AD639" s="3302">
        <v>12</v>
      </c>
      <c r="AE639" s="3302">
        <v>12</v>
      </c>
      <c r="AF639" s="2236">
        <f t="shared" si="70"/>
        <v>12</v>
      </c>
      <c r="AG639" s="216"/>
      <c r="DG639" s="1093"/>
      <c r="DH639" s="188"/>
      <c r="DI639" s="1091"/>
      <c r="DJ639" s="1187"/>
    </row>
    <row r="640" spans="1:114" ht="14.65" customHeight="1" outlineLevel="1">
      <c r="A640" s="453"/>
      <c r="C640" s="51"/>
      <c r="D640" s="4199"/>
      <c r="E640" s="4199"/>
      <c r="F640" s="4292" t="s">
        <v>1854</v>
      </c>
      <c r="G640" s="4292"/>
      <c r="H640" s="4292"/>
      <c r="I640" s="3295" t="str">
        <f t="shared" si="69"/>
        <v>351163_2024_12_</v>
      </c>
      <c r="J640" s="3299">
        <v>6</v>
      </c>
      <c r="K640" s="1442"/>
      <c r="L640" s="4368"/>
      <c r="M640" s="51"/>
      <c r="N640" s="561"/>
      <c r="O640" s="51"/>
      <c r="S640" s="52"/>
      <c r="T640" s="52"/>
      <c r="U640" s="52"/>
      <c r="V640" s="4199"/>
      <c r="W640" s="216"/>
      <c r="X640" s="216"/>
      <c r="Y640" s="216"/>
      <c r="Z640" s="3303">
        <v>6</v>
      </c>
      <c r="AA640" s="3300">
        <v>6</v>
      </c>
      <c r="AB640" s="3300">
        <v>6</v>
      </c>
      <c r="AC640" s="3301">
        <v>6</v>
      </c>
      <c r="AD640" s="3302">
        <v>6</v>
      </c>
      <c r="AE640" s="3302">
        <v>6</v>
      </c>
      <c r="AF640" s="2236">
        <f t="shared" si="70"/>
        <v>6</v>
      </c>
      <c r="AG640" s="216"/>
      <c r="DG640" s="1093"/>
      <c r="DH640" s="188"/>
      <c r="DI640" s="1091"/>
      <c r="DJ640" s="1187"/>
    </row>
    <row r="641" spans="1:114" ht="14.65" customHeight="1" outlineLevel="1">
      <c r="A641" s="453"/>
      <c r="C641" s="51"/>
      <c r="D641" s="4199"/>
      <c r="E641" s="4199"/>
      <c r="F641" s="4292" t="s">
        <v>1855</v>
      </c>
      <c r="G641" s="4292"/>
      <c r="H641" s="4292"/>
      <c r="I641" s="3295" t="str">
        <f t="shared" si="69"/>
        <v>351163_2024_12_</v>
      </c>
      <c r="J641" s="3299">
        <v>12</v>
      </c>
      <c r="K641" s="1442"/>
      <c r="L641" s="4368"/>
      <c r="M641" s="51"/>
      <c r="N641" s="561"/>
      <c r="O641" s="51"/>
      <c r="S641" s="52"/>
      <c r="T641" s="52"/>
      <c r="U641" s="52"/>
      <c r="V641" s="4199"/>
      <c r="W641" s="216"/>
      <c r="X641" s="216"/>
      <c r="Y641" s="216"/>
      <c r="Z641" s="3303">
        <v>12</v>
      </c>
      <c r="AA641" s="3300">
        <v>12</v>
      </c>
      <c r="AB641" s="3300">
        <v>12</v>
      </c>
      <c r="AC641" s="3301">
        <v>12</v>
      </c>
      <c r="AD641" s="3302">
        <v>12</v>
      </c>
      <c r="AE641" s="3302">
        <v>12</v>
      </c>
      <c r="AF641" s="2236">
        <f t="shared" si="70"/>
        <v>12</v>
      </c>
      <c r="AG641" s="216"/>
      <c r="DG641" s="1093"/>
      <c r="DH641" s="188"/>
      <c r="DI641" s="1091"/>
      <c r="DJ641" s="1187"/>
    </row>
    <row r="642" spans="1:114" ht="14.65" customHeight="1" outlineLevel="1">
      <c r="A642" s="453"/>
      <c r="C642" s="51"/>
      <c r="D642" s="4199"/>
      <c r="E642" s="4199"/>
      <c r="F642" s="4292" t="s">
        <v>1857</v>
      </c>
      <c r="G642" s="4292"/>
      <c r="H642" s="4292"/>
      <c r="I642" s="3295" t="str">
        <f t="shared" si="69"/>
        <v>351164_2024_12_</v>
      </c>
      <c r="J642" s="3299">
        <v>18</v>
      </c>
      <c r="K642" s="1442"/>
      <c r="L642" s="4368"/>
      <c r="M642" s="51"/>
      <c r="N642" s="561"/>
      <c r="O642" s="51"/>
      <c r="S642" s="52"/>
      <c r="T642" s="52"/>
      <c r="U642" s="52"/>
      <c r="V642" s="4199"/>
      <c r="W642" s="216"/>
      <c r="X642" s="216"/>
      <c r="Y642" s="217"/>
      <c r="Z642" s="3303">
        <v>18</v>
      </c>
      <c r="AA642" s="3300">
        <v>18</v>
      </c>
      <c r="AB642" s="3300">
        <v>18</v>
      </c>
      <c r="AC642" s="3301">
        <v>18</v>
      </c>
      <c r="AD642" s="3302">
        <v>18</v>
      </c>
      <c r="AE642" s="3302">
        <v>18</v>
      </c>
      <c r="AF642" s="2236">
        <f t="shared" si="70"/>
        <v>18</v>
      </c>
      <c r="AG642" s="216"/>
      <c r="DG642" s="1093"/>
      <c r="DH642" s="188"/>
      <c r="DI642" s="1091"/>
      <c r="DJ642" s="1187"/>
    </row>
    <row r="643" spans="1:114" ht="14.65" customHeight="1" outlineLevel="1">
      <c r="A643" s="453"/>
      <c r="C643" s="51"/>
      <c r="D643" s="4199"/>
      <c r="E643" s="4199"/>
      <c r="F643" s="4292" t="s">
        <v>1859</v>
      </c>
      <c r="G643" s="4292"/>
      <c r="H643" s="4292"/>
      <c r="I643" s="3295" t="str">
        <f t="shared" si="69"/>
        <v>351165_2024_12_</v>
      </c>
      <c r="J643" s="3299">
        <v>18</v>
      </c>
      <c r="K643" s="1442"/>
      <c r="L643" s="4368"/>
      <c r="M643" s="51"/>
      <c r="N643" s="561"/>
      <c r="O643" s="51"/>
      <c r="S643" s="52"/>
      <c r="T643" s="52"/>
      <c r="U643" s="52"/>
      <c r="V643" s="4199"/>
      <c r="W643" s="216"/>
      <c r="X643" s="216"/>
      <c r="Y643" s="216"/>
      <c r="Z643" s="3303">
        <v>18</v>
      </c>
      <c r="AA643" s="3300">
        <v>18</v>
      </c>
      <c r="AB643" s="3300">
        <v>18</v>
      </c>
      <c r="AC643" s="3301">
        <v>18</v>
      </c>
      <c r="AD643" s="3302">
        <v>18</v>
      </c>
      <c r="AE643" s="3302">
        <v>18</v>
      </c>
      <c r="AF643" s="2236">
        <f t="shared" si="70"/>
        <v>18</v>
      </c>
      <c r="AG643" s="216"/>
      <c r="DG643" s="1093"/>
      <c r="DH643" s="188"/>
      <c r="DI643" s="1091"/>
      <c r="DJ643" s="1187"/>
    </row>
    <row r="644" spans="1:114" ht="14.65" customHeight="1" outlineLevel="1">
      <c r="A644" s="453"/>
      <c r="C644" s="51"/>
      <c r="D644" s="4199"/>
      <c r="E644" s="4199"/>
      <c r="F644" s="4338" t="s">
        <v>1861</v>
      </c>
      <c r="G644" s="4338"/>
      <c r="H644" s="4338"/>
      <c r="I644" s="927" t="str">
        <f t="shared" si="69"/>
        <v>351170_2024_12_</v>
      </c>
      <c r="J644" s="1792">
        <v>6</v>
      </c>
      <c r="K644" s="1442"/>
      <c r="L644" s="4368"/>
      <c r="M644" s="51"/>
      <c r="N644" s="561"/>
      <c r="O644" s="51"/>
      <c r="S644" s="52"/>
      <c r="T644" s="52"/>
      <c r="U644" s="52"/>
      <c r="V644" s="4199"/>
      <c r="W644" s="216"/>
      <c r="X644" s="216"/>
      <c r="Y644" s="216"/>
      <c r="Z644" s="217">
        <v>6</v>
      </c>
      <c r="AA644" s="216">
        <v>6</v>
      </c>
      <c r="AB644" s="216">
        <v>6</v>
      </c>
      <c r="AC644" s="954">
        <v>6</v>
      </c>
      <c r="AD644" s="928">
        <v>6</v>
      </c>
      <c r="AE644" s="928">
        <v>6</v>
      </c>
      <c r="AF644" s="271">
        <f t="shared" si="70"/>
        <v>6</v>
      </c>
      <c r="AG644" s="216"/>
      <c r="DG644" s="1093"/>
      <c r="DH644" s="188"/>
      <c r="DI644" s="1091"/>
      <c r="DJ644" s="1187"/>
    </row>
    <row r="645" spans="1:114" ht="14.65" customHeight="1" outlineLevel="1">
      <c r="A645" s="453"/>
      <c r="C645" s="51"/>
      <c r="D645" s="4199"/>
      <c r="E645" s="4199"/>
      <c r="F645" s="4338" t="s">
        <v>1862</v>
      </c>
      <c r="G645" s="4338"/>
      <c r="H645" s="4338"/>
      <c r="I645" s="927" t="str">
        <f t="shared" si="69"/>
        <v>351170_2024_12_</v>
      </c>
      <c r="J645" s="1792">
        <v>12</v>
      </c>
      <c r="K645" s="1442"/>
      <c r="L645" s="4368"/>
      <c r="M645" s="51"/>
      <c r="N645" s="561"/>
      <c r="O645" s="51"/>
      <c r="S645" s="52"/>
      <c r="T645" s="52"/>
      <c r="U645" s="52"/>
      <c r="V645" s="4199"/>
      <c r="W645" s="216"/>
      <c r="X645" s="216"/>
      <c r="Y645" s="216"/>
      <c r="Z645" s="217">
        <v>12</v>
      </c>
      <c r="AA645" s="216">
        <v>12</v>
      </c>
      <c r="AB645" s="216">
        <v>12</v>
      </c>
      <c r="AC645" s="954">
        <v>12</v>
      </c>
      <c r="AD645" s="928">
        <v>12</v>
      </c>
      <c r="AE645" s="928">
        <v>12</v>
      </c>
      <c r="AF645" s="271">
        <f t="shared" si="70"/>
        <v>12</v>
      </c>
      <c r="AG645" s="216"/>
      <c r="DG645" s="1093"/>
      <c r="DH645" s="188"/>
      <c r="DI645" s="1091"/>
      <c r="DJ645" s="1187"/>
    </row>
    <row r="646" spans="1:114" ht="14.65" customHeight="1" outlineLevel="1">
      <c r="A646" s="453"/>
      <c r="C646" s="51"/>
      <c r="D646" s="4199"/>
      <c r="E646" s="4199"/>
      <c r="F646" s="4338" t="s">
        <v>1864</v>
      </c>
      <c r="G646" s="4338"/>
      <c r="H646" s="4338"/>
      <c r="I646" s="927" t="str">
        <f t="shared" si="69"/>
        <v>351171_2024_12_</v>
      </c>
      <c r="J646" s="1792">
        <v>18</v>
      </c>
      <c r="K646" s="1442"/>
      <c r="L646" s="4368"/>
      <c r="M646" s="51"/>
      <c r="N646" s="561"/>
      <c r="O646" s="51"/>
      <c r="S646" s="52"/>
      <c r="T646" s="52"/>
      <c r="U646" s="52"/>
      <c r="V646" s="4199"/>
      <c r="W646" s="216"/>
      <c r="X646" s="216"/>
      <c r="Y646" s="216"/>
      <c r="Z646" s="217">
        <v>18</v>
      </c>
      <c r="AA646" s="216">
        <v>18</v>
      </c>
      <c r="AB646" s="216">
        <v>18</v>
      </c>
      <c r="AC646" s="954">
        <v>18</v>
      </c>
      <c r="AD646" s="928">
        <v>18</v>
      </c>
      <c r="AE646" s="928">
        <v>18</v>
      </c>
      <c r="AF646" s="271">
        <f t="shared" si="70"/>
        <v>18</v>
      </c>
      <c r="AG646" s="216"/>
      <c r="DG646" s="1093"/>
      <c r="DH646" s="188"/>
      <c r="DI646" s="1091"/>
      <c r="DJ646" s="1187"/>
    </row>
    <row r="647" spans="1:114" ht="14.65" customHeight="1" outlineLevel="1">
      <c r="A647" s="453"/>
      <c r="C647" s="51"/>
      <c r="D647" s="4199"/>
      <c r="E647" s="4199"/>
      <c r="F647" s="4292" t="s">
        <v>1866</v>
      </c>
      <c r="G647" s="4292"/>
      <c r="H647" s="4292"/>
      <c r="I647" s="3295" t="str">
        <f t="shared" si="69"/>
        <v>351172_2024_12_</v>
      </c>
      <c r="J647" s="3299">
        <v>6</v>
      </c>
      <c r="K647" s="1442"/>
      <c r="L647" s="4368"/>
      <c r="M647" s="51"/>
      <c r="N647" s="561"/>
      <c r="O647" s="51"/>
      <c r="S647" s="52"/>
      <c r="T647" s="52"/>
      <c r="U647" s="52"/>
      <c r="V647" s="4199"/>
      <c r="W647" s="216"/>
      <c r="X647" s="216"/>
      <c r="Y647" s="216"/>
      <c r="Z647" s="3303">
        <v>6</v>
      </c>
      <c r="AA647" s="3300">
        <v>6</v>
      </c>
      <c r="AB647" s="3300">
        <v>6</v>
      </c>
      <c r="AC647" s="3301">
        <v>6</v>
      </c>
      <c r="AD647" s="3302">
        <v>6</v>
      </c>
      <c r="AE647" s="3302">
        <v>6</v>
      </c>
      <c r="AF647" s="2236">
        <f t="shared" si="70"/>
        <v>6</v>
      </c>
      <c r="AG647" s="216"/>
      <c r="DG647" s="1093"/>
      <c r="DH647" s="188"/>
      <c r="DI647" s="1091"/>
      <c r="DJ647" s="1187"/>
    </row>
    <row r="648" spans="1:114" ht="14.65" customHeight="1" outlineLevel="1">
      <c r="A648" s="453"/>
      <c r="C648" s="51"/>
      <c r="D648" s="4199"/>
      <c r="E648" s="4199"/>
      <c r="F648" s="4292" t="s">
        <v>1867</v>
      </c>
      <c r="G648" s="4292"/>
      <c r="H648" s="4292"/>
      <c r="I648" s="3295" t="str">
        <f t="shared" si="69"/>
        <v>351172_2024_12_</v>
      </c>
      <c r="J648" s="3299">
        <v>12</v>
      </c>
      <c r="K648" s="1442"/>
      <c r="L648" s="4368"/>
      <c r="M648" s="51"/>
      <c r="N648" s="561"/>
      <c r="O648" s="51"/>
      <c r="S648" s="52"/>
      <c r="T648" s="52"/>
      <c r="U648" s="52"/>
      <c r="V648" s="4199"/>
      <c r="W648" s="216"/>
      <c r="X648" s="216"/>
      <c r="Y648" s="216"/>
      <c r="Z648" s="3303">
        <v>12</v>
      </c>
      <c r="AA648" s="3300">
        <v>12</v>
      </c>
      <c r="AB648" s="3300">
        <v>12</v>
      </c>
      <c r="AC648" s="3301">
        <v>12</v>
      </c>
      <c r="AD648" s="3302">
        <v>12</v>
      </c>
      <c r="AE648" s="3302">
        <v>12</v>
      </c>
      <c r="AF648" s="2236">
        <f t="shared" si="70"/>
        <v>12</v>
      </c>
      <c r="AG648" s="216"/>
      <c r="DG648" s="1093"/>
      <c r="DH648" s="188"/>
      <c r="DI648" s="1091"/>
      <c r="DJ648" s="1187"/>
    </row>
    <row r="649" spans="1:114" ht="14.65" customHeight="1" outlineLevel="1">
      <c r="A649" s="453"/>
      <c r="C649" s="51"/>
      <c r="D649" s="4199"/>
      <c r="E649" s="4199"/>
      <c r="F649" s="4292" t="s">
        <v>1869</v>
      </c>
      <c r="G649" s="4292"/>
      <c r="H649" s="4292"/>
      <c r="I649" s="3295" t="str">
        <f t="shared" si="69"/>
        <v>351173_2024_12_</v>
      </c>
      <c r="J649" s="3299">
        <v>6</v>
      </c>
      <c r="K649" s="1442"/>
      <c r="L649" s="4368"/>
      <c r="M649" s="51"/>
      <c r="N649" s="561"/>
      <c r="O649" s="51"/>
      <c r="S649" s="52"/>
      <c r="T649" s="52"/>
      <c r="U649" s="52"/>
      <c r="V649" s="4199"/>
      <c r="W649" s="216"/>
      <c r="X649" s="216"/>
      <c r="Y649" s="216"/>
      <c r="Z649" s="3303">
        <v>6</v>
      </c>
      <c r="AA649" s="3300">
        <v>6</v>
      </c>
      <c r="AB649" s="3300">
        <v>6</v>
      </c>
      <c r="AC649" s="3301">
        <v>6</v>
      </c>
      <c r="AD649" s="3302">
        <v>6</v>
      </c>
      <c r="AE649" s="3302">
        <v>6</v>
      </c>
      <c r="AF649" s="2236">
        <f t="shared" si="70"/>
        <v>6</v>
      </c>
      <c r="AG649" s="216"/>
      <c r="DG649" s="1093"/>
      <c r="DH649" s="188"/>
      <c r="DI649" s="1091"/>
      <c r="DJ649" s="1187"/>
    </row>
    <row r="650" spans="1:114" ht="14.65" customHeight="1" outlineLevel="1">
      <c r="A650" s="453"/>
      <c r="C650" s="51"/>
      <c r="D650" s="4199"/>
      <c r="E650" s="4199"/>
      <c r="F650" s="4292" t="s">
        <v>1870</v>
      </c>
      <c r="G650" s="4292"/>
      <c r="H650" s="4292"/>
      <c r="I650" s="3295" t="str">
        <f t="shared" si="69"/>
        <v>351173_2024_12_</v>
      </c>
      <c r="J650" s="3299">
        <v>12</v>
      </c>
      <c r="K650" s="1442"/>
      <c r="L650" s="4368"/>
      <c r="M650" s="51"/>
      <c r="N650" s="561"/>
      <c r="O650" s="51"/>
      <c r="S650" s="52"/>
      <c r="T650" s="52"/>
      <c r="U650" s="52"/>
      <c r="V650" s="4199"/>
      <c r="W650" s="216"/>
      <c r="X650" s="216"/>
      <c r="Y650" s="216"/>
      <c r="Z650" s="3303">
        <v>12</v>
      </c>
      <c r="AA650" s="3300">
        <v>12</v>
      </c>
      <c r="AB650" s="3300">
        <v>12</v>
      </c>
      <c r="AC650" s="3301">
        <v>12</v>
      </c>
      <c r="AD650" s="3302">
        <v>12</v>
      </c>
      <c r="AE650" s="3302">
        <v>12</v>
      </c>
      <c r="AF650" s="2236">
        <f t="shared" si="70"/>
        <v>12</v>
      </c>
      <c r="AG650" s="216"/>
      <c r="DG650" s="1093"/>
      <c r="DH650" s="188"/>
      <c r="DI650" s="1091"/>
      <c r="DJ650" s="1187"/>
    </row>
    <row r="651" spans="1:114" ht="14.65" customHeight="1" outlineLevel="1">
      <c r="A651" s="453"/>
      <c r="C651" s="51"/>
      <c r="D651" s="4199"/>
      <c r="E651" s="4199"/>
      <c r="F651" s="4292" t="s">
        <v>1872</v>
      </c>
      <c r="G651" s="4292"/>
      <c r="H651" s="4292"/>
      <c r="I651" s="3295" t="str">
        <f t="shared" si="69"/>
        <v>351174_2024_12_</v>
      </c>
      <c r="J651" s="3299">
        <v>18</v>
      </c>
      <c r="K651" s="1442"/>
      <c r="L651" s="4368"/>
      <c r="M651" s="51"/>
      <c r="N651" s="561"/>
      <c r="O651" s="51"/>
      <c r="S651" s="52"/>
      <c r="T651" s="52"/>
      <c r="U651" s="52"/>
      <c r="V651" s="4199"/>
      <c r="W651" s="216"/>
      <c r="X651" s="216"/>
      <c r="Y651" s="216"/>
      <c r="Z651" s="3303">
        <v>18</v>
      </c>
      <c r="AA651" s="3300">
        <v>18</v>
      </c>
      <c r="AB651" s="3300">
        <v>18</v>
      </c>
      <c r="AC651" s="3301">
        <v>18</v>
      </c>
      <c r="AD651" s="3302">
        <v>18</v>
      </c>
      <c r="AE651" s="3302">
        <v>18</v>
      </c>
      <c r="AF651" s="2236">
        <f t="shared" si="70"/>
        <v>18</v>
      </c>
      <c r="AG651" s="216"/>
      <c r="DG651" s="1093"/>
      <c r="DH651" s="188"/>
      <c r="DI651" s="1091"/>
      <c r="DJ651" s="1187"/>
    </row>
    <row r="652" spans="1:114" ht="14.65" customHeight="1" outlineLevel="1">
      <c r="A652" s="453"/>
      <c r="C652" s="51"/>
      <c r="D652" s="4199"/>
      <c r="E652" s="4199"/>
      <c r="F652" s="4292" t="s">
        <v>1874</v>
      </c>
      <c r="G652" s="4292"/>
      <c r="H652" s="4292"/>
      <c r="I652" s="3295" t="str">
        <f t="shared" si="69"/>
        <v>351175_2024_12_</v>
      </c>
      <c r="J652" s="3299">
        <v>18</v>
      </c>
      <c r="K652" s="1442"/>
      <c r="L652" s="4368"/>
      <c r="M652" s="51"/>
      <c r="N652" s="561"/>
      <c r="O652" s="51"/>
      <c r="S652" s="52"/>
      <c r="T652" s="52"/>
      <c r="U652" s="52"/>
      <c r="V652" s="4199"/>
      <c r="W652" s="216"/>
      <c r="X652" s="216"/>
      <c r="Y652" s="216"/>
      <c r="Z652" s="3303">
        <v>18</v>
      </c>
      <c r="AA652" s="3300">
        <v>18</v>
      </c>
      <c r="AB652" s="3300">
        <v>18</v>
      </c>
      <c r="AC652" s="3301">
        <v>18</v>
      </c>
      <c r="AD652" s="3302">
        <v>18</v>
      </c>
      <c r="AE652" s="3302">
        <v>18</v>
      </c>
      <c r="AF652" s="2236">
        <f t="shared" si="70"/>
        <v>18</v>
      </c>
      <c r="AG652" s="216"/>
      <c r="DG652" s="1093"/>
      <c r="DH652" s="188"/>
      <c r="DI652" s="1091"/>
      <c r="DJ652" s="1187"/>
    </row>
    <row r="653" spans="1:114" ht="14.65" customHeight="1" outlineLevel="1">
      <c r="A653" s="453"/>
      <c r="C653" s="51"/>
      <c r="D653" s="4199"/>
      <c r="E653" s="4199"/>
      <c r="F653" s="4338" t="s">
        <v>1876</v>
      </c>
      <c r="G653" s="4338"/>
      <c r="H653" s="4338"/>
      <c r="I653" s="927" t="str">
        <f t="shared" si="69"/>
        <v>351180_2024_12_</v>
      </c>
      <c r="J653" s="1792">
        <v>6</v>
      </c>
      <c r="K653" s="1442"/>
      <c r="L653" s="4368"/>
      <c r="M653" s="51"/>
      <c r="N653" s="561"/>
      <c r="O653" s="51"/>
      <c r="S653" s="52"/>
      <c r="T653" s="52"/>
      <c r="U653" s="52"/>
      <c r="V653" s="4199"/>
      <c r="W653" s="216"/>
      <c r="X653" s="216"/>
      <c r="Y653" s="216"/>
      <c r="Z653" s="217">
        <v>6</v>
      </c>
      <c r="AA653" s="216">
        <v>6</v>
      </c>
      <c r="AB653" s="216">
        <v>6</v>
      </c>
      <c r="AC653" s="954">
        <v>6</v>
      </c>
      <c r="AD653" s="928">
        <v>6</v>
      </c>
      <c r="AE653" s="928">
        <v>6</v>
      </c>
      <c r="AF653" s="271">
        <f t="shared" si="70"/>
        <v>6</v>
      </c>
      <c r="AG653" s="216"/>
      <c r="DG653" s="1093"/>
      <c r="DH653" s="188"/>
      <c r="DI653" s="1091"/>
      <c r="DJ653" s="1187"/>
    </row>
    <row r="654" spans="1:114" ht="14.65" customHeight="1" outlineLevel="1">
      <c r="A654" s="453"/>
      <c r="C654" s="51"/>
      <c r="D654" s="4199"/>
      <c r="E654" s="4199"/>
      <c r="F654" s="4338" t="s">
        <v>1877</v>
      </c>
      <c r="G654" s="4338"/>
      <c r="H654" s="4338"/>
      <c r="I654" s="927" t="str">
        <f t="shared" si="69"/>
        <v>351180_2024_12_</v>
      </c>
      <c r="J654" s="1792">
        <v>12</v>
      </c>
      <c r="K654" s="1442"/>
      <c r="L654" s="4368"/>
      <c r="M654" s="51"/>
      <c r="N654" s="561"/>
      <c r="O654" s="51"/>
      <c r="S654" s="52"/>
      <c r="T654" s="52"/>
      <c r="U654" s="52"/>
      <c r="V654" s="4199"/>
      <c r="W654" s="216"/>
      <c r="X654" s="216"/>
      <c r="Y654" s="216"/>
      <c r="Z654" s="217">
        <v>12</v>
      </c>
      <c r="AA654" s="216">
        <v>12</v>
      </c>
      <c r="AB654" s="216">
        <v>12</v>
      </c>
      <c r="AC654" s="954">
        <v>12</v>
      </c>
      <c r="AD654" s="928">
        <v>12</v>
      </c>
      <c r="AE654" s="928">
        <v>12</v>
      </c>
      <c r="AF654" s="271">
        <f t="shared" si="70"/>
        <v>12</v>
      </c>
      <c r="AG654" s="216"/>
      <c r="DG654" s="1093"/>
      <c r="DH654" s="188"/>
      <c r="DI654" s="1091"/>
      <c r="DJ654" s="1187"/>
    </row>
    <row r="655" spans="1:114" ht="14.65" customHeight="1" outlineLevel="1">
      <c r="A655" s="453"/>
      <c r="C655" s="51"/>
      <c r="D655" s="4199"/>
      <c r="E655" s="4199"/>
      <c r="F655" s="4338" t="s">
        <v>1879</v>
      </c>
      <c r="G655" s="4338"/>
      <c r="H655" s="4338"/>
      <c r="I655" s="927" t="str">
        <f t="shared" si="69"/>
        <v>351181_2024_12_</v>
      </c>
      <c r="J655" s="1792">
        <v>18</v>
      </c>
      <c r="K655" s="1442"/>
      <c r="L655" s="4368"/>
      <c r="M655" s="51"/>
      <c r="N655" s="561"/>
      <c r="O655" s="51"/>
      <c r="S655" s="52"/>
      <c r="T655" s="52"/>
      <c r="U655" s="52"/>
      <c r="V655" s="4199"/>
      <c r="W655" s="216"/>
      <c r="X655" s="216"/>
      <c r="Y655" s="216"/>
      <c r="Z655" s="217">
        <v>18</v>
      </c>
      <c r="AA655" s="216">
        <v>18</v>
      </c>
      <c r="AB655" s="216">
        <v>18</v>
      </c>
      <c r="AC655" s="954">
        <v>18</v>
      </c>
      <c r="AD655" s="928">
        <v>18</v>
      </c>
      <c r="AE655" s="928">
        <v>18</v>
      </c>
      <c r="AF655" s="271">
        <f t="shared" si="70"/>
        <v>18</v>
      </c>
      <c r="AG655" s="216"/>
      <c r="DG655" s="1093"/>
      <c r="DH655" s="188"/>
      <c r="DI655" s="1091"/>
      <c r="DJ655" s="1187"/>
    </row>
    <row r="656" spans="1:114" ht="14.65" customHeight="1" outlineLevel="1">
      <c r="A656" s="453"/>
      <c r="C656" s="51"/>
      <c r="D656" s="4199"/>
      <c r="E656" s="4199"/>
      <c r="F656" s="4292" t="s">
        <v>1881</v>
      </c>
      <c r="G656" s="4292"/>
      <c r="H656" s="4292"/>
      <c r="I656" s="3295" t="str">
        <f t="shared" si="69"/>
        <v>351182_2024_12_</v>
      </c>
      <c r="J656" s="3299">
        <v>6</v>
      </c>
      <c r="K656" s="1442"/>
      <c r="L656" s="4368"/>
      <c r="M656" s="51"/>
      <c r="N656" s="561"/>
      <c r="O656" s="51"/>
      <c r="S656" s="52"/>
      <c r="T656" s="52"/>
      <c r="U656" s="52"/>
      <c r="V656" s="4199"/>
      <c r="W656" s="216"/>
      <c r="X656" s="216"/>
      <c r="Y656" s="216"/>
      <c r="Z656" s="3303">
        <v>6</v>
      </c>
      <c r="AA656" s="3300">
        <v>6</v>
      </c>
      <c r="AB656" s="3300">
        <v>6</v>
      </c>
      <c r="AC656" s="3301">
        <v>6</v>
      </c>
      <c r="AD656" s="3302">
        <v>6</v>
      </c>
      <c r="AE656" s="3302">
        <v>6</v>
      </c>
      <c r="AF656" s="2236">
        <f t="shared" si="70"/>
        <v>6</v>
      </c>
      <c r="AG656" s="216"/>
      <c r="DG656" s="1093"/>
      <c r="DH656" s="188"/>
      <c r="DI656" s="1091"/>
      <c r="DJ656" s="1187"/>
    </row>
    <row r="657" spans="1:114" ht="14.65" customHeight="1" outlineLevel="1">
      <c r="A657" s="453"/>
      <c r="C657" s="51"/>
      <c r="D657" s="4199"/>
      <c r="E657" s="4199"/>
      <c r="F657" s="4292" t="s">
        <v>1882</v>
      </c>
      <c r="G657" s="4292"/>
      <c r="H657" s="4292"/>
      <c r="I657" s="3295" t="str">
        <f t="shared" si="69"/>
        <v>351182_2024_12_</v>
      </c>
      <c r="J657" s="3299">
        <v>12</v>
      </c>
      <c r="K657" s="1442"/>
      <c r="L657" s="4368"/>
      <c r="M657" s="51"/>
      <c r="N657" s="561"/>
      <c r="O657" s="51"/>
      <c r="S657" s="52"/>
      <c r="T657" s="52"/>
      <c r="U657" s="52"/>
      <c r="V657" s="4199"/>
      <c r="W657" s="216"/>
      <c r="X657" s="216"/>
      <c r="Y657" s="216"/>
      <c r="Z657" s="3303">
        <v>12</v>
      </c>
      <c r="AA657" s="3300">
        <v>12</v>
      </c>
      <c r="AB657" s="3300">
        <v>12</v>
      </c>
      <c r="AC657" s="3301">
        <v>12</v>
      </c>
      <c r="AD657" s="3302">
        <v>12</v>
      </c>
      <c r="AE657" s="3302">
        <v>12</v>
      </c>
      <c r="AF657" s="2236">
        <f t="shared" si="70"/>
        <v>12</v>
      </c>
      <c r="AG657" s="216"/>
      <c r="DG657" s="1093"/>
      <c r="DH657" s="188"/>
      <c r="DI657" s="1091"/>
      <c r="DJ657" s="1187"/>
    </row>
    <row r="658" spans="1:114" ht="14.65" customHeight="1" outlineLevel="1">
      <c r="A658" s="453"/>
      <c r="C658" s="51"/>
      <c r="D658" s="4199"/>
      <c r="E658" s="4199"/>
      <c r="F658" s="4292" t="s">
        <v>1884</v>
      </c>
      <c r="G658" s="4292"/>
      <c r="H658" s="4292"/>
      <c r="I658" s="3295" t="str">
        <f t="shared" si="69"/>
        <v>351183_2024_12_</v>
      </c>
      <c r="J658" s="3299">
        <v>6</v>
      </c>
      <c r="K658" s="1442"/>
      <c r="L658" s="4368"/>
      <c r="M658" s="51"/>
      <c r="N658" s="561"/>
      <c r="O658" s="51"/>
      <c r="S658" s="52"/>
      <c r="T658" s="52"/>
      <c r="U658" s="52"/>
      <c r="V658" s="4199"/>
      <c r="W658" s="216"/>
      <c r="X658" s="216"/>
      <c r="Y658" s="216"/>
      <c r="Z658" s="3303">
        <v>6</v>
      </c>
      <c r="AA658" s="3300">
        <v>6</v>
      </c>
      <c r="AB658" s="3300">
        <v>6</v>
      </c>
      <c r="AC658" s="3301">
        <v>6</v>
      </c>
      <c r="AD658" s="3302">
        <v>6</v>
      </c>
      <c r="AE658" s="3302">
        <v>6</v>
      </c>
      <c r="AF658" s="2236">
        <f t="shared" si="70"/>
        <v>6</v>
      </c>
      <c r="AG658" s="216"/>
      <c r="DG658" s="1093"/>
      <c r="DH658" s="188"/>
      <c r="DI658" s="1091"/>
      <c r="DJ658" s="1187"/>
    </row>
    <row r="659" spans="1:114" ht="14.65" customHeight="1" outlineLevel="1">
      <c r="A659" s="453"/>
      <c r="C659" s="51"/>
      <c r="D659" s="4199"/>
      <c r="E659" s="4199"/>
      <c r="F659" s="4292" t="s">
        <v>1885</v>
      </c>
      <c r="G659" s="4292"/>
      <c r="H659" s="4292"/>
      <c r="I659" s="3295" t="str">
        <f t="shared" si="69"/>
        <v>351183_2024_12_</v>
      </c>
      <c r="J659" s="3299">
        <v>12</v>
      </c>
      <c r="K659" s="1442"/>
      <c r="L659" s="4368"/>
      <c r="M659" s="51"/>
      <c r="N659" s="561"/>
      <c r="O659" s="51"/>
      <c r="S659" s="52"/>
      <c r="T659" s="52"/>
      <c r="U659" s="52"/>
      <c r="V659" s="4199"/>
      <c r="W659" s="216"/>
      <c r="X659" s="216"/>
      <c r="Y659" s="216"/>
      <c r="Z659" s="3303">
        <v>12</v>
      </c>
      <c r="AA659" s="3300">
        <v>12</v>
      </c>
      <c r="AB659" s="3300">
        <v>12</v>
      </c>
      <c r="AC659" s="3301">
        <v>12</v>
      </c>
      <c r="AD659" s="3302">
        <v>12</v>
      </c>
      <c r="AE659" s="3302">
        <v>12</v>
      </c>
      <c r="AF659" s="2236">
        <f t="shared" si="70"/>
        <v>12</v>
      </c>
      <c r="AG659" s="216"/>
      <c r="DG659" s="1093"/>
      <c r="DH659" s="188"/>
      <c r="DI659" s="1091"/>
      <c r="DJ659" s="1187"/>
    </row>
    <row r="660" spans="1:114" ht="14.65" customHeight="1" outlineLevel="1">
      <c r="A660" s="453"/>
      <c r="C660" s="51"/>
      <c r="D660" s="4199"/>
      <c r="E660" s="4199"/>
      <c r="F660" s="4292" t="s">
        <v>1887</v>
      </c>
      <c r="G660" s="4292"/>
      <c r="H660" s="4292"/>
      <c r="I660" s="3295" t="str">
        <f t="shared" si="69"/>
        <v>351184_2024_12_</v>
      </c>
      <c r="J660" s="3299">
        <v>18</v>
      </c>
      <c r="K660" s="1442"/>
      <c r="L660" s="4368"/>
      <c r="M660" s="51"/>
      <c r="N660" s="561"/>
      <c r="O660" s="51"/>
      <c r="S660" s="52"/>
      <c r="T660" s="52"/>
      <c r="U660" s="52"/>
      <c r="V660" s="4199"/>
      <c r="W660" s="216"/>
      <c r="X660" s="216"/>
      <c r="Y660" s="216"/>
      <c r="Z660" s="3303">
        <v>18</v>
      </c>
      <c r="AA660" s="3300">
        <v>18</v>
      </c>
      <c r="AB660" s="3300">
        <v>18</v>
      </c>
      <c r="AC660" s="3301">
        <v>18</v>
      </c>
      <c r="AD660" s="3302">
        <v>18</v>
      </c>
      <c r="AE660" s="3302">
        <v>18</v>
      </c>
      <c r="AF660" s="2236">
        <f t="shared" si="70"/>
        <v>18</v>
      </c>
      <c r="AG660" s="216"/>
      <c r="DG660" s="1093"/>
      <c r="DH660" s="188"/>
      <c r="DI660" s="1091"/>
      <c r="DJ660" s="1187"/>
    </row>
    <row r="661" spans="1:114" ht="14.65" customHeight="1" outlineLevel="1">
      <c r="A661" s="453"/>
      <c r="C661" s="51"/>
      <c r="D661" s="4199"/>
      <c r="E661" s="4199"/>
      <c r="F661" s="4292" t="s">
        <v>1889</v>
      </c>
      <c r="G661" s="4292"/>
      <c r="H661" s="4292"/>
      <c r="I661" s="3295" t="str">
        <f t="shared" si="69"/>
        <v>351185_2024_12_</v>
      </c>
      <c r="J661" s="3299">
        <v>18</v>
      </c>
      <c r="K661" s="1442"/>
      <c r="L661" s="4368"/>
      <c r="M661" s="51"/>
      <c r="N661" s="561"/>
      <c r="O661" s="51"/>
      <c r="S661" s="52"/>
      <c r="T661" s="52"/>
      <c r="U661" s="52"/>
      <c r="V661" s="4199"/>
      <c r="W661" s="216"/>
      <c r="X661" s="216"/>
      <c r="Y661" s="216"/>
      <c r="Z661" s="3303">
        <v>18</v>
      </c>
      <c r="AA661" s="3300">
        <v>18</v>
      </c>
      <c r="AB661" s="3300">
        <v>18</v>
      </c>
      <c r="AC661" s="3301">
        <v>18</v>
      </c>
      <c r="AD661" s="3302">
        <v>18</v>
      </c>
      <c r="AE661" s="3302">
        <v>18</v>
      </c>
      <c r="AF661" s="2236">
        <f t="shared" si="70"/>
        <v>18</v>
      </c>
      <c r="AG661" s="216"/>
      <c r="DG661" s="1093"/>
      <c r="DH661" s="188"/>
      <c r="DI661" s="1091"/>
      <c r="DJ661" s="1187"/>
    </row>
    <row r="662" spans="1:114" ht="14.65" customHeight="1" outlineLevel="1">
      <c r="A662" s="453"/>
      <c r="C662" s="51"/>
      <c r="D662" s="4199"/>
      <c r="E662" s="4199"/>
      <c r="F662" s="4338" t="s">
        <v>1891</v>
      </c>
      <c r="G662" s="4338"/>
      <c r="H662" s="4338"/>
      <c r="I662" s="927" t="str">
        <f t="shared" si="69"/>
        <v>351190_2024_12_</v>
      </c>
      <c r="J662" s="1792">
        <v>6</v>
      </c>
      <c r="K662" s="1442"/>
      <c r="L662" s="4368"/>
      <c r="M662" s="51"/>
      <c r="N662" s="561"/>
      <c r="O662" s="51"/>
      <c r="S662" s="52"/>
      <c r="T662" s="52"/>
      <c r="U662" s="52"/>
      <c r="V662" s="4199"/>
      <c r="W662" s="216"/>
      <c r="X662" s="216"/>
      <c r="Y662" s="216"/>
      <c r="Z662" s="217">
        <v>6</v>
      </c>
      <c r="AA662" s="216">
        <v>6</v>
      </c>
      <c r="AB662" s="216">
        <v>6</v>
      </c>
      <c r="AC662" s="954">
        <v>6</v>
      </c>
      <c r="AD662" s="928">
        <v>6</v>
      </c>
      <c r="AE662" s="928">
        <v>6</v>
      </c>
      <c r="AF662" s="271">
        <f t="shared" si="70"/>
        <v>6</v>
      </c>
      <c r="AG662" s="216"/>
      <c r="DG662" s="1093"/>
      <c r="DH662" s="188"/>
      <c r="DI662" s="1091"/>
      <c r="DJ662" s="1187"/>
    </row>
    <row r="663" spans="1:114" ht="14.65" customHeight="1" outlineLevel="1">
      <c r="A663" s="453"/>
      <c r="C663" s="51"/>
      <c r="D663" s="4199"/>
      <c r="E663" s="4199"/>
      <c r="F663" s="4338" t="s">
        <v>1892</v>
      </c>
      <c r="G663" s="4338"/>
      <c r="H663" s="4338"/>
      <c r="I663" s="927" t="str">
        <f t="shared" ref="I663:I670" si="71">I590</f>
        <v>351190_2024_12_</v>
      </c>
      <c r="J663" s="1792">
        <v>12</v>
      </c>
      <c r="K663" s="1442"/>
      <c r="L663" s="4368"/>
      <c r="M663" s="51"/>
      <c r="N663" s="561"/>
      <c r="O663" s="51"/>
      <c r="S663" s="52"/>
      <c r="T663" s="52"/>
      <c r="U663" s="52"/>
      <c r="V663" s="4199"/>
      <c r="W663" s="216"/>
      <c r="X663" s="216"/>
      <c r="Y663" s="216"/>
      <c r="Z663" s="217">
        <v>12</v>
      </c>
      <c r="AA663" s="216">
        <v>12</v>
      </c>
      <c r="AB663" s="216">
        <v>12</v>
      </c>
      <c r="AC663" s="954">
        <v>12</v>
      </c>
      <c r="AD663" s="928">
        <v>12</v>
      </c>
      <c r="AE663" s="928">
        <v>12</v>
      </c>
      <c r="AF663" s="271">
        <f t="shared" si="70"/>
        <v>12</v>
      </c>
      <c r="AG663" s="216"/>
      <c r="DG663" s="1093"/>
      <c r="DH663" s="188"/>
      <c r="DI663" s="1091"/>
      <c r="DJ663" s="1187"/>
    </row>
    <row r="664" spans="1:114" ht="14.65" customHeight="1" outlineLevel="1">
      <c r="A664" s="453"/>
      <c r="C664" s="51"/>
      <c r="D664" s="4199"/>
      <c r="E664" s="4199"/>
      <c r="F664" s="4338" t="s">
        <v>1894</v>
      </c>
      <c r="G664" s="4338"/>
      <c r="H664" s="4338"/>
      <c r="I664" s="927" t="str">
        <f t="shared" si="71"/>
        <v>351191_2024_12_</v>
      </c>
      <c r="J664" s="1792">
        <v>18</v>
      </c>
      <c r="K664" s="1442"/>
      <c r="L664" s="4368"/>
      <c r="M664" s="51"/>
      <c r="N664" s="561"/>
      <c r="O664" s="51"/>
      <c r="S664" s="52"/>
      <c r="T664" s="52"/>
      <c r="U664" s="52"/>
      <c r="V664" s="4199"/>
      <c r="W664" s="216"/>
      <c r="X664" s="216"/>
      <c r="Y664" s="216"/>
      <c r="Z664" s="217">
        <v>18</v>
      </c>
      <c r="AA664" s="216">
        <v>18</v>
      </c>
      <c r="AB664" s="216">
        <v>18</v>
      </c>
      <c r="AC664" s="954">
        <v>18</v>
      </c>
      <c r="AD664" s="928">
        <v>18</v>
      </c>
      <c r="AE664" s="928">
        <v>18</v>
      </c>
      <c r="AF664" s="271">
        <f t="shared" si="70"/>
        <v>18</v>
      </c>
      <c r="AG664" s="216"/>
      <c r="DG664" s="1093"/>
      <c r="DH664" s="188"/>
      <c r="DI664" s="1091"/>
      <c r="DJ664" s="1187"/>
    </row>
    <row r="665" spans="1:114" ht="14.65" customHeight="1" outlineLevel="1">
      <c r="A665" s="453"/>
      <c r="C665" s="51"/>
      <c r="D665" s="4199"/>
      <c r="E665" s="4199"/>
      <c r="F665" s="4292" t="s">
        <v>1896</v>
      </c>
      <c r="G665" s="4292"/>
      <c r="H665" s="4292"/>
      <c r="I665" s="3295" t="str">
        <f t="shared" si="71"/>
        <v>351192_2024_12_</v>
      </c>
      <c r="J665" s="3299">
        <v>6</v>
      </c>
      <c r="K665" s="1442"/>
      <c r="L665" s="4368"/>
      <c r="M665" s="51"/>
      <c r="N665" s="561"/>
      <c r="O665" s="51"/>
      <c r="S665" s="52"/>
      <c r="T665" s="52"/>
      <c r="U665" s="52"/>
      <c r="V665" s="4199"/>
      <c r="W665" s="216"/>
      <c r="X665" s="216"/>
      <c r="Y665" s="216"/>
      <c r="Z665" s="3303">
        <v>6</v>
      </c>
      <c r="AA665" s="3300">
        <v>6</v>
      </c>
      <c r="AB665" s="3300">
        <v>6</v>
      </c>
      <c r="AC665" s="3301">
        <v>6</v>
      </c>
      <c r="AD665" s="3302">
        <v>6</v>
      </c>
      <c r="AE665" s="3302">
        <v>6</v>
      </c>
      <c r="AF665" s="2236">
        <f t="shared" si="70"/>
        <v>6</v>
      </c>
      <c r="AG665" s="216"/>
      <c r="DG665" s="1093"/>
      <c r="DH665" s="188"/>
      <c r="DI665" s="1091"/>
      <c r="DJ665" s="1187"/>
    </row>
    <row r="666" spans="1:114" ht="14.65" customHeight="1" outlineLevel="1">
      <c r="A666" s="453"/>
      <c r="C666" s="51"/>
      <c r="D666" s="4199"/>
      <c r="E666" s="4199"/>
      <c r="F666" s="4292" t="s">
        <v>1897</v>
      </c>
      <c r="G666" s="4292"/>
      <c r="H666" s="4292"/>
      <c r="I666" s="3295" t="str">
        <f t="shared" si="71"/>
        <v>351192_2024_12_</v>
      </c>
      <c r="J666" s="3299">
        <v>12</v>
      </c>
      <c r="K666" s="1442"/>
      <c r="L666" s="4368"/>
      <c r="M666" s="51"/>
      <c r="N666" s="561"/>
      <c r="O666" s="51"/>
      <c r="S666" s="52"/>
      <c r="T666" s="52"/>
      <c r="U666" s="52"/>
      <c r="V666" s="4199"/>
      <c r="W666" s="216"/>
      <c r="X666" s="216"/>
      <c r="Y666" s="216"/>
      <c r="Z666" s="3303">
        <v>12</v>
      </c>
      <c r="AA666" s="3300">
        <v>12</v>
      </c>
      <c r="AB666" s="3300">
        <v>12</v>
      </c>
      <c r="AC666" s="3301">
        <v>12</v>
      </c>
      <c r="AD666" s="3302">
        <v>12</v>
      </c>
      <c r="AE666" s="3302">
        <v>12</v>
      </c>
      <c r="AF666" s="2236">
        <f t="shared" si="70"/>
        <v>12</v>
      </c>
      <c r="AG666" s="216"/>
      <c r="DG666" s="1093"/>
      <c r="DH666" s="188"/>
      <c r="DI666" s="1091"/>
      <c r="DJ666" s="1187"/>
    </row>
    <row r="667" spans="1:114" ht="14.65" customHeight="1" outlineLevel="1">
      <c r="A667" s="453"/>
      <c r="C667" s="51"/>
      <c r="D667" s="4199"/>
      <c r="E667" s="4199"/>
      <c r="F667" s="4292" t="s">
        <v>1899</v>
      </c>
      <c r="G667" s="4292"/>
      <c r="H667" s="4292"/>
      <c r="I667" s="3295" t="str">
        <f t="shared" si="71"/>
        <v>351193_2024_12_</v>
      </c>
      <c r="J667" s="3299">
        <v>6</v>
      </c>
      <c r="K667" s="1442"/>
      <c r="L667" s="4368"/>
      <c r="M667" s="51"/>
      <c r="N667" s="561"/>
      <c r="O667" s="51"/>
      <c r="S667" s="52"/>
      <c r="T667" s="52"/>
      <c r="U667" s="52"/>
      <c r="V667" s="4199"/>
      <c r="W667" s="216"/>
      <c r="X667" s="216"/>
      <c r="Y667" s="216"/>
      <c r="Z667" s="3303">
        <v>6</v>
      </c>
      <c r="AA667" s="3300">
        <v>6</v>
      </c>
      <c r="AB667" s="3300">
        <v>6</v>
      </c>
      <c r="AC667" s="3301">
        <v>6</v>
      </c>
      <c r="AD667" s="3302">
        <v>6</v>
      </c>
      <c r="AE667" s="3302">
        <v>6</v>
      </c>
      <c r="AF667" s="2236">
        <f t="shared" si="70"/>
        <v>6</v>
      </c>
      <c r="AG667" s="216"/>
      <c r="DG667" s="1093"/>
      <c r="DH667" s="188"/>
      <c r="DI667" s="1091"/>
      <c r="DJ667" s="1187"/>
    </row>
    <row r="668" spans="1:114" ht="14.65" customHeight="1" outlineLevel="1">
      <c r="A668" s="453"/>
      <c r="C668" s="51"/>
      <c r="D668" s="4199"/>
      <c r="E668" s="4199"/>
      <c r="F668" s="4292" t="s">
        <v>1900</v>
      </c>
      <c r="G668" s="4292"/>
      <c r="H668" s="4292"/>
      <c r="I668" s="3295" t="str">
        <f t="shared" si="71"/>
        <v>351193_2024_12_</v>
      </c>
      <c r="J668" s="3299">
        <v>12</v>
      </c>
      <c r="K668" s="1442"/>
      <c r="L668" s="4368"/>
      <c r="M668" s="51"/>
      <c r="N668" s="561"/>
      <c r="O668" s="51"/>
      <c r="S668" s="52"/>
      <c r="T668" s="52"/>
      <c r="U668" s="52"/>
      <c r="V668" s="4199"/>
      <c r="W668" s="216"/>
      <c r="X668" s="216"/>
      <c r="Y668" s="216"/>
      <c r="Z668" s="3303">
        <v>12</v>
      </c>
      <c r="AA668" s="3300">
        <v>12</v>
      </c>
      <c r="AB668" s="3300">
        <v>12</v>
      </c>
      <c r="AC668" s="3301">
        <v>12</v>
      </c>
      <c r="AD668" s="3302">
        <v>12</v>
      </c>
      <c r="AE668" s="3302">
        <v>12</v>
      </c>
      <c r="AF668" s="2236">
        <f t="shared" si="70"/>
        <v>12</v>
      </c>
      <c r="AG668" s="216"/>
      <c r="DG668" s="1093"/>
      <c r="DH668" s="188"/>
      <c r="DI668" s="1091"/>
      <c r="DJ668" s="1187"/>
    </row>
    <row r="669" spans="1:114" ht="14.65" customHeight="1" outlineLevel="1">
      <c r="A669" s="453"/>
      <c r="C669" s="51"/>
      <c r="D669" s="4199"/>
      <c r="E669" s="4199"/>
      <c r="F669" s="4292" t="s">
        <v>1902</v>
      </c>
      <c r="G669" s="4292"/>
      <c r="H669" s="4292"/>
      <c r="I669" s="3295" t="str">
        <f t="shared" si="71"/>
        <v>351194_2024_12_</v>
      </c>
      <c r="J669" s="3299">
        <v>18</v>
      </c>
      <c r="K669" s="1442"/>
      <c r="L669" s="4368"/>
      <c r="M669" s="51"/>
      <c r="N669" s="561"/>
      <c r="O669" s="51"/>
      <c r="S669" s="52"/>
      <c r="T669" s="52"/>
      <c r="U669" s="52"/>
      <c r="V669" s="4199"/>
      <c r="W669" s="216"/>
      <c r="X669" s="216"/>
      <c r="Y669" s="216"/>
      <c r="Z669" s="3303">
        <v>18</v>
      </c>
      <c r="AA669" s="3300">
        <v>18</v>
      </c>
      <c r="AB669" s="3300">
        <v>18</v>
      </c>
      <c r="AC669" s="3301">
        <v>18</v>
      </c>
      <c r="AD669" s="3302">
        <v>18</v>
      </c>
      <c r="AE669" s="3302">
        <v>18</v>
      </c>
      <c r="AF669" s="2236">
        <f t="shared" si="70"/>
        <v>18</v>
      </c>
      <c r="AG669" s="216"/>
      <c r="DG669" s="1093"/>
      <c r="DH669" s="188"/>
      <c r="DI669" s="1091"/>
      <c r="DJ669" s="1187"/>
    </row>
    <row r="670" spans="1:114" ht="14.65" customHeight="1" outlineLevel="1">
      <c r="A670" s="453"/>
      <c r="C670" s="51"/>
      <c r="D670" s="4199"/>
      <c r="E670" s="4199"/>
      <c r="F670" s="4292" t="s">
        <v>1904</v>
      </c>
      <c r="G670" s="4292"/>
      <c r="H670" s="4292"/>
      <c r="I670" s="3295" t="str">
        <f t="shared" si="71"/>
        <v>351195_2024_12_</v>
      </c>
      <c r="J670" s="3299">
        <v>18</v>
      </c>
      <c r="K670" s="1442"/>
      <c r="L670" s="4369"/>
      <c r="M670" s="51"/>
      <c r="N670" s="561"/>
      <c r="O670" s="51"/>
      <c r="S670" s="52"/>
      <c r="T670" s="52"/>
      <c r="U670" s="52"/>
      <c r="V670" s="4199"/>
      <c r="W670" s="216"/>
      <c r="X670" s="216"/>
      <c r="Y670" s="216"/>
      <c r="Z670" s="3303">
        <v>18</v>
      </c>
      <c r="AA670" s="3300">
        <v>18</v>
      </c>
      <c r="AB670" s="3300">
        <v>18</v>
      </c>
      <c r="AC670" s="3301">
        <v>18</v>
      </c>
      <c r="AD670" s="3302">
        <v>18</v>
      </c>
      <c r="AE670" s="3302">
        <v>18</v>
      </c>
      <c r="AF670" s="2236">
        <f t="shared" si="70"/>
        <v>18</v>
      </c>
      <c r="AG670" s="216"/>
      <c r="DG670" s="1093"/>
      <c r="DH670" s="188"/>
      <c r="DI670" s="1091"/>
      <c r="DJ670" s="1187"/>
    </row>
    <row r="671" spans="1:114" ht="14.65" customHeight="1" outlineLevel="1">
      <c r="A671" s="453"/>
      <c r="C671" s="51"/>
      <c r="D671" s="4293" t="s">
        <v>50</v>
      </c>
      <c r="E671" s="4293" t="s">
        <v>1135</v>
      </c>
      <c r="F671" s="4339" t="s">
        <v>1784</v>
      </c>
      <c r="G671" s="4339"/>
      <c r="H671" s="4339"/>
      <c r="I671" s="3295" t="str">
        <f t="shared" ref="I671:I734" si="72">I599</f>
        <v>350400_2024_12_</v>
      </c>
      <c r="J671" s="2908">
        <f>IF(ISNUMBER(SEARCH("_ER",F671)),VLOOKUP(_xlfn.MAXIFS(Q$167:Q$176,Q$167:Q$176,"&lt;"&amp;L671),Q$167:T$176,4,FALSE),VLOOKUP(_xlfn.MAXIFS(Q$167:Q$176,Q$167:Q$176,"&lt;"&amp;L671),Q$167:T$176,2,FALSE))</f>
        <v>185.34665593474892</v>
      </c>
      <c r="K671" s="2573">
        <f t="shared" ref="K671:K734" si="73">K238*J526</f>
        <v>2.98</v>
      </c>
      <c r="L671" s="3304">
        <f>VLOOKUP(I671,$I$382:$J$453,2,FALSE)</f>
        <v>14</v>
      </c>
      <c r="M671" s="51"/>
      <c r="N671" s="561"/>
      <c r="O671" s="51"/>
      <c r="S671" s="52"/>
      <c r="T671" s="52"/>
      <c r="U671" s="52"/>
      <c r="V671" s="4293" t="str">
        <f>D671</f>
        <v>Inc. Cost</v>
      </c>
      <c r="W671" s="3306">
        <v>637.14870909240096</v>
      </c>
      <c r="X671" s="3307">
        <v>1581.5631874190194</v>
      </c>
      <c r="Y671" s="3307">
        <v>578.51488884773289</v>
      </c>
      <c r="Z671" s="3308">
        <v>444.07830140084025</v>
      </c>
      <c r="AA671" s="3306">
        <v>444.07830140084025</v>
      </c>
      <c r="AB671" s="2583">
        <v>444.07830140084025</v>
      </c>
      <c r="AC671" s="3309">
        <v>444.07830140084025</v>
      </c>
      <c r="AD671" s="2583">
        <v>0</v>
      </c>
      <c r="AE671" s="2988">
        <v>515.08833863482869</v>
      </c>
      <c r="AF671" s="2236">
        <f t="shared" si="70"/>
        <v>185.34665593474892</v>
      </c>
      <c r="AG671" s="200"/>
      <c r="DG671" s="1093"/>
      <c r="DH671" s="188"/>
      <c r="DI671" s="1091"/>
      <c r="DJ671" s="1187"/>
    </row>
    <row r="672" spans="1:114" ht="14.65" customHeight="1" outlineLevel="1">
      <c r="A672" s="453"/>
      <c r="C672" s="51"/>
      <c r="D672" s="4293"/>
      <c r="E672" s="4293"/>
      <c r="F672" s="4292" t="s">
        <v>1785</v>
      </c>
      <c r="G672" s="4292"/>
      <c r="H672" s="4292"/>
      <c r="I672" s="3295" t="str">
        <f t="shared" si="72"/>
        <v>350400_2024_12_</v>
      </c>
      <c r="J672" s="3305"/>
      <c r="K672" s="2573">
        <f t="shared" si="73"/>
        <v>2.98</v>
      </c>
      <c r="L672" s="2962"/>
      <c r="M672" s="51"/>
      <c r="N672" s="561"/>
      <c r="O672" s="51"/>
      <c r="S672" s="52"/>
      <c r="T672" s="52"/>
      <c r="U672" s="52"/>
      <c r="V672" s="4293"/>
      <c r="W672" s="3306"/>
      <c r="X672" s="3310"/>
      <c r="Y672" s="3311"/>
      <c r="Z672" s="3308"/>
      <c r="AA672" s="3306"/>
      <c r="AB672" s="2583"/>
      <c r="AC672" s="3312"/>
      <c r="AD672" s="3305"/>
      <c r="AE672" s="3305"/>
      <c r="AF672" s="2236" t="str">
        <f t="shared" si="70"/>
        <v/>
      </c>
      <c r="AG672" s="200"/>
      <c r="DG672" s="1093"/>
      <c r="DH672" s="188"/>
      <c r="DI672" s="1091"/>
      <c r="DJ672" s="1187"/>
    </row>
    <row r="673" spans="1:114" ht="14.65" customHeight="1" outlineLevel="1">
      <c r="A673" s="453"/>
      <c r="C673" s="51"/>
      <c r="D673" s="4293"/>
      <c r="E673" s="4293"/>
      <c r="F673" s="4292" t="s">
        <v>1788</v>
      </c>
      <c r="G673" s="4292"/>
      <c r="H673" s="4292"/>
      <c r="I673" s="3295" t="str">
        <f t="shared" si="72"/>
        <v>350450_2024_12_</v>
      </c>
      <c r="J673" s="2908">
        <f>IF(ISNUMBER(SEARCH("_ER",F673)),VLOOKUP(_xlfn.MAXIFS(Q$167:Q$176,Q$167:Q$176,"&lt;"&amp;L673),Q$167:T$176,4,FALSE),VLOOKUP(_xlfn.MAXIFS(Q$167:Q$176,Q$167:Q$176,"&lt;"&amp;L673),Q$167:T$176,2,FALSE))</f>
        <v>111.40021423594317</v>
      </c>
      <c r="K673" s="2573">
        <f t="shared" si="73"/>
        <v>2.97</v>
      </c>
      <c r="L673" s="3304">
        <f>VLOOKUP(I673,$I$382:$J$453,2,FALSE)</f>
        <v>14</v>
      </c>
      <c r="M673" s="51"/>
      <c r="N673" s="561"/>
      <c r="O673" s="51"/>
      <c r="S673" s="52"/>
      <c r="T673" s="52"/>
      <c r="U673" s="52"/>
      <c r="V673" s="4293"/>
      <c r="W673" s="3306"/>
      <c r="X673" s="3313"/>
      <c r="Y673" s="3307"/>
      <c r="Z673" s="3308"/>
      <c r="AA673" s="3306"/>
      <c r="AB673" s="2583"/>
      <c r="AC673" s="3309"/>
      <c r="AD673" s="2583"/>
      <c r="AE673" s="2583"/>
      <c r="AF673" s="2236">
        <f t="shared" si="70"/>
        <v>111.40021423594317</v>
      </c>
      <c r="AG673" s="200"/>
      <c r="DG673" s="1093"/>
      <c r="DH673" s="188"/>
      <c r="DI673" s="1091"/>
      <c r="DJ673" s="1187"/>
    </row>
    <row r="674" spans="1:114" ht="14.65" customHeight="1" outlineLevel="1">
      <c r="A674" s="453"/>
      <c r="C674" s="51"/>
      <c r="D674" s="4293"/>
      <c r="E674" s="4293"/>
      <c r="F674" s="4292" t="s">
        <v>1790</v>
      </c>
      <c r="G674" s="4292"/>
      <c r="H674" s="4292"/>
      <c r="I674" s="3295" t="str">
        <f t="shared" si="72"/>
        <v>350500_2024_12_</v>
      </c>
      <c r="J674" s="2908">
        <f>IF(ISNUMBER(SEARCH("_ER",F674)),VLOOKUP(_xlfn.MAXIFS(Q$167:Q$176,Q$167:Q$176,"&lt;"&amp;L674),Q$167:T$176,4,FALSE),VLOOKUP(_xlfn.MAXIFS(Q$167:Q$176,Q$167:Q$176,"&lt;"&amp;L674),Q$167:T$176,2,FALSE))</f>
        <v>185.34665593474892</v>
      </c>
      <c r="K674" s="2573">
        <f t="shared" si="73"/>
        <v>2</v>
      </c>
      <c r="L674" s="3304">
        <f>VLOOKUP(I674,$I$382:$J$453,2,FALSE)</f>
        <v>14</v>
      </c>
      <c r="M674" s="51"/>
      <c r="N674" s="561"/>
      <c r="O674" s="51"/>
      <c r="S674" s="52"/>
      <c r="T674" s="52"/>
      <c r="U674" s="52"/>
      <c r="V674" s="4293"/>
      <c r="W674" s="3306">
        <v>637.14870909240062</v>
      </c>
      <c r="X674" s="3307">
        <v>1037.0906147009964</v>
      </c>
      <c r="Y674" s="3307">
        <v>388.26502607230418</v>
      </c>
      <c r="Z674" s="3308">
        <v>388.26502607230418</v>
      </c>
      <c r="AA674" s="3306">
        <v>388.26502607230418</v>
      </c>
      <c r="AB674" s="2583">
        <v>388.26502607230418</v>
      </c>
      <c r="AC674" s="3309">
        <v>388.26502607230418</v>
      </c>
      <c r="AD674" s="2583">
        <v>0</v>
      </c>
      <c r="AE674" s="2988">
        <v>442.08125049285354</v>
      </c>
      <c r="AF674" s="2236">
        <f t="shared" si="70"/>
        <v>185.34665593474892</v>
      </c>
      <c r="AG674" s="200"/>
      <c r="DG674" s="1093"/>
      <c r="DH674" s="188"/>
      <c r="DI674" s="1091"/>
      <c r="DJ674" s="1187"/>
    </row>
    <row r="675" spans="1:114" ht="14.65" customHeight="1" outlineLevel="1">
      <c r="A675" s="453"/>
      <c r="C675" s="51"/>
      <c r="D675" s="4293"/>
      <c r="E675" s="4293"/>
      <c r="F675" s="4292" t="s">
        <v>1791</v>
      </c>
      <c r="G675" s="4292"/>
      <c r="H675" s="4292"/>
      <c r="I675" s="3295" t="str">
        <f t="shared" si="72"/>
        <v>350500_2024_12_</v>
      </c>
      <c r="J675" s="2583"/>
      <c r="K675" s="2573">
        <f t="shared" si="73"/>
        <v>2</v>
      </c>
      <c r="L675" s="2962"/>
      <c r="M675" s="51"/>
      <c r="N675" s="561"/>
      <c r="O675" s="51"/>
      <c r="S675" s="52"/>
      <c r="T675" s="52"/>
      <c r="U675" s="52"/>
      <c r="V675" s="4293"/>
      <c r="W675" s="3306"/>
      <c r="X675" s="3313"/>
      <c r="Y675" s="3307"/>
      <c r="Z675" s="3308"/>
      <c r="AA675" s="3306"/>
      <c r="AB675" s="2583"/>
      <c r="AC675" s="3309"/>
      <c r="AD675" s="2583"/>
      <c r="AE675" s="2583"/>
      <c r="AF675" s="2236" t="str">
        <f t="shared" si="70"/>
        <v/>
      </c>
      <c r="AG675" s="200"/>
      <c r="DG675" s="1093"/>
      <c r="DH675" s="188"/>
      <c r="DI675" s="1091"/>
      <c r="DJ675" s="1187"/>
    </row>
    <row r="676" spans="1:114" ht="14.65" customHeight="1" outlineLevel="1">
      <c r="A676" s="453"/>
      <c r="C676" s="51"/>
      <c r="D676" s="4293"/>
      <c r="E676" s="4293"/>
      <c r="F676" s="4292" t="s">
        <v>1793</v>
      </c>
      <c r="G676" s="4292"/>
      <c r="H676" s="4292"/>
      <c r="I676" s="3295" t="str">
        <f t="shared" si="72"/>
        <v>350501_2024_12_</v>
      </c>
      <c r="J676" s="2908">
        <f>IF(ISNUMBER(SEARCH("_ER",F676)),VLOOKUP(_xlfn.MAXIFS(Q$167:Q$176,Q$167:Q$176,"&lt;"&amp;L676),Q$167:T$176,4,FALSE),VLOOKUP(_xlfn.MAXIFS(Q$167:Q$176,Q$167:Q$176,"&lt;"&amp;L676),Q$167:T$176,2,FALSE))</f>
        <v>185.34665593474892</v>
      </c>
      <c r="K676" s="2573">
        <f t="shared" si="73"/>
        <v>2</v>
      </c>
      <c r="L676" s="3304">
        <f>VLOOKUP(I676,$I$382:$J$453,2,FALSE)</f>
        <v>14</v>
      </c>
      <c r="M676" s="51"/>
      <c r="N676" s="561"/>
      <c r="O676" s="51"/>
      <c r="S676" s="52"/>
      <c r="T676" s="52"/>
      <c r="U676" s="52"/>
      <c r="V676" s="4293"/>
      <c r="W676" s="3306"/>
      <c r="X676" s="3313"/>
      <c r="Y676" s="3307">
        <v>388.26502607230418</v>
      </c>
      <c r="Z676" s="3308">
        <v>298.03912845693981</v>
      </c>
      <c r="AA676" s="3306">
        <v>298.03912845693981</v>
      </c>
      <c r="AB676" s="2583">
        <v>298.03912845693981</v>
      </c>
      <c r="AC676" s="3309">
        <v>298.03912845693981</v>
      </c>
      <c r="AD676" s="2583">
        <v>0</v>
      </c>
      <c r="AE676" s="2988">
        <v>345.69687156699911</v>
      </c>
      <c r="AF676" s="2236">
        <f t="shared" si="70"/>
        <v>185.34665593474892</v>
      </c>
      <c r="AG676" s="200"/>
      <c r="DG676" s="1093"/>
      <c r="DH676" s="188"/>
      <c r="DI676" s="1091"/>
      <c r="DJ676" s="1187"/>
    </row>
    <row r="677" spans="1:114" ht="14.65" customHeight="1" outlineLevel="1">
      <c r="A677" s="453"/>
      <c r="C677" s="51"/>
      <c r="D677" s="4293"/>
      <c r="E677" s="4293"/>
      <c r="F677" s="4292" t="s">
        <v>1794</v>
      </c>
      <c r="G677" s="4292"/>
      <c r="H677" s="4292"/>
      <c r="I677" s="3295" t="str">
        <f t="shared" si="72"/>
        <v>350501_2024_12_</v>
      </c>
      <c r="J677" s="2583"/>
      <c r="K677" s="2573">
        <f t="shared" si="73"/>
        <v>2</v>
      </c>
      <c r="L677" s="2962"/>
      <c r="M677" s="51"/>
      <c r="N677" s="561"/>
      <c r="O677" s="51"/>
      <c r="S677" s="52"/>
      <c r="T677" s="52"/>
      <c r="U677" s="52"/>
      <c r="V677" s="4293"/>
      <c r="W677" s="3306"/>
      <c r="X677" s="3313"/>
      <c r="Y677" s="3307"/>
      <c r="Z677" s="3308"/>
      <c r="AA677" s="3306"/>
      <c r="AB677" s="2583"/>
      <c r="AC677" s="3309"/>
      <c r="AD677" s="2583"/>
      <c r="AE677" s="2583"/>
      <c r="AF677" s="2236" t="str">
        <f t="shared" si="70"/>
        <v/>
      </c>
      <c r="AG677" s="200"/>
      <c r="DG677" s="1093"/>
      <c r="DH677" s="188"/>
      <c r="DI677" s="1091"/>
      <c r="DJ677" s="1187"/>
    </row>
    <row r="678" spans="1:114" ht="14.25" customHeight="1" outlineLevel="1">
      <c r="A678" s="453"/>
      <c r="C678" s="51"/>
      <c r="D678" s="4293"/>
      <c r="E678" s="4293"/>
      <c r="F678" s="4292" t="s">
        <v>1796</v>
      </c>
      <c r="G678" s="4292"/>
      <c r="H678" s="4292"/>
      <c r="I678" s="3295" t="str">
        <f t="shared" si="72"/>
        <v>350550_2024_12_</v>
      </c>
      <c r="J678" s="2908">
        <f t="shared" ref="J678:J680" si="74">IF(ISNUMBER(SEARCH("_ER",F678)),VLOOKUP(_xlfn.MAXIFS(Q$167:Q$176,Q$167:Q$176,"&lt;"&amp;L678),Q$167:T$176,4,FALSE),VLOOKUP(_xlfn.MAXIFS(Q$167:Q$176,Q$167:Q$176,"&lt;"&amp;L678),Q$167:T$176,2,FALSE))</f>
        <v>111.40021423594317</v>
      </c>
      <c r="K678" s="2573">
        <f t="shared" si="73"/>
        <v>2</v>
      </c>
      <c r="L678" s="3304">
        <f>VLOOKUP(I678,$I$382:$J$453,2,FALSE)</f>
        <v>14</v>
      </c>
      <c r="M678" s="51"/>
      <c r="N678" s="561"/>
      <c r="O678" s="51"/>
      <c r="S678" s="52"/>
      <c r="T678" s="52"/>
      <c r="U678" s="52"/>
      <c r="V678" s="4293"/>
      <c r="W678" s="3306"/>
      <c r="X678" s="3313"/>
      <c r="Y678" s="3307">
        <v>0</v>
      </c>
      <c r="Z678" s="3308">
        <v>0</v>
      </c>
      <c r="AA678" s="3306">
        <v>0</v>
      </c>
      <c r="AB678" s="2583">
        <v>0</v>
      </c>
      <c r="AC678" s="3309">
        <v>0</v>
      </c>
      <c r="AD678" s="2583">
        <v>0</v>
      </c>
      <c r="AE678" s="2583">
        <v>0</v>
      </c>
      <c r="AF678" s="2236">
        <f t="shared" ref="AF678:AF742" si="75">IF(J678&lt;&gt;"",J678,"")</f>
        <v>111.40021423594317</v>
      </c>
      <c r="AG678" s="200"/>
      <c r="DG678" s="1093"/>
      <c r="DH678" s="188"/>
      <c r="DI678" s="1091"/>
      <c r="DJ678" s="1187"/>
    </row>
    <row r="679" spans="1:114" ht="14.25" customHeight="1" outlineLevel="1">
      <c r="A679" s="453"/>
      <c r="C679" s="51"/>
      <c r="D679" s="4293"/>
      <c r="E679" s="4293"/>
      <c r="F679" s="4292" t="s">
        <v>1798</v>
      </c>
      <c r="G679" s="4292"/>
      <c r="H679" s="4292"/>
      <c r="I679" s="3295" t="str">
        <f t="shared" si="72"/>
        <v>350551_2024_12_</v>
      </c>
      <c r="J679" s="2908">
        <f t="shared" si="74"/>
        <v>111.40021423594317</v>
      </c>
      <c r="K679" s="2573">
        <f t="shared" si="73"/>
        <v>2</v>
      </c>
      <c r="L679" s="3304">
        <f>VLOOKUP(I679,$I$382:$J$453,2,FALSE)</f>
        <v>14</v>
      </c>
      <c r="M679" s="51"/>
      <c r="N679" s="561"/>
      <c r="O679" s="51"/>
      <c r="S679" s="52"/>
      <c r="T679" s="52"/>
      <c r="U679" s="52"/>
      <c r="V679" s="4293"/>
      <c r="W679" s="3306"/>
      <c r="X679" s="3313"/>
      <c r="Y679" s="3307">
        <v>0</v>
      </c>
      <c r="Z679" s="3308">
        <v>0</v>
      </c>
      <c r="AA679" s="3306">
        <v>0</v>
      </c>
      <c r="AB679" s="2583">
        <v>0</v>
      </c>
      <c r="AC679" s="3309">
        <v>0</v>
      </c>
      <c r="AD679" s="2583">
        <v>0</v>
      </c>
      <c r="AE679" s="2583">
        <v>0</v>
      </c>
      <c r="AF679" s="2236">
        <f t="shared" si="75"/>
        <v>111.40021423594317</v>
      </c>
      <c r="AG679" s="200"/>
      <c r="DG679" s="1093"/>
      <c r="DH679" s="188"/>
      <c r="DI679" s="1091"/>
      <c r="DJ679" s="1187"/>
    </row>
    <row r="680" spans="1:114" ht="14.65" customHeight="1" outlineLevel="1">
      <c r="A680" s="453"/>
      <c r="C680" s="51"/>
      <c r="D680" s="4293"/>
      <c r="E680" s="4293"/>
      <c r="F680" s="4338" t="s">
        <v>1801</v>
      </c>
      <c r="G680" s="4338"/>
      <c r="H680" s="4338"/>
      <c r="I680" s="927" t="str">
        <f t="shared" si="72"/>
        <v>350600_2024_12_</v>
      </c>
      <c r="J680" s="1705">
        <f t="shared" si="74"/>
        <v>526.97397959163982</v>
      </c>
      <c r="K680" s="21">
        <f t="shared" si="73"/>
        <v>3.1148319327731095</v>
      </c>
      <c r="L680" s="1240">
        <f>VLOOKUP(I680,$I$382:$J$453,2,FALSE)</f>
        <v>15.10681605975719</v>
      </c>
      <c r="M680" s="51"/>
      <c r="N680" s="561"/>
      <c r="O680" s="51"/>
      <c r="S680" s="52"/>
      <c r="T680" s="52"/>
      <c r="U680" s="52"/>
      <c r="V680" s="4293"/>
      <c r="W680" s="200">
        <v>1057.263580001641</v>
      </c>
      <c r="X680" s="219">
        <v>1910.9631874190195</v>
      </c>
      <c r="Y680" s="219">
        <v>742.81331762821719</v>
      </c>
      <c r="Z680" s="658">
        <v>595.29397502709662</v>
      </c>
      <c r="AA680" s="200">
        <v>595.29397502709662</v>
      </c>
      <c r="AB680" s="135">
        <v>595.29397502709662</v>
      </c>
      <c r="AC680" s="206">
        <v>574.35262787904776</v>
      </c>
      <c r="AD680" s="135">
        <v>108</v>
      </c>
      <c r="AE680" s="206">
        <v>646.39382730832676</v>
      </c>
      <c r="AF680" s="271">
        <f t="shared" si="75"/>
        <v>526.97397959163982</v>
      </c>
      <c r="AG680" s="200"/>
      <c r="DG680" s="1093"/>
      <c r="DH680" s="188"/>
      <c r="DI680" s="1091"/>
      <c r="DJ680" s="1187"/>
    </row>
    <row r="681" spans="1:114" ht="14.65" customHeight="1" outlineLevel="1">
      <c r="A681" s="453"/>
      <c r="C681" s="51"/>
      <c r="D681" s="4293"/>
      <c r="E681" s="4293"/>
      <c r="F681" s="4338" t="s">
        <v>1802</v>
      </c>
      <c r="G681" s="4338"/>
      <c r="H681" s="4338"/>
      <c r="I681" s="927" t="str">
        <f t="shared" si="72"/>
        <v>350600_2024_12_</v>
      </c>
      <c r="J681" s="135"/>
      <c r="K681" s="21">
        <f t="shared" si="73"/>
        <v>3.1148319327731095</v>
      </c>
      <c r="L681" s="1442"/>
      <c r="M681" s="51"/>
      <c r="N681" s="561"/>
      <c r="O681" s="51"/>
      <c r="S681" s="52"/>
      <c r="T681" s="52"/>
      <c r="U681" s="52"/>
      <c r="V681" s="4293"/>
      <c r="W681" s="200"/>
      <c r="X681" s="218"/>
      <c r="Y681" s="219"/>
      <c r="Z681" s="658"/>
      <c r="AA681" s="200"/>
      <c r="AB681" s="135"/>
      <c r="AC681" s="298"/>
      <c r="AD681" s="135"/>
      <c r="AE681" s="135"/>
      <c r="AF681" s="271" t="str">
        <f t="shared" si="75"/>
        <v/>
      </c>
      <c r="AG681" s="200"/>
      <c r="DG681" s="1093"/>
      <c r="DH681" s="188"/>
      <c r="DI681" s="1091"/>
      <c r="DJ681" s="1187"/>
    </row>
    <row r="682" spans="1:114" ht="14.65" customHeight="1" outlineLevel="1">
      <c r="A682" s="453"/>
      <c r="C682" s="51"/>
      <c r="D682" s="4293"/>
      <c r="E682" s="4293"/>
      <c r="F682" s="4338" t="s">
        <v>1804</v>
      </c>
      <c r="G682" s="4338"/>
      <c r="H682" s="4338"/>
      <c r="I682" s="927" t="str">
        <f t="shared" si="72"/>
        <v>350650_2024_12_</v>
      </c>
      <c r="J682" s="1705">
        <f t="shared" ref="J682:J683" si="76">IF(ISNUMBER(SEARCH("_ER",F682)),VLOOKUP(_xlfn.MAXIFS(Q$167:Q$176,Q$167:Q$176,"&lt;"&amp;L682),Q$167:T$176,4,FALSE),VLOOKUP(_xlfn.MAXIFS(Q$167:Q$176,Q$167:Q$176,"&lt;"&amp;L682),Q$167:T$176,2,FALSE))</f>
        <v>453.02753789283406</v>
      </c>
      <c r="K682" s="21">
        <f t="shared" si="73"/>
        <v>2.9891966173361513</v>
      </c>
      <c r="L682" s="1240">
        <f>VLOOKUP(I682,$I$382:$J$453,2,FALSE)</f>
        <v>15.111256544502622</v>
      </c>
      <c r="M682" s="51"/>
      <c r="N682" s="561"/>
      <c r="O682" s="51"/>
      <c r="S682" s="52"/>
      <c r="T682" s="52"/>
      <c r="U682" s="52"/>
      <c r="V682" s="4293"/>
      <c r="W682" s="200">
        <v>324</v>
      </c>
      <c r="X682" s="219">
        <v>216</v>
      </c>
      <c r="Y682" s="219">
        <v>108</v>
      </c>
      <c r="Z682" s="658">
        <v>108</v>
      </c>
      <c r="AA682" s="200">
        <v>108</v>
      </c>
      <c r="AB682" s="135">
        <v>108</v>
      </c>
      <c r="AC682" s="298">
        <v>108</v>
      </c>
      <c r="AD682" s="135">
        <v>108</v>
      </c>
      <c r="AE682" s="135">
        <v>108</v>
      </c>
      <c r="AF682" s="271">
        <f t="shared" si="75"/>
        <v>453.02753789283406</v>
      </c>
      <c r="AG682" s="200"/>
      <c r="DG682" s="1093"/>
      <c r="DH682" s="188"/>
      <c r="DI682" s="1091"/>
      <c r="DJ682" s="1187"/>
    </row>
    <row r="683" spans="1:114" ht="14.65" customHeight="1" outlineLevel="1">
      <c r="A683" s="453"/>
      <c r="C683" s="51"/>
      <c r="D683" s="4293"/>
      <c r="E683" s="4293"/>
      <c r="F683" s="4292" t="s">
        <v>1806</v>
      </c>
      <c r="G683" s="4292"/>
      <c r="H683" s="4292"/>
      <c r="I683" s="3295" t="str">
        <f t="shared" si="72"/>
        <v>350700_2024_12_</v>
      </c>
      <c r="J683" s="2908">
        <f t="shared" si="76"/>
        <v>526.97397959163982</v>
      </c>
      <c r="K683" s="2573">
        <f t="shared" si="73"/>
        <v>2.4444444444444446</v>
      </c>
      <c r="L683" s="3304">
        <f>VLOOKUP(I683,$I$382:$J$453,2,FALSE)</f>
        <v>15.094444444444443</v>
      </c>
      <c r="M683" s="51"/>
      <c r="N683" s="561"/>
      <c r="O683" s="51"/>
      <c r="S683" s="52"/>
      <c r="T683" s="52"/>
      <c r="U683" s="52"/>
      <c r="V683" s="4293"/>
      <c r="W683" s="3306">
        <v>1057.263580001641</v>
      </c>
      <c r="X683" s="3307">
        <v>1265.1255058130205</v>
      </c>
      <c r="Y683" s="3307">
        <v>496.26502607230418</v>
      </c>
      <c r="Z683" s="3308">
        <v>406.03912845693981</v>
      </c>
      <c r="AA683" s="3306">
        <v>406.03912845693981</v>
      </c>
      <c r="AB683" s="2583">
        <v>406.03912845693981</v>
      </c>
      <c r="AC683" s="2988">
        <v>478.77486813988367</v>
      </c>
      <c r="AD683" s="2583">
        <v>108</v>
      </c>
      <c r="AE683" s="2988">
        <v>530.5183985818876</v>
      </c>
      <c r="AF683" s="2236">
        <f t="shared" si="75"/>
        <v>526.97397959163982</v>
      </c>
      <c r="AG683" s="200"/>
      <c r="DG683" s="1093"/>
      <c r="DH683" s="188"/>
      <c r="DI683" s="1091"/>
      <c r="DJ683" s="1187"/>
    </row>
    <row r="684" spans="1:114" ht="14.65" customHeight="1" outlineLevel="1">
      <c r="A684" s="453"/>
      <c r="C684" s="51"/>
      <c r="D684" s="4293"/>
      <c r="E684" s="4293"/>
      <c r="F684" s="4292" t="s">
        <v>1807</v>
      </c>
      <c r="G684" s="4292"/>
      <c r="H684" s="4292"/>
      <c r="I684" s="3295" t="str">
        <f t="shared" si="72"/>
        <v>350700_2024_12_</v>
      </c>
      <c r="J684" s="2583"/>
      <c r="K684" s="2573">
        <f t="shared" si="73"/>
        <v>2.4444444444444446</v>
      </c>
      <c r="L684" s="2962"/>
      <c r="M684" s="51"/>
      <c r="N684" s="561"/>
      <c r="O684" s="51"/>
      <c r="S684" s="52"/>
      <c r="T684" s="52"/>
      <c r="U684" s="52"/>
      <c r="V684" s="4293"/>
      <c r="W684" s="3306"/>
      <c r="X684" s="3313"/>
      <c r="Y684" s="3307"/>
      <c r="Z684" s="3308"/>
      <c r="AA684" s="3306"/>
      <c r="AB684" s="2583"/>
      <c r="AC684" s="3309"/>
      <c r="AD684" s="2583"/>
      <c r="AE684" s="2583"/>
      <c r="AF684" s="2236" t="str">
        <f t="shared" si="75"/>
        <v/>
      </c>
      <c r="AG684" s="200"/>
      <c r="DG684" s="1093"/>
      <c r="DH684" s="188"/>
      <c r="DI684" s="1091"/>
      <c r="DJ684" s="1187"/>
    </row>
    <row r="685" spans="1:114" ht="14.65" customHeight="1" outlineLevel="1">
      <c r="A685" s="453"/>
      <c r="C685" s="51"/>
      <c r="D685" s="4293"/>
      <c r="E685" s="4293"/>
      <c r="F685" s="4292" t="s">
        <v>1809</v>
      </c>
      <c r="G685" s="4292"/>
      <c r="H685" s="4292"/>
      <c r="I685" s="3295" t="str">
        <f t="shared" si="72"/>
        <v>350701_2024_12_</v>
      </c>
      <c r="J685" s="2908">
        <f>IF(ISNUMBER(SEARCH("_ER",F685)),VLOOKUP(_xlfn.MAXIFS(Q$167:Q$176,Q$167:Q$176,"&lt;"&amp;L685),Q$167:T$176,4,FALSE),VLOOKUP(_xlfn.MAXIFS(Q$167:Q$176,Q$167:Q$176,"&lt;"&amp;L685),Q$167:T$176,2,FALSE))</f>
        <v>526.97397959163982</v>
      </c>
      <c r="K685" s="2573">
        <f t="shared" si="73"/>
        <v>2.4444444444444446</v>
      </c>
      <c r="L685" s="3304">
        <f>VLOOKUP(I685,$I$382:$J$453,2,FALSE)</f>
        <v>15.094444444444443</v>
      </c>
      <c r="M685" s="51"/>
      <c r="N685" s="561"/>
      <c r="O685" s="51"/>
      <c r="S685" s="52"/>
      <c r="T685" s="52"/>
      <c r="U685" s="52"/>
      <c r="V685" s="4293"/>
      <c r="W685" s="3306"/>
      <c r="X685" s="3313"/>
      <c r="Y685" s="3307">
        <v>496.26502607230418</v>
      </c>
      <c r="Z685" s="3308">
        <v>406.03912845693981</v>
      </c>
      <c r="AA685" s="3306">
        <v>406.03912845693981</v>
      </c>
      <c r="AB685" s="2583">
        <v>406.03912845693981</v>
      </c>
      <c r="AC685" s="2988">
        <v>478.77486813988367</v>
      </c>
      <c r="AD685" s="2583">
        <v>108</v>
      </c>
      <c r="AE685" s="2988">
        <v>530.5183985818876</v>
      </c>
      <c r="AF685" s="2236">
        <f t="shared" si="75"/>
        <v>526.97397959163982</v>
      </c>
      <c r="AG685" s="200"/>
      <c r="DG685" s="1093"/>
      <c r="DH685" s="188"/>
      <c r="DI685" s="1091"/>
      <c r="DJ685" s="1187"/>
    </row>
    <row r="686" spans="1:114" ht="14.65" customHeight="1" outlineLevel="1">
      <c r="A686" s="453"/>
      <c r="C686" s="51"/>
      <c r="D686" s="4293"/>
      <c r="E686" s="4293"/>
      <c r="F686" s="4292" t="s">
        <v>1810</v>
      </c>
      <c r="G686" s="4292"/>
      <c r="H686" s="4292"/>
      <c r="I686" s="3295" t="str">
        <f t="shared" si="72"/>
        <v>350701_2024_12_</v>
      </c>
      <c r="J686" s="2583"/>
      <c r="K686" s="2573">
        <f t="shared" si="73"/>
        <v>2.4444444444444446</v>
      </c>
      <c r="L686" s="2962"/>
      <c r="M686" s="51"/>
      <c r="N686" s="561"/>
      <c r="O686" s="51"/>
      <c r="S686" s="52"/>
      <c r="T686" s="52"/>
      <c r="U686" s="52"/>
      <c r="V686" s="4293"/>
      <c r="W686" s="3306"/>
      <c r="X686" s="3313"/>
      <c r="Y686" s="3307"/>
      <c r="Z686" s="3308"/>
      <c r="AA686" s="3306"/>
      <c r="AB686" s="2583"/>
      <c r="AC686" s="3309"/>
      <c r="AD686" s="2583"/>
      <c r="AE686" s="2583"/>
      <c r="AF686" s="2236" t="str">
        <f t="shared" si="75"/>
        <v/>
      </c>
      <c r="AG686" s="200"/>
      <c r="DG686" s="1093"/>
      <c r="DH686" s="188"/>
      <c r="DI686" s="1091"/>
      <c r="DJ686" s="1187"/>
    </row>
    <row r="687" spans="1:114" ht="14.25" customHeight="1" outlineLevel="1">
      <c r="A687" s="453"/>
      <c r="C687" s="51"/>
      <c r="D687" s="4293"/>
      <c r="E687" s="4293"/>
      <c r="F687" s="4292" t="s">
        <v>1812</v>
      </c>
      <c r="G687" s="4292"/>
      <c r="H687" s="4292"/>
      <c r="I687" s="3295" t="str">
        <f t="shared" si="72"/>
        <v>350750_2024_12_</v>
      </c>
      <c r="J687" s="2908">
        <f t="shared" ref="J687:J689" si="77">IF(ISNUMBER(SEARCH("_ER",F687)),VLOOKUP(_xlfn.MAXIFS(Q$167:Q$176,Q$167:Q$176,"&lt;"&amp;L687),Q$167:T$176,4,FALSE),VLOOKUP(_xlfn.MAXIFS(Q$167:Q$176,Q$167:Q$176,"&lt;"&amp;L687),Q$167:T$176,2,FALSE))</f>
        <v>453.02753789283406</v>
      </c>
      <c r="K687" s="2573">
        <f t="shared" si="73"/>
        <v>2</v>
      </c>
      <c r="L687" s="3304">
        <f>VLOOKUP(I687,$I$382:$J$453,2,FALSE)</f>
        <v>15</v>
      </c>
      <c r="M687" s="51"/>
      <c r="N687" s="561"/>
      <c r="O687" s="51"/>
      <c r="S687" s="52"/>
      <c r="T687" s="52"/>
      <c r="U687" s="52"/>
      <c r="V687" s="4293"/>
      <c r="W687" s="3306">
        <v>324</v>
      </c>
      <c r="X687" s="3307">
        <v>218.0745</v>
      </c>
      <c r="Y687" s="3307">
        <v>108</v>
      </c>
      <c r="Z687" s="3308">
        <v>108</v>
      </c>
      <c r="AA687" s="3306">
        <v>108</v>
      </c>
      <c r="AB687" s="2583">
        <v>108</v>
      </c>
      <c r="AC687" s="3309">
        <v>108</v>
      </c>
      <c r="AD687" s="2583">
        <v>108</v>
      </c>
      <c r="AE687" s="2583">
        <v>108</v>
      </c>
      <c r="AF687" s="2236">
        <f t="shared" si="75"/>
        <v>453.02753789283406</v>
      </c>
      <c r="AG687" s="200"/>
      <c r="DG687" s="1093"/>
      <c r="DH687" s="188"/>
      <c r="DI687" s="1091"/>
      <c r="DJ687" s="1187"/>
    </row>
    <row r="688" spans="1:114" ht="14.25" customHeight="1" outlineLevel="1">
      <c r="A688" s="453"/>
      <c r="C688" s="51"/>
      <c r="D688" s="4293"/>
      <c r="E688" s="4293"/>
      <c r="F688" s="4292" t="s">
        <v>1814</v>
      </c>
      <c r="G688" s="4292"/>
      <c r="H688" s="4292"/>
      <c r="I688" s="3295" t="str">
        <f t="shared" si="72"/>
        <v>350751_2024_12_</v>
      </c>
      <c r="J688" s="2908">
        <f t="shared" si="77"/>
        <v>453.02753789283406</v>
      </c>
      <c r="K688" s="2573">
        <f t="shared" si="73"/>
        <v>2</v>
      </c>
      <c r="L688" s="3304">
        <f>VLOOKUP(I688,$I$382:$J$453,2,FALSE)</f>
        <v>15</v>
      </c>
      <c r="M688" s="51"/>
      <c r="N688" s="561"/>
      <c r="O688" s="51"/>
      <c r="S688" s="52"/>
      <c r="T688" s="52"/>
      <c r="U688" s="52"/>
      <c r="V688" s="4293"/>
      <c r="W688" s="3306"/>
      <c r="X688" s="3307"/>
      <c r="Y688" s="3307">
        <v>108</v>
      </c>
      <c r="Z688" s="3308">
        <v>108</v>
      </c>
      <c r="AA688" s="3306">
        <v>108</v>
      </c>
      <c r="AB688" s="2583">
        <v>108</v>
      </c>
      <c r="AC688" s="3309">
        <v>108</v>
      </c>
      <c r="AD688" s="2583">
        <v>108</v>
      </c>
      <c r="AE688" s="2583">
        <v>108</v>
      </c>
      <c r="AF688" s="2236">
        <f t="shared" si="75"/>
        <v>453.02753789283406</v>
      </c>
      <c r="AG688" s="200"/>
      <c r="DG688" s="1093"/>
      <c r="DH688" s="188"/>
      <c r="DI688" s="1091"/>
      <c r="DJ688" s="1187"/>
    </row>
    <row r="689" spans="1:114" ht="14.65" customHeight="1" outlineLevel="1">
      <c r="A689" s="453"/>
      <c r="C689" s="51"/>
      <c r="D689" s="4293"/>
      <c r="E689" s="4293"/>
      <c r="F689" s="4338" t="s">
        <v>1816</v>
      </c>
      <c r="G689" s="4338"/>
      <c r="H689" s="4338"/>
      <c r="I689" s="927" t="str">
        <f t="shared" si="72"/>
        <v>350800_2024_12_</v>
      </c>
      <c r="J689" s="1705">
        <f t="shared" si="77"/>
        <v>708.92766284367963</v>
      </c>
      <c r="K689" s="21">
        <f t="shared" si="73"/>
        <v>2.8756478324403312</v>
      </c>
      <c r="L689" s="1240">
        <f>VLOOKUP(I689,$I$382:$J$453,2,FALSE)</f>
        <v>16.032257819617371</v>
      </c>
      <c r="M689" s="51"/>
      <c r="N689" s="561"/>
      <c r="O689" s="51"/>
      <c r="S689" s="52"/>
      <c r="T689" s="52"/>
      <c r="U689" s="52"/>
      <c r="V689" s="4293"/>
      <c r="W689" s="200">
        <v>1343.486999395481</v>
      </c>
      <c r="X689" s="219">
        <v>2255.6131874190196</v>
      </c>
      <c r="Y689" s="219">
        <v>815.0454898906255</v>
      </c>
      <c r="Z689" s="658">
        <v>676.9998665391181</v>
      </c>
      <c r="AA689" s="200">
        <v>676.9998665391181</v>
      </c>
      <c r="AB689" s="135">
        <v>676.9998665391181</v>
      </c>
      <c r="AC689" s="206">
        <v>661.30099318631073</v>
      </c>
      <c r="AD689" s="135">
        <v>221</v>
      </c>
      <c r="AE689" s="206">
        <v>726.65804711558667</v>
      </c>
      <c r="AF689" s="271">
        <f t="shared" si="75"/>
        <v>708.92766284367963</v>
      </c>
      <c r="AG689" s="200"/>
      <c r="DG689" s="1093"/>
      <c r="DH689" s="188"/>
      <c r="DI689" s="1091"/>
      <c r="DJ689" s="1187"/>
    </row>
    <row r="690" spans="1:114" ht="14.65" customHeight="1" outlineLevel="1">
      <c r="A690" s="453"/>
      <c r="C690" s="51"/>
      <c r="D690" s="4293"/>
      <c r="E690" s="4293"/>
      <c r="F690" s="4338" t="s">
        <v>1817</v>
      </c>
      <c r="G690" s="4338"/>
      <c r="H690" s="4338"/>
      <c r="I690" s="927" t="str">
        <f t="shared" si="72"/>
        <v>350800_2024_12_</v>
      </c>
      <c r="J690" s="135"/>
      <c r="K690" s="21">
        <f t="shared" si="73"/>
        <v>2.8756478324403312</v>
      </c>
      <c r="L690" s="1442"/>
      <c r="M690" s="51"/>
      <c r="N690" s="561"/>
      <c r="O690" s="51"/>
      <c r="S690" s="52"/>
      <c r="T690" s="52"/>
      <c r="U690" s="52"/>
      <c r="V690" s="4293"/>
      <c r="W690" s="200"/>
      <c r="X690" s="218"/>
      <c r="Y690" s="219"/>
      <c r="Z690" s="658"/>
      <c r="AA690" s="200"/>
      <c r="AB690" s="135"/>
      <c r="AC690" s="298"/>
      <c r="AD690" s="135"/>
      <c r="AE690" s="135"/>
      <c r="AF690" s="271" t="str">
        <f t="shared" si="75"/>
        <v/>
      </c>
      <c r="AG690" s="200"/>
      <c r="DG690" s="1093"/>
      <c r="DH690" s="188"/>
      <c r="DI690" s="1091"/>
      <c r="DJ690" s="1187"/>
    </row>
    <row r="691" spans="1:114" ht="14.65" customHeight="1" outlineLevel="1">
      <c r="A691" s="453"/>
      <c r="C691" s="51"/>
      <c r="D691" s="4293"/>
      <c r="E691" s="4293"/>
      <c r="F691" s="4338" t="s">
        <v>1819</v>
      </c>
      <c r="G691" s="4338"/>
      <c r="H691" s="4338"/>
      <c r="I691" s="927" t="str">
        <f t="shared" si="72"/>
        <v>350850_2024_12_</v>
      </c>
      <c r="J691" s="1705">
        <f t="shared" ref="J691:J692" si="78">IF(ISNUMBER(SEARCH("_ER",F691)),VLOOKUP(_xlfn.MAXIFS(Q$167:Q$176,Q$167:Q$176,"&lt;"&amp;L691),Q$167:T$176,4,FALSE),VLOOKUP(_xlfn.MAXIFS(Q$167:Q$176,Q$167:Q$176,"&lt;"&amp;L691),Q$167:T$176,2,FALSE))</f>
        <v>634.98122114487387</v>
      </c>
      <c r="K691" s="21">
        <f t="shared" si="73"/>
        <v>2.8453773584905662</v>
      </c>
      <c r="L691" s="1240">
        <f>VLOOKUP(I691,$I$382:$J$453,2,FALSE)</f>
        <v>16.037510692899918</v>
      </c>
      <c r="M691" s="51"/>
      <c r="N691" s="561"/>
      <c r="O691" s="51"/>
      <c r="S691" s="52"/>
      <c r="T691" s="52"/>
      <c r="U691" s="52"/>
      <c r="V691" s="4293"/>
      <c r="W691" s="135">
        <v>640.9</v>
      </c>
      <c r="X691" s="219">
        <v>674.05</v>
      </c>
      <c r="Y691" s="219">
        <v>221</v>
      </c>
      <c r="Z691" s="206">
        <v>221</v>
      </c>
      <c r="AA691" s="135">
        <v>221</v>
      </c>
      <c r="AB691" s="135">
        <v>221</v>
      </c>
      <c r="AC691" s="298">
        <v>221</v>
      </c>
      <c r="AD691" s="135">
        <v>221</v>
      </c>
      <c r="AE691" s="135">
        <v>221</v>
      </c>
      <c r="AF691" s="271">
        <f t="shared" si="75"/>
        <v>634.98122114487387</v>
      </c>
      <c r="AG691" s="135"/>
      <c r="DG691" s="1093"/>
      <c r="DH691" s="188"/>
      <c r="DI691" s="1091"/>
      <c r="DJ691" s="1187"/>
    </row>
    <row r="692" spans="1:114" ht="14.65" customHeight="1" outlineLevel="1">
      <c r="A692" s="453"/>
      <c r="C692" s="51"/>
      <c r="D692" s="4293"/>
      <c r="E692" s="4293"/>
      <c r="F692" s="4338" t="s">
        <v>1821</v>
      </c>
      <c r="G692" s="4338"/>
      <c r="H692" s="4338"/>
      <c r="I692" s="927" t="str">
        <f t="shared" si="72"/>
        <v>350900_2024_12_</v>
      </c>
      <c r="J692" s="1705">
        <f t="shared" si="78"/>
        <v>708.92766284367963</v>
      </c>
      <c r="K692" s="21">
        <f t="shared" si="73"/>
        <v>2.5384615384615383</v>
      </c>
      <c r="L692" s="1240">
        <f>VLOOKUP(I692,$I$382:$J$453,2,FALSE)</f>
        <v>16.035714285714285</v>
      </c>
      <c r="M692" s="51"/>
      <c r="N692" s="561"/>
      <c r="O692" s="51"/>
      <c r="S692" s="52"/>
      <c r="T692" s="52"/>
      <c r="U692" s="52"/>
      <c r="V692" s="4293"/>
      <c r="W692" s="200">
        <v>1343.486999395481</v>
      </c>
      <c r="X692" s="219">
        <v>1507.501480258378</v>
      </c>
      <c r="Y692" s="219">
        <v>609.26502607230441</v>
      </c>
      <c r="Z692" s="658">
        <v>519.03912845694003</v>
      </c>
      <c r="AA692" s="200">
        <v>519.03912845694003</v>
      </c>
      <c r="AB692" s="135">
        <v>519.03912845694003</v>
      </c>
      <c r="AC692" s="206">
        <v>596.24203522590619</v>
      </c>
      <c r="AD692" s="135">
        <v>221</v>
      </c>
      <c r="AE692" s="206">
        <v>657.23652840597492</v>
      </c>
      <c r="AF692" s="271">
        <f t="shared" si="75"/>
        <v>708.92766284367963</v>
      </c>
      <c r="AG692" s="200"/>
      <c r="DG692" s="1093"/>
      <c r="DH692" s="188"/>
      <c r="DI692" s="1091"/>
      <c r="DJ692" s="1187"/>
    </row>
    <row r="693" spans="1:114" ht="14.65" customHeight="1" outlineLevel="1">
      <c r="A693" s="453"/>
      <c r="C693" s="51"/>
      <c r="D693" s="4293"/>
      <c r="E693" s="4293"/>
      <c r="F693" s="4338" t="s">
        <v>1822</v>
      </c>
      <c r="G693" s="4338"/>
      <c r="H693" s="4338"/>
      <c r="I693" s="927" t="str">
        <f t="shared" si="72"/>
        <v>350900_2024_12_</v>
      </c>
      <c r="J693" s="135"/>
      <c r="K693" s="21">
        <f t="shared" si="73"/>
        <v>2.5384615384615383</v>
      </c>
      <c r="L693" s="1442"/>
      <c r="M693" s="51"/>
      <c r="N693" s="561"/>
      <c r="O693" s="51"/>
      <c r="S693" s="52"/>
      <c r="T693" s="52"/>
      <c r="U693" s="52"/>
      <c r="V693" s="4293"/>
      <c r="W693" s="200"/>
      <c r="X693" s="218"/>
      <c r="Y693" s="219"/>
      <c r="Z693" s="658"/>
      <c r="AA693" s="200"/>
      <c r="AB693" s="135"/>
      <c r="AC693" s="298"/>
      <c r="AD693" s="135"/>
      <c r="AE693" s="135"/>
      <c r="AF693" s="271" t="str">
        <f t="shared" si="75"/>
        <v/>
      </c>
      <c r="AG693" s="200"/>
      <c r="DG693" s="1093"/>
      <c r="DH693" s="188"/>
      <c r="DI693" s="1091"/>
      <c r="DJ693" s="1187"/>
    </row>
    <row r="694" spans="1:114" ht="14.65" customHeight="1" outlineLevel="1">
      <c r="A694" s="453"/>
      <c r="C694" s="51"/>
      <c r="D694" s="4293"/>
      <c r="E694" s="4293"/>
      <c r="F694" s="4292" t="s">
        <v>1824</v>
      </c>
      <c r="G694" s="4292"/>
      <c r="H694" s="4292"/>
      <c r="I694" s="3295" t="str">
        <f t="shared" si="72"/>
        <v>350901_2024_12_</v>
      </c>
      <c r="J694" s="2908">
        <f>IF(ISNUMBER(SEARCH("_ER",F694)),VLOOKUP(_xlfn.MAXIFS(Q$167:Q$176,Q$167:Q$176,"&lt;"&amp;L694),Q$167:T$176,4,FALSE),VLOOKUP(_xlfn.MAXIFS(Q$167:Q$176,Q$167:Q$176,"&lt;"&amp;L694),Q$167:T$176,2,FALSE))</f>
        <v>708.92766284367963</v>
      </c>
      <c r="K694" s="2573">
        <f t="shared" si="73"/>
        <v>2.5384615384615383</v>
      </c>
      <c r="L694" s="3304">
        <f>VLOOKUP(I694,$I$382:$J$453,2,FALSE)</f>
        <v>16.035714285714285</v>
      </c>
      <c r="M694" s="51"/>
      <c r="N694" s="561"/>
      <c r="O694" s="51"/>
      <c r="S694" s="52"/>
      <c r="T694" s="52"/>
      <c r="U694" s="52"/>
      <c r="V694" s="4293"/>
      <c r="W694" s="3306"/>
      <c r="X694" s="3313"/>
      <c r="Y694" s="3307">
        <v>609.26502607230441</v>
      </c>
      <c r="Z694" s="3308">
        <v>519.03912845694003</v>
      </c>
      <c r="AA694" s="3306">
        <v>519.03912845694003</v>
      </c>
      <c r="AB694" s="2583">
        <v>519.03912845694003</v>
      </c>
      <c r="AC694" s="2988">
        <v>596.24203522590619</v>
      </c>
      <c r="AD694" s="2583">
        <v>221</v>
      </c>
      <c r="AE694" s="2988">
        <v>657.23652840597492</v>
      </c>
      <c r="AF694" s="2236">
        <f t="shared" si="75"/>
        <v>708.92766284367963</v>
      </c>
      <c r="AG694" s="200"/>
      <c r="DG694" s="1093"/>
      <c r="DH694" s="188"/>
      <c r="DI694" s="1091"/>
      <c r="DJ694" s="1187"/>
    </row>
    <row r="695" spans="1:114" ht="14.65" customHeight="1" outlineLevel="1">
      <c r="A695" s="453"/>
      <c r="C695" s="51"/>
      <c r="D695" s="4293"/>
      <c r="E695" s="4293"/>
      <c r="F695" s="4292" t="s">
        <v>1825</v>
      </c>
      <c r="G695" s="4292"/>
      <c r="H695" s="4292"/>
      <c r="I695" s="3295" t="str">
        <f t="shared" si="72"/>
        <v>350901_2024_12_</v>
      </c>
      <c r="J695" s="2583"/>
      <c r="K695" s="2573">
        <f t="shared" si="73"/>
        <v>2.5384615384615383</v>
      </c>
      <c r="L695" s="2962"/>
      <c r="M695" s="51"/>
      <c r="N695" s="561"/>
      <c r="O695" s="51"/>
      <c r="S695" s="52"/>
      <c r="T695" s="52"/>
      <c r="U695" s="52"/>
      <c r="V695" s="4293"/>
      <c r="W695" s="3306"/>
      <c r="X695" s="3313"/>
      <c r="Y695" s="3307"/>
      <c r="Z695" s="3308"/>
      <c r="AA695" s="3306"/>
      <c r="AB695" s="2583"/>
      <c r="AC695" s="3309"/>
      <c r="AD695" s="2583"/>
      <c r="AE695" s="2583"/>
      <c r="AF695" s="2236" t="str">
        <f t="shared" si="75"/>
        <v/>
      </c>
      <c r="AG695" s="200"/>
      <c r="DG695" s="1093"/>
      <c r="DH695" s="188"/>
      <c r="DI695" s="1091"/>
      <c r="DJ695" s="1187"/>
    </row>
    <row r="696" spans="1:114" ht="14.65" customHeight="1" outlineLevel="1">
      <c r="A696" s="453"/>
      <c r="C696" s="51"/>
      <c r="D696" s="4293"/>
      <c r="E696" s="4293"/>
      <c r="F696" s="4292" t="s">
        <v>1827</v>
      </c>
      <c r="G696" s="4292"/>
      <c r="H696" s="4292"/>
      <c r="I696" s="3295" t="str">
        <f t="shared" si="72"/>
        <v>350950_2024_12_</v>
      </c>
      <c r="J696" s="2908">
        <f t="shared" ref="J696:J698" si="79">IF(ISNUMBER(SEARCH("_ER",F696)),VLOOKUP(_xlfn.MAXIFS(Q$167:Q$176,Q$167:Q$176,"&lt;"&amp;L696),Q$167:T$176,4,FALSE),VLOOKUP(_xlfn.MAXIFS(Q$167:Q$176,Q$167:Q$176,"&lt;"&amp;L696),Q$167:T$176,2,FALSE))</f>
        <v>634.98122114487387</v>
      </c>
      <c r="K696" s="2573">
        <f t="shared" si="73"/>
        <v>2.75</v>
      </c>
      <c r="L696" s="3304">
        <f>VLOOKUP(I696,$I$382:$J$453,2,FALSE)</f>
        <v>16.020833333333332</v>
      </c>
      <c r="M696" s="51"/>
      <c r="N696" s="561"/>
      <c r="O696" s="51"/>
      <c r="S696" s="52"/>
      <c r="T696" s="52"/>
      <c r="U696" s="52"/>
      <c r="V696" s="4293"/>
      <c r="W696" s="2583">
        <v>640.9</v>
      </c>
      <c r="X696" s="3307">
        <v>450.4900833333333</v>
      </c>
      <c r="Y696" s="3307">
        <v>221</v>
      </c>
      <c r="Z696" s="2988">
        <v>221</v>
      </c>
      <c r="AA696" s="2583">
        <v>221</v>
      </c>
      <c r="AB696" s="2583">
        <v>221</v>
      </c>
      <c r="AC696" s="3309">
        <v>221</v>
      </c>
      <c r="AD696" s="2583">
        <v>221</v>
      </c>
      <c r="AE696" s="2583">
        <v>221</v>
      </c>
      <c r="AF696" s="2236">
        <f t="shared" si="75"/>
        <v>634.98122114487387</v>
      </c>
      <c r="AG696" s="135"/>
      <c r="DG696" s="1093"/>
      <c r="DH696" s="188"/>
      <c r="DI696" s="1091"/>
      <c r="DJ696" s="1187"/>
    </row>
    <row r="697" spans="1:114" ht="14.65" customHeight="1" outlineLevel="1">
      <c r="A697" s="453"/>
      <c r="C697" s="51"/>
      <c r="D697" s="4293"/>
      <c r="E697" s="4293"/>
      <c r="F697" s="4292" t="s">
        <v>1829</v>
      </c>
      <c r="G697" s="4292"/>
      <c r="H697" s="4292"/>
      <c r="I697" s="3295" t="str">
        <f t="shared" si="72"/>
        <v>350951_2024_12_</v>
      </c>
      <c r="J697" s="2908">
        <f t="shared" si="79"/>
        <v>634.98122114487387</v>
      </c>
      <c r="K697" s="2573">
        <f t="shared" si="73"/>
        <v>2.75</v>
      </c>
      <c r="L697" s="3304">
        <f>VLOOKUP(I697,$I$382:$J$453,2,FALSE)</f>
        <v>16.020833333333332</v>
      </c>
      <c r="M697" s="51"/>
      <c r="N697" s="561"/>
      <c r="O697" s="51"/>
      <c r="S697" s="52"/>
      <c r="T697" s="52"/>
      <c r="U697" s="52"/>
      <c r="V697" s="4293"/>
      <c r="W697" s="2583"/>
      <c r="X697" s="3307"/>
      <c r="Y697" s="3307">
        <v>221</v>
      </c>
      <c r="Z697" s="2988">
        <v>221</v>
      </c>
      <c r="AA697" s="2583">
        <v>221</v>
      </c>
      <c r="AB697" s="2583">
        <v>221</v>
      </c>
      <c r="AC697" s="3309">
        <v>221</v>
      </c>
      <c r="AD697" s="2583">
        <v>221</v>
      </c>
      <c r="AE697" s="2583">
        <v>221</v>
      </c>
      <c r="AF697" s="2236">
        <f t="shared" si="75"/>
        <v>634.98122114487387</v>
      </c>
      <c r="AG697" s="135"/>
      <c r="DG697" s="1093"/>
      <c r="DH697" s="188"/>
      <c r="DI697" s="1091"/>
      <c r="DJ697" s="1187"/>
    </row>
    <row r="698" spans="1:114" ht="14.65" customHeight="1" outlineLevel="1">
      <c r="A698" s="453"/>
      <c r="C698" s="51"/>
      <c r="D698" s="4293"/>
      <c r="E698" s="4293"/>
      <c r="F698" s="4338" t="s">
        <v>1831</v>
      </c>
      <c r="G698" s="4338"/>
      <c r="H698" s="4338"/>
      <c r="I698" s="927" t="str">
        <f t="shared" si="72"/>
        <v>351000_2024_12_</v>
      </c>
      <c r="J698" s="1705">
        <f t="shared" si="79"/>
        <v>965.14815558634655</v>
      </c>
      <c r="K698" s="21">
        <f t="shared" si="73"/>
        <v>3.1718995290423861</v>
      </c>
      <c r="L698" s="1240">
        <f>VLOOKUP(I698,$I$382:$J$453,2,FALSE)</f>
        <v>17.076594157862026</v>
      </c>
      <c r="M698" s="51"/>
      <c r="N698" s="561"/>
      <c r="O698" s="51"/>
      <c r="S698" s="52"/>
      <c r="T698" s="52"/>
      <c r="U698" s="52"/>
      <c r="V698" s="4293"/>
      <c r="W698" s="200">
        <v>1910.786999395481</v>
      </c>
      <c r="X698" s="219">
        <v>3529.4904527865447</v>
      </c>
      <c r="Y698" s="219">
        <v>998.0454898906255</v>
      </c>
      <c r="Z698" s="658">
        <v>1075.9998665391181</v>
      </c>
      <c r="AA698" s="200">
        <v>1075.9998665391181</v>
      </c>
      <c r="AB698" s="135">
        <v>1075.9998665391181</v>
      </c>
      <c r="AC698" s="206">
        <v>1055.0097130498366</v>
      </c>
      <c r="AD698" s="135">
        <v>620</v>
      </c>
      <c r="AE698" s="206">
        <v>1128.8769672507378</v>
      </c>
      <c r="AF698" s="271">
        <f t="shared" si="75"/>
        <v>965.14815558634655</v>
      </c>
      <c r="AG698" s="200"/>
      <c r="DG698" s="1093"/>
      <c r="DH698" s="188"/>
      <c r="DI698" s="1091"/>
      <c r="DJ698" s="1187"/>
    </row>
    <row r="699" spans="1:114" ht="14.65" customHeight="1" outlineLevel="1">
      <c r="A699" s="453"/>
      <c r="C699" s="51"/>
      <c r="D699" s="4293"/>
      <c r="E699" s="4293"/>
      <c r="F699" s="4338" t="s">
        <v>1832</v>
      </c>
      <c r="G699" s="4338"/>
      <c r="H699" s="4338"/>
      <c r="I699" s="927" t="str">
        <f t="shared" si="72"/>
        <v>351000_2024_12_</v>
      </c>
      <c r="J699" s="135"/>
      <c r="K699" s="21">
        <f t="shared" si="73"/>
        <v>3.1718995290423861</v>
      </c>
      <c r="L699" s="1442"/>
      <c r="M699" s="51"/>
      <c r="N699" s="561"/>
      <c r="O699" s="51"/>
      <c r="S699" s="52"/>
      <c r="T699" s="52"/>
      <c r="U699" s="52"/>
      <c r="V699" s="4293"/>
      <c r="W699" s="200"/>
      <c r="X699" s="218"/>
      <c r="Y699" s="219"/>
      <c r="Z699" s="658"/>
      <c r="AA699" s="200"/>
      <c r="AB699" s="135"/>
      <c r="AC699" s="298"/>
      <c r="AD699" s="135"/>
      <c r="AE699" s="135"/>
      <c r="AF699" s="271" t="str">
        <f t="shared" si="75"/>
        <v/>
      </c>
      <c r="AG699" s="200"/>
      <c r="DG699" s="1093"/>
      <c r="DH699" s="188"/>
      <c r="DI699" s="1091"/>
      <c r="DJ699" s="1187"/>
    </row>
    <row r="700" spans="1:114" ht="14.65" customHeight="1" outlineLevel="1">
      <c r="A700" s="453"/>
      <c r="C700" s="51"/>
      <c r="D700" s="4293"/>
      <c r="E700" s="4293"/>
      <c r="F700" s="4338" t="s">
        <v>1834</v>
      </c>
      <c r="G700" s="4338"/>
      <c r="H700" s="4338"/>
      <c r="I700" s="927" t="str">
        <f t="shared" si="72"/>
        <v>351050_2024_12_</v>
      </c>
      <c r="J700" s="1705">
        <f t="shared" ref="J700:J701" si="80">IF(ISNUMBER(SEARCH("_ER",F700)),VLOOKUP(_xlfn.MAXIFS(Q$167:Q$176,Q$167:Q$176,"&lt;"&amp;L700),Q$167:T$176,4,FALSE),VLOOKUP(_xlfn.MAXIFS(Q$167:Q$176,Q$167:Q$176,"&lt;"&amp;L700),Q$167:T$176,2,FALSE))</f>
        <v>891.20171388754079</v>
      </c>
      <c r="K700" s="21">
        <f t="shared" si="73"/>
        <v>3.3001127819548874</v>
      </c>
      <c r="L700" s="1240">
        <f>VLOOKUP(I700,$I$382:$J$453,2,FALSE)</f>
        <v>17.056686930091182</v>
      </c>
      <c r="M700" s="51"/>
      <c r="N700" s="561"/>
      <c r="O700" s="51"/>
      <c r="S700" s="52"/>
      <c r="T700" s="52"/>
      <c r="U700" s="52"/>
      <c r="V700" s="4293"/>
      <c r="W700" s="200">
        <v>1171.5999999999999</v>
      </c>
      <c r="X700" s="219">
        <v>1798</v>
      </c>
      <c r="Y700" s="219">
        <v>404</v>
      </c>
      <c r="Z700" s="658">
        <v>620</v>
      </c>
      <c r="AA700" s="200">
        <v>620</v>
      </c>
      <c r="AB700" s="135">
        <v>620</v>
      </c>
      <c r="AC700" s="298">
        <v>620</v>
      </c>
      <c r="AD700" s="135">
        <v>620</v>
      </c>
      <c r="AE700" s="135">
        <v>620</v>
      </c>
      <c r="AF700" s="271">
        <f t="shared" si="75"/>
        <v>891.20171388754079</v>
      </c>
      <c r="AG700" s="200"/>
      <c r="DG700" s="1093"/>
      <c r="DH700" s="188"/>
      <c r="DI700" s="1091"/>
      <c r="DJ700" s="1187"/>
    </row>
    <row r="701" spans="1:114" ht="14.65" customHeight="1" outlineLevel="1">
      <c r="A701" s="453"/>
      <c r="C701" s="51"/>
      <c r="D701" s="4293"/>
      <c r="E701" s="4293"/>
      <c r="F701" s="4292" t="s">
        <v>1836</v>
      </c>
      <c r="G701" s="4292"/>
      <c r="H701" s="4292"/>
      <c r="I701" s="3295" t="str">
        <f t="shared" si="72"/>
        <v>351100_2024_12_</v>
      </c>
      <c r="J701" s="2908">
        <f t="shared" si="80"/>
        <v>965.14815558634655</v>
      </c>
      <c r="K701" s="2573">
        <f t="shared" si="73"/>
        <v>2.4</v>
      </c>
      <c r="L701" s="3304">
        <f>VLOOKUP(I701,$I$382:$J$453,2,FALSE)</f>
        <v>17.146666666666665</v>
      </c>
      <c r="M701" s="51"/>
      <c r="N701" s="561"/>
      <c r="O701" s="51"/>
      <c r="S701" s="52"/>
      <c r="T701" s="52"/>
      <c r="U701" s="52"/>
      <c r="V701" s="4293"/>
      <c r="W701" s="3306">
        <v>1910.786999395481</v>
      </c>
      <c r="X701" s="3307">
        <v>3529.4904527865447</v>
      </c>
      <c r="Y701" s="3307">
        <v>792.26502607230441</v>
      </c>
      <c r="Z701" s="3308">
        <v>918.03912845694003</v>
      </c>
      <c r="AA701" s="3306">
        <v>918.03912845694003</v>
      </c>
      <c r="AB701" s="2583">
        <v>918.03912845694003</v>
      </c>
      <c r="AC701" s="2988">
        <v>1001.8626333354541</v>
      </c>
      <c r="AD701" s="2583">
        <v>620</v>
      </c>
      <c r="AE701" s="2988">
        <v>1034.8362458803988</v>
      </c>
      <c r="AF701" s="2236">
        <f t="shared" si="75"/>
        <v>965.14815558634655</v>
      </c>
      <c r="AG701" s="200"/>
      <c r="DG701" s="1093"/>
      <c r="DH701" s="188"/>
      <c r="DI701" s="1091"/>
      <c r="DJ701" s="1187"/>
    </row>
    <row r="702" spans="1:114" ht="14.65" customHeight="1" outlineLevel="1">
      <c r="A702" s="453"/>
      <c r="C702" s="51"/>
      <c r="D702" s="4293"/>
      <c r="E702" s="4293"/>
      <c r="F702" s="4292" t="s">
        <v>1837</v>
      </c>
      <c r="G702" s="4292"/>
      <c r="H702" s="4292"/>
      <c r="I702" s="3295" t="str">
        <f t="shared" si="72"/>
        <v>351100_2024_12_</v>
      </c>
      <c r="J702" s="2583"/>
      <c r="K702" s="2573">
        <f t="shared" si="73"/>
        <v>2.4</v>
      </c>
      <c r="L702" s="2962"/>
      <c r="M702" s="51"/>
      <c r="N702" s="561"/>
      <c r="O702" s="51"/>
      <c r="S702" s="52"/>
      <c r="T702" s="52"/>
      <c r="U702" s="52"/>
      <c r="V702" s="4293"/>
      <c r="W702" s="3306"/>
      <c r="X702" s="3313"/>
      <c r="Y702" s="3307"/>
      <c r="Z702" s="3308"/>
      <c r="AA702" s="3306"/>
      <c r="AB702" s="2583"/>
      <c r="AC702" s="3309"/>
      <c r="AD702" s="2583"/>
      <c r="AE702" s="2583"/>
      <c r="AF702" s="2236" t="str">
        <f t="shared" si="75"/>
        <v/>
      </c>
      <c r="AG702" s="200"/>
      <c r="DG702" s="1093"/>
      <c r="DH702" s="188"/>
      <c r="DI702" s="1091"/>
      <c r="DJ702" s="1187"/>
    </row>
    <row r="703" spans="1:114" ht="14.65" customHeight="1" outlineLevel="1">
      <c r="A703" s="453"/>
      <c r="C703" s="51"/>
      <c r="D703" s="4293"/>
      <c r="E703" s="4293"/>
      <c r="F703" s="4292" t="s">
        <v>1839</v>
      </c>
      <c r="G703" s="4292"/>
      <c r="H703" s="4292"/>
      <c r="I703" s="3295" t="str">
        <f t="shared" si="72"/>
        <v>351101_2024_12_</v>
      </c>
      <c r="J703" s="2908">
        <f>IF(ISNUMBER(SEARCH("_ER",F703)),VLOOKUP(_xlfn.MAXIFS(Q$167:Q$176,Q$167:Q$176,"&lt;"&amp;L703),Q$167:T$176,4,FALSE),VLOOKUP(_xlfn.MAXIFS(Q$167:Q$176,Q$167:Q$176,"&lt;"&amp;L703),Q$167:T$176,2,FALSE))</f>
        <v>965.14815558634655</v>
      </c>
      <c r="K703" s="2573">
        <f t="shared" si="73"/>
        <v>2.4</v>
      </c>
      <c r="L703" s="3304">
        <f>VLOOKUP(I703,$I$382:$J$453,2,FALSE)</f>
        <v>17.146666666666665</v>
      </c>
      <c r="M703" s="51"/>
      <c r="N703" s="561"/>
      <c r="O703" s="51"/>
      <c r="S703" s="52"/>
      <c r="T703" s="52"/>
      <c r="U703" s="52"/>
      <c r="V703" s="4293"/>
      <c r="W703" s="3306"/>
      <c r="X703" s="3313"/>
      <c r="Y703" s="3307">
        <v>792.26502607230441</v>
      </c>
      <c r="Z703" s="3308">
        <v>918.03912845694003</v>
      </c>
      <c r="AA703" s="3306">
        <v>918.03912845694003</v>
      </c>
      <c r="AB703" s="2583">
        <v>918.03912845694003</v>
      </c>
      <c r="AC703" s="2988">
        <v>1001.8626333354541</v>
      </c>
      <c r="AD703" s="2583">
        <v>620</v>
      </c>
      <c r="AE703" s="2988">
        <v>1034.8362458803988</v>
      </c>
      <c r="AF703" s="2236">
        <f t="shared" si="75"/>
        <v>965.14815558634655</v>
      </c>
      <c r="AG703" s="200"/>
      <c r="DG703" s="1093"/>
      <c r="DH703" s="188"/>
      <c r="DI703" s="1091"/>
      <c r="DJ703" s="1187"/>
    </row>
    <row r="704" spans="1:114" ht="14.65" customHeight="1" outlineLevel="1">
      <c r="A704" s="453"/>
      <c r="C704" s="51"/>
      <c r="D704" s="4293"/>
      <c r="E704" s="4293"/>
      <c r="F704" s="4292" t="s">
        <v>1840</v>
      </c>
      <c r="G704" s="4292"/>
      <c r="H704" s="4292"/>
      <c r="I704" s="3295" t="str">
        <f t="shared" si="72"/>
        <v>351101_2024_12_</v>
      </c>
      <c r="J704" s="2583"/>
      <c r="K704" s="2573">
        <f t="shared" si="73"/>
        <v>2.4</v>
      </c>
      <c r="L704" s="2962"/>
      <c r="M704" s="51"/>
      <c r="N704" s="561"/>
      <c r="O704" s="51"/>
      <c r="S704" s="52"/>
      <c r="T704" s="52"/>
      <c r="U704" s="52"/>
      <c r="V704" s="4293"/>
      <c r="W704" s="3306"/>
      <c r="X704" s="3313"/>
      <c r="Y704" s="3307"/>
      <c r="Z704" s="3308"/>
      <c r="AA704" s="3306"/>
      <c r="AB704" s="2583"/>
      <c r="AC704" s="3309"/>
      <c r="AD704" s="2583"/>
      <c r="AE704" s="2583"/>
      <c r="AF704" s="2236" t="str">
        <f t="shared" si="75"/>
        <v/>
      </c>
      <c r="AG704" s="200"/>
      <c r="DG704" s="1093"/>
      <c r="DH704" s="188"/>
      <c r="DI704" s="1091"/>
      <c r="DJ704" s="1187"/>
    </row>
    <row r="705" spans="1:114" ht="14.65" customHeight="1" outlineLevel="1">
      <c r="A705" s="453"/>
      <c r="C705" s="51"/>
      <c r="D705" s="4293"/>
      <c r="E705" s="4293"/>
      <c r="F705" s="4292" t="s">
        <v>1842</v>
      </c>
      <c r="G705" s="4292"/>
      <c r="H705" s="4292"/>
      <c r="I705" s="3295" t="str">
        <f t="shared" si="72"/>
        <v>351150_2024_12_</v>
      </c>
      <c r="J705" s="2908">
        <f t="shared" ref="J705:J707" si="81">IF(ISNUMBER(SEARCH("_ER",F705)),VLOOKUP(_xlfn.MAXIFS(Q$167:Q$176,Q$167:Q$176,"&lt;"&amp;L705),Q$167:T$176,4,FALSE),VLOOKUP(_xlfn.MAXIFS(Q$167:Q$176,Q$167:Q$176,"&lt;"&amp;L705),Q$167:T$176,2,FALSE))</f>
        <v>891.20171388754079</v>
      </c>
      <c r="K705" s="2573">
        <f t="shared" si="73"/>
        <v>2.75</v>
      </c>
      <c r="L705" s="3304">
        <f>VLOOKUP(I705,$I$382:$J$453,2,FALSE)</f>
        <v>17</v>
      </c>
      <c r="M705" s="51"/>
      <c r="N705" s="561"/>
      <c r="O705" s="51"/>
      <c r="S705" s="52"/>
      <c r="T705" s="52"/>
      <c r="U705" s="52"/>
      <c r="V705" s="4293"/>
      <c r="W705" s="3306">
        <v>1171.5999999999999</v>
      </c>
      <c r="X705" s="3307">
        <v>1798</v>
      </c>
      <c r="Y705" s="3307">
        <v>404</v>
      </c>
      <c r="Z705" s="3308">
        <v>620</v>
      </c>
      <c r="AA705" s="3306">
        <v>620</v>
      </c>
      <c r="AB705" s="2583">
        <v>620</v>
      </c>
      <c r="AC705" s="3309">
        <v>620</v>
      </c>
      <c r="AD705" s="2583">
        <v>620</v>
      </c>
      <c r="AE705" s="2583">
        <v>620</v>
      </c>
      <c r="AF705" s="2236">
        <f t="shared" si="75"/>
        <v>891.20171388754079</v>
      </c>
      <c r="AG705" s="200"/>
      <c r="DG705" s="1093"/>
      <c r="DH705" s="188"/>
      <c r="DI705" s="1091"/>
      <c r="DJ705" s="1187"/>
    </row>
    <row r="706" spans="1:114" ht="14.65" customHeight="1" outlineLevel="1">
      <c r="A706" s="453"/>
      <c r="C706" s="51"/>
      <c r="D706" s="4199"/>
      <c r="E706" s="4199"/>
      <c r="F706" s="4292" t="s">
        <v>1844</v>
      </c>
      <c r="G706" s="4292"/>
      <c r="H706" s="4292"/>
      <c r="I706" s="3295" t="str">
        <f t="shared" si="72"/>
        <v>351151_2024_12_</v>
      </c>
      <c r="J706" s="2908">
        <f t="shared" si="81"/>
        <v>891.20171388754079</v>
      </c>
      <c r="K706" s="2573">
        <f t="shared" si="73"/>
        <v>2.75</v>
      </c>
      <c r="L706" s="3304">
        <f>VLOOKUP(I706,$I$382:$J$453,2,FALSE)</f>
        <v>17</v>
      </c>
      <c r="M706" s="51"/>
      <c r="N706" s="561"/>
      <c r="O706" s="51"/>
      <c r="S706" s="52"/>
      <c r="T706" s="52"/>
      <c r="U706" s="52"/>
      <c r="V706" s="4199"/>
      <c r="W706" s="3306"/>
      <c r="X706" s="3307"/>
      <c r="Y706" s="3307">
        <v>404</v>
      </c>
      <c r="Z706" s="3308">
        <v>620</v>
      </c>
      <c r="AA706" s="3306">
        <v>620</v>
      </c>
      <c r="AB706" s="2583">
        <v>620</v>
      </c>
      <c r="AC706" s="3309">
        <v>620</v>
      </c>
      <c r="AD706" s="2583">
        <v>620</v>
      </c>
      <c r="AE706" s="2583">
        <v>620</v>
      </c>
      <c r="AF706" s="2236">
        <f t="shared" si="75"/>
        <v>891.20171388754079</v>
      </c>
      <c r="AG706" s="200"/>
      <c r="DG706" s="1093"/>
      <c r="DH706" s="188"/>
      <c r="DI706" s="1091"/>
      <c r="DJ706" s="1187"/>
    </row>
    <row r="707" spans="1:114" ht="14.65" customHeight="1" outlineLevel="1">
      <c r="A707" s="453"/>
      <c r="C707" s="51"/>
      <c r="D707" s="4199"/>
      <c r="E707" s="4199"/>
      <c r="F707" s="4338" t="s">
        <v>1846</v>
      </c>
      <c r="G707" s="4338"/>
      <c r="H707" s="4338"/>
      <c r="I707" s="927" t="str">
        <f t="shared" si="72"/>
        <v>351160_2024_12_</v>
      </c>
      <c r="J707" s="1705">
        <f t="shared" si="81"/>
        <v>994.85487938259848</v>
      </c>
      <c r="K707" s="21">
        <f t="shared" si="73"/>
        <v>3.3330761421319792</v>
      </c>
      <c r="L707" s="1240">
        <f>VLOOKUP(I707,$I$382:$J$453,2,FALSE)</f>
        <v>18.005837563451777</v>
      </c>
      <c r="M707" s="51"/>
      <c r="N707" s="561"/>
      <c r="O707" s="51"/>
      <c r="S707" s="52"/>
      <c r="T707" s="52"/>
      <c r="U707" s="52"/>
      <c r="V707" s="4199"/>
      <c r="W707" s="200"/>
      <c r="X707" s="219"/>
      <c r="Y707" s="219"/>
      <c r="Z707" s="206">
        <v>1273.7253593520768</v>
      </c>
      <c r="AA707" s="135">
        <v>1273.7253593520768</v>
      </c>
      <c r="AB707" s="135">
        <v>1273.7253593520768</v>
      </c>
      <c r="AC707" s="206">
        <v>1309.7244675645725</v>
      </c>
      <c r="AD707" s="135">
        <v>826.66666666666708</v>
      </c>
      <c r="AE707" s="206">
        <v>1402.7836641814806</v>
      </c>
      <c r="AF707" s="271">
        <f t="shared" si="75"/>
        <v>994.85487938259848</v>
      </c>
      <c r="AG707" s="200"/>
      <c r="DG707" s="1093"/>
      <c r="DH707" s="188"/>
      <c r="DI707" s="1091"/>
      <c r="DJ707" s="1187"/>
    </row>
    <row r="708" spans="1:114" ht="14.65" customHeight="1" outlineLevel="1">
      <c r="A708" s="453"/>
      <c r="C708" s="51"/>
      <c r="D708" s="4199"/>
      <c r="E708" s="4199"/>
      <c r="F708" s="4338" t="s">
        <v>1847</v>
      </c>
      <c r="G708" s="4338"/>
      <c r="H708" s="4338"/>
      <c r="I708" s="927" t="str">
        <f t="shared" si="72"/>
        <v>351160_2024_12_</v>
      </c>
      <c r="J708" s="1780"/>
      <c r="K708" s="21">
        <f t="shared" si="73"/>
        <v>3.3330761421319792</v>
      </c>
      <c r="L708" s="1442"/>
      <c r="M708" s="51"/>
      <c r="N708" s="561"/>
      <c r="O708" s="51"/>
      <c r="S708" s="52"/>
      <c r="T708" s="52"/>
      <c r="U708" s="52"/>
      <c r="V708" s="4199"/>
      <c r="W708" s="200"/>
      <c r="X708" s="218"/>
      <c r="Y708" s="219"/>
      <c r="Z708" s="1852"/>
      <c r="AA708" s="1780"/>
      <c r="AB708" s="1780"/>
      <c r="AC708" s="1851"/>
      <c r="AD708" s="1780"/>
      <c r="AE708" s="1780"/>
      <c r="AF708" s="271" t="str">
        <f t="shared" si="75"/>
        <v/>
      </c>
      <c r="AG708" s="200"/>
      <c r="DG708" s="1093"/>
      <c r="DH708" s="188"/>
      <c r="DI708" s="1091"/>
      <c r="DJ708" s="1187"/>
    </row>
    <row r="709" spans="1:114" ht="14.65" customHeight="1" outlineLevel="1">
      <c r="A709" s="453"/>
      <c r="C709" s="51"/>
      <c r="D709" s="4199"/>
      <c r="E709" s="4199"/>
      <c r="F709" s="4338" t="s">
        <v>1849</v>
      </c>
      <c r="G709" s="4338"/>
      <c r="H709" s="4338"/>
      <c r="I709" s="927" t="str">
        <f t="shared" si="72"/>
        <v>351161_2024_12_</v>
      </c>
      <c r="J709" s="1705">
        <f t="shared" ref="J709:J710" si="82">IF(ISNUMBER(SEARCH("_ER",F709)),VLOOKUP(_xlfn.MAXIFS(Q$167:Q$176,Q$167:Q$176,"&lt;"&amp;L709),Q$167:T$176,4,FALSE),VLOOKUP(_xlfn.MAXIFS(Q$167:Q$176,Q$167:Q$176,"&lt;"&amp;L709),Q$167:T$176,2,FALSE))</f>
        <v>920.90843768379273</v>
      </c>
      <c r="K709" s="21">
        <f t="shared" si="73"/>
        <v>3.3284552845487805</v>
      </c>
      <c r="L709" s="1240">
        <f>VLOOKUP(I709,$I$382:$J$453,2,FALSE)</f>
        <v>18</v>
      </c>
      <c r="M709" s="51"/>
      <c r="N709" s="561"/>
      <c r="O709" s="51"/>
      <c r="S709" s="52"/>
      <c r="T709" s="52"/>
      <c r="U709" s="52"/>
      <c r="V709" s="4199"/>
      <c r="W709" s="200"/>
      <c r="X709" s="218"/>
      <c r="Y709" s="219"/>
      <c r="Z709" s="206">
        <v>826.66666666666708</v>
      </c>
      <c r="AA709" s="135">
        <v>826.66666666666708</v>
      </c>
      <c r="AB709" s="135">
        <v>826.66666666666708</v>
      </c>
      <c r="AC709" s="298">
        <v>826.66666666666708</v>
      </c>
      <c r="AD709" s="135">
        <v>826.66666666666708</v>
      </c>
      <c r="AE709" s="135">
        <v>826.66666666666708</v>
      </c>
      <c r="AF709" s="271">
        <f t="shared" si="75"/>
        <v>920.90843768379273</v>
      </c>
      <c r="AG709" s="200"/>
      <c r="DG709" s="1093"/>
      <c r="DH709" s="188"/>
      <c r="DI709" s="1091"/>
      <c r="DJ709" s="1187"/>
    </row>
    <row r="710" spans="1:114" ht="14.65" customHeight="1" outlineLevel="1">
      <c r="A710" s="453"/>
      <c r="C710" s="51"/>
      <c r="D710" s="4199"/>
      <c r="E710" s="4199"/>
      <c r="F710" s="4292" t="s">
        <v>1851</v>
      </c>
      <c r="G710" s="4292"/>
      <c r="H710" s="4292"/>
      <c r="I710" s="3295" t="str">
        <f t="shared" si="72"/>
        <v>351162_2024_12_</v>
      </c>
      <c r="J710" s="2908">
        <f t="shared" si="82"/>
        <v>994.85487938259848</v>
      </c>
      <c r="K710" s="2573">
        <f t="shared" si="73"/>
        <v>2.5</v>
      </c>
      <c r="L710" s="3304">
        <f>VLOOKUP(I710,$I$382:$J$453,2,FALSE)</f>
        <v>18</v>
      </c>
      <c r="M710" s="51"/>
      <c r="N710" s="561"/>
      <c r="O710" s="51"/>
      <c r="S710" s="52"/>
      <c r="T710" s="52"/>
      <c r="U710" s="52"/>
      <c r="V710" s="4199"/>
      <c r="W710" s="200"/>
      <c r="X710" s="219"/>
      <c r="Y710" s="219"/>
      <c r="Z710" s="2988">
        <v>1214.9316927389714</v>
      </c>
      <c r="AA710" s="2583">
        <v>1214.9316927389714</v>
      </c>
      <c r="AB710" s="2583">
        <v>1214.9316927389714</v>
      </c>
      <c r="AC710" s="2988">
        <v>1409.0642057751234</v>
      </c>
      <c r="AD710" s="2583">
        <v>826.66666666666708</v>
      </c>
      <c r="AE710" s="2988">
        <v>1379.2682297827339</v>
      </c>
      <c r="AF710" s="2236">
        <f t="shared" si="75"/>
        <v>994.85487938259848</v>
      </c>
      <c r="AG710" s="200"/>
      <c r="DG710" s="1093"/>
      <c r="DH710" s="188"/>
      <c r="DI710" s="1091"/>
      <c r="DJ710" s="1187"/>
    </row>
    <row r="711" spans="1:114" ht="14.65" customHeight="1" outlineLevel="1">
      <c r="A711" s="453"/>
      <c r="C711" s="51"/>
      <c r="D711" s="4199"/>
      <c r="E711" s="4199"/>
      <c r="F711" s="4292" t="s">
        <v>1852</v>
      </c>
      <c r="G711" s="4292"/>
      <c r="H711" s="4292"/>
      <c r="I711" s="3295" t="str">
        <f t="shared" si="72"/>
        <v>351162_2024_12_</v>
      </c>
      <c r="J711" s="2583"/>
      <c r="K711" s="2573">
        <f t="shared" si="73"/>
        <v>2.5</v>
      </c>
      <c r="L711" s="2962"/>
      <c r="M711" s="51"/>
      <c r="N711" s="561"/>
      <c r="O711" s="51"/>
      <c r="S711" s="52"/>
      <c r="T711" s="52"/>
      <c r="U711" s="52"/>
      <c r="V711" s="4199"/>
      <c r="W711" s="200"/>
      <c r="X711" s="218"/>
      <c r="Y711" s="219"/>
      <c r="Z711" s="2988"/>
      <c r="AA711" s="2583"/>
      <c r="AB711" s="2583"/>
      <c r="AC711" s="3309"/>
      <c r="AD711" s="2583"/>
      <c r="AE711" s="2583"/>
      <c r="AF711" s="2236" t="str">
        <f t="shared" si="75"/>
        <v/>
      </c>
      <c r="AG711" s="200"/>
      <c r="DG711" s="1093"/>
      <c r="DH711" s="188"/>
      <c r="DI711" s="1091"/>
      <c r="DJ711" s="1187"/>
    </row>
    <row r="712" spans="1:114" ht="14.65" customHeight="1" outlineLevel="1">
      <c r="A712" s="453"/>
      <c r="C712" s="51"/>
      <c r="D712" s="4199"/>
      <c r="E712" s="4199"/>
      <c r="F712" s="4292" t="s">
        <v>1854</v>
      </c>
      <c r="G712" s="4292"/>
      <c r="H712" s="4292"/>
      <c r="I712" s="3295" t="str">
        <f t="shared" si="72"/>
        <v>351163_2024_12_</v>
      </c>
      <c r="J712" s="2908">
        <f>IF(ISNUMBER(SEARCH("_ER",F712)),VLOOKUP(_xlfn.MAXIFS(Q$167:Q$176,Q$167:Q$176,"&lt;"&amp;L712),Q$167:T$176,4,FALSE),VLOOKUP(_xlfn.MAXIFS(Q$167:Q$176,Q$167:Q$176,"&lt;"&amp;L712),Q$167:T$176,2,FALSE))</f>
        <v>994.85487938259848</v>
      </c>
      <c r="K712" s="2573">
        <f t="shared" si="73"/>
        <v>2.5</v>
      </c>
      <c r="L712" s="3304">
        <f>VLOOKUP(I712,$I$382:$J$453,2,FALSE)</f>
        <v>18</v>
      </c>
      <c r="M712" s="51"/>
      <c r="N712" s="561"/>
      <c r="O712" s="51"/>
      <c r="S712" s="52"/>
      <c r="T712" s="52"/>
      <c r="U712" s="52"/>
      <c r="V712" s="4199"/>
      <c r="W712" s="200"/>
      <c r="X712" s="218"/>
      <c r="Y712" s="219"/>
      <c r="Z712" s="2988">
        <v>1124.705795123607</v>
      </c>
      <c r="AA712" s="2583">
        <v>1124.705795123607</v>
      </c>
      <c r="AB712" s="2583">
        <v>1124.705795123607</v>
      </c>
      <c r="AC712" s="2988">
        <v>1273.7253593520768</v>
      </c>
      <c r="AD712" s="2583">
        <v>826.66666666666708</v>
      </c>
      <c r="AE712" s="2988">
        <v>1258.7877561254159</v>
      </c>
      <c r="AF712" s="2236">
        <f t="shared" si="75"/>
        <v>994.85487938259848</v>
      </c>
      <c r="AG712" s="200"/>
      <c r="DG712" s="1093"/>
      <c r="DH712" s="188"/>
      <c r="DI712" s="1091"/>
      <c r="DJ712" s="1187"/>
    </row>
    <row r="713" spans="1:114" ht="14.65" customHeight="1" outlineLevel="1">
      <c r="A713" s="453"/>
      <c r="C713" s="51"/>
      <c r="D713" s="4199"/>
      <c r="E713" s="4199"/>
      <c r="F713" s="4292" t="s">
        <v>1855</v>
      </c>
      <c r="G713" s="4292"/>
      <c r="H713" s="4292"/>
      <c r="I713" s="3295" t="str">
        <f t="shared" si="72"/>
        <v>351163_2024_12_</v>
      </c>
      <c r="J713" s="2583"/>
      <c r="K713" s="2573">
        <f t="shared" si="73"/>
        <v>2.5</v>
      </c>
      <c r="L713" s="2962"/>
      <c r="M713" s="51"/>
      <c r="N713" s="561"/>
      <c r="O713" s="51"/>
      <c r="S713" s="52"/>
      <c r="T713" s="52"/>
      <c r="U713" s="52"/>
      <c r="V713" s="4199"/>
      <c r="W713" s="200"/>
      <c r="X713" s="218"/>
      <c r="Y713" s="219"/>
      <c r="Z713" s="2988"/>
      <c r="AA713" s="2583"/>
      <c r="AB713" s="2583"/>
      <c r="AC713" s="3309"/>
      <c r="AD713" s="2583"/>
      <c r="AE713" s="2583"/>
      <c r="AF713" s="2236" t="str">
        <f t="shared" si="75"/>
        <v/>
      </c>
      <c r="AG713" s="200"/>
      <c r="DG713" s="1093"/>
      <c r="DH713" s="188"/>
      <c r="DI713" s="1091"/>
      <c r="DJ713" s="1187"/>
    </row>
    <row r="714" spans="1:114" ht="14.25" customHeight="1" outlineLevel="1">
      <c r="A714" s="453"/>
      <c r="C714" s="51"/>
      <c r="D714" s="4199"/>
      <c r="E714" s="4199"/>
      <c r="F714" s="4292" t="s">
        <v>1857</v>
      </c>
      <c r="G714" s="4292"/>
      <c r="H714" s="4292"/>
      <c r="I714" s="3295" t="str">
        <f t="shared" si="72"/>
        <v>351164_2024_12_</v>
      </c>
      <c r="J714" s="2908">
        <f t="shared" ref="J714:J716" si="83">IF(ISNUMBER(SEARCH("_ER",F714)),VLOOKUP(_xlfn.MAXIFS(Q$167:Q$176,Q$167:Q$176,"&lt;"&amp;L714),Q$167:T$176,4,FALSE),VLOOKUP(_xlfn.MAXIFS(Q$167:Q$176,Q$167:Q$176,"&lt;"&amp;L714),Q$167:T$176,2,FALSE))</f>
        <v>920.90843768379273</v>
      </c>
      <c r="K714" s="2573">
        <f t="shared" si="73"/>
        <v>2</v>
      </c>
      <c r="L714" s="3304">
        <f>VLOOKUP(I714,$I$382:$J$453,2,FALSE)</f>
        <v>18</v>
      </c>
      <c r="M714" s="51"/>
      <c r="N714" s="561"/>
      <c r="O714" s="51"/>
      <c r="S714" s="52"/>
      <c r="T714" s="52"/>
      <c r="U714" s="52"/>
      <c r="V714" s="4199"/>
      <c r="W714" s="200"/>
      <c r="X714" s="218"/>
      <c r="Y714" s="219"/>
      <c r="Z714" s="2988">
        <v>826.66666666666708</v>
      </c>
      <c r="AA714" s="2583">
        <v>826.66666666666708</v>
      </c>
      <c r="AB714" s="2583">
        <v>826.66666666666708</v>
      </c>
      <c r="AC714" s="3309">
        <v>826.66666666666708</v>
      </c>
      <c r="AD714" s="2583">
        <v>826.66666666666708</v>
      </c>
      <c r="AE714" s="2583">
        <v>826.66666666666708</v>
      </c>
      <c r="AF714" s="2236">
        <f t="shared" si="75"/>
        <v>920.90843768379273</v>
      </c>
      <c r="AG714" s="200"/>
      <c r="DG714" s="1093"/>
      <c r="DH714" s="188"/>
      <c r="DI714" s="1091"/>
      <c r="DJ714" s="1187"/>
    </row>
    <row r="715" spans="1:114" ht="14.25" customHeight="1" outlineLevel="1">
      <c r="A715" s="453"/>
      <c r="C715" s="51"/>
      <c r="D715" s="4199"/>
      <c r="E715" s="4199"/>
      <c r="F715" s="4292" t="s">
        <v>1859</v>
      </c>
      <c r="G715" s="4292"/>
      <c r="H715" s="4292"/>
      <c r="I715" s="3295" t="str">
        <f t="shared" si="72"/>
        <v>351165_2024_12_</v>
      </c>
      <c r="J715" s="2908">
        <f t="shared" si="83"/>
        <v>920.90843768379273</v>
      </c>
      <c r="K715" s="2573">
        <f t="shared" si="73"/>
        <v>2</v>
      </c>
      <c r="L715" s="3304">
        <f>VLOOKUP(I715,$I$382:$J$453,2,FALSE)</f>
        <v>18</v>
      </c>
      <c r="M715" s="51"/>
      <c r="N715" s="561"/>
      <c r="O715" s="51"/>
      <c r="S715" s="52"/>
      <c r="T715" s="52"/>
      <c r="U715" s="52"/>
      <c r="V715" s="4199"/>
      <c r="W715" s="200"/>
      <c r="X715" s="218"/>
      <c r="Y715" s="219"/>
      <c r="Z715" s="2988">
        <v>826.66666666666708</v>
      </c>
      <c r="AA715" s="2583">
        <v>826.66666666666708</v>
      </c>
      <c r="AB715" s="2583">
        <v>826.66666666666708</v>
      </c>
      <c r="AC715" s="3309">
        <v>826.66666666666708</v>
      </c>
      <c r="AD715" s="2583">
        <v>826.66666666666708</v>
      </c>
      <c r="AE715" s="2583">
        <v>826.66666666666708</v>
      </c>
      <c r="AF715" s="2236">
        <f t="shared" si="75"/>
        <v>920.90843768379273</v>
      </c>
      <c r="AG715" s="200"/>
      <c r="DG715" s="1093"/>
      <c r="DH715" s="188"/>
      <c r="DI715" s="1091"/>
      <c r="DJ715" s="1187"/>
    </row>
    <row r="716" spans="1:114" ht="14.65" customHeight="1" outlineLevel="1">
      <c r="A716" s="453"/>
      <c r="C716" s="51"/>
      <c r="D716" s="4199"/>
      <c r="E716" s="4199"/>
      <c r="F716" s="4338" t="s">
        <v>1861</v>
      </c>
      <c r="G716" s="4338"/>
      <c r="H716" s="4338"/>
      <c r="I716" s="927" t="str">
        <f t="shared" si="72"/>
        <v>351170_2024_12_</v>
      </c>
      <c r="J716" s="1705">
        <f t="shared" si="83"/>
        <v>994.85487938259848</v>
      </c>
      <c r="K716" s="21">
        <f t="shared" si="73"/>
        <v>4.3031428571428565</v>
      </c>
      <c r="L716" s="1240">
        <f>VLOOKUP(I716,$I$382:$J$453,2,FALSE)</f>
        <v>19.138095238095239</v>
      </c>
      <c r="M716" s="51"/>
      <c r="N716" s="561"/>
      <c r="O716" s="51"/>
      <c r="S716" s="52"/>
      <c r="T716" s="52"/>
      <c r="U716" s="52"/>
      <c r="V716" s="4199"/>
      <c r="W716" s="200"/>
      <c r="X716" s="219"/>
      <c r="Y716" s="219"/>
      <c r="Z716" s="206">
        <v>1480.3920260187429</v>
      </c>
      <c r="AA716" s="135">
        <v>1480.3920260187429</v>
      </c>
      <c r="AB716" s="135">
        <v>1480.3920260187429</v>
      </c>
      <c r="AC716" s="206">
        <v>1664.4750171244996</v>
      </c>
      <c r="AD716" s="135">
        <v>1033.3333333333328</v>
      </c>
      <c r="AE716" s="206">
        <v>1777.1248451434149</v>
      </c>
      <c r="AF716" s="271">
        <f t="shared" si="75"/>
        <v>994.85487938259848</v>
      </c>
      <c r="AG716" s="200"/>
      <c r="DG716" s="1093"/>
      <c r="DH716" s="188"/>
      <c r="DI716" s="1091"/>
      <c r="DJ716" s="1187"/>
    </row>
    <row r="717" spans="1:114" ht="14.65" customHeight="1" outlineLevel="1">
      <c r="A717" s="453"/>
      <c r="C717" s="51"/>
      <c r="D717" s="4199"/>
      <c r="E717" s="4199"/>
      <c r="F717" s="4338" t="s">
        <v>1862</v>
      </c>
      <c r="G717" s="4338"/>
      <c r="H717" s="4338"/>
      <c r="I717" s="927" t="str">
        <f t="shared" si="72"/>
        <v>351170_2024_12_</v>
      </c>
      <c r="J717" s="135"/>
      <c r="K717" s="21">
        <f t="shared" si="73"/>
        <v>4.3031428571428565</v>
      </c>
      <c r="L717" s="1442"/>
      <c r="M717" s="51"/>
      <c r="N717" s="561"/>
      <c r="O717" s="51"/>
      <c r="S717" s="52"/>
      <c r="T717" s="52"/>
      <c r="U717" s="52"/>
      <c r="V717" s="4199"/>
      <c r="W717" s="200"/>
      <c r="X717" s="218"/>
      <c r="Y717" s="219"/>
      <c r="Z717" s="206"/>
      <c r="AA717" s="135"/>
      <c r="AB717" s="135"/>
      <c r="AC717" s="298"/>
      <c r="AD717" s="135"/>
      <c r="AE717" s="135"/>
      <c r="AF717" s="271" t="str">
        <f t="shared" si="75"/>
        <v/>
      </c>
      <c r="AG717" s="200"/>
      <c r="DG717" s="1093"/>
      <c r="DH717" s="188"/>
      <c r="DI717" s="1091"/>
      <c r="DJ717" s="1187"/>
    </row>
    <row r="718" spans="1:114" ht="14.65" customHeight="1" outlineLevel="1">
      <c r="A718" s="453"/>
      <c r="C718" s="51"/>
      <c r="D718" s="4199"/>
      <c r="E718" s="4199"/>
      <c r="F718" s="4338" t="s">
        <v>1864</v>
      </c>
      <c r="G718" s="4338"/>
      <c r="H718" s="4338"/>
      <c r="I718" s="927" t="str">
        <f t="shared" si="72"/>
        <v>351171_2024_12_</v>
      </c>
      <c r="J718" s="1705">
        <f t="shared" ref="J718:J719" si="84">IF(ISNUMBER(SEARCH("_ER",F718)),VLOOKUP(_xlfn.MAXIFS(Q$167:Q$176,Q$167:Q$176,"&lt;"&amp;L718),Q$167:T$176,4,FALSE),VLOOKUP(_xlfn.MAXIFS(Q$167:Q$176,Q$167:Q$176,"&lt;"&amp;L718),Q$167:T$176,2,FALSE))</f>
        <v>920.90843768379273</v>
      </c>
      <c r="K718" s="21">
        <f t="shared" si="73"/>
        <v>4.4285714285714288</v>
      </c>
      <c r="L718" s="1240">
        <f>VLOOKUP(I718,$I$382:$J$453,2,FALSE)</f>
        <v>19.1875</v>
      </c>
      <c r="M718" s="51"/>
      <c r="N718" s="561"/>
      <c r="O718" s="51"/>
      <c r="S718" s="52"/>
      <c r="T718" s="52"/>
      <c r="U718" s="52"/>
      <c r="V718" s="4199"/>
      <c r="W718" s="200"/>
      <c r="X718" s="219"/>
      <c r="Y718" s="219"/>
      <c r="Z718" s="206">
        <v>1033.3333333333328</v>
      </c>
      <c r="AA718" s="135">
        <v>1033.3333333333328</v>
      </c>
      <c r="AB718" s="135">
        <v>1033.3333333333328</v>
      </c>
      <c r="AC718" s="298">
        <v>1033.3333333333328</v>
      </c>
      <c r="AD718" s="135">
        <v>1033.3333333333328</v>
      </c>
      <c r="AE718" s="135">
        <v>1033.3333333333328</v>
      </c>
      <c r="AF718" s="271">
        <f t="shared" si="75"/>
        <v>920.90843768379273</v>
      </c>
      <c r="AG718" s="200"/>
      <c r="DG718" s="1093"/>
      <c r="DH718" s="188"/>
      <c r="DI718" s="1091"/>
      <c r="DJ718" s="1187"/>
    </row>
    <row r="719" spans="1:114" ht="14.65" customHeight="1" outlineLevel="1">
      <c r="A719" s="453"/>
      <c r="C719" s="51"/>
      <c r="D719" s="4199"/>
      <c r="E719" s="4199"/>
      <c r="F719" s="4292" t="s">
        <v>1866</v>
      </c>
      <c r="G719" s="4292"/>
      <c r="H719" s="4292"/>
      <c r="I719" s="3295" t="str">
        <f t="shared" si="72"/>
        <v>351172_2024_12_</v>
      </c>
      <c r="J719" s="2908">
        <f t="shared" si="84"/>
        <v>994.85487938259848</v>
      </c>
      <c r="K719" s="2573">
        <f t="shared" si="73"/>
        <v>2</v>
      </c>
      <c r="L719" s="3304">
        <f>VLOOKUP(I719,$I$382:$J$453,2,FALSE)</f>
        <v>19</v>
      </c>
      <c r="M719" s="51"/>
      <c r="N719" s="561"/>
      <c r="O719" s="51"/>
      <c r="S719" s="52"/>
      <c r="T719" s="52"/>
      <c r="U719" s="52"/>
      <c r="V719" s="4199"/>
      <c r="W719" s="200"/>
      <c r="X719" s="219"/>
      <c r="Y719" s="219"/>
      <c r="Z719" s="2988">
        <v>1331.3724617902726</v>
      </c>
      <c r="AA719" s="2583">
        <v>1331.3724617902726</v>
      </c>
      <c r="AB719" s="2583">
        <v>1331.3724617902726</v>
      </c>
      <c r="AC719" s="3309">
        <v>1331.3724617902726</v>
      </c>
      <c r="AD719" s="2583">
        <v>1033.3333333333328</v>
      </c>
      <c r="AE719" s="2988">
        <v>1379.0302049003319</v>
      </c>
      <c r="AF719" s="2236">
        <f t="shared" si="75"/>
        <v>994.85487938259848</v>
      </c>
      <c r="AG719" s="200"/>
      <c r="DG719" s="1093"/>
      <c r="DH719" s="188"/>
      <c r="DI719" s="1091"/>
      <c r="DJ719" s="1187"/>
    </row>
    <row r="720" spans="1:114" ht="14.65" customHeight="1" outlineLevel="1">
      <c r="A720" s="453"/>
      <c r="C720" s="51"/>
      <c r="D720" s="4199"/>
      <c r="E720" s="4199"/>
      <c r="F720" s="4292" t="s">
        <v>1867</v>
      </c>
      <c r="G720" s="4292"/>
      <c r="H720" s="4292"/>
      <c r="I720" s="3295" t="str">
        <f t="shared" si="72"/>
        <v>351172_2024_12_</v>
      </c>
      <c r="J720" s="2583"/>
      <c r="K720" s="2573">
        <f t="shared" si="73"/>
        <v>2</v>
      </c>
      <c r="L720" s="2962"/>
      <c r="M720" s="51"/>
      <c r="N720" s="561"/>
      <c r="O720" s="51"/>
      <c r="S720" s="52"/>
      <c r="T720" s="52"/>
      <c r="U720" s="52"/>
      <c r="V720" s="4199"/>
      <c r="W720" s="200"/>
      <c r="X720" s="218"/>
      <c r="Y720" s="219"/>
      <c r="Z720" s="2988"/>
      <c r="AA720" s="2583"/>
      <c r="AB720" s="2583"/>
      <c r="AC720" s="3309"/>
      <c r="AD720" s="2583"/>
      <c r="AE720" s="2583"/>
      <c r="AF720" s="2236" t="str">
        <f t="shared" si="75"/>
        <v/>
      </c>
      <c r="AG720" s="200"/>
      <c r="DG720" s="1093"/>
      <c r="DH720" s="188"/>
      <c r="DI720" s="1091"/>
      <c r="DJ720" s="1187"/>
    </row>
    <row r="721" spans="1:114" ht="14.65" customHeight="1" outlineLevel="1">
      <c r="A721" s="453"/>
      <c r="C721" s="51"/>
      <c r="D721" s="4199"/>
      <c r="E721" s="4199"/>
      <c r="F721" s="4292" t="s">
        <v>1869</v>
      </c>
      <c r="G721" s="4292"/>
      <c r="H721" s="4292"/>
      <c r="I721" s="3295" t="str">
        <f t="shared" si="72"/>
        <v>351173_2024_12_</v>
      </c>
      <c r="J721" s="2908">
        <f>IF(ISNUMBER(SEARCH("_ER",F721)),VLOOKUP(_xlfn.MAXIFS(Q$167:Q$176,Q$167:Q$176,"&lt;"&amp;L721),Q$167:T$176,4,FALSE),VLOOKUP(_xlfn.MAXIFS(Q$167:Q$176,Q$167:Q$176,"&lt;"&amp;L721),Q$167:T$176,2,FALSE))</f>
        <v>994.85487938259848</v>
      </c>
      <c r="K721" s="2573">
        <f t="shared" si="73"/>
        <v>2</v>
      </c>
      <c r="L721" s="3304">
        <f>VLOOKUP(I721,$I$382:$J$453,2,FALSE)</f>
        <v>19</v>
      </c>
      <c r="M721" s="51"/>
      <c r="N721" s="561"/>
      <c r="O721" s="51"/>
      <c r="S721" s="52"/>
      <c r="T721" s="52"/>
      <c r="U721" s="52"/>
      <c r="V721" s="4199"/>
      <c r="W721" s="200"/>
      <c r="X721" s="218"/>
      <c r="Y721" s="219"/>
      <c r="Z721" s="2988">
        <v>1331.3724617902726</v>
      </c>
      <c r="AA721" s="2583">
        <v>1331.3724617902726</v>
      </c>
      <c r="AB721" s="2583">
        <v>1331.3724617902726</v>
      </c>
      <c r="AC721" s="3309">
        <v>1331.3724617902726</v>
      </c>
      <c r="AD721" s="2583">
        <v>1033.3333333333328</v>
      </c>
      <c r="AE721" s="2988">
        <v>1379.0302049003319</v>
      </c>
      <c r="AF721" s="2236">
        <f t="shared" si="75"/>
        <v>994.85487938259848</v>
      </c>
      <c r="AG721" s="200"/>
      <c r="DG721" s="1093"/>
      <c r="DH721" s="188"/>
      <c r="DI721" s="1091"/>
      <c r="DJ721" s="1187"/>
    </row>
    <row r="722" spans="1:114" ht="14.65" customHeight="1" outlineLevel="1">
      <c r="A722" s="453"/>
      <c r="C722" s="51"/>
      <c r="D722" s="4199"/>
      <c r="E722" s="4199"/>
      <c r="F722" s="4292" t="s">
        <v>1870</v>
      </c>
      <c r="G722" s="4292"/>
      <c r="H722" s="4292"/>
      <c r="I722" s="3295" t="str">
        <f t="shared" si="72"/>
        <v>351173_2024_12_</v>
      </c>
      <c r="J722" s="2583"/>
      <c r="K722" s="2573">
        <f t="shared" si="73"/>
        <v>2</v>
      </c>
      <c r="L722" s="2962"/>
      <c r="M722" s="51"/>
      <c r="N722" s="561"/>
      <c r="O722" s="51"/>
      <c r="S722" s="52"/>
      <c r="T722" s="52"/>
      <c r="U722" s="52"/>
      <c r="V722" s="4199"/>
      <c r="W722" s="200"/>
      <c r="X722" s="218"/>
      <c r="Y722" s="219"/>
      <c r="Z722" s="2988"/>
      <c r="AA722" s="2583"/>
      <c r="AB722" s="2583"/>
      <c r="AC722" s="3309"/>
      <c r="AD722" s="2583"/>
      <c r="AE722" s="2583"/>
      <c r="AF722" s="2236" t="str">
        <f t="shared" si="75"/>
        <v/>
      </c>
      <c r="AG722" s="200"/>
      <c r="DG722" s="1093"/>
      <c r="DH722" s="188"/>
      <c r="DI722" s="1091"/>
      <c r="DJ722" s="1187"/>
    </row>
    <row r="723" spans="1:114" ht="14.25" customHeight="1" outlineLevel="1">
      <c r="A723" s="453"/>
      <c r="C723" s="51"/>
      <c r="D723" s="4199"/>
      <c r="E723" s="4199"/>
      <c r="F723" s="4292" t="s">
        <v>1872</v>
      </c>
      <c r="G723" s="4292"/>
      <c r="H723" s="4292"/>
      <c r="I723" s="3295" t="str">
        <f t="shared" si="72"/>
        <v>351174_2024_12_</v>
      </c>
      <c r="J723" s="2908">
        <f t="shared" ref="J723:J725" si="85">IF(ISNUMBER(SEARCH("_ER",F723)),VLOOKUP(_xlfn.MAXIFS(Q$167:Q$176,Q$167:Q$176,"&lt;"&amp;L723),Q$167:T$176,4,FALSE),VLOOKUP(_xlfn.MAXIFS(Q$167:Q$176,Q$167:Q$176,"&lt;"&amp;L723),Q$167:T$176,2,FALSE))</f>
        <v>920.90843768379273</v>
      </c>
      <c r="K723" s="2573">
        <f t="shared" si="73"/>
        <v>2</v>
      </c>
      <c r="L723" s="3304">
        <f>VLOOKUP(I723,$I$382:$J$453,2,FALSE)</f>
        <v>19</v>
      </c>
      <c r="M723" s="51"/>
      <c r="N723" s="561"/>
      <c r="O723" s="51"/>
      <c r="S723" s="52"/>
      <c r="T723" s="52"/>
      <c r="U723" s="52"/>
      <c r="V723" s="4199"/>
      <c r="W723" s="200"/>
      <c r="X723" s="219"/>
      <c r="Y723" s="219"/>
      <c r="Z723" s="2988">
        <v>1033.3333333333328</v>
      </c>
      <c r="AA723" s="2583">
        <v>1033.3333333333328</v>
      </c>
      <c r="AB723" s="2583">
        <v>1033.3333333333328</v>
      </c>
      <c r="AC723" s="3309">
        <v>1033.3333333333328</v>
      </c>
      <c r="AD723" s="2583">
        <v>1033.3333333333328</v>
      </c>
      <c r="AE723" s="2583">
        <v>1033.3333333333328</v>
      </c>
      <c r="AF723" s="2236">
        <f t="shared" si="75"/>
        <v>920.90843768379273</v>
      </c>
      <c r="AG723" s="200"/>
      <c r="DG723" s="1093"/>
      <c r="DH723" s="188"/>
      <c r="DI723" s="1091"/>
      <c r="DJ723" s="1187"/>
    </row>
    <row r="724" spans="1:114" ht="14.25" customHeight="1" outlineLevel="1">
      <c r="A724" s="453"/>
      <c r="C724" s="51"/>
      <c r="D724" s="4199"/>
      <c r="E724" s="4199"/>
      <c r="F724" s="4292" t="s">
        <v>1874</v>
      </c>
      <c r="G724" s="4292"/>
      <c r="H724" s="4292"/>
      <c r="I724" s="3295" t="str">
        <f t="shared" si="72"/>
        <v>351175_2024_12_</v>
      </c>
      <c r="J724" s="2908">
        <f t="shared" si="85"/>
        <v>920.90843768379273</v>
      </c>
      <c r="K724" s="2573">
        <f t="shared" si="73"/>
        <v>2</v>
      </c>
      <c r="L724" s="3304">
        <f>VLOOKUP(I724,$I$382:$J$453,2,FALSE)</f>
        <v>19</v>
      </c>
      <c r="M724" s="51"/>
      <c r="N724" s="561"/>
      <c r="O724" s="51"/>
      <c r="S724" s="52"/>
      <c r="T724" s="52"/>
      <c r="U724" s="52"/>
      <c r="V724" s="4199"/>
      <c r="W724" s="200"/>
      <c r="X724" s="219"/>
      <c r="Y724" s="219"/>
      <c r="Z724" s="2988">
        <v>1033.3333333333328</v>
      </c>
      <c r="AA724" s="2583">
        <v>1033.3333333333328</v>
      </c>
      <c r="AB724" s="2583">
        <v>1033.3333333333328</v>
      </c>
      <c r="AC724" s="3309">
        <v>1033.3333333333328</v>
      </c>
      <c r="AD724" s="2583">
        <v>1033.3333333333328</v>
      </c>
      <c r="AE724" s="2583">
        <v>1033.3333333333328</v>
      </c>
      <c r="AF724" s="2236">
        <f t="shared" si="75"/>
        <v>920.90843768379273</v>
      </c>
      <c r="AG724" s="200"/>
      <c r="DG724" s="1093"/>
      <c r="DH724" s="188"/>
      <c r="DI724" s="1091"/>
      <c r="DJ724" s="1187"/>
    </row>
    <row r="725" spans="1:114" ht="14.65" customHeight="1" outlineLevel="1">
      <c r="A725" s="453"/>
      <c r="C725" s="51"/>
      <c r="D725" s="4199"/>
      <c r="E725" s="4199"/>
      <c r="F725" s="4338" t="s">
        <v>1876</v>
      </c>
      <c r="G725" s="4338"/>
      <c r="H725" s="4338"/>
      <c r="I725" s="927" t="str">
        <f t="shared" si="72"/>
        <v>351180_2024_12_</v>
      </c>
      <c r="J725" s="1705">
        <f t="shared" si="85"/>
        <v>1080.2617102968206</v>
      </c>
      <c r="K725" s="21">
        <f t="shared" si="73"/>
        <v>3.6090823970000003</v>
      </c>
      <c r="L725" s="1240">
        <f>VLOOKUP(I725,$I$382:$J$453,2,FALSE)</f>
        <v>20.110619469026549</v>
      </c>
      <c r="M725" s="51"/>
      <c r="N725" s="561"/>
      <c r="O725" s="51"/>
      <c r="S725" s="52"/>
      <c r="T725" s="52"/>
      <c r="U725" s="52"/>
      <c r="V725" s="4199"/>
      <c r="W725" s="200"/>
      <c r="X725" s="219"/>
      <c r="Y725" s="219"/>
      <c r="Z725" s="206">
        <v>1687.0586926854098</v>
      </c>
      <c r="AA725" s="135">
        <v>1687.0586926854098</v>
      </c>
      <c r="AB725" s="135">
        <v>1687.0586926854098</v>
      </c>
      <c r="AC725" s="206">
        <v>1749.8037723605553</v>
      </c>
      <c r="AD725" s="135">
        <v>1239.9999999999995</v>
      </c>
      <c r="AE725" s="206">
        <v>1825.0843069662697</v>
      </c>
      <c r="AF725" s="271">
        <f t="shared" si="75"/>
        <v>1080.2617102968206</v>
      </c>
      <c r="AG725" s="200"/>
      <c r="DG725" s="1093"/>
      <c r="DH725" s="188"/>
      <c r="DI725" s="1091"/>
      <c r="DJ725" s="1187"/>
    </row>
    <row r="726" spans="1:114" ht="14.65" customHeight="1" outlineLevel="1">
      <c r="A726" s="453"/>
      <c r="C726" s="51"/>
      <c r="D726" s="4199"/>
      <c r="E726" s="4199"/>
      <c r="F726" s="4338" t="s">
        <v>1877</v>
      </c>
      <c r="G726" s="4338"/>
      <c r="H726" s="4338"/>
      <c r="I726" s="927" t="str">
        <f t="shared" si="72"/>
        <v>351180_2024_12_</v>
      </c>
      <c r="J726" s="135"/>
      <c r="K726" s="21">
        <f t="shared" si="73"/>
        <v>3.6090823970000003</v>
      </c>
      <c r="L726" s="1442"/>
      <c r="M726" s="51"/>
      <c r="N726" s="561"/>
      <c r="O726" s="51"/>
      <c r="S726" s="52"/>
      <c r="T726" s="52"/>
      <c r="U726" s="52"/>
      <c r="V726" s="4199"/>
      <c r="W726" s="200"/>
      <c r="X726" s="218"/>
      <c r="Y726" s="219"/>
      <c r="Z726" s="206"/>
      <c r="AA726" s="135"/>
      <c r="AB726" s="135"/>
      <c r="AC726" s="298"/>
      <c r="AD726" s="135"/>
      <c r="AE726" s="135"/>
      <c r="AF726" s="271" t="str">
        <f t="shared" si="75"/>
        <v/>
      </c>
      <c r="AG726" s="200"/>
      <c r="DG726" s="1093"/>
      <c r="DH726" s="188"/>
      <c r="DI726" s="1091"/>
      <c r="DJ726" s="1187"/>
    </row>
    <row r="727" spans="1:114" ht="14.65" customHeight="1" outlineLevel="1">
      <c r="A727" s="453"/>
      <c r="C727" s="51"/>
      <c r="D727" s="4199"/>
      <c r="E727" s="4199"/>
      <c r="F727" s="4338" t="s">
        <v>1879</v>
      </c>
      <c r="G727" s="4338"/>
      <c r="H727" s="4338"/>
      <c r="I727" s="927" t="str">
        <f t="shared" si="72"/>
        <v>351181_2024_12_</v>
      </c>
      <c r="J727" s="1705">
        <f t="shared" ref="J727:J728" si="86">IF(ISNUMBER(SEARCH("_ER",F727)),VLOOKUP(_xlfn.MAXIFS(Q$167:Q$176,Q$167:Q$176,"&lt;"&amp;L727),Q$167:T$176,4,FALSE),VLOOKUP(_xlfn.MAXIFS(Q$167:Q$176,Q$167:Q$176,"&lt;"&amp;L727),Q$167:T$176,2,FALSE))</f>
        <v>1006.3152685980149</v>
      </c>
      <c r="K727" s="21">
        <f t="shared" si="73"/>
        <v>3.7737500000000002</v>
      </c>
      <c r="L727" s="1240">
        <f>VLOOKUP(I727,$I$382:$J$453,2,FALSE)</f>
        <v>20.015625</v>
      </c>
      <c r="M727" s="51"/>
      <c r="N727" s="561"/>
      <c r="O727" s="51"/>
      <c r="S727" s="52"/>
      <c r="T727" s="52"/>
      <c r="U727" s="52"/>
      <c r="V727" s="4199"/>
      <c r="W727" s="135"/>
      <c r="X727" s="219"/>
      <c r="Y727" s="219"/>
      <c r="Z727" s="206">
        <v>1239.9999999999995</v>
      </c>
      <c r="AA727" s="135">
        <v>1239.9999999999995</v>
      </c>
      <c r="AB727" s="135">
        <v>1239.9999999999995</v>
      </c>
      <c r="AC727" s="298">
        <v>1239.9999999999995</v>
      </c>
      <c r="AD727" s="135">
        <v>1239.9999999999995</v>
      </c>
      <c r="AE727" s="135">
        <v>1239.9999999999995</v>
      </c>
      <c r="AF727" s="271">
        <f t="shared" si="75"/>
        <v>1006.3152685980149</v>
      </c>
      <c r="AG727" s="135"/>
      <c r="DG727" s="1093"/>
      <c r="DH727" s="188"/>
      <c r="DI727" s="1091"/>
      <c r="DJ727" s="1187"/>
    </row>
    <row r="728" spans="1:114" ht="14.65" customHeight="1" outlineLevel="1">
      <c r="A728" s="453"/>
      <c r="C728" s="51"/>
      <c r="D728" s="4199"/>
      <c r="E728" s="4199"/>
      <c r="F728" s="4292" t="s">
        <v>1881</v>
      </c>
      <c r="G728" s="4292"/>
      <c r="H728" s="4292"/>
      <c r="I728" s="3295" t="str">
        <f t="shared" si="72"/>
        <v>351182_2024_12_</v>
      </c>
      <c r="J728" s="2908">
        <f t="shared" si="86"/>
        <v>1080.2617102968206</v>
      </c>
      <c r="K728" s="2573">
        <f t="shared" si="73"/>
        <v>2</v>
      </c>
      <c r="L728" s="3304">
        <f>VLOOKUP(I728,$I$382:$J$453,2,FALSE)</f>
        <v>20</v>
      </c>
      <c r="M728" s="51"/>
      <c r="N728" s="561"/>
      <c r="O728" s="51"/>
      <c r="S728" s="52"/>
      <c r="T728" s="52"/>
      <c r="U728" s="52"/>
      <c r="V728" s="4199"/>
      <c r="W728" s="200"/>
      <c r="X728" s="219"/>
      <c r="Y728" s="219"/>
      <c r="Z728" s="2988">
        <v>1538.0391284569391</v>
      </c>
      <c r="AA728" s="2583">
        <v>1538.0391284569391</v>
      </c>
      <c r="AB728" s="2583">
        <v>1538.0391284569391</v>
      </c>
      <c r="AC728" s="3309">
        <v>1538.0391284569391</v>
      </c>
      <c r="AD728" s="2583">
        <v>1239.9999999999995</v>
      </c>
      <c r="AE728" s="2988">
        <v>1585.6968715669984</v>
      </c>
      <c r="AF728" s="2236">
        <f t="shared" si="75"/>
        <v>1080.2617102968206</v>
      </c>
      <c r="AG728" s="200"/>
      <c r="DG728" s="1093"/>
      <c r="DH728" s="188"/>
      <c r="DI728" s="1091"/>
      <c r="DJ728" s="1187"/>
    </row>
    <row r="729" spans="1:114" ht="14.65" customHeight="1" outlineLevel="1">
      <c r="A729" s="453"/>
      <c r="C729" s="51"/>
      <c r="D729" s="4199"/>
      <c r="E729" s="4199"/>
      <c r="F729" s="4292" t="s">
        <v>1882</v>
      </c>
      <c r="G729" s="4292"/>
      <c r="H729" s="4292"/>
      <c r="I729" s="3295" t="str">
        <f t="shared" si="72"/>
        <v>351182_2024_12_</v>
      </c>
      <c r="J729" s="2583"/>
      <c r="K729" s="2573">
        <f t="shared" si="73"/>
        <v>2</v>
      </c>
      <c r="L729" s="2962"/>
      <c r="M729" s="51"/>
      <c r="N729" s="561"/>
      <c r="O729" s="51"/>
      <c r="S729" s="52"/>
      <c r="T729" s="52"/>
      <c r="U729" s="52"/>
      <c r="V729" s="4199"/>
      <c r="W729" s="200"/>
      <c r="X729" s="218"/>
      <c r="Y729" s="219"/>
      <c r="Z729" s="2988"/>
      <c r="AA729" s="2583"/>
      <c r="AB729" s="2583"/>
      <c r="AC729" s="3309"/>
      <c r="AD729" s="2583"/>
      <c r="AE729" s="2583"/>
      <c r="AF729" s="2236" t="str">
        <f t="shared" si="75"/>
        <v/>
      </c>
      <c r="AG729" s="200"/>
      <c r="DG729" s="1093"/>
      <c r="DH729" s="188"/>
      <c r="DI729" s="1091"/>
      <c r="DJ729" s="1187"/>
    </row>
    <row r="730" spans="1:114" ht="14.65" customHeight="1" outlineLevel="1">
      <c r="A730" s="453"/>
      <c r="C730" s="51"/>
      <c r="D730" s="4199"/>
      <c r="E730" s="4199"/>
      <c r="F730" s="4292" t="s">
        <v>1884</v>
      </c>
      <c r="G730" s="4292"/>
      <c r="H730" s="4292"/>
      <c r="I730" s="3295" t="str">
        <f t="shared" si="72"/>
        <v>351183_2024_12_</v>
      </c>
      <c r="J730" s="2908">
        <f>IF(ISNUMBER(SEARCH("_ER",F730)),VLOOKUP(_xlfn.MAXIFS(Q$167:Q$176,Q$167:Q$176,"&lt;"&amp;L730),Q$167:T$176,4,FALSE),VLOOKUP(_xlfn.MAXIFS(Q$167:Q$176,Q$167:Q$176,"&lt;"&amp;L730),Q$167:T$176,2,FALSE))</f>
        <v>1080.2617102968206</v>
      </c>
      <c r="K730" s="2573">
        <f t="shared" si="73"/>
        <v>2</v>
      </c>
      <c r="L730" s="3304">
        <f>VLOOKUP(I730,$I$382:$J$453,2,FALSE)</f>
        <v>20</v>
      </c>
      <c r="M730" s="51"/>
      <c r="N730" s="561"/>
      <c r="O730" s="51"/>
      <c r="S730" s="52"/>
      <c r="T730" s="52"/>
      <c r="U730" s="52"/>
      <c r="V730" s="4199"/>
      <c r="W730" s="200"/>
      <c r="X730" s="218"/>
      <c r="Y730" s="219"/>
      <c r="Z730" s="2988">
        <v>1538.0391284569391</v>
      </c>
      <c r="AA730" s="2583">
        <v>1538.0391284569391</v>
      </c>
      <c r="AB730" s="2583">
        <v>1538.0391284569391</v>
      </c>
      <c r="AC730" s="3309">
        <v>1538.0391284569391</v>
      </c>
      <c r="AD730" s="2583">
        <v>1239.9999999999995</v>
      </c>
      <c r="AE730" s="2583">
        <v>1585.6968715669984</v>
      </c>
      <c r="AF730" s="2236">
        <f t="shared" si="75"/>
        <v>1080.2617102968206</v>
      </c>
      <c r="AG730" s="200"/>
      <c r="DG730" s="1093"/>
      <c r="DH730" s="188"/>
      <c r="DI730" s="1091"/>
      <c r="DJ730" s="1187"/>
    </row>
    <row r="731" spans="1:114" ht="14.65" customHeight="1" outlineLevel="1">
      <c r="A731" s="453"/>
      <c r="C731" s="51"/>
      <c r="D731" s="4199"/>
      <c r="E731" s="4199"/>
      <c r="F731" s="4292" t="s">
        <v>1885</v>
      </c>
      <c r="G731" s="4292"/>
      <c r="H731" s="4292"/>
      <c r="I731" s="3295" t="str">
        <f t="shared" si="72"/>
        <v>351183_2024_12_</v>
      </c>
      <c r="J731" s="2583"/>
      <c r="K731" s="2573">
        <f t="shared" si="73"/>
        <v>2</v>
      </c>
      <c r="L731" s="2962"/>
      <c r="M731" s="51"/>
      <c r="N731" s="561"/>
      <c r="O731" s="51"/>
      <c r="S731" s="52"/>
      <c r="T731" s="52"/>
      <c r="U731" s="52"/>
      <c r="V731" s="4199"/>
      <c r="W731" s="200"/>
      <c r="X731" s="218"/>
      <c r="Y731" s="219"/>
      <c r="Z731" s="2988"/>
      <c r="AA731" s="2583"/>
      <c r="AB731" s="2583"/>
      <c r="AC731" s="3309"/>
      <c r="AD731" s="2583"/>
      <c r="AE731" s="2583"/>
      <c r="AF731" s="2236" t="str">
        <f t="shared" si="75"/>
        <v/>
      </c>
      <c r="AG731" s="200"/>
      <c r="DG731" s="1093"/>
      <c r="DH731" s="188"/>
      <c r="DI731" s="1091"/>
      <c r="DJ731" s="1187"/>
    </row>
    <row r="732" spans="1:114" ht="14.65" customHeight="1" outlineLevel="1">
      <c r="A732" s="453"/>
      <c r="C732" s="51"/>
      <c r="D732" s="4199"/>
      <c r="E732" s="4199"/>
      <c r="F732" s="4292" t="s">
        <v>1887</v>
      </c>
      <c r="G732" s="4292"/>
      <c r="H732" s="4292"/>
      <c r="I732" s="3295" t="str">
        <f t="shared" si="72"/>
        <v>351184_2024_12_</v>
      </c>
      <c r="J732" s="2908">
        <f t="shared" ref="J732:J734" si="87">IF(ISNUMBER(SEARCH("_ER",F732)),VLOOKUP(_xlfn.MAXIFS(Q$167:Q$176,Q$167:Q$176,"&lt;"&amp;L732),Q$167:T$176,4,FALSE),VLOOKUP(_xlfn.MAXIFS(Q$167:Q$176,Q$167:Q$176,"&lt;"&amp;L732),Q$167:T$176,2,FALSE))</f>
        <v>1006.3152685980149</v>
      </c>
      <c r="K732" s="2573">
        <f t="shared" si="73"/>
        <v>2</v>
      </c>
      <c r="L732" s="3304">
        <f>VLOOKUP(I732,$I$382:$J$453,2,FALSE)</f>
        <v>20</v>
      </c>
      <c r="M732" s="51"/>
      <c r="N732" s="561"/>
      <c r="O732" s="51"/>
      <c r="S732" s="52"/>
      <c r="T732" s="52"/>
      <c r="U732" s="52"/>
      <c r="V732" s="4199"/>
      <c r="W732" s="135"/>
      <c r="X732" s="219"/>
      <c r="Y732" s="219"/>
      <c r="Z732" s="2988">
        <v>1239.9999999999995</v>
      </c>
      <c r="AA732" s="2583">
        <v>1239.9999999999995</v>
      </c>
      <c r="AB732" s="2583">
        <v>1239.9999999999995</v>
      </c>
      <c r="AC732" s="3309">
        <v>1239.9999999999995</v>
      </c>
      <c r="AD732" s="2583">
        <v>1239.9999999999995</v>
      </c>
      <c r="AE732" s="2583">
        <v>1239.9999999999995</v>
      </c>
      <c r="AF732" s="2236">
        <f t="shared" si="75"/>
        <v>1006.3152685980149</v>
      </c>
      <c r="AG732" s="135"/>
      <c r="DG732" s="1093"/>
      <c r="DH732" s="188"/>
      <c r="DI732" s="1091"/>
      <c r="DJ732" s="1187"/>
    </row>
    <row r="733" spans="1:114" ht="14.65" customHeight="1" outlineLevel="1">
      <c r="A733" s="453"/>
      <c r="C733" s="51"/>
      <c r="D733" s="4199"/>
      <c r="E733" s="4199"/>
      <c r="F733" s="4292" t="s">
        <v>1889</v>
      </c>
      <c r="G733" s="4292"/>
      <c r="H733" s="4292"/>
      <c r="I733" s="3295" t="str">
        <f t="shared" si="72"/>
        <v>351185_2024_12_</v>
      </c>
      <c r="J733" s="2908">
        <f t="shared" si="87"/>
        <v>1006.3152685980149</v>
      </c>
      <c r="K733" s="2573">
        <f t="shared" si="73"/>
        <v>2</v>
      </c>
      <c r="L733" s="3304">
        <f>VLOOKUP(I733,$I$382:$J$453,2,FALSE)</f>
        <v>20</v>
      </c>
      <c r="M733" s="51"/>
      <c r="N733" s="561"/>
      <c r="O733" s="51"/>
      <c r="S733" s="52"/>
      <c r="T733" s="52"/>
      <c r="U733" s="52"/>
      <c r="V733" s="4199"/>
      <c r="W733" s="135"/>
      <c r="X733" s="219"/>
      <c r="Y733" s="219"/>
      <c r="Z733" s="2988">
        <v>1239.9999999999995</v>
      </c>
      <c r="AA733" s="2583">
        <v>1239.9999999999995</v>
      </c>
      <c r="AB733" s="2583">
        <v>1239.9999999999995</v>
      </c>
      <c r="AC733" s="3309">
        <v>1239.9999999999995</v>
      </c>
      <c r="AD733" s="2583">
        <v>1239.9999999999995</v>
      </c>
      <c r="AE733" s="2583">
        <v>1239.9999999999995</v>
      </c>
      <c r="AF733" s="2236">
        <f t="shared" si="75"/>
        <v>1006.3152685980149</v>
      </c>
      <c r="AG733" s="135"/>
      <c r="DG733" s="1093"/>
      <c r="DH733" s="188"/>
      <c r="DI733" s="1091"/>
      <c r="DJ733" s="1187"/>
    </row>
    <row r="734" spans="1:114" ht="14.65" customHeight="1" outlineLevel="1">
      <c r="A734" s="453"/>
      <c r="C734" s="51"/>
      <c r="D734" s="4199"/>
      <c r="E734" s="4199"/>
      <c r="F734" s="4338" t="s">
        <v>1891</v>
      </c>
      <c r="G734" s="4338"/>
      <c r="H734" s="4338"/>
      <c r="I734" s="927" t="str">
        <f t="shared" si="72"/>
        <v>351190_2024_12_</v>
      </c>
      <c r="J734" s="1705">
        <f t="shared" si="87"/>
        <v>1193.5185947700302</v>
      </c>
      <c r="K734" s="21">
        <f t="shared" si="73"/>
        <v>3.297874149663266</v>
      </c>
      <c r="L734" s="1240">
        <f>VLOOKUP(I734,$I$382:$J$453,2,FALSE)</f>
        <v>22.131818181818183</v>
      </c>
      <c r="M734" s="51"/>
      <c r="N734" s="561"/>
      <c r="O734" s="51"/>
      <c r="S734" s="52"/>
      <c r="T734" s="52"/>
      <c r="U734" s="52"/>
      <c r="V734" s="4199"/>
      <c r="W734" s="200"/>
      <c r="X734" s="219"/>
      <c r="Y734" s="219"/>
      <c r="Z734" s="206">
        <v>1893.7253593520759</v>
      </c>
      <c r="AA734" s="135">
        <v>1893.7253593520759</v>
      </c>
      <c r="AB734" s="135">
        <v>1893.7253593520759</v>
      </c>
      <c r="AC734" s="206">
        <v>1943.075994258907</v>
      </c>
      <c r="AD734" s="135">
        <v>1446.6666666666663</v>
      </c>
      <c r="AE734" s="206">
        <v>2003.7100347143987</v>
      </c>
      <c r="AF734" s="271">
        <f t="shared" si="75"/>
        <v>1193.5185947700302</v>
      </c>
      <c r="AG734" s="200"/>
      <c r="DG734" s="1093"/>
      <c r="DH734" s="188"/>
      <c r="DI734" s="1091"/>
      <c r="DJ734" s="1187"/>
    </row>
    <row r="735" spans="1:114" ht="14.65" customHeight="1" outlineLevel="1">
      <c r="A735" s="453"/>
      <c r="C735" s="51"/>
      <c r="D735" s="4199"/>
      <c r="E735" s="4199"/>
      <c r="F735" s="4338" t="s">
        <v>1892</v>
      </c>
      <c r="G735" s="4338"/>
      <c r="H735" s="4338"/>
      <c r="I735" s="927" t="str">
        <f t="shared" ref="I735:I742" si="88">I663</f>
        <v>351190_2024_12_</v>
      </c>
      <c r="J735" s="135"/>
      <c r="K735" s="21">
        <f t="shared" ref="K735:K742" si="89">K302*J590</f>
        <v>3.297874149663266</v>
      </c>
      <c r="L735" s="1442"/>
      <c r="M735" s="51"/>
      <c r="N735" s="561"/>
      <c r="O735" s="51"/>
      <c r="S735" s="52"/>
      <c r="T735" s="52"/>
      <c r="U735" s="52"/>
      <c r="V735" s="4199"/>
      <c r="W735" s="200"/>
      <c r="X735" s="218"/>
      <c r="Y735" s="219"/>
      <c r="Z735" s="206"/>
      <c r="AA735" s="135"/>
      <c r="AB735" s="135"/>
      <c r="AC735" s="298"/>
      <c r="AD735" s="135"/>
      <c r="AE735" s="135"/>
      <c r="AF735" s="271" t="str">
        <f t="shared" si="75"/>
        <v/>
      </c>
      <c r="AG735" s="200"/>
      <c r="DG735" s="1093"/>
      <c r="DH735" s="188"/>
      <c r="DI735" s="1091"/>
      <c r="DJ735" s="1187"/>
    </row>
    <row r="736" spans="1:114" ht="14.65" customHeight="1" outlineLevel="1">
      <c r="A736" s="453"/>
      <c r="C736" s="51"/>
      <c r="D736" s="4199"/>
      <c r="E736" s="4199"/>
      <c r="F736" s="4338" t="s">
        <v>1894</v>
      </c>
      <c r="G736" s="4338"/>
      <c r="H736" s="4338"/>
      <c r="I736" s="927" t="str">
        <f t="shared" si="88"/>
        <v>351191_2024_12_</v>
      </c>
      <c r="J736" s="1705">
        <f t="shared" ref="J736:J737" si="90">IF(ISNUMBER(SEARCH("_ER",F736)),VLOOKUP(_xlfn.MAXIFS(Q$167:Q$176,Q$167:Q$176,"&lt;"&amp;L736),Q$167:T$176,4,FALSE),VLOOKUP(_xlfn.MAXIFS(Q$167:Q$176,Q$167:Q$176,"&lt;"&amp;L736),Q$167:T$176,2,FALSE))</f>
        <v>1240.2557184934958</v>
      </c>
      <c r="K736" s="21">
        <f t="shared" si="89"/>
        <v>3.376689189189189</v>
      </c>
      <c r="L736" s="1240">
        <f>VLOOKUP(I736,$I$382:$J$453,2,FALSE)</f>
        <v>22.6</v>
      </c>
      <c r="M736" s="51"/>
      <c r="N736" s="561"/>
      <c r="O736" s="51"/>
      <c r="S736" s="52"/>
      <c r="T736" s="52"/>
      <c r="U736" s="52"/>
      <c r="V736" s="4199"/>
      <c r="W736" s="200"/>
      <c r="X736" s="219"/>
      <c r="Y736" s="219"/>
      <c r="Z736" s="206">
        <v>1446.6666666666663</v>
      </c>
      <c r="AA736" s="135">
        <v>1446.6666666666663</v>
      </c>
      <c r="AB736" s="135">
        <v>1446.6666666666663</v>
      </c>
      <c r="AC736" s="298">
        <v>1446.6666666666663</v>
      </c>
      <c r="AD736" s="135">
        <v>1446.6666666666663</v>
      </c>
      <c r="AE736" s="135">
        <v>1446.6666666666663</v>
      </c>
      <c r="AF736" s="271">
        <f t="shared" si="75"/>
        <v>1240.2557184934958</v>
      </c>
      <c r="AG736" s="200"/>
      <c r="DG736" s="1093"/>
      <c r="DH736" s="188"/>
      <c r="DI736" s="1091"/>
      <c r="DJ736" s="1187"/>
    </row>
    <row r="737" spans="1:114" ht="14.65" customHeight="1" outlineLevel="1">
      <c r="A737" s="453"/>
      <c r="C737" s="51"/>
      <c r="D737" s="4199"/>
      <c r="E737" s="4199"/>
      <c r="F737" s="4292" t="s">
        <v>1896</v>
      </c>
      <c r="G737" s="4292"/>
      <c r="H737" s="4292"/>
      <c r="I737" s="3295" t="str">
        <f t="shared" si="88"/>
        <v>351192_2024_12_</v>
      </c>
      <c r="J737" s="2908">
        <f t="shared" si="90"/>
        <v>1080.2617102968206</v>
      </c>
      <c r="K737" s="2573">
        <f t="shared" si="89"/>
        <v>2</v>
      </c>
      <c r="L737" s="3304">
        <f>VLOOKUP(I737,$I$382:$J$453,2,FALSE)</f>
        <v>21</v>
      </c>
      <c r="M737" s="51"/>
      <c r="N737" s="561"/>
      <c r="O737" s="51"/>
      <c r="S737" s="52"/>
      <c r="T737" s="52"/>
      <c r="U737" s="52"/>
      <c r="V737" s="4199"/>
      <c r="W737" s="200"/>
      <c r="X737" s="219"/>
      <c r="Y737" s="219"/>
      <c r="Z737" s="2988">
        <v>1744.7057951236061</v>
      </c>
      <c r="AA737" s="2583">
        <v>1744.7057951236061</v>
      </c>
      <c r="AB737" s="2583">
        <v>1744.7057951236061</v>
      </c>
      <c r="AC737" s="3309">
        <v>1744.7057951236061</v>
      </c>
      <c r="AD737" s="2583">
        <v>1446.6666666666663</v>
      </c>
      <c r="AE737" s="2988">
        <v>1792.3635382336654</v>
      </c>
      <c r="AF737" s="2236">
        <f t="shared" si="75"/>
        <v>1080.2617102968206</v>
      </c>
      <c r="AG737" s="200"/>
      <c r="DG737" s="1093"/>
      <c r="DH737" s="188"/>
      <c r="DI737" s="1091"/>
      <c r="DJ737" s="1187"/>
    </row>
    <row r="738" spans="1:114" ht="14.65" customHeight="1" outlineLevel="1">
      <c r="A738" s="453"/>
      <c r="C738" s="51"/>
      <c r="D738" s="4199"/>
      <c r="E738" s="4199"/>
      <c r="F738" s="4292" t="s">
        <v>1897</v>
      </c>
      <c r="G738" s="4292"/>
      <c r="H738" s="4292"/>
      <c r="I738" s="3295" t="str">
        <f t="shared" si="88"/>
        <v>351192_2024_12_</v>
      </c>
      <c r="J738" s="2583"/>
      <c r="K738" s="2573">
        <f t="shared" si="89"/>
        <v>2</v>
      </c>
      <c r="L738" s="2962"/>
      <c r="M738" s="51"/>
      <c r="N738" s="561"/>
      <c r="O738" s="51"/>
      <c r="S738" s="52"/>
      <c r="T738" s="52"/>
      <c r="U738" s="52"/>
      <c r="V738" s="4199"/>
      <c r="W738" s="200"/>
      <c r="X738" s="218"/>
      <c r="Y738" s="219"/>
      <c r="Z738" s="2988"/>
      <c r="AA738" s="2583"/>
      <c r="AB738" s="2583"/>
      <c r="AC738" s="3309"/>
      <c r="AD738" s="2583"/>
      <c r="AE738" s="2583"/>
      <c r="AF738" s="2236" t="str">
        <f t="shared" si="75"/>
        <v/>
      </c>
      <c r="AG738" s="200"/>
      <c r="DG738" s="1093"/>
      <c r="DH738" s="188"/>
      <c r="DI738" s="1091"/>
      <c r="DJ738" s="1187"/>
    </row>
    <row r="739" spans="1:114" ht="14.65" customHeight="1" outlineLevel="1">
      <c r="A739" s="453"/>
      <c r="C739" s="51"/>
      <c r="D739" s="4199"/>
      <c r="E739" s="4199"/>
      <c r="F739" s="4292" t="s">
        <v>1899</v>
      </c>
      <c r="G739" s="4292"/>
      <c r="H739" s="4292"/>
      <c r="I739" s="3295" t="str">
        <f t="shared" si="88"/>
        <v>351193_2024_12_</v>
      </c>
      <c r="J739" s="2908">
        <f>IF(ISNUMBER(SEARCH("_ER",F739)),VLOOKUP(_xlfn.MAXIFS(Q$167:Q$176,Q$167:Q$176,"&lt;"&amp;L739),Q$167:T$176,4,FALSE),VLOOKUP(_xlfn.MAXIFS(Q$167:Q$176,Q$167:Q$176,"&lt;"&amp;L739),Q$167:T$176,2,FALSE))</f>
        <v>1080.2617102968206</v>
      </c>
      <c r="K739" s="2573">
        <f t="shared" si="89"/>
        <v>2</v>
      </c>
      <c r="L739" s="3304">
        <f>VLOOKUP(I739,$I$382:$J$453,2,FALSE)</f>
        <v>21</v>
      </c>
      <c r="M739" s="51"/>
      <c r="N739" s="561"/>
      <c r="O739" s="51"/>
      <c r="S739" s="52"/>
      <c r="T739" s="52"/>
      <c r="U739" s="52"/>
      <c r="V739" s="4199"/>
      <c r="W739" s="200"/>
      <c r="X739" s="218"/>
      <c r="Y739" s="219"/>
      <c r="Z739" s="2988">
        <v>1744.7057951236061</v>
      </c>
      <c r="AA739" s="2583">
        <v>1744.7057951236061</v>
      </c>
      <c r="AB739" s="2583">
        <v>1744.7057951236061</v>
      </c>
      <c r="AC739" s="3309">
        <v>1744.7057951236061</v>
      </c>
      <c r="AD739" s="2583">
        <v>1446.6666666666663</v>
      </c>
      <c r="AE739" s="2988">
        <v>1792.3635382336654</v>
      </c>
      <c r="AF739" s="2236">
        <f t="shared" si="75"/>
        <v>1080.2617102968206</v>
      </c>
      <c r="AG739" s="200"/>
      <c r="DG739" s="1093"/>
      <c r="DH739" s="188"/>
      <c r="DI739" s="1091"/>
      <c r="DJ739" s="1187"/>
    </row>
    <row r="740" spans="1:114" ht="14.65" customHeight="1" outlineLevel="1">
      <c r="A740" s="453"/>
      <c r="C740" s="51"/>
      <c r="D740" s="4199"/>
      <c r="E740" s="4199"/>
      <c r="F740" s="4292" t="s">
        <v>1900</v>
      </c>
      <c r="G740" s="4292"/>
      <c r="H740" s="4292"/>
      <c r="I740" s="3295" t="str">
        <f t="shared" si="88"/>
        <v>351193_2024_12_</v>
      </c>
      <c r="J740" s="2583"/>
      <c r="K740" s="2573">
        <f t="shared" si="89"/>
        <v>2</v>
      </c>
      <c r="L740" s="2962"/>
      <c r="M740" s="51"/>
      <c r="N740" s="561"/>
      <c r="O740" s="51"/>
      <c r="S740" s="52"/>
      <c r="T740" s="52"/>
      <c r="U740" s="52"/>
      <c r="V740" s="4199"/>
      <c r="W740" s="200"/>
      <c r="X740" s="218"/>
      <c r="Y740" s="219"/>
      <c r="Z740" s="2988"/>
      <c r="AA740" s="2583"/>
      <c r="AB740" s="2583"/>
      <c r="AC740" s="3309"/>
      <c r="AD740" s="2583"/>
      <c r="AE740" s="2583"/>
      <c r="AF740" s="2236" t="str">
        <f t="shared" si="75"/>
        <v/>
      </c>
      <c r="AG740" s="200"/>
      <c r="DG740" s="1093"/>
      <c r="DH740" s="188"/>
      <c r="DI740" s="1091"/>
      <c r="DJ740" s="1187"/>
    </row>
    <row r="741" spans="1:114" ht="14.65" customHeight="1" outlineLevel="1">
      <c r="A741" s="453"/>
      <c r="C741" s="51"/>
      <c r="D741" s="4199"/>
      <c r="E741" s="4199"/>
      <c r="F741" s="4292" t="s">
        <v>1902</v>
      </c>
      <c r="G741" s="4292"/>
      <c r="H741" s="4292"/>
      <c r="I741" s="3295" t="str">
        <f t="shared" si="88"/>
        <v>351194_2024_12_</v>
      </c>
      <c r="J741" s="2908">
        <f t="shared" ref="J741:J742" si="91">IF(ISNUMBER(SEARCH("_ER",F741)),VLOOKUP(_xlfn.MAXIFS(Q$167:Q$176,Q$167:Q$176,"&lt;"&amp;L741),Q$167:T$176,4,FALSE),VLOOKUP(_xlfn.MAXIFS(Q$167:Q$176,Q$167:Q$176,"&lt;"&amp;L741),Q$167:T$176,2,FALSE))</f>
        <v>1006.3152685980149</v>
      </c>
      <c r="K741" s="2573">
        <f t="shared" si="89"/>
        <v>2</v>
      </c>
      <c r="L741" s="3304">
        <f>VLOOKUP(I741,$I$382:$J$453,2,FALSE)</f>
        <v>21</v>
      </c>
      <c r="M741" s="51"/>
      <c r="N741" s="561"/>
      <c r="O741" s="51"/>
      <c r="S741" s="52"/>
      <c r="T741" s="52"/>
      <c r="U741" s="52"/>
      <c r="V741" s="4199"/>
      <c r="W741" s="200"/>
      <c r="X741" s="219"/>
      <c r="Y741" s="219"/>
      <c r="Z741" s="2988">
        <v>1446.6666666666663</v>
      </c>
      <c r="AA741" s="2583">
        <v>1446.6666666666663</v>
      </c>
      <c r="AB741" s="2583">
        <v>1446.6666666666663</v>
      </c>
      <c r="AC741" s="3309">
        <v>1446.6666666666663</v>
      </c>
      <c r="AD741" s="2583">
        <v>1446.6666666666663</v>
      </c>
      <c r="AE741" s="2583">
        <v>1446.6666666666663</v>
      </c>
      <c r="AF741" s="2236">
        <f t="shared" si="75"/>
        <v>1006.3152685980149</v>
      </c>
      <c r="AG741" s="200"/>
      <c r="DG741" s="1093"/>
      <c r="DH741" s="188"/>
      <c r="DI741" s="1091"/>
      <c r="DJ741" s="1187"/>
    </row>
    <row r="742" spans="1:114" ht="14.65" customHeight="1" outlineLevel="1">
      <c r="A742" s="453"/>
      <c r="C742" s="51"/>
      <c r="D742" s="4199"/>
      <c r="E742" s="4199"/>
      <c r="F742" s="4292" t="s">
        <v>1904</v>
      </c>
      <c r="G742" s="4292"/>
      <c r="H742" s="4292"/>
      <c r="I742" s="3295" t="str">
        <f t="shared" si="88"/>
        <v>351195_2024_12_</v>
      </c>
      <c r="J742" s="2908">
        <f t="shared" si="91"/>
        <v>1006.3152685980149</v>
      </c>
      <c r="K742" s="2573">
        <f t="shared" si="89"/>
        <v>2</v>
      </c>
      <c r="L742" s="3304">
        <f>VLOOKUP(I742,$I$382:$J$453,2,FALSE)</f>
        <v>21</v>
      </c>
      <c r="M742" s="51"/>
      <c r="N742" s="561"/>
      <c r="O742" s="51"/>
      <c r="S742" s="52"/>
      <c r="T742" s="52"/>
      <c r="U742" s="52"/>
      <c r="V742" s="4199"/>
      <c r="W742" s="200"/>
      <c r="X742" s="219"/>
      <c r="Y742" s="219"/>
      <c r="Z742" s="2988">
        <v>1446.6666666666663</v>
      </c>
      <c r="AA742" s="2583">
        <v>1446.6666666666663</v>
      </c>
      <c r="AB742" s="2583">
        <v>1446.6666666666663</v>
      </c>
      <c r="AC742" s="3309">
        <v>1446.6666666666663</v>
      </c>
      <c r="AD742" s="2583">
        <v>1446.6666666666663</v>
      </c>
      <c r="AE742" s="2583">
        <v>1446.6666666666663</v>
      </c>
      <c r="AF742" s="2236">
        <f t="shared" si="75"/>
        <v>1006.3152685980149</v>
      </c>
      <c r="AG742" s="200"/>
      <c r="DG742" s="1093"/>
      <c r="DH742" s="188"/>
      <c r="DI742" s="1091"/>
      <c r="DJ742" s="1187"/>
    </row>
    <row r="743" spans="1:114">
      <c r="A743" s="453"/>
      <c r="C743" s="51"/>
      <c r="D743" s="104"/>
      <c r="E743" s="104"/>
      <c r="G743" s="104"/>
      <c r="L743" s="51"/>
      <c r="M743" s="51"/>
      <c r="N743" s="51"/>
      <c r="O743" s="51"/>
      <c r="P743" s="51"/>
      <c r="Q743" s="51"/>
      <c r="S743" s="52"/>
      <c r="T743" s="52"/>
      <c r="U743" s="52"/>
      <c r="V743" s="52"/>
      <c r="DG743" s="573"/>
      <c r="DH743" s="188"/>
      <c r="DI743" s="1091"/>
      <c r="DJ743" s="1187"/>
    </row>
    <row r="744" spans="1:114">
      <c r="A744" s="453"/>
      <c r="C744" s="51"/>
      <c r="D744" s="104"/>
      <c r="E744" s="104"/>
      <c r="G744" s="104"/>
      <c r="H744" s="51"/>
      <c r="I744" s="51"/>
      <c r="J744" s="51"/>
      <c r="K744" s="51"/>
      <c r="L744" s="51"/>
      <c r="M744" s="51"/>
      <c r="S744" s="52"/>
      <c r="T744" s="52"/>
      <c r="U744" s="52"/>
      <c r="V744" s="52"/>
      <c r="DG744" s="573"/>
      <c r="DH744" s="188"/>
      <c r="DI744" s="1091"/>
      <c r="DJ744" s="1187"/>
    </row>
    <row r="745" spans="1:114">
      <c r="A745" s="453"/>
      <c r="B745" s="1363" t="s">
        <v>1954</v>
      </c>
      <c r="C745" s="220"/>
      <c r="D745" s="1364"/>
      <c r="E745" s="1364"/>
      <c r="F745" s="1364"/>
      <c r="G745" s="1364"/>
      <c r="H745" s="1364"/>
      <c r="I745" s="1364"/>
      <c r="J745" s="1364"/>
      <c r="K745" s="1364"/>
      <c r="L745" s="1364"/>
      <c r="M745" s="1364"/>
      <c r="N745" s="1358"/>
      <c r="O745" s="1358"/>
      <c r="P745" s="1358"/>
      <c r="Q745" s="1359"/>
      <c r="S745" s="52"/>
      <c r="T745" s="52"/>
      <c r="U745" s="52"/>
      <c r="V745" s="4066" t="str">
        <f>B745</f>
        <v>Mini/Multi-Split Heat Pumps and Air Conditioners</v>
      </c>
      <c r="W745" s="4067"/>
      <c r="X745" s="4067"/>
      <c r="Y745" s="4067"/>
      <c r="Z745" s="4067"/>
      <c r="AA745" s="4067"/>
      <c r="AB745" s="4067"/>
      <c r="AC745" s="4837"/>
      <c r="AD745" s="4837"/>
      <c r="AE745" s="4837"/>
      <c r="AF745" s="4837"/>
      <c r="AG745" s="4837"/>
      <c r="AH745" s="4838"/>
      <c r="DG745" s="573"/>
      <c r="DH745" s="188"/>
      <c r="DI745" s="1091"/>
      <c r="DJ745" s="1187"/>
    </row>
    <row r="746" spans="1:114">
      <c r="A746" s="453"/>
      <c r="C746" s="51"/>
      <c r="D746" s="104"/>
      <c r="E746" s="104"/>
      <c r="G746" s="104"/>
      <c r="H746" s="51"/>
      <c r="I746" s="51"/>
      <c r="J746" s="51"/>
      <c r="K746" s="51"/>
      <c r="L746" s="51"/>
      <c r="M746" s="51"/>
      <c r="S746" s="52"/>
      <c r="T746" s="52"/>
      <c r="U746" s="52"/>
      <c r="V746" s="52"/>
      <c r="DG746" s="573"/>
      <c r="DH746" s="188"/>
      <c r="DI746" s="1091"/>
      <c r="DJ746" s="1187"/>
    </row>
    <row r="747" spans="1:114">
      <c r="A747" s="453"/>
      <c r="C747" s="51"/>
      <c r="D747" s="2206" t="s">
        <v>1781</v>
      </c>
      <c r="E747" s="104"/>
      <c r="G747" s="104"/>
      <c r="H747" s="51"/>
      <c r="I747" s="51"/>
      <c r="J747" s="51"/>
      <c r="K747" s="51"/>
      <c r="L747" s="51"/>
      <c r="M747" s="51"/>
      <c r="S747" s="52"/>
      <c r="T747" s="52"/>
      <c r="U747" s="52"/>
      <c r="V747" s="52"/>
      <c r="DG747" s="573"/>
      <c r="DH747" s="188"/>
      <c r="DI747" s="1091"/>
      <c r="DJ747" s="1187"/>
    </row>
    <row r="748" spans="1:114" ht="30">
      <c r="A748" s="453"/>
      <c r="C748" s="1398" t="s">
        <v>42</v>
      </c>
      <c r="D748" s="1398" t="s">
        <v>953</v>
      </c>
      <c r="E748" s="1398" t="s">
        <v>44</v>
      </c>
      <c r="F748" s="1398" t="s">
        <v>45</v>
      </c>
      <c r="G748" s="1398" t="s">
        <v>46</v>
      </c>
      <c r="H748" s="1398" t="s">
        <v>47</v>
      </c>
      <c r="I748" s="1398" t="s">
        <v>48</v>
      </c>
      <c r="J748" s="1425" t="s">
        <v>49</v>
      </c>
      <c r="K748" s="1398" t="s">
        <v>50</v>
      </c>
      <c r="L748" s="1398" t="s">
        <v>1782</v>
      </c>
      <c r="S748" s="52"/>
      <c r="T748" s="52"/>
      <c r="U748" s="52"/>
      <c r="V748" s="177" t="s">
        <v>52</v>
      </c>
      <c r="W748" s="669">
        <f>W$6</f>
        <v>43252</v>
      </c>
      <c r="X748" s="669">
        <f t="shared" ref="X748:AG748" si="92">X$6</f>
        <v>43465</v>
      </c>
      <c r="Y748" s="669">
        <f t="shared" si="92"/>
        <v>43800</v>
      </c>
      <c r="Z748" s="669">
        <f t="shared" si="92"/>
        <v>43862</v>
      </c>
      <c r="AA748" s="669">
        <f t="shared" si="92"/>
        <v>44013</v>
      </c>
      <c r="AB748" s="669">
        <f t="shared" si="92"/>
        <v>44166</v>
      </c>
      <c r="AC748" s="669">
        <f t="shared" si="92"/>
        <v>44531</v>
      </c>
      <c r="AD748" s="669">
        <f t="shared" si="92"/>
        <v>44774</v>
      </c>
      <c r="AE748" s="669">
        <f t="shared" si="92"/>
        <v>45142</v>
      </c>
      <c r="AF748" s="669">
        <f t="shared" si="92"/>
        <v>45672</v>
      </c>
      <c r="AG748" s="669" t="str">
        <f t="shared" si="92"/>
        <v>-</v>
      </c>
      <c r="DG748" s="811" t="str">
        <f>$DG$6</f>
        <v>TRC (2025)</v>
      </c>
      <c r="DH748" s="811" t="str">
        <f>$DH$6</f>
        <v>Benefit Lookup</v>
      </c>
      <c r="DI748" s="1076" t="str">
        <f>$DI$6</f>
        <v>Benefits (2025 $)</v>
      </c>
      <c r="DJ748" s="1103" t="str">
        <f>$DJ$6</f>
        <v>Incremental Cost (2025 $)</v>
      </c>
    </row>
    <row r="749" spans="1:114">
      <c r="A749" s="453"/>
      <c r="B749" s="1454">
        <f t="shared" ref="B749:B812" si="93">VALUE(LEFT(C749,6))</f>
        <v>351200</v>
      </c>
      <c r="C749" s="682" t="s">
        <v>1955</v>
      </c>
      <c r="D749" s="1540" t="s">
        <v>1800</v>
      </c>
      <c r="E749" s="1369" t="s">
        <v>1956</v>
      </c>
      <c r="F749" s="131">
        <f>ROUND((($J$962*$J$989*(1/$J$1043-1/$J$1070))/1000)*$J$1097*$J$1166,2)</f>
        <v>1227.25</v>
      </c>
      <c r="G749" s="555" t="s">
        <v>1045</v>
      </c>
      <c r="H749" s="69">
        <f>VLOOKUP(G749,'CP FACTORS'!$A$3:$B$38, 2, FALSE)</f>
        <v>9.4741810000000004E-4</v>
      </c>
      <c r="I749" s="1474">
        <f>ROUND(F749*H749,6)</f>
        <v>1.1627190000000001</v>
      </c>
      <c r="J749" s="46">
        <f t="shared" ref="J749:J769" si="94">J1167</f>
        <v>6</v>
      </c>
      <c r="K749" s="206">
        <f t="shared" ref="K749:K771" si="95">J1213</f>
        <v>683.91788099116957</v>
      </c>
      <c r="L749" s="704">
        <f>K962</f>
        <v>1.75</v>
      </c>
      <c r="M749" s="560"/>
      <c r="R749" s="532"/>
      <c r="S749" s="52"/>
      <c r="T749" s="52"/>
      <c r="U749" s="52"/>
      <c r="V749" s="1378" t="s">
        <v>45</v>
      </c>
      <c r="W749" s="955">
        <v>2022.4940476190473</v>
      </c>
      <c r="X749" s="201">
        <v>1807.7600345274061</v>
      </c>
      <c r="Y749" s="221">
        <v>1320.98</v>
      </c>
      <c r="Z749" s="730">
        <v>1320.98</v>
      </c>
      <c r="AA749" s="730">
        <v>1320.98</v>
      </c>
      <c r="AB749" s="948">
        <v>1320.98</v>
      </c>
      <c r="AC749" s="678">
        <v>696.9</v>
      </c>
      <c r="AD749" s="826">
        <v>1227.25</v>
      </c>
      <c r="AE749" s="723">
        <v>1227.25</v>
      </c>
      <c r="AF749" s="271">
        <f t="shared" ref="AF749:AF780" si="96">IF(F749&lt;&gt;"",F749,"")</f>
        <v>1227.25</v>
      </c>
      <c r="AG749" s="356"/>
      <c r="AH749" s="121"/>
      <c r="AI749" s="121"/>
      <c r="DG749" s="992">
        <f>(DI749+DI750)/(DJ749+DJ750)</f>
        <v>2.397703376394094</v>
      </c>
      <c r="DH749" s="1369" t="str">
        <f t="shared" ref="DH749:DH817" si="97">CONCATENATE(G749," ",J749," Year EUL")</f>
        <v>Cooling RES 6 Year EUL</v>
      </c>
      <c r="DI749" s="1087">
        <f>(INDEX('Avoided Cost Benefits'!$B$4:$B$866,MATCH(DH749,'Avoided Cost Benefits'!$A$4:$A$866,0)))*F749</f>
        <v>1222.1545774409906</v>
      </c>
      <c r="DJ749" s="1174">
        <f t="shared" ref="DJ749:DJ780" si="98">K749/(1.0686^(2025-2025))</f>
        <v>683.91788099116957</v>
      </c>
    </row>
    <row r="750" spans="1:114">
      <c r="A750" s="453"/>
      <c r="B750" s="1454">
        <f t="shared" si="93"/>
        <v>351200</v>
      </c>
      <c r="C750" s="682" t="s">
        <v>1955</v>
      </c>
      <c r="D750" s="1540" t="s">
        <v>1800</v>
      </c>
      <c r="E750" s="1370" t="s">
        <v>1957</v>
      </c>
      <c r="F750" s="131">
        <f>ROUND((($J$962*$J$989*(1/$J$1016-1/$J$1070))/1000)*$J$1098*$J$1166,2)</f>
        <v>322.8</v>
      </c>
      <c r="G750" s="555" t="s">
        <v>1786</v>
      </c>
      <c r="H750" s="69">
        <f>VLOOKUP(G750,'CP FACTORS'!$A$3:$B$38, 2, FALSE)</f>
        <v>9.4741810000000004E-4</v>
      </c>
      <c r="I750" s="1474">
        <f t="shared" ref="I750:I817" si="99">ROUND(F750*H750,6)</f>
        <v>0.30582700000000002</v>
      </c>
      <c r="J750" s="46">
        <f t="shared" si="94"/>
        <v>12</v>
      </c>
      <c r="K750" s="135">
        <f t="shared" si="95"/>
        <v>0</v>
      </c>
      <c r="L750" s="203"/>
      <c r="M750" s="560"/>
      <c r="R750" s="532"/>
      <c r="S750" s="52"/>
      <c r="T750" s="52"/>
      <c r="U750" s="52"/>
      <c r="V750" s="1378" t="s">
        <v>45</v>
      </c>
      <c r="W750" s="955">
        <v>572.25082417582416</v>
      </c>
      <c r="X750" s="201">
        <v>528.13366090103261</v>
      </c>
      <c r="Y750" s="221">
        <v>385.92</v>
      </c>
      <c r="Z750" s="730">
        <v>385.92</v>
      </c>
      <c r="AA750" s="730">
        <v>385.92</v>
      </c>
      <c r="AB750" s="948">
        <v>385.92</v>
      </c>
      <c r="AC750" s="678">
        <v>269.27</v>
      </c>
      <c r="AD750" s="826">
        <v>353.42</v>
      </c>
      <c r="AE750" s="131">
        <v>280.14999999999998</v>
      </c>
      <c r="AF750" s="271">
        <f t="shared" si="96"/>
        <v>322.8</v>
      </c>
      <c r="AG750" s="356"/>
      <c r="AH750" s="121"/>
      <c r="AI750" s="121"/>
      <c r="DG750" s="1092"/>
      <c r="DH750" s="1370" t="str">
        <f t="shared" si="97"/>
        <v>Cooling RES ER2 12 Year EUL</v>
      </c>
      <c r="DI750" s="1091">
        <f>(INDEX('Avoided Cost Benefits'!$B$4:$B$866,MATCH(DH750,'Avoided Cost Benefits'!$A$4:$A$866,0)))*F750</f>
        <v>417.6776349878308</v>
      </c>
      <c r="DJ750" s="1176">
        <f t="shared" si="98"/>
        <v>0</v>
      </c>
    </row>
    <row r="751" spans="1:114">
      <c r="A751" s="453"/>
      <c r="B751" s="1454">
        <f t="shared" si="93"/>
        <v>351250</v>
      </c>
      <c r="C751" s="682" t="s">
        <v>1958</v>
      </c>
      <c r="D751" s="1540" t="s">
        <v>1800</v>
      </c>
      <c r="E751" s="1368" t="s">
        <v>1959</v>
      </c>
      <c r="F751" s="131">
        <f>ROUND((($J$963*$J$990*(1/$J$1017-1/$J$1071))/1000)*$J$1099*$J$1166,2)</f>
        <v>240.28</v>
      </c>
      <c r="G751" s="102" t="s">
        <v>1045</v>
      </c>
      <c r="H751" s="69">
        <f>VLOOKUP(G751,'CP FACTORS'!$A$3:$B$38, 2, FALSE)</f>
        <v>9.4741810000000004E-4</v>
      </c>
      <c r="I751" s="1474">
        <f t="shared" si="99"/>
        <v>0.22764599999999999</v>
      </c>
      <c r="J751" s="46">
        <f t="shared" si="94"/>
        <v>18</v>
      </c>
      <c r="K751" s="206">
        <f t="shared" si="95"/>
        <v>543.7067546700647</v>
      </c>
      <c r="L751" s="203">
        <f>K963</f>
        <v>1.0555555555555556</v>
      </c>
      <c r="M751" s="560"/>
      <c r="R751" s="532"/>
      <c r="S751" s="52"/>
      <c r="T751" s="52"/>
      <c r="U751" s="52"/>
      <c r="V751" s="1378" t="s">
        <v>45</v>
      </c>
      <c r="W751" s="955">
        <v>1875.936507936508</v>
      </c>
      <c r="X751" s="201">
        <v>1807.7600345274061</v>
      </c>
      <c r="Y751" s="221">
        <v>1320.98</v>
      </c>
      <c r="Z751" s="730">
        <v>1320.98</v>
      </c>
      <c r="AA751" s="730">
        <v>1320.98</v>
      </c>
      <c r="AB751" s="659">
        <v>332.95</v>
      </c>
      <c r="AC751" s="678">
        <v>329.12</v>
      </c>
      <c r="AD751" s="826">
        <v>258.75</v>
      </c>
      <c r="AE751" s="131">
        <v>214.55</v>
      </c>
      <c r="AF751" s="271">
        <f t="shared" si="96"/>
        <v>240.28</v>
      </c>
      <c r="AG751" s="356"/>
      <c r="AH751" s="121"/>
      <c r="AI751" s="121"/>
      <c r="DG751" s="661">
        <f>(DI751)/(DJ751)</f>
        <v>1.0119161965158152</v>
      </c>
      <c r="DH751" s="1368" t="str">
        <f t="shared" si="97"/>
        <v>Cooling RES 18 Year EUL</v>
      </c>
      <c r="DI751" s="1091">
        <f>(INDEX('Avoided Cost Benefits'!$B$4:$B$866,MATCH(DH751,'Avoided Cost Benefits'!$A$4:$A$866,0)))*F751</f>
        <v>550.18567120568935</v>
      </c>
      <c r="DJ751" s="1176">
        <f t="shared" si="98"/>
        <v>543.7067546700647</v>
      </c>
    </row>
    <row r="752" spans="1:114">
      <c r="A752" s="453"/>
      <c r="B752" s="1454">
        <f t="shared" si="93"/>
        <v>351300</v>
      </c>
      <c r="C752" s="682" t="s">
        <v>1960</v>
      </c>
      <c r="D752" s="1540" t="s">
        <v>1800</v>
      </c>
      <c r="E752" s="1369" t="s">
        <v>1961</v>
      </c>
      <c r="F752" s="131">
        <f>ROUND((($J$964*$J$991*(1/$J$1018-1/$J$1072))/1000)*$J$1100*$J$1166,2)</f>
        <v>251.78</v>
      </c>
      <c r="G752" s="102" t="s">
        <v>1045</v>
      </c>
      <c r="H752" s="69">
        <f>VLOOKUP(G752,'CP FACTORS'!$A$3:$B$38, 2, FALSE)</f>
        <v>9.4741810000000004E-4</v>
      </c>
      <c r="I752" s="1474">
        <f t="shared" si="99"/>
        <v>0.238541</v>
      </c>
      <c r="J752" s="46">
        <f t="shared" si="94"/>
        <v>18</v>
      </c>
      <c r="K752" s="206">
        <f t="shared" si="95"/>
        <v>543.7067546700647</v>
      </c>
      <c r="L752" s="89">
        <f>K964</f>
        <v>1.3282828282828283</v>
      </c>
      <c r="M752" s="560"/>
      <c r="R752" s="532"/>
      <c r="S752" s="52"/>
      <c r="T752" s="52"/>
      <c r="U752" s="52"/>
      <c r="V752" s="1378" t="s">
        <v>45</v>
      </c>
      <c r="W752" s="955">
        <v>548.43293798712307</v>
      </c>
      <c r="X752" s="201">
        <v>528.13366090103261</v>
      </c>
      <c r="Y752" s="222">
        <v>214.85</v>
      </c>
      <c r="Z752" s="731">
        <v>214.85</v>
      </c>
      <c r="AA752" s="731">
        <v>214.85</v>
      </c>
      <c r="AB752" s="948">
        <v>214.85</v>
      </c>
      <c r="AC752" s="678">
        <v>305.98</v>
      </c>
      <c r="AD752" s="826">
        <v>307.27999999999997</v>
      </c>
      <c r="AE752" s="131">
        <v>242.16</v>
      </c>
      <c r="AF752" s="271">
        <f t="shared" si="96"/>
        <v>251.78</v>
      </c>
      <c r="AG752" s="356"/>
      <c r="AH752" s="121"/>
      <c r="AI752" s="121"/>
      <c r="DG752" s="1090">
        <f>(DI752+DI753)/(DJ752+DJ753)</f>
        <v>2.0823125947678669</v>
      </c>
      <c r="DH752" s="1369" t="str">
        <f t="shared" si="97"/>
        <v>Cooling RES 18 Year EUL</v>
      </c>
      <c r="DI752" s="1091">
        <f>(INDEX('Avoided Cost Benefits'!$B$4:$B$866,MATCH(DH752,'Avoided Cost Benefits'!$A$4:$A$866,0)))*F752</f>
        <v>576.5180135515584</v>
      </c>
      <c r="DJ752" s="1176">
        <f t="shared" si="98"/>
        <v>543.7067546700647</v>
      </c>
    </row>
    <row r="753" spans="1:115">
      <c r="A753" s="453"/>
      <c r="B753" s="1454">
        <f t="shared" si="93"/>
        <v>351300</v>
      </c>
      <c r="C753" s="682" t="s">
        <v>1960</v>
      </c>
      <c r="D753" s="1540" t="s">
        <v>1800</v>
      </c>
      <c r="E753" s="1370" t="s">
        <v>1961</v>
      </c>
      <c r="F753" s="131">
        <f>ROUND((($J$829*$J$856*(1/$J$883-1/$J$937))/1000)*$J$1101*$J$1166,2)</f>
        <v>916.8</v>
      </c>
      <c r="G753" s="102" t="s">
        <v>1046</v>
      </c>
      <c r="H753" s="69">
        <f>VLOOKUP(G753,'CP FACTORS'!$A$3:$B$38, 2, FALSE)</f>
        <v>0</v>
      </c>
      <c r="I753" s="1474">
        <f t="shared" si="99"/>
        <v>0</v>
      </c>
      <c r="J753" s="46">
        <f t="shared" si="94"/>
        <v>18</v>
      </c>
      <c r="K753" s="135">
        <f t="shared" si="95"/>
        <v>0</v>
      </c>
      <c r="L753" s="203"/>
      <c r="M753" s="560"/>
      <c r="R753" s="532"/>
      <c r="S753" s="52"/>
      <c r="T753" s="52"/>
      <c r="U753" s="52"/>
      <c r="V753" s="1378" t="s">
        <v>45</v>
      </c>
      <c r="W753" s="955">
        <v>1059.3684210526314</v>
      </c>
      <c r="X753" s="201">
        <v>905.10385245195232</v>
      </c>
      <c r="Y753" s="222">
        <v>513.91</v>
      </c>
      <c r="Z753" s="731">
        <v>513.91</v>
      </c>
      <c r="AA753" s="731">
        <v>513.91</v>
      </c>
      <c r="AB753" s="948">
        <v>513.91</v>
      </c>
      <c r="AC753" s="678">
        <v>632.35</v>
      </c>
      <c r="AD753" s="826">
        <v>694.54</v>
      </c>
      <c r="AE753" s="131">
        <v>572.32000000000005</v>
      </c>
      <c r="AF753" s="271">
        <f t="shared" si="96"/>
        <v>916.8</v>
      </c>
      <c r="AG753" s="356"/>
      <c r="AH753" s="121"/>
      <c r="AI753" s="121"/>
      <c r="DG753" s="1092"/>
      <c r="DH753" s="1370" t="str">
        <f t="shared" si="97"/>
        <v>Heating RES 18 Year EUL</v>
      </c>
      <c r="DI753" s="1091">
        <f>(INDEX('Avoided Cost Benefits'!$B$4:$B$866,MATCH(DH753,'Avoided Cost Benefits'!$A$4:$A$866,0)))*F753</f>
        <v>555.64940955828001</v>
      </c>
      <c r="DJ753" s="1176">
        <f t="shared" si="98"/>
        <v>0</v>
      </c>
    </row>
    <row r="754" spans="1:115">
      <c r="A754" s="453"/>
      <c r="B754" s="1454">
        <f t="shared" si="93"/>
        <v>351350</v>
      </c>
      <c r="C754" s="682" t="s">
        <v>1962</v>
      </c>
      <c r="D754" s="1540" t="s">
        <v>1800</v>
      </c>
      <c r="E754" s="1369" t="s">
        <v>1963</v>
      </c>
      <c r="F754" s="131">
        <f>ROUND((($J$965*$J$992*(1/$J$1019-1/$J$1073))/1000)*$J$1102*$J$1166,2)</f>
        <v>251.78</v>
      </c>
      <c r="G754" s="102" t="s">
        <v>1045</v>
      </c>
      <c r="H754" s="69">
        <f>VLOOKUP(G754,'CP FACTORS'!$A$3:$B$38, 2, FALSE)</f>
        <v>9.4741810000000004E-4</v>
      </c>
      <c r="I754" s="1474">
        <f t="shared" si="99"/>
        <v>0.238541</v>
      </c>
      <c r="J754" s="46">
        <f t="shared" si="94"/>
        <v>18</v>
      </c>
      <c r="K754" s="206">
        <f t="shared" si="95"/>
        <v>543.7067546700647</v>
      </c>
      <c r="L754" s="89">
        <f>K965</f>
        <v>1.3282828282828283</v>
      </c>
      <c r="M754" s="560"/>
      <c r="R754" s="532"/>
      <c r="S754" s="52"/>
      <c r="T754" s="52"/>
      <c r="U754" s="52"/>
      <c r="V754" s="1378" t="s">
        <v>45</v>
      </c>
      <c r="W754" s="955">
        <v>548.43293798712307</v>
      </c>
      <c r="X754" s="201">
        <v>528.13366090103261</v>
      </c>
      <c r="Y754" s="222">
        <v>214.85</v>
      </c>
      <c r="Z754" s="731">
        <v>214.85</v>
      </c>
      <c r="AA754" s="731">
        <v>214.85</v>
      </c>
      <c r="AB754" s="659">
        <v>312.66000000000003</v>
      </c>
      <c r="AC754" s="678">
        <v>296.29000000000002</v>
      </c>
      <c r="AD754" s="826">
        <v>307.27999999999997</v>
      </c>
      <c r="AE754" s="131">
        <v>242.16</v>
      </c>
      <c r="AF754" s="271">
        <f t="shared" si="96"/>
        <v>251.78</v>
      </c>
      <c r="AG754" s="356"/>
      <c r="AH754" s="121"/>
      <c r="AI754" s="121"/>
      <c r="DG754" s="1090">
        <f>(DI754+DI755)/(DJ754+DJ755)</f>
        <v>2.0823125947678669</v>
      </c>
      <c r="DH754" s="1369" t="str">
        <f t="shared" si="97"/>
        <v>Cooling RES 18 Year EUL</v>
      </c>
      <c r="DI754" s="1091">
        <f>(INDEX('Avoided Cost Benefits'!$B$4:$B$866,MATCH(DH754,'Avoided Cost Benefits'!$A$4:$A$866,0)))*F754</f>
        <v>576.5180135515584</v>
      </c>
      <c r="DJ754" s="1176">
        <f t="shared" si="98"/>
        <v>543.7067546700647</v>
      </c>
    </row>
    <row r="755" spans="1:115">
      <c r="A755" s="453"/>
      <c r="B755" s="1454">
        <f t="shared" si="93"/>
        <v>351350</v>
      </c>
      <c r="C755" s="682" t="s">
        <v>1962</v>
      </c>
      <c r="D755" s="1540" t="s">
        <v>1800</v>
      </c>
      <c r="E755" s="1370" t="s">
        <v>1963</v>
      </c>
      <c r="F755" s="131">
        <f>ROUND((($J$830*$J$857*(1/$J$884-1/$J$938))/1000)*$J$1103*$J$1166,2)</f>
        <v>916.8</v>
      </c>
      <c r="G755" s="102" t="s">
        <v>1046</v>
      </c>
      <c r="H755" s="69">
        <f>VLOOKUP(G755,'CP FACTORS'!$A$3:$B$38, 2, FALSE)</f>
        <v>0</v>
      </c>
      <c r="I755" s="1474">
        <f t="shared" si="99"/>
        <v>0</v>
      </c>
      <c r="J755" s="46">
        <f t="shared" si="94"/>
        <v>18</v>
      </c>
      <c r="K755" s="135">
        <f t="shared" si="95"/>
        <v>0</v>
      </c>
      <c r="L755" s="203"/>
      <c r="M755" s="560"/>
      <c r="R755" s="532"/>
      <c r="S755" s="52"/>
      <c r="T755" s="52"/>
      <c r="U755" s="52"/>
      <c r="V755" s="1378" t="s">
        <v>45</v>
      </c>
      <c r="W755" s="955">
        <v>1059.3684210526314</v>
      </c>
      <c r="X755" s="201">
        <v>905.10385245195232</v>
      </c>
      <c r="Y755" s="222">
        <v>513.91</v>
      </c>
      <c r="Z755" s="731">
        <v>513.91</v>
      </c>
      <c r="AA755" s="731">
        <v>513.91</v>
      </c>
      <c r="AB755" s="659">
        <v>585.46</v>
      </c>
      <c r="AC755" s="678">
        <v>639.13</v>
      </c>
      <c r="AD755" s="826">
        <v>694.54</v>
      </c>
      <c r="AE755" s="131">
        <v>572.32000000000005</v>
      </c>
      <c r="AF755" s="271">
        <f t="shared" si="96"/>
        <v>916.8</v>
      </c>
      <c r="AG755" s="356"/>
      <c r="AH755" s="121"/>
      <c r="AI755" s="121"/>
      <c r="DG755" s="1092"/>
      <c r="DH755" s="1370" t="str">
        <f t="shared" si="97"/>
        <v>Heating RES 18 Year EUL</v>
      </c>
      <c r="DI755" s="1091">
        <f>(INDEX('Avoided Cost Benefits'!$B$4:$B$866,MATCH(DH755,'Avoided Cost Benefits'!$A$4:$A$866,0)))*F755</f>
        <v>555.64940955828001</v>
      </c>
      <c r="DJ755" s="1176">
        <f t="shared" si="98"/>
        <v>0</v>
      </c>
    </row>
    <row r="756" spans="1:115">
      <c r="A756" s="453"/>
      <c r="B756" s="1454">
        <f t="shared" si="93"/>
        <v>351400</v>
      </c>
      <c r="C756" s="682" t="s">
        <v>1964</v>
      </c>
      <c r="D756" s="1540" t="s">
        <v>1800</v>
      </c>
      <c r="E756" s="1369" t="s">
        <v>1965</v>
      </c>
      <c r="F756" s="131">
        <f>ROUND((($J$966*$J$993*(1/$J$1047-1/$J$1074))/1000)*$J$1104*$J$1166,2)</f>
        <v>1157.8399999999999</v>
      </c>
      <c r="G756" s="102" t="s">
        <v>1045</v>
      </c>
      <c r="H756" s="69">
        <f>VLOOKUP(G756,'CP FACTORS'!$A$3:$B$38, 2, FALSE)</f>
        <v>9.4741810000000004E-4</v>
      </c>
      <c r="I756" s="1474">
        <f t="shared" si="99"/>
        <v>1.096959</v>
      </c>
      <c r="J756" s="46">
        <f t="shared" si="94"/>
        <v>6</v>
      </c>
      <c r="K756" s="206">
        <f t="shared" si="95"/>
        <v>626.5030303030303</v>
      </c>
      <c r="L756" s="89">
        <f>K966</f>
        <v>1.9242424242424243</v>
      </c>
      <c r="M756" s="560"/>
      <c r="R756" s="532"/>
      <c r="S756" s="52"/>
      <c r="T756" s="52"/>
      <c r="U756" s="52"/>
      <c r="V756" s="1378" t="s">
        <v>45</v>
      </c>
      <c r="W756" s="955">
        <v>1495.1911764705883</v>
      </c>
      <c r="X756" s="201">
        <v>1625.1970093173225</v>
      </c>
      <c r="Y756" s="222">
        <v>1175.8</v>
      </c>
      <c r="Z756" s="731">
        <v>1175.8</v>
      </c>
      <c r="AA756" s="731">
        <v>1175.8</v>
      </c>
      <c r="AB756" s="659">
        <v>1039.47</v>
      </c>
      <c r="AC756" s="678">
        <v>884.18</v>
      </c>
      <c r="AD756" s="826">
        <v>1085.77</v>
      </c>
      <c r="AE756" s="131">
        <v>971.64</v>
      </c>
      <c r="AF756" s="271">
        <f t="shared" si="96"/>
        <v>1157.8399999999999</v>
      </c>
      <c r="AG756" s="356"/>
      <c r="AH756" s="121"/>
      <c r="AI756" s="121"/>
      <c r="DG756" s="1090">
        <f>(DI756+DI757+DI758+DI759)/(DJ756+DJ757+DJ758+DJ759)</f>
        <v>7.3143219896259657</v>
      </c>
      <c r="DH756" s="1369" t="str">
        <f t="shared" si="97"/>
        <v>Cooling RES 6 Year EUL</v>
      </c>
      <c r="DI756" s="1091">
        <f>(INDEX('Avoided Cost Benefits'!$B$4:$B$866,MATCH(DH756,'Avoided Cost Benefits'!$A$4:$A$866,0)))*F756</f>
        <v>1153.0327610057254</v>
      </c>
      <c r="DJ756" s="1176">
        <f t="shared" si="98"/>
        <v>626.5030303030303</v>
      </c>
    </row>
    <row r="757" spans="1:115">
      <c r="A757" s="453"/>
      <c r="B757" s="1454">
        <f t="shared" si="93"/>
        <v>351400</v>
      </c>
      <c r="C757" s="682" t="s">
        <v>1964</v>
      </c>
      <c r="D757" s="1540" t="s">
        <v>1800</v>
      </c>
      <c r="E757" s="1393" t="s">
        <v>1965</v>
      </c>
      <c r="F757" s="723">
        <f>ROUND((($J$831*$J$858*(1/$J$912-1/$J$939))/1000)*$J$1105*$J$1166,2)</f>
        <v>4740.51</v>
      </c>
      <c r="G757" s="102" t="s">
        <v>1046</v>
      </c>
      <c r="H757" s="69">
        <f>VLOOKUP(G757,'CP FACTORS'!$A$3:$B$38, 2, FALSE)</f>
        <v>0</v>
      </c>
      <c r="I757" s="45">
        <f t="shared" si="99"/>
        <v>0</v>
      </c>
      <c r="J757" s="46">
        <f t="shared" si="94"/>
        <v>6</v>
      </c>
      <c r="K757" s="135">
        <f t="shared" si="95"/>
        <v>0</v>
      </c>
      <c r="L757" s="203"/>
      <c r="M757" s="560"/>
      <c r="R757" s="532"/>
      <c r="S757" s="52"/>
      <c r="T757" s="52"/>
      <c r="U757" s="52"/>
      <c r="V757" s="1378" t="s">
        <v>45</v>
      </c>
      <c r="W757" s="955">
        <v>5217.8997805633207</v>
      </c>
      <c r="X757" s="201">
        <v>5513.3467827124387</v>
      </c>
      <c r="Y757" s="222">
        <v>3822.23</v>
      </c>
      <c r="Z757" s="731">
        <v>3822.23</v>
      </c>
      <c r="AA757" s="731">
        <v>3822.23</v>
      </c>
      <c r="AB757" s="659">
        <v>3646.53</v>
      </c>
      <c r="AC757" s="678">
        <v>3895.33</v>
      </c>
      <c r="AD757" s="826">
        <v>4719</v>
      </c>
      <c r="AE757" s="131">
        <v>4740.51</v>
      </c>
      <c r="AF757" s="271">
        <f t="shared" si="96"/>
        <v>4740.51</v>
      </c>
      <c r="AG757" s="356"/>
      <c r="AH757" s="121"/>
      <c r="AI757" s="121"/>
      <c r="DG757" s="1094"/>
      <c r="DH757" s="1393" t="str">
        <f t="shared" si="97"/>
        <v>Heating RES 6 Year EUL</v>
      </c>
      <c r="DI757" s="1091">
        <f>(INDEX('Avoided Cost Benefits'!$B$4:$B$866,MATCH(DH757,'Avoided Cost Benefits'!$A$4:$A$866,0)))*F757</f>
        <v>1271.3043336180642</v>
      </c>
      <c r="DJ757" s="1176">
        <f t="shared" si="98"/>
        <v>0</v>
      </c>
    </row>
    <row r="758" spans="1:115">
      <c r="A758" s="453"/>
      <c r="B758" s="1454">
        <f t="shared" si="93"/>
        <v>351400</v>
      </c>
      <c r="C758" s="682" t="s">
        <v>1964</v>
      </c>
      <c r="D758" s="1540" t="s">
        <v>1800</v>
      </c>
      <c r="E758" s="1393" t="s">
        <v>1966</v>
      </c>
      <c r="F758" s="131">
        <f>ROUND(((J$966*J$993*(1/J$1020-1/J$1074))/1000)*J$1106*$J$1166,2)</f>
        <v>429.94</v>
      </c>
      <c r="G758" s="555" t="s">
        <v>1786</v>
      </c>
      <c r="H758" s="69">
        <f>VLOOKUP(G758,'CP FACTORS'!$A$3:$B$38, 2, FALSE)</f>
        <v>9.4741810000000004E-4</v>
      </c>
      <c r="I758" s="1474">
        <f t="shared" si="99"/>
        <v>0.407333</v>
      </c>
      <c r="J758" s="46">
        <f t="shared" si="94"/>
        <v>12</v>
      </c>
      <c r="K758" s="135">
        <f t="shared" si="95"/>
        <v>0</v>
      </c>
      <c r="L758" s="203"/>
      <c r="M758" s="560"/>
      <c r="R758" s="532"/>
      <c r="S758" s="52"/>
      <c r="T758" s="52"/>
      <c r="U758" s="52"/>
      <c r="V758" s="1378" t="s">
        <v>45</v>
      </c>
      <c r="W758" s="955">
        <v>471.26538461538468</v>
      </c>
      <c r="X758" s="201">
        <v>528.13366090103261</v>
      </c>
      <c r="Y758" s="222">
        <v>374.15</v>
      </c>
      <c r="Z758" s="731">
        <v>374.15</v>
      </c>
      <c r="AA758" s="731">
        <v>374.15</v>
      </c>
      <c r="AB758" s="659">
        <v>386.88</v>
      </c>
      <c r="AC758" s="678">
        <v>362.75</v>
      </c>
      <c r="AD758" s="826">
        <v>413.89</v>
      </c>
      <c r="AE758" s="131">
        <v>308.55</v>
      </c>
      <c r="AF758" s="271">
        <f t="shared" si="96"/>
        <v>429.94</v>
      </c>
      <c r="AG758" s="356"/>
      <c r="AH758" s="121"/>
      <c r="AI758" s="121"/>
      <c r="DG758" s="1094"/>
      <c r="DH758" s="1393" t="str">
        <f t="shared" si="97"/>
        <v>Cooling RES ER2 12 Year EUL</v>
      </c>
      <c r="DI758" s="1091">
        <f>(INDEX('Avoided Cost Benefits'!$B$4:$B$866,MATCH(DH758,'Avoided Cost Benefits'!$A$4:$A$866,0)))*F758</f>
        <v>556.30830974804201</v>
      </c>
      <c r="DJ758" s="1176">
        <f t="shared" si="98"/>
        <v>0</v>
      </c>
    </row>
    <row r="759" spans="1:115">
      <c r="A759" s="453"/>
      <c r="B759" s="1454">
        <f t="shared" si="93"/>
        <v>351400</v>
      </c>
      <c r="C759" s="682" t="s">
        <v>1964</v>
      </c>
      <c r="D759" s="1540" t="s">
        <v>1800</v>
      </c>
      <c r="E759" s="1370" t="s">
        <v>1966</v>
      </c>
      <c r="F759" s="723">
        <f>ROUND((($J$831*$J$858*(1/$J$885-1/$J$939))/1000)*$J$1107*$J$1166,2)</f>
        <v>4740.51</v>
      </c>
      <c r="G759" s="37" t="s">
        <v>1967</v>
      </c>
      <c r="H759" s="69">
        <f>VLOOKUP(G759,'CP FACTORS'!$A$3:$B$38, 2, FALSE)</f>
        <v>0</v>
      </c>
      <c r="I759" s="45">
        <f t="shared" si="99"/>
        <v>0</v>
      </c>
      <c r="J759" s="46">
        <f t="shared" si="94"/>
        <v>12</v>
      </c>
      <c r="K759" s="135">
        <f t="shared" si="95"/>
        <v>0</v>
      </c>
      <c r="L759" s="203"/>
      <c r="M759" s="560"/>
      <c r="R759" s="532"/>
      <c r="S759" s="52"/>
      <c r="T759" s="52"/>
      <c r="U759" s="52"/>
      <c r="V759" s="1378" t="s">
        <v>45</v>
      </c>
      <c r="W759" s="955">
        <v>1115.8974358974356</v>
      </c>
      <c r="X759" s="201">
        <v>5517.9756069759478</v>
      </c>
      <c r="Y759" s="222">
        <v>3822.23</v>
      </c>
      <c r="Z759" s="731">
        <v>3822.23</v>
      </c>
      <c r="AA759" s="731">
        <v>3822.23</v>
      </c>
      <c r="AB759" s="659">
        <v>3646.53</v>
      </c>
      <c r="AC759" s="678">
        <v>3895.33</v>
      </c>
      <c r="AD759" s="826">
        <v>4719</v>
      </c>
      <c r="AE759" s="131">
        <v>4740.51</v>
      </c>
      <c r="AF759" s="271">
        <f t="shared" si="96"/>
        <v>4740.51</v>
      </c>
      <c r="AG759" s="356"/>
      <c r="AH759" s="121"/>
      <c r="AI759" s="121"/>
      <c r="DG759" s="1094"/>
      <c r="DH759" s="1370" t="str">
        <f t="shared" si="97"/>
        <v>Heating RES ER2 12 Year EUL</v>
      </c>
      <c r="DI759" s="1091">
        <f>(INDEX('Avoided Cost Benefits'!$B$4:$B$866,MATCH(DH759,'Avoided Cost Benefits'!$A$4:$A$866,0)))*F759</f>
        <v>1601.7994867409254</v>
      </c>
      <c r="DJ759" s="1176">
        <f t="shared" si="98"/>
        <v>0</v>
      </c>
    </row>
    <row r="760" spans="1:115">
      <c r="A760" s="453"/>
      <c r="B760" s="1454">
        <f t="shared" si="93"/>
        <v>351401</v>
      </c>
      <c r="C760" s="682" t="s">
        <v>1968</v>
      </c>
      <c r="D760" s="1540" t="s">
        <v>1800</v>
      </c>
      <c r="E760" s="1369" t="s">
        <v>1969</v>
      </c>
      <c r="F760" s="131">
        <f>ROUND((($J$968*$J$995*(1/$J$1049-1/$J$1076))/1000)*$J$1108*$J$1166,2)</f>
        <v>1157.8399999999999</v>
      </c>
      <c r="G760" s="102" t="s">
        <v>1045</v>
      </c>
      <c r="H760" s="69">
        <f>VLOOKUP(G760,'CP FACTORS'!$A$3:$B$38, 2, FALSE)</f>
        <v>9.4741810000000004E-4</v>
      </c>
      <c r="I760" s="1474">
        <f>ROUND(F760*H760,6)</f>
        <v>1.096959</v>
      </c>
      <c r="J760" s="46">
        <f t="shared" si="94"/>
        <v>6</v>
      </c>
      <c r="K760" s="173">
        <f t="shared" si="95"/>
        <v>89.869631889142951</v>
      </c>
      <c r="L760" s="89">
        <f>K968</f>
        <v>1.924242424242425</v>
      </c>
      <c r="M760" s="560"/>
      <c r="R760" s="532"/>
      <c r="S760" s="41"/>
      <c r="T760" s="41"/>
      <c r="U760" s="41"/>
      <c r="V760" s="1378" t="s">
        <v>45</v>
      </c>
      <c r="W760" s="941"/>
      <c r="X760" s="201"/>
      <c r="Y760" s="222"/>
      <c r="Z760" s="222"/>
      <c r="AA760" s="222"/>
      <c r="AB760" s="659"/>
      <c r="AC760" s="678"/>
      <c r="AD760" s="826">
        <v>1085.77</v>
      </c>
      <c r="AE760" s="131">
        <v>971.64</v>
      </c>
      <c r="AF760" s="271">
        <f t="shared" si="96"/>
        <v>1157.8399999999999</v>
      </c>
      <c r="AG760" s="676"/>
      <c r="AH760" s="728"/>
      <c r="AI760" s="728"/>
      <c r="AJ760" s="41"/>
      <c r="AK760" s="41"/>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c r="CT760" s="41"/>
      <c r="CU760" s="41"/>
      <c r="CV760" s="41"/>
      <c r="CW760" s="41"/>
      <c r="CX760" s="41"/>
      <c r="CY760" s="41"/>
      <c r="CZ760" s="41"/>
      <c r="DA760" s="41"/>
      <c r="DB760" s="41"/>
      <c r="DC760" s="41"/>
      <c r="DD760" s="41"/>
      <c r="DE760" s="41"/>
      <c r="DF760" s="41"/>
      <c r="DG760" s="1090">
        <f>(DI760+DI761+DI762+DI763)/(DJ760+DJ761+DJ762+DJ763)</f>
        <v>19.020230024557058</v>
      </c>
      <c r="DH760" s="1369" t="str">
        <f>CONCATENATE(G760," ",J760," Year EUL")</f>
        <v>Cooling RES 6 Year EUL</v>
      </c>
      <c r="DI760" s="1091">
        <f>(INDEX('Avoided Cost Benefits'!$B$4:$B$866,MATCH(DH760,'Avoided Cost Benefits'!$A$4:$A$866,0)))*F760</f>
        <v>1153.0327610057254</v>
      </c>
      <c r="DJ760" s="1176">
        <f t="shared" si="98"/>
        <v>89.869631889142951</v>
      </c>
      <c r="DK760" s="41"/>
    </row>
    <row r="761" spans="1:115">
      <c r="A761" s="453"/>
      <c r="B761" s="1454">
        <f t="shared" si="93"/>
        <v>351401</v>
      </c>
      <c r="C761" s="682" t="s">
        <v>1968</v>
      </c>
      <c r="D761" s="1540" t="s">
        <v>1800</v>
      </c>
      <c r="E761" s="1393" t="s">
        <v>1969</v>
      </c>
      <c r="F761" s="723">
        <f>0</f>
        <v>0</v>
      </c>
      <c r="G761" s="102" t="s">
        <v>1046</v>
      </c>
      <c r="H761" s="69">
        <f>VLOOKUP(G761,'CP FACTORS'!$A$3:$B$38, 2, FALSE)</f>
        <v>0</v>
      </c>
      <c r="I761" s="45">
        <f>ROUND(F761*H761,6)</f>
        <v>0</v>
      </c>
      <c r="J761" s="46">
        <f t="shared" si="94"/>
        <v>6</v>
      </c>
      <c r="K761" s="742">
        <f t="shared" si="95"/>
        <v>0</v>
      </c>
      <c r="L761" s="203"/>
      <c r="M761" s="560"/>
      <c r="R761" s="532"/>
      <c r="S761" s="41"/>
      <c r="T761" s="41"/>
      <c r="U761" s="41"/>
      <c r="V761" s="1378" t="s">
        <v>45</v>
      </c>
      <c r="W761" s="941"/>
      <c r="X761" s="201"/>
      <c r="Y761" s="222"/>
      <c r="Z761" s="222"/>
      <c r="AA761" s="222"/>
      <c r="AB761" s="659"/>
      <c r="AC761" s="678"/>
      <c r="AD761" s="826">
        <v>0</v>
      </c>
      <c r="AE761" s="723">
        <v>0</v>
      </c>
      <c r="AF761" s="271">
        <f t="shared" si="96"/>
        <v>0</v>
      </c>
      <c r="AG761" s="676"/>
      <c r="AH761" s="728"/>
      <c r="AI761" s="728"/>
      <c r="AJ761" s="41"/>
      <c r="AK761" s="41"/>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c r="CT761" s="41"/>
      <c r="CU761" s="41"/>
      <c r="CV761" s="41"/>
      <c r="CW761" s="41"/>
      <c r="CX761" s="41"/>
      <c r="CY761" s="41"/>
      <c r="CZ761" s="41"/>
      <c r="DA761" s="41"/>
      <c r="DB761" s="41"/>
      <c r="DC761" s="41"/>
      <c r="DD761" s="41"/>
      <c r="DE761" s="41"/>
      <c r="DF761" s="41"/>
      <c r="DG761" s="1094"/>
      <c r="DH761" s="1393" t="str">
        <f>CONCATENATE(G761," ",J761," Year EUL")</f>
        <v>Heating RES 6 Year EUL</v>
      </c>
      <c r="DI761" s="1091">
        <f>(INDEX('Avoided Cost Benefits'!$B$4:$B$866,MATCH(DH761,'Avoided Cost Benefits'!$A$4:$A$866,0)))*F761</f>
        <v>0</v>
      </c>
      <c r="DJ761" s="1176">
        <f t="shared" si="98"/>
        <v>0</v>
      </c>
      <c r="DK761" s="41"/>
    </row>
    <row r="762" spans="1:115">
      <c r="A762" s="453"/>
      <c r="B762" s="1454">
        <f t="shared" si="93"/>
        <v>351401</v>
      </c>
      <c r="C762" s="682" t="s">
        <v>1968</v>
      </c>
      <c r="D762" s="1540" t="s">
        <v>1800</v>
      </c>
      <c r="E762" s="1393" t="s">
        <v>1970</v>
      </c>
      <c r="F762" s="131">
        <f>ROUND(((J$968*J$995*(1/J$1022-1/J$1076))/1000)*J$1110*$J$1166,2)</f>
        <v>429.94</v>
      </c>
      <c r="G762" s="555" t="s">
        <v>1786</v>
      </c>
      <c r="H762" s="69">
        <f>VLOOKUP(G762,'CP FACTORS'!$A$3:$B$38, 2, FALSE)</f>
        <v>9.4741810000000004E-4</v>
      </c>
      <c r="I762" s="1474">
        <f>ROUND(F762*H762,6)</f>
        <v>0.407333</v>
      </c>
      <c r="J762" s="46">
        <f t="shared" si="94"/>
        <v>12</v>
      </c>
      <c r="K762" s="742">
        <f t="shared" si="95"/>
        <v>0</v>
      </c>
      <c r="L762" s="203"/>
      <c r="M762" s="560"/>
      <c r="R762" s="532"/>
      <c r="S762" s="41"/>
      <c r="T762" s="41"/>
      <c r="U762" s="41"/>
      <c r="V762" s="1378" t="s">
        <v>45</v>
      </c>
      <c r="W762" s="941"/>
      <c r="X762" s="201"/>
      <c r="Y762" s="222"/>
      <c r="Z762" s="222"/>
      <c r="AA762" s="222"/>
      <c r="AB762" s="659"/>
      <c r="AC762" s="678"/>
      <c r="AD762" s="826">
        <v>413.89</v>
      </c>
      <c r="AE762" s="131">
        <v>308.55</v>
      </c>
      <c r="AF762" s="271">
        <f t="shared" si="96"/>
        <v>429.94</v>
      </c>
      <c r="AG762" s="676"/>
      <c r="AH762" s="728"/>
      <c r="AI762" s="728"/>
      <c r="AJ762" s="41"/>
      <c r="AK762" s="41"/>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c r="CT762" s="41"/>
      <c r="CU762" s="41"/>
      <c r="CV762" s="41"/>
      <c r="CW762" s="41"/>
      <c r="CX762" s="41"/>
      <c r="CY762" s="41"/>
      <c r="CZ762" s="41"/>
      <c r="DA762" s="41"/>
      <c r="DB762" s="41"/>
      <c r="DC762" s="41"/>
      <c r="DD762" s="41"/>
      <c r="DE762" s="41"/>
      <c r="DF762" s="41"/>
      <c r="DG762" s="1094"/>
      <c r="DH762" s="1393" t="str">
        <f>CONCATENATE(G762," ",J762," Year EUL")</f>
        <v>Cooling RES ER2 12 Year EUL</v>
      </c>
      <c r="DI762" s="1091">
        <f>(INDEX('Avoided Cost Benefits'!$B$4:$B$866,MATCH(DH762,'Avoided Cost Benefits'!$A$4:$A$866,0)))*F762</f>
        <v>556.30830974804201</v>
      </c>
      <c r="DJ762" s="1176">
        <f t="shared" si="98"/>
        <v>0</v>
      </c>
      <c r="DK762" s="41"/>
    </row>
    <row r="763" spans="1:115">
      <c r="A763" s="453"/>
      <c r="B763" s="1454">
        <f t="shared" si="93"/>
        <v>351401</v>
      </c>
      <c r="C763" s="682" t="s">
        <v>1968</v>
      </c>
      <c r="D763" s="1540" t="s">
        <v>1800</v>
      </c>
      <c r="E763" s="1370" t="s">
        <v>1970</v>
      </c>
      <c r="F763" s="723">
        <f>0</f>
        <v>0</v>
      </c>
      <c r="G763" s="37" t="s">
        <v>1967</v>
      </c>
      <c r="H763" s="69">
        <f>VLOOKUP(G763,'CP FACTORS'!$A$3:$B$38, 2, FALSE)</f>
        <v>0</v>
      </c>
      <c r="I763" s="45">
        <f>ROUND(F763*H763,6)</f>
        <v>0</v>
      </c>
      <c r="J763" s="46">
        <f t="shared" si="94"/>
        <v>12</v>
      </c>
      <c r="K763" s="742">
        <f t="shared" si="95"/>
        <v>0</v>
      </c>
      <c r="L763" s="203"/>
      <c r="M763" s="560"/>
      <c r="R763" s="532"/>
      <c r="S763" s="41"/>
      <c r="T763" s="41"/>
      <c r="U763" s="41"/>
      <c r="V763" s="1378" t="s">
        <v>45</v>
      </c>
      <c r="W763" s="941"/>
      <c r="X763" s="201"/>
      <c r="Y763" s="222"/>
      <c r="Z763" s="222"/>
      <c r="AA763" s="222"/>
      <c r="AB763" s="659"/>
      <c r="AC763" s="678"/>
      <c r="AD763" s="826">
        <v>0</v>
      </c>
      <c r="AE763" s="723">
        <v>0</v>
      </c>
      <c r="AF763" s="271">
        <f t="shared" si="96"/>
        <v>0</v>
      </c>
      <c r="AG763" s="676"/>
      <c r="AH763" s="728"/>
      <c r="AI763" s="728"/>
      <c r="AJ763" s="41"/>
      <c r="AK763" s="4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c r="CT763" s="41"/>
      <c r="CU763" s="41"/>
      <c r="CV763" s="41"/>
      <c r="CW763" s="41"/>
      <c r="CX763" s="41"/>
      <c r="CY763" s="41"/>
      <c r="CZ763" s="41"/>
      <c r="DA763" s="41"/>
      <c r="DB763" s="41"/>
      <c r="DC763" s="41"/>
      <c r="DD763" s="41"/>
      <c r="DE763" s="41"/>
      <c r="DF763" s="41"/>
      <c r="DG763" s="1094"/>
      <c r="DH763" s="1370" t="str">
        <f>CONCATENATE(G763," ",J763," Year EUL")</f>
        <v>Heating RES ER2 12 Year EUL</v>
      </c>
      <c r="DI763" s="1091">
        <f>(INDEX('Avoided Cost Benefits'!$B$4:$B$866,MATCH(DH763,'Avoided Cost Benefits'!$A$4:$A$866,0)))*F763</f>
        <v>0</v>
      </c>
      <c r="DJ763" s="1176">
        <f t="shared" si="98"/>
        <v>0</v>
      </c>
      <c r="DK763" s="41"/>
    </row>
    <row r="764" spans="1:115">
      <c r="A764" s="453"/>
      <c r="B764" s="1454">
        <f t="shared" si="93"/>
        <v>351450</v>
      </c>
      <c r="C764" s="682" t="s">
        <v>1971</v>
      </c>
      <c r="D764" s="1540" t="s">
        <v>1800</v>
      </c>
      <c r="E764" s="1369" t="s">
        <v>1972</v>
      </c>
      <c r="F764" s="131">
        <f>ROUND((($J$967*$J$994*(1/$J$1021-1/$J$1075))/1000)*$J$1112*$J$1166,2)</f>
        <v>299.32</v>
      </c>
      <c r="G764" s="102" t="s">
        <v>1045</v>
      </c>
      <c r="H764" s="69">
        <f>VLOOKUP(G764,'CP FACTORS'!$A$3:$B$38, 2, FALSE)</f>
        <v>9.4741810000000004E-4</v>
      </c>
      <c r="I764" s="1474">
        <f t="shared" si="99"/>
        <v>0.28358100000000003</v>
      </c>
      <c r="J764" s="46">
        <f t="shared" si="94"/>
        <v>18</v>
      </c>
      <c r="K764" s="206">
        <f t="shared" si="95"/>
        <v>543.7067546700647</v>
      </c>
      <c r="L764" s="89">
        <f>K967</f>
        <v>1.3282828282828283</v>
      </c>
      <c r="M764" s="560"/>
      <c r="R764" s="532"/>
      <c r="S764" s="52"/>
      <c r="T764" s="52"/>
      <c r="U764" s="52"/>
      <c r="V764" s="1378" t="s">
        <v>45</v>
      </c>
      <c r="W764" s="955">
        <v>447.12649572649582</v>
      </c>
      <c r="X764" s="201">
        <v>528.13366090103261</v>
      </c>
      <c r="Y764" s="222">
        <v>335.42</v>
      </c>
      <c r="Z764" s="731">
        <v>335.42</v>
      </c>
      <c r="AA764" s="731">
        <v>335.42</v>
      </c>
      <c r="AB764" s="659">
        <v>345.19</v>
      </c>
      <c r="AC764" s="678">
        <v>346.51</v>
      </c>
      <c r="AD764" s="826">
        <v>307.27999999999997</v>
      </c>
      <c r="AE764" s="131">
        <v>295.52</v>
      </c>
      <c r="AF764" s="271">
        <f t="shared" si="96"/>
        <v>299.32</v>
      </c>
      <c r="AG764" s="356"/>
      <c r="AH764" s="121"/>
      <c r="AI764" s="121"/>
      <c r="DG764" s="1090">
        <f>(DI764+DI765)/(DJ764+DJ765)</f>
        <v>5.8793655640780518</v>
      </c>
      <c r="DH764" s="1369" t="str">
        <f t="shared" si="97"/>
        <v>Cooling RES 18 Year EUL</v>
      </c>
      <c r="DI764" s="1091">
        <f>(INDEX('Avoided Cost Benefits'!$B$4:$B$866,MATCH(DH764,'Avoided Cost Benefits'!$A$4:$A$866,0)))*F764</f>
        <v>685.37362704048167</v>
      </c>
      <c r="DJ764" s="1176">
        <f t="shared" si="98"/>
        <v>543.7067546700647</v>
      </c>
    </row>
    <row r="765" spans="1:115">
      <c r="A765" s="453"/>
      <c r="B765" s="1454">
        <f t="shared" si="93"/>
        <v>351450</v>
      </c>
      <c r="C765" s="682" t="s">
        <v>1971</v>
      </c>
      <c r="D765" s="1540" t="s">
        <v>1800</v>
      </c>
      <c r="E765" s="1370" t="s">
        <v>1972</v>
      </c>
      <c r="F765" s="723">
        <f xml:space="preserve"> ROUND((($J$832*$J$859*(1/$J$886-1/$J$940))/1000)*$J$1113*$J$1166,2)</f>
        <v>4143.51</v>
      </c>
      <c r="G765" s="102" t="s">
        <v>1046</v>
      </c>
      <c r="H765" s="69">
        <f>VLOOKUP(G765,'CP FACTORS'!$A$3:$B$38, 2, FALSE)</f>
        <v>0</v>
      </c>
      <c r="I765" s="45">
        <f t="shared" si="99"/>
        <v>0</v>
      </c>
      <c r="J765" s="46">
        <f t="shared" si="94"/>
        <v>18</v>
      </c>
      <c r="K765" s="135">
        <f t="shared" si="95"/>
        <v>0</v>
      </c>
      <c r="L765" s="704"/>
      <c r="M765" s="560"/>
      <c r="R765" s="532"/>
      <c r="S765" s="52"/>
      <c r="T765" s="52"/>
      <c r="U765" s="52"/>
      <c r="V765" s="1378" t="s">
        <v>45</v>
      </c>
      <c r="W765" s="955">
        <v>1070.7301587301586</v>
      </c>
      <c r="X765" s="201">
        <v>5517.9756069759478</v>
      </c>
      <c r="Y765" s="222">
        <v>4077.05</v>
      </c>
      <c r="Z765" s="731">
        <v>4077.05</v>
      </c>
      <c r="AA765" s="731">
        <v>4077.05</v>
      </c>
      <c r="AB765" s="659">
        <v>4050.16</v>
      </c>
      <c r="AC765" s="678">
        <v>4359.3599999999997</v>
      </c>
      <c r="AD765" s="826">
        <v>4151.16</v>
      </c>
      <c r="AE765" s="131">
        <v>4143.51</v>
      </c>
      <c r="AF765" s="271">
        <f t="shared" si="96"/>
        <v>4143.51</v>
      </c>
      <c r="AG765" s="356"/>
      <c r="AH765" s="121"/>
      <c r="AI765" s="121"/>
      <c r="DG765" s="1092"/>
      <c r="DH765" s="1370" t="str">
        <f t="shared" si="97"/>
        <v>Heating RES 18 Year EUL</v>
      </c>
      <c r="DI765" s="1091">
        <f>(INDEX('Avoided Cost Benefits'!$B$4:$B$866,MATCH(DH765,'Avoided Cost Benefits'!$A$4:$A$866,0)))*F765</f>
        <v>2511.2771433233302</v>
      </c>
      <c r="DJ765" s="1176">
        <f t="shared" si="98"/>
        <v>0</v>
      </c>
    </row>
    <row r="766" spans="1:115">
      <c r="A766" s="453"/>
      <c r="B766" s="1454">
        <f t="shared" si="93"/>
        <v>351451</v>
      </c>
      <c r="C766" s="682" t="s">
        <v>1973</v>
      </c>
      <c r="D766" s="1540" t="s">
        <v>1800</v>
      </c>
      <c r="E766" s="1369" t="s">
        <v>1974</v>
      </c>
      <c r="F766" s="131">
        <f>ROUND((($J$969*$J$996*(1/$J$1023-1/$J$1077))/1000)*$J$1114*$J$1166,2)</f>
        <v>299.32</v>
      </c>
      <c r="G766" s="102" t="s">
        <v>1045</v>
      </c>
      <c r="H766" s="69">
        <f>VLOOKUP(G766,'CP FACTORS'!$A$3:$B$38, 2, FALSE)</f>
        <v>9.4741810000000004E-4</v>
      </c>
      <c r="I766" s="1474">
        <f>ROUND(F766*H766,6)</f>
        <v>0.28358100000000003</v>
      </c>
      <c r="J766" s="46">
        <f t="shared" si="94"/>
        <v>18</v>
      </c>
      <c r="K766" s="206">
        <f t="shared" si="95"/>
        <v>36.630324772238367</v>
      </c>
      <c r="L766" s="938">
        <f>K969</f>
        <v>1.3282828282828283</v>
      </c>
      <c r="M766" s="560"/>
      <c r="R766" s="532"/>
      <c r="S766" s="41"/>
      <c r="T766" s="41"/>
      <c r="U766" s="41"/>
      <c r="V766" s="1378" t="s">
        <v>45</v>
      </c>
      <c r="W766" s="941"/>
      <c r="X766" s="201"/>
      <c r="Y766" s="222"/>
      <c r="Z766" s="222"/>
      <c r="AA766" s="222"/>
      <c r="AB766" s="659"/>
      <c r="AC766" s="678"/>
      <c r="AD766" s="826">
        <v>307.27999999999997</v>
      </c>
      <c r="AE766" s="131">
        <v>295.52</v>
      </c>
      <c r="AF766" s="271">
        <f t="shared" si="96"/>
        <v>299.32</v>
      </c>
      <c r="AG766" s="676"/>
      <c r="AH766" s="728"/>
      <c r="AI766" s="728"/>
      <c r="AJ766" s="41"/>
      <c r="AK766" s="41"/>
      <c r="AL766" s="41"/>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c r="CT766" s="41"/>
      <c r="CU766" s="41"/>
      <c r="CV766" s="41"/>
      <c r="CW766" s="41"/>
      <c r="CX766" s="41"/>
      <c r="CY766" s="41"/>
      <c r="CZ766" s="41"/>
      <c r="DA766" s="41"/>
      <c r="DB766" s="41"/>
      <c r="DC766" s="41"/>
      <c r="DD766" s="41"/>
      <c r="DE766" s="41"/>
      <c r="DF766" s="41"/>
      <c r="DG766" s="1090">
        <f>(DI766+DI767)/(DJ766+DJ767)</f>
        <v>18.710552835718158</v>
      </c>
      <c r="DH766" s="1369" t="str">
        <f>CONCATENATE(G766," ",J766," Year EUL")</f>
        <v>Cooling RES 18 Year EUL</v>
      </c>
      <c r="DI766" s="1091">
        <f>(INDEX('Avoided Cost Benefits'!$B$4:$B$866,MATCH(DH766,'Avoided Cost Benefits'!$A$4:$A$866,0)))*F766</f>
        <v>685.37362704048167</v>
      </c>
      <c r="DJ766" s="1176">
        <f t="shared" si="98"/>
        <v>36.630324772238367</v>
      </c>
      <c r="DK766" s="41"/>
    </row>
    <row r="767" spans="1:115">
      <c r="A767" s="453"/>
      <c r="B767" s="1454">
        <f t="shared" si="93"/>
        <v>351451</v>
      </c>
      <c r="C767" s="682" t="s">
        <v>1973</v>
      </c>
      <c r="D767" s="1540" t="s">
        <v>1800</v>
      </c>
      <c r="E767" s="1393" t="s">
        <v>1974</v>
      </c>
      <c r="F767" s="723">
        <f>0</f>
        <v>0</v>
      </c>
      <c r="G767" s="102" t="s">
        <v>1046</v>
      </c>
      <c r="H767" s="69">
        <f>VLOOKUP(G767,'CP FACTORS'!$A$3:$B$38, 2, FALSE)</f>
        <v>0</v>
      </c>
      <c r="I767" s="45">
        <f>ROUND(F767*H767,6)</f>
        <v>0</v>
      </c>
      <c r="J767" s="46">
        <f t="shared" si="94"/>
        <v>18</v>
      </c>
      <c r="K767" s="135">
        <f t="shared" si="95"/>
        <v>0</v>
      </c>
      <c r="L767" s="704"/>
      <c r="M767" s="560"/>
      <c r="R767" s="532"/>
      <c r="S767" s="41"/>
      <c r="T767" s="41"/>
      <c r="U767" s="41"/>
      <c r="V767" s="1378" t="s">
        <v>45</v>
      </c>
      <c r="W767" s="941"/>
      <c r="X767" s="201"/>
      <c r="Y767" s="222"/>
      <c r="Z767" s="222"/>
      <c r="AA767" s="222"/>
      <c r="AB767" s="659"/>
      <c r="AC767" s="678"/>
      <c r="AD767" s="826">
        <v>0</v>
      </c>
      <c r="AE767" s="723">
        <v>0</v>
      </c>
      <c r="AF767" s="271">
        <f t="shared" si="96"/>
        <v>0</v>
      </c>
      <c r="AG767" s="676"/>
      <c r="AH767" s="728"/>
      <c r="AI767" s="728"/>
      <c r="AJ767" s="41"/>
      <c r="AK767" s="41"/>
      <c r="AL767" s="41"/>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c r="CT767" s="41"/>
      <c r="CU767" s="41"/>
      <c r="CV767" s="41"/>
      <c r="CW767" s="41"/>
      <c r="CX767" s="41"/>
      <c r="CY767" s="41"/>
      <c r="CZ767" s="41"/>
      <c r="DA767" s="41"/>
      <c r="DB767" s="41"/>
      <c r="DC767" s="41"/>
      <c r="DD767" s="41"/>
      <c r="DE767" s="41"/>
      <c r="DF767" s="41"/>
      <c r="DG767" s="1092"/>
      <c r="DH767" s="1370" t="str">
        <f>CONCATENATE(G767," ",J767," Year EUL")</f>
        <v>Heating RES 18 Year EUL</v>
      </c>
      <c r="DI767" s="1091">
        <f>(INDEX('Avoided Cost Benefits'!$B$4:$B$866,MATCH(DH767,'Avoided Cost Benefits'!$A$4:$A$866,0)))*F767</f>
        <v>0</v>
      </c>
      <c r="DJ767" s="1176">
        <f t="shared" si="98"/>
        <v>0</v>
      </c>
      <c r="DK767" s="41"/>
    </row>
    <row r="768" spans="1:115">
      <c r="A768" s="453"/>
      <c r="B768" s="1454">
        <f t="shared" si="93"/>
        <v>351500</v>
      </c>
      <c r="C768" s="682" t="s">
        <v>1975</v>
      </c>
      <c r="D768" s="1540" t="s">
        <v>1800</v>
      </c>
      <c r="E768" s="1369" t="s">
        <v>1976</v>
      </c>
      <c r="F768" s="1165">
        <f>ROUND((($J$970*$J$997*(1/$J$1051-1/$J$1078))/1000)*$J$1116*$J$1166,2)</f>
        <v>1157.8399999999999</v>
      </c>
      <c r="G768" s="102" t="s">
        <v>1045</v>
      </c>
      <c r="H768" s="69">
        <f>VLOOKUP(G768,'CP FACTORS'!$A$3:$B$38, 2, FALSE)</f>
        <v>9.4741810000000004E-4</v>
      </c>
      <c r="I768" s="1474">
        <f t="shared" si="99"/>
        <v>1.096959</v>
      </c>
      <c r="J768" s="46">
        <f t="shared" si="94"/>
        <v>6</v>
      </c>
      <c r="K768" s="206">
        <f t="shared" si="95"/>
        <v>683.91788099116957</v>
      </c>
      <c r="L768" s="89">
        <f>K970</f>
        <v>1.9242424242424243</v>
      </c>
      <c r="M768" s="560"/>
      <c r="R768" s="532"/>
      <c r="S768" s="52"/>
      <c r="T768" s="52"/>
      <c r="U768" s="52"/>
      <c r="V768" s="1378" t="s">
        <v>45</v>
      </c>
      <c r="W768" s="955">
        <v>1625.9591194968555</v>
      </c>
      <c r="X768" s="201">
        <v>1497.4028916702637</v>
      </c>
      <c r="Y768" s="222">
        <v>1164.32</v>
      </c>
      <c r="Z768" s="731">
        <v>1164.32</v>
      </c>
      <c r="AA768" s="731">
        <v>1164.32</v>
      </c>
      <c r="AB768" s="659">
        <v>779.12</v>
      </c>
      <c r="AC768" s="678">
        <v>843.09</v>
      </c>
      <c r="AD768" s="826">
        <v>1085.77</v>
      </c>
      <c r="AE768" s="1165">
        <v>971.64</v>
      </c>
      <c r="AF768" s="271">
        <f t="shared" si="96"/>
        <v>1157.8399999999999</v>
      </c>
      <c r="AG768" s="356"/>
      <c r="AH768" s="121"/>
      <c r="AI768" s="121"/>
      <c r="DG768" s="1090">
        <f>(DI768+DI769+DI770+DI771)/(DJ768+DJ769+DJ770+DJ771)</f>
        <v>3.4452351798525354</v>
      </c>
      <c r="DH768" s="1369" t="str">
        <f t="shared" si="97"/>
        <v>Cooling RES 6 Year EUL</v>
      </c>
      <c r="DI768" s="1091">
        <f>(INDEX('Avoided Cost Benefits'!$B$4:$B$866,MATCH(DH768,'Avoided Cost Benefits'!$A$4:$A$866,0)))*F768</f>
        <v>1153.0327610057254</v>
      </c>
      <c r="DJ768" s="1176">
        <f t="shared" si="98"/>
        <v>683.91788099116957</v>
      </c>
    </row>
    <row r="769" spans="1:114">
      <c r="A769" s="453"/>
      <c r="B769" s="1454">
        <f t="shared" si="93"/>
        <v>351500</v>
      </c>
      <c r="C769" s="682" t="s">
        <v>1975</v>
      </c>
      <c r="D769" s="1540" t="s">
        <v>1800</v>
      </c>
      <c r="E769" s="1393" t="s">
        <v>1976</v>
      </c>
      <c r="F769" s="131">
        <f xml:space="preserve"> ROUND((($J$835*$J$862*(1/$J$916-1/$J$943))/1000)*$J$1117*$J$1166,2)</f>
        <v>1456.32</v>
      </c>
      <c r="G769" s="102" t="s">
        <v>1046</v>
      </c>
      <c r="H769" s="69">
        <f>VLOOKUP(G769,'CP FACTORS'!$A$3:$B$38, 2, FALSE)</f>
        <v>0</v>
      </c>
      <c r="I769" s="1474">
        <f t="shared" si="99"/>
        <v>0</v>
      </c>
      <c r="J769" s="46">
        <f t="shared" si="94"/>
        <v>6</v>
      </c>
      <c r="K769" s="135">
        <f t="shared" si="95"/>
        <v>0</v>
      </c>
      <c r="L769" s="203"/>
      <c r="M769" s="560"/>
      <c r="R769" s="532"/>
      <c r="S769" s="52"/>
      <c r="T769" s="52"/>
      <c r="U769" s="52"/>
      <c r="V769" s="1378" t="s">
        <v>45</v>
      </c>
      <c r="W769" s="955">
        <v>2932.947368421052</v>
      </c>
      <c r="X769" s="201">
        <v>2571.2014134275614</v>
      </c>
      <c r="Y769" s="222">
        <v>1944.18</v>
      </c>
      <c r="Z769" s="731">
        <v>1944.18</v>
      </c>
      <c r="AA769" s="731">
        <v>1944.18</v>
      </c>
      <c r="AB769" s="659">
        <v>1021.3</v>
      </c>
      <c r="AC769" s="678">
        <v>1692.45</v>
      </c>
      <c r="AD769" s="826">
        <v>2176.0500000000002</v>
      </c>
      <c r="AE769" s="1165">
        <v>2197.56</v>
      </c>
      <c r="AF769" s="271">
        <f t="shared" si="96"/>
        <v>1456.32</v>
      </c>
      <c r="AG769" s="356"/>
      <c r="AH769" s="121"/>
      <c r="AI769" s="121"/>
      <c r="DG769" s="1094"/>
      <c r="DH769" s="1393" t="str">
        <f t="shared" si="97"/>
        <v>Heating RES 6 Year EUL</v>
      </c>
      <c r="DI769" s="1091">
        <f>(INDEX('Avoided Cost Benefits'!$B$4:$B$866,MATCH(DH769,'Avoided Cost Benefits'!$A$4:$A$866,0)))*F769</f>
        <v>390.55416550849151</v>
      </c>
      <c r="DJ769" s="1176">
        <f t="shared" si="98"/>
        <v>0</v>
      </c>
    </row>
    <row r="770" spans="1:114">
      <c r="A770" s="453"/>
      <c r="B770" s="1454">
        <f t="shared" si="93"/>
        <v>351500</v>
      </c>
      <c r="C770" s="2006" t="s">
        <v>1975</v>
      </c>
      <c r="D770" s="1540" t="s">
        <v>1800</v>
      </c>
      <c r="E770" s="1393" t="s">
        <v>1977</v>
      </c>
      <c r="F770" s="1166">
        <f>ROUND((($J$970*$J$997*(1/$J$1024-1/$J$1078))/1000)*$J$1118*$J$1166,2)</f>
        <v>361.07</v>
      </c>
      <c r="G770" s="565" t="s">
        <v>1786</v>
      </c>
      <c r="H770" s="977">
        <f>VLOOKUP(G770,'CP FACTORS'!$A$3:$B$38, 2, FALSE)</f>
        <v>9.4741810000000004E-4</v>
      </c>
      <c r="I770" s="1475">
        <f t="shared" si="99"/>
        <v>0.342084</v>
      </c>
      <c r="J770" s="223">
        <f>J1188</f>
        <v>12</v>
      </c>
      <c r="K770" s="224">
        <f t="shared" si="95"/>
        <v>0</v>
      </c>
      <c r="L770" s="1164"/>
      <c r="M770" s="560"/>
      <c r="R770" s="532"/>
      <c r="S770" s="52"/>
      <c r="T770" s="52"/>
      <c r="U770" s="52"/>
      <c r="V770" s="1378" t="s">
        <v>45</v>
      </c>
      <c r="W770" s="955">
        <v>527.45399129172722</v>
      </c>
      <c r="X770" s="201">
        <v>528.13366090103261</v>
      </c>
      <c r="Y770" s="222">
        <v>456.05</v>
      </c>
      <c r="Z770" s="731">
        <v>456.05</v>
      </c>
      <c r="AA770" s="731">
        <v>456.05</v>
      </c>
      <c r="AB770" s="659">
        <v>312.22000000000003</v>
      </c>
      <c r="AC770" s="678">
        <v>352.11</v>
      </c>
      <c r="AD770" s="826">
        <v>413.89</v>
      </c>
      <c r="AE770" s="1166">
        <v>252.31</v>
      </c>
      <c r="AF770" s="271">
        <f t="shared" si="96"/>
        <v>361.07</v>
      </c>
      <c r="AG770" s="356"/>
      <c r="AH770" s="121"/>
      <c r="AI770" s="121"/>
      <c r="DG770" s="1094"/>
      <c r="DH770" s="1393" t="str">
        <f t="shared" si="97"/>
        <v>Cooling RES ER2 12 Year EUL</v>
      </c>
      <c r="DI770" s="1091">
        <f>(INDEX('Avoided Cost Benefits'!$B$4:$B$866,MATCH(DH770,'Avoided Cost Benefits'!$A$4:$A$866,0)))*F770</f>
        <v>467.1959840924909</v>
      </c>
      <c r="DJ770" s="1176">
        <f t="shared" si="98"/>
        <v>0</v>
      </c>
    </row>
    <row r="771" spans="1:114">
      <c r="A771" s="453"/>
      <c r="B771" s="1454">
        <f t="shared" si="93"/>
        <v>351500</v>
      </c>
      <c r="C771" s="682" t="s">
        <v>1975</v>
      </c>
      <c r="D771" s="1540" t="s">
        <v>1800</v>
      </c>
      <c r="E771" s="1370" t="s">
        <v>1977</v>
      </c>
      <c r="F771" s="131">
        <f>ROUND((($J$835*$J$862*(1/$J$889-1/$J$943))/1000)*$J$1119*$J$1166,2)</f>
        <v>1022.43</v>
      </c>
      <c r="G771" s="37" t="s">
        <v>1967</v>
      </c>
      <c r="H771" s="69">
        <f>VLOOKUP(G771,'CP FACTORS'!$A$3:$B$38, 2, FALSE)</f>
        <v>0</v>
      </c>
      <c r="I771" s="1474">
        <f t="shared" si="99"/>
        <v>0</v>
      </c>
      <c r="J771" s="46">
        <f>J1189</f>
        <v>12</v>
      </c>
      <c r="K771" s="135">
        <f t="shared" si="95"/>
        <v>0</v>
      </c>
      <c r="L771" s="203"/>
      <c r="M771" s="560"/>
      <c r="R771" s="532"/>
      <c r="S771" s="52"/>
      <c r="T771" s="52"/>
      <c r="U771" s="52"/>
      <c r="V771" s="1378" t="s">
        <v>45</v>
      </c>
      <c r="W771" s="955">
        <v>1286.375939849624</v>
      </c>
      <c r="X771" s="201">
        <v>1713.6026292330328</v>
      </c>
      <c r="Y771" s="222">
        <v>1351.43</v>
      </c>
      <c r="Z771" s="731">
        <v>1351.43</v>
      </c>
      <c r="AA771" s="731">
        <v>1351.43</v>
      </c>
      <c r="AB771" s="659">
        <v>515</v>
      </c>
      <c r="AC771" s="678">
        <v>1108.68</v>
      </c>
      <c r="AD771" s="826">
        <v>1434.81</v>
      </c>
      <c r="AE771" s="1165">
        <v>1456.32</v>
      </c>
      <c r="AF771" s="271">
        <f t="shared" si="96"/>
        <v>1022.43</v>
      </c>
      <c r="AG771" s="356"/>
      <c r="AH771" s="121"/>
      <c r="AI771" s="121"/>
      <c r="DG771" s="1094"/>
      <c r="DH771" s="1370" t="str">
        <f t="shared" si="97"/>
        <v>Heating RES ER2 12 Year EUL</v>
      </c>
      <c r="DI771" s="1091">
        <f>(INDEX('Avoided Cost Benefits'!$B$4:$B$866,MATCH(DH771,'Avoided Cost Benefits'!$A$4:$A$866,0)))*F771</f>
        <v>345.47503311426919</v>
      </c>
      <c r="DJ771" s="1176">
        <f t="shared" si="98"/>
        <v>0</v>
      </c>
    </row>
    <row r="772" spans="1:114">
      <c r="A772" s="453"/>
      <c r="B772" s="1454">
        <f t="shared" si="93"/>
        <v>351550</v>
      </c>
      <c r="C772" s="682" t="s">
        <v>1978</v>
      </c>
      <c r="D772" s="1894" t="s">
        <v>959</v>
      </c>
      <c r="E772" s="1369" t="s">
        <v>1979</v>
      </c>
      <c r="F772" s="723">
        <f>ROUND((($J$971*$J$998*(1/$J$1052-1/$J$1079))/1000)*$J$1120*$J$1166,2)</f>
        <v>1402.57</v>
      </c>
      <c r="G772" s="555" t="s">
        <v>1045</v>
      </c>
      <c r="H772" s="69">
        <f>VLOOKUP(G772,'CP FACTORS'!$A$3:$B$38, 2, FALSE)</f>
        <v>9.4741810000000004E-4</v>
      </c>
      <c r="I772" s="45">
        <f t="shared" si="99"/>
        <v>1.3288199999999999</v>
      </c>
      <c r="J772" s="46">
        <f>J1190</f>
        <v>6</v>
      </c>
      <c r="K772" s="206">
        <f>J1236</f>
        <v>1381.2177729469663</v>
      </c>
      <c r="L772" s="203">
        <f>K962</f>
        <v>1.75</v>
      </c>
      <c r="M772" s="560"/>
      <c r="R772" s="566"/>
      <c r="S772" s="52"/>
      <c r="T772" s="63"/>
      <c r="U772" s="63"/>
      <c r="V772" s="55" t="s">
        <v>45</v>
      </c>
      <c r="W772" s="956">
        <v>1314.6211309523808</v>
      </c>
      <c r="X772" s="226">
        <v>1175.0440224428139</v>
      </c>
      <c r="Y772" s="48">
        <v>1320.98</v>
      </c>
      <c r="Z772" s="47">
        <v>1320.98</v>
      </c>
      <c r="AA772" s="47">
        <v>1320.98</v>
      </c>
      <c r="AB772" s="948">
        <v>1320.98</v>
      </c>
      <c r="AC772" s="678">
        <v>696.9</v>
      </c>
      <c r="AD772" s="826">
        <v>1402.57</v>
      </c>
      <c r="AE772" s="723">
        <v>1402.57</v>
      </c>
      <c r="AF772" s="271">
        <f t="shared" si="96"/>
        <v>1402.57</v>
      </c>
      <c r="AG772" s="949"/>
      <c r="AH772" s="957"/>
      <c r="AI772" s="957"/>
      <c r="AJ772" s="958"/>
      <c r="AK772" s="958"/>
      <c r="AL772" s="958"/>
      <c r="AM772" s="958"/>
      <c r="AN772" s="958"/>
      <c r="AO772" s="958"/>
      <c r="DG772" s="1090">
        <f>(DI772+DI773)/(DJ772+DJ773)</f>
        <v>1.3568367173903013</v>
      </c>
      <c r="DH772" s="1369" t="str">
        <f t="shared" si="97"/>
        <v>Cooling RES 6 Year EUL</v>
      </c>
      <c r="DI772" s="1091">
        <f>(INDEX('Avoided Cost Benefits'!$B$4:$B$866,MATCH(DH772,'Avoided Cost Benefits'!$A$4:$A$866,0)))*F772</f>
        <v>1396.7466658638502</v>
      </c>
      <c r="DJ772" s="1176">
        <f t="shared" si="98"/>
        <v>1381.2177729469663</v>
      </c>
    </row>
    <row r="773" spans="1:114">
      <c r="A773" s="453"/>
      <c r="B773" s="1454">
        <f t="shared" si="93"/>
        <v>351550</v>
      </c>
      <c r="C773" s="682" t="s">
        <v>1978</v>
      </c>
      <c r="D773" s="1894" t="s">
        <v>959</v>
      </c>
      <c r="E773" s="1370" t="s">
        <v>1980</v>
      </c>
      <c r="F773" s="131">
        <f>ROUND((($J$971*$J$998*(1/$J$1025-1/$J$1079))/1000)*$J$1121*$J$1166,2)</f>
        <v>368.91</v>
      </c>
      <c r="G773" s="555" t="s">
        <v>1786</v>
      </c>
      <c r="H773" s="69">
        <f>VLOOKUP(G773,'CP FACTORS'!$A$3:$B$38, 2, FALSE)</f>
        <v>9.4741810000000004E-4</v>
      </c>
      <c r="I773" s="1474">
        <f t="shared" si="99"/>
        <v>0.34951199999999999</v>
      </c>
      <c r="J773" s="46">
        <f>J1191</f>
        <v>12</v>
      </c>
      <c r="K773" s="135">
        <f>J1237</f>
        <v>0</v>
      </c>
      <c r="L773" s="203"/>
      <c r="M773" s="560"/>
      <c r="R773" s="566"/>
      <c r="S773" s="52"/>
      <c r="T773" s="63"/>
      <c r="U773" s="63"/>
      <c r="V773" s="55" t="s">
        <v>45</v>
      </c>
      <c r="W773" s="956">
        <v>371.9630357142857</v>
      </c>
      <c r="X773" s="226">
        <v>343.28687958567122</v>
      </c>
      <c r="Y773" s="48">
        <v>385.92</v>
      </c>
      <c r="Z773" s="47">
        <v>385.92</v>
      </c>
      <c r="AA773" s="47">
        <v>385.92</v>
      </c>
      <c r="AB773" s="948">
        <v>385.92</v>
      </c>
      <c r="AC773" s="678">
        <v>269.27</v>
      </c>
      <c r="AD773" s="826">
        <v>403.9</v>
      </c>
      <c r="AE773" s="131">
        <v>320.17</v>
      </c>
      <c r="AF773" s="271">
        <f t="shared" si="96"/>
        <v>368.91</v>
      </c>
      <c r="AG773" s="949"/>
      <c r="AH773" s="957"/>
      <c r="AI773" s="957"/>
      <c r="AJ773" s="958"/>
      <c r="AK773" s="958"/>
      <c r="AL773" s="958"/>
      <c r="AM773" s="958"/>
      <c r="AN773" s="958"/>
      <c r="AO773" s="958"/>
      <c r="DG773" s="1092"/>
      <c r="DH773" s="1370" t="str">
        <f t="shared" si="97"/>
        <v>Cooling RES ER2 12 Year EUL</v>
      </c>
      <c r="DI773" s="1091">
        <f>(INDEX('Avoided Cost Benefits'!$B$4:$B$866,MATCH(DH773,'Avoided Cost Benefits'!$A$4:$A$866,0)))*F773</f>
        <v>477.34032318265389</v>
      </c>
      <c r="DJ773" s="1176">
        <f t="shared" si="98"/>
        <v>0</v>
      </c>
    </row>
    <row r="774" spans="1:114">
      <c r="A774" s="453"/>
      <c r="B774" s="1454">
        <f t="shared" si="93"/>
        <v>351551</v>
      </c>
      <c r="C774" s="2554" t="s">
        <v>1981</v>
      </c>
      <c r="D774" s="2402" t="s">
        <v>1118</v>
      </c>
      <c r="E774" s="2521" t="s">
        <v>1982</v>
      </c>
      <c r="F774" s="2553">
        <f>ROUND((($J$980*$J$1007*(1/$J$1061-1/$J$1088))/1000)*$J$1143*$J$1166,2)</f>
        <v>937.47</v>
      </c>
      <c r="G774" s="2402" t="s">
        <v>1045</v>
      </c>
      <c r="H774" s="2213">
        <f>VLOOKUP(G774,'CP FACTORS'!$A$3:$B$38, 2, FALSE)</f>
        <v>9.4741810000000004E-4</v>
      </c>
      <c r="I774" s="3314">
        <f>ROUND(F774*H774,6)</f>
        <v>0.88817599999999997</v>
      </c>
      <c r="J774" s="2345">
        <f>J772</f>
        <v>6</v>
      </c>
      <c r="K774" s="2988">
        <f>K772</f>
        <v>1381.2177729469663</v>
      </c>
      <c r="L774" s="3315">
        <f>K980</f>
        <v>2</v>
      </c>
      <c r="M774" s="560"/>
      <c r="R774" s="566"/>
      <c r="S774" s="52"/>
      <c r="T774" s="63"/>
      <c r="U774" s="63"/>
      <c r="V774" s="3224" t="s">
        <v>45</v>
      </c>
      <c r="W774" s="3328"/>
      <c r="X774" s="3329"/>
      <c r="Y774" s="3220">
        <v>1164.95</v>
      </c>
      <c r="Z774" s="3221">
        <v>1164.95</v>
      </c>
      <c r="AA774" s="3221">
        <v>1164.95</v>
      </c>
      <c r="AB774" s="3258">
        <v>867.48</v>
      </c>
      <c r="AC774" s="3251">
        <v>457.65</v>
      </c>
      <c r="AD774" s="3252">
        <v>937.47</v>
      </c>
      <c r="AE774" s="2553">
        <v>937.47</v>
      </c>
      <c r="AF774" s="2236">
        <f t="shared" si="96"/>
        <v>937.47</v>
      </c>
      <c r="AG774" s="949"/>
      <c r="AH774" s="957"/>
      <c r="AI774" s="957"/>
      <c r="AJ774" s="958"/>
      <c r="AK774" s="958"/>
      <c r="AL774" s="958"/>
      <c r="AM774" s="958"/>
      <c r="AN774" s="958"/>
      <c r="AO774" s="958"/>
      <c r="DG774" s="3259">
        <f>(DI774+DI775)/(DJ774+DJ775)</f>
        <v>0.91823044459360115</v>
      </c>
      <c r="DH774" s="2521" t="str">
        <f>CONCATENATE(G774," ",J774," Year EUL")</f>
        <v>Cooling RES 6 Year EUL</v>
      </c>
      <c r="DI774" s="3260">
        <f>(INDEX('Avoided Cost Benefits'!$B$4:$B$866,MATCH(DH774,'Avoided Cost Benefits'!$A$4:$A$866,0)))*F774</f>
        <v>933.57771579841562</v>
      </c>
      <c r="DJ774" s="2507">
        <f t="shared" si="98"/>
        <v>1381.2177729469663</v>
      </c>
    </row>
    <row r="775" spans="1:114">
      <c r="A775" s="453"/>
      <c r="B775" s="1454">
        <f t="shared" si="93"/>
        <v>351551</v>
      </c>
      <c r="C775" s="3316" t="s">
        <v>1981</v>
      </c>
      <c r="D775" s="3317" t="s">
        <v>1118</v>
      </c>
      <c r="E775" s="2522" t="s">
        <v>1983</v>
      </c>
      <c r="F775" s="2552">
        <f>ROUND((($J$980*$J$1007*(1/$J$1034-1/$J$1088))/1000)*$J$1144*$J$1166,2)</f>
        <v>258.67</v>
      </c>
      <c r="G775" s="3317" t="s">
        <v>1786</v>
      </c>
      <c r="H775" s="3318">
        <f>VLOOKUP(G775,'CP FACTORS'!$A$3:$B$38, 2, FALSE)</f>
        <v>9.4741810000000004E-4</v>
      </c>
      <c r="I775" s="3319">
        <f>ROUND(F775*H775,6)</f>
        <v>0.24506900000000001</v>
      </c>
      <c r="J775" s="3320">
        <f>J773</f>
        <v>12</v>
      </c>
      <c r="K775" s="3321">
        <f>K773</f>
        <v>0</v>
      </c>
      <c r="L775" s="3322"/>
      <c r="M775" s="560"/>
      <c r="R775" s="566"/>
      <c r="S775" s="52"/>
      <c r="T775" s="63"/>
      <c r="U775" s="63"/>
      <c r="V775" s="3224" t="s">
        <v>45</v>
      </c>
      <c r="W775" s="3328"/>
      <c r="X775" s="3329"/>
      <c r="Y775" s="3220">
        <v>340.34</v>
      </c>
      <c r="Z775" s="3221">
        <v>340.34</v>
      </c>
      <c r="AA775" s="3221">
        <v>340.34</v>
      </c>
      <c r="AB775" s="3258">
        <v>253.43</v>
      </c>
      <c r="AC775" s="3251">
        <v>176.83</v>
      </c>
      <c r="AD775" s="3252">
        <v>281.64999999999998</v>
      </c>
      <c r="AE775" s="2552">
        <v>226.66</v>
      </c>
      <c r="AF775" s="2236">
        <f t="shared" si="96"/>
        <v>258.67</v>
      </c>
      <c r="AG775" s="949"/>
      <c r="AH775" s="957"/>
      <c r="AI775" s="957"/>
      <c r="AJ775" s="958"/>
      <c r="AK775" s="958"/>
      <c r="AL775" s="958"/>
      <c r="AM775" s="958"/>
      <c r="AN775" s="958"/>
      <c r="AO775" s="958"/>
      <c r="DG775" s="3261"/>
      <c r="DH775" s="2522" t="str">
        <f>CONCATENATE(G775," ",J775," Year EUL")</f>
        <v>Cooling RES ER2 12 Year EUL</v>
      </c>
      <c r="DI775" s="3260">
        <f>(INDEX('Avoided Cost Benefits'!$B$4:$B$866,MATCH(DH775,'Avoided Cost Benefits'!$A$4:$A$866,0)))*F775</f>
        <v>334.69849393526084</v>
      </c>
      <c r="DJ775" s="2507">
        <f t="shared" si="98"/>
        <v>0</v>
      </c>
    </row>
    <row r="776" spans="1:114">
      <c r="A776" s="453"/>
      <c r="B776" s="1454">
        <f t="shared" si="93"/>
        <v>351600</v>
      </c>
      <c r="C776" s="2554" t="s">
        <v>1984</v>
      </c>
      <c r="D776" s="2402" t="s">
        <v>1122</v>
      </c>
      <c r="E776" s="2310" t="s">
        <v>1985</v>
      </c>
      <c r="F776" s="2552">
        <f>ROUND((($J$972*$J$999*(1/$J$1026-1/$J$1080))/1000)*$J$1122*$J$1166,2)</f>
        <v>455.26</v>
      </c>
      <c r="G776" s="2646" t="s">
        <v>1045</v>
      </c>
      <c r="H776" s="2213">
        <f>VLOOKUP(G776,'CP FACTORS'!$A$3:$B$38, 2, FALSE)</f>
        <v>9.4741810000000004E-4</v>
      </c>
      <c r="I776" s="2246">
        <f t="shared" si="99"/>
        <v>0.43132199999999998</v>
      </c>
      <c r="J776" s="2345">
        <f>J1192</f>
        <v>18</v>
      </c>
      <c r="K776" s="2988">
        <f>J1238</f>
        <v>668</v>
      </c>
      <c r="L776" s="3315">
        <f>K963</f>
        <v>1.0555555555555556</v>
      </c>
      <c r="M776" s="560"/>
      <c r="R776" s="566"/>
      <c r="S776" s="52"/>
      <c r="T776" s="63"/>
      <c r="U776" s="63"/>
      <c r="V776" s="3224" t="s">
        <v>45</v>
      </c>
      <c r="W776" s="3328">
        <v>1219.3587301587302</v>
      </c>
      <c r="X776" s="3329">
        <v>1175.0440224428139</v>
      </c>
      <c r="Y776" s="3220">
        <v>1320.98</v>
      </c>
      <c r="Z776" s="3221">
        <v>1320.98</v>
      </c>
      <c r="AA776" s="3221">
        <v>1320.98</v>
      </c>
      <c r="AB776" s="3258">
        <v>332.95</v>
      </c>
      <c r="AC776" s="3251">
        <v>329.12</v>
      </c>
      <c r="AD776" s="3252">
        <v>490.26</v>
      </c>
      <c r="AE776" s="2552">
        <v>406.52</v>
      </c>
      <c r="AF776" s="2236">
        <f t="shared" si="96"/>
        <v>455.26</v>
      </c>
      <c r="AG776" s="949"/>
      <c r="AH776" s="957"/>
      <c r="AI776" s="957"/>
      <c r="AJ776" s="958"/>
      <c r="AK776" s="958"/>
      <c r="AL776" s="958"/>
      <c r="AM776" s="958"/>
      <c r="AN776" s="958"/>
      <c r="AO776" s="958"/>
      <c r="DG776" s="3331">
        <f>(DI776)/(DJ776)</f>
        <v>1.5605392054647704</v>
      </c>
      <c r="DH776" s="2310" t="str">
        <f t="shared" si="97"/>
        <v>Cooling RES 18 Year EUL</v>
      </c>
      <c r="DI776" s="3260">
        <f>(INDEX('Avoided Cost Benefits'!$B$4:$B$866,MATCH(DH776,'Avoided Cost Benefits'!$A$4:$A$866,0)))*F776</f>
        <v>1042.4401892504666</v>
      </c>
      <c r="DJ776" s="2507">
        <f t="shared" si="98"/>
        <v>668</v>
      </c>
    </row>
    <row r="777" spans="1:114">
      <c r="A777" s="453"/>
      <c r="B777" s="1454">
        <f t="shared" si="93"/>
        <v>351601</v>
      </c>
      <c r="C777" s="2554" t="s">
        <v>1986</v>
      </c>
      <c r="D777" s="3317" t="s">
        <v>1118</v>
      </c>
      <c r="E777" s="2310" t="s">
        <v>1987</v>
      </c>
      <c r="F777" s="2553">
        <f>ROUND((($J$981*$J$1008*(1/$J$1062-1/$J$1089))/1000)*$J$1145*$J$1166,2)</f>
        <v>1100.3800000000001</v>
      </c>
      <c r="G777" s="2646" t="s">
        <v>1045</v>
      </c>
      <c r="H777" s="2213">
        <f>VLOOKUP(G777,'CP FACTORS'!$A$3:$B$38, 2, FALSE)</f>
        <v>9.4741810000000004E-4</v>
      </c>
      <c r="I777" s="3314">
        <f>ROUND(F777*H777,6)</f>
        <v>1.0425199999999999</v>
      </c>
      <c r="J777" s="3320">
        <f>J776</f>
        <v>18</v>
      </c>
      <c r="K777" s="3323">
        <f>K776</f>
        <v>668</v>
      </c>
      <c r="L777" s="3315">
        <f>K981</f>
        <v>2</v>
      </c>
      <c r="M777" s="560"/>
      <c r="R777" s="566"/>
      <c r="S777" s="52"/>
      <c r="T777" s="63"/>
      <c r="U777" s="63"/>
      <c r="V777" s="3224" t="s">
        <v>45</v>
      </c>
      <c r="W777" s="3328"/>
      <c r="X777" s="3329"/>
      <c r="Y777" s="3220">
        <v>1164.95</v>
      </c>
      <c r="Z777" s="3221">
        <v>1164.95</v>
      </c>
      <c r="AA777" s="3221">
        <v>1164.95</v>
      </c>
      <c r="AB777" s="3258">
        <v>755.93</v>
      </c>
      <c r="AC777" s="3251">
        <v>789.24</v>
      </c>
      <c r="AD777" s="3252">
        <v>1100.3800000000001</v>
      </c>
      <c r="AE777" s="2553">
        <v>1100.3800000000001</v>
      </c>
      <c r="AF777" s="2236">
        <f t="shared" si="96"/>
        <v>1100.3800000000001</v>
      </c>
      <c r="AG777" s="949"/>
      <c r="AH777" s="957"/>
      <c r="AI777" s="957"/>
      <c r="AJ777" s="958"/>
      <c r="AK777" s="958"/>
      <c r="AL777" s="958"/>
      <c r="AM777" s="958"/>
      <c r="AN777" s="958"/>
      <c r="AO777" s="958"/>
      <c r="DG777" s="3331">
        <f>(DI777)/(DJ777)</f>
        <v>3.7718800924951106</v>
      </c>
      <c r="DH777" s="2310" t="str">
        <f>CONCATENATE(G777," ",J777," Year EUL")</f>
        <v>Cooling RES 18 Year EUL</v>
      </c>
      <c r="DI777" s="3260">
        <f>(INDEX('Avoided Cost Benefits'!$B$4:$B$866,MATCH(DH777,'Avoided Cost Benefits'!$A$4:$A$866,0)))*F777</f>
        <v>2519.615901786734</v>
      </c>
      <c r="DJ777" s="2507">
        <f t="shared" si="98"/>
        <v>668</v>
      </c>
    </row>
    <row r="778" spans="1:114">
      <c r="A778" s="453"/>
      <c r="B778" s="1454">
        <f t="shared" si="93"/>
        <v>351650</v>
      </c>
      <c r="C778" s="2554" t="s">
        <v>1988</v>
      </c>
      <c r="D778" s="2402" t="s">
        <v>1122</v>
      </c>
      <c r="E778" s="2521" t="s">
        <v>1989</v>
      </c>
      <c r="F778" s="2552">
        <f>ROUND((($J$973*$J$1000*(1/$J$1027-1/$J$1081))/1000)*$J$1123*$J$1166,2)</f>
        <v>188.86</v>
      </c>
      <c r="G778" s="2646" t="s">
        <v>1045</v>
      </c>
      <c r="H778" s="2213">
        <f>VLOOKUP(G778,'CP FACTORS'!$A$3:$B$38, 2, FALSE)</f>
        <v>9.4741810000000004E-4</v>
      </c>
      <c r="I778" s="2246">
        <f t="shared" si="99"/>
        <v>0.178929</v>
      </c>
      <c r="J778" s="2345">
        <f>J1193</f>
        <v>18</v>
      </c>
      <c r="K778" s="2988">
        <f>J1239</f>
        <v>668</v>
      </c>
      <c r="L778" s="3315">
        <f>K964</f>
        <v>1.3282828282828283</v>
      </c>
      <c r="M778" s="560"/>
      <c r="R778" s="566"/>
      <c r="S778" s="52"/>
      <c r="T778" s="63"/>
      <c r="U778" s="63"/>
      <c r="V778" s="3224" t="s">
        <v>45</v>
      </c>
      <c r="W778" s="3328">
        <v>356.48140969163001</v>
      </c>
      <c r="X778" s="3329">
        <v>343.28687958567122</v>
      </c>
      <c r="Y778" s="3220">
        <v>214.85</v>
      </c>
      <c r="Z778" s="3221">
        <v>214.85</v>
      </c>
      <c r="AA778" s="3221">
        <v>214.85</v>
      </c>
      <c r="AB778" s="3222">
        <v>214.85</v>
      </c>
      <c r="AC778" s="3251">
        <v>305.98</v>
      </c>
      <c r="AD778" s="3252">
        <v>345.16</v>
      </c>
      <c r="AE778" s="2552">
        <v>163.83000000000001</v>
      </c>
      <c r="AF778" s="2236">
        <f t="shared" si="96"/>
        <v>188.86</v>
      </c>
      <c r="AG778" s="949"/>
      <c r="AH778" s="957"/>
      <c r="AI778" s="957"/>
      <c r="AJ778" s="958"/>
      <c r="AK778" s="958"/>
      <c r="AL778" s="958"/>
      <c r="AM778" s="958"/>
      <c r="AN778" s="958"/>
      <c r="AO778" s="958"/>
      <c r="DG778" s="3259">
        <f>(DI778+DI779)/(DJ778+DJ779)</f>
        <v>1.3667611242924753</v>
      </c>
      <c r="DH778" s="2521" t="str">
        <f t="shared" si="97"/>
        <v>Cooling RES 18 Year EUL</v>
      </c>
      <c r="DI778" s="3260">
        <f>(INDEX('Avoided Cost Benefits'!$B$4:$B$866,MATCH(DH778,'Avoided Cost Benefits'!$A$4:$A$866,0)))*F778</f>
        <v>432.44575438615988</v>
      </c>
      <c r="DJ778" s="2507">
        <f t="shared" si="98"/>
        <v>668</v>
      </c>
    </row>
    <row r="779" spans="1:114">
      <c r="A779" s="453"/>
      <c r="B779" s="1454">
        <f t="shared" si="93"/>
        <v>351650</v>
      </c>
      <c r="C779" s="2554" t="s">
        <v>1988</v>
      </c>
      <c r="D779" s="2402" t="s">
        <v>1122</v>
      </c>
      <c r="E779" s="2522" t="s">
        <v>1989</v>
      </c>
      <c r="F779" s="2552">
        <f>ROUND((($J$838*$J$865*(1/$J$892-1/$J$946))/1000)*$J$1124*$J$1166,2)</f>
        <v>792.89</v>
      </c>
      <c r="G779" s="2646" t="s">
        <v>1046</v>
      </c>
      <c r="H779" s="2213">
        <f>VLOOKUP(G779,'CP FACTORS'!$A$3:$B$38, 2, FALSE)</f>
        <v>0</v>
      </c>
      <c r="I779" s="2246">
        <f t="shared" si="99"/>
        <v>0</v>
      </c>
      <c r="J779" s="2345">
        <f>J1194</f>
        <v>18</v>
      </c>
      <c r="K779" s="2583">
        <f>J1240</f>
        <v>0</v>
      </c>
      <c r="L779" s="3315"/>
      <c r="M779" s="560"/>
      <c r="R779" s="566"/>
      <c r="S779" s="52"/>
      <c r="T779" s="63"/>
      <c r="U779" s="63"/>
      <c r="V779" s="3224" t="s">
        <v>45</v>
      </c>
      <c r="W779" s="3328">
        <v>688.58947368421047</v>
      </c>
      <c r="X779" s="3329">
        <v>588.317504093769</v>
      </c>
      <c r="Y779" s="3220">
        <v>513.91</v>
      </c>
      <c r="Z779" s="3221">
        <v>513.91</v>
      </c>
      <c r="AA779" s="3221">
        <v>513.91</v>
      </c>
      <c r="AB779" s="3222">
        <v>513.91</v>
      </c>
      <c r="AC779" s="3251">
        <v>632.35</v>
      </c>
      <c r="AD779" s="3252">
        <v>1041.06</v>
      </c>
      <c r="AE779" s="2552">
        <v>369.67</v>
      </c>
      <c r="AF779" s="2236">
        <f t="shared" si="96"/>
        <v>792.89</v>
      </c>
      <c r="AG779" s="949"/>
      <c r="AH779" s="957"/>
      <c r="AI779" s="957"/>
      <c r="AJ779" s="958"/>
      <c r="AK779" s="958"/>
      <c r="AL779" s="958"/>
      <c r="AM779" s="958"/>
      <c r="AN779" s="958"/>
      <c r="AO779" s="958"/>
      <c r="DG779" s="3261"/>
      <c r="DH779" s="2522" t="str">
        <f t="shared" si="97"/>
        <v>Heating RES 18 Year EUL</v>
      </c>
      <c r="DI779" s="3260">
        <f>(INDEX('Avoided Cost Benefits'!$B$4:$B$866,MATCH(DH779,'Avoided Cost Benefits'!$A$4:$A$866,0)))*F779</f>
        <v>480.55067664121361</v>
      </c>
      <c r="DJ779" s="2507">
        <f t="shared" si="98"/>
        <v>0</v>
      </c>
    </row>
    <row r="780" spans="1:114">
      <c r="A780" s="453"/>
      <c r="B780" s="1454">
        <f t="shared" si="93"/>
        <v>351651</v>
      </c>
      <c r="C780" s="2554" t="s">
        <v>1990</v>
      </c>
      <c r="D780" s="3317" t="s">
        <v>1118</v>
      </c>
      <c r="E780" s="2521" t="s">
        <v>1991</v>
      </c>
      <c r="F780" s="2552">
        <f>ROUND((($J$982*$J$1009*(1/$J$1036-1/$J$1090))/1000)*$J$1146*$J$1166,2)</f>
        <v>124.03</v>
      </c>
      <c r="G780" s="2646" t="s">
        <v>1045</v>
      </c>
      <c r="H780" s="2213">
        <f>VLOOKUP(G780,'CP FACTORS'!$A$3:$B$38, 2, FALSE)</f>
        <v>9.4741810000000004E-4</v>
      </c>
      <c r="I780" s="2246">
        <f>ROUND(F780*H780,6)</f>
        <v>0.117508</v>
      </c>
      <c r="J780" s="3320">
        <f>J778</f>
        <v>18</v>
      </c>
      <c r="K780" s="3323">
        <f>K778</f>
        <v>668</v>
      </c>
      <c r="L780" s="3315">
        <f>K982</f>
        <v>1.0068493150684932</v>
      </c>
      <c r="M780" s="560"/>
      <c r="R780" s="566"/>
      <c r="S780" s="52"/>
      <c r="T780" s="63"/>
      <c r="U780" s="63"/>
      <c r="V780" s="3224" t="s">
        <v>45</v>
      </c>
      <c r="W780" s="3328">
        <v>356.48140969163001</v>
      </c>
      <c r="X780" s="3329"/>
      <c r="Y780" s="3220">
        <v>189.47</v>
      </c>
      <c r="Z780" s="3221">
        <v>189.47</v>
      </c>
      <c r="AA780" s="3221">
        <v>189.47</v>
      </c>
      <c r="AB780" s="3258">
        <v>141.09</v>
      </c>
      <c r="AC780" s="3251">
        <v>200.94</v>
      </c>
      <c r="AD780" s="3252">
        <v>226.66</v>
      </c>
      <c r="AE780" s="2552">
        <v>107.58</v>
      </c>
      <c r="AF780" s="2236">
        <f t="shared" si="96"/>
        <v>124.03</v>
      </c>
      <c r="AG780" s="949"/>
      <c r="AH780" s="957"/>
      <c r="AI780" s="957"/>
      <c r="AJ780" s="958"/>
      <c r="AK780" s="958"/>
      <c r="AL780" s="958"/>
      <c r="AM780" s="958"/>
      <c r="AN780" s="958"/>
      <c r="AO780" s="958"/>
      <c r="DG780" s="3259">
        <f>(DI780+DI781)/(DJ780+DJ781)</f>
        <v>0.69857297780084959</v>
      </c>
      <c r="DH780" s="2521" t="str">
        <f>CONCATENATE(G780," ",J780," Year EUL")</f>
        <v>Cooling RES 18 Year EUL</v>
      </c>
      <c r="DI780" s="3260">
        <f>(INDEX('Avoided Cost Benefits'!$B$4:$B$866,MATCH(DH780,'Avoided Cost Benefits'!$A$4:$A$866,0)))*F780</f>
        <v>284.00003662244734</v>
      </c>
      <c r="DJ780" s="2507">
        <f t="shared" si="98"/>
        <v>668</v>
      </c>
    </row>
    <row r="781" spans="1:114">
      <c r="A781" s="453"/>
      <c r="B781" s="1454">
        <f t="shared" si="93"/>
        <v>351651</v>
      </c>
      <c r="C781" s="2554" t="s">
        <v>1990</v>
      </c>
      <c r="D781" s="3317" t="s">
        <v>1118</v>
      </c>
      <c r="E781" s="2522" t="s">
        <v>1991</v>
      </c>
      <c r="F781" s="2552">
        <f>ROUND((($J$847*$J$874*(1/$J$901-1/$J$955))/1000)*$J$1147*$J$1166,2)</f>
        <v>301.36</v>
      </c>
      <c r="G781" s="2646" t="s">
        <v>1046</v>
      </c>
      <c r="H781" s="2213">
        <f>VLOOKUP(G781,'CP FACTORS'!$A$3:$B$38, 2, FALSE)</f>
        <v>0</v>
      </c>
      <c r="I781" s="2246">
        <f>ROUND(F781*H781,6)</f>
        <v>0</v>
      </c>
      <c r="J781" s="3320">
        <f>J779</f>
        <v>18</v>
      </c>
      <c r="K781" s="3321">
        <f>K779</f>
        <v>0</v>
      </c>
      <c r="L781" s="3315"/>
      <c r="M781" s="560"/>
      <c r="R781" s="566"/>
      <c r="S781" s="52"/>
      <c r="T781" s="63"/>
      <c r="U781" s="63"/>
      <c r="V781" s="3224" t="s">
        <v>45</v>
      </c>
      <c r="W781" s="3328">
        <v>688.58947368421047</v>
      </c>
      <c r="X781" s="3329"/>
      <c r="Y781" s="3220">
        <v>236.58</v>
      </c>
      <c r="Z781" s="3221">
        <v>236.58</v>
      </c>
      <c r="AA781" s="3221">
        <v>236.58</v>
      </c>
      <c r="AB781" s="3258">
        <v>195.32</v>
      </c>
      <c r="AC781" s="3251">
        <v>240.34</v>
      </c>
      <c r="AD781" s="3252">
        <v>395.68</v>
      </c>
      <c r="AE781" s="2552">
        <v>140.5</v>
      </c>
      <c r="AF781" s="2236">
        <f t="shared" ref="AF781:AF817" si="100">IF(F781&lt;&gt;"",F781,"")</f>
        <v>301.36</v>
      </c>
      <c r="AG781" s="949"/>
      <c r="AH781" s="957"/>
      <c r="AI781" s="957"/>
      <c r="AJ781" s="958"/>
      <c r="AK781" s="958"/>
      <c r="AL781" s="958"/>
      <c r="AM781" s="958"/>
      <c r="AN781" s="958"/>
      <c r="AO781" s="958"/>
      <c r="DG781" s="3261"/>
      <c r="DH781" s="2522" t="str">
        <f>CONCATENATE(G781," ",J781," Year EUL")</f>
        <v>Heating RES 18 Year EUL</v>
      </c>
      <c r="DI781" s="3260">
        <f>(INDEX('Avoided Cost Benefits'!$B$4:$B$866,MATCH(DH781,'Avoided Cost Benefits'!$A$4:$A$866,0)))*F781</f>
        <v>182.64671254852016</v>
      </c>
      <c r="DJ781" s="2507">
        <f t="shared" ref="DJ781:DJ817" si="101">K781/(1.0686^(2025-2025))</f>
        <v>0</v>
      </c>
    </row>
    <row r="782" spans="1:114">
      <c r="A782" s="453"/>
      <c r="B782" s="1454">
        <f t="shared" si="93"/>
        <v>351700</v>
      </c>
      <c r="C782" s="2554" t="s">
        <v>1992</v>
      </c>
      <c r="D782" s="2402" t="s">
        <v>1122</v>
      </c>
      <c r="E782" s="2521" t="s">
        <v>1993</v>
      </c>
      <c r="F782" s="2552">
        <f>ROUND((($J$974*$J$1001*(1/$J$1028-1/$J$1082))/1000)*$J$1125*$J$1166,2)</f>
        <v>188.86</v>
      </c>
      <c r="G782" s="2646" t="s">
        <v>1045</v>
      </c>
      <c r="H782" s="2213">
        <f>VLOOKUP(G782,'CP FACTORS'!$A$3:$B$38, 2, FALSE)</f>
        <v>9.4741810000000004E-4</v>
      </c>
      <c r="I782" s="2246">
        <f t="shared" si="99"/>
        <v>0.178929</v>
      </c>
      <c r="J782" s="2345">
        <f>J1195</f>
        <v>18</v>
      </c>
      <c r="K782" s="2988">
        <f>J1241</f>
        <v>668</v>
      </c>
      <c r="L782" s="3315">
        <f>K965</f>
        <v>1.3282828282828283</v>
      </c>
      <c r="M782" s="560"/>
      <c r="R782" s="566"/>
      <c r="S782" s="52"/>
      <c r="T782" s="63"/>
      <c r="U782" s="63"/>
      <c r="V782" s="3224" t="s">
        <v>45</v>
      </c>
      <c r="W782" s="3328">
        <v>356.48140969163001</v>
      </c>
      <c r="X782" s="3329">
        <v>343.28687958567122</v>
      </c>
      <c r="Y782" s="3220">
        <v>214.85</v>
      </c>
      <c r="Z782" s="3221">
        <v>214.85</v>
      </c>
      <c r="AA782" s="3221">
        <v>214.85</v>
      </c>
      <c r="AB782" s="3258">
        <v>312.66000000000003</v>
      </c>
      <c r="AC782" s="3251">
        <v>296.29000000000002</v>
      </c>
      <c r="AD782" s="3252">
        <v>345.16</v>
      </c>
      <c r="AE782" s="2552">
        <v>163.83000000000001</v>
      </c>
      <c r="AF782" s="2236">
        <f t="shared" si="100"/>
        <v>188.86</v>
      </c>
      <c r="AG782" s="949"/>
      <c r="AH782" s="957"/>
      <c r="AI782" s="957"/>
      <c r="AJ782" s="958"/>
      <c r="AK782" s="958"/>
      <c r="AL782" s="958"/>
      <c r="AM782" s="958"/>
      <c r="AN782" s="958"/>
      <c r="AO782" s="958"/>
      <c r="DG782" s="3259">
        <f>(DI782+DI783)/(DJ782+DJ783)</f>
        <v>1.3667611242924753</v>
      </c>
      <c r="DH782" s="2521" t="str">
        <f t="shared" si="97"/>
        <v>Cooling RES 18 Year EUL</v>
      </c>
      <c r="DI782" s="3260">
        <f>(INDEX('Avoided Cost Benefits'!$B$4:$B$866,MATCH(DH782,'Avoided Cost Benefits'!$A$4:$A$866,0)))*F782</f>
        <v>432.44575438615988</v>
      </c>
      <c r="DJ782" s="2507">
        <f t="shared" si="101"/>
        <v>668</v>
      </c>
    </row>
    <row r="783" spans="1:114">
      <c r="A783" s="453"/>
      <c r="B783" s="1454">
        <f t="shared" si="93"/>
        <v>351700</v>
      </c>
      <c r="C783" s="2554" t="s">
        <v>1992</v>
      </c>
      <c r="D783" s="2402" t="s">
        <v>1122</v>
      </c>
      <c r="E783" s="2522" t="s">
        <v>1993</v>
      </c>
      <c r="F783" s="2552">
        <f>ROUND((($J$839*$J$865*(1/$J$893-1/$J$947))/1000)*$J$1126*$J$1166,2)</f>
        <v>792.89</v>
      </c>
      <c r="G783" s="2646" t="s">
        <v>1046</v>
      </c>
      <c r="H783" s="2213">
        <f>VLOOKUP(G783,'CP FACTORS'!$A$3:$B$38, 2, FALSE)</f>
        <v>0</v>
      </c>
      <c r="I783" s="2246">
        <f t="shared" si="99"/>
        <v>0</v>
      </c>
      <c r="J783" s="2345">
        <f>J1196</f>
        <v>18</v>
      </c>
      <c r="K783" s="2583">
        <f>J1242</f>
        <v>0</v>
      </c>
      <c r="L783" s="3315"/>
      <c r="M783" s="560"/>
      <c r="R783" s="566"/>
      <c r="S783" s="52"/>
      <c r="T783" s="63"/>
      <c r="U783" s="63"/>
      <c r="V783" s="3224" t="s">
        <v>45</v>
      </c>
      <c r="W783" s="3328">
        <v>688.58947368421047</v>
      </c>
      <c r="X783" s="3329">
        <v>588.317504093769</v>
      </c>
      <c r="Y783" s="3220">
        <v>513.91</v>
      </c>
      <c r="Z783" s="3221">
        <v>513.91</v>
      </c>
      <c r="AA783" s="3221">
        <v>513.91</v>
      </c>
      <c r="AB783" s="3258">
        <v>585.46</v>
      </c>
      <c r="AC783" s="3251">
        <v>639.13</v>
      </c>
      <c r="AD783" s="3252">
        <v>1041.06</v>
      </c>
      <c r="AE783" s="2552">
        <v>369.67</v>
      </c>
      <c r="AF783" s="2236">
        <f t="shared" si="100"/>
        <v>792.89</v>
      </c>
      <c r="AG783" s="949"/>
      <c r="AH783" s="957"/>
      <c r="AI783" s="957"/>
      <c r="AJ783" s="958"/>
      <c r="AK783" s="958"/>
      <c r="AL783" s="958"/>
      <c r="AM783" s="958"/>
      <c r="AN783" s="958"/>
      <c r="AO783" s="958"/>
      <c r="DG783" s="3261"/>
      <c r="DH783" s="2522" t="str">
        <f t="shared" si="97"/>
        <v>Heating RES 18 Year EUL</v>
      </c>
      <c r="DI783" s="3260">
        <f>(INDEX('Avoided Cost Benefits'!$B$4:$B$866,MATCH(DH783,'Avoided Cost Benefits'!$A$4:$A$866,0)))*F783</f>
        <v>480.55067664121361</v>
      </c>
      <c r="DJ783" s="2507">
        <f t="shared" si="101"/>
        <v>0</v>
      </c>
    </row>
    <row r="784" spans="1:114">
      <c r="A784" s="453"/>
      <c r="B784" s="1454">
        <f t="shared" si="93"/>
        <v>351701</v>
      </c>
      <c r="C784" s="2554" t="s">
        <v>1994</v>
      </c>
      <c r="D784" s="3317" t="s">
        <v>1118</v>
      </c>
      <c r="E784" s="2521" t="s">
        <v>1995</v>
      </c>
      <c r="F784" s="2552">
        <f>ROUND((($J$983*$J$1010*(1/$J$1037-1/$J$1091))/1000)*$J$1148*$J$1166,2)</f>
        <v>124.03</v>
      </c>
      <c r="G784" s="2646" t="s">
        <v>1045</v>
      </c>
      <c r="H784" s="2213">
        <f>VLOOKUP(G784,'CP FACTORS'!$A$3:$B$38, 2, FALSE)</f>
        <v>9.4741810000000004E-4</v>
      </c>
      <c r="I784" s="2246">
        <f>ROUND(F784*H784,6)</f>
        <v>0.117508</v>
      </c>
      <c r="J784" s="3320">
        <f>J782</f>
        <v>18</v>
      </c>
      <c r="K784" s="3323">
        <f>K782</f>
        <v>668</v>
      </c>
      <c r="L784" s="3315">
        <f>K983</f>
        <v>1.0068493150684932</v>
      </c>
      <c r="M784" s="560"/>
      <c r="R784" s="566"/>
      <c r="S784" s="52"/>
      <c r="T784" s="63"/>
      <c r="U784" s="63"/>
      <c r="V784" s="3224" t="s">
        <v>45</v>
      </c>
      <c r="W784" s="3328"/>
      <c r="X784" s="3329"/>
      <c r="Y784" s="3220">
        <v>189.47</v>
      </c>
      <c r="Z784" s="3221">
        <v>189.47</v>
      </c>
      <c r="AA784" s="3221">
        <v>189.47</v>
      </c>
      <c r="AB784" s="3258">
        <v>205.32</v>
      </c>
      <c r="AC784" s="3251">
        <v>194.57</v>
      </c>
      <c r="AD784" s="3252">
        <v>226.66</v>
      </c>
      <c r="AE784" s="2552">
        <v>107.58</v>
      </c>
      <c r="AF784" s="2236">
        <f t="shared" si="100"/>
        <v>124.03</v>
      </c>
      <c r="AG784" s="949"/>
      <c r="AH784" s="957"/>
      <c r="AI784" s="957"/>
      <c r="AJ784" s="958"/>
      <c r="AK784" s="958"/>
      <c r="AL784" s="958"/>
      <c r="AM784" s="958"/>
      <c r="AN784" s="958"/>
      <c r="AO784" s="958"/>
      <c r="DG784" s="3259">
        <f>(DI784+DI785)/(DJ784+DJ785)</f>
        <v>0.69857297780084959</v>
      </c>
      <c r="DH784" s="2521" t="str">
        <f>CONCATENATE(G784," ",J784," Year EUL")</f>
        <v>Cooling RES 18 Year EUL</v>
      </c>
      <c r="DI784" s="3260">
        <f>(INDEX('Avoided Cost Benefits'!$B$4:$B$866,MATCH(DH784,'Avoided Cost Benefits'!$A$4:$A$866,0)))*F784</f>
        <v>284.00003662244734</v>
      </c>
      <c r="DJ784" s="2507">
        <f t="shared" si="101"/>
        <v>668</v>
      </c>
    </row>
    <row r="785" spans="1:115">
      <c r="A785" s="453"/>
      <c r="B785" s="1454">
        <f t="shared" si="93"/>
        <v>351701</v>
      </c>
      <c r="C785" s="2554" t="s">
        <v>1994</v>
      </c>
      <c r="D785" s="3317" t="s">
        <v>1118</v>
      </c>
      <c r="E785" s="2522" t="s">
        <v>1995</v>
      </c>
      <c r="F785" s="2552">
        <f>ROUND((($J$848*$J$875*(1/$J$902-1/$J$956))/1000)*$J$1149*$J$1166,2)</f>
        <v>301.36</v>
      </c>
      <c r="G785" s="2646" t="s">
        <v>1046</v>
      </c>
      <c r="H785" s="2213">
        <f>VLOOKUP(G785,'CP FACTORS'!$A$3:$B$38, 2, FALSE)</f>
        <v>0</v>
      </c>
      <c r="I785" s="2246">
        <f>ROUND(F785*H785,6)</f>
        <v>0</v>
      </c>
      <c r="J785" s="3320">
        <f>J783</f>
        <v>18</v>
      </c>
      <c r="K785" s="3321">
        <f>K783</f>
        <v>0</v>
      </c>
      <c r="L785" s="3315"/>
      <c r="M785" s="560"/>
      <c r="R785" s="566"/>
      <c r="S785" s="52"/>
      <c r="T785" s="63"/>
      <c r="U785" s="63"/>
      <c r="V785" s="3224" t="s">
        <v>45</v>
      </c>
      <c r="W785" s="3328"/>
      <c r="X785" s="3329"/>
      <c r="Y785" s="3220">
        <v>236.58</v>
      </c>
      <c r="Z785" s="3221">
        <v>236.58</v>
      </c>
      <c r="AA785" s="3221">
        <v>236.58</v>
      </c>
      <c r="AB785" s="3258">
        <v>222.52</v>
      </c>
      <c r="AC785" s="3251">
        <v>242.92</v>
      </c>
      <c r="AD785" s="3252">
        <v>395.68</v>
      </c>
      <c r="AE785" s="2552">
        <v>140.5</v>
      </c>
      <c r="AF785" s="2236">
        <f t="shared" si="100"/>
        <v>301.36</v>
      </c>
      <c r="AG785" s="949"/>
      <c r="AH785" s="957"/>
      <c r="AI785" s="957"/>
      <c r="AJ785" s="958"/>
      <c r="AK785" s="958"/>
      <c r="AL785" s="958"/>
      <c r="AM785" s="958"/>
      <c r="AN785" s="958"/>
      <c r="AO785" s="958"/>
      <c r="DG785" s="3261"/>
      <c r="DH785" s="2522" t="str">
        <f>CONCATENATE(G785," ",J785," Year EUL")</f>
        <v>Heating RES 18 Year EUL</v>
      </c>
      <c r="DI785" s="3260">
        <f>(INDEX('Avoided Cost Benefits'!$B$4:$B$866,MATCH(DH785,'Avoided Cost Benefits'!$A$4:$A$866,0)))*F785</f>
        <v>182.64671254852016</v>
      </c>
      <c r="DJ785" s="2507">
        <f t="shared" si="101"/>
        <v>0</v>
      </c>
    </row>
    <row r="786" spans="1:115">
      <c r="A786" s="453"/>
      <c r="B786" s="1454">
        <f t="shared" si="93"/>
        <v>351750</v>
      </c>
      <c r="C786" s="2554" t="s">
        <v>1996</v>
      </c>
      <c r="D786" s="2402" t="s">
        <v>1122</v>
      </c>
      <c r="E786" s="2521" t="s">
        <v>1997</v>
      </c>
      <c r="F786" s="2552">
        <f>ROUND((($J$975*$J$1002*(1/$J$1056-1/$J$1083))/1000)*$J$1127*$J$1166,2)</f>
        <v>1150.45</v>
      </c>
      <c r="G786" s="2646" t="s">
        <v>1045</v>
      </c>
      <c r="H786" s="2213">
        <f>VLOOKUP(G786,'CP FACTORS'!$A$3:$B$38, 2, FALSE)</f>
        <v>9.4741810000000004E-4</v>
      </c>
      <c r="I786" s="2246">
        <f t="shared" si="99"/>
        <v>1.0899570000000001</v>
      </c>
      <c r="J786" s="2345">
        <f>J1197</f>
        <v>6</v>
      </c>
      <c r="K786" s="2988">
        <f>J1243</f>
        <v>1320</v>
      </c>
      <c r="L786" s="2800">
        <f>K975</f>
        <v>2</v>
      </c>
      <c r="M786" s="560"/>
      <c r="R786" s="566"/>
      <c r="S786" s="52"/>
      <c r="T786" s="63"/>
      <c r="U786" s="63"/>
      <c r="V786" s="3224" t="s">
        <v>45</v>
      </c>
      <c r="W786" s="3328">
        <v>971.87426470588241</v>
      </c>
      <c r="X786" s="3329">
        <v>1056.3780560562595</v>
      </c>
      <c r="Y786" s="3220">
        <v>1175.8</v>
      </c>
      <c r="Z786" s="3221">
        <v>1175.8</v>
      </c>
      <c r="AA786" s="3221">
        <v>1175.8</v>
      </c>
      <c r="AB786" s="3258">
        <v>1039.47</v>
      </c>
      <c r="AC786" s="3251">
        <v>884.18</v>
      </c>
      <c r="AD786" s="3252">
        <v>1200.76</v>
      </c>
      <c r="AE786" s="2553">
        <v>1200.76</v>
      </c>
      <c r="AF786" s="2236">
        <f t="shared" si="100"/>
        <v>1150.45</v>
      </c>
      <c r="AG786" s="949"/>
      <c r="AH786" s="957"/>
      <c r="AI786" s="957"/>
      <c r="AJ786" s="958"/>
      <c r="AK786" s="958"/>
      <c r="AL786" s="958"/>
      <c r="AM786" s="958"/>
      <c r="AN786" s="958"/>
      <c r="AO786" s="958"/>
      <c r="DG786" s="3259">
        <f>(DI786+DI787+DI788+DI789)/(DJ786+DJ787+DJ788+DJ789)</f>
        <v>3.6819649925298052</v>
      </c>
      <c r="DH786" s="2521" t="str">
        <f t="shared" si="97"/>
        <v>Cooling RES 6 Year EUL</v>
      </c>
      <c r="DI786" s="3260">
        <f>(INDEX('Avoided Cost Benefits'!$B$4:$B$866,MATCH(DH786,'Avoided Cost Benefits'!$A$4:$A$866,0)))*F786</f>
        <v>1145.6734435665005</v>
      </c>
      <c r="DJ786" s="2507">
        <f t="shared" si="101"/>
        <v>1320</v>
      </c>
    </row>
    <row r="787" spans="1:115">
      <c r="A787" s="453"/>
      <c r="B787" s="1454">
        <f t="shared" si="93"/>
        <v>351750</v>
      </c>
      <c r="C787" s="2554" t="s">
        <v>1996</v>
      </c>
      <c r="D787" s="2402" t="s">
        <v>1122</v>
      </c>
      <c r="E787" s="2882" t="s">
        <v>1997</v>
      </c>
      <c r="F787" s="2553">
        <f>ROUND((($J$840*$J$866*(1/$J$921-1/$J$948))/1000)*$J$1128*$J$1166,2)</f>
        <v>5287.87</v>
      </c>
      <c r="G787" s="2646" t="s">
        <v>1046</v>
      </c>
      <c r="H787" s="2213">
        <f>VLOOKUP(G787,'CP FACTORS'!$A$3:$B$38, 2, FALSE)</f>
        <v>0</v>
      </c>
      <c r="I787" s="3314">
        <f t="shared" si="99"/>
        <v>0</v>
      </c>
      <c r="J787" s="2345">
        <f>J1198</f>
        <v>6</v>
      </c>
      <c r="K787" s="2583">
        <f>J1244</f>
        <v>0</v>
      </c>
      <c r="L787" s="3315"/>
      <c r="M787" s="560"/>
      <c r="R787" s="566"/>
      <c r="S787" s="52"/>
      <c r="T787" s="63"/>
      <c r="U787" s="63"/>
      <c r="V787" s="3224" t="s">
        <v>45</v>
      </c>
      <c r="W787" s="3328">
        <v>3391.6348573661585</v>
      </c>
      <c r="X787" s="3329">
        <v>3583.6754087630852</v>
      </c>
      <c r="Y787" s="3220">
        <v>3822.23</v>
      </c>
      <c r="Z787" s="3221">
        <v>3822.23</v>
      </c>
      <c r="AA787" s="3221">
        <v>3822.23</v>
      </c>
      <c r="AB787" s="3258">
        <v>3646.53</v>
      </c>
      <c r="AC787" s="3251">
        <v>3895.33</v>
      </c>
      <c r="AD787" s="3252">
        <v>5287.87</v>
      </c>
      <c r="AE787" s="2553">
        <v>5287.87</v>
      </c>
      <c r="AF787" s="2236">
        <f t="shared" si="100"/>
        <v>5287.87</v>
      </c>
      <c r="AG787" s="949"/>
      <c r="AH787" s="957"/>
      <c r="AI787" s="957"/>
      <c r="AJ787" s="958"/>
      <c r="AK787" s="958"/>
      <c r="AL787" s="958"/>
      <c r="AM787" s="958"/>
      <c r="AN787" s="958"/>
      <c r="AO787" s="958"/>
      <c r="DG787" s="3332"/>
      <c r="DH787" s="2882" t="str">
        <f t="shared" si="97"/>
        <v>Heating RES 6 Year EUL</v>
      </c>
      <c r="DI787" s="3260">
        <f>(INDEX('Avoided Cost Benefits'!$B$4:$B$866,MATCH(DH787,'Avoided Cost Benefits'!$A$4:$A$866,0)))*F787</f>
        <v>1418.0946874089398</v>
      </c>
      <c r="DJ787" s="2507">
        <f t="shared" si="101"/>
        <v>0</v>
      </c>
    </row>
    <row r="788" spans="1:115">
      <c r="A788" s="453"/>
      <c r="B788" s="1454">
        <f t="shared" si="93"/>
        <v>351750</v>
      </c>
      <c r="C788" s="2554" t="s">
        <v>1996</v>
      </c>
      <c r="D788" s="2402" t="s">
        <v>1122</v>
      </c>
      <c r="E788" s="2882" t="s">
        <v>1998</v>
      </c>
      <c r="F788" s="2552">
        <f>ROUND((($J$975*$J$1002*(1/$J$1029-1/$J$1083))/1000)*$J$1129*$J$1166,2)</f>
        <v>393.9</v>
      </c>
      <c r="G788" s="2402" t="s">
        <v>1786</v>
      </c>
      <c r="H788" s="2213">
        <f>VLOOKUP(G788,'CP FACTORS'!$A$3:$B$38, 2, FALSE)</f>
        <v>9.4741810000000004E-4</v>
      </c>
      <c r="I788" s="2246">
        <f t="shared" si="99"/>
        <v>0.37318800000000002</v>
      </c>
      <c r="J788" s="2345">
        <f>J1199</f>
        <v>12</v>
      </c>
      <c r="K788" s="2583">
        <f>J1245</f>
        <v>0</v>
      </c>
      <c r="L788" s="3315"/>
      <c r="M788" s="560"/>
      <c r="R788" s="566"/>
      <c r="S788" s="52"/>
      <c r="T788" s="63"/>
      <c r="U788" s="63"/>
      <c r="V788" s="3224" t="s">
        <v>45</v>
      </c>
      <c r="W788" s="3328">
        <v>306.32250000000005</v>
      </c>
      <c r="X788" s="3329">
        <v>343.28687958567122</v>
      </c>
      <c r="Y788" s="3220">
        <v>374.15</v>
      </c>
      <c r="Z788" s="3221">
        <v>374.15</v>
      </c>
      <c r="AA788" s="3221">
        <v>374.15</v>
      </c>
      <c r="AB788" s="3258">
        <v>386.88</v>
      </c>
      <c r="AC788" s="3251">
        <v>362.75</v>
      </c>
      <c r="AD788" s="3252">
        <v>428.89</v>
      </c>
      <c r="AE788" s="2552">
        <v>345.16</v>
      </c>
      <c r="AF788" s="2236">
        <f t="shared" si="100"/>
        <v>393.9</v>
      </c>
      <c r="AG788" s="949"/>
      <c r="AH788" s="957"/>
      <c r="AI788" s="957"/>
      <c r="AJ788" s="958"/>
      <c r="AK788" s="958"/>
      <c r="AL788" s="958"/>
      <c r="AM788" s="958"/>
      <c r="AN788" s="958"/>
      <c r="AO788" s="958"/>
      <c r="DG788" s="3332"/>
      <c r="DH788" s="2882" t="str">
        <f t="shared" si="97"/>
        <v>Cooling RES ER2 12 Year EUL</v>
      </c>
      <c r="DI788" s="3260">
        <f>(INDEX('Avoided Cost Benefits'!$B$4:$B$866,MATCH(DH788,'Avoided Cost Benefits'!$A$4:$A$866,0)))*F788</f>
        <v>509.67540403254816</v>
      </c>
      <c r="DJ788" s="2507">
        <f t="shared" si="101"/>
        <v>0</v>
      </c>
    </row>
    <row r="789" spans="1:115">
      <c r="A789" s="453"/>
      <c r="B789" s="1454">
        <f t="shared" si="93"/>
        <v>351750</v>
      </c>
      <c r="C789" s="2554" t="s">
        <v>1996</v>
      </c>
      <c r="D789" s="2402" t="s">
        <v>1122</v>
      </c>
      <c r="E789" s="2522" t="s">
        <v>1998</v>
      </c>
      <c r="F789" s="2553">
        <f>ROUND((($J$840*$J$866*(1/$J$894-1/$J$948))/1000)*$J$1130*$J$1166,2)</f>
        <v>5287.87</v>
      </c>
      <c r="G789" s="3324" t="s">
        <v>1967</v>
      </c>
      <c r="H789" s="2213">
        <f>VLOOKUP(G789,'CP FACTORS'!$A$3:$B$38, 2, FALSE)</f>
        <v>0</v>
      </c>
      <c r="I789" s="3314">
        <f t="shared" si="99"/>
        <v>0</v>
      </c>
      <c r="J789" s="2345">
        <f>J1200</f>
        <v>12</v>
      </c>
      <c r="K789" s="2583">
        <f>J1246</f>
        <v>0</v>
      </c>
      <c r="L789" s="3315"/>
      <c r="M789" s="560"/>
      <c r="R789" s="566"/>
      <c r="S789" s="52"/>
      <c r="T789" s="63"/>
      <c r="U789" s="63"/>
      <c r="V789" s="3224" t="s">
        <v>45</v>
      </c>
      <c r="W789" s="3328">
        <v>725.33333333333314</v>
      </c>
      <c r="X789" s="3329">
        <v>3586.6841445343662</v>
      </c>
      <c r="Y789" s="3220">
        <v>3822.23</v>
      </c>
      <c r="Z789" s="3221">
        <v>3822.23</v>
      </c>
      <c r="AA789" s="3221">
        <v>3822.23</v>
      </c>
      <c r="AB789" s="3258">
        <v>3646.53</v>
      </c>
      <c r="AC789" s="3251">
        <v>3895.33</v>
      </c>
      <c r="AD789" s="3252">
        <v>5287.87</v>
      </c>
      <c r="AE789" s="2553">
        <v>5287.87</v>
      </c>
      <c r="AF789" s="2236">
        <f t="shared" si="100"/>
        <v>5287.87</v>
      </c>
      <c r="AG789" s="949"/>
      <c r="AH789" s="957"/>
      <c r="AI789" s="957"/>
      <c r="AJ789" s="958"/>
      <c r="AK789" s="958"/>
      <c r="AL789" s="958"/>
      <c r="AM789" s="958"/>
      <c r="AN789" s="958"/>
      <c r="AO789" s="958"/>
      <c r="DG789" s="3332"/>
      <c r="DH789" s="2522" t="str">
        <f t="shared" si="97"/>
        <v>Heating RES ER2 12 Year EUL</v>
      </c>
      <c r="DI789" s="3260">
        <f>(INDEX('Avoided Cost Benefits'!$B$4:$B$866,MATCH(DH789,'Avoided Cost Benefits'!$A$4:$A$866,0)))*F789</f>
        <v>1786.7502551313544</v>
      </c>
      <c r="DJ789" s="2507">
        <f t="shared" si="101"/>
        <v>0</v>
      </c>
    </row>
    <row r="790" spans="1:115">
      <c r="A790" s="453"/>
      <c r="B790" s="1454">
        <f t="shared" si="93"/>
        <v>351751</v>
      </c>
      <c r="C790" s="2554" t="s">
        <v>1999</v>
      </c>
      <c r="D790" s="3317" t="s">
        <v>1118</v>
      </c>
      <c r="E790" s="2521" t="s">
        <v>2000</v>
      </c>
      <c r="F790" s="2552">
        <f>ROUND((($J$984*$J$1011*(1/$J$1065-1/$J$1092))/1000)*$J$1150*$J$1166,2)</f>
        <v>755.49</v>
      </c>
      <c r="G790" s="2646" t="s">
        <v>1045</v>
      </c>
      <c r="H790" s="2213">
        <f>VLOOKUP(G790,'CP FACTORS'!$A$3:$B$38, 2, FALSE)</f>
        <v>9.4741810000000004E-4</v>
      </c>
      <c r="I790" s="2246">
        <f t="shared" si="99"/>
        <v>0.71576499999999998</v>
      </c>
      <c r="J790" s="3320">
        <f t="shared" ref="J790:K793" si="102">J786</f>
        <v>6</v>
      </c>
      <c r="K790" s="3323">
        <f t="shared" si="102"/>
        <v>1320</v>
      </c>
      <c r="L790" s="3315">
        <f>K984</f>
        <v>2</v>
      </c>
      <c r="M790" s="560"/>
      <c r="R790" s="566"/>
      <c r="S790" s="52"/>
      <c r="T790" s="63"/>
      <c r="U790" s="63"/>
      <c r="V790" s="3224" t="s">
        <v>45</v>
      </c>
      <c r="W790" s="3328"/>
      <c r="X790" s="3329"/>
      <c r="Y790" s="3220">
        <v>1036.93</v>
      </c>
      <c r="Z790" s="3221">
        <v>1036.93</v>
      </c>
      <c r="AA790" s="3221">
        <v>1036.93</v>
      </c>
      <c r="AB790" s="3258">
        <v>682.61</v>
      </c>
      <c r="AC790" s="3251">
        <v>580.64</v>
      </c>
      <c r="AD790" s="3252">
        <v>788.53</v>
      </c>
      <c r="AE790" s="2553">
        <v>788.53</v>
      </c>
      <c r="AF790" s="2236">
        <f t="shared" si="100"/>
        <v>755.49</v>
      </c>
      <c r="AG790" s="949"/>
      <c r="AH790" s="957"/>
      <c r="AI790" s="957"/>
      <c r="AJ790" s="958"/>
      <c r="AK790" s="958"/>
      <c r="AL790" s="958"/>
      <c r="AM790" s="958"/>
      <c r="AN790" s="958"/>
      <c r="AO790" s="958"/>
      <c r="DG790" s="3259">
        <f>(DI790+DI791+DI792+DI793)/(DJ790+DJ791+DJ792+DJ793)</f>
        <v>1.7463189228680076</v>
      </c>
      <c r="DH790" s="2521" t="str">
        <f t="shared" ref="DH790:DH801" si="103">CONCATENATE(G790," ",J790," Year EUL")</f>
        <v>Cooling RES 6 Year EUL</v>
      </c>
      <c r="DI790" s="3260">
        <f>(INDEX('Avoided Cost Benefits'!$B$4:$B$866,MATCH(DH790,'Avoided Cost Benefits'!$A$4:$A$866,0)))*F790</f>
        <v>752.35327904737744</v>
      </c>
      <c r="DJ790" s="2507">
        <f t="shared" si="101"/>
        <v>1320</v>
      </c>
    </row>
    <row r="791" spans="1:115">
      <c r="A791" s="453"/>
      <c r="B791" s="1454">
        <f t="shared" si="93"/>
        <v>351751</v>
      </c>
      <c r="C791" s="2554" t="s">
        <v>1999</v>
      </c>
      <c r="D791" s="3317" t="s">
        <v>1118</v>
      </c>
      <c r="E791" s="2882" t="s">
        <v>2000</v>
      </c>
      <c r="F791" s="2553">
        <f>ROUND((($J$849*$J$876*(1/$J$930-1/$J$957))/1000)*$J$1151*$J$1166,2)</f>
        <v>2009.8</v>
      </c>
      <c r="G791" s="2646" t="s">
        <v>1046</v>
      </c>
      <c r="H791" s="2213">
        <f>VLOOKUP(G791,'CP FACTORS'!$A$3:$B$38, 2, FALSE)</f>
        <v>0</v>
      </c>
      <c r="I791" s="3314">
        <f t="shared" si="99"/>
        <v>0</v>
      </c>
      <c r="J791" s="3320">
        <f t="shared" si="102"/>
        <v>6</v>
      </c>
      <c r="K791" s="3321">
        <f t="shared" si="102"/>
        <v>0</v>
      </c>
      <c r="L791" s="3315"/>
      <c r="M791" s="560"/>
      <c r="R791" s="566"/>
      <c r="S791" s="52"/>
      <c r="T791" s="63"/>
      <c r="U791" s="63"/>
      <c r="V791" s="3224" t="s">
        <v>45</v>
      </c>
      <c r="W791" s="3328"/>
      <c r="X791" s="3329"/>
      <c r="Y791" s="3220">
        <v>1759.56</v>
      </c>
      <c r="Z791" s="3221">
        <v>1759.56</v>
      </c>
      <c r="AA791" s="3221">
        <v>1759.56</v>
      </c>
      <c r="AB791" s="3258">
        <v>1385.96</v>
      </c>
      <c r="AC791" s="3251">
        <v>1480.53</v>
      </c>
      <c r="AD791" s="3252">
        <v>2009.8</v>
      </c>
      <c r="AE791" s="2553">
        <v>2009.8</v>
      </c>
      <c r="AF791" s="2236">
        <f t="shared" si="100"/>
        <v>2009.8</v>
      </c>
      <c r="AG791" s="949"/>
      <c r="AH791" s="957"/>
      <c r="AI791" s="957"/>
      <c r="AJ791" s="958"/>
      <c r="AK791" s="958"/>
      <c r="AL791" s="958"/>
      <c r="AM791" s="958"/>
      <c r="AN791" s="958"/>
      <c r="AO791" s="958"/>
      <c r="DG791" s="3332"/>
      <c r="DH791" s="2882" t="str">
        <f t="shared" si="103"/>
        <v>Heating RES 6 Year EUL</v>
      </c>
      <c r="DI791" s="3260">
        <f>(INDEX('Avoided Cost Benefits'!$B$4:$B$866,MATCH(DH791,'Avoided Cost Benefits'!$A$4:$A$866,0)))*F791</f>
        <v>538.9857736204724</v>
      </c>
      <c r="DJ791" s="2507">
        <f t="shared" si="101"/>
        <v>0</v>
      </c>
    </row>
    <row r="792" spans="1:115">
      <c r="A792" s="453"/>
      <c r="B792" s="1454">
        <f t="shared" si="93"/>
        <v>351751</v>
      </c>
      <c r="C792" s="2554" t="s">
        <v>1999</v>
      </c>
      <c r="D792" s="3317" t="s">
        <v>1118</v>
      </c>
      <c r="E792" s="2882" t="s">
        <v>2001</v>
      </c>
      <c r="F792" s="2552">
        <f>ROUND((($J$984*$J$1011*(1/$J$1038-1/$J$1092))/1000)*$J$1152*$J$1166,2)</f>
        <v>258.67</v>
      </c>
      <c r="G792" s="2402" t="s">
        <v>1786</v>
      </c>
      <c r="H792" s="2213">
        <f>VLOOKUP(G792,'CP FACTORS'!$A$3:$B$38, 2, FALSE)</f>
        <v>9.4741810000000004E-4</v>
      </c>
      <c r="I792" s="2246">
        <f t="shared" si="99"/>
        <v>0.24506900000000001</v>
      </c>
      <c r="J792" s="3320">
        <f t="shared" si="102"/>
        <v>12</v>
      </c>
      <c r="K792" s="3321">
        <f t="shared" si="102"/>
        <v>0</v>
      </c>
      <c r="L792" s="3315"/>
      <c r="M792" s="560"/>
      <c r="R792" s="566"/>
      <c r="S792" s="52"/>
      <c r="T792" s="63"/>
      <c r="U792" s="63"/>
      <c r="V792" s="3224" t="s">
        <v>45</v>
      </c>
      <c r="W792" s="3328"/>
      <c r="X792" s="3329"/>
      <c r="Y792" s="3220">
        <v>329.96</v>
      </c>
      <c r="Z792" s="3221">
        <v>329.96</v>
      </c>
      <c r="AA792" s="3221">
        <v>329.96</v>
      </c>
      <c r="AB792" s="3258">
        <v>254.06</v>
      </c>
      <c r="AC792" s="3251">
        <v>238.21</v>
      </c>
      <c r="AD792" s="3252">
        <v>281.64999999999998</v>
      </c>
      <c r="AE792" s="2552">
        <v>226.66</v>
      </c>
      <c r="AF792" s="2236">
        <f t="shared" si="100"/>
        <v>258.67</v>
      </c>
      <c r="AG792" s="949"/>
      <c r="AH792" s="957"/>
      <c r="AI792" s="957"/>
      <c r="AJ792" s="958"/>
      <c r="AK792" s="958"/>
      <c r="AL792" s="958"/>
      <c r="AM792" s="958"/>
      <c r="AN792" s="958"/>
      <c r="AO792" s="958"/>
      <c r="DG792" s="3332"/>
      <c r="DH792" s="2882" t="str">
        <f t="shared" si="103"/>
        <v>Cooling RES ER2 12 Year EUL</v>
      </c>
      <c r="DI792" s="3260">
        <f>(INDEX('Avoided Cost Benefits'!$B$4:$B$866,MATCH(DH792,'Avoided Cost Benefits'!$A$4:$A$866,0)))*F792</f>
        <v>334.69849393526084</v>
      </c>
      <c r="DJ792" s="2507">
        <f t="shared" si="101"/>
        <v>0</v>
      </c>
    </row>
    <row r="793" spans="1:115">
      <c r="A793" s="453"/>
      <c r="B793" s="1454">
        <f t="shared" si="93"/>
        <v>351751</v>
      </c>
      <c r="C793" s="2554" t="s">
        <v>1999</v>
      </c>
      <c r="D793" s="3317" t="s">
        <v>1118</v>
      </c>
      <c r="E793" s="2522" t="s">
        <v>2001</v>
      </c>
      <c r="F793" s="2553">
        <f>ROUND((($J$849*$J$876*(1/$J$903-1/$J$957))/1000)*$J$1153*$J$1166,2)</f>
        <v>2009.8</v>
      </c>
      <c r="G793" s="3324" t="s">
        <v>1967</v>
      </c>
      <c r="H793" s="2213">
        <f>VLOOKUP(G793,'CP FACTORS'!$A$3:$B$38, 2, FALSE)</f>
        <v>0</v>
      </c>
      <c r="I793" s="3314">
        <f t="shared" si="99"/>
        <v>0</v>
      </c>
      <c r="J793" s="3320">
        <f t="shared" si="102"/>
        <v>12</v>
      </c>
      <c r="K793" s="3325">
        <f t="shared" si="102"/>
        <v>0</v>
      </c>
      <c r="L793" s="3315"/>
      <c r="M793" s="560"/>
      <c r="R793" s="566"/>
      <c r="S793" s="52"/>
      <c r="T793" s="63"/>
      <c r="U793" s="63"/>
      <c r="V793" s="3224" t="s">
        <v>45</v>
      </c>
      <c r="W793" s="3328"/>
      <c r="X793" s="3329"/>
      <c r="Y793" s="3220">
        <v>1759.56</v>
      </c>
      <c r="Z793" s="3221">
        <v>1759.56</v>
      </c>
      <c r="AA793" s="3221">
        <v>1759.56</v>
      </c>
      <c r="AB793" s="3258">
        <v>1385.96</v>
      </c>
      <c r="AC793" s="3251">
        <v>1480.53</v>
      </c>
      <c r="AD793" s="3252">
        <v>2009.8</v>
      </c>
      <c r="AE793" s="2553">
        <v>2009.8</v>
      </c>
      <c r="AF793" s="2236">
        <f t="shared" si="100"/>
        <v>2009.8</v>
      </c>
      <c r="AG793" s="949"/>
      <c r="AH793" s="957"/>
      <c r="AI793" s="957"/>
      <c r="AJ793" s="958"/>
      <c r="AK793" s="958"/>
      <c r="AL793" s="958"/>
      <c r="AM793" s="958"/>
      <c r="AN793" s="958"/>
      <c r="AO793" s="958"/>
      <c r="DG793" s="3332"/>
      <c r="DH793" s="2522" t="str">
        <f t="shared" si="103"/>
        <v>Heating RES ER2 12 Year EUL</v>
      </c>
      <c r="DI793" s="3260">
        <f>(INDEX('Avoided Cost Benefits'!$B$4:$B$866,MATCH(DH793,'Avoided Cost Benefits'!$A$4:$A$866,0)))*F793</f>
        <v>679.10343158265925</v>
      </c>
      <c r="DJ793" s="2507">
        <f t="shared" si="101"/>
        <v>0</v>
      </c>
    </row>
    <row r="794" spans="1:115">
      <c r="A794" s="453"/>
      <c r="B794" s="1454">
        <f t="shared" si="93"/>
        <v>351752</v>
      </c>
      <c r="C794" s="2554" t="s">
        <v>2002</v>
      </c>
      <c r="D794" s="2402" t="s">
        <v>1122</v>
      </c>
      <c r="E794" s="2521" t="s">
        <v>2003</v>
      </c>
      <c r="F794" s="2553">
        <f>ROUND((($J$977*$J$1004*(1/$J$1058-1/$J$1085))/1000)*$J$1131*$J$1166,2)</f>
        <v>1093.24</v>
      </c>
      <c r="G794" s="2646" t="s">
        <v>1045</v>
      </c>
      <c r="H794" s="2213">
        <f>VLOOKUP(G794,'CP FACTORS'!$A$3:$B$38, 2, FALSE)</f>
        <v>9.4741810000000004E-4</v>
      </c>
      <c r="I794" s="3314">
        <f t="shared" si="99"/>
        <v>1.035755</v>
      </c>
      <c r="J794" s="2345">
        <f>J1201</f>
        <v>6</v>
      </c>
      <c r="K794" s="2500">
        <f>J1247</f>
        <v>161.96453986727821</v>
      </c>
      <c r="L794" s="2800">
        <f>K977</f>
        <v>2</v>
      </c>
      <c r="M794" s="560"/>
      <c r="R794" s="566"/>
      <c r="S794" s="52"/>
      <c r="T794" s="942"/>
      <c r="U794" s="942"/>
      <c r="V794" s="3224" t="s">
        <v>45</v>
      </c>
      <c r="W794" s="3330"/>
      <c r="X794" s="3329"/>
      <c r="Y794" s="3220"/>
      <c r="Z794" s="3220"/>
      <c r="AA794" s="3220"/>
      <c r="AB794" s="3258"/>
      <c r="AC794" s="3251"/>
      <c r="AD794" s="3252">
        <v>1093.24</v>
      </c>
      <c r="AE794" s="2553">
        <v>1093.24</v>
      </c>
      <c r="AF794" s="2236">
        <f t="shared" si="100"/>
        <v>1093.24</v>
      </c>
      <c r="AG794" s="670"/>
      <c r="AH794" s="943"/>
      <c r="AI794" s="943"/>
      <c r="AJ794" s="942"/>
      <c r="AK794" s="942"/>
      <c r="AL794" s="942"/>
      <c r="AM794" s="942"/>
      <c r="AN794" s="942"/>
      <c r="AO794" s="942"/>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c r="CT794" s="41"/>
      <c r="CU794" s="41"/>
      <c r="CV794" s="41"/>
      <c r="CW794" s="41"/>
      <c r="CX794" s="41"/>
      <c r="CY794" s="41"/>
      <c r="CZ794" s="41"/>
      <c r="DA794" s="41"/>
      <c r="DB794" s="41"/>
      <c r="DC794" s="41"/>
      <c r="DD794" s="41"/>
      <c r="DE794" s="41"/>
      <c r="DF794" s="41"/>
      <c r="DG794" s="3259">
        <f>(DI794+DI795+DI796+DI797)/(DJ794+DJ795+DJ796+DJ797)</f>
        <v>9.8686810042551691</v>
      </c>
      <c r="DH794" s="2521" t="str">
        <f t="shared" si="103"/>
        <v>Cooling RES 6 Year EUL</v>
      </c>
      <c r="DI794" s="3260">
        <f>(INDEX('Avoided Cost Benefits'!$B$4:$B$866,MATCH(DH794,'Avoided Cost Benefits'!$A$4:$A$866,0)))*F794</f>
        <v>1088.7009739185892</v>
      </c>
      <c r="DJ794" s="2507">
        <f t="shared" si="101"/>
        <v>161.96453986727821</v>
      </c>
      <c r="DK794" s="41"/>
    </row>
    <row r="795" spans="1:115">
      <c r="A795" s="453"/>
      <c r="B795" s="1454">
        <f t="shared" si="93"/>
        <v>351752</v>
      </c>
      <c r="C795" s="2554" t="s">
        <v>2002</v>
      </c>
      <c r="D795" s="2402" t="s">
        <v>1122</v>
      </c>
      <c r="E795" s="2882" t="s">
        <v>2003</v>
      </c>
      <c r="F795" s="2553">
        <f>0</f>
        <v>0</v>
      </c>
      <c r="G795" s="2646" t="s">
        <v>1046</v>
      </c>
      <c r="H795" s="2213">
        <f>VLOOKUP(G795,'CP FACTORS'!$A$3:$B$38, 2, FALSE)</f>
        <v>0</v>
      </c>
      <c r="I795" s="3314">
        <f t="shared" si="99"/>
        <v>0</v>
      </c>
      <c r="J795" s="2345">
        <f>J1202</f>
        <v>6</v>
      </c>
      <c r="K795" s="2482">
        <f>J1248</f>
        <v>0</v>
      </c>
      <c r="L795" s="2800"/>
      <c r="M795" s="560"/>
      <c r="R795" s="566"/>
      <c r="S795" s="52"/>
      <c r="T795" s="942"/>
      <c r="U795" s="942"/>
      <c r="V795" s="3224" t="s">
        <v>45</v>
      </c>
      <c r="W795" s="3330"/>
      <c r="X795" s="3329"/>
      <c r="Y795" s="3220"/>
      <c r="Z795" s="3220"/>
      <c r="AA795" s="3220"/>
      <c r="AB795" s="3258"/>
      <c r="AC795" s="3251"/>
      <c r="AD795" s="3252">
        <v>0</v>
      </c>
      <c r="AE795" s="2553">
        <v>0</v>
      </c>
      <c r="AF795" s="2236">
        <f t="shared" si="100"/>
        <v>0</v>
      </c>
      <c r="AG795" s="670"/>
      <c r="AH795" s="943"/>
      <c r="AI795" s="943"/>
      <c r="AJ795" s="942"/>
      <c r="AK795" s="942"/>
      <c r="AL795" s="942"/>
      <c r="AM795" s="942"/>
      <c r="AN795" s="942"/>
      <c r="AO795" s="942"/>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c r="CT795" s="41"/>
      <c r="CU795" s="41"/>
      <c r="CV795" s="41"/>
      <c r="CW795" s="41"/>
      <c r="CX795" s="41"/>
      <c r="CY795" s="41"/>
      <c r="CZ795" s="41"/>
      <c r="DA795" s="41"/>
      <c r="DB795" s="41"/>
      <c r="DC795" s="41"/>
      <c r="DD795" s="41"/>
      <c r="DE795" s="41"/>
      <c r="DF795" s="41"/>
      <c r="DG795" s="3332"/>
      <c r="DH795" s="2882" t="str">
        <f t="shared" si="103"/>
        <v>Heating RES 6 Year EUL</v>
      </c>
      <c r="DI795" s="3260">
        <f>(INDEX('Avoided Cost Benefits'!$B$4:$B$866,MATCH(DH795,'Avoided Cost Benefits'!$A$4:$A$866,0)))*F795</f>
        <v>0</v>
      </c>
      <c r="DJ795" s="2507">
        <f t="shared" si="101"/>
        <v>0</v>
      </c>
      <c r="DK795" s="41"/>
    </row>
    <row r="796" spans="1:115">
      <c r="A796" s="453"/>
      <c r="B796" s="1454">
        <f t="shared" si="93"/>
        <v>351752</v>
      </c>
      <c r="C796" s="2554" t="s">
        <v>2002</v>
      </c>
      <c r="D796" s="2402" t="s">
        <v>1122</v>
      </c>
      <c r="E796" s="2882" t="s">
        <v>2004</v>
      </c>
      <c r="F796" s="2552">
        <f>ROUND((($J$977*$J$1004*(1/$J$1031-1/$J$1085))/1000)*$J$1134*$J$1166,2)</f>
        <v>393.9</v>
      </c>
      <c r="G796" s="2402" t="s">
        <v>1786</v>
      </c>
      <c r="H796" s="2213">
        <f>VLOOKUP(G796,'CP FACTORS'!$A$3:$B$38, 2, FALSE)</f>
        <v>9.4741810000000004E-4</v>
      </c>
      <c r="I796" s="2246">
        <f t="shared" si="99"/>
        <v>0.37318800000000002</v>
      </c>
      <c r="J796" s="2345">
        <f>J1203</f>
        <v>12</v>
      </c>
      <c r="K796" s="2482">
        <f>J1249</f>
        <v>0</v>
      </c>
      <c r="L796" s="2800"/>
      <c r="M796" s="560"/>
      <c r="R796" s="566"/>
      <c r="S796" s="52"/>
      <c r="T796" s="942"/>
      <c r="U796" s="942"/>
      <c r="V796" s="3224" t="s">
        <v>45</v>
      </c>
      <c r="W796" s="3330"/>
      <c r="X796" s="3329"/>
      <c r="Y796" s="3220"/>
      <c r="Z796" s="3220"/>
      <c r="AA796" s="3220"/>
      <c r="AB796" s="3258"/>
      <c r="AC796" s="3251"/>
      <c r="AD796" s="3252">
        <v>428.89</v>
      </c>
      <c r="AE796" s="2552">
        <v>345.16</v>
      </c>
      <c r="AF796" s="2236">
        <f t="shared" si="100"/>
        <v>393.9</v>
      </c>
      <c r="AG796" s="670"/>
      <c r="AH796" s="943"/>
      <c r="AI796" s="943"/>
      <c r="AJ796" s="942"/>
      <c r="AK796" s="942"/>
      <c r="AL796" s="942"/>
      <c r="AM796" s="942"/>
      <c r="AN796" s="942"/>
      <c r="AO796" s="942"/>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c r="CT796" s="41"/>
      <c r="CU796" s="41"/>
      <c r="CV796" s="41"/>
      <c r="CW796" s="41"/>
      <c r="CX796" s="41"/>
      <c r="CY796" s="41"/>
      <c r="CZ796" s="41"/>
      <c r="DA796" s="41"/>
      <c r="DB796" s="41"/>
      <c r="DC796" s="41"/>
      <c r="DD796" s="41"/>
      <c r="DE796" s="41"/>
      <c r="DF796" s="41"/>
      <c r="DG796" s="3332"/>
      <c r="DH796" s="2882" t="str">
        <f t="shared" si="103"/>
        <v>Cooling RES ER2 12 Year EUL</v>
      </c>
      <c r="DI796" s="3260">
        <f>(INDEX('Avoided Cost Benefits'!$B$4:$B$866,MATCH(DH796,'Avoided Cost Benefits'!$A$4:$A$866,0)))*F796</f>
        <v>509.67540403254816</v>
      </c>
      <c r="DJ796" s="2507">
        <f t="shared" si="101"/>
        <v>0</v>
      </c>
      <c r="DK796" s="41"/>
    </row>
    <row r="797" spans="1:115">
      <c r="A797" s="453"/>
      <c r="B797" s="1454">
        <f t="shared" si="93"/>
        <v>351752</v>
      </c>
      <c r="C797" s="2554" t="s">
        <v>2002</v>
      </c>
      <c r="D797" s="2402" t="s">
        <v>1122</v>
      </c>
      <c r="E797" s="2522" t="s">
        <v>2004</v>
      </c>
      <c r="F797" s="2553">
        <f>0</f>
        <v>0</v>
      </c>
      <c r="G797" s="3324" t="s">
        <v>1967</v>
      </c>
      <c r="H797" s="2213">
        <f>VLOOKUP(G797,'CP FACTORS'!$A$3:$B$38, 2, FALSE)</f>
        <v>0</v>
      </c>
      <c r="I797" s="3314">
        <f t="shared" si="99"/>
        <v>0</v>
      </c>
      <c r="J797" s="2345">
        <f>J1204</f>
        <v>12</v>
      </c>
      <c r="K797" s="2482">
        <f>J1250</f>
        <v>0</v>
      </c>
      <c r="L797" s="2800"/>
      <c r="M797" s="560"/>
      <c r="R797" s="566"/>
      <c r="S797" s="52"/>
      <c r="T797" s="942"/>
      <c r="U797" s="942"/>
      <c r="V797" s="3224" t="s">
        <v>45</v>
      </c>
      <c r="W797" s="3330"/>
      <c r="X797" s="3329"/>
      <c r="Y797" s="3220"/>
      <c r="Z797" s="3220"/>
      <c r="AA797" s="3220"/>
      <c r="AB797" s="3258"/>
      <c r="AC797" s="3251"/>
      <c r="AD797" s="3252">
        <v>0</v>
      </c>
      <c r="AE797" s="2553">
        <v>0</v>
      </c>
      <c r="AF797" s="2236">
        <f t="shared" si="100"/>
        <v>0</v>
      </c>
      <c r="AG797" s="670"/>
      <c r="AH797" s="943"/>
      <c r="AI797" s="943"/>
      <c r="AJ797" s="942"/>
      <c r="AK797" s="942"/>
      <c r="AL797" s="942"/>
      <c r="AM797" s="942"/>
      <c r="AN797" s="942"/>
      <c r="AO797" s="942"/>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c r="CT797" s="41"/>
      <c r="CU797" s="41"/>
      <c r="CV797" s="41"/>
      <c r="CW797" s="41"/>
      <c r="CX797" s="41"/>
      <c r="CY797" s="41"/>
      <c r="CZ797" s="41"/>
      <c r="DA797" s="41"/>
      <c r="DB797" s="41"/>
      <c r="DC797" s="41"/>
      <c r="DD797" s="41"/>
      <c r="DE797" s="41"/>
      <c r="DF797" s="41"/>
      <c r="DG797" s="3332"/>
      <c r="DH797" s="2522" t="str">
        <f t="shared" si="103"/>
        <v>Heating RES ER2 12 Year EUL</v>
      </c>
      <c r="DI797" s="3260">
        <f>(INDEX('Avoided Cost Benefits'!$B$4:$B$866,MATCH(DH797,'Avoided Cost Benefits'!$A$4:$A$866,0)))*F797</f>
        <v>0</v>
      </c>
      <c r="DJ797" s="2507">
        <f t="shared" si="101"/>
        <v>0</v>
      </c>
      <c r="DK797" s="41"/>
    </row>
    <row r="798" spans="1:115">
      <c r="A798" s="453"/>
      <c r="B798" s="1454">
        <f t="shared" si="93"/>
        <v>351753</v>
      </c>
      <c r="C798" s="2554" t="s">
        <v>2005</v>
      </c>
      <c r="D798" s="3317" t="s">
        <v>1118</v>
      </c>
      <c r="E798" s="2521" t="s">
        <v>2006</v>
      </c>
      <c r="F798" s="2552">
        <f>ROUND((($J$986*$J$1013*(1/$J$1067-1/$J$1094))/1000)*$J$1154*$J$1166,2)</f>
        <v>755.49</v>
      </c>
      <c r="G798" s="2646" t="s">
        <v>1045</v>
      </c>
      <c r="H798" s="2213">
        <f>VLOOKUP(G798,'CP FACTORS'!$A$3:$B$38, 2, FALSE)</f>
        <v>9.4741810000000004E-4</v>
      </c>
      <c r="I798" s="2246">
        <f t="shared" si="99"/>
        <v>0.71576499999999998</v>
      </c>
      <c r="J798" s="3320">
        <f t="shared" ref="J798:K801" si="104">J794</f>
        <v>6</v>
      </c>
      <c r="K798" s="3326">
        <f t="shared" si="104"/>
        <v>161.96453986727821</v>
      </c>
      <c r="L798" s="2800">
        <f>K986</f>
        <v>2</v>
      </c>
      <c r="M798" s="560"/>
      <c r="R798" s="566"/>
      <c r="S798" s="52"/>
      <c r="T798" s="942"/>
      <c r="U798" s="942"/>
      <c r="V798" s="3224" t="s">
        <v>45</v>
      </c>
      <c r="W798" s="3330"/>
      <c r="X798" s="3329"/>
      <c r="Y798" s="3220"/>
      <c r="Z798" s="3220"/>
      <c r="AA798" s="3220"/>
      <c r="AB798" s="3258"/>
      <c r="AC798" s="3251"/>
      <c r="AD798" s="3252">
        <v>788.53</v>
      </c>
      <c r="AE798" s="2553">
        <v>788.53</v>
      </c>
      <c r="AF798" s="2236">
        <f t="shared" si="100"/>
        <v>755.49</v>
      </c>
      <c r="AG798" s="670"/>
      <c r="AH798" s="943"/>
      <c r="AI798" s="943"/>
      <c r="AJ798" s="942"/>
      <c r="AK798" s="942"/>
      <c r="AL798" s="942"/>
      <c r="AM798" s="942"/>
      <c r="AN798" s="942"/>
      <c r="AO798" s="942"/>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c r="CT798" s="41"/>
      <c r="CU798" s="41"/>
      <c r="CV798" s="41"/>
      <c r="CW798" s="41"/>
      <c r="CX798" s="41"/>
      <c r="CY798" s="41"/>
      <c r="CZ798" s="41"/>
      <c r="DA798" s="41"/>
      <c r="DB798" s="41"/>
      <c r="DC798" s="41"/>
      <c r="DD798" s="41"/>
      <c r="DE798" s="41"/>
      <c r="DF798" s="41"/>
      <c r="DG798" s="3259">
        <f>(DI798+DI799+DI800+DI801)/(DJ798+DJ799+DJ800+DJ801)</f>
        <v>6.7116652439689739</v>
      </c>
      <c r="DH798" s="2521" t="str">
        <f t="shared" si="103"/>
        <v>Cooling RES 6 Year EUL</v>
      </c>
      <c r="DI798" s="3260">
        <f>(INDEX('Avoided Cost Benefits'!$B$4:$B$866,MATCH(DH798,'Avoided Cost Benefits'!$A$4:$A$866,0)))*F798</f>
        <v>752.35327904737744</v>
      </c>
      <c r="DJ798" s="2507">
        <f t="shared" si="101"/>
        <v>161.96453986727821</v>
      </c>
      <c r="DK798" s="41"/>
    </row>
    <row r="799" spans="1:115">
      <c r="A799" s="453"/>
      <c r="B799" s="1454">
        <f t="shared" si="93"/>
        <v>351753</v>
      </c>
      <c r="C799" s="2554" t="s">
        <v>2005</v>
      </c>
      <c r="D799" s="3317" t="s">
        <v>1118</v>
      </c>
      <c r="E799" s="2882" t="s">
        <v>2006</v>
      </c>
      <c r="F799" s="2553">
        <f>0</f>
        <v>0</v>
      </c>
      <c r="G799" s="2646" t="s">
        <v>1046</v>
      </c>
      <c r="H799" s="2213">
        <f>VLOOKUP(G799,'CP FACTORS'!$A$3:$B$38, 2, FALSE)</f>
        <v>0</v>
      </c>
      <c r="I799" s="3314">
        <f t="shared" si="99"/>
        <v>0</v>
      </c>
      <c r="J799" s="3320">
        <f t="shared" si="104"/>
        <v>6</v>
      </c>
      <c r="K799" s="3325">
        <f t="shared" si="104"/>
        <v>0</v>
      </c>
      <c r="L799" s="2800"/>
      <c r="M799" s="560"/>
      <c r="R799" s="566"/>
      <c r="S799" s="52"/>
      <c r="T799" s="942"/>
      <c r="U799" s="942"/>
      <c r="V799" s="3224" t="s">
        <v>45</v>
      </c>
      <c r="W799" s="3330"/>
      <c r="X799" s="3329"/>
      <c r="Y799" s="3220"/>
      <c r="Z799" s="3220"/>
      <c r="AA799" s="3220"/>
      <c r="AB799" s="3258"/>
      <c r="AC799" s="3251"/>
      <c r="AD799" s="3252">
        <v>0</v>
      </c>
      <c r="AE799" s="2553">
        <v>0</v>
      </c>
      <c r="AF799" s="2236">
        <f t="shared" si="100"/>
        <v>0</v>
      </c>
      <c r="AG799" s="670"/>
      <c r="AH799" s="943"/>
      <c r="AI799" s="943"/>
      <c r="AJ799" s="942"/>
      <c r="AK799" s="942"/>
      <c r="AL799" s="942"/>
      <c r="AM799" s="942"/>
      <c r="AN799" s="942"/>
      <c r="AO799" s="942"/>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c r="CT799" s="41"/>
      <c r="CU799" s="41"/>
      <c r="CV799" s="41"/>
      <c r="CW799" s="41"/>
      <c r="CX799" s="41"/>
      <c r="CY799" s="41"/>
      <c r="CZ799" s="41"/>
      <c r="DA799" s="41"/>
      <c r="DB799" s="41"/>
      <c r="DC799" s="41"/>
      <c r="DD799" s="41"/>
      <c r="DE799" s="41"/>
      <c r="DF799" s="41"/>
      <c r="DG799" s="3332"/>
      <c r="DH799" s="2882" t="str">
        <f t="shared" si="103"/>
        <v>Heating RES 6 Year EUL</v>
      </c>
      <c r="DI799" s="3260">
        <f>(INDEX('Avoided Cost Benefits'!$B$4:$B$866,MATCH(DH799,'Avoided Cost Benefits'!$A$4:$A$866,0)))*F799</f>
        <v>0</v>
      </c>
      <c r="DJ799" s="2507">
        <f t="shared" si="101"/>
        <v>0</v>
      </c>
      <c r="DK799" s="41"/>
    </row>
    <row r="800" spans="1:115">
      <c r="A800" s="453"/>
      <c r="B800" s="1454">
        <f t="shared" si="93"/>
        <v>351753</v>
      </c>
      <c r="C800" s="2554" t="s">
        <v>2005</v>
      </c>
      <c r="D800" s="3317" t="s">
        <v>1118</v>
      </c>
      <c r="E800" s="2882" t="s">
        <v>2007</v>
      </c>
      <c r="F800" s="2552">
        <f>ROUND((($J$986*$J$1013*(1/$J$1040-1/$J$1094))/1000)*$J$1156*$J$1166,2)</f>
        <v>258.67</v>
      </c>
      <c r="G800" s="2402" t="s">
        <v>1786</v>
      </c>
      <c r="H800" s="2213">
        <f>VLOOKUP(G800,'CP FACTORS'!$A$3:$B$38, 2, FALSE)</f>
        <v>9.4741810000000004E-4</v>
      </c>
      <c r="I800" s="2246">
        <f t="shared" si="99"/>
        <v>0.24506900000000001</v>
      </c>
      <c r="J800" s="3320">
        <f t="shared" si="104"/>
        <v>12</v>
      </c>
      <c r="K800" s="3325">
        <f t="shared" si="104"/>
        <v>0</v>
      </c>
      <c r="L800" s="2800"/>
      <c r="M800" s="560"/>
      <c r="R800" s="566"/>
      <c r="S800" s="52"/>
      <c r="T800" s="942"/>
      <c r="U800" s="942"/>
      <c r="V800" s="3224" t="s">
        <v>45</v>
      </c>
      <c r="W800" s="3330"/>
      <c r="X800" s="3329"/>
      <c r="Y800" s="3220"/>
      <c r="Z800" s="3220"/>
      <c r="AA800" s="3220"/>
      <c r="AB800" s="3258"/>
      <c r="AC800" s="3251"/>
      <c r="AD800" s="3252">
        <v>281.64999999999998</v>
      </c>
      <c r="AE800" s="2552">
        <v>226.66</v>
      </c>
      <c r="AF800" s="2236">
        <f t="shared" si="100"/>
        <v>258.67</v>
      </c>
      <c r="AG800" s="670"/>
      <c r="AH800" s="943"/>
      <c r="AI800" s="943"/>
      <c r="AJ800" s="942"/>
      <c r="AK800" s="942"/>
      <c r="AL800" s="942"/>
      <c r="AM800" s="942"/>
      <c r="AN800" s="942"/>
      <c r="AO800" s="942"/>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c r="CT800" s="41"/>
      <c r="CU800" s="41"/>
      <c r="CV800" s="41"/>
      <c r="CW800" s="41"/>
      <c r="CX800" s="41"/>
      <c r="CY800" s="41"/>
      <c r="CZ800" s="41"/>
      <c r="DA800" s="41"/>
      <c r="DB800" s="41"/>
      <c r="DC800" s="41"/>
      <c r="DD800" s="41"/>
      <c r="DE800" s="41"/>
      <c r="DF800" s="41"/>
      <c r="DG800" s="3332"/>
      <c r="DH800" s="2882" t="str">
        <f t="shared" si="103"/>
        <v>Cooling RES ER2 12 Year EUL</v>
      </c>
      <c r="DI800" s="3260">
        <f>(INDEX('Avoided Cost Benefits'!$B$4:$B$866,MATCH(DH800,'Avoided Cost Benefits'!$A$4:$A$866,0)))*F800</f>
        <v>334.69849393526084</v>
      </c>
      <c r="DJ800" s="2507">
        <f t="shared" si="101"/>
        <v>0</v>
      </c>
      <c r="DK800" s="41"/>
    </row>
    <row r="801" spans="1:115">
      <c r="A801" s="453"/>
      <c r="B801" s="1454">
        <f t="shared" si="93"/>
        <v>351753</v>
      </c>
      <c r="C801" s="2554" t="s">
        <v>2005</v>
      </c>
      <c r="D801" s="3317" t="s">
        <v>1118</v>
      </c>
      <c r="E801" s="2522" t="s">
        <v>2007</v>
      </c>
      <c r="F801" s="2553">
        <f>0</f>
        <v>0</v>
      </c>
      <c r="G801" s="3324" t="s">
        <v>1967</v>
      </c>
      <c r="H801" s="2213">
        <f>VLOOKUP(G801,'CP FACTORS'!$A$3:$B$38, 2, FALSE)</f>
        <v>0</v>
      </c>
      <c r="I801" s="3314">
        <f t="shared" si="99"/>
        <v>0</v>
      </c>
      <c r="J801" s="3320">
        <f t="shared" si="104"/>
        <v>12</v>
      </c>
      <c r="K801" s="3325">
        <f t="shared" si="104"/>
        <v>0</v>
      </c>
      <c r="L801" s="2800"/>
      <c r="M801" s="560"/>
      <c r="R801" s="566"/>
      <c r="S801" s="52"/>
      <c r="T801" s="942"/>
      <c r="U801" s="942"/>
      <c r="V801" s="3224" t="s">
        <v>45</v>
      </c>
      <c r="W801" s="3330"/>
      <c r="X801" s="3329"/>
      <c r="Y801" s="3220"/>
      <c r="Z801" s="3220"/>
      <c r="AA801" s="3220"/>
      <c r="AB801" s="3258"/>
      <c r="AC801" s="3251"/>
      <c r="AD801" s="3252">
        <v>0</v>
      </c>
      <c r="AE801" s="2553">
        <v>0</v>
      </c>
      <c r="AF801" s="2236">
        <f t="shared" si="100"/>
        <v>0</v>
      </c>
      <c r="AG801" s="670"/>
      <c r="AH801" s="943"/>
      <c r="AI801" s="943"/>
      <c r="AJ801" s="942"/>
      <c r="AK801" s="942"/>
      <c r="AL801" s="942"/>
      <c r="AM801" s="942"/>
      <c r="AN801" s="942"/>
      <c r="AO801" s="942"/>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c r="CT801" s="41"/>
      <c r="CU801" s="41"/>
      <c r="CV801" s="41"/>
      <c r="CW801" s="41"/>
      <c r="CX801" s="41"/>
      <c r="CY801" s="41"/>
      <c r="CZ801" s="41"/>
      <c r="DA801" s="41"/>
      <c r="DB801" s="41"/>
      <c r="DC801" s="41"/>
      <c r="DD801" s="41"/>
      <c r="DE801" s="41"/>
      <c r="DF801" s="41"/>
      <c r="DG801" s="3332"/>
      <c r="DH801" s="2522" t="str">
        <f t="shared" si="103"/>
        <v>Heating RES ER2 12 Year EUL</v>
      </c>
      <c r="DI801" s="3260">
        <f>(INDEX('Avoided Cost Benefits'!$B$4:$B$866,MATCH(DH801,'Avoided Cost Benefits'!$A$4:$A$866,0)))*F801</f>
        <v>0</v>
      </c>
      <c r="DJ801" s="2507">
        <f t="shared" si="101"/>
        <v>0</v>
      </c>
      <c r="DK801" s="41"/>
    </row>
    <row r="802" spans="1:115">
      <c r="A802" s="453"/>
      <c r="B802" s="1454">
        <f t="shared" si="93"/>
        <v>351800</v>
      </c>
      <c r="C802" s="2554" t="s">
        <v>2008</v>
      </c>
      <c r="D802" s="2402" t="s">
        <v>1122</v>
      </c>
      <c r="E802" s="2521" t="s">
        <v>2009</v>
      </c>
      <c r="F802" s="2552">
        <f>ROUND((($J$976*$J$1003*(1/$J$1030-1/$J$1084))/1000)*$J$1135*$J$1166,2)</f>
        <v>224.9</v>
      </c>
      <c r="G802" s="2646" t="s">
        <v>1045</v>
      </c>
      <c r="H802" s="2213">
        <f>VLOOKUP(G802,'CP FACTORS'!$A$3:$B$38, 2, FALSE)</f>
        <v>9.4741810000000004E-4</v>
      </c>
      <c r="I802" s="2246">
        <f t="shared" si="99"/>
        <v>0.21307400000000001</v>
      </c>
      <c r="J802" s="2345">
        <f>J1205</f>
        <v>18</v>
      </c>
      <c r="K802" s="2500">
        <f>J1251</f>
        <v>668</v>
      </c>
      <c r="L802" s="2800">
        <f>K976</f>
        <v>1.0068493150684932</v>
      </c>
      <c r="M802" s="560"/>
      <c r="R802" s="566"/>
      <c r="S802" s="52"/>
      <c r="T802" s="63"/>
      <c r="U802" s="63"/>
      <c r="V802" s="3224" t="s">
        <v>45</v>
      </c>
      <c r="W802" s="3328">
        <v>290.63222222222231</v>
      </c>
      <c r="X802" s="3329">
        <v>343.28687958567122</v>
      </c>
      <c r="Y802" s="3220">
        <v>335.42</v>
      </c>
      <c r="Z802" s="3221">
        <v>335.42</v>
      </c>
      <c r="AA802" s="3221">
        <v>335.42</v>
      </c>
      <c r="AB802" s="3258">
        <v>345.19</v>
      </c>
      <c r="AC802" s="3251">
        <v>346.51</v>
      </c>
      <c r="AD802" s="3252">
        <v>345.16</v>
      </c>
      <c r="AE802" s="2552">
        <v>200.36</v>
      </c>
      <c r="AF802" s="2236">
        <f t="shared" si="100"/>
        <v>224.9</v>
      </c>
      <c r="AG802" s="949"/>
      <c r="AH802" s="957"/>
      <c r="AI802" s="957"/>
      <c r="AJ802" s="958"/>
      <c r="AK802" s="958"/>
      <c r="AL802" s="958"/>
      <c r="AM802" s="958"/>
      <c r="AN802" s="958"/>
      <c r="AO802" s="958"/>
      <c r="DG802" s="3259">
        <f>(DI802+DI803)/(DJ802+DJ803)</f>
        <v>4.2840408325489205</v>
      </c>
      <c r="DH802" s="2521" t="str">
        <f t="shared" si="97"/>
        <v>Cooling RES 18 Year EUL</v>
      </c>
      <c r="DI802" s="3260">
        <f>(INDEX('Avoided Cost Benefits'!$B$4:$B$866,MATCH(DH802,'Avoided Cost Benefits'!$A$4:$A$866,0)))*F802</f>
        <v>514.96902552921392</v>
      </c>
      <c r="DJ802" s="2507">
        <f t="shared" si="101"/>
        <v>668</v>
      </c>
    </row>
    <row r="803" spans="1:115">
      <c r="A803" s="453"/>
      <c r="B803" s="1454">
        <f t="shared" si="93"/>
        <v>351800</v>
      </c>
      <c r="C803" s="2554" t="s">
        <v>2008</v>
      </c>
      <c r="D803" s="2402" t="s">
        <v>1122</v>
      </c>
      <c r="E803" s="2522" t="s">
        <v>2009</v>
      </c>
      <c r="F803" s="2553">
        <f xml:space="preserve"> ROUND((($J$832*$J$867*(1/$J$895-1/$J$949))/1000)*$J$1136*$J$1166,2)</f>
        <v>3872.08</v>
      </c>
      <c r="G803" s="2646" t="s">
        <v>1046</v>
      </c>
      <c r="H803" s="2213">
        <f>VLOOKUP(G803,'CP FACTORS'!$A$3:$B$38, 2, FALSE)</f>
        <v>0</v>
      </c>
      <c r="I803" s="3314">
        <f t="shared" si="99"/>
        <v>0</v>
      </c>
      <c r="J803" s="2345">
        <f>J1206</f>
        <v>18</v>
      </c>
      <c r="K803" s="2583">
        <f>J1252</f>
        <v>0</v>
      </c>
      <c r="L803" s="3315"/>
      <c r="M803" s="560"/>
      <c r="R803" s="566"/>
      <c r="S803" s="52"/>
      <c r="T803" s="63"/>
      <c r="U803" s="63"/>
      <c r="V803" s="3224" t="s">
        <v>45</v>
      </c>
      <c r="W803" s="3328">
        <v>695.97460317460309</v>
      </c>
      <c r="X803" s="3329">
        <v>3586.6841445343662</v>
      </c>
      <c r="Y803" s="3220">
        <v>4077.05</v>
      </c>
      <c r="Z803" s="3221">
        <v>4077.05</v>
      </c>
      <c r="AA803" s="3221">
        <v>4077.05</v>
      </c>
      <c r="AB803" s="3258">
        <v>4050.16</v>
      </c>
      <c r="AC803" s="3251">
        <v>4359.3599999999997</v>
      </c>
      <c r="AD803" s="3252">
        <v>4303.97</v>
      </c>
      <c r="AE803" s="2552">
        <v>3872.08</v>
      </c>
      <c r="AF803" s="2236">
        <f t="shared" si="100"/>
        <v>3872.08</v>
      </c>
      <c r="AG803" s="949"/>
      <c r="AH803" s="957"/>
      <c r="AI803" s="957"/>
      <c r="AJ803" s="958"/>
      <c r="AK803" s="958"/>
      <c r="AL803" s="958"/>
      <c r="AM803" s="958"/>
      <c r="AN803" s="958"/>
      <c r="AO803" s="958"/>
      <c r="DG803" s="3261"/>
      <c r="DH803" s="2522" t="str">
        <f t="shared" si="97"/>
        <v>Heating RES 18 Year EUL</v>
      </c>
      <c r="DI803" s="3260">
        <f>(INDEX('Avoided Cost Benefits'!$B$4:$B$866,MATCH(DH803,'Avoided Cost Benefits'!$A$4:$A$866,0)))*F803</f>
        <v>2346.7702506134651</v>
      </c>
      <c r="DJ803" s="2507">
        <f t="shared" si="101"/>
        <v>0</v>
      </c>
    </row>
    <row r="804" spans="1:115">
      <c r="A804" s="453"/>
      <c r="B804" s="1454">
        <f t="shared" si="93"/>
        <v>351801</v>
      </c>
      <c r="C804" s="2554" t="s">
        <v>2010</v>
      </c>
      <c r="D804" s="3317" t="s">
        <v>1118</v>
      </c>
      <c r="E804" s="2521" t="s">
        <v>2011</v>
      </c>
      <c r="F804" s="2552">
        <f>ROUND((($J$985*$J$1012*(1/$J$1039-1/$J$1093))/1000)*$J$1158*$J$1166,2)</f>
        <v>147.69</v>
      </c>
      <c r="G804" s="3324" t="s">
        <v>1045</v>
      </c>
      <c r="H804" s="2213">
        <f>VLOOKUP(G804,'CP FACTORS'!$A$3:$B$38, 2, FALSE)</f>
        <v>9.4741810000000004E-4</v>
      </c>
      <c r="I804" s="2246">
        <f t="shared" si="99"/>
        <v>0.13992399999999999</v>
      </c>
      <c r="J804" s="3320">
        <f>J802</f>
        <v>18</v>
      </c>
      <c r="K804" s="3323">
        <f>K802</f>
        <v>668</v>
      </c>
      <c r="L804" s="3315">
        <f>K985</f>
        <v>1.0068493150684932</v>
      </c>
      <c r="M804" s="560"/>
      <c r="R804" s="566"/>
      <c r="S804" s="52"/>
      <c r="T804" s="63"/>
      <c r="U804" s="63"/>
      <c r="V804" s="3224" t="s">
        <v>45</v>
      </c>
      <c r="W804" s="3328"/>
      <c r="X804" s="3329"/>
      <c r="Y804" s="3220">
        <v>295.8</v>
      </c>
      <c r="Z804" s="3221">
        <v>295.8</v>
      </c>
      <c r="AA804" s="3221">
        <v>295.8</v>
      </c>
      <c r="AB804" s="3258">
        <v>226.68</v>
      </c>
      <c r="AC804" s="3251">
        <v>227.55</v>
      </c>
      <c r="AD804" s="3252">
        <v>226.66</v>
      </c>
      <c r="AE804" s="2552">
        <v>131.58000000000001</v>
      </c>
      <c r="AF804" s="2236">
        <f t="shared" si="100"/>
        <v>147.69</v>
      </c>
      <c r="AG804" s="949"/>
      <c r="AH804" s="957"/>
      <c r="AI804" s="957"/>
      <c r="AJ804" s="958"/>
      <c r="AK804" s="958"/>
      <c r="AL804" s="958"/>
      <c r="AM804" s="958"/>
      <c r="AN804" s="958"/>
      <c r="AO804" s="958"/>
      <c r="DG804" s="3259">
        <f>(DI804+DI805)/(DJ804+DJ805)</f>
        <v>2.1467544926431632</v>
      </c>
      <c r="DH804" s="2521" t="str">
        <f t="shared" ref="DH804:DH809" si="105">CONCATENATE(G804," ",J804," Year EUL")</f>
        <v>Cooling RES 18 Year EUL</v>
      </c>
      <c r="DI804" s="3260">
        <f>(INDEX('Avoided Cost Benefits'!$B$4:$B$866,MATCH(DH804,'Avoided Cost Benefits'!$A$4:$A$866,0)))*F804</f>
        <v>338.17596878794848</v>
      </c>
      <c r="DJ804" s="2507">
        <f t="shared" si="101"/>
        <v>668</v>
      </c>
    </row>
    <row r="805" spans="1:115">
      <c r="A805" s="453"/>
      <c r="B805" s="1454">
        <f t="shared" si="93"/>
        <v>351801</v>
      </c>
      <c r="C805" s="2554" t="s">
        <v>2010</v>
      </c>
      <c r="D805" s="3317" t="s">
        <v>1118</v>
      </c>
      <c r="E805" s="2522" t="s">
        <v>2011</v>
      </c>
      <c r="F805" s="2553">
        <f xml:space="preserve"> ROUND((($J$850*$J$877*(1/$J$904-1/$J$958))/1000)*$J$1159*$J$1166,2)</f>
        <v>1808.12</v>
      </c>
      <c r="G805" s="2646" t="s">
        <v>1046</v>
      </c>
      <c r="H805" s="2213">
        <f>VLOOKUP(G805,'CP FACTORS'!$A$3:$B$38, 2, FALSE)</f>
        <v>0</v>
      </c>
      <c r="I805" s="3314">
        <f t="shared" si="99"/>
        <v>0</v>
      </c>
      <c r="J805" s="3320">
        <f>J803</f>
        <v>18</v>
      </c>
      <c r="K805" s="3321">
        <f>K803</f>
        <v>0</v>
      </c>
      <c r="L805" s="3315"/>
      <c r="M805" s="560"/>
      <c r="R805" s="566"/>
      <c r="S805" s="52"/>
      <c r="T805" s="63"/>
      <c r="U805" s="63"/>
      <c r="V805" s="3224" t="s">
        <v>45</v>
      </c>
      <c r="W805" s="3328"/>
      <c r="X805" s="3329"/>
      <c r="Y805" s="3220">
        <v>1876.86</v>
      </c>
      <c r="Z805" s="3221">
        <v>1876.86</v>
      </c>
      <c r="AA805" s="3221">
        <v>1876.86</v>
      </c>
      <c r="AB805" s="3258">
        <v>1539.37</v>
      </c>
      <c r="AC805" s="3251">
        <v>1656.89</v>
      </c>
      <c r="AD805" s="3252">
        <v>2009.8</v>
      </c>
      <c r="AE805" s="2552">
        <v>1808.12</v>
      </c>
      <c r="AF805" s="2236">
        <f t="shared" si="100"/>
        <v>1808.12</v>
      </c>
      <c r="AG805" s="949"/>
      <c r="AH805" s="957"/>
      <c r="AI805" s="957"/>
      <c r="AJ805" s="958"/>
      <c r="AK805" s="958"/>
      <c r="AL805" s="958"/>
      <c r="AM805" s="958"/>
      <c r="AN805" s="958"/>
      <c r="AO805" s="958"/>
      <c r="DG805" s="3261"/>
      <c r="DH805" s="2522" t="str">
        <f t="shared" si="105"/>
        <v>Heating RES 18 Year EUL</v>
      </c>
      <c r="DI805" s="3260">
        <f>(INDEX('Avoided Cost Benefits'!$B$4:$B$866,MATCH(DH805,'Avoided Cost Benefits'!$A$4:$A$866,0)))*F805</f>
        <v>1095.8560322976846</v>
      </c>
      <c r="DJ805" s="2507">
        <f t="shared" si="101"/>
        <v>0</v>
      </c>
    </row>
    <row r="806" spans="1:115">
      <c r="A806" s="453"/>
      <c r="B806" s="1454">
        <f t="shared" si="93"/>
        <v>351802</v>
      </c>
      <c r="C806" s="2554" t="s">
        <v>2012</v>
      </c>
      <c r="D806" s="2402" t="s">
        <v>1122</v>
      </c>
      <c r="E806" s="2521" t="s">
        <v>2013</v>
      </c>
      <c r="F806" s="2552">
        <f>ROUND((($J$978*$J$1005*(1/$J$1032-1/$J$1086))/1000)*$J$1137*$J$1166,2)</f>
        <v>224.9</v>
      </c>
      <c r="G806" s="2646" t="s">
        <v>1045</v>
      </c>
      <c r="H806" s="2213">
        <f>VLOOKUP(G806,'CP FACTORS'!$A$3:$B$38, 2, FALSE)</f>
        <v>9.4741810000000004E-4</v>
      </c>
      <c r="I806" s="2246">
        <f t="shared" si="99"/>
        <v>0.21307400000000001</v>
      </c>
      <c r="J806" s="2345">
        <f>J1207</f>
        <v>18</v>
      </c>
      <c r="K806" s="2500">
        <f>J1253</f>
        <v>36.669253938266728</v>
      </c>
      <c r="L806" s="2800">
        <f>K978</f>
        <v>1.0068493150684932</v>
      </c>
      <c r="M806" s="560"/>
      <c r="R806" s="566"/>
      <c r="S806" s="52"/>
      <c r="T806" s="942"/>
      <c r="U806" s="942"/>
      <c r="V806" s="3224" t="s">
        <v>45</v>
      </c>
      <c r="W806" s="3330"/>
      <c r="X806" s="3329"/>
      <c r="Y806" s="3220"/>
      <c r="Z806" s="3220"/>
      <c r="AA806" s="3220"/>
      <c r="AB806" s="3258"/>
      <c r="AC806" s="3251"/>
      <c r="AD806" s="3252">
        <v>345.16</v>
      </c>
      <c r="AE806" s="2552">
        <v>200.36</v>
      </c>
      <c r="AF806" s="2236">
        <f t="shared" si="100"/>
        <v>224.9</v>
      </c>
      <c r="AG806" s="670"/>
      <c r="AH806" s="943"/>
      <c r="AI806" s="943"/>
      <c r="AJ806" s="942"/>
      <c r="AK806" s="942"/>
      <c r="AL806" s="942"/>
      <c r="AM806" s="942"/>
      <c r="AN806" s="942"/>
      <c r="AO806" s="942"/>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c r="CT806" s="41"/>
      <c r="CU806" s="41"/>
      <c r="CV806" s="41"/>
      <c r="CW806" s="41"/>
      <c r="CX806" s="41"/>
      <c r="CY806" s="41"/>
      <c r="CZ806" s="41"/>
      <c r="DA806" s="41"/>
      <c r="DB806" s="41"/>
      <c r="DC806" s="41"/>
      <c r="DD806" s="41"/>
      <c r="DE806" s="41"/>
      <c r="DF806" s="41"/>
      <c r="DG806" s="3259">
        <f>(DI806+DI807)/(DJ806+DJ807)</f>
        <v>14.043618841991508</v>
      </c>
      <c r="DH806" s="2521" t="str">
        <f t="shared" si="105"/>
        <v>Cooling RES 18 Year EUL</v>
      </c>
      <c r="DI806" s="3260">
        <f>(INDEX('Avoided Cost Benefits'!$B$4:$B$866,MATCH(DH806,'Avoided Cost Benefits'!$A$4:$A$866,0)))*F806</f>
        <v>514.96902552921392</v>
      </c>
      <c r="DJ806" s="2507">
        <f t="shared" si="101"/>
        <v>36.669253938266728</v>
      </c>
      <c r="DK806" s="41"/>
    </row>
    <row r="807" spans="1:115">
      <c r="A807" s="453"/>
      <c r="B807" s="1454">
        <f t="shared" si="93"/>
        <v>351802</v>
      </c>
      <c r="C807" s="2554" t="s">
        <v>2012</v>
      </c>
      <c r="D807" s="2402" t="s">
        <v>1122</v>
      </c>
      <c r="E807" s="2522" t="s">
        <v>2013</v>
      </c>
      <c r="F807" s="2553">
        <f>0</f>
        <v>0</v>
      </c>
      <c r="G807" s="2646" t="s">
        <v>1046</v>
      </c>
      <c r="H807" s="2213">
        <f>VLOOKUP(G807,'CP FACTORS'!$A$3:$B$38, 2, FALSE)</f>
        <v>0</v>
      </c>
      <c r="I807" s="3314">
        <f t="shared" si="99"/>
        <v>0</v>
      </c>
      <c r="J807" s="2345">
        <f>J1208</f>
        <v>18</v>
      </c>
      <c r="K807" s="2482">
        <f>J1254</f>
        <v>0</v>
      </c>
      <c r="L807" s="2800"/>
      <c r="M807" s="560"/>
      <c r="R807" s="566"/>
      <c r="S807" s="52"/>
      <c r="T807" s="942"/>
      <c r="U807" s="942"/>
      <c r="V807" s="3224" t="s">
        <v>45</v>
      </c>
      <c r="W807" s="3330"/>
      <c r="X807" s="3329"/>
      <c r="Y807" s="3220"/>
      <c r="Z807" s="3220"/>
      <c r="AA807" s="3220"/>
      <c r="AB807" s="3258"/>
      <c r="AC807" s="3251"/>
      <c r="AD807" s="3252">
        <v>0</v>
      </c>
      <c r="AE807" s="2553">
        <v>0</v>
      </c>
      <c r="AF807" s="2236">
        <f t="shared" si="100"/>
        <v>0</v>
      </c>
      <c r="AG807" s="670"/>
      <c r="AH807" s="943"/>
      <c r="AI807" s="943"/>
      <c r="AJ807" s="942"/>
      <c r="AK807" s="942"/>
      <c r="AL807" s="942"/>
      <c r="AM807" s="942"/>
      <c r="AN807" s="942"/>
      <c r="AO807" s="942"/>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c r="CT807" s="41"/>
      <c r="CU807" s="41"/>
      <c r="CV807" s="41"/>
      <c r="CW807" s="41"/>
      <c r="CX807" s="41"/>
      <c r="CY807" s="41"/>
      <c r="CZ807" s="41"/>
      <c r="DA807" s="41"/>
      <c r="DB807" s="41"/>
      <c r="DC807" s="41"/>
      <c r="DD807" s="41"/>
      <c r="DE807" s="41"/>
      <c r="DF807" s="41"/>
      <c r="DG807" s="3261"/>
      <c r="DH807" s="2522" t="str">
        <f t="shared" si="105"/>
        <v>Heating RES 18 Year EUL</v>
      </c>
      <c r="DI807" s="3260">
        <f>(INDEX('Avoided Cost Benefits'!$B$4:$B$866,MATCH(DH807,'Avoided Cost Benefits'!$A$4:$A$866,0)))*F807</f>
        <v>0</v>
      </c>
      <c r="DJ807" s="2507">
        <f t="shared" si="101"/>
        <v>0</v>
      </c>
      <c r="DK807" s="41"/>
    </row>
    <row r="808" spans="1:115">
      <c r="A808" s="453"/>
      <c r="B808" s="1454">
        <f t="shared" si="93"/>
        <v>351803</v>
      </c>
      <c r="C808" s="2554" t="s">
        <v>2014</v>
      </c>
      <c r="D808" s="3317" t="s">
        <v>1118</v>
      </c>
      <c r="E808" s="2521" t="s">
        <v>2015</v>
      </c>
      <c r="F808" s="2552">
        <f>ROUND((($J$987*$J$1014*(1/$J$1041-1/$J$1095))/1000)*$J$1161*$J$1166,2)</f>
        <v>147.69</v>
      </c>
      <c r="G808" s="3324" t="s">
        <v>1045</v>
      </c>
      <c r="H808" s="2213">
        <f>VLOOKUP(G808,'CP FACTORS'!$A$3:$B$38, 2, FALSE)</f>
        <v>9.4741810000000004E-4</v>
      </c>
      <c r="I808" s="2246">
        <f t="shared" si="99"/>
        <v>0.13992399999999999</v>
      </c>
      <c r="J808" s="3320">
        <f>J806</f>
        <v>18</v>
      </c>
      <c r="K808" s="3326">
        <f>K806</f>
        <v>36.669253938266728</v>
      </c>
      <c r="L808" s="2800">
        <f>K987</f>
        <v>1.0068493150684932</v>
      </c>
      <c r="M808" s="560"/>
      <c r="R808" s="566"/>
      <c r="S808" s="52"/>
      <c r="T808" s="942"/>
      <c r="U808" s="942"/>
      <c r="V808" s="3224" t="s">
        <v>45</v>
      </c>
      <c r="W808" s="3330"/>
      <c r="X808" s="3329"/>
      <c r="Y808" s="3220"/>
      <c r="Z808" s="3220"/>
      <c r="AA808" s="3220"/>
      <c r="AB808" s="3258"/>
      <c r="AC808" s="3251"/>
      <c r="AD808" s="3252">
        <v>226.66</v>
      </c>
      <c r="AE808" s="2552">
        <v>131.58000000000001</v>
      </c>
      <c r="AF808" s="2236">
        <f t="shared" si="100"/>
        <v>147.69</v>
      </c>
      <c r="AG808" s="670"/>
      <c r="AH808" s="943"/>
      <c r="AI808" s="943"/>
      <c r="AJ808" s="942"/>
      <c r="AK808" s="942"/>
      <c r="AL808" s="942"/>
      <c r="AM808" s="942"/>
      <c r="AN808" s="942"/>
      <c r="AO808" s="942"/>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c r="CT808" s="41"/>
      <c r="CU808" s="41"/>
      <c r="CV808" s="41"/>
      <c r="CW808" s="41"/>
      <c r="CX808" s="41"/>
      <c r="CY808" s="41"/>
      <c r="CZ808" s="41"/>
      <c r="DA808" s="41"/>
      <c r="DB808" s="41"/>
      <c r="DC808" s="41"/>
      <c r="DD808" s="41"/>
      <c r="DE808" s="41"/>
      <c r="DF808" s="41"/>
      <c r="DG808" s="3259">
        <f>(DI808+DI809)/(DJ808+DJ809)</f>
        <v>9.2223302213149214</v>
      </c>
      <c r="DH808" s="2521" t="str">
        <f t="shared" si="105"/>
        <v>Cooling RES 18 Year EUL</v>
      </c>
      <c r="DI808" s="3260">
        <f>(INDEX('Avoided Cost Benefits'!$B$4:$B$866,MATCH(DH808,'Avoided Cost Benefits'!$A$4:$A$866,0)))*F808</f>
        <v>338.17596878794848</v>
      </c>
      <c r="DJ808" s="2507">
        <f t="shared" si="101"/>
        <v>36.669253938266728</v>
      </c>
      <c r="DK808" s="41"/>
    </row>
    <row r="809" spans="1:115">
      <c r="A809" s="453"/>
      <c r="B809" s="1454">
        <f t="shared" si="93"/>
        <v>351803</v>
      </c>
      <c r="C809" s="2554" t="s">
        <v>2014</v>
      </c>
      <c r="D809" s="3317" t="s">
        <v>1118</v>
      </c>
      <c r="E809" s="2522" t="s">
        <v>2015</v>
      </c>
      <c r="F809" s="2553">
        <f>0</f>
        <v>0</v>
      </c>
      <c r="G809" s="2646" t="s">
        <v>1046</v>
      </c>
      <c r="H809" s="2213">
        <f>VLOOKUP(G809,'CP FACTORS'!$A$3:$B$38, 2, FALSE)</f>
        <v>0</v>
      </c>
      <c r="I809" s="3314">
        <f t="shared" si="99"/>
        <v>0</v>
      </c>
      <c r="J809" s="3320">
        <f>J807</f>
        <v>18</v>
      </c>
      <c r="K809" s="3325">
        <f>K807</f>
        <v>0</v>
      </c>
      <c r="L809" s="2800"/>
      <c r="M809" s="560"/>
      <c r="R809" s="566"/>
      <c r="S809" s="52"/>
      <c r="T809" s="942"/>
      <c r="U809" s="942"/>
      <c r="V809" s="3224" t="s">
        <v>45</v>
      </c>
      <c r="W809" s="3330"/>
      <c r="X809" s="3329"/>
      <c r="Y809" s="3220"/>
      <c r="Z809" s="3220"/>
      <c r="AA809" s="3220"/>
      <c r="AB809" s="3258"/>
      <c r="AC809" s="3251"/>
      <c r="AD809" s="3252">
        <v>0</v>
      </c>
      <c r="AE809" s="2553">
        <v>0</v>
      </c>
      <c r="AF809" s="2236">
        <f t="shared" si="100"/>
        <v>0</v>
      </c>
      <c r="AG809" s="670"/>
      <c r="AH809" s="943"/>
      <c r="AI809" s="943"/>
      <c r="AJ809" s="942"/>
      <c r="AK809" s="942"/>
      <c r="AL809" s="942"/>
      <c r="AM809" s="942"/>
      <c r="AN809" s="942"/>
      <c r="AO809" s="942"/>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c r="CT809" s="41"/>
      <c r="CU809" s="41"/>
      <c r="CV809" s="41"/>
      <c r="CW809" s="41"/>
      <c r="CX809" s="41"/>
      <c r="CY809" s="41"/>
      <c r="CZ809" s="41"/>
      <c r="DA809" s="41"/>
      <c r="DB809" s="41"/>
      <c r="DC809" s="41"/>
      <c r="DD809" s="41"/>
      <c r="DE809" s="41"/>
      <c r="DF809" s="41"/>
      <c r="DG809" s="3261"/>
      <c r="DH809" s="2522" t="str">
        <f t="shared" si="105"/>
        <v>Heating RES 18 Year EUL</v>
      </c>
      <c r="DI809" s="3260">
        <f>(INDEX('Avoided Cost Benefits'!$B$4:$B$866,MATCH(DH809,'Avoided Cost Benefits'!$A$4:$A$866,0)))*F809</f>
        <v>0</v>
      </c>
      <c r="DJ809" s="2507">
        <f t="shared" si="101"/>
        <v>0</v>
      </c>
      <c r="DK809" s="41"/>
    </row>
    <row r="810" spans="1:115">
      <c r="A810" s="453"/>
      <c r="B810" s="1454">
        <f t="shared" si="93"/>
        <v>351850</v>
      </c>
      <c r="C810" s="2554" t="s">
        <v>2016</v>
      </c>
      <c r="D810" s="2402" t="s">
        <v>1122</v>
      </c>
      <c r="E810" s="2521" t="s">
        <v>2017</v>
      </c>
      <c r="F810" s="2552">
        <f>ROUND((($J$979*$J$1006*(1/$J$1060-1/$J$1087))/1000)*$J$1139*$J$1166,2)</f>
        <v>1150.45</v>
      </c>
      <c r="G810" s="2646" t="s">
        <v>1045</v>
      </c>
      <c r="H810" s="2213">
        <f>VLOOKUP(G810,'CP FACTORS'!$A$3:$B$38, 2, FALSE)</f>
        <v>9.4741810000000004E-4</v>
      </c>
      <c r="I810" s="2246">
        <f t="shared" si="99"/>
        <v>1.0899570000000001</v>
      </c>
      <c r="J810" s="2345">
        <f>J1209</f>
        <v>6</v>
      </c>
      <c r="K810" s="2500">
        <f>J1255</f>
        <v>1381.2177729469663</v>
      </c>
      <c r="L810" s="2800">
        <f>K979</f>
        <v>2</v>
      </c>
      <c r="M810" s="560"/>
      <c r="R810" s="566"/>
      <c r="S810" s="52"/>
      <c r="T810" s="63"/>
      <c r="U810" s="63"/>
      <c r="V810" s="3224" t="s">
        <v>45</v>
      </c>
      <c r="W810" s="3328">
        <v>1056.873427672956</v>
      </c>
      <c r="X810" s="3329">
        <v>973.31187958567136</v>
      </c>
      <c r="Y810" s="3220">
        <v>1164.32</v>
      </c>
      <c r="Z810" s="3221">
        <v>1164.32</v>
      </c>
      <c r="AA810" s="3221">
        <v>1164.32</v>
      </c>
      <c r="AB810" s="3258">
        <v>779.12</v>
      </c>
      <c r="AC810" s="3251">
        <v>843.09</v>
      </c>
      <c r="AD810" s="3252">
        <v>1200.76</v>
      </c>
      <c r="AE810" s="2553">
        <v>1200.76</v>
      </c>
      <c r="AF810" s="2236">
        <f t="shared" si="100"/>
        <v>1150.45</v>
      </c>
      <c r="AG810" s="949"/>
      <c r="AH810" s="957"/>
      <c r="AI810" s="957"/>
      <c r="AJ810" s="958"/>
      <c r="AK810" s="958"/>
      <c r="AL810" s="958"/>
      <c r="AM810" s="958"/>
      <c r="AN810" s="958"/>
      <c r="AO810" s="958"/>
      <c r="DG810" s="3259">
        <f>(DI810+DI811+DI812+DI813)/(DJ810+DJ811+DJ812+DJ813)</f>
        <v>1.7283390491069275</v>
      </c>
      <c r="DH810" s="2521" t="str">
        <f t="shared" si="97"/>
        <v>Cooling RES 6 Year EUL</v>
      </c>
      <c r="DI810" s="3260">
        <f>(INDEX('Avoided Cost Benefits'!$B$4:$B$866,MATCH(DH810,'Avoided Cost Benefits'!$A$4:$A$866,0)))*F810</f>
        <v>1145.6734435665005</v>
      </c>
      <c r="DJ810" s="2507">
        <f t="shared" si="101"/>
        <v>1381.2177729469663</v>
      </c>
    </row>
    <row r="811" spans="1:115">
      <c r="A811" s="453"/>
      <c r="B811" s="1454">
        <f t="shared" si="93"/>
        <v>351850</v>
      </c>
      <c r="C811" s="2554" t="s">
        <v>2016</v>
      </c>
      <c r="D811" s="2402" t="s">
        <v>1122</v>
      </c>
      <c r="E811" s="2882" t="s">
        <v>2017</v>
      </c>
      <c r="F811" s="2552">
        <f xml:space="preserve"> ROUND((($J$844*$J$868*(1/$J$925-1/$J$952))/1000)*$J$1140*$J$1166,2)</f>
        <v>1786.15</v>
      </c>
      <c r="G811" s="2646" t="s">
        <v>1046</v>
      </c>
      <c r="H811" s="2213">
        <f>VLOOKUP(G811,'CP FACTORS'!$A$3:$B$38, 2, FALSE)</f>
        <v>0</v>
      </c>
      <c r="I811" s="2246">
        <f t="shared" si="99"/>
        <v>0</v>
      </c>
      <c r="J811" s="2345">
        <f>J1210</f>
        <v>6</v>
      </c>
      <c r="K811" s="2583">
        <f>J1256</f>
        <v>0</v>
      </c>
      <c r="L811" s="2800"/>
      <c r="M811" s="560"/>
      <c r="R811" s="566"/>
      <c r="S811" s="52"/>
      <c r="T811" s="63"/>
      <c r="U811" s="63"/>
      <c r="V811" s="3224" t="s">
        <v>45</v>
      </c>
      <c r="W811" s="3328">
        <v>1906.4157894736838</v>
      </c>
      <c r="X811" s="3329">
        <v>1671.2809187279149</v>
      </c>
      <c r="Y811" s="3220">
        <v>1944.18</v>
      </c>
      <c r="Z811" s="3221">
        <v>1944.18</v>
      </c>
      <c r="AA811" s="3221">
        <v>1944.18</v>
      </c>
      <c r="AB811" s="3258">
        <v>1021.3</v>
      </c>
      <c r="AC811" s="3251">
        <v>1692.45</v>
      </c>
      <c r="AD811" s="3252">
        <v>2576.48</v>
      </c>
      <c r="AE811" s="2553">
        <v>2576.48</v>
      </c>
      <c r="AF811" s="2236">
        <f t="shared" si="100"/>
        <v>1786.15</v>
      </c>
      <c r="AG811" s="949"/>
      <c r="AH811" s="957"/>
      <c r="AI811" s="957"/>
      <c r="AJ811" s="958"/>
      <c r="AK811" s="958"/>
      <c r="AL811" s="958"/>
      <c r="AM811" s="958"/>
      <c r="AN811" s="958"/>
      <c r="AO811" s="958"/>
      <c r="DG811" s="3332"/>
      <c r="DH811" s="2882" t="str">
        <f t="shared" si="97"/>
        <v>Heating RES 6 Year EUL</v>
      </c>
      <c r="DI811" s="3260">
        <f>(INDEX('Avoided Cost Benefits'!$B$4:$B$866,MATCH(DH811,'Avoided Cost Benefits'!$A$4:$A$866,0)))*F811</f>
        <v>479.00758262125919</v>
      </c>
      <c r="DJ811" s="2507">
        <f t="shared" si="101"/>
        <v>0</v>
      </c>
    </row>
    <row r="812" spans="1:115">
      <c r="A812" s="453"/>
      <c r="B812" s="1454">
        <f t="shared" si="93"/>
        <v>351850</v>
      </c>
      <c r="C812" s="2554" t="s">
        <v>2016</v>
      </c>
      <c r="D812" s="2402" t="s">
        <v>1122</v>
      </c>
      <c r="E812" s="2882" t="s">
        <v>2018</v>
      </c>
      <c r="F812" s="2552">
        <f>ROUND((($J$979*$J$1006*(1/$J$1033-1/$J$1087))/1000)*$J$1141*$J$1166,2)</f>
        <v>322.32</v>
      </c>
      <c r="G812" s="2402" t="s">
        <v>1786</v>
      </c>
      <c r="H812" s="2213">
        <f>VLOOKUP(G812,'CP FACTORS'!$A$3:$B$38, 2, FALSE)</f>
        <v>9.4741810000000004E-4</v>
      </c>
      <c r="I812" s="2246">
        <f t="shared" si="99"/>
        <v>0.30537199999999998</v>
      </c>
      <c r="J812" s="2345">
        <f>J1211</f>
        <v>12</v>
      </c>
      <c r="K812" s="2583">
        <f>J1257</f>
        <v>0</v>
      </c>
      <c r="L812" s="2800"/>
      <c r="M812" s="560"/>
      <c r="R812" s="566"/>
      <c r="S812" s="52"/>
      <c r="T812" s="63"/>
      <c r="U812" s="63"/>
      <c r="V812" s="3224" t="s">
        <v>45</v>
      </c>
      <c r="W812" s="3328">
        <v>342.84509433962273</v>
      </c>
      <c r="X812" s="3329">
        <v>343.28687958567122</v>
      </c>
      <c r="Y812" s="3220">
        <v>456.05</v>
      </c>
      <c r="Z812" s="3221">
        <v>456.05</v>
      </c>
      <c r="AA812" s="3221">
        <v>456.05</v>
      </c>
      <c r="AB812" s="3258">
        <v>312.22000000000003</v>
      </c>
      <c r="AC812" s="3251">
        <v>352.11</v>
      </c>
      <c r="AD812" s="3252">
        <v>428.89</v>
      </c>
      <c r="AE812" s="2552">
        <v>272.58999999999997</v>
      </c>
      <c r="AF812" s="2236">
        <f t="shared" si="100"/>
        <v>322.32</v>
      </c>
      <c r="AG812" s="949"/>
      <c r="AH812" s="957"/>
      <c r="AI812" s="957"/>
      <c r="AJ812" s="958"/>
      <c r="AK812" s="958"/>
      <c r="AL812" s="958"/>
      <c r="AM812" s="958"/>
      <c r="AN812" s="958"/>
      <c r="AO812" s="958"/>
      <c r="DG812" s="3332"/>
      <c r="DH812" s="2882" t="str">
        <f t="shared" si="97"/>
        <v>Cooling RES ER2 12 Year EUL</v>
      </c>
      <c r="DI812" s="3260">
        <f>(INDEX('Avoided Cost Benefits'!$B$4:$B$866,MATCH(DH812,'Avoided Cost Benefits'!$A$4:$A$866,0)))*F812</f>
        <v>417.05655300271877</v>
      </c>
      <c r="DJ812" s="2507">
        <f t="shared" si="101"/>
        <v>0</v>
      </c>
    </row>
    <row r="813" spans="1:115">
      <c r="A813" s="453"/>
      <c r="B813" s="1454">
        <f t="shared" ref="B813:B817" si="106">VALUE(LEFT(C813,6))</f>
        <v>351850</v>
      </c>
      <c r="C813" s="2554" t="s">
        <v>2016</v>
      </c>
      <c r="D813" s="2402" t="s">
        <v>1122</v>
      </c>
      <c r="E813" s="2522" t="s">
        <v>2018</v>
      </c>
      <c r="F813" s="2552">
        <f>ROUND((($J$835*$J$862*(1/$J$889-1/$J$943))/1000)*$J$1142*$J$1166,2)</f>
        <v>1022.43</v>
      </c>
      <c r="G813" s="3324" t="s">
        <v>1967</v>
      </c>
      <c r="H813" s="2213">
        <f>VLOOKUP(G813,'CP FACTORS'!$A$3:$B$38, 2, FALSE)</f>
        <v>0</v>
      </c>
      <c r="I813" s="2246">
        <f t="shared" si="99"/>
        <v>0</v>
      </c>
      <c r="J813" s="2345">
        <f>J1212</f>
        <v>12</v>
      </c>
      <c r="K813" s="2583">
        <f>J1258</f>
        <v>0</v>
      </c>
      <c r="L813" s="2800"/>
      <c r="M813" s="560"/>
      <c r="R813" s="566"/>
      <c r="S813" s="52"/>
      <c r="T813" s="63"/>
      <c r="U813" s="63"/>
      <c r="V813" s="3224" t="s">
        <v>45</v>
      </c>
      <c r="W813" s="3328">
        <v>836.1443609022557</v>
      </c>
      <c r="X813" s="3329">
        <v>1113.8417090014714</v>
      </c>
      <c r="Y813" s="3220">
        <v>1351.43</v>
      </c>
      <c r="Z813" s="3221">
        <v>1351.43</v>
      </c>
      <c r="AA813" s="3221">
        <v>1351.43</v>
      </c>
      <c r="AB813" s="3258">
        <v>515</v>
      </c>
      <c r="AC813" s="3251">
        <v>1108.68</v>
      </c>
      <c r="AD813" s="3252">
        <v>1434.81</v>
      </c>
      <c r="AE813" s="2552">
        <v>1456.32</v>
      </c>
      <c r="AF813" s="2236">
        <f t="shared" si="100"/>
        <v>1022.43</v>
      </c>
      <c r="AG813" s="949"/>
      <c r="AH813" s="957"/>
      <c r="AI813" s="957"/>
      <c r="AJ813" s="958"/>
      <c r="AK813" s="958"/>
      <c r="AL813" s="958"/>
      <c r="AM813" s="958"/>
      <c r="AN813" s="958"/>
      <c r="AO813" s="958"/>
      <c r="DG813" s="3332"/>
      <c r="DH813" s="2522" t="str">
        <f t="shared" si="97"/>
        <v>Heating RES ER2 12 Year EUL</v>
      </c>
      <c r="DI813" s="3260">
        <f>(INDEX('Avoided Cost Benefits'!$B$4:$B$866,MATCH(DH813,'Avoided Cost Benefits'!$A$4:$A$866,0)))*F813</f>
        <v>345.47503311426919</v>
      </c>
      <c r="DJ813" s="2507">
        <f t="shared" si="101"/>
        <v>0</v>
      </c>
    </row>
    <row r="814" spans="1:115">
      <c r="A814" s="453"/>
      <c r="B814" s="1454">
        <f t="shared" si="106"/>
        <v>351851</v>
      </c>
      <c r="C814" s="3316" t="s">
        <v>2019</v>
      </c>
      <c r="D814" s="3317" t="s">
        <v>1118</v>
      </c>
      <c r="E814" s="2882" t="s">
        <v>2020</v>
      </c>
      <c r="F814" s="2552">
        <f>ROUND((($J$988*$J$1015*(1/$J$1069-1/$J$1096))/1000)*$J$1165*$J$1166,2)</f>
        <v>755.49</v>
      </c>
      <c r="G814" s="3327" t="s">
        <v>1045</v>
      </c>
      <c r="H814" s="3318">
        <f>VLOOKUP(G814,'CP FACTORS'!$A$3:$B$38, 2, FALSE)</f>
        <v>9.4741810000000004E-4</v>
      </c>
      <c r="I814" s="3319">
        <f t="shared" si="99"/>
        <v>0.71576499999999998</v>
      </c>
      <c r="J814" s="3320">
        <f t="shared" ref="J814:K817" si="107">J810</f>
        <v>6</v>
      </c>
      <c r="K814" s="3323">
        <f t="shared" si="107"/>
        <v>1381.2177729469663</v>
      </c>
      <c r="L814" s="3322">
        <f>K988</f>
        <v>2</v>
      </c>
      <c r="M814" s="560"/>
      <c r="R814" s="566"/>
      <c r="S814" s="52"/>
      <c r="T814" s="63"/>
      <c r="U814" s="63"/>
      <c r="V814" s="3224" t="s">
        <v>45</v>
      </c>
      <c r="W814" s="3328"/>
      <c r="X814" s="3329"/>
      <c r="Y814" s="3220">
        <v>1026.8</v>
      </c>
      <c r="Z814" s="3221">
        <v>1026.8</v>
      </c>
      <c r="AA814" s="3221">
        <v>1026.8</v>
      </c>
      <c r="AB814" s="3258">
        <v>511.64</v>
      </c>
      <c r="AC814" s="3251">
        <v>553.65</v>
      </c>
      <c r="AD814" s="3252">
        <v>788.53</v>
      </c>
      <c r="AE814" s="2553">
        <v>788.53</v>
      </c>
      <c r="AF814" s="2236">
        <f t="shared" si="100"/>
        <v>755.49</v>
      </c>
      <c r="AG814" s="949"/>
      <c r="AH814" s="957"/>
      <c r="AI814" s="957"/>
      <c r="AJ814" s="958"/>
      <c r="AK814" s="958"/>
      <c r="AL814" s="958"/>
      <c r="AM814" s="958"/>
      <c r="AN814" s="958"/>
      <c r="AO814" s="958"/>
      <c r="DG814" s="3259">
        <f>(DI814+DI815+DI816+DI817)/(DJ814+DJ815+DJ816+DJ817)</f>
        <v>0.99786672890947503</v>
      </c>
      <c r="DH814" s="2521" t="str">
        <f t="shared" si="97"/>
        <v>Cooling RES 6 Year EUL</v>
      </c>
      <c r="DI814" s="3260">
        <f>(INDEX('Avoided Cost Benefits'!$B$4:$B$866,MATCH(DH814,'Avoided Cost Benefits'!$A$4:$A$866,0)))*F814</f>
        <v>752.35327904737744</v>
      </c>
      <c r="DJ814" s="2507">
        <f t="shared" si="101"/>
        <v>1381.2177729469663</v>
      </c>
    </row>
    <row r="815" spans="1:115">
      <c r="A815" s="453"/>
      <c r="B815" s="1454">
        <f t="shared" si="106"/>
        <v>351851</v>
      </c>
      <c r="C815" s="2554" t="s">
        <v>2019</v>
      </c>
      <c r="D815" s="3317" t="s">
        <v>1118</v>
      </c>
      <c r="E815" s="2882" t="s">
        <v>2020</v>
      </c>
      <c r="F815" s="2552">
        <f xml:space="preserve"> ROUND((($J$853*$J$880*(1/$J$934-1/$J$961))/1000)*$J$1163*$J$1166,2)</f>
        <v>678.87</v>
      </c>
      <c r="G815" s="2646" t="s">
        <v>1046</v>
      </c>
      <c r="H815" s="2213">
        <f>VLOOKUP(G815,'CP FACTORS'!$A$3:$B$38, 2, FALSE)</f>
        <v>0</v>
      </c>
      <c r="I815" s="2246">
        <f t="shared" si="99"/>
        <v>0</v>
      </c>
      <c r="J815" s="3320">
        <f t="shared" si="107"/>
        <v>6</v>
      </c>
      <c r="K815" s="3321">
        <f t="shared" si="107"/>
        <v>0</v>
      </c>
      <c r="L815" s="3315"/>
      <c r="M815" s="560"/>
      <c r="R815" s="566"/>
      <c r="S815" s="52"/>
      <c r="T815" s="63"/>
      <c r="U815" s="63"/>
      <c r="V815" s="3224" t="s">
        <v>45</v>
      </c>
      <c r="W815" s="3328"/>
      <c r="X815" s="3329"/>
      <c r="Y815" s="3220">
        <v>895</v>
      </c>
      <c r="Z815" s="3221">
        <v>895</v>
      </c>
      <c r="AA815" s="3221">
        <v>895</v>
      </c>
      <c r="AB815" s="3258">
        <v>388.17</v>
      </c>
      <c r="AC815" s="3251">
        <v>643.26</v>
      </c>
      <c r="AD815" s="3252">
        <v>979.26</v>
      </c>
      <c r="AE815" s="2553">
        <v>979.26</v>
      </c>
      <c r="AF815" s="2236">
        <f t="shared" si="100"/>
        <v>678.87</v>
      </c>
      <c r="AG815" s="949"/>
      <c r="AH815" s="957"/>
      <c r="AI815" s="957"/>
      <c r="AJ815" s="958"/>
      <c r="AK815" s="958"/>
      <c r="AL815" s="958"/>
      <c r="AM815" s="958"/>
      <c r="AN815" s="958"/>
      <c r="AO815" s="958"/>
      <c r="DG815" s="3332"/>
      <c r="DH815" s="2882" t="str">
        <f t="shared" si="97"/>
        <v>Heating RES 6 Year EUL</v>
      </c>
      <c r="DI815" s="3260">
        <f>(INDEX('Avoided Cost Benefits'!$B$4:$B$866,MATCH(DH815,'Avoided Cost Benefits'!$A$4:$A$866,0)))*F815</f>
        <v>182.05854917789335</v>
      </c>
      <c r="DJ815" s="2507">
        <f t="shared" si="101"/>
        <v>0</v>
      </c>
    </row>
    <row r="816" spans="1:115">
      <c r="A816" s="453"/>
      <c r="B816" s="1454">
        <f t="shared" si="106"/>
        <v>351851</v>
      </c>
      <c r="C816" s="2554" t="s">
        <v>2019</v>
      </c>
      <c r="D816" s="3317" t="s">
        <v>1118</v>
      </c>
      <c r="E816" s="2882" t="s">
        <v>2021</v>
      </c>
      <c r="F816" s="2552">
        <f>ROUND((($J$988*$J$1015*(1/$J$1042-1/$J$1096))/1000)*$J$1164*$J$1166,2)</f>
        <v>211.67</v>
      </c>
      <c r="G816" s="2402" t="s">
        <v>1786</v>
      </c>
      <c r="H816" s="2213">
        <f>VLOOKUP(G816,'CP FACTORS'!$A$3:$B$38, 2, FALSE)</f>
        <v>9.4741810000000004E-4</v>
      </c>
      <c r="I816" s="2246">
        <f t="shared" si="99"/>
        <v>0.20054</v>
      </c>
      <c r="J816" s="3320">
        <f t="shared" si="107"/>
        <v>12</v>
      </c>
      <c r="K816" s="3321">
        <f t="shared" si="107"/>
        <v>0</v>
      </c>
      <c r="L816" s="3315"/>
      <c r="M816" s="560"/>
      <c r="R816" s="566"/>
      <c r="S816" s="52"/>
      <c r="T816" s="63"/>
      <c r="U816" s="63"/>
      <c r="V816" s="3224" t="s">
        <v>45</v>
      </c>
      <c r="W816" s="3328"/>
      <c r="X816" s="3329"/>
      <c r="Y816" s="3220">
        <v>402.19</v>
      </c>
      <c r="Z816" s="3221">
        <v>402.19</v>
      </c>
      <c r="AA816" s="3221">
        <v>402.19</v>
      </c>
      <c r="AB816" s="3258">
        <v>205.03</v>
      </c>
      <c r="AC816" s="3251">
        <v>231.23</v>
      </c>
      <c r="AD816" s="3252">
        <v>281.64999999999998</v>
      </c>
      <c r="AE816" s="2552">
        <v>179</v>
      </c>
      <c r="AF816" s="2236">
        <f t="shared" si="100"/>
        <v>211.67</v>
      </c>
      <c r="AG816" s="949"/>
      <c r="AH816" s="957"/>
      <c r="AI816" s="957"/>
      <c r="AJ816" s="958"/>
      <c r="AK816" s="958"/>
      <c r="AL816" s="958"/>
      <c r="AM816" s="958"/>
      <c r="AN816" s="958"/>
      <c r="AO816" s="958"/>
      <c r="DG816" s="3332"/>
      <c r="DH816" s="2882" t="str">
        <f t="shared" si="97"/>
        <v>Cooling RES ER2 12 Year EUL</v>
      </c>
      <c r="DI816" s="3260">
        <f>(INDEX('Avoided Cost Benefits'!$B$4:$B$866,MATCH(DH816,'Avoided Cost Benefits'!$A$4:$A$866,0)))*F816</f>
        <v>273.88421622637588</v>
      </c>
      <c r="DJ816" s="2507">
        <f t="shared" si="101"/>
        <v>0</v>
      </c>
    </row>
    <row r="817" spans="1:114">
      <c r="A817" s="453"/>
      <c r="B817" s="1454">
        <f t="shared" si="106"/>
        <v>351851</v>
      </c>
      <c r="C817" s="2554" t="s">
        <v>2019</v>
      </c>
      <c r="D817" s="3317" t="s">
        <v>1118</v>
      </c>
      <c r="E817" s="2522" t="s">
        <v>2021</v>
      </c>
      <c r="F817" s="2552">
        <f>ROUND((($J$853*$J$880*(1/$J$907-1/$J$961))/1000)*$J$1165*$J$1166,2)</f>
        <v>503.04</v>
      </c>
      <c r="G817" s="3324" t="s">
        <v>1967</v>
      </c>
      <c r="H817" s="2213">
        <f>VLOOKUP(G817,'CP FACTORS'!$A$3:$B$38, 2, FALSE)</f>
        <v>0</v>
      </c>
      <c r="I817" s="2246">
        <f t="shared" si="99"/>
        <v>0</v>
      </c>
      <c r="J817" s="3320">
        <f t="shared" si="107"/>
        <v>12</v>
      </c>
      <c r="K817" s="3321">
        <f t="shared" si="107"/>
        <v>0</v>
      </c>
      <c r="L817" s="3315"/>
      <c r="M817" s="560"/>
      <c r="R817" s="566"/>
      <c r="S817" s="52"/>
      <c r="T817" s="63"/>
      <c r="U817" s="63"/>
      <c r="V817" s="3224" t="s">
        <v>45</v>
      </c>
      <c r="W817" s="3328"/>
      <c r="X817" s="3329"/>
      <c r="Y817" s="3220">
        <v>622.13</v>
      </c>
      <c r="Z817" s="3221">
        <v>622.13</v>
      </c>
      <c r="AA817" s="3221">
        <v>622.13</v>
      </c>
      <c r="AB817" s="3258">
        <v>195.74</v>
      </c>
      <c r="AC817" s="3251">
        <v>421.38</v>
      </c>
      <c r="AD817" s="3252">
        <v>678.87</v>
      </c>
      <c r="AE817" s="2553">
        <v>678.87</v>
      </c>
      <c r="AF817" s="2236">
        <f t="shared" si="100"/>
        <v>503.04</v>
      </c>
      <c r="AG817" s="949"/>
      <c r="AH817" s="957"/>
      <c r="AI817" s="957"/>
      <c r="AJ817" s="958"/>
      <c r="AK817" s="958"/>
      <c r="AL817" s="958"/>
      <c r="AM817" s="958"/>
      <c r="AN817" s="958"/>
      <c r="AO817" s="958"/>
      <c r="DG817" s="3333"/>
      <c r="DH817" s="2522" t="str">
        <f t="shared" si="97"/>
        <v>Heating RES ER2 12 Year EUL</v>
      </c>
      <c r="DI817" s="3254">
        <f>(INDEX('Avoided Cost Benefits'!$B$4:$B$866,MATCH(DH817,'Avoided Cost Benefits'!$A$4:$A$866,0)))*F817</f>
        <v>169.97521655057264</v>
      </c>
      <c r="DJ817" s="2484">
        <f t="shared" si="101"/>
        <v>0</v>
      </c>
    </row>
    <row r="818" spans="1:114" hidden="1" outlineLevel="1">
      <c r="A818" s="453"/>
      <c r="C818" s="51"/>
      <c r="D818" s="77" t="s">
        <v>118</v>
      </c>
      <c r="E818" s="52" t="s">
        <v>2022</v>
      </c>
      <c r="F818" s="104" t="s">
        <v>2023</v>
      </c>
      <c r="S818" s="52"/>
      <c r="T818" s="52"/>
      <c r="U818" s="52"/>
      <c r="V818" s="52"/>
      <c r="DG818" s="573"/>
      <c r="DH818" s="188"/>
      <c r="DI818" s="1091"/>
    </row>
    <row r="819" spans="1:114" hidden="1" outlineLevel="1">
      <c r="A819" s="453"/>
      <c r="C819" s="51"/>
      <c r="D819" s="74" t="s">
        <v>963</v>
      </c>
      <c r="E819" s="52" t="s">
        <v>2024</v>
      </c>
      <c r="S819" s="52"/>
      <c r="T819" s="52"/>
      <c r="U819" s="52"/>
      <c r="V819" s="52"/>
      <c r="DG819" s="573"/>
      <c r="DH819" s="159"/>
      <c r="DI819" s="1091"/>
    </row>
    <row r="820" spans="1:114" hidden="1" outlineLevel="1">
      <c r="A820" s="453"/>
      <c r="C820" s="51"/>
      <c r="D820" s="74"/>
      <c r="E820" s="52" t="s">
        <v>2025</v>
      </c>
      <c r="S820" s="52"/>
      <c r="T820" s="52"/>
      <c r="U820" s="52"/>
      <c r="V820" s="52"/>
      <c r="DG820" s="573"/>
      <c r="DH820" s="159"/>
      <c r="DI820" s="1091"/>
    </row>
    <row r="821" spans="1:114" hidden="1" outlineLevel="1">
      <c r="A821" s="453"/>
      <c r="C821" s="51"/>
      <c r="D821" s="104"/>
      <c r="E821" s="52" t="s">
        <v>2026</v>
      </c>
      <c r="S821" s="52"/>
      <c r="T821" s="52"/>
      <c r="U821" s="52"/>
      <c r="V821" s="52"/>
      <c r="DG821" s="573"/>
      <c r="DH821" s="159"/>
      <c r="DI821" s="1091"/>
    </row>
    <row r="822" spans="1:114" hidden="1" outlineLevel="1">
      <c r="A822" s="453"/>
      <c r="C822" s="51"/>
      <c r="D822" s="104"/>
      <c r="E822" s="52" t="s">
        <v>2027</v>
      </c>
      <c r="N822" s="564"/>
      <c r="S822" s="52"/>
      <c r="T822" s="52"/>
      <c r="U822" s="52"/>
      <c r="V822" s="52"/>
      <c r="DG822" s="573"/>
      <c r="DH822" s="159"/>
      <c r="DI822" s="1091"/>
    </row>
    <row r="823" spans="1:114" hidden="1" outlineLevel="1">
      <c r="A823" s="453"/>
      <c r="C823" s="51"/>
      <c r="D823" s="104"/>
      <c r="E823" s="52" t="s">
        <v>2028</v>
      </c>
      <c r="N823" s="564"/>
      <c r="S823" s="52"/>
      <c r="T823" s="52"/>
      <c r="U823" s="52"/>
      <c r="V823" s="52"/>
      <c r="DG823" s="573"/>
      <c r="DH823" s="159"/>
      <c r="DI823" s="1091"/>
    </row>
    <row r="824" spans="1:114" hidden="1" outlineLevel="1">
      <c r="A824" s="453"/>
      <c r="C824" s="51"/>
      <c r="D824" s="104"/>
      <c r="E824" s="52" t="s">
        <v>1075</v>
      </c>
      <c r="N824" s="564"/>
      <c r="Q824" s="1858" t="str">
        <f>B745</f>
        <v>Mini/Multi-Split Heat Pumps and Air Conditioners</v>
      </c>
      <c r="S824" s="52"/>
      <c r="T824" s="52"/>
      <c r="U824" s="52"/>
      <c r="V824" s="52"/>
      <c r="DG824" s="573"/>
      <c r="DH824" s="159"/>
      <c r="DI824" s="1091"/>
    </row>
    <row r="825" spans="1:114" hidden="1" outlineLevel="1">
      <c r="A825" s="453"/>
      <c r="C825" s="51"/>
      <c r="D825" s="104"/>
      <c r="J825" s="104"/>
      <c r="N825" s="564"/>
      <c r="S825" s="52"/>
      <c r="T825" s="52"/>
      <c r="U825" s="52"/>
      <c r="V825" s="52"/>
      <c r="DG825" s="573"/>
      <c r="DH825" s="159"/>
      <c r="DI825" s="1091"/>
    </row>
    <row r="826" spans="1:114" ht="30" hidden="1" outlineLevel="1">
      <c r="A826" s="453"/>
      <c r="C826" s="51"/>
      <c r="D826" s="1443" t="s">
        <v>1078</v>
      </c>
      <c r="E826" s="1443" t="s">
        <v>967</v>
      </c>
      <c r="F826" s="4068" t="s">
        <v>968</v>
      </c>
      <c r="G826" s="4068"/>
      <c r="H826" s="4068"/>
      <c r="I826" s="1371" t="s">
        <v>42</v>
      </c>
      <c r="J826" s="1371" t="s">
        <v>969</v>
      </c>
      <c r="K826" s="1371" t="s">
        <v>1912</v>
      </c>
      <c r="L826" s="1371" t="s">
        <v>1184</v>
      </c>
      <c r="R826"/>
      <c r="S826" s="4287" t="s">
        <v>2029</v>
      </c>
      <c r="T826" s="4287"/>
      <c r="U826" s="52"/>
      <c r="V826" s="177" t="s">
        <v>52</v>
      </c>
      <c r="W826" s="669">
        <v>43252</v>
      </c>
      <c r="X826" s="669">
        <f>$X$6</f>
        <v>43465</v>
      </c>
      <c r="Y826" s="669">
        <f>$Y$6</f>
        <v>43800</v>
      </c>
      <c r="Z826" s="669">
        <f>$Z$6</f>
        <v>43862</v>
      </c>
      <c r="AA826" s="669">
        <f>$AA$6</f>
        <v>44013</v>
      </c>
      <c r="AB826" s="669">
        <f>$AB$6</f>
        <v>44166</v>
      </c>
      <c r="AC826" s="669">
        <f>$AC$6</f>
        <v>44531</v>
      </c>
      <c r="AD826" s="669">
        <f>$AD$6</f>
        <v>44774</v>
      </c>
      <c r="AE826" s="669">
        <f>$AE$6</f>
        <v>45142</v>
      </c>
      <c r="AF826" s="669">
        <f>$AF$6</f>
        <v>45672</v>
      </c>
      <c r="AG826" s="669" t="str">
        <f>$AG$6</f>
        <v>-</v>
      </c>
      <c r="DG826" s="573"/>
      <c r="DH826" s="159"/>
      <c r="DI826" s="1091"/>
    </row>
    <row r="827" spans="1:114" hidden="1" outlineLevel="1">
      <c r="A827" s="453"/>
      <c r="C827" s="51"/>
      <c r="D827" s="4293" t="s">
        <v>2030</v>
      </c>
      <c r="E827" s="4293" t="s">
        <v>2031</v>
      </c>
      <c r="F827" s="4342" t="str">
        <f>E749</f>
        <v>Mini/MultiSplitAC_ER1_SF</v>
      </c>
      <c r="G827" s="4342"/>
      <c r="H827" s="4342"/>
      <c r="I827" s="929" t="str">
        <f>C749</f>
        <v>351200_2024_12_</v>
      </c>
      <c r="J827" s="1770">
        <v>0</v>
      </c>
      <c r="K827" s="916">
        <f>J827/12000</f>
        <v>0</v>
      </c>
      <c r="L827" s="929" t="s">
        <v>2032</v>
      </c>
      <c r="Q827" s="1643" t="s">
        <v>2033</v>
      </c>
      <c r="R827" s="1643" t="s">
        <v>2034</v>
      </c>
      <c r="S827" s="1643" t="s">
        <v>2035</v>
      </c>
      <c r="T827" s="1643" t="s">
        <v>2036</v>
      </c>
      <c r="U827" s="52"/>
      <c r="V827" s="4293" t="s">
        <v>2030</v>
      </c>
      <c r="W827" s="1396">
        <v>0</v>
      </c>
      <c r="X827" s="1396">
        <v>0</v>
      </c>
      <c r="Y827" s="1396">
        <v>0</v>
      </c>
      <c r="Z827" s="1396">
        <v>0</v>
      </c>
      <c r="AA827" s="1396">
        <v>0</v>
      </c>
      <c r="AB827" s="1396">
        <v>0</v>
      </c>
      <c r="AC827" s="1396">
        <v>0</v>
      </c>
      <c r="AD827" s="1396">
        <v>0</v>
      </c>
      <c r="AE827" s="1405">
        <v>0</v>
      </c>
      <c r="AF827" s="271">
        <f t="shared" ref="AF827:AF890" si="108">IF(J827&lt;&gt;"",J827,"")</f>
        <v>0</v>
      </c>
      <c r="AG827" s="1396"/>
      <c r="DG827" s="573"/>
      <c r="DH827" s="159"/>
      <c r="DI827" s="1091"/>
    </row>
    <row r="828" spans="1:114" hidden="1" outlineLevel="1">
      <c r="A828" s="453"/>
      <c r="C828" s="51"/>
      <c r="D828" s="4293"/>
      <c r="E828" s="4293"/>
      <c r="F828" s="4342" t="str">
        <f>E751</f>
        <v>Mini/MultiSplitAC_ROF_SF</v>
      </c>
      <c r="G828" s="4342"/>
      <c r="H828" s="4342"/>
      <c r="I828" s="929" t="str">
        <f>C751</f>
        <v>351250_2024_12_</v>
      </c>
      <c r="J828" s="1770">
        <v>0</v>
      </c>
      <c r="K828" s="916">
        <f>J828/12000</f>
        <v>0</v>
      </c>
      <c r="L828" s="929" t="s">
        <v>2032</v>
      </c>
      <c r="Q828" s="1644">
        <v>8.1</v>
      </c>
      <c r="R828" s="1644">
        <v>8.9</v>
      </c>
      <c r="S828" s="71">
        <v>1443</v>
      </c>
      <c r="T828" s="71">
        <v>62</v>
      </c>
      <c r="U828" s="52"/>
      <c r="V828" s="4293"/>
      <c r="W828" s="1396">
        <v>0</v>
      </c>
      <c r="X828" s="1396">
        <v>0</v>
      </c>
      <c r="Y828" s="1396">
        <v>0</v>
      </c>
      <c r="Z828" s="1396">
        <v>0</v>
      </c>
      <c r="AA828" s="1396">
        <v>0</v>
      </c>
      <c r="AB828" s="1396">
        <v>0</v>
      </c>
      <c r="AC828" s="1396">
        <v>0</v>
      </c>
      <c r="AD828" s="1396">
        <v>0</v>
      </c>
      <c r="AE828" s="1405">
        <v>0</v>
      </c>
      <c r="AF828" s="271">
        <f t="shared" si="108"/>
        <v>0</v>
      </c>
      <c r="AG828" s="1396"/>
      <c r="DG828" s="573"/>
      <c r="DH828" s="159"/>
      <c r="DI828" s="1091"/>
    </row>
    <row r="829" spans="1:114" hidden="1" outlineLevel="1">
      <c r="A829" s="453"/>
      <c r="C829" s="51"/>
      <c r="D829" s="4293"/>
      <c r="E829" s="4293"/>
      <c r="F829" s="4342" t="str">
        <f>E752</f>
        <v>Mini/MultiSplitASHP_ROF_SF_NC</v>
      </c>
      <c r="G829" s="4342"/>
      <c r="H829" s="4342"/>
      <c r="I829" s="929" t="str">
        <f>C752</f>
        <v>351300_2024_12_</v>
      </c>
      <c r="J829" s="1753">
        <v>19534.374419283762</v>
      </c>
      <c r="K829" s="916">
        <f t="shared" ref="K829:K835" si="109">J829/12000</f>
        <v>1.6278645349403136</v>
      </c>
      <c r="L829" s="1759" t="s">
        <v>1937</v>
      </c>
      <c r="Q829" s="1644">
        <f>R828</f>
        <v>8.9</v>
      </c>
      <c r="R829" s="1644">
        <v>9.8000000000000007</v>
      </c>
      <c r="S829" s="71">
        <v>1605</v>
      </c>
      <c r="T829" s="71">
        <v>224</v>
      </c>
      <c r="U829" s="52"/>
      <c r="V829" s="4293"/>
      <c r="W829" s="1396">
        <v>16800</v>
      </c>
      <c r="X829" s="833">
        <f>1.5*12000</f>
        <v>18000</v>
      </c>
      <c r="Y829" s="1396">
        <v>18000</v>
      </c>
      <c r="Z829" s="1396">
        <v>18000</v>
      </c>
      <c r="AA829" s="1396">
        <v>18000</v>
      </c>
      <c r="AB829" s="1396">
        <v>18000</v>
      </c>
      <c r="AC829" s="825">
        <v>18101.694915254237</v>
      </c>
      <c r="AD829" s="967">
        <v>19534.374419283762</v>
      </c>
      <c r="AE829" s="1046">
        <v>19534.374419283762</v>
      </c>
      <c r="AF829" s="271">
        <f t="shared" si="108"/>
        <v>19534.374419283762</v>
      </c>
      <c r="AG829" s="1396"/>
      <c r="DG829" s="573"/>
      <c r="DH829" s="159"/>
      <c r="DI829" s="1091"/>
    </row>
    <row r="830" spans="1:114" hidden="1" outlineLevel="1">
      <c r="A830" s="453"/>
      <c r="C830" s="51"/>
      <c r="D830" s="4293"/>
      <c r="E830" s="4293"/>
      <c r="F830" s="4342" t="str">
        <f>E754</f>
        <v>Mini/MultiSplitASHP_ROF_SF</v>
      </c>
      <c r="G830" s="4342"/>
      <c r="H830" s="4342"/>
      <c r="I830" s="929" t="str">
        <f>C754</f>
        <v>351350_2024_12_</v>
      </c>
      <c r="J830" s="1753">
        <v>19534.374419283762</v>
      </c>
      <c r="K830" s="916">
        <f t="shared" si="109"/>
        <v>1.6278645349403136</v>
      </c>
      <c r="L830" s="1759" t="s">
        <v>1937</v>
      </c>
      <c r="Q830" s="1644">
        <f>R829</f>
        <v>9.8000000000000007</v>
      </c>
      <c r="R830" s="1644">
        <v>11.6</v>
      </c>
      <c r="S830" s="71">
        <v>1715</v>
      </c>
      <c r="T830" s="71">
        <v>334</v>
      </c>
      <c r="U830" s="52"/>
      <c r="V830" s="4293"/>
      <c r="W830" s="1396">
        <v>16800</v>
      </c>
      <c r="X830" s="833">
        <f>1.5*12000</f>
        <v>18000</v>
      </c>
      <c r="Y830" s="1396">
        <v>18000</v>
      </c>
      <c r="Z830" s="1396">
        <v>18000</v>
      </c>
      <c r="AA830" s="1396">
        <v>18000</v>
      </c>
      <c r="AB830" s="735">
        <v>18221.05263157895</v>
      </c>
      <c r="AC830" s="735">
        <v>16500</v>
      </c>
      <c r="AD830" s="1112">
        <v>19534.374419283762</v>
      </c>
      <c r="AE830" s="1046">
        <v>19534.374419283762</v>
      </c>
      <c r="AF830" s="271">
        <f t="shared" si="108"/>
        <v>19534.374419283762</v>
      </c>
      <c r="AG830" s="1396"/>
      <c r="DG830" s="573"/>
      <c r="DH830" s="159"/>
      <c r="DI830" s="1091"/>
    </row>
    <row r="831" spans="1:114" hidden="1" outlineLevel="1">
      <c r="A831" s="453"/>
      <c r="C831" s="51"/>
      <c r="D831" s="4293"/>
      <c r="E831" s="4293"/>
      <c r="F831" s="4342" t="str">
        <f>E756</f>
        <v>Mini/MultiSplitASHP-Replace_CAC_ElectricHeat_ER1_SF</v>
      </c>
      <c r="G831" s="4342"/>
      <c r="H831" s="4342"/>
      <c r="I831" s="929" t="str">
        <f>C756</f>
        <v>351400_2024_12_</v>
      </c>
      <c r="J831" s="1753">
        <v>22509.090909090908</v>
      </c>
      <c r="K831" s="916">
        <f t="shared" si="109"/>
        <v>1.8757575757575757</v>
      </c>
      <c r="L831" s="1759" t="s">
        <v>1937</v>
      </c>
      <c r="Q831" s="1644">
        <f>R830</f>
        <v>11.6</v>
      </c>
      <c r="R831" s="1644">
        <v>100</v>
      </c>
      <c r="S831" s="71">
        <v>2041</v>
      </c>
      <c r="T831" s="71">
        <v>660</v>
      </c>
      <c r="U831" s="52"/>
      <c r="V831" s="4293"/>
      <c r="W831" s="1396">
        <v>16800</v>
      </c>
      <c r="X831" s="833">
        <f>1.5*12000</f>
        <v>18000</v>
      </c>
      <c r="Y831" s="1396">
        <v>18000</v>
      </c>
      <c r="Z831" s="1396">
        <v>18000</v>
      </c>
      <c r="AA831" s="1396">
        <v>18000</v>
      </c>
      <c r="AB831" s="735">
        <v>18840</v>
      </c>
      <c r="AC831" s="735">
        <v>18837.20930232558</v>
      </c>
      <c r="AD831" s="1112">
        <v>22509.090909090908</v>
      </c>
      <c r="AE831" s="1046">
        <v>22509.090909090908</v>
      </c>
      <c r="AF831" s="271">
        <f t="shared" si="108"/>
        <v>22509.090909090908</v>
      </c>
      <c r="AG831" s="1396"/>
      <c r="DG831" s="573"/>
      <c r="DH831" s="159"/>
      <c r="DI831" s="1091"/>
    </row>
    <row r="832" spans="1:114" hidden="1" outlineLevel="1">
      <c r="A832" s="453"/>
      <c r="C832" s="51"/>
      <c r="D832" s="4293"/>
      <c r="E832" s="4293"/>
      <c r="F832" s="4342" t="str">
        <f>E764</f>
        <v>Mini/MultiSplitASHP-Replace_CAC_ElectricHeat_ROF_SF</v>
      </c>
      <c r="G832" s="4342"/>
      <c r="H832" s="4342"/>
      <c r="I832" s="929" t="str">
        <f>C764</f>
        <v>351450_2024_12_</v>
      </c>
      <c r="J832" s="1753">
        <v>19534.374419283762</v>
      </c>
      <c r="K832" s="916">
        <f t="shared" si="109"/>
        <v>1.6278645349403136</v>
      </c>
      <c r="L832" s="1759" t="s">
        <v>1937</v>
      </c>
      <c r="S832" s="52"/>
      <c r="T832" s="52"/>
      <c r="U832" s="52"/>
      <c r="V832" s="4293"/>
      <c r="W832" s="1396">
        <v>19200</v>
      </c>
      <c r="X832" s="833">
        <f>1.5*12000</f>
        <v>18000</v>
      </c>
      <c r="Y832" s="833">
        <v>19200</v>
      </c>
      <c r="Z832" s="1396">
        <v>19200</v>
      </c>
      <c r="AA832" s="1396">
        <v>19200</v>
      </c>
      <c r="AB832" s="735">
        <v>19200</v>
      </c>
      <c r="AC832" s="735">
        <v>20769.23076923077</v>
      </c>
      <c r="AD832" s="1112">
        <v>19534.374419283762</v>
      </c>
      <c r="AE832" s="1046">
        <v>19534.374419283762</v>
      </c>
      <c r="AF832" s="271">
        <f t="shared" si="108"/>
        <v>19534.374419283762</v>
      </c>
      <c r="AG832" s="1396"/>
      <c r="DG832" s="573"/>
      <c r="DH832" s="159"/>
      <c r="DI832" s="1091"/>
    </row>
    <row r="833" spans="1:113" hidden="1" outlineLevel="1">
      <c r="A833" s="453"/>
      <c r="C833" s="51"/>
      <c r="D833" s="4293"/>
      <c r="E833" s="4293"/>
      <c r="F833" s="4342" t="str">
        <f>E760</f>
        <v>Mini/MultiSplitASHP-Replace_CAC_NonElectricHeat_ER1_SF</v>
      </c>
      <c r="G833" s="4342"/>
      <c r="H833" s="4342"/>
      <c r="I833" s="929" t="str">
        <f>C760</f>
        <v>351401_2024_12_</v>
      </c>
      <c r="J833" s="1753">
        <v>22509.090909090908</v>
      </c>
      <c r="K833" s="916">
        <f t="shared" si="109"/>
        <v>1.8757575757575757</v>
      </c>
      <c r="L833" s="1759" t="s">
        <v>1937</v>
      </c>
      <c r="S833" s="52"/>
      <c r="T833" s="52"/>
      <c r="U833" s="52"/>
      <c r="V833" s="4293"/>
      <c r="W833" s="1396"/>
      <c r="X833" s="833"/>
      <c r="Y833" s="833"/>
      <c r="Z833" s="1396"/>
      <c r="AA833" s="1396"/>
      <c r="AB833" s="735"/>
      <c r="AC833" s="735"/>
      <c r="AD833" s="1112">
        <v>22509.090909090908</v>
      </c>
      <c r="AE833" s="1046">
        <v>22509.090909090908</v>
      </c>
      <c r="AF833" s="271">
        <f t="shared" si="108"/>
        <v>22509.090909090908</v>
      </c>
      <c r="AG833" s="1396"/>
      <c r="DG833" s="573"/>
      <c r="DH833" s="159"/>
      <c r="DI833" s="1091"/>
    </row>
    <row r="834" spans="1:113" hidden="1" outlineLevel="1">
      <c r="A834" s="453"/>
      <c r="C834" s="51"/>
      <c r="D834" s="4293"/>
      <c r="E834" s="4293"/>
      <c r="F834" s="4342" t="str">
        <f>E766</f>
        <v>Mini/MultiSplitASHP-Replace_CAC_NonElectricHeat_ROF_SF</v>
      </c>
      <c r="G834" s="4342"/>
      <c r="H834" s="4342"/>
      <c r="I834" s="929" t="str">
        <f>C766</f>
        <v>351451_2024_12_</v>
      </c>
      <c r="J834" s="1753">
        <v>19534.374419283762</v>
      </c>
      <c r="K834" s="916">
        <f t="shared" si="109"/>
        <v>1.6278645349403136</v>
      </c>
      <c r="L834" s="1759" t="s">
        <v>1937</v>
      </c>
      <c r="R834"/>
      <c r="S834" s="4287" t="s">
        <v>2037</v>
      </c>
      <c r="T834" s="4287"/>
      <c r="U834" s="52"/>
      <c r="V834" s="4293"/>
      <c r="W834" s="1396"/>
      <c r="X834" s="833"/>
      <c r="Y834" s="833"/>
      <c r="Z834" s="1396"/>
      <c r="AA834" s="1396"/>
      <c r="AB834" s="735"/>
      <c r="AC834" s="735"/>
      <c r="AD834" s="1112">
        <v>19534.374419283762</v>
      </c>
      <c r="AE834" s="1046">
        <v>19534.374419283762</v>
      </c>
      <c r="AF834" s="271">
        <f t="shared" si="108"/>
        <v>19534.374419283762</v>
      </c>
      <c r="AG834" s="1396"/>
      <c r="DG834" s="573"/>
      <c r="DH834" s="159"/>
      <c r="DI834" s="1091"/>
    </row>
    <row r="835" spans="1:113" hidden="1" outlineLevel="1">
      <c r="A835" s="453"/>
      <c r="C835" s="51"/>
      <c r="D835" s="4293"/>
      <c r="E835" s="4293"/>
      <c r="F835" s="4342" t="str">
        <f>E768</f>
        <v>Mini/MultiSplitASHP_ER1_SF</v>
      </c>
      <c r="G835" s="4342"/>
      <c r="H835" s="4342"/>
      <c r="I835" s="929" t="str">
        <f>C768</f>
        <v>351500_2024_12_</v>
      </c>
      <c r="J835" s="1753">
        <v>22509.090909090908</v>
      </c>
      <c r="K835" s="916">
        <f t="shared" si="109"/>
        <v>1.8757575757575757</v>
      </c>
      <c r="L835" s="1759" t="s">
        <v>1937</v>
      </c>
      <c r="Q835" s="1643" t="s">
        <v>2038</v>
      </c>
      <c r="R835" s="1643" t="s">
        <v>2039</v>
      </c>
      <c r="S835" s="1643" t="s">
        <v>2040</v>
      </c>
      <c r="T835" s="1643" t="s">
        <v>2041</v>
      </c>
      <c r="U835" s="52"/>
      <c r="V835" s="4293"/>
      <c r="W835" s="1396">
        <v>20400</v>
      </c>
      <c r="X835" s="833">
        <f>1.5*12000</f>
        <v>18000</v>
      </c>
      <c r="Y835" s="1396">
        <v>18000</v>
      </c>
      <c r="Z835" s="1396">
        <v>18000</v>
      </c>
      <c r="AA835" s="1396">
        <v>18000</v>
      </c>
      <c r="AB835" s="735">
        <v>15375</v>
      </c>
      <c r="AC835" s="735">
        <v>17727.272727272728</v>
      </c>
      <c r="AD835" s="1112">
        <v>22509.090909090908</v>
      </c>
      <c r="AE835" s="1046">
        <v>22509.090909090908</v>
      </c>
      <c r="AF835" s="271">
        <f t="shared" si="108"/>
        <v>22509.090909090908</v>
      </c>
      <c r="AG835" s="1396"/>
      <c r="DG835" s="573"/>
      <c r="DH835" s="159"/>
      <c r="DI835" s="1091"/>
    </row>
    <row r="836" spans="1:113" hidden="1" outlineLevel="1">
      <c r="A836" s="453"/>
      <c r="C836" s="51"/>
      <c r="D836" s="4293"/>
      <c r="E836" s="4293"/>
      <c r="F836" s="4342" t="str">
        <f>E772</f>
        <v>Mini/MultiSplitAC_ER1_MF</v>
      </c>
      <c r="G836" s="4342"/>
      <c r="H836" s="4342"/>
      <c r="I836" s="929" t="str">
        <f>C772</f>
        <v>351550_2024_12_</v>
      </c>
      <c r="J836" s="1770">
        <f>J827</f>
        <v>0</v>
      </c>
      <c r="K836" s="916">
        <f t="shared" ref="K836:K853" si="110">J836/12000</f>
        <v>0</v>
      </c>
      <c r="L836" s="1760" t="s">
        <v>2032</v>
      </c>
      <c r="Q836" s="71" t="s">
        <v>2042</v>
      </c>
      <c r="R836" s="71" t="s">
        <v>2042</v>
      </c>
      <c r="S836" s="71">
        <v>3338</v>
      </c>
      <c r="T836" s="71">
        <v>0</v>
      </c>
      <c r="U836" s="52"/>
      <c r="V836" s="4293"/>
      <c r="W836" s="1396"/>
      <c r="X836" s="1396"/>
      <c r="Y836" s="833">
        <v>0</v>
      </c>
      <c r="Z836" s="1396">
        <v>0</v>
      </c>
      <c r="AA836" s="1396">
        <v>0</v>
      </c>
      <c r="AB836" s="1405">
        <v>0</v>
      </c>
      <c r="AC836" s="1405">
        <v>0</v>
      </c>
      <c r="AD836" s="1405">
        <v>0</v>
      </c>
      <c r="AE836" s="1405">
        <v>0</v>
      </c>
      <c r="AF836" s="271">
        <f t="shared" si="108"/>
        <v>0</v>
      </c>
      <c r="AG836" s="1396"/>
      <c r="DG836" s="573"/>
      <c r="DH836" s="159"/>
      <c r="DI836" s="1091"/>
    </row>
    <row r="837" spans="1:113" hidden="1" outlineLevel="1">
      <c r="A837" s="453"/>
      <c r="C837" s="51"/>
      <c r="D837" s="4293"/>
      <c r="E837" s="4293"/>
      <c r="F837" s="4341" t="str">
        <f>E776</f>
        <v>Mini/MultiSplitAC_ROF_MF</v>
      </c>
      <c r="G837" s="4341"/>
      <c r="H837" s="4341"/>
      <c r="I837" s="3334" t="str">
        <f>C776</f>
        <v>351600_2024_12_</v>
      </c>
      <c r="J837" s="3336">
        <f>J828</f>
        <v>0</v>
      </c>
      <c r="K837" s="3337">
        <f t="shared" si="110"/>
        <v>0</v>
      </c>
      <c r="L837" s="3338" t="s">
        <v>2032</v>
      </c>
      <c r="Q837" s="71" t="s">
        <v>2043</v>
      </c>
      <c r="R837" s="71" t="s">
        <v>2043</v>
      </c>
      <c r="S837" s="71">
        <f>2011+3338</f>
        <v>5349</v>
      </c>
      <c r="T837" s="71">
        <v>0</v>
      </c>
      <c r="U837" s="52"/>
      <c r="V837" s="4293"/>
      <c r="W837" s="3262"/>
      <c r="X837" s="3262"/>
      <c r="Y837" s="3265">
        <v>0</v>
      </c>
      <c r="Z837" s="3262">
        <v>0</v>
      </c>
      <c r="AA837" s="3262">
        <v>0</v>
      </c>
      <c r="AB837" s="3284">
        <v>0</v>
      </c>
      <c r="AC837" s="3284">
        <v>0</v>
      </c>
      <c r="AD837" s="3284">
        <v>0</v>
      </c>
      <c r="AE837" s="3284">
        <v>0</v>
      </c>
      <c r="AF837" s="2236">
        <f t="shared" si="108"/>
        <v>0</v>
      </c>
      <c r="AG837" s="3262"/>
      <c r="DG837" s="573"/>
      <c r="DH837" s="159"/>
      <c r="DI837" s="1091"/>
    </row>
    <row r="838" spans="1:113" hidden="1" outlineLevel="1">
      <c r="A838" s="453"/>
      <c r="C838" s="51"/>
      <c r="D838" s="4293"/>
      <c r="E838" s="4293"/>
      <c r="F838" s="4341" t="str">
        <f>E778</f>
        <v>Mini/MultiSplitASHP_ROF_MF_NC</v>
      </c>
      <c r="G838" s="4341"/>
      <c r="H838" s="4341"/>
      <c r="I838" s="3334" t="str">
        <f>C778</f>
        <v>351650_2024_12_</v>
      </c>
      <c r="J838" s="3339">
        <v>24000</v>
      </c>
      <c r="K838" s="3337">
        <f t="shared" si="110"/>
        <v>2</v>
      </c>
      <c r="L838" s="3272" t="s">
        <v>1937</v>
      </c>
      <c r="Q838" s="71" t="s">
        <v>2044</v>
      </c>
      <c r="R838" s="71" t="s">
        <v>2044</v>
      </c>
      <c r="S838" s="71">
        <v>0</v>
      </c>
      <c r="T838" s="71">
        <v>1518</v>
      </c>
      <c r="U838" s="52"/>
      <c r="V838" s="4293"/>
      <c r="W838" s="3262"/>
      <c r="X838" s="3262"/>
      <c r="Y838" s="3265">
        <v>18000</v>
      </c>
      <c r="Z838" s="3262">
        <v>18000</v>
      </c>
      <c r="AA838" s="3262">
        <v>18000</v>
      </c>
      <c r="AB838" s="3284">
        <v>18000</v>
      </c>
      <c r="AC838" s="3277">
        <v>18101.694915254237</v>
      </c>
      <c r="AD838" s="3340">
        <v>24000</v>
      </c>
      <c r="AE838" s="3341">
        <v>24000</v>
      </c>
      <c r="AF838" s="2236">
        <f t="shared" si="108"/>
        <v>24000</v>
      </c>
      <c r="AG838" s="3262"/>
      <c r="DG838" s="573"/>
      <c r="DH838" s="159"/>
      <c r="DI838" s="1091"/>
    </row>
    <row r="839" spans="1:113" hidden="1" outlineLevel="1">
      <c r="A839" s="453"/>
      <c r="C839" s="51"/>
      <c r="D839" s="4293"/>
      <c r="E839" s="4293"/>
      <c r="F839" s="4341" t="str">
        <f>E782</f>
        <v>Mini/MultiSplitASHP_ROF_MF</v>
      </c>
      <c r="G839" s="4341"/>
      <c r="H839" s="4341"/>
      <c r="I839" s="3334" t="str">
        <f>C782</f>
        <v>351700_2024_12_</v>
      </c>
      <c r="J839" s="3339">
        <v>24000</v>
      </c>
      <c r="K839" s="3337">
        <f t="shared" si="110"/>
        <v>2</v>
      </c>
      <c r="L839" s="3272" t="s">
        <v>1937</v>
      </c>
      <c r="Q839" s="71" t="s">
        <v>2045</v>
      </c>
      <c r="R839" s="71" t="s">
        <v>2045</v>
      </c>
      <c r="S839" s="71">
        <v>3670</v>
      </c>
      <c r="T839" s="71">
        <v>0</v>
      </c>
      <c r="U839" s="52"/>
      <c r="V839" s="4293"/>
      <c r="W839" s="3262"/>
      <c r="X839" s="3262"/>
      <c r="Y839" s="3265">
        <v>18000</v>
      </c>
      <c r="Z839" s="3262">
        <v>18000</v>
      </c>
      <c r="AA839" s="3262">
        <v>18000</v>
      </c>
      <c r="AB839" s="3277">
        <v>18221.05263157895</v>
      </c>
      <c r="AC839" s="3277">
        <v>16500</v>
      </c>
      <c r="AD839" s="3340">
        <v>24000</v>
      </c>
      <c r="AE839" s="3341">
        <v>24000</v>
      </c>
      <c r="AF839" s="2236">
        <f t="shared" si="108"/>
        <v>24000</v>
      </c>
      <c r="AG839" s="3262"/>
      <c r="DG839" s="573"/>
      <c r="DH839" s="159"/>
      <c r="DI839" s="1091"/>
    </row>
    <row r="840" spans="1:113" hidden="1" outlineLevel="1">
      <c r="A840" s="453"/>
      <c r="C840" s="51"/>
      <c r="D840" s="4293"/>
      <c r="E840" s="4293"/>
      <c r="F840" s="4341" t="str">
        <f>E786</f>
        <v>Mini/MultiSplitASHP-Replace_CAC_ElectricHeat_ER1_MF</v>
      </c>
      <c r="G840" s="4341"/>
      <c r="H840" s="4341"/>
      <c r="I840" s="3334" t="str">
        <f>C786</f>
        <v>351750_2024_12_</v>
      </c>
      <c r="J840" s="3339">
        <f>J838</f>
        <v>24000</v>
      </c>
      <c r="K840" s="3337">
        <f t="shared" si="110"/>
        <v>2</v>
      </c>
      <c r="L840" s="3338" t="s">
        <v>2046</v>
      </c>
      <c r="Q840" s="71" t="s">
        <v>2047</v>
      </c>
      <c r="R840" s="71" t="s">
        <v>2047</v>
      </c>
      <c r="S840" s="71">
        <f>2296+3670</f>
        <v>5966</v>
      </c>
      <c r="T840" s="71">
        <v>0</v>
      </c>
      <c r="U840" s="52"/>
      <c r="V840" s="4293"/>
      <c r="W840" s="3262"/>
      <c r="X840" s="3262"/>
      <c r="Y840" s="3265">
        <v>18000</v>
      </c>
      <c r="Z840" s="3262">
        <v>18000</v>
      </c>
      <c r="AA840" s="3262">
        <v>18000</v>
      </c>
      <c r="AB840" s="3277">
        <v>18840</v>
      </c>
      <c r="AC840" s="3277">
        <v>18837.20930232558</v>
      </c>
      <c r="AD840" s="3340">
        <v>24000</v>
      </c>
      <c r="AE840" s="3341">
        <v>24000</v>
      </c>
      <c r="AF840" s="2236">
        <f t="shared" si="108"/>
        <v>24000</v>
      </c>
      <c r="AG840" s="3262"/>
      <c r="DG840" s="573"/>
      <c r="DH840" s="159"/>
      <c r="DI840" s="1091"/>
    </row>
    <row r="841" spans="1:113" hidden="1" outlineLevel="1">
      <c r="A841" s="453"/>
      <c r="C841" s="51"/>
      <c r="D841" s="4293"/>
      <c r="E841" s="4293"/>
      <c r="F841" s="4341" t="str">
        <f>E802</f>
        <v>Mini/MultiSplitASHP-Replace_CAC_ElectricHeat_ROF_MF</v>
      </c>
      <c r="G841" s="4341"/>
      <c r="H841" s="4341"/>
      <c r="I841" s="3334" t="str">
        <f>C802</f>
        <v>351800_2024_12_</v>
      </c>
      <c r="J841" s="3339">
        <f>J839</f>
        <v>24000</v>
      </c>
      <c r="K841" s="3337">
        <f t="shared" si="110"/>
        <v>2</v>
      </c>
      <c r="L841" s="3338" t="s">
        <v>2046</v>
      </c>
      <c r="U841" s="52"/>
      <c r="V841" s="4293"/>
      <c r="W841" s="3262"/>
      <c r="X841" s="3262"/>
      <c r="Y841" s="3265">
        <v>19200</v>
      </c>
      <c r="Z841" s="3262">
        <v>19200</v>
      </c>
      <c r="AA841" s="3262">
        <v>19200</v>
      </c>
      <c r="AB841" s="3277">
        <v>19200</v>
      </c>
      <c r="AC841" s="3277">
        <v>20769.23076923077</v>
      </c>
      <c r="AD841" s="3340">
        <v>24000</v>
      </c>
      <c r="AE841" s="3341">
        <v>24000</v>
      </c>
      <c r="AF841" s="2236">
        <f t="shared" si="108"/>
        <v>24000</v>
      </c>
      <c r="AG841" s="3262"/>
      <c r="DG841" s="573"/>
      <c r="DH841" s="159"/>
      <c r="DI841" s="1091"/>
    </row>
    <row r="842" spans="1:113" hidden="1" outlineLevel="1">
      <c r="A842" s="453"/>
      <c r="C842" s="51"/>
      <c r="D842" s="4293"/>
      <c r="E842" s="4293"/>
      <c r="F842" s="4341" t="str">
        <f>E794</f>
        <v>Mini/MultiSplitASHP-Replace_CAC_NonElectricHeat_ER1_MF</v>
      </c>
      <c r="G842" s="4341"/>
      <c r="H842" s="4341"/>
      <c r="I842" s="3334" t="str">
        <f>C794</f>
        <v>351752_2024_12_</v>
      </c>
      <c r="J842" s="3339">
        <f>J840</f>
        <v>24000</v>
      </c>
      <c r="K842" s="3337">
        <f>J842/12000</f>
        <v>2</v>
      </c>
      <c r="L842" s="3338" t="s">
        <v>2046</v>
      </c>
      <c r="R842" s="1643" t="s">
        <v>1922</v>
      </c>
      <c r="S842" s="1643" t="s">
        <v>969</v>
      </c>
      <c r="T842" s="1643" t="s">
        <v>970</v>
      </c>
      <c r="U842" s="52"/>
      <c r="V842" s="4293"/>
      <c r="W842" s="3262"/>
      <c r="X842" s="3262"/>
      <c r="Y842" s="3265"/>
      <c r="Z842" s="3262"/>
      <c r="AA842" s="3262"/>
      <c r="AB842" s="3277"/>
      <c r="AC842" s="3277"/>
      <c r="AD842" s="3340">
        <v>24000</v>
      </c>
      <c r="AE842" s="3341">
        <v>24000</v>
      </c>
      <c r="AF842" s="2236">
        <f t="shared" si="108"/>
        <v>24000</v>
      </c>
      <c r="AG842" s="3262"/>
      <c r="DG842" s="573"/>
      <c r="DH842" s="159"/>
      <c r="DI842" s="1091"/>
    </row>
    <row r="843" spans="1:113" hidden="1" outlineLevel="1">
      <c r="A843" s="453"/>
      <c r="C843" s="51"/>
      <c r="D843" s="4293"/>
      <c r="E843" s="4293"/>
      <c r="F843" s="4341" t="str">
        <f>E806</f>
        <v>Mini/MultiSplitASHP-Replace_CAC_NonElectricHeat_ROF_MF</v>
      </c>
      <c r="G843" s="4341"/>
      <c r="H843" s="4341"/>
      <c r="I843" s="3334" t="str">
        <f>C806</f>
        <v>351802_2024_12_</v>
      </c>
      <c r="J843" s="3339">
        <f>J841</f>
        <v>24000</v>
      </c>
      <c r="K843" s="3337">
        <f>J843/12000</f>
        <v>2</v>
      </c>
      <c r="L843" s="3338" t="s">
        <v>2046</v>
      </c>
      <c r="R843" s="71" t="s">
        <v>1923</v>
      </c>
      <c r="S843" s="260">
        <v>2.3128228708516586E-2</v>
      </c>
      <c r="T843" s="71" t="s">
        <v>1924</v>
      </c>
      <c r="U843" s="52"/>
      <c r="V843" s="4293"/>
      <c r="W843" s="3262"/>
      <c r="X843" s="3262"/>
      <c r="Y843" s="3265"/>
      <c r="Z843" s="3262"/>
      <c r="AA843" s="3262"/>
      <c r="AB843" s="3277"/>
      <c r="AC843" s="3277"/>
      <c r="AD843" s="3340">
        <v>24000</v>
      </c>
      <c r="AE843" s="3341">
        <v>24000</v>
      </c>
      <c r="AF843" s="2236">
        <f t="shared" si="108"/>
        <v>24000</v>
      </c>
      <c r="AG843" s="3262"/>
      <c r="DG843" s="573"/>
      <c r="DH843" s="159"/>
      <c r="DI843" s="1091"/>
    </row>
    <row r="844" spans="1:113" hidden="1" outlineLevel="1">
      <c r="A844" s="453"/>
      <c r="C844" s="51"/>
      <c r="D844" s="4293"/>
      <c r="E844" s="4293"/>
      <c r="F844" s="4341" t="str">
        <f>E810</f>
        <v>Mini/MultiSplitASHP_ER1_MF</v>
      </c>
      <c r="G844" s="4341"/>
      <c r="H844" s="4341"/>
      <c r="I844" s="3334" t="str">
        <f>C810</f>
        <v>351850_2024_12_</v>
      </c>
      <c r="J844" s="3266">
        <f>J842</f>
        <v>24000</v>
      </c>
      <c r="K844" s="3337">
        <f t="shared" si="110"/>
        <v>2</v>
      </c>
      <c r="L844" s="3338" t="s">
        <v>2046</v>
      </c>
      <c r="R844" s="71" t="s">
        <v>1925</v>
      </c>
      <c r="S844" s="1378">
        <v>6</v>
      </c>
      <c r="T844" s="71" t="s">
        <v>1926</v>
      </c>
      <c r="U844" s="52"/>
      <c r="V844" s="4293"/>
      <c r="W844" s="3262"/>
      <c r="X844" s="3262"/>
      <c r="Y844" s="3265">
        <v>18000</v>
      </c>
      <c r="Z844" s="3262">
        <v>18000</v>
      </c>
      <c r="AA844" s="3262">
        <v>18000</v>
      </c>
      <c r="AB844" s="3277">
        <v>15375</v>
      </c>
      <c r="AC844" s="3277">
        <v>17727.272727272728</v>
      </c>
      <c r="AD844" s="3277">
        <v>24000</v>
      </c>
      <c r="AE844" s="3268">
        <v>24000</v>
      </c>
      <c r="AF844" s="2236">
        <f t="shared" si="108"/>
        <v>24000</v>
      </c>
      <c r="AG844" s="3262"/>
      <c r="DG844" s="573"/>
      <c r="DH844" s="159"/>
      <c r="DI844" s="1091"/>
    </row>
    <row r="845" spans="1:113" hidden="1" outlineLevel="1">
      <c r="A845" s="453"/>
      <c r="C845" s="51"/>
      <c r="D845" s="4199"/>
      <c r="E845" s="4199"/>
      <c r="F845" s="4341" t="str">
        <f>E774</f>
        <v>Mini/MultiSplitAC_ER1_MF_CompE</v>
      </c>
      <c r="G845" s="4341"/>
      <c r="H845" s="4341"/>
      <c r="I845" s="3334" t="str">
        <f>C774</f>
        <v>351551_2024_12_</v>
      </c>
      <c r="J845" s="3336">
        <f>J827</f>
        <v>0</v>
      </c>
      <c r="K845" s="3337">
        <f t="shared" si="110"/>
        <v>0</v>
      </c>
      <c r="L845" s="3338" t="s">
        <v>2032</v>
      </c>
      <c r="R845" s="71" t="s">
        <v>1927</v>
      </c>
      <c r="S845" s="202">
        <f>(1-S843)^(S844-1)</f>
        <v>0.88958571378558426</v>
      </c>
      <c r="T845" s="71" t="s">
        <v>1928</v>
      </c>
      <c r="U845" s="52"/>
      <c r="V845" s="4199"/>
      <c r="W845" s="3262"/>
      <c r="X845" s="3262"/>
      <c r="Y845" s="3265">
        <v>0</v>
      </c>
      <c r="Z845" s="3262">
        <v>0</v>
      </c>
      <c r="AA845" s="3262">
        <v>0</v>
      </c>
      <c r="AB845" s="3284">
        <v>0</v>
      </c>
      <c r="AC845" s="3284">
        <v>0</v>
      </c>
      <c r="AD845" s="3284">
        <v>0</v>
      </c>
      <c r="AE845" s="3284">
        <v>0</v>
      </c>
      <c r="AF845" s="2236">
        <f t="shared" si="108"/>
        <v>0</v>
      </c>
      <c r="AG845" s="3262"/>
      <c r="DG845" s="573"/>
      <c r="DH845" s="159"/>
      <c r="DI845" s="1091"/>
    </row>
    <row r="846" spans="1:113" hidden="1" outlineLevel="1">
      <c r="A846" s="453"/>
      <c r="C846" s="51"/>
      <c r="D846" s="4199"/>
      <c r="E846" s="4199"/>
      <c r="F846" s="4341" t="str">
        <f>E777</f>
        <v>Mini/MultiSplitAC_ROF_MF_CompE</v>
      </c>
      <c r="G846" s="4341"/>
      <c r="H846" s="4341"/>
      <c r="I846" s="3334" t="str">
        <f>C777</f>
        <v>351601_2024_12_</v>
      </c>
      <c r="J846" s="3336">
        <f>J828</f>
        <v>0</v>
      </c>
      <c r="K846" s="3337">
        <f t="shared" si="110"/>
        <v>0</v>
      </c>
      <c r="L846" s="3338" t="s">
        <v>2032</v>
      </c>
      <c r="U846" s="52"/>
      <c r="V846" s="4199"/>
      <c r="W846" s="3262"/>
      <c r="X846" s="3262"/>
      <c r="Y846" s="3265">
        <v>0</v>
      </c>
      <c r="Z846" s="3262">
        <v>0</v>
      </c>
      <c r="AA846" s="3262">
        <v>0</v>
      </c>
      <c r="AB846" s="3284">
        <v>0</v>
      </c>
      <c r="AC846" s="3284">
        <v>0</v>
      </c>
      <c r="AD846" s="3284">
        <v>0</v>
      </c>
      <c r="AE846" s="3284">
        <v>0</v>
      </c>
      <c r="AF846" s="2236">
        <f t="shared" si="108"/>
        <v>0</v>
      </c>
      <c r="AG846" s="3262"/>
      <c r="DG846" s="573"/>
      <c r="DH846" s="159"/>
      <c r="DI846" s="1091"/>
    </row>
    <row r="847" spans="1:113" hidden="1" outlineLevel="1">
      <c r="A847" s="453"/>
      <c r="C847" s="51"/>
      <c r="D847" s="4199"/>
      <c r="E847" s="4199"/>
      <c r="F847" s="4341" t="str">
        <f>E780</f>
        <v>Mini/MultiSplitASHP_ROF_MF_NC_CompE</v>
      </c>
      <c r="G847" s="4341"/>
      <c r="H847" s="4341"/>
      <c r="I847" s="3334" t="str">
        <f>C780</f>
        <v>351651_2024_12_</v>
      </c>
      <c r="J847" s="3266">
        <f>J838</f>
        <v>24000</v>
      </c>
      <c r="K847" s="3337">
        <f t="shared" si="110"/>
        <v>2</v>
      </c>
      <c r="L847" s="3338" t="s">
        <v>2046</v>
      </c>
      <c r="R847" s="656"/>
      <c r="S847" s="52"/>
      <c r="T847" s="52"/>
      <c r="U847" s="52"/>
      <c r="V847" s="4199"/>
      <c r="W847" s="3262"/>
      <c r="X847" s="3262"/>
      <c r="Y847" s="3265">
        <v>18000</v>
      </c>
      <c r="Z847" s="3262">
        <v>18000</v>
      </c>
      <c r="AA847" s="3262">
        <v>18000</v>
      </c>
      <c r="AB847" s="3284">
        <v>18000</v>
      </c>
      <c r="AC847" s="3277">
        <v>18101.694915254237</v>
      </c>
      <c r="AD847" s="3277">
        <v>24000</v>
      </c>
      <c r="AE847" s="3268">
        <v>24000</v>
      </c>
      <c r="AF847" s="2236">
        <f t="shared" si="108"/>
        <v>24000</v>
      </c>
      <c r="AG847" s="3262"/>
      <c r="DG847" s="573"/>
      <c r="DH847" s="159"/>
      <c r="DI847" s="1091"/>
    </row>
    <row r="848" spans="1:113" hidden="1" outlineLevel="1">
      <c r="A848" s="453"/>
      <c r="C848" s="51"/>
      <c r="D848" s="4199"/>
      <c r="E848" s="4199"/>
      <c r="F848" s="4341" t="str">
        <f>E784</f>
        <v>Mini/MultiSplitASHP_ROF_MF_CompE</v>
      </c>
      <c r="G848" s="4341"/>
      <c r="H848" s="4341"/>
      <c r="I848" s="3334" t="str">
        <f>C784</f>
        <v>351701_2024_12_</v>
      </c>
      <c r="J848" s="3266">
        <f>J839</f>
        <v>24000</v>
      </c>
      <c r="K848" s="3337">
        <f t="shared" si="110"/>
        <v>2</v>
      </c>
      <c r="L848" s="3338" t="s">
        <v>2046</v>
      </c>
      <c r="R848" s="656"/>
      <c r="S848" s="52"/>
      <c r="T848" s="52"/>
      <c r="U848" s="52"/>
      <c r="V848" s="4199"/>
      <c r="W848" s="3262"/>
      <c r="X848" s="3262"/>
      <c r="Y848" s="3265">
        <v>18000</v>
      </c>
      <c r="Z848" s="3262">
        <v>18000</v>
      </c>
      <c r="AA848" s="3262">
        <v>18000</v>
      </c>
      <c r="AB848" s="3277">
        <v>18221.05263157895</v>
      </c>
      <c r="AC848" s="3277">
        <v>16500</v>
      </c>
      <c r="AD848" s="3277">
        <v>24000</v>
      </c>
      <c r="AE848" s="3268">
        <v>24000</v>
      </c>
      <c r="AF848" s="2236">
        <f t="shared" si="108"/>
        <v>24000</v>
      </c>
      <c r="AG848" s="3262"/>
      <c r="DG848" s="573"/>
      <c r="DH848" s="159"/>
      <c r="DI848" s="1091"/>
    </row>
    <row r="849" spans="1:113" hidden="1" outlineLevel="1">
      <c r="A849" s="453"/>
      <c r="C849" s="51"/>
      <c r="D849" s="4199"/>
      <c r="E849" s="4199"/>
      <c r="F849" s="4341" t="str">
        <f>E790</f>
        <v>Mini/MultiSplitASHP-Replace_CAC_ElectricHeat_ER1_MF_CompE</v>
      </c>
      <c r="G849" s="4341"/>
      <c r="H849" s="4341"/>
      <c r="I849" s="3334" t="str">
        <f>C790</f>
        <v>351751_2024_12_</v>
      </c>
      <c r="J849" s="3266">
        <f>J840</f>
        <v>24000</v>
      </c>
      <c r="K849" s="3337">
        <f t="shared" si="110"/>
        <v>2</v>
      </c>
      <c r="L849" s="3338" t="s">
        <v>2046</v>
      </c>
      <c r="S849" s="52"/>
      <c r="T849" s="52"/>
      <c r="U849" s="52"/>
      <c r="V849" s="4199"/>
      <c r="W849" s="3262"/>
      <c r="X849" s="3262"/>
      <c r="Y849" s="3265">
        <v>18000</v>
      </c>
      <c r="Z849" s="3262">
        <v>18000</v>
      </c>
      <c r="AA849" s="3262">
        <v>18000</v>
      </c>
      <c r="AB849" s="3277">
        <v>18840</v>
      </c>
      <c r="AC849" s="3277">
        <v>18837.20930232558</v>
      </c>
      <c r="AD849" s="3277">
        <v>24000</v>
      </c>
      <c r="AE849" s="3268">
        <v>24000</v>
      </c>
      <c r="AF849" s="2236">
        <f t="shared" si="108"/>
        <v>24000</v>
      </c>
      <c r="AG849" s="3262"/>
      <c r="DG849" s="573"/>
      <c r="DH849" s="159"/>
      <c r="DI849" s="1091"/>
    </row>
    <row r="850" spans="1:113" hidden="1" outlineLevel="1">
      <c r="A850" s="453"/>
      <c r="C850" s="51"/>
      <c r="D850" s="4199"/>
      <c r="E850" s="4199"/>
      <c r="F850" s="4341" t="str">
        <f>E804</f>
        <v>Mini/MultiSplitASHP-Replace_CAC_ElectricHeat_ROF_MF_CompE</v>
      </c>
      <c r="G850" s="4341"/>
      <c r="H850" s="4341"/>
      <c r="I850" s="3334" t="str">
        <f>C804</f>
        <v>351801_2024_12_</v>
      </c>
      <c r="J850" s="3266">
        <f t="shared" ref="J850:J853" si="111">J841</f>
        <v>24000</v>
      </c>
      <c r="K850" s="3337">
        <f t="shared" si="110"/>
        <v>2</v>
      </c>
      <c r="L850" s="3338" t="s">
        <v>2046</v>
      </c>
      <c r="S850" s="52"/>
      <c r="T850" s="52"/>
      <c r="U850" s="52"/>
      <c r="V850" s="4199"/>
      <c r="W850" s="3262"/>
      <c r="X850" s="3262"/>
      <c r="Y850" s="3265">
        <v>19200</v>
      </c>
      <c r="Z850" s="3262">
        <v>19200</v>
      </c>
      <c r="AA850" s="3262">
        <v>19200</v>
      </c>
      <c r="AB850" s="3277">
        <v>19200</v>
      </c>
      <c r="AC850" s="3277">
        <v>20769.23076923077</v>
      </c>
      <c r="AD850" s="3277">
        <v>24000</v>
      </c>
      <c r="AE850" s="3268">
        <v>24000</v>
      </c>
      <c r="AF850" s="2236">
        <f t="shared" si="108"/>
        <v>24000</v>
      </c>
      <c r="AG850" s="3262"/>
      <c r="DG850" s="573"/>
      <c r="DH850" s="159"/>
      <c r="DI850" s="1091"/>
    </row>
    <row r="851" spans="1:113" hidden="1" outlineLevel="1">
      <c r="A851" s="453"/>
      <c r="C851" s="51"/>
      <c r="D851" s="4199"/>
      <c r="E851" s="4199"/>
      <c r="F851" s="4341" t="str">
        <f>E798</f>
        <v>Mini/MultiSplitASHP-Replace_CAC_NonElectricHeat_ER1_MF_CompE</v>
      </c>
      <c r="G851" s="4341"/>
      <c r="H851" s="4341"/>
      <c r="I851" s="3334" t="str">
        <f>C798</f>
        <v>351753_2024_12_</v>
      </c>
      <c r="J851" s="3266">
        <f t="shared" si="111"/>
        <v>24000</v>
      </c>
      <c r="K851" s="3337">
        <f>J851/12000</f>
        <v>2</v>
      </c>
      <c r="L851" s="3338" t="s">
        <v>2046</v>
      </c>
      <c r="S851" s="52"/>
      <c r="T851" s="52"/>
      <c r="U851" s="52"/>
      <c r="V851" s="4199"/>
      <c r="W851" s="3262"/>
      <c r="X851" s="3262"/>
      <c r="Y851" s="3265"/>
      <c r="Z851" s="3262"/>
      <c r="AA851" s="3262"/>
      <c r="AB851" s="3277"/>
      <c r="AC851" s="3277"/>
      <c r="AD851" s="3277">
        <v>24000</v>
      </c>
      <c r="AE851" s="3268">
        <v>24000</v>
      </c>
      <c r="AF851" s="2236">
        <f t="shared" si="108"/>
        <v>24000</v>
      </c>
      <c r="AG851" s="3262"/>
      <c r="DG851" s="573"/>
      <c r="DH851" s="159"/>
      <c r="DI851" s="1091"/>
    </row>
    <row r="852" spans="1:113" hidden="1" outlineLevel="1">
      <c r="A852" s="453"/>
      <c r="C852" s="51"/>
      <c r="D852" s="4199"/>
      <c r="E852" s="4199"/>
      <c r="F852" s="4341" t="str">
        <f>E808</f>
        <v>Mini/MultiSplitASHP-Replace_CAC_NonElectricHeat_ROF_MF_CompE</v>
      </c>
      <c r="G852" s="4341"/>
      <c r="H852" s="4341"/>
      <c r="I852" s="3334" t="str">
        <f>C808</f>
        <v>351803_2024_12_</v>
      </c>
      <c r="J852" s="3266">
        <f t="shared" si="111"/>
        <v>24000</v>
      </c>
      <c r="K852" s="3337">
        <f>J852/12000</f>
        <v>2</v>
      </c>
      <c r="L852" s="3338" t="s">
        <v>2046</v>
      </c>
      <c r="S852" s="52"/>
      <c r="T852" s="52"/>
      <c r="U852" s="52"/>
      <c r="V852" s="4199"/>
      <c r="W852" s="3262"/>
      <c r="X852" s="3262"/>
      <c r="Y852" s="3265"/>
      <c r="Z852" s="3262"/>
      <c r="AA852" s="3262"/>
      <c r="AB852" s="3277"/>
      <c r="AC852" s="3277"/>
      <c r="AD852" s="3277">
        <v>24000</v>
      </c>
      <c r="AE852" s="3268">
        <v>24000</v>
      </c>
      <c r="AF852" s="2236">
        <f t="shared" si="108"/>
        <v>24000</v>
      </c>
      <c r="AG852" s="3262"/>
      <c r="DG852" s="573"/>
      <c r="DH852" s="159"/>
      <c r="DI852" s="1091"/>
    </row>
    <row r="853" spans="1:113" hidden="1" outlineLevel="1">
      <c r="A853" s="453"/>
      <c r="C853" s="51"/>
      <c r="D853" s="4199"/>
      <c r="E853" s="4199"/>
      <c r="F853" s="4341" t="str">
        <f>E814</f>
        <v>Mini/MultiSplitASHP_ER1_MF_CompE</v>
      </c>
      <c r="G853" s="4341"/>
      <c r="H853" s="4341"/>
      <c r="I853" s="3334" t="str">
        <f>C814</f>
        <v>351851_2024_12_</v>
      </c>
      <c r="J853" s="3266">
        <f t="shared" si="111"/>
        <v>24000</v>
      </c>
      <c r="K853" s="3337">
        <f t="shared" si="110"/>
        <v>2</v>
      </c>
      <c r="L853" s="3338" t="s">
        <v>2046</v>
      </c>
      <c r="S853" s="52"/>
      <c r="T853" s="52"/>
      <c r="U853" s="52"/>
      <c r="V853" s="4199"/>
      <c r="W853" s="3262"/>
      <c r="X853" s="3262"/>
      <c r="Y853" s="3265">
        <v>18000</v>
      </c>
      <c r="Z853" s="3262">
        <v>18000</v>
      </c>
      <c r="AA853" s="3262">
        <v>18000</v>
      </c>
      <c r="AB853" s="3277">
        <v>15375</v>
      </c>
      <c r="AC853" s="3277">
        <v>17727.272727272728</v>
      </c>
      <c r="AD853" s="3277">
        <v>24000</v>
      </c>
      <c r="AE853" s="3268">
        <v>24000</v>
      </c>
      <c r="AF853" s="2236">
        <f t="shared" si="108"/>
        <v>24000</v>
      </c>
      <c r="AG853" s="3262"/>
      <c r="DG853" s="573"/>
      <c r="DH853" s="159"/>
      <c r="DI853" s="1091"/>
    </row>
    <row r="854" spans="1:113" ht="15" hidden="1" customHeight="1" outlineLevel="1">
      <c r="A854" s="453"/>
      <c r="C854" s="51"/>
      <c r="D854" s="4293" t="s">
        <v>892</v>
      </c>
      <c r="E854" s="4293" t="s">
        <v>2048</v>
      </c>
      <c r="F854" s="4342" t="str">
        <f t="shared" ref="F854:F867" si="112">F827</f>
        <v>Mini/MultiSplitAC_ER1_SF</v>
      </c>
      <c r="G854" s="4342"/>
      <c r="H854" s="4342"/>
      <c r="I854" s="929" t="str">
        <f t="shared" ref="I854:I867" si="113">I827</f>
        <v>351200_2024_12_</v>
      </c>
      <c r="J854" s="1793">
        <v>0</v>
      </c>
      <c r="K854" s="13"/>
      <c r="L854" s="4362" t="s">
        <v>1466</v>
      </c>
      <c r="S854" s="52"/>
      <c r="T854" s="52"/>
      <c r="U854" s="52"/>
      <c r="V854" s="4293" t="s">
        <v>892</v>
      </c>
      <c r="W854" s="1396">
        <v>0</v>
      </c>
      <c r="X854" s="1396">
        <v>0</v>
      </c>
      <c r="Y854" s="1396">
        <v>0</v>
      </c>
      <c r="Z854" s="1396">
        <v>0</v>
      </c>
      <c r="AA854" s="1396">
        <v>0</v>
      </c>
      <c r="AB854" s="1396">
        <v>0</v>
      </c>
      <c r="AC854" s="1396">
        <v>0</v>
      </c>
      <c r="AD854" s="1396">
        <v>0</v>
      </c>
      <c r="AE854" s="1405">
        <v>0</v>
      </c>
      <c r="AF854" s="271">
        <f t="shared" si="108"/>
        <v>0</v>
      </c>
      <c r="AG854" s="1396"/>
      <c r="DG854" s="573"/>
      <c r="DH854" s="159"/>
      <c r="DI854" s="1091"/>
    </row>
    <row r="855" spans="1:113" hidden="1" outlineLevel="1">
      <c r="A855" s="453"/>
      <c r="C855" s="51"/>
      <c r="D855" s="4293"/>
      <c r="E855" s="4293"/>
      <c r="F855" s="4342" t="str">
        <f t="shared" si="112"/>
        <v>Mini/MultiSplitAC_ROF_SF</v>
      </c>
      <c r="G855" s="4342"/>
      <c r="H855" s="4342"/>
      <c r="I855" s="929" t="str">
        <f t="shared" si="113"/>
        <v>351250_2024_12_</v>
      </c>
      <c r="J855" s="1793">
        <v>0</v>
      </c>
      <c r="K855" s="1761"/>
      <c r="L855" s="4362"/>
      <c r="S855" s="52"/>
      <c r="T855" s="52"/>
      <c r="U855" s="52"/>
      <c r="V855" s="4293"/>
      <c r="W855" s="1396">
        <v>0</v>
      </c>
      <c r="X855" s="1396">
        <v>0</v>
      </c>
      <c r="Y855" s="1396">
        <v>0</v>
      </c>
      <c r="Z855" s="1396">
        <v>0</v>
      </c>
      <c r="AA855" s="1396">
        <v>0</v>
      </c>
      <c r="AB855" s="1396">
        <v>0</v>
      </c>
      <c r="AC855" s="1396">
        <v>0</v>
      </c>
      <c r="AD855" s="1396">
        <v>0</v>
      </c>
      <c r="AE855" s="1405">
        <v>0</v>
      </c>
      <c r="AF855" s="271">
        <f t="shared" si="108"/>
        <v>0</v>
      </c>
      <c r="AG855" s="1396"/>
      <c r="DG855" s="573"/>
      <c r="DH855" s="159"/>
      <c r="DI855" s="1091"/>
    </row>
    <row r="856" spans="1:113" hidden="1" outlineLevel="1">
      <c r="A856" s="453"/>
      <c r="C856" s="51"/>
      <c r="D856" s="4293"/>
      <c r="E856" s="4293"/>
      <c r="F856" s="4342" t="str">
        <f t="shared" si="112"/>
        <v>Mini/MultiSplitASHP_ROF_SF_NC</v>
      </c>
      <c r="G856" s="4342"/>
      <c r="H856" s="4342"/>
      <c r="I856" s="929" t="str">
        <f t="shared" si="113"/>
        <v>351300_2024_12_</v>
      </c>
      <c r="J856" s="1793">
        <v>1034</v>
      </c>
      <c r="K856" s="1761"/>
      <c r="L856" s="4362"/>
      <c r="S856" s="52"/>
      <c r="T856" s="52"/>
      <c r="U856" s="52"/>
      <c r="V856" s="4293"/>
      <c r="W856" s="1396">
        <v>1496</v>
      </c>
      <c r="X856" s="1396">
        <v>1496</v>
      </c>
      <c r="Y856" s="833">
        <v>1034</v>
      </c>
      <c r="Z856" s="1396">
        <v>1034</v>
      </c>
      <c r="AA856" s="1396">
        <v>1034</v>
      </c>
      <c r="AB856" s="1396">
        <v>1034</v>
      </c>
      <c r="AC856" s="1396">
        <v>1034</v>
      </c>
      <c r="AD856" s="1396">
        <v>1034</v>
      </c>
      <c r="AE856" s="1405">
        <v>1034</v>
      </c>
      <c r="AF856" s="271">
        <f t="shared" si="108"/>
        <v>1034</v>
      </c>
      <c r="AG856" s="1396"/>
      <c r="DG856" s="573"/>
      <c r="DH856" s="159"/>
      <c r="DI856" s="1091"/>
    </row>
    <row r="857" spans="1:113" hidden="1" outlineLevel="1">
      <c r="A857" s="453"/>
      <c r="C857" s="51"/>
      <c r="D857" s="4293"/>
      <c r="E857" s="4293"/>
      <c r="F857" s="4342" t="str">
        <f t="shared" si="112"/>
        <v>Mini/MultiSplitASHP_ROF_SF</v>
      </c>
      <c r="G857" s="4342"/>
      <c r="H857" s="4342"/>
      <c r="I857" s="929" t="str">
        <f t="shared" si="113"/>
        <v>351350_2024_12_</v>
      </c>
      <c r="J857" s="1793">
        <v>1034</v>
      </c>
      <c r="K857" s="1761"/>
      <c r="L857" s="4362"/>
      <c r="N857" s="564"/>
      <c r="S857" s="52"/>
      <c r="T857" s="52"/>
      <c r="U857" s="52"/>
      <c r="V857" s="4293"/>
      <c r="W857" s="1396">
        <v>1496</v>
      </c>
      <c r="X857" s="1396">
        <v>1496</v>
      </c>
      <c r="Y857" s="833">
        <v>1034</v>
      </c>
      <c r="Z857" s="1396">
        <v>1034</v>
      </c>
      <c r="AA857" s="1396">
        <v>1034</v>
      </c>
      <c r="AB857" s="1396">
        <v>1034</v>
      </c>
      <c r="AC857" s="1396">
        <v>1034</v>
      </c>
      <c r="AD857" s="1396">
        <v>1034</v>
      </c>
      <c r="AE857" s="1405">
        <v>1034</v>
      </c>
      <c r="AF857" s="271">
        <f t="shared" si="108"/>
        <v>1034</v>
      </c>
      <c r="AG857" s="1396"/>
      <c r="DG857" s="573"/>
      <c r="DH857" s="159"/>
      <c r="DI857" s="1091"/>
    </row>
    <row r="858" spans="1:113" hidden="1" outlineLevel="1">
      <c r="A858" s="453"/>
      <c r="C858" s="51"/>
      <c r="D858" s="4293"/>
      <c r="E858" s="4293"/>
      <c r="F858" s="4342" t="str">
        <f t="shared" si="112"/>
        <v>Mini/MultiSplitASHP-Replace_CAC_ElectricHeat_ER1_SF</v>
      </c>
      <c r="G858" s="4342"/>
      <c r="H858" s="4342"/>
      <c r="I858" s="929" t="str">
        <f t="shared" si="113"/>
        <v>351400_2024_12_</v>
      </c>
      <c r="J858" s="1793">
        <v>1034</v>
      </c>
      <c r="K858" s="1761"/>
      <c r="L858" s="4362"/>
      <c r="N858" s="564"/>
      <c r="S858" s="52"/>
      <c r="T858" s="52"/>
      <c r="U858" s="52"/>
      <c r="V858" s="4293"/>
      <c r="W858" s="1396">
        <v>1496</v>
      </c>
      <c r="X858" s="1396">
        <v>1496</v>
      </c>
      <c r="Y858" s="833">
        <v>1034</v>
      </c>
      <c r="Z858" s="1396">
        <v>1034</v>
      </c>
      <c r="AA858" s="1396">
        <v>1034</v>
      </c>
      <c r="AB858" s="1396">
        <v>1034</v>
      </c>
      <c r="AC858" s="1396">
        <v>1034</v>
      </c>
      <c r="AD858" s="1396">
        <v>1034</v>
      </c>
      <c r="AE858" s="1405">
        <v>1034</v>
      </c>
      <c r="AF858" s="271">
        <f t="shared" si="108"/>
        <v>1034</v>
      </c>
      <c r="AG858" s="1396"/>
      <c r="DG858" s="573"/>
      <c r="DH858" s="159"/>
      <c r="DI858" s="1091"/>
    </row>
    <row r="859" spans="1:113" hidden="1" outlineLevel="1">
      <c r="A859" s="453"/>
      <c r="C859" s="51"/>
      <c r="D859" s="4293"/>
      <c r="E859" s="4293"/>
      <c r="F859" s="4342" t="str">
        <f t="shared" si="112"/>
        <v>Mini/MultiSplitASHP-Replace_CAC_ElectricHeat_ROF_SF</v>
      </c>
      <c r="G859" s="4342"/>
      <c r="H859" s="4342"/>
      <c r="I859" s="929" t="str">
        <f t="shared" si="113"/>
        <v>351450_2024_12_</v>
      </c>
      <c r="J859" s="1793">
        <v>1034</v>
      </c>
      <c r="K859" s="1761"/>
      <c r="L859" s="4362"/>
      <c r="N859" s="564"/>
      <c r="S859" s="52"/>
      <c r="T859" s="52"/>
      <c r="U859" s="52"/>
      <c r="V859" s="4293"/>
      <c r="W859" s="1396">
        <v>1496</v>
      </c>
      <c r="X859" s="1396">
        <v>1496</v>
      </c>
      <c r="Y859" s="833">
        <v>1034</v>
      </c>
      <c r="Z859" s="1396">
        <v>1034</v>
      </c>
      <c r="AA859" s="1396">
        <v>1034</v>
      </c>
      <c r="AB859" s="1396">
        <v>1034</v>
      </c>
      <c r="AC859" s="1396">
        <v>1034</v>
      </c>
      <c r="AD859" s="1396">
        <v>1034</v>
      </c>
      <c r="AE859" s="1405">
        <v>1034</v>
      </c>
      <c r="AF859" s="271">
        <f t="shared" si="108"/>
        <v>1034</v>
      </c>
      <c r="AG859" s="1396"/>
      <c r="DG859" s="573"/>
      <c r="DH859" s="159"/>
      <c r="DI859" s="1091"/>
    </row>
    <row r="860" spans="1:113" hidden="1" outlineLevel="1">
      <c r="A860" s="453"/>
      <c r="C860" s="51"/>
      <c r="D860" s="4293"/>
      <c r="E860" s="4293"/>
      <c r="F860" s="4342" t="str">
        <f t="shared" si="112"/>
        <v>Mini/MultiSplitASHP-Replace_CAC_NonElectricHeat_ER1_SF</v>
      </c>
      <c r="G860" s="4342"/>
      <c r="H860" s="4342"/>
      <c r="I860" s="929" t="str">
        <f t="shared" si="113"/>
        <v>351401_2024_12_</v>
      </c>
      <c r="J860" s="1793">
        <v>1034</v>
      </c>
      <c r="K860" s="1761"/>
      <c r="L860" s="4362"/>
      <c r="N860" s="564"/>
      <c r="S860" s="52"/>
      <c r="T860" s="52"/>
      <c r="U860" s="52"/>
      <c r="V860" s="4293"/>
      <c r="W860" s="1396"/>
      <c r="X860" s="1396"/>
      <c r="Y860" s="833"/>
      <c r="Z860" s="1396"/>
      <c r="AA860" s="1396"/>
      <c r="AB860" s="1396"/>
      <c r="AC860" s="1396"/>
      <c r="AD860" s="833">
        <v>1034</v>
      </c>
      <c r="AE860" s="1405">
        <v>1034</v>
      </c>
      <c r="AF860" s="271">
        <f t="shared" si="108"/>
        <v>1034</v>
      </c>
      <c r="AG860" s="1396"/>
      <c r="DG860" s="573"/>
      <c r="DH860" s="159"/>
      <c r="DI860" s="1091"/>
    </row>
    <row r="861" spans="1:113" hidden="1" outlineLevel="1">
      <c r="A861" s="453"/>
      <c r="C861" s="51"/>
      <c r="D861" s="4293"/>
      <c r="E861" s="4293"/>
      <c r="F861" s="4342" t="str">
        <f t="shared" si="112"/>
        <v>Mini/MultiSplitASHP-Replace_CAC_NonElectricHeat_ROF_SF</v>
      </c>
      <c r="G861" s="4342"/>
      <c r="H861" s="4342"/>
      <c r="I861" s="929" t="str">
        <f t="shared" si="113"/>
        <v>351451_2024_12_</v>
      </c>
      <c r="J861" s="1793">
        <v>1034</v>
      </c>
      <c r="K861" s="1761"/>
      <c r="L861" s="4362"/>
      <c r="N861" s="564"/>
      <c r="S861" s="52"/>
      <c r="T861" s="52"/>
      <c r="U861" s="52"/>
      <c r="V861" s="4293"/>
      <c r="W861" s="1396"/>
      <c r="X861" s="1396"/>
      <c r="Y861" s="833"/>
      <c r="Z861" s="1396"/>
      <c r="AA861" s="1396"/>
      <c r="AB861" s="1396"/>
      <c r="AC861" s="1396"/>
      <c r="AD861" s="833">
        <v>1034</v>
      </c>
      <c r="AE861" s="1405">
        <v>1034</v>
      </c>
      <c r="AF861" s="271">
        <f t="shared" si="108"/>
        <v>1034</v>
      </c>
      <c r="AG861" s="1396"/>
      <c r="DG861" s="573"/>
      <c r="DH861" s="159"/>
      <c r="DI861" s="1091"/>
    </row>
    <row r="862" spans="1:113" hidden="1" outlineLevel="1">
      <c r="A862" s="453"/>
      <c r="C862" s="51"/>
      <c r="D862" s="4293"/>
      <c r="E862" s="4293"/>
      <c r="F862" s="4342" t="str">
        <f t="shared" si="112"/>
        <v>Mini/MultiSplitASHP_ER1_SF</v>
      </c>
      <c r="G862" s="4342"/>
      <c r="H862" s="4342"/>
      <c r="I862" s="929" t="str">
        <f t="shared" si="113"/>
        <v>351500_2024_12_</v>
      </c>
      <c r="J862" s="1793">
        <v>1034</v>
      </c>
      <c r="K862" s="1761"/>
      <c r="L862" s="4362"/>
      <c r="N862" s="564"/>
      <c r="S862" s="52"/>
      <c r="T862" s="52"/>
      <c r="U862" s="52"/>
      <c r="V862" s="4293"/>
      <c r="W862" s="1396">
        <v>1496</v>
      </c>
      <c r="X862" s="1396">
        <v>1496</v>
      </c>
      <c r="Y862" s="833">
        <v>1034</v>
      </c>
      <c r="Z862" s="1396">
        <v>1034</v>
      </c>
      <c r="AA862" s="1396">
        <v>1034</v>
      </c>
      <c r="AB862" s="1396">
        <v>1034</v>
      </c>
      <c r="AC862" s="1396">
        <v>1034</v>
      </c>
      <c r="AD862" s="1396">
        <v>1034</v>
      </c>
      <c r="AE862" s="1405">
        <v>1034</v>
      </c>
      <c r="AF862" s="271">
        <f t="shared" si="108"/>
        <v>1034</v>
      </c>
      <c r="AG862" s="1396"/>
      <c r="DG862" s="573"/>
      <c r="DH862" s="159"/>
      <c r="DI862" s="1091"/>
    </row>
    <row r="863" spans="1:113" hidden="1" outlineLevel="1">
      <c r="A863" s="453"/>
      <c r="C863" s="51"/>
      <c r="D863" s="4293"/>
      <c r="E863" s="4293"/>
      <c r="F863" s="4342" t="str">
        <f t="shared" si="112"/>
        <v>Mini/MultiSplitAC_ER1_MF</v>
      </c>
      <c r="G863" s="4342"/>
      <c r="H863" s="4342"/>
      <c r="I863" s="929" t="str">
        <f t="shared" si="113"/>
        <v>351550_2024_12_</v>
      </c>
      <c r="J863" s="1793">
        <v>0</v>
      </c>
      <c r="K863" s="1761"/>
      <c r="L863" s="4362"/>
      <c r="N863" s="564"/>
      <c r="S863" s="52"/>
      <c r="T863" s="52"/>
      <c r="U863" s="52"/>
      <c r="V863" s="4293"/>
      <c r="W863" s="1396"/>
      <c r="X863" s="1396"/>
      <c r="Y863" s="833">
        <v>0</v>
      </c>
      <c r="Z863" s="1396">
        <v>0</v>
      </c>
      <c r="AA863" s="1396">
        <v>0</v>
      </c>
      <c r="AB863" s="1396">
        <v>0</v>
      </c>
      <c r="AC863" s="1396">
        <v>0</v>
      </c>
      <c r="AD863" s="1396">
        <v>0</v>
      </c>
      <c r="AE863" s="1405">
        <v>0</v>
      </c>
      <c r="AF863" s="271">
        <f t="shared" si="108"/>
        <v>0</v>
      </c>
      <c r="AG863" s="1396"/>
      <c r="DG863" s="573"/>
      <c r="DH863" s="159"/>
      <c r="DI863" s="1091"/>
    </row>
    <row r="864" spans="1:113" hidden="1" outlineLevel="1">
      <c r="A864" s="453"/>
      <c r="C864" s="51"/>
      <c r="D864" s="4293"/>
      <c r="E864" s="4293"/>
      <c r="F864" s="4341" t="str">
        <f t="shared" si="112"/>
        <v>Mini/MultiSplitAC_ROF_MF</v>
      </c>
      <c r="G864" s="4341"/>
      <c r="H864" s="4341"/>
      <c r="I864" s="3334" t="str">
        <f t="shared" si="113"/>
        <v>351600_2024_12_</v>
      </c>
      <c r="J864" s="3342">
        <v>0</v>
      </c>
      <c r="K864" s="1761"/>
      <c r="L864" s="4362"/>
      <c r="N864" s="564"/>
      <c r="S864" s="52"/>
      <c r="T864" s="52"/>
      <c r="U864" s="52"/>
      <c r="V864" s="4293"/>
      <c r="W864" s="1396"/>
      <c r="X864" s="1396"/>
      <c r="Y864" s="3265">
        <v>0</v>
      </c>
      <c r="Z864" s="3262">
        <v>0</v>
      </c>
      <c r="AA864" s="3262">
        <v>0</v>
      </c>
      <c r="AB864" s="3262">
        <v>0</v>
      </c>
      <c r="AC864" s="3262">
        <v>0</v>
      </c>
      <c r="AD864" s="3262">
        <v>0</v>
      </c>
      <c r="AE864" s="3284">
        <v>0</v>
      </c>
      <c r="AF864" s="2236">
        <f t="shared" si="108"/>
        <v>0</v>
      </c>
      <c r="AG864" s="1396"/>
      <c r="DG864" s="573"/>
      <c r="DH864" s="159"/>
      <c r="DI864" s="1091"/>
    </row>
    <row r="865" spans="1:113" hidden="1" outlineLevel="1">
      <c r="A865" s="453"/>
      <c r="C865" s="51"/>
      <c r="D865" s="4293"/>
      <c r="E865" s="4293"/>
      <c r="F865" s="4341" t="str">
        <f t="shared" si="112"/>
        <v>Mini/MultiSplitASHP_ROF_MF_NC</v>
      </c>
      <c r="G865" s="4341"/>
      <c r="H865" s="4341"/>
      <c r="I865" s="3334" t="str">
        <f t="shared" si="113"/>
        <v>351650_2024_12_</v>
      </c>
      <c r="J865" s="3342">
        <v>1034</v>
      </c>
      <c r="K865" s="1761"/>
      <c r="L865" s="4362"/>
      <c r="N865" s="564"/>
      <c r="S865" s="52"/>
      <c r="T865" s="52"/>
      <c r="U865" s="52"/>
      <c r="V865" s="4293"/>
      <c r="W865" s="1396"/>
      <c r="X865" s="1396"/>
      <c r="Y865" s="3265">
        <v>1034</v>
      </c>
      <c r="Z865" s="3262">
        <v>1034</v>
      </c>
      <c r="AA865" s="3262">
        <v>1034</v>
      </c>
      <c r="AB865" s="3262">
        <v>1034</v>
      </c>
      <c r="AC865" s="3262">
        <v>1034</v>
      </c>
      <c r="AD865" s="3262">
        <v>1034</v>
      </c>
      <c r="AE865" s="3284">
        <v>1034</v>
      </c>
      <c r="AF865" s="2236">
        <f t="shared" si="108"/>
        <v>1034</v>
      </c>
      <c r="AG865" s="1396"/>
      <c r="DG865" s="573"/>
      <c r="DH865" s="159"/>
      <c r="DI865" s="1091"/>
    </row>
    <row r="866" spans="1:113" hidden="1" outlineLevel="1">
      <c r="A866" s="453"/>
      <c r="C866" s="51"/>
      <c r="D866" s="4293"/>
      <c r="E866" s="4293"/>
      <c r="F866" s="4341" t="str">
        <f t="shared" si="112"/>
        <v>Mini/MultiSplitASHP_ROF_MF</v>
      </c>
      <c r="G866" s="4341"/>
      <c r="H866" s="4341"/>
      <c r="I866" s="3334" t="str">
        <f t="shared" si="113"/>
        <v>351700_2024_12_</v>
      </c>
      <c r="J866" s="3342">
        <v>1034</v>
      </c>
      <c r="K866" s="1761"/>
      <c r="L866" s="4362"/>
      <c r="N866" s="564"/>
      <c r="S866" s="52"/>
      <c r="T866" s="52"/>
      <c r="U866" s="52"/>
      <c r="V866" s="4293"/>
      <c r="W866" s="1396"/>
      <c r="X866" s="1396"/>
      <c r="Y866" s="3265">
        <v>1034</v>
      </c>
      <c r="Z866" s="3262">
        <v>1034</v>
      </c>
      <c r="AA866" s="3262">
        <v>1034</v>
      </c>
      <c r="AB866" s="3262">
        <v>1034</v>
      </c>
      <c r="AC866" s="3262">
        <v>1034</v>
      </c>
      <c r="AD866" s="3262">
        <v>1034</v>
      </c>
      <c r="AE866" s="3284">
        <v>1034</v>
      </c>
      <c r="AF866" s="2236">
        <f t="shared" si="108"/>
        <v>1034</v>
      </c>
      <c r="AG866" s="1396"/>
      <c r="DG866" s="573"/>
      <c r="DH866" s="159"/>
      <c r="DI866" s="1091"/>
    </row>
    <row r="867" spans="1:113" hidden="1" outlineLevel="1">
      <c r="A867" s="453"/>
      <c r="C867" s="51"/>
      <c r="D867" s="4293"/>
      <c r="E867" s="4293"/>
      <c r="F867" s="4341" t="str">
        <f t="shared" si="112"/>
        <v>Mini/MultiSplitASHP-Replace_CAC_ElectricHeat_ER1_MF</v>
      </c>
      <c r="G867" s="4341"/>
      <c r="H867" s="4341"/>
      <c r="I867" s="3334" t="str">
        <f t="shared" si="113"/>
        <v>351750_2024_12_</v>
      </c>
      <c r="J867" s="3342">
        <v>1034</v>
      </c>
      <c r="K867" s="1761"/>
      <c r="L867" s="4362"/>
      <c r="N867" s="564"/>
      <c r="S867" s="52"/>
      <c r="T867" s="52"/>
      <c r="U867" s="52"/>
      <c r="V867" s="4293"/>
      <c r="W867" s="1396"/>
      <c r="X867" s="1396"/>
      <c r="Y867" s="3265">
        <v>1034</v>
      </c>
      <c r="Z867" s="3262">
        <v>1034</v>
      </c>
      <c r="AA867" s="3262">
        <v>1034</v>
      </c>
      <c r="AB867" s="3262">
        <v>1034</v>
      </c>
      <c r="AC867" s="3262">
        <v>1034</v>
      </c>
      <c r="AD867" s="3262">
        <v>1034</v>
      </c>
      <c r="AE867" s="3284">
        <v>1034</v>
      </c>
      <c r="AF867" s="2236">
        <f t="shared" si="108"/>
        <v>1034</v>
      </c>
      <c r="AG867" s="1396"/>
      <c r="DG867" s="573"/>
      <c r="DH867" s="159"/>
      <c r="DI867" s="1091"/>
    </row>
    <row r="868" spans="1:113" hidden="1" outlineLevel="1">
      <c r="A868" s="453"/>
      <c r="C868" s="51"/>
      <c r="D868" s="4293"/>
      <c r="E868" s="4293"/>
      <c r="F868" s="4341" t="str">
        <f t="shared" ref="F868" si="114">F841</f>
        <v>Mini/MultiSplitASHP-Replace_CAC_ElectricHeat_ROF_MF</v>
      </c>
      <c r="G868" s="4341"/>
      <c r="H868" s="4341"/>
      <c r="I868" s="3334" t="str">
        <f t="shared" ref="I868:I870" si="115">I841</f>
        <v>351800_2024_12_</v>
      </c>
      <c r="J868" s="3342">
        <v>1034</v>
      </c>
      <c r="K868" s="1761"/>
      <c r="L868" s="4362"/>
      <c r="N868" s="564"/>
      <c r="S868" s="52"/>
      <c r="T868" s="52"/>
      <c r="U868" s="52"/>
      <c r="V868" s="4293"/>
      <c r="W868" s="1396"/>
      <c r="X868" s="1396"/>
      <c r="Y868" s="3265">
        <v>1034</v>
      </c>
      <c r="Z868" s="3262">
        <v>1034</v>
      </c>
      <c r="AA868" s="3262">
        <v>1034</v>
      </c>
      <c r="AB868" s="3262">
        <v>1034</v>
      </c>
      <c r="AC868" s="3262">
        <v>1034</v>
      </c>
      <c r="AD868" s="3262">
        <v>1034</v>
      </c>
      <c r="AE868" s="3284">
        <v>1034</v>
      </c>
      <c r="AF868" s="2236">
        <f t="shared" si="108"/>
        <v>1034</v>
      </c>
      <c r="AG868" s="1396"/>
      <c r="DG868" s="573"/>
      <c r="DH868" s="159"/>
      <c r="DI868" s="1091"/>
    </row>
    <row r="869" spans="1:113" hidden="1" outlineLevel="1">
      <c r="A869" s="453"/>
      <c r="C869" s="51"/>
      <c r="D869" s="4293"/>
      <c r="E869" s="4293"/>
      <c r="F869" s="4341" t="str">
        <f>F842</f>
        <v>Mini/MultiSplitASHP-Replace_CAC_NonElectricHeat_ER1_MF</v>
      </c>
      <c r="G869" s="4341"/>
      <c r="H869" s="4341"/>
      <c r="I869" s="3334" t="str">
        <f t="shared" si="115"/>
        <v>351752_2024_12_</v>
      </c>
      <c r="J869" s="3342">
        <v>1034</v>
      </c>
      <c r="K869" s="1761"/>
      <c r="L869" s="4362"/>
      <c r="N869" s="564"/>
      <c r="S869" s="52"/>
      <c r="T869" s="52"/>
      <c r="U869" s="52"/>
      <c r="V869" s="4293"/>
      <c r="W869" s="1396"/>
      <c r="X869" s="1396"/>
      <c r="Y869" s="3265"/>
      <c r="Z869" s="3262"/>
      <c r="AA869" s="3262"/>
      <c r="AB869" s="3262"/>
      <c r="AC869" s="3262"/>
      <c r="AD869" s="3265">
        <v>1034</v>
      </c>
      <c r="AE869" s="3284">
        <v>1034</v>
      </c>
      <c r="AF869" s="2236">
        <f t="shared" si="108"/>
        <v>1034</v>
      </c>
      <c r="AG869" s="1396"/>
      <c r="DG869" s="573"/>
      <c r="DH869" s="159"/>
      <c r="DI869" s="1091"/>
    </row>
    <row r="870" spans="1:113" hidden="1" outlineLevel="1">
      <c r="A870" s="453"/>
      <c r="C870" s="51"/>
      <c r="D870" s="4293"/>
      <c r="E870" s="4293"/>
      <c r="F870" s="4341" t="str">
        <f>F843</f>
        <v>Mini/MultiSplitASHP-Replace_CAC_NonElectricHeat_ROF_MF</v>
      </c>
      <c r="G870" s="4341"/>
      <c r="H870" s="4341"/>
      <c r="I870" s="3334" t="str">
        <f t="shared" si="115"/>
        <v>351802_2024_12_</v>
      </c>
      <c r="J870" s="3342">
        <v>1034</v>
      </c>
      <c r="K870" s="1761"/>
      <c r="L870" s="4362"/>
      <c r="N870" s="564"/>
      <c r="S870" s="52"/>
      <c r="T870" s="52"/>
      <c r="U870" s="52"/>
      <c r="V870" s="4293"/>
      <c r="W870" s="1396"/>
      <c r="X870" s="1396"/>
      <c r="Y870" s="3265"/>
      <c r="Z870" s="3262"/>
      <c r="AA870" s="3262"/>
      <c r="AB870" s="3262"/>
      <c r="AC870" s="3262"/>
      <c r="AD870" s="3265">
        <v>1034</v>
      </c>
      <c r="AE870" s="3284">
        <v>1034</v>
      </c>
      <c r="AF870" s="2236">
        <f t="shared" si="108"/>
        <v>1034</v>
      </c>
      <c r="AG870" s="1396"/>
      <c r="DG870" s="573"/>
      <c r="DH870" s="159"/>
      <c r="DI870" s="1091"/>
    </row>
    <row r="871" spans="1:113" hidden="1" outlineLevel="1">
      <c r="A871" s="453"/>
      <c r="C871" s="51"/>
      <c r="D871" s="4293"/>
      <c r="E871" s="4293"/>
      <c r="F871" s="4341" t="str">
        <f t="shared" ref="F871:F877" si="116">F844</f>
        <v>Mini/MultiSplitASHP_ER1_MF</v>
      </c>
      <c r="G871" s="4341"/>
      <c r="H871" s="4341"/>
      <c r="I871" s="3334" t="str">
        <f t="shared" ref="I871:I879" si="117">I844</f>
        <v>351850_2024_12_</v>
      </c>
      <c r="J871" s="3342">
        <v>1034</v>
      </c>
      <c r="K871" s="1761"/>
      <c r="L871" s="4362"/>
      <c r="N871" s="564"/>
      <c r="S871" s="52"/>
      <c r="T871" s="52"/>
      <c r="U871" s="52"/>
      <c r="V871" s="4293"/>
      <c r="W871" s="1396"/>
      <c r="X871" s="1396"/>
      <c r="Y871" s="3265">
        <v>1034</v>
      </c>
      <c r="Z871" s="3262">
        <v>1034</v>
      </c>
      <c r="AA871" s="3262">
        <v>1034</v>
      </c>
      <c r="AB871" s="3262">
        <v>1034</v>
      </c>
      <c r="AC871" s="3262">
        <v>1034</v>
      </c>
      <c r="AD871" s="3262">
        <v>1034</v>
      </c>
      <c r="AE871" s="3284">
        <v>1034</v>
      </c>
      <c r="AF871" s="2236">
        <f t="shared" si="108"/>
        <v>1034</v>
      </c>
      <c r="AG871" s="1396"/>
      <c r="DG871" s="573"/>
      <c r="DH871" s="159"/>
      <c r="DI871" s="1091"/>
    </row>
    <row r="872" spans="1:113" hidden="1" outlineLevel="1">
      <c r="A872" s="453"/>
      <c r="C872" s="51"/>
      <c r="D872" s="4199"/>
      <c r="E872" s="4199"/>
      <c r="F872" s="4341" t="str">
        <f t="shared" si="116"/>
        <v>Mini/MultiSplitAC_ER1_MF_CompE</v>
      </c>
      <c r="G872" s="4341"/>
      <c r="H872" s="4341"/>
      <c r="I872" s="3334" t="str">
        <f t="shared" si="117"/>
        <v>351551_2024_12_</v>
      </c>
      <c r="J872" s="3342">
        <v>0</v>
      </c>
      <c r="K872" s="1761"/>
      <c r="L872" s="4362"/>
      <c r="N872" s="564"/>
      <c r="S872" s="52"/>
      <c r="T872" s="52"/>
      <c r="U872" s="52"/>
      <c r="V872" s="4199"/>
      <c r="W872" s="1396"/>
      <c r="X872" s="1396"/>
      <c r="Y872" s="3265">
        <v>0</v>
      </c>
      <c r="Z872" s="3262">
        <v>0</v>
      </c>
      <c r="AA872" s="3262">
        <v>0</v>
      </c>
      <c r="AB872" s="3262">
        <v>0</v>
      </c>
      <c r="AC872" s="3262">
        <v>0</v>
      </c>
      <c r="AD872" s="3262">
        <v>0</v>
      </c>
      <c r="AE872" s="3284">
        <v>0</v>
      </c>
      <c r="AF872" s="2236">
        <f t="shared" si="108"/>
        <v>0</v>
      </c>
      <c r="AG872" s="1396"/>
      <c r="DG872" s="573"/>
      <c r="DH872" s="159"/>
      <c r="DI872" s="1091"/>
    </row>
    <row r="873" spans="1:113" hidden="1" outlineLevel="1">
      <c r="A873" s="453"/>
      <c r="C873" s="51"/>
      <c r="D873" s="4199"/>
      <c r="E873" s="4199"/>
      <c r="F873" s="4341" t="str">
        <f t="shared" si="116"/>
        <v>Mini/MultiSplitAC_ROF_MF_CompE</v>
      </c>
      <c r="G873" s="4341"/>
      <c r="H873" s="4341"/>
      <c r="I873" s="3334" t="str">
        <f t="shared" si="117"/>
        <v>351601_2024_12_</v>
      </c>
      <c r="J873" s="3342">
        <v>0</v>
      </c>
      <c r="K873" s="1761"/>
      <c r="L873" s="4362"/>
      <c r="N873" s="564"/>
      <c r="S873" s="52"/>
      <c r="T873" s="52"/>
      <c r="U873" s="52"/>
      <c r="V873" s="4199"/>
      <c r="W873" s="1396"/>
      <c r="X873" s="1396"/>
      <c r="Y873" s="3265">
        <v>0</v>
      </c>
      <c r="Z873" s="3262">
        <v>0</v>
      </c>
      <c r="AA873" s="3262">
        <v>0</v>
      </c>
      <c r="AB873" s="3262">
        <v>0</v>
      </c>
      <c r="AC873" s="3262">
        <v>0</v>
      </c>
      <c r="AD873" s="3262">
        <v>0</v>
      </c>
      <c r="AE873" s="3284">
        <v>0</v>
      </c>
      <c r="AF873" s="2236">
        <f t="shared" si="108"/>
        <v>0</v>
      </c>
      <c r="AG873" s="1396"/>
      <c r="DG873" s="573"/>
      <c r="DH873" s="159"/>
      <c r="DI873" s="1091"/>
    </row>
    <row r="874" spans="1:113" hidden="1" outlineLevel="1">
      <c r="A874" s="453"/>
      <c r="C874" s="51"/>
      <c r="D874" s="4199"/>
      <c r="E874" s="4199"/>
      <c r="F874" s="4341" t="str">
        <f t="shared" si="116"/>
        <v>Mini/MultiSplitASHP_ROF_MF_NC_CompE</v>
      </c>
      <c r="G874" s="4341"/>
      <c r="H874" s="4341"/>
      <c r="I874" s="3334" t="str">
        <f t="shared" si="117"/>
        <v>351651_2024_12_</v>
      </c>
      <c r="J874" s="3342">
        <v>393</v>
      </c>
      <c r="K874" s="1761"/>
      <c r="L874" s="4362"/>
      <c r="N874" s="564"/>
      <c r="S874" s="52"/>
      <c r="T874" s="52"/>
      <c r="U874" s="52"/>
      <c r="V874" s="4199"/>
      <c r="W874" s="1396"/>
      <c r="X874" s="1396"/>
      <c r="Y874" s="3265">
        <v>476</v>
      </c>
      <c r="Z874" s="3262">
        <v>476</v>
      </c>
      <c r="AA874" s="3262">
        <v>476</v>
      </c>
      <c r="AB874" s="3262">
        <v>393</v>
      </c>
      <c r="AC874" s="3262">
        <v>393</v>
      </c>
      <c r="AD874" s="3262">
        <v>393</v>
      </c>
      <c r="AE874" s="3284">
        <v>393</v>
      </c>
      <c r="AF874" s="2236">
        <f t="shared" si="108"/>
        <v>393</v>
      </c>
      <c r="AG874" s="1396"/>
      <c r="DG874" s="573"/>
      <c r="DH874" s="159"/>
      <c r="DI874" s="1091"/>
    </row>
    <row r="875" spans="1:113" hidden="1" outlineLevel="1">
      <c r="A875" s="453"/>
      <c r="C875" s="51"/>
      <c r="D875" s="4199"/>
      <c r="E875" s="4199"/>
      <c r="F875" s="4341" t="str">
        <f t="shared" si="116"/>
        <v>Mini/MultiSplitASHP_ROF_MF_CompE</v>
      </c>
      <c r="G875" s="4341"/>
      <c r="H875" s="4341"/>
      <c r="I875" s="3334" t="str">
        <f t="shared" si="117"/>
        <v>351701_2024_12_</v>
      </c>
      <c r="J875" s="3342">
        <v>393</v>
      </c>
      <c r="K875" s="1761"/>
      <c r="L875" s="4362"/>
      <c r="N875" s="564"/>
      <c r="S875" s="52"/>
      <c r="T875" s="52"/>
      <c r="U875" s="52"/>
      <c r="V875" s="4199"/>
      <c r="W875" s="1396"/>
      <c r="X875" s="1396"/>
      <c r="Y875" s="3265">
        <v>476</v>
      </c>
      <c r="Z875" s="3262">
        <v>476</v>
      </c>
      <c r="AA875" s="3262">
        <v>476</v>
      </c>
      <c r="AB875" s="3262">
        <v>393</v>
      </c>
      <c r="AC875" s="3262">
        <v>393</v>
      </c>
      <c r="AD875" s="3262">
        <v>393</v>
      </c>
      <c r="AE875" s="3284">
        <v>393</v>
      </c>
      <c r="AF875" s="2236">
        <f t="shared" si="108"/>
        <v>393</v>
      </c>
      <c r="AG875" s="1396"/>
      <c r="DG875" s="573"/>
      <c r="DH875" s="159"/>
      <c r="DI875" s="1091"/>
    </row>
    <row r="876" spans="1:113" hidden="1" outlineLevel="1">
      <c r="A876" s="453"/>
      <c r="C876" s="51"/>
      <c r="D876" s="4199"/>
      <c r="E876" s="4199"/>
      <c r="F876" s="4341" t="str">
        <f t="shared" si="116"/>
        <v>Mini/MultiSplitASHP-Replace_CAC_ElectricHeat_ER1_MF_CompE</v>
      </c>
      <c r="G876" s="4341"/>
      <c r="H876" s="4341"/>
      <c r="I876" s="3334" t="str">
        <f t="shared" si="117"/>
        <v>351751_2024_12_</v>
      </c>
      <c r="J876" s="3342">
        <v>393</v>
      </c>
      <c r="K876" s="1761"/>
      <c r="L876" s="4362"/>
      <c r="N876" s="564"/>
      <c r="S876" s="52"/>
      <c r="T876" s="52"/>
      <c r="U876" s="52"/>
      <c r="V876" s="4199"/>
      <c r="W876" s="1396"/>
      <c r="X876" s="1396"/>
      <c r="Y876" s="3265">
        <v>476</v>
      </c>
      <c r="Z876" s="3262">
        <v>476</v>
      </c>
      <c r="AA876" s="3262">
        <v>476</v>
      </c>
      <c r="AB876" s="3262">
        <v>393</v>
      </c>
      <c r="AC876" s="3262">
        <v>393</v>
      </c>
      <c r="AD876" s="3262">
        <v>393</v>
      </c>
      <c r="AE876" s="3284">
        <v>393</v>
      </c>
      <c r="AF876" s="2236">
        <f t="shared" si="108"/>
        <v>393</v>
      </c>
      <c r="AG876" s="1396"/>
      <c r="DG876" s="573"/>
      <c r="DH876" s="159"/>
      <c r="DI876" s="1091"/>
    </row>
    <row r="877" spans="1:113" hidden="1" outlineLevel="1">
      <c r="A877" s="453"/>
      <c r="C877" s="51"/>
      <c r="D877" s="4199"/>
      <c r="E877" s="4199"/>
      <c r="F877" s="4341" t="str">
        <f t="shared" si="116"/>
        <v>Mini/MultiSplitASHP-Replace_CAC_ElectricHeat_ROF_MF_CompE</v>
      </c>
      <c r="G877" s="4341"/>
      <c r="H877" s="4341"/>
      <c r="I877" s="3334" t="str">
        <f t="shared" si="117"/>
        <v>351801_2024_12_</v>
      </c>
      <c r="J877" s="3342">
        <v>393</v>
      </c>
      <c r="K877" s="1761"/>
      <c r="L877" s="4362"/>
      <c r="N877" s="564"/>
      <c r="S877" s="52"/>
      <c r="T877" s="52"/>
      <c r="U877" s="52"/>
      <c r="V877" s="4199"/>
      <c r="W877" s="1396"/>
      <c r="X877" s="1396"/>
      <c r="Y877" s="3265">
        <v>476</v>
      </c>
      <c r="Z877" s="3262">
        <v>476</v>
      </c>
      <c r="AA877" s="3262">
        <v>476</v>
      </c>
      <c r="AB877" s="3262">
        <v>393</v>
      </c>
      <c r="AC877" s="3262">
        <v>393</v>
      </c>
      <c r="AD877" s="3262">
        <v>393</v>
      </c>
      <c r="AE877" s="3284">
        <v>393</v>
      </c>
      <c r="AF877" s="2236">
        <f t="shared" si="108"/>
        <v>393</v>
      </c>
      <c r="AG877" s="1396"/>
      <c r="DG877" s="573"/>
      <c r="DH877" s="159"/>
      <c r="DI877" s="1091"/>
    </row>
    <row r="878" spans="1:113" hidden="1" outlineLevel="1">
      <c r="A878" s="453"/>
      <c r="C878" s="51"/>
      <c r="D878" s="4199"/>
      <c r="E878" s="4199"/>
      <c r="F878" s="4341" t="str">
        <f>F851</f>
        <v>Mini/MultiSplitASHP-Replace_CAC_NonElectricHeat_ER1_MF_CompE</v>
      </c>
      <c r="G878" s="4341"/>
      <c r="H878" s="4341"/>
      <c r="I878" s="3334" t="str">
        <f t="shared" si="117"/>
        <v>351753_2024_12_</v>
      </c>
      <c r="J878" s="3342">
        <v>393</v>
      </c>
      <c r="K878" s="1761"/>
      <c r="L878" s="4362"/>
      <c r="N878" s="564"/>
      <c r="S878" s="52"/>
      <c r="T878" s="52"/>
      <c r="U878" s="52"/>
      <c r="V878" s="4199"/>
      <c r="W878" s="1396"/>
      <c r="X878" s="1396"/>
      <c r="Y878" s="3265"/>
      <c r="Z878" s="3262"/>
      <c r="AA878" s="3262"/>
      <c r="AB878" s="3262"/>
      <c r="AC878" s="3262"/>
      <c r="AD878" s="3265">
        <v>393</v>
      </c>
      <c r="AE878" s="3284">
        <v>393</v>
      </c>
      <c r="AF878" s="2236">
        <f t="shared" si="108"/>
        <v>393</v>
      </c>
      <c r="AG878" s="1396"/>
      <c r="DG878" s="573"/>
      <c r="DH878" s="159"/>
      <c r="DI878" s="1091"/>
    </row>
    <row r="879" spans="1:113" hidden="1" outlineLevel="1">
      <c r="A879" s="453"/>
      <c r="C879" s="51"/>
      <c r="D879" s="4199"/>
      <c r="E879" s="4199"/>
      <c r="F879" s="4341" t="str">
        <f>F852</f>
        <v>Mini/MultiSplitASHP-Replace_CAC_NonElectricHeat_ROF_MF_CompE</v>
      </c>
      <c r="G879" s="4341"/>
      <c r="H879" s="4341"/>
      <c r="I879" s="3334" t="str">
        <f t="shared" si="117"/>
        <v>351803_2024_12_</v>
      </c>
      <c r="J879" s="3342">
        <v>393</v>
      </c>
      <c r="K879" s="1761"/>
      <c r="L879" s="4362"/>
      <c r="N879" s="564"/>
      <c r="S879" s="52"/>
      <c r="T879" s="52"/>
      <c r="U879" s="52"/>
      <c r="V879" s="4199"/>
      <c r="W879" s="1396"/>
      <c r="X879" s="1396"/>
      <c r="Y879" s="3265"/>
      <c r="Z879" s="3262"/>
      <c r="AA879" s="3262"/>
      <c r="AB879" s="3262"/>
      <c r="AC879" s="3262"/>
      <c r="AD879" s="3265">
        <v>393</v>
      </c>
      <c r="AE879" s="3284">
        <v>393</v>
      </c>
      <c r="AF879" s="2236">
        <f t="shared" si="108"/>
        <v>393</v>
      </c>
      <c r="AG879" s="1396"/>
      <c r="DG879" s="573"/>
      <c r="DH879" s="159"/>
      <c r="DI879" s="1091"/>
    </row>
    <row r="880" spans="1:113" hidden="1" outlineLevel="1">
      <c r="A880" s="453"/>
      <c r="C880" s="51"/>
      <c r="D880" s="4199"/>
      <c r="E880" s="4199"/>
      <c r="F880" s="4341" t="str">
        <f t="shared" ref="F880:F886" si="118">F853</f>
        <v>Mini/MultiSplitASHP_ER1_MF_CompE</v>
      </c>
      <c r="G880" s="4341"/>
      <c r="H880" s="4341"/>
      <c r="I880" s="3334" t="str">
        <f t="shared" ref="I880:I888" si="119">I853</f>
        <v>351851_2024_12_</v>
      </c>
      <c r="J880" s="3342">
        <v>393</v>
      </c>
      <c r="K880" s="1761"/>
      <c r="L880" s="4362"/>
      <c r="N880" s="564"/>
      <c r="S880" s="52"/>
      <c r="T880" s="52"/>
      <c r="U880" s="52"/>
      <c r="V880" s="4199"/>
      <c r="W880" s="1396"/>
      <c r="X880" s="1396"/>
      <c r="Y880" s="3265">
        <v>476</v>
      </c>
      <c r="Z880" s="3262">
        <v>476</v>
      </c>
      <c r="AA880" s="3262">
        <v>476</v>
      </c>
      <c r="AB880" s="3262">
        <v>393</v>
      </c>
      <c r="AC880" s="3262">
        <v>393</v>
      </c>
      <c r="AD880" s="3262">
        <v>393</v>
      </c>
      <c r="AE880" s="3284">
        <v>393</v>
      </c>
      <c r="AF880" s="2236">
        <f t="shared" si="108"/>
        <v>393</v>
      </c>
      <c r="AG880" s="1396"/>
      <c r="DG880" s="573"/>
      <c r="DH880" s="159"/>
      <c r="DI880" s="1091"/>
    </row>
    <row r="881" spans="1:113" hidden="1" outlineLevel="1">
      <c r="A881" s="453"/>
      <c r="C881" s="51"/>
      <c r="D881" s="4294" t="s">
        <v>2049</v>
      </c>
      <c r="E881" s="4293" t="s">
        <v>2050</v>
      </c>
      <c r="F881" s="4342" t="str">
        <f t="shared" si="118"/>
        <v>Mini/MultiSplitAC_ER1_SF</v>
      </c>
      <c r="G881" s="4342"/>
      <c r="H881" s="4342"/>
      <c r="I881" s="929" t="str">
        <f t="shared" si="119"/>
        <v>351200_2024_12_</v>
      </c>
      <c r="J881" s="1790">
        <v>0</v>
      </c>
      <c r="K881" s="13"/>
      <c r="L881" s="929"/>
      <c r="N881" s="564"/>
      <c r="S881" s="52"/>
      <c r="T881" s="52"/>
      <c r="U881" s="52"/>
      <c r="V881" s="4293" t="s">
        <v>2051</v>
      </c>
      <c r="W881" s="1396">
        <v>0</v>
      </c>
      <c r="X881" s="833">
        <v>0</v>
      </c>
      <c r="Y881" s="1396">
        <v>0</v>
      </c>
      <c r="Z881" s="1396">
        <v>0</v>
      </c>
      <c r="AA881" s="1396">
        <v>0</v>
      </c>
      <c r="AB881" s="1396">
        <v>0</v>
      </c>
      <c r="AC881" s="1396">
        <v>0</v>
      </c>
      <c r="AD881" s="1396">
        <v>0</v>
      </c>
      <c r="AE881" s="1405">
        <v>0</v>
      </c>
      <c r="AF881" s="271">
        <f t="shared" si="108"/>
        <v>0</v>
      </c>
      <c r="AG881" s="1396"/>
      <c r="DG881" s="573"/>
      <c r="DH881" s="159"/>
      <c r="DI881" s="1091"/>
    </row>
    <row r="882" spans="1:113" hidden="1" outlineLevel="1">
      <c r="A882" s="453"/>
      <c r="C882" s="51"/>
      <c r="D882" s="4294"/>
      <c r="E882" s="4293"/>
      <c r="F882" s="4342" t="str">
        <f t="shared" si="118"/>
        <v>Mini/MultiSplitAC_ROF_SF</v>
      </c>
      <c r="G882" s="4342"/>
      <c r="H882" s="4342"/>
      <c r="I882" s="929" t="str">
        <f t="shared" si="119"/>
        <v>351250_2024_12_</v>
      </c>
      <c r="J882" s="1790">
        <v>0</v>
      </c>
      <c r="K882" s="1761"/>
      <c r="L882" s="929"/>
      <c r="N882" s="564"/>
      <c r="S882" s="52"/>
      <c r="T882" s="52"/>
      <c r="U882" s="52"/>
      <c r="V882" s="4293"/>
      <c r="W882" s="1396">
        <v>0</v>
      </c>
      <c r="X882" s="833">
        <v>0</v>
      </c>
      <c r="Y882" s="1396">
        <v>0</v>
      </c>
      <c r="Z882" s="1396">
        <v>0</v>
      </c>
      <c r="AA882" s="1396">
        <v>0</v>
      </c>
      <c r="AB882" s="1396">
        <v>0</v>
      </c>
      <c r="AC882" s="1396">
        <v>0</v>
      </c>
      <c r="AD882" s="1396">
        <v>0</v>
      </c>
      <c r="AE882" s="1405">
        <v>0</v>
      </c>
      <c r="AF882" s="271">
        <f t="shared" si="108"/>
        <v>0</v>
      </c>
      <c r="AG882" s="1396"/>
      <c r="DG882" s="573"/>
      <c r="DH882" s="159"/>
      <c r="DI882" s="1091"/>
    </row>
    <row r="883" spans="1:113" ht="15" hidden="1" customHeight="1" outlineLevel="1">
      <c r="A883" s="453"/>
      <c r="C883" s="51"/>
      <c r="D883" s="4294"/>
      <c r="E883" s="4293"/>
      <c r="F883" s="4342" t="str">
        <f t="shared" si="118"/>
        <v>Mini/MultiSplitASHP_ROF_SF_NC</v>
      </c>
      <c r="G883" s="4342"/>
      <c r="H883" s="4342"/>
      <c r="I883" s="929" t="str">
        <f t="shared" si="119"/>
        <v>351300_2024_12_</v>
      </c>
      <c r="J883" s="1794">
        <v>7.5</v>
      </c>
      <c r="K883" s="1761"/>
      <c r="L883" s="4370" t="s">
        <v>1941</v>
      </c>
      <c r="N883" s="564"/>
      <c r="S883" s="52"/>
      <c r="T883" s="52"/>
      <c r="U883" s="52"/>
      <c r="V883" s="4293"/>
      <c r="W883" s="1396">
        <v>7.7</v>
      </c>
      <c r="X883" s="833">
        <v>8.1999999999999993</v>
      </c>
      <c r="Y883" s="1396">
        <v>8.1999999999999993</v>
      </c>
      <c r="Z883" s="1396">
        <v>8.1999999999999993</v>
      </c>
      <c r="AA883" s="1396">
        <v>8.1999999999999993</v>
      </c>
      <c r="AB883" s="1396">
        <v>8.1999999999999993</v>
      </c>
      <c r="AC883" s="1396">
        <v>8.1999999999999993</v>
      </c>
      <c r="AD883" s="1396">
        <v>8.1999999999999993</v>
      </c>
      <c r="AE883" s="965">
        <v>8.6</v>
      </c>
      <c r="AF883" s="271">
        <f t="shared" si="108"/>
        <v>7.5</v>
      </c>
      <c r="AG883" s="1396"/>
      <c r="DG883" s="573"/>
      <c r="DH883" s="159"/>
      <c r="DI883" s="1091"/>
    </row>
    <row r="884" spans="1:113" hidden="1" outlineLevel="1">
      <c r="A884" s="453"/>
      <c r="C884" s="51"/>
      <c r="D884" s="4294"/>
      <c r="E884" s="4293"/>
      <c r="F884" s="4342" t="str">
        <f t="shared" si="118"/>
        <v>Mini/MultiSplitASHP_ROF_SF</v>
      </c>
      <c r="G884" s="4342"/>
      <c r="H884" s="4342"/>
      <c r="I884" s="929" t="str">
        <f t="shared" si="119"/>
        <v>351350_2024_12_</v>
      </c>
      <c r="J884" s="1794">
        <v>7.5</v>
      </c>
      <c r="K884" s="1761"/>
      <c r="L884" s="4370"/>
      <c r="N884" s="564"/>
      <c r="S884" s="52"/>
      <c r="T884" s="52"/>
      <c r="U884" s="52"/>
      <c r="V884" s="4293"/>
      <c r="W884" s="1396">
        <v>7.7</v>
      </c>
      <c r="X884" s="833">
        <v>8.1999999999999993</v>
      </c>
      <c r="Y884" s="1396">
        <v>8.1999999999999993</v>
      </c>
      <c r="Z884" s="1396">
        <v>8.1999999999999993</v>
      </c>
      <c r="AA884" s="1396">
        <v>8.1999999999999993</v>
      </c>
      <c r="AB884" s="1396">
        <v>8.1999999999999993</v>
      </c>
      <c r="AC884" s="1396">
        <v>8.1999999999999993</v>
      </c>
      <c r="AD884" s="1396">
        <v>8.1999999999999993</v>
      </c>
      <c r="AE884" s="965">
        <v>8.6</v>
      </c>
      <c r="AF884" s="271">
        <f t="shared" si="108"/>
        <v>7.5</v>
      </c>
      <c r="AG884" s="1396"/>
      <c r="DG884" s="573"/>
      <c r="DH884" s="159"/>
      <c r="DI884" s="1091"/>
    </row>
    <row r="885" spans="1:113" ht="15" hidden="1" customHeight="1" outlineLevel="1">
      <c r="A885" s="453"/>
      <c r="C885" s="51"/>
      <c r="D885" s="4294"/>
      <c r="E885" s="4293"/>
      <c r="F885" s="4342" t="str">
        <f t="shared" si="118"/>
        <v>Mini/MultiSplitASHP-Replace_CAC_ElectricHeat_ER1_SF</v>
      </c>
      <c r="G885" s="4342"/>
      <c r="H885" s="4342"/>
      <c r="I885" s="929" t="str">
        <f t="shared" si="119"/>
        <v>351400_2024_12_</v>
      </c>
      <c r="J885" s="1790">
        <v>3.4119999999999999</v>
      </c>
      <c r="K885" s="1761"/>
      <c r="L885" s="929"/>
      <c r="N885" s="564"/>
      <c r="S885" s="52"/>
      <c r="T885" s="52"/>
      <c r="U885" s="52"/>
      <c r="V885" s="4293"/>
      <c r="W885" s="1396">
        <v>7.7</v>
      </c>
      <c r="X885" s="833">
        <v>3.41</v>
      </c>
      <c r="Y885" s="1396">
        <v>3.4119999999999999</v>
      </c>
      <c r="Z885" s="1396">
        <v>3.4119999999999999</v>
      </c>
      <c r="AA885" s="1396">
        <v>3.4119999999999999</v>
      </c>
      <c r="AB885" s="1396">
        <v>3.4119999999999999</v>
      </c>
      <c r="AC885" s="1396">
        <v>3.4119999999999999</v>
      </c>
      <c r="AD885" s="1396">
        <v>3.4119999999999999</v>
      </c>
      <c r="AE885" s="1405">
        <v>3.4119999999999999</v>
      </c>
      <c r="AF885" s="271">
        <f t="shared" si="108"/>
        <v>3.4119999999999999</v>
      </c>
      <c r="AG885" s="1396"/>
      <c r="DG885" s="573"/>
      <c r="DH885" s="159"/>
      <c r="DI885" s="1091"/>
    </row>
    <row r="886" spans="1:113" hidden="1" outlineLevel="1">
      <c r="A886" s="453"/>
      <c r="C886" s="51"/>
      <c r="D886" s="4294"/>
      <c r="E886" s="4293"/>
      <c r="F886" s="4342" t="str">
        <f t="shared" si="118"/>
        <v>Mini/MultiSplitASHP-Replace_CAC_ElectricHeat_ROF_SF</v>
      </c>
      <c r="G886" s="4342"/>
      <c r="H886" s="4342"/>
      <c r="I886" s="929" t="str">
        <f t="shared" si="119"/>
        <v>351450_2024_12_</v>
      </c>
      <c r="J886" s="1790">
        <v>3.4119999999999999</v>
      </c>
      <c r="K886" s="1761"/>
      <c r="L886" s="929"/>
      <c r="N886" s="564"/>
      <c r="S886" s="52"/>
      <c r="T886" s="52"/>
      <c r="U886" s="52"/>
      <c r="V886" s="4293"/>
      <c r="W886" s="1396">
        <v>7.7</v>
      </c>
      <c r="X886" s="833">
        <v>3.41</v>
      </c>
      <c r="Y886" s="1396">
        <v>3.4119999999999999</v>
      </c>
      <c r="Z886" s="1396">
        <v>3.4119999999999999</v>
      </c>
      <c r="AA886" s="1396">
        <v>3.4119999999999999</v>
      </c>
      <c r="AB886" s="1396">
        <v>3.4119999999999999</v>
      </c>
      <c r="AC886" s="1396">
        <v>3.4119999999999999</v>
      </c>
      <c r="AD886" s="1396">
        <v>3.4119999999999999</v>
      </c>
      <c r="AE886" s="1405">
        <v>3.4119999999999999</v>
      </c>
      <c r="AF886" s="271">
        <f t="shared" si="108"/>
        <v>3.4119999999999999</v>
      </c>
      <c r="AG886" s="1396"/>
      <c r="DG886" s="573"/>
      <c r="DH886" s="159"/>
      <c r="DI886" s="1091"/>
    </row>
    <row r="887" spans="1:113" hidden="1" outlineLevel="1">
      <c r="A887" s="453"/>
      <c r="C887" s="51"/>
      <c r="D887" s="4294"/>
      <c r="E887" s="4293"/>
      <c r="F887" s="4342" t="str">
        <f>F860</f>
        <v>Mini/MultiSplitASHP-Replace_CAC_NonElectricHeat_ER1_SF</v>
      </c>
      <c r="G887" s="4342"/>
      <c r="H887" s="4342"/>
      <c r="I887" s="929" t="str">
        <f t="shared" si="119"/>
        <v>351401_2024_12_</v>
      </c>
      <c r="J887" s="1790">
        <v>0</v>
      </c>
      <c r="K887" s="1761"/>
      <c r="L887" s="929"/>
      <c r="N887" s="564"/>
      <c r="S887" s="52"/>
      <c r="T887" s="52"/>
      <c r="U887" s="52"/>
      <c r="V887" s="4293"/>
      <c r="W887" s="1396"/>
      <c r="X887" s="833"/>
      <c r="Y887" s="1396"/>
      <c r="Z887" s="1396"/>
      <c r="AA887" s="1396"/>
      <c r="AB887" s="1396"/>
      <c r="AC887" s="1396"/>
      <c r="AD887" s="833">
        <v>3.4119999999999999</v>
      </c>
      <c r="AE887" s="965">
        <v>0</v>
      </c>
      <c r="AF887" s="271">
        <f t="shared" si="108"/>
        <v>0</v>
      </c>
      <c r="AG887" s="1396"/>
      <c r="DG887" s="573"/>
      <c r="DH887" s="159"/>
      <c r="DI887" s="1091"/>
    </row>
    <row r="888" spans="1:113" hidden="1" outlineLevel="1">
      <c r="A888" s="453"/>
      <c r="C888" s="51"/>
      <c r="D888" s="4294"/>
      <c r="E888" s="4293"/>
      <c r="F888" s="4342" t="str">
        <f>F861</f>
        <v>Mini/MultiSplitASHP-Replace_CAC_NonElectricHeat_ROF_SF</v>
      </c>
      <c r="G888" s="4342"/>
      <c r="H888" s="4342"/>
      <c r="I888" s="929" t="str">
        <f t="shared" si="119"/>
        <v>351451_2024_12_</v>
      </c>
      <c r="J888" s="1790">
        <v>0</v>
      </c>
      <c r="K888" s="1761"/>
      <c r="L888" s="929"/>
      <c r="N888" s="564"/>
      <c r="S888" s="52"/>
      <c r="T888" s="52"/>
      <c r="U888" s="52"/>
      <c r="V888" s="4293"/>
      <c r="W888" s="1396"/>
      <c r="X888" s="833"/>
      <c r="Y888" s="1396"/>
      <c r="Z888" s="1396"/>
      <c r="AA888" s="1396"/>
      <c r="AB888" s="1396"/>
      <c r="AC888" s="1396"/>
      <c r="AD888" s="833">
        <v>3.4119999999999999</v>
      </c>
      <c r="AE888" s="965">
        <v>0</v>
      </c>
      <c r="AF888" s="271">
        <f t="shared" si="108"/>
        <v>0</v>
      </c>
      <c r="AG888" s="1396"/>
      <c r="DG888" s="573"/>
      <c r="DH888" s="159"/>
      <c r="DI888" s="1091"/>
    </row>
    <row r="889" spans="1:113" hidden="1" outlineLevel="1">
      <c r="A889" s="453"/>
      <c r="C889" s="51"/>
      <c r="D889" s="4294"/>
      <c r="E889" s="4293"/>
      <c r="F889" s="4342" t="str">
        <f t="shared" ref="F889:F895" si="120">F862</f>
        <v>Mini/MultiSplitASHP_ER1_SF</v>
      </c>
      <c r="G889" s="4342"/>
      <c r="H889" s="4342"/>
      <c r="I889" s="929" t="str">
        <f t="shared" ref="I889:I897" si="121">I862</f>
        <v>351500_2024_12_</v>
      </c>
      <c r="J889" s="1794">
        <v>7.5</v>
      </c>
      <c r="K889" s="1761"/>
      <c r="L889" s="929" t="s">
        <v>1941</v>
      </c>
      <c r="N889" s="564"/>
      <c r="S889" s="52"/>
      <c r="T889" s="52"/>
      <c r="U889" s="52"/>
      <c r="V889" s="4293"/>
      <c r="W889" s="1396">
        <v>7.7</v>
      </c>
      <c r="X889" s="833">
        <v>6.58</v>
      </c>
      <c r="Y889" s="1396">
        <v>6.58</v>
      </c>
      <c r="Z889" s="1396">
        <v>6.58</v>
      </c>
      <c r="AA889" s="1396">
        <v>6.58</v>
      </c>
      <c r="AB889" s="1396">
        <v>6.58</v>
      </c>
      <c r="AC889" s="1396">
        <v>6.58</v>
      </c>
      <c r="AD889" s="1396">
        <v>6.58</v>
      </c>
      <c r="AE889" s="1405">
        <v>6.58</v>
      </c>
      <c r="AF889" s="271">
        <f t="shared" si="108"/>
        <v>7.5</v>
      </c>
      <c r="AG889" s="1396"/>
      <c r="DG889" s="573"/>
      <c r="DH889" s="159"/>
      <c r="DI889" s="1091"/>
    </row>
    <row r="890" spans="1:113" hidden="1" outlineLevel="1">
      <c r="A890" s="453"/>
      <c r="C890" s="51"/>
      <c r="D890" s="4294"/>
      <c r="E890" s="4293"/>
      <c r="F890" s="4342" t="str">
        <f t="shared" si="120"/>
        <v>Mini/MultiSplitAC_ER1_MF</v>
      </c>
      <c r="G890" s="4342"/>
      <c r="H890" s="4342"/>
      <c r="I890" s="929" t="str">
        <f t="shared" si="121"/>
        <v>351550_2024_12_</v>
      </c>
      <c r="J890" s="1790">
        <f t="shared" ref="J890:J897" si="122">J881</f>
        <v>0</v>
      </c>
      <c r="K890" s="1761"/>
      <c r="L890" s="929"/>
      <c r="N890" s="564"/>
      <c r="S890" s="52"/>
      <c r="T890" s="52"/>
      <c r="U890" s="52"/>
      <c r="V890" s="4293"/>
      <c r="W890" s="1396"/>
      <c r="X890" s="833"/>
      <c r="Y890" s="833">
        <v>0</v>
      </c>
      <c r="Z890" s="1396">
        <v>0</v>
      </c>
      <c r="AA890" s="1396">
        <v>0</v>
      </c>
      <c r="AB890" s="1396">
        <v>0</v>
      </c>
      <c r="AC890" s="1396">
        <v>0</v>
      </c>
      <c r="AD890" s="1396">
        <v>0</v>
      </c>
      <c r="AE890" s="1405">
        <v>0</v>
      </c>
      <c r="AF890" s="271">
        <f t="shared" si="108"/>
        <v>0</v>
      </c>
      <c r="AG890" s="1396"/>
      <c r="DG890" s="573"/>
      <c r="DH890" s="159"/>
      <c r="DI890" s="1091"/>
    </row>
    <row r="891" spans="1:113" hidden="1" outlineLevel="1">
      <c r="A891" s="453"/>
      <c r="C891" s="51"/>
      <c r="D891" s="4294"/>
      <c r="E891" s="4293"/>
      <c r="F891" s="4341" t="str">
        <f t="shared" si="120"/>
        <v>Mini/MultiSplitAC_ROF_MF</v>
      </c>
      <c r="G891" s="4341"/>
      <c r="H891" s="4341"/>
      <c r="I891" s="3334" t="str">
        <f t="shared" si="121"/>
        <v>351600_2024_12_</v>
      </c>
      <c r="J891" s="3263">
        <f t="shared" si="122"/>
        <v>0</v>
      </c>
      <c r="K891" s="3343"/>
      <c r="L891" s="3334"/>
      <c r="N891" s="564"/>
      <c r="S891" s="52"/>
      <c r="T891" s="52"/>
      <c r="U891" s="52"/>
      <c r="V891" s="4293"/>
      <c r="W891" s="3262"/>
      <c r="X891" s="3265"/>
      <c r="Y891" s="3265">
        <v>0</v>
      </c>
      <c r="Z891" s="3262">
        <v>0</v>
      </c>
      <c r="AA891" s="3262">
        <v>0</v>
      </c>
      <c r="AB891" s="3262">
        <v>0</v>
      </c>
      <c r="AC891" s="3262">
        <v>0</v>
      </c>
      <c r="AD891" s="3262">
        <v>0</v>
      </c>
      <c r="AE891" s="3284">
        <v>0</v>
      </c>
      <c r="AF891" s="2236">
        <f t="shared" ref="AF891:AF954" si="123">IF(J891&lt;&gt;"",J891,"")</f>
        <v>0</v>
      </c>
      <c r="AG891" s="1396"/>
      <c r="DG891" s="573"/>
      <c r="DH891" s="159"/>
      <c r="DI891" s="1091"/>
    </row>
    <row r="892" spans="1:113" ht="15" hidden="1" customHeight="1" outlineLevel="1">
      <c r="A892" s="453"/>
      <c r="C892" s="51"/>
      <c r="D892" s="4294"/>
      <c r="E892" s="4293"/>
      <c r="F892" s="4341" t="str">
        <f t="shared" si="120"/>
        <v>Mini/MultiSplitASHP_ROF_MF_NC</v>
      </c>
      <c r="G892" s="4341"/>
      <c r="H892" s="4341"/>
      <c r="I892" s="3334" t="str">
        <f t="shared" si="121"/>
        <v>351650_2024_12_</v>
      </c>
      <c r="J892" s="3344">
        <f t="shared" si="122"/>
        <v>7.5</v>
      </c>
      <c r="K892" s="3343"/>
      <c r="L892" s="4371" t="s">
        <v>1941</v>
      </c>
      <c r="N892" s="564"/>
      <c r="S892" s="52"/>
      <c r="T892" s="52"/>
      <c r="U892" s="52"/>
      <c r="V892" s="4293"/>
      <c r="W892" s="3262"/>
      <c r="X892" s="3265"/>
      <c r="Y892" s="3265">
        <v>8.1999999999999993</v>
      </c>
      <c r="Z892" s="3262">
        <v>8.1999999999999993</v>
      </c>
      <c r="AA892" s="3262">
        <v>8.1999999999999993</v>
      </c>
      <c r="AB892" s="3262">
        <v>8.1999999999999993</v>
      </c>
      <c r="AC892" s="3262">
        <v>8.1999999999999993</v>
      </c>
      <c r="AD892" s="3262">
        <v>8.1999999999999993</v>
      </c>
      <c r="AE892" s="3345">
        <v>8.6</v>
      </c>
      <c r="AF892" s="2236">
        <f t="shared" si="123"/>
        <v>7.5</v>
      </c>
      <c r="AG892" s="1396"/>
      <c r="DG892" s="573"/>
      <c r="DH892" s="159"/>
      <c r="DI892" s="1091"/>
    </row>
    <row r="893" spans="1:113" hidden="1" outlineLevel="1">
      <c r="A893" s="453"/>
      <c r="C893" s="51"/>
      <c r="D893" s="4294"/>
      <c r="E893" s="4293"/>
      <c r="F893" s="4341" t="str">
        <f t="shared" si="120"/>
        <v>Mini/MultiSplitASHP_ROF_MF</v>
      </c>
      <c r="G893" s="4341"/>
      <c r="H893" s="4341"/>
      <c r="I893" s="3334" t="str">
        <f t="shared" si="121"/>
        <v>351700_2024_12_</v>
      </c>
      <c r="J893" s="3344">
        <f t="shared" si="122"/>
        <v>7.5</v>
      </c>
      <c r="K893" s="3343"/>
      <c r="L893" s="4371"/>
      <c r="N893" s="564"/>
      <c r="S893" s="52"/>
      <c r="T893" s="52"/>
      <c r="U893" s="52"/>
      <c r="V893" s="4293"/>
      <c r="W893" s="3262"/>
      <c r="X893" s="3265"/>
      <c r="Y893" s="3265">
        <v>8.1999999999999993</v>
      </c>
      <c r="Z893" s="3262">
        <v>8.1999999999999993</v>
      </c>
      <c r="AA893" s="3262">
        <v>8.1999999999999993</v>
      </c>
      <c r="AB893" s="3262">
        <v>8.1999999999999993</v>
      </c>
      <c r="AC893" s="3262">
        <v>8.1999999999999993</v>
      </c>
      <c r="AD893" s="3262">
        <v>8.1999999999999993</v>
      </c>
      <c r="AE893" s="3345">
        <v>8.6</v>
      </c>
      <c r="AF893" s="2236">
        <f t="shared" si="123"/>
        <v>7.5</v>
      </c>
      <c r="AG893" s="1396"/>
      <c r="DG893" s="573"/>
      <c r="DH893" s="159"/>
      <c r="DI893" s="1091"/>
    </row>
    <row r="894" spans="1:113" hidden="1" outlineLevel="1">
      <c r="A894" s="453"/>
      <c r="C894" s="51"/>
      <c r="D894" s="4294"/>
      <c r="E894" s="4293"/>
      <c r="F894" s="4341" t="str">
        <f t="shared" si="120"/>
        <v>Mini/MultiSplitASHP-Replace_CAC_ElectricHeat_ER1_MF</v>
      </c>
      <c r="G894" s="4341"/>
      <c r="H894" s="4341"/>
      <c r="I894" s="3334" t="str">
        <f t="shared" si="121"/>
        <v>351750_2024_12_</v>
      </c>
      <c r="J894" s="3263">
        <f t="shared" si="122"/>
        <v>3.4119999999999999</v>
      </c>
      <c r="K894" s="3343"/>
      <c r="L894" s="3334"/>
      <c r="N894" s="564"/>
      <c r="S894" s="52"/>
      <c r="T894" s="52"/>
      <c r="U894" s="52"/>
      <c r="V894" s="4293"/>
      <c r="W894" s="3262"/>
      <c r="X894" s="3265"/>
      <c r="Y894" s="3265">
        <v>3.4119999999999999</v>
      </c>
      <c r="Z894" s="3262">
        <v>3.4119999999999999</v>
      </c>
      <c r="AA894" s="3262">
        <v>3.4119999999999999</v>
      </c>
      <c r="AB894" s="3262">
        <v>3.4119999999999999</v>
      </c>
      <c r="AC894" s="3262">
        <v>3.4119999999999999</v>
      </c>
      <c r="AD894" s="3262">
        <v>3.4119999999999999</v>
      </c>
      <c r="AE894" s="3284">
        <v>3.4119999999999999</v>
      </c>
      <c r="AF894" s="2236">
        <f t="shared" si="123"/>
        <v>3.4119999999999999</v>
      </c>
      <c r="AG894" s="1396"/>
      <c r="DG894" s="573"/>
      <c r="DH894" s="159"/>
      <c r="DI894" s="1091"/>
    </row>
    <row r="895" spans="1:113" hidden="1" outlineLevel="1">
      <c r="A895" s="453"/>
      <c r="C895" s="51"/>
      <c r="D895" s="4294"/>
      <c r="E895" s="4293"/>
      <c r="F895" s="4341" t="str">
        <f t="shared" si="120"/>
        <v>Mini/MultiSplitASHP-Replace_CAC_ElectricHeat_ROF_MF</v>
      </c>
      <c r="G895" s="4341"/>
      <c r="H895" s="4341"/>
      <c r="I895" s="3334" t="str">
        <f t="shared" si="121"/>
        <v>351800_2024_12_</v>
      </c>
      <c r="J895" s="3263">
        <f t="shared" si="122"/>
        <v>3.4119999999999999</v>
      </c>
      <c r="K895" s="3343"/>
      <c r="L895" s="3334"/>
      <c r="N895" s="564"/>
      <c r="S895" s="52"/>
      <c r="T895" s="52"/>
      <c r="U895" s="52"/>
      <c r="V895" s="4293"/>
      <c r="W895" s="3262"/>
      <c r="X895" s="3265"/>
      <c r="Y895" s="3265">
        <v>3.4119999999999999</v>
      </c>
      <c r="Z895" s="3262">
        <v>3.4119999999999999</v>
      </c>
      <c r="AA895" s="3262">
        <v>3.4119999999999999</v>
      </c>
      <c r="AB895" s="3262">
        <v>3.4119999999999999</v>
      </c>
      <c r="AC895" s="3262">
        <v>3.4119999999999999</v>
      </c>
      <c r="AD895" s="3262">
        <v>3.4119999999999999</v>
      </c>
      <c r="AE895" s="3284">
        <v>3.4119999999999999</v>
      </c>
      <c r="AF895" s="2236">
        <f t="shared" si="123"/>
        <v>3.4119999999999999</v>
      </c>
      <c r="AG895" s="1396"/>
      <c r="DG895" s="573"/>
      <c r="DH895" s="159"/>
      <c r="DI895" s="1091"/>
    </row>
    <row r="896" spans="1:113" hidden="1" outlineLevel="1">
      <c r="A896" s="453"/>
      <c r="C896" s="51"/>
      <c r="D896" s="4294"/>
      <c r="E896" s="4293"/>
      <c r="F896" s="4341" t="str">
        <f>F869</f>
        <v>Mini/MultiSplitASHP-Replace_CAC_NonElectricHeat_ER1_MF</v>
      </c>
      <c r="G896" s="4341"/>
      <c r="H896" s="4341"/>
      <c r="I896" s="3334" t="str">
        <f t="shared" si="121"/>
        <v>351752_2024_12_</v>
      </c>
      <c r="J896" s="3263">
        <f t="shared" si="122"/>
        <v>0</v>
      </c>
      <c r="K896" s="3343"/>
      <c r="L896" s="3334"/>
      <c r="N896" s="564"/>
      <c r="S896" s="52"/>
      <c r="T896" s="52"/>
      <c r="U896" s="52"/>
      <c r="V896" s="4293"/>
      <c r="W896" s="3262"/>
      <c r="X896" s="3265"/>
      <c r="Y896" s="3265"/>
      <c r="Z896" s="3262"/>
      <c r="AA896" s="3262"/>
      <c r="AB896" s="3262"/>
      <c r="AC896" s="3262"/>
      <c r="AD896" s="3265">
        <v>3.4119999999999999</v>
      </c>
      <c r="AE896" s="3345">
        <v>0</v>
      </c>
      <c r="AF896" s="2236">
        <f t="shared" si="123"/>
        <v>0</v>
      </c>
      <c r="AG896" s="1396"/>
      <c r="DG896" s="573"/>
      <c r="DH896" s="159"/>
      <c r="DI896" s="1091"/>
    </row>
    <row r="897" spans="1:113" hidden="1" outlineLevel="1">
      <c r="A897" s="453"/>
      <c r="C897" s="51"/>
      <c r="D897" s="4294"/>
      <c r="E897" s="4293"/>
      <c r="F897" s="4341" t="str">
        <f>F870</f>
        <v>Mini/MultiSplitASHP-Replace_CAC_NonElectricHeat_ROF_MF</v>
      </c>
      <c r="G897" s="4341"/>
      <c r="H897" s="4341"/>
      <c r="I897" s="3334" t="str">
        <f t="shared" si="121"/>
        <v>351802_2024_12_</v>
      </c>
      <c r="J897" s="3263">
        <f t="shared" si="122"/>
        <v>0</v>
      </c>
      <c r="K897" s="3343"/>
      <c r="L897" s="3334"/>
      <c r="N897" s="564"/>
      <c r="S897" s="52"/>
      <c r="T897" s="52"/>
      <c r="U897" s="52"/>
      <c r="V897" s="4293"/>
      <c r="W897" s="3262"/>
      <c r="X897" s="3265"/>
      <c r="Y897" s="3265"/>
      <c r="Z897" s="3262"/>
      <c r="AA897" s="3262"/>
      <c r="AB897" s="3262"/>
      <c r="AC897" s="3262"/>
      <c r="AD897" s="3265">
        <v>3.4119999999999999</v>
      </c>
      <c r="AE897" s="3345">
        <v>0</v>
      </c>
      <c r="AF897" s="2236">
        <f t="shared" si="123"/>
        <v>0</v>
      </c>
      <c r="AG897" s="1396"/>
      <c r="DG897" s="573"/>
      <c r="DH897" s="159"/>
      <c r="DI897" s="1091"/>
    </row>
    <row r="898" spans="1:113" hidden="1" outlineLevel="1">
      <c r="A898" s="453"/>
      <c r="C898" s="51"/>
      <c r="D898" s="4294"/>
      <c r="E898" s="4293"/>
      <c r="F898" s="4341" t="str">
        <f t="shared" ref="F898:F904" si="124">F871</f>
        <v>Mini/MultiSplitASHP_ER1_MF</v>
      </c>
      <c r="G898" s="4341"/>
      <c r="H898" s="4341"/>
      <c r="I898" s="3334" t="str">
        <f t="shared" ref="I898:I906" si="125">I871</f>
        <v>351850_2024_12_</v>
      </c>
      <c r="J898" s="3344">
        <f>J889</f>
        <v>7.5</v>
      </c>
      <c r="K898" s="3343"/>
      <c r="L898" s="3334" t="s">
        <v>1941</v>
      </c>
      <c r="N898" s="564"/>
      <c r="S898" s="52"/>
      <c r="T898" s="52"/>
      <c r="U898" s="52"/>
      <c r="V898" s="4293"/>
      <c r="W898" s="3262"/>
      <c r="X898" s="3265"/>
      <c r="Y898" s="3265">
        <v>6.58</v>
      </c>
      <c r="Z898" s="3262">
        <v>6.58</v>
      </c>
      <c r="AA898" s="3262">
        <v>6.58</v>
      </c>
      <c r="AB898" s="3262">
        <v>6.58</v>
      </c>
      <c r="AC898" s="3262">
        <v>6.58</v>
      </c>
      <c r="AD898" s="3262">
        <v>6.58</v>
      </c>
      <c r="AE898" s="3284">
        <v>6.58</v>
      </c>
      <c r="AF898" s="2236">
        <f t="shared" si="123"/>
        <v>7.5</v>
      </c>
      <c r="AG898" s="1396"/>
      <c r="DG898" s="573"/>
      <c r="DH898" s="159"/>
      <c r="DI898" s="1091"/>
    </row>
    <row r="899" spans="1:113" hidden="1" outlineLevel="1">
      <c r="A899" s="453"/>
      <c r="C899" s="51"/>
      <c r="D899" s="4198"/>
      <c r="E899" s="4199"/>
      <c r="F899" s="4341" t="str">
        <f t="shared" si="124"/>
        <v>Mini/MultiSplitAC_ER1_MF_CompE</v>
      </c>
      <c r="G899" s="4341"/>
      <c r="H899" s="4341"/>
      <c r="I899" s="3334" t="str">
        <f t="shared" si="125"/>
        <v>351551_2024_12_</v>
      </c>
      <c r="J899" s="3263">
        <f t="shared" ref="J899:J906" si="126">J881</f>
        <v>0</v>
      </c>
      <c r="K899" s="3343"/>
      <c r="L899" s="3334"/>
      <c r="N899" s="564"/>
      <c r="S899" s="52"/>
      <c r="T899" s="52"/>
      <c r="U899" s="52"/>
      <c r="V899" s="4199"/>
      <c r="W899" s="3262"/>
      <c r="X899" s="3265"/>
      <c r="Y899" s="3265">
        <v>0</v>
      </c>
      <c r="Z899" s="3262">
        <v>0</v>
      </c>
      <c r="AA899" s="3262">
        <v>0</v>
      </c>
      <c r="AB899" s="3262">
        <v>0</v>
      </c>
      <c r="AC899" s="3262">
        <v>0</v>
      </c>
      <c r="AD899" s="3262">
        <v>0</v>
      </c>
      <c r="AE899" s="3284">
        <v>0</v>
      </c>
      <c r="AF899" s="2236">
        <f t="shared" si="123"/>
        <v>0</v>
      </c>
      <c r="AG899" s="1396"/>
      <c r="DG899" s="573"/>
      <c r="DH899" s="159"/>
      <c r="DI899" s="1091"/>
    </row>
    <row r="900" spans="1:113" hidden="1" outlineLevel="1">
      <c r="A900" s="453"/>
      <c r="C900" s="51"/>
      <c r="D900" s="4198"/>
      <c r="E900" s="4199"/>
      <c r="F900" s="4341" t="str">
        <f t="shared" si="124"/>
        <v>Mini/MultiSplitAC_ROF_MF_CompE</v>
      </c>
      <c r="G900" s="4341"/>
      <c r="H900" s="4341"/>
      <c r="I900" s="3334" t="str">
        <f t="shared" si="125"/>
        <v>351601_2024_12_</v>
      </c>
      <c r="J900" s="3263">
        <f t="shared" si="126"/>
        <v>0</v>
      </c>
      <c r="K900" s="3343"/>
      <c r="L900" s="3334"/>
      <c r="N900" s="564"/>
      <c r="S900" s="52"/>
      <c r="T900" s="52"/>
      <c r="U900" s="52"/>
      <c r="V900" s="4199"/>
      <c r="W900" s="3262"/>
      <c r="X900" s="3265"/>
      <c r="Y900" s="3265">
        <v>0</v>
      </c>
      <c r="Z900" s="3262">
        <v>0</v>
      </c>
      <c r="AA900" s="3262">
        <v>0</v>
      </c>
      <c r="AB900" s="3262">
        <v>0</v>
      </c>
      <c r="AC900" s="3262">
        <v>0</v>
      </c>
      <c r="AD900" s="3262">
        <v>0</v>
      </c>
      <c r="AE900" s="3284">
        <v>0</v>
      </c>
      <c r="AF900" s="2236">
        <f t="shared" si="123"/>
        <v>0</v>
      </c>
      <c r="AG900" s="1396"/>
      <c r="DG900" s="573"/>
      <c r="DH900" s="159"/>
      <c r="DI900" s="1091"/>
    </row>
    <row r="901" spans="1:113" ht="15" hidden="1" customHeight="1" outlineLevel="1">
      <c r="A901" s="453"/>
      <c r="C901" s="51"/>
      <c r="D901" s="4198"/>
      <c r="E901" s="4199"/>
      <c r="F901" s="4341" t="str">
        <f t="shared" si="124"/>
        <v>Mini/MultiSplitASHP_ROF_MF_NC_CompE</v>
      </c>
      <c r="G901" s="4341"/>
      <c r="H901" s="4341"/>
      <c r="I901" s="3334" t="str">
        <f t="shared" si="125"/>
        <v>351651_2024_12_</v>
      </c>
      <c r="J901" s="3344">
        <f t="shared" si="126"/>
        <v>7.5</v>
      </c>
      <c r="K901" s="3343"/>
      <c r="L901" s="4371" t="s">
        <v>1941</v>
      </c>
      <c r="N901" s="564"/>
      <c r="S901" s="52"/>
      <c r="T901" s="52"/>
      <c r="U901" s="52"/>
      <c r="V901" s="4199"/>
      <c r="W901" s="3262"/>
      <c r="X901" s="3265"/>
      <c r="Y901" s="3265">
        <v>8.1999999999999993</v>
      </c>
      <c r="Z901" s="3262">
        <v>8.1999999999999993</v>
      </c>
      <c r="AA901" s="3262">
        <v>8.1999999999999993</v>
      </c>
      <c r="AB901" s="3262">
        <v>8.1999999999999993</v>
      </c>
      <c r="AC901" s="3262">
        <v>8.1999999999999993</v>
      </c>
      <c r="AD901" s="3262">
        <v>8.1999999999999993</v>
      </c>
      <c r="AE901" s="3345">
        <v>8.6</v>
      </c>
      <c r="AF901" s="2236">
        <f t="shared" si="123"/>
        <v>7.5</v>
      </c>
      <c r="AG901" s="1396"/>
      <c r="DG901" s="573"/>
      <c r="DH901" s="159"/>
      <c r="DI901" s="1091"/>
    </row>
    <row r="902" spans="1:113" hidden="1" outlineLevel="1">
      <c r="A902" s="453"/>
      <c r="C902" s="51"/>
      <c r="D902" s="4198"/>
      <c r="E902" s="4199"/>
      <c r="F902" s="4341" t="str">
        <f t="shared" si="124"/>
        <v>Mini/MultiSplitASHP_ROF_MF_CompE</v>
      </c>
      <c r="G902" s="4341"/>
      <c r="H902" s="4341"/>
      <c r="I902" s="3334" t="str">
        <f t="shared" si="125"/>
        <v>351701_2024_12_</v>
      </c>
      <c r="J902" s="3344">
        <f t="shared" si="126"/>
        <v>7.5</v>
      </c>
      <c r="K902" s="3343"/>
      <c r="L902" s="4371"/>
      <c r="N902" s="564"/>
      <c r="S902" s="52"/>
      <c r="T902" s="52"/>
      <c r="U902" s="52"/>
      <c r="V902" s="4199"/>
      <c r="W902" s="3262"/>
      <c r="X902" s="3265"/>
      <c r="Y902" s="3265">
        <v>8.1999999999999993</v>
      </c>
      <c r="Z902" s="3262">
        <v>8.1999999999999993</v>
      </c>
      <c r="AA902" s="3262">
        <v>8.1999999999999993</v>
      </c>
      <c r="AB902" s="3262">
        <v>8.1999999999999993</v>
      </c>
      <c r="AC902" s="3262">
        <v>8.1999999999999993</v>
      </c>
      <c r="AD902" s="3262">
        <v>8.1999999999999993</v>
      </c>
      <c r="AE902" s="3345">
        <v>8.6</v>
      </c>
      <c r="AF902" s="2236">
        <f t="shared" si="123"/>
        <v>7.5</v>
      </c>
      <c r="AG902" s="1396"/>
      <c r="DG902" s="573"/>
      <c r="DH902" s="159"/>
      <c r="DI902" s="1091"/>
    </row>
    <row r="903" spans="1:113" hidden="1" outlineLevel="1">
      <c r="A903" s="453"/>
      <c r="C903" s="51"/>
      <c r="D903" s="4198"/>
      <c r="E903" s="4199"/>
      <c r="F903" s="4341" t="str">
        <f t="shared" si="124"/>
        <v>Mini/MultiSplitASHP-Replace_CAC_ElectricHeat_ER1_MF_CompE</v>
      </c>
      <c r="G903" s="4341"/>
      <c r="H903" s="4341"/>
      <c r="I903" s="3334" t="str">
        <f t="shared" si="125"/>
        <v>351751_2024_12_</v>
      </c>
      <c r="J903" s="3263">
        <f t="shared" si="126"/>
        <v>3.4119999999999999</v>
      </c>
      <c r="K903" s="3343"/>
      <c r="L903" s="3224"/>
      <c r="N903" s="564"/>
      <c r="S903" s="52"/>
      <c r="T903" s="52"/>
      <c r="U903" s="52"/>
      <c r="V903" s="4199"/>
      <c r="W903" s="3262"/>
      <c r="X903" s="3265"/>
      <c r="Y903" s="3265">
        <v>3.4119999999999999</v>
      </c>
      <c r="Z903" s="3262">
        <v>3.4119999999999999</v>
      </c>
      <c r="AA903" s="3262">
        <v>3.4119999999999999</v>
      </c>
      <c r="AB903" s="3262">
        <v>3.4119999999999999</v>
      </c>
      <c r="AC903" s="3262">
        <v>3.4119999999999999</v>
      </c>
      <c r="AD903" s="3262">
        <v>3.4119999999999999</v>
      </c>
      <c r="AE903" s="3284">
        <v>3.4119999999999999</v>
      </c>
      <c r="AF903" s="2236">
        <f t="shared" si="123"/>
        <v>3.4119999999999999</v>
      </c>
      <c r="AG903" s="1396"/>
      <c r="DG903" s="573"/>
      <c r="DH903" s="159"/>
      <c r="DI903" s="1091"/>
    </row>
    <row r="904" spans="1:113" hidden="1" outlineLevel="1">
      <c r="A904" s="453"/>
      <c r="C904" s="51"/>
      <c r="D904" s="4198"/>
      <c r="E904" s="4199"/>
      <c r="F904" s="4341" t="str">
        <f t="shared" si="124"/>
        <v>Mini/MultiSplitASHP-Replace_CAC_ElectricHeat_ROF_MF_CompE</v>
      </c>
      <c r="G904" s="4341"/>
      <c r="H904" s="4341"/>
      <c r="I904" s="3334" t="str">
        <f t="shared" si="125"/>
        <v>351801_2024_12_</v>
      </c>
      <c r="J904" s="3263">
        <f t="shared" si="126"/>
        <v>3.4119999999999999</v>
      </c>
      <c r="K904" s="3343"/>
      <c r="L904" s="3224"/>
      <c r="N904" s="564"/>
      <c r="S904" s="52"/>
      <c r="T904" s="52"/>
      <c r="U904" s="52"/>
      <c r="V904" s="4199"/>
      <c r="W904" s="3262"/>
      <c r="X904" s="3265"/>
      <c r="Y904" s="3265">
        <v>3.4119999999999999</v>
      </c>
      <c r="Z904" s="3262">
        <v>3.4119999999999999</v>
      </c>
      <c r="AA904" s="3262">
        <v>3.4119999999999999</v>
      </c>
      <c r="AB904" s="3262">
        <v>3.4119999999999999</v>
      </c>
      <c r="AC904" s="3262">
        <v>3.4119999999999999</v>
      </c>
      <c r="AD904" s="3262">
        <v>3.4119999999999999</v>
      </c>
      <c r="AE904" s="3284">
        <v>3.4119999999999999</v>
      </c>
      <c r="AF904" s="2236">
        <f t="shared" si="123"/>
        <v>3.4119999999999999</v>
      </c>
      <c r="AG904" s="1396"/>
      <c r="DG904" s="573"/>
      <c r="DH904" s="159"/>
      <c r="DI904" s="1091"/>
    </row>
    <row r="905" spans="1:113" hidden="1" outlineLevel="1">
      <c r="A905" s="453"/>
      <c r="C905" s="51"/>
      <c r="D905" s="4198"/>
      <c r="E905" s="4199"/>
      <c r="F905" s="4341" t="str">
        <f>F878</f>
        <v>Mini/MultiSplitASHP-Replace_CAC_NonElectricHeat_ER1_MF_CompE</v>
      </c>
      <c r="G905" s="4341"/>
      <c r="H905" s="4341"/>
      <c r="I905" s="3334" t="str">
        <f t="shared" si="125"/>
        <v>351753_2024_12_</v>
      </c>
      <c r="J905" s="3263">
        <f t="shared" si="126"/>
        <v>0</v>
      </c>
      <c r="K905" s="3343"/>
      <c r="L905" s="3224"/>
      <c r="N905" s="564"/>
      <c r="S905" s="52"/>
      <c r="T905" s="52"/>
      <c r="U905" s="52"/>
      <c r="V905" s="4199"/>
      <c r="W905" s="3262"/>
      <c r="X905" s="3265"/>
      <c r="Y905" s="3265"/>
      <c r="Z905" s="3262"/>
      <c r="AA905" s="3262"/>
      <c r="AB905" s="3262"/>
      <c r="AC905" s="3262"/>
      <c r="AD905" s="3265">
        <v>3.4119999999999999</v>
      </c>
      <c r="AE905" s="3345">
        <v>0</v>
      </c>
      <c r="AF905" s="2236">
        <f t="shared" si="123"/>
        <v>0</v>
      </c>
      <c r="AG905" s="1396"/>
      <c r="DG905" s="573"/>
      <c r="DH905" s="159"/>
      <c r="DI905" s="1091"/>
    </row>
    <row r="906" spans="1:113" hidden="1" outlineLevel="1">
      <c r="A906" s="453"/>
      <c r="C906" s="51"/>
      <c r="D906" s="4198"/>
      <c r="E906" s="4199"/>
      <c r="F906" s="4341" t="str">
        <f>F879</f>
        <v>Mini/MultiSplitASHP-Replace_CAC_NonElectricHeat_ROF_MF_CompE</v>
      </c>
      <c r="G906" s="4341"/>
      <c r="H906" s="4341"/>
      <c r="I906" s="3334" t="str">
        <f t="shared" si="125"/>
        <v>351803_2024_12_</v>
      </c>
      <c r="J906" s="3263">
        <f t="shared" si="126"/>
        <v>0</v>
      </c>
      <c r="K906" s="3343"/>
      <c r="L906" s="3224"/>
      <c r="N906" s="564"/>
      <c r="S906" s="52"/>
      <c r="T906" s="52"/>
      <c r="U906" s="52"/>
      <c r="V906" s="4199"/>
      <c r="W906" s="3262"/>
      <c r="X906" s="3265"/>
      <c r="Y906" s="3265"/>
      <c r="Z906" s="3262"/>
      <c r="AA906" s="3262"/>
      <c r="AB906" s="3262"/>
      <c r="AC906" s="3262"/>
      <c r="AD906" s="3265">
        <v>3.4119999999999999</v>
      </c>
      <c r="AE906" s="3345">
        <v>0</v>
      </c>
      <c r="AF906" s="2236">
        <f t="shared" si="123"/>
        <v>0</v>
      </c>
      <c r="AG906" s="1396"/>
      <c r="DG906" s="573"/>
      <c r="DH906" s="159"/>
      <c r="DI906" s="1091"/>
    </row>
    <row r="907" spans="1:113" hidden="1" outlineLevel="1">
      <c r="A907" s="453"/>
      <c r="C907" s="51"/>
      <c r="D907" s="4198"/>
      <c r="E907" s="4199"/>
      <c r="F907" s="4341" t="str">
        <f t="shared" ref="F907:F913" si="127">F880</f>
        <v>Mini/MultiSplitASHP_ER1_MF_CompE</v>
      </c>
      <c r="G907" s="4341"/>
      <c r="H907" s="4341"/>
      <c r="I907" s="3334" t="str">
        <f t="shared" ref="I907:I915" si="128">I880</f>
        <v>351851_2024_12_</v>
      </c>
      <c r="J907" s="3344">
        <f>J889</f>
        <v>7.5</v>
      </c>
      <c r="K907" s="3343"/>
      <c r="L907" s="3224" t="s">
        <v>1941</v>
      </c>
      <c r="N907" s="564"/>
      <c r="S907" s="52"/>
      <c r="T907" s="52"/>
      <c r="U907" s="52"/>
      <c r="V907" s="4199"/>
      <c r="W907" s="3262"/>
      <c r="X907" s="3265"/>
      <c r="Y907" s="3265">
        <v>6.58</v>
      </c>
      <c r="Z907" s="3262">
        <v>6.58</v>
      </c>
      <c r="AA907" s="3262">
        <v>6.58</v>
      </c>
      <c r="AB907" s="3262">
        <v>6.58</v>
      </c>
      <c r="AC907" s="3262">
        <v>6.58</v>
      </c>
      <c r="AD907" s="3262">
        <v>6.58</v>
      </c>
      <c r="AE907" s="3284">
        <v>6.58</v>
      </c>
      <c r="AF907" s="2236">
        <f t="shared" si="123"/>
        <v>7.5</v>
      </c>
      <c r="AG907" s="1396"/>
      <c r="DG907" s="573"/>
      <c r="DH907" s="159"/>
      <c r="DI907" s="1091"/>
    </row>
    <row r="908" spans="1:113" hidden="1" outlineLevel="1">
      <c r="A908" s="453"/>
      <c r="C908" s="51"/>
      <c r="D908" s="4294" t="s">
        <v>2052</v>
      </c>
      <c r="E908" s="4293" t="s">
        <v>2053</v>
      </c>
      <c r="F908" s="4342" t="str">
        <f t="shared" si="127"/>
        <v>Mini/MultiSplitAC_ER1_SF</v>
      </c>
      <c r="G908" s="4342"/>
      <c r="H908" s="4342"/>
      <c r="I908" s="929" t="str">
        <f t="shared" si="128"/>
        <v>351200_2024_12_</v>
      </c>
      <c r="J908" s="1790">
        <v>0</v>
      </c>
      <c r="K908" s="13"/>
      <c r="L908" s="929"/>
      <c r="N908" s="564"/>
      <c r="S908" s="52"/>
      <c r="T908" s="52"/>
      <c r="U908" s="52"/>
      <c r="V908" s="4293" t="s">
        <v>2054</v>
      </c>
      <c r="W908" s="1396">
        <v>0</v>
      </c>
      <c r="X908" s="1396">
        <v>0</v>
      </c>
      <c r="Y908" s="1396">
        <v>0</v>
      </c>
      <c r="Z908" s="1396">
        <v>0</v>
      </c>
      <c r="AA908" s="1396">
        <v>0</v>
      </c>
      <c r="AB908" s="1396">
        <v>0</v>
      </c>
      <c r="AC908" s="1396">
        <v>0</v>
      </c>
      <c r="AD908" s="1396">
        <v>0</v>
      </c>
      <c r="AE908" s="1405">
        <v>0</v>
      </c>
      <c r="AF908" s="271">
        <f t="shared" si="123"/>
        <v>0</v>
      </c>
      <c r="AG908" s="1396"/>
      <c r="DG908" s="573"/>
      <c r="DH908" s="159"/>
      <c r="DI908" s="1091"/>
    </row>
    <row r="909" spans="1:113" hidden="1" outlineLevel="1">
      <c r="A909" s="453"/>
      <c r="C909" s="51"/>
      <c r="D909" s="4294"/>
      <c r="E909" s="4293"/>
      <c r="F909" s="4342" t="str">
        <f t="shared" si="127"/>
        <v>Mini/MultiSplitAC_ROF_SF</v>
      </c>
      <c r="G909" s="4342"/>
      <c r="H909" s="4342"/>
      <c r="I909" s="929" t="str">
        <f t="shared" si="128"/>
        <v>351250_2024_12_</v>
      </c>
      <c r="J909" s="1790">
        <v>0</v>
      </c>
      <c r="K909" s="1761"/>
      <c r="L909" s="929"/>
      <c r="N909" s="564"/>
      <c r="S909" s="52"/>
      <c r="T909" s="52"/>
      <c r="U909" s="52"/>
      <c r="V909" s="4293"/>
      <c r="W909" s="1396">
        <v>0</v>
      </c>
      <c r="X909" s="1396">
        <v>0</v>
      </c>
      <c r="Y909" s="1396">
        <v>0</v>
      </c>
      <c r="Z909" s="1396">
        <v>0</v>
      </c>
      <c r="AA909" s="1396">
        <v>0</v>
      </c>
      <c r="AB909" s="1396">
        <v>0</v>
      </c>
      <c r="AC909" s="1396">
        <v>0</v>
      </c>
      <c r="AD909" s="1396">
        <v>0</v>
      </c>
      <c r="AE909" s="1405">
        <v>0</v>
      </c>
      <c r="AF909" s="271">
        <f t="shared" si="123"/>
        <v>0</v>
      </c>
      <c r="AG909" s="1396"/>
      <c r="DG909" s="573"/>
      <c r="DH909" s="159"/>
      <c r="DI909" s="1091"/>
    </row>
    <row r="910" spans="1:113" hidden="1" outlineLevel="1">
      <c r="A910" s="453"/>
      <c r="C910" s="51"/>
      <c r="D910" s="4294"/>
      <c r="E910" s="4293"/>
      <c r="F910" s="4342" t="str">
        <f t="shared" si="127"/>
        <v>Mini/MultiSplitASHP_ROF_SF_NC</v>
      </c>
      <c r="G910" s="4342"/>
      <c r="H910" s="4342"/>
      <c r="I910" s="929" t="str">
        <f t="shared" si="128"/>
        <v>351300_2024_12_</v>
      </c>
      <c r="J910" s="1794">
        <v>6.58</v>
      </c>
      <c r="K910" s="1761"/>
      <c r="L910" s="1762" t="s">
        <v>2055</v>
      </c>
      <c r="N910" s="564"/>
      <c r="S910" s="52"/>
      <c r="T910" s="52"/>
      <c r="U910" s="52"/>
      <c r="V910" s="4293"/>
      <c r="W910" s="1396">
        <v>5.44</v>
      </c>
      <c r="X910" s="1396">
        <v>5.44</v>
      </c>
      <c r="Y910" s="1396">
        <v>5.44</v>
      </c>
      <c r="Z910" s="1396">
        <v>5.44</v>
      </c>
      <c r="AA910" s="1396">
        <v>5.44</v>
      </c>
      <c r="AB910" s="1396">
        <v>5.44</v>
      </c>
      <c r="AC910" s="1396">
        <v>5.44</v>
      </c>
      <c r="AD910" s="1396">
        <v>5.44</v>
      </c>
      <c r="AE910" s="1405">
        <v>5.44</v>
      </c>
      <c r="AF910" s="271">
        <f t="shared" si="123"/>
        <v>6.58</v>
      </c>
      <c r="AG910" s="1396"/>
      <c r="DG910" s="573"/>
      <c r="DH910" s="159"/>
      <c r="DI910" s="1091"/>
    </row>
    <row r="911" spans="1:113" hidden="1" outlineLevel="1">
      <c r="A911" s="453"/>
      <c r="C911" s="51"/>
      <c r="D911" s="4294"/>
      <c r="E911" s="4293"/>
      <c r="F911" s="4342" t="str">
        <f t="shared" si="127"/>
        <v>Mini/MultiSplitASHP_ROF_SF</v>
      </c>
      <c r="G911" s="4342"/>
      <c r="H911" s="4342"/>
      <c r="I911" s="929" t="str">
        <f t="shared" si="128"/>
        <v>351350_2024_12_</v>
      </c>
      <c r="J911" s="1794">
        <v>6.58</v>
      </c>
      <c r="K911" s="1761"/>
      <c r="L911" s="1762" t="s">
        <v>2055</v>
      </c>
      <c r="N911" s="564"/>
      <c r="S911" s="52"/>
      <c r="T911" s="52"/>
      <c r="U911" s="52"/>
      <c r="V911" s="4293"/>
      <c r="W911" s="1396">
        <v>5.44</v>
      </c>
      <c r="X911" s="1396">
        <v>5.44</v>
      </c>
      <c r="Y911" s="1396">
        <v>5.44</v>
      </c>
      <c r="Z911" s="1396">
        <v>5.44</v>
      </c>
      <c r="AA911" s="1396">
        <v>5.44</v>
      </c>
      <c r="AB911" s="1396">
        <v>5.44</v>
      </c>
      <c r="AC911" s="1396">
        <v>5.44</v>
      </c>
      <c r="AD911" s="1396">
        <v>5.44</v>
      </c>
      <c r="AE911" s="1405">
        <v>5.44</v>
      </c>
      <c r="AF911" s="271">
        <f t="shared" si="123"/>
        <v>6.58</v>
      </c>
      <c r="AG911" s="1396"/>
      <c r="DG911" s="573"/>
      <c r="DH911" s="159"/>
      <c r="DI911" s="1091"/>
    </row>
    <row r="912" spans="1:113" hidden="1" outlineLevel="1">
      <c r="A912" s="453"/>
      <c r="C912" s="51"/>
      <c r="D912" s="4294"/>
      <c r="E912" s="4293"/>
      <c r="F912" s="4342" t="str">
        <f t="shared" si="127"/>
        <v>Mini/MultiSplitASHP-Replace_CAC_ElectricHeat_ER1_SF</v>
      </c>
      <c r="G912" s="4342"/>
      <c r="H912" s="4342"/>
      <c r="I912" s="929" t="str">
        <f t="shared" si="128"/>
        <v>351400_2024_12_</v>
      </c>
      <c r="J912" s="1790">
        <v>3.4119999999999999</v>
      </c>
      <c r="K912" s="1761"/>
      <c r="L912" s="55"/>
      <c r="N912" s="564"/>
      <c r="S912" s="52"/>
      <c r="T912" s="52"/>
      <c r="U912" s="52"/>
      <c r="V912" s="4293"/>
      <c r="W912" s="1396">
        <v>3.4119999999999999</v>
      </c>
      <c r="X912" s="1396">
        <v>3.4119999999999999</v>
      </c>
      <c r="Y912" s="1396">
        <v>3.4119999999999999</v>
      </c>
      <c r="Z912" s="1396">
        <v>3.4119999999999999</v>
      </c>
      <c r="AA912" s="1396">
        <v>3.4119999999999999</v>
      </c>
      <c r="AB912" s="1396">
        <v>3.4119999999999999</v>
      </c>
      <c r="AC912" s="1396">
        <v>3.4119999999999999</v>
      </c>
      <c r="AD912" s="1396">
        <v>3.4119999999999999</v>
      </c>
      <c r="AE912" s="1405">
        <v>3.4119999999999999</v>
      </c>
      <c r="AF912" s="271">
        <f t="shared" si="123"/>
        <v>3.4119999999999999</v>
      </c>
      <c r="AG912" s="1396"/>
      <c r="DG912" s="573"/>
      <c r="DH912" s="159"/>
      <c r="DI912" s="1091"/>
    </row>
    <row r="913" spans="1:113" hidden="1" outlineLevel="1">
      <c r="A913" s="453"/>
      <c r="C913" s="51"/>
      <c r="D913" s="4294"/>
      <c r="E913" s="4293"/>
      <c r="F913" s="4342" t="str">
        <f t="shared" si="127"/>
        <v>Mini/MultiSplitASHP-Replace_CAC_ElectricHeat_ROF_SF</v>
      </c>
      <c r="G913" s="4342"/>
      <c r="H913" s="4342"/>
      <c r="I913" s="929" t="str">
        <f t="shared" si="128"/>
        <v>351450_2024_12_</v>
      </c>
      <c r="J913" s="1790">
        <v>3.4119999999999999</v>
      </c>
      <c r="K913" s="1761"/>
      <c r="L913" s="55"/>
      <c r="N913" s="564"/>
      <c r="S913" s="52"/>
      <c r="T913" s="52"/>
      <c r="U913" s="52"/>
      <c r="V913" s="4293"/>
      <c r="W913" s="1396">
        <v>3.4119999999999999</v>
      </c>
      <c r="X913" s="1396">
        <v>3.4119999999999999</v>
      </c>
      <c r="Y913" s="1396">
        <v>3.4119999999999999</v>
      </c>
      <c r="Z913" s="1396">
        <v>3.4119999999999999</v>
      </c>
      <c r="AA913" s="1396">
        <v>3.4119999999999999</v>
      </c>
      <c r="AB913" s="1396">
        <v>3.4119999999999999</v>
      </c>
      <c r="AC913" s="1396">
        <v>3.4119999999999999</v>
      </c>
      <c r="AD913" s="1396">
        <v>3.4119999999999999</v>
      </c>
      <c r="AE913" s="1405">
        <v>3.4119999999999999</v>
      </c>
      <c r="AF913" s="271">
        <f t="shared" si="123"/>
        <v>3.4119999999999999</v>
      </c>
      <c r="AG913" s="1396"/>
      <c r="DG913" s="573"/>
      <c r="DH913" s="159"/>
      <c r="DI913" s="1091"/>
    </row>
    <row r="914" spans="1:113" hidden="1" outlineLevel="1">
      <c r="A914" s="453"/>
      <c r="C914" s="51"/>
      <c r="D914" s="4294"/>
      <c r="E914" s="4293"/>
      <c r="F914" s="4342" t="str">
        <f>F887</f>
        <v>Mini/MultiSplitASHP-Replace_CAC_NonElectricHeat_ER1_SF</v>
      </c>
      <c r="G914" s="4342"/>
      <c r="H914" s="4342"/>
      <c r="I914" s="929" t="str">
        <f t="shared" si="128"/>
        <v>351401_2024_12_</v>
      </c>
      <c r="J914" s="1790">
        <v>3.4119999999999999</v>
      </c>
      <c r="K914" s="1761"/>
      <c r="L914" s="55"/>
      <c r="N914" s="564"/>
      <c r="S914" s="52"/>
      <c r="T914" s="52"/>
      <c r="U914" s="52"/>
      <c r="V914" s="4293"/>
      <c r="W914" s="1396"/>
      <c r="X914" s="1396"/>
      <c r="Y914" s="1396"/>
      <c r="Z914" s="1396"/>
      <c r="AA914" s="1396"/>
      <c r="AB914" s="1396"/>
      <c r="AC914" s="1396"/>
      <c r="AD914" s="833">
        <v>3.4119999999999999</v>
      </c>
      <c r="AE914" s="1405">
        <v>3.4119999999999999</v>
      </c>
      <c r="AF914" s="271">
        <f t="shared" si="123"/>
        <v>3.4119999999999999</v>
      </c>
      <c r="AG914" s="1396"/>
      <c r="DG914" s="573"/>
      <c r="DH914" s="159"/>
      <c r="DI914" s="1091"/>
    </row>
    <row r="915" spans="1:113" hidden="1" outlineLevel="1">
      <c r="A915" s="453"/>
      <c r="C915" s="51"/>
      <c r="D915" s="4294"/>
      <c r="E915" s="4293"/>
      <c r="F915" s="4342" t="str">
        <f>F888</f>
        <v>Mini/MultiSplitASHP-Replace_CAC_NonElectricHeat_ROF_SF</v>
      </c>
      <c r="G915" s="4342"/>
      <c r="H915" s="4342"/>
      <c r="I915" s="929" t="str">
        <f t="shared" si="128"/>
        <v>351451_2024_12_</v>
      </c>
      <c r="J915" s="1790">
        <v>3.4119999999999999</v>
      </c>
      <c r="K915" s="1761"/>
      <c r="L915" s="55"/>
      <c r="N915" s="564"/>
      <c r="S915" s="52"/>
      <c r="T915" s="52"/>
      <c r="U915" s="52"/>
      <c r="V915" s="4293"/>
      <c r="W915" s="1396"/>
      <c r="X915" s="1396"/>
      <c r="Y915" s="1396"/>
      <c r="Z915" s="1396"/>
      <c r="AA915" s="1396"/>
      <c r="AB915" s="1396"/>
      <c r="AC915" s="1396"/>
      <c r="AD915" s="833">
        <v>3.4119999999999999</v>
      </c>
      <c r="AE915" s="1405">
        <v>3.4119999999999999</v>
      </c>
      <c r="AF915" s="271">
        <f t="shared" si="123"/>
        <v>3.4119999999999999</v>
      </c>
      <c r="AG915" s="1396"/>
      <c r="DG915" s="573"/>
      <c r="DH915" s="159"/>
      <c r="DI915" s="1091"/>
    </row>
    <row r="916" spans="1:113" hidden="1" outlineLevel="1">
      <c r="A916" s="453"/>
      <c r="C916" s="51"/>
      <c r="D916" s="4294"/>
      <c r="E916" s="4293"/>
      <c r="F916" s="4342" t="str">
        <f t="shared" ref="F916:F922" si="129">F889</f>
        <v>Mini/MultiSplitASHP_ER1_SF</v>
      </c>
      <c r="G916" s="4342"/>
      <c r="H916" s="4342"/>
      <c r="I916" s="929" t="str">
        <f t="shared" ref="I916:I924" si="130">I889</f>
        <v>351500_2024_12_</v>
      </c>
      <c r="J916" s="1794">
        <v>6.58</v>
      </c>
      <c r="K916" s="1761"/>
      <c r="L916" s="1762" t="s">
        <v>2055</v>
      </c>
      <c r="N916" s="564"/>
      <c r="S916" s="52"/>
      <c r="T916" s="52"/>
      <c r="U916" s="52"/>
      <c r="V916" s="4293"/>
      <c r="W916" s="1396">
        <v>5.44</v>
      </c>
      <c r="X916" s="1396">
        <v>5.44</v>
      </c>
      <c r="Y916" s="1396">
        <v>5.44</v>
      </c>
      <c r="Z916" s="1396">
        <v>5.44</v>
      </c>
      <c r="AA916" s="1396">
        <v>5.44</v>
      </c>
      <c r="AB916" s="1396">
        <v>5.44</v>
      </c>
      <c r="AC916" s="1396">
        <v>5.44</v>
      </c>
      <c r="AD916" s="1396">
        <v>5.44</v>
      </c>
      <c r="AE916" s="1405">
        <v>5.44</v>
      </c>
      <c r="AF916" s="271">
        <f t="shared" si="123"/>
        <v>6.58</v>
      </c>
      <c r="AG916" s="1396"/>
      <c r="DG916" s="573"/>
      <c r="DH916" s="159"/>
      <c r="DI916" s="1091"/>
    </row>
    <row r="917" spans="1:113" hidden="1" outlineLevel="1">
      <c r="A917" s="453"/>
      <c r="C917" s="51"/>
      <c r="D917" s="4294"/>
      <c r="E917" s="4293"/>
      <c r="F917" s="4342" t="str">
        <f t="shared" si="129"/>
        <v>Mini/MultiSplitAC_ER1_MF</v>
      </c>
      <c r="G917" s="4342"/>
      <c r="H917" s="4342"/>
      <c r="I917" s="929" t="str">
        <f t="shared" si="130"/>
        <v>351550_2024_12_</v>
      </c>
      <c r="J917" s="1790">
        <f t="shared" ref="J917:J924" si="131">J908</f>
        <v>0</v>
      </c>
      <c r="K917" s="1761"/>
      <c r="L917" s="929"/>
      <c r="N917" s="564"/>
      <c r="S917" s="52"/>
      <c r="T917" s="52"/>
      <c r="U917" s="52"/>
      <c r="V917" s="4293"/>
      <c r="W917" s="1396"/>
      <c r="X917" s="833"/>
      <c r="Y917" s="833">
        <v>0</v>
      </c>
      <c r="Z917" s="1396">
        <v>0</v>
      </c>
      <c r="AA917" s="1396">
        <v>0</v>
      </c>
      <c r="AB917" s="1396">
        <v>0</v>
      </c>
      <c r="AC917" s="1396">
        <v>0</v>
      </c>
      <c r="AD917" s="1396">
        <v>0</v>
      </c>
      <c r="AE917" s="1405">
        <v>0</v>
      </c>
      <c r="AF917" s="271">
        <f t="shared" si="123"/>
        <v>0</v>
      </c>
      <c r="AG917" s="1396"/>
      <c r="DG917" s="573"/>
      <c r="DH917" s="159"/>
      <c r="DI917" s="1091"/>
    </row>
    <row r="918" spans="1:113" hidden="1" outlineLevel="1">
      <c r="A918" s="453"/>
      <c r="C918" s="51"/>
      <c r="D918" s="4294"/>
      <c r="E918" s="4293"/>
      <c r="F918" s="4341" t="str">
        <f t="shared" si="129"/>
        <v>Mini/MultiSplitAC_ROF_MF</v>
      </c>
      <c r="G918" s="4341"/>
      <c r="H918" s="4341"/>
      <c r="I918" s="3334" t="str">
        <f t="shared" si="130"/>
        <v>351600_2024_12_</v>
      </c>
      <c r="J918" s="3263">
        <f t="shared" si="131"/>
        <v>0</v>
      </c>
      <c r="K918" s="3343"/>
      <c r="L918" s="3334"/>
      <c r="N918" s="564"/>
      <c r="S918" s="52"/>
      <c r="T918" s="52"/>
      <c r="U918" s="52"/>
      <c r="V918" s="4293"/>
      <c r="W918" s="3262"/>
      <c r="X918" s="3265"/>
      <c r="Y918" s="3265">
        <v>0</v>
      </c>
      <c r="Z918" s="3262">
        <v>0</v>
      </c>
      <c r="AA918" s="3262">
        <v>0</v>
      </c>
      <c r="AB918" s="3262">
        <v>0</v>
      </c>
      <c r="AC918" s="3262">
        <v>0</v>
      </c>
      <c r="AD918" s="3262">
        <v>0</v>
      </c>
      <c r="AE918" s="3284">
        <v>0</v>
      </c>
      <c r="AF918" s="2236">
        <f t="shared" si="123"/>
        <v>0</v>
      </c>
      <c r="AG918" s="1396"/>
      <c r="DG918" s="573"/>
      <c r="DH918" s="159"/>
      <c r="DI918" s="1091"/>
    </row>
    <row r="919" spans="1:113" hidden="1" outlineLevel="1">
      <c r="A919" s="453"/>
      <c r="C919" s="51"/>
      <c r="D919" s="4294"/>
      <c r="E919" s="4293"/>
      <c r="F919" s="4341" t="str">
        <f t="shared" si="129"/>
        <v>Mini/MultiSplitASHP_ROF_MF_NC</v>
      </c>
      <c r="G919" s="4341"/>
      <c r="H919" s="4341"/>
      <c r="I919" s="3334" t="str">
        <f t="shared" si="130"/>
        <v>351650_2024_12_</v>
      </c>
      <c r="J919" s="3344">
        <f t="shared" si="131"/>
        <v>6.58</v>
      </c>
      <c r="K919" s="3343"/>
      <c r="L919" s="3346" t="s">
        <v>2055</v>
      </c>
      <c r="N919" s="564"/>
      <c r="S919" s="52"/>
      <c r="T919" s="52"/>
      <c r="U919" s="52"/>
      <c r="V919" s="4293"/>
      <c r="W919" s="3262"/>
      <c r="X919" s="3265"/>
      <c r="Y919" s="3265">
        <v>5.44</v>
      </c>
      <c r="Z919" s="3262">
        <v>5.44</v>
      </c>
      <c r="AA919" s="3262">
        <v>5.44</v>
      </c>
      <c r="AB919" s="3262">
        <v>5.44</v>
      </c>
      <c r="AC919" s="3262">
        <v>5.44</v>
      </c>
      <c r="AD919" s="3262">
        <v>5.44</v>
      </c>
      <c r="AE919" s="3284">
        <v>5.44</v>
      </c>
      <c r="AF919" s="2236">
        <f t="shared" si="123"/>
        <v>6.58</v>
      </c>
      <c r="AG919" s="1396"/>
      <c r="DG919" s="573"/>
      <c r="DH919" s="159"/>
      <c r="DI919" s="1091"/>
    </row>
    <row r="920" spans="1:113" hidden="1" outlineLevel="1">
      <c r="A920" s="453"/>
      <c r="C920" s="51"/>
      <c r="D920" s="4294"/>
      <c r="E920" s="4293"/>
      <c r="F920" s="4341" t="str">
        <f t="shared" si="129"/>
        <v>Mini/MultiSplitASHP_ROF_MF</v>
      </c>
      <c r="G920" s="4341"/>
      <c r="H920" s="4341"/>
      <c r="I920" s="3334" t="str">
        <f t="shared" si="130"/>
        <v>351700_2024_12_</v>
      </c>
      <c r="J920" s="3344">
        <f t="shared" si="131"/>
        <v>6.58</v>
      </c>
      <c r="K920" s="3343"/>
      <c r="L920" s="3346" t="s">
        <v>2055</v>
      </c>
      <c r="N920" s="564"/>
      <c r="S920" s="52"/>
      <c r="T920" s="52"/>
      <c r="U920" s="52"/>
      <c r="V920" s="4293"/>
      <c r="W920" s="3262"/>
      <c r="X920" s="3265"/>
      <c r="Y920" s="3265">
        <v>5.44</v>
      </c>
      <c r="Z920" s="3262">
        <v>5.44</v>
      </c>
      <c r="AA920" s="3262">
        <v>5.44</v>
      </c>
      <c r="AB920" s="3262">
        <v>5.44</v>
      </c>
      <c r="AC920" s="3262">
        <v>5.44</v>
      </c>
      <c r="AD920" s="3262">
        <v>5.44</v>
      </c>
      <c r="AE920" s="3284">
        <v>5.44</v>
      </c>
      <c r="AF920" s="2236">
        <f t="shared" si="123"/>
        <v>6.58</v>
      </c>
      <c r="AG920" s="1396"/>
      <c r="DG920" s="573"/>
      <c r="DH920" s="159"/>
      <c r="DI920" s="1091"/>
    </row>
    <row r="921" spans="1:113" hidden="1" outlineLevel="1">
      <c r="A921" s="453"/>
      <c r="C921" s="51"/>
      <c r="D921" s="4294"/>
      <c r="E921" s="4293"/>
      <c r="F921" s="4341" t="str">
        <f t="shared" si="129"/>
        <v>Mini/MultiSplitASHP-Replace_CAC_ElectricHeat_ER1_MF</v>
      </c>
      <c r="G921" s="4341"/>
      <c r="H921" s="4341"/>
      <c r="I921" s="3334" t="str">
        <f t="shared" si="130"/>
        <v>351750_2024_12_</v>
      </c>
      <c r="J921" s="3263">
        <f t="shared" si="131"/>
        <v>3.4119999999999999</v>
      </c>
      <c r="K921" s="3343"/>
      <c r="L921" s="3334"/>
      <c r="N921" s="564"/>
      <c r="S921" s="52"/>
      <c r="T921" s="52"/>
      <c r="U921" s="52"/>
      <c r="V921" s="4293"/>
      <c r="W921" s="3262"/>
      <c r="X921" s="3265"/>
      <c r="Y921" s="3265">
        <v>3.4119999999999999</v>
      </c>
      <c r="Z921" s="3262">
        <v>3.4119999999999999</v>
      </c>
      <c r="AA921" s="3262">
        <v>3.4119999999999999</v>
      </c>
      <c r="AB921" s="3262">
        <v>3.4119999999999999</v>
      </c>
      <c r="AC921" s="3262">
        <v>3.4119999999999999</v>
      </c>
      <c r="AD921" s="3262">
        <v>3.4119999999999999</v>
      </c>
      <c r="AE921" s="3284">
        <v>3.4119999999999999</v>
      </c>
      <c r="AF921" s="2236">
        <f t="shared" si="123"/>
        <v>3.4119999999999999</v>
      </c>
      <c r="AG921" s="1396"/>
      <c r="DG921" s="573"/>
      <c r="DH921" s="159"/>
      <c r="DI921" s="1091"/>
    </row>
    <row r="922" spans="1:113" hidden="1" outlineLevel="1">
      <c r="A922" s="453"/>
      <c r="C922" s="51"/>
      <c r="D922" s="4294"/>
      <c r="E922" s="4293"/>
      <c r="F922" s="4341" t="str">
        <f t="shared" si="129"/>
        <v>Mini/MultiSplitASHP-Replace_CAC_ElectricHeat_ROF_MF</v>
      </c>
      <c r="G922" s="4341"/>
      <c r="H922" s="4341"/>
      <c r="I922" s="3334" t="str">
        <f t="shared" si="130"/>
        <v>351800_2024_12_</v>
      </c>
      <c r="J922" s="3263">
        <f t="shared" si="131"/>
        <v>3.4119999999999999</v>
      </c>
      <c r="K922" s="3343"/>
      <c r="L922" s="3334"/>
      <c r="N922" s="564"/>
      <c r="S922" s="52"/>
      <c r="T922" s="52"/>
      <c r="U922" s="52"/>
      <c r="V922" s="4293"/>
      <c r="W922" s="3262"/>
      <c r="X922" s="3265"/>
      <c r="Y922" s="3265">
        <v>3.4119999999999999</v>
      </c>
      <c r="Z922" s="3262">
        <v>3.4119999999999999</v>
      </c>
      <c r="AA922" s="3262">
        <v>3.4119999999999999</v>
      </c>
      <c r="AB922" s="3262">
        <v>3.4119999999999999</v>
      </c>
      <c r="AC922" s="3262">
        <v>3.4119999999999999</v>
      </c>
      <c r="AD922" s="3262">
        <v>3.4119999999999999</v>
      </c>
      <c r="AE922" s="3284">
        <v>3.4119999999999999</v>
      </c>
      <c r="AF922" s="2236">
        <f t="shared" si="123"/>
        <v>3.4119999999999999</v>
      </c>
      <c r="AG922" s="1396"/>
      <c r="DG922" s="573"/>
      <c r="DH922" s="159"/>
      <c r="DI922" s="1091"/>
    </row>
    <row r="923" spans="1:113" hidden="1" outlineLevel="1">
      <c r="A923" s="453"/>
      <c r="C923" s="51"/>
      <c r="D923" s="4294"/>
      <c r="E923" s="4293"/>
      <c r="F923" s="4341" t="str">
        <f>F896</f>
        <v>Mini/MultiSplitASHP-Replace_CAC_NonElectricHeat_ER1_MF</v>
      </c>
      <c r="G923" s="4341"/>
      <c r="H923" s="4341"/>
      <c r="I923" s="3334" t="str">
        <f t="shared" si="130"/>
        <v>351752_2024_12_</v>
      </c>
      <c r="J923" s="3263">
        <f t="shared" si="131"/>
        <v>3.4119999999999999</v>
      </c>
      <c r="K923" s="3343"/>
      <c r="L923" s="3334"/>
      <c r="N923" s="564"/>
      <c r="S923" s="52"/>
      <c r="T923" s="52"/>
      <c r="U923" s="52"/>
      <c r="V923" s="4293"/>
      <c r="W923" s="3262"/>
      <c r="X923" s="3265"/>
      <c r="Y923" s="3265"/>
      <c r="Z923" s="3262"/>
      <c r="AA923" s="3262"/>
      <c r="AB923" s="3262"/>
      <c r="AC923" s="3262"/>
      <c r="AD923" s="3265">
        <v>3.4119999999999999</v>
      </c>
      <c r="AE923" s="3284">
        <v>3.4119999999999999</v>
      </c>
      <c r="AF923" s="2236">
        <f t="shared" si="123"/>
        <v>3.4119999999999999</v>
      </c>
      <c r="AG923" s="1396"/>
      <c r="DG923" s="573"/>
      <c r="DH923" s="159"/>
      <c r="DI923" s="1091"/>
    </row>
    <row r="924" spans="1:113" hidden="1" outlineLevel="1">
      <c r="A924" s="453"/>
      <c r="C924" s="51"/>
      <c r="D924" s="4294"/>
      <c r="E924" s="4293"/>
      <c r="F924" s="4341" t="str">
        <f>F897</f>
        <v>Mini/MultiSplitASHP-Replace_CAC_NonElectricHeat_ROF_MF</v>
      </c>
      <c r="G924" s="4341"/>
      <c r="H924" s="4341"/>
      <c r="I924" s="3334" t="str">
        <f t="shared" si="130"/>
        <v>351802_2024_12_</v>
      </c>
      <c r="J924" s="3263">
        <f t="shared" si="131"/>
        <v>3.4119999999999999</v>
      </c>
      <c r="K924" s="3343"/>
      <c r="L924" s="3334"/>
      <c r="N924" s="564"/>
      <c r="S924" s="52"/>
      <c r="T924" s="52"/>
      <c r="U924" s="52"/>
      <c r="V924" s="4293"/>
      <c r="W924" s="3262"/>
      <c r="X924" s="3265"/>
      <c r="Y924" s="3265"/>
      <c r="Z924" s="3262"/>
      <c r="AA924" s="3262"/>
      <c r="AB924" s="3262"/>
      <c r="AC924" s="3262"/>
      <c r="AD924" s="3265">
        <v>3.4119999999999999</v>
      </c>
      <c r="AE924" s="3284">
        <v>3.4119999999999999</v>
      </c>
      <c r="AF924" s="2236">
        <f t="shared" si="123"/>
        <v>3.4119999999999999</v>
      </c>
      <c r="AG924" s="1396"/>
      <c r="DG924" s="573"/>
      <c r="DH924" s="159"/>
      <c r="DI924" s="1091"/>
    </row>
    <row r="925" spans="1:113" hidden="1" outlineLevel="1">
      <c r="A925" s="453"/>
      <c r="C925" s="51"/>
      <c r="D925" s="4294"/>
      <c r="E925" s="4293"/>
      <c r="F925" s="4341" t="str">
        <f t="shared" ref="F925:F931" si="132">F898</f>
        <v>Mini/MultiSplitASHP_ER1_MF</v>
      </c>
      <c r="G925" s="4341"/>
      <c r="H925" s="4341"/>
      <c r="I925" s="3334" t="str">
        <f t="shared" ref="I925:I933" si="133">I898</f>
        <v>351850_2024_12_</v>
      </c>
      <c r="J925" s="3344">
        <f>J916</f>
        <v>6.58</v>
      </c>
      <c r="K925" s="3343"/>
      <c r="L925" s="3346" t="s">
        <v>2055</v>
      </c>
      <c r="N925" s="564"/>
      <c r="S925" s="52"/>
      <c r="T925" s="52"/>
      <c r="U925" s="52"/>
      <c r="V925" s="4293"/>
      <c r="W925" s="3262"/>
      <c r="X925" s="3265"/>
      <c r="Y925" s="3265">
        <v>5.44</v>
      </c>
      <c r="Z925" s="3262">
        <v>5.44</v>
      </c>
      <c r="AA925" s="3262">
        <v>5.44</v>
      </c>
      <c r="AB925" s="3262">
        <v>5.44</v>
      </c>
      <c r="AC925" s="3262">
        <v>5.44</v>
      </c>
      <c r="AD925" s="3262">
        <v>5.44</v>
      </c>
      <c r="AE925" s="3284">
        <v>5.44</v>
      </c>
      <c r="AF925" s="2236">
        <f t="shared" si="123"/>
        <v>6.58</v>
      </c>
      <c r="AG925" s="1396"/>
      <c r="DG925" s="573"/>
      <c r="DH925" s="159"/>
      <c r="DI925" s="1091"/>
    </row>
    <row r="926" spans="1:113" hidden="1" outlineLevel="1">
      <c r="A926" s="453"/>
      <c r="C926" s="51"/>
      <c r="D926" s="4198"/>
      <c r="E926" s="4199"/>
      <c r="F926" s="4341" t="str">
        <f t="shared" si="132"/>
        <v>Mini/MultiSplitAC_ER1_MF_CompE</v>
      </c>
      <c r="G926" s="4341"/>
      <c r="H926" s="4341"/>
      <c r="I926" s="3334" t="str">
        <f t="shared" si="133"/>
        <v>351551_2024_12_</v>
      </c>
      <c r="J926" s="3263">
        <f t="shared" ref="J926:J933" si="134">J908</f>
        <v>0</v>
      </c>
      <c r="K926" s="3343"/>
      <c r="L926" s="3334"/>
      <c r="N926" s="564"/>
      <c r="S926" s="52"/>
      <c r="T926" s="52"/>
      <c r="U926" s="52"/>
      <c r="V926" s="4199"/>
      <c r="W926" s="3262"/>
      <c r="X926" s="3262"/>
      <c r="Y926" s="3265">
        <v>0</v>
      </c>
      <c r="Z926" s="3262">
        <v>0</v>
      </c>
      <c r="AA926" s="3262">
        <v>0</v>
      </c>
      <c r="AB926" s="3262">
        <v>0</v>
      </c>
      <c r="AC926" s="3262">
        <v>0</v>
      </c>
      <c r="AD926" s="3262">
        <v>0</v>
      </c>
      <c r="AE926" s="3284">
        <v>0</v>
      </c>
      <c r="AF926" s="2236">
        <f t="shared" si="123"/>
        <v>0</v>
      </c>
      <c r="AG926" s="1396"/>
      <c r="DG926" s="573"/>
      <c r="DH926" s="159"/>
      <c r="DI926" s="1091"/>
    </row>
    <row r="927" spans="1:113" hidden="1" outlineLevel="1">
      <c r="A927" s="453"/>
      <c r="C927" s="51"/>
      <c r="D927" s="4198"/>
      <c r="E927" s="4199"/>
      <c r="F927" s="4341" t="str">
        <f t="shared" si="132"/>
        <v>Mini/MultiSplitAC_ROF_MF_CompE</v>
      </c>
      <c r="G927" s="4341"/>
      <c r="H927" s="4341"/>
      <c r="I927" s="3334" t="str">
        <f t="shared" si="133"/>
        <v>351601_2024_12_</v>
      </c>
      <c r="J927" s="3263">
        <f t="shared" si="134"/>
        <v>0</v>
      </c>
      <c r="K927" s="3343"/>
      <c r="L927" s="3334"/>
      <c r="N927" s="564"/>
      <c r="S927" s="52"/>
      <c r="T927" s="52"/>
      <c r="U927" s="52"/>
      <c r="V927" s="4199"/>
      <c r="W927" s="3262"/>
      <c r="X927" s="3262"/>
      <c r="Y927" s="3265">
        <v>0</v>
      </c>
      <c r="Z927" s="3262">
        <v>0</v>
      </c>
      <c r="AA927" s="3262">
        <v>0</v>
      </c>
      <c r="AB927" s="3262">
        <v>0</v>
      </c>
      <c r="AC927" s="3262">
        <v>0</v>
      </c>
      <c r="AD927" s="3262">
        <v>0</v>
      </c>
      <c r="AE927" s="3284">
        <v>0</v>
      </c>
      <c r="AF927" s="2236">
        <f t="shared" si="123"/>
        <v>0</v>
      </c>
      <c r="AG927" s="1396"/>
      <c r="DG927" s="573"/>
      <c r="DH927" s="159"/>
      <c r="DI927" s="1091"/>
    </row>
    <row r="928" spans="1:113" hidden="1" outlineLevel="1">
      <c r="A928" s="453"/>
      <c r="C928" s="51"/>
      <c r="D928" s="4198"/>
      <c r="E928" s="4199"/>
      <c r="F928" s="4341" t="str">
        <f t="shared" si="132"/>
        <v>Mini/MultiSplitASHP_ROF_MF_NC_CompE</v>
      </c>
      <c r="G928" s="4341"/>
      <c r="H928" s="4341"/>
      <c r="I928" s="3334" t="str">
        <f t="shared" si="133"/>
        <v>351651_2024_12_</v>
      </c>
      <c r="J928" s="3344">
        <f t="shared" si="134"/>
        <v>6.58</v>
      </c>
      <c r="K928" s="3343"/>
      <c r="L928" s="3346" t="s">
        <v>2055</v>
      </c>
      <c r="N928" s="564"/>
      <c r="S928" s="52"/>
      <c r="T928" s="52"/>
      <c r="U928" s="52"/>
      <c r="V928" s="4199"/>
      <c r="W928" s="3262"/>
      <c r="X928" s="3262"/>
      <c r="Y928" s="3265">
        <v>5.44</v>
      </c>
      <c r="Z928" s="3262">
        <v>5.44</v>
      </c>
      <c r="AA928" s="3262">
        <v>5.44</v>
      </c>
      <c r="AB928" s="3262">
        <v>5.44</v>
      </c>
      <c r="AC928" s="3262">
        <v>5.44</v>
      </c>
      <c r="AD928" s="3262">
        <v>5.44</v>
      </c>
      <c r="AE928" s="3284">
        <v>5.44</v>
      </c>
      <c r="AF928" s="2236">
        <f t="shared" si="123"/>
        <v>6.58</v>
      </c>
      <c r="AG928" s="1396"/>
      <c r="DG928" s="573"/>
      <c r="DH928" s="159"/>
      <c r="DI928" s="1091"/>
    </row>
    <row r="929" spans="1:113" hidden="1" outlineLevel="1">
      <c r="A929" s="453"/>
      <c r="C929" s="51"/>
      <c r="D929" s="4198"/>
      <c r="E929" s="4199"/>
      <c r="F929" s="4341" t="str">
        <f t="shared" si="132"/>
        <v>Mini/MultiSplitASHP_ROF_MF_CompE</v>
      </c>
      <c r="G929" s="4341"/>
      <c r="H929" s="4341"/>
      <c r="I929" s="3334" t="str">
        <f t="shared" si="133"/>
        <v>351701_2024_12_</v>
      </c>
      <c r="J929" s="3344">
        <f t="shared" si="134"/>
        <v>6.58</v>
      </c>
      <c r="K929" s="3343"/>
      <c r="L929" s="3346" t="s">
        <v>2055</v>
      </c>
      <c r="N929" s="564"/>
      <c r="S929" s="52"/>
      <c r="T929" s="52"/>
      <c r="U929" s="52"/>
      <c r="V929" s="4199"/>
      <c r="W929" s="3262"/>
      <c r="X929" s="3262"/>
      <c r="Y929" s="3265">
        <v>5.44</v>
      </c>
      <c r="Z929" s="3262">
        <v>5.44</v>
      </c>
      <c r="AA929" s="3262">
        <v>5.44</v>
      </c>
      <c r="AB929" s="3262">
        <v>5.44</v>
      </c>
      <c r="AC929" s="3262">
        <v>5.44</v>
      </c>
      <c r="AD929" s="3262">
        <v>5.44</v>
      </c>
      <c r="AE929" s="3284">
        <v>5.44</v>
      </c>
      <c r="AF929" s="2236">
        <f t="shared" si="123"/>
        <v>6.58</v>
      </c>
      <c r="AG929" s="1396"/>
      <c r="DG929" s="573"/>
      <c r="DH929" s="159"/>
      <c r="DI929" s="1091"/>
    </row>
    <row r="930" spans="1:113" hidden="1" outlineLevel="1">
      <c r="A930" s="453"/>
      <c r="C930" s="51"/>
      <c r="D930" s="4198"/>
      <c r="E930" s="4199"/>
      <c r="F930" s="4341" t="str">
        <f t="shared" si="132"/>
        <v>Mini/MultiSplitASHP-Replace_CAC_ElectricHeat_ER1_MF_CompE</v>
      </c>
      <c r="G930" s="4341"/>
      <c r="H930" s="4341"/>
      <c r="I930" s="3334" t="str">
        <f t="shared" si="133"/>
        <v>351751_2024_12_</v>
      </c>
      <c r="J930" s="3263">
        <f t="shared" si="134"/>
        <v>3.4119999999999999</v>
      </c>
      <c r="K930" s="3343"/>
      <c r="L930" s="3224"/>
      <c r="N930" s="564"/>
      <c r="S930" s="52"/>
      <c r="T930" s="52"/>
      <c r="U930" s="52"/>
      <c r="V930" s="4199"/>
      <c r="W930" s="3262"/>
      <c r="X930" s="3262"/>
      <c r="Y930" s="3265">
        <v>3.4119999999999999</v>
      </c>
      <c r="Z930" s="3262">
        <v>3.4119999999999999</v>
      </c>
      <c r="AA930" s="3262">
        <v>3.4119999999999999</v>
      </c>
      <c r="AB930" s="3262">
        <v>3.4119999999999999</v>
      </c>
      <c r="AC930" s="3262">
        <v>3.4119999999999999</v>
      </c>
      <c r="AD930" s="3262">
        <v>3.4119999999999999</v>
      </c>
      <c r="AE930" s="3284">
        <v>3.4119999999999999</v>
      </c>
      <c r="AF930" s="2236">
        <f t="shared" si="123"/>
        <v>3.4119999999999999</v>
      </c>
      <c r="AG930" s="1396"/>
      <c r="DG930" s="573"/>
      <c r="DH930" s="159"/>
      <c r="DI930" s="1091"/>
    </row>
    <row r="931" spans="1:113" hidden="1" outlineLevel="1">
      <c r="A931" s="453"/>
      <c r="C931" s="51"/>
      <c r="D931" s="4198"/>
      <c r="E931" s="4199"/>
      <c r="F931" s="4341" t="str">
        <f t="shared" si="132"/>
        <v>Mini/MultiSplitASHP-Replace_CAC_ElectricHeat_ROF_MF_CompE</v>
      </c>
      <c r="G931" s="4341"/>
      <c r="H931" s="4341"/>
      <c r="I931" s="3334" t="str">
        <f t="shared" si="133"/>
        <v>351801_2024_12_</v>
      </c>
      <c r="J931" s="3263">
        <f t="shared" si="134"/>
        <v>3.4119999999999999</v>
      </c>
      <c r="K931" s="3343"/>
      <c r="L931" s="3224"/>
      <c r="N931" s="564"/>
      <c r="S931" s="52"/>
      <c r="T931" s="52"/>
      <c r="U931" s="52"/>
      <c r="V931" s="4199"/>
      <c r="W931" s="3262"/>
      <c r="X931" s="3262"/>
      <c r="Y931" s="3265">
        <v>3.4119999999999999</v>
      </c>
      <c r="Z931" s="3262">
        <v>3.4119999999999999</v>
      </c>
      <c r="AA931" s="3262">
        <v>3.4119999999999999</v>
      </c>
      <c r="AB931" s="3262">
        <v>3.4119999999999999</v>
      </c>
      <c r="AC931" s="3262">
        <v>3.4119999999999999</v>
      </c>
      <c r="AD931" s="3262">
        <v>3.4119999999999999</v>
      </c>
      <c r="AE931" s="3284">
        <v>3.4119999999999999</v>
      </c>
      <c r="AF931" s="2236">
        <f t="shared" si="123"/>
        <v>3.4119999999999999</v>
      </c>
      <c r="AG931" s="1396"/>
      <c r="DG931" s="573"/>
      <c r="DH931" s="159"/>
      <c r="DI931" s="1091"/>
    </row>
    <row r="932" spans="1:113" hidden="1" outlineLevel="1">
      <c r="A932" s="453"/>
      <c r="C932" s="51"/>
      <c r="D932" s="4198"/>
      <c r="E932" s="4199"/>
      <c r="F932" s="4341" t="str">
        <f>F905</f>
        <v>Mini/MultiSplitASHP-Replace_CAC_NonElectricHeat_ER1_MF_CompE</v>
      </c>
      <c r="G932" s="4341"/>
      <c r="H932" s="4341"/>
      <c r="I932" s="3334" t="str">
        <f t="shared" si="133"/>
        <v>351753_2024_12_</v>
      </c>
      <c r="J932" s="3263">
        <f t="shared" si="134"/>
        <v>3.4119999999999999</v>
      </c>
      <c r="K932" s="3343"/>
      <c r="L932" s="3224"/>
      <c r="N932" s="564"/>
      <c r="S932" s="52"/>
      <c r="T932" s="52"/>
      <c r="U932" s="52"/>
      <c r="V932" s="4199"/>
      <c r="W932" s="3262"/>
      <c r="X932" s="3262"/>
      <c r="Y932" s="3265"/>
      <c r="Z932" s="3262"/>
      <c r="AA932" s="3262"/>
      <c r="AB932" s="3262"/>
      <c r="AC932" s="3262"/>
      <c r="AD932" s="3265">
        <v>3.4119999999999999</v>
      </c>
      <c r="AE932" s="3284">
        <v>3.4119999999999999</v>
      </c>
      <c r="AF932" s="2236">
        <f t="shared" si="123"/>
        <v>3.4119999999999999</v>
      </c>
      <c r="AG932" s="1396"/>
      <c r="DG932" s="573"/>
      <c r="DH932" s="159"/>
      <c r="DI932" s="1091"/>
    </row>
    <row r="933" spans="1:113" hidden="1" outlineLevel="1">
      <c r="A933" s="453"/>
      <c r="C933" s="51"/>
      <c r="D933" s="4198"/>
      <c r="E933" s="4199"/>
      <c r="F933" s="4341" t="str">
        <f>F906</f>
        <v>Mini/MultiSplitASHP-Replace_CAC_NonElectricHeat_ROF_MF_CompE</v>
      </c>
      <c r="G933" s="4341"/>
      <c r="H933" s="4341"/>
      <c r="I933" s="3334" t="str">
        <f t="shared" si="133"/>
        <v>351803_2024_12_</v>
      </c>
      <c r="J933" s="3263">
        <f t="shared" si="134"/>
        <v>3.4119999999999999</v>
      </c>
      <c r="K933" s="3343"/>
      <c r="L933" s="3224"/>
      <c r="N933" s="564"/>
      <c r="S933" s="52"/>
      <c r="T933" s="52"/>
      <c r="U933" s="52"/>
      <c r="V933" s="4199"/>
      <c r="W933" s="3262"/>
      <c r="X933" s="3262"/>
      <c r="Y933" s="3265"/>
      <c r="Z933" s="3262"/>
      <c r="AA933" s="3262"/>
      <c r="AB933" s="3262"/>
      <c r="AC933" s="3262"/>
      <c r="AD933" s="3265">
        <v>3.4119999999999999</v>
      </c>
      <c r="AE933" s="3284">
        <v>3.4119999999999999</v>
      </c>
      <c r="AF933" s="2236">
        <f t="shared" si="123"/>
        <v>3.4119999999999999</v>
      </c>
      <c r="AG933" s="1396"/>
      <c r="DG933" s="573"/>
      <c r="DH933" s="159"/>
      <c r="DI933" s="1091"/>
    </row>
    <row r="934" spans="1:113" hidden="1" outlineLevel="1">
      <c r="A934" s="453"/>
      <c r="C934" s="51"/>
      <c r="D934" s="4198"/>
      <c r="E934" s="4199"/>
      <c r="F934" s="4341" t="str">
        <f t="shared" ref="F934:F940" si="135">F907</f>
        <v>Mini/MultiSplitASHP_ER1_MF_CompE</v>
      </c>
      <c r="G934" s="4341"/>
      <c r="H934" s="4341"/>
      <c r="I934" s="3334" t="str">
        <f t="shared" ref="I934:I942" si="136">I907</f>
        <v>351851_2024_12_</v>
      </c>
      <c r="J934" s="3344">
        <f>J916</f>
        <v>6.58</v>
      </c>
      <c r="K934" s="3343"/>
      <c r="L934" s="3346" t="s">
        <v>2055</v>
      </c>
      <c r="N934" s="564"/>
      <c r="S934" s="52"/>
      <c r="T934" s="52"/>
      <c r="U934" s="52"/>
      <c r="V934" s="4199"/>
      <c r="W934" s="3262"/>
      <c r="X934" s="3262"/>
      <c r="Y934" s="3265">
        <v>5.44</v>
      </c>
      <c r="Z934" s="3262">
        <v>5.44</v>
      </c>
      <c r="AA934" s="3262">
        <v>5.44</v>
      </c>
      <c r="AB934" s="3262">
        <v>5.44</v>
      </c>
      <c r="AC934" s="3262">
        <v>5.44</v>
      </c>
      <c r="AD934" s="3262">
        <v>5.44</v>
      </c>
      <c r="AE934" s="3284">
        <v>5.44</v>
      </c>
      <c r="AF934" s="2236">
        <f t="shared" si="123"/>
        <v>6.58</v>
      </c>
      <c r="AG934" s="1396"/>
      <c r="DG934" s="573"/>
      <c r="DH934" s="159"/>
      <c r="DI934" s="1091"/>
    </row>
    <row r="935" spans="1:113" hidden="1" outlineLevel="1">
      <c r="A935" s="453"/>
      <c r="C935" s="51"/>
      <c r="D935" s="4294" t="s">
        <v>2056</v>
      </c>
      <c r="E935" s="4293" t="s">
        <v>2057</v>
      </c>
      <c r="F935" s="4342" t="str">
        <f t="shared" si="135"/>
        <v>Mini/MultiSplitAC_ER1_SF</v>
      </c>
      <c r="G935" s="4342"/>
      <c r="H935" s="4342"/>
      <c r="I935" s="929" t="str">
        <f t="shared" si="136"/>
        <v>351200_2024_12_</v>
      </c>
      <c r="J935" s="1772">
        <v>0</v>
      </c>
      <c r="K935" s="13"/>
      <c r="L935" s="929" t="s">
        <v>2032</v>
      </c>
      <c r="N935" s="564"/>
      <c r="O935" s="946"/>
      <c r="S935" s="52"/>
      <c r="T935" s="52"/>
      <c r="U935" s="52"/>
      <c r="V935" s="4293" t="s">
        <v>582</v>
      </c>
      <c r="W935" s="1396">
        <v>0</v>
      </c>
      <c r="X935" s="1396">
        <v>0</v>
      </c>
      <c r="Y935" s="833">
        <v>0</v>
      </c>
      <c r="Z935" s="1396">
        <v>0</v>
      </c>
      <c r="AA935" s="1396">
        <v>0</v>
      </c>
      <c r="AB935" s="1405">
        <v>0</v>
      </c>
      <c r="AC935" s="741">
        <v>0</v>
      </c>
      <c r="AD935" s="741">
        <v>0</v>
      </c>
      <c r="AE935" s="1043">
        <v>0</v>
      </c>
      <c r="AF935" s="271">
        <f t="shared" si="123"/>
        <v>0</v>
      </c>
      <c r="AG935" s="1396"/>
      <c r="DG935" s="573"/>
      <c r="DH935" s="159"/>
      <c r="DI935" s="1091"/>
    </row>
    <row r="936" spans="1:113" hidden="1" outlineLevel="1">
      <c r="A936" s="453"/>
      <c r="C936" s="51"/>
      <c r="D936" s="4294"/>
      <c r="E936" s="4293"/>
      <c r="F936" s="4342" t="str">
        <f t="shared" si="135"/>
        <v>Mini/MultiSplitAC_ROF_SF</v>
      </c>
      <c r="G936" s="4342"/>
      <c r="H936" s="4342"/>
      <c r="I936" s="929" t="str">
        <f t="shared" si="136"/>
        <v>351250_2024_12_</v>
      </c>
      <c r="J936" s="1772">
        <v>0</v>
      </c>
      <c r="K936" s="1761"/>
      <c r="L936" s="1760" t="s">
        <v>2032</v>
      </c>
      <c r="N936" s="564"/>
      <c r="O936" s="946"/>
      <c r="S936" s="52"/>
      <c r="T936" s="52"/>
      <c r="U936" s="52"/>
      <c r="V936" s="4293"/>
      <c r="W936" s="1396">
        <v>0</v>
      </c>
      <c r="X936" s="1396">
        <v>0</v>
      </c>
      <c r="Y936" s="833">
        <v>0</v>
      </c>
      <c r="Z936" s="1396">
        <v>0</v>
      </c>
      <c r="AA936" s="1396">
        <v>0</v>
      </c>
      <c r="AB936" s="1405">
        <v>0</v>
      </c>
      <c r="AC936" s="741">
        <v>0</v>
      </c>
      <c r="AD936" s="741">
        <v>0</v>
      </c>
      <c r="AE936" s="1043">
        <v>0</v>
      </c>
      <c r="AF936" s="271">
        <f t="shared" si="123"/>
        <v>0</v>
      </c>
      <c r="AG936" s="1396"/>
      <c r="DG936" s="573"/>
      <c r="DH936" s="159"/>
      <c r="DI936" s="1091"/>
    </row>
    <row r="937" spans="1:113" hidden="1" outlineLevel="1">
      <c r="A937" s="453"/>
      <c r="C937" s="51"/>
      <c r="D937" s="4294"/>
      <c r="E937" s="4293"/>
      <c r="F937" s="4342" t="str">
        <f t="shared" si="135"/>
        <v>Mini/MultiSplitASHP_ROF_SF_NC</v>
      </c>
      <c r="G937" s="4342"/>
      <c r="H937" s="4342"/>
      <c r="I937" s="929" t="str">
        <f t="shared" si="136"/>
        <v>351300_2024_12_</v>
      </c>
      <c r="J937" s="1772">
        <v>11.370854271356771</v>
      </c>
      <c r="K937" s="1761"/>
      <c r="L937" s="1759" t="s">
        <v>1934</v>
      </c>
      <c r="N937" s="564"/>
      <c r="O937" s="946"/>
      <c r="S937" s="52"/>
      <c r="T937" s="52"/>
      <c r="U937" s="52"/>
      <c r="V937" s="4293"/>
      <c r="W937" s="1396">
        <v>11.4</v>
      </c>
      <c r="X937" s="833">
        <v>11.32</v>
      </c>
      <c r="Y937" s="833">
        <v>10.6</v>
      </c>
      <c r="Z937" s="1396">
        <v>10.6</v>
      </c>
      <c r="AA937" s="1396">
        <v>10.6</v>
      </c>
      <c r="AB937" s="1405">
        <v>10.6</v>
      </c>
      <c r="AC937" s="736">
        <v>11.342156862745099</v>
      </c>
      <c r="AD937" s="939">
        <v>11.420000000000002</v>
      </c>
      <c r="AE937" s="939">
        <v>11.370854271356771</v>
      </c>
      <c r="AF937" s="271">
        <f t="shared" si="123"/>
        <v>11.370854271356771</v>
      </c>
      <c r="AG937" s="1396"/>
      <c r="DG937" s="573"/>
      <c r="DH937" s="159"/>
      <c r="DI937" s="1091"/>
    </row>
    <row r="938" spans="1:113" hidden="1" outlineLevel="1">
      <c r="A938" s="453"/>
      <c r="C938" s="51"/>
      <c r="D938" s="4294"/>
      <c r="E938" s="4293"/>
      <c r="F938" s="4342" t="str">
        <f t="shared" si="135"/>
        <v>Mini/MultiSplitASHP_ROF_SF</v>
      </c>
      <c r="G938" s="4342"/>
      <c r="H938" s="4342"/>
      <c r="I938" s="929" t="str">
        <f t="shared" si="136"/>
        <v>351350_2024_12_</v>
      </c>
      <c r="J938" s="1772">
        <v>11.370854271356771</v>
      </c>
      <c r="K938" s="1761"/>
      <c r="L938" s="1759" t="s">
        <v>1934</v>
      </c>
      <c r="N938" s="564"/>
      <c r="O938" s="946"/>
      <c r="S938" s="52"/>
      <c r="T938" s="52"/>
      <c r="U938" s="52"/>
      <c r="V938" s="4293"/>
      <c r="W938" s="1396">
        <v>11.4</v>
      </c>
      <c r="X938" s="833">
        <v>11.32</v>
      </c>
      <c r="Y938" s="833">
        <v>10.6</v>
      </c>
      <c r="Z938" s="1396">
        <v>10.6</v>
      </c>
      <c r="AA938" s="1396">
        <v>10.6</v>
      </c>
      <c r="AB938" s="736">
        <v>11.003896103896107</v>
      </c>
      <c r="AC938" s="736">
        <v>11.835714285714287</v>
      </c>
      <c r="AD938" s="939">
        <v>11.420000000000002</v>
      </c>
      <c r="AE938" s="939">
        <v>11.370854271356771</v>
      </c>
      <c r="AF938" s="271">
        <f t="shared" si="123"/>
        <v>11.370854271356771</v>
      </c>
      <c r="AG938" s="1396"/>
      <c r="DG938" s="573"/>
      <c r="DH938" s="159"/>
      <c r="DI938" s="1091"/>
    </row>
    <row r="939" spans="1:113" hidden="1" outlineLevel="1">
      <c r="A939" s="453"/>
      <c r="C939" s="51"/>
      <c r="D939" s="4294"/>
      <c r="E939" s="4293"/>
      <c r="F939" s="4342" t="str">
        <f t="shared" si="135"/>
        <v>Mini/MultiSplitASHP-Replace_CAC_ElectricHeat_ER1_SF</v>
      </c>
      <c r="G939" s="4342"/>
      <c r="H939" s="4342"/>
      <c r="I939" s="929" t="str">
        <f t="shared" si="136"/>
        <v>351400_2024_12_</v>
      </c>
      <c r="J939" s="1772">
        <v>11.185185185185182</v>
      </c>
      <c r="K939" s="1761"/>
      <c r="L939" s="1759" t="s">
        <v>1934</v>
      </c>
      <c r="N939" s="564"/>
      <c r="O939" s="946"/>
      <c r="S939" s="52"/>
      <c r="T939" s="52"/>
      <c r="U939" s="52"/>
      <c r="V939" s="4293"/>
      <c r="W939" s="1396">
        <v>11.7</v>
      </c>
      <c r="X939" s="833">
        <v>11.32</v>
      </c>
      <c r="Y939" s="833">
        <v>11.4</v>
      </c>
      <c r="Z939" s="1396">
        <v>11.4</v>
      </c>
      <c r="AA939" s="1396">
        <v>11.4</v>
      </c>
      <c r="AB939" s="736">
        <v>9.4433000000000007</v>
      </c>
      <c r="AC939" s="736">
        <v>10.741860465116279</v>
      </c>
      <c r="AD939" s="939">
        <v>11.070754716981131</v>
      </c>
      <c r="AE939" s="939">
        <v>11.185185185185182</v>
      </c>
      <c r="AF939" s="271">
        <f t="shared" si="123"/>
        <v>11.185185185185182</v>
      </c>
      <c r="AG939" s="1396"/>
      <c r="DG939" s="573"/>
      <c r="DH939" s="159"/>
      <c r="DI939" s="1091"/>
    </row>
    <row r="940" spans="1:113" hidden="1" outlineLevel="1">
      <c r="A940" s="453"/>
      <c r="C940" s="51"/>
      <c r="D940" s="4294"/>
      <c r="E940" s="4293"/>
      <c r="F940" s="4342" t="str">
        <f t="shared" si="135"/>
        <v>Mini/MultiSplitASHP-Replace_CAC_ElectricHeat_ROF_SF</v>
      </c>
      <c r="G940" s="4342"/>
      <c r="H940" s="4342"/>
      <c r="I940" s="929" t="str">
        <f t="shared" si="136"/>
        <v>351450_2024_12_</v>
      </c>
      <c r="J940" s="1772">
        <v>11.370854271356771</v>
      </c>
      <c r="K940" s="1761"/>
      <c r="L940" s="1759" t="s">
        <v>1934</v>
      </c>
      <c r="N940" s="564"/>
      <c r="O940" s="946"/>
      <c r="S940" s="52"/>
      <c r="T940" s="52"/>
      <c r="U940" s="52"/>
      <c r="V940" s="4293"/>
      <c r="W940" s="1396">
        <v>10.8</v>
      </c>
      <c r="X940" s="833">
        <v>11.32</v>
      </c>
      <c r="Y940" s="833">
        <v>11.4</v>
      </c>
      <c r="Z940" s="1396">
        <v>11.4</v>
      </c>
      <c r="AA940" s="1396">
        <v>11.4</v>
      </c>
      <c r="AB940" s="736">
        <v>11.226666666666667</v>
      </c>
      <c r="AC940" s="736">
        <v>11.1</v>
      </c>
      <c r="AD940" s="939">
        <v>11.420000000000002</v>
      </c>
      <c r="AE940" s="939">
        <v>11.370854271356771</v>
      </c>
      <c r="AF940" s="271">
        <f t="shared" si="123"/>
        <v>11.370854271356771</v>
      </c>
      <c r="AG940" s="1396"/>
      <c r="DG940" s="573"/>
      <c r="DH940" s="159"/>
      <c r="DI940" s="1091"/>
    </row>
    <row r="941" spans="1:113" hidden="1" outlineLevel="1">
      <c r="A941" s="453"/>
      <c r="C941" s="51"/>
      <c r="D941" s="4294"/>
      <c r="E941" s="4293"/>
      <c r="F941" s="4342" t="str">
        <f>F914</f>
        <v>Mini/MultiSplitASHP-Replace_CAC_NonElectricHeat_ER1_SF</v>
      </c>
      <c r="G941" s="4342"/>
      <c r="H941" s="4342"/>
      <c r="I941" s="929" t="str">
        <f t="shared" si="136"/>
        <v>351401_2024_12_</v>
      </c>
      <c r="J941" s="1772">
        <v>11.185185185185182</v>
      </c>
      <c r="K941" s="1761"/>
      <c r="L941" s="1759" t="s">
        <v>1934</v>
      </c>
      <c r="N941" s="564"/>
      <c r="O941" s="946"/>
      <c r="S941" s="52"/>
      <c r="T941" s="52"/>
      <c r="U941" s="52"/>
      <c r="V941" s="4293"/>
      <c r="W941" s="1396"/>
      <c r="X941" s="833"/>
      <c r="Y941" s="833"/>
      <c r="Z941" s="1396"/>
      <c r="AA941" s="1396"/>
      <c r="AB941" s="736"/>
      <c r="AC941" s="736"/>
      <c r="AD941" s="939">
        <v>11.070754716981131</v>
      </c>
      <c r="AE941" s="939">
        <v>11.185185185185182</v>
      </c>
      <c r="AF941" s="271">
        <f t="shared" si="123"/>
        <v>11.185185185185182</v>
      </c>
      <c r="AG941" s="1396"/>
      <c r="DG941" s="573"/>
      <c r="DH941" s="159"/>
      <c r="DI941" s="1091"/>
    </row>
    <row r="942" spans="1:113" hidden="1" outlineLevel="1">
      <c r="A942" s="453"/>
      <c r="C942" s="51"/>
      <c r="D942" s="4294"/>
      <c r="E942" s="4293"/>
      <c r="F942" s="4342" t="str">
        <f>F915</f>
        <v>Mini/MultiSplitASHP-Replace_CAC_NonElectricHeat_ROF_SF</v>
      </c>
      <c r="G942" s="4342"/>
      <c r="H942" s="4342"/>
      <c r="I942" s="929" t="str">
        <f t="shared" si="136"/>
        <v>351451_2024_12_</v>
      </c>
      <c r="J942" s="1772">
        <v>11.370854271356771</v>
      </c>
      <c r="K942" s="1761"/>
      <c r="L942" s="1759" t="s">
        <v>1934</v>
      </c>
      <c r="N942" s="564"/>
      <c r="O942" s="946"/>
      <c r="S942" s="52"/>
      <c r="T942" s="52"/>
      <c r="U942" s="52"/>
      <c r="V942" s="4293"/>
      <c r="W942" s="1396"/>
      <c r="X942" s="833"/>
      <c r="Y942" s="833"/>
      <c r="Z942" s="1396"/>
      <c r="AA942" s="1396"/>
      <c r="AB942" s="736"/>
      <c r="AC942" s="736"/>
      <c r="AD942" s="939">
        <v>11.420000000000002</v>
      </c>
      <c r="AE942" s="939">
        <v>11.370854271356771</v>
      </c>
      <c r="AF942" s="271">
        <f t="shared" si="123"/>
        <v>11.370854271356771</v>
      </c>
      <c r="AG942" s="1396"/>
      <c r="DG942" s="573"/>
      <c r="DH942" s="159"/>
      <c r="DI942" s="1091"/>
    </row>
    <row r="943" spans="1:113" hidden="1" outlineLevel="1">
      <c r="A943" s="453"/>
      <c r="C943" s="51"/>
      <c r="D943" s="4294"/>
      <c r="E943" s="4293"/>
      <c r="F943" s="4342" t="str">
        <f t="shared" ref="F943:F949" si="137">F916</f>
        <v>Mini/MultiSplitASHP_ER1_SF</v>
      </c>
      <c r="G943" s="4342"/>
      <c r="H943" s="4342"/>
      <c r="I943" s="929" t="str">
        <f t="shared" ref="I943:I951" si="138">I916</f>
        <v>351500_2024_12_</v>
      </c>
      <c r="J943" s="1772">
        <v>11.185185185185182</v>
      </c>
      <c r="K943" s="1761"/>
      <c r="L943" s="1759" t="s">
        <v>1934</v>
      </c>
      <c r="N943" s="564"/>
      <c r="O943" s="946"/>
      <c r="S943" s="52"/>
      <c r="T943" s="52"/>
      <c r="U943" s="52"/>
      <c r="V943" s="4293"/>
      <c r="W943" s="1396">
        <v>11.4</v>
      </c>
      <c r="X943" s="833">
        <v>11.32</v>
      </c>
      <c r="Y943" s="833">
        <v>12.6</v>
      </c>
      <c r="Z943" s="1396">
        <v>12.6</v>
      </c>
      <c r="AA943" s="1396">
        <v>12.6</v>
      </c>
      <c r="AB943" s="736">
        <v>8.3625000000000007</v>
      </c>
      <c r="AC943" s="736">
        <v>10.93</v>
      </c>
      <c r="AD943" s="939">
        <v>11.070754716981131</v>
      </c>
      <c r="AE943" s="939">
        <v>11.185185185185182</v>
      </c>
      <c r="AF943" s="271">
        <f t="shared" si="123"/>
        <v>11.185185185185182</v>
      </c>
      <c r="AG943" s="1396"/>
      <c r="DG943" s="573"/>
      <c r="DH943" s="159"/>
      <c r="DI943" s="1091"/>
    </row>
    <row r="944" spans="1:113" hidden="1" outlineLevel="1">
      <c r="A944" s="453"/>
      <c r="C944" s="51"/>
      <c r="D944" s="4294"/>
      <c r="E944" s="4293"/>
      <c r="F944" s="4342" t="str">
        <f t="shared" si="137"/>
        <v>Mini/MultiSplitAC_ER1_MF</v>
      </c>
      <c r="G944" s="4342"/>
      <c r="H944" s="4342"/>
      <c r="I944" s="929" t="str">
        <f t="shared" si="138"/>
        <v>351550_2024_12_</v>
      </c>
      <c r="J944" s="1772">
        <f>J935</f>
        <v>0</v>
      </c>
      <c r="K944" s="1761"/>
      <c r="L944" s="1760" t="s">
        <v>2032</v>
      </c>
      <c r="N944" s="564"/>
      <c r="O944" s="946"/>
      <c r="S944" s="52"/>
      <c r="T944" s="52"/>
      <c r="U944" s="52"/>
      <c r="V944" s="4293"/>
      <c r="W944" s="1396"/>
      <c r="X944" s="833"/>
      <c r="Y944" s="833">
        <v>0</v>
      </c>
      <c r="Z944" s="1396">
        <v>0</v>
      </c>
      <c r="AA944" s="1396">
        <v>0</v>
      </c>
      <c r="AB944" s="1405">
        <v>0</v>
      </c>
      <c r="AC944" s="741">
        <v>0</v>
      </c>
      <c r="AD944" s="741">
        <v>0</v>
      </c>
      <c r="AE944" s="1043">
        <v>0</v>
      </c>
      <c r="AF944" s="271">
        <f t="shared" si="123"/>
        <v>0</v>
      </c>
      <c r="AG944" s="1396"/>
      <c r="DG944" s="573"/>
      <c r="DH944" s="159"/>
      <c r="DI944" s="1091"/>
    </row>
    <row r="945" spans="1:113" hidden="1" outlineLevel="1">
      <c r="A945" s="453"/>
      <c r="C945" s="51"/>
      <c r="D945" s="4294"/>
      <c r="E945" s="4293"/>
      <c r="F945" s="4341" t="str">
        <f t="shared" si="137"/>
        <v>Mini/MultiSplitAC_ROF_MF</v>
      </c>
      <c r="G945" s="4341"/>
      <c r="H945" s="4341"/>
      <c r="I945" s="3334" t="str">
        <f t="shared" si="138"/>
        <v>351600_2024_12_</v>
      </c>
      <c r="J945" s="3289">
        <f>J936</f>
        <v>0</v>
      </c>
      <c r="K945" s="3343"/>
      <c r="L945" s="3338" t="s">
        <v>2032</v>
      </c>
      <c r="N945" s="564"/>
      <c r="O945" s="946"/>
      <c r="S945" s="52"/>
      <c r="T945" s="52"/>
      <c r="U945" s="52"/>
      <c r="V945" s="4293"/>
      <c r="W945" s="3262"/>
      <c r="X945" s="3265"/>
      <c r="Y945" s="3265">
        <v>0</v>
      </c>
      <c r="Z945" s="3262">
        <v>0</v>
      </c>
      <c r="AA945" s="3262">
        <v>0</v>
      </c>
      <c r="AB945" s="3284">
        <v>0</v>
      </c>
      <c r="AC945" s="3288">
        <v>0</v>
      </c>
      <c r="AD945" s="3288">
        <v>0</v>
      </c>
      <c r="AE945" s="3292">
        <v>0</v>
      </c>
      <c r="AF945" s="2236">
        <f t="shared" si="123"/>
        <v>0</v>
      </c>
      <c r="AG945" s="1396"/>
      <c r="DG945" s="573"/>
      <c r="DH945" s="159"/>
      <c r="DI945" s="1091"/>
    </row>
    <row r="946" spans="1:113" hidden="1" outlineLevel="1">
      <c r="A946" s="453"/>
      <c r="C946" s="51"/>
      <c r="D946" s="4294"/>
      <c r="E946" s="4293"/>
      <c r="F946" s="4341" t="str">
        <f t="shared" si="137"/>
        <v>Mini/MultiSplitASHP_ROF_MF_NC</v>
      </c>
      <c r="G946" s="4341"/>
      <c r="H946" s="4341"/>
      <c r="I946" s="3334" t="str">
        <f t="shared" si="138"/>
        <v>351650_2024_12_</v>
      </c>
      <c r="J946" s="3289">
        <v>9.863636363636358</v>
      </c>
      <c r="K946" s="3343"/>
      <c r="L946" s="3272" t="s">
        <v>1934</v>
      </c>
      <c r="N946" s="564"/>
      <c r="O946" s="946"/>
      <c r="S946" s="52"/>
      <c r="T946" s="52"/>
      <c r="U946" s="52"/>
      <c r="V946" s="4293"/>
      <c r="W946" s="3262"/>
      <c r="X946" s="3265"/>
      <c r="Y946" s="3265">
        <v>10.6</v>
      </c>
      <c r="Z946" s="3262">
        <v>10.6</v>
      </c>
      <c r="AA946" s="3262">
        <v>10.6</v>
      </c>
      <c r="AB946" s="3284">
        <v>10.6</v>
      </c>
      <c r="AC946" s="3282">
        <v>11.342156862745099</v>
      </c>
      <c r="AD946" s="3290">
        <v>12.5</v>
      </c>
      <c r="AE946" s="3290">
        <v>9.863636363636358</v>
      </c>
      <c r="AF946" s="2236">
        <f t="shared" si="123"/>
        <v>9.863636363636358</v>
      </c>
      <c r="AG946" s="1396"/>
      <c r="DG946" s="573"/>
      <c r="DH946" s="159"/>
      <c r="DI946" s="1091"/>
    </row>
    <row r="947" spans="1:113" hidden="1" outlineLevel="1">
      <c r="A947" s="453"/>
      <c r="C947" s="51"/>
      <c r="D947" s="4294"/>
      <c r="E947" s="4293"/>
      <c r="F947" s="4341" t="str">
        <f t="shared" si="137"/>
        <v>Mini/MultiSplitASHP_ROF_MF</v>
      </c>
      <c r="G947" s="4341"/>
      <c r="H947" s="4341"/>
      <c r="I947" s="3334" t="str">
        <f t="shared" si="138"/>
        <v>351700_2024_12_</v>
      </c>
      <c r="J947" s="3289">
        <f>J946</f>
        <v>9.863636363636358</v>
      </c>
      <c r="K947" s="3343"/>
      <c r="L947" s="3272" t="s">
        <v>1934</v>
      </c>
      <c r="N947" s="564"/>
      <c r="O947" s="946"/>
      <c r="S947" s="52"/>
      <c r="T947" s="52"/>
      <c r="U947" s="52"/>
      <c r="V947" s="4293"/>
      <c r="W947" s="3262"/>
      <c r="X947" s="3265"/>
      <c r="Y947" s="3265">
        <v>10.6</v>
      </c>
      <c r="Z947" s="3262">
        <v>10.6</v>
      </c>
      <c r="AA947" s="3262">
        <v>10.6</v>
      </c>
      <c r="AB947" s="3282">
        <v>11.003896103896107</v>
      </c>
      <c r="AC947" s="3282">
        <v>11.835714285714287</v>
      </c>
      <c r="AD947" s="3290">
        <v>12.5</v>
      </c>
      <c r="AE947" s="3290">
        <v>9.863636363636358</v>
      </c>
      <c r="AF947" s="2236">
        <f t="shared" si="123"/>
        <v>9.863636363636358</v>
      </c>
      <c r="AG947" s="1396"/>
      <c r="DG947" s="573"/>
      <c r="DH947" s="159"/>
      <c r="DI947" s="1091"/>
    </row>
    <row r="948" spans="1:113" hidden="1" outlineLevel="1">
      <c r="A948" s="453"/>
      <c r="C948" s="51"/>
      <c r="D948" s="4294"/>
      <c r="E948" s="4293"/>
      <c r="F948" s="4341" t="str">
        <f t="shared" si="137"/>
        <v>Mini/MultiSplitASHP-Replace_CAC_ElectricHeat_ER1_MF</v>
      </c>
      <c r="G948" s="4341"/>
      <c r="H948" s="4341"/>
      <c r="I948" s="3334" t="str">
        <f t="shared" si="138"/>
        <v>351750_2024_12_</v>
      </c>
      <c r="J948" s="3289">
        <v>12.5</v>
      </c>
      <c r="K948" s="3343"/>
      <c r="L948" s="3338" t="s">
        <v>2046</v>
      </c>
      <c r="N948" s="564"/>
      <c r="O948" s="946"/>
      <c r="S948" s="52"/>
      <c r="T948" s="52"/>
      <c r="U948" s="52"/>
      <c r="V948" s="4293"/>
      <c r="W948" s="3262"/>
      <c r="X948" s="3265"/>
      <c r="Y948" s="3265">
        <v>11.4</v>
      </c>
      <c r="Z948" s="3262">
        <v>11.4</v>
      </c>
      <c r="AA948" s="3262">
        <v>11.4</v>
      </c>
      <c r="AB948" s="3282">
        <v>9.4433000000000007</v>
      </c>
      <c r="AC948" s="3282">
        <v>10.741860465116279</v>
      </c>
      <c r="AD948" s="3288">
        <v>12.5</v>
      </c>
      <c r="AE948" s="3292">
        <v>12.5</v>
      </c>
      <c r="AF948" s="2236">
        <f t="shared" si="123"/>
        <v>12.5</v>
      </c>
      <c r="AG948" s="1396"/>
      <c r="DG948" s="573"/>
      <c r="DH948" s="159"/>
      <c r="DI948" s="1091"/>
    </row>
    <row r="949" spans="1:113" hidden="1" outlineLevel="1">
      <c r="A949" s="453"/>
      <c r="C949" s="51"/>
      <c r="D949" s="4294"/>
      <c r="E949" s="4293"/>
      <c r="F949" s="4341" t="str">
        <f t="shared" si="137"/>
        <v>Mini/MultiSplitASHP-Replace_CAC_ElectricHeat_ROF_MF</v>
      </c>
      <c r="G949" s="4341"/>
      <c r="H949" s="4341"/>
      <c r="I949" s="3334" t="str">
        <f t="shared" si="138"/>
        <v>351800_2024_12_</v>
      </c>
      <c r="J949" s="3289">
        <f>J947</f>
        <v>9.863636363636358</v>
      </c>
      <c r="K949" s="3343"/>
      <c r="L949" s="3272" t="s">
        <v>1934</v>
      </c>
      <c r="N949" s="564"/>
      <c r="O949" s="946"/>
      <c r="S949" s="52"/>
      <c r="T949" s="52"/>
      <c r="U949" s="52"/>
      <c r="V949" s="4293"/>
      <c r="W949" s="3262"/>
      <c r="X949" s="3265"/>
      <c r="Y949" s="3265">
        <v>11.4</v>
      </c>
      <c r="Z949" s="3262">
        <v>11.4</v>
      </c>
      <c r="AA949" s="3262">
        <v>11.4</v>
      </c>
      <c r="AB949" s="3282">
        <v>11.226666666666667</v>
      </c>
      <c r="AC949" s="3282">
        <v>11.1</v>
      </c>
      <c r="AD949" s="3288">
        <v>12.5</v>
      </c>
      <c r="AE949" s="3290">
        <v>9.863636363636358</v>
      </c>
      <c r="AF949" s="2236">
        <f t="shared" si="123"/>
        <v>9.863636363636358</v>
      </c>
      <c r="AG949" s="1396"/>
      <c r="DG949" s="573"/>
      <c r="DH949" s="159"/>
      <c r="DI949" s="1091"/>
    </row>
    <row r="950" spans="1:113" hidden="1" outlineLevel="1">
      <c r="A950" s="453"/>
      <c r="C950" s="51"/>
      <c r="D950" s="4294"/>
      <c r="E950" s="4293"/>
      <c r="F950" s="4341" t="str">
        <f>F923</f>
        <v>Mini/MultiSplitASHP-Replace_CAC_NonElectricHeat_ER1_MF</v>
      </c>
      <c r="G950" s="4341"/>
      <c r="H950" s="4341"/>
      <c r="I950" s="3334" t="str">
        <f t="shared" si="138"/>
        <v>351752_2024_12_</v>
      </c>
      <c r="J950" s="3289">
        <v>12.5</v>
      </c>
      <c r="K950" s="3343"/>
      <c r="L950" s="3338" t="s">
        <v>1945</v>
      </c>
      <c r="N950" s="564"/>
      <c r="O950" s="946"/>
      <c r="S950" s="52"/>
      <c r="T950" s="52"/>
      <c r="U950" s="52"/>
      <c r="V950" s="4293"/>
      <c r="W950" s="3262"/>
      <c r="X950" s="3265"/>
      <c r="Y950" s="3265"/>
      <c r="Z950" s="3262"/>
      <c r="AA950" s="3262"/>
      <c r="AB950" s="3282"/>
      <c r="AC950" s="3282"/>
      <c r="AD950" s="3282">
        <v>12.5</v>
      </c>
      <c r="AE950" s="3292">
        <v>12.5</v>
      </c>
      <c r="AF950" s="2236">
        <f t="shared" si="123"/>
        <v>12.5</v>
      </c>
      <c r="AG950" s="1396"/>
      <c r="DG950" s="573"/>
      <c r="DH950" s="159"/>
      <c r="DI950" s="1091"/>
    </row>
    <row r="951" spans="1:113" hidden="1" outlineLevel="1">
      <c r="A951" s="453"/>
      <c r="C951" s="51"/>
      <c r="D951" s="4294"/>
      <c r="E951" s="4293"/>
      <c r="F951" s="4341" t="str">
        <f>F924</f>
        <v>Mini/MultiSplitASHP-Replace_CAC_NonElectricHeat_ROF_MF</v>
      </c>
      <c r="G951" s="4341"/>
      <c r="H951" s="4341"/>
      <c r="I951" s="3334" t="str">
        <f t="shared" si="138"/>
        <v>351802_2024_12_</v>
      </c>
      <c r="J951" s="3289">
        <f>J949</f>
        <v>9.863636363636358</v>
      </c>
      <c r="K951" s="3343"/>
      <c r="L951" s="3272" t="s">
        <v>1934</v>
      </c>
      <c r="N951" s="564"/>
      <c r="O951" s="946"/>
      <c r="S951" s="52"/>
      <c r="T951" s="52"/>
      <c r="U951" s="52"/>
      <c r="V951" s="4293"/>
      <c r="W951" s="3262"/>
      <c r="X951" s="3265"/>
      <c r="Y951" s="3265"/>
      <c r="Z951" s="3262"/>
      <c r="AA951" s="3262"/>
      <c r="AB951" s="3282"/>
      <c r="AC951" s="3282"/>
      <c r="AD951" s="3282">
        <v>12.5</v>
      </c>
      <c r="AE951" s="3290">
        <v>9.863636363636358</v>
      </c>
      <c r="AF951" s="2236">
        <f t="shared" si="123"/>
        <v>9.863636363636358</v>
      </c>
      <c r="AG951" s="1396"/>
      <c r="DG951" s="573"/>
      <c r="DH951" s="159"/>
      <c r="DI951" s="1091"/>
    </row>
    <row r="952" spans="1:113" hidden="1" outlineLevel="1">
      <c r="A952" s="453"/>
      <c r="C952" s="51"/>
      <c r="D952" s="4294"/>
      <c r="E952" s="4293"/>
      <c r="F952" s="4341" t="str">
        <f t="shared" ref="F952:F958" si="139">F925</f>
        <v>Mini/MultiSplitASHP_ER1_MF</v>
      </c>
      <c r="G952" s="4341"/>
      <c r="H952" s="4341"/>
      <c r="I952" s="3334" t="str">
        <f t="shared" ref="I952:I960" si="140">I925</f>
        <v>351850_2024_12_</v>
      </c>
      <c r="J952" s="3289">
        <v>12.5</v>
      </c>
      <c r="K952" s="3343"/>
      <c r="L952" s="3338" t="s">
        <v>2046</v>
      </c>
      <c r="N952" s="564"/>
      <c r="O952" s="946"/>
      <c r="S952" s="52"/>
      <c r="T952" s="52"/>
      <c r="U952" s="52"/>
      <c r="V952" s="4293"/>
      <c r="W952" s="3262"/>
      <c r="X952" s="3265"/>
      <c r="Y952" s="3265">
        <v>12.6</v>
      </c>
      <c r="Z952" s="3262">
        <v>12.6</v>
      </c>
      <c r="AA952" s="3262">
        <v>12.6</v>
      </c>
      <c r="AB952" s="3282">
        <v>8.3625000000000007</v>
      </c>
      <c r="AC952" s="3282">
        <v>10.93</v>
      </c>
      <c r="AD952" s="3282">
        <v>12.5</v>
      </c>
      <c r="AE952" s="3292">
        <v>12.5</v>
      </c>
      <c r="AF952" s="2236">
        <f t="shared" si="123"/>
        <v>12.5</v>
      </c>
      <c r="AG952" s="1396"/>
      <c r="DG952" s="573"/>
      <c r="DH952" s="159"/>
      <c r="DI952" s="1091"/>
    </row>
    <row r="953" spans="1:113" hidden="1" outlineLevel="1">
      <c r="A953" s="453"/>
      <c r="C953" s="51"/>
      <c r="D953" s="4294"/>
      <c r="E953" s="4293"/>
      <c r="F953" s="4341" t="str">
        <f t="shared" si="139"/>
        <v>Mini/MultiSplitAC_ER1_MF_CompE</v>
      </c>
      <c r="G953" s="4341"/>
      <c r="H953" s="4341"/>
      <c r="I953" s="3334" t="str">
        <f t="shared" si="140"/>
        <v>351551_2024_12_</v>
      </c>
      <c r="J953" s="3289">
        <v>0</v>
      </c>
      <c r="K953" s="3343"/>
      <c r="L953" s="3338" t="s">
        <v>2032</v>
      </c>
      <c r="N953" s="564"/>
      <c r="O953" s="946"/>
      <c r="S953" s="52"/>
      <c r="T953" s="52"/>
      <c r="U953" s="52"/>
      <c r="V953" s="4293"/>
      <c r="W953" s="3262"/>
      <c r="X953" s="3265"/>
      <c r="Y953" s="3265">
        <v>0</v>
      </c>
      <c r="Z953" s="3262">
        <v>0</v>
      </c>
      <c r="AA953" s="3262">
        <v>0</v>
      </c>
      <c r="AB953" s="3284">
        <v>0</v>
      </c>
      <c r="AC953" s="3288">
        <v>0</v>
      </c>
      <c r="AD953" s="3288">
        <v>0</v>
      </c>
      <c r="AE953" s="3292">
        <v>0</v>
      </c>
      <c r="AF953" s="2236">
        <f t="shared" si="123"/>
        <v>0</v>
      </c>
      <c r="AG953" s="1396"/>
      <c r="DG953" s="573"/>
      <c r="DH953" s="159"/>
      <c r="DI953" s="1091"/>
    </row>
    <row r="954" spans="1:113" hidden="1" outlineLevel="1">
      <c r="A954" s="453"/>
      <c r="C954" s="51"/>
      <c r="D954" s="4294"/>
      <c r="E954" s="4293"/>
      <c r="F954" s="4341" t="str">
        <f t="shared" si="139"/>
        <v>Mini/MultiSplitAC_ROF_MF_CompE</v>
      </c>
      <c r="G954" s="4341"/>
      <c r="H954" s="4341"/>
      <c r="I954" s="3334" t="str">
        <f t="shared" si="140"/>
        <v>351601_2024_12_</v>
      </c>
      <c r="J954" s="3289">
        <v>0</v>
      </c>
      <c r="K954" s="3343"/>
      <c r="L954" s="3338" t="s">
        <v>2032</v>
      </c>
      <c r="N954" s="564"/>
      <c r="O954" s="946"/>
      <c r="S954" s="52"/>
      <c r="T954" s="52"/>
      <c r="U954" s="52"/>
      <c r="V954" s="4293"/>
      <c r="W954" s="3262"/>
      <c r="X954" s="3265"/>
      <c r="Y954" s="3265">
        <v>0</v>
      </c>
      <c r="Z954" s="3262">
        <v>0</v>
      </c>
      <c r="AA954" s="3262">
        <v>0</v>
      </c>
      <c r="AB954" s="3284">
        <v>0</v>
      </c>
      <c r="AC954" s="3288">
        <v>0</v>
      </c>
      <c r="AD954" s="3288">
        <v>0</v>
      </c>
      <c r="AE954" s="3292">
        <v>0</v>
      </c>
      <c r="AF954" s="2236">
        <f t="shared" si="123"/>
        <v>0</v>
      </c>
      <c r="AG954" s="1396"/>
      <c r="DG954" s="573"/>
      <c r="DH954" s="159"/>
      <c r="DI954" s="1091"/>
    </row>
    <row r="955" spans="1:113" hidden="1" outlineLevel="1">
      <c r="A955" s="453"/>
      <c r="C955" s="51"/>
      <c r="D955" s="4294"/>
      <c r="E955" s="4293"/>
      <c r="F955" s="4341" t="str">
        <f t="shared" si="139"/>
        <v>Mini/MultiSplitASHP_ROF_MF_NC_CompE</v>
      </c>
      <c r="G955" s="4341"/>
      <c r="H955" s="4341"/>
      <c r="I955" s="3334" t="str">
        <f t="shared" si="140"/>
        <v>351651_2024_12_</v>
      </c>
      <c r="J955" s="3289">
        <f t="shared" ref="J955:J961" si="141">J946</f>
        <v>9.863636363636358</v>
      </c>
      <c r="K955" s="3343"/>
      <c r="L955" s="3272" t="s">
        <v>1934</v>
      </c>
      <c r="N955" s="564"/>
      <c r="O955" s="946"/>
      <c r="S955" s="52"/>
      <c r="T955" s="52"/>
      <c r="U955" s="52"/>
      <c r="V955" s="4293"/>
      <c r="W955" s="3262"/>
      <c r="X955" s="3265"/>
      <c r="Y955" s="3265">
        <v>10.6</v>
      </c>
      <c r="Z955" s="3262">
        <v>10.6</v>
      </c>
      <c r="AA955" s="3262">
        <v>10.6</v>
      </c>
      <c r="AB955" s="3284">
        <v>10.6</v>
      </c>
      <c r="AC955" s="3282">
        <v>11.342156862745099</v>
      </c>
      <c r="AD955" s="3282">
        <v>12.5</v>
      </c>
      <c r="AE955" s="3290">
        <v>9.863636363636358</v>
      </c>
      <c r="AF955" s="2236">
        <f t="shared" ref="AF955:AF1018" si="142">IF(J955&lt;&gt;"",J955,"")</f>
        <v>9.863636363636358</v>
      </c>
      <c r="AG955" s="1396"/>
      <c r="DG955" s="573"/>
      <c r="DH955" s="159"/>
      <c r="DI955" s="1091"/>
    </row>
    <row r="956" spans="1:113" hidden="1" outlineLevel="1">
      <c r="A956" s="453"/>
      <c r="C956" s="51"/>
      <c r="D956" s="4294"/>
      <c r="E956" s="4293"/>
      <c r="F956" s="4341" t="str">
        <f t="shared" si="139"/>
        <v>Mini/MultiSplitASHP_ROF_MF_CompE</v>
      </c>
      <c r="G956" s="4341"/>
      <c r="H956" s="4341"/>
      <c r="I956" s="3334" t="str">
        <f t="shared" si="140"/>
        <v>351701_2024_12_</v>
      </c>
      <c r="J956" s="3289">
        <f t="shared" si="141"/>
        <v>9.863636363636358</v>
      </c>
      <c r="K956" s="3343"/>
      <c r="L956" s="3272" t="s">
        <v>1934</v>
      </c>
      <c r="N956" s="564"/>
      <c r="O956" s="946"/>
      <c r="S956" s="52"/>
      <c r="T956" s="52"/>
      <c r="U956" s="52"/>
      <c r="V956" s="4293"/>
      <c r="W956" s="3262"/>
      <c r="X956" s="3265"/>
      <c r="Y956" s="3265">
        <v>10.6</v>
      </c>
      <c r="Z956" s="3262">
        <v>10.6</v>
      </c>
      <c r="AA956" s="3262">
        <v>10.6</v>
      </c>
      <c r="AB956" s="3282">
        <v>11.003896103896107</v>
      </c>
      <c r="AC956" s="3282">
        <v>11.835714285714287</v>
      </c>
      <c r="AD956" s="3282">
        <v>12.5</v>
      </c>
      <c r="AE956" s="3290">
        <v>9.863636363636358</v>
      </c>
      <c r="AF956" s="2236">
        <f t="shared" si="142"/>
        <v>9.863636363636358</v>
      </c>
      <c r="AG956" s="1396"/>
      <c r="DG956" s="573"/>
      <c r="DH956" s="159"/>
      <c r="DI956" s="1091"/>
    </row>
    <row r="957" spans="1:113" hidden="1" outlineLevel="1">
      <c r="A957" s="453"/>
      <c r="C957" s="51"/>
      <c r="D957" s="4294"/>
      <c r="E957" s="4293"/>
      <c r="F957" s="4341" t="str">
        <f t="shared" si="139"/>
        <v>Mini/MultiSplitASHP-Replace_CAC_ElectricHeat_ER1_MF_CompE</v>
      </c>
      <c r="G957" s="4341"/>
      <c r="H957" s="4341"/>
      <c r="I957" s="3334" t="str">
        <f t="shared" si="140"/>
        <v>351751_2024_12_</v>
      </c>
      <c r="J957" s="3289">
        <v>12.5</v>
      </c>
      <c r="K957" s="3343"/>
      <c r="L957" s="3224" t="s">
        <v>2046</v>
      </c>
      <c r="N957" s="564"/>
      <c r="O957" s="946"/>
      <c r="S957" s="52"/>
      <c r="T957" s="52"/>
      <c r="U957" s="52"/>
      <c r="V957" s="4293"/>
      <c r="W957" s="3262"/>
      <c r="X957" s="3265"/>
      <c r="Y957" s="3265">
        <v>11.4</v>
      </c>
      <c r="Z957" s="3262">
        <v>11.4</v>
      </c>
      <c r="AA957" s="3262">
        <v>11.4</v>
      </c>
      <c r="AB957" s="3282">
        <v>9.4433000000000007</v>
      </c>
      <c r="AC957" s="3282">
        <v>10.741860465116279</v>
      </c>
      <c r="AD957" s="3282">
        <v>12.5</v>
      </c>
      <c r="AE957" s="3292">
        <v>12.5</v>
      </c>
      <c r="AF957" s="2236">
        <f t="shared" si="142"/>
        <v>12.5</v>
      </c>
      <c r="AG957" s="1396"/>
      <c r="DG957" s="573"/>
      <c r="DH957" s="159"/>
      <c r="DI957" s="1091"/>
    </row>
    <row r="958" spans="1:113" hidden="1" outlineLevel="1">
      <c r="A958" s="453"/>
      <c r="C958" s="51"/>
      <c r="D958" s="4294"/>
      <c r="E958" s="4293"/>
      <c r="F958" s="4341" t="str">
        <f t="shared" si="139"/>
        <v>Mini/MultiSplitASHP-Replace_CAC_ElectricHeat_ROF_MF_CompE</v>
      </c>
      <c r="G958" s="4341"/>
      <c r="H958" s="4341"/>
      <c r="I958" s="3334" t="str">
        <f t="shared" si="140"/>
        <v>351801_2024_12_</v>
      </c>
      <c r="J958" s="3289">
        <f t="shared" si="141"/>
        <v>9.863636363636358</v>
      </c>
      <c r="K958" s="3343"/>
      <c r="L958" s="3272" t="s">
        <v>1934</v>
      </c>
      <c r="N958" s="564"/>
      <c r="O958" s="946"/>
      <c r="S958" s="52"/>
      <c r="T958" s="52"/>
      <c r="U958" s="52"/>
      <c r="V958" s="4293"/>
      <c r="W958" s="3262"/>
      <c r="X958" s="3265"/>
      <c r="Y958" s="3265">
        <v>11.4</v>
      </c>
      <c r="Z958" s="3262">
        <v>11.4</v>
      </c>
      <c r="AA958" s="3262">
        <v>11.4</v>
      </c>
      <c r="AB958" s="3282">
        <v>11.226666666666667</v>
      </c>
      <c r="AC958" s="3282">
        <v>11.1</v>
      </c>
      <c r="AD958" s="3282">
        <v>12.5</v>
      </c>
      <c r="AE958" s="3290">
        <v>9.863636363636358</v>
      </c>
      <c r="AF958" s="2236">
        <f t="shared" si="142"/>
        <v>9.863636363636358</v>
      </c>
      <c r="AG958" s="1396"/>
      <c r="DG958" s="573"/>
      <c r="DH958" s="159"/>
      <c r="DI958" s="1091"/>
    </row>
    <row r="959" spans="1:113" hidden="1" outlineLevel="1">
      <c r="A959" s="453"/>
      <c r="C959" s="51"/>
      <c r="D959" s="4294"/>
      <c r="E959" s="4293"/>
      <c r="F959" s="4341" t="str">
        <f>F932</f>
        <v>Mini/MultiSplitASHP-Replace_CAC_NonElectricHeat_ER1_MF_CompE</v>
      </c>
      <c r="G959" s="4341"/>
      <c r="H959" s="4341"/>
      <c r="I959" s="3334" t="str">
        <f t="shared" si="140"/>
        <v>351753_2024_12_</v>
      </c>
      <c r="J959" s="3289">
        <v>12.5</v>
      </c>
      <c r="K959" s="3343"/>
      <c r="L959" s="3338" t="s">
        <v>1945</v>
      </c>
      <c r="N959" s="564"/>
      <c r="O959" s="946"/>
      <c r="S959" s="52"/>
      <c r="T959" s="52"/>
      <c r="U959" s="52"/>
      <c r="V959" s="4293"/>
      <c r="W959" s="3262"/>
      <c r="X959" s="3265"/>
      <c r="Y959" s="3265"/>
      <c r="Z959" s="3262"/>
      <c r="AA959" s="3262"/>
      <c r="AB959" s="3282"/>
      <c r="AC959" s="3282"/>
      <c r="AD959" s="3282">
        <v>12.5</v>
      </c>
      <c r="AE959" s="3292">
        <v>12.5</v>
      </c>
      <c r="AF959" s="2236">
        <f t="shared" si="142"/>
        <v>12.5</v>
      </c>
      <c r="AG959" s="1396"/>
      <c r="DG959" s="573"/>
      <c r="DH959" s="159"/>
      <c r="DI959" s="1091"/>
    </row>
    <row r="960" spans="1:113" hidden="1" outlineLevel="1">
      <c r="A960" s="453"/>
      <c r="C960" s="51"/>
      <c r="D960" s="4294"/>
      <c r="E960" s="4293"/>
      <c r="F960" s="4341" t="str">
        <f>F933</f>
        <v>Mini/MultiSplitASHP-Replace_CAC_NonElectricHeat_ROF_MF_CompE</v>
      </c>
      <c r="G960" s="4341"/>
      <c r="H960" s="4341"/>
      <c r="I960" s="3334" t="str">
        <f t="shared" si="140"/>
        <v>351803_2024_12_</v>
      </c>
      <c r="J960" s="3289">
        <f t="shared" si="141"/>
        <v>9.863636363636358</v>
      </c>
      <c r="K960" s="3343"/>
      <c r="L960" s="3272" t="s">
        <v>1934</v>
      </c>
      <c r="N960" s="564"/>
      <c r="O960" s="946"/>
      <c r="S960" s="52"/>
      <c r="T960" s="52"/>
      <c r="U960" s="52"/>
      <c r="V960" s="4293"/>
      <c r="W960" s="3262"/>
      <c r="X960" s="3265"/>
      <c r="Y960" s="3265"/>
      <c r="Z960" s="3262"/>
      <c r="AA960" s="3262"/>
      <c r="AB960" s="3282"/>
      <c r="AC960" s="3282"/>
      <c r="AD960" s="3282">
        <v>12.5</v>
      </c>
      <c r="AE960" s="3290">
        <v>9.863636363636358</v>
      </c>
      <c r="AF960" s="2236">
        <f t="shared" si="142"/>
        <v>9.863636363636358</v>
      </c>
      <c r="AG960" s="1396"/>
      <c r="DG960" s="573"/>
      <c r="DH960" s="159"/>
      <c r="DI960" s="1091"/>
    </row>
    <row r="961" spans="1:113" hidden="1" outlineLevel="1">
      <c r="A961" s="453"/>
      <c r="C961" s="51"/>
      <c r="D961" s="4294"/>
      <c r="E961" s="4293"/>
      <c r="F961" s="4341" t="str">
        <f t="shared" ref="F961:F967" si="143">F934</f>
        <v>Mini/MultiSplitASHP_ER1_MF_CompE</v>
      </c>
      <c r="G961" s="4341"/>
      <c r="H961" s="4341"/>
      <c r="I961" s="3334" t="str">
        <f t="shared" ref="I961:I969" si="144">I934</f>
        <v>351851_2024_12_</v>
      </c>
      <c r="J961" s="3289">
        <f t="shared" si="141"/>
        <v>12.5</v>
      </c>
      <c r="K961" s="3343"/>
      <c r="L961" s="3224" t="s">
        <v>2046</v>
      </c>
      <c r="N961" s="564"/>
      <c r="O961" s="946"/>
      <c r="S961" s="52"/>
      <c r="T961" s="52"/>
      <c r="U961" s="52"/>
      <c r="V961" s="4293"/>
      <c r="W961" s="3262"/>
      <c r="X961" s="3265"/>
      <c r="Y961" s="3265">
        <v>12.6</v>
      </c>
      <c r="Z961" s="3262">
        <v>12.6</v>
      </c>
      <c r="AA961" s="3262">
        <v>12.6</v>
      </c>
      <c r="AB961" s="3282">
        <v>8.3625000000000007</v>
      </c>
      <c r="AC961" s="3282">
        <v>10.93</v>
      </c>
      <c r="AD961" s="3282">
        <v>12.5</v>
      </c>
      <c r="AE961" s="3292">
        <v>12.5</v>
      </c>
      <c r="AF961" s="2236">
        <f t="shared" si="142"/>
        <v>12.5</v>
      </c>
      <c r="AG961" s="1396"/>
      <c r="DG961" s="573"/>
      <c r="DH961" s="159"/>
      <c r="DI961" s="1091"/>
    </row>
    <row r="962" spans="1:113" hidden="1" outlineLevel="1">
      <c r="A962" s="453"/>
      <c r="C962" s="51"/>
      <c r="D962" s="4293" t="s">
        <v>2058</v>
      </c>
      <c r="E962" s="4293" t="s">
        <v>2059</v>
      </c>
      <c r="F962" s="4342" t="str">
        <f t="shared" si="143"/>
        <v>Mini/MultiSplitAC_ER1_SF</v>
      </c>
      <c r="G962" s="4342"/>
      <c r="H962" s="4342"/>
      <c r="I962" s="929" t="str">
        <f t="shared" si="144"/>
        <v>351200_2024_12_</v>
      </c>
      <c r="J962" s="1753">
        <v>21000</v>
      </c>
      <c r="K962" s="916">
        <f>J962/12000</f>
        <v>1.75</v>
      </c>
      <c r="L962" s="1759" t="s">
        <v>1937</v>
      </c>
      <c r="N962" s="564"/>
      <c r="O962" s="945"/>
      <c r="S962" s="52"/>
      <c r="T962" s="52"/>
      <c r="U962" s="52"/>
      <c r="V962" s="4293" t="s">
        <v>2058</v>
      </c>
      <c r="W962" s="1396">
        <v>20400</v>
      </c>
      <c r="X962" s="833">
        <f t="shared" ref="X962:X970" si="145">1.5*12000</f>
        <v>18000</v>
      </c>
      <c r="Y962" s="1396">
        <v>18000</v>
      </c>
      <c r="Z962" s="1396">
        <v>18000</v>
      </c>
      <c r="AA962" s="1396">
        <v>18000</v>
      </c>
      <c r="AB962" s="1405">
        <v>18000</v>
      </c>
      <c r="AC962" s="965">
        <v>16000</v>
      </c>
      <c r="AD962" s="1112">
        <v>21000</v>
      </c>
      <c r="AE962" s="1046">
        <v>21000</v>
      </c>
      <c r="AF962" s="271">
        <f t="shared" si="142"/>
        <v>21000</v>
      </c>
      <c r="AG962" s="1396"/>
      <c r="DG962" s="573"/>
      <c r="DH962" s="159"/>
      <c r="DI962" s="1091"/>
    </row>
    <row r="963" spans="1:113" hidden="1" outlineLevel="1">
      <c r="A963" s="453"/>
      <c r="C963" s="51"/>
      <c r="D963" s="4293"/>
      <c r="E963" s="4293"/>
      <c r="F963" s="4342" t="str">
        <f t="shared" si="143"/>
        <v>Mini/MultiSplitAC_ROF_SF</v>
      </c>
      <c r="G963" s="4342"/>
      <c r="H963" s="4342"/>
      <c r="I963" s="929" t="str">
        <f t="shared" si="144"/>
        <v>351250_2024_12_</v>
      </c>
      <c r="J963" s="1753">
        <v>12666.666666666666</v>
      </c>
      <c r="K963" s="916">
        <f>J963/12000</f>
        <v>1.0555555555555556</v>
      </c>
      <c r="L963" s="1759" t="s">
        <v>1937</v>
      </c>
      <c r="N963" s="564"/>
      <c r="O963" s="945"/>
      <c r="S963" s="52"/>
      <c r="T963" s="52"/>
      <c r="U963" s="52"/>
      <c r="V963" s="4293"/>
      <c r="W963" s="1396">
        <v>19200</v>
      </c>
      <c r="X963" s="833">
        <f t="shared" si="145"/>
        <v>18000</v>
      </c>
      <c r="Y963" s="1396">
        <v>18000</v>
      </c>
      <c r="Z963" s="1396">
        <v>18000</v>
      </c>
      <c r="AA963" s="1396">
        <v>18000</v>
      </c>
      <c r="AB963" s="965">
        <v>15750</v>
      </c>
      <c r="AC963" s="965">
        <v>16800</v>
      </c>
      <c r="AD963" s="1112">
        <v>12666.666666666666</v>
      </c>
      <c r="AE963" s="1046">
        <v>12666.666666666666</v>
      </c>
      <c r="AF963" s="271">
        <f t="shared" si="142"/>
        <v>12666.666666666666</v>
      </c>
      <c r="AG963" s="1396"/>
      <c r="DG963" s="573"/>
      <c r="DH963" s="159"/>
      <c r="DI963" s="1091"/>
    </row>
    <row r="964" spans="1:113" hidden="1" outlineLevel="1">
      <c r="A964" s="453"/>
      <c r="C964" s="51"/>
      <c r="D964" s="4293"/>
      <c r="E964" s="4293"/>
      <c r="F964" s="4342" t="str">
        <f t="shared" si="143"/>
        <v>Mini/MultiSplitASHP_ROF_SF_NC</v>
      </c>
      <c r="G964" s="4342"/>
      <c r="H964" s="4342"/>
      <c r="I964" s="929" t="str">
        <f t="shared" si="144"/>
        <v>351300_2024_12_</v>
      </c>
      <c r="J964" s="1756">
        <v>15939.39393939394</v>
      </c>
      <c r="K964" s="916">
        <f t="shared" ref="K964:K988" si="146">J964/12000</f>
        <v>1.3282828282828283</v>
      </c>
      <c r="L964" s="1609" t="s">
        <v>1935</v>
      </c>
      <c r="N964" s="564"/>
      <c r="O964" s="945"/>
      <c r="S964" s="52"/>
      <c r="T964" s="52"/>
      <c r="U964" s="52"/>
      <c r="V964" s="4293"/>
      <c r="W964" s="1396">
        <v>19200</v>
      </c>
      <c r="X964" s="833">
        <f t="shared" si="145"/>
        <v>18000</v>
      </c>
      <c r="Y964" s="1396">
        <v>18000</v>
      </c>
      <c r="Z964" s="1396">
        <v>18000</v>
      </c>
      <c r="AA964" s="1396">
        <v>18000</v>
      </c>
      <c r="AB964" s="1405">
        <v>18000</v>
      </c>
      <c r="AC964" s="735">
        <v>18101.694915254237</v>
      </c>
      <c r="AD964" s="1112">
        <v>18388.489208633098</v>
      </c>
      <c r="AE964" s="1112">
        <v>17645.320197044337</v>
      </c>
      <c r="AF964" s="271">
        <f t="shared" si="142"/>
        <v>15939.39393939394</v>
      </c>
      <c r="AG964" s="1396"/>
      <c r="DG964" s="573"/>
      <c r="DH964" s="159"/>
      <c r="DI964" s="1091"/>
    </row>
    <row r="965" spans="1:113" hidden="1" outlineLevel="1">
      <c r="A965" s="453"/>
      <c r="C965" s="51"/>
      <c r="D965" s="4293"/>
      <c r="E965" s="4293"/>
      <c r="F965" s="4342" t="str">
        <f t="shared" si="143"/>
        <v>Mini/MultiSplitASHP_ROF_SF</v>
      </c>
      <c r="G965" s="4342"/>
      <c r="H965" s="4342"/>
      <c r="I965" s="929" t="str">
        <f t="shared" si="144"/>
        <v>351350_2024_12_</v>
      </c>
      <c r="J965" s="1756">
        <v>15939.39393939394</v>
      </c>
      <c r="K965" s="916">
        <f t="shared" si="146"/>
        <v>1.3282828282828283</v>
      </c>
      <c r="L965" s="1609" t="s">
        <v>1935</v>
      </c>
      <c r="N965" s="564"/>
      <c r="O965" s="945"/>
      <c r="S965" s="52"/>
      <c r="T965" s="52"/>
      <c r="U965" s="52"/>
      <c r="V965" s="4293"/>
      <c r="W965" s="1396">
        <v>19200</v>
      </c>
      <c r="X965" s="833">
        <f t="shared" si="145"/>
        <v>18000</v>
      </c>
      <c r="Y965" s="1396">
        <v>18000</v>
      </c>
      <c r="Z965" s="1396">
        <v>18000</v>
      </c>
      <c r="AA965" s="1396">
        <v>18000</v>
      </c>
      <c r="AB965" s="735">
        <v>18221.05263157895</v>
      </c>
      <c r="AC965" s="735">
        <v>16500</v>
      </c>
      <c r="AD965" s="1112">
        <v>18388.489208633098</v>
      </c>
      <c r="AE965" s="1112">
        <v>17645.320197044337</v>
      </c>
      <c r="AF965" s="271">
        <f t="shared" si="142"/>
        <v>15939.39393939394</v>
      </c>
      <c r="AG965" s="1396"/>
      <c r="DG965" s="573"/>
      <c r="DH965" s="159"/>
      <c r="DI965" s="1091"/>
    </row>
    <row r="966" spans="1:113" hidden="1" outlineLevel="1">
      <c r="A966" s="453"/>
      <c r="C966" s="51"/>
      <c r="D966" s="4293"/>
      <c r="E966" s="4293"/>
      <c r="F966" s="4342" t="str">
        <f t="shared" si="143"/>
        <v>Mini/MultiSplitASHP-Replace_CAC_ElectricHeat_ER1_SF</v>
      </c>
      <c r="G966" s="4342"/>
      <c r="H966" s="4342"/>
      <c r="I966" s="929" t="str">
        <f t="shared" si="144"/>
        <v>351400_2024_12_</v>
      </c>
      <c r="J966" s="1756">
        <v>23090.909090909092</v>
      </c>
      <c r="K966" s="916">
        <f>J966/12000</f>
        <v>1.9242424242424243</v>
      </c>
      <c r="L966" s="1609" t="s">
        <v>1935</v>
      </c>
      <c r="N966" s="564"/>
      <c r="O966" s="945"/>
      <c r="S966" s="52"/>
      <c r="T966" s="52"/>
      <c r="U966" s="52"/>
      <c r="V966" s="4293"/>
      <c r="W966" s="1396">
        <v>16800</v>
      </c>
      <c r="X966" s="833">
        <f t="shared" si="145"/>
        <v>18000</v>
      </c>
      <c r="Y966" s="1396">
        <v>18000</v>
      </c>
      <c r="Z966" s="1396">
        <v>18000</v>
      </c>
      <c r="AA966" s="1396">
        <v>18000</v>
      </c>
      <c r="AB966" s="735">
        <v>18840</v>
      </c>
      <c r="AC966" s="735">
        <v>18837.20930232558</v>
      </c>
      <c r="AD966" s="1112">
        <v>20890.909090909092</v>
      </c>
      <c r="AE966" s="1112">
        <v>18600</v>
      </c>
      <c r="AF966" s="271">
        <f t="shared" si="142"/>
        <v>23090.909090909092</v>
      </c>
      <c r="AG966" s="1396"/>
      <c r="DG966" s="573"/>
      <c r="DH966" s="159"/>
      <c r="DI966" s="1091"/>
    </row>
    <row r="967" spans="1:113" hidden="1" outlineLevel="1">
      <c r="A967" s="453"/>
      <c r="C967" s="51"/>
      <c r="D967" s="4293"/>
      <c r="E967" s="4293"/>
      <c r="F967" s="4342" t="str">
        <f t="shared" si="143"/>
        <v>Mini/MultiSplitASHP-Replace_CAC_ElectricHeat_ROF_SF</v>
      </c>
      <c r="G967" s="4342"/>
      <c r="H967" s="4342"/>
      <c r="I967" s="929" t="str">
        <f t="shared" si="144"/>
        <v>351450_2024_12_</v>
      </c>
      <c r="J967" s="1756">
        <v>15939.39393939394</v>
      </c>
      <c r="K967" s="916">
        <f t="shared" si="146"/>
        <v>1.3282828282828283</v>
      </c>
      <c r="L967" s="1609" t="s">
        <v>1935</v>
      </c>
      <c r="N967" s="564"/>
      <c r="O967" s="945"/>
      <c r="S967" s="52"/>
      <c r="T967" s="52"/>
      <c r="U967" s="52"/>
      <c r="V967" s="4293"/>
      <c r="W967" s="1396">
        <v>16800</v>
      </c>
      <c r="X967" s="833">
        <f t="shared" si="145"/>
        <v>18000</v>
      </c>
      <c r="Y967" s="833">
        <v>19200</v>
      </c>
      <c r="Z967" s="1396">
        <v>19200</v>
      </c>
      <c r="AA967" s="1396">
        <v>19200</v>
      </c>
      <c r="AB967" s="735">
        <v>19200</v>
      </c>
      <c r="AC967" s="735">
        <v>20769.23076923077</v>
      </c>
      <c r="AD967" s="1112">
        <v>18388.489208633098</v>
      </c>
      <c r="AE967" s="1112">
        <v>17645.320197044337</v>
      </c>
      <c r="AF967" s="271">
        <f t="shared" si="142"/>
        <v>15939.39393939394</v>
      </c>
      <c r="AG967" s="1396"/>
      <c r="DG967" s="573"/>
      <c r="DH967" s="159"/>
      <c r="DI967" s="1091"/>
    </row>
    <row r="968" spans="1:113" hidden="1" outlineLevel="1">
      <c r="A968" s="453"/>
      <c r="C968" s="51"/>
      <c r="D968" s="4293"/>
      <c r="E968" s="4293"/>
      <c r="F968" s="4342" t="str">
        <f>F941</f>
        <v>Mini/MultiSplitASHP-Replace_CAC_NonElectricHeat_ER1_SF</v>
      </c>
      <c r="G968" s="4342"/>
      <c r="H968" s="4342"/>
      <c r="I968" s="929" t="str">
        <f t="shared" si="144"/>
        <v>351401_2024_12_</v>
      </c>
      <c r="J968" s="1756">
        <v>23090.909090909099</v>
      </c>
      <c r="K968" s="916">
        <f>J968/12000</f>
        <v>1.924242424242425</v>
      </c>
      <c r="L968" s="1609" t="s">
        <v>1935</v>
      </c>
      <c r="N968" s="564"/>
      <c r="O968" s="945"/>
      <c r="S968" s="52"/>
      <c r="T968" s="52"/>
      <c r="U968" s="52"/>
      <c r="V968" s="4293"/>
      <c r="W968" s="1396"/>
      <c r="X968" s="833"/>
      <c r="Y968" s="833"/>
      <c r="Z968" s="1396"/>
      <c r="AA968" s="1396"/>
      <c r="AB968" s="735"/>
      <c r="AC968" s="735"/>
      <c r="AD968" s="1112">
        <v>20890.909090909092</v>
      </c>
      <c r="AE968" s="1112">
        <v>18600</v>
      </c>
      <c r="AF968" s="271">
        <f t="shared" si="142"/>
        <v>23090.909090909099</v>
      </c>
      <c r="AG968" s="1396"/>
      <c r="DG968" s="573"/>
      <c r="DH968" s="159"/>
      <c r="DI968" s="1091"/>
    </row>
    <row r="969" spans="1:113" hidden="1" outlineLevel="1">
      <c r="A969" s="453"/>
      <c r="C969" s="51"/>
      <c r="D969" s="4293"/>
      <c r="E969" s="4293"/>
      <c r="F969" s="4342" t="str">
        <f>F942</f>
        <v>Mini/MultiSplitASHP-Replace_CAC_NonElectricHeat_ROF_SF</v>
      </c>
      <c r="G969" s="4342"/>
      <c r="H969" s="4342"/>
      <c r="I969" s="929" t="str">
        <f t="shared" si="144"/>
        <v>351451_2024_12_</v>
      </c>
      <c r="J969" s="1756">
        <v>15939.39393939394</v>
      </c>
      <c r="K969" s="916">
        <f t="shared" si="146"/>
        <v>1.3282828282828283</v>
      </c>
      <c r="L969" s="1609" t="s">
        <v>1935</v>
      </c>
      <c r="N969" s="564"/>
      <c r="O969" s="945"/>
      <c r="S969" s="52"/>
      <c r="T969" s="52"/>
      <c r="U969" s="52"/>
      <c r="V969" s="4293"/>
      <c r="W969" s="1396"/>
      <c r="X969" s="833"/>
      <c r="Y969" s="833"/>
      <c r="Z969" s="1396"/>
      <c r="AA969" s="1396"/>
      <c r="AB969" s="735"/>
      <c r="AC969" s="735"/>
      <c r="AD969" s="1112">
        <v>18388.489208633098</v>
      </c>
      <c r="AE969" s="1112">
        <v>17645.320197044337</v>
      </c>
      <c r="AF969" s="271">
        <f t="shared" si="142"/>
        <v>15939.39393939394</v>
      </c>
      <c r="AG969" s="1396"/>
      <c r="DG969" s="573"/>
      <c r="DH969" s="159"/>
      <c r="DI969" s="1091"/>
    </row>
    <row r="970" spans="1:113" hidden="1" outlineLevel="1">
      <c r="A970" s="453"/>
      <c r="C970" s="51"/>
      <c r="D970" s="4293"/>
      <c r="E970" s="4293"/>
      <c r="F970" s="4342" t="str">
        <f t="shared" ref="F970:F976" si="147">F943</f>
        <v>Mini/MultiSplitASHP_ER1_SF</v>
      </c>
      <c r="G970" s="4342"/>
      <c r="H970" s="4342"/>
      <c r="I970" s="929" t="str">
        <f t="shared" ref="I970:I978" si="148">I943</f>
        <v>351500_2024_12_</v>
      </c>
      <c r="J970" s="1756">
        <v>23090.909090909092</v>
      </c>
      <c r="K970" s="916">
        <f t="shared" si="146"/>
        <v>1.9242424242424243</v>
      </c>
      <c r="L970" s="1609" t="s">
        <v>1935</v>
      </c>
      <c r="N970" s="564"/>
      <c r="O970" s="945"/>
      <c r="S970" s="52"/>
      <c r="T970" s="52"/>
      <c r="U970" s="52"/>
      <c r="V970" s="4293"/>
      <c r="W970" s="1396">
        <v>20400</v>
      </c>
      <c r="X970" s="833">
        <f t="shared" si="145"/>
        <v>18000</v>
      </c>
      <c r="Y970" s="1396">
        <v>18000</v>
      </c>
      <c r="Z970" s="1396">
        <v>18000</v>
      </c>
      <c r="AA970" s="1396">
        <v>18000</v>
      </c>
      <c r="AB970" s="735">
        <v>15375</v>
      </c>
      <c r="AC970" s="735">
        <v>17727.272727272728</v>
      </c>
      <c r="AD970" s="1112">
        <v>20890.909090909092</v>
      </c>
      <c r="AE970" s="1112">
        <v>18600</v>
      </c>
      <c r="AF970" s="271">
        <f t="shared" si="142"/>
        <v>23090.909090909092</v>
      </c>
      <c r="AG970" s="1396"/>
      <c r="DG970" s="573"/>
      <c r="DH970" s="159"/>
      <c r="DI970" s="1091"/>
    </row>
    <row r="971" spans="1:113" hidden="1" outlineLevel="1">
      <c r="A971" s="453"/>
      <c r="C971" s="51"/>
      <c r="D971" s="4293"/>
      <c r="E971" s="4293"/>
      <c r="F971" s="4342" t="str">
        <f t="shared" si="147"/>
        <v>Mini/MultiSplitAC_ER1_MF</v>
      </c>
      <c r="G971" s="4342"/>
      <c r="H971" s="4342"/>
      <c r="I971" s="929" t="str">
        <f t="shared" si="148"/>
        <v>351550_2024_12_</v>
      </c>
      <c r="J971" s="1753">
        <v>24000</v>
      </c>
      <c r="K971" s="916">
        <f t="shared" si="146"/>
        <v>2</v>
      </c>
      <c r="L971" s="55" t="s">
        <v>2046</v>
      </c>
      <c r="N971" s="564"/>
      <c r="O971" s="945"/>
      <c r="S971" s="52"/>
      <c r="T971" s="52"/>
      <c r="U971" s="52"/>
      <c r="V971" s="4293"/>
      <c r="W971" s="1396"/>
      <c r="X971" s="833"/>
      <c r="Y971" s="833">
        <v>18000</v>
      </c>
      <c r="Z971" s="1396">
        <v>18000</v>
      </c>
      <c r="AA971" s="1396">
        <v>18000</v>
      </c>
      <c r="AB971" s="1405">
        <v>18000</v>
      </c>
      <c r="AC971" s="965">
        <v>16000</v>
      </c>
      <c r="AD971" s="1112">
        <v>24000</v>
      </c>
      <c r="AE971" s="1046">
        <v>24000</v>
      </c>
      <c r="AF971" s="271">
        <f t="shared" si="142"/>
        <v>24000</v>
      </c>
      <c r="AG971" s="1396"/>
      <c r="DG971" s="573"/>
      <c r="DH971" s="159"/>
      <c r="DI971" s="1091"/>
    </row>
    <row r="972" spans="1:113" hidden="1" outlineLevel="1">
      <c r="A972" s="453"/>
      <c r="C972" s="51"/>
      <c r="D972" s="4293"/>
      <c r="E972" s="4293"/>
      <c r="F972" s="4341" t="str">
        <f t="shared" si="147"/>
        <v>Mini/MultiSplitAC_ROF_MF</v>
      </c>
      <c r="G972" s="4341"/>
      <c r="H972" s="4341"/>
      <c r="I972" s="3334" t="str">
        <f t="shared" si="148"/>
        <v>351600_2024_12_</v>
      </c>
      <c r="J972" s="3339">
        <v>24000</v>
      </c>
      <c r="K972" s="3337">
        <f t="shared" si="146"/>
        <v>2</v>
      </c>
      <c r="L972" s="3338" t="s">
        <v>1945</v>
      </c>
      <c r="N972" s="564"/>
      <c r="O972" s="945"/>
      <c r="S972" s="52"/>
      <c r="T972" s="52"/>
      <c r="U972" s="52"/>
      <c r="V972" s="4293"/>
      <c r="W972" s="3262"/>
      <c r="X972" s="3265"/>
      <c r="Y972" s="3265">
        <v>18000</v>
      </c>
      <c r="Z972" s="3262">
        <v>18000</v>
      </c>
      <c r="AA972" s="3262">
        <v>18000</v>
      </c>
      <c r="AB972" s="3345">
        <v>15750</v>
      </c>
      <c r="AC972" s="3345">
        <v>16800</v>
      </c>
      <c r="AD972" s="3340">
        <v>24000</v>
      </c>
      <c r="AE972" s="3341">
        <v>24000</v>
      </c>
      <c r="AF972" s="2236">
        <f t="shared" si="142"/>
        <v>24000</v>
      </c>
      <c r="AG972" s="1396"/>
      <c r="DG972" s="573"/>
      <c r="DH972" s="159"/>
      <c r="DI972" s="1091"/>
    </row>
    <row r="973" spans="1:113" hidden="1" outlineLevel="1">
      <c r="A973" s="453"/>
      <c r="C973" s="51"/>
      <c r="D973" s="4293"/>
      <c r="E973" s="4293"/>
      <c r="F973" s="4341" t="str">
        <f t="shared" si="147"/>
        <v>Mini/MultiSplitASHP_ROF_MF_NC</v>
      </c>
      <c r="G973" s="4341"/>
      <c r="H973" s="4341"/>
      <c r="I973" s="3334" t="str">
        <f t="shared" si="148"/>
        <v>351650_2024_12_</v>
      </c>
      <c r="J973" s="3339">
        <v>12082.191780821919</v>
      </c>
      <c r="K973" s="3337">
        <f t="shared" si="146"/>
        <v>1.0068493150684932</v>
      </c>
      <c r="L973" s="3272" t="s">
        <v>1934</v>
      </c>
      <c r="N973" s="564"/>
      <c r="O973" s="945"/>
      <c r="S973" s="52"/>
      <c r="T973" s="52"/>
      <c r="U973" s="52"/>
      <c r="V973" s="4293"/>
      <c r="W973" s="3262"/>
      <c r="X973" s="3265"/>
      <c r="Y973" s="3265">
        <v>18000</v>
      </c>
      <c r="Z973" s="3262">
        <v>18000</v>
      </c>
      <c r="AA973" s="3262">
        <v>18000</v>
      </c>
      <c r="AB973" s="3284">
        <v>18000</v>
      </c>
      <c r="AC973" s="3277">
        <v>18101.694915254237</v>
      </c>
      <c r="AD973" s="3340">
        <v>24000</v>
      </c>
      <c r="AE973" s="3340">
        <v>12082.191780821919</v>
      </c>
      <c r="AF973" s="2236">
        <f t="shared" si="142"/>
        <v>12082.191780821919</v>
      </c>
      <c r="AG973" s="1396"/>
      <c r="DG973" s="573"/>
      <c r="DH973" s="159"/>
      <c r="DI973" s="1091"/>
    </row>
    <row r="974" spans="1:113" hidden="1" outlineLevel="1">
      <c r="A974" s="453"/>
      <c r="C974" s="51"/>
      <c r="D974" s="4293"/>
      <c r="E974" s="4293"/>
      <c r="F974" s="4341" t="str">
        <f t="shared" si="147"/>
        <v>Mini/MultiSplitASHP_ROF_MF</v>
      </c>
      <c r="G974" s="4341"/>
      <c r="H974" s="4341"/>
      <c r="I974" s="3334" t="str">
        <f t="shared" si="148"/>
        <v>351700_2024_12_</v>
      </c>
      <c r="J974" s="3339">
        <v>12082.191780821919</v>
      </c>
      <c r="K974" s="3337">
        <f t="shared" si="146"/>
        <v>1.0068493150684932</v>
      </c>
      <c r="L974" s="3272" t="s">
        <v>1934</v>
      </c>
      <c r="N974" s="564"/>
      <c r="O974" s="945"/>
      <c r="S974" s="52"/>
      <c r="T974" s="52"/>
      <c r="U974" s="52"/>
      <c r="V974" s="4293"/>
      <c r="W974" s="3262"/>
      <c r="X974" s="3265"/>
      <c r="Y974" s="3265">
        <v>18000</v>
      </c>
      <c r="Z974" s="3262">
        <v>18000</v>
      </c>
      <c r="AA974" s="3262">
        <v>18000</v>
      </c>
      <c r="AB974" s="3277">
        <v>18221.05263157895</v>
      </c>
      <c r="AC974" s="3277">
        <v>16500</v>
      </c>
      <c r="AD974" s="3340">
        <v>24000</v>
      </c>
      <c r="AE974" s="3340">
        <v>12082.191780821919</v>
      </c>
      <c r="AF974" s="2236">
        <f t="shared" si="142"/>
        <v>12082.191780821919</v>
      </c>
      <c r="AG974" s="1396"/>
      <c r="DG974" s="573"/>
      <c r="DH974" s="159"/>
      <c r="DI974" s="1091"/>
    </row>
    <row r="975" spans="1:113" hidden="1" outlineLevel="1">
      <c r="A975" s="453"/>
      <c r="C975" s="51"/>
      <c r="D975" s="4293"/>
      <c r="E975" s="4293"/>
      <c r="F975" s="4341" t="str">
        <f t="shared" si="147"/>
        <v>Mini/MultiSplitASHP-Replace_CAC_ElectricHeat_ER1_MF</v>
      </c>
      <c r="G975" s="4341"/>
      <c r="H975" s="4341"/>
      <c r="I975" s="3334" t="str">
        <f t="shared" si="148"/>
        <v>351750_2024_12_</v>
      </c>
      <c r="J975" s="3266">
        <v>24000</v>
      </c>
      <c r="K975" s="3337">
        <f t="shared" si="146"/>
        <v>2</v>
      </c>
      <c r="L975" s="3338" t="s">
        <v>2046</v>
      </c>
      <c r="N975" s="564"/>
      <c r="O975" s="945"/>
      <c r="S975" s="52"/>
      <c r="T975" s="52"/>
      <c r="U975" s="52"/>
      <c r="V975" s="4293"/>
      <c r="W975" s="3262"/>
      <c r="X975" s="3265"/>
      <c r="Y975" s="3265">
        <v>18000</v>
      </c>
      <c r="Z975" s="3262">
        <v>18000</v>
      </c>
      <c r="AA975" s="3262">
        <v>18000</v>
      </c>
      <c r="AB975" s="3277">
        <v>18840</v>
      </c>
      <c r="AC975" s="3277">
        <v>18837.20930232558</v>
      </c>
      <c r="AD975" s="3277">
        <v>24000</v>
      </c>
      <c r="AE975" s="3268">
        <v>24000</v>
      </c>
      <c r="AF975" s="2236">
        <f t="shared" si="142"/>
        <v>24000</v>
      </c>
      <c r="AG975" s="1396"/>
      <c r="DG975" s="573"/>
      <c r="DH975" s="159"/>
      <c r="DI975" s="1091"/>
    </row>
    <row r="976" spans="1:113" hidden="1" outlineLevel="1">
      <c r="A976" s="453"/>
      <c r="C976" s="51"/>
      <c r="D976" s="4293"/>
      <c r="E976" s="4293"/>
      <c r="F976" s="4341" t="str">
        <f t="shared" si="147"/>
        <v>Mini/MultiSplitASHP-Replace_CAC_ElectricHeat_ROF_MF</v>
      </c>
      <c r="G976" s="4341"/>
      <c r="H976" s="4341"/>
      <c r="I976" s="3334" t="str">
        <f t="shared" si="148"/>
        <v>351800_2024_12_</v>
      </c>
      <c r="J976" s="3339">
        <v>12082.191780821919</v>
      </c>
      <c r="K976" s="3337">
        <f t="shared" si="146"/>
        <v>1.0068493150684932</v>
      </c>
      <c r="L976" s="3272" t="s">
        <v>1934</v>
      </c>
      <c r="N976" s="564"/>
      <c r="O976" s="945"/>
      <c r="S976" s="52"/>
      <c r="T976" s="52"/>
      <c r="U976" s="52"/>
      <c r="V976" s="4293"/>
      <c r="W976" s="3262"/>
      <c r="X976" s="3265"/>
      <c r="Y976" s="3265">
        <v>19200</v>
      </c>
      <c r="Z976" s="3262">
        <v>19200</v>
      </c>
      <c r="AA976" s="3262">
        <v>19200</v>
      </c>
      <c r="AB976" s="3277">
        <v>19200</v>
      </c>
      <c r="AC976" s="3277">
        <v>20769.23076923077</v>
      </c>
      <c r="AD976" s="3340">
        <v>24000</v>
      </c>
      <c r="AE976" s="3340">
        <v>12082.191780821919</v>
      </c>
      <c r="AF976" s="2236">
        <f t="shared" si="142"/>
        <v>12082.191780821919</v>
      </c>
      <c r="AG976" s="1396"/>
      <c r="DG976" s="573"/>
      <c r="DH976" s="159"/>
      <c r="DI976" s="1091"/>
    </row>
    <row r="977" spans="1:113" hidden="1" outlineLevel="1">
      <c r="A977" s="453"/>
      <c r="C977" s="51"/>
      <c r="D977" s="4293"/>
      <c r="E977" s="4293"/>
      <c r="F977" s="4341" t="str">
        <f>F950</f>
        <v>Mini/MultiSplitASHP-Replace_CAC_NonElectricHeat_ER1_MF</v>
      </c>
      <c r="G977" s="4341"/>
      <c r="H977" s="4341"/>
      <c r="I977" s="3334" t="str">
        <f t="shared" si="148"/>
        <v>351752_2024_12_</v>
      </c>
      <c r="J977" s="3266">
        <v>24000</v>
      </c>
      <c r="K977" s="3337">
        <f t="shared" si="146"/>
        <v>2</v>
      </c>
      <c r="L977" s="3338" t="s">
        <v>1945</v>
      </c>
      <c r="N977" s="564"/>
      <c r="O977" s="945"/>
      <c r="S977" s="52"/>
      <c r="T977" s="52"/>
      <c r="U977" s="52"/>
      <c r="V977" s="4293"/>
      <c r="W977" s="3262"/>
      <c r="X977" s="3265"/>
      <c r="Y977" s="3265"/>
      <c r="Z977" s="3262"/>
      <c r="AA977" s="3262"/>
      <c r="AB977" s="3277"/>
      <c r="AC977" s="3277"/>
      <c r="AD977" s="3277">
        <v>24000</v>
      </c>
      <c r="AE977" s="3268">
        <v>24000</v>
      </c>
      <c r="AF977" s="2236">
        <f t="shared" si="142"/>
        <v>24000</v>
      </c>
      <c r="AG977" s="1396"/>
      <c r="DG977" s="573"/>
      <c r="DH977" s="159"/>
      <c r="DI977" s="1091"/>
    </row>
    <row r="978" spans="1:113" hidden="1" outlineLevel="1">
      <c r="A978" s="453"/>
      <c r="C978" s="51"/>
      <c r="D978" s="4293"/>
      <c r="E978" s="4293"/>
      <c r="F978" s="4341" t="str">
        <f>F951</f>
        <v>Mini/MultiSplitASHP-Replace_CAC_NonElectricHeat_ROF_MF</v>
      </c>
      <c r="G978" s="4341"/>
      <c r="H978" s="4341"/>
      <c r="I978" s="3334" t="str">
        <f t="shared" si="148"/>
        <v>351802_2024_12_</v>
      </c>
      <c r="J978" s="3339">
        <v>12082.191780821919</v>
      </c>
      <c r="K978" s="3337">
        <f t="shared" si="146"/>
        <v>1.0068493150684932</v>
      </c>
      <c r="L978" s="3272" t="s">
        <v>1934</v>
      </c>
      <c r="N978" s="564"/>
      <c r="O978" s="945"/>
      <c r="S978" s="52"/>
      <c r="T978" s="52"/>
      <c r="U978" s="52"/>
      <c r="V978" s="4293"/>
      <c r="W978" s="3262"/>
      <c r="X978" s="3265"/>
      <c r="Y978" s="3265"/>
      <c r="Z978" s="3262"/>
      <c r="AA978" s="3262"/>
      <c r="AB978" s="3277"/>
      <c r="AC978" s="3277"/>
      <c r="AD978" s="3340">
        <v>24000</v>
      </c>
      <c r="AE978" s="3340">
        <v>12082.191780821919</v>
      </c>
      <c r="AF978" s="2236">
        <f t="shared" si="142"/>
        <v>12082.191780821919</v>
      </c>
      <c r="AG978" s="1396"/>
      <c r="DG978" s="573"/>
      <c r="DH978" s="159"/>
      <c r="DI978" s="1091"/>
    </row>
    <row r="979" spans="1:113" hidden="1" outlineLevel="1">
      <c r="A979" s="453"/>
      <c r="C979" s="51"/>
      <c r="D979" s="4293"/>
      <c r="E979" s="4293"/>
      <c r="F979" s="4341" t="str">
        <f t="shared" ref="F979:F985" si="149">F952</f>
        <v>Mini/MultiSplitASHP_ER1_MF</v>
      </c>
      <c r="G979" s="4341"/>
      <c r="H979" s="4341"/>
      <c r="I979" s="3334" t="str">
        <f t="shared" ref="I979:I987" si="150">I952</f>
        <v>351850_2024_12_</v>
      </c>
      <c r="J979" s="3266">
        <v>24000</v>
      </c>
      <c r="K979" s="3337">
        <f t="shared" si="146"/>
        <v>2</v>
      </c>
      <c r="L979" s="3338" t="s">
        <v>2046</v>
      </c>
      <c r="N979" s="564"/>
      <c r="O979" s="945"/>
      <c r="S979" s="52"/>
      <c r="T979" s="52"/>
      <c r="U979" s="52"/>
      <c r="V979" s="4293"/>
      <c r="W979" s="3262"/>
      <c r="X979" s="3265"/>
      <c r="Y979" s="3265">
        <v>18000</v>
      </c>
      <c r="Z979" s="3262">
        <v>18000</v>
      </c>
      <c r="AA979" s="3262">
        <v>18000</v>
      </c>
      <c r="AB979" s="3277">
        <v>15375</v>
      </c>
      <c r="AC979" s="3277">
        <v>17727.272727272728</v>
      </c>
      <c r="AD979" s="3277">
        <v>24000</v>
      </c>
      <c r="AE979" s="3268">
        <v>24000</v>
      </c>
      <c r="AF979" s="2236">
        <f t="shared" si="142"/>
        <v>24000</v>
      </c>
      <c r="AG979" s="1396"/>
      <c r="DG979" s="573"/>
      <c r="DH979" s="159"/>
      <c r="DI979" s="1091"/>
    </row>
    <row r="980" spans="1:113" hidden="1" outlineLevel="1">
      <c r="A980" s="453"/>
      <c r="C980" s="51"/>
      <c r="D980" s="4293"/>
      <c r="E980" s="4293"/>
      <c r="F980" s="4341" t="str">
        <f t="shared" si="149"/>
        <v>Mini/MultiSplitAC_ER1_MF_CompE</v>
      </c>
      <c r="G980" s="4341"/>
      <c r="H980" s="4341"/>
      <c r="I980" s="3334" t="str">
        <f t="shared" si="150"/>
        <v>351551_2024_12_</v>
      </c>
      <c r="J980" s="3266">
        <v>24000</v>
      </c>
      <c r="K980" s="3337">
        <f t="shared" si="146"/>
        <v>2</v>
      </c>
      <c r="L980" s="3338" t="s">
        <v>2046</v>
      </c>
      <c r="N980" s="564"/>
      <c r="O980" s="945"/>
      <c r="S980" s="52"/>
      <c r="T980" s="52"/>
      <c r="U980" s="52"/>
      <c r="V980" s="4293"/>
      <c r="W980" s="3262"/>
      <c r="X980" s="3265"/>
      <c r="Y980" s="3265">
        <v>18000</v>
      </c>
      <c r="Z980" s="3262">
        <v>18000</v>
      </c>
      <c r="AA980" s="3262">
        <v>18000</v>
      </c>
      <c r="AB980" s="3284">
        <v>18000</v>
      </c>
      <c r="AC980" s="3345">
        <v>16000</v>
      </c>
      <c r="AD980" s="3277">
        <v>24000</v>
      </c>
      <c r="AE980" s="3268">
        <v>24000</v>
      </c>
      <c r="AF980" s="2236">
        <f t="shared" si="142"/>
        <v>24000</v>
      </c>
      <c r="AG980" s="1396"/>
      <c r="DG980" s="573"/>
      <c r="DH980" s="159"/>
      <c r="DI980" s="1091"/>
    </row>
    <row r="981" spans="1:113" hidden="1" outlineLevel="1">
      <c r="A981" s="453"/>
      <c r="C981" s="51"/>
      <c r="D981" s="4293"/>
      <c r="E981" s="4293"/>
      <c r="F981" s="4341" t="str">
        <f t="shared" si="149"/>
        <v>Mini/MultiSplitAC_ROF_MF_CompE</v>
      </c>
      <c r="G981" s="4341"/>
      <c r="H981" s="4341"/>
      <c r="I981" s="3334" t="str">
        <f t="shared" si="150"/>
        <v>351601_2024_12_</v>
      </c>
      <c r="J981" s="3339">
        <v>24000</v>
      </c>
      <c r="K981" s="3337">
        <f t="shared" si="146"/>
        <v>2</v>
      </c>
      <c r="L981" s="3338" t="s">
        <v>2046</v>
      </c>
      <c r="N981" s="564"/>
      <c r="O981" s="945"/>
      <c r="S981" s="52"/>
      <c r="T981" s="52"/>
      <c r="U981" s="52"/>
      <c r="V981" s="4293"/>
      <c r="W981" s="3262"/>
      <c r="X981" s="3265"/>
      <c r="Y981" s="3265">
        <v>18000</v>
      </c>
      <c r="Z981" s="3262">
        <v>18000</v>
      </c>
      <c r="AA981" s="3262">
        <v>18000</v>
      </c>
      <c r="AB981" s="3345">
        <v>15750</v>
      </c>
      <c r="AC981" s="3345">
        <v>16800</v>
      </c>
      <c r="AD981" s="3340">
        <v>24000</v>
      </c>
      <c r="AE981" s="3341">
        <v>24000</v>
      </c>
      <c r="AF981" s="2236">
        <f t="shared" si="142"/>
        <v>24000</v>
      </c>
      <c r="AG981" s="1396"/>
      <c r="DG981" s="573"/>
      <c r="DH981" s="159"/>
      <c r="DI981" s="1091"/>
    </row>
    <row r="982" spans="1:113" hidden="1" outlineLevel="1">
      <c r="A982" s="453"/>
      <c r="C982" s="51"/>
      <c r="D982" s="4293"/>
      <c r="E982" s="4293"/>
      <c r="F982" s="4341" t="str">
        <f t="shared" si="149"/>
        <v>Mini/MultiSplitASHP_ROF_MF_NC_CompE</v>
      </c>
      <c r="G982" s="4341"/>
      <c r="H982" s="4341"/>
      <c r="I982" s="3334" t="str">
        <f t="shared" si="150"/>
        <v>351651_2024_12_</v>
      </c>
      <c r="J982" s="3339">
        <v>12082.191780821919</v>
      </c>
      <c r="K982" s="3337">
        <f t="shared" si="146"/>
        <v>1.0068493150684932</v>
      </c>
      <c r="L982" s="3272" t="s">
        <v>1934</v>
      </c>
      <c r="N982" s="564"/>
      <c r="O982" s="945"/>
      <c r="S982" s="52"/>
      <c r="T982" s="52"/>
      <c r="U982" s="52"/>
      <c r="V982" s="4293"/>
      <c r="W982" s="3262"/>
      <c r="X982" s="3265"/>
      <c r="Y982" s="3265">
        <v>18000</v>
      </c>
      <c r="Z982" s="3262">
        <v>18000</v>
      </c>
      <c r="AA982" s="3262">
        <v>18000</v>
      </c>
      <c r="AB982" s="3284">
        <v>18000</v>
      </c>
      <c r="AC982" s="3277">
        <v>18101.694915254237</v>
      </c>
      <c r="AD982" s="3277">
        <v>24000</v>
      </c>
      <c r="AE982" s="3340">
        <v>12082.191780821919</v>
      </c>
      <c r="AF982" s="2236">
        <f t="shared" si="142"/>
        <v>12082.191780821919</v>
      </c>
      <c r="AG982" s="1396"/>
      <c r="DG982" s="573"/>
      <c r="DH982" s="159"/>
      <c r="DI982" s="1091"/>
    </row>
    <row r="983" spans="1:113" hidden="1" outlineLevel="1">
      <c r="A983" s="453"/>
      <c r="C983" s="51"/>
      <c r="D983" s="4293"/>
      <c r="E983" s="4293"/>
      <c r="F983" s="4341" t="str">
        <f t="shared" si="149"/>
        <v>Mini/MultiSplitASHP_ROF_MF_CompE</v>
      </c>
      <c r="G983" s="4341"/>
      <c r="H983" s="4341"/>
      <c r="I983" s="3334" t="str">
        <f t="shared" si="150"/>
        <v>351701_2024_12_</v>
      </c>
      <c r="J983" s="3266">
        <v>12082.191780821919</v>
      </c>
      <c r="K983" s="3337">
        <f t="shared" si="146"/>
        <v>1.0068493150684932</v>
      </c>
      <c r="L983" s="3272" t="s">
        <v>1934</v>
      </c>
      <c r="N983" s="564"/>
      <c r="O983" s="945"/>
      <c r="S983" s="52"/>
      <c r="T983" s="52"/>
      <c r="U983" s="52"/>
      <c r="V983" s="4293"/>
      <c r="W983" s="3262"/>
      <c r="X983" s="3265"/>
      <c r="Y983" s="3265">
        <v>18000</v>
      </c>
      <c r="Z983" s="3262">
        <v>18000</v>
      </c>
      <c r="AA983" s="3262">
        <v>18000</v>
      </c>
      <c r="AB983" s="3277">
        <v>18221.05263157895</v>
      </c>
      <c r="AC983" s="3277">
        <v>16500</v>
      </c>
      <c r="AD983" s="3277">
        <v>24000</v>
      </c>
      <c r="AE983" s="3277">
        <v>12082.191780821919</v>
      </c>
      <c r="AF983" s="2236">
        <f t="shared" si="142"/>
        <v>12082.191780821919</v>
      </c>
      <c r="AG983" s="1396"/>
      <c r="DG983" s="573"/>
      <c r="DH983" s="159"/>
      <c r="DI983" s="1091"/>
    </row>
    <row r="984" spans="1:113" hidden="1" outlineLevel="1">
      <c r="A984" s="453"/>
      <c r="C984" s="51"/>
      <c r="D984" s="4293"/>
      <c r="E984" s="4293"/>
      <c r="F984" s="4341" t="str">
        <f t="shared" si="149"/>
        <v>Mini/MultiSplitASHP-Replace_CAC_ElectricHeat_ER1_MF_CompE</v>
      </c>
      <c r="G984" s="4341"/>
      <c r="H984" s="4341"/>
      <c r="I984" s="3334" t="str">
        <f t="shared" si="150"/>
        <v>351751_2024_12_</v>
      </c>
      <c r="J984" s="3266">
        <v>24000</v>
      </c>
      <c r="K984" s="3337">
        <f t="shared" si="146"/>
        <v>2</v>
      </c>
      <c r="L984" s="3338" t="s">
        <v>2046</v>
      </c>
      <c r="N984" s="564"/>
      <c r="O984" s="945"/>
      <c r="S984" s="52"/>
      <c r="T984" s="52"/>
      <c r="U984" s="52"/>
      <c r="V984" s="4293"/>
      <c r="W984" s="3262"/>
      <c r="X984" s="3265"/>
      <c r="Y984" s="3265">
        <v>18000</v>
      </c>
      <c r="Z984" s="3262">
        <v>18000</v>
      </c>
      <c r="AA984" s="3262">
        <v>18000</v>
      </c>
      <c r="AB984" s="3277">
        <v>18840</v>
      </c>
      <c r="AC984" s="3277">
        <v>18837.20930232558</v>
      </c>
      <c r="AD984" s="3277">
        <v>24000</v>
      </c>
      <c r="AE984" s="3268">
        <v>24000</v>
      </c>
      <c r="AF984" s="2236">
        <f t="shared" si="142"/>
        <v>24000</v>
      </c>
      <c r="AG984" s="1396"/>
      <c r="DG984" s="573"/>
      <c r="DH984" s="159"/>
      <c r="DI984" s="1091"/>
    </row>
    <row r="985" spans="1:113" hidden="1" outlineLevel="1">
      <c r="A985" s="453"/>
      <c r="C985" s="51"/>
      <c r="D985" s="4293"/>
      <c r="E985" s="4293"/>
      <c r="F985" s="4341" t="str">
        <f t="shared" si="149"/>
        <v>Mini/MultiSplitASHP-Replace_CAC_ElectricHeat_ROF_MF_CompE</v>
      </c>
      <c r="G985" s="4341"/>
      <c r="H985" s="4341"/>
      <c r="I985" s="3334" t="str">
        <f t="shared" si="150"/>
        <v>351801_2024_12_</v>
      </c>
      <c r="J985" s="3266">
        <v>12082.191780821919</v>
      </c>
      <c r="K985" s="3337">
        <f t="shared" si="146"/>
        <v>1.0068493150684932</v>
      </c>
      <c r="L985" s="3272" t="s">
        <v>1934</v>
      </c>
      <c r="N985" s="564"/>
      <c r="O985" s="945"/>
      <c r="S985" s="52"/>
      <c r="T985" s="52"/>
      <c r="U985" s="52"/>
      <c r="V985" s="4293"/>
      <c r="W985" s="3262"/>
      <c r="X985" s="3265"/>
      <c r="Y985" s="3265">
        <v>19200</v>
      </c>
      <c r="Z985" s="3262">
        <v>19200</v>
      </c>
      <c r="AA985" s="3262">
        <v>19200</v>
      </c>
      <c r="AB985" s="3277">
        <v>19200</v>
      </c>
      <c r="AC985" s="3277">
        <v>20769.23076923077</v>
      </c>
      <c r="AD985" s="3277">
        <v>24000</v>
      </c>
      <c r="AE985" s="3277">
        <v>12082.191780821919</v>
      </c>
      <c r="AF985" s="2236">
        <f t="shared" si="142"/>
        <v>12082.191780821919</v>
      </c>
      <c r="AG985" s="1396"/>
      <c r="DG985" s="573"/>
      <c r="DH985" s="159"/>
      <c r="DI985" s="1091"/>
    </row>
    <row r="986" spans="1:113" hidden="1" outlineLevel="1">
      <c r="A986" s="453"/>
      <c r="C986" s="51"/>
      <c r="D986" s="4293"/>
      <c r="E986" s="4293"/>
      <c r="F986" s="4341" t="str">
        <f>F959</f>
        <v>Mini/MultiSplitASHP-Replace_CAC_NonElectricHeat_ER1_MF_CompE</v>
      </c>
      <c r="G986" s="4341"/>
      <c r="H986" s="4341"/>
      <c r="I986" s="3334" t="str">
        <f t="shared" si="150"/>
        <v>351753_2024_12_</v>
      </c>
      <c r="J986" s="3266">
        <v>24000</v>
      </c>
      <c r="K986" s="3337">
        <f t="shared" si="146"/>
        <v>2</v>
      </c>
      <c r="L986" s="3338" t="s">
        <v>1945</v>
      </c>
      <c r="N986" s="564"/>
      <c r="O986" s="945"/>
      <c r="S986" s="52"/>
      <c r="T986" s="52"/>
      <c r="U986" s="52"/>
      <c r="V986" s="4293"/>
      <c r="W986" s="3262"/>
      <c r="X986" s="3265"/>
      <c r="Y986" s="3265"/>
      <c r="Z986" s="3262"/>
      <c r="AA986" s="3262"/>
      <c r="AB986" s="3277"/>
      <c r="AC986" s="3277"/>
      <c r="AD986" s="3277">
        <v>24000</v>
      </c>
      <c r="AE986" s="3268">
        <v>24000</v>
      </c>
      <c r="AF986" s="2236">
        <f t="shared" si="142"/>
        <v>24000</v>
      </c>
      <c r="AG986" s="1396"/>
      <c r="DG986" s="573"/>
      <c r="DH986" s="159"/>
      <c r="DI986" s="1091"/>
    </row>
    <row r="987" spans="1:113" hidden="1" outlineLevel="1">
      <c r="A987" s="453"/>
      <c r="C987" s="51"/>
      <c r="D987" s="4293"/>
      <c r="E987" s="4293"/>
      <c r="F987" s="4341" t="str">
        <f>F960</f>
        <v>Mini/MultiSplitASHP-Replace_CAC_NonElectricHeat_ROF_MF_CompE</v>
      </c>
      <c r="G987" s="4341"/>
      <c r="H987" s="4341"/>
      <c r="I987" s="3334" t="str">
        <f t="shared" si="150"/>
        <v>351803_2024_12_</v>
      </c>
      <c r="J987" s="3266">
        <v>12082.191780821919</v>
      </c>
      <c r="K987" s="3337">
        <f t="shared" si="146"/>
        <v>1.0068493150684932</v>
      </c>
      <c r="L987" s="3272" t="s">
        <v>1934</v>
      </c>
      <c r="N987" s="564"/>
      <c r="O987" s="945"/>
      <c r="S987" s="52"/>
      <c r="T987" s="52"/>
      <c r="U987" s="52"/>
      <c r="V987" s="4293"/>
      <c r="W987" s="3262"/>
      <c r="X987" s="3265"/>
      <c r="Y987" s="3265"/>
      <c r="Z987" s="3262"/>
      <c r="AA987" s="3262"/>
      <c r="AB987" s="3277"/>
      <c r="AC987" s="3277"/>
      <c r="AD987" s="3277">
        <v>24000</v>
      </c>
      <c r="AE987" s="3277">
        <v>12082.191780821919</v>
      </c>
      <c r="AF987" s="2236">
        <f t="shared" si="142"/>
        <v>12082.191780821919</v>
      </c>
      <c r="AG987" s="1396"/>
      <c r="DG987" s="573"/>
      <c r="DH987" s="159"/>
      <c r="DI987" s="1091"/>
    </row>
    <row r="988" spans="1:113" hidden="1" outlineLevel="1">
      <c r="A988" s="453"/>
      <c r="C988" s="51"/>
      <c r="D988" s="4293"/>
      <c r="E988" s="4293"/>
      <c r="F988" s="4341" t="str">
        <f t="shared" ref="F988:F994" si="151">F961</f>
        <v>Mini/MultiSplitASHP_ER1_MF_CompE</v>
      </c>
      <c r="G988" s="4341"/>
      <c r="H988" s="4341"/>
      <c r="I988" s="3334" t="str">
        <f t="shared" ref="I988:I996" si="152">I961</f>
        <v>351851_2024_12_</v>
      </c>
      <c r="J988" s="3266">
        <v>24000</v>
      </c>
      <c r="K988" s="3337">
        <f t="shared" si="146"/>
        <v>2</v>
      </c>
      <c r="L988" s="3338" t="s">
        <v>2046</v>
      </c>
      <c r="N988" s="564"/>
      <c r="O988" s="945"/>
      <c r="S988" s="52"/>
      <c r="T988" s="52"/>
      <c r="U988" s="52"/>
      <c r="V988" s="4293"/>
      <c r="W988" s="3262"/>
      <c r="X988" s="3265"/>
      <c r="Y988" s="3265">
        <v>18000</v>
      </c>
      <c r="Z988" s="3262">
        <v>18000</v>
      </c>
      <c r="AA988" s="3262">
        <v>18000</v>
      </c>
      <c r="AB988" s="3277">
        <v>15375</v>
      </c>
      <c r="AC988" s="3277">
        <v>17727.272727272728</v>
      </c>
      <c r="AD988" s="3277">
        <v>24000</v>
      </c>
      <c r="AE988" s="3268">
        <v>24000</v>
      </c>
      <c r="AF988" s="2236">
        <f t="shared" si="142"/>
        <v>24000</v>
      </c>
      <c r="AG988" s="1396"/>
      <c r="DG988" s="573"/>
      <c r="DH988" s="159"/>
      <c r="DI988" s="1091"/>
    </row>
    <row r="989" spans="1:113" ht="15" hidden="1" customHeight="1" outlineLevel="1">
      <c r="A989" s="453"/>
      <c r="C989" s="51"/>
      <c r="D989" s="4293" t="s">
        <v>891</v>
      </c>
      <c r="E989" s="4293" t="s">
        <v>2060</v>
      </c>
      <c r="F989" s="4342" t="str">
        <f t="shared" si="151"/>
        <v>Mini/MultiSplitAC_ER1_SF</v>
      </c>
      <c r="G989" s="4342"/>
      <c r="H989" s="4342"/>
      <c r="I989" s="929" t="str">
        <f t="shared" si="152"/>
        <v>351200_2024_12_</v>
      </c>
      <c r="J989" s="1790">
        <v>635</v>
      </c>
      <c r="K989" s="13"/>
      <c r="L989" s="4362" t="s">
        <v>1466</v>
      </c>
      <c r="N989" s="564"/>
      <c r="S989" s="52"/>
      <c r="T989" s="52"/>
      <c r="U989" s="52"/>
      <c r="V989" s="4293" t="s">
        <v>891</v>
      </c>
      <c r="W989" s="1396">
        <v>869</v>
      </c>
      <c r="X989" s="1396">
        <v>869</v>
      </c>
      <c r="Y989" s="833">
        <v>635</v>
      </c>
      <c r="Z989" s="1396">
        <v>635</v>
      </c>
      <c r="AA989" s="1396">
        <v>635</v>
      </c>
      <c r="AB989" s="1405">
        <v>635</v>
      </c>
      <c r="AC989" s="1405">
        <v>635</v>
      </c>
      <c r="AD989" s="1405">
        <v>635</v>
      </c>
      <c r="AE989" s="1405">
        <v>635</v>
      </c>
      <c r="AF989" s="271">
        <f t="shared" si="142"/>
        <v>635</v>
      </c>
      <c r="AG989" s="1396"/>
      <c r="DG989" s="573"/>
      <c r="DH989" s="159"/>
      <c r="DI989" s="1091"/>
    </row>
    <row r="990" spans="1:113" hidden="1" outlineLevel="1">
      <c r="A990" s="453"/>
      <c r="C990" s="51"/>
      <c r="D990" s="4293"/>
      <c r="E990" s="4293"/>
      <c r="F990" s="4342" t="str">
        <f t="shared" si="151"/>
        <v>Mini/MultiSplitAC_ROF_SF</v>
      </c>
      <c r="G990" s="4342"/>
      <c r="H990" s="4342"/>
      <c r="I990" s="929" t="str">
        <f t="shared" si="152"/>
        <v>351250_2024_12_</v>
      </c>
      <c r="J990" s="1790">
        <v>635</v>
      </c>
      <c r="K990" s="1761"/>
      <c r="L990" s="4197"/>
      <c r="N990" s="564"/>
      <c r="S990" s="52"/>
      <c r="T990" s="52"/>
      <c r="U990" s="52"/>
      <c r="V990" s="4293"/>
      <c r="W990" s="1396">
        <v>869</v>
      </c>
      <c r="X990" s="1396">
        <v>869</v>
      </c>
      <c r="Y990" s="833">
        <v>635</v>
      </c>
      <c r="Z990" s="1396">
        <v>635</v>
      </c>
      <c r="AA990" s="1396">
        <v>635</v>
      </c>
      <c r="AB990" s="1405">
        <v>635</v>
      </c>
      <c r="AC990" s="1405">
        <v>635</v>
      </c>
      <c r="AD990" s="1405">
        <v>635</v>
      </c>
      <c r="AE990" s="1405">
        <v>635</v>
      </c>
      <c r="AF990" s="271">
        <f t="shared" si="142"/>
        <v>635</v>
      </c>
      <c r="AG990" s="1396"/>
      <c r="DG990" s="573"/>
      <c r="DH990" s="159"/>
      <c r="DI990" s="1091"/>
    </row>
    <row r="991" spans="1:113" hidden="1" outlineLevel="1">
      <c r="A991" s="453"/>
      <c r="C991" s="51"/>
      <c r="D991" s="4293"/>
      <c r="E991" s="4293"/>
      <c r="F991" s="4342" t="str">
        <f t="shared" si="151"/>
        <v>Mini/MultiSplitASHP_ROF_SF_NC</v>
      </c>
      <c r="G991" s="4342"/>
      <c r="H991" s="4342"/>
      <c r="I991" s="929" t="str">
        <f t="shared" si="152"/>
        <v>351300_2024_12_</v>
      </c>
      <c r="J991" s="1790">
        <v>635</v>
      </c>
      <c r="K991" s="1761"/>
      <c r="L991" s="4197"/>
      <c r="N991" s="564"/>
      <c r="S991" s="52"/>
      <c r="T991" s="52"/>
      <c r="U991" s="52"/>
      <c r="V991" s="4293"/>
      <c r="W991" s="1396">
        <v>869</v>
      </c>
      <c r="X991" s="1396">
        <v>869</v>
      </c>
      <c r="Y991" s="833">
        <v>635</v>
      </c>
      <c r="Z991" s="1396">
        <v>635</v>
      </c>
      <c r="AA991" s="1396">
        <v>635</v>
      </c>
      <c r="AB991" s="1405">
        <v>635</v>
      </c>
      <c r="AC991" s="1405">
        <v>635</v>
      </c>
      <c r="AD991" s="1405">
        <v>635</v>
      </c>
      <c r="AE991" s="1405">
        <v>635</v>
      </c>
      <c r="AF991" s="271">
        <f t="shared" si="142"/>
        <v>635</v>
      </c>
      <c r="AG991" s="1396"/>
      <c r="DG991" s="573"/>
      <c r="DH991" s="159"/>
      <c r="DI991" s="1091"/>
    </row>
    <row r="992" spans="1:113" hidden="1" outlineLevel="1">
      <c r="A992" s="453"/>
      <c r="C992" s="51"/>
      <c r="D992" s="4293"/>
      <c r="E992" s="4293"/>
      <c r="F992" s="4342" t="str">
        <f t="shared" si="151"/>
        <v>Mini/MultiSplitASHP_ROF_SF</v>
      </c>
      <c r="G992" s="4342"/>
      <c r="H992" s="4342"/>
      <c r="I992" s="929" t="str">
        <f t="shared" si="152"/>
        <v>351350_2024_12_</v>
      </c>
      <c r="J992" s="1790">
        <v>635</v>
      </c>
      <c r="K992" s="1761"/>
      <c r="L992" s="4197"/>
      <c r="N992" s="564"/>
      <c r="S992" s="52"/>
      <c r="T992" s="52"/>
      <c r="U992" s="52"/>
      <c r="V992" s="4293"/>
      <c r="W992" s="1396">
        <v>869</v>
      </c>
      <c r="X992" s="1396">
        <v>869</v>
      </c>
      <c r="Y992" s="833">
        <v>635</v>
      </c>
      <c r="Z992" s="1396">
        <v>635</v>
      </c>
      <c r="AA992" s="1396">
        <v>635</v>
      </c>
      <c r="AB992" s="1405">
        <v>635</v>
      </c>
      <c r="AC992" s="1405">
        <v>635</v>
      </c>
      <c r="AD992" s="1405">
        <v>635</v>
      </c>
      <c r="AE992" s="1405">
        <v>635</v>
      </c>
      <c r="AF992" s="271">
        <f t="shared" si="142"/>
        <v>635</v>
      </c>
      <c r="AG992" s="1396"/>
      <c r="DG992" s="573"/>
      <c r="DH992" s="159"/>
      <c r="DI992" s="1091"/>
    </row>
    <row r="993" spans="1:113" hidden="1" outlineLevel="1">
      <c r="A993" s="453"/>
      <c r="C993" s="51"/>
      <c r="D993" s="4293"/>
      <c r="E993" s="4293"/>
      <c r="F993" s="4342" t="str">
        <f t="shared" si="151"/>
        <v>Mini/MultiSplitASHP-Replace_CAC_ElectricHeat_ER1_SF</v>
      </c>
      <c r="G993" s="4342"/>
      <c r="H993" s="4342"/>
      <c r="I993" s="929" t="str">
        <f t="shared" si="152"/>
        <v>351400_2024_12_</v>
      </c>
      <c r="J993" s="1790">
        <v>635</v>
      </c>
      <c r="K993" s="1761"/>
      <c r="L993" s="4197"/>
      <c r="N993" s="564"/>
      <c r="S993" s="52"/>
      <c r="T993" s="52"/>
      <c r="U993" s="52"/>
      <c r="V993" s="4293"/>
      <c r="W993" s="1396">
        <v>869</v>
      </c>
      <c r="X993" s="1396">
        <v>869</v>
      </c>
      <c r="Y993" s="833">
        <v>635</v>
      </c>
      <c r="Z993" s="1396">
        <v>635</v>
      </c>
      <c r="AA993" s="1396">
        <v>635</v>
      </c>
      <c r="AB993" s="1405">
        <v>635</v>
      </c>
      <c r="AC993" s="1405">
        <v>635</v>
      </c>
      <c r="AD993" s="1405">
        <v>635</v>
      </c>
      <c r="AE993" s="1405">
        <v>635</v>
      </c>
      <c r="AF993" s="271">
        <f t="shared" si="142"/>
        <v>635</v>
      </c>
      <c r="AG993" s="1396"/>
      <c r="DG993" s="573"/>
      <c r="DH993" s="159"/>
      <c r="DI993" s="1091"/>
    </row>
    <row r="994" spans="1:113" hidden="1" outlineLevel="1">
      <c r="A994" s="453"/>
      <c r="C994" s="51"/>
      <c r="D994" s="4293"/>
      <c r="E994" s="4293"/>
      <c r="F994" s="4342" t="str">
        <f t="shared" si="151"/>
        <v>Mini/MultiSplitASHP-Replace_CAC_ElectricHeat_ROF_SF</v>
      </c>
      <c r="G994" s="4342"/>
      <c r="H994" s="4342"/>
      <c r="I994" s="929" t="str">
        <f t="shared" si="152"/>
        <v>351450_2024_12_</v>
      </c>
      <c r="J994" s="1790">
        <v>635</v>
      </c>
      <c r="K994" s="1761"/>
      <c r="L994" s="4197"/>
      <c r="N994" s="564"/>
      <c r="S994" s="52"/>
      <c r="T994" s="52"/>
      <c r="U994" s="52"/>
      <c r="V994" s="4293"/>
      <c r="W994" s="1396">
        <v>869</v>
      </c>
      <c r="X994" s="1396">
        <v>869</v>
      </c>
      <c r="Y994" s="833">
        <v>635</v>
      </c>
      <c r="Z994" s="1396">
        <v>635</v>
      </c>
      <c r="AA994" s="1396">
        <v>635</v>
      </c>
      <c r="AB994" s="1405">
        <v>635</v>
      </c>
      <c r="AC994" s="1405">
        <v>635</v>
      </c>
      <c r="AD994" s="1405">
        <v>635</v>
      </c>
      <c r="AE994" s="1405">
        <v>635</v>
      </c>
      <c r="AF994" s="271">
        <f t="shared" si="142"/>
        <v>635</v>
      </c>
      <c r="AG994" s="1396"/>
      <c r="DG994" s="573"/>
      <c r="DH994" s="159"/>
      <c r="DI994" s="1091"/>
    </row>
    <row r="995" spans="1:113" hidden="1" outlineLevel="1">
      <c r="A995" s="453"/>
      <c r="C995" s="51"/>
      <c r="D995" s="4293"/>
      <c r="E995" s="4293"/>
      <c r="F995" s="4342" t="str">
        <f>F968</f>
        <v>Mini/MultiSplitASHP-Replace_CAC_NonElectricHeat_ER1_SF</v>
      </c>
      <c r="G995" s="4342"/>
      <c r="H995" s="4342"/>
      <c r="I995" s="929" t="str">
        <f t="shared" si="152"/>
        <v>351401_2024_12_</v>
      </c>
      <c r="J995" s="1790">
        <v>635</v>
      </c>
      <c r="K995" s="1761"/>
      <c r="L995" s="4197"/>
      <c r="N995" s="564"/>
      <c r="S995" s="52"/>
      <c r="T995" s="52"/>
      <c r="U995" s="52"/>
      <c r="V995" s="4293"/>
      <c r="W995" s="1396"/>
      <c r="X995" s="1396"/>
      <c r="Y995" s="833"/>
      <c r="Z995" s="1396"/>
      <c r="AA995" s="1396"/>
      <c r="AB995" s="1405"/>
      <c r="AC995" s="1405"/>
      <c r="AD995" s="965">
        <v>635</v>
      </c>
      <c r="AE995" s="1405">
        <v>635</v>
      </c>
      <c r="AF995" s="271">
        <f t="shared" si="142"/>
        <v>635</v>
      </c>
      <c r="AG995" s="1396"/>
      <c r="DG995" s="573"/>
      <c r="DH995" s="159"/>
      <c r="DI995" s="1091"/>
    </row>
    <row r="996" spans="1:113" hidden="1" outlineLevel="1">
      <c r="A996" s="453"/>
      <c r="C996" s="51"/>
      <c r="D996" s="4293"/>
      <c r="E996" s="4293"/>
      <c r="F996" s="4342" t="str">
        <f>F969</f>
        <v>Mini/MultiSplitASHP-Replace_CAC_NonElectricHeat_ROF_SF</v>
      </c>
      <c r="G996" s="4342"/>
      <c r="H996" s="4342"/>
      <c r="I996" s="929" t="str">
        <f t="shared" si="152"/>
        <v>351451_2024_12_</v>
      </c>
      <c r="J996" s="1790">
        <v>635</v>
      </c>
      <c r="K996" s="1761"/>
      <c r="L996" s="4197"/>
      <c r="N996" s="564"/>
      <c r="S996" s="52"/>
      <c r="T996" s="52"/>
      <c r="U996" s="52"/>
      <c r="V996" s="4293"/>
      <c r="W996" s="1396"/>
      <c r="X996" s="1396"/>
      <c r="Y996" s="833"/>
      <c r="Z996" s="1396"/>
      <c r="AA996" s="1396"/>
      <c r="AB996" s="1405"/>
      <c r="AC996" s="1405"/>
      <c r="AD996" s="965">
        <v>635</v>
      </c>
      <c r="AE996" s="1405">
        <v>635</v>
      </c>
      <c r="AF996" s="271">
        <f t="shared" si="142"/>
        <v>635</v>
      </c>
      <c r="AG996" s="1396"/>
      <c r="DG996" s="573"/>
      <c r="DH996" s="159"/>
      <c r="DI996" s="1091"/>
    </row>
    <row r="997" spans="1:113" hidden="1" outlineLevel="1">
      <c r="A997" s="453"/>
      <c r="C997" s="51"/>
      <c r="D997" s="4293"/>
      <c r="E997" s="4293"/>
      <c r="F997" s="4342" t="str">
        <f t="shared" ref="F997:F1003" si="153">F970</f>
        <v>Mini/MultiSplitASHP_ER1_SF</v>
      </c>
      <c r="G997" s="4342"/>
      <c r="H997" s="4342"/>
      <c r="I997" s="929" t="str">
        <f t="shared" ref="I997:I1005" si="154">I970</f>
        <v>351500_2024_12_</v>
      </c>
      <c r="J997" s="1790">
        <v>635</v>
      </c>
      <c r="K997" s="1761"/>
      <c r="L997" s="4197"/>
      <c r="N997" s="564"/>
      <c r="S997" s="52"/>
      <c r="T997" s="52"/>
      <c r="U997" s="52"/>
      <c r="V997" s="4293"/>
      <c r="W997" s="1396">
        <v>869</v>
      </c>
      <c r="X997" s="1396">
        <v>869</v>
      </c>
      <c r="Y997" s="833">
        <v>635</v>
      </c>
      <c r="Z997" s="1396">
        <v>635</v>
      </c>
      <c r="AA997" s="1396">
        <v>635</v>
      </c>
      <c r="AB997" s="1405">
        <v>635</v>
      </c>
      <c r="AC997" s="1405">
        <v>635</v>
      </c>
      <c r="AD997" s="1405">
        <v>635</v>
      </c>
      <c r="AE997" s="1405">
        <v>635</v>
      </c>
      <c r="AF997" s="271">
        <f t="shared" si="142"/>
        <v>635</v>
      </c>
      <c r="AG997" s="1396"/>
      <c r="DG997" s="573"/>
      <c r="DH997" s="159"/>
      <c r="DI997" s="1091"/>
    </row>
    <row r="998" spans="1:113" hidden="1" outlineLevel="1">
      <c r="A998" s="453"/>
      <c r="C998" s="51"/>
      <c r="D998" s="4293"/>
      <c r="E998" s="4293"/>
      <c r="F998" s="4342" t="str">
        <f t="shared" si="153"/>
        <v>Mini/MultiSplitAC_ER1_MF</v>
      </c>
      <c r="G998" s="4342"/>
      <c r="H998" s="4342"/>
      <c r="I998" s="929" t="str">
        <f t="shared" si="154"/>
        <v>351550_2024_12_</v>
      </c>
      <c r="J998" s="1790">
        <v>635</v>
      </c>
      <c r="K998" s="1761"/>
      <c r="L998" s="4197"/>
      <c r="N998" s="564"/>
      <c r="S998" s="52"/>
      <c r="T998" s="52"/>
      <c r="U998" s="52"/>
      <c r="V998" s="4293"/>
      <c r="W998" s="1396"/>
      <c r="X998" s="833"/>
      <c r="Y998" s="833">
        <v>635</v>
      </c>
      <c r="Z998" s="1396">
        <v>635</v>
      </c>
      <c r="AA998" s="1396">
        <v>635</v>
      </c>
      <c r="AB998" s="1405">
        <v>635</v>
      </c>
      <c r="AC998" s="1405">
        <v>635</v>
      </c>
      <c r="AD998" s="1405">
        <v>635</v>
      </c>
      <c r="AE998" s="1405">
        <v>635</v>
      </c>
      <c r="AF998" s="271">
        <f t="shared" si="142"/>
        <v>635</v>
      </c>
      <c r="AG998" s="1396"/>
      <c r="DG998" s="573"/>
      <c r="DH998" s="159"/>
      <c r="DI998" s="1091"/>
    </row>
    <row r="999" spans="1:113" hidden="1" outlineLevel="1">
      <c r="A999" s="453"/>
      <c r="C999" s="51"/>
      <c r="D999" s="4293"/>
      <c r="E999" s="4293"/>
      <c r="F999" s="4341" t="str">
        <f t="shared" si="153"/>
        <v>Mini/MultiSplitAC_ROF_MF</v>
      </c>
      <c r="G999" s="4341"/>
      <c r="H999" s="4341"/>
      <c r="I999" s="3334" t="str">
        <f t="shared" si="154"/>
        <v>351600_2024_12_</v>
      </c>
      <c r="J999" s="3263">
        <v>635</v>
      </c>
      <c r="K999" s="1761"/>
      <c r="L999" s="4197"/>
      <c r="N999" s="564"/>
      <c r="S999" s="52"/>
      <c r="T999" s="52"/>
      <c r="U999" s="52"/>
      <c r="V999" s="4293"/>
      <c r="W999" s="3262"/>
      <c r="X999" s="3265"/>
      <c r="Y999" s="3265">
        <v>635</v>
      </c>
      <c r="Z999" s="3262">
        <v>635</v>
      </c>
      <c r="AA999" s="3262">
        <v>635</v>
      </c>
      <c r="AB999" s="3284">
        <v>635</v>
      </c>
      <c r="AC999" s="3284">
        <v>635</v>
      </c>
      <c r="AD999" s="3284">
        <v>635</v>
      </c>
      <c r="AE999" s="3284">
        <v>635</v>
      </c>
      <c r="AF999" s="2236">
        <f t="shared" si="142"/>
        <v>635</v>
      </c>
      <c r="AG999" s="1396"/>
      <c r="DG999" s="573"/>
      <c r="DH999" s="159"/>
      <c r="DI999" s="1091"/>
    </row>
    <row r="1000" spans="1:113" hidden="1" outlineLevel="1">
      <c r="A1000" s="453"/>
      <c r="C1000" s="51"/>
      <c r="D1000" s="4293"/>
      <c r="E1000" s="4293"/>
      <c r="F1000" s="4341" t="str">
        <f t="shared" si="153"/>
        <v>Mini/MultiSplitASHP_ROF_MF_NC</v>
      </c>
      <c r="G1000" s="4341"/>
      <c r="H1000" s="4341"/>
      <c r="I1000" s="3334" t="str">
        <f t="shared" si="154"/>
        <v>351650_2024_12_</v>
      </c>
      <c r="J1000" s="3263">
        <v>635</v>
      </c>
      <c r="K1000" s="1761"/>
      <c r="L1000" s="4197"/>
      <c r="N1000" s="564"/>
      <c r="S1000" s="52"/>
      <c r="T1000" s="52"/>
      <c r="U1000" s="52"/>
      <c r="V1000" s="4293"/>
      <c r="W1000" s="3262"/>
      <c r="X1000" s="3265"/>
      <c r="Y1000" s="3265">
        <v>635</v>
      </c>
      <c r="Z1000" s="3262">
        <v>635</v>
      </c>
      <c r="AA1000" s="3262">
        <v>635</v>
      </c>
      <c r="AB1000" s="3284">
        <v>635</v>
      </c>
      <c r="AC1000" s="3284">
        <v>635</v>
      </c>
      <c r="AD1000" s="3284">
        <v>635</v>
      </c>
      <c r="AE1000" s="3284">
        <v>635</v>
      </c>
      <c r="AF1000" s="2236">
        <f t="shared" si="142"/>
        <v>635</v>
      </c>
      <c r="AG1000" s="1396"/>
      <c r="DG1000" s="573"/>
      <c r="DH1000" s="159"/>
      <c r="DI1000" s="1091"/>
    </row>
    <row r="1001" spans="1:113" hidden="1" outlineLevel="1">
      <c r="A1001" s="453"/>
      <c r="C1001" s="51"/>
      <c r="D1001" s="4293"/>
      <c r="E1001" s="4293"/>
      <c r="F1001" s="4341" t="str">
        <f t="shared" si="153"/>
        <v>Mini/MultiSplitASHP_ROF_MF</v>
      </c>
      <c r="G1001" s="4341"/>
      <c r="H1001" s="4341"/>
      <c r="I1001" s="3334" t="str">
        <f t="shared" si="154"/>
        <v>351700_2024_12_</v>
      </c>
      <c r="J1001" s="3263">
        <v>635</v>
      </c>
      <c r="K1001" s="1761"/>
      <c r="L1001" s="4197"/>
      <c r="N1001" s="564"/>
      <c r="S1001" s="52"/>
      <c r="T1001" s="52"/>
      <c r="U1001" s="52"/>
      <c r="V1001" s="4293"/>
      <c r="W1001" s="3262"/>
      <c r="X1001" s="3265"/>
      <c r="Y1001" s="3265">
        <v>635</v>
      </c>
      <c r="Z1001" s="3262">
        <v>635</v>
      </c>
      <c r="AA1001" s="3262">
        <v>635</v>
      </c>
      <c r="AB1001" s="3284">
        <v>635</v>
      </c>
      <c r="AC1001" s="3284">
        <v>635</v>
      </c>
      <c r="AD1001" s="3284">
        <v>635</v>
      </c>
      <c r="AE1001" s="3284">
        <v>635</v>
      </c>
      <c r="AF1001" s="2236">
        <f t="shared" si="142"/>
        <v>635</v>
      </c>
      <c r="AG1001" s="1396"/>
      <c r="DG1001" s="573"/>
      <c r="DH1001" s="159"/>
      <c r="DI1001" s="1091"/>
    </row>
    <row r="1002" spans="1:113" hidden="1" outlineLevel="1">
      <c r="A1002" s="453"/>
      <c r="C1002" s="51"/>
      <c r="D1002" s="4293"/>
      <c r="E1002" s="4293"/>
      <c r="F1002" s="4341" t="str">
        <f t="shared" si="153"/>
        <v>Mini/MultiSplitASHP-Replace_CAC_ElectricHeat_ER1_MF</v>
      </c>
      <c r="G1002" s="4341"/>
      <c r="H1002" s="4341"/>
      <c r="I1002" s="3334" t="str">
        <f t="shared" si="154"/>
        <v>351750_2024_12_</v>
      </c>
      <c r="J1002" s="3263">
        <v>635</v>
      </c>
      <c r="K1002" s="1761"/>
      <c r="L1002" s="4197"/>
      <c r="N1002" s="564"/>
      <c r="S1002" s="52"/>
      <c r="T1002" s="52"/>
      <c r="U1002" s="52"/>
      <c r="V1002" s="4293"/>
      <c r="W1002" s="3262"/>
      <c r="X1002" s="3265"/>
      <c r="Y1002" s="3265">
        <v>635</v>
      </c>
      <c r="Z1002" s="3262">
        <v>635</v>
      </c>
      <c r="AA1002" s="3262">
        <v>635</v>
      </c>
      <c r="AB1002" s="3284">
        <v>635</v>
      </c>
      <c r="AC1002" s="3284">
        <v>635</v>
      </c>
      <c r="AD1002" s="3284">
        <v>635</v>
      </c>
      <c r="AE1002" s="3284">
        <v>635</v>
      </c>
      <c r="AF1002" s="2236">
        <f t="shared" si="142"/>
        <v>635</v>
      </c>
      <c r="AG1002" s="1396"/>
      <c r="DG1002" s="573"/>
      <c r="DH1002" s="159"/>
      <c r="DI1002" s="1091"/>
    </row>
    <row r="1003" spans="1:113" hidden="1" outlineLevel="1">
      <c r="A1003" s="453"/>
      <c r="C1003" s="51"/>
      <c r="D1003" s="4293"/>
      <c r="E1003" s="4293"/>
      <c r="F1003" s="4341" t="str">
        <f t="shared" si="153"/>
        <v>Mini/MultiSplitASHP-Replace_CAC_ElectricHeat_ROF_MF</v>
      </c>
      <c r="G1003" s="4341"/>
      <c r="H1003" s="4341"/>
      <c r="I1003" s="3334" t="str">
        <f t="shared" si="154"/>
        <v>351800_2024_12_</v>
      </c>
      <c r="J1003" s="3263">
        <v>635</v>
      </c>
      <c r="K1003" s="1761"/>
      <c r="L1003" s="4197"/>
      <c r="N1003" s="564"/>
      <c r="S1003" s="52"/>
      <c r="T1003" s="52"/>
      <c r="U1003" s="52"/>
      <c r="V1003" s="4293"/>
      <c r="W1003" s="3262"/>
      <c r="X1003" s="3265"/>
      <c r="Y1003" s="3265">
        <v>635</v>
      </c>
      <c r="Z1003" s="3262">
        <v>635</v>
      </c>
      <c r="AA1003" s="3262">
        <v>635</v>
      </c>
      <c r="AB1003" s="3284">
        <v>635</v>
      </c>
      <c r="AC1003" s="3284">
        <v>635</v>
      </c>
      <c r="AD1003" s="3284">
        <v>635</v>
      </c>
      <c r="AE1003" s="3284">
        <v>635</v>
      </c>
      <c r="AF1003" s="2236">
        <f t="shared" si="142"/>
        <v>635</v>
      </c>
      <c r="AG1003" s="1396"/>
      <c r="DG1003" s="573"/>
      <c r="DH1003" s="159"/>
      <c r="DI1003" s="1091"/>
    </row>
    <row r="1004" spans="1:113" hidden="1" outlineLevel="1">
      <c r="A1004" s="453"/>
      <c r="C1004" s="51"/>
      <c r="D1004" s="4293"/>
      <c r="E1004" s="4293"/>
      <c r="F1004" s="4341" t="str">
        <f>F977</f>
        <v>Mini/MultiSplitASHP-Replace_CAC_NonElectricHeat_ER1_MF</v>
      </c>
      <c r="G1004" s="4341"/>
      <c r="H1004" s="4341"/>
      <c r="I1004" s="3334" t="str">
        <f t="shared" si="154"/>
        <v>351752_2024_12_</v>
      </c>
      <c r="J1004" s="3263">
        <v>635</v>
      </c>
      <c r="K1004" s="1761"/>
      <c r="L1004" s="4197"/>
      <c r="N1004" s="564"/>
      <c r="S1004" s="52"/>
      <c r="T1004" s="52"/>
      <c r="U1004" s="52"/>
      <c r="V1004" s="4293"/>
      <c r="W1004" s="3262"/>
      <c r="X1004" s="3265"/>
      <c r="Y1004" s="3265"/>
      <c r="Z1004" s="3262"/>
      <c r="AA1004" s="3262"/>
      <c r="AB1004" s="3284"/>
      <c r="AC1004" s="3284"/>
      <c r="AD1004" s="3345">
        <v>635</v>
      </c>
      <c r="AE1004" s="3284">
        <v>635</v>
      </c>
      <c r="AF1004" s="2236">
        <f t="shared" si="142"/>
        <v>635</v>
      </c>
      <c r="AG1004" s="1396"/>
      <c r="DG1004" s="573"/>
      <c r="DH1004" s="159"/>
      <c r="DI1004" s="1091"/>
    </row>
    <row r="1005" spans="1:113" hidden="1" outlineLevel="1">
      <c r="A1005" s="453"/>
      <c r="C1005" s="51"/>
      <c r="D1005" s="4293"/>
      <c r="E1005" s="4293"/>
      <c r="F1005" s="4341" t="str">
        <f>F978</f>
        <v>Mini/MultiSplitASHP-Replace_CAC_NonElectricHeat_ROF_MF</v>
      </c>
      <c r="G1005" s="4341"/>
      <c r="H1005" s="4341"/>
      <c r="I1005" s="3334" t="str">
        <f t="shared" si="154"/>
        <v>351802_2024_12_</v>
      </c>
      <c r="J1005" s="3263">
        <v>635</v>
      </c>
      <c r="K1005" s="1761"/>
      <c r="L1005" s="4197"/>
      <c r="N1005" s="564"/>
      <c r="S1005" s="52"/>
      <c r="T1005" s="52"/>
      <c r="U1005" s="52"/>
      <c r="V1005" s="4293"/>
      <c r="W1005" s="3262"/>
      <c r="X1005" s="3265"/>
      <c r="Y1005" s="3265"/>
      <c r="Z1005" s="3262"/>
      <c r="AA1005" s="3262"/>
      <c r="AB1005" s="3284"/>
      <c r="AC1005" s="3284"/>
      <c r="AD1005" s="3345">
        <v>635</v>
      </c>
      <c r="AE1005" s="3284">
        <v>635</v>
      </c>
      <c r="AF1005" s="2236">
        <f t="shared" si="142"/>
        <v>635</v>
      </c>
      <c r="AG1005" s="1396"/>
      <c r="DG1005" s="573"/>
      <c r="DH1005" s="159"/>
      <c r="DI1005" s="1091"/>
    </row>
    <row r="1006" spans="1:113" hidden="1" outlineLevel="1">
      <c r="A1006" s="453"/>
      <c r="C1006" s="51"/>
      <c r="D1006" s="4293"/>
      <c r="E1006" s="4293"/>
      <c r="F1006" s="4341" t="str">
        <f t="shared" ref="F1006:F1012" si="155">F979</f>
        <v>Mini/MultiSplitASHP_ER1_MF</v>
      </c>
      <c r="G1006" s="4341"/>
      <c r="H1006" s="4341"/>
      <c r="I1006" s="3334" t="str">
        <f t="shared" ref="I1006:I1014" si="156">I979</f>
        <v>351850_2024_12_</v>
      </c>
      <c r="J1006" s="3263">
        <v>635</v>
      </c>
      <c r="K1006" s="1761"/>
      <c r="L1006" s="4197"/>
      <c r="N1006" s="564"/>
      <c r="S1006" s="52"/>
      <c r="T1006" s="52"/>
      <c r="U1006" s="52"/>
      <c r="V1006" s="4293"/>
      <c r="W1006" s="3262"/>
      <c r="X1006" s="3265"/>
      <c r="Y1006" s="3265">
        <v>635</v>
      </c>
      <c r="Z1006" s="3262">
        <v>635</v>
      </c>
      <c r="AA1006" s="3262">
        <v>635</v>
      </c>
      <c r="AB1006" s="3284">
        <v>635</v>
      </c>
      <c r="AC1006" s="3284">
        <v>635</v>
      </c>
      <c r="AD1006" s="3284">
        <v>635</v>
      </c>
      <c r="AE1006" s="3284">
        <v>635</v>
      </c>
      <c r="AF1006" s="2236">
        <f t="shared" si="142"/>
        <v>635</v>
      </c>
      <c r="AG1006" s="1396"/>
      <c r="DG1006" s="573"/>
      <c r="DH1006" s="159"/>
      <c r="DI1006" s="1091"/>
    </row>
    <row r="1007" spans="1:113" hidden="1" outlineLevel="1">
      <c r="A1007" s="453"/>
      <c r="C1007" s="51"/>
      <c r="D1007" s="4293"/>
      <c r="E1007" s="4293"/>
      <c r="F1007" s="4341" t="str">
        <f t="shared" si="155"/>
        <v>Mini/MultiSplitAC_ER1_MF_CompE</v>
      </c>
      <c r="G1007" s="4341"/>
      <c r="H1007" s="4341"/>
      <c r="I1007" s="3334" t="str">
        <f t="shared" si="156"/>
        <v>351551_2024_12_</v>
      </c>
      <c r="J1007" s="3263">
        <v>417</v>
      </c>
      <c r="K1007" s="1761"/>
      <c r="L1007" s="4197"/>
      <c r="N1007" s="564"/>
      <c r="S1007" s="52"/>
      <c r="T1007" s="52"/>
      <c r="U1007" s="52"/>
      <c r="V1007" s="4293"/>
      <c r="W1007" s="3262"/>
      <c r="X1007" s="3262"/>
      <c r="Y1007" s="3265">
        <v>560</v>
      </c>
      <c r="Z1007" s="3262">
        <v>560</v>
      </c>
      <c r="AA1007" s="3262">
        <v>560</v>
      </c>
      <c r="AB1007" s="3284">
        <v>417</v>
      </c>
      <c r="AC1007" s="3284">
        <v>417</v>
      </c>
      <c r="AD1007" s="3284">
        <v>417</v>
      </c>
      <c r="AE1007" s="3284">
        <v>417</v>
      </c>
      <c r="AF1007" s="2236">
        <f t="shared" si="142"/>
        <v>417</v>
      </c>
      <c r="AG1007" s="1396"/>
      <c r="DG1007" s="573"/>
      <c r="DH1007" s="159"/>
      <c r="DI1007" s="1091"/>
    </row>
    <row r="1008" spans="1:113" hidden="1" outlineLevel="1">
      <c r="A1008" s="453"/>
      <c r="C1008" s="51"/>
      <c r="D1008" s="4293"/>
      <c r="E1008" s="4293"/>
      <c r="F1008" s="4341" t="str">
        <f t="shared" si="155"/>
        <v>Mini/MultiSplitAC_ROF_MF_CompE</v>
      </c>
      <c r="G1008" s="4341"/>
      <c r="H1008" s="4341"/>
      <c r="I1008" s="3334" t="str">
        <f t="shared" si="156"/>
        <v>351601_2024_12_</v>
      </c>
      <c r="J1008" s="3263">
        <v>417</v>
      </c>
      <c r="K1008" s="1761"/>
      <c r="L1008" s="4197"/>
      <c r="N1008" s="564"/>
      <c r="S1008" s="52"/>
      <c r="T1008" s="52"/>
      <c r="U1008" s="52"/>
      <c r="V1008" s="4293"/>
      <c r="W1008" s="3262"/>
      <c r="X1008" s="3262"/>
      <c r="Y1008" s="3265">
        <v>560</v>
      </c>
      <c r="Z1008" s="3262">
        <v>560</v>
      </c>
      <c r="AA1008" s="3262">
        <v>560</v>
      </c>
      <c r="AB1008" s="3284">
        <v>417</v>
      </c>
      <c r="AC1008" s="3284">
        <v>417</v>
      </c>
      <c r="AD1008" s="3284">
        <v>417</v>
      </c>
      <c r="AE1008" s="3284">
        <v>417</v>
      </c>
      <c r="AF1008" s="2236">
        <f t="shared" si="142"/>
        <v>417</v>
      </c>
      <c r="AG1008" s="1396"/>
      <c r="DG1008" s="573"/>
      <c r="DH1008" s="159"/>
      <c r="DI1008" s="1091"/>
    </row>
    <row r="1009" spans="1:113" hidden="1" outlineLevel="1">
      <c r="A1009" s="453"/>
      <c r="C1009" s="51"/>
      <c r="D1009" s="4293"/>
      <c r="E1009" s="4293"/>
      <c r="F1009" s="4341" t="str">
        <f t="shared" si="155"/>
        <v>Mini/MultiSplitASHP_ROF_MF_NC_CompE</v>
      </c>
      <c r="G1009" s="4341"/>
      <c r="H1009" s="4341"/>
      <c r="I1009" s="3334" t="str">
        <f t="shared" si="156"/>
        <v>351651_2024_12_</v>
      </c>
      <c r="J1009" s="3263">
        <v>417</v>
      </c>
      <c r="K1009" s="1761"/>
      <c r="L1009" s="4197"/>
      <c r="N1009" s="564"/>
      <c r="S1009" s="52"/>
      <c r="T1009" s="52"/>
      <c r="U1009" s="52"/>
      <c r="V1009" s="4293"/>
      <c r="W1009" s="3262"/>
      <c r="X1009" s="3262"/>
      <c r="Y1009" s="3265">
        <v>560</v>
      </c>
      <c r="Z1009" s="3262">
        <v>560</v>
      </c>
      <c r="AA1009" s="3262">
        <v>560</v>
      </c>
      <c r="AB1009" s="3284">
        <v>417</v>
      </c>
      <c r="AC1009" s="3284">
        <v>417</v>
      </c>
      <c r="AD1009" s="3284">
        <v>417</v>
      </c>
      <c r="AE1009" s="3284">
        <v>417</v>
      </c>
      <c r="AF1009" s="2236">
        <f t="shared" si="142"/>
        <v>417</v>
      </c>
      <c r="AG1009" s="1396"/>
      <c r="DG1009" s="573"/>
      <c r="DH1009" s="159"/>
      <c r="DI1009" s="1091"/>
    </row>
    <row r="1010" spans="1:113" hidden="1" outlineLevel="1">
      <c r="A1010" s="453"/>
      <c r="C1010" s="51"/>
      <c r="D1010" s="4293"/>
      <c r="E1010" s="4293"/>
      <c r="F1010" s="4341" t="str">
        <f t="shared" si="155"/>
        <v>Mini/MultiSplitASHP_ROF_MF_CompE</v>
      </c>
      <c r="G1010" s="4341"/>
      <c r="H1010" s="4341"/>
      <c r="I1010" s="3334" t="str">
        <f t="shared" si="156"/>
        <v>351701_2024_12_</v>
      </c>
      <c r="J1010" s="3263">
        <v>417</v>
      </c>
      <c r="K1010" s="1761"/>
      <c r="L1010" s="4197"/>
      <c r="N1010" s="564"/>
      <c r="S1010" s="52"/>
      <c r="T1010" s="52"/>
      <c r="U1010" s="52"/>
      <c r="V1010" s="4293"/>
      <c r="W1010" s="3262"/>
      <c r="X1010" s="3262"/>
      <c r="Y1010" s="3265">
        <v>560</v>
      </c>
      <c r="Z1010" s="3262">
        <v>560</v>
      </c>
      <c r="AA1010" s="3262">
        <v>560</v>
      </c>
      <c r="AB1010" s="3284">
        <v>417</v>
      </c>
      <c r="AC1010" s="3284">
        <v>417</v>
      </c>
      <c r="AD1010" s="3284">
        <v>417</v>
      </c>
      <c r="AE1010" s="3284">
        <v>417</v>
      </c>
      <c r="AF1010" s="2236">
        <f t="shared" si="142"/>
        <v>417</v>
      </c>
      <c r="AG1010" s="1396"/>
      <c r="DG1010" s="573"/>
      <c r="DH1010" s="159"/>
      <c r="DI1010" s="1091"/>
    </row>
    <row r="1011" spans="1:113" hidden="1" outlineLevel="1">
      <c r="A1011" s="453"/>
      <c r="C1011" s="51"/>
      <c r="D1011" s="4293"/>
      <c r="E1011" s="4293"/>
      <c r="F1011" s="4341" t="str">
        <f t="shared" si="155"/>
        <v>Mini/MultiSplitASHP-Replace_CAC_ElectricHeat_ER1_MF_CompE</v>
      </c>
      <c r="G1011" s="4341"/>
      <c r="H1011" s="4341"/>
      <c r="I1011" s="3334" t="str">
        <f t="shared" si="156"/>
        <v>351751_2024_12_</v>
      </c>
      <c r="J1011" s="3263">
        <v>417</v>
      </c>
      <c r="K1011" s="1761"/>
      <c r="L1011" s="4197"/>
      <c r="N1011" s="564"/>
      <c r="S1011" s="52"/>
      <c r="T1011" s="52"/>
      <c r="U1011" s="52"/>
      <c r="V1011" s="4293"/>
      <c r="W1011" s="3262"/>
      <c r="X1011" s="3262"/>
      <c r="Y1011" s="3265">
        <v>560</v>
      </c>
      <c r="Z1011" s="3262">
        <v>560</v>
      </c>
      <c r="AA1011" s="3262">
        <v>560</v>
      </c>
      <c r="AB1011" s="3284">
        <v>417</v>
      </c>
      <c r="AC1011" s="3284">
        <v>417</v>
      </c>
      <c r="AD1011" s="3284">
        <v>417</v>
      </c>
      <c r="AE1011" s="3284">
        <v>417</v>
      </c>
      <c r="AF1011" s="2236">
        <f t="shared" si="142"/>
        <v>417</v>
      </c>
      <c r="AG1011" s="1396"/>
      <c r="DG1011" s="573"/>
      <c r="DH1011" s="159"/>
      <c r="DI1011" s="1091"/>
    </row>
    <row r="1012" spans="1:113" hidden="1" outlineLevel="1">
      <c r="A1012" s="453"/>
      <c r="C1012" s="51"/>
      <c r="D1012" s="4293"/>
      <c r="E1012" s="4293"/>
      <c r="F1012" s="4341" t="str">
        <f t="shared" si="155"/>
        <v>Mini/MultiSplitASHP-Replace_CAC_ElectricHeat_ROF_MF_CompE</v>
      </c>
      <c r="G1012" s="4341"/>
      <c r="H1012" s="4341"/>
      <c r="I1012" s="3334" t="str">
        <f t="shared" si="156"/>
        <v>351801_2024_12_</v>
      </c>
      <c r="J1012" s="3263">
        <v>417</v>
      </c>
      <c r="K1012" s="1761"/>
      <c r="L1012" s="4197"/>
      <c r="N1012" s="564"/>
      <c r="S1012" s="52"/>
      <c r="T1012" s="52"/>
      <c r="U1012" s="52"/>
      <c r="V1012" s="4293"/>
      <c r="W1012" s="3262"/>
      <c r="X1012" s="3262"/>
      <c r="Y1012" s="3265">
        <v>560</v>
      </c>
      <c r="Z1012" s="3262">
        <v>560</v>
      </c>
      <c r="AA1012" s="3262">
        <v>560</v>
      </c>
      <c r="AB1012" s="3284">
        <v>417</v>
      </c>
      <c r="AC1012" s="3284">
        <v>417</v>
      </c>
      <c r="AD1012" s="3284">
        <v>417</v>
      </c>
      <c r="AE1012" s="3284">
        <v>417</v>
      </c>
      <c r="AF1012" s="2236">
        <f t="shared" si="142"/>
        <v>417</v>
      </c>
      <c r="AG1012" s="1396"/>
      <c r="DG1012" s="573"/>
      <c r="DH1012" s="159"/>
      <c r="DI1012" s="1091"/>
    </row>
    <row r="1013" spans="1:113" hidden="1" outlineLevel="1">
      <c r="A1013" s="453"/>
      <c r="C1013" s="51"/>
      <c r="D1013" s="4293"/>
      <c r="E1013" s="4293"/>
      <c r="F1013" s="4341" t="str">
        <f>F986</f>
        <v>Mini/MultiSplitASHP-Replace_CAC_NonElectricHeat_ER1_MF_CompE</v>
      </c>
      <c r="G1013" s="4341"/>
      <c r="H1013" s="4341"/>
      <c r="I1013" s="3334" t="str">
        <f t="shared" si="156"/>
        <v>351753_2024_12_</v>
      </c>
      <c r="J1013" s="3263">
        <v>417</v>
      </c>
      <c r="K1013" s="1761"/>
      <c r="L1013" s="4197"/>
      <c r="N1013" s="564"/>
      <c r="S1013" s="52"/>
      <c r="T1013" s="52"/>
      <c r="U1013" s="52"/>
      <c r="V1013" s="4293"/>
      <c r="W1013" s="3262"/>
      <c r="X1013" s="3262"/>
      <c r="Y1013" s="3265"/>
      <c r="Z1013" s="3262"/>
      <c r="AA1013" s="3262"/>
      <c r="AB1013" s="3284"/>
      <c r="AC1013" s="3284"/>
      <c r="AD1013" s="3345">
        <v>417</v>
      </c>
      <c r="AE1013" s="3284">
        <v>417</v>
      </c>
      <c r="AF1013" s="2236">
        <f t="shared" si="142"/>
        <v>417</v>
      </c>
      <c r="AG1013" s="1396"/>
      <c r="DG1013" s="573"/>
      <c r="DH1013" s="159"/>
      <c r="DI1013" s="1091"/>
    </row>
    <row r="1014" spans="1:113" hidden="1" outlineLevel="1">
      <c r="A1014" s="453"/>
      <c r="C1014" s="51"/>
      <c r="D1014" s="4293"/>
      <c r="E1014" s="4293"/>
      <c r="F1014" s="4341" t="str">
        <f>F987</f>
        <v>Mini/MultiSplitASHP-Replace_CAC_NonElectricHeat_ROF_MF_CompE</v>
      </c>
      <c r="G1014" s="4341"/>
      <c r="H1014" s="4341"/>
      <c r="I1014" s="3334" t="str">
        <f t="shared" si="156"/>
        <v>351803_2024_12_</v>
      </c>
      <c r="J1014" s="3263">
        <v>417</v>
      </c>
      <c r="K1014" s="1761"/>
      <c r="L1014" s="4197"/>
      <c r="N1014" s="564"/>
      <c r="S1014" s="52"/>
      <c r="T1014" s="52"/>
      <c r="U1014" s="52"/>
      <c r="V1014" s="4293"/>
      <c r="W1014" s="3262"/>
      <c r="X1014" s="3262"/>
      <c r="Y1014" s="3265"/>
      <c r="Z1014" s="3262"/>
      <c r="AA1014" s="3262"/>
      <c r="AB1014" s="3284"/>
      <c r="AC1014" s="3284"/>
      <c r="AD1014" s="3345">
        <v>417</v>
      </c>
      <c r="AE1014" s="3284">
        <v>417</v>
      </c>
      <c r="AF1014" s="2236">
        <f t="shared" si="142"/>
        <v>417</v>
      </c>
      <c r="AG1014" s="1396"/>
      <c r="DG1014" s="573"/>
      <c r="DH1014" s="159"/>
      <c r="DI1014" s="1091"/>
    </row>
    <row r="1015" spans="1:113" hidden="1" outlineLevel="1">
      <c r="A1015" s="453"/>
      <c r="C1015" s="51"/>
      <c r="D1015" s="4293"/>
      <c r="E1015" s="4293"/>
      <c r="F1015" s="4341" t="str">
        <f t="shared" ref="F1015:F1021" si="157">F988</f>
        <v>Mini/MultiSplitASHP_ER1_MF_CompE</v>
      </c>
      <c r="G1015" s="4341"/>
      <c r="H1015" s="4341"/>
      <c r="I1015" s="3334" t="str">
        <f t="shared" ref="I1015:I1023" si="158">I988</f>
        <v>351851_2024_12_</v>
      </c>
      <c r="J1015" s="3263">
        <v>417</v>
      </c>
      <c r="K1015" s="1761"/>
      <c r="L1015" s="4197"/>
      <c r="N1015" s="564"/>
      <c r="S1015" s="52"/>
      <c r="T1015" s="52"/>
      <c r="U1015" s="52"/>
      <c r="V1015" s="4293"/>
      <c r="W1015" s="3262"/>
      <c r="X1015" s="3262"/>
      <c r="Y1015" s="3265">
        <v>560</v>
      </c>
      <c r="Z1015" s="3262">
        <v>560</v>
      </c>
      <c r="AA1015" s="3262">
        <v>560</v>
      </c>
      <c r="AB1015" s="3284">
        <v>417</v>
      </c>
      <c r="AC1015" s="3284">
        <v>417</v>
      </c>
      <c r="AD1015" s="3284">
        <v>417</v>
      </c>
      <c r="AE1015" s="3284">
        <v>417</v>
      </c>
      <c r="AF1015" s="2236">
        <f t="shared" si="142"/>
        <v>417</v>
      </c>
      <c r="AG1015" s="1396"/>
      <c r="DG1015" s="573"/>
      <c r="DH1015" s="159"/>
      <c r="DI1015" s="1091"/>
    </row>
    <row r="1016" spans="1:113" hidden="1" outlineLevel="1">
      <c r="A1016" s="453"/>
      <c r="C1016" s="51"/>
      <c r="D1016" s="4294" t="s">
        <v>1939</v>
      </c>
      <c r="E1016" s="4293" t="s">
        <v>2061</v>
      </c>
      <c r="F1016" s="4342" t="str">
        <f t="shared" si="157"/>
        <v>Mini/MultiSplitAC_ER1_SF</v>
      </c>
      <c r="G1016" s="4342"/>
      <c r="H1016" s="4342"/>
      <c r="I1016" s="929" t="str">
        <f>I989</f>
        <v>351200_2024_12_</v>
      </c>
      <c r="J1016" s="1794">
        <v>13.4</v>
      </c>
      <c r="K1016" s="13"/>
      <c r="L1016" s="1763" t="s">
        <v>1941</v>
      </c>
      <c r="N1016" s="564"/>
      <c r="S1016" s="52"/>
      <c r="T1016" s="52"/>
      <c r="U1016" s="52"/>
      <c r="V1016" s="4293" t="s">
        <v>2062</v>
      </c>
      <c r="W1016" s="1396">
        <v>13</v>
      </c>
      <c r="X1016" s="1396">
        <v>13</v>
      </c>
      <c r="Y1016" s="1396">
        <v>13</v>
      </c>
      <c r="Z1016" s="1396">
        <v>13</v>
      </c>
      <c r="AA1016" s="1396">
        <v>13</v>
      </c>
      <c r="AB1016" s="1396">
        <v>13</v>
      </c>
      <c r="AC1016" s="1396">
        <v>13</v>
      </c>
      <c r="AD1016" s="1396">
        <v>13</v>
      </c>
      <c r="AE1016" s="965">
        <v>14</v>
      </c>
      <c r="AF1016" s="271">
        <f t="shared" si="142"/>
        <v>13.4</v>
      </c>
      <c r="AG1016" s="1396"/>
      <c r="DG1016" s="573"/>
      <c r="DH1016" s="159"/>
      <c r="DI1016" s="1091"/>
    </row>
    <row r="1017" spans="1:113" hidden="1" outlineLevel="1">
      <c r="A1017" s="453"/>
      <c r="C1017" s="51"/>
      <c r="D1017" s="4294"/>
      <c r="E1017" s="4293"/>
      <c r="F1017" s="4342" t="str">
        <f t="shared" si="157"/>
        <v>Mini/MultiSplitAC_ROF_SF</v>
      </c>
      <c r="G1017" s="4342"/>
      <c r="H1017" s="4342"/>
      <c r="I1017" s="929" t="str">
        <f t="shared" si="158"/>
        <v>351250_2024_12_</v>
      </c>
      <c r="J1017" s="1794">
        <v>13.4</v>
      </c>
      <c r="K1017" s="1761"/>
      <c r="L1017" s="929" t="s">
        <v>1941</v>
      </c>
      <c r="N1017" s="1113"/>
      <c r="S1017" s="52"/>
      <c r="T1017" s="52"/>
      <c r="U1017" s="52"/>
      <c r="V1017" s="4293"/>
      <c r="W1017" s="1396">
        <v>13</v>
      </c>
      <c r="X1017" s="1396">
        <v>13</v>
      </c>
      <c r="Y1017" s="1396">
        <v>13</v>
      </c>
      <c r="Z1017" s="1396">
        <v>13</v>
      </c>
      <c r="AA1017" s="1396">
        <v>13</v>
      </c>
      <c r="AB1017" s="1396">
        <v>13</v>
      </c>
      <c r="AC1017" s="1396">
        <v>13</v>
      </c>
      <c r="AD1017" s="1396">
        <v>13</v>
      </c>
      <c r="AE1017" s="965">
        <v>14</v>
      </c>
      <c r="AF1017" s="271">
        <f t="shared" si="142"/>
        <v>13.4</v>
      </c>
      <c r="AG1017" s="1396"/>
      <c r="DG1017" s="573"/>
      <c r="DH1017" s="159"/>
      <c r="DI1017" s="1091"/>
    </row>
    <row r="1018" spans="1:113" hidden="1" outlineLevel="1">
      <c r="A1018" s="453"/>
      <c r="C1018" s="51"/>
      <c r="D1018" s="4294"/>
      <c r="E1018" s="4293"/>
      <c r="F1018" s="4342" t="str">
        <f t="shared" si="157"/>
        <v>Mini/MultiSplitASHP_ROF_SF_NC</v>
      </c>
      <c r="G1018" s="4342"/>
      <c r="H1018" s="4342"/>
      <c r="I1018" s="929" t="str">
        <f t="shared" si="158"/>
        <v>351300_2024_12_</v>
      </c>
      <c r="J1018" s="1794">
        <v>14.3</v>
      </c>
      <c r="K1018" s="1761"/>
      <c r="L1018" s="929" t="s">
        <v>1941</v>
      </c>
      <c r="N1018" s="564"/>
      <c r="S1018" s="52"/>
      <c r="T1018" s="52"/>
      <c r="U1018" s="52"/>
      <c r="V1018" s="4293"/>
      <c r="W1018" s="1396">
        <v>13</v>
      </c>
      <c r="X1018" s="1396">
        <v>13</v>
      </c>
      <c r="Y1018" s="833">
        <v>14</v>
      </c>
      <c r="Z1018" s="1396">
        <v>14</v>
      </c>
      <c r="AA1018" s="1396">
        <v>14</v>
      </c>
      <c r="AB1018" s="1396">
        <v>14</v>
      </c>
      <c r="AC1018" s="1396">
        <v>14</v>
      </c>
      <c r="AD1018" s="1396">
        <v>14</v>
      </c>
      <c r="AE1018" s="965">
        <v>15</v>
      </c>
      <c r="AF1018" s="271">
        <f t="shared" si="142"/>
        <v>14.3</v>
      </c>
      <c r="AG1018" s="1396"/>
      <c r="DG1018" s="573"/>
      <c r="DH1018" s="159"/>
      <c r="DI1018" s="1091"/>
    </row>
    <row r="1019" spans="1:113" hidden="1" outlineLevel="1">
      <c r="A1019" s="453"/>
      <c r="C1019" s="51"/>
      <c r="D1019" s="4294"/>
      <c r="E1019" s="4293"/>
      <c r="F1019" s="4342" t="str">
        <f t="shared" si="157"/>
        <v>Mini/MultiSplitASHP_ROF_SF</v>
      </c>
      <c r="G1019" s="4342"/>
      <c r="H1019" s="4342"/>
      <c r="I1019" s="929" t="str">
        <f t="shared" si="158"/>
        <v>351350_2024_12_</v>
      </c>
      <c r="J1019" s="1794">
        <v>14.3</v>
      </c>
      <c r="K1019" s="1761"/>
      <c r="L1019" s="929" t="s">
        <v>1941</v>
      </c>
      <c r="N1019" s="564"/>
      <c r="S1019" s="52"/>
      <c r="T1019" s="52"/>
      <c r="U1019" s="52"/>
      <c r="V1019" s="4293"/>
      <c r="W1019" s="1396">
        <v>13</v>
      </c>
      <c r="X1019" s="1396">
        <v>13</v>
      </c>
      <c r="Y1019" s="833">
        <v>14</v>
      </c>
      <c r="Z1019" s="1396">
        <v>14</v>
      </c>
      <c r="AA1019" s="1396">
        <v>14</v>
      </c>
      <c r="AB1019" s="1396">
        <v>14</v>
      </c>
      <c r="AC1019" s="1396">
        <v>14</v>
      </c>
      <c r="AD1019" s="1396">
        <v>14</v>
      </c>
      <c r="AE1019" s="965">
        <v>15</v>
      </c>
      <c r="AF1019" s="271">
        <f t="shared" ref="AF1019:AF1082" si="159">IF(J1019&lt;&gt;"",J1019,"")</f>
        <v>14.3</v>
      </c>
      <c r="AG1019" s="1396"/>
      <c r="DG1019" s="573"/>
      <c r="DH1019" s="159"/>
      <c r="DI1019" s="1091"/>
    </row>
    <row r="1020" spans="1:113" hidden="1" outlineLevel="1">
      <c r="A1020" s="453"/>
      <c r="C1020" s="51"/>
      <c r="D1020" s="4294"/>
      <c r="E1020" s="4293"/>
      <c r="F1020" s="4342" t="str">
        <f t="shared" si="157"/>
        <v>Mini/MultiSplitASHP-Replace_CAC_ElectricHeat_ER1_SF</v>
      </c>
      <c r="G1020" s="4342"/>
      <c r="H1020" s="4342"/>
      <c r="I1020" s="929" t="str">
        <f t="shared" si="158"/>
        <v>351400_2024_12_</v>
      </c>
      <c r="J1020" s="1794">
        <v>13.4</v>
      </c>
      <c r="K1020" s="1761"/>
      <c r="L1020" s="929" t="s">
        <v>1941</v>
      </c>
      <c r="N1020" s="564"/>
      <c r="S1020" s="52"/>
      <c r="T1020" s="52"/>
      <c r="U1020" s="52"/>
      <c r="V1020" s="4293"/>
      <c r="W1020" s="1396">
        <v>13</v>
      </c>
      <c r="X1020" s="1396">
        <v>13</v>
      </c>
      <c r="Y1020" s="1396">
        <v>13</v>
      </c>
      <c r="Z1020" s="1396">
        <v>13</v>
      </c>
      <c r="AA1020" s="1396">
        <v>13</v>
      </c>
      <c r="AB1020" s="1396">
        <v>13</v>
      </c>
      <c r="AC1020" s="1396">
        <v>13</v>
      </c>
      <c r="AD1020" s="1396">
        <v>13</v>
      </c>
      <c r="AE1020" s="965">
        <v>14</v>
      </c>
      <c r="AF1020" s="271">
        <f t="shared" si="159"/>
        <v>13.4</v>
      </c>
      <c r="AG1020" s="1396"/>
      <c r="DG1020" s="573"/>
      <c r="DH1020" s="159"/>
      <c r="DI1020" s="1091"/>
    </row>
    <row r="1021" spans="1:113" hidden="1" outlineLevel="1">
      <c r="A1021" s="453"/>
      <c r="C1021" s="51"/>
      <c r="D1021" s="4294"/>
      <c r="E1021" s="4293"/>
      <c r="F1021" s="4342" t="str">
        <f t="shared" si="157"/>
        <v>Mini/MultiSplitASHP-Replace_CAC_ElectricHeat_ROF_SF</v>
      </c>
      <c r="G1021" s="4342"/>
      <c r="H1021" s="4342"/>
      <c r="I1021" s="929" t="str">
        <f t="shared" si="158"/>
        <v>351450_2024_12_</v>
      </c>
      <c r="J1021" s="1794">
        <v>13.4</v>
      </c>
      <c r="K1021" s="1761"/>
      <c r="L1021" s="929" t="s">
        <v>1941</v>
      </c>
      <c r="N1021" s="564"/>
      <c r="S1021" s="52"/>
      <c r="T1021" s="52"/>
      <c r="U1021" s="52"/>
      <c r="V1021" s="4293"/>
      <c r="W1021" s="1396">
        <v>13</v>
      </c>
      <c r="X1021" s="1396">
        <v>13</v>
      </c>
      <c r="Y1021" s="833">
        <v>14</v>
      </c>
      <c r="Z1021" s="1396">
        <v>14</v>
      </c>
      <c r="AA1021" s="1396">
        <v>14</v>
      </c>
      <c r="AB1021" s="1396">
        <v>14</v>
      </c>
      <c r="AC1021" s="1396">
        <v>14</v>
      </c>
      <c r="AD1021" s="1396">
        <v>14</v>
      </c>
      <c r="AE1021" s="1405">
        <v>14</v>
      </c>
      <c r="AF1021" s="271">
        <f t="shared" si="159"/>
        <v>13.4</v>
      </c>
      <c r="AG1021" s="1396"/>
      <c r="DG1021" s="573"/>
      <c r="DH1021" s="159"/>
      <c r="DI1021" s="1091"/>
    </row>
    <row r="1022" spans="1:113" hidden="1" outlineLevel="1">
      <c r="A1022" s="453"/>
      <c r="C1022" s="51"/>
      <c r="D1022" s="4294"/>
      <c r="E1022" s="4293"/>
      <c r="F1022" s="4342" t="str">
        <f>F995</f>
        <v>Mini/MultiSplitASHP-Replace_CAC_NonElectricHeat_ER1_SF</v>
      </c>
      <c r="G1022" s="4342"/>
      <c r="H1022" s="4342"/>
      <c r="I1022" s="929" t="str">
        <f t="shared" si="158"/>
        <v>351401_2024_12_</v>
      </c>
      <c r="J1022" s="1794">
        <v>13.4</v>
      </c>
      <c r="K1022" s="1761"/>
      <c r="L1022" s="929" t="s">
        <v>1941</v>
      </c>
      <c r="N1022" s="564"/>
      <c r="S1022" s="52"/>
      <c r="T1022" s="52"/>
      <c r="U1022" s="52"/>
      <c r="V1022" s="4293"/>
      <c r="W1022" s="1396"/>
      <c r="X1022" s="1396"/>
      <c r="Y1022" s="833"/>
      <c r="Z1022" s="1396"/>
      <c r="AA1022" s="1396"/>
      <c r="AB1022" s="1396"/>
      <c r="AC1022" s="1396"/>
      <c r="AD1022" s="833">
        <v>13</v>
      </c>
      <c r="AE1022" s="965">
        <v>14</v>
      </c>
      <c r="AF1022" s="271">
        <f t="shared" si="159"/>
        <v>13.4</v>
      </c>
      <c r="AG1022" s="1396"/>
      <c r="DG1022" s="573"/>
      <c r="DH1022" s="159"/>
      <c r="DI1022" s="1091"/>
    </row>
    <row r="1023" spans="1:113" hidden="1" outlineLevel="1">
      <c r="A1023" s="453"/>
      <c r="C1023" s="51"/>
      <c r="D1023" s="4294"/>
      <c r="E1023" s="4293"/>
      <c r="F1023" s="4342" t="str">
        <f>F996</f>
        <v>Mini/MultiSplitASHP-Replace_CAC_NonElectricHeat_ROF_SF</v>
      </c>
      <c r="G1023" s="4342"/>
      <c r="H1023" s="4342"/>
      <c r="I1023" s="929" t="str">
        <f t="shared" si="158"/>
        <v>351451_2024_12_</v>
      </c>
      <c r="J1023" s="1794">
        <v>13.4</v>
      </c>
      <c r="K1023" s="1761"/>
      <c r="L1023" s="929" t="s">
        <v>1941</v>
      </c>
      <c r="N1023" s="564"/>
      <c r="S1023" s="52"/>
      <c r="T1023" s="52"/>
      <c r="U1023" s="52"/>
      <c r="V1023" s="4293"/>
      <c r="W1023" s="1396"/>
      <c r="X1023" s="1396"/>
      <c r="Y1023" s="833"/>
      <c r="Z1023" s="1396"/>
      <c r="AA1023" s="1396"/>
      <c r="AB1023" s="1396"/>
      <c r="AC1023" s="1396"/>
      <c r="AD1023" s="833">
        <v>14</v>
      </c>
      <c r="AE1023" s="1405">
        <v>14</v>
      </c>
      <c r="AF1023" s="271">
        <f t="shared" si="159"/>
        <v>13.4</v>
      </c>
      <c r="AG1023" s="1396"/>
      <c r="DG1023" s="573"/>
      <c r="DH1023" s="159"/>
      <c r="DI1023" s="1091"/>
    </row>
    <row r="1024" spans="1:113" hidden="1" outlineLevel="1">
      <c r="A1024" s="453"/>
      <c r="C1024" s="51"/>
      <c r="D1024" s="4294"/>
      <c r="E1024" s="4293"/>
      <c r="F1024" s="4342" t="str">
        <f t="shared" ref="F1024:F1030" si="160">F997</f>
        <v>Mini/MultiSplitASHP_ER1_SF</v>
      </c>
      <c r="G1024" s="4342"/>
      <c r="H1024" s="4342"/>
      <c r="I1024" s="929" t="str">
        <f t="shared" ref="I1024:I1032" si="161">I997</f>
        <v>351500_2024_12_</v>
      </c>
      <c r="J1024" s="1794">
        <v>14.3</v>
      </c>
      <c r="K1024" s="1761"/>
      <c r="L1024" s="929" t="s">
        <v>1941</v>
      </c>
      <c r="N1024" s="564"/>
      <c r="S1024" s="52"/>
      <c r="T1024" s="52"/>
      <c r="U1024" s="52"/>
      <c r="V1024" s="4293"/>
      <c r="W1024" s="1396">
        <v>13</v>
      </c>
      <c r="X1024" s="1396">
        <v>13</v>
      </c>
      <c r="Y1024" s="1396">
        <v>13</v>
      </c>
      <c r="Z1024" s="1396">
        <v>13</v>
      </c>
      <c r="AA1024" s="1396">
        <v>13</v>
      </c>
      <c r="AB1024" s="1396">
        <v>13</v>
      </c>
      <c r="AC1024" s="1396">
        <v>13</v>
      </c>
      <c r="AD1024" s="1396">
        <v>13</v>
      </c>
      <c r="AE1024" s="965">
        <v>15</v>
      </c>
      <c r="AF1024" s="271">
        <f t="shared" si="159"/>
        <v>14.3</v>
      </c>
      <c r="AG1024" s="1396"/>
      <c r="DG1024" s="573"/>
      <c r="DH1024" s="159"/>
      <c r="DI1024" s="1091"/>
    </row>
    <row r="1025" spans="1:113" hidden="1" outlineLevel="1">
      <c r="A1025" s="453"/>
      <c r="C1025" s="51"/>
      <c r="D1025" s="4294"/>
      <c r="E1025" s="4293"/>
      <c r="F1025" s="4342" t="str">
        <f t="shared" si="160"/>
        <v>Mini/MultiSplitAC_ER1_MF</v>
      </c>
      <c r="G1025" s="4342"/>
      <c r="H1025" s="4342"/>
      <c r="I1025" s="929" t="str">
        <f t="shared" si="161"/>
        <v>351550_2024_12_</v>
      </c>
      <c r="J1025" s="1794">
        <f t="shared" ref="J1025:J1030" si="162">J1016</f>
        <v>13.4</v>
      </c>
      <c r="K1025" s="1761"/>
      <c r="L1025" s="929" t="s">
        <v>1941</v>
      </c>
      <c r="N1025" s="564"/>
      <c r="S1025" s="52"/>
      <c r="T1025" s="52"/>
      <c r="U1025" s="52"/>
      <c r="V1025" s="4293"/>
      <c r="W1025" s="1396"/>
      <c r="X1025" s="833"/>
      <c r="Y1025" s="833">
        <v>13</v>
      </c>
      <c r="Z1025" s="1396">
        <v>13</v>
      </c>
      <c r="AA1025" s="1396">
        <v>13</v>
      </c>
      <c r="AB1025" s="1396">
        <v>13</v>
      </c>
      <c r="AC1025" s="1396">
        <v>13</v>
      </c>
      <c r="AD1025" s="1396">
        <v>13</v>
      </c>
      <c r="AE1025" s="965">
        <v>14</v>
      </c>
      <c r="AF1025" s="271">
        <f t="shared" si="159"/>
        <v>13.4</v>
      </c>
      <c r="AG1025" s="1396"/>
      <c r="DG1025" s="573"/>
      <c r="DH1025" s="159"/>
      <c r="DI1025" s="1091"/>
    </row>
    <row r="1026" spans="1:113" hidden="1" outlineLevel="1">
      <c r="A1026" s="453"/>
      <c r="C1026" s="51"/>
      <c r="D1026" s="4294"/>
      <c r="E1026" s="4293"/>
      <c r="F1026" s="4341" t="str">
        <f t="shared" si="160"/>
        <v>Mini/MultiSplitAC_ROF_MF</v>
      </c>
      <c r="G1026" s="4341"/>
      <c r="H1026" s="4341"/>
      <c r="I1026" s="3334" t="str">
        <f t="shared" si="161"/>
        <v>351600_2024_12_</v>
      </c>
      <c r="J1026" s="3344">
        <f t="shared" si="162"/>
        <v>13.4</v>
      </c>
      <c r="K1026" s="3343"/>
      <c r="L1026" s="3334" t="s">
        <v>1941</v>
      </c>
      <c r="N1026" s="564"/>
      <c r="S1026" s="52"/>
      <c r="T1026" s="52"/>
      <c r="U1026" s="52"/>
      <c r="V1026" s="4293"/>
      <c r="W1026" s="1396"/>
      <c r="X1026" s="833"/>
      <c r="Y1026" s="3265">
        <v>13</v>
      </c>
      <c r="Z1026" s="3262">
        <v>13</v>
      </c>
      <c r="AA1026" s="3262">
        <v>13</v>
      </c>
      <c r="AB1026" s="3262">
        <v>13</v>
      </c>
      <c r="AC1026" s="3262">
        <v>13</v>
      </c>
      <c r="AD1026" s="3262">
        <v>13</v>
      </c>
      <c r="AE1026" s="3345">
        <v>14</v>
      </c>
      <c r="AF1026" s="2236">
        <f t="shared" si="159"/>
        <v>13.4</v>
      </c>
      <c r="AG1026" s="1396"/>
      <c r="DG1026" s="573"/>
      <c r="DH1026" s="159"/>
      <c r="DI1026" s="1091"/>
    </row>
    <row r="1027" spans="1:113" hidden="1" outlineLevel="1">
      <c r="A1027" s="453"/>
      <c r="C1027" s="51"/>
      <c r="D1027" s="4294"/>
      <c r="E1027" s="4293"/>
      <c r="F1027" s="4341" t="str">
        <f t="shared" si="160"/>
        <v>Mini/MultiSplitASHP_ROF_MF_NC</v>
      </c>
      <c r="G1027" s="4341"/>
      <c r="H1027" s="4341"/>
      <c r="I1027" s="3334" t="str">
        <f t="shared" si="161"/>
        <v>351650_2024_12_</v>
      </c>
      <c r="J1027" s="3344">
        <f t="shared" si="162"/>
        <v>14.3</v>
      </c>
      <c r="K1027" s="3343"/>
      <c r="L1027" s="3334" t="s">
        <v>1941</v>
      </c>
      <c r="N1027" s="564"/>
      <c r="S1027" s="52"/>
      <c r="T1027" s="52"/>
      <c r="U1027" s="52"/>
      <c r="V1027" s="4293"/>
      <c r="W1027" s="1396"/>
      <c r="X1027" s="833"/>
      <c r="Y1027" s="3265">
        <v>14</v>
      </c>
      <c r="Z1027" s="3262">
        <v>14</v>
      </c>
      <c r="AA1027" s="3262">
        <v>14</v>
      </c>
      <c r="AB1027" s="3262">
        <v>14</v>
      </c>
      <c r="AC1027" s="3262">
        <v>14</v>
      </c>
      <c r="AD1027" s="3262">
        <v>14</v>
      </c>
      <c r="AE1027" s="3345">
        <v>15</v>
      </c>
      <c r="AF1027" s="2236">
        <f t="shared" si="159"/>
        <v>14.3</v>
      </c>
      <c r="AG1027" s="1396"/>
      <c r="DG1027" s="573"/>
      <c r="DH1027" s="159"/>
      <c r="DI1027" s="1091"/>
    </row>
    <row r="1028" spans="1:113" hidden="1" outlineLevel="1">
      <c r="A1028" s="453"/>
      <c r="C1028" s="51"/>
      <c r="D1028" s="4294"/>
      <c r="E1028" s="4293"/>
      <c r="F1028" s="4341" t="str">
        <f t="shared" si="160"/>
        <v>Mini/MultiSplitASHP_ROF_MF</v>
      </c>
      <c r="G1028" s="4341"/>
      <c r="H1028" s="4341"/>
      <c r="I1028" s="3334" t="str">
        <f t="shared" si="161"/>
        <v>351700_2024_12_</v>
      </c>
      <c r="J1028" s="3344">
        <f t="shared" si="162"/>
        <v>14.3</v>
      </c>
      <c r="K1028" s="3343"/>
      <c r="L1028" s="3334" t="s">
        <v>1941</v>
      </c>
      <c r="N1028" s="564"/>
      <c r="S1028" s="52"/>
      <c r="T1028" s="52"/>
      <c r="U1028" s="52"/>
      <c r="V1028" s="4293"/>
      <c r="W1028" s="1396"/>
      <c r="X1028" s="833"/>
      <c r="Y1028" s="3265">
        <v>14</v>
      </c>
      <c r="Z1028" s="3262">
        <v>14</v>
      </c>
      <c r="AA1028" s="3262">
        <v>14</v>
      </c>
      <c r="AB1028" s="3262">
        <v>14</v>
      </c>
      <c r="AC1028" s="3262">
        <v>14</v>
      </c>
      <c r="AD1028" s="3262">
        <v>14</v>
      </c>
      <c r="AE1028" s="3345">
        <v>15</v>
      </c>
      <c r="AF1028" s="2236">
        <f t="shared" si="159"/>
        <v>14.3</v>
      </c>
      <c r="AG1028" s="1396"/>
      <c r="DG1028" s="573"/>
      <c r="DH1028" s="159"/>
      <c r="DI1028" s="1091"/>
    </row>
    <row r="1029" spans="1:113" hidden="1" outlineLevel="1">
      <c r="A1029" s="453"/>
      <c r="C1029" s="51"/>
      <c r="D1029" s="4294"/>
      <c r="E1029" s="4293"/>
      <c r="F1029" s="4341" t="str">
        <f t="shared" si="160"/>
        <v>Mini/MultiSplitASHP-Replace_CAC_ElectricHeat_ER1_MF</v>
      </c>
      <c r="G1029" s="4341"/>
      <c r="H1029" s="4341"/>
      <c r="I1029" s="3334" t="str">
        <f t="shared" si="161"/>
        <v>351750_2024_12_</v>
      </c>
      <c r="J1029" s="3344">
        <f t="shared" si="162"/>
        <v>13.4</v>
      </c>
      <c r="K1029" s="3343"/>
      <c r="L1029" s="3334" t="s">
        <v>1941</v>
      </c>
      <c r="N1029" s="564"/>
      <c r="S1029" s="52"/>
      <c r="T1029" s="52"/>
      <c r="U1029" s="52"/>
      <c r="V1029" s="4293"/>
      <c r="W1029" s="1396"/>
      <c r="X1029" s="833"/>
      <c r="Y1029" s="3265">
        <v>13</v>
      </c>
      <c r="Z1029" s="3262">
        <v>13</v>
      </c>
      <c r="AA1029" s="3262">
        <v>13</v>
      </c>
      <c r="AB1029" s="3262">
        <v>13</v>
      </c>
      <c r="AC1029" s="3262">
        <v>13</v>
      </c>
      <c r="AD1029" s="3262">
        <v>13</v>
      </c>
      <c r="AE1029" s="3345">
        <v>14</v>
      </c>
      <c r="AF1029" s="2236">
        <f t="shared" si="159"/>
        <v>13.4</v>
      </c>
      <c r="AG1029" s="1396"/>
      <c r="DG1029" s="573"/>
      <c r="DH1029" s="159"/>
      <c r="DI1029" s="1091"/>
    </row>
    <row r="1030" spans="1:113" hidden="1" outlineLevel="1">
      <c r="A1030" s="453"/>
      <c r="C1030" s="51"/>
      <c r="D1030" s="4294"/>
      <c r="E1030" s="4293"/>
      <c r="F1030" s="4341" t="str">
        <f t="shared" si="160"/>
        <v>Mini/MultiSplitASHP-Replace_CAC_ElectricHeat_ROF_MF</v>
      </c>
      <c r="G1030" s="4341"/>
      <c r="H1030" s="4341"/>
      <c r="I1030" s="3334" t="str">
        <f t="shared" si="161"/>
        <v>351800_2024_12_</v>
      </c>
      <c r="J1030" s="3344">
        <f t="shared" si="162"/>
        <v>13.4</v>
      </c>
      <c r="K1030" s="3343"/>
      <c r="L1030" s="3334" t="s">
        <v>1941</v>
      </c>
      <c r="N1030" s="564"/>
      <c r="S1030" s="52"/>
      <c r="T1030" s="52"/>
      <c r="U1030" s="52"/>
      <c r="V1030" s="4293"/>
      <c r="W1030" s="1396"/>
      <c r="X1030" s="833"/>
      <c r="Y1030" s="3265">
        <v>14</v>
      </c>
      <c r="Z1030" s="3262">
        <v>14</v>
      </c>
      <c r="AA1030" s="3262">
        <v>14</v>
      </c>
      <c r="AB1030" s="3262">
        <v>14</v>
      </c>
      <c r="AC1030" s="3262">
        <v>14</v>
      </c>
      <c r="AD1030" s="3262">
        <v>14</v>
      </c>
      <c r="AE1030" s="3284">
        <v>14</v>
      </c>
      <c r="AF1030" s="2236">
        <f t="shared" si="159"/>
        <v>13.4</v>
      </c>
      <c r="AG1030" s="1396"/>
      <c r="DG1030" s="573"/>
      <c r="DH1030" s="159"/>
      <c r="DI1030" s="1091"/>
    </row>
    <row r="1031" spans="1:113" hidden="1" outlineLevel="1">
      <c r="A1031" s="453"/>
      <c r="C1031" s="51"/>
      <c r="D1031" s="4294"/>
      <c r="E1031" s="4293"/>
      <c r="F1031" s="4341" t="str">
        <f>F1004</f>
        <v>Mini/MultiSplitASHP-Replace_CAC_NonElectricHeat_ER1_MF</v>
      </c>
      <c r="G1031" s="4341"/>
      <c r="H1031" s="4341"/>
      <c r="I1031" s="3334" t="str">
        <f t="shared" si="161"/>
        <v>351752_2024_12_</v>
      </c>
      <c r="J1031" s="3344">
        <v>13.4</v>
      </c>
      <c r="K1031" s="3343"/>
      <c r="L1031" s="3338" t="s">
        <v>1941</v>
      </c>
      <c r="N1031" s="564"/>
      <c r="S1031" s="52"/>
      <c r="T1031" s="52"/>
      <c r="U1031" s="52"/>
      <c r="V1031" s="4293"/>
      <c r="W1031" s="1396"/>
      <c r="X1031" s="833"/>
      <c r="Y1031" s="3265"/>
      <c r="Z1031" s="3262"/>
      <c r="AA1031" s="3262"/>
      <c r="AB1031" s="3262"/>
      <c r="AC1031" s="3262"/>
      <c r="AD1031" s="3265">
        <v>13</v>
      </c>
      <c r="AE1031" s="3345">
        <v>14</v>
      </c>
      <c r="AF1031" s="2236">
        <f t="shared" si="159"/>
        <v>13.4</v>
      </c>
      <c r="AG1031" s="1396"/>
      <c r="DG1031" s="573"/>
      <c r="DH1031" s="159"/>
      <c r="DI1031" s="1091"/>
    </row>
    <row r="1032" spans="1:113" hidden="1" outlineLevel="1">
      <c r="A1032" s="453"/>
      <c r="C1032" s="51"/>
      <c r="D1032" s="4294"/>
      <c r="E1032" s="4293"/>
      <c r="F1032" s="4341" t="str">
        <f>F1005</f>
        <v>Mini/MultiSplitASHP-Replace_CAC_NonElectricHeat_ROF_MF</v>
      </c>
      <c r="G1032" s="4341"/>
      <c r="H1032" s="4341"/>
      <c r="I1032" s="3334" t="str">
        <f t="shared" si="161"/>
        <v>351802_2024_12_</v>
      </c>
      <c r="J1032" s="3344">
        <v>13.4</v>
      </c>
      <c r="K1032" s="3343"/>
      <c r="L1032" s="3338" t="s">
        <v>1941</v>
      </c>
      <c r="N1032" s="564"/>
      <c r="S1032" s="52"/>
      <c r="T1032" s="52"/>
      <c r="U1032" s="52"/>
      <c r="V1032" s="4293"/>
      <c r="W1032" s="1396"/>
      <c r="X1032" s="833"/>
      <c r="Y1032" s="3265"/>
      <c r="Z1032" s="3262"/>
      <c r="AA1032" s="3262"/>
      <c r="AB1032" s="3262"/>
      <c r="AC1032" s="3262"/>
      <c r="AD1032" s="3265">
        <v>14</v>
      </c>
      <c r="AE1032" s="3284">
        <v>14</v>
      </c>
      <c r="AF1032" s="2236">
        <f t="shared" si="159"/>
        <v>13.4</v>
      </c>
      <c r="AG1032" s="1396"/>
      <c r="DG1032" s="573"/>
      <c r="DH1032" s="159"/>
      <c r="DI1032" s="1091"/>
    </row>
    <row r="1033" spans="1:113" hidden="1" outlineLevel="1">
      <c r="A1033" s="453"/>
      <c r="C1033" s="51"/>
      <c r="D1033" s="4294"/>
      <c r="E1033" s="4293"/>
      <c r="F1033" s="4341" t="str">
        <f t="shared" ref="F1033:F1039" si="163">F1006</f>
        <v>Mini/MultiSplitASHP_ER1_MF</v>
      </c>
      <c r="G1033" s="4341"/>
      <c r="H1033" s="4341"/>
      <c r="I1033" s="3334" t="str">
        <f t="shared" ref="I1033:I1041" si="164">I1006</f>
        <v>351850_2024_12_</v>
      </c>
      <c r="J1033" s="3344">
        <f>J1024</f>
        <v>14.3</v>
      </c>
      <c r="K1033" s="3343"/>
      <c r="L1033" s="3334" t="s">
        <v>1941</v>
      </c>
      <c r="N1033" s="564"/>
      <c r="S1033" s="52"/>
      <c r="T1033" s="52"/>
      <c r="U1033" s="52"/>
      <c r="V1033" s="4293"/>
      <c r="W1033" s="1396"/>
      <c r="X1033" s="833"/>
      <c r="Y1033" s="3265">
        <v>13</v>
      </c>
      <c r="Z1033" s="3262">
        <v>13</v>
      </c>
      <c r="AA1033" s="3262">
        <v>13</v>
      </c>
      <c r="AB1033" s="3262">
        <v>13</v>
      </c>
      <c r="AC1033" s="3262">
        <v>13</v>
      </c>
      <c r="AD1033" s="3262">
        <v>13</v>
      </c>
      <c r="AE1033" s="3345">
        <v>15</v>
      </c>
      <c r="AF1033" s="2236">
        <f t="shared" si="159"/>
        <v>14.3</v>
      </c>
      <c r="AG1033" s="1396"/>
      <c r="DG1033" s="573"/>
      <c r="DH1033" s="159"/>
      <c r="DI1033" s="1091"/>
    </row>
    <row r="1034" spans="1:113" hidden="1" outlineLevel="1">
      <c r="A1034" s="453"/>
      <c r="C1034" s="51"/>
      <c r="D1034" s="4294"/>
      <c r="E1034" s="4293"/>
      <c r="F1034" s="4341" t="str">
        <f t="shared" si="163"/>
        <v>Mini/MultiSplitAC_ER1_MF_CompE</v>
      </c>
      <c r="G1034" s="4341"/>
      <c r="H1034" s="4341"/>
      <c r="I1034" s="3334" t="str">
        <f t="shared" si="164"/>
        <v>351551_2024_12_</v>
      </c>
      <c r="J1034" s="3344">
        <f t="shared" ref="J1034:J1039" si="165">J1016</f>
        <v>13.4</v>
      </c>
      <c r="K1034" s="3343"/>
      <c r="L1034" s="3334" t="s">
        <v>1941</v>
      </c>
      <c r="N1034" s="564"/>
      <c r="S1034" s="52"/>
      <c r="T1034" s="52"/>
      <c r="U1034" s="52"/>
      <c r="V1034" s="4293"/>
      <c r="W1034" s="1396"/>
      <c r="X1034" s="1396"/>
      <c r="Y1034" s="3265">
        <v>13</v>
      </c>
      <c r="Z1034" s="3262">
        <v>13</v>
      </c>
      <c r="AA1034" s="3262">
        <v>13</v>
      </c>
      <c r="AB1034" s="3262">
        <v>13</v>
      </c>
      <c r="AC1034" s="3262">
        <v>13</v>
      </c>
      <c r="AD1034" s="3262">
        <v>13</v>
      </c>
      <c r="AE1034" s="3345">
        <v>14</v>
      </c>
      <c r="AF1034" s="2236">
        <f t="shared" si="159"/>
        <v>13.4</v>
      </c>
      <c r="AG1034" s="1396"/>
      <c r="DG1034" s="573"/>
      <c r="DH1034" s="159"/>
      <c r="DI1034" s="1091"/>
    </row>
    <row r="1035" spans="1:113" hidden="1" outlineLevel="1">
      <c r="A1035" s="453"/>
      <c r="C1035" s="51"/>
      <c r="D1035" s="4294"/>
      <c r="E1035" s="4293"/>
      <c r="F1035" s="4341" t="str">
        <f t="shared" si="163"/>
        <v>Mini/MultiSplitAC_ROF_MF_CompE</v>
      </c>
      <c r="G1035" s="4341"/>
      <c r="H1035" s="4341"/>
      <c r="I1035" s="3334" t="str">
        <f t="shared" si="164"/>
        <v>351601_2024_12_</v>
      </c>
      <c r="J1035" s="3344">
        <f t="shared" si="165"/>
        <v>13.4</v>
      </c>
      <c r="K1035" s="3343"/>
      <c r="L1035" s="3334" t="s">
        <v>1941</v>
      </c>
      <c r="N1035" s="564"/>
      <c r="S1035" s="52"/>
      <c r="T1035" s="52"/>
      <c r="U1035" s="52"/>
      <c r="V1035" s="4293"/>
      <c r="W1035" s="1396"/>
      <c r="X1035" s="1396"/>
      <c r="Y1035" s="3265">
        <v>13</v>
      </c>
      <c r="Z1035" s="3262">
        <v>13</v>
      </c>
      <c r="AA1035" s="3262">
        <v>13</v>
      </c>
      <c r="AB1035" s="3262">
        <v>13</v>
      </c>
      <c r="AC1035" s="3262">
        <v>13</v>
      </c>
      <c r="AD1035" s="3262">
        <v>13</v>
      </c>
      <c r="AE1035" s="3345">
        <v>14</v>
      </c>
      <c r="AF1035" s="2236">
        <f t="shared" si="159"/>
        <v>13.4</v>
      </c>
      <c r="AG1035" s="1396"/>
      <c r="DG1035" s="573"/>
      <c r="DH1035" s="159"/>
      <c r="DI1035" s="1091"/>
    </row>
    <row r="1036" spans="1:113" hidden="1" outlineLevel="1">
      <c r="A1036" s="453"/>
      <c r="C1036" s="51"/>
      <c r="D1036" s="4294"/>
      <c r="E1036" s="4293"/>
      <c r="F1036" s="4341" t="str">
        <f t="shared" si="163"/>
        <v>Mini/MultiSplitASHP_ROF_MF_NC_CompE</v>
      </c>
      <c r="G1036" s="4341"/>
      <c r="H1036" s="4341"/>
      <c r="I1036" s="3334" t="str">
        <f t="shared" si="164"/>
        <v>351651_2024_12_</v>
      </c>
      <c r="J1036" s="3344">
        <f t="shared" si="165"/>
        <v>14.3</v>
      </c>
      <c r="K1036" s="3343"/>
      <c r="L1036" s="3334" t="s">
        <v>1941</v>
      </c>
      <c r="N1036" s="564"/>
      <c r="S1036" s="52"/>
      <c r="T1036" s="52"/>
      <c r="U1036" s="52"/>
      <c r="V1036" s="4293"/>
      <c r="W1036" s="1396"/>
      <c r="X1036" s="1396"/>
      <c r="Y1036" s="3265">
        <v>14</v>
      </c>
      <c r="Z1036" s="3262">
        <v>14</v>
      </c>
      <c r="AA1036" s="3262">
        <v>14</v>
      </c>
      <c r="AB1036" s="3262">
        <v>14</v>
      </c>
      <c r="AC1036" s="3262">
        <v>14</v>
      </c>
      <c r="AD1036" s="3262">
        <v>14</v>
      </c>
      <c r="AE1036" s="3345">
        <v>15</v>
      </c>
      <c r="AF1036" s="2236">
        <f t="shared" si="159"/>
        <v>14.3</v>
      </c>
      <c r="AG1036" s="1396"/>
      <c r="DG1036" s="573"/>
      <c r="DH1036" s="159"/>
      <c r="DI1036" s="1091"/>
    </row>
    <row r="1037" spans="1:113" hidden="1" outlineLevel="1">
      <c r="A1037" s="453"/>
      <c r="C1037" s="51"/>
      <c r="D1037" s="4294"/>
      <c r="E1037" s="4293"/>
      <c r="F1037" s="4341" t="str">
        <f t="shared" si="163"/>
        <v>Mini/MultiSplitASHP_ROF_MF_CompE</v>
      </c>
      <c r="G1037" s="4341"/>
      <c r="H1037" s="4341"/>
      <c r="I1037" s="3334" t="str">
        <f t="shared" si="164"/>
        <v>351701_2024_12_</v>
      </c>
      <c r="J1037" s="3344">
        <f t="shared" si="165"/>
        <v>14.3</v>
      </c>
      <c r="K1037" s="3343"/>
      <c r="L1037" s="3224" t="s">
        <v>1941</v>
      </c>
      <c r="N1037" s="564"/>
      <c r="S1037" s="52"/>
      <c r="T1037" s="52"/>
      <c r="U1037" s="52"/>
      <c r="V1037" s="4293"/>
      <c r="W1037" s="1396"/>
      <c r="X1037" s="1396"/>
      <c r="Y1037" s="3265">
        <v>14</v>
      </c>
      <c r="Z1037" s="3262">
        <v>14</v>
      </c>
      <c r="AA1037" s="3262">
        <v>14</v>
      </c>
      <c r="AB1037" s="3262">
        <v>14</v>
      </c>
      <c r="AC1037" s="3262">
        <v>14</v>
      </c>
      <c r="AD1037" s="3262">
        <v>14</v>
      </c>
      <c r="AE1037" s="3345">
        <v>15</v>
      </c>
      <c r="AF1037" s="2236">
        <f t="shared" si="159"/>
        <v>14.3</v>
      </c>
      <c r="AG1037" s="1396"/>
      <c r="DG1037" s="573"/>
      <c r="DH1037" s="159"/>
      <c r="DI1037" s="1091"/>
    </row>
    <row r="1038" spans="1:113" hidden="1" outlineLevel="1">
      <c r="A1038" s="453"/>
      <c r="C1038" s="51"/>
      <c r="D1038" s="4294"/>
      <c r="E1038" s="4293"/>
      <c r="F1038" s="4341" t="str">
        <f t="shared" si="163"/>
        <v>Mini/MultiSplitASHP-Replace_CAC_ElectricHeat_ER1_MF_CompE</v>
      </c>
      <c r="G1038" s="4341"/>
      <c r="H1038" s="4341"/>
      <c r="I1038" s="3334" t="str">
        <f t="shared" si="164"/>
        <v>351751_2024_12_</v>
      </c>
      <c r="J1038" s="3344">
        <f t="shared" si="165"/>
        <v>13.4</v>
      </c>
      <c r="K1038" s="3343"/>
      <c r="L1038" s="3224" t="s">
        <v>1941</v>
      </c>
      <c r="N1038" s="564"/>
      <c r="S1038" s="52"/>
      <c r="T1038" s="52"/>
      <c r="U1038" s="52"/>
      <c r="V1038" s="4293"/>
      <c r="W1038" s="1396"/>
      <c r="X1038" s="1396"/>
      <c r="Y1038" s="3265">
        <v>13</v>
      </c>
      <c r="Z1038" s="3262">
        <v>13</v>
      </c>
      <c r="AA1038" s="3262">
        <v>13</v>
      </c>
      <c r="AB1038" s="3262">
        <v>13</v>
      </c>
      <c r="AC1038" s="3262">
        <v>13</v>
      </c>
      <c r="AD1038" s="3262">
        <v>13</v>
      </c>
      <c r="AE1038" s="3345">
        <v>14</v>
      </c>
      <c r="AF1038" s="2236">
        <f t="shared" si="159"/>
        <v>13.4</v>
      </c>
      <c r="AG1038" s="1396"/>
      <c r="DG1038" s="573"/>
      <c r="DH1038" s="159"/>
      <c r="DI1038" s="1091"/>
    </row>
    <row r="1039" spans="1:113" hidden="1" outlineLevel="1">
      <c r="A1039" s="453"/>
      <c r="C1039" s="51"/>
      <c r="D1039" s="4294"/>
      <c r="E1039" s="4293"/>
      <c r="F1039" s="4341" t="str">
        <f t="shared" si="163"/>
        <v>Mini/MultiSplitASHP-Replace_CAC_ElectricHeat_ROF_MF_CompE</v>
      </c>
      <c r="G1039" s="4341"/>
      <c r="H1039" s="4341"/>
      <c r="I1039" s="3334" t="str">
        <f t="shared" si="164"/>
        <v>351801_2024_12_</v>
      </c>
      <c r="J1039" s="3344">
        <f t="shared" si="165"/>
        <v>13.4</v>
      </c>
      <c r="K1039" s="3343"/>
      <c r="L1039" s="3224" t="s">
        <v>1941</v>
      </c>
      <c r="N1039" s="564"/>
      <c r="S1039" s="52"/>
      <c r="T1039" s="52"/>
      <c r="U1039" s="52"/>
      <c r="V1039" s="4293"/>
      <c r="W1039" s="1396"/>
      <c r="X1039" s="1396"/>
      <c r="Y1039" s="3265">
        <v>14</v>
      </c>
      <c r="Z1039" s="3262">
        <v>14</v>
      </c>
      <c r="AA1039" s="3262">
        <v>14</v>
      </c>
      <c r="AB1039" s="3262">
        <v>14</v>
      </c>
      <c r="AC1039" s="3262">
        <v>14</v>
      </c>
      <c r="AD1039" s="3262">
        <v>14</v>
      </c>
      <c r="AE1039" s="3284">
        <v>14</v>
      </c>
      <c r="AF1039" s="2236">
        <f t="shared" si="159"/>
        <v>13.4</v>
      </c>
      <c r="AG1039" s="1396"/>
      <c r="DG1039" s="573"/>
      <c r="DH1039" s="159"/>
      <c r="DI1039" s="1091"/>
    </row>
    <row r="1040" spans="1:113" hidden="1" outlineLevel="1">
      <c r="A1040" s="453"/>
      <c r="C1040" s="51"/>
      <c r="D1040" s="4294"/>
      <c r="E1040" s="4293"/>
      <c r="F1040" s="4341" t="str">
        <f>F1013</f>
        <v>Mini/MultiSplitASHP-Replace_CAC_NonElectricHeat_ER1_MF_CompE</v>
      </c>
      <c r="G1040" s="4341"/>
      <c r="H1040" s="4341"/>
      <c r="I1040" s="3334" t="str">
        <f t="shared" si="164"/>
        <v>351753_2024_12_</v>
      </c>
      <c r="J1040" s="3344">
        <v>13.4</v>
      </c>
      <c r="K1040" s="3343"/>
      <c r="L1040" s="3338" t="s">
        <v>1941</v>
      </c>
      <c r="N1040" s="564"/>
      <c r="S1040" s="52"/>
      <c r="T1040" s="52"/>
      <c r="U1040" s="52"/>
      <c r="V1040" s="4293"/>
      <c r="W1040" s="1396"/>
      <c r="X1040" s="1396"/>
      <c r="Y1040" s="3265"/>
      <c r="Z1040" s="3262"/>
      <c r="AA1040" s="3262"/>
      <c r="AB1040" s="3262"/>
      <c r="AC1040" s="3262"/>
      <c r="AD1040" s="3265">
        <v>13</v>
      </c>
      <c r="AE1040" s="3345">
        <v>14</v>
      </c>
      <c r="AF1040" s="2236">
        <f t="shared" si="159"/>
        <v>13.4</v>
      </c>
      <c r="AG1040" s="1396"/>
      <c r="DG1040" s="573"/>
      <c r="DH1040" s="159"/>
      <c r="DI1040" s="1091"/>
    </row>
    <row r="1041" spans="1:113" hidden="1" outlineLevel="1">
      <c r="A1041" s="453"/>
      <c r="C1041" s="51"/>
      <c r="D1041" s="4294"/>
      <c r="E1041" s="4293"/>
      <c r="F1041" s="4341" t="str">
        <f>F1014</f>
        <v>Mini/MultiSplitASHP-Replace_CAC_NonElectricHeat_ROF_MF_CompE</v>
      </c>
      <c r="G1041" s="4341"/>
      <c r="H1041" s="4341"/>
      <c r="I1041" s="3334" t="str">
        <f t="shared" si="164"/>
        <v>351803_2024_12_</v>
      </c>
      <c r="J1041" s="3344">
        <v>13.4</v>
      </c>
      <c r="K1041" s="3343"/>
      <c r="L1041" s="3338" t="s">
        <v>1941</v>
      </c>
      <c r="N1041" s="564"/>
      <c r="S1041" s="52"/>
      <c r="T1041" s="52"/>
      <c r="U1041" s="52"/>
      <c r="V1041" s="4293"/>
      <c r="W1041" s="1396"/>
      <c r="X1041" s="1396"/>
      <c r="Y1041" s="3265"/>
      <c r="Z1041" s="3262"/>
      <c r="AA1041" s="3262"/>
      <c r="AB1041" s="3262"/>
      <c r="AC1041" s="3262"/>
      <c r="AD1041" s="3265">
        <v>14</v>
      </c>
      <c r="AE1041" s="3284">
        <v>14</v>
      </c>
      <c r="AF1041" s="2236">
        <f t="shared" si="159"/>
        <v>13.4</v>
      </c>
      <c r="AG1041" s="1396"/>
      <c r="DG1041" s="573"/>
      <c r="DH1041" s="159"/>
      <c r="DI1041" s="1091"/>
    </row>
    <row r="1042" spans="1:113" hidden="1" outlineLevel="1">
      <c r="A1042" s="453"/>
      <c r="C1042" s="51"/>
      <c r="D1042" s="4294"/>
      <c r="E1042" s="4293"/>
      <c r="F1042" s="4341" t="str">
        <f t="shared" ref="F1042:F1048" si="166">F1015</f>
        <v>Mini/MultiSplitASHP_ER1_MF_CompE</v>
      </c>
      <c r="G1042" s="4341"/>
      <c r="H1042" s="4341"/>
      <c r="I1042" s="3334" t="str">
        <f t="shared" ref="I1042:I1050" si="167">I1015</f>
        <v>351851_2024_12_</v>
      </c>
      <c r="J1042" s="3344">
        <f>J1024</f>
        <v>14.3</v>
      </c>
      <c r="K1042" s="3343"/>
      <c r="L1042" s="3224" t="s">
        <v>1941</v>
      </c>
      <c r="N1042" s="564"/>
      <c r="S1042" s="52"/>
      <c r="T1042" s="52"/>
      <c r="U1042" s="52"/>
      <c r="V1042" s="4293"/>
      <c r="W1042" s="1396"/>
      <c r="X1042" s="1396"/>
      <c r="Y1042" s="3265">
        <v>13</v>
      </c>
      <c r="Z1042" s="3262">
        <v>13</v>
      </c>
      <c r="AA1042" s="3262">
        <v>13</v>
      </c>
      <c r="AB1042" s="3262">
        <v>13</v>
      </c>
      <c r="AC1042" s="3262">
        <v>13</v>
      </c>
      <c r="AD1042" s="3262">
        <v>13</v>
      </c>
      <c r="AE1042" s="3345">
        <v>15</v>
      </c>
      <c r="AF1042" s="2236">
        <f t="shared" si="159"/>
        <v>14.3</v>
      </c>
      <c r="AG1042" s="1396"/>
      <c r="DG1042" s="573"/>
      <c r="DH1042" s="159"/>
      <c r="DI1042" s="1091"/>
    </row>
    <row r="1043" spans="1:113" hidden="1" outlineLevel="1">
      <c r="A1043" s="453"/>
      <c r="C1043" s="51"/>
      <c r="D1043" s="4294" t="s">
        <v>1947</v>
      </c>
      <c r="E1043" s="4293" t="s">
        <v>2063</v>
      </c>
      <c r="F1043" s="4342" t="str">
        <f t="shared" si="166"/>
        <v>Mini/MultiSplitAC_ER1_SF</v>
      </c>
      <c r="G1043" s="4342"/>
      <c r="H1043" s="4342"/>
      <c r="I1043" s="929" t="str">
        <f t="shared" si="167"/>
        <v>351200_2024_12_</v>
      </c>
      <c r="J1043" s="1772">
        <v>7.0198996256246149</v>
      </c>
      <c r="K1043" s="13"/>
      <c r="L1043" s="929" t="s">
        <v>1937</v>
      </c>
      <c r="N1043" s="564"/>
      <c r="S1043" s="52"/>
      <c r="T1043" s="52"/>
      <c r="U1043" s="52"/>
      <c r="V1043" s="4293" t="s">
        <v>2064</v>
      </c>
      <c r="W1043" s="1396">
        <v>6.3</v>
      </c>
      <c r="X1043" s="1396">
        <v>6.3</v>
      </c>
      <c r="Y1043" s="1396">
        <v>6.3</v>
      </c>
      <c r="Z1043" s="1396">
        <v>6.3</v>
      </c>
      <c r="AA1043" s="1396">
        <v>6.3</v>
      </c>
      <c r="AB1043" s="1405">
        <v>6.3</v>
      </c>
      <c r="AC1043" s="740">
        <v>8.402496453661275</v>
      </c>
      <c r="AD1043" s="939">
        <v>7.0198996256246149</v>
      </c>
      <c r="AE1043" s="1043">
        <v>7.0198996256246149</v>
      </c>
      <c r="AF1043" s="271">
        <f t="shared" si="159"/>
        <v>7.0198996256246149</v>
      </c>
      <c r="AG1043" s="1396"/>
      <c r="DG1043" s="573"/>
      <c r="DH1043" s="159"/>
      <c r="DI1043" s="1091"/>
    </row>
    <row r="1044" spans="1:113" hidden="1" outlineLevel="1">
      <c r="A1044" s="453"/>
      <c r="C1044" s="51"/>
      <c r="D1044" s="4294"/>
      <c r="E1044" s="4293"/>
      <c r="F1044" s="4342" t="str">
        <f t="shared" si="166"/>
        <v>Mini/MultiSplitAC_ROF_SF</v>
      </c>
      <c r="G1044" s="4342"/>
      <c r="H1044" s="4342"/>
      <c r="I1044" s="929" t="str">
        <f t="shared" si="167"/>
        <v>351250_2024_12_</v>
      </c>
      <c r="J1044" s="1772">
        <v>6.3</v>
      </c>
      <c r="K1044" s="1761"/>
      <c r="L1044" s="929" t="s">
        <v>2065</v>
      </c>
      <c r="N1044" s="564"/>
      <c r="S1044" s="52"/>
      <c r="T1044" s="52"/>
      <c r="U1044" s="52"/>
      <c r="V1044" s="4293"/>
      <c r="W1044" s="1396">
        <v>6.3</v>
      </c>
      <c r="X1044" s="1396">
        <v>6.3</v>
      </c>
      <c r="Y1044" s="1396">
        <v>6.3</v>
      </c>
      <c r="Z1044" s="1396">
        <v>6.3</v>
      </c>
      <c r="AA1044" s="1396">
        <v>6.3</v>
      </c>
      <c r="AB1044" s="1405">
        <v>6.3</v>
      </c>
      <c r="AC1044" s="1405">
        <v>6.3</v>
      </c>
      <c r="AD1044" s="1043">
        <v>6.3</v>
      </c>
      <c r="AE1044" s="1043">
        <v>6.3</v>
      </c>
      <c r="AF1044" s="271">
        <f t="shared" si="159"/>
        <v>6.3</v>
      </c>
      <c r="AG1044" s="1396"/>
      <c r="DG1044" s="573"/>
      <c r="DH1044" s="159"/>
      <c r="DI1044" s="1091"/>
    </row>
    <row r="1045" spans="1:113" hidden="1" outlineLevel="1">
      <c r="A1045" s="453"/>
      <c r="C1045" s="51"/>
      <c r="D1045" s="4294"/>
      <c r="E1045" s="4293"/>
      <c r="F1045" s="4342" t="str">
        <f t="shared" si="166"/>
        <v>Mini/MultiSplitASHP_ROF_SF_NC</v>
      </c>
      <c r="G1045" s="4342"/>
      <c r="H1045" s="4342"/>
      <c r="I1045" s="929" t="str">
        <f t="shared" si="167"/>
        <v>351300_2024_12_</v>
      </c>
      <c r="J1045" s="1772">
        <v>7.2</v>
      </c>
      <c r="K1045" s="1761"/>
      <c r="L1045" s="929" t="s">
        <v>2065</v>
      </c>
      <c r="N1045" s="564"/>
      <c r="S1045" s="52"/>
      <c r="T1045" s="52"/>
      <c r="U1045" s="52"/>
      <c r="V1045" s="4293"/>
      <c r="W1045" s="1396">
        <v>7.2</v>
      </c>
      <c r="X1045" s="1396">
        <v>7.2</v>
      </c>
      <c r="Y1045" s="1396">
        <v>7.2</v>
      </c>
      <c r="Z1045" s="1396">
        <v>7.2</v>
      </c>
      <c r="AA1045" s="1396">
        <v>7.2</v>
      </c>
      <c r="AB1045" s="1405">
        <v>7.2</v>
      </c>
      <c r="AC1045" s="1405">
        <v>7.2</v>
      </c>
      <c r="AD1045" s="1043">
        <v>7.2</v>
      </c>
      <c r="AE1045" s="1043">
        <v>7.2</v>
      </c>
      <c r="AF1045" s="271">
        <f t="shared" si="159"/>
        <v>7.2</v>
      </c>
      <c r="AG1045" s="1396"/>
      <c r="DG1045" s="573"/>
      <c r="DH1045" s="159"/>
      <c r="DI1045" s="1091"/>
    </row>
    <row r="1046" spans="1:113" hidden="1" outlineLevel="1">
      <c r="A1046" s="453"/>
      <c r="C1046" s="51"/>
      <c r="D1046" s="4294"/>
      <c r="E1046" s="4293"/>
      <c r="F1046" s="4342" t="str">
        <f t="shared" si="166"/>
        <v>Mini/MultiSplitASHP_ROF_SF</v>
      </c>
      <c r="G1046" s="4342"/>
      <c r="H1046" s="4342"/>
      <c r="I1046" s="929" t="str">
        <f t="shared" si="167"/>
        <v>351350_2024_12_</v>
      </c>
      <c r="J1046" s="1772">
        <v>7.2</v>
      </c>
      <c r="K1046" s="1761"/>
      <c r="L1046" s="55" t="s">
        <v>2065</v>
      </c>
      <c r="N1046" s="564"/>
      <c r="S1046" s="52"/>
      <c r="T1046" s="52"/>
      <c r="U1046" s="52"/>
      <c r="V1046" s="4293"/>
      <c r="W1046" s="1396">
        <v>7.2</v>
      </c>
      <c r="X1046" s="1396">
        <v>7.2</v>
      </c>
      <c r="Y1046" s="1396">
        <v>7.2</v>
      </c>
      <c r="Z1046" s="1396">
        <v>7.2</v>
      </c>
      <c r="AA1046" s="1396">
        <v>7.2</v>
      </c>
      <c r="AB1046" s="1619">
        <v>7.2</v>
      </c>
      <c r="AC1046" s="1619">
        <v>7.2</v>
      </c>
      <c r="AD1046" s="1043">
        <v>7.2</v>
      </c>
      <c r="AE1046" s="1043">
        <v>7.2</v>
      </c>
      <c r="AF1046" s="271">
        <f t="shared" si="159"/>
        <v>7.2</v>
      </c>
      <c r="AG1046" s="1396"/>
      <c r="DG1046" s="573"/>
      <c r="DH1046" s="159"/>
      <c r="DI1046" s="1091"/>
    </row>
    <row r="1047" spans="1:113" hidden="1" outlineLevel="1">
      <c r="A1047" s="453"/>
      <c r="C1047" s="51"/>
      <c r="D1047" s="4294"/>
      <c r="E1047" s="4293"/>
      <c r="F1047" s="4342" t="str">
        <f t="shared" si="166"/>
        <v>Mini/MultiSplitASHP-Replace_CAC_ElectricHeat_ER1_SF</v>
      </c>
      <c r="G1047" s="4342"/>
      <c r="H1047" s="4342"/>
      <c r="I1047" s="929" t="str">
        <f t="shared" si="167"/>
        <v>351400_2024_12_</v>
      </c>
      <c r="J1047" s="1773">
        <v>8.0470351851474575</v>
      </c>
      <c r="K1047" s="1761"/>
      <c r="L1047" s="1609" t="s">
        <v>1950</v>
      </c>
      <c r="N1047" s="564"/>
      <c r="S1047" s="52"/>
      <c r="T1047" s="52"/>
      <c r="U1047" s="52"/>
      <c r="V1047" s="4293"/>
      <c r="W1047" s="1396">
        <v>6.8</v>
      </c>
      <c r="X1047" s="1396">
        <v>6.8</v>
      </c>
      <c r="Y1047" s="1396">
        <v>6.8</v>
      </c>
      <c r="Z1047" s="1396">
        <v>6.8</v>
      </c>
      <c r="AA1047" s="1396">
        <v>6.8</v>
      </c>
      <c r="AB1047" s="740">
        <v>7.6061892029279887</v>
      </c>
      <c r="AC1047" s="740">
        <v>8.2976860977532869</v>
      </c>
      <c r="AD1047" s="939">
        <v>7.838789123969689</v>
      </c>
      <c r="AE1047" s="1043">
        <v>7.838789123969689</v>
      </c>
      <c r="AF1047" s="271">
        <f t="shared" si="159"/>
        <v>8.0470351851474575</v>
      </c>
      <c r="AG1047" s="1396"/>
      <c r="DG1047" s="573"/>
      <c r="DH1047" s="159"/>
      <c r="DI1047" s="1091"/>
    </row>
    <row r="1048" spans="1:113" hidden="1" outlineLevel="1">
      <c r="A1048" s="453"/>
      <c r="C1048" s="51"/>
      <c r="D1048" s="4294"/>
      <c r="E1048" s="4293"/>
      <c r="F1048" s="4342" t="str">
        <f t="shared" si="166"/>
        <v>Mini/MultiSplitASHP-Replace_CAC_ElectricHeat_ROF_SF</v>
      </c>
      <c r="G1048" s="4342"/>
      <c r="H1048" s="4342"/>
      <c r="I1048" s="929" t="str">
        <f t="shared" si="167"/>
        <v>351450_2024_12_</v>
      </c>
      <c r="J1048" s="1772">
        <v>6.8</v>
      </c>
      <c r="K1048" s="1761"/>
      <c r="L1048" s="55" t="s">
        <v>2065</v>
      </c>
      <c r="N1048" s="564"/>
      <c r="S1048" s="52"/>
      <c r="T1048" s="52"/>
      <c r="U1048" s="52"/>
      <c r="V1048" s="4293"/>
      <c r="W1048" s="1396">
        <v>6.8</v>
      </c>
      <c r="X1048" s="1396">
        <v>6.8</v>
      </c>
      <c r="Y1048" s="1396">
        <v>6.8</v>
      </c>
      <c r="Z1048" s="1396">
        <v>6.8</v>
      </c>
      <c r="AA1048" s="1396">
        <v>6.8</v>
      </c>
      <c r="AB1048" s="1619">
        <v>6.8</v>
      </c>
      <c r="AC1048" s="1619">
        <v>6.8</v>
      </c>
      <c r="AD1048" s="1043">
        <v>6.8</v>
      </c>
      <c r="AE1048" s="1043">
        <v>6.8</v>
      </c>
      <c r="AF1048" s="271">
        <f t="shared" si="159"/>
        <v>6.8</v>
      </c>
      <c r="AG1048" s="1396"/>
      <c r="DG1048" s="573"/>
      <c r="DH1048" s="159"/>
      <c r="DI1048" s="1091"/>
    </row>
    <row r="1049" spans="1:113" hidden="1" outlineLevel="1">
      <c r="A1049" s="453"/>
      <c r="C1049" s="51"/>
      <c r="D1049" s="4294"/>
      <c r="E1049" s="4293"/>
      <c r="F1049" s="4342" t="str">
        <f>F1022</f>
        <v>Mini/MultiSplitASHP-Replace_CAC_NonElectricHeat_ER1_SF</v>
      </c>
      <c r="G1049" s="4342"/>
      <c r="H1049" s="4342"/>
      <c r="I1049" s="929" t="str">
        <f t="shared" si="167"/>
        <v>351401_2024_12_</v>
      </c>
      <c r="J1049" s="1773">
        <f>J1047</f>
        <v>8.0470351851474575</v>
      </c>
      <c r="K1049" s="1761"/>
      <c r="L1049" s="1609" t="s">
        <v>1950</v>
      </c>
      <c r="N1049" s="564"/>
      <c r="S1049" s="52"/>
      <c r="T1049" s="52"/>
      <c r="U1049" s="52"/>
      <c r="V1049" s="4293"/>
      <c r="W1049" s="1396"/>
      <c r="X1049" s="1396"/>
      <c r="Y1049" s="1396"/>
      <c r="Z1049" s="1396"/>
      <c r="AA1049" s="1396"/>
      <c r="AB1049" s="1619"/>
      <c r="AC1049" s="1619"/>
      <c r="AD1049" s="939">
        <v>7.838789123969689</v>
      </c>
      <c r="AE1049" s="1043">
        <v>7.838789123969689</v>
      </c>
      <c r="AF1049" s="271">
        <f t="shared" si="159"/>
        <v>8.0470351851474575</v>
      </c>
      <c r="AG1049" s="1396"/>
      <c r="DG1049" s="573"/>
      <c r="DH1049" s="159"/>
      <c r="DI1049" s="1091"/>
    </row>
    <row r="1050" spans="1:113" hidden="1" outlineLevel="1">
      <c r="A1050" s="453"/>
      <c r="C1050" s="51"/>
      <c r="D1050" s="4294"/>
      <c r="E1050" s="4293"/>
      <c r="F1050" s="4342" t="str">
        <f>F1023</f>
        <v>Mini/MultiSplitASHP-Replace_CAC_NonElectricHeat_ROF_SF</v>
      </c>
      <c r="G1050" s="4342"/>
      <c r="H1050" s="4342"/>
      <c r="I1050" s="929" t="str">
        <f t="shared" si="167"/>
        <v>351451_2024_12_</v>
      </c>
      <c r="J1050" s="1772">
        <f>J1048</f>
        <v>6.8</v>
      </c>
      <c r="K1050" s="1761"/>
      <c r="L1050" s="55"/>
      <c r="N1050" s="564"/>
      <c r="S1050" s="52"/>
      <c r="T1050" s="52"/>
      <c r="U1050" s="52"/>
      <c r="V1050" s="4293"/>
      <c r="W1050" s="1396"/>
      <c r="X1050" s="1396"/>
      <c r="Y1050" s="1396"/>
      <c r="Z1050" s="1396"/>
      <c r="AA1050" s="1396"/>
      <c r="AB1050" s="1619"/>
      <c r="AC1050" s="1619"/>
      <c r="AD1050" s="939">
        <v>6.8</v>
      </c>
      <c r="AE1050" s="1043">
        <v>6.8</v>
      </c>
      <c r="AF1050" s="271">
        <f t="shared" si="159"/>
        <v>6.8</v>
      </c>
      <c r="AG1050" s="1396"/>
      <c r="DG1050" s="573"/>
      <c r="DH1050" s="159"/>
      <c r="DI1050" s="1091"/>
    </row>
    <row r="1051" spans="1:113" hidden="1" outlineLevel="1">
      <c r="A1051" s="453"/>
      <c r="C1051" s="51"/>
      <c r="D1051" s="4294"/>
      <c r="E1051" s="4293"/>
      <c r="F1051" s="4342" t="str">
        <f t="shared" ref="F1051:F1057" si="168">F1024</f>
        <v>Mini/MultiSplitASHP_ER1_SF</v>
      </c>
      <c r="G1051" s="4342"/>
      <c r="H1051" s="4342"/>
      <c r="I1051" s="929" t="str">
        <f t="shared" ref="I1051:I1059" si="169">I1024</f>
        <v>351500_2024_12_</v>
      </c>
      <c r="J1051" s="1773">
        <f>J1047</f>
        <v>8.0470351851474575</v>
      </c>
      <c r="K1051" s="1761"/>
      <c r="L1051" s="1609" t="s">
        <v>1950</v>
      </c>
      <c r="N1051" s="564"/>
      <c r="S1051" s="52"/>
      <c r="T1051" s="52"/>
      <c r="U1051" s="52"/>
      <c r="V1051" s="4293"/>
      <c r="W1051" s="1396">
        <v>7.2</v>
      </c>
      <c r="X1051" s="1396">
        <v>7.2</v>
      </c>
      <c r="Y1051" s="1396">
        <v>7.2</v>
      </c>
      <c r="Z1051" s="1396">
        <v>7.2</v>
      </c>
      <c r="AA1051" s="1396">
        <v>7.2</v>
      </c>
      <c r="AB1051" s="740">
        <v>8.0162959726442171</v>
      </c>
      <c r="AC1051" s="740">
        <v>8.2960580500029604</v>
      </c>
      <c r="AD1051" s="939">
        <v>7.838789123969689</v>
      </c>
      <c r="AE1051" s="1043">
        <v>7.838789123969689</v>
      </c>
      <c r="AF1051" s="271">
        <f t="shared" si="159"/>
        <v>8.0470351851474575</v>
      </c>
      <c r="AG1051" s="1396"/>
      <c r="DG1051" s="573"/>
      <c r="DH1051" s="159"/>
      <c r="DI1051" s="1091"/>
    </row>
    <row r="1052" spans="1:113" hidden="1" outlineLevel="1">
      <c r="A1052" s="453"/>
      <c r="C1052" s="51"/>
      <c r="D1052" s="4294"/>
      <c r="E1052" s="4293"/>
      <c r="F1052" s="4342" t="str">
        <f t="shared" si="168"/>
        <v>Mini/MultiSplitAC_ER1_MF</v>
      </c>
      <c r="G1052" s="4342"/>
      <c r="H1052" s="4342"/>
      <c r="I1052" s="929" t="str">
        <f t="shared" si="169"/>
        <v>351550_2024_12_</v>
      </c>
      <c r="J1052" s="1772">
        <f t="shared" ref="J1052:J1057" si="170">J1043</f>
        <v>7.0198996256246149</v>
      </c>
      <c r="K1052" s="1761"/>
      <c r="L1052" s="1760" t="s">
        <v>1945</v>
      </c>
      <c r="N1052" s="564"/>
      <c r="S1052" s="52"/>
      <c r="T1052" s="52"/>
      <c r="U1052" s="52"/>
      <c r="V1052" s="4293"/>
      <c r="W1052" s="1396"/>
      <c r="X1052" s="833"/>
      <c r="Y1052" s="833">
        <v>6.3</v>
      </c>
      <c r="Z1052" s="1396">
        <v>6.3</v>
      </c>
      <c r="AA1052" s="1396">
        <v>6.3</v>
      </c>
      <c r="AB1052" s="1619">
        <v>6.3</v>
      </c>
      <c r="AC1052" s="740">
        <v>8.402496453661275</v>
      </c>
      <c r="AD1052" s="939">
        <v>7.0198996256246149</v>
      </c>
      <c r="AE1052" s="1043">
        <v>7.0198996256246149</v>
      </c>
      <c r="AF1052" s="271">
        <f t="shared" si="159"/>
        <v>7.0198996256246149</v>
      </c>
      <c r="AG1052" s="1396"/>
      <c r="DG1052" s="573"/>
      <c r="DH1052" s="159"/>
      <c r="DI1052" s="1091"/>
    </row>
    <row r="1053" spans="1:113" hidden="1" outlineLevel="1">
      <c r="A1053" s="453"/>
      <c r="C1053" s="51"/>
      <c r="D1053" s="4294"/>
      <c r="E1053" s="4293"/>
      <c r="F1053" s="4341" t="str">
        <f t="shared" si="168"/>
        <v>Mini/MultiSplitAC_ROF_MF</v>
      </c>
      <c r="G1053" s="4341"/>
      <c r="H1053" s="4341"/>
      <c r="I1053" s="3334" t="str">
        <f t="shared" si="169"/>
        <v>351600_2024_12_</v>
      </c>
      <c r="J1053" s="3289">
        <f t="shared" si="170"/>
        <v>6.3</v>
      </c>
      <c r="K1053" s="3343"/>
      <c r="L1053" s="3338"/>
      <c r="N1053" s="564"/>
      <c r="S1053" s="52"/>
      <c r="T1053" s="52"/>
      <c r="U1053" s="52"/>
      <c r="V1053" s="4293"/>
      <c r="W1053" s="3262"/>
      <c r="X1053" s="3265"/>
      <c r="Y1053" s="3265">
        <v>6.3</v>
      </c>
      <c r="Z1053" s="3262">
        <v>6.3</v>
      </c>
      <c r="AA1053" s="3262">
        <v>6.3</v>
      </c>
      <c r="AB1053" s="3348">
        <v>6.3</v>
      </c>
      <c r="AC1053" s="3348">
        <v>6.3</v>
      </c>
      <c r="AD1053" s="3292">
        <v>6.3</v>
      </c>
      <c r="AE1053" s="3292">
        <v>6.3</v>
      </c>
      <c r="AF1053" s="2236">
        <f t="shared" si="159"/>
        <v>6.3</v>
      </c>
      <c r="AG1053" s="1396"/>
      <c r="DG1053" s="573"/>
      <c r="DH1053" s="159"/>
      <c r="DI1053" s="1091"/>
    </row>
    <row r="1054" spans="1:113" hidden="1" outlineLevel="1">
      <c r="A1054" s="453"/>
      <c r="C1054" s="51"/>
      <c r="D1054" s="4294"/>
      <c r="E1054" s="4293"/>
      <c r="F1054" s="4341" t="str">
        <f t="shared" si="168"/>
        <v>Mini/MultiSplitASHP_ROF_MF_NC</v>
      </c>
      <c r="G1054" s="4341"/>
      <c r="H1054" s="4341"/>
      <c r="I1054" s="3334" t="str">
        <f t="shared" si="169"/>
        <v>351650_2024_12_</v>
      </c>
      <c r="J1054" s="3289">
        <f t="shared" si="170"/>
        <v>7.2</v>
      </c>
      <c r="K1054" s="3343"/>
      <c r="L1054" s="3338"/>
      <c r="N1054" s="564"/>
      <c r="S1054" s="52"/>
      <c r="T1054" s="52"/>
      <c r="U1054" s="52"/>
      <c r="V1054" s="4293"/>
      <c r="W1054" s="3262"/>
      <c r="X1054" s="3265"/>
      <c r="Y1054" s="3265">
        <v>7.2</v>
      </c>
      <c r="Z1054" s="3262">
        <v>7.2</v>
      </c>
      <c r="AA1054" s="3262">
        <v>7.2</v>
      </c>
      <c r="AB1054" s="3348">
        <v>7.2</v>
      </c>
      <c r="AC1054" s="3348">
        <v>7.2</v>
      </c>
      <c r="AD1054" s="3292">
        <v>7.2</v>
      </c>
      <c r="AE1054" s="3292">
        <v>7.2</v>
      </c>
      <c r="AF1054" s="2236">
        <f t="shared" si="159"/>
        <v>7.2</v>
      </c>
      <c r="AG1054" s="1396"/>
      <c r="DG1054" s="573"/>
      <c r="DH1054" s="159"/>
      <c r="DI1054" s="1091"/>
    </row>
    <row r="1055" spans="1:113" hidden="1" outlineLevel="1">
      <c r="A1055" s="453"/>
      <c r="C1055" s="51"/>
      <c r="D1055" s="4294"/>
      <c r="E1055" s="4293"/>
      <c r="F1055" s="4341" t="str">
        <f t="shared" si="168"/>
        <v>Mini/MultiSplitASHP_ROF_MF</v>
      </c>
      <c r="G1055" s="4341"/>
      <c r="H1055" s="4341"/>
      <c r="I1055" s="3334" t="str">
        <f t="shared" si="169"/>
        <v>351700_2024_12_</v>
      </c>
      <c r="J1055" s="3289">
        <f t="shared" si="170"/>
        <v>7.2</v>
      </c>
      <c r="K1055" s="3343"/>
      <c r="L1055" s="3338"/>
      <c r="N1055" s="564"/>
      <c r="S1055" s="52"/>
      <c r="T1055" s="52"/>
      <c r="U1055" s="52"/>
      <c r="V1055" s="4293"/>
      <c r="W1055" s="3262"/>
      <c r="X1055" s="3265"/>
      <c r="Y1055" s="3265">
        <v>7.2</v>
      </c>
      <c r="Z1055" s="3262">
        <v>7.2</v>
      </c>
      <c r="AA1055" s="3262">
        <v>7.2</v>
      </c>
      <c r="AB1055" s="3348">
        <v>7.2</v>
      </c>
      <c r="AC1055" s="3348">
        <v>7.2</v>
      </c>
      <c r="AD1055" s="3292">
        <v>7.2</v>
      </c>
      <c r="AE1055" s="3292">
        <v>7.2</v>
      </c>
      <c r="AF1055" s="2236">
        <f t="shared" si="159"/>
        <v>7.2</v>
      </c>
      <c r="AG1055" s="1396"/>
      <c r="DG1055" s="573"/>
      <c r="DH1055" s="159"/>
      <c r="DI1055" s="1091"/>
    </row>
    <row r="1056" spans="1:113" hidden="1" outlineLevel="1">
      <c r="A1056" s="453"/>
      <c r="C1056" s="51"/>
      <c r="D1056" s="4294"/>
      <c r="E1056" s="4293"/>
      <c r="F1056" s="4341" t="str">
        <f t="shared" si="168"/>
        <v>Mini/MultiSplitASHP-Replace_CAC_ElectricHeat_ER1_MF</v>
      </c>
      <c r="G1056" s="4341"/>
      <c r="H1056" s="4341"/>
      <c r="I1056" s="3334" t="str">
        <f t="shared" si="169"/>
        <v>351750_2024_12_</v>
      </c>
      <c r="J1056" s="3347">
        <f t="shared" si="170"/>
        <v>8.0470351851474575</v>
      </c>
      <c r="K1056" s="3343"/>
      <c r="L1056" s="3275" t="s">
        <v>1950</v>
      </c>
      <c r="N1056" s="564"/>
      <c r="S1056" s="52"/>
      <c r="T1056" s="52"/>
      <c r="U1056" s="52"/>
      <c r="V1056" s="4293"/>
      <c r="W1056" s="3262"/>
      <c r="X1056" s="3265"/>
      <c r="Y1056" s="3265">
        <v>6.8</v>
      </c>
      <c r="Z1056" s="3262">
        <v>6.8</v>
      </c>
      <c r="AA1056" s="3262">
        <v>6.8</v>
      </c>
      <c r="AB1056" s="3349">
        <v>7.6061892029279887</v>
      </c>
      <c r="AC1056" s="3349">
        <v>8.2976860977532869</v>
      </c>
      <c r="AD1056" s="3290">
        <v>7.838789123969689</v>
      </c>
      <c r="AE1056" s="3292">
        <v>7.838789123969689</v>
      </c>
      <c r="AF1056" s="2236">
        <f t="shared" si="159"/>
        <v>8.0470351851474575</v>
      </c>
      <c r="AG1056" s="1396"/>
      <c r="DG1056" s="573"/>
      <c r="DH1056" s="159"/>
      <c r="DI1056" s="1091"/>
    </row>
    <row r="1057" spans="1:113" hidden="1" outlineLevel="1">
      <c r="A1057" s="453"/>
      <c r="C1057" s="51"/>
      <c r="D1057" s="4294"/>
      <c r="E1057" s="4293"/>
      <c r="F1057" s="4341" t="str">
        <f t="shared" si="168"/>
        <v>Mini/MultiSplitASHP-Replace_CAC_ElectricHeat_ROF_MF</v>
      </c>
      <c r="G1057" s="4341"/>
      <c r="H1057" s="4341"/>
      <c r="I1057" s="3334" t="str">
        <f t="shared" si="169"/>
        <v>351800_2024_12_</v>
      </c>
      <c r="J1057" s="3289">
        <f t="shared" si="170"/>
        <v>6.8</v>
      </c>
      <c r="K1057" s="3343"/>
      <c r="L1057" s="3338"/>
      <c r="N1057" s="564"/>
      <c r="S1057" s="52"/>
      <c r="T1057" s="52"/>
      <c r="U1057" s="52"/>
      <c r="V1057" s="4293"/>
      <c r="W1057" s="3262"/>
      <c r="X1057" s="3265"/>
      <c r="Y1057" s="3265">
        <v>6.8</v>
      </c>
      <c r="Z1057" s="3262">
        <v>6.8</v>
      </c>
      <c r="AA1057" s="3262">
        <v>6.8</v>
      </c>
      <c r="AB1057" s="3348">
        <v>6.8</v>
      </c>
      <c r="AC1057" s="3348">
        <v>6.8</v>
      </c>
      <c r="AD1057" s="3292">
        <v>6.8</v>
      </c>
      <c r="AE1057" s="3292">
        <v>6.8</v>
      </c>
      <c r="AF1057" s="2236">
        <f t="shared" si="159"/>
        <v>6.8</v>
      </c>
      <c r="AG1057" s="1396"/>
      <c r="DG1057" s="573"/>
      <c r="DH1057" s="159"/>
      <c r="DI1057" s="1091"/>
    </row>
    <row r="1058" spans="1:113" hidden="1" outlineLevel="1">
      <c r="A1058" s="453"/>
      <c r="C1058" s="51"/>
      <c r="D1058" s="4294"/>
      <c r="E1058" s="4293"/>
      <c r="F1058" s="4341" t="str">
        <f>F1031</f>
        <v>Mini/MultiSplitASHP-Replace_CAC_NonElectricHeat_ER1_MF</v>
      </c>
      <c r="G1058" s="4341"/>
      <c r="H1058" s="4341"/>
      <c r="I1058" s="3334" t="str">
        <f t="shared" si="169"/>
        <v>351752_2024_12_</v>
      </c>
      <c r="J1058" s="3289">
        <v>8.2976860977532869</v>
      </c>
      <c r="K1058" s="3343"/>
      <c r="L1058" s="3338" t="s">
        <v>1945</v>
      </c>
      <c r="N1058" s="564"/>
      <c r="S1058" s="52"/>
      <c r="T1058" s="52"/>
      <c r="U1058" s="52"/>
      <c r="V1058" s="4293"/>
      <c r="W1058" s="3262"/>
      <c r="X1058" s="3265"/>
      <c r="Y1058" s="3265"/>
      <c r="Z1058" s="3262"/>
      <c r="AA1058" s="3262"/>
      <c r="AB1058" s="3348"/>
      <c r="AC1058" s="3348"/>
      <c r="AD1058" s="3290">
        <v>8.2976860977532869</v>
      </c>
      <c r="AE1058" s="3292">
        <v>8.2976860977532869</v>
      </c>
      <c r="AF1058" s="2236">
        <f t="shared" si="159"/>
        <v>8.2976860977532869</v>
      </c>
      <c r="AG1058" s="1396"/>
      <c r="DG1058" s="573"/>
      <c r="DH1058" s="159"/>
      <c r="DI1058" s="1091"/>
    </row>
    <row r="1059" spans="1:113" hidden="1" outlineLevel="1">
      <c r="A1059" s="453"/>
      <c r="C1059" s="51"/>
      <c r="D1059" s="4294"/>
      <c r="E1059" s="4293"/>
      <c r="F1059" s="4341" t="str">
        <f>F1032</f>
        <v>Mini/MultiSplitASHP-Replace_CAC_NonElectricHeat_ROF_MF</v>
      </c>
      <c r="G1059" s="4341"/>
      <c r="H1059" s="4341"/>
      <c r="I1059" s="3334" t="str">
        <f t="shared" si="169"/>
        <v>351802_2024_12_</v>
      </c>
      <c r="J1059" s="3289">
        <v>6.8</v>
      </c>
      <c r="K1059" s="3343"/>
      <c r="L1059" s="3338"/>
      <c r="N1059" s="564"/>
      <c r="S1059" s="52"/>
      <c r="T1059" s="52"/>
      <c r="U1059" s="52"/>
      <c r="V1059" s="4293"/>
      <c r="W1059" s="3262"/>
      <c r="X1059" s="3265"/>
      <c r="Y1059" s="3265"/>
      <c r="Z1059" s="3262"/>
      <c r="AA1059" s="3262"/>
      <c r="AB1059" s="3348"/>
      <c r="AC1059" s="3348"/>
      <c r="AD1059" s="3290">
        <v>6.8</v>
      </c>
      <c r="AE1059" s="3292">
        <v>6.8</v>
      </c>
      <c r="AF1059" s="2236">
        <f t="shared" si="159"/>
        <v>6.8</v>
      </c>
      <c r="AG1059" s="1396"/>
      <c r="DG1059" s="573"/>
      <c r="DH1059" s="159"/>
      <c r="DI1059" s="1091"/>
    </row>
    <row r="1060" spans="1:113" hidden="1" outlineLevel="1">
      <c r="A1060" s="453"/>
      <c r="C1060" s="51"/>
      <c r="D1060" s="4294"/>
      <c r="E1060" s="4293"/>
      <c r="F1060" s="4341" t="str">
        <f t="shared" ref="F1060:F1066" si="171">F1033</f>
        <v>Mini/MultiSplitASHP_ER1_MF</v>
      </c>
      <c r="G1060" s="4341"/>
      <c r="H1060" s="4341"/>
      <c r="I1060" s="3334" t="str">
        <f t="shared" ref="I1060:I1068" si="172">I1033</f>
        <v>351850_2024_12_</v>
      </c>
      <c r="J1060" s="3347">
        <f>J1051</f>
        <v>8.0470351851474575</v>
      </c>
      <c r="K1060" s="3343"/>
      <c r="L1060" s="3275" t="s">
        <v>1950</v>
      </c>
      <c r="N1060" s="564"/>
      <c r="S1060" s="52"/>
      <c r="T1060" s="52"/>
      <c r="U1060" s="52"/>
      <c r="V1060" s="4293"/>
      <c r="W1060" s="3262"/>
      <c r="X1060" s="3265"/>
      <c r="Y1060" s="3265">
        <v>7.2</v>
      </c>
      <c r="Z1060" s="3262">
        <v>7.2</v>
      </c>
      <c r="AA1060" s="3262">
        <v>7.2</v>
      </c>
      <c r="AB1060" s="3349">
        <v>8.0162959726442171</v>
      </c>
      <c r="AC1060" s="3349">
        <v>8.2960580500029604</v>
      </c>
      <c r="AD1060" s="3290">
        <v>7.838789123969689</v>
      </c>
      <c r="AE1060" s="3292">
        <v>7.838789123969689</v>
      </c>
      <c r="AF1060" s="2236">
        <f t="shared" si="159"/>
        <v>8.0470351851474575</v>
      </c>
      <c r="AG1060" s="1396"/>
      <c r="DG1060" s="573"/>
      <c r="DH1060" s="159"/>
      <c r="DI1060" s="1091"/>
    </row>
    <row r="1061" spans="1:113" hidden="1" outlineLevel="1">
      <c r="A1061" s="453"/>
      <c r="C1061" s="51"/>
      <c r="D1061" s="4294"/>
      <c r="E1061" s="4293"/>
      <c r="F1061" s="4341" t="str">
        <f t="shared" si="171"/>
        <v>Mini/MultiSplitAC_ER1_MF_CompE</v>
      </c>
      <c r="G1061" s="4341"/>
      <c r="H1061" s="4341"/>
      <c r="I1061" s="3334" t="str">
        <f t="shared" si="172"/>
        <v>351551_2024_12_</v>
      </c>
      <c r="J1061" s="3289">
        <f t="shared" ref="J1061:J1066" si="173">J1043</f>
        <v>7.0198996256246149</v>
      </c>
      <c r="K1061" s="3343"/>
      <c r="L1061" s="3338" t="s">
        <v>1945</v>
      </c>
      <c r="N1061" s="564"/>
      <c r="S1061" s="52"/>
      <c r="T1061" s="52"/>
      <c r="U1061" s="52"/>
      <c r="V1061" s="4293"/>
      <c r="W1061" s="3262"/>
      <c r="X1061" s="3262"/>
      <c r="Y1061" s="3265">
        <v>6.3</v>
      </c>
      <c r="Z1061" s="3262">
        <v>6.3</v>
      </c>
      <c r="AA1061" s="3262">
        <v>6.3</v>
      </c>
      <c r="AB1061" s="3348">
        <v>6.3</v>
      </c>
      <c r="AC1061" s="3349">
        <v>8.402496453661275</v>
      </c>
      <c r="AD1061" s="3290">
        <v>7.0198996256246149</v>
      </c>
      <c r="AE1061" s="3292">
        <v>7.0198996256246149</v>
      </c>
      <c r="AF1061" s="2236">
        <f t="shared" si="159"/>
        <v>7.0198996256246149</v>
      </c>
      <c r="AG1061" s="1396"/>
      <c r="DG1061" s="573"/>
      <c r="DH1061" s="159"/>
      <c r="DI1061" s="1091"/>
    </row>
    <row r="1062" spans="1:113" hidden="1" outlineLevel="1">
      <c r="A1062" s="453"/>
      <c r="C1062" s="51"/>
      <c r="D1062" s="4294"/>
      <c r="E1062" s="4293"/>
      <c r="F1062" s="4341" t="str">
        <f t="shared" si="171"/>
        <v>Mini/MultiSplitAC_ROF_MF_CompE</v>
      </c>
      <c r="G1062" s="4341"/>
      <c r="H1062" s="4341"/>
      <c r="I1062" s="3334" t="str">
        <f t="shared" si="172"/>
        <v>351601_2024_12_</v>
      </c>
      <c r="J1062" s="3289">
        <f t="shared" si="173"/>
        <v>6.3</v>
      </c>
      <c r="K1062" s="3343"/>
      <c r="L1062" s="3338"/>
      <c r="N1062" s="564"/>
      <c r="S1062" s="52"/>
      <c r="T1062" s="52"/>
      <c r="U1062" s="52"/>
      <c r="V1062" s="4293"/>
      <c r="W1062" s="3262"/>
      <c r="X1062" s="3262"/>
      <c r="Y1062" s="3265">
        <v>6.3</v>
      </c>
      <c r="Z1062" s="3262">
        <v>6.3</v>
      </c>
      <c r="AA1062" s="3262">
        <v>6.3</v>
      </c>
      <c r="AB1062" s="3348">
        <v>6.3</v>
      </c>
      <c r="AC1062" s="3348">
        <v>6.3</v>
      </c>
      <c r="AD1062" s="3292">
        <v>6.3</v>
      </c>
      <c r="AE1062" s="3292">
        <v>6.3</v>
      </c>
      <c r="AF1062" s="2236">
        <f t="shared" si="159"/>
        <v>6.3</v>
      </c>
      <c r="AG1062" s="1396"/>
      <c r="DG1062" s="573"/>
      <c r="DH1062" s="159"/>
      <c r="DI1062" s="1091"/>
    </row>
    <row r="1063" spans="1:113" hidden="1" outlineLevel="1">
      <c r="A1063" s="453"/>
      <c r="C1063" s="51"/>
      <c r="D1063" s="4294"/>
      <c r="E1063" s="4293"/>
      <c r="F1063" s="4341" t="str">
        <f t="shared" si="171"/>
        <v>Mini/MultiSplitASHP_ROF_MF_NC_CompE</v>
      </c>
      <c r="G1063" s="4341"/>
      <c r="H1063" s="4341"/>
      <c r="I1063" s="3334" t="str">
        <f t="shared" si="172"/>
        <v>351651_2024_12_</v>
      </c>
      <c r="J1063" s="3289">
        <f t="shared" si="173"/>
        <v>7.2</v>
      </c>
      <c r="K1063" s="3343"/>
      <c r="L1063" s="3338"/>
      <c r="N1063" s="564"/>
      <c r="S1063" s="52"/>
      <c r="T1063" s="52"/>
      <c r="U1063" s="52"/>
      <c r="V1063" s="4293"/>
      <c r="W1063" s="3262"/>
      <c r="X1063" s="3262"/>
      <c r="Y1063" s="3265">
        <v>7.2</v>
      </c>
      <c r="Z1063" s="3262">
        <v>7.2</v>
      </c>
      <c r="AA1063" s="3262">
        <v>7.2</v>
      </c>
      <c r="AB1063" s="3348">
        <v>7.2</v>
      </c>
      <c r="AC1063" s="3348">
        <v>7.2</v>
      </c>
      <c r="AD1063" s="3292">
        <v>7.2</v>
      </c>
      <c r="AE1063" s="3292">
        <v>7.2</v>
      </c>
      <c r="AF1063" s="2236">
        <f t="shared" si="159"/>
        <v>7.2</v>
      </c>
      <c r="AG1063" s="1396"/>
      <c r="DG1063" s="573"/>
      <c r="DH1063" s="159"/>
      <c r="DI1063" s="1091"/>
    </row>
    <row r="1064" spans="1:113" hidden="1" outlineLevel="1">
      <c r="A1064" s="453"/>
      <c r="C1064" s="51"/>
      <c r="D1064" s="4294"/>
      <c r="E1064" s="4293"/>
      <c r="F1064" s="4341" t="str">
        <f t="shared" si="171"/>
        <v>Mini/MultiSplitASHP_ROF_MF_CompE</v>
      </c>
      <c r="G1064" s="4341"/>
      <c r="H1064" s="4341"/>
      <c r="I1064" s="3334" t="str">
        <f t="shared" si="172"/>
        <v>351701_2024_12_</v>
      </c>
      <c r="J1064" s="3289">
        <f t="shared" si="173"/>
        <v>7.2</v>
      </c>
      <c r="K1064" s="3343"/>
      <c r="L1064" s="3224"/>
      <c r="N1064" s="564"/>
      <c r="S1064" s="52"/>
      <c r="T1064" s="52"/>
      <c r="U1064" s="52"/>
      <c r="V1064" s="4293"/>
      <c r="W1064" s="3262"/>
      <c r="X1064" s="3262"/>
      <c r="Y1064" s="3265">
        <v>7.2</v>
      </c>
      <c r="Z1064" s="3262">
        <v>7.2</v>
      </c>
      <c r="AA1064" s="3262">
        <v>7.2</v>
      </c>
      <c r="AB1064" s="3348">
        <v>7.2</v>
      </c>
      <c r="AC1064" s="3348">
        <v>7.2</v>
      </c>
      <c r="AD1064" s="3292">
        <v>7.2</v>
      </c>
      <c r="AE1064" s="3292">
        <v>7.2</v>
      </c>
      <c r="AF1064" s="2236">
        <f t="shared" si="159"/>
        <v>7.2</v>
      </c>
      <c r="AG1064" s="1396"/>
      <c r="DG1064" s="573"/>
      <c r="DH1064" s="159"/>
      <c r="DI1064" s="1091"/>
    </row>
    <row r="1065" spans="1:113" hidden="1" outlineLevel="1">
      <c r="A1065" s="453"/>
      <c r="C1065" s="51"/>
      <c r="D1065" s="4294"/>
      <c r="E1065" s="4293"/>
      <c r="F1065" s="4341" t="str">
        <f t="shared" si="171"/>
        <v>Mini/MultiSplitASHP-Replace_CAC_ElectricHeat_ER1_MF_CompE</v>
      </c>
      <c r="G1065" s="4341"/>
      <c r="H1065" s="4341"/>
      <c r="I1065" s="3334" t="str">
        <f t="shared" si="172"/>
        <v>351751_2024_12_</v>
      </c>
      <c r="J1065" s="3347">
        <f t="shared" si="173"/>
        <v>8.0470351851474575</v>
      </c>
      <c r="K1065" s="3343"/>
      <c r="L1065" s="3275" t="s">
        <v>1950</v>
      </c>
      <c r="N1065" s="564"/>
      <c r="S1065" s="52"/>
      <c r="T1065" s="52"/>
      <c r="U1065" s="52"/>
      <c r="V1065" s="4293"/>
      <c r="W1065" s="3262"/>
      <c r="X1065" s="3262"/>
      <c r="Y1065" s="3265">
        <v>6.8</v>
      </c>
      <c r="Z1065" s="3262">
        <v>6.8</v>
      </c>
      <c r="AA1065" s="3262">
        <v>6.8</v>
      </c>
      <c r="AB1065" s="3349">
        <v>7.6061892029279887</v>
      </c>
      <c r="AC1065" s="3349">
        <v>8.2976860977532869</v>
      </c>
      <c r="AD1065" s="3290">
        <v>7.838789123969689</v>
      </c>
      <c r="AE1065" s="3292">
        <v>7.838789123969689</v>
      </c>
      <c r="AF1065" s="2236">
        <f t="shared" si="159"/>
        <v>8.0470351851474575</v>
      </c>
      <c r="AG1065" s="1396"/>
      <c r="DG1065" s="573"/>
      <c r="DH1065" s="159"/>
      <c r="DI1065" s="1091"/>
    </row>
    <row r="1066" spans="1:113" hidden="1" outlineLevel="1">
      <c r="A1066" s="453"/>
      <c r="C1066" s="51"/>
      <c r="D1066" s="4294"/>
      <c r="E1066" s="4293"/>
      <c r="F1066" s="4341" t="str">
        <f t="shared" si="171"/>
        <v>Mini/MultiSplitASHP-Replace_CAC_ElectricHeat_ROF_MF_CompE</v>
      </c>
      <c r="G1066" s="4341"/>
      <c r="H1066" s="4341"/>
      <c r="I1066" s="3334" t="str">
        <f t="shared" si="172"/>
        <v>351801_2024_12_</v>
      </c>
      <c r="J1066" s="3289">
        <f t="shared" si="173"/>
        <v>6.8</v>
      </c>
      <c r="K1066" s="3343"/>
      <c r="L1066" s="3224"/>
      <c r="N1066" s="564"/>
      <c r="S1066" s="52"/>
      <c r="T1066" s="52"/>
      <c r="U1066" s="52"/>
      <c r="V1066" s="4293"/>
      <c r="W1066" s="3262"/>
      <c r="X1066" s="3262"/>
      <c r="Y1066" s="3265">
        <v>6.8</v>
      </c>
      <c r="Z1066" s="3262">
        <v>6.8</v>
      </c>
      <c r="AA1066" s="3262">
        <v>6.8</v>
      </c>
      <c r="AB1066" s="3348">
        <v>6.8</v>
      </c>
      <c r="AC1066" s="3348">
        <v>6.8</v>
      </c>
      <c r="AD1066" s="3292">
        <v>6.8</v>
      </c>
      <c r="AE1066" s="3292">
        <v>6.8</v>
      </c>
      <c r="AF1066" s="2236">
        <f t="shared" si="159"/>
        <v>6.8</v>
      </c>
      <c r="AG1066" s="1396"/>
      <c r="DG1066" s="573"/>
      <c r="DH1066" s="159"/>
      <c r="DI1066" s="1091"/>
    </row>
    <row r="1067" spans="1:113" hidden="1" outlineLevel="1">
      <c r="A1067" s="453"/>
      <c r="C1067" s="51"/>
      <c r="D1067" s="4294"/>
      <c r="E1067" s="4293"/>
      <c r="F1067" s="4341" t="str">
        <f>F1040</f>
        <v>Mini/MultiSplitASHP-Replace_CAC_NonElectricHeat_ER1_MF_CompE</v>
      </c>
      <c r="G1067" s="4341"/>
      <c r="H1067" s="4341"/>
      <c r="I1067" s="3334" t="str">
        <f t="shared" si="172"/>
        <v>351753_2024_12_</v>
      </c>
      <c r="J1067" s="3347">
        <f>J1049</f>
        <v>8.0470351851474575</v>
      </c>
      <c r="K1067" s="3343"/>
      <c r="L1067" s="3275" t="s">
        <v>1950</v>
      </c>
      <c r="N1067" s="564"/>
      <c r="S1067" s="52"/>
      <c r="T1067" s="52"/>
      <c r="U1067" s="52"/>
      <c r="V1067" s="4293"/>
      <c r="W1067" s="3262"/>
      <c r="X1067" s="3262"/>
      <c r="Y1067" s="3265"/>
      <c r="Z1067" s="3262"/>
      <c r="AA1067" s="3262"/>
      <c r="AB1067" s="3348"/>
      <c r="AC1067" s="3348"/>
      <c r="AD1067" s="3290">
        <v>7.838789123969689</v>
      </c>
      <c r="AE1067" s="3292">
        <v>7.838789123969689</v>
      </c>
      <c r="AF1067" s="2236">
        <f t="shared" si="159"/>
        <v>8.0470351851474575</v>
      </c>
      <c r="AG1067" s="1396"/>
      <c r="DG1067" s="573"/>
      <c r="DH1067" s="159"/>
      <c r="DI1067" s="1091"/>
    </row>
    <row r="1068" spans="1:113" hidden="1" outlineLevel="1">
      <c r="A1068" s="453"/>
      <c r="C1068" s="51"/>
      <c r="D1068" s="4294"/>
      <c r="E1068" s="4293"/>
      <c r="F1068" s="4341" t="str">
        <f>F1041</f>
        <v>Mini/MultiSplitASHP-Replace_CAC_NonElectricHeat_ROF_MF_CompE</v>
      </c>
      <c r="G1068" s="4341"/>
      <c r="H1068" s="4341"/>
      <c r="I1068" s="3334" t="str">
        <f t="shared" si="172"/>
        <v>351803_2024_12_</v>
      </c>
      <c r="J1068" s="3289">
        <f>J1050</f>
        <v>6.8</v>
      </c>
      <c r="K1068" s="3343"/>
      <c r="L1068" s="3224"/>
      <c r="N1068" s="564"/>
      <c r="S1068" s="52"/>
      <c r="T1068" s="52"/>
      <c r="U1068" s="52"/>
      <c r="V1068" s="4293"/>
      <c r="W1068" s="3262"/>
      <c r="X1068" s="3262"/>
      <c r="Y1068" s="3265"/>
      <c r="Z1068" s="3262"/>
      <c r="AA1068" s="3262"/>
      <c r="AB1068" s="3348"/>
      <c r="AC1068" s="3348"/>
      <c r="AD1068" s="3290">
        <v>6.8</v>
      </c>
      <c r="AE1068" s="3292">
        <v>6.8</v>
      </c>
      <c r="AF1068" s="2236">
        <f t="shared" si="159"/>
        <v>6.8</v>
      </c>
      <c r="AG1068" s="1396"/>
      <c r="DG1068" s="573"/>
      <c r="DH1068" s="159"/>
      <c r="DI1068" s="1091"/>
    </row>
    <row r="1069" spans="1:113" hidden="1" outlineLevel="1">
      <c r="A1069" s="453"/>
      <c r="C1069" s="51"/>
      <c r="D1069" s="4294"/>
      <c r="E1069" s="4293"/>
      <c r="F1069" s="4341" t="str">
        <f t="shared" ref="F1069:F1075" si="174">F1042</f>
        <v>Mini/MultiSplitASHP_ER1_MF_CompE</v>
      </c>
      <c r="G1069" s="4341"/>
      <c r="H1069" s="4341"/>
      <c r="I1069" s="3334" t="str">
        <f t="shared" ref="I1069:I1077" si="175">I1042</f>
        <v>351851_2024_12_</v>
      </c>
      <c r="J1069" s="3347">
        <f>J1051</f>
        <v>8.0470351851474575</v>
      </c>
      <c r="K1069" s="3343"/>
      <c r="L1069" s="3275" t="s">
        <v>1950</v>
      </c>
      <c r="N1069" s="564"/>
      <c r="S1069" s="52"/>
      <c r="T1069" s="52"/>
      <c r="U1069" s="52"/>
      <c r="V1069" s="4293"/>
      <c r="W1069" s="3262"/>
      <c r="X1069" s="3262"/>
      <c r="Y1069" s="3265">
        <v>7.2</v>
      </c>
      <c r="Z1069" s="3262">
        <v>7.2</v>
      </c>
      <c r="AA1069" s="3262">
        <v>7.2</v>
      </c>
      <c r="AB1069" s="3349">
        <v>8.0162959726442171</v>
      </c>
      <c r="AC1069" s="3349">
        <v>8.2960580500029604</v>
      </c>
      <c r="AD1069" s="3290">
        <v>7.838789123969689</v>
      </c>
      <c r="AE1069" s="3292">
        <v>7.838789123969689</v>
      </c>
      <c r="AF1069" s="2236">
        <f t="shared" si="159"/>
        <v>8.0470351851474575</v>
      </c>
      <c r="AG1069" s="1396"/>
      <c r="DG1069" s="573"/>
      <c r="DH1069" s="159"/>
      <c r="DI1069" s="1091"/>
    </row>
    <row r="1070" spans="1:113" hidden="1" outlineLevel="1">
      <c r="A1070" s="453"/>
      <c r="C1070" s="51"/>
      <c r="D1070" s="4294" t="s">
        <v>1942</v>
      </c>
      <c r="E1070" s="4293" t="s">
        <v>2066</v>
      </c>
      <c r="F1070" s="4342" t="str">
        <f t="shared" si="174"/>
        <v>Mini/MultiSplitAC_ER1_SF</v>
      </c>
      <c r="G1070" s="4342"/>
      <c r="H1070" s="4342"/>
      <c r="I1070" s="929" t="str">
        <f t="shared" si="175"/>
        <v>351200_2024_12_</v>
      </c>
      <c r="J1070" s="1772">
        <v>19.833333333333332</v>
      </c>
      <c r="K1070" s="13"/>
      <c r="L1070" s="929" t="s">
        <v>1937</v>
      </c>
      <c r="N1070" s="564"/>
      <c r="S1070" s="52"/>
      <c r="T1070" s="52"/>
      <c r="U1070" s="52"/>
      <c r="V1070" s="4293" t="s">
        <v>2067</v>
      </c>
      <c r="W1070" s="1396">
        <v>22.4</v>
      </c>
      <c r="X1070" s="833">
        <v>23.17</v>
      </c>
      <c r="Y1070" s="1396">
        <v>23.17</v>
      </c>
      <c r="Z1070" s="1396">
        <v>23.17</v>
      </c>
      <c r="AA1070" s="1396">
        <v>23.17</v>
      </c>
      <c r="AB1070" s="741">
        <v>23.17</v>
      </c>
      <c r="AC1070" s="736">
        <v>19.833333333333332</v>
      </c>
      <c r="AD1070" s="939">
        <v>19.833333333333332</v>
      </c>
      <c r="AE1070" s="1043">
        <v>19.833333333333332</v>
      </c>
      <c r="AF1070" s="271">
        <f t="shared" si="159"/>
        <v>19.833333333333332</v>
      </c>
      <c r="AG1070" s="1396"/>
      <c r="DG1070" s="573"/>
      <c r="DH1070" s="159"/>
      <c r="DI1070" s="1091"/>
    </row>
    <row r="1071" spans="1:113" hidden="1" outlineLevel="1">
      <c r="A1071" s="453"/>
      <c r="C1071" s="51"/>
      <c r="D1071" s="4294"/>
      <c r="E1071" s="4293"/>
      <c r="F1071" s="4342" t="str">
        <f t="shared" si="174"/>
        <v>Mini/MultiSplitAC_ROF_SF</v>
      </c>
      <c r="G1071" s="4342"/>
      <c r="H1071" s="4342"/>
      <c r="I1071" s="929" t="str">
        <f t="shared" si="175"/>
        <v>351250_2024_12_</v>
      </c>
      <c r="J1071" s="1772">
        <v>22.344444444444445</v>
      </c>
      <c r="K1071" s="1761"/>
      <c r="L1071" s="1760" t="s">
        <v>1937</v>
      </c>
      <c r="N1071" s="564"/>
      <c r="S1071" s="52"/>
      <c r="T1071" s="52"/>
      <c r="U1071" s="52"/>
      <c r="V1071" s="4293"/>
      <c r="W1071" s="1396">
        <v>21.6</v>
      </c>
      <c r="X1071" s="833">
        <v>23.17</v>
      </c>
      <c r="Y1071" s="1396">
        <v>23.17</v>
      </c>
      <c r="Z1071" s="1396">
        <v>23.17</v>
      </c>
      <c r="AA1071" s="1396">
        <v>23.17</v>
      </c>
      <c r="AB1071" s="736">
        <v>22.918750000000003</v>
      </c>
      <c r="AC1071" s="736">
        <v>21.705000000000005</v>
      </c>
      <c r="AD1071" s="939">
        <v>22.344444444444445</v>
      </c>
      <c r="AE1071" s="1043">
        <v>22.344444444444445</v>
      </c>
      <c r="AF1071" s="271">
        <f t="shared" si="159"/>
        <v>22.344444444444445</v>
      </c>
      <c r="AG1071" s="1396"/>
      <c r="DG1071" s="573"/>
      <c r="DH1071" s="159"/>
      <c r="DI1071" s="1091"/>
    </row>
    <row r="1072" spans="1:113" hidden="1" outlineLevel="1">
      <c r="A1072" s="453"/>
      <c r="C1072" s="51"/>
      <c r="D1072" s="4294"/>
      <c r="E1072" s="4293"/>
      <c r="F1072" s="4342" t="str">
        <f t="shared" si="174"/>
        <v>Mini/MultiSplitASHP_ROF_SF_NC</v>
      </c>
      <c r="G1072" s="4342"/>
      <c r="H1072" s="4342"/>
      <c r="I1072" s="929" t="str">
        <f t="shared" si="175"/>
        <v>351300_2024_12_</v>
      </c>
      <c r="J1072" s="1772">
        <v>22.195566502463056</v>
      </c>
      <c r="K1072" s="1761"/>
      <c r="L1072" s="1759" t="s">
        <v>1934</v>
      </c>
      <c r="N1072" s="564"/>
      <c r="S1072" s="52"/>
      <c r="T1072" s="52"/>
      <c r="U1072" s="52"/>
      <c r="V1072" s="4293"/>
      <c r="W1072" s="1396">
        <v>22.7</v>
      </c>
      <c r="X1072" s="833">
        <v>23.17</v>
      </c>
      <c r="Y1072" s="833">
        <v>19</v>
      </c>
      <c r="Z1072" s="1396">
        <v>19</v>
      </c>
      <c r="AA1072" s="1396">
        <v>19</v>
      </c>
      <c r="AB1072" s="741">
        <v>19</v>
      </c>
      <c r="AC1072" s="736">
        <v>22.316949152542367</v>
      </c>
      <c r="AD1072" s="939">
        <v>22.166726618705052</v>
      </c>
      <c r="AE1072" s="939">
        <v>22.195566502463056</v>
      </c>
      <c r="AF1072" s="271">
        <f t="shared" si="159"/>
        <v>22.195566502463056</v>
      </c>
      <c r="AG1072" s="1396"/>
      <c r="DG1072" s="573"/>
      <c r="DH1072" s="159"/>
      <c r="DI1072" s="1091"/>
    </row>
    <row r="1073" spans="1:113" hidden="1" outlineLevel="1">
      <c r="A1073" s="453"/>
      <c r="C1073" s="51"/>
      <c r="D1073" s="4294"/>
      <c r="E1073" s="4293"/>
      <c r="F1073" s="4342" t="str">
        <f t="shared" si="174"/>
        <v>Mini/MultiSplitASHP_ROF_SF</v>
      </c>
      <c r="G1073" s="4342"/>
      <c r="H1073" s="4342"/>
      <c r="I1073" s="929" t="str">
        <f t="shared" si="175"/>
        <v>351350_2024_12_</v>
      </c>
      <c r="J1073" s="1772">
        <v>22.195566502463056</v>
      </c>
      <c r="K1073" s="1761"/>
      <c r="L1073" s="1759" t="s">
        <v>1934</v>
      </c>
      <c r="N1073" s="564"/>
      <c r="S1073" s="52"/>
      <c r="T1073" s="52"/>
      <c r="U1073" s="52"/>
      <c r="V1073" s="4293"/>
      <c r="W1073" s="1396">
        <v>22.7</v>
      </c>
      <c r="X1073" s="833">
        <v>23.17</v>
      </c>
      <c r="Y1073" s="833">
        <v>19</v>
      </c>
      <c r="Z1073" s="1396">
        <v>19</v>
      </c>
      <c r="AA1073" s="1396">
        <v>19</v>
      </c>
      <c r="AB1073" s="736">
        <v>22.519480519480521</v>
      </c>
      <c r="AC1073" s="736">
        <v>23.175000000000001</v>
      </c>
      <c r="AD1073" s="939">
        <v>22.166726618705052</v>
      </c>
      <c r="AE1073" s="939">
        <v>22.195566502463056</v>
      </c>
      <c r="AF1073" s="271">
        <f t="shared" si="159"/>
        <v>22.195566502463056</v>
      </c>
      <c r="AG1073" s="1396"/>
      <c r="DG1073" s="573"/>
      <c r="DH1073" s="159"/>
      <c r="DI1073" s="1091"/>
    </row>
    <row r="1074" spans="1:113" hidden="1" outlineLevel="1">
      <c r="A1074" s="453"/>
      <c r="C1074" s="51"/>
      <c r="D1074" s="4294"/>
      <c r="E1074" s="4293"/>
      <c r="F1074" s="4342" t="str">
        <f t="shared" si="174"/>
        <v>Mini/MultiSplitASHP-Replace_CAC_ElectricHeat_ER1_SF</v>
      </c>
      <c r="G1074" s="4342"/>
      <c r="H1074" s="4342"/>
      <c r="I1074" s="929" t="str">
        <f t="shared" si="175"/>
        <v>351400_2024_12_</v>
      </c>
      <c r="J1074" s="1772">
        <v>22.072727272727267</v>
      </c>
      <c r="K1074" s="1761"/>
      <c r="L1074" s="1759" t="s">
        <v>1934</v>
      </c>
      <c r="N1074" s="564"/>
      <c r="S1074" s="52"/>
      <c r="T1074" s="52"/>
      <c r="U1074" s="52"/>
      <c r="V1074" s="4293"/>
      <c r="W1074" s="1396">
        <v>22.4</v>
      </c>
      <c r="X1074" s="833">
        <v>23.17</v>
      </c>
      <c r="Y1074" s="833">
        <v>22.63</v>
      </c>
      <c r="Z1074" s="1396">
        <v>22.63</v>
      </c>
      <c r="AA1074" s="1396">
        <v>22.63</v>
      </c>
      <c r="AB1074" s="736">
        <v>22.429399999999998</v>
      </c>
      <c r="AC1074" s="736">
        <v>21.460465116279071</v>
      </c>
      <c r="AD1074" s="939">
        <v>21.870909090909091</v>
      </c>
      <c r="AE1074" s="939">
        <v>22.072727272727267</v>
      </c>
      <c r="AF1074" s="271">
        <f t="shared" si="159"/>
        <v>22.072727272727267</v>
      </c>
      <c r="AG1074" s="1396"/>
      <c r="DG1074" s="573"/>
      <c r="DH1074" s="159"/>
      <c r="DI1074" s="1091"/>
    </row>
    <row r="1075" spans="1:113" hidden="1" outlineLevel="1">
      <c r="A1075" s="453"/>
      <c r="C1075" s="51"/>
      <c r="D1075" s="4294"/>
      <c r="E1075" s="4293"/>
      <c r="F1075" s="4342" t="str">
        <f t="shared" si="174"/>
        <v>Mini/MultiSplitASHP-Replace_CAC_ElectricHeat_ROF_SF</v>
      </c>
      <c r="G1075" s="4342"/>
      <c r="H1075" s="4342"/>
      <c r="I1075" s="929" t="str">
        <f t="shared" si="175"/>
        <v>351450_2024_12_</v>
      </c>
      <c r="J1075" s="1772">
        <v>22.195566502463056</v>
      </c>
      <c r="K1075" s="1761"/>
      <c r="L1075" s="1759" t="s">
        <v>1934</v>
      </c>
      <c r="N1075" s="564"/>
      <c r="S1075" s="52"/>
      <c r="T1075" s="52"/>
      <c r="U1075" s="52"/>
      <c r="V1075" s="4293"/>
      <c r="W1075" s="1396">
        <v>21.6</v>
      </c>
      <c r="X1075" s="833">
        <v>23.17</v>
      </c>
      <c r="Y1075" s="833">
        <v>22.77</v>
      </c>
      <c r="Z1075" s="1396">
        <v>22.77</v>
      </c>
      <c r="AA1075" s="1396">
        <v>22.77</v>
      </c>
      <c r="AB1075" s="736">
        <v>23.193333333333332</v>
      </c>
      <c r="AC1075" s="736">
        <v>22.146153846153844</v>
      </c>
      <c r="AD1075" s="939">
        <v>22.166726618705052</v>
      </c>
      <c r="AE1075" s="939">
        <v>22.195566502463056</v>
      </c>
      <c r="AF1075" s="271">
        <f t="shared" si="159"/>
        <v>22.195566502463056</v>
      </c>
      <c r="AG1075" s="1396"/>
      <c r="DG1075" s="573"/>
      <c r="DH1075" s="159"/>
      <c r="DI1075" s="1091"/>
    </row>
    <row r="1076" spans="1:113" hidden="1" outlineLevel="1">
      <c r="A1076" s="453"/>
      <c r="C1076" s="51"/>
      <c r="D1076" s="4294"/>
      <c r="E1076" s="4293"/>
      <c r="F1076" s="4342" t="str">
        <f>F1049</f>
        <v>Mini/MultiSplitASHP-Replace_CAC_NonElectricHeat_ER1_SF</v>
      </c>
      <c r="G1076" s="4342"/>
      <c r="H1076" s="4342"/>
      <c r="I1076" s="929" t="str">
        <f t="shared" si="175"/>
        <v>351401_2024_12_</v>
      </c>
      <c r="J1076" s="1772">
        <v>22.072727272727267</v>
      </c>
      <c r="K1076" s="1761"/>
      <c r="L1076" s="1759" t="s">
        <v>1934</v>
      </c>
      <c r="N1076" s="564"/>
      <c r="S1076" s="52"/>
      <c r="T1076" s="52"/>
      <c r="U1076" s="52"/>
      <c r="V1076" s="4293"/>
      <c r="W1076" s="1396"/>
      <c r="X1076" s="833"/>
      <c r="Y1076" s="833"/>
      <c r="Z1076" s="1396"/>
      <c r="AA1076" s="1396"/>
      <c r="AB1076" s="736"/>
      <c r="AC1076" s="736"/>
      <c r="AD1076" s="939">
        <v>21.870909090909091</v>
      </c>
      <c r="AE1076" s="939">
        <v>22.072727272727267</v>
      </c>
      <c r="AF1076" s="271">
        <f t="shared" si="159"/>
        <v>22.072727272727267</v>
      </c>
      <c r="AG1076" s="1396"/>
      <c r="DG1076" s="573"/>
      <c r="DH1076" s="159"/>
      <c r="DI1076" s="1091"/>
    </row>
    <row r="1077" spans="1:113" hidden="1" outlineLevel="1">
      <c r="A1077" s="453"/>
      <c r="C1077" s="51"/>
      <c r="D1077" s="4294"/>
      <c r="E1077" s="4293"/>
      <c r="F1077" s="4342" t="str">
        <f>F1050</f>
        <v>Mini/MultiSplitASHP-Replace_CAC_NonElectricHeat_ROF_SF</v>
      </c>
      <c r="G1077" s="4342"/>
      <c r="H1077" s="4342"/>
      <c r="I1077" s="929" t="str">
        <f t="shared" si="175"/>
        <v>351451_2024_12_</v>
      </c>
      <c r="J1077" s="1772">
        <v>22.195566502463056</v>
      </c>
      <c r="K1077" s="1761"/>
      <c r="L1077" s="1759" t="s">
        <v>1934</v>
      </c>
      <c r="N1077" s="564"/>
      <c r="S1077" s="52"/>
      <c r="T1077" s="52"/>
      <c r="U1077" s="52"/>
      <c r="V1077" s="4293"/>
      <c r="W1077" s="1396"/>
      <c r="X1077" s="833"/>
      <c r="Y1077" s="833"/>
      <c r="Z1077" s="1396"/>
      <c r="AA1077" s="1396"/>
      <c r="AB1077" s="736"/>
      <c r="AC1077" s="736"/>
      <c r="AD1077" s="939">
        <v>22.166726618705052</v>
      </c>
      <c r="AE1077" s="939">
        <v>22.195566502463056</v>
      </c>
      <c r="AF1077" s="271">
        <f t="shared" si="159"/>
        <v>22.195566502463056</v>
      </c>
      <c r="AG1077" s="1396"/>
      <c r="DG1077" s="573"/>
      <c r="DH1077" s="159"/>
      <c r="DI1077" s="1091"/>
    </row>
    <row r="1078" spans="1:113" hidden="1" outlineLevel="1">
      <c r="A1078" s="453"/>
      <c r="C1078" s="51"/>
      <c r="D1078" s="4294"/>
      <c r="E1078" s="4293"/>
      <c r="F1078" s="4342" t="str">
        <f t="shared" ref="F1078:F1084" si="176">F1051</f>
        <v>Mini/MultiSplitASHP_ER1_SF</v>
      </c>
      <c r="G1078" s="4342"/>
      <c r="H1078" s="4342"/>
      <c r="I1078" s="929" t="str">
        <f t="shared" ref="I1078:I1086" si="177">I1051</f>
        <v>351500_2024_12_</v>
      </c>
      <c r="J1078" s="1772">
        <v>22.072727272727267</v>
      </c>
      <c r="K1078" s="1761"/>
      <c r="L1078" s="1759" t="s">
        <v>1934</v>
      </c>
      <c r="N1078" s="564"/>
      <c r="S1078" s="52"/>
      <c r="T1078" s="52"/>
      <c r="U1078" s="52"/>
      <c r="V1078" s="4293"/>
      <c r="W1078" s="1396">
        <v>21.2</v>
      </c>
      <c r="X1078" s="833">
        <v>23.17</v>
      </c>
      <c r="Y1078" s="833">
        <v>27.01</v>
      </c>
      <c r="Z1078" s="1396">
        <v>27.01</v>
      </c>
      <c r="AA1078" s="1396">
        <v>27.01</v>
      </c>
      <c r="AB1078" s="736">
        <v>22.249999999999996</v>
      </c>
      <c r="AC1078" s="736">
        <v>21.90909090909091</v>
      </c>
      <c r="AD1078" s="939">
        <v>21.870909090909091</v>
      </c>
      <c r="AE1078" s="939">
        <v>22.072727272727267</v>
      </c>
      <c r="AF1078" s="271">
        <f t="shared" si="159"/>
        <v>22.072727272727267</v>
      </c>
      <c r="AG1078" s="1396"/>
      <c r="DG1078" s="573"/>
      <c r="DH1078" s="159"/>
      <c r="DI1078" s="1091"/>
    </row>
    <row r="1079" spans="1:113" hidden="1" outlineLevel="1">
      <c r="A1079" s="453"/>
      <c r="C1079" s="51"/>
      <c r="D1079" s="4294"/>
      <c r="E1079" s="4293"/>
      <c r="F1079" s="4342" t="str">
        <f t="shared" si="176"/>
        <v>Mini/MultiSplitAC_ER1_MF</v>
      </c>
      <c r="G1079" s="4342"/>
      <c r="H1079" s="4342"/>
      <c r="I1079" s="929" t="str">
        <f t="shared" si="177"/>
        <v>351550_2024_12_</v>
      </c>
      <c r="J1079" s="1772">
        <v>19.833333333333332</v>
      </c>
      <c r="K1079" s="1761"/>
      <c r="L1079" s="1760" t="s">
        <v>1937</v>
      </c>
      <c r="N1079" s="564"/>
      <c r="S1079" s="52"/>
      <c r="T1079" s="52"/>
      <c r="U1079" s="52"/>
      <c r="V1079" s="4293"/>
      <c r="W1079" s="1396"/>
      <c r="X1079" s="833"/>
      <c r="Y1079" s="833">
        <v>23.17</v>
      </c>
      <c r="Z1079" s="1396">
        <v>23.17</v>
      </c>
      <c r="AA1079" s="1396">
        <v>23.17</v>
      </c>
      <c r="AB1079" s="741">
        <v>23.17</v>
      </c>
      <c r="AC1079" s="736">
        <v>19.833333333333332</v>
      </c>
      <c r="AD1079" s="939">
        <v>19.833333333333332</v>
      </c>
      <c r="AE1079" s="1043">
        <v>19.833333333333332</v>
      </c>
      <c r="AF1079" s="271">
        <f t="shared" si="159"/>
        <v>19.833333333333332</v>
      </c>
      <c r="AG1079" s="1396"/>
      <c r="DG1079" s="573"/>
      <c r="DH1079" s="159"/>
      <c r="DI1079" s="1091"/>
    </row>
    <row r="1080" spans="1:113" hidden="1" outlineLevel="1">
      <c r="A1080" s="453"/>
      <c r="C1080" s="51"/>
      <c r="D1080" s="4294"/>
      <c r="E1080" s="4293"/>
      <c r="F1080" s="4341" t="str">
        <f t="shared" si="176"/>
        <v>Mini/MultiSplitAC_ROF_MF</v>
      </c>
      <c r="G1080" s="4341"/>
      <c r="H1080" s="4341"/>
      <c r="I1080" s="3334" t="str">
        <f t="shared" si="177"/>
        <v>351600_2024_12_</v>
      </c>
      <c r="J1080" s="3289">
        <v>22.344444444444445</v>
      </c>
      <c r="K1080" s="3343"/>
      <c r="L1080" s="3338" t="s">
        <v>1937</v>
      </c>
      <c r="N1080" s="564"/>
      <c r="S1080" s="52"/>
      <c r="T1080" s="52"/>
      <c r="U1080" s="52"/>
      <c r="V1080" s="4293"/>
      <c r="W1080" s="3262"/>
      <c r="X1080" s="3265"/>
      <c r="Y1080" s="3265">
        <v>23.17</v>
      </c>
      <c r="Z1080" s="3262">
        <v>23.17</v>
      </c>
      <c r="AA1080" s="3262">
        <v>23.17</v>
      </c>
      <c r="AB1080" s="3282">
        <v>22.918750000000003</v>
      </c>
      <c r="AC1080" s="3282">
        <v>21.705000000000005</v>
      </c>
      <c r="AD1080" s="3290">
        <v>22.344444444444445</v>
      </c>
      <c r="AE1080" s="3292">
        <v>22.344444444444445</v>
      </c>
      <c r="AF1080" s="2236">
        <f t="shared" si="159"/>
        <v>22.344444444444445</v>
      </c>
      <c r="AG1080" s="1396"/>
      <c r="DG1080" s="573"/>
      <c r="DH1080" s="159"/>
      <c r="DI1080" s="1091"/>
    </row>
    <row r="1081" spans="1:113" hidden="1" outlineLevel="1">
      <c r="A1081" s="453"/>
      <c r="C1081" s="51"/>
      <c r="D1081" s="4294"/>
      <c r="E1081" s="4293"/>
      <c r="F1081" s="4341" t="str">
        <f t="shared" si="176"/>
        <v>Mini/MultiSplitASHP_ROF_MF_NC</v>
      </c>
      <c r="G1081" s="4341"/>
      <c r="H1081" s="4341"/>
      <c r="I1081" s="3334" t="str">
        <f t="shared" si="177"/>
        <v>351650_2024_12_</v>
      </c>
      <c r="J1081" s="3289">
        <v>22.068493150684933</v>
      </c>
      <c r="K1081" s="3343"/>
      <c r="L1081" s="3272" t="s">
        <v>1934</v>
      </c>
      <c r="N1081" s="564"/>
      <c r="S1081" s="52"/>
      <c r="T1081" s="52"/>
      <c r="U1081" s="52"/>
      <c r="V1081" s="4293"/>
      <c r="W1081" s="3262"/>
      <c r="X1081" s="3265"/>
      <c r="Y1081" s="3265">
        <v>19</v>
      </c>
      <c r="Z1081" s="3262">
        <v>19</v>
      </c>
      <c r="AA1081" s="3262">
        <v>19</v>
      </c>
      <c r="AB1081" s="3288">
        <v>19</v>
      </c>
      <c r="AC1081" s="3282">
        <v>22.316949152542367</v>
      </c>
      <c r="AD1081" s="3290">
        <v>20.5</v>
      </c>
      <c r="AE1081" s="3290">
        <v>22.068493150684933</v>
      </c>
      <c r="AF1081" s="2236">
        <f t="shared" si="159"/>
        <v>22.068493150684933</v>
      </c>
      <c r="AG1081" s="1396"/>
      <c r="DG1081" s="573"/>
      <c r="DH1081" s="159"/>
      <c r="DI1081" s="1091"/>
    </row>
    <row r="1082" spans="1:113" hidden="1" outlineLevel="1">
      <c r="A1082" s="453"/>
      <c r="C1082" s="51"/>
      <c r="D1082" s="4294"/>
      <c r="E1082" s="4293"/>
      <c r="F1082" s="4341" t="str">
        <f t="shared" si="176"/>
        <v>Mini/MultiSplitASHP_ROF_MF</v>
      </c>
      <c r="G1082" s="4341"/>
      <c r="H1082" s="4341"/>
      <c r="I1082" s="3334" t="str">
        <f t="shared" si="177"/>
        <v>351700_2024_12_</v>
      </c>
      <c r="J1082" s="3289">
        <v>22.068493150684933</v>
      </c>
      <c r="K1082" s="3343"/>
      <c r="L1082" s="3272" t="s">
        <v>1934</v>
      </c>
      <c r="N1082" s="564"/>
      <c r="S1082" s="52"/>
      <c r="T1082" s="52"/>
      <c r="U1082" s="52"/>
      <c r="V1082" s="4293"/>
      <c r="W1082" s="3262"/>
      <c r="X1082" s="3265"/>
      <c r="Y1082" s="3265">
        <v>19</v>
      </c>
      <c r="Z1082" s="3262">
        <v>19</v>
      </c>
      <c r="AA1082" s="3262">
        <v>19</v>
      </c>
      <c r="AB1082" s="3282">
        <v>22.519480519480521</v>
      </c>
      <c r="AC1082" s="3282">
        <v>23.175000000000001</v>
      </c>
      <c r="AD1082" s="3290">
        <v>20.5</v>
      </c>
      <c r="AE1082" s="3290">
        <v>22.068493150684933</v>
      </c>
      <c r="AF1082" s="2236">
        <f t="shared" si="159"/>
        <v>22.068493150684933</v>
      </c>
      <c r="AG1082" s="1396"/>
      <c r="DG1082" s="573"/>
      <c r="DH1082" s="159"/>
      <c r="DI1082" s="1091"/>
    </row>
    <row r="1083" spans="1:113" hidden="1" outlineLevel="1">
      <c r="A1083" s="453"/>
      <c r="C1083" s="51"/>
      <c r="D1083" s="4294"/>
      <c r="E1083" s="4293"/>
      <c r="F1083" s="4341" t="str">
        <f t="shared" si="176"/>
        <v>Mini/MultiSplitASHP-Replace_CAC_ElectricHeat_ER1_MF</v>
      </c>
      <c r="G1083" s="4341"/>
      <c r="H1083" s="4341"/>
      <c r="I1083" s="3334" t="str">
        <f t="shared" si="177"/>
        <v>351750_2024_12_</v>
      </c>
      <c r="J1083" s="3289">
        <v>20.5</v>
      </c>
      <c r="K1083" s="3343"/>
      <c r="L1083" s="3338" t="s">
        <v>1945</v>
      </c>
      <c r="N1083" s="564"/>
      <c r="S1083" s="52"/>
      <c r="T1083" s="52"/>
      <c r="U1083" s="52"/>
      <c r="V1083" s="4293"/>
      <c r="W1083" s="3262"/>
      <c r="X1083" s="3265"/>
      <c r="Y1083" s="3265">
        <v>22.63</v>
      </c>
      <c r="Z1083" s="3262">
        <v>22.63</v>
      </c>
      <c r="AA1083" s="3262">
        <v>22.63</v>
      </c>
      <c r="AB1083" s="3282">
        <v>22.429399999999998</v>
      </c>
      <c r="AC1083" s="3282">
        <v>21.460465116279071</v>
      </c>
      <c r="AD1083" s="3290">
        <v>20.5</v>
      </c>
      <c r="AE1083" s="3292">
        <v>20.5</v>
      </c>
      <c r="AF1083" s="2236">
        <f t="shared" ref="AF1083:AF1146" si="178">IF(J1083&lt;&gt;"",J1083,"")</f>
        <v>20.5</v>
      </c>
      <c r="AG1083" s="1396"/>
      <c r="DG1083" s="573"/>
      <c r="DH1083" s="159"/>
      <c r="DI1083" s="1091"/>
    </row>
    <row r="1084" spans="1:113" hidden="1" outlineLevel="1">
      <c r="A1084" s="453"/>
      <c r="C1084" s="51"/>
      <c r="D1084" s="4294"/>
      <c r="E1084" s="4293"/>
      <c r="F1084" s="4341" t="str">
        <f t="shared" si="176"/>
        <v>Mini/MultiSplitASHP-Replace_CAC_ElectricHeat_ROF_MF</v>
      </c>
      <c r="G1084" s="4341"/>
      <c r="H1084" s="4341"/>
      <c r="I1084" s="3334" t="str">
        <f t="shared" si="177"/>
        <v>351800_2024_12_</v>
      </c>
      <c r="J1084" s="3289">
        <v>22.068493150684933</v>
      </c>
      <c r="K1084" s="3343"/>
      <c r="L1084" s="3272" t="s">
        <v>1934</v>
      </c>
      <c r="N1084" s="564"/>
      <c r="S1084" s="52"/>
      <c r="T1084" s="52"/>
      <c r="U1084" s="52"/>
      <c r="V1084" s="4293"/>
      <c r="W1084" s="3262"/>
      <c r="X1084" s="3265"/>
      <c r="Y1084" s="3265">
        <v>22.77</v>
      </c>
      <c r="Z1084" s="3262">
        <v>22.77</v>
      </c>
      <c r="AA1084" s="3262">
        <v>22.77</v>
      </c>
      <c r="AB1084" s="3282">
        <v>23.193333333333332</v>
      </c>
      <c r="AC1084" s="3282">
        <v>22.146153846153844</v>
      </c>
      <c r="AD1084" s="3290">
        <v>20.5</v>
      </c>
      <c r="AE1084" s="3290">
        <v>22.068493150684933</v>
      </c>
      <c r="AF1084" s="2236">
        <f t="shared" si="178"/>
        <v>22.068493150684933</v>
      </c>
      <c r="AG1084" s="1396"/>
      <c r="DG1084" s="573"/>
      <c r="DH1084" s="159"/>
      <c r="DI1084" s="1091"/>
    </row>
    <row r="1085" spans="1:113" hidden="1" outlineLevel="1">
      <c r="A1085" s="453"/>
      <c r="C1085" s="51"/>
      <c r="D1085" s="4294"/>
      <c r="E1085" s="4293"/>
      <c r="F1085" s="4341" t="str">
        <f>F1058</f>
        <v>Mini/MultiSplitASHP-Replace_CAC_NonElectricHeat_ER1_MF</v>
      </c>
      <c r="G1085" s="4341"/>
      <c r="H1085" s="4341"/>
      <c r="I1085" s="3334" t="str">
        <f t="shared" si="177"/>
        <v>351752_2024_12_</v>
      </c>
      <c r="J1085" s="3289">
        <v>20.5</v>
      </c>
      <c r="K1085" s="3343"/>
      <c r="L1085" s="3338" t="s">
        <v>1945</v>
      </c>
      <c r="N1085" s="564"/>
      <c r="S1085" s="52"/>
      <c r="T1085" s="52"/>
      <c r="U1085" s="52"/>
      <c r="V1085" s="4293"/>
      <c r="W1085" s="3262"/>
      <c r="X1085" s="3265"/>
      <c r="Y1085" s="3265"/>
      <c r="Z1085" s="3262"/>
      <c r="AA1085" s="3262"/>
      <c r="AB1085" s="3282"/>
      <c r="AC1085" s="3282"/>
      <c r="AD1085" s="3290">
        <v>20.5</v>
      </c>
      <c r="AE1085" s="3292">
        <v>20.5</v>
      </c>
      <c r="AF1085" s="2236">
        <f t="shared" si="178"/>
        <v>20.5</v>
      </c>
      <c r="AG1085" s="1396"/>
      <c r="DG1085" s="573"/>
      <c r="DH1085" s="159"/>
      <c r="DI1085" s="1091"/>
    </row>
    <row r="1086" spans="1:113" hidden="1" outlineLevel="1">
      <c r="A1086" s="453"/>
      <c r="C1086" s="51"/>
      <c r="D1086" s="4294"/>
      <c r="E1086" s="4293"/>
      <c r="F1086" s="4341" t="str">
        <f>F1059</f>
        <v>Mini/MultiSplitASHP-Replace_CAC_NonElectricHeat_ROF_MF</v>
      </c>
      <c r="G1086" s="4341"/>
      <c r="H1086" s="4341"/>
      <c r="I1086" s="3334" t="str">
        <f t="shared" si="177"/>
        <v>351802_2024_12_</v>
      </c>
      <c r="J1086" s="3289">
        <v>22.068493150684933</v>
      </c>
      <c r="K1086" s="3343"/>
      <c r="L1086" s="3272" t="s">
        <v>1934</v>
      </c>
      <c r="N1086" s="564"/>
      <c r="S1086" s="52"/>
      <c r="T1086" s="52"/>
      <c r="U1086" s="52"/>
      <c r="V1086" s="4293"/>
      <c r="W1086" s="3262"/>
      <c r="X1086" s="3265"/>
      <c r="Y1086" s="3265"/>
      <c r="Z1086" s="3262"/>
      <c r="AA1086" s="3262"/>
      <c r="AB1086" s="3282"/>
      <c r="AC1086" s="3282"/>
      <c r="AD1086" s="3290">
        <v>20.5</v>
      </c>
      <c r="AE1086" s="3290">
        <v>22.068493150684933</v>
      </c>
      <c r="AF1086" s="2236">
        <f t="shared" si="178"/>
        <v>22.068493150684933</v>
      </c>
      <c r="AG1086" s="1396"/>
      <c r="DG1086" s="573"/>
      <c r="DH1086" s="159"/>
      <c r="DI1086" s="1091"/>
    </row>
    <row r="1087" spans="1:113" hidden="1" outlineLevel="1">
      <c r="A1087" s="453"/>
      <c r="C1087" s="51"/>
      <c r="D1087" s="4294"/>
      <c r="E1087" s="4293"/>
      <c r="F1087" s="4341" t="str">
        <f t="shared" ref="F1087:F1093" si="179">F1060</f>
        <v>Mini/MultiSplitASHP_ER1_MF</v>
      </c>
      <c r="G1087" s="4341"/>
      <c r="H1087" s="4341"/>
      <c r="I1087" s="3334" t="str">
        <f t="shared" ref="I1087:I1095" si="180">I1060</f>
        <v>351850_2024_12_</v>
      </c>
      <c r="J1087" s="3289">
        <v>20.5</v>
      </c>
      <c r="K1087" s="3343"/>
      <c r="L1087" s="3338" t="s">
        <v>1945</v>
      </c>
      <c r="N1087" s="564"/>
      <c r="S1087" s="52"/>
      <c r="T1087" s="52"/>
      <c r="U1087" s="52"/>
      <c r="V1087" s="4293"/>
      <c r="W1087" s="3262"/>
      <c r="X1087" s="3265"/>
      <c r="Y1087" s="3265">
        <v>27.01</v>
      </c>
      <c r="Z1087" s="3262">
        <v>27.01</v>
      </c>
      <c r="AA1087" s="3262">
        <v>27.01</v>
      </c>
      <c r="AB1087" s="3282">
        <v>22.249999999999996</v>
      </c>
      <c r="AC1087" s="3282">
        <v>21.90909090909091</v>
      </c>
      <c r="AD1087" s="3290">
        <v>20.5</v>
      </c>
      <c r="AE1087" s="3292">
        <v>20.5</v>
      </c>
      <c r="AF1087" s="2236">
        <f t="shared" si="178"/>
        <v>20.5</v>
      </c>
      <c r="AG1087" s="1396"/>
      <c r="DG1087" s="573"/>
      <c r="DH1087" s="159"/>
      <c r="DI1087" s="1091"/>
    </row>
    <row r="1088" spans="1:113" hidden="1" outlineLevel="1">
      <c r="A1088" s="453"/>
      <c r="C1088" s="51"/>
      <c r="D1088" s="4294"/>
      <c r="E1088" s="4293"/>
      <c r="F1088" s="4341" t="str">
        <f t="shared" si="179"/>
        <v>Mini/MultiSplitAC_ER1_MF_CompE</v>
      </c>
      <c r="G1088" s="4341"/>
      <c r="H1088" s="4341"/>
      <c r="I1088" s="3334" t="str">
        <f t="shared" si="180"/>
        <v>351551_2024_12_</v>
      </c>
      <c r="J1088" s="3289">
        <v>20.5</v>
      </c>
      <c r="K1088" s="3343"/>
      <c r="L1088" s="3338" t="s">
        <v>1945</v>
      </c>
      <c r="N1088" s="564"/>
      <c r="S1088" s="52"/>
      <c r="T1088" s="52"/>
      <c r="U1088" s="52"/>
      <c r="V1088" s="4293"/>
      <c r="W1088" s="3262"/>
      <c r="X1088" s="3262"/>
      <c r="Y1088" s="3265">
        <v>23.17</v>
      </c>
      <c r="Z1088" s="3262">
        <v>23.17</v>
      </c>
      <c r="AA1088" s="3262">
        <v>23.17</v>
      </c>
      <c r="AB1088" s="3288">
        <v>23.17</v>
      </c>
      <c r="AC1088" s="3282">
        <v>19.833333333333332</v>
      </c>
      <c r="AD1088" s="3290">
        <v>20.5</v>
      </c>
      <c r="AE1088" s="3292">
        <v>20.5</v>
      </c>
      <c r="AF1088" s="2236">
        <f t="shared" si="178"/>
        <v>20.5</v>
      </c>
      <c r="AG1088" s="1396"/>
      <c r="DG1088" s="573"/>
      <c r="DH1088" s="159"/>
      <c r="DI1088" s="1091"/>
    </row>
    <row r="1089" spans="1:113" hidden="1" outlineLevel="1">
      <c r="A1089" s="453"/>
      <c r="C1089" s="51"/>
      <c r="D1089" s="4294"/>
      <c r="E1089" s="4293"/>
      <c r="F1089" s="4341" t="str">
        <f t="shared" si="179"/>
        <v>Mini/MultiSplitAC_ROF_MF_CompE</v>
      </c>
      <c r="G1089" s="4341"/>
      <c r="H1089" s="4341"/>
      <c r="I1089" s="3334" t="str">
        <f t="shared" si="180"/>
        <v>351601_2024_12_</v>
      </c>
      <c r="J1089" s="3289">
        <v>20.5</v>
      </c>
      <c r="K1089" s="3343"/>
      <c r="L1089" s="3338" t="s">
        <v>1945</v>
      </c>
      <c r="N1089" s="564"/>
      <c r="S1089" s="52"/>
      <c r="T1089" s="52"/>
      <c r="U1089" s="52"/>
      <c r="V1089" s="4293"/>
      <c r="W1089" s="3262"/>
      <c r="X1089" s="3262"/>
      <c r="Y1089" s="3265">
        <v>23.17</v>
      </c>
      <c r="Z1089" s="3262">
        <v>23.17</v>
      </c>
      <c r="AA1089" s="3262">
        <v>23.17</v>
      </c>
      <c r="AB1089" s="3282">
        <v>22.918750000000003</v>
      </c>
      <c r="AC1089" s="3282">
        <v>21.705000000000005</v>
      </c>
      <c r="AD1089" s="3290">
        <v>20.5</v>
      </c>
      <c r="AE1089" s="3292">
        <v>20.5</v>
      </c>
      <c r="AF1089" s="2236">
        <f t="shared" si="178"/>
        <v>20.5</v>
      </c>
      <c r="AG1089" s="1396"/>
      <c r="DG1089" s="573"/>
      <c r="DH1089" s="159"/>
      <c r="DI1089" s="1091"/>
    </row>
    <row r="1090" spans="1:113" hidden="1" outlineLevel="1">
      <c r="A1090" s="453"/>
      <c r="C1090" s="51"/>
      <c r="D1090" s="4294"/>
      <c r="E1090" s="4293"/>
      <c r="F1090" s="4341" t="str">
        <f t="shared" si="179"/>
        <v>Mini/MultiSplitASHP_ROF_MF_NC_CompE</v>
      </c>
      <c r="G1090" s="4341"/>
      <c r="H1090" s="4341"/>
      <c r="I1090" s="3334" t="str">
        <f t="shared" si="180"/>
        <v>351651_2024_12_</v>
      </c>
      <c r="J1090" s="3289">
        <v>22.068493150684933</v>
      </c>
      <c r="K1090" s="3343"/>
      <c r="L1090" s="3272" t="s">
        <v>1934</v>
      </c>
      <c r="N1090" s="564"/>
      <c r="S1090" s="52"/>
      <c r="T1090" s="52"/>
      <c r="U1090" s="52"/>
      <c r="V1090" s="4293"/>
      <c r="W1090" s="3262"/>
      <c r="X1090" s="3262"/>
      <c r="Y1090" s="3265">
        <v>19</v>
      </c>
      <c r="Z1090" s="3262">
        <v>19</v>
      </c>
      <c r="AA1090" s="3262">
        <v>19</v>
      </c>
      <c r="AB1090" s="3288">
        <v>19</v>
      </c>
      <c r="AC1090" s="3282">
        <v>22.316949152542367</v>
      </c>
      <c r="AD1090" s="3290">
        <v>20.5</v>
      </c>
      <c r="AE1090" s="3290">
        <v>22.068493150684933</v>
      </c>
      <c r="AF1090" s="2236">
        <f t="shared" si="178"/>
        <v>22.068493150684933</v>
      </c>
      <c r="AG1090" s="1396"/>
      <c r="DG1090" s="573"/>
      <c r="DH1090" s="159"/>
      <c r="DI1090" s="1091"/>
    </row>
    <row r="1091" spans="1:113" hidden="1" outlineLevel="1">
      <c r="A1091" s="453"/>
      <c r="C1091" s="51"/>
      <c r="D1091" s="4294"/>
      <c r="E1091" s="4293"/>
      <c r="F1091" s="4341" t="str">
        <f t="shared" si="179"/>
        <v>Mini/MultiSplitASHP_ROF_MF_CompE</v>
      </c>
      <c r="G1091" s="4341"/>
      <c r="H1091" s="4341"/>
      <c r="I1091" s="3334" t="str">
        <f t="shared" si="180"/>
        <v>351701_2024_12_</v>
      </c>
      <c r="J1091" s="3289">
        <v>22.068493150684933</v>
      </c>
      <c r="K1091" s="3343"/>
      <c r="L1091" s="3272" t="s">
        <v>1934</v>
      </c>
      <c r="N1091" s="564"/>
      <c r="S1091" s="52"/>
      <c r="T1091" s="52"/>
      <c r="U1091" s="52"/>
      <c r="V1091" s="4293"/>
      <c r="W1091" s="3262"/>
      <c r="X1091" s="3262"/>
      <c r="Y1091" s="3265">
        <v>19</v>
      </c>
      <c r="Z1091" s="3262">
        <v>19</v>
      </c>
      <c r="AA1091" s="3262">
        <v>19</v>
      </c>
      <c r="AB1091" s="3282">
        <v>22.519480519480521</v>
      </c>
      <c r="AC1091" s="3282">
        <v>23.175000000000001</v>
      </c>
      <c r="AD1091" s="3290">
        <v>20.5</v>
      </c>
      <c r="AE1091" s="3290">
        <v>22.068493150684933</v>
      </c>
      <c r="AF1091" s="2236">
        <f t="shared" si="178"/>
        <v>22.068493150684933</v>
      </c>
      <c r="AG1091" s="1396"/>
      <c r="DG1091" s="573"/>
      <c r="DH1091" s="159"/>
      <c r="DI1091" s="1091"/>
    </row>
    <row r="1092" spans="1:113" hidden="1" outlineLevel="1">
      <c r="A1092" s="453"/>
      <c r="C1092" s="51"/>
      <c r="D1092" s="4294"/>
      <c r="E1092" s="4293"/>
      <c r="F1092" s="4341" t="str">
        <f t="shared" si="179"/>
        <v>Mini/MultiSplitASHP-Replace_CAC_ElectricHeat_ER1_MF_CompE</v>
      </c>
      <c r="G1092" s="4341"/>
      <c r="H1092" s="4341"/>
      <c r="I1092" s="3334" t="str">
        <f t="shared" si="180"/>
        <v>351751_2024_12_</v>
      </c>
      <c r="J1092" s="3289">
        <v>20.5</v>
      </c>
      <c r="K1092" s="3343"/>
      <c r="L1092" s="3224" t="s">
        <v>1945</v>
      </c>
      <c r="N1092" s="564"/>
      <c r="S1092" s="52"/>
      <c r="T1092" s="52"/>
      <c r="U1092" s="52"/>
      <c r="V1092" s="4293"/>
      <c r="W1092" s="3262"/>
      <c r="X1092" s="3262"/>
      <c r="Y1092" s="3265">
        <v>22.63</v>
      </c>
      <c r="Z1092" s="3262">
        <v>22.63</v>
      </c>
      <c r="AA1092" s="3262">
        <v>22.63</v>
      </c>
      <c r="AB1092" s="3282">
        <v>22.429399999999998</v>
      </c>
      <c r="AC1092" s="3282">
        <v>21.460465116279071</v>
      </c>
      <c r="AD1092" s="3290">
        <v>20.5</v>
      </c>
      <c r="AE1092" s="3292">
        <v>20.5</v>
      </c>
      <c r="AF1092" s="2236">
        <f t="shared" si="178"/>
        <v>20.5</v>
      </c>
      <c r="AG1092" s="1396"/>
      <c r="DG1092" s="573"/>
      <c r="DH1092" s="159"/>
      <c r="DI1092" s="1091"/>
    </row>
    <row r="1093" spans="1:113" hidden="1" outlineLevel="1">
      <c r="A1093" s="453"/>
      <c r="C1093" s="51"/>
      <c r="D1093" s="4294"/>
      <c r="E1093" s="4293"/>
      <c r="F1093" s="4341" t="str">
        <f t="shared" si="179"/>
        <v>Mini/MultiSplitASHP-Replace_CAC_ElectricHeat_ROF_MF_CompE</v>
      </c>
      <c r="G1093" s="4341"/>
      <c r="H1093" s="4341"/>
      <c r="I1093" s="3334" t="str">
        <f t="shared" si="180"/>
        <v>351801_2024_12_</v>
      </c>
      <c r="J1093" s="3289">
        <v>22.068493150684933</v>
      </c>
      <c r="K1093" s="3343"/>
      <c r="L1093" s="3272" t="s">
        <v>1934</v>
      </c>
      <c r="N1093" s="564"/>
      <c r="S1093" s="52"/>
      <c r="T1093" s="52"/>
      <c r="U1093" s="52"/>
      <c r="V1093" s="4293"/>
      <c r="W1093" s="3262"/>
      <c r="X1093" s="3262"/>
      <c r="Y1093" s="3265">
        <v>22.77</v>
      </c>
      <c r="Z1093" s="3262">
        <v>22.77</v>
      </c>
      <c r="AA1093" s="3262">
        <v>22.77</v>
      </c>
      <c r="AB1093" s="3282">
        <v>23.193333333333332</v>
      </c>
      <c r="AC1093" s="3282">
        <v>22.146153846153844</v>
      </c>
      <c r="AD1093" s="3290">
        <v>20.5</v>
      </c>
      <c r="AE1093" s="3290">
        <v>22.068493150684933</v>
      </c>
      <c r="AF1093" s="2236">
        <f t="shared" si="178"/>
        <v>22.068493150684933</v>
      </c>
      <c r="AG1093" s="1396"/>
      <c r="DG1093" s="573"/>
      <c r="DH1093" s="159"/>
      <c r="DI1093" s="1091"/>
    </row>
    <row r="1094" spans="1:113" hidden="1" outlineLevel="1">
      <c r="A1094" s="453"/>
      <c r="C1094" s="51"/>
      <c r="D1094" s="4294"/>
      <c r="E1094" s="4293"/>
      <c r="F1094" s="4341" t="str">
        <f>F1067</f>
        <v>Mini/MultiSplitASHP-Replace_CAC_NonElectricHeat_ER1_MF_CompE</v>
      </c>
      <c r="G1094" s="4341"/>
      <c r="H1094" s="4341"/>
      <c r="I1094" s="3334" t="str">
        <f t="shared" si="180"/>
        <v>351753_2024_12_</v>
      </c>
      <c r="J1094" s="3289">
        <v>20.5</v>
      </c>
      <c r="K1094" s="3343"/>
      <c r="L1094" s="3338" t="s">
        <v>1945</v>
      </c>
      <c r="N1094" s="564"/>
      <c r="S1094" s="52"/>
      <c r="T1094" s="52"/>
      <c r="U1094" s="52"/>
      <c r="V1094" s="4293"/>
      <c r="W1094" s="3262"/>
      <c r="X1094" s="3262"/>
      <c r="Y1094" s="3265"/>
      <c r="Z1094" s="3262"/>
      <c r="AA1094" s="3262"/>
      <c r="AB1094" s="3282"/>
      <c r="AC1094" s="3282"/>
      <c r="AD1094" s="3290">
        <v>20.5</v>
      </c>
      <c r="AE1094" s="3292">
        <v>20.5</v>
      </c>
      <c r="AF1094" s="2236">
        <f t="shared" si="178"/>
        <v>20.5</v>
      </c>
      <c r="AG1094" s="1396"/>
      <c r="DG1094" s="573"/>
      <c r="DH1094" s="159"/>
      <c r="DI1094" s="1091"/>
    </row>
    <row r="1095" spans="1:113" hidden="1" outlineLevel="1">
      <c r="A1095" s="453"/>
      <c r="C1095" s="51"/>
      <c r="D1095" s="4294"/>
      <c r="E1095" s="4293"/>
      <c r="F1095" s="4341" t="str">
        <f>F1068</f>
        <v>Mini/MultiSplitASHP-Replace_CAC_NonElectricHeat_ROF_MF_CompE</v>
      </c>
      <c r="G1095" s="4341"/>
      <c r="H1095" s="4341"/>
      <c r="I1095" s="3334" t="str">
        <f t="shared" si="180"/>
        <v>351803_2024_12_</v>
      </c>
      <c r="J1095" s="3289">
        <v>22.068493150684933</v>
      </c>
      <c r="K1095" s="3343"/>
      <c r="L1095" s="3272" t="s">
        <v>1934</v>
      </c>
      <c r="N1095" s="564"/>
      <c r="S1095" s="52"/>
      <c r="T1095" s="52"/>
      <c r="U1095" s="52"/>
      <c r="V1095" s="4293"/>
      <c r="W1095" s="3262"/>
      <c r="X1095" s="3262"/>
      <c r="Y1095" s="3265"/>
      <c r="Z1095" s="3262"/>
      <c r="AA1095" s="3262"/>
      <c r="AB1095" s="3282"/>
      <c r="AC1095" s="3282"/>
      <c r="AD1095" s="3290">
        <v>20.5</v>
      </c>
      <c r="AE1095" s="3290">
        <v>22.068493150684933</v>
      </c>
      <c r="AF1095" s="2236">
        <f t="shared" si="178"/>
        <v>22.068493150684933</v>
      </c>
      <c r="AG1095" s="1396"/>
      <c r="DG1095" s="573"/>
      <c r="DH1095" s="159"/>
      <c r="DI1095" s="1091"/>
    </row>
    <row r="1096" spans="1:113" hidden="1" outlineLevel="1">
      <c r="A1096" s="453"/>
      <c r="C1096" s="51"/>
      <c r="D1096" s="4294"/>
      <c r="E1096" s="4293"/>
      <c r="F1096" s="4341" t="str">
        <f>F1069</f>
        <v>Mini/MultiSplitASHP_ER1_MF_CompE</v>
      </c>
      <c r="G1096" s="4341"/>
      <c r="H1096" s="4341"/>
      <c r="I1096" s="3334" t="str">
        <f>I1069</f>
        <v>351851_2024_12_</v>
      </c>
      <c r="J1096" s="3289">
        <v>20.5</v>
      </c>
      <c r="K1096" s="3343"/>
      <c r="L1096" s="3224" t="s">
        <v>1945</v>
      </c>
      <c r="N1096" s="564"/>
      <c r="S1096" s="52"/>
      <c r="T1096" s="52"/>
      <c r="U1096" s="52"/>
      <c r="V1096" s="4293"/>
      <c r="W1096" s="3262"/>
      <c r="X1096" s="3262"/>
      <c r="Y1096" s="3265">
        <v>27.01</v>
      </c>
      <c r="Z1096" s="3262">
        <v>27.01</v>
      </c>
      <c r="AA1096" s="3262">
        <v>27.01</v>
      </c>
      <c r="AB1096" s="3282">
        <v>22.249999999999996</v>
      </c>
      <c r="AC1096" s="3282">
        <v>21.90909090909091</v>
      </c>
      <c r="AD1096" s="3290">
        <v>20.5</v>
      </c>
      <c r="AE1096" s="3292">
        <v>20.5</v>
      </c>
      <c r="AF1096" s="2236">
        <f t="shared" si="178"/>
        <v>20.5</v>
      </c>
      <c r="AG1096" s="1396"/>
      <c r="DG1096" s="573"/>
      <c r="DH1096" s="159"/>
      <c r="DI1096" s="1091"/>
    </row>
    <row r="1097" spans="1:113" hidden="1" outlineLevel="1">
      <c r="A1097" s="453"/>
      <c r="C1097" s="51"/>
      <c r="D1097" s="4293" t="s">
        <v>1089</v>
      </c>
      <c r="E1097" s="4293" t="s">
        <v>2068</v>
      </c>
      <c r="F1097" s="4289" t="str">
        <f t="shared" ref="F1097:F1121" si="181">E749</f>
        <v>Mini/MultiSplitAC_ER1_SF</v>
      </c>
      <c r="G1097" s="4289"/>
      <c r="H1097" s="4289"/>
      <c r="I1097" s="930" t="str">
        <f t="shared" ref="I1097:I1121" si="182">C749</f>
        <v>351200_2024_12_</v>
      </c>
      <c r="J1097" s="1774">
        <v>1</v>
      </c>
      <c r="K1097" s="230"/>
      <c r="L1097" s="4289"/>
      <c r="N1097" s="564"/>
      <c r="S1097" s="52"/>
      <c r="T1097" s="52"/>
      <c r="U1097" s="52"/>
      <c r="V1097" s="4293" t="s">
        <v>1089</v>
      </c>
      <c r="W1097" s="229">
        <v>1</v>
      </c>
      <c r="X1097" s="229">
        <v>1</v>
      </c>
      <c r="Y1097" s="229">
        <v>1</v>
      </c>
      <c r="Z1097" s="229">
        <v>1</v>
      </c>
      <c r="AA1097" s="229">
        <v>1</v>
      </c>
      <c r="AB1097" s="1161">
        <v>1</v>
      </c>
      <c r="AC1097" s="1161">
        <v>1</v>
      </c>
      <c r="AD1097" s="1161">
        <v>1</v>
      </c>
      <c r="AE1097" s="1161">
        <v>1</v>
      </c>
      <c r="AF1097" s="271">
        <f t="shared" si="178"/>
        <v>1</v>
      </c>
      <c r="AG1097" s="229"/>
      <c r="DG1097" s="573"/>
      <c r="DH1097" s="159"/>
      <c r="DI1097" s="1091"/>
    </row>
    <row r="1098" spans="1:113" hidden="1" outlineLevel="1">
      <c r="A1098" s="453"/>
      <c r="C1098" s="51"/>
      <c r="D1098" s="4293"/>
      <c r="E1098" s="4293"/>
      <c r="F1098" s="4289" t="str">
        <f t="shared" si="181"/>
        <v>Mini/MultiSplitAC_ER2_SF</v>
      </c>
      <c r="G1098" s="4289"/>
      <c r="H1098" s="4289"/>
      <c r="I1098" s="930" t="str">
        <f t="shared" si="182"/>
        <v>351200_2024_12_</v>
      </c>
      <c r="J1098" s="1774">
        <v>1</v>
      </c>
      <c r="K1098" s="230"/>
      <c r="L1098" s="4366"/>
      <c r="N1098" s="564"/>
      <c r="S1098" s="52"/>
      <c r="T1098" s="52"/>
      <c r="U1098" s="52"/>
      <c r="V1098" s="4293"/>
      <c r="W1098" s="229">
        <v>1</v>
      </c>
      <c r="X1098" s="229">
        <v>1</v>
      </c>
      <c r="Y1098" s="229">
        <v>1</v>
      </c>
      <c r="Z1098" s="229">
        <v>1</v>
      </c>
      <c r="AA1098" s="229">
        <v>1</v>
      </c>
      <c r="AB1098" s="229">
        <v>1</v>
      </c>
      <c r="AC1098" s="229">
        <v>1</v>
      </c>
      <c r="AD1098" s="229">
        <v>1</v>
      </c>
      <c r="AE1098" s="1161">
        <v>1</v>
      </c>
      <c r="AF1098" s="271">
        <f t="shared" si="178"/>
        <v>1</v>
      </c>
      <c r="AG1098" s="229"/>
      <c r="DG1098" s="573"/>
      <c r="DH1098" s="159"/>
      <c r="DI1098" s="1091"/>
    </row>
    <row r="1099" spans="1:113" hidden="1" outlineLevel="1">
      <c r="A1099" s="453"/>
      <c r="C1099" s="51"/>
      <c r="D1099" s="4293"/>
      <c r="E1099" s="4293"/>
      <c r="F1099" s="4289" t="str">
        <f t="shared" si="181"/>
        <v>Mini/MultiSplitAC_ROF_SF</v>
      </c>
      <c r="G1099" s="4289"/>
      <c r="H1099" s="4289"/>
      <c r="I1099" s="930" t="str">
        <f t="shared" si="182"/>
        <v>351250_2024_12_</v>
      </c>
      <c r="J1099" s="1774">
        <v>1</v>
      </c>
      <c r="K1099" s="230"/>
      <c r="L1099" s="4366"/>
      <c r="N1099" s="564"/>
      <c r="S1099" s="52"/>
      <c r="T1099" s="52"/>
      <c r="U1099" s="52"/>
      <c r="V1099" s="4293"/>
      <c r="W1099" s="229">
        <v>1</v>
      </c>
      <c r="X1099" s="229">
        <v>1</v>
      </c>
      <c r="Y1099" s="229">
        <v>1</v>
      </c>
      <c r="Z1099" s="229">
        <v>1</v>
      </c>
      <c r="AA1099" s="229">
        <v>1</v>
      </c>
      <c r="AB1099" s="229">
        <v>1</v>
      </c>
      <c r="AC1099" s="229">
        <v>1</v>
      </c>
      <c r="AD1099" s="229">
        <v>1</v>
      </c>
      <c r="AE1099" s="1161">
        <v>1</v>
      </c>
      <c r="AF1099" s="271">
        <f t="shared" si="178"/>
        <v>1</v>
      </c>
      <c r="AG1099" s="229"/>
      <c r="DG1099" s="573"/>
      <c r="DH1099" s="159"/>
      <c r="DI1099" s="1091"/>
    </row>
    <row r="1100" spans="1:113" hidden="1" outlineLevel="1">
      <c r="A1100" s="453"/>
      <c r="C1100" s="51"/>
      <c r="D1100" s="4293"/>
      <c r="E1100" s="4293"/>
      <c r="F1100" s="4289" t="str">
        <f t="shared" si="181"/>
        <v>Mini/MultiSplitASHP_ROF_SF_NC</v>
      </c>
      <c r="G1100" s="4289"/>
      <c r="H1100" s="4289"/>
      <c r="I1100" s="930" t="str">
        <f t="shared" si="182"/>
        <v>351300_2024_12_</v>
      </c>
      <c r="J1100" s="1774">
        <v>1</v>
      </c>
      <c r="K1100" s="230"/>
      <c r="L1100" s="4366"/>
      <c r="N1100" s="564"/>
      <c r="S1100" s="52"/>
      <c r="T1100" s="52"/>
      <c r="U1100" s="52"/>
      <c r="V1100" s="4293"/>
      <c r="W1100" s="229">
        <v>1</v>
      </c>
      <c r="X1100" s="229">
        <v>1</v>
      </c>
      <c r="Y1100" s="229">
        <v>1</v>
      </c>
      <c r="Z1100" s="229">
        <v>1</v>
      </c>
      <c r="AA1100" s="229">
        <v>1</v>
      </c>
      <c r="AB1100" s="229">
        <v>1</v>
      </c>
      <c r="AC1100" s="229">
        <v>1</v>
      </c>
      <c r="AD1100" s="229">
        <v>1</v>
      </c>
      <c r="AE1100" s="1161">
        <v>1</v>
      </c>
      <c r="AF1100" s="271">
        <f t="shared" si="178"/>
        <v>1</v>
      </c>
      <c r="AG1100" s="229"/>
      <c r="DG1100" s="573"/>
      <c r="DH1100" s="159"/>
      <c r="DI1100" s="1091"/>
    </row>
    <row r="1101" spans="1:113" hidden="1" outlineLevel="1">
      <c r="A1101" s="453"/>
      <c r="C1101" s="51"/>
      <c r="D1101" s="4293"/>
      <c r="E1101" s="4293"/>
      <c r="F1101" s="4289" t="str">
        <f t="shared" si="181"/>
        <v>Mini/MultiSplitASHP_ROF_SF_NC</v>
      </c>
      <c r="G1101" s="4289"/>
      <c r="H1101" s="4289"/>
      <c r="I1101" s="930" t="str">
        <f t="shared" si="182"/>
        <v>351300_2024_12_</v>
      </c>
      <c r="J1101" s="1774">
        <v>1</v>
      </c>
      <c r="K1101" s="230"/>
      <c r="L1101" s="4366"/>
      <c r="N1101" s="564"/>
      <c r="S1101" s="52"/>
      <c r="T1101" s="52"/>
      <c r="U1101" s="52"/>
      <c r="V1101" s="4293"/>
      <c r="W1101" s="229">
        <v>1</v>
      </c>
      <c r="X1101" s="229">
        <v>1</v>
      </c>
      <c r="Y1101" s="229">
        <v>1</v>
      </c>
      <c r="Z1101" s="229">
        <v>1</v>
      </c>
      <c r="AA1101" s="229">
        <v>1</v>
      </c>
      <c r="AB1101" s="229">
        <v>1</v>
      </c>
      <c r="AC1101" s="229">
        <v>1</v>
      </c>
      <c r="AD1101" s="229">
        <v>1</v>
      </c>
      <c r="AE1101" s="1161">
        <v>1</v>
      </c>
      <c r="AF1101" s="271">
        <f t="shared" si="178"/>
        <v>1</v>
      </c>
      <c r="AG1101" s="229"/>
      <c r="DG1101" s="573"/>
      <c r="DH1101" s="159"/>
      <c r="DI1101" s="1091"/>
    </row>
    <row r="1102" spans="1:113" hidden="1" outlineLevel="1">
      <c r="A1102" s="453"/>
      <c r="C1102" s="51"/>
      <c r="D1102" s="4293"/>
      <c r="E1102" s="4293"/>
      <c r="F1102" s="4289" t="str">
        <f t="shared" si="181"/>
        <v>Mini/MultiSplitASHP_ROF_SF</v>
      </c>
      <c r="G1102" s="4289"/>
      <c r="H1102" s="4289"/>
      <c r="I1102" s="930" t="str">
        <f t="shared" si="182"/>
        <v>351350_2024_12_</v>
      </c>
      <c r="J1102" s="1774">
        <v>1</v>
      </c>
      <c r="K1102" s="230"/>
      <c r="L1102" s="4366"/>
      <c r="N1102" s="564"/>
      <c r="S1102" s="52"/>
      <c r="T1102" s="52"/>
      <c r="U1102" s="52"/>
      <c r="V1102" s="4293"/>
      <c r="W1102" s="229">
        <v>1</v>
      </c>
      <c r="X1102" s="229">
        <v>1</v>
      </c>
      <c r="Y1102" s="229">
        <v>1</v>
      </c>
      <c r="Z1102" s="229">
        <v>1</v>
      </c>
      <c r="AA1102" s="229">
        <v>1</v>
      </c>
      <c r="AB1102" s="229">
        <v>1</v>
      </c>
      <c r="AC1102" s="229">
        <v>1</v>
      </c>
      <c r="AD1102" s="229">
        <v>1</v>
      </c>
      <c r="AE1102" s="1161">
        <v>1</v>
      </c>
      <c r="AF1102" s="271">
        <f t="shared" si="178"/>
        <v>1</v>
      </c>
      <c r="AG1102" s="229"/>
      <c r="DG1102" s="573"/>
      <c r="DH1102" s="159"/>
      <c r="DI1102" s="1091"/>
    </row>
    <row r="1103" spans="1:113" hidden="1" outlineLevel="1">
      <c r="A1103" s="453"/>
      <c r="C1103" s="51"/>
      <c r="D1103" s="4293"/>
      <c r="E1103" s="4293"/>
      <c r="F1103" s="4289" t="str">
        <f t="shared" si="181"/>
        <v>Mini/MultiSplitASHP_ROF_SF</v>
      </c>
      <c r="G1103" s="4289"/>
      <c r="H1103" s="4289"/>
      <c r="I1103" s="930" t="str">
        <f t="shared" si="182"/>
        <v>351350_2024_12_</v>
      </c>
      <c r="J1103" s="1774">
        <v>1</v>
      </c>
      <c r="K1103" s="230"/>
      <c r="L1103" s="4366"/>
      <c r="N1103" s="564"/>
      <c r="S1103" s="52"/>
      <c r="T1103" s="52"/>
      <c r="U1103" s="52"/>
      <c r="V1103" s="4293"/>
      <c r="W1103" s="229">
        <v>1</v>
      </c>
      <c r="X1103" s="229">
        <v>1</v>
      </c>
      <c r="Y1103" s="229">
        <v>1</v>
      </c>
      <c r="Z1103" s="229">
        <v>1</v>
      </c>
      <c r="AA1103" s="229">
        <v>1</v>
      </c>
      <c r="AB1103" s="229">
        <v>1</v>
      </c>
      <c r="AC1103" s="229">
        <v>1</v>
      </c>
      <c r="AD1103" s="229">
        <v>1</v>
      </c>
      <c r="AE1103" s="1161">
        <v>1</v>
      </c>
      <c r="AF1103" s="271">
        <f t="shared" si="178"/>
        <v>1</v>
      </c>
      <c r="AG1103" s="229"/>
      <c r="DG1103" s="573"/>
      <c r="DH1103" s="159"/>
      <c r="DI1103" s="1091"/>
    </row>
    <row r="1104" spans="1:113" hidden="1" outlineLevel="1">
      <c r="A1104" s="453"/>
      <c r="C1104" s="51"/>
      <c r="D1104" s="4293"/>
      <c r="E1104" s="4293"/>
      <c r="F1104" s="4289" t="str">
        <f t="shared" si="181"/>
        <v>Mini/MultiSplitASHP-Replace_CAC_ElectricHeat_ER1_SF</v>
      </c>
      <c r="G1104" s="4289"/>
      <c r="H1104" s="4289"/>
      <c r="I1104" s="930" t="str">
        <f t="shared" si="182"/>
        <v>351400_2024_12_</v>
      </c>
      <c r="J1104" s="1774">
        <v>1</v>
      </c>
      <c r="K1104" s="230"/>
      <c r="L1104" s="4366"/>
      <c r="N1104" s="564"/>
      <c r="S1104" s="52"/>
      <c r="T1104" s="52"/>
      <c r="U1104" s="52"/>
      <c r="V1104" s="4293"/>
      <c r="W1104" s="229">
        <v>1</v>
      </c>
      <c r="X1104" s="229">
        <v>1</v>
      </c>
      <c r="Y1104" s="229">
        <v>1</v>
      </c>
      <c r="Z1104" s="229">
        <v>1</v>
      </c>
      <c r="AA1104" s="229">
        <v>1</v>
      </c>
      <c r="AB1104" s="229">
        <v>1</v>
      </c>
      <c r="AC1104" s="229">
        <v>1</v>
      </c>
      <c r="AD1104" s="229">
        <v>1</v>
      </c>
      <c r="AE1104" s="1161">
        <v>1</v>
      </c>
      <c r="AF1104" s="271">
        <f t="shared" si="178"/>
        <v>1</v>
      </c>
      <c r="AG1104" s="229"/>
      <c r="DG1104" s="573"/>
      <c r="DH1104" s="159"/>
      <c r="DI1104" s="1091"/>
    </row>
    <row r="1105" spans="1:113" hidden="1" outlineLevel="1">
      <c r="A1105" s="453"/>
      <c r="C1105" s="51"/>
      <c r="D1105" s="4293"/>
      <c r="E1105" s="4293"/>
      <c r="F1105" s="4289" t="str">
        <f t="shared" si="181"/>
        <v>Mini/MultiSplitASHP-Replace_CAC_ElectricHeat_ER1_SF</v>
      </c>
      <c r="G1105" s="4289"/>
      <c r="H1105" s="4289"/>
      <c r="I1105" s="930" t="str">
        <f t="shared" si="182"/>
        <v>351400_2024_12_</v>
      </c>
      <c r="J1105" s="1774">
        <v>1</v>
      </c>
      <c r="K1105" s="230"/>
      <c r="L1105" s="4366"/>
      <c r="N1105" s="564"/>
      <c r="S1105" s="52"/>
      <c r="T1105" s="52"/>
      <c r="U1105" s="52"/>
      <c r="V1105" s="4293"/>
      <c r="W1105" s="229">
        <v>1</v>
      </c>
      <c r="X1105" s="229">
        <v>1</v>
      </c>
      <c r="Y1105" s="229">
        <v>1</v>
      </c>
      <c r="Z1105" s="229">
        <v>1</v>
      </c>
      <c r="AA1105" s="229">
        <v>1</v>
      </c>
      <c r="AB1105" s="229">
        <v>1</v>
      </c>
      <c r="AC1105" s="229">
        <v>1</v>
      </c>
      <c r="AD1105" s="229">
        <v>1</v>
      </c>
      <c r="AE1105" s="1161">
        <v>1</v>
      </c>
      <c r="AF1105" s="271">
        <f t="shared" si="178"/>
        <v>1</v>
      </c>
      <c r="AG1105" s="229"/>
      <c r="DG1105" s="573"/>
      <c r="DH1105" s="159"/>
      <c r="DI1105" s="1091"/>
    </row>
    <row r="1106" spans="1:113" hidden="1" outlineLevel="1">
      <c r="A1106" s="453"/>
      <c r="C1106" s="51"/>
      <c r="D1106" s="4293"/>
      <c r="E1106" s="4293"/>
      <c r="F1106" s="4289" t="str">
        <f t="shared" si="181"/>
        <v>Mini/MultiSplitASHP-Replace_CAC_ElectricHeat_ER2_SF</v>
      </c>
      <c r="G1106" s="4289"/>
      <c r="H1106" s="4289"/>
      <c r="I1106" s="930" t="str">
        <f t="shared" si="182"/>
        <v>351400_2024_12_</v>
      </c>
      <c r="J1106" s="1774">
        <v>1</v>
      </c>
      <c r="K1106" s="230"/>
      <c r="L1106" s="4366"/>
      <c r="N1106" s="564"/>
      <c r="S1106" s="52"/>
      <c r="T1106" s="52"/>
      <c r="U1106" s="52"/>
      <c r="V1106" s="4293"/>
      <c r="W1106" s="229">
        <v>1</v>
      </c>
      <c r="X1106" s="229">
        <v>1</v>
      </c>
      <c r="Y1106" s="229">
        <v>1</v>
      </c>
      <c r="Z1106" s="229">
        <v>1</v>
      </c>
      <c r="AA1106" s="229">
        <v>1</v>
      </c>
      <c r="AB1106" s="229">
        <v>1</v>
      </c>
      <c r="AC1106" s="229">
        <v>1</v>
      </c>
      <c r="AD1106" s="229">
        <v>1</v>
      </c>
      <c r="AE1106" s="1161">
        <v>1</v>
      </c>
      <c r="AF1106" s="271">
        <f t="shared" si="178"/>
        <v>1</v>
      </c>
      <c r="AG1106" s="229"/>
      <c r="DG1106" s="573"/>
      <c r="DH1106" s="159"/>
      <c r="DI1106" s="1091"/>
    </row>
    <row r="1107" spans="1:113" hidden="1" outlineLevel="1">
      <c r="A1107" s="453"/>
      <c r="C1107" s="51"/>
      <c r="D1107" s="4293"/>
      <c r="E1107" s="4293"/>
      <c r="F1107" s="4289" t="str">
        <f t="shared" si="181"/>
        <v>Mini/MultiSplitASHP-Replace_CAC_ElectricHeat_ER2_SF</v>
      </c>
      <c r="G1107" s="4289"/>
      <c r="H1107" s="4289"/>
      <c r="I1107" s="930" t="str">
        <f t="shared" si="182"/>
        <v>351400_2024_12_</v>
      </c>
      <c r="J1107" s="1774">
        <v>1</v>
      </c>
      <c r="K1107" s="230"/>
      <c r="L1107" s="4366"/>
      <c r="N1107" s="564"/>
      <c r="S1107" s="52"/>
      <c r="T1107" s="52"/>
      <c r="U1107" s="52"/>
      <c r="V1107" s="4293"/>
      <c r="W1107" s="229">
        <v>1</v>
      </c>
      <c r="X1107" s="229">
        <v>1</v>
      </c>
      <c r="Y1107" s="229">
        <v>1</v>
      </c>
      <c r="Z1107" s="229">
        <v>1</v>
      </c>
      <c r="AA1107" s="229">
        <v>1</v>
      </c>
      <c r="AB1107" s="229">
        <v>1</v>
      </c>
      <c r="AC1107" s="229">
        <v>1</v>
      </c>
      <c r="AD1107" s="229">
        <v>1</v>
      </c>
      <c r="AE1107" s="1161">
        <v>1</v>
      </c>
      <c r="AF1107" s="271">
        <f t="shared" si="178"/>
        <v>1</v>
      </c>
      <c r="AG1107" s="229"/>
      <c r="DG1107" s="573"/>
      <c r="DH1107" s="159"/>
      <c r="DI1107" s="1091"/>
    </row>
    <row r="1108" spans="1:113" hidden="1" outlineLevel="1">
      <c r="A1108" s="453"/>
      <c r="C1108" s="51"/>
      <c r="D1108" s="4293"/>
      <c r="E1108" s="4293"/>
      <c r="F1108" s="4289" t="str">
        <f t="shared" si="181"/>
        <v>Mini/MultiSplitASHP-Replace_CAC_NonElectricHeat_ER1_SF</v>
      </c>
      <c r="G1108" s="4289"/>
      <c r="H1108" s="4289"/>
      <c r="I1108" s="930" t="str">
        <f t="shared" si="182"/>
        <v>351401_2024_12_</v>
      </c>
      <c r="J1108" s="1774">
        <v>1</v>
      </c>
      <c r="K1108" s="230"/>
      <c r="L1108" s="4366"/>
      <c r="N1108" s="564"/>
      <c r="S1108" s="52"/>
      <c r="T1108" s="52"/>
      <c r="U1108" s="52"/>
      <c r="V1108" s="4293"/>
      <c r="W1108" s="229"/>
      <c r="X1108" s="229"/>
      <c r="Y1108" s="229"/>
      <c r="Z1108" s="229"/>
      <c r="AA1108" s="229"/>
      <c r="AB1108" s="229"/>
      <c r="AC1108" s="229"/>
      <c r="AD1108" s="231">
        <v>1</v>
      </c>
      <c r="AE1108" s="1161">
        <v>1</v>
      </c>
      <c r="AF1108" s="271">
        <f t="shared" si="178"/>
        <v>1</v>
      </c>
      <c r="AG1108" s="229"/>
      <c r="DG1108" s="573"/>
      <c r="DH1108" s="159"/>
      <c r="DI1108" s="1091"/>
    </row>
    <row r="1109" spans="1:113" hidden="1" outlineLevel="1">
      <c r="A1109" s="453"/>
      <c r="C1109" s="51"/>
      <c r="D1109" s="4293"/>
      <c r="E1109" s="4293"/>
      <c r="F1109" s="4289" t="str">
        <f t="shared" si="181"/>
        <v>Mini/MultiSplitASHP-Replace_CAC_NonElectricHeat_ER1_SF</v>
      </c>
      <c r="G1109" s="4289"/>
      <c r="H1109" s="4289"/>
      <c r="I1109" s="930" t="str">
        <f t="shared" si="182"/>
        <v>351401_2024_12_</v>
      </c>
      <c r="J1109" s="1774">
        <v>1</v>
      </c>
      <c r="K1109" s="230"/>
      <c r="L1109" s="4366"/>
      <c r="N1109" s="564"/>
      <c r="S1109" s="52"/>
      <c r="T1109" s="52"/>
      <c r="U1109" s="52"/>
      <c r="V1109" s="4293"/>
      <c r="W1109" s="229"/>
      <c r="X1109" s="229"/>
      <c r="Y1109" s="229"/>
      <c r="Z1109" s="229"/>
      <c r="AA1109" s="229"/>
      <c r="AB1109" s="229"/>
      <c r="AC1109" s="229"/>
      <c r="AD1109" s="231">
        <v>1</v>
      </c>
      <c r="AE1109" s="1161">
        <v>1</v>
      </c>
      <c r="AF1109" s="271">
        <f t="shared" si="178"/>
        <v>1</v>
      </c>
      <c r="AG1109" s="229"/>
      <c r="DG1109" s="573"/>
      <c r="DH1109" s="159"/>
      <c r="DI1109" s="1091"/>
    </row>
    <row r="1110" spans="1:113" hidden="1" outlineLevel="1">
      <c r="A1110" s="453"/>
      <c r="C1110" s="51"/>
      <c r="D1110" s="4293"/>
      <c r="E1110" s="4293"/>
      <c r="F1110" s="4289" t="str">
        <f t="shared" si="181"/>
        <v>Mini/MultiSplitASHP-Replace_CAC_NonElectricHeat_ER2_SF</v>
      </c>
      <c r="G1110" s="4289"/>
      <c r="H1110" s="4289"/>
      <c r="I1110" s="930" t="str">
        <f t="shared" si="182"/>
        <v>351401_2024_12_</v>
      </c>
      <c r="J1110" s="1774">
        <v>1</v>
      </c>
      <c r="K1110" s="230"/>
      <c r="L1110" s="4366"/>
      <c r="N1110" s="564"/>
      <c r="S1110" s="52"/>
      <c r="T1110" s="52"/>
      <c r="U1110" s="52"/>
      <c r="V1110" s="4293"/>
      <c r="W1110" s="229"/>
      <c r="X1110" s="229"/>
      <c r="Y1110" s="229"/>
      <c r="Z1110" s="229"/>
      <c r="AA1110" s="229"/>
      <c r="AB1110" s="229"/>
      <c r="AC1110" s="229"/>
      <c r="AD1110" s="231">
        <v>1</v>
      </c>
      <c r="AE1110" s="1161">
        <v>1</v>
      </c>
      <c r="AF1110" s="271">
        <f t="shared" si="178"/>
        <v>1</v>
      </c>
      <c r="AG1110" s="229"/>
      <c r="DG1110" s="573"/>
      <c r="DH1110" s="159"/>
      <c r="DI1110" s="1091"/>
    </row>
    <row r="1111" spans="1:113" hidden="1" outlineLevel="1">
      <c r="A1111" s="453"/>
      <c r="C1111" s="51"/>
      <c r="D1111" s="4293"/>
      <c r="E1111" s="4293"/>
      <c r="F1111" s="4289" t="str">
        <f t="shared" si="181"/>
        <v>Mini/MultiSplitASHP-Replace_CAC_NonElectricHeat_ER2_SF</v>
      </c>
      <c r="G1111" s="4289"/>
      <c r="H1111" s="4289"/>
      <c r="I1111" s="930" t="str">
        <f t="shared" si="182"/>
        <v>351401_2024_12_</v>
      </c>
      <c r="J1111" s="1774">
        <v>1</v>
      </c>
      <c r="K1111" s="230"/>
      <c r="L1111" s="4366"/>
      <c r="N1111" s="564"/>
      <c r="S1111" s="52"/>
      <c r="T1111" s="52"/>
      <c r="U1111" s="52"/>
      <c r="V1111" s="4293"/>
      <c r="W1111" s="229"/>
      <c r="X1111" s="229"/>
      <c r="Y1111" s="229"/>
      <c r="Z1111" s="229"/>
      <c r="AA1111" s="229"/>
      <c r="AB1111" s="229"/>
      <c r="AC1111" s="229"/>
      <c r="AD1111" s="231">
        <v>1</v>
      </c>
      <c r="AE1111" s="1161">
        <v>1</v>
      </c>
      <c r="AF1111" s="271">
        <f t="shared" si="178"/>
        <v>1</v>
      </c>
      <c r="AG1111" s="229"/>
      <c r="DG1111" s="573"/>
      <c r="DH1111" s="159"/>
      <c r="DI1111" s="1091"/>
    </row>
    <row r="1112" spans="1:113" hidden="1" outlineLevel="1">
      <c r="A1112" s="453"/>
      <c r="C1112" s="51"/>
      <c r="D1112" s="4293"/>
      <c r="E1112" s="4293"/>
      <c r="F1112" s="4289" t="str">
        <f t="shared" si="181"/>
        <v>Mini/MultiSplitASHP-Replace_CAC_ElectricHeat_ROF_SF</v>
      </c>
      <c r="G1112" s="4289"/>
      <c r="H1112" s="4289"/>
      <c r="I1112" s="930" t="str">
        <f t="shared" si="182"/>
        <v>351450_2024_12_</v>
      </c>
      <c r="J1112" s="1774">
        <v>1</v>
      </c>
      <c r="K1112" s="230"/>
      <c r="L1112" s="4366"/>
      <c r="N1112" s="564"/>
      <c r="S1112" s="52"/>
      <c r="T1112" s="52"/>
      <c r="U1112" s="52"/>
      <c r="V1112" s="4293"/>
      <c r="W1112" s="229">
        <v>1</v>
      </c>
      <c r="X1112" s="229">
        <v>1</v>
      </c>
      <c r="Y1112" s="229">
        <v>1</v>
      </c>
      <c r="Z1112" s="229">
        <v>1</v>
      </c>
      <c r="AA1112" s="229">
        <v>1</v>
      </c>
      <c r="AB1112" s="229">
        <v>1</v>
      </c>
      <c r="AC1112" s="229">
        <v>1</v>
      </c>
      <c r="AD1112" s="229">
        <v>1</v>
      </c>
      <c r="AE1112" s="1161">
        <v>1</v>
      </c>
      <c r="AF1112" s="271">
        <f t="shared" si="178"/>
        <v>1</v>
      </c>
      <c r="AG1112" s="229"/>
      <c r="DG1112" s="573"/>
      <c r="DH1112" s="159"/>
      <c r="DI1112" s="1091"/>
    </row>
    <row r="1113" spans="1:113" hidden="1" outlineLevel="1">
      <c r="A1113" s="453"/>
      <c r="C1113" s="51"/>
      <c r="D1113" s="4293"/>
      <c r="E1113" s="4293"/>
      <c r="F1113" s="4289" t="str">
        <f t="shared" si="181"/>
        <v>Mini/MultiSplitASHP-Replace_CAC_ElectricHeat_ROF_SF</v>
      </c>
      <c r="G1113" s="4289"/>
      <c r="H1113" s="4289"/>
      <c r="I1113" s="930" t="str">
        <f t="shared" si="182"/>
        <v>351450_2024_12_</v>
      </c>
      <c r="J1113" s="1774">
        <v>1</v>
      </c>
      <c r="K1113" s="230"/>
      <c r="L1113" s="4366"/>
      <c r="N1113" s="564"/>
      <c r="S1113" s="52"/>
      <c r="T1113" s="52"/>
      <c r="U1113" s="52"/>
      <c r="V1113" s="4293"/>
      <c r="W1113" s="229">
        <v>1</v>
      </c>
      <c r="X1113" s="229">
        <v>1</v>
      </c>
      <c r="Y1113" s="229">
        <v>1</v>
      </c>
      <c r="Z1113" s="229">
        <v>1</v>
      </c>
      <c r="AA1113" s="229">
        <v>1</v>
      </c>
      <c r="AB1113" s="229">
        <v>1</v>
      </c>
      <c r="AC1113" s="229">
        <v>1</v>
      </c>
      <c r="AD1113" s="229">
        <v>1</v>
      </c>
      <c r="AE1113" s="1161">
        <v>1</v>
      </c>
      <c r="AF1113" s="271">
        <f t="shared" si="178"/>
        <v>1</v>
      </c>
      <c r="AG1113" s="229"/>
      <c r="DG1113" s="573"/>
      <c r="DH1113" s="159"/>
      <c r="DI1113" s="1091"/>
    </row>
    <row r="1114" spans="1:113" hidden="1" outlineLevel="1">
      <c r="A1114" s="453"/>
      <c r="C1114" s="51"/>
      <c r="D1114" s="4293"/>
      <c r="E1114" s="4293"/>
      <c r="F1114" s="4289" t="str">
        <f t="shared" si="181"/>
        <v>Mini/MultiSplitASHP-Replace_CAC_NonElectricHeat_ROF_SF</v>
      </c>
      <c r="G1114" s="4289"/>
      <c r="H1114" s="4289"/>
      <c r="I1114" s="930" t="str">
        <f t="shared" si="182"/>
        <v>351451_2024_12_</v>
      </c>
      <c r="J1114" s="1774">
        <v>1</v>
      </c>
      <c r="K1114" s="230"/>
      <c r="L1114" s="4366"/>
      <c r="N1114" s="564"/>
      <c r="S1114" s="52"/>
      <c r="T1114" s="52"/>
      <c r="U1114" s="52"/>
      <c r="V1114" s="4293"/>
      <c r="W1114" s="229"/>
      <c r="X1114" s="229"/>
      <c r="Y1114" s="229"/>
      <c r="Z1114" s="229"/>
      <c r="AA1114" s="229"/>
      <c r="AB1114" s="229"/>
      <c r="AC1114" s="229"/>
      <c r="AD1114" s="231">
        <v>1</v>
      </c>
      <c r="AE1114" s="1161">
        <v>1</v>
      </c>
      <c r="AF1114" s="271">
        <f t="shared" si="178"/>
        <v>1</v>
      </c>
      <c r="AG1114" s="229"/>
      <c r="DG1114" s="573"/>
      <c r="DH1114" s="159"/>
      <c r="DI1114" s="1091"/>
    </row>
    <row r="1115" spans="1:113" hidden="1" outlineLevel="1">
      <c r="A1115" s="453"/>
      <c r="C1115" s="51"/>
      <c r="D1115" s="4293"/>
      <c r="E1115" s="4293"/>
      <c r="F1115" s="4289" t="str">
        <f t="shared" si="181"/>
        <v>Mini/MultiSplitASHP-Replace_CAC_NonElectricHeat_ROF_SF</v>
      </c>
      <c r="G1115" s="4289"/>
      <c r="H1115" s="4289"/>
      <c r="I1115" s="930" t="str">
        <f t="shared" si="182"/>
        <v>351451_2024_12_</v>
      </c>
      <c r="J1115" s="1774">
        <v>1</v>
      </c>
      <c r="K1115" s="230"/>
      <c r="L1115" s="4366"/>
      <c r="N1115" s="564"/>
      <c r="S1115" s="52"/>
      <c r="T1115" s="52"/>
      <c r="U1115" s="52"/>
      <c r="V1115" s="4293"/>
      <c r="W1115" s="229"/>
      <c r="X1115" s="229"/>
      <c r="Y1115" s="229"/>
      <c r="Z1115" s="229"/>
      <c r="AA1115" s="229"/>
      <c r="AB1115" s="229"/>
      <c r="AC1115" s="229"/>
      <c r="AD1115" s="231">
        <v>1</v>
      </c>
      <c r="AE1115" s="1161">
        <v>1</v>
      </c>
      <c r="AF1115" s="271">
        <f t="shared" si="178"/>
        <v>1</v>
      </c>
      <c r="AG1115" s="229"/>
      <c r="DG1115" s="573"/>
      <c r="DH1115" s="159"/>
      <c r="DI1115" s="1091"/>
    </row>
    <row r="1116" spans="1:113" hidden="1" outlineLevel="1">
      <c r="A1116" s="453"/>
      <c r="C1116" s="51"/>
      <c r="D1116" s="4293"/>
      <c r="E1116" s="4293"/>
      <c r="F1116" s="4289" t="str">
        <f t="shared" si="181"/>
        <v>Mini/MultiSplitASHP_ER1_SF</v>
      </c>
      <c r="G1116" s="4289"/>
      <c r="H1116" s="4289"/>
      <c r="I1116" s="930" t="str">
        <f t="shared" si="182"/>
        <v>351500_2024_12_</v>
      </c>
      <c r="J1116" s="1774">
        <v>1</v>
      </c>
      <c r="K1116" s="230"/>
      <c r="L1116" s="4366"/>
      <c r="N1116" s="564"/>
      <c r="S1116" s="52"/>
      <c r="T1116" s="52"/>
      <c r="U1116" s="52"/>
      <c r="V1116" s="4293"/>
      <c r="W1116" s="229">
        <v>1</v>
      </c>
      <c r="X1116" s="229">
        <v>1</v>
      </c>
      <c r="Y1116" s="229">
        <v>1</v>
      </c>
      <c r="Z1116" s="229">
        <v>1</v>
      </c>
      <c r="AA1116" s="229">
        <v>1</v>
      </c>
      <c r="AB1116" s="229">
        <v>1</v>
      </c>
      <c r="AC1116" s="229">
        <v>1</v>
      </c>
      <c r="AD1116" s="229">
        <v>1</v>
      </c>
      <c r="AE1116" s="1161">
        <v>1</v>
      </c>
      <c r="AF1116" s="271">
        <f t="shared" si="178"/>
        <v>1</v>
      </c>
      <c r="AG1116" s="229"/>
      <c r="DG1116" s="573"/>
      <c r="DH1116" s="159"/>
      <c r="DI1116" s="1091"/>
    </row>
    <row r="1117" spans="1:113" hidden="1" outlineLevel="1">
      <c r="A1117" s="453"/>
      <c r="C1117" s="51"/>
      <c r="D1117" s="4293"/>
      <c r="E1117" s="4293"/>
      <c r="F1117" s="4289" t="str">
        <f t="shared" si="181"/>
        <v>Mini/MultiSplitASHP_ER1_SF</v>
      </c>
      <c r="G1117" s="4289"/>
      <c r="H1117" s="4289"/>
      <c r="I1117" s="930" t="str">
        <f t="shared" si="182"/>
        <v>351500_2024_12_</v>
      </c>
      <c r="J1117" s="1774">
        <v>1</v>
      </c>
      <c r="K1117" s="230"/>
      <c r="L1117" s="4366"/>
      <c r="N1117" s="564"/>
      <c r="S1117" s="52"/>
      <c r="T1117" s="52"/>
      <c r="U1117" s="52"/>
      <c r="V1117" s="4293"/>
      <c r="W1117" s="229">
        <v>1</v>
      </c>
      <c r="X1117" s="229">
        <v>1</v>
      </c>
      <c r="Y1117" s="229">
        <v>1</v>
      </c>
      <c r="Z1117" s="229">
        <v>1</v>
      </c>
      <c r="AA1117" s="229">
        <v>1</v>
      </c>
      <c r="AB1117" s="229">
        <v>1</v>
      </c>
      <c r="AC1117" s="229">
        <v>1</v>
      </c>
      <c r="AD1117" s="229">
        <v>1</v>
      </c>
      <c r="AE1117" s="1161">
        <v>1</v>
      </c>
      <c r="AF1117" s="271">
        <f t="shared" si="178"/>
        <v>1</v>
      </c>
      <c r="AG1117" s="229"/>
      <c r="DG1117" s="573"/>
      <c r="DH1117" s="159"/>
      <c r="DI1117" s="1091"/>
    </row>
    <row r="1118" spans="1:113" hidden="1" outlineLevel="1">
      <c r="A1118" s="453"/>
      <c r="C1118" s="51"/>
      <c r="D1118" s="4293"/>
      <c r="E1118" s="4293"/>
      <c r="F1118" s="4289" t="str">
        <f t="shared" si="181"/>
        <v>Mini/MultiSplitASHP_ER2_SF</v>
      </c>
      <c r="G1118" s="4289"/>
      <c r="H1118" s="4289"/>
      <c r="I1118" s="930" t="str">
        <f t="shared" si="182"/>
        <v>351500_2024_12_</v>
      </c>
      <c r="J1118" s="1774">
        <v>1</v>
      </c>
      <c r="K1118" s="230"/>
      <c r="L1118" s="4366"/>
      <c r="N1118" s="564"/>
      <c r="S1118" s="52"/>
      <c r="T1118" s="52"/>
      <c r="U1118" s="52"/>
      <c r="V1118" s="4293"/>
      <c r="W1118" s="229">
        <v>1</v>
      </c>
      <c r="X1118" s="229">
        <v>1</v>
      </c>
      <c r="Y1118" s="229">
        <v>1</v>
      </c>
      <c r="Z1118" s="229">
        <v>1</v>
      </c>
      <c r="AA1118" s="229">
        <v>1</v>
      </c>
      <c r="AB1118" s="229">
        <v>1</v>
      </c>
      <c r="AC1118" s="229">
        <v>1</v>
      </c>
      <c r="AD1118" s="229">
        <v>1</v>
      </c>
      <c r="AE1118" s="1161">
        <v>1</v>
      </c>
      <c r="AF1118" s="271">
        <f t="shared" si="178"/>
        <v>1</v>
      </c>
      <c r="AG1118" s="229"/>
      <c r="DG1118" s="573"/>
      <c r="DH1118" s="159"/>
      <c r="DI1118" s="1091"/>
    </row>
    <row r="1119" spans="1:113" hidden="1" outlineLevel="1">
      <c r="A1119" s="453"/>
      <c r="C1119" s="51"/>
      <c r="D1119" s="4293"/>
      <c r="E1119" s="4293"/>
      <c r="F1119" s="4289" t="str">
        <f t="shared" si="181"/>
        <v>Mini/MultiSplitASHP_ER2_SF</v>
      </c>
      <c r="G1119" s="4289"/>
      <c r="H1119" s="4289"/>
      <c r="I1119" s="930" t="str">
        <f t="shared" si="182"/>
        <v>351500_2024_12_</v>
      </c>
      <c r="J1119" s="1774">
        <v>1</v>
      </c>
      <c r="K1119" s="230"/>
      <c r="L1119" s="4366"/>
      <c r="N1119" s="564"/>
      <c r="S1119" s="52"/>
      <c r="T1119" s="52"/>
      <c r="U1119" s="52"/>
      <c r="V1119" s="4293"/>
      <c r="W1119" s="229">
        <v>1</v>
      </c>
      <c r="X1119" s="229">
        <v>1</v>
      </c>
      <c r="Y1119" s="229">
        <v>1</v>
      </c>
      <c r="Z1119" s="229">
        <v>1</v>
      </c>
      <c r="AA1119" s="229">
        <v>1</v>
      </c>
      <c r="AB1119" s="229">
        <v>1</v>
      </c>
      <c r="AC1119" s="229">
        <v>1</v>
      </c>
      <c r="AD1119" s="229">
        <v>1</v>
      </c>
      <c r="AE1119" s="1161">
        <v>1</v>
      </c>
      <c r="AF1119" s="271">
        <f t="shared" si="178"/>
        <v>1</v>
      </c>
      <c r="AG1119" s="229"/>
      <c r="DG1119" s="573"/>
      <c r="DH1119" s="159"/>
      <c r="DI1119" s="1091"/>
    </row>
    <row r="1120" spans="1:113" ht="15" hidden="1" customHeight="1" outlineLevel="1">
      <c r="A1120" s="453"/>
      <c r="C1120" s="51"/>
      <c r="D1120" s="4293"/>
      <c r="E1120" s="4293"/>
      <c r="F1120" s="4289" t="str">
        <f t="shared" si="181"/>
        <v>Mini/MultiSplitAC_ER1_MF</v>
      </c>
      <c r="G1120" s="4289"/>
      <c r="H1120" s="4289"/>
      <c r="I1120" s="930" t="str">
        <f t="shared" si="182"/>
        <v>351550_2024_12_</v>
      </c>
      <c r="J1120" s="1774">
        <v>1</v>
      </c>
      <c r="K1120" s="230"/>
      <c r="L1120" s="4342" t="s">
        <v>2069</v>
      </c>
      <c r="N1120" s="564"/>
      <c r="S1120" s="52"/>
      <c r="T1120" s="52"/>
      <c r="U1120" s="52"/>
      <c r="V1120" s="4293"/>
      <c r="W1120" s="229">
        <v>0.65</v>
      </c>
      <c r="X1120" s="229">
        <v>0.65</v>
      </c>
      <c r="Y1120" s="231">
        <v>1</v>
      </c>
      <c r="Z1120" s="229">
        <v>1</v>
      </c>
      <c r="AA1120" s="229">
        <v>1</v>
      </c>
      <c r="AB1120" s="229">
        <v>1</v>
      </c>
      <c r="AC1120" s="229">
        <v>1</v>
      </c>
      <c r="AD1120" s="229">
        <v>1</v>
      </c>
      <c r="AE1120" s="1161">
        <v>1</v>
      </c>
      <c r="AF1120" s="271">
        <f t="shared" si="178"/>
        <v>1</v>
      </c>
      <c r="AG1120" s="229"/>
      <c r="DG1120" s="573"/>
      <c r="DH1120" s="159"/>
      <c r="DI1120" s="1091"/>
    </row>
    <row r="1121" spans="1:113" hidden="1" outlineLevel="1">
      <c r="A1121" s="453"/>
      <c r="C1121" s="51"/>
      <c r="D1121" s="4293"/>
      <c r="E1121" s="4293"/>
      <c r="F1121" s="4289" t="str">
        <f t="shared" si="181"/>
        <v>Mini/MultiSplitAC_ER2_MF</v>
      </c>
      <c r="G1121" s="4289"/>
      <c r="H1121" s="4289"/>
      <c r="I1121" s="930" t="str">
        <f t="shared" si="182"/>
        <v>351550_2024_12_</v>
      </c>
      <c r="J1121" s="1774">
        <f>J1120</f>
        <v>1</v>
      </c>
      <c r="K1121" s="230"/>
      <c r="L1121" s="4311"/>
      <c r="N1121" s="564"/>
      <c r="S1121" s="52"/>
      <c r="T1121" s="52"/>
      <c r="U1121" s="52"/>
      <c r="V1121" s="4293"/>
      <c r="W1121" s="229">
        <v>0.65</v>
      </c>
      <c r="X1121" s="229">
        <v>0.65</v>
      </c>
      <c r="Y1121" s="231">
        <f>Y1120</f>
        <v>1</v>
      </c>
      <c r="Z1121" s="229">
        <v>1</v>
      </c>
      <c r="AA1121" s="229">
        <v>1</v>
      </c>
      <c r="AB1121" s="229">
        <v>1</v>
      </c>
      <c r="AC1121" s="229">
        <v>1</v>
      </c>
      <c r="AD1121" s="229">
        <v>1</v>
      </c>
      <c r="AE1121" s="1161">
        <v>1</v>
      </c>
      <c r="AF1121" s="271">
        <f t="shared" si="178"/>
        <v>1</v>
      </c>
      <c r="AG1121" s="229"/>
      <c r="DG1121" s="573"/>
      <c r="DH1121" s="159"/>
      <c r="DI1121" s="1091"/>
    </row>
    <row r="1122" spans="1:113" hidden="1" outlineLevel="1">
      <c r="A1122" s="453"/>
      <c r="C1122" s="51"/>
      <c r="D1122" s="4293"/>
      <c r="E1122" s="4293"/>
      <c r="F1122" s="4290" t="str">
        <f>E776</f>
        <v>Mini/MultiSplitAC_ROF_MF</v>
      </c>
      <c r="G1122" s="4290"/>
      <c r="H1122" s="4290"/>
      <c r="I1122" s="3350" t="str">
        <f>C776</f>
        <v>351600_2024_12_</v>
      </c>
      <c r="J1122" s="3351">
        <f t="shared" ref="J1122:J1165" si="183">J1121</f>
        <v>1</v>
      </c>
      <c r="K1122" s="230"/>
      <c r="L1122" s="4311"/>
      <c r="N1122" s="564"/>
      <c r="S1122" s="52"/>
      <c r="T1122" s="52"/>
      <c r="U1122" s="52"/>
      <c r="V1122" s="4293"/>
      <c r="W1122" s="3352">
        <v>0.65</v>
      </c>
      <c r="X1122" s="3352">
        <v>0.65</v>
      </c>
      <c r="Y1122" s="3353">
        <f t="shared" ref="Y1122:Y1165" si="184">Y1121</f>
        <v>1</v>
      </c>
      <c r="Z1122" s="3352">
        <v>1</v>
      </c>
      <c r="AA1122" s="3352">
        <v>1</v>
      </c>
      <c r="AB1122" s="3352">
        <v>1</v>
      </c>
      <c r="AC1122" s="3352">
        <v>1</v>
      </c>
      <c r="AD1122" s="3352">
        <v>1</v>
      </c>
      <c r="AE1122" s="3354">
        <v>1</v>
      </c>
      <c r="AF1122" s="2236">
        <f t="shared" si="178"/>
        <v>1</v>
      </c>
      <c r="AG1122" s="229"/>
      <c r="DG1122" s="573"/>
      <c r="DH1122" s="159"/>
      <c r="DI1122" s="1091"/>
    </row>
    <row r="1123" spans="1:113" hidden="1" outlineLevel="1">
      <c r="A1123" s="453"/>
      <c r="C1123" s="51"/>
      <c r="D1123" s="4293"/>
      <c r="E1123" s="4293"/>
      <c r="F1123" s="4290" t="str">
        <f>E778</f>
        <v>Mini/MultiSplitASHP_ROF_MF_NC</v>
      </c>
      <c r="G1123" s="4290"/>
      <c r="H1123" s="4290"/>
      <c r="I1123" s="3350" t="str">
        <f>C778</f>
        <v>351650_2024_12_</v>
      </c>
      <c r="J1123" s="3351">
        <f t="shared" si="183"/>
        <v>1</v>
      </c>
      <c r="K1123" s="230"/>
      <c r="L1123" s="4311"/>
      <c r="N1123" s="564"/>
      <c r="S1123" s="52"/>
      <c r="T1123" s="52"/>
      <c r="U1123" s="52"/>
      <c r="V1123" s="4293"/>
      <c r="W1123" s="3352">
        <v>0.65</v>
      </c>
      <c r="X1123" s="3352">
        <v>0.65</v>
      </c>
      <c r="Y1123" s="3353">
        <f t="shared" si="184"/>
        <v>1</v>
      </c>
      <c r="Z1123" s="3352">
        <v>1</v>
      </c>
      <c r="AA1123" s="3352">
        <v>1</v>
      </c>
      <c r="AB1123" s="3352">
        <v>1</v>
      </c>
      <c r="AC1123" s="3352">
        <v>1</v>
      </c>
      <c r="AD1123" s="3352">
        <v>1</v>
      </c>
      <c r="AE1123" s="3354">
        <v>1</v>
      </c>
      <c r="AF1123" s="2236">
        <f t="shared" si="178"/>
        <v>1</v>
      </c>
      <c r="AG1123" s="229"/>
      <c r="DG1123" s="573"/>
      <c r="DH1123" s="159"/>
      <c r="DI1123" s="1091"/>
    </row>
    <row r="1124" spans="1:113" hidden="1" outlineLevel="1">
      <c r="A1124" s="453"/>
      <c r="C1124" s="51"/>
      <c r="D1124" s="4293"/>
      <c r="E1124" s="4293"/>
      <c r="F1124" s="4290" t="str">
        <f>E779</f>
        <v>Mini/MultiSplitASHP_ROF_MF_NC</v>
      </c>
      <c r="G1124" s="4290"/>
      <c r="H1124" s="4290"/>
      <c r="I1124" s="3350" t="str">
        <f>C779</f>
        <v>351650_2024_12_</v>
      </c>
      <c r="J1124" s="3351">
        <f t="shared" si="183"/>
        <v>1</v>
      </c>
      <c r="K1124" s="230"/>
      <c r="L1124" s="4311"/>
      <c r="N1124" s="564"/>
      <c r="S1124" s="52"/>
      <c r="T1124" s="52"/>
      <c r="U1124" s="52"/>
      <c r="V1124" s="4293"/>
      <c r="W1124" s="3352">
        <v>0.65</v>
      </c>
      <c r="X1124" s="3352">
        <v>0.65</v>
      </c>
      <c r="Y1124" s="3353">
        <f t="shared" si="184"/>
        <v>1</v>
      </c>
      <c r="Z1124" s="3352">
        <v>1</v>
      </c>
      <c r="AA1124" s="3352">
        <v>1</v>
      </c>
      <c r="AB1124" s="3352">
        <v>1</v>
      </c>
      <c r="AC1124" s="3352">
        <v>1</v>
      </c>
      <c r="AD1124" s="3352">
        <v>1</v>
      </c>
      <c r="AE1124" s="3354">
        <v>1</v>
      </c>
      <c r="AF1124" s="2236">
        <f t="shared" si="178"/>
        <v>1</v>
      </c>
      <c r="AG1124" s="229"/>
      <c r="DG1124" s="573"/>
      <c r="DH1124" s="159"/>
      <c r="DI1124" s="1091"/>
    </row>
    <row r="1125" spans="1:113" hidden="1" outlineLevel="1">
      <c r="A1125" s="453"/>
      <c r="C1125" s="51"/>
      <c r="D1125" s="4293"/>
      <c r="E1125" s="4293"/>
      <c r="F1125" s="4290" t="str">
        <f>E782</f>
        <v>Mini/MultiSplitASHP_ROF_MF</v>
      </c>
      <c r="G1125" s="4290"/>
      <c r="H1125" s="4290"/>
      <c r="I1125" s="3350" t="str">
        <f>C782</f>
        <v>351700_2024_12_</v>
      </c>
      <c r="J1125" s="3351">
        <f t="shared" si="183"/>
        <v>1</v>
      </c>
      <c r="K1125" s="230"/>
      <c r="L1125" s="4311"/>
      <c r="N1125" s="564"/>
      <c r="S1125" s="52"/>
      <c r="T1125" s="52"/>
      <c r="U1125" s="52"/>
      <c r="V1125" s="4293"/>
      <c r="W1125" s="3352">
        <v>0.65</v>
      </c>
      <c r="X1125" s="3352">
        <v>0.65</v>
      </c>
      <c r="Y1125" s="3353">
        <f t="shared" si="184"/>
        <v>1</v>
      </c>
      <c r="Z1125" s="3352">
        <v>1</v>
      </c>
      <c r="AA1125" s="3352">
        <v>1</v>
      </c>
      <c r="AB1125" s="3352">
        <v>1</v>
      </c>
      <c r="AC1125" s="3352">
        <v>1</v>
      </c>
      <c r="AD1125" s="3352">
        <v>1</v>
      </c>
      <c r="AE1125" s="3354">
        <v>1</v>
      </c>
      <c r="AF1125" s="2236">
        <f t="shared" si="178"/>
        <v>1</v>
      </c>
      <c r="AG1125" s="229"/>
      <c r="DG1125" s="573"/>
      <c r="DH1125" s="159"/>
      <c r="DI1125" s="1091"/>
    </row>
    <row r="1126" spans="1:113" hidden="1" outlineLevel="1">
      <c r="A1126" s="453"/>
      <c r="C1126" s="51"/>
      <c r="D1126" s="4293"/>
      <c r="E1126" s="4293"/>
      <c r="F1126" s="4290" t="str">
        <f>E783</f>
        <v>Mini/MultiSplitASHP_ROF_MF</v>
      </c>
      <c r="G1126" s="4290"/>
      <c r="H1126" s="4290"/>
      <c r="I1126" s="3350" t="str">
        <f>C783</f>
        <v>351700_2024_12_</v>
      </c>
      <c r="J1126" s="3351">
        <f t="shared" si="183"/>
        <v>1</v>
      </c>
      <c r="K1126" s="230"/>
      <c r="L1126" s="4311"/>
      <c r="N1126" s="564"/>
      <c r="S1126" s="52"/>
      <c r="T1126" s="52"/>
      <c r="U1126" s="52"/>
      <c r="V1126" s="4293"/>
      <c r="W1126" s="3352">
        <v>0.65</v>
      </c>
      <c r="X1126" s="3352">
        <v>0.65</v>
      </c>
      <c r="Y1126" s="3353">
        <f t="shared" si="184"/>
        <v>1</v>
      </c>
      <c r="Z1126" s="3352">
        <v>1</v>
      </c>
      <c r="AA1126" s="3352">
        <v>1</v>
      </c>
      <c r="AB1126" s="3352">
        <v>1</v>
      </c>
      <c r="AC1126" s="3352">
        <v>1</v>
      </c>
      <c r="AD1126" s="3352">
        <v>1</v>
      </c>
      <c r="AE1126" s="3354">
        <v>1</v>
      </c>
      <c r="AF1126" s="2236">
        <f t="shared" si="178"/>
        <v>1</v>
      </c>
      <c r="AG1126" s="229"/>
      <c r="DG1126" s="573"/>
      <c r="DH1126" s="159"/>
      <c r="DI1126" s="1091"/>
    </row>
    <row r="1127" spans="1:113" hidden="1" outlineLevel="1">
      <c r="A1127" s="453"/>
      <c r="C1127" s="51"/>
      <c r="D1127" s="4293"/>
      <c r="E1127" s="4293"/>
      <c r="F1127" s="4290" t="str">
        <f>E786</f>
        <v>Mini/MultiSplitASHP-Replace_CAC_ElectricHeat_ER1_MF</v>
      </c>
      <c r="G1127" s="4290"/>
      <c r="H1127" s="4290"/>
      <c r="I1127" s="3350" t="str">
        <f>C786</f>
        <v>351750_2024_12_</v>
      </c>
      <c r="J1127" s="3351">
        <f t="shared" si="183"/>
        <v>1</v>
      </c>
      <c r="K1127" s="230"/>
      <c r="L1127" s="4311"/>
      <c r="N1127" s="564"/>
      <c r="S1127" s="52"/>
      <c r="T1127" s="52"/>
      <c r="U1127" s="52"/>
      <c r="V1127" s="4293"/>
      <c r="W1127" s="3352">
        <v>0.65</v>
      </c>
      <c r="X1127" s="3352">
        <v>0.65</v>
      </c>
      <c r="Y1127" s="3353">
        <f t="shared" si="184"/>
        <v>1</v>
      </c>
      <c r="Z1127" s="3352">
        <v>1</v>
      </c>
      <c r="AA1127" s="3352">
        <v>1</v>
      </c>
      <c r="AB1127" s="3352">
        <v>1</v>
      </c>
      <c r="AC1127" s="3352">
        <v>1</v>
      </c>
      <c r="AD1127" s="3352">
        <v>1</v>
      </c>
      <c r="AE1127" s="3354">
        <v>1</v>
      </c>
      <c r="AF1127" s="2236">
        <f t="shared" si="178"/>
        <v>1</v>
      </c>
      <c r="AG1127" s="229"/>
      <c r="DG1127" s="573"/>
      <c r="DH1127" s="159"/>
      <c r="DI1127" s="1091"/>
    </row>
    <row r="1128" spans="1:113" hidden="1" outlineLevel="1">
      <c r="A1128" s="453"/>
      <c r="C1128" s="51"/>
      <c r="D1128" s="4293"/>
      <c r="E1128" s="4293"/>
      <c r="F1128" s="4290" t="str">
        <f>E787</f>
        <v>Mini/MultiSplitASHP-Replace_CAC_ElectricHeat_ER1_MF</v>
      </c>
      <c r="G1128" s="4290"/>
      <c r="H1128" s="4290"/>
      <c r="I1128" s="3350" t="str">
        <f>C787</f>
        <v>351750_2024_12_</v>
      </c>
      <c r="J1128" s="3351">
        <f t="shared" si="183"/>
        <v>1</v>
      </c>
      <c r="K1128" s="230"/>
      <c r="L1128" s="4311"/>
      <c r="N1128" s="564"/>
      <c r="S1128" s="52"/>
      <c r="T1128" s="52"/>
      <c r="U1128" s="52"/>
      <c r="V1128" s="4293"/>
      <c r="W1128" s="3352">
        <v>0.65</v>
      </c>
      <c r="X1128" s="3352">
        <v>0.65</v>
      </c>
      <c r="Y1128" s="3353">
        <f t="shared" si="184"/>
        <v>1</v>
      </c>
      <c r="Z1128" s="3352">
        <v>1</v>
      </c>
      <c r="AA1128" s="3352">
        <v>1</v>
      </c>
      <c r="AB1128" s="3352">
        <v>1</v>
      </c>
      <c r="AC1128" s="3352">
        <v>1</v>
      </c>
      <c r="AD1128" s="3352">
        <v>1</v>
      </c>
      <c r="AE1128" s="3354">
        <v>1</v>
      </c>
      <c r="AF1128" s="2236">
        <f t="shared" si="178"/>
        <v>1</v>
      </c>
      <c r="AG1128" s="229"/>
      <c r="DG1128" s="573"/>
      <c r="DH1128" s="159"/>
      <c r="DI1128" s="1091"/>
    </row>
    <row r="1129" spans="1:113" hidden="1" outlineLevel="1">
      <c r="A1129" s="453"/>
      <c r="C1129" s="51"/>
      <c r="D1129" s="4293"/>
      <c r="E1129" s="4293"/>
      <c r="F1129" s="4290" t="str">
        <f>E788</f>
        <v>Mini/MultiSplitASHP-Replace_CAC_ElectricHeat_ER2_MF</v>
      </c>
      <c r="G1129" s="4290"/>
      <c r="H1129" s="4290"/>
      <c r="I1129" s="3350" t="str">
        <f>C788</f>
        <v>351750_2024_12_</v>
      </c>
      <c r="J1129" s="3351">
        <f t="shared" si="183"/>
        <v>1</v>
      </c>
      <c r="K1129" s="230"/>
      <c r="L1129" s="4311"/>
      <c r="N1129" s="564"/>
      <c r="S1129" s="52"/>
      <c r="T1129" s="52"/>
      <c r="U1129" s="52"/>
      <c r="V1129" s="4293"/>
      <c r="W1129" s="3352">
        <v>0.65</v>
      </c>
      <c r="X1129" s="3352">
        <v>0.65</v>
      </c>
      <c r="Y1129" s="3353">
        <f t="shared" si="184"/>
        <v>1</v>
      </c>
      <c r="Z1129" s="3352">
        <v>1</v>
      </c>
      <c r="AA1129" s="3352">
        <v>1</v>
      </c>
      <c r="AB1129" s="3352">
        <v>1</v>
      </c>
      <c r="AC1129" s="3352">
        <v>1</v>
      </c>
      <c r="AD1129" s="3352">
        <v>1</v>
      </c>
      <c r="AE1129" s="3354">
        <v>1</v>
      </c>
      <c r="AF1129" s="2236">
        <f t="shared" si="178"/>
        <v>1</v>
      </c>
      <c r="AG1129" s="229"/>
      <c r="DG1129" s="573"/>
      <c r="DH1129" s="159"/>
      <c r="DI1129" s="1091"/>
    </row>
    <row r="1130" spans="1:113" hidden="1" outlineLevel="1">
      <c r="A1130" s="453"/>
      <c r="C1130" s="51"/>
      <c r="D1130" s="4293"/>
      <c r="E1130" s="4293"/>
      <c r="F1130" s="4290" t="str">
        <f>E789</f>
        <v>Mini/MultiSplitASHP-Replace_CAC_ElectricHeat_ER2_MF</v>
      </c>
      <c r="G1130" s="4290"/>
      <c r="H1130" s="4290"/>
      <c r="I1130" s="3350" t="str">
        <f>C789</f>
        <v>351750_2024_12_</v>
      </c>
      <c r="J1130" s="3351">
        <f t="shared" si="183"/>
        <v>1</v>
      </c>
      <c r="K1130" s="230"/>
      <c r="L1130" s="4311"/>
      <c r="N1130" s="564"/>
      <c r="S1130" s="52"/>
      <c r="T1130" s="52"/>
      <c r="U1130" s="52"/>
      <c r="V1130" s="4293"/>
      <c r="W1130" s="3352">
        <v>0.65</v>
      </c>
      <c r="X1130" s="3352">
        <v>0.65</v>
      </c>
      <c r="Y1130" s="3353">
        <f t="shared" si="184"/>
        <v>1</v>
      </c>
      <c r="Z1130" s="3352">
        <v>1</v>
      </c>
      <c r="AA1130" s="3352">
        <v>1</v>
      </c>
      <c r="AB1130" s="3352">
        <v>1</v>
      </c>
      <c r="AC1130" s="3352">
        <v>1</v>
      </c>
      <c r="AD1130" s="3352">
        <v>1</v>
      </c>
      <c r="AE1130" s="3354">
        <v>1</v>
      </c>
      <c r="AF1130" s="2236">
        <f t="shared" si="178"/>
        <v>1</v>
      </c>
      <c r="AG1130" s="229"/>
      <c r="DG1130" s="573"/>
      <c r="DH1130" s="159"/>
      <c r="DI1130" s="1091"/>
    </row>
    <row r="1131" spans="1:113" hidden="1" outlineLevel="1">
      <c r="A1131" s="453"/>
      <c r="C1131" s="51"/>
      <c r="D1131" s="4293"/>
      <c r="E1131" s="4293"/>
      <c r="F1131" s="4290" t="str">
        <f>E794</f>
        <v>Mini/MultiSplitASHP-Replace_CAC_NonElectricHeat_ER1_MF</v>
      </c>
      <c r="G1131" s="4290"/>
      <c r="H1131" s="4290"/>
      <c r="I1131" s="3350" t="str">
        <f>C794</f>
        <v>351752_2024_12_</v>
      </c>
      <c r="J1131" s="3351">
        <f t="shared" si="183"/>
        <v>1</v>
      </c>
      <c r="K1131" s="230"/>
      <c r="L1131" s="4311"/>
      <c r="N1131" s="564"/>
      <c r="S1131" s="52"/>
      <c r="T1131" s="52"/>
      <c r="U1131" s="52"/>
      <c r="V1131" s="4293"/>
      <c r="W1131" s="3352"/>
      <c r="X1131" s="3352"/>
      <c r="Y1131" s="3353"/>
      <c r="Z1131" s="3352"/>
      <c r="AA1131" s="3352"/>
      <c r="AB1131" s="3352"/>
      <c r="AC1131" s="3352"/>
      <c r="AD1131" s="3353">
        <v>1</v>
      </c>
      <c r="AE1131" s="3354">
        <v>1</v>
      </c>
      <c r="AF1131" s="2236">
        <f t="shared" si="178"/>
        <v>1</v>
      </c>
      <c r="AG1131" s="229"/>
      <c r="DG1131" s="573"/>
      <c r="DH1131" s="159"/>
      <c r="DI1131" s="1091"/>
    </row>
    <row r="1132" spans="1:113" hidden="1" outlineLevel="1">
      <c r="A1132" s="453"/>
      <c r="C1132" s="51"/>
      <c r="D1132" s="4293"/>
      <c r="E1132" s="4293"/>
      <c r="F1132" s="4290" t="str">
        <f>E795</f>
        <v>Mini/MultiSplitASHP-Replace_CAC_NonElectricHeat_ER1_MF</v>
      </c>
      <c r="G1132" s="4290"/>
      <c r="H1132" s="4290"/>
      <c r="I1132" s="3350" t="str">
        <f>C795</f>
        <v>351752_2024_12_</v>
      </c>
      <c r="J1132" s="3351">
        <f t="shared" si="183"/>
        <v>1</v>
      </c>
      <c r="K1132" s="230"/>
      <c r="L1132" s="4311"/>
      <c r="N1132" s="564"/>
      <c r="S1132" s="52"/>
      <c r="T1132" s="52"/>
      <c r="U1132" s="52"/>
      <c r="V1132" s="4293"/>
      <c r="W1132" s="3352"/>
      <c r="X1132" s="3352"/>
      <c r="Y1132" s="3353"/>
      <c r="Z1132" s="3352"/>
      <c r="AA1132" s="3352"/>
      <c r="AB1132" s="3352"/>
      <c r="AC1132" s="3352"/>
      <c r="AD1132" s="3353">
        <v>1</v>
      </c>
      <c r="AE1132" s="3354">
        <v>1</v>
      </c>
      <c r="AF1132" s="2236">
        <f t="shared" si="178"/>
        <v>1</v>
      </c>
      <c r="AG1132" s="229"/>
      <c r="DG1132" s="573"/>
      <c r="DH1132" s="159"/>
      <c r="DI1132" s="1091"/>
    </row>
    <row r="1133" spans="1:113" hidden="1" outlineLevel="1">
      <c r="A1133" s="453"/>
      <c r="C1133" s="51"/>
      <c r="D1133" s="4293"/>
      <c r="E1133" s="4293"/>
      <c r="F1133" s="4290" t="str">
        <f>E796</f>
        <v>Mini/MultiSplitASHP-Replace_CAC_NonElectricHeat_ER2_MF</v>
      </c>
      <c r="G1133" s="4290"/>
      <c r="H1133" s="4290"/>
      <c r="I1133" s="3350" t="str">
        <f>C796</f>
        <v>351752_2024_12_</v>
      </c>
      <c r="J1133" s="3351">
        <f t="shared" si="183"/>
        <v>1</v>
      </c>
      <c r="K1133" s="230"/>
      <c r="L1133" s="4311"/>
      <c r="N1133" s="564"/>
      <c r="S1133" s="52"/>
      <c r="T1133" s="52"/>
      <c r="U1133" s="52"/>
      <c r="V1133" s="4293"/>
      <c r="W1133" s="3352"/>
      <c r="X1133" s="3352"/>
      <c r="Y1133" s="3353"/>
      <c r="Z1133" s="3352"/>
      <c r="AA1133" s="3352"/>
      <c r="AB1133" s="3352"/>
      <c r="AC1133" s="3352"/>
      <c r="AD1133" s="3353">
        <v>1</v>
      </c>
      <c r="AE1133" s="3354">
        <v>1</v>
      </c>
      <c r="AF1133" s="2236">
        <f t="shared" si="178"/>
        <v>1</v>
      </c>
      <c r="AG1133" s="229"/>
      <c r="DG1133" s="573"/>
      <c r="DH1133" s="159"/>
      <c r="DI1133" s="1091"/>
    </row>
    <row r="1134" spans="1:113" hidden="1" outlineLevel="1">
      <c r="A1134" s="453"/>
      <c r="C1134" s="51"/>
      <c r="D1134" s="4293"/>
      <c r="E1134" s="4293"/>
      <c r="F1134" s="4290" t="str">
        <f>E797</f>
        <v>Mini/MultiSplitASHP-Replace_CAC_NonElectricHeat_ER2_MF</v>
      </c>
      <c r="G1134" s="4290"/>
      <c r="H1134" s="4290"/>
      <c r="I1134" s="3350" t="str">
        <f>C797</f>
        <v>351752_2024_12_</v>
      </c>
      <c r="J1134" s="3351">
        <f t="shared" si="183"/>
        <v>1</v>
      </c>
      <c r="K1134" s="230"/>
      <c r="L1134" s="4311"/>
      <c r="N1134" s="564"/>
      <c r="S1134" s="52"/>
      <c r="T1134" s="52"/>
      <c r="U1134" s="52"/>
      <c r="V1134" s="4293"/>
      <c r="W1134" s="3352"/>
      <c r="X1134" s="3352"/>
      <c r="Y1134" s="3353"/>
      <c r="Z1134" s="3352"/>
      <c r="AA1134" s="3352"/>
      <c r="AB1134" s="3352"/>
      <c r="AC1134" s="3352"/>
      <c r="AD1134" s="3353">
        <v>1</v>
      </c>
      <c r="AE1134" s="3354">
        <v>1</v>
      </c>
      <c r="AF1134" s="2236">
        <f t="shared" si="178"/>
        <v>1</v>
      </c>
      <c r="AG1134" s="229"/>
      <c r="DG1134" s="573"/>
      <c r="DH1134" s="159"/>
      <c r="DI1134" s="1091"/>
    </row>
    <row r="1135" spans="1:113" hidden="1" outlineLevel="1">
      <c r="A1135" s="453"/>
      <c r="C1135" s="51"/>
      <c r="D1135" s="4293"/>
      <c r="E1135" s="4293"/>
      <c r="F1135" s="4290" t="str">
        <f>E802</f>
        <v>Mini/MultiSplitASHP-Replace_CAC_ElectricHeat_ROF_MF</v>
      </c>
      <c r="G1135" s="4290"/>
      <c r="H1135" s="4290"/>
      <c r="I1135" s="3350" t="str">
        <f>C802</f>
        <v>351800_2024_12_</v>
      </c>
      <c r="J1135" s="3351">
        <f>J1130</f>
        <v>1</v>
      </c>
      <c r="K1135" s="230"/>
      <c r="L1135" s="4311"/>
      <c r="N1135" s="564"/>
      <c r="S1135" s="52"/>
      <c r="T1135" s="52"/>
      <c r="U1135" s="52"/>
      <c r="V1135" s="4293"/>
      <c r="W1135" s="3352">
        <v>0.65</v>
      </c>
      <c r="X1135" s="3352">
        <v>0.65</v>
      </c>
      <c r="Y1135" s="3353">
        <f>Y1130</f>
        <v>1</v>
      </c>
      <c r="Z1135" s="3352">
        <v>1</v>
      </c>
      <c r="AA1135" s="3352">
        <v>1</v>
      </c>
      <c r="AB1135" s="3352">
        <v>1</v>
      </c>
      <c r="AC1135" s="3352">
        <v>1</v>
      </c>
      <c r="AD1135" s="3352">
        <v>1</v>
      </c>
      <c r="AE1135" s="3354">
        <v>1</v>
      </c>
      <c r="AF1135" s="2236">
        <f t="shared" si="178"/>
        <v>1</v>
      </c>
      <c r="AG1135" s="229"/>
      <c r="DG1135" s="573"/>
      <c r="DH1135" s="159"/>
      <c r="DI1135" s="1091"/>
    </row>
    <row r="1136" spans="1:113" hidden="1" outlineLevel="1">
      <c r="A1136" s="453"/>
      <c r="C1136" s="51"/>
      <c r="D1136" s="4293"/>
      <c r="E1136" s="4293"/>
      <c r="F1136" s="4290" t="str">
        <f>E803</f>
        <v>Mini/MultiSplitASHP-Replace_CAC_ElectricHeat_ROF_MF</v>
      </c>
      <c r="G1136" s="4290"/>
      <c r="H1136" s="4290"/>
      <c r="I1136" s="3350" t="str">
        <f>C803</f>
        <v>351800_2024_12_</v>
      </c>
      <c r="J1136" s="3351">
        <f t="shared" si="183"/>
        <v>1</v>
      </c>
      <c r="K1136" s="230"/>
      <c r="L1136" s="4311"/>
      <c r="N1136" s="564"/>
      <c r="S1136" s="52"/>
      <c r="T1136" s="52"/>
      <c r="U1136" s="52"/>
      <c r="V1136" s="4293"/>
      <c r="W1136" s="3352">
        <v>0.65</v>
      </c>
      <c r="X1136" s="3352">
        <v>0.65</v>
      </c>
      <c r="Y1136" s="3353">
        <f t="shared" si="184"/>
        <v>1</v>
      </c>
      <c r="Z1136" s="3352">
        <v>1</v>
      </c>
      <c r="AA1136" s="3352">
        <v>1</v>
      </c>
      <c r="AB1136" s="3352">
        <v>1</v>
      </c>
      <c r="AC1136" s="3352">
        <v>1</v>
      </c>
      <c r="AD1136" s="3352">
        <v>1</v>
      </c>
      <c r="AE1136" s="3354">
        <v>1</v>
      </c>
      <c r="AF1136" s="2236">
        <f t="shared" si="178"/>
        <v>1</v>
      </c>
      <c r="AG1136" s="229"/>
      <c r="DG1136" s="573"/>
      <c r="DH1136" s="159"/>
      <c r="DI1136" s="1091"/>
    </row>
    <row r="1137" spans="1:113" hidden="1" outlineLevel="1">
      <c r="A1137" s="453"/>
      <c r="C1137" s="51"/>
      <c r="D1137" s="4293"/>
      <c r="E1137" s="4293"/>
      <c r="F1137" s="4290" t="str">
        <f>E806</f>
        <v>Mini/MultiSplitASHP-Replace_CAC_NonElectricHeat_ROF_MF</v>
      </c>
      <c r="G1137" s="4290"/>
      <c r="H1137" s="4290"/>
      <c r="I1137" s="3350" t="str">
        <f>C806</f>
        <v>351802_2024_12_</v>
      </c>
      <c r="J1137" s="3351">
        <f>J1132</f>
        <v>1</v>
      </c>
      <c r="K1137" s="230"/>
      <c r="L1137" s="4311"/>
      <c r="N1137" s="564"/>
      <c r="S1137" s="52"/>
      <c r="T1137" s="52"/>
      <c r="U1137" s="52"/>
      <c r="V1137" s="4293"/>
      <c r="W1137" s="3352"/>
      <c r="X1137" s="3352"/>
      <c r="Y1137" s="3353"/>
      <c r="Z1137" s="3352"/>
      <c r="AA1137" s="3352"/>
      <c r="AB1137" s="3352"/>
      <c r="AC1137" s="3352"/>
      <c r="AD1137" s="3353">
        <v>1</v>
      </c>
      <c r="AE1137" s="3354">
        <v>1</v>
      </c>
      <c r="AF1137" s="2236">
        <f t="shared" si="178"/>
        <v>1</v>
      </c>
      <c r="AG1137" s="229"/>
      <c r="DG1137" s="573"/>
      <c r="DH1137" s="159"/>
      <c r="DI1137" s="1091"/>
    </row>
    <row r="1138" spans="1:113" hidden="1" outlineLevel="1">
      <c r="A1138" s="453"/>
      <c r="C1138" s="51"/>
      <c r="D1138" s="4293"/>
      <c r="E1138" s="4293"/>
      <c r="F1138" s="4290" t="str">
        <f>E807</f>
        <v>Mini/MultiSplitASHP-Replace_CAC_NonElectricHeat_ROF_MF</v>
      </c>
      <c r="G1138" s="4290"/>
      <c r="H1138" s="4290"/>
      <c r="I1138" s="3350" t="str">
        <f>C807</f>
        <v>351802_2024_12_</v>
      </c>
      <c r="J1138" s="3351">
        <f t="shared" si="183"/>
        <v>1</v>
      </c>
      <c r="K1138" s="230"/>
      <c r="L1138" s="4311"/>
      <c r="N1138" s="564"/>
      <c r="S1138" s="52"/>
      <c r="T1138" s="52"/>
      <c r="U1138" s="52"/>
      <c r="V1138" s="4293"/>
      <c r="W1138" s="3352"/>
      <c r="X1138" s="3352"/>
      <c r="Y1138" s="3353"/>
      <c r="Z1138" s="3352"/>
      <c r="AA1138" s="3352"/>
      <c r="AB1138" s="3352"/>
      <c r="AC1138" s="3352"/>
      <c r="AD1138" s="3353">
        <v>1</v>
      </c>
      <c r="AE1138" s="3354">
        <v>1</v>
      </c>
      <c r="AF1138" s="2236">
        <f t="shared" si="178"/>
        <v>1</v>
      </c>
      <c r="AG1138" s="229"/>
      <c r="DG1138" s="573"/>
      <c r="DH1138" s="159"/>
      <c r="DI1138" s="1091"/>
    </row>
    <row r="1139" spans="1:113" hidden="1" outlineLevel="1">
      <c r="A1139" s="453"/>
      <c r="C1139" s="51"/>
      <c r="D1139" s="4293"/>
      <c r="E1139" s="4293"/>
      <c r="F1139" s="4290" t="str">
        <f>E810</f>
        <v>Mini/MultiSplitASHP_ER1_MF</v>
      </c>
      <c r="G1139" s="4290"/>
      <c r="H1139" s="4290"/>
      <c r="I1139" s="3350" t="str">
        <f>C810</f>
        <v>351850_2024_12_</v>
      </c>
      <c r="J1139" s="3351">
        <f>J1136</f>
        <v>1</v>
      </c>
      <c r="K1139" s="230"/>
      <c r="L1139" s="4311"/>
      <c r="N1139" s="564"/>
      <c r="S1139" s="52"/>
      <c r="T1139" s="52"/>
      <c r="U1139" s="52"/>
      <c r="V1139" s="4293"/>
      <c r="W1139" s="3352">
        <v>0.65</v>
      </c>
      <c r="X1139" s="3352">
        <v>0.65</v>
      </c>
      <c r="Y1139" s="3353">
        <f>Y1136</f>
        <v>1</v>
      </c>
      <c r="Z1139" s="3352">
        <v>1</v>
      </c>
      <c r="AA1139" s="3352">
        <v>1</v>
      </c>
      <c r="AB1139" s="3352">
        <v>1</v>
      </c>
      <c r="AC1139" s="3352">
        <v>1</v>
      </c>
      <c r="AD1139" s="3352">
        <v>1</v>
      </c>
      <c r="AE1139" s="3354">
        <v>1</v>
      </c>
      <c r="AF1139" s="2236">
        <f t="shared" si="178"/>
        <v>1</v>
      </c>
      <c r="AG1139" s="229"/>
      <c r="DG1139" s="573"/>
      <c r="DH1139" s="159"/>
      <c r="DI1139" s="1091"/>
    </row>
    <row r="1140" spans="1:113" hidden="1" outlineLevel="1">
      <c r="A1140" s="453"/>
      <c r="C1140" s="51"/>
      <c r="D1140" s="4293"/>
      <c r="E1140" s="4293"/>
      <c r="F1140" s="4290" t="str">
        <f>E811</f>
        <v>Mini/MultiSplitASHP_ER1_MF</v>
      </c>
      <c r="G1140" s="4290"/>
      <c r="H1140" s="4290"/>
      <c r="I1140" s="3350" t="str">
        <f>C811</f>
        <v>351850_2024_12_</v>
      </c>
      <c r="J1140" s="3351">
        <f t="shared" si="183"/>
        <v>1</v>
      </c>
      <c r="K1140" s="230"/>
      <c r="L1140" s="4311"/>
      <c r="N1140" s="564"/>
      <c r="S1140" s="52"/>
      <c r="T1140" s="52"/>
      <c r="U1140" s="52"/>
      <c r="V1140" s="4293"/>
      <c r="W1140" s="3352">
        <v>0.65</v>
      </c>
      <c r="X1140" s="3352">
        <v>0.65</v>
      </c>
      <c r="Y1140" s="3353">
        <f t="shared" si="184"/>
        <v>1</v>
      </c>
      <c r="Z1140" s="3352">
        <v>1</v>
      </c>
      <c r="AA1140" s="3352">
        <v>1</v>
      </c>
      <c r="AB1140" s="3352">
        <v>1</v>
      </c>
      <c r="AC1140" s="3352">
        <v>1</v>
      </c>
      <c r="AD1140" s="3352">
        <v>1</v>
      </c>
      <c r="AE1140" s="3354">
        <v>1</v>
      </c>
      <c r="AF1140" s="2236">
        <f t="shared" si="178"/>
        <v>1</v>
      </c>
      <c r="AG1140" s="229"/>
      <c r="DG1140" s="573"/>
      <c r="DH1140" s="159"/>
      <c r="DI1140" s="1091"/>
    </row>
    <row r="1141" spans="1:113" hidden="1" outlineLevel="1">
      <c r="A1141" s="453"/>
      <c r="C1141" s="51"/>
      <c r="D1141" s="4293"/>
      <c r="E1141" s="4293"/>
      <c r="F1141" s="4290" t="str">
        <f>E812</f>
        <v>Mini/MultiSplitASHP_ER2_MF</v>
      </c>
      <c r="G1141" s="4290"/>
      <c r="H1141" s="4290"/>
      <c r="I1141" s="3350" t="str">
        <f>C812</f>
        <v>351850_2024_12_</v>
      </c>
      <c r="J1141" s="3351">
        <f t="shared" si="183"/>
        <v>1</v>
      </c>
      <c r="K1141" s="230"/>
      <c r="L1141" s="4311"/>
      <c r="N1141" s="564"/>
      <c r="S1141" s="52"/>
      <c r="T1141" s="52"/>
      <c r="U1141" s="52"/>
      <c r="V1141" s="4293"/>
      <c r="W1141" s="3352">
        <v>0.65</v>
      </c>
      <c r="X1141" s="3352">
        <v>0.65</v>
      </c>
      <c r="Y1141" s="3353">
        <f t="shared" si="184"/>
        <v>1</v>
      </c>
      <c r="Z1141" s="3352">
        <v>1</v>
      </c>
      <c r="AA1141" s="3352">
        <v>1</v>
      </c>
      <c r="AB1141" s="3352">
        <v>1</v>
      </c>
      <c r="AC1141" s="3352">
        <v>1</v>
      </c>
      <c r="AD1141" s="3352">
        <v>1</v>
      </c>
      <c r="AE1141" s="3354">
        <v>1</v>
      </c>
      <c r="AF1141" s="2236">
        <f t="shared" si="178"/>
        <v>1</v>
      </c>
      <c r="AG1141" s="229"/>
      <c r="DG1141" s="573"/>
      <c r="DH1141" s="159"/>
      <c r="DI1141" s="1091"/>
    </row>
    <row r="1142" spans="1:113" hidden="1" outlineLevel="1">
      <c r="A1142" s="453"/>
      <c r="C1142" s="51"/>
      <c r="D1142" s="4293"/>
      <c r="E1142" s="4293"/>
      <c r="F1142" s="4290" t="str">
        <f>E813</f>
        <v>Mini/MultiSplitASHP_ER2_MF</v>
      </c>
      <c r="G1142" s="4290"/>
      <c r="H1142" s="4290"/>
      <c r="I1142" s="3350" t="str">
        <f>C813</f>
        <v>351850_2024_12_</v>
      </c>
      <c r="J1142" s="3351">
        <f t="shared" si="183"/>
        <v>1</v>
      </c>
      <c r="K1142" s="230"/>
      <c r="L1142" s="4311"/>
      <c r="N1142" s="564"/>
      <c r="S1142" s="52"/>
      <c r="T1142" s="52"/>
      <c r="U1142" s="52"/>
      <c r="V1142" s="4293"/>
      <c r="W1142" s="3352">
        <v>0.65</v>
      </c>
      <c r="X1142" s="3352">
        <v>0.65</v>
      </c>
      <c r="Y1142" s="3353">
        <f t="shared" si="184"/>
        <v>1</v>
      </c>
      <c r="Z1142" s="3352">
        <v>1</v>
      </c>
      <c r="AA1142" s="3352">
        <v>1</v>
      </c>
      <c r="AB1142" s="3352">
        <v>1</v>
      </c>
      <c r="AC1142" s="3352">
        <v>1</v>
      </c>
      <c r="AD1142" s="3352">
        <v>1</v>
      </c>
      <c r="AE1142" s="3354">
        <v>1</v>
      </c>
      <c r="AF1142" s="2236">
        <f t="shared" si="178"/>
        <v>1</v>
      </c>
      <c r="AG1142" s="229"/>
      <c r="DG1142" s="573"/>
      <c r="DH1142" s="159"/>
      <c r="DI1142" s="1091"/>
    </row>
    <row r="1143" spans="1:113" hidden="1" outlineLevel="1">
      <c r="A1143" s="453"/>
      <c r="C1143" s="51"/>
      <c r="D1143" s="4199"/>
      <c r="E1143" s="4199"/>
      <c r="F1143" s="4290" t="str">
        <f>E774</f>
        <v>Mini/MultiSplitAC_ER1_MF_CompE</v>
      </c>
      <c r="G1143" s="4290"/>
      <c r="H1143" s="4290"/>
      <c r="I1143" s="3350" t="str">
        <f>C774</f>
        <v>351551_2024_12_</v>
      </c>
      <c r="J1143" s="3351">
        <f t="shared" si="183"/>
        <v>1</v>
      </c>
      <c r="K1143" s="230"/>
      <c r="L1143" s="4311"/>
      <c r="N1143" s="564"/>
      <c r="S1143" s="52"/>
      <c r="T1143" s="52"/>
      <c r="U1143" s="52"/>
      <c r="V1143" s="4199"/>
      <c r="W1143" s="3352"/>
      <c r="X1143" s="3352"/>
      <c r="Y1143" s="3353">
        <f t="shared" si="184"/>
        <v>1</v>
      </c>
      <c r="Z1143" s="3352">
        <v>1</v>
      </c>
      <c r="AA1143" s="3352">
        <v>1</v>
      </c>
      <c r="AB1143" s="3352">
        <v>1</v>
      </c>
      <c r="AC1143" s="3352">
        <v>1</v>
      </c>
      <c r="AD1143" s="3352">
        <v>1</v>
      </c>
      <c r="AE1143" s="3354">
        <v>1</v>
      </c>
      <c r="AF1143" s="2236">
        <f t="shared" si="178"/>
        <v>1</v>
      </c>
      <c r="AG1143" s="229"/>
      <c r="DG1143" s="573"/>
      <c r="DH1143" s="159"/>
      <c r="DI1143" s="1091"/>
    </row>
    <row r="1144" spans="1:113" hidden="1" outlineLevel="1">
      <c r="A1144" s="453"/>
      <c r="C1144" s="51"/>
      <c r="D1144" s="4199"/>
      <c r="E1144" s="4199"/>
      <c r="F1144" s="4290" t="str">
        <f>E775</f>
        <v>Mini/MultiSplitAC_ER2_MF_CompE</v>
      </c>
      <c r="G1144" s="4290"/>
      <c r="H1144" s="4290"/>
      <c r="I1144" s="3350" t="str">
        <f>C775</f>
        <v>351551_2024_12_</v>
      </c>
      <c r="J1144" s="3351">
        <f t="shared" si="183"/>
        <v>1</v>
      </c>
      <c r="K1144" s="230"/>
      <c r="L1144" s="4311"/>
      <c r="N1144" s="564"/>
      <c r="S1144" s="52"/>
      <c r="T1144" s="52"/>
      <c r="U1144" s="52"/>
      <c r="V1144" s="4199"/>
      <c r="W1144" s="3352"/>
      <c r="X1144" s="3352"/>
      <c r="Y1144" s="3353">
        <f t="shared" si="184"/>
        <v>1</v>
      </c>
      <c r="Z1144" s="3352">
        <v>1</v>
      </c>
      <c r="AA1144" s="3352">
        <v>1</v>
      </c>
      <c r="AB1144" s="3352">
        <v>1</v>
      </c>
      <c r="AC1144" s="3352">
        <v>1</v>
      </c>
      <c r="AD1144" s="3352">
        <v>1</v>
      </c>
      <c r="AE1144" s="3354">
        <v>1</v>
      </c>
      <c r="AF1144" s="2236">
        <f t="shared" si="178"/>
        <v>1</v>
      </c>
      <c r="AG1144" s="229"/>
      <c r="DG1144" s="573"/>
      <c r="DH1144" s="159"/>
      <c r="DI1144" s="1091"/>
    </row>
    <row r="1145" spans="1:113" hidden="1" outlineLevel="1">
      <c r="A1145" s="453"/>
      <c r="C1145" s="51"/>
      <c r="D1145" s="4199"/>
      <c r="E1145" s="4199"/>
      <c r="F1145" s="4290" t="str">
        <f>E777</f>
        <v>Mini/MultiSplitAC_ROF_MF_CompE</v>
      </c>
      <c r="G1145" s="4290"/>
      <c r="H1145" s="4290"/>
      <c r="I1145" s="3350" t="str">
        <f>C777</f>
        <v>351601_2024_12_</v>
      </c>
      <c r="J1145" s="3351">
        <f t="shared" si="183"/>
        <v>1</v>
      </c>
      <c r="K1145" s="230"/>
      <c r="L1145" s="4311"/>
      <c r="N1145" s="564"/>
      <c r="S1145" s="52"/>
      <c r="T1145" s="52"/>
      <c r="U1145" s="52"/>
      <c r="V1145" s="4199"/>
      <c r="W1145" s="3352"/>
      <c r="X1145" s="3352"/>
      <c r="Y1145" s="3353">
        <f t="shared" si="184"/>
        <v>1</v>
      </c>
      <c r="Z1145" s="3352">
        <v>1</v>
      </c>
      <c r="AA1145" s="3352">
        <v>1</v>
      </c>
      <c r="AB1145" s="3352">
        <v>1</v>
      </c>
      <c r="AC1145" s="3352">
        <v>1</v>
      </c>
      <c r="AD1145" s="3352">
        <v>1</v>
      </c>
      <c r="AE1145" s="3354">
        <v>1</v>
      </c>
      <c r="AF1145" s="2236">
        <f t="shared" si="178"/>
        <v>1</v>
      </c>
      <c r="AG1145" s="229"/>
      <c r="DG1145" s="573"/>
      <c r="DH1145" s="159"/>
      <c r="DI1145" s="1091"/>
    </row>
    <row r="1146" spans="1:113" hidden="1" outlineLevel="1">
      <c r="A1146" s="453"/>
      <c r="C1146" s="51"/>
      <c r="D1146" s="4199"/>
      <c r="E1146" s="4199"/>
      <c r="F1146" s="4290" t="str">
        <f>E780</f>
        <v>Mini/MultiSplitASHP_ROF_MF_NC_CompE</v>
      </c>
      <c r="G1146" s="4290"/>
      <c r="H1146" s="4290"/>
      <c r="I1146" s="3350" t="str">
        <f>C780</f>
        <v>351651_2024_12_</v>
      </c>
      <c r="J1146" s="3351">
        <f t="shared" si="183"/>
        <v>1</v>
      </c>
      <c r="K1146" s="230"/>
      <c r="L1146" s="4311"/>
      <c r="N1146" s="564"/>
      <c r="S1146" s="52"/>
      <c r="T1146" s="52"/>
      <c r="U1146" s="52"/>
      <c r="V1146" s="4199"/>
      <c r="W1146" s="3352"/>
      <c r="X1146" s="3352"/>
      <c r="Y1146" s="3353">
        <f t="shared" si="184"/>
        <v>1</v>
      </c>
      <c r="Z1146" s="3352">
        <v>1</v>
      </c>
      <c r="AA1146" s="3352">
        <v>1</v>
      </c>
      <c r="AB1146" s="3352">
        <v>1</v>
      </c>
      <c r="AC1146" s="3352">
        <v>1</v>
      </c>
      <c r="AD1146" s="3352">
        <v>1</v>
      </c>
      <c r="AE1146" s="3354">
        <v>1</v>
      </c>
      <c r="AF1146" s="2236">
        <f t="shared" si="178"/>
        <v>1</v>
      </c>
      <c r="AG1146" s="229"/>
      <c r="DG1146" s="573"/>
      <c r="DH1146" s="159"/>
      <c r="DI1146" s="1091"/>
    </row>
    <row r="1147" spans="1:113" hidden="1" outlineLevel="1">
      <c r="A1147" s="453"/>
      <c r="C1147" s="51"/>
      <c r="D1147" s="4199"/>
      <c r="E1147" s="4199"/>
      <c r="F1147" s="4290" t="str">
        <f>E781</f>
        <v>Mini/MultiSplitASHP_ROF_MF_NC_CompE</v>
      </c>
      <c r="G1147" s="4290"/>
      <c r="H1147" s="4290"/>
      <c r="I1147" s="3350" t="str">
        <f>C781</f>
        <v>351651_2024_12_</v>
      </c>
      <c r="J1147" s="3351">
        <f t="shared" si="183"/>
        <v>1</v>
      </c>
      <c r="K1147" s="230"/>
      <c r="L1147" s="4311"/>
      <c r="N1147" s="564"/>
      <c r="S1147" s="52"/>
      <c r="T1147" s="52"/>
      <c r="U1147" s="52"/>
      <c r="V1147" s="4199"/>
      <c r="W1147" s="3352"/>
      <c r="X1147" s="3352"/>
      <c r="Y1147" s="3353">
        <f t="shared" si="184"/>
        <v>1</v>
      </c>
      <c r="Z1147" s="3352">
        <v>1</v>
      </c>
      <c r="AA1147" s="3352">
        <v>1</v>
      </c>
      <c r="AB1147" s="3352">
        <v>1</v>
      </c>
      <c r="AC1147" s="3352">
        <v>1</v>
      </c>
      <c r="AD1147" s="3352">
        <v>1</v>
      </c>
      <c r="AE1147" s="3354">
        <v>1</v>
      </c>
      <c r="AF1147" s="2236">
        <f t="shared" ref="AF1147:AF1210" si="185">IF(J1147&lt;&gt;"",J1147,"")</f>
        <v>1</v>
      </c>
      <c r="AG1147" s="229"/>
      <c r="DG1147" s="573"/>
      <c r="DH1147" s="159"/>
      <c r="DI1147" s="1091"/>
    </row>
    <row r="1148" spans="1:113" hidden="1" outlineLevel="1">
      <c r="A1148" s="453"/>
      <c r="C1148" s="51"/>
      <c r="D1148" s="4199"/>
      <c r="E1148" s="4199"/>
      <c r="F1148" s="4290" t="str">
        <f>E784</f>
        <v>Mini/MultiSplitASHP_ROF_MF_CompE</v>
      </c>
      <c r="G1148" s="4290"/>
      <c r="H1148" s="4290"/>
      <c r="I1148" s="3350" t="str">
        <f>C784</f>
        <v>351701_2024_12_</v>
      </c>
      <c r="J1148" s="3351">
        <f t="shared" si="183"/>
        <v>1</v>
      </c>
      <c r="K1148" s="230"/>
      <c r="L1148" s="4311"/>
      <c r="N1148" s="564"/>
      <c r="S1148" s="52"/>
      <c r="T1148" s="52"/>
      <c r="U1148" s="52"/>
      <c r="V1148" s="4199"/>
      <c r="W1148" s="3352"/>
      <c r="X1148" s="3352"/>
      <c r="Y1148" s="3353">
        <f t="shared" si="184"/>
        <v>1</v>
      </c>
      <c r="Z1148" s="3352">
        <v>1</v>
      </c>
      <c r="AA1148" s="3352">
        <v>1</v>
      </c>
      <c r="AB1148" s="3352">
        <v>1</v>
      </c>
      <c r="AC1148" s="3352">
        <v>1</v>
      </c>
      <c r="AD1148" s="3352">
        <v>1</v>
      </c>
      <c r="AE1148" s="3354">
        <v>1</v>
      </c>
      <c r="AF1148" s="2236">
        <f t="shared" si="185"/>
        <v>1</v>
      </c>
      <c r="AG1148" s="229"/>
      <c r="DG1148" s="573"/>
      <c r="DH1148" s="159"/>
      <c r="DI1148" s="1091"/>
    </row>
    <row r="1149" spans="1:113" hidden="1" outlineLevel="1">
      <c r="A1149" s="453"/>
      <c r="C1149" s="51"/>
      <c r="D1149" s="4199"/>
      <c r="E1149" s="4199"/>
      <c r="F1149" s="4290" t="str">
        <f>E785</f>
        <v>Mini/MultiSplitASHP_ROF_MF_CompE</v>
      </c>
      <c r="G1149" s="4290"/>
      <c r="H1149" s="4290"/>
      <c r="I1149" s="3350" t="str">
        <f>C785</f>
        <v>351701_2024_12_</v>
      </c>
      <c r="J1149" s="3351">
        <f t="shared" si="183"/>
        <v>1</v>
      </c>
      <c r="K1149" s="230"/>
      <c r="L1149" s="4311"/>
      <c r="N1149" s="564"/>
      <c r="S1149" s="52"/>
      <c r="T1149" s="52"/>
      <c r="U1149" s="52"/>
      <c r="V1149" s="4199"/>
      <c r="W1149" s="3352"/>
      <c r="X1149" s="3352"/>
      <c r="Y1149" s="3353">
        <f t="shared" si="184"/>
        <v>1</v>
      </c>
      <c r="Z1149" s="3352">
        <v>1</v>
      </c>
      <c r="AA1149" s="3352">
        <v>1</v>
      </c>
      <c r="AB1149" s="3352">
        <v>1</v>
      </c>
      <c r="AC1149" s="3352">
        <v>1</v>
      </c>
      <c r="AD1149" s="3352">
        <v>1</v>
      </c>
      <c r="AE1149" s="3354">
        <v>1</v>
      </c>
      <c r="AF1149" s="2236">
        <f t="shared" si="185"/>
        <v>1</v>
      </c>
      <c r="AG1149" s="229"/>
      <c r="DG1149" s="573"/>
      <c r="DH1149" s="159"/>
      <c r="DI1149" s="1091"/>
    </row>
    <row r="1150" spans="1:113" hidden="1" outlineLevel="1">
      <c r="A1150" s="453"/>
      <c r="C1150" s="51"/>
      <c r="D1150" s="4199"/>
      <c r="E1150" s="4199"/>
      <c r="F1150" s="4290" t="str">
        <f>E790</f>
        <v>Mini/MultiSplitASHP-Replace_CAC_ElectricHeat_ER1_MF_CompE</v>
      </c>
      <c r="G1150" s="4290"/>
      <c r="H1150" s="4290"/>
      <c r="I1150" s="3350" t="str">
        <f t="shared" ref="I1150:I1157" si="186">C790</f>
        <v>351751_2024_12_</v>
      </c>
      <c r="J1150" s="3351">
        <f t="shared" si="183"/>
        <v>1</v>
      </c>
      <c r="K1150" s="230"/>
      <c r="L1150" s="4311"/>
      <c r="N1150" s="564"/>
      <c r="S1150" s="52"/>
      <c r="T1150" s="52"/>
      <c r="U1150" s="52"/>
      <c r="V1150" s="4199"/>
      <c r="W1150" s="3352"/>
      <c r="X1150" s="3352"/>
      <c r="Y1150" s="3353">
        <f t="shared" si="184"/>
        <v>1</v>
      </c>
      <c r="Z1150" s="3352">
        <v>1</v>
      </c>
      <c r="AA1150" s="3352">
        <v>1</v>
      </c>
      <c r="AB1150" s="3352">
        <v>1</v>
      </c>
      <c r="AC1150" s="3352">
        <v>1</v>
      </c>
      <c r="AD1150" s="3352">
        <v>1</v>
      </c>
      <c r="AE1150" s="3354">
        <v>1</v>
      </c>
      <c r="AF1150" s="2236">
        <f t="shared" si="185"/>
        <v>1</v>
      </c>
      <c r="AG1150" s="229"/>
      <c r="DG1150" s="573"/>
      <c r="DH1150" s="159"/>
      <c r="DI1150" s="1091"/>
    </row>
    <row r="1151" spans="1:113" hidden="1" outlineLevel="1">
      <c r="A1151" s="453"/>
      <c r="C1151" s="51"/>
      <c r="D1151" s="4199"/>
      <c r="E1151" s="4199"/>
      <c r="F1151" s="4290" t="str">
        <f>E791</f>
        <v>Mini/MultiSplitASHP-Replace_CAC_ElectricHeat_ER1_MF_CompE</v>
      </c>
      <c r="G1151" s="4290"/>
      <c r="H1151" s="4290"/>
      <c r="I1151" s="3350" t="str">
        <f t="shared" si="186"/>
        <v>351751_2024_12_</v>
      </c>
      <c r="J1151" s="3351">
        <f t="shared" si="183"/>
        <v>1</v>
      </c>
      <c r="K1151" s="230"/>
      <c r="L1151" s="4311"/>
      <c r="N1151" s="564"/>
      <c r="S1151" s="52"/>
      <c r="T1151" s="52"/>
      <c r="U1151" s="52"/>
      <c r="V1151" s="4199"/>
      <c r="W1151" s="3352"/>
      <c r="X1151" s="3352"/>
      <c r="Y1151" s="3353">
        <f t="shared" si="184"/>
        <v>1</v>
      </c>
      <c r="Z1151" s="3352">
        <v>1</v>
      </c>
      <c r="AA1151" s="3352">
        <v>1</v>
      </c>
      <c r="AB1151" s="3352">
        <v>1</v>
      </c>
      <c r="AC1151" s="3352">
        <v>1</v>
      </c>
      <c r="AD1151" s="3352">
        <v>1</v>
      </c>
      <c r="AE1151" s="3354">
        <v>1</v>
      </c>
      <c r="AF1151" s="2236">
        <f t="shared" si="185"/>
        <v>1</v>
      </c>
      <c r="AG1151" s="229"/>
      <c r="DG1151" s="573"/>
      <c r="DH1151" s="159"/>
      <c r="DI1151" s="1091"/>
    </row>
    <row r="1152" spans="1:113" hidden="1" outlineLevel="1">
      <c r="A1152" s="453"/>
      <c r="C1152" s="51"/>
      <c r="D1152" s="4199"/>
      <c r="E1152" s="4199"/>
      <c r="F1152" s="4290" t="str">
        <f>E792</f>
        <v>Mini/MultiSplitASHP-Replace_CAC_ElectricHeat_ER2_MF_CompE</v>
      </c>
      <c r="G1152" s="4290"/>
      <c r="H1152" s="4290"/>
      <c r="I1152" s="3350" t="str">
        <f t="shared" si="186"/>
        <v>351751_2024_12_</v>
      </c>
      <c r="J1152" s="3351">
        <f t="shared" si="183"/>
        <v>1</v>
      </c>
      <c r="K1152" s="230"/>
      <c r="L1152" s="4311"/>
      <c r="N1152" s="564"/>
      <c r="S1152" s="52"/>
      <c r="T1152" s="52"/>
      <c r="U1152" s="52"/>
      <c r="V1152" s="4199"/>
      <c r="W1152" s="3352"/>
      <c r="X1152" s="3352"/>
      <c r="Y1152" s="3353">
        <f t="shared" si="184"/>
        <v>1</v>
      </c>
      <c r="Z1152" s="3352">
        <v>1</v>
      </c>
      <c r="AA1152" s="3352">
        <v>1</v>
      </c>
      <c r="AB1152" s="3352">
        <v>1</v>
      </c>
      <c r="AC1152" s="3352">
        <v>1</v>
      </c>
      <c r="AD1152" s="3352">
        <v>1</v>
      </c>
      <c r="AE1152" s="3354">
        <v>1</v>
      </c>
      <c r="AF1152" s="2236">
        <f t="shared" si="185"/>
        <v>1</v>
      </c>
      <c r="AG1152" s="229"/>
      <c r="DG1152" s="573"/>
      <c r="DH1152" s="159"/>
      <c r="DI1152" s="1091"/>
    </row>
    <row r="1153" spans="1:113" hidden="1" outlineLevel="1">
      <c r="A1153" s="453"/>
      <c r="C1153" s="51"/>
      <c r="D1153" s="4199"/>
      <c r="E1153" s="4199"/>
      <c r="F1153" s="4290" t="str">
        <f>E793</f>
        <v>Mini/MultiSplitASHP-Replace_CAC_ElectricHeat_ER2_MF_CompE</v>
      </c>
      <c r="G1153" s="4290"/>
      <c r="H1153" s="4290"/>
      <c r="I1153" s="3350" t="str">
        <f t="shared" si="186"/>
        <v>351751_2024_12_</v>
      </c>
      <c r="J1153" s="3351">
        <f t="shared" si="183"/>
        <v>1</v>
      </c>
      <c r="K1153" s="230"/>
      <c r="L1153" s="4311"/>
      <c r="N1153" s="564"/>
      <c r="S1153" s="52"/>
      <c r="T1153" s="52"/>
      <c r="U1153" s="52"/>
      <c r="V1153" s="4199"/>
      <c r="W1153" s="3352"/>
      <c r="X1153" s="3352"/>
      <c r="Y1153" s="3353">
        <f t="shared" si="184"/>
        <v>1</v>
      </c>
      <c r="Z1153" s="3352">
        <v>1</v>
      </c>
      <c r="AA1153" s="3352">
        <v>1</v>
      </c>
      <c r="AB1153" s="3352">
        <v>1</v>
      </c>
      <c r="AC1153" s="3352">
        <v>1</v>
      </c>
      <c r="AD1153" s="3352">
        <v>1</v>
      </c>
      <c r="AE1153" s="3354">
        <v>1</v>
      </c>
      <c r="AF1153" s="2236">
        <f t="shared" si="185"/>
        <v>1</v>
      </c>
      <c r="AG1153" s="229"/>
      <c r="DG1153" s="573"/>
      <c r="DH1153" s="159"/>
      <c r="DI1153" s="1091"/>
    </row>
    <row r="1154" spans="1:113" hidden="1" outlineLevel="1">
      <c r="A1154" s="453"/>
      <c r="C1154" s="51"/>
      <c r="D1154" s="4199"/>
      <c r="E1154" s="4199"/>
      <c r="F1154" s="4290" t="str">
        <f>E798</f>
        <v>Mini/MultiSplitASHP-Replace_CAC_NonElectricHeat_ER1_MF_CompE</v>
      </c>
      <c r="G1154" s="4290"/>
      <c r="H1154" s="4290"/>
      <c r="I1154" s="3350" t="str">
        <f t="shared" si="186"/>
        <v>351752_2024_12_</v>
      </c>
      <c r="J1154" s="3351">
        <f t="shared" si="183"/>
        <v>1</v>
      </c>
      <c r="K1154" s="230"/>
      <c r="L1154" s="4311"/>
      <c r="N1154" s="564"/>
      <c r="S1154" s="52"/>
      <c r="T1154" s="52"/>
      <c r="U1154" s="52"/>
      <c r="V1154" s="4199"/>
      <c r="W1154" s="3352"/>
      <c r="X1154" s="3352"/>
      <c r="Y1154" s="3353"/>
      <c r="Z1154" s="3352"/>
      <c r="AA1154" s="3352"/>
      <c r="AB1154" s="3352"/>
      <c r="AC1154" s="3352"/>
      <c r="AD1154" s="3353">
        <v>1</v>
      </c>
      <c r="AE1154" s="3354">
        <v>1</v>
      </c>
      <c r="AF1154" s="2236">
        <f t="shared" si="185"/>
        <v>1</v>
      </c>
      <c r="AG1154" s="229"/>
      <c r="DG1154" s="573"/>
      <c r="DH1154" s="159"/>
      <c r="DI1154" s="1091"/>
    </row>
    <row r="1155" spans="1:113" hidden="1" outlineLevel="1">
      <c r="A1155" s="453"/>
      <c r="C1155" s="51"/>
      <c r="D1155" s="4199"/>
      <c r="E1155" s="4199"/>
      <c r="F1155" s="4290" t="str">
        <f>E799</f>
        <v>Mini/MultiSplitASHP-Replace_CAC_NonElectricHeat_ER1_MF_CompE</v>
      </c>
      <c r="G1155" s="4290"/>
      <c r="H1155" s="4290"/>
      <c r="I1155" s="3350" t="str">
        <f t="shared" si="186"/>
        <v>351752_2024_12_</v>
      </c>
      <c r="J1155" s="3351">
        <f t="shared" si="183"/>
        <v>1</v>
      </c>
      <c r="K1155" s="230"/>
      <c r="L1155" s="4311"/>
      <c r="N1155" s="564"/>
      <c r="S1155" s="52"/>
      <c r="T1155" s="52"/>
      <c r="U1155" s="52"/>
      <c r="V1155" s="4199"/>
      <c r="W1155" s="3352"/>
      <c r="X1155" s="3352"/>
      <c r="Y1155" s="3353"/>
      <c r="Z1155" s="3352"/>
      <c r="AA1155" s="3352"/>
      <c r="AB1155" s="3352"/>
      <c r="AC1155" s="3352"/>
      <c r="AD1155" s="3353">
        <v>1</v>
      </c>
      <c r="AE1155" s="3354">
        <v>1</v>
      </c>
      <c r="AF1155" s="2236">
        <f t="shared" si="185"/>
        <v>1</v>
      </c>
      <c r="AG1155" s="229"/>
      <c r="DG1155" s="573"/>
      <c r="DH1155" s="159"/>
      <c r="DI1155" s="1091"/>
    </row>
    <row r="1156" spans="1:113" hidden="1" outlineLevel="1">
      <c r="A1156" s="453"/>
      <c r="C1156" s="51"/>
      <c r="D1156" s="4199"/>
      <c r="E1156" s="4199"/>
      <c r="F1156" s="4290" t="str">
        <f>E800</f>
        <v>Mini/MultiSplitASHP-Replace_CAC_NonElectricHeat_ER2_MF_CompE</v>
      </c>
      <c r="G1156" s="4290"/>
      <c r="H1156" s="4290"/>
      <c r="I1156" s="3350" t="str">
        <f t="shared" si="186"/>
        <v>351752_2024_12_</v>
      </c>
      <c r="J1156" s="3351">
        <f t="shared" si="183"/>
        <v>1</v>
      </c>
      <c r="K1156" s="230"/>
      <c r="L1156" s="4311"/>
      <c r="N1156" s="564"/>
      <c r="S1156" s="52"/>
      <c r="T1156" s="52"/>
      <c r="U1156" s="52"/>
      <c r="V1156" s="4199"/>
      <c r="W1156" s="3352"/>
      <c r="X1156" s="3352"/>
      <c r="Y1156" s="3353"/>
      <c r="Z1156" s="3352"/>
      <c r="AA1156" s="3352"/>
      <c r="AB1156" s="3352"/>
      <c r="AC1156" s="3352"/>
      <c r="AD1156" s="3353">
        <v>1</v>
      </c>
      <c r="AE1156" s="3354">
        <v>1</v>
      </c>
      <c r="AF1156" s="2236">
        <f t="shared" si="185"/>
        <v>1</v>
      </c>
      <c r="AG1156" s="229"/>
      <c r="DG1156" s="573"/>
      <c r="DH1156" s="159"/>
      <c r="DI1156" s="1091"/>
    </row>
    <row r="1157" spans="1:113" hidden="1" outlineLevel="1">
      <c r="A1157" s="453"/>
      <c r="C1157" s="51"/>
      <c r="D1157" s="4199"/>
      <c r="E1157" s="4199"/>
      <c r="F1157" s="4290" t="str">
        <f>E801</f>
        <v>Mini/MultiSplitASHP-Replace_CAC_NonElectricHeat_ER2_MF_CompE</v>
      </c>
      <c r="G1157" s="4290"/>
      <c r="H1157" s="4290"/>
      <c r="I1157" s="3350" t="str">
        <f t="shared" si="186"/>
        <v>351752_2024_12_</v>
      </c>
      <c r="J1157" s="3351">
        <f t="shared" si="183"/>
        <v>1</v>
      </c>
      <c r="K1157" s="230"/>
      <c r="L1157" s="4311"/>
      <c r="N1157" s="564"/>
      <c r="S1157" s="52"/>
      <c r="T1157" s="52"/>
      <c r="U1157" s="52"/>
      <c r="V1157" s="4199"/>
      <c r="W1157" s="3352"/>
      <c r="X1157" s="3352"/>
      <c r="Y1157" s="3353"/>
      <c r="Z1157" s="3352"/>
      <c r="AA1157" s="3352"/>
      <c r="AB1157" s="3352"/>
      <c r="AC1157" s="3352"/>
      <c r="AD1157" s="3353">
        <v>1</v>
      </c>
      <c r="AE1157" s="3354">
        <v>1</v>
      </c>
      <c r="AF1157" s="2236">
        <f t="shared" si="185"/>
        <v>1</v>
      </c>
      <c r="AG1157" s="229"/>
      <c r="DG1157" s="573"/>
      <c r="DH1157" s="159"/>
      <c r="DI1157" s="1091"/>
    </row>
    <row r="1158" spans="1:113" hidden="1" outlineLevel="1">
      <c r="A1158" s="453"/>
      <c r="C1158" s="51"/>
      <c r="D1158" s="4199"/>
      <c r="E1158" s="4199"/>
      <c r="F1158" s="4290" t="str">
        <f>E804</f>
        <v>Mini/MultiSplitASHP-Replace_CAC_ElectricHeat_ROF_MF_CompE</v>
      </c>
      <c r="G1158" s="4290"/>
      <c r="H1158" s="4290"/>
      <c r="I1158" s="3350" t="str">
        <f>C804</f>
        <v>351801_2024_12_</v>
      </c>
      <c r="J1158" s="3351">
        <f>J1153</f>
        <v>1</v>
      </c>
      <c r="K1158" s="230"/>
      <c r="L1158" s="4311"/>
      <c r="N1158" s="564"/>
      <c r="S1158" s="52"/>
      <c r="T1158" s="52"/>
      <c r="U1158" s="52"/>
      <c r="V1158" s="4199"/>
      <c r="W1158" s="3352"/>
      <c r="X1158" s="3352"/>
      <c r="Y1158" s="3353">
        <f>Y1153</f>
        <v>1</v>
      </c>
      <c r="Z1158" s="3352">
        <v>1</v>
      </c>
      <c r="AA1158" s="3352">
        <v>1</v>
      </c>
      <c r="AB1158" s="3352">
        <v>1</v>
      </c>
      <c r="AC1158" s="3352">
        <v>1</v>
      </c>
      <c r="AD1158" s="3352">
        <v>1</v>
      </c>
      <c r="AE1158" s="3354">
        <v>1</v>
      </c>
      <c r="AF1158" s="2236">
        <f t="shared" si="185"/>
        <v>1</v>
      </c>
      <c r="AG1158" s="229"/>
      <c r="DG1158" s="573"/>
      <c r="DH1158" s="159"/>
      <c r="DI1158" s="1091"/>
    </row>
    <row r="1159" spans="1:113" hidden="1" outlineLevel="1">
      <c r="A1159" s="453"/>
      <c r="C1159" s="51"/>
      <c r="D1159" s="4199"/>
      <c r="E1159" s="4199"/>
      <c r="F1159" s="4290" t="str">
        <f>E805</f>
        <v>Mini/MultiSplitASHP-Replace_CAC_ElectricHeat_ROF_MF_CompE</v>
      </c>
      <c r="G1159" s="4290"/>
      <c r="H1159" s="4290"/>
      <c r="I1159" s="3350" t="str">
        <f>C805</f>
        <v>351801_2024_12_</v>
      </c>
      <c r="J1159" s="3351">
        <f t="shared" si="183"/>
        <v>1</v>
      </c>
      <c r="K1159" s="230"/>
      <c r="L1159" s="4311"/>
      <c r="N1159" s="564"/>
      <c r="S1159" s="52"/>
      <c r="T1159" s="52"/>
      <c r="U1159" s="52"/>
      <c r="V1159" s="4199"/>
      <c r="W1159" s="3352"/>
      <c r="X1159" s="3352"/>
      <c r="Y1159" s="3353">
        <f t="shared" si="184"/>
        <v>1</v>
      </c>
      <c r="Z1159" s="3352">
        <v>1</v>
      </c>
      <c r="AA1159" s="3352">
        <v>1</v>
      </c>
      <c r="AB1159" s="3352">
        <v>1</v>
      </c>
      <c r="AC1159" s="3352">
        <v>1</v>
      </c>
      <c r="AD1159" s="3352">
        <v>1</v>
      </c>
      <c r="AE1159" s="3354">
        <v>1</v>
      </c>
      <c r="AF1159" s="2236">
        <f t="shared" si="185"/>
        <v>1</v>
      </c>
      <c r="AG1159" s="229"/>
      <c r="DG1159" s="573"/>
      <c r="DH1159" s="159"/>
      <c r="DI1159" s="1091"/>
    </row>
    <row r="1160" spans="1:113" hidden="1" outlineLevel="1">
      <c r="A1160" s="453"/>
      <c r="C1160" s="51"/>
      <c r="D1160" s="4199"/>
      <c r="E1160" s="4199"/>
      <c r="F1160" s="4290" t="str">
        <f>E808</f>
        <v>Mini/MultiSplitASHP-Replace_CAC_NonElectricHeat_ROF_MF_CompE</v>
      </c>
      <c r="G1160" s="4290"/>
      <c r="H1160" s="4290"/>
      <c r="I1160" s="3350" t="str">
        <f>C806</f>
        <v>351802_2024_12_</v>
      </c>
      <c r="J1160" s="3351">
        <f>J1155</f>
        <v>1</v>
      </c>
      <c r="K1160" s="230"/>
      <c r="L1160" s="4311"/>
      <c r="N1160" s="564"/>
      <c r="S1160" s="52"/>
      <c r="T1160" s="52"/>
      <c r="U1160" s="52"/>
      <c r="V1160" s="4199"/>
      <c r="W1160" s="3352"/>
      <c r="X1160" s="3352"/>
      <c r="Y1160" s="3353"/>
      <c r="Z1160" s="3352"/>
      <c r="AA1160" s="3352"/>
      <c r="AB1160" s="3352"/>
      <c r="AC1160" s="3352"/>
      <c r="AD1160" s="3353">
        <v>1</v>
      </c>
      <c r="AE1160" s="3354">
        <v>1</v>
      </c>
      <c r="AF1160" s="2236">
        <f t="shared" si="185"/>
        <v>1</v>
      </c>
      <c r="AG1160" s="229"/>
      <c r="DG1160" s="573"/>
      <c r="DH1160" s="159"/>
      <c r="DI1160" s="1091"/>
    </row>
    <row r="1161" spans="1:113" hidden="1" outlineLevel="1">
      <c r="A1161" s="453"/>
      <c r="C1161" s="51"/>
      <c r="D1161" s="4199"/>
      <c r="E1161" s="4199"/>
      <c r="F1161" s="4290" t="str">
        <f>E809</f>
        <v>Mini/MultiSplitASHP-Replace_CAC_NonElectricHeat_ROF_MF_CompE</v>
      </c>
      <c r="G1161" s="4290"/>
      <c r="H1161" s="4290"/>
      <c r="I1161" s="3350" t="str">
        <f>C807</f>
        <v>351802_2024_12_</v>
      </c>
      <c r="J1161" s="3351">
        <f t="shared" si="183"/>
        <v>1</v>
      </c>
      <c r="K1161" s="230"/>
      <c r="L1161" s="4311"/>
      <c r="N1161" s="564"/>
      <c r="S1161" s="52"/>
      <c r="T1161" s="52"/>
      <c r="U1161" s="52"/>
      <c r="V1161" s="4199"/>
      <c r="W1161" s="3352"/>
      <c r="X1161" s="3352"/>
      <c r="Y1161" s="3353"/>
      <c r="Z1161" s="3352"/>
      <c r="AA1161" s="3352"/>
      <c r="AB1161" s="3352"/>
      <c r="AC1161" s="3352"/>
      <c r="AD1161" s="3353">
        <v>1</v>
      </c>
      <c r="AE1161" s="3354">
        <v>1</v>
      </c>
      <c r="AF1161" s="2236">
        <f t="shared" si="185"/>
        <v>1</v>
      </c>
      <c r="AG1161" s="229"/>
      <c r="DG1161" s="573"/>
      <c r="DH1161" s="159"/>
      <c r="DI1161" s="1091"/>
    </row>
    <row r="1162" spans="1:113" hidden="1" outlineLevel="1">
      <c r="A1162" s="453"/>
      <c r="C1162" s="51"/>
      <c r="D1162" s="4199"/>
      <c r="E1162" s="4199"/>
      <c r="F1162" s="4290" t="str">
        <f>E814</f>
        <v>Mini/MultiSplitASHP_ER1_MF_CompE</v>
      </c>
      <c r="G1162" s="4290"/>
      <c r="H1162" s="4290"/>
      <c r="I1162" s="3350" t="str">
        <f>C814</f>
        <v>351851_2024_12_</v>
      </c>
      <c r="J1162" s="3351">
        <f>J1159</f>
        <v>1</v>
      </c>
      <c r="K1162" s="230"/>
      <c r="L1162" s="4311"/>
      <c r="N1162" s="564"/>
      <c r="S1162" s="52"/>
      <c r="T1162" s="52"/>
      <c r="U1162" s="52"/>
      <c r="V1162" s="4199"/>
      <c r="W1162" s="3352"/>
      <c r="X1162" s="3352"/>
      <c r="Y1162" s="3353">
        <f>Y1159</f>
        <v>1</v>
      </c>
      <c r="Z1162" s="3352">
        <v>1</v>
      </c>
      <c r="AA1162" s="3352">
        <v>1</v>
      </c>
      <c r="AB1162" s="3352">
        <v>1</v>
      </c>
      <c r="AC1162" s="3352">
        <v>1</v>
      </c>
      <c r="AD1162" s="3352">
        <v>1</v>
      </c>
      <c r="AE1162" s="3354">
        <v>1</v>
      </c>
      <c r="AF1162" s="2236">
        <f t="shared" si="185"/>
        <v>1</v>
      </c>
      <c r="AG1162" s="229"/>
      <c r="DG1162" s="573"/>
      <c r="DH1162" s="159"/>
      <c r="DI1162" s="1091"/>
    </row>
    <row r="1163" spans="1:113" hidden="1" outlineLevel="1">
      <c r="A1163" s="453"/>
      <c r="C1163" s="51"/>
      <c r="D1163" s="4199"/>
      <c r="E1163" s="4199"/>
      <c r="F1163" s="4290" t="str">
        <f>E815</f>
        <v>Mini/MultiSplitASHP_ER1_MF_CompE</v>
      </c>
      <c r="G1163" s="4290"/>
      <c r="H1163" s="4290"/>
      <c r="I1163" s="3350" t="str">
        <f>C815</f>
        <v>351851_2024_12_</v>
      </c>
      <c r="J1163" s="3351">
        <f t="shared" si="183"/>
        <v>1</v>
      </c>
      <c r="K1163" s="230"/>
      <c r="L1163" s="4311"/>
      <c r="N1163" s="564"/>
      <c r="S1163" s="52"/>
      <c r="T1163" s="52"/>
      <c r="U1163" s="52"/>
      <c r="V1163" s="4199"/>
      <c r="W1163" s="3352"/>
      <c r="X1163" s="3352"/>
      <c r="Y1163" s="3353">
        <f t="shared" si="184"/>
        <v>1</v>
      </c>
      <c r="Z1163" s="3352">
        <v>1</v>
      </c>
      <c r="AA1163" s="3352">
        <v>1</v>
      </c>
      <c r="AB1163" s="3352">
        <v>1</v>
      </c>
      <c r="AC1163" s="3352">
        <v>1</v>
      </c>
      <c r="AD1163" s="3352">
        <v>1</v>
      </c>
      <c r="AE1163" s="3354">
        <v>1</v>
      </c>
      <c r="AF1163" s="2236">
        <f t="shared" si="185"/>
        <v>1</v>
      </c>
      <c r="AG1163" s="229"/>
      <c r="DG1163" s="573"/>
      <c r="DH1163" s="159"/>
      <c r="DI1163" s="1091"/>
    </row>
    <row r="1164" spans="1:113" hidden="1" outlineLevel="1">
      <c r="A1164" s="453"/>
      <c r="C1164" s="51"/>
      <c r="D1164" s="4199"/>
      <c r="E1164" s="4199"/>
      <c r="F1164" s="4290" t="str">
        <f>E816</f>
        <v>Mini/MultiSplitASHP_ER2_MF_CompE</v>
      </c>
      <c r="G1164" s="4290"/>
      <c r="H1164" s="4290"/>
      <c r="I1164" s="3350" t="str">
        <f>C816</f>
        <v>351851_2024_12_</v>
      </c>
      <c r="J1164" s="3351">
        <f t="shared" si="183"/>
        <v>1</v>
      </c>
      <c r="K1164" s="230"/>
      <c r="L1164" s="4311"/>
      <c r="N1164" s="564"/>
      <c r="S1164" s="52"/>
      <c r="T1164" s="52"/>
      <c r="U1164" s="52"/>
      <c r="V1164" s="4199"/>
      <c r="W1164" s="3352"/>
      <c r="X1164" s="3352"/>
      <c r="Y1164" s="3353">
        <f t="shared" si="184"/>
        <v>1</v>
      </c>
      <c r="Z1164" s="3352">
        <v>1</v>
      </c>
      <c r="AA1164" s="3352">
        <v>1</v>
      </c>
      <c r="AB1164" s="3352">
        <v>1</v>
      </c>
      <c r="AC1164" s="3352">
        <v>1</v>
      </c>
      <c r="AD1164" s="3352">
        <v>1</v>
      </c>
      <c r="AE1164" s="3354">
        <v>1</v>
      </c>
      <c r="AF1164" s="2236">
        <f t="shared" si="185"/>
        <v>1</v>
      </c>
      <c r="AG1164" s="229"/>
      <c r="DG1164" s="573"/>
      <c r="DH1164" s="159"/>
      <c r="DI1164" s="1091"/>
    </row>
    <row r="1165" spans="1:113" hidden="1" outlineLevel="1">
      <c r="A1165" s="453"/>
      <c r="C1165" s="51"/>
      <c r="D1165" s="4199"/>
      <c r="E1165" s="4199"/>
      <c r="F1165" s="4290" t="str">
        <f>E817</f>
        <v>Mini/MultiSplitASHP_ER2_MF_CompE</v>
      </c>
      <c r="G1165" s="4290"/>
      <c r="H1165" s="4290"/>
      <c r="I1165" s="3350" t="str">
        <f>C817</f>
        <v>351851_2024_12_</v>
      </c>
      <c r="J1165" s="3351">
        <f t="shared" si="183"/>
        <v>1</v>
      </c>
      <c r="K1165" s="230"/>
      <c r="L1165" s="4311"/>
      <c r="N1165" s="564"/>
      <c r="S1165" s="52"/>
      <c r="T1165" s="52"/>
      <c r="U1165" s="52"/>
      <c r="V1165" s="4199"/>
      <c r="W1165" s="3352"/>
      <c r="X1165" s="3352"/>
      <c r="Y1165" s="3353">
        <f t="shared" si="184"/>
        <v>1</v>
      </c>
      <c r="Z1165" s="3352">
        <v>1</v>
      </c>
      <c r="AA1165" s="3352">
        <v>1</v>
      </c>
      <c r="AB1165" s="3352">
        <v>1</v>
      </c>
      <c r="AC1165" s="3352">
        <v>1</v>
      </c>
      <c r="AD1165" s="3352">
        <v>1</v>
      </c>
      <c r="AE1165" s="3354">
        <v>1</v>
      </c>
      <c r="AF1165" s="2236">
        <f t="shared" si="185"/>
        <v>1</v>
      </c>
      <c r="AG1165" s="229"/>
      <c r="DG1165" s="573"/>
      <c r="DH1165" s="159"/>
      <c r="DI1165" s="1091"/>
    </row>
    <row r="1166" spans="1:113" ht="75" hidden="1" outlineLevel="1">
      <c r="A1166" s="453"/>
      <c r="C1166" s="51"/>
      <c r="D1166" s="1377" t="s">
        <v>128</v>
      </c>
      <c r="E1166" s="1377" t="s">
        <v>1398</v>
      </c>
      <c r="F1166" s="4188" t="s">
        <v>1102</v>
      </c>
      <c r="G1166" s="4188"/>
      <c r="H1166" s="4188"/>
      <c r="I1166" s="1384" t="s">
        <v>1102</v>
      </c>
      <c r="J1166" s="1662">
        <v>1</v>
      </c>
      <c r="K1166" s="1405"/>
      <c r="L1166" s="1405" t="s">
        <v>2070</v>
      </c>
      <c r="N1166" s="564"/>
      <c r="S1166" s="41"/>
      <c r="T1166" s="41"/>
      <c r="U1166" s="41"/>
      <c r="V1166" s="1377" t="s">
        <v>128</v>
      </c>
      <c r="W1166" s="3355"/>
      <c r="X1166" s="3355"/>
      <c r="Y1166" s="3355"/>
      <c r="Z1166" s="3355"/>
      <c r="AA1166" s="1621">
        <v>1</v>
      </c>
      <c r="AB1166" s="1621">
        <v>1</v>
      </c>
      <c r="AC1166" s="1645">
        <v>1</v>
      </c>
      <c r="AD1166" s="1645">
        <v>1</v>
      </c>
      <c r="AE1166" s="1645">
        <v>1</v>
      </c>
      <c r="AF1166" s="271">
        <f t="shared" si="185"/>
        <v>1</v>
      </c>
      <c r="AG1166" s="1621"/>
      <c r="AH1166" s="41"/>
      <c r="AI1166" s="41"/>
      <c r="AJ1166" s="41"/>
      <c r="AK1166" s="41"/>
      <c r="AL1166" s="41"/>
      <c r="AM1166" s="41"/>
      <c r="AN1166" s="41"/>
      <c r="AO1166" s="41"/>
      <c r="AP1166" s="41"/>
      <c r="AQ1166" s="41"/>
      <c r="AR1166" s="41"/>
      <c r="AS1166" s="41"/>
      <c r="AT1166" s="41"/>
      <c r="AU1166" s="41"/>
      <c r="AV1166" s="41"/>
      <c r="AW1166" s="41"/>
      <c r="AX1166" s="41"/>
      <c r="AY1166" s="41"/>
      <c r="AZ1166" s="41"/>
      <c r="BA1166" s="41"/>
      <c r="BB1166" s="41"/>
      <c r="BC1166" s="41"/>
      <c r="BD1166" s="41"/>
      <c r="BE1166" s="41"/>
      <c r="BF1166" s="41"/>
      <c r="BG1166" s="41"/>
      <c r="BH1166" s="41"/>
      <c r="BI1166" s="41"/>
      <c r="BJ1166" s="41"/>
      <c r="BK1166" s="41"/>
      <c r="BL1166" s="41"/>
      <c r="BM1166" s="41"/>
      <c r="BN1166" s="41"/>
      <c r="BO1166" s="41"/>
      <c r="BP1166" s="41"/>
      <c r="BQ1166" s="41"/>
      <c r="BR1166" s="41"/>
      <c r="BS1166" s="41"/>
      <c r="BT1166" s="41"/>
      <c r="BU1166" s="41"/>
      <c r="BV1166" s="41"/>
      <c r="BW1166" s="41"/>
      <c r="BX1166" s="41"/>
      <c r="BY1166" s="41"/>
      <c r="BZ1166" s="41"/>
      <c r="CA1166" s="41"/>
      <c r="CB1166" s="41"/>
      <c r="CC1166" s="41"/>
      <c r="CD1166" s="41"/>
      <c r="CE1166" s="41"/>
      <c r="CF1166" s="41"/>
      <c r="CG1166" s="41"/>
      <c r="CH1166" s="41"/>
      <c r="CI1166" s="41"/>
      <c r="CJ1166" s="41"/>
      <c r="CK1166" s="41"/>
      <c r="CL1166" s="41"/>
      <c r="CM1166" s="41"/>
      <c r="CN1166" s="41"/>
      <c r="CO1166" s="41"/>
      <c r="CP1166" s="41"/>
      <c r="CQ1166" s="41"/>
      <c r="CR1166" s="41"/>
      <c r="CS1166" s="41"/>
      <c r="CT1166" s="41"/>
      <c r="CU1166" s="41"/>
      <c r="CV1166" s="41"/>
      <c r="CW1166" s="41"/>
      <c r="CX1166" s="41"/>
      <c r="CY1166" s="41"/>
      <c r="CZ1166" s="41"/>
      <c r="DA1166" s="41"/>
      <c r="DB1166" s="41"/>
      <c r="DC1166" s="41"/>
      <c r="DD1166" s="41"/>
      <c r="DE1166" s="41"/>
      <c r="DF1166" s="41"/>
      <c r="DG1166" s="1085"/>
      <c r="DH1166" s="159"/>
      <c r="DI1166" s="1091"/>
    </row>
    <row r="1167" spans="1:113" hidden="1" outlineLevel="1">
      <c r="A1167" s="453"/>
      <c r="C1167" s="51"/>
      <c r="D1167" s="4293" t="s">
        <v>49</v>
      </c>
      <c r="E1167" s="4293" t="str">
        <f>E599</f>
        <v>EUL</v>
      </c>
      <c r="F1167" s="4289" t="str">
        <f t="shared" ref="F1167:F1212" si="187">F1097</f>
        <v>Mini/MultiSplitAC_ER1_SF</v>
      </c>
      <c r="G1167" s="4289"/>
      <c r="H1167" s="4289"/>
      <c r="I1167" s="930" t="str">
        <f>I1097</f>
        <v>351200_2024_12_</v>
      </c>
      <c r="J1167" s="1658">
        <v>6</v>
      </c>
      <c r="K1167" s="230"/>
      <c r="L1167" s="4266" t="s">
        <v>2071</v>
      </c>
      <c r="N1167" s="564"/>
      <c r="S1167" s="52"/>
      <c r="T1167" s="52"/>
      <c r="U1167" s="52"/>
      <c r="V1167" s="4293" t="str">
        <f>D1167</f>
        <v>EUL</v>
      </c>
      <c r="W1167" s="232">
        <v>6</v>
      </c>
      <c r="X1167" s="232">
        <v>6</v>
      </c>
      <c r="Y1167" s="232">
        <v>6</v>
      </c>
      <c r="Z1167" s="232">
        <v>6</v>
      </c>
      <c r="AA1167" s="232">
        <v>6</v>
      </c>
      <c r="AB1167" s="232">
        <v>6</v>
      </c>
      <c r="AC1167" s="232">
        <v>6</v>
      </c>
      <c r="AD1167" s="232">
        <v>6</v>
      </c>
      <c r="AE1167" s="1162">
        <v>6</v>
      </c>
      <c r="AF1167" s="271">
        <f t="shared" si="185"/>
        <v>6</v>
      </c>
      <c r="AG1167" s="229"/>
      <c r="DG1167" s="573"/>
      <c r="DH1167" s="159"/>
      <c r="DI1167" s="1091"/>
    </row>
    <row r="1168" spans="1:113" hidden="1" outlineLevel="1">
      <c r="A1168" s="453"/>
      <c r="C1168" s="51"/>
      <c r="D1168" s="4293"/>
      <c r="E1168" s="4293"/>
      <c r="F1168" s="4289" t="str">
        <f t="shared" si="187"/>
        <v>Mini/MultiSplitAC_ER2_SF</v>
      </c>
      <c r="G1168" s="4289"/>
      <c r="H1168" s="4289"/>
      <c r="I1168" s="929" t="str">
        <f t="shared" ref="I1168:I1212" si="188">I1098</f>
        <v>351200_2024_12_</v>
      </c>
      <c r="J1168" s="1658">
        <v>12</v>
      </c>
      <c r="K1168" s="230"/>
      <c r="L1168" s="4267"/>
      <c r="N1168" s="564"/>
      <c r="S1168" s="52"/>
      <c r="T1168" s="52"/>
      <c r="U1168" s="52"/>
      <c r="V1168" s="4293"/>
      <c r="W1168" s="232">
        <v>12</v>
      </c>
      <c r="X1168" s="232">
        <v>12</v>
      </c>
      <c r="Y1168" s="232">
        <v>12</v>
      </c>
      <c r="Z1168" s="232">
        <v>12</v>
      </c>
      <c r="AA1168" s="232">
        <v>12</v>
      </c>
      <c r="AB1168" s="232">
        <v>12</v>
      </c>
      <c r="AC1168" s="232">
        <v>12</v>
      </c>
      <c r="AD1168" s="232">
        <v>12</v>
      </c>
      <c r="AE1168" s="1162">
        <v>12</v>
      </c>
      <c r="AF1168" s="271">
        <f t="shared" si="185"/>
        <v>12</v>
      </c>
      <c r="AG1168" s="229"/>
      <c r="DG1168" s="573"/>
      <c r="DH1168" s="159"/>
      <c r="DI1168" s="1091"/>
    </row>
    <row r="1169" spans="1:113" hidden="1" outlineLevel="1">
      <c r="A1169" s="453"/>
      <c r="C1169" s="51"/>
      <c r="D1169" s="4293"/>
      <c r="E1169" s="4293"/>
      <c r="F1169" s="4289" t="str">
        <f t="shared" si="187"/>
        <v>Mini/MultiSplitAC_ROF_SF</v>
      </c>
      <c r="G1169" s="4289"/>
      <c r="H1169" s="4289"/>
      <c r="I1169" s="929" t="str">
        <f t="shared" si="188"/>
        <v>351250_2024_12_</v>
      </c>
      <c r="J1169" s="1658">
        <v>18</v>
      </c>
      <c r="K1169" s="230"/>
      <c r="L1169" s="4267"/>
      <c r="N1169" s="564"/>
      <c r="S1169" s="52"/>
      <c r="T1169" s="52"/>
      <c r="U1169" s="52"/>
      <c r="V1169" s="4293"/>
      <c r="W1169" s="232">
        <v>18</v>
      </c>
      <c r="X1169" s="232">
        <v>18</v>
      </c>
      <c r="Y1169" s="232">
        <v>18</v>
      </c>
      <c r="Z1169" s="232">
        <v>18</v>
      </c>
      <c r="AA1169" s="232">
        <v>18</v>
      </c>
      <c r="AB1169" s="232">
        <v>18</v>
      </c>
      <c r="AC1169" s="232">
        <v>18</v>
      </c>
      <c r="AD1169" s="232">
        <v>18</v>
      </c>
      <c r="AE1169" s="1162">
        <v>18</v>
      </c>
      <c r="AF1169" s="271">
        <f t="shared" si="185"/>
        <v>18</v>
      </c>
      <c r="AG1169" s="229"/>
      <c r="DG1169" s="573"/>
      <c r="DH1169" s="159"/>
      <c r="DI1169" s="1091"/>
    </row>
    <row r="1170" spans="1:113" hidden="1" outlineLevel="1">
      <c r="A1170" s="453"/>
      <c r="C1170" s="51"/>
      <c r="D1170" s="4293"/>
      <c r="E1170" s="4293"/>
      <c r="F1170" s="4289" t="str">
        <f t="shared" si="187"/>
        <v>Mini/MultiSplitASHP_ROF_SF_NC</v>
      </c>
      <c r="G1170" s="4289"/>
      <c r="H1170" s="4289"/>
      <c r="I1170" s="929" t="str">
        <f t="shared" si="188"/>
        <v>351300_2024_12_</v>
      </c>
      <c r="J1170" s="1658">
        <v>18</v>
      </c>
      <c r="K1170" s="230"/>
      <c r="L1170" s="4267"/>
      <c r="N1170" s="564"/>
      <c r="S1170" s="52"/>
      <c r="T1170" s="52"/>
      <c r="U1170" s="52"/>
      <c r="V1170" s="4293"/>
      <c r="W1170" s="232">
        <v>18</v>
      </c>
      <c r="X1170" s="232">
        <v>18</v>
      </c>
      <c r="Y1170" s="232">
        <v>18</v>
      </c>
      <c r="Z1170" s="232">
        <v>18</v>
      </c>
      <c r="AA1170" s="232">
        <v>18</v>
      </c>
      <c r="AB1170" s="232">
        <v>18</v>
      </c>
      <c r="AC1170" s="232">
        <v>18</v>
      </c>
      <c r="AD1170" s="232">
        <v>18</v>
      </c>
      <c r="AE1170" s="1162">
        <v>18</v>
      </c>
      <c r="AF1170" s="271">
        <f t="shared" si="185"/>
        <v>18</v>
      </c>
      <c r="AG1170" s="229"/>
      <c r="DG1170" s="573"/>
      <c r="DH1170" s="159"/>
      <c r="DI1170" s="1091"/>
    </row>
    <row r="1171" spans="1:113" hidden="1" outlineLevel="1">
      <c r="A1171" s="453"/>
      <c r="C1171" s="51"/>
      <c r="D1171" s="4293"/>
      <c r="E1171" s="4293"/>
      <c r="F1171" s="4289" t="str">
        <f t="shared" si="187"/>
        <v>Mini/MultiSplitASHP_ROF_SF_NC</v>
      </c>
      <c r="G1171" s="4289"/>
      <c r="H1171" s="4289"/>
      <c r="I1171" s="929" t="str">
        <f t="shared" si="188"/>
        <v>351300_2024_12_</v>
      </c>
      <c r="J1171" s="1658">
        <v>18</v>
      </c>
      <c r="K1171" s="230"/>
      <c r="L1171" s="4267"/>
      <c r="N1171" s="564"/>
      <c r="S1171" s="52"/>
      <c r="T1171" s="52"/>
      <c r="U1171" s="52"/>
      <c r="V1171" s="4293"/>
      <c r="W1171" s="232">
        <v>18</v>
      </c>
      <c r="X1171" s="232">
        <v>18</v>
      </c>
      <c r="Y1171" s="232">
        <v>18</v>
      </c>
      <c r="Z1171" s="232">
        <v>18</v>
      </c>
      <c r="AA1171" s="232">
        <v>18</v>
      </c>
      <c r="AB1171" s="232">
        <v>18</v>
      </c>
      <c r="AC1171" s="232">
        <v>18</v>
      </c>
      <c r="AD1171" s="232">
        <v>18</v>
      </c>
      <c r="AE1171" s="1162">
        <v>18</v>
      </c>
      <c r="AF1171" s="271">
        <f t="shared" si="185"/>
        <v>18</v>
      </c>
      <c r="AG1171" s="229"/>
      <c r="DG1171" s="573"/>
      <c r="DH1171" s="159"/>
      <c r="DI1171" s="1091"/>
    </row>
    <row r="1172" spans="1:113" hidden="1" outlineLevel="1">
      <c r="A1172" s="453"/>
      <c r="C1172" s="51"/>
      <c r="D1172" s="4293"/>
      <c r="E1172" s="4293"/>
      <c r="F1172" s="4289" t="str">
        <f t="shared" si="187"/>
        <v>Mini/MultiSplitASHP_ROF_SF</v>
      </c>
      <c r="G1172" s="4289"/>
      <c r="H1172" s="4289"/>
      <c r="I1172" s="929" t="str">
        <f t="shared" si="188"/>
        <v>351350_2024_12_</v>
      </c>
      <c r="J1172" s="1658">
        <v>18</v>
      </c>
      <c r="K1172" s="230"/>
      <c r="L1172" s="4267"/>
      <c r="N1172" s="564"/>
      <c r="S1172" s="52"/>
      <c r="T1172" s="52"/>
      <c r="U1172" s="52"/>
      <c r="V1172" s="4293"/>
      <c r="W1172" s="232">
        <v>18</v>
      </c>
      <c r="X1172" s="232">
        <v>18</v>
      </c>
      <c r="Y1172" s="232">
        <v>18</v>
      </c>
      <c r="Z1172" s="232">
        <v>18</v>
      </c>
      <c r="AA1172" s="232">
        <v>18</v>
      </c>
      <c r="AB1172" s="232">
        <v>18</v>
      </c>
      <c r="AC1172" s="232">
        <v>18</v>
      </c>
      <c r="AD1172" s="232">
        <v>18</v>
      </c>
      <c r="AE1172" s="1162">
        <v>18</v>
      </c>
      <c r="AF1172" s="271">
        <f t="shared" si="185"/>
        <v>18</v>
      </c>
      <c r="AG1172" s="229"/>
      <c r="DG1172" s="573"/>
      <c r="DH1172" s="159"/>
      <c r="DI1172" s="1091"/>
    </row>
    <row r="1173" spans="1:113" hidden="1" outlineLevel="1">
      <c r="A1173" s="453"/>
      <c r="C1173" s="51"/>
      <c r="D1173" s="4293"/>
      <c r="E1173" s="4293"/>
      <c r="F1173" s="4289" t="str">
        <f t="shared" si="187"/>
        <v>Mini/MultiSplitASHP_ROF_SF</v>
      </c>
      <c r="G1173" s="4289"/>
      <c r="H1173" s="4289"/>
      <c r="I1173" s="929" t="str">
        <f t="shared" si="188"/>
        <v>351350_2024_12_</v>
      </c>
      <c r="J1173" s="1658">
        <v>18</v>
      </c>
      <c r="K1173" s="230"/>
      <c r="L1173" s="4267"/>
      <c r="N1173" s="564"/>
      <c r="S1173" s="52"/>
      <c r="T1173" s="52"/>
      <c r="U1173" s="52"/>
      <c r="V1173" s="4293"/>
      <c r="W1173" s="232">
        <v>18</v>
      </c>
      <c r="X1173" s="232">
        <v>18</v>
      </c>
      <c r="Y1173" s="232">
        <v>18</v>
      </c>
      <c r="Z1173" s="232">
        <v>18</v>
      </c>
      <c r="AA1173" s="232">
        <v>18</v>
      </c>
      <c r="AB1173" s="232">
        <v>18</v>
      </c>
      <c r="AC1173" s="232">
        <v>18</v>
      </c>
      <c r="AD1173" s="232">
        <v>18</v>
      </c>
      <c r="AE1173" s="1162">
        <v>18</v>
      </c>
      <c r="AF1173" s="271">
        <f t="shared" si="185"/>
        <v>18</v>
      </c>
      <c r="AG1173" s="229"/>
      <c r="DG1173" s="573"/>
      <c r="DH1173" s="159"/>
      <c r="DI1173" s="1091"/>
    </row>
    <row r="1174" spans="1:113" hidden="1" outlineLevel="1">
      <c r="A1174" s="453"/>
      <c r="C1174" s="51"/>
      <c r="D1174" s="4293"/>
      <c r="E1174" s="4293"/>
      <c r="F1174" s="4289" t="str">
        <f t="shared" si="187"/>
        <v>Mini/MultiSplitASHP-Replace_CAC_ElectricHeat_ER1_SF</v>
      </c>
      <c r="G1174" s="4289"/>
      <c r="H1174" s="4289"/>
      <c r="I1174" s="929" t="str">
        <f t="shared" si="188"/>
        <v>351400_2024_12_</v>
      </c>
      <c r="J1174" s="1658">
        <v>6</v>
      </c>
      <c r="K1174" s="230"/>
      <c r="L1174" s="4267"/>
      <c r="N1174" s="564"/>
      <c r="S1174" s="52"/>
      <c r="T1174" s="52"/>
      <c r="U1174" s="52"/>
      <c r="V1174" s="4293"/>
      <c r="W1174" s="232">
        <v>6</v>
      </c>
      <c r="X1174" s="232">
        <v>6</v>
      </c>
      <c r="Y1174" s="232">
        <v>6</v>
      </c>
      <c r="Z1174" s="232">
        <v>6</v>
      </c>
      <c r="AA1174" s="232">
        <v>6</v>
      </c>
      <c r="AB1174" s="232">
        <v>6</v>
      </c>
      <c r="AC1174" s="232">
        <v>6</v>
      </c>
      <c r="AD1174" s="232">
        <v>6</v>
      </c>
      <c r="AE1174" s="1162">
        <v>6</v>
      </c>
      <c r="AF1174" s="271">
        <f t="shared" si="185"/>
        <v>6</v>
      </c>
      <c r="AG1174" s="229"/>
      <c r="DG1174" s="573"/>
      <c r="DH1174" s="159"/>
      <c r="DI1174" s="1091"/>
    </row>
    <row r="1175" spans="1:113" hidden="1" outlineLevel="1">
      <c r="A1175" s="453"/>
      <c r="C1175" s="51"/>
      <c r="D1175" s="4293"/>
      <c r="E1175" s="4293"/>
      <c r="F1175" s="4289" t="str">
        <f t="shared" si="187"/>
        <v>Mini/MultiSplitASHP-Replace_CAC_ElectricHeat_ER1_SF</v>
      </c>
      <c r="G1175" s="4289"/>
      <c r="H1175" s="4289"/>
      <c r="I1175" s="929" t="str">
        <f t="shared" si="188"/>
        <v>351400_2024_12_</v>
      </c>
      <c r="J1175" s="1658">
        <v>6</v>
      </c>
      <c r="K1175" s="230"/>
      <c r="L1175" s="4267"/>
      <c r="N1175" s="564"/>
      <c r="S1175" s="52"/>
      <c r="T1175" s="52"/>
      <c r="U1175" s="52"/>
      <c r="V1175" s="4293"/>
      <c r="W1175" s="232">
        <v>6</v>
      </c>
      <c r="X1175" s="232">
        <v>6</v>
      </c>
      <c r="Y1175" s="232">
        <v>6</v>
      </c>
      <c r="Z1175" s="232">
        <v>6</v>
      </c>
      <c r="AA1175" s="232">
        <v>6</v>
      </c>
      <c r="AB1175" s="232">
        <v>6</v>
      </c>
      <c r="AC1175" s="232">
        <v>6</v>
      </c>
      <c r="AD1175" s="232">
        <v>6</v>
      </c>
      <c r="AE1175" s="1162">
        <v>6</v>
      </c>
      <c r="AF1175" s="271">
        <f t="shared" si="185"/>
        <v>6</v>
      </c>
      <c r="AG1175" s="229"/>
      <c r="DG1175" s="573"/>
      <c r="DH1175" s="159"/>
      <c r="DI1175" s="1091"/>
    </row>
    <row r="1176" spans="1:113" hidden="1" outlineLevel="1">
      <c r="A1176" s="453"/>
      <c r="C1176" s="51"/>
      <c r="D1176" s="4293"/>
      <c r="E1176" s="4293"/>
      <c r="F1176" s="4289" t="str">
        <f t="shared" si="187"/>
        <v>Mini/MultiSplitASHP-Replace_CAC_ElectricHeat_ER2_SF</v>
      </c>
      <c r="G1176" s="4289"/>
      <c r="H1176" s="4289"/>
      <c r="I1176" s="929" t="str">
        <f t="shared" si="188"/>
        <v>351400_2024_12_</v>
      </c>
      <c r="J1176" s="1658">
        <v>12</v>
      </c>
      <c r="K1176" s="230"/>
      <c r="L1176" s="4267"/>
      <c r="N1176" s="564"/>
      <c r="S1176" s="52"/>
      <c r="T1176" s="52"/>
      <c r="U1176" s="52"/>
      <c r="V1176" s="4293"/>
      <c r="W1176" s="232">
        <v>12</v>
      </c>
      <c r="X1176" s="232">
        <v>12</v>
      </c>
      <c r="Y1176" s="232">
        <v>12</v>
      </c>
      <c r="Z1176" s="232">
        <v>12</v>
      </c>
      <c r="AA1176" s="232">
        <v>12</v>
      </c>
      <c r="AB1176" s="232">
        <v>12</v>
      </c>
      <c r="AC1176" s="232">
        <v>12</v>
      </c>
      <c r="AD1176" s="232">
        <v>12</v>
      </c>
      <c r="AE1176" s="1162">
        <v>12</v>
      </c>
      <c r="AF1176" s="271">
        <f t="shared" si="185"/>
        <v>12</v>
      </c>
      <c r="AG1176" s="229"/>
      <c r="DG1176" s="573"/>
      <c r="DH1176" s="159"/>
      <c r="DI1176" s="1091"/>
    </row>
    <row r="1177" spans="1:113" hidden="1" outlineLevel="1">
      <c r="A1177" s="453"/>
      <c r="C1177" s="51"/>
      <c r="D1177" s="4293"/>
      <c r="E1177" s="4293"/>
      <c r="F1177" s="4289" t="str">
        <f t="shared" si="187"/>
        <v>Mini/MultiSplitASHP-Replace_CAC_ElectricHeat_ER2_SF</v>
      </c>
      <c r="G1177" s="4289"/>
      <c r="H1177" s="4289"/>
      <c r="I1177" s="929" t="str">
        <f t="shared" si="188"/>
        <v>351400_2024_12_</v>
      </c>
      <c r="J1177" s="1658">
        <v>12</v>
      </c>
      <c r="K1177" s="230"/>
      <c r="L1177" s="4267"/>
      <c r="N1177" s="564"/>
      <c r="S1177" s="52"/>
      <c r="T1177" s="52"/>
      <c r="U1177" s="52"/>
      <c r="V1177" s="4293"/>
      <c r="W1177" s="232">
        <v>12</v>
      </c>
      <c r="X1177" s="232">
        <v>12</v>
      </c>
      <c r="Y1177" s="232">
        <v>12</v>
      </c>
      <c r="Z1177" s="232">
        <v>12</v>
      </c>
      <c r="AA1177" s="232">
        <v>12</v>
      </c>
      <c r="AB1177" s="232">
        <v>12</v>
      </c>
      <c r="AC1177" s="232">
        <v>12</v>
      </c>
      <c r="AD1177" s="232">
        <v>12</v>
      </c>
      <c r="AE1177" s="1162">
        <v>12</v>
      </c>
      <c r="AF1177" s="271">
        <f t="shared" si="185"/>
        <v>12</v>
      </c>
      <c r="AG1177" s="229"/>
      <c r="DG1177" s="573"/>
      <c r="DH1177" s="159"/>
      <c r="DI1177" s="1091"/>
    </row>
    <row r="1178" spans="1:113" hidden="1" outlineLevel="1">
      <c r="A1178" s="453"/>
      <c r="C1178" s="51"/>
      <c r="D1178" s="4293"/>
      <c r="E1178" s="4293"/>
      <c r="F1178" s="4289" t="str">
        <f t="shared" si="187"/>
        <v>Mini/MultiSplitASHP-Replace_CAC_NonElectricHeat_ER1_SF</v>
      </c>
      <c r="G1178" s="4289"/>
      <c r="H1178" s="4289"/>
      <c r="I1178" s="930" t="str">
        <f>I1108</f>
        <v>351401_2024_12_</v>
      </c>
      <c r="J1178" s="1658">
        <v>6</v>
      </c>
      <c r="K1178" s="230"/>
      <c r="L1178" s="4267"/>
      <c r="N1178" s="564"/>
      <c r="S1178" s="52"/>
      <c r="T1178" s="52"/>
      <c r="U1178" s="52"/>
      <c r="V1178" s="4293"/>
      <c r="W1178" s="232"/>
      <c r="X1178" s="232"/>
      <c r="Y1178" s="232"/>
      <c r="Z1178" s="232"/>
      <c r="AA1178" s="232"/>
      <c r="AB1178" s="232"/>
      <c r="AC1178" s="232"/>
      <c r="AD1178" s="242">
        <v>6</v>
      </c>
      <c r="AE1178" s="1162">
        <v>6</v>
      </c>
      <c r="AF1178" s="271">
        <f t="shared" si="185"/>
        <v>6</v>
      </c>
      <c r="AG1178" s="229"/>
      <c r="DG1178" s="573"/>
      <c r="DH1178" s="159"/>
      <c r="DI1178" s="1091"/>
    </row>
    <row r="1179" spans="1:113" hidden="1" outlineLevel="1">
      <c r="A1179" s="453"/>
      <c r="C1179" s="51"/>
      <c r="D1179" s="4293"/>
      <c r="E1179" s="4293"/>
      <c r="F1179" s="4289" t="str">
        <f t="shared" si="187"/>
        <v>Mini/MultiSplitASHP-Replace_CAC_NonElectricHeat_ER1_SF</v>
      </c>
      <c r="G1179" s="4289"/>
      <c r="H1179" s="4289"/>
      <c r="I1179" s="930" t="str">
        <f>I1109</f>
        <v>351401_2024_12_</v>
      </c>
      <c r="J1179" s="1658">
        <v>6</v>
      </c>
      <c r="K1179" s="230"/>
      <c r="L1179" s="4267"/>
      <c r="N1179" s="564"/>
      <c r="S1179" s="52"/>
      <c r="T1179" s="52"/>
      <c r="U1179" s="52"/>
      <c r="V1179" s="4293"/>
      <c r="W1179" s="232"/>
      <c r="X1179" s="232"/>
      <c r="Y1179" s="232"/>
      <c r="Z1179" s="232"/>
      <c r="AA1179" s="232"/>
      <c r="AB1179" s="232"/>
      <c r="AC1179" s="232"/>
      <c r="AD1179" s="242">
        <v>6</v>
      </c>
      <c r="AE1179" s="1162">
        <v>6</v>
      </c>
      <c r="AF1179" s="271">
        <f t="shared" si="185"/>
        <v>6</v>
      </c>
      <c r="AG1179" s="229"/>
      <c r="DG1179" s="573"/>
      <c r="DH1179" s="159"/>
      <c r="DI1179" s="1091"/>
    </row>
    <row r="1180" spans="1:113" hidden="1" outlineLevel="1">
      <c r="A1180" s="453"/>
      <c r="C1180" s="51"/>
      <c r="D1180" s="4293"/>
      <c r="E1180" s="4293"/>
      <c r="F1180" s="4289" t="str">
        <f t="shared" si="187"/>
        <v>Mini/MultiSplitASHP-Replace_CAC_NonElectricHeat_ER2_SF</v>
      </c>
      <c r="G1180" s="4289"/>
      <c r="H1180" s="4289"/>
      <c r="I1180" s="930" t="str">
        <f>I1110</f>
        <v>351401_2024_12_</v>
      </c>
      <c r="J1180" s="1658">
        <v>12</v>
      </c>
      <c r="K1180" s="230"/>
      <c r="L1180" s="4267"/>
      <c r="N1180" s="564"/>
      <c r="S1180" s="52"/>
      <c r="T1180" s="52"/>
      <c r="U1180" s="52"/>
      <c r="V1180" s="4293"/>
      <c r="W1180" s="232"/>
      <c r="X1180" s="232"/>
      <c r="Y1180" s="232"/>
      <c r="Z1180" s="232"/>
      <c r="AA1180" s="232"/>
      <c r="AB1180" s="232"/>
      <c r="AC1180" s="232"/>
      <c r="AD1180" s="242">
        <v>12</v>
      </c>
      <c r="AE1180" s="1162">
        <v>12</v>
      </c>
      <c r="AF1180" s="271">
        <f t="shared" si="185"/>
        <v>12</v>
      </c>
      <c r="AG1180" s="229"/>
      <c r="DG1180" s="573"/>
      <c r="DH1180" s="159"/>
      <c r="DI1180" s="1091"/>
    </row>
    <row r="1181" spans="1:113" hidden="1" outlineLevel="1">
      <c r="A1181" s="453"/>
      <c r="C1181" s="51"/>
      <c r="D1181" s="4293"/>
      <c r="E1181" s="4293"/>
      <c r="F1181" s="4289" t="str">
        <f t="shared" si="187"/>
        <v>Mini/MultiSplitASHP-Replace_CAC_NonElectricHeat_ER2_SF</v>
      </c>
      <c r="G1181" s="4289"/>
      <c r="H1181" s="4289"/>
      <c r="I1181" s="930" t="str">
        <f>I1111</f>
        <v>351401_2024_12_</v>
      </c>
      <c r="J1181" s="1658">
        <v>12</v>
      </c>
      <c r="K1181" s="230"/>
      <c r="L1181" s="4267"/>
      <c r="N1181" s="564"/>
      <c r="S1181" s="52"/>
      <c r="T1181" s="52"/>
      <c r="U1181" s="52"/>
      <c r="V1181" s="4293"/>
      <c r="W1181" s="232"/>
      <c r="X1181" s="232"/>
      <c r="Y1181" s="232"/>
      <c r="Z1181" s="232"/>
      <c r="AA1181" s="232"/>
      <c r="AB1181" s="232"/>
      <c r="AC1181" s="232"/>
      <c r="AD1181" s="242">
        <v>12</v>
      </c>
      <c r="AE1181" s="1162">
        <v>12</v>
      </c>
      <c r="AF1181" s="271">
        <f t="shared" si="185"/>
        <v>12</v>
      </c>
      <c r="AG1181" s="229"/>
      <c r="DG1181" s="573"/>
      <c r="DH1181" s="159"/>
      <c r="DI1181" s="1091"/>
    </row>
    <row r="1182" spans="1:113" hidden="1" outlineLevel="1">
      <c r="A1182" s="453"/>
      <c r="C1182" s="51"/>
      <c r="D1182" s="4293"/>
      <c r="E1182" s="4293"/>
      <c r="F1182" s="4289" t="str">
        <f t="shared" si="187"/>
        <v>Mini/MultiSplitASHP-Replace_CAC_ElectricHeat_ROF_SF</v>
      </c>
      <c r="G1182" s="4289"/>
      <c r="H1182" s="4289"/>
      <c r="I1182" s="929" t="str">
        <f t="shared" si="188"/>
        <v>351450_2024_12_</v>
      </c>
      <c r="J1182" s="1658">
        <v>18</v>
      </c>
      <c r="K1182" s="230"/>
      <c r="L1182" s="4267"/>
      <c r="N1182" s="564"/>
      <c r="S1182" s="52"/>
      <c r="T1182" s="52"/>
      <c r="U1182" s="52"/>
      <c r="V1182" s="4293"/>
      <c r="W1182" s="232">
        <v>18</v>
      </c>
      <c r="X1182" s="232">
        <v>18</v>
      </c>
      <c r="Y1182" s="232">
        <v>18</v>
      </c>
      <c r="Z1182" s="232">
        <v>18</v>
      </c>
      <c r="AA1182" s="232">
        <v>18</v>
      </c>
      <c r="AB1182" s="232">
        <v>18</v>
      </c>
      <c r="AC1182" s="232">
        <v>18</v>
      </c>
      <c r="AD1182" s="232">
        <v>18</v>
      </c>
      <c r="AE1182" s="1162">
        <v>18</v>
      </c>
      <c r="AF1182" s="271">
        <f t="shared" si="185"/>
        <v>18</v>
      </c>
      <c r="AG1182" s="229"/>
      <c r="DG1182" s="573"/>
      <c r="DH1182" s="159"/>
      <c r="DI1182" s="1091"/>
    </row>
    <row r="1183" spans="1:113" hidden="1" outlineLevel="1">
      <c r="A1183" s="453"/>
      <c r="C1183" s="51"/>
      <c r="D1183" s="4293"/>
      <c r="E1183" s="4293"/>
      <c r="F1183" s="4289" t="str">
        <f t="shared" si="187"/>
        <v>Mini/MultiSplitASHP-Replace_CAC_ElectricHeat_ROF_SF</v>
      </c>
      <c r="G1183" s="4289"/>
      <c r="H1183" s="4289"/>
      <c r="I1183" s="929" t="str">
        <f t="shared" si="188"/>
        <v>351450_2024_12_</v>
      </c>
      <c r="J1183" s="1658">
        <v>18</v>
      </c>
      <c r="K1183" s="230"/>
      <c r="L1183" s="4267"/>
      <c r="N1183" s="564"/>
      <c r="S1183" s="52"/>
      <c r="T1183" s="52"/>
      <c r="U1183" s="52"/>
      <c r="V1183" s="4293"/>
      <c r="W1183" s="232">
        <v>18</v>
      </c>
      <c r="X1183" s="232">
        <v>18</v>
      </c>
      <c r="Y1183" s="232">
        <v>18</v>
      </c>
      <c r="Z1183" s="232">
        <v>18</v>
      </c>
      <c r="AA1183" s="232">
        <v>18</v>
      </c>
      <c r="AB1183" s="232">
        <v>18</v>
      </c>
      <c r="AC1183" s="232">
        <v>18</v>
      </c>
      <c r="AD1183" s="232">
        <v>18</v>
      </c>
      <c r="AE1183" s="1162">
        <v>18</v>
      </c>
      <c r="AF1183" s="271">
        <f t="shared" si="185"/>
        <v>18</v>
      </c>
      <c r="AG1183" s="229"/>
      <c r="DG1183" s="573"/>
      <c r="DH1183" s="159"/>
      <c r="DI1183" s="1091"/>
    </row>
    <row r="1184" spans="1:113" hidden="1" outlineLevel="1">
      <c r="A1184" s="453"/>
      <c r="C1184" s="51"/>
      <c r="D1184" s="4293"/>
      <c r="E1184" s="4293"/>
      <c r="F1184" s="4289" t="str">
        <f t="shared" si="187"/>
        <v>Mini/MultiSplitASHP-Replace_CAC_NonElectricHeat_ROF_SF</v>
      </c>
      <c r="G1184" s="4289"/>
      <c r="H1184" s="4289"/>
      <c r="I1184" s="929" t="str">
        <f t="shared" si="188"/>
        <v>351451_2024_12_</v>
      </c>
      <c r="J1184" s="1658">
        <v>18</v>
      </c>
      <c r="K1184" s="230"/>
      <c r="L1184" s="4267"/>
      <c r="N1184" s="564"/>
      <c r="S1184" s="52"/>
      <c r="T1184" s="52"/>
      <c r="U1184" s="52"/>
      <c r="V1184" s="4293"/>
      <c r="W1184" s="232"/>
      <c r="X1184" s="232"/>
      <c r="Y1184" s="232"/>
      <c r="Z1184" s="232"/>
      <c r="AA1184" s="232"/>
      <c r="AB1184" s="232"/>
      <c r="AC1184" s="232"/>
      <c r="AD1184" s="242">
        <v>18</v>
      </c>
      <c r="AE1184" s="1162">
        <v>18</v>
      </c>
      <c r="AF1184" s="271">
        <f t="shared" si="185"/>
        <v>18</v>
      </c>
      <c r="AG1184" s="229"/>
      <c r="DG1184" s="573"/>
      <c r="DH1184" s="159"/>
      <c r="DI1184" s="1091"/>
    </row>
    <row r="1185" spans="1:113" hidden="1" outlineLevel="1">
      <c r="A1185" s="453"/>
      <c r="C1185" s="51"/>
      <c r="D1185" s="4293"/>
      <c r="E1185" s="4293"/>
      <c r="F1185" s="4289" t="str">
        <f t="shared" si="187"/>
        <v>Mini/MultiSplitASHP-Replace_CAC_NonElectricHeat_ROF_SF</v>
      </c>
      <c r="G1185" s="4289"/>
      <c r="H1185" s="4289"/>
      <c r="I1185" s="929" t="str">
        <f t="shared" si="188"/>
        <v>351451_2024_12_</v>
      </c>
      <c r="J1185" s="1658">
        <v>18</v>
      </c>
      <c r="K1185" s="230"/>
      <c r="L1185" s="4267"/>
      <c r="N1185" s="564"/>
      <c r="S1185" s="52"/>
      <c r="T1185" s="52"/>
      <c r="U1185" s="52"/>
      <c r="V1185" s="4293"/>
      <c r="W1185" s="232"/>
      <c r="X1185" s="232"/>
      <c r="Y1185" s="232"/>
      <c r="Z1185" s="232"/>
      <c r="AA1185" s="232"/>
      <c r="AB1185" s="232"/>
      <c r="AC1185" s="232"/>
      <c r="AD1185" s="242">
        <v>18</v>
      </c>
      <c r="AE1185" s="1162">
        <v>18</v>
      </c>
      <c r="AF1185" s="271">
        <f t="shared" si="185"/>
        <v>18</v>
      </c>
      <c r="AG1185" s="229"/>
      <c r="DG1185" s="573"/>
      <c r="DH1185" s="159"/>
      <c r="DI1185" s="1091"/>
    </row>
    <row r="1186" spans="1:113" hidden="1" outlineLevel="1">
      <c r="A1186" s="453"/>
      <c r="C1186" s="51"/>
      <c r="D1186" s="4293"/>
      <c r="E1186" s="4293"/>
      <c r="F1186" s="4289" t="str">
        <f t="shared" si="187"/>
        <v>Mini/MultiSplitASHP_ER1_SF</v>
      </c>
      <c r="G1186" s="4289"/>
      <c r="H1186" s="4289"/>
      <c r="I1186" s="929" t="str">
        <f t="shared" si="188"/>
        <v>351500_2024_12_</v>
      </c>
      <c r="J1186" s="1658">
        <v>6</v>
      </c>
      <c r="K1186" s="230"/>
      <c r="L1186" s="4267"/>
      <c r="N1186" s="564"/>
      <c r="S1186" s="52"/>
      <c r="T1186" s="52"/>
      <c r="U1186" s="52"/>
      <c r="V1186" s="4293"/>
      <c r="W1186" s="232">
        <v>6</v>
      </c>
      <c r="X1186" s="232">
        <v>6</v>
      </c>
      <c r="Y1186" s="232">
        <v>6</v>
      </c>
      <c r="Z1186" s="232">
        <v>6</v>
      </c>
      <c r="AA1186" s="232">
        <v>6</v>
      </c>
      <c r="AB1186" s="232">
        <v>6</v>
      </c>
      <c r="AC1186" s="232">
        <v>6</v>
      </c>
      <c r="AD1186" s="232">
        <v>6</v>
      </c>
      <c r="AE1186" s="1162">
        <v>6</v>
      </c>
      <c r="AF1186" s="271">
        <f t="shared" si="185"/>
        <v>6</v>
      </c>
      <c r="AG1186" s="229"/>
      <c r="DG1186" s="573"/>
      <c r="DH1186" s="159"/>
      <c r="DI1186" s="1091"/>
    </row>
    <row r="1187" spans="1:113" hidden="1" outlineLevel="1">
      <c r="A1187" s="453"/>
      <c r="C1187" s="51"/>
      <c r="D1187" s="4293"/>
      <c r="E1187" s="4293"/>
      <c r="F1187" s="4289" t="str">
        <f t="shared" si="187"/>
        <v>Mini/MultiSplitASHP_ER1_SF</v>
      </c>
      <c r="G1187" s="4289"/>
      <c r="H1187" s="4289"/>
      <c r="I1187" s="929" t="str">
        <f t="shared" si="188"/>
        <v>351500_2024_12_</v>
      </c>
      <c r="J1187" s="1658">
        <v>6</v>
      </c>
      <c r="K1187" s="230"/>
      <c r="L1187" s="4267"/>
      <c r="N1187" s="564"/>
      <c r="S1187" s="52"/>
      <c r="T1187" s="52"/>
      <c r="U1187" s="52"/>
      <c r="V1187" s="4293"/>
      <c r="W1187" s="232">
        <v>6</v>
      </c>
      <c r="X1187" s="232">
        <v>6</v>
      </c>
      <c r="Y1187" s="232">
        <v>6</v>
      </c>
      <c r="Z1187" s="232">
        <v>6</v>
      </c>
      <c r="AA1187" s="232">
        <v>6</v>
      </c>
      <c r="AB1187" s="232">
        <v>6</v>
      </c>
      <c r="AC1187" s="232">
        <v>6</v>
      </c>
      <c r="AD1187" s="232">
        <v>6</v>
      </c>
      <c r="AE1187" s="1162">
        <v>6</v>
      </c>
      <c r="AF1187" s="271">
        <f t="shared" si="185"/>
        <v>6</v>
      </c>
      <c r="AG1187" s="229"/>
      <c r="DG1187" s="573"/>
      <c r="DH1187" s="159"/>
      <c r="DI1187" s="1091"/>
    </row>
    <row r="1188" spans="1:113" hidden="1" outlineLevel="1">
      <c r="A1188" s="453"/>
      <c r="C1188" s="51"/>
      <c r="D1188" s="4293"/>
      <c r="E1188" s="4293"/>
      <c r="F1188" s="4289" t="str">
        <f t="shared" si="187"/>
        <v>Mini/MultiSplitASHP_ER2_SF</v>
      </c>
      <c r="G1188" s="4289"/>
      <c r="H1188" s="4289"/>
      <c r="I1188" s="929" t="str">
        <f t="shared" si="188"/>
        <v>351500_2024_12_</v>
      </c>
      <c r="J1188" s="1658">
        <v>12</v>
      </c>
      <c r="K1188" s="230"/>
      <c r="L1188" s="4267"/>
      <c r="N1188" s="564"/>
      <c r="S1188" s="52"/>
      <c r="T1188" s="52"/>
      <c r="U1188" s="52"/>
      <c r="V1188" s="4293"/>
      <c r="W1188" s="232">
        <v>12</v>
      </c>
      <c r="X1188" s="232">
        <v>12</v>
      </c>
      <c r="Y1188" s="232">
        <v>12</v>
      </c>
      <c r="Z1188" s="232">
        <v>12</v>
      </c>
      <c r="AA1188" s="232">
        <v>12</v>
      </c>
      <c r="AB1188" s="232">
        <v>12</v>
      </c>
      <c r="AC1188" s="232">
        <v>12</v>
      </c>
      <c r="AD1188" s="232">
        <v>12</v>
      </c>
      <c r="AE1188" s="1162">
        <v>12</v>
      </c>
      <c r="AF1188" s="271">
        <f t="shared" si="185"/>
        <v>12</v>
      </c>
      <c r="AG1188" s="229"/>
      <c r="DG1188" s="573"/>
      <c r="DH1188" s="159"/>
      <c r="DI1188" s="1091"/>
    </row>
    <row r="1189" spans="1:113" hidden="1" outlineLevel="1">
      <c r="A1189" s="453"/>
      <c r="C1189" s="51"/>
      <c r="D1189" s="4293"/>
      <c r="E1189" s="4293"/>
      <c r="F1189" s="4289" t="str">
        <f t="shared" si="187"/>
        <v>Mini/MultiSplitASHP_ER2_SF</v>
      </c>
      <c r="G1189" s="4289"/>
      <c r="H1189" s="4289"/>
      <c r="I1189" s="929" t="str">
        <f t="shared" si="188"/>
        <v>351500_2024_12_</v>
      </c>
      <c r="J1189" s="1658">
        <v>12</v>
      </c>
      <c r="K1189" s="230"/>
      <c r="L1189" s="4267"/>
      <c r="N1189" s="564"/>
      <c r="S1189" s="52"/>
      <c r="T1189" s="52"/>
      <c r="U1189" s="52"/>
      <c r="V1189" s="4293"/>
      <c r="W1189" s="232">
        <v>12</v>
      </c>
      <c r="X1189" s="232">
        <v>12</v>
      </c>
      <c r="Y1189" s="232">
        <v>12</v>
      </c>
      <c r="Z1189" s="232">
        <v>12</v>
      </c>
      <c r="AA1189" s="232">
        <v>12</v>
      </c>
      <c r="AB1189" s="232">
        <v>12</v>
      </c>
      <c r="AC1189" s="232">
        <v>12</v>
      </c>
      <c r="AD1189" s="232">
        <v>12</v>
      </c>
      <c r="AE1189" s="1162">
        <v>12</v>
      </c>
      <c r="AF1189" s="271">
        <f t="shared" si="185"/>
        <v>12</v>
      </c>
      <c r="AG1189" s="229"/>
      <c r="DG1189" s="573"/>
      <c r="DH1189" s="159"/>
      <c r="DI1189" s="1091"/>
    </row>
    <row r="1190" spans="1:113" hidden="1" outlineLevel="1">
      <c r="A1190" s="453"/>
      <c r="C1190" s="51"/>
      <c r="D1190" s="4293"/>
      <c r="E1190" s="4293"/>
      <c r="F1190" s="4289" t="str">
        <f t="shared" si="187"/>
        <v>Mini/MultiSplitAC_ER1_MF</v>
      </c>
      <c r="G1190" s="4289"/>
      <c r="H1190" s="4289"/>
      <c r="I1190" s="929" t="str">
        <f t="shared" si="188"/>
        <v>351550_2024_12_</v>
      </c>
      <c r="J1190" s="1658">
        <v>6</v>
      </c>
      <c r="K1190" s="230"/>
      <c r="L1190" s="4267"/>
      <c r="N1190" s="564"/>
      <c r="S1190" s="52"/>
      <c r="T1190" s="52"/>
      <c r="U1190" s="52"/>
      <c r="V1190" s="4293"/>
      <c r="W1190" s="232">
        <v>6</v>
      </c>
      <c r="X1190" s="232">
        <v>6</v>
      </c>
      <c r="Y1190" s="232">
        <v>6</v>
      </c>
      <c r="Z1190" s="232">
        <v>6</v>
      </c>
      <c r="AA1190" s="232">
        <v>6</v>
      </c>
      <c r="AB1190" s="232">
        <v>6</v>
      </c>
      <c r="AC1190" s="232">
        <v>6</v>
      </c>
      <c r="AD1190" s="232">
        <v>6</v>
      </c>
      <c r="AE1190" s="1162">
        <v>6</v>
      </c>
      <c r="AF1190" s="271">
        <f t="shared" si="185"/>
        <v>6</v>
      </c>
      <c r="AG1190" s="229"/>
      <c r="DG1190" s="573"/>
      <c r="DH1190" s="159"/>
      <c r="DI1190" s="1091"/>
    </row>
    <row r="1191" spans="1:113" hidden="1" outlineLevel="1">
      <c r="A1191" s="453"/>
      <c r="C1191" s="51"/>
      <c r="D1191" s="4293"/>
      <c r="E1191" s="4293"/>
      <c r="F1191" s="4289" t="str">
        <f t="shared" si="187"/>
        <v>Mini/MultiSplitAC_ER2_MF</v>
      </c>
      <c r="G1191" s="4289"/>
      <c r="H1191" s="4289"/>
      <c r="I1191" s="929" t="str">
        <f t="shared" si="188"/>
        <v>351550_2024_12_</v>
      </c>
      <c r="J1191" s="1658">
        <v>12</v>
      </c>
      <c r="K1191" s="230"/>
      <c r="L1191" s="4267"/>
      <c r="N1191" s="564"/>
      <c r="S1191" s="52"/>
      <c r="T1191" s="52"/>
      <c r="U1191" s="52"/>
      <c r="V1191" s="4293"/>
      <c r="W1191" s="232">
        <v>12</v>
      </c>
      <c r="X1191" s="232">
        <v>12</v>
      </c>
      <c r="Y1191" s="232">
        <v>12</v>
      </c>
      <c r="Z1191" s="232">
        <v>12</v>
      </c>
      <c r="AA1191" s="232">
        <v>12</v>
      </c>
      <c r="AB1191" s="232">
        <v>12</v>
      </c>
      <c r="AC1191" s="232">
        <v>12</v>
      </c>
      <c r="AD1191" s="232">
        <v>12</v>
      </c>
      <c r="AE1191" s="1162">
        <v>12</v>
      </c>
      <c r="AF1191" s="271">
        <f t="shared" si="185"/>
        <v>12</v>
      </c>
      <c r="AG1191" s="229"/>
      <c r="DG1191" s="573"/>
      <c r="DH1191" s="159"/>
      <c r="DI1191" s="1091"/>
    </row>
    <row r="1192" spans="1:113" hidden="1" outlineLevel="1">
      <c r="A1192" s="453"/>
      <c r="C1192" s="51"/>
      <c r="D1192" s="4293"/>
      <c r="E1192" s="4293"/>
      <c r="F1192" s="4290" t="str">
        <f t="shared" si="187"/>
        <v>Mini/MultiSplitAC_ROF_MF</v>
      </c>
      <c r="G1192" s="4290"/>
      <c r="H1192" s="4290"/>
      <c r="I1192" s="3334" t="str">
        <f t="shared" si="188"/>
        <v>351600_2024_12_</v>
      </c>
      <c r="J1192" s="2315">
        <v>18</v>
      </c>
      <c r="K1192" s="230"/>
      <c r="L1192" s="4267"/>
      <c r="N1192" s="564"/>
      <c r="S1192" s="52"/>
      <c r="T1192" s="52"/>
      <c r="U1192" s="52"/>
      <c r="V1192" s="4293"/>
      <c r="W1192" s="3356">
        <v>18</v>
      </c>
      <c r="X1192" s="3356">
        <v>18</v>
      </c>
      <c r="Y1192" s="3356">
        <v>18</v>
      </c>
      <c r="Z1192" s="3356">
        <v>18</v>
      </c>
      <c r="AA1192" s="3356">
        <v>18</v>
      </c>
      <c r="AB1192" s="3356">
        <v>18</v>
      </c>
      <c r="AC1192" s="3356">
        <v>18</v>
      </c>
      <c r="AD1192" s="3356">
        <v>18</v>
      </c>
      <c r="AE1192" s="3357">
        <v>18</v>
      </c>
      <c r="AF1192" s="2236">
        <f t="shared" si="185"/>
        <v>18</v>
      </c>
      <c r="AG1192" s="229"/>
      <c r="DG1192" s="573"/>
      <c r="DH1192" s="159"/>
      <c r="DI1192" s="1091"/>
    </row>
    <row r="1193" spans="1:113" hidden="1" outlineLevel="1">
      <c r="A1193" s="453"/>
      <c r="C1193" s="51"/>
      <c r="D1193" s="4293"/>
      <c r="E1193" s="4293"/>
      <c r="F1193" s="4290" t="str">
        <f t="shared" si="187"/>
        <v>Mini/MultiSplitASHP_ROF_MF_NC</v>
      </c>
      <c r="G1193" s="4290"/>
      <c r="H1193" s="4290"/>
      <c r="I1193" s="3334" t="str">
        <f t="shared" si="188"/>
        <v>351650_2024_12_</v>
      </c>
      <c r="J1193" s="2315">
        <v>18</v>
      </c>
      <c r="K1193" s="230"/>
      <c r="L1193" s="4267"/>
      <c r="N1193" s="564"/>
      <c r="S1193" s="52"/>
      <c r="T1193" s="52"/>
      <c r="U1193" s="52"/>
      <c r="V1193" s="4293"/>
      <c r="W1193" s="3356">
        <v>18</v>
      </c>
      <c r="X1193" s="3356">
        <v>18</v>
      </c>
      <c r="Y1193" s="3356">
        <v>18</v>
      </c>
      <c r="Z1193" s="3356">
        <v>18</v>
      </c>
      <c r="AA1193" s="3356">
        <v>18</v>
      </c>
      <c r="AB1193" s="3356">
        <v>18</v>
      </c>
      <c r="AC1193" s="3356">
        <v>18</v>
      </c>
      <c r="AD1193" s="3356">
        <v>18</v>
      </c>
      <c r="AE1193" s="3357">
        <v>18</v>
      </c>
      <c r="AF1193" s="2236">
        <f t="shared" si="185"/>
        <v>18</v>
      </c>
      <c r="AG1193" s="229"/>
      <c r="DG1193" s="573"/>
      <c r="DH1193" s="159"/>
      <c r="DI1193" s="1091"/>
    </row>
    <row r="1194" spans="1:113" hidden="1" outlineLevel="1">
      <c r="A1194" s="453"/>
      <c r="C1194" s="51"/>
      <c r="D1194" s="4293"/>
      <c r="E1194" s="4293"/>
      <c r="F1194" s="4290" t="str">
        <f t="shared" si="187"/>
        <v>Mini/MultiSplitASHP_ROF_MF_NC</v>
      </c>
      <c r="G1194" s="4290"/>
      <c r="H1194" s="4290"/>
      <c r="I1194" s="3334" t="str">
        <f t="shared" si="188"/>
        <v>351650_2024_12_</v>
      </c>
      <c r="J1194" s="2315">
        <v>18</v>
      </c>
      <c r="K1194" s="230"/>
      <c r="L1194" s="4267"/>
      <c r="N1194" s="564"/>
      <c r="S1194" s="52"/>
      <c r="T1194" s="52"/>
      <c r="U1194" s="52"/>
      <c r="V1194" s="4293"/>
      <c r="W1194" s="3356">
        <v>18</v>
      </c>
      <c r="X1194" s="3356">
        <v>18</v>
      </c>
      <c r="Y1194" s="3356">
        <v>18</v>
      </c>
      <c r="Z1194" s="3356">
        <v>18</v>
      </c>
      <c r="AA1194" s="3356">
        <v>18</v>
      </c>
      <c r="AB1194" s="3356">
        <v>18</v>
      </c>
      <c r="AC1194" s="3356">
        <v>18</v>
      </c>
      <c r="AD1194" s="3356">
        <v>18</v>
      </c>
      <c r="AE1194" s="3357">
        <v>18</v>
      </c>
      <c r="AF1194" s="2236">
        <f t="shared" si="185"/>
        <v>18</v>
      </c>
      <c r="AG1194" s="229"/>
      <c r="DG1194" s="573"/>
      <c r="DH1194" s="159"/>
      <c r="DI1194" s="1091"/>
    </row>
    <row r="1195" spans="1:113" hidden="1" outlineLevel="1">
      <c r="A1195" s="453"/>
      <c r="C1195" s="51"/>
      <c r="D1195" s="4293"/>
      <c r="E1195" s="4293"/>
      <c r="F1195" s="4290" t="str">
        <f t="shared" si="187"/>
        <v>Mini/MultiSplitASHP_ROF_MF</v>
      </c>
      <c r="G1195" s="4290"/>
      <c r="H1195" s="4290"/>
      <c r="I1195" s="3334" t="str">
        <f t="shared" si="188"/>
        <v>351700_2024_12_</v>
      </c>
      <c r="J1195" s="2315">
        <v>18</v>
      </c>
      <c r="K1195" s="230"/>
      <c r="L1195" s="4267"/>
      <c r="N1195" s="564"/>
      <c r="S1195" s="52"/>
      <c r="T1195" s="52"/>
      <c r="U1195" s="52"/>
      <c r="V1195" s="4293"/>
      <c r="W1195" s="3356">
        <v>18</v>
      </c>
      <c r="X1195" s="3356">
        <v>18</v>
      </c>
      <c r="Y1195" s="3356">
        <v>18</v>
      </c>
      <c r="Z1195" s="3356">
        <v>18</v>
      </c>
      <c r="AA1195" s="3356">
        <v>18</v>
      </c>
      <c r="AB1195" s="3356">
        <v>18</v>
      </c>
      <c r="AC1195" s="3356">
        <v>18</v>
      </c>
      <c r="AD1195" s="3356">
        <v>18</v>
      </c>
      <c r="AE1195" s="3357">
        <v>18</v>
      </c>
      <c r="AF1195" s="2236">
        <f t="shared" si="185"/>
        <v>18</v>
      </c>
      <c r="AG1195" s="229"/>
      <c r="DG1195" s="573"/>
      <c r="DH1195" s="159"/>
      <c r="DI1195" s="1091"/>
    </row>
    <row r="1196" spans="1:113" hidden="1" outlineLevel="1">
      <c r="A1196" s="453"/>
      <c r="C1196" s="51"/>
      <c r="D1196" s="4293"/>
      <c r="E1196" s="4293"/>
      <c r="F1196" s="4290" t="str">
        <f t="shared" si="187"/>
        <v>Mini/MultiSplitASHP_ROF_MF</v>
      </c>
      <c r="G1196" s="4290"/>
      <c r="H1196" s="4290"/>
      <c r="I1196" s="3334" t="str">
        <f t="shared" si="188"/>
        <v>351700_2024_12_</v>
      </c>
      <c r="J1196" s="2315">
        <v>18</v>
      </c>
      <c r="K1196" s="230"/>
      <c r="L1196" s="4267"/>
      <c r="N1196" s="564"/>
      <c r="S1196" s="52"/>
      <c r="T1196" s="52"/>
      <c r="U1196" s="52"/>
      <c r="V1196" s="4293"/>
      <c r="W1196" s="3356">
        <v>18</v>
      </c>
      <c r="X1196" s="3356">
        <v>18</v>
      </c>
      <c r="Y1196" s="3356">
        <v>18</v>
      </c>
      <c r="Z1196" s="3356">
        <v>18</v>
      </c>
      <c r="AA1196" s="3356">
        <v>18</v>
      </c>
      <c r="AB1196" s="3356">
        <v>18</v>
      </c>
      <c r="AC1196" s="3356">
        <v>18</v>
      </c>
      <c r="AD1196" s="3356">
        <v>18</v>
      </c>
      <c r="AE1196" s="3357">
        <v>18</v>
      </c>
      <c r="AF1196" s="2236">
        <f t="shared" si="185"/>
        <v>18</v>
      </c>
      <c r="AG1196" s="229"/>
      <c r="DG1196" s="573"/>
      <c r="DH1196" s="159"/>
      <c r="DI1196" s="1091"/>
    </row>
    <row r="1197" spans="1:113" hidden="1" outlineLevel="1">
      <c r="A1197" s="453"/>
      <c r="C1197" s="51"/>
      <c r="D1197" s="4293"/>
      <c r="E1197" s="4293"/>
      <c r="F1197" s="4290" t="str">
        <f t="shared" si="187"/>
        <v>Mini/MultiSplitASHP-Replace_CAC_ElectricHeat_ER1_MF</v>
      </c>
      <c r="G1197" s="4290"/>
      <c r="H1197" s="4290"/>
      <c r="I1197" s="3334" t="str">
        <f t="shared" si="188"/>
        <v>351750_2024_12_</v>
      </c>
      <c r="J1197" s="2315">
        <v>6</v>
      </c>
      <c r="K1197" s="230"/>
      <c r="L1197" s="4267"/>
      <c r="N1197" s="564"/>
      <c r="S1197" s="52"/>
      <c r="T1197" s="52"/>
      <c r="U1197" s="52"/>
      <c r="V1197" s="4293"/>
      <c r="W1197" s="3356">
        <v>6</v>
      </c>
      <c r="X1197" s="3356">
        <v>6</v>
      </c>
      <c r="Y1197" s="3356">
        <v>6</v>
      </c>
      <c r="Z1197" s="3356">
        <v>6</v>
      </c>
      <c r="AA1197" s="3356">
        <v>6</v>
      </c>
      <c r="AB1197" s="3356">
        <v>6</v>
      </c>
      <c r="AC1197" s="3356">
        <v>6</v>
      </c>
      <c r="AD1197" s="3356">
        <v>6</v>
      </c>
      <c r="AE1197" s="3357">
        <v>6</v>
      </c>
      <c r="AF1197" s="2236">
        <f t="shared" si="185"/>
        <v>6</v>
      </c>
      <c r="AG1197" s="229"/>
      <c r="DG1197" s="573"/>
      <c r="DH1197" s="159"/>
      <c r="DI1197" s="1091"/>
    </row>
    <row r="1198" spans="1:113" hidden="1" outlineLevel="1">
      <c r="A1198" s="453"/>
      <c r="C1198" s="51"/>
      <c r="D1198" s="4293"/>
      <c r="E1198" s="4293"/>
      <c r="F1198" s="4290" t="str">
        <f t="shared" si="187"/>
        <v>Mini/MultiSplitASHP-Replace_CAC_ElectricHeat_ER1_MF</v>
      </c>
      <c r="G1198" s="4290"/>
      <c r="H1198" s="4290"/>
      <c r="I1198" s="3334" t="str">
        <f t="shared" si="188"/>
        <v>351750_2024_12_</v>
      </c>
      <c r="J1198" s="2315">
        <v>6</v>
      </c>
      <c r="K1198" s="230"/>
      <c r="L1198" s="4267"/>
      <c r="N1198" s="564"/>
      <c r="S1198" s="52"/>
      <c r="T1198" s="52"/>
      <c r="U1198" s="52"/>
      <c r="V1198" s="4293"/>
      <c r="W1198" s="3356">
        <v>6</v>
      </c>
      <c r="X1198" s="3356">
        <v>6</v>
      </c>
      <c r="Y1198" s="3356">
        <v>6</v>
      </c>
      <c r="Z1198" s="3356">
        <v>6</v>
      </c>
      <c r="AA1198" s="3356">
        <v>6</v>
      </c>
      <c r="AB1198" s="3356">
        <v>6</v>
      </c>
      <c r="AC1198" s="3356">
        <v>6</v>
      </c>
      <c r="AD1198" s="3356">
        <v>6</v>
      </c>
      <c r="AE1198" s="3357">
        <v>6</v>
      </c>
      <c r="AF1198" s="2236">
        <f t="shared" si="185"/>
        <v>6</v>
      </c>
      <c r="AG1198" s="229"/>
      <c r="DG1198" s="573"/>
      <c r="DH1198" s="159"/>
      <c r="DI1198" s="1091"/>
    </row>
    <row r="1199" spans="1:113" hidden="1" outlineLevel="1">
      <c r="A1199" s="453"/>
      <c r="C1199" s="51"/>
      <c r="D1199" s="4293"/>
      <c r="E1199" s="4293"/>
      <c r="F1199" s="4290" t="str">
        <f t="shared" si="187"/>
        <v>Mini/MultiSplitASHP-Replace_CAC_ElectricHeat_ER2_MF</v>
      </c>
      <c r="G1199" s="4290"/>
      <c r="H1199" s="4290"/>
      <c r="I1199" s="3334" t="str">
        <f t="shared" si="188"/>
        <v>351750_2024_12_</v>
      </c>
      <c r="J1199" s="2315">
        <v>12</v>
      </c>
      <c r="K1199" s="230"/>
      <c r="L1199" s="4267"/>
      <c r="N1199" s="564"/>
      <c r="S1199" s="52"/>
      <c r="T1199" s="52"/>
      <c r="U1199" s="52"/>
      <c r="V1199" s="4293"/>
      <c r="W1199" s="3356">
        <v>12</v>
      </c>
      <c r="X1199" s="3356">
        <v>12</v>
      </c>
      <c r="Y1199" s="3356">
        <v>12</v>
      </c>
      <c r="Z1199" s="3356">
        <v>12</v>
      </c>
      <c r="AA1199" s="3356">
        <v>12</v>
      </c>
      <c r="AB1199" s="3356">
        <v>12</v>
      </c>
      <c r="AC1199" s="3356">
        <v>12</v>
      </c>
      <c r="AD1199" s="3356">
        <v>12</v>
      </c>
      <c r="AE1199" s="3357">
        <v>12</v>
      </c>
      <c r="AF1199" s="2236">
        <f t="shared" si="185"/>
        <v>12</v>
      </c>
      <c r="AG1199" s="229"/>
      <c r="DG1199" s="573"/>
      <c r="DH1199" s="159"/>
      <c r="DI1199" s="1091"/>
    </row>
    <row r="1200" spans="1:113" hidden="1" outlineLevel="1">
      <c r="A1200" s="453"/>
      <c r="C1200" s="51"/>
      <c r="D1200" s="4293"/>
      <c r="E1200" s="4293"/>
      <c r="F1200" s="4290" t="str">
        <f t="shared" si="187"/>
        <v>Mini/MultiSplitASHP-Replace_CAC_ElectricHeat_ER2_MF</v>
      </c>
      <c r="G1200" s="4290"/>
      <c r="H1200" s="4290"/>
      <c r="I1200" s="3334" t="str">
        <f t="shared" si="188"/>
        <v>351750_2024_12_</v>
      </c>
      <c r="J1200" s="2315">
        <v>12</v>
      </c>
      <c r="K1200" s="230"/>
      <c r="L1200" s="4267"/>
      <c r="N1200" s="564"/>
      <c r="S1200" s="52"/>
      <c r="T1200" s="52"/>
      <c r="U1200" s="52"/>
      <c r="V1200" s="4293"/>
      <c r="W1200" s="3356">
        <v>12</v>
      </c>
      <c r="X1200" s="3356">
        <v>12</v>
      </c>
      <c r="Y1200" s="3356">
        <v>12</v>
      </c>
      <c r="Z1200" s="3356">
        <v>12</v>
      </c>
      <c r="AA1200" s="3356">
        <v>12</v>
      </c>
      <c r="AB1200" s="3356">
        <v>12</v>
      </c>
      <c r="AC1200" s="3356">
        <v>12</v>
      </c>
      <c r="AD1200" s="3356">
        <v>12</v>
      </c>
      <c r="AE1200" s="3357">
        <v>12</v>
      </c>
      <c r="AF1200" s="2236">
        <f t="shared" si="185"/>
        <v>12</v>
      </c>
      <c r="AG1200" s="229"/>
      <c r="DG1200" s="573"/>
      <c r="DH1200" s="159"/>
      <c r="DI1200" s="1091"/>
    </row>
    <row r="1201" spans="1:113" hidden="1" outlineLevel="1">
      <c r="A1201" s="453"/>
      <c r="C1201" s="51"/>
      <c r="D1201" s="4293"/>
      <c r="E1201" s="4293"/>
      <c r="F1201" s="4290" t="str">
        <f t="shared" si="187"/>
        <v>Mini/MultiSplitASHP-Replace_CAC_NonElectricHeat_ER1_MF</v>
      </c>
      <c r="G1201" s="4290"/>
      <c r="H1201" s="4290"/>
      <c r="I1201" s="3334" t="str">
        <f t="shared" si="188"/>
        <v>351752_2024_12_</v>
      </c>
      <c r="J1201" s="2315">
        <v>6</v>
      </c>
      <c r="K1201" s="230"/>
      <c r="L1201" s="4267"/>
      <c r="N1201" s="564"/>
      <c r="S1201" s="52"/>
      <c r="T1201" s="52"/>
      <c r="U1201" s="52"/>
      <c r="V1201" s="4293"/>
      <c r="W1201" s="3356"/>
      <c r="X1201" s="3356"/>
      <c r="Y1201" s="3356"/>
      <c r="Z1201" s="3356"/>
      <c r="AA1201" s="3356"/>
      <c r="AB1201" s="3356"/>
      <c r="AC1201" s="3356"/>
      <c r="AD1201" s="3358">
        <v>6</v>
      </c>
      <c r="AE1201" s="3357">
        <v>6</v>
      </c>
      <c r="AF1201" s="2236">
        <f t="shared" si="185"/>
        <v>6</v>
      </c>
      <c r="AG1201" s="229"/>
      <c r="DG1201" s="573"/>
      <c r="DH1201" s="159"/>
      <c r="DI1201" s="1091"/>
    </row>
    <row r="1202" spans="1:113" hidden="1" outlineLevel="1">
      <c r="A1202" s="453"/>
      <c r="C1202" s="51"/>
      <c r="D1202" s="4293"/>
      <c r="E1202" s="4293"/>
      <c r="F1202" s="4290" t="str">
        <f t="shared" si="187"/>
        <v>Mini/MultiSplitASHP-Replace_CAC_NonElectricHeat_ER1_MF</v>
      </c>
      <c r="G1202" s="4290"/>
      <c r="H1202" s="4290"/>
      <c r="I1202" s="3334" t="str">
        <f t="shared" si="188"/>
        <v>351752_2024_12_</v>
      </c>
      <c r="J1202" s="2315">
        <v>6</v>
      </c>
      <c r="K1202" s="230"/>
      <c r="L1202" s="4267"/>
      <c r="N1202" s="564"/>
      <c r="S1202" s="52"/>
      <c r="T1202" s="52"/>
      <c r="U1202" s="52"/>
      <c r="V1202" s="4293"/>
      <c r="W1202" s="3356"/>
      <c r="X1202" s="3356"/>
      <c r="Y1202" s="3356"/>
      <c r="Z1202" s="3356"/>
      <c r="AA1202" s="3356"/>
      <c r="AB1202" s="3356"/>
      <c r="AC1202" s="3356"/>
      <c r="AD1202" s="3358">
        <v>6</v>
      </c>
      <c r="AE1202" s="3357">
        <v>6</v>
      </c>
      <c r="AF1202" s="2236">
        <f t="shared" si="185"/>
        <v>6</v>
      </c>
      <c r="AG1202" s="229"/>
      <c r="DG1202" s="573"/>
      <c r="DH1202" s="159"/>
      <c r="DI1202" s="1091"/>
    </row>
    <row r="1203" spans="1:113" hidden="1" outlineLevel="1">
      <c r="A1203" s="453"/>
      <c r="C1203" s="51"/>
      <c r="D1203" s="4293"/>
      <c r="E1203" s="4293"/>
      <c r="F1203" s="4290" t="str">
        <f t="shared" si="187"/>
        <v>Mini/MultiSplitASHP-Replace_CAC_NonElectricHeat_ER2_MF</v>
      </c>
      <c r="G1203" s="4290"/>
      <c r="H1203" s="4290"/>
      <c r="I1203" s="3334" t="str">
        <f t="shared" si="188"/>
        <v>351752_2024_12_</v>
      </c>
      <c r="J1203" s="2315">
        <v>12</v>
      </c>
      <c r="K1203" s="230"/>
      <c r="L1203" s="4267"/>
      <c r="N1203" s="564"/>
      <c r="S1203" s="52"/>
      <c r="T1203" s="52"/>
      <c r="U1203" s="52"/>
      <c r="V1203" s="4293"/>
      <c r="W1203" s="3356"/>
      <c r="X1203" s="3356"/>
      <c r="Y1203" s="3356"/>
      <c r="Z1203" s="3356"/>
      <c r="AA1203" s="3356"/>
      <c r="AB1203" s="3356"/>
      <c r="AC1203" s="3356"/>
      <c r="AD1203" s="3358">
        <v>12</v>
      </c>
      <c r="AE1203" s="3357">
        <v>12</v>
      </c>
      <c r="AF1203" s="2236">
        <f t="shared" si="185"/>
        <v>12</v>
      </c>
      <c r="AG1203" s="229"/>
      <c r="DG1203" s="573"/>
      <c r="DH1203" s="159"/>
      <c r="DI1203" s="1091"/>
    </row>
    <row r="1204" spans="1:113" hidden="1" outlineLevel="1">
      <c r="A1204" s="453"/>
      <c r="C1204" s="51"/>
      <c r="D1204" s="4293"/>
      <c r="E1204" s="4293"/>
      <c r="F1204" s="4290" t="str">
        <f t="shared" si="187"/>
        <v>Mini/MultiSplitASHP-Replace_CAC_NonElectricHeat_ER2_MF</v>
      </c>
      <c r="G1204" s="4290"/>
      <c r="H1204" s="4290"/>
      <c r="I1204" s="3334" t="str">
        <f t="shared" si="188"/>
        <v>351752_2024_12_</v>
      </c>
      <c r="J1204" s="2315">
        <v>12</v>
      </c>
      <c r="K1204" s="230"/>
      <c r="L1204" s="4267"/>
      <c r="N1204" s="564"/>
      <c r="S1204" s="52"/>
      <c r="T1204" s="52"/>
      <c r="U1204" s="52"/>
      <c r="V1204" s="4293"/>
      <c r="W1204" s="3356"/>
      <c r="X1204" s="3356"/>
      <c r="Y1204" s="3356"/>
      <c r="Z1204" s="3356"/>
      <c r="AA1204" s="3356"/>
      <c r="AB1204" s="3356"/>
      <c r="AC1204" s="3356"/>
      <c r="AD1204" s="3358">
        <v>12</v>
      </c>
      <c r="AE1204" s="3357">
        <v>12</v>
      </c>
      <c r="AF1204" s="2236">
        <f t="shared" si="185"/>
        <v>12</v>
      </c>
      <c r="AG1204" s="229"/>
      <c r="DG1204" s="573"/>
      <c r="DH1204" s="159"/>
      <c r="DI1204" s="1091"/>
    </row>
    <row r="1205" spans="1:113" hidden="1" outlineLevel="1">
      <c r="A1205" s="453"/>
      <c r="C1205" s="51"/>
      <c r="D1205" s="4293"/>
      <c r="E1205" s="4293"/>
      <c r="F1205" s="4290" t="str">
        <f t="shared" si="187"/>
        <v>Mini/MultiSplitASHP-Replace_CAC_ElectricHeat_ROF_MF</v>
      </c>
      <c r="G1205" s="4290"/>
      <c r="H1205" s="4290"/>
      <c r="I1205" s="3334" t="str">
        <f t="shared" si="188"/>
        <v>351800_2024_12_</v>
      </c>
      <c r="J1205" s="2315">
        <v>18</v>
      </c>
      <c r="K1205" s="230"/>
      <c r="L1205" s="4267"/>
      <c r="N1205" s="564"/>
      <c r="S1205" s="52"/>
      <c r="T1205" s="52"/>
      <c r="U1205" s="52"/>
      <c r="V1205" s="4293"/>
      <c r="W1205" s="3356">
        <v>18</v>
      </c>
      <c r="X1205" s="3356">
        <v>18</v>
      </c>
      <c r="Y1205" s="3356">
        <v>18</v>
      </c>
      <c r="Z1205" s="3356">
        <v>18</v>
      </c>
      <c r="AA1205" s="3356">
        <v>18</v>
      </c>
      <c r="AB1205" s="3356">
        <v>18</v>
      </c>
      <c r="AC1205" s="3356">
        <v>18</v>
      </c>
      <c r="AD1205" s="3356">
        <v>18</v>
      </c>
      <c r="AE1205" s="3357">
        <v>18</v>
      </c>
      <c r="AF1205" s="2236">
        <f t="shared" si="185"/>
        <v>18</v>
      </c>
      <c r="AG1205" s="229"/>
      <c r="DG1205" s="573"/>
      <c r="DH1205" s="159"/>
      <c r="DI1205" s="1091"/>
    </row>
    <row r="1206" spans="1:113" hidden="1" outlineLevel="1">
      <c r="A1206" s="453"/>
      <c r="C1206" s="51"/>
      <c r="D1206" s="4293"/>
      <c r="E1206" s="4293"/>
      <c r="F1206" s="4290" t="str">
        <f t="shared" si="187"/>
        <v>Mini/MultiSplitASHP-Replace_CAC_ElectricHeat_ROF_MF</v>
      </c>
      <c r="G1206" s="4290"/>
      <c r="H1206" s="4290"/>
      <c r="I1206" s="3334" t="str">
        <f t="shared" si="188"/>
        <v>351800_2024_12_</v>
      </c>
      <c r="J1206" s="2315">
        <v>18</v>
      </c>
      <c r="K1206" s="230"/>
      <c r="L1206" s="4267"/>
      <c r="N1206" s="564"/>
      <c r="S1206" s="52"/>
      <c r="T1206" s="52"/>
      <c r="U1206" s="52"/>
      <c r="V1206" s="4293"/>
      <c r="W1206" s="3356">
        <v>18</v>
      </c>
      <c r="X1206" s="3356">
        <v>18</v>
      </c>
      <c r="Y1206" s="3356">
        <v>18</v>
      </c>
      <c r="Z1206" s="3356">
        <v>18</v>
      </c>
      <c r="AA1206" s="3356">
        <v>18</v>
      </c>
      <c r="AB1206" s="3356">
        <v>18</v>
      </c>
      <c r="AC1206" s="3356">
        <v>18</v>
      </c>
      <c r="AD1206" s="3356">
        <v>18</v>
      </c>
      <c r="AE1206" s="3357">
        <v>18</v>
      </c>
      <c r="AF1206" s="2236">
        <f t="shared" si="185"/>
        <v>18</v>
      </c>
      <c r="AG1206" s="229"/>
      <c r="DG1206" s="573"/>
      <c r="DH1206" s="159"/>
      <c r="DI1206" s="1091"/>
    </row>
    <row r="1207" spans="1:113" hidden="1" outlineLevel="1">
      <c r="A1207" s="453"/>
      <c r="C1207" s="51"/>
      <c r="D1207" s="4293"/>
      <c r="E1207" s="4293"/>
      <c r="F1207" s="4290" t="str">
        <f t="shared" si="187"/>
        <v>Mini/MultiSplitASHP-Replace_CAC_NonElectricHeat_ROF_MF</v>
      </c>
      <c r="G1207" s="4290"/>
      <c r="H1207" s="4290"/>
      <c r="I1207" s="3334" t="str">
        <f t="shared" si="188"/>
        <v>351802_2024_12_</v>
      </c>
      <c r="J1207" s="2315">
        <v>18</v>
      </c>
      <c r="K1207" s="230"/>
      <c r="L1207" s="4267"/>
      <c r="N1207" s="564"/>
      <c r="S1207" s="52"/>
      <c r="T1207" s="52"/>
      <c r="U1207" s="52"/>
      <c r="V1207" s="4293"/>
      <c r="W1207" s="3356"/>
      <c r="X1207" s="3356"/>
      <c r="Y1207" s="3356"/>
      <c r="Z1207" s="3356"/>
      <c r="AA1207" s="3356"/>
      <c r="AB1207" s="3356"/>
      <c r="AC1207" s="3356"/>
      <c r="AD1207" s="3358">
        <v>18</v>
      </c>
      <c r="AE1207" s="3357">
        <v>18</v>
      </c>
      <c r="AF1207" s="2236">
        <f t="shared" si="185"/>
        <v>18</v>
      </c>
      <c r="AG1207" s="229"/>
      <c r="DG1207" s="573"/>
      <c r="DH1207" s="159"/>
      <c r="DI1207" s="1091"/>
    </row>
    <row r="1208" spans="1:113" hidden="1" outlineLevel="1">
      <c r="A1208" s="453"/>
      <c r="C1208" s="51"/>
      <c r="D1208" s="4293"/>
      <c r="E1208" s="4293"/>
      <c r="F1208" s="4290" t="str">
        <f t="shared" si="187"/>
        <v>Mini/MultiSplitASHP-Replace_CAC_NonElectricHeat_ROF_MF</v>
      </c>
      <c r="G1208" s="4290"/>
      <c r="H1208" s="4290"/>
      <c r="I1208" s="3334" t="str">
        <f t="shared" si="188"/>
        <v>351802_2024_12_</v>
      </c>
      <c r="J1208" s="2315">
        <v>18</v>
      </c>
      <c r="K1208" s="230"/>
      <c r="L1208" s="4267"/>
      <c r="N1208" s="564"/>
      <c r="S1208" s="52"/>
      <c r="T1208" s="52"/>
      <c r="U1208" s="52"/>
      <c r="V1208" s="4293"/>
      <c r="W1208" s="3356"/>
      <c r="X1208" s="3356"/>
      <c r="Y1208" s="3356"/>
      <c r="Z1208" s="3356"/>
      <c r="AA1208" s="3356"/>
      <c r="AB1208" s="3356"/>
      <c r="AC1208" s="3356"/>
      <c r="AD1208" s="3358">
        <v>18</v>
      </c>
      <c r="AE1208" s="3357">
        <v>18</v>
      </c>
      <c r="AF1208" s="2236">
        <f t="shared" si="185"/>
        <v>18</v>
      </c>
      <c r="AG1208" s="229"/>
      <c r="DG1208" s="573"/>
      <c r="DH1208" s="159"/>
      <c r="DI1208" s="1091"/>
    </row>
    <row r="1209" spans="1:113" hidden="1" outlineLevel="1">
      <c r="A1209" s="453"/>
      <c r="C1209" s="51"/>
      <c r="D1209" s="4293"/>
      <c r="E1209" s="4293"/>
      <c r="F1209" s="4290" t="str">
        <f t="shared" si="187"/>
        <v>Mini/MultiSplitASHP_ER1_MF</v>
      </c>
      <c r="G1209" s="4290"/>
      <c r="H1209" s="4290"/>
      <c r="I1209" s="3334" t="str">
        <f t="shared" si="188"/>
        <v>351850_2024_12_</v>
      </c>
      <c r="J1209" s="2315">
        <v>6</v>
      </c>
      <c r="K1209" s="230"/>
      <c r="L1209" s="4267"/>
      <c r="N1209" s="564"/>
      <c r="S1209" s="52"/>
      <c r="T1209" s="52"/>
      <c r="U1209" s="52"/>
      <c r="V1209" s="4293"/>
      <c r="W1209" s="3356">
        <v>6</v>
      </c>
      <c r="X1209" s="3356">
        <v>6</v>
      </c>
      <c r="Y1209" s="3356">
        <v>6</v>
      </c>
      <c r="Z1209" s="3356">
        <v>6</v>
      </c>
      <c r="AA1209" s="3356">
        <v>6</v>
      </c>
      <c r="AB1209" s="3356">
        <v>6</v>
      </c>
      <c r="AC1209" s="3356">
        <v>6</v>
      </c>
      <c r="AD1209" s="3356">
        <v>6</v>
      </c>
      <c r="AE1209" s="3357">
        <v>6</v>
      </c>
      <c r="AF1209" s="2236">
        <f t="shared" si="185"/>
        <v>6</v>
      </c>
      <c r="AG1209" s="229"/>
      <c r="DG1209" s="573"/>
      <c r="DH1209" s="159"/>
      <c r="DI1209" s="1091"/>
    </row>
    <row r="1210" spans="1:113" hidden="1" outlineLevel="1">
      <c r="A1210" s="453"/>
      <c r="C1210" s="51"/>
      <c r="D1210" s="4293"/>
      <c r="E1210" s="4293"/>
      <c r="F1210" s="4290" t="str">
        <f t="shared" si="187"/>
        <v>Mini/MultiSplitASHP_ER1_MF</v>
      </c>
      <c r="G1210" s="4290"/>
      <c r="H1210" s="4290"/>
      <c r="I1210" s="3334" t="str">
        <f t="shared" si="188"/>
        <v>351850_2024_12_</v>
      </c>
      <c r="J1210" s="2315">
        <v>6</v>
      </c>
      <c r="K1210" s="230"/>
      <c r="L1210" s="4267"/>
      <c r="M1210" s="1769"/>
      <c r="N1210" s="564"/>
      <c r="S1210" s="52"/>
      <c r="T1210" s="52"/>
      <c r="U1210" s="52"/>
      <c r="V1210" s="4293"/>
      <c r="W1210" s="3356">
        <v>6</v>
      </c>
      <c r="X1210" s="3356">
        <v>6</v>
      </c>
      <c r="Y1210" s="3356">
        <v>6</v>
      </c>
      <c r="Z1210" s="3356">
        <v>6</v>
      </c>
      <c r="AA1210" s="3356">
        <v>6</v>
      </c>
      <c r="AB1210" s="3356">
        <v>6</v>
      </c>
      <c r="AC1210" s="3356">
        <v>6</v>
      </c>
      <c r="AD1210" s="3356">
        <v>6</v>
      </c>
      <c r="AE1210" s="3357">
        <v>6</v>
      </c>
      <c r="AF1210" s="2236">
        <f t="shared" si="185"/>
        <v>6</v>
      </c>
      <c r="AG1210" s="229"/>
      <c r="DG1210" s="573"/>
      <c r="DH1210" s="159"/>
      <c r="DI1210" s="1091"/>
    </row>
    <row r="1211" spans="1:113" hidden="1" outlineLevel="1">
      <c r="A1211" s="453"/>
      <c r="C1211" s="51"/>
      <c r="D1211" s="4293"/>
      <c r="E1211" s="4293"/>
      <c r="F1211" s="4290" t="str">
        <f t="shared" si="187"/>
        <v>Mini/MultiSplitASHP_ER2_MF</v>
      </c>
      <c r="G1211" s="4290"/>
      <c r="H1211" s="4290"/>
      <c r="I1211" s="3334" t="str">
        <f t="shared" si="188"/>
        <v>351850_2024_12_</v>
      </c>
      <c r="J1211" s="2315">
        <v>12</v>
      </c>
      <c r="K1211" s="230"/>
      <c r="L1211" s="4267"/>
      <c r="N1211" s="564"/>
      <c r="S1211" s="52"/>
      <c r="T1211" s="52"/>
      <c r="U1211" s="52"/>
      <c r="V1211" s="4293"/>
      <c r="W1211" s="3356">
        <v>12</v>
      </c>
      <c r="X1211" s="3356">
        <v>12</v>
      </c>
      <c r="Y1211" s="3356">
        <v>12</v>
      </c>
      <c r="Z1211" s="3356">
        <v>12</v>
      </c>
      <c r="AA1211" s="3356">
        <v>12</v>
      </c>
      <c r="AB1211" s="3356">
        <v>12</v>
      </c>
      <c r="AC1211" s="3356">
        <v>12</v>
      </c>
      <c r="AD1211" s="3356">
        <v>12</v>
      </c>
      <c r="AE1211" s="3357">
        <v>12</v>
      </c>
      <c r="AF1211" s="2236">
        <f t="shared" ref="AF1211:AF1258" si="189">IF(J1211&lt;&gt;"",J1211,"")</f>
        <v>12</v>
      </c>
      <c r="AG1211" s="229"/>
      <c r="DG1211" s="573"/>
      <c r="DH1211" s="159"/>
      <c r="DI1211" s="1091"/>
    </row>
    <row r="1212" spans="1:113" hidden="1" outlineLevel="1">
      <c r="A1212" s="453"/>
      <c r="C1212" s="51"/>
      <c r="D1212" s="4293"/>
      <c r="E1212" s="4293"/>
      <c r="F1212" s="4290" t="str">
        <f t="shared" si="187"/>
        <v>Mini/MultiSplitASHP_ER2_MF</v>
      </c>
      <c r="G1212" s="4290"/>
      <c r="H1212" s="4290"/>
      <c r="I1212" s="3334" t="str">
        <f t="shared" si="188"/>
        <v>351850_2024_12_</v>
      </c>
      <c r="J1212" s="2315">
        <v>12</v>
      </c>
      <c r="K1212" s="230"/>
      <c r="L1212" s="4268"/>
      <c r="N1212" s="564"/>
      <c r="S1212" s="52"/>
      <c r="T1212" s="52"/>
      <c r="U1212" s="52"/>
      <c r="V1212" s="4293"/>
      <c r="W1212" s="3356">
        <v>12</v>
      </c>
      <c r="X1212" s="3356">
        <v>12</v>
      </c>
      <c r="Y1212" s="3356">
        <v>12</v>
      </c>
      <c r="Z1212" s="3356">
        <v>12</v>
      </c>
      <c r="AA1212" s="3356">
        <v>12</v>
      </c>
      <c r="AB1212" s="3356">
        <v>12</v>
      </c>
      <c r="AC1212" s="3356">
        <v>12</v>
      </c>
      <c r="AD1212" s="3356">
        <v>12</v>
      </c>
      <c r="AE1212" s="3357">
        <v>12</v>
      </c>
      <c r="AF1212" s="2236">
        <f t="shared" si="189"/>
        <v>12</v>
      </c>
      <c r="AG1212" s="229"/>
      <c r="DG1212" s="573"/>
      <c r="DH1212" s="159"/>
      <c r="DI1212" s="1091"/>
    </row>
    <row r="1213" spans="1:113" hidden="1" outlineLevel="1">
      <c r="A1213" s="453"/>
      <c r="C1213" s="51"/>
      <c r="D1213" s="4295" t="s">
        <v>50</v>
      </c>
      <c r="E1213" s="4295" t="s">
        <v>1135</v>
      </c>
      <c r="F1213" s="4289" t="str">
        <f t="shared" ref="F1213:F1258" si="190">F1167</f>
        <v>Mini/MultiSplitAC_ER1_SF</v>
      </c>
      <c r="G1213" s="4289"/>
      <c r="H1213" s="4289"/>
      <c r="I1213" s="929" t="str">
        <f t="shared" ref="I1213:I1245" si="191">I1167</f>
        <v>351200_2024_12_</v>
      </c>
      <c r="J1213" s="1705">
        <f>SUMIFS(S$828:S$831,Q$828:Q$831,"&lt;="&amp;L1213,R$828:R$831,"&gt;"&amp;L1213)*K1213-((S$838+T$838*K1213)*S$845)</f>
        <v>683.91788099116957</v>
      </c>
      <c r="K1213" s="1044">
        <f>VLOOKUP(INDEX($C$749:$E$817,MATCH(SUBSTITUTE(F1213, "MultiSplitAC_", "MultiSplitASHP_"),$E$749:$E$817,0),1),$I$827:$K$853,3,FALSE)</f>
        <v>1.8757575757575757</v>
      </c>
      <c r="L1213" s="1764">
        <f>VLOOKUP(INDEX($C$749:$E$817,MATCH(SUBSTITUTE(F1213, "MultiSplitAC_", "MultiSplitASHP_"),$E$749:$E$817,0),1),$I$935:$J$961,2,FALSE)</f>
        <v>11.185185185185182</v>
      </c>
      <c r="M1213" s="553">
        <f>VLOOKUP(I1213,I$881:J$934,2,FALSE)</f>
        <v>0</v>
      </c>
      <c r="N1213" s="1057"/>
      <c r="S1213" s="52"/>
      <c r="T1213" s="52"/>
      <c r="U1213" s="52"/>
      <c r="V1213" s="4293" t="str">
        <f>D1213</f>
        <v>Inc. Cost</v>
      </c>
      <c r="W1213" s="234">
        <v>2389.0666666666666</v>
      </c>
      <c r="X1213" s="233">
        <f>(2108*(X$962/12000)/1.5)*X$1097</f>
        <v>2108</v>
      </c>
      <c r="Y1213" s="233">
        <f>(2108*(Y$962/12000)/1.5)*Y$1097</f>
        <v>2108</v>
      </c>
      <c r="Z1213" s="234">
        <v>2108</v>
      </c>
      <c r="AA1213" s="234">
        <v>2108</v>
      </c>
      <c r="AB1213" s="739">
        <v>1231.1592671062349</v>
      </c>
      <c r="AC1213" s="233">
        <v>1133.5954314013989</v>
      </c>
      <c r="AD1213" s="233">
        <v>1408.9941341172375</v>
      </c>
      <c r="AE1213" s="1163">
        <v>1449.703861156642</v>
      </c>
      <c r="AF1213" s="271">
        <f t="shared" si="189"/>
        <v>683.91788099116957</v>
      </c>
      <c r="AG1213" s="229"/>
      <c r="DG1213" s="573"/>
      <c r="DH1213" s="159"/>
      <c r="DI1213" s="1091"/>
    </row>
    <row r="1214" spans="1:113" hidden="1" outlineLevel="1">
      <c r="A1214" s="453"/>
      <c r="C1214" s="51"/>
      <c r="D1214" s="4295"/>
      <c r="E1214" s="4295"/>
      <c r="F1214" s="4289" t="str">
        <f t="shared" si="190"/>
        <v>Mini/MultiSplitAC_ER2_SF</v>
      </c>
      <c r="G1214" s="4289"/>
      <c r="H1214" s="4289"/>
      <c r="I1214" s="929" t="str">
        <f t="shared" si="191"/>
        <v>351200_2024_12_</v>
      </c>
      <c r="J1214" s="742"/>
      <c r="K1214" s="1044"/>
      <c r="L1214" s="929"/>
      <c r="N1214" s="564"/>
      <c r="S1214" s="52"/>
      <c r="T1214" s="52"/>
      <c r="U1214" s="52"/>
      <c r="V1214" s="4293"/>
      <c r="W1214" s="234"/>
      <c r="X1214" s="233"/>
      <c r="Y1214" s="233"/>
      <c r="Z1214" s="234"/>
      <c r="AA1214" s="234"/>
      <c r="AB1214" s="739"/>
      <c r="AC1214" s="233"/>
      <c r="AD1214" s="233"/>
      <c r="AE1214" s="1386"/>
      <c r="AF1214" s="271" t="str">
        <f t="shared" si="189"/>
        <v/>
      </c>
      <c r="AG1214" s="229"/>
      <c r="DG1214" s="573"/>
      <c r="DH1214" s="159"/>
      <c r="DI1214" s="1091"/>
    </row>
    <row r="1215" spans="1:113" hidden="1" outlineLevel="1">
      <c r="A1215" s="453"/>
      <c r="C1215" s="51"/>
      <c r="D1215" s="4295"/>
      <c r="E1215" s="4295"/>
      <c r="F1215" s="4289" t="str">
        <f t="shared" si="190"/>
        <v>Mini/MultiSplitAC_ROF_SF</v>
      </c>
      <c r="G1215" s="4289"/>
      <c r="H1215" s="4289"/>
      <c r="I1215" s="929" t="str">
        <f t="shared" si="191"/>
        <v>351250_2024_12_</v>
      </c>
      <c r="J1215" s="1705">
        <f>SUMIFS(T$828:T$831,Q$828:Q$831,"&lt;="&amp;L1215,R$828:R$831,"&gt;"&amp;L1215)*K1215</f>
        <v>543.7067546700647</v>
      </c>
      <c r="K1215" s="1044">
        <f>VLOOKUP(INDEX($C$749:$E$817,MATCH(SUBSTITUTE(F1215, "MultiSplitAC_", "MultiSplitASHP_"),$E$749:$E$817,0),1),$I$827:$K$853,3,FALSE)</f>
        <v>1.6278645349403136</v>
      </c>
      <c r="L1215" s="1764">
        <f>VLOOKUP(INDEX($C$749:$E$817,MATCH(SUBSTITUTE(F1215, "MultiSplitAC_", "MultiSplitASHP_"),$E$749:$E$817,0),1),$I$935:$J$961,2,FALSE)</f>
        <v>11.370854271356771</v>
      </c>
      <c r="M1215" s="553"/>
      <c r="N1215" s="1057"/>
      <c r="S1215" s="52"/>
      <c r="T1215" s="52"/>
      <c r="U1215" s="52"/>
      <c r="V1215" s="4293"/>
      <c r="W1215" s="234">
        <v>1648</v>
      </c>
      <c r="X1215" s="233">
        <f>(1545*(X$963/12000)/1.5)*X$1099</f>
        <v>1545</v>
      </c>
      <c r="Y1215" s="233">
        <f>(1545*(Y$963/12000)/1.5)*Y$1099</f>
        <v>1545</v>
      </c>
      <c r="Z1215" s="234">
        <v>1545</v>
      </c>
      <c r="AA1215" s="234">
        <v>1545</v>
      </c>
      <c r="AB1215" s="739">
        <v>336</v>
      </c>
      <c r="AC1215" s="233">
        <v>337.89830508474574</v>
      </c>
      <c r="AD1215" s="233">
        <v>364.64165582663026</v>
      </c>
      <c r="AE1215" s="1386">
        <v>364.64165582663026</v>
      </c>
      <c r="AF1215" s="271">
        <f t="shared" si="189"/>
        <v>543.7067546700647</v>
      </c>
      <c r="AG1215" s="229"/>
      <c r="DG1215" s="573"/>
      <c r="DH1215" s="159"/>
      <c r="DI1215" s="1091"/>
    </row>
    <row r="1216" spans="1:113" hidden="1" outlineLevel="1">
      <c r="A1216" s="453"/>
      <c r="C1216" s="51"/>
      <c r="D1216" s="4295"/>
      <c r="E1216" s="4295"/>
      <c r="F1216" s="4289" t="str">
        <f t="shared" si="190"/>
        <v>Mini/MultiSplitASHP_ROF_SF_NC</v>
      </c>
      <c r="G1216" s="4289"/>
      <c r="H1216" s="4289"/>
      <c r="I1216" s="929" t="str">
        <f t="shared" si="191"/>
        <v>351300_2024_12_</v>
      </c>
      <c r="J1216" s="1705">
        <f>SUMIFS(T$828:T$831,Q$828:Q$831,"&lt;="&amp;L1216,R$828:R$831,"&gt;"&amp;L1216)*K1216</f>
        <v>543.7067546700647</v>
      </c>
      <c r="K1216" s="1044">
        <f>VLOOKUP(INDEX($C$749:$E$817,MATCH(SUBSTITUTE(F1216, "MultiSplitAC_", "MultiSplitASHP_"),$E$749:$E$817,0),1),$I$827:$K$853,3,FALSE)</f>
        <v>1.6278645349403136</v>
      </c>
      <c r="L1216" s="1764">
        <f>VLOOKUP(INDEX($C$749:$E$817,MATCH(SUBSTITUTE(F1216, "MultiSplitAC_", "MultiSplitASHP_"),$E$749:$E$817,0),1),$I$935:$J$961,2,FALSE)</f>
        <v>11.370854271356771</v>
      </c>
      <c r="M1216" s="553"/>
      <c r="N1216" s="1057"/>
      <c r="S1216" s="52"/>
      <c r="T1216" s="52"/>
      <c r="U1216" s="52"/>
      <c r="V1216" s="4293"/>
      <c r="W1216" s="234">
        <v>828.79999999999984</v>
      </c>
      <c r="X1216" s="233">
        <f>(888*(X$964/12000)/1.5)*X$1100</f>
        <v>888</v>
      </c>
      <c r="Y1216" s="233">
        <f>(888*(Y$964/12000)/1.5)*Y$1100</f>
        <v>888</v>
      </c>
      <c r="Z1216" s="234">
        <v>888</v>
      </c>
      <c r="AA1216" s="234">
        <v>888</v>
      </c>
      <c r="AB1216" s="739">
        <v>336</v>
      </c>
      <c r="AC1216" s="233">
        <v>337.89830508474574</v>
      </c>
      <c r="AD1216" s="233">
        <v>364.64165582663026</v>
      </c>
      <c r="AE1216" s="1386">
        <v>364.64165582663026</v>
      </c>
      <c r="AF1216" s="271">
        <f t="shared" si="189"/>
        <v>543.7067546700647</v>
      </c>
      <c r="AG1216" s="229"/>
      <c r="DG1216" s="573"/>
      <c r="DH1216" s="159"/>
      <c r="DI1216" s="1091"/>
    </row>
    <row r="1217" spans="1:113" hidden="1" outlineLevel="1">
      <c r="A1217" s="453"/>
      <c r="C1217" s="51"/>
      <c r="D1217" s="4295"/>
      <c r="E1217" s="4295"/>
      <c r="F1217" s="4289" t="str">
        <f t="shared" si="190"/>
        <v>Mini/MultiSplitASHP_ROF_SF_NC</v>
      </c>
      <c r="G1217" s="4289"/>
      <c r="H1217" s="4289"/>
      <c r="I1217" s="929" t="str">
        <f t="shared" si="191"/>
        <v>351300_2024_12_</v>
      </c>
      <c r="J1217" s="742"/>
      <c r="K1217" s="1044"/>
      <c r="L1217" s="929"/>
      <c r="N1217" s="564"/>
      <c r="S1217" s="52"/>
      <c r="T1217" s="52"/>
      <c r="U1217" s="52"/>
      <c r="V1217" s="4293"/>
      <c r="W1217" s="234"/>
      <c r="X1217" s="233"/>
      <c r="Y1217" s="233"/>
      <c r="Z1217" s="234"/>
      <c r="AA1217" s="234"/>
      <c r="AB1217" s="739"/>
      <c r="AC1217" s="233"/>
      <c r="AD1217" s="233"/>
      <c r="AE1217" s="1386"/>
      <c r="AF1217" s="271" t="str">
        <f t="shared" si="189"/>
        <v/>
      </c>
      <c r="AG1217" s="229"/>
      <c r="DG1217" s="573"/>
      <c r="DH1217" s="159"/>
      <c r="DI1217" s="1091"/>
    </row>
    <row r="1218" spans="1:113" hidden="1" outlineLevel="1">
      <c r="A1218" s="453"/>
      <c r="C1218" s="51"/>
      <c r="D1218" s="4295"/>
      <c r="E1218" s="4295"/>
      <c r="F1218" s="4289" t="str">
        <f t="shared" si="190"/>
        <v>Mini/MultiSplitASHP_ROF_SF</v>
      </c>
      <c r="G1218" s="4289"/>
      <c r="H1218" s="4289"/>
      <c r="I1218" s="929" t="str">
        <f t="shared" si="191"/>
        <v>351350_2024_12_</v>
      </c>
      <c r="J1218" s="1705">
        <f>SUMIFS(T$828:T$831,Q$828:Q$831,"&lt;="&amp;L1218,R$828:R$831,"&gt;"&amp;L1218)*K1218</f>
        <v>543.7067546700647</v>
      </c>
      <c r="K1218" s="1044">
        <f>VLOOKUP(INDEX($C$749:$E$817,MATCH(SUBSTITUTE(F1218, "MultiSplitAC_", "MultiSplitASHP_"),$E$749:$E$817,0),1),$I$827:$K$853,3,FALSE)</f>
        <v>1.6278645349403136</v>
      </c>
      <c r="L1218" s="1764">
        <f>VLOOKUP(INDEX($C$749:$E$817,MATCH(SUBSTITUTE(F1218, "MultiSplitAC_", "MultiSplitASHP_"),$E$749:$E$817,0),1),$I$935:$J$961,2,FALSE)</f>
        <v>11.370854271356771</v>
      </c>
      <c r="M1218" s="553"/>
      <c r="N1218" s="1057"/>
      <c r="S1218" s="52"/>
      <c r="T1218" s="52"/>
      <c r="U1218" s="52"/>
      <c r="V1218" s="4293"/>
      <c r="W1218" s="234">
        <v>1006.4</v>
      </c>
      <c r="X1218" s="233">
        <f>(888*(X$962/12000)/1.5)*X$1102</f>
        <v>888</v>
      </c>
      <c r="Y1218" s="233">
        <f>(888*(Y$962/12000)/1.5)*Y$1102</f>
        <v>888</v>
      </c>
      <c r="Z1218" s="234">
        <v>888</v>
      </c>
      <c r="AA1218" s="234">
        <v>888</v>
      </c>
      <c r="AB1218" s="739">
        <v>336</v>
      </c>
      <c r="AC1218" s="233">
        <v>337.89830508474574</v>
      </c>
      <c r="AD1218" s="233">
        <v>364.64165582663026</v>
      </c>
      <c r="AE1218" s="1386">
        <v>364.64165582663026</v>
      </c>
      <c r="AF1218" s="271">
        <f t="shared" si="189"/>
        <v>543.7067546700647</v>
      </c>
      <c r="AG1218" s="229"/>
      <c r="DG1218" s="573"/>
      <c r="DH1218" s="159"/>
      <c r="DI1218" s="1091"/>
    </row>
    <row r="1219" spans="1:113" hidden="1" outlineLevel="1">
      <c r="A1219" s="453"/>
      <c r="C1219" s="51"/>
      <c r="D1219" s="4295"/>
      <c r="E1219" s="4295"/>
      <c r="F1219" s="4289" t="str">
        <f t="shared" si="190"/>
        <v>Mini/MultiSplitASHP_ROF_SF</v>
      </c>
      <c r="G1219" s="4289"/>
      <c r="H1219" s="4289"/>
      <c r="I1219" s="929" t="str">
        <f t="shared" si="191"/>
        <v>351350_2024_12_</v>
      </c>
      <c r="J1219" s="742"/>
      <c r="K1219" s="1044"/>
      <c r="L1219" s="929"/>
      <c r="N1219" s="564"/>
      <c r="S1219" s="52"/>
      <c r="T1219" s="52"/>
      <c r="U1219" s="52"/>
      <c r="V1219" s="4293"/>
      <c r="W1219" s="234"/>
      <c r="X1219" s="233"/>
      <c r="Y1219" s="233"/>
      <c r="Z1219" s="234"/>
      <c r="AA1219" s="234"/>
      <c r="AB1219" s="739"/>
      <c r="AC1219" s="233"/>
      <c r="AD1219" s="233"/>
      <c r="AE1219" s="1386"/>
      <c r="AF1219" s="271" t="str">
        <f t="shared" si="189"/>
        <v/>
      </c>
      <c r="AG1219" s="229"/>
      <c r="DG1219" s="573"/>
      <c r="DH1219" s="159"/>
      <c r="DI1219" s="1091"/>
    </row>
    <row r="1220" spans="1:113" hidden="1" outlineLevel="1">
      <c r="A1220" s="453"/>
      <c r="C1220" s="51"/>
      <c r="D1220" s="4295"/>
      <c r="E1220" s="4295"/>
      <c r="F1220" s="4289" t="str">
        <f t="shared" si="190"/>
        <v>Mini/MultiSplitASHP-Replace_CAC_ElectricHeat_ER1_SF</v>
      </c>
      <c r="G1220" s="4289"/>
      <c r="H1220" s="4289"/>
      <c r="I1220" s="929" t="str">
        <f t="shared" si="191"/>
        <v>351400_2024_12_</v>
      </c>
      <c r="J1220" s="1705">
        <f>MAX((SUMIFS(S$828:S$831,Q$828:Q$831,"&lt;="&amp;L1220,R$828:R$831,"&gt;"&amp;L1220)*K1220)-((S$839+T$839*K1220)*S$845),(SUMIFS(T$828:T$831,Q$828:Q$831,"&lt;="&amp;L1220,R$828:R$831,"&gt;"&amp;L1220)*K1220))</f>
        <v>626.5030303030303</v>
      </c>
      <c r="K1220" s="1044">
        <f>VLOOKUP(INDEX($C$749:$E$817,MATCH(SUBSTITUTE(F1220, "MultiSplitAC_", "MultiSplitASHP_"),$E$749:$E$817,0),1),$I$827:$K$853,3,FALSE)</f>
        <v>1.8757575757575757</v>
      </c>
      <c r="L1220" s="1764">
        <f>VLOOKUP(INDEX($C$749:$E$817,MATCH(SUBSTITUTE(F1220, "MultiSplitAC_", "MultiSplitASHP_"),$E$749:$E$817,0),1),$I$935:$J$961,2,FALSE)</f>
        <v>11.185185185185182</v>
      </c>
      <c r="M1220" s="553">
        <f>VLOOKUP(I1220,I$881:J$934,2,FALSE)</f>
        <v>3.4119999999999999</v>
      </c>
      <c r="N1220" s="1057"/>
      <c r="S1220" s="52"/>
      <c r="T1220" s="52"/>
      <c r="U1220" s="52"/>
      <c r="V1220" s="4293"/>
      <c r="W1220" s="234">
        <v>1967.4666666666665</v>
      </c>
      <c r="X1220" s="233">
        <f>(2108*(X$966/12000)/1.5)*X$1104</f>
        <v>2108</v>
      </c>
      <c r="Y1220" s="233">
        <f>(2108*(Y$966/12000)/1.5)*Y$1104</f>
        <v>2108</v>
      </c>
      <c r="Z1220" s="234">
        <v>2108</v>
      </c>
      <c r="AA1220" s="234">
        <v>2108</v>
      </c>
      <c r="AB1220" s="739">
        <v>2504.17</v>
      </c>
      <c r="AC1220" s="233">
        <v>2505.747142294048</v>
      </c>
      <c r="AD1220" s="233">
        <v>2768.8371103720847</v>
      </c>
      <c r="AE1220" s="1163">
        <v>2505.1916558266303</v>
      </c>
      <c r="AF1220" s="271">
        <f t="shared" si="189"/>
        <v>626.5030303030303</v>
      </c>
      <c r="AG1220" s="229"/>
      <c r="DG1220" s="573"/>
      <c r="DH1220" s="159"/>
      <c r="DI1220" s="1091"/>
    </row>
    <row r="1221" spans="1:113" hidden="1" outlineLevel="1">
      <c r="A1221" s="453"/>
      <c r="C1221" s="51"/>
      <c r="D1221" s="4295"/>
      <c r="E1221" s="4295"/>
      <c r="F1221" s="4289" t="str">
        <f t="shared" si="190"/>
        <v>Mini/MultiSplitASHP-Replace_CAC_ElectricHeat_ER1_SF</v>
      </c>
      <c r="G1221" s="4289"/>
      <c r="H1221" s="4289"/>
      <c r="I1221" s="929" t="str">
        <f t="shared" si="191"/>
        <v>351400_2024_12_</v>
      </c>
      <c r="J1221" s="742"/>
      <c r="K1221" s="1044"/>
      <c r="L1221" s="929"/>
      <c r="N1221" s="564"/>
      <c r="S1221" s="52"/>
      <c r="T1221" s="52"/>
      <c r="U1221" s="52"/>
      <c r="V1221" s="4293"/>
      <c r="W1221" s="234"/>
      <c r="X1221" s="233"/>
      <c r="Y1221" s="233"/>
      <c r="Z1221" s="234"/>
      <c r="AA1221" s="234"/>
      <c r="AB1221" s="739"/>
      <c r="AC1221" s="233"/>
      <c r="AD1221" s="233"/>
      <c r="AE1221" s="1386"/>
      <c r="AF1221" s="271" t="str">
        <f t="shared" si="189"/>
        <v/>
      </c>
      <c r="AG1221" s="229"/>
      <c r="DG1221" s="573"/>
      <c r="DH1221" s="159"/>
      <c r="DI1221" s="1091"/>
    </row>
    <row r="1222" spans="1:113" hidden="1" outlineLevel="1">
      <c r="A1222" s="453"/>
      <c r="C1222" s="51"/>
      <c r="D1222" s="4295"/>
      <c r="E1222" s="4295"/>
      <c r="F1222" s="4289" t="str">
        <f t="shared" si="190"/>
        <v>Mini/MultiSplitASHP-Replace_CAC_ElectricHeat_ER2_SF</v>
      </c>
      <c r="G1222" s="4289"/>
      <c r="H1222" s="4289"/>
      <c r="I1222" s="929" t="str">
        <f t="shared" si="191"/>
        <v>351400_2024_12_</v>
      </c>
      <c r="J1222" s="742"/>
      <c r="K1222" s="1044"/>
      <c r="L1222" s="929"/>
      <c r="N1222" s="564"/>
      <c r="S1222" s="52"/>
      <c r="T1222" s="52"/>
      <c r="U1222" s="52"/>
      <c r="V1222" s="4293"/>
      <c r="W1222" s="234"/>
      <c r="X1222" s="233"/>
      <c r="Y1222" s="233"/>
      <c r="Z1222" s="234"/>
      <c r="AA1222" s="234"/>
      <c r="AB1222" s="739"/>
      <c r="AC1222" s="233"/>
      <c r="AD1222" s="233"/>
      <c r="AE1222" s="1386"/>
      <c r="AF1222" s="271" t="str">
        <f t="shared" si="189"/>
        <v/>
      </c>
      <c r="AG1222" s="229"/>
      <c r="DG1222" s="573"/>
      <c r="DH1222" s="159"/>
      <c r="DI1222" s="1091"/>
    </row>
    <row r="1223" spans="1:113" hidden="1" outlineLevel="1">
      <c r="A1223" s="453"/>
      <c r="C1223" s="51"/>
      <c r="D1223" s="4295"/>
      <c r="E1223" s="4295"/>
      <c r="F1223" s="4289" t="str">
        <f t="shared" si="190"/>
        <v>Mini/MultiSplitASHP-Replace_CAC_ElectricHeat_ER2_SF</v>
      </c>
      <c r="G1223" s="4289"/>
      <c r="H1223" s="4289"/>
      <c r="I1223" s="929" t="str">
        <f t="shared" si="191"/>
        <v>351400_2024_12_</v>
      </c>
      <c r="J1223" s="742"/>
      <c r="K1223" s="1044"/>
      <c r="L1223" s="929"/>
      <c r="N1223" s="564"/>
      <c r="S1223" s="52"/>
      <c r="T1223" s="52"/>
      <c r="U1223" s="52"/>
      <c r="V1223" s="4293"/>
      <c r="W1223" s="234"/>
      <c r="X1223" s="233"/>
      <c r="Y1223" s="233"/>
      <c r="Z1223" s="234"/>
      <c r="AA1223" s="234"/>
      <c r="AB1223" s="739"/>
      <c r="AC1223" s="233"/>
      <c r="AD1223" s="233"/>
      <c r="AE1223" s="1386"/>
      <c r="AF1223" s="271" t="str">
        <f t="shared" si="189"/>
        <v/>
      </c>
      <c r="AG1223" s="229"/>
      <c r="DG1223" s="573"/>
      <c r="DH1223" s="159"/>
      <c r="DI1223" s="1091"/>
    </row>
    <row r="1224" spans="1:113" hidden="1" outlineLevel="1">
      <c r="A1224" s="453"/>
      <c r="C1224" s="51"/>
      <c r="D1224" s="4295"/>
      <c r="E1224" s="4295"/>
      <c r="F1224" s="4289" t="str">
        <f t="shared" si="190"/>
        <v>Mini/MultiSplitASHP-Replace_CAC_NonElectricHeat_ER1_SF</v>
      </c>
      <c r="G1224" s="4289"/>
      <c r="H1224" s="4289"/>
      <c r="I1224" s="929" t="str">
        <f t="shared" si="191"/>
        <v>351401_2024_12_</v>
      </c>
      <c r="J1224" s="1705">
        <f>MAX((SUMIFS(S$828:S$831,Q$828:Q$831,"&lt;="&amp;L1224,R$828:R$831,"&gt;"&amp;L1224)*K1224-((T$840*K1224+S$840)*S$845))*VLOOKUP(I1224,$I$1259:$J$1262,2,FALSE),SUMIFS(T$828:T$831,Q$828:Q$831,"&lt;="&amp;L1224,R$828:R$831,"&gt;"&amp;L1224)*K1224*VLOOKUP(I1224,$I$1259:$J$1262,2,FALSE))</f>
        <v>89.869631889142951</v>
      </c>
      <c r="K1224" s="1044">
        <f>VLOOKUP(INDEX($C$749:$E$817,MATCH(SUBSTITUTE(F1224, "MultiSplitAC_", "MultiSplitASHP_"),$E$749:$E$817,0),1),$I$827:$K$853,3,FALSE)</f>
        <v>1.8757575757575757</v>
      </c>
      <c r="L1224" s="1764">
        <f>VLOOKUP(INDEX($C$749:$E$817,MATCH(SUBSTITUTE(F1224, "MultiSplitAC_", "MultiSplitASHP_"),$E$749:$E$817,0),1),$I$935:$J$961,2,FALSE)</f>
        <v>11.185185185185182</v>
      </c>
      <c r="M1224" s="553">
        <f>VLOOKUP(I1224,I$881:J$934,2,FALSE)</f>
        <v>0</v>
      </c>
      <c r="N1224" s="1057"/>
      <c r="S1224" s="52"/>
      <c r="T1224" s="52"/>
      <c r="U1224" s="52"/>
      <c r="V1224" s="4293"/>
      <c r="W1224" s="234"/>
      <c r="X1224" s="233"/>
      <c r="Y1224" s="233"/>
      <c r="Z1224" s="234"/>
      <c r="AA1224" s="234"/>
      <c r="AB1224" s="739"/>
      <c r="AC1224" s="233"/>
      <c r="AD1224" s="233">
        <v>2768.8371103720847</v>
      </c>
      <c r="AE1224" s="1163">
        <v>2505.1916558266303</v>
      </c>
      <c r="AF1224" s="271">
        <f t="shared" si="189"/>
        <v>89.869631889142951</v>
      </c>
      <c r="AG1224" s="229"/>
      <c r="DG1224" s="573"/>
      <c r="DH1224" s="159"/>
      <c r="DI1224" s="1091"/>
    </row>
    <row r="1225" spans="1:113" hidden="1" outlineLevel="1">
      <c r="A1225" s="453"/>
      <c r="C1225" s="51"/>
      <c r="D1225" s="4295"/>
      <c r="E1225" s="4295"/>
      <c r="F1225" s="4289" t="str">
        <f t="shared" si="190"/>
        <v>Mini/MultiSplitASHP-Replace_CAC_NonElectricHeat_ER1_SF</v>
      </c>
      <c r="G1225" s="4289"/>
      <c r="H1225" s="4289"/>
      <c r="I1225" s="929" t="str">
        <f t="shared" si="191"/>
        <v>351401_2024_12_</v>
      </c>
      <c r="J1225" s="742"/>
      <c r="K1225" s="1044"/>
      <c r="L1225" s="929"/>
      <c r="N1225" s="564"/>
      <c r="S1225" s="52"/>
      <c r="T1225" s="52"/>
      <c r="U1225" s="52"/>
      <c r="V1225" s="4293"/>
      <c r="W1225" s="234"/>
      <c r="X1225" s="233"/>
      <c r="Y1225" s="233"/>
      <c r="Z1225" s="234"/>
      <c r="AA1225" s="234"/>
      <c r="AB1225" s="739"/>
      <c r="AC1225" s="233"/>
      <c r="AD1225" s="233"/>
      <c r="AE1225" s="1386"/>
      <c r="AF1225" s="271" t="str">
        <f t="shared" si="189"/>
        <v/>
      </c>
      <c r="AG1225" s="229"/>
      <c r="DG1225" s="573"/>
      <c r="DH1225" s="159"/>
      <c r="DI1225" s="1091"/>
    </row>
    <row r="1226" spans="1:113" hidden="1" outlineLevel="1">
      <c r="A1226" s="453"/>
      <c r="C1226" s="51"/>
      <c r="D1226" s="4295"/>
      <c r="E1226" s="4295"/>
      <c r="F1226" s="4289" t="str">
        <f t="shared" si="190"/>
        <v>Mini/MultiSplitASHP-Replace_CAC_NonElectricHeat_ER2_SF</v>
      </c>
      <c r="G1226" s="4289"/>
      <c r="H1226" s="4289"/>
      <c r="I1226" s="929" t="str">
        <f t="shared" si="191"/>
        <v>351401_2024_12_</v>
      </c>
      <c r="J1226" s="742"/>
      <c r="K1226" s="1044"/>
      <c r="L1226" s="929"/>
      <c r="N1226" s="564"/>
      <c r="S1226" s="52"/>
      <c r="T1226" s="52"/>
      <c r="U1226" s="52"/>
      <c r="V1226" s="4293"/>
      <c r="W1226" s="234"/>
      <c r="X1226" s="233"/>
      <c r="Y1226" s="233"/>
      <c r="Z1226" s="234"/>
      <c r="AA1226" s="234"/>
      <c r="AB1226" s="739"/>
      <c r="AC1226" s="233"/>
      <c r="AD1226" s="233"/>
      <c r="AE1226" s="1386"/>
      <c r="AF1226" s="271" t="str">
        <f t="shared" si="189"/>
        <v/>
      </c>
      <c r="AG1226" s="229"/>
      <c r="DG1226" s="573"/>
      <c r="DH1226" s="159"/>
      <c r="DI1226" s="1091"/>
    </row>
    <row r="1227" spans="1:113" hidden="1" outlineLevel="1">
      <c r="A1227" s="453"/>
      <c r="C1227" s="51"/>
      <c r="D1227" s="4295"/>
      <c r="E1227" s="4295"/>
      <c r="F1227" s="4289" t="str">
        <f t="shared" si="190"/>
        <v>Mini/MultiSplitASHP-Replace_CAC_NonElectricHeat_ER2_SF</v>
      </c>
      <c r="G1227" s="4289"/>
      <c r="H1227" s="4289"/>
      <c r="I1227" s="929" t="str">
        <f t="shared" si="191"/>
        <v>351401_2024_12_</v>
      </c>
      <c r="J1227" s="742"/>
      <c r="K1227" s="1044"/>
      <c r="L1227" s="929"/>
      <c r="N1227" s="564"/>
      <c r="S1227" s="52"/>
      <c r="T1227" s="52"/>
      <c r="U1227" s="52"/>
      <c r="V1227" s="4293"/>
      <c r="W1227" s="234"/>
      <c r="X1227" s="233"/>
      <c r="Y1227" s="233"/>
      <c r="Z1227" s="234"/>
      <c r="AA1227" s="234"/>
      <c r="AB1227" s="739"/>
      <c r="AC1227" s="233"/>
      <c r="AD1227" s="233"/>
      <c r="AE1227" s="1386"/>
      <c r="AF1227" s="271" t="str">
        <f t="shared" si="189"/>
        <v/>
      </c>
      <c r="AG1227" s="229"/>
      <c r="DG1227" s="573"/>
      <c r="DH1227" s="159"/>
      <c r="DI1227" s="1091"/>
    </row>
    <row r="1228" spans="1:113" hidden="1" outlineLevel="1">
      <c r="A1228" s="453"/>
      <c r="C1228" s="51"/>
      <c r="D1228" s="4295"/>
      <c r="E1228" s="4295"/>
      <c r="F1228" s="4289" t="str">
        <f t="shared" si="190"/>
        <v>Mini/MultiSplitASHP-Replace_CAC_ElectricHeat_ROF_SF</v>
      </c>
      <c r="G1228" s="4289"/>
      <c r="H1228" s="4289"/>
      <c r="I1228" s="929" t="str">
        <f t="shared" si="191"/>
        <v>351450_2024_12_</v>
      </c>
      <c r="J1228" s="1705">
        <f>MAX((SUMIFS(S$828:S$831,Q$828:Q$831,"&lt;="&amp;L1228,R$828:R$831,"&gt;"&amp;L1228)*K1228)-(S$836+T$836*K1228),(SUMIFS(T$828:T$831,Q$828:Q$831,"&lt;="&amp;L1228,R$828:R$831,"&gt;"&amp;L1228)*K1228))</f>
        <v>543.7067546700647</v>
      </c>
      <c r="K1228" s="1044">
        <f>VLOOKUP(INDEX($C$749:$E$817,MATCH(SUBSTITUTE(F1228, "MultiSplitAC_", "MultiSplitASHP_"),$E$749:$E$817,0),1),$I$827:$K$853,3,FALSE)</f>
        <v>1.6278645349403136</v>
      </c>
      <c r="L1228" s="1764">
        <f>VLOOKUP(INDEX($C$749:$E$817,MATCH(SUBSTITUTE(F1228, "MultiSplitAC_", "MultiSplitASHP_"),$E$749:$E$817,0),1),$I$935:$J$961,2,FALSE)</f>
        <v>11.370854271356771</v>
      </c>
      <c r="M1228" s="553"/>
      <c r="N1228" s="1057"/>
      <c r="S1228" s="52"/>
      <c r="T1228" s="52"/>
      <c r="U1228" s="52"/>
      <c r="V1228" s="4293"/>
      <c r="W1228" s="234">
        <v>1121.0666666666668</v>
      </c>
      <c r="X1228" s="233">
        <f>(1051*(X$967/12000)/1.5)*X$1112</f>
        <v>1051</v>
      </c>
      <c r="Y1228" s="233">
        <f>(1051*(Y$967/12000)/1.5)*Y$1112</f>
        <v>1121.0666666666668</v>
      </c>
      <c r="Z1228" s="234">
        <v>1121.0666666666668</v>
      </c>
      <c r="AA1228" s="234">
        <v>1121.0666666666668</v>
      </c>
      <c r="AB1228" s="739">
        <v>336</v>
      </c>
      <c r="AC1228" s="233">
        <v>337.89830508474574</v>
      </c>
      <c r="AD1228" s="233">
        <v>364.64165582663026</v>
      </c>
      <c r="AE1228" s="1386">
        <v>364.64165582663026</v>
      </c>
      <c r="AF1228" s="271">
        <f t="shared" si="189"/>
        <v>543.7067546700647</v>
      </c>
      <c r="AG1228" s="229"/>
      <c r="DG1228" s="573"/>
      <c r="DH1228" s="159"/>
      <c r="DI1228" s="1091"/>
    </row>
    <row r="1229" spans="1:113" hidden="1" outlineLevel="1">
      <c r="A1229" s="453"/>
      <c r="C1229" s="51"/>
      <c r="D1229" s="4295"/>
      <c r="E1229" s="4295"/>
      <c r="F1229" s="4289" t="str">
        <f t="shared" si="190"/>
        <v>Mini/MultiSplitASHP-Replace_CAC_ElectricHeat_ROF_SF</v>
      </c>
      <c r="G1229" s="4289"/>
      <c r="H1229" s="4289"/>
      <c r="I1229" s="929" t="str">
        <f t="shared" si="191"/>
        <v>351450_2024_12_</v>
      </c>
      <c r="J1229" s="742"/>
      <c r="K1229" s="1044"/>
      <c r="L1229" s="929"/>
      <c r="N1229" s="564"/>
      <c r="S1229" s="52"/>
      <c r="T1229" s="52"/>
      <c r="U1229" s="52"/>
      <c r="V1229" s="4293"/>
      <c r="W1229" s="234"/>
      <c r="X1229" s="233"/>
      <c r="Y1229" s="233"/>
      <c r="Z1229" s="234"/>
      <c r="AA1229" s="234"/>
      <c r="AB1229" s="739"/>
      <c r="AC1229" s="233"/>
      <c r="AD1229" s="233"/>
      <c r="AE1229" s="1386"/>
      <c r="AF1229" s="271" t="str">
        <f t="shared" si="189"/>
        <v/>
      </c>
      <c r="AG1229" s="229"/>
      <c r="DG1229" s="573"/>
      <c r="DH1229" s="159"/>
      <c r="DI1229" s="1091"/>
    </row>
    <row r="1230" spans="1:113" hidden="1" outlineLevel="1">
      <c r="A1230" s="453"/>
      <c r="C1230" s="51"/>
      <c r="D1230" s="4295"/>
      <c r="E1230" s="4295"/>
      <c r="F1230" s="4289" t="str">
        <f t="shared" si="190"/>
        <v>Mini/MultiSplitASHP-Replace_CAC_NonElectricHeat_ROF_SF</v>
      </c>
      <c r="G1230" s="4289"/>
      <c r="H1230" s="4289"/>
      <c r="I1230" s="929" t="str">
        <f t="shared" si="191"/>
        <v>351451_2024_12_</v>
      </c>
      <c r="J1230" s="1705">
        <f>MAX((SUMIFS(S$828:S$831,Q$828:Q$831,"&lt;="&amp;L1230,R$828:R$831,"&gt;"&amp;L1230)*K1230)-(S$837+T$837*K1230),(SUMIFS(T$828:T$831,Q$828:Q$831,"&lt;="&amp;L1230,R$828:R$831,"&gt;"&amp;L1230)*K1230))*VLOOKUP(I1230,$I$1259:$J$1262,2,FALSE)</f>
        <v>36.630324772238367</v>
      </c>
      <c r="K1230" s="1044">
        <f>VLOOKUP(INDEX($C$749:$E$817,MATCH(SUBSTITUTE(F1230, "MultiSplitAC_", "MultiSplitASHP_"),$E$749:$E$817,0),1),$I$827:$K$853,3,FALSE)</f>
        <v>1.6278645349403136</v>
      </c>
      <c r="L1230" s="1764">
        <f>VLOOKUP(INDEX($C$749:$E$817,MATCH(SUBSTITUTE(F1230, "MultiSplitAC_", "MultiSplitASHP_"),$E$749:$E$817,0),1),$I$935:$J$961,2,FALSE)</f>
        <v>11.370854271356771</v>
      </c>
      <c r="M1230" s="553"/>
      <c r="N1230" s="1057"/>
      <c r="S1230" s="52"/>
      <c r="T1230" s="52"/>
      <c r="U1230" s="52"/>
      <c r="V1230" s="4293"/>
      <c r="W1230" s="234"/>
      <c r="X1230" s="233"/>
      <c r="Y1230" s="233"/>
      <c r="Z1230" s="234"/>
      <c r="AA1230" s="234"/>
      <c r="AB1230" s="739"/>
      <c r="AC1230" s="233"/>
      <c r="AD1230" s="233">
        <v>364.64165582663026</v>
      </c>
      <c r="AE1230" s="1386">
        <v>364.64165582663026</v>
      </c>
      <c r="AF1230" s="271">
        <f t="shared" si="189"/>
        <v>36.630324772238367</v>
      </c>
      <c r="AG1230" s="229"/>
      <c r="DG1230" s="573"/>
      <c r="DH1230" s="159"/>
      <c r="DI1230" s="1091"/>
    </row>
    <row r="1231" spans="1:113" hidden="1" outlineLevel="1">
      <c r="A1231" s="453"/>
      <c r="C1231" s="51"/>
      <c r="D1231" s="4295"/>
      <c r="E1231" s="4295"/>
      <c r="F1231" s="4289" t="str">
        <f t="shared" si="190"/>
        <v>Mini/MultiSplitASHP-Replace_CAC_NonElectricHeat_ROF_SF</v>
      </c>
      <c r="G1231" s="4289"/>
      <c r="H1231" s="4289"/>
      <c r="I1231" s="929" t="str">
        <f t="shared" si="191"/>
        <v>351451_2024_12_</v>
      </c>
      <c r="J1231" s="742"/>
      <c r="K1231" s="1044"/>
      <c r="L1231" s="929"/>
      <c r="N1231" s="564"/>
      <c r="S1231" s="52"/>
      <c r="T1231" s="52"/>
      <c r="U1231" s="52"/>
      <c r="V1231" s="4293"/>
      <c r="W1231" s="234"/>
      <c r="X1231" s="233"/>
      <c r="Y1231" s="233"/>
      <c r="Z1231" s="234"/>
      <c r="AA1231" s="234"/>
      <c r="AB1231" s="739"/>
      <c r="AC1231" s="233"/>
      <c r="AD1231" s="233"/>
      <c r="AE1231" s="1386"/>
      <c r="AF1231" s="271" t="str">
        <f t="shared" si="189"/>
        <v/>
      </c>
      <c r="AG1231" s="229"/>
      <c r="DG1231" s="573"/>
      <c r="DH1231" s="159"/>
      <c r="DI1231" s="1091"/>
    </row>
    <row r="1232" spans="1:113" hidden="1" outlineLevel="1">
      <c r="A1232" s="453"/>
      <c r="C1232" s="51"/>
      <c r="D1232" s="4295"/>
      <c r="E1232" s="4295"/>
      <c r="F1232" s="4289" t="str">
        <f t="shared" si="190"/>
        <v>Mini/MultiSplitASHP_ER1_SF</v>
      </c>
      <c r="G1232" s="4289"/>
      <c r="H1232" s="4289"/>
      <c r="I1232" s="929" t="str">
        <f t="shared" si="191"/>
        <v>351500_2024_12_</v>
      </c>
      <c r="J1232" s="1705">
        <f>MAX((SUMIFS(S$828:S$831,Q$828:Q$831,"&lt;="&amp;L1232,R$828:R$831,"&gt;"&amp;L1232)*K1232)-((S$838+T$838*K1232)*S$845),(SUMIFS(T$828:T$831,Q$828:Q$831,"&lt;="&amp;L1232,R$828:R$831,"&gt;"&amp;L1232)*K1232))</f>
        <v>683.91788099116957</v>
      </c>
      <c r="K1232" s="1044">
        <f>VLOOKUP(INDEX($C$749:$E$817,MATCH(SUBSTITUTE(F1232, "MultiSplitAC_", "MultiSplitASHP_"),$E$749:$E$817,0),1),$I$827:$K$853,3,FALSE)</f>
        <v>1.8757575757575757</v>
      </c>
      <c r="L1232" s="1764">
        <f>VLOOKUP(INDEX($C$749:$E$817,MATCH(SUBSTITUTE(F1232, "MultiSplitAC_", "MultiSplitASHP_"),$E$749:$E$817,0),1),$I$935:$J$961,2,FALSE)</f>
        <v>11.185185185185182</v>
      </c>
      <c r="M1232" s="553">
        <f>VLOOKUP(I1232,I$881:J$934,2,FALSE)</f>
        <v>7.5</v>
      </c>
      <c r="N1232" s="1057"/>
      <c r="S1232" s="52"/>
      <c r="T1232" s="52"/>
      <c r="U1232" s="52"/>
      <c r="V1232" s="4293"/>
      <c r="W1232" s="234">
        <v>2246.2666666666669</v>
      </c>
      <c r="X1232" s="233">
        <f>(1982*(X$970/12000)/1.5)*X$1116</f>
        <v>1982</v>
      </c>
      <c r="Y1232" s="233">
        <f>(1982*(Y$970/12000)/1.5)*Y$1116</f>
        <v>1982</v>
      </c>
      <c r="Z1232" s="234">
        <v>1982</v>
      </c>
      <c r="AA1232" s="234">
        <v>1982</v>
      </c>
      <c r="AB1232" s="739">
        <v>648.60319098531227</v>
      </c>
      <c r="AC1232" s="233">
        <v>698.32770489042764</v>
      </c>
      <c r="AD1232" s="233">
        <v>789.39384082840229</v>
      </c>
      <c r="AE1232" s="1163">
        <v>795.09302732123228</v>
      </c>
      <c r="AF1232" s="271">
        <f t="shared" si="189"/>
        <v>683.91788099116957</v>
      </c>
      <c r="AG1232" s="229"/>
      <c r="DG1232" s="573"/>
      <c r="DH1232" s="159"/>
      <c r="DI1232" s="1091"/>
    </row>
    <row r="1233" spans="1:113" hidden="1" outlineLevel="1">
      <c r="A1233" s="453"/>
      <c r="C1233" s="51"/>
      <c r="D1233" s="4295"/>
      <c r="E1233" s="4295"/>
      <c r="F1233" s="4289" t="str">
        <f t="shared" si="190"/>
        <v>Mini/MultiSplitASHP_ER1_SF</v>
      </c>
      <c r="G1233" s="4289"/>
      <c r="H1233" s="4289"/>
      <c r="I1233" s="929" t="str">
        <f t="shared" si="191"/>
        <v>351500_2024_12_</v>
      </c>
      <c r="J1233" s="379"/>
      <c r="K1233" s="1044"/>
      <c r="L1233" s="929"/>
      <c r="N1233" s="564"/>
      <c r="S1233" s="52"/>
      <c r="T1233" s="52"/>
      <c r="U1233" s="52"/>
      <c r="V1233" s="4293"/>
      <c r="W1233" s="236"/>
      <c r="X1233" s="235"/>
      <c r="Y1233" s="235"/>
      <c r="Z1233" s="236"/>
      <c r="AA1233" s="236"/>
      <c r="AB1233" s="739"/>
      <c r="AC1233" s="235"/>
      <c r="AD1233" s="235"/>
      <c r="AE1233" s="237"/>
      <c r="AF1233" s="271" t="str">
        <f t="shared" si="189"/>
        <v/>
      </c>
      <c r="AG1233" s="229"/>
      <c r="DG1233" s="573"/>
      <c r="DH1233" s="159"/>
      <c r="DI1233" s="1091"/>
    </row>
    <row r="1234" spans="1:113" hidden="1" outlineLevel="1">
      <c r="A1234" s="453"/>
      <c r="C1234" s="51"/>
      <c r="D1234" s="4295"/>
      <c r="E1234" s="4295"/>
      <c r="F1234" s="4289" t="str">
        <f t="shared" si="190"/>
        <v>Mini/MultiSplitASHP_ER2_SF</v>
      </c>
      <c r="G1234" s="4289"/>
      <c r="H1234" s="4289"/>
      <c r="I1234" s="929" t="str">
        <f t="shared" si="191"/>
        <v>351500_2024_12_</v>
      </c>
      <c r="J1234" s="379"/>
      <c r="K1234" s="1044"/>
      <c r="L1234" s="929"/>
      <c r="N1234" s="564"/>
      <c r="S1234" s="52"/>
      <c r="T1234" s="52"/>
      <c r="U1234" s="52"/>
      <c r="V1234" s="4293"/>
      <c r="W1234" s="236"/>
      <c r="X1234" s="235"/>
      <c r="Y1234" s="235"/>
      <c r="Z1234" s="236"/>
      <c r="AA1234" s="236"/>
      <c r="AB1234" s="739"/>
      <c r="AC1234" s="235"/>
      <c r="AD1234" s="235"/>
      <c r="AE1234" s="237"/>
      <c r="AF1234" s="271" t="str">
        <f t="shared" si="189"/>
        <v/>
      </c>
      <c r="AG1234" s="229"/>
      <c r="DG1234" s="573"/>
      <c r="DH1234" s="159"/>
      <c r="DI1234" s="1091"/>
    </row>
    <row r="1235" spans="1:113" hidden="1" outlineLevel="1">
      <c r="A1235" s="453"/>
      <c r="C1235" s="51"/>
      <c r="D1235" s="4295"/>
      <c r="E1235" s="4295"/>
      <c r="F1235" s="4289" t="str">
        <f t="shared" si="190"/>
        <v>Mini/MultiSplitASHP_ER2_SF</v>
      </c>
      <c r="G1235" s="4289"/>
      <c r="H1235" s="4289"/>
      <c r="I1235" s="929" t="str">
        <f t="shared" si="191"/>
        <v>351500_2024_12_</v>
      </c>
      <c r="J1235" s="379"/>
      <c r="K1235" s="1044"/>
      <c r="L1235" s="929"/>
      <c r="N1235" s="564"/>
      <c r="S1235" s="52"/>
      <c r="T1235" s="52"/>
      <c r="U1235" s="52"/>
      <c r="V1235" s="4293"/>
      <c r="W1235" s="236"/>
      <c r="X1235" s="235"/>
      <c r="Y1235" s="235"/>
      <c r="Z1235" s="236"/>
      <c r="AA1235" s="236"/>
      <c r="AB1235" s="739"/>
      <c r="AC1235" s="235"/>
      <c r="AD1235" s="235"/>
      <c r="AE1235" s="237"/>
      <c r="AF1235" s="271" t="str">
        <f t="shared" si="189"/>
        <v/>
      </c>
      <c r="AG1235" s="229"/>
      <c r="DG1235" s="573"/>
      <c r="DH1235" s="159"/>
      <c r="DI1235" s="1091"/>
    </row>
    <row r="1236" spans="1:113" hidden="1" outlineLevel="1">
      <c r="A1236" s="453"/>
      <c r="C1236" s="51"/>
      <c r="D1236" s="4295"/>
      <c r="E1236" s="4295"/>
      <c r="F1236" s="4289" t="str">
        <f t="shared" si="190"/>
        <v>Mini/MultiSplitAC_ER1_MF</v>
      </c>
      <c r="G1236" s="4289"/>
      <c r="H1236" s="4289"/>
      <c r="I1236" s="929" t="str">
        <f t="shared" si="191"/>
        <v>351550_2024_12_</v>
      </c>
      <c r="J1236" s="1705">
        <f>MAX((SUMIFS(S$828:S$831,Q$828:Q$831,"&lt;="&amp;L1236,R$828:R$831,"&gt;"&amp;L1236)*K1236)-((S$838+T$838*K1236)*S$845),(SUMIFS(T$828:T$831,Q$828:Q$831,"&lt;="&amp;L1236,R$828:R$831,"&gt;"&amp;L1236)*K1236))</f>
        <v>1381.2177729469663</v>
      </c>
      <c r="K1236" s="1044">
        <f>VLOOKUP(INDEX($C$749:$E$817,MATCH(SUBSTITUTE(F1236, "MultiSplitAC_", "MultiSplitASHP_"),$E$749:$E$817,0),1),$I$827:$K$853,3,FALSE)</f>
        <v>2</v>
      </c>
      <c r="L1236" s="1764">
        <f>VLOOKUP(INDEX($C$749:$E$817,MATCH(SUBSTITUTE(F1236, "MultiSplitAC_", "MultiSplitASHP_"),$E$749:$E$817,0),1),$I$935:$J$961,2,FALSE)</f>
        <v>12.5</v>
      </c>
      <c r="M1236" s="553">
        <f>VLOOKUP(I1236,I$881:J$934,2,FALSE)</f>
        <v>0</v>
      </c>
      <c r="N1236" s="1057"/>
      <c r="S1236" s="52"/>
      <c r="T1236" s="52"/>
      <c r="U1236" s="52"/>
      <c r="V1236" s="4293"/>
      <c r="W1236" s="236">
        <v>1601.3999999999999</v>
      </c>
      <c r="X1236" s="235">
        <f>(1413*(X$962/12000)/1.5*X$1120)</f>
        <v>918.45</v>
      </c>
      <c r="Y1236" s="235">
        <f>(1413*(Y$962/12000)/1.5*Y$1120)</f>
        <v>1413</v>
      </c>
      <c r="Z1236" s="236">
        <v>1413</v>
      </c>
      <c r="AA1236" s="236">
        <v>1413</v>
      </c>
      <c r="AB1236" s="739">
        <v>1231.1592671062349</v>
      </c>
      <c r="AC1236" s="233">
        <v>1133.5954314013989</v>
      </c>
      <c r="AD1236" s="233">
        <v>1558.1873453016101</v>
      </c>
      <c r="AE1236" s="1163">
        <v>1604.7127476323578</v>
      </c>
      <c r="AF1236" s="271">
        <f t="shared" si="189"/>
        <v>1381.2177729469663</v>
      </c>
      <c r="AG1236" s="229"/>
      <c r="DG1236" s="573"/>
      <c r="DH1236" s="159"/>
      <c r="DI1236" s="1091"/>
    </row>
    <row r="1237" spans="1:113" hidden="1" outlineLevel="1">
      <c r="A1237" s="453"/>
      <c r="C1237" s="51"/>
      <c r="D1237" s="4295"/>
      <c r="E1237" s="4295"/>
      <c r="F1237" s="4289" t="str">
        <f t="shared" si="190"/>
        <v>Mini/MultiSplitAC_ER2_MF</v>
      </c>
      <c r="G1237" s="4289"/>
      <c r="H1237" s="4289"/>
      <c r="I1237" s="929" t="str">
        <f t="shared" si="191"/>
        <v>351550_2024_12_</v>
      </c>
      <c r="J1237" s="379"/>
      <c r="K1237" s="1044"/>
      <c r="L1237" s="929"/>
      <c r="N1237" s="564"/>
      <c r="S1237" s="52"/>
      <c r="T1237" s="52"/>
      <c r="U1237" s="52"/>
      <c r="V1237" s="4293"/>
      <c r="W1237" s="236"/>
      <c r="X1237" s="235"/>
      <c r="Y1237" s="235"/>
      <c r="Z1237" s="236"/>
      <c r="AA1237" s="236"/>
      <c r="AB1237" s="739"/>
      <c r="AC1237" s="235"/>
      <c r="AD1237" s="235"/>
      <c r="AE1237" s="237"/>
      <c r="AF1237" s="271" t="str">
        <f t="shared" si="189"/>
        <v/>
      </c>
      <c r="AG1237" s="229"/>
      <c r="DG1237" s="573"/>
      <c r="DH1237" s="159"/>
      <c r="DI1237" s="1091"/>
    </row>
    <row r="1238" spans="1:113" hidden="1" outlineLevel="1">
      <c r="A1238" s="453"/>
      <c r="C1238" s="51"/>
      <c r="D1238" s="4295"/>
      <c r="E1238" s="4295"/>
      <c r="F1238" s="4290" t="str">
        <f t="shared" si="190"/>
        <v>Mini/MultiSplitAC_ROF_MF</v>
      </c>
      <c r="G1238" s="4290"/>
      <c r="H1238" s="4290"/>
      <c r="I1238" s="3334" t="str">
        <f t="shared" si="191"/>
        <v>351600_2024_12_</v>
      </c>
      <c r="J1238" s="2908">
        <f>SUMIFS(T$828:T$831,Q$828:Q$831,"&lt;="&amp;L1238,R$828:R$831,"&gt;"&amp;L1238)*K1238</f>
        <v>668</v>
      </c>
      <c r="K1238" s="3359">
        <f>VLOOKUP(INDEX($C$749:$E$817,MATCH(SUBSTITUTE(F1238, "MultiSplitAC_", "MultiSplitASHP_"),$E$749:$E$817,0),1),$I$827:$K$853,3,FALSE)</f>
        <v>2</v>
      </c>
      <c r="L1238" s="3360">
        <f>VLOOKUP(INDEX($C$749:$E$817,MATCH(SUBSTITUTE(F1238, "MultiSplitAC_", "MultiSplitASHP_"),$E$749:$E$817,0),1),$I$935:$J$961,2,FALSE)</f>
        <v>9.863636363636358</v>
      </c>
      <c r="M1238" s="553"/>
      <c r="N1238" s="1057"/>
      <c r="S1238" s="52"/>
      <c r="T1238" s="52"/>
      <c r="U1238" s="52"/>
      <c r="V1238" s="4293"/>
      <c r="W1238" s="3362">
        <v>1043.7333333333333</v>
      </c>
      <c r="X1238" s="3363">
        <f>(978.5/1.5*(X$963/12000))*X$1122</f>
        <v>636.02499999999998</v>
      </c>
      <c r="Y1238" s="3363">
        <f>(978.5/1.5*(Y$963/12000))*Y$1122</f>
        <v>978.5</v>
      </c>
      <c r="Z1238" s="3362">
        <v>978.5</v>
      </c>
      <c r="AA1238" s="3362">
        <v>978.5</v>
      </c>
      <c r="AB1238" s="3364">
        <v>336</v>
      </c>
      <c r="AC1238" s="3365">
        <v>337.89830508474574</v>
      </c>
      <c r="AD1238" s="3365">
        <v>364.64165582663026</v>
      </c>
      <c r="AE1238" s="2907">
        <v>364.64165582663026</v>
      </c>
      <c r="AF1238" s="2236">
        <f t="shared" si="189"/>
        <v>668</v>
      </c>
      <c r="AG1238" s="229"/>
      <c r="DG1238" s="573"/>
      <c r="DH1238" s="159"/>
      <c r="DI1238" s="1091"/>
    </row>
    <row r="1239" spans="1:113" hidden="1" outlineLevel="1">
      <c r="A1239" s="453"/>
      <c r="C1239" s="51"/>
      <c r="D1239" s="4295"/>
      <c r="E1239" s="4295"/>
      <c r="F1239" s="4290" t="str">
        <f t="shared" si="190"/>
        <v>Mini/MultiSplitASHP_ROF_MF_NC</v>
      </c>
      <c r="G1239" s="4290"/>
      <c r="H1239" s="4290"/>
      <c r="I1239" s="3334" t="str">
        <f t="shared" si="191"/>
        <v>351650_2024_12_</v>
      </c>
      <c r="J1239" s="2908">
        <f>SUMIFS(T$828:T$831,Q$828:Q$831,"&lt;="&amp;L1239,R$828:R$831,"&gt;"&amp;L1239)*K1239</f>
        <v>668</v>
      </c>
      <c r="K1239" s="3359">
        <f>VLOOKUP(INDEX($C$749:$E$817,MATCH(SUBSTITUTE(F1239, "MultiSplitAC_", "MultiSplitASHP_"),$E$749:$E$817,0),1),$I$827:$K$853,3,FALSE)</f>
        <v>2</v>
      </c>
      <c r="L1239" s="3360">
        <f>VLOOKUP(INDEX($C$749:$E$817,MATCH(SUBSTITUTE(F1239, "MultiSplitAC_", "MultiSplitASHP_"),$E$749:$E$817,0),1),$I$935:$J$961,2,FALSE)</f>
        <v>9.863636363636358</v>
      </c>
      <c r="M1239" s="553"/>
      <c r="N1239" s="1057"/>
      <c r="S1239" s="52"/>
      <c r="T1239" s="52"/>
      <c r="U1239" s="52"/>
      <c r="V1239" s="4293"/>
      <c r="W1239" s="3362">
        <v>658</v>
      </c>
      <c r="X1239" s="3363">
        <f>(705/1.5*(X$964/12000)*X$1123)</f>
        <v>458.25</v>
      </c>
      <c r="Y1239" s="3363">
        <f>(705/1.5*(Y$964/12000)*Y$1123)</f>
        <v>705</v>
      </c>
      <c r="Z1239" s="3362">
        <v>705</v>
      </c>
      <c r="AA1239" s="3362">
        <v>705</v>
      </c>
      <c r="AB1239" s="3364">
        <v>336</v>
      </c>
      <c r="AC1239" s="3365">
        <v>337.89830508474574</v>
      </c>
      <c r="AD1239" s="3365">
        <v>364.64165582663026</v>
      </c>
      <c r="AE1239" s="2907">
        <v>364.64165582663026</v>
      </c>
      <c r="AF1239" s="2236">
        <f t="shared" si="189"/>
        <v>668</v>
      </c>
      <c r="AG1239" s="229"/>
      <c r="DG1239" s="573"/>
      <c r="DH1239" s="159"/>
      <c r="DI1239" s="1091"/>
    </row>
    <row r="1240" spans="1:113" hidden="1" outlineLevel="1">
      <c r="A1240" s="453"/>
      <c r="C1240" s="51"/>
      <c r="D1240" s="4295"/>
      <c r="E1240" s="4295"/>
      <c r="F1240" s="4290" t="str">
        <f t="shared" si="190"/>
        <v>Mini/MultiSplitASHP_ROF_MF_NC</v>
      </c>
      <c r="G1240" s="4290"/>
      <c r="H1240" s="4290"/>
      <c r="I1240" s="3334" t="str">
        <f t="shared" si="191"/>
        <v>351650_2024_12_</v>
      </c>
      <c r="J1240" s="2482"/>
      <c r="K1240" s="3359"/>
      <c r="L1240" s="3334"/>
      <c r="N1240" s="564"/>
      <c r="S1240" s="52"/>
      <c r="T1240" s="52"/>
      <c r="U1240" s="52"/>
      <c r="V1240" s="4293"/>
      <c r="W1240" s="3366"/>
      <c r="X1240" s="3365"/>
      <c r="Y1240" s="3365"/>
      <c r="Z1240" s="3366"/>
      <c r="AA1240" s="3366"/>
      <c r="AB1240" s="3364"/>
      <c r="AC1240" s="3365"/>
      <c r="AD1240" s="3365"/>
      <c r="AE1240" s="2907"/>
      <c r="AF1240" s="2236" t="str">
        <f t="shared" si="189"/>
        <v/>
      </c>
      <c r="AG1240" s="229"/>
      <c r="DG1240" s="573"/>
      <c r="DH1240" s="159"/>
      <c r="DI1240" s="1091"/>
    </row>
    <row r="1241" spans="1:113" hidden="1" outlineLevel="1">
      <c r="A1241" s="453"/>
      <c r="C1241" s="51"/>
      <c r="D1241" s="4295"/>
      <c r="E1241" s="4295"/>
      <c r="F1241" s="4290" t="str">
        <f t="shared" si="190"/>
        <v>Mini/MultiSplitASHP_ROF_MF</v>
      </c>
      <c r="G1241" s="4290"/>
      <c r="H1241" s="4290"/>
      <c r="I1241" s="3334" t="str">
        <f t="shared" si="191"/>
        <v>351700_2024_12_</v>
      </c>
      <c r="J1241" s="2908">
        <f>SUMIFS(T$828:T$831,Q$828:Q$831,"&lt;="&amp;L1241,R$828:R$831,"&gt;"&amp;L1241)*K1241</f>
        <v>668</v>
      </c>
      <c r="K1241" s="3359">
        <f>VLOOKUP(INDEX($C$749:$E$817,MATCH(SUBSTITUTE(F1241, "MultiSplitAC_", "MultiSplitASHP_"),$E$749:$E$817,0),1),$I$827:$K$853,3,FALSE)</f>
        <v>2</v>
      </c>
      <c r="L1241" s="3360">
        <f>VLOOKUP(INDEX($C$749:$E$817,MATCH(SUBSTITUTE(F1241, "MultiSplitAC_", "MultiSplitASHP_"),$E$749:$E$817,0),1),$I$935:$J$961,2,FALSE)</f>
        <v>9.863636363636358</v>
      </c>
      <c r="M1241" s="553"/>
      <c r="N1241" s="1057"/>
      <c r="S1241" s="52"/>
      <c r="T1241" s="52"/>
      <c r="U1241" s="52"/>
      <c r="V1241" s="4293"/>
      <c r="W1241" s="3362">
        <v>658</v>
      </c>
      <c r="X1241" s="3363">
        <f>(705*(X$965/12000)/1.5*X$1125)</f>
        <v>458.25</v>
      </c>
      <c r="Y1241" s="3363">
        <f>(705*(Y$965/12000)/1.5*Y$1125)</f>
        <v>705</v>
      </c>
      <c r="Z1241" s="3362">
        <v>705</v>
      </c>
      <c r="AA1241" s="3362">
        <v>705</v>
      </c>
      <c r="AB1241" s="3364">
        <v>336</v>
      </c>
      <c r="AC1241" s="3365">
        <v>337.89830508474574</v>
      </c>
      <c r="AD1241" s="3365">
        <v>364.64165582663026</v>
      </c>
      <c r="AE1241" s="2907">
        <v>364.64165582663026</v>
      </c>
      <c r="AF1241" s="2236">
        <f t="shared" si="189"/>
        <v>668</v>
      </c>
      <c r="AG1241" s="229"/>
      <c r="DG1241" s="573"/>
      <c r="DH1241" s="159"/>
      <c r="DI1241" s="1091"/>
    </row>
    <row r="1242" spans="1:113" hidden="1" outlineLevel="1">
      <c r="A1242" s="453"/>
      <c r="C1242" s="51"/>
      <c r="D1242" s="4295"/>
      <c r="E1242" s="4295"/>
      <c r="F1242" s="4290" t="str">
        <f t="shared" si="190"/>
        <v>Mini/MultiSplitASHP_ROF_MF</v>
      </c>
      <c r="G1242" s="4290"/>
      <c r="H1242" s="4290"/>
      <c r="I1242" s="3334" t="str">
        <f t="shared" si="191"/>
        <v>351700_2024_12_</v>
      </c>
      <c r="J1242" s="2482"/>
      <c r="K1242" s="3359"/>
      <c r="L1242" s="3334"/>
      <c r="N1242" s="564"/>
      <c r="S1242" s="52"/>
      <c r="T1242" s="52"/>
      <c r="U1242" s="52"/>
      <c r="V1242" s="4293"/>
      <c r="W1242" s="3366"/>
      <c r="X1242" s="3365"/>
      <c r="Y1242" s="3365"/>
      <c r="Z1242" s="3366"/>
      <c r="AA1242" s="3366"/>
      <c r="AB1242" s="3364"/>
      <c r="AC1242" s="3365"/>
      <c r="AD1242" s="3365"/>
      <c r="AE1242" s="2907"/>
      <c r="AF1242" s="2236" t="str">
        <f t="shared" si="189"/>
        <v/>
      </c>
      <c r="AG1242" s="229"/>
      <c r="DG1242" s="573"/>
      <c r="DH1242" s="159"/>
      <c r="DI1242" s="1091"/>
    </row>
    <row r="1243" spans="1:113" hidden="1" outlineLevel="1">
      <c r="A1243" s="453"/>
      <c r="C1243" s="51"/>
      <c r="D1243" s="4295"/>
      <c r="E1243" s="4295"/>
      <c r="F1243" s="4290" t="str">
        <f t="shared" si="190"/>
        <v>Mini/MultiSplitASHP-Replace_CAC_ElectricHeat_ER1_MF</v>
      </c>
      <c r="G1243" s="4290"/>
      <c r="H1243" s="4290"/>
      <c r="I1243" s="3334" t="str">
        <f t="shared" si="191"/>
        <v>351750_2024_12_</v>
      </c>
      <c r="J1243" s="2908">
        <f>MAX((SUMIFS(S$828:S$831,Q$828:Q$831,"&lt;="&amp;L1243,R$828:R$831,"&gt;"&amp;L1243)*K1243)-((S$839+T$839*K1243)*S$845),(SUMIFS(T$828:T$831,Q$828:Q$831,"&lt;="&amp;L1243,R$828:R$831,"&gt;"&amp;L1243)*K1243))</f>
        <v>1320</v>
      </c>
      <c r="K1243" s="3359">
        <f>VLOOKUP(INDEX($C$749:$E$817,MATCH(SUBSTITUTE(F1243, "MultiSplitAC_", "MultiSplitASHP_"),$E$749:$E$817,0),1),$I$827:$K$853,3,FALSE)</f>
        <v>2</v>
      </c>
      <c r="L1243" s="3360">
        <f>VLOOKUP(INDEX($C$749:$E$817,MATCH(SUBSTITUTE(F1243, "MultiSplitAC_", "MultiSplitASHP_"),$E$749:$E$817,0),1),$I$935:$J$961,2,FALSE)</f>
        <v>12.5</v>
      </c>
      <c r="M1243" s="553">
        <f>VLOOKUP(I1243,I$881:J$934,2,FALSE)</f>
        <v>3.4119999999999999</v>
      </c>
      <c r="N1243" s="1057"/>
      <c r="S1243" s="52"/>
      <c r="T1243" s="52"/>
      <c r="U1243" s="52"/>
      <c r="V1243" s="4293"/>
      <c r="W1243" s="3362">
        <v>1484</v>
      </c>
      <c r="X1243" s="3363">
        <f>(1590*(X$966/12000)/1.5*$J$1127)</f>
        <v>1590</v>
      </c>
      <c r="Y1243" s="3363">
        <f>(1590*(Y$966/12000)/1.5*$J$1127)</f>
        <v>1590</v>
      </c>
      <c r="Z1243" s="3362">
        <v>1590</v>
      </c>
      <c r="AA1243" s="3362">
        <v>1590</v>
      </c>
      <c r="AB1243" s="3364">
        <v>2504.17</v>
      </c>
      <c r="AC1243" s="3365">
        <v>2505.747142294048</v>
      </c>
      <c r="AD1243" s="3365">
        <v>3126.6416558266301</v>
      </c>
      <c r="AE1243" s="2907">
        <v>3126.6416558266301</v>
      </c>
      <c r="AF1243" s="2236">
        <f t="shared" si="189"/>
        <v>1320</v>
      </c>
      <c r="AG1243" s="229"/>
      <c r="DG1243" s="573"/>
      <c r="DH1243" s="159"/>
      <c r="DI1243" s="1091"/>
    </row>
    <row r="1244" spans="1:113" hidden="1" outlineLevel="1">
      <c r="A1244" s="453"/>
      <c r="C1244" s="51"/>
      <c r="D1244" s="4295"/>
      <c r="E1244" s="4295"/>
      <c r="F1244" s="4290" t="str">
        <f t="shared" si="190"/>
        <v>Mini/MultiSplitASHP-Replace_CAC_ElectricHeat_ER1_MF</v>
      </c>
      <c r="G1244" s="4290"/>
      <c r="H1244" s="4290"/>
      <c r="I1244" s="3334" t="str">
        <f t="shared" si="191"/>
        <v>351750_2024_12_</v>
      </c>
      <c r="J1244" s="2466"/>
      <c r="K1244" s="3359"/>
      <c r="L1244" s="3334"/>
      <c r="N1244" s="564"/>
      <c r="S1244" s="52"/>
      <c r="T1244" s="52"/>
      <c r="U1244" s="52"/>
      <c r="V1244" s="4293"/>
      <c r="W1244" s="3362"/>
      <c r="X1244" s="3363"/>
      <c r="Y1244" s="3363"/>
      <c r="Z1244" s="3362"/>
      <c r="AA1244" s="3362"/>
      <c r="AB1244" s="3364"/>
      <c r="AC1244" s="3363"/>
      <c r="AD1244" s="3363"/>
      <c r="AE1244" s="3367"/>
      <c r="AF1244" s="2236" t="str">
        <f t="shared" si="189"/>
        <v/>
      </c>
      <c r="AG1244" s="229"/>
      <c r="DG1244" s="573"/>
      <c r="DH1244" s="159"/>
      <c r="DI1244" s="1091"/>
    </row>
    <row r="1245" spans="1:113" hidden="1" outlineLevel="1">
      <c r="A1245" s="453"/>
      <c r="C1245" s="51"/>
      <c r="D1245" s="4295"/>
      <c r="E1245" s="4295"/>
      <c r="F1245" s="4290" t="str">
        <f t="shared" si="190"/>
        <v>Mini/MultiSplitASHP-Replace_CAC_ElectricHeat_ER2_MF</v>
      </c>
      <c r="G1245" s="4290"/>
      <c r="H1245" s="4290"/>
      <c r="I1245" s="3334" t="str">
        <f t="shared" si="191"/>
        <v>351750_2024_12_</v>
      </c>
      <c r="J1245" s="2466"/>
      <c r="K1245" s="3359"/>
      <c r="L1245" s="3334"/>
      <c r="N1245" s="564"/>
      <c r="S1245" s="52"/>
      <c r="T1245" s="52"/>
      <c r="U1245" s="52"/>
      <c r="V1245" s="4293"/>
      <c r="W1245" s="3362"/>
      <c r="X1245" s="3363"/>
      <c r="Y1245" s="3363"/>
      <c r="Z1245" s="3362"/>
      <c r="AA1245" s="3362"/>
      <c r="AB1245" s="3364"/>
      <c r="AC1245" s="3363"/>
      <c r="AD1245" s="3363"/>
      <c r="AE1245" s="3367"/>
      <c r="AF1245" s="2236" t="str">
        <f t="shared" si="189"/>
        <v/>
      </c>
      <c r="AG1245" s="229"/>
      <c r="DG1245" s="573"/>
      <c r="DH1245" s="159"/>
      <c r="DI1245" s="1091"/>
    </row>
    <row r="1246" spans="1:113" hidden="1" outlineLevel="1">
      <c r="A1246" s="453"/>
      <c r="C1246" s="51"/>
      <c r="D1246" s="4295"/>
      <c r="E1246" s="4295"/>
      <c r="F1246" s="4290" t="str">
        <f t="shared" si="190"/>
        <v>Mini/MultiSplitASHP-Replace_CAC_ElectricHeat_ER2_MF</v>
      </c>
      <c r="G1246" s="4290"/>
      <c r="H1246" s="4290"/>
      <c r="I1246" s="3334" t="str">
        <f>I1200</f>
        <v>351750_2024_12_</v>
      </c>
      <c r="J1246" s="2466"/>
      <c r="K1246" s="3359"/>
      <c r="L1246" s="3334"/>
      <c r="N1246" s="564"/>
      <c r="S1246" s="52"/>
      <c r="T1246" s="52"/>
      <c r="U1246" s="52"/>
      <c r="V1246" s="4293"/>
      <c r="W1246" s="3362"/>
      <c r="X1246" s="3363"/>
      <c r="Y1246" s="3363"/>
      <c r="Z1246" s="3362"/>
      <c r="AA1246" s="3362"/>
      <c r="AB1246" s="3364"/>
      <c r="AC1246" s="3363"/>
      <c r="AD1246" s="3363"/>
      <c r="AE1246" s="3367"/>
      <c r="AF1246" s="2236" t="str">
        <f t="shared" si="189"/>
        <v/>
      </c>
      <c r="AG1246" s="229"/>
      <c r="DG1246" s="573"/>
      <c r="DH1246" s="159"/>
      <c r="DI1246" s="1091"/>
    </row>
    <row r="1247" spans="1:113" hidden="1" outlineLevel="1">
      <c r="A1247" s="453"/>
      <c r="C1247" s="51"/>
      <c r="D1247" s="4295"/>
      <c r="E1247" s="4295"/>
      <c r="F1247" s="4290" t="str">
        <f t="shared" si="190"/>
        <v>Mini/MultiSplitASHP-Replace_CAC_NonElectricHeat_ER1_MF</v>
      </c>
      <c r="G1247" s="4290"/>
      <c r="H1247" s="4290"/>
      <c r="I1247" s="3334" t="str">
        <f>I1201</f>
        <v>351752_2024_12_</v>
      </c>
      <c r="J1247" s="2908">
        <f>MAX((SUMIFS(S$828:S$831,Q$828:Q$831,"&lt;="&amp;L1247,R$828:R$831,"&gt;"&amp;L1247)*K1247-((T$840*K1247+S$840)*S$845))*VLOOKUP(I1247,$I$1259:$J$1262,2,FALSE),SUMIFS(T$828:T$831,Q$828:Q$831,"&lt;="&amp;L1247,R$828:R$831,"&gt;"&amp;L1247)*K1247*VLOOKUP(I1247,$I$1259:$J$1262,2,FALSE))</f>
        <v>161.96453986727821</v>
      </c>
      <c r="K1247" s="3359">
        <f>VLOOKUP(INDEX($C$749:$E$817,MATCH(SUBSTITUTE(F1247, "MultiSplitAC_", "MultiSplitASHP_"),$E$749:$E$817,0),1),$I$827:$K$853,3,FALSE)</f>
        <v>2</v>
      </c>
      <c r="L1247" s="3360">
        <f>VLOOKUP(INDEX($C$749:$E$817,MATCH(SUBSTITUTE(F1247, "MultiSplitAC_", "MultiSplitASHP_"),$E$749:$E$817,0),1),$I$935:$J$961,2,FALSE)</f>
        <v>12.5</v>
      </c>
      <c r="M1247" s="553">
        <f>VLOOKUP(I1247,I$881:J$934,2,FALSE)</f>
        <v>0</v>
      </c>
      <c r="N1247" s="1057"/>
      <c r="S1247" s="52"/>
      <c r="T1247" s="52"/>
      <c r="U1247" s="52"/>
      <c r="V1247" s="4293"/>
      <c r="W1247" s="3362"/>
      <c r="X1247" s="3363"/>
      <c r="Y1247" s="3363"/>
      <c r="Z1247" s="3362"/>
      <c r="AA1247" s="3362"/>
      <c r="AB1247" s="3364"/>
      <c r="AC1247" s="3363"/>
      <c r="AD1247" s="3365">
        <v>3126.6416558266301</v>
      </c>
      <c r="AE1247" s="2907">
        <v>3126.6416558266301</v>
      </c>
      <c r="AF1247" s="2236">
        <f t="shared" si="189"/>
        <v>161.96453986727821</v>
      </c>
      <c r="AG1247" s="229"/>
      <c r="DG1247" s="573"/>
      <c r="DH1247" s="159"/>
      <c r="DI1247" s="1091"/>
    </row>
    <row r="1248" spans="1:113" hidden="1" outlineLevel="1">
      <c r="A1248" s="453"/>
      <c r="C1248" s="51"/>
      <c r="D1248" s="4295"/>
      <c r="E1248" s="4295"/>
      <c r="F1248" s="4290" t="str">
        <f t="shared" si="190"/>
        <v>Mini/MultiSplitASHP-Replace_CAC_NonElectricHeat_ER1_MF</v>
      </c>
      <c r="G1248" s="4290"/>
      <c r="H1248" s="4290"/>
      <c r="I1248" s="3334" t="str">
        <f>I1202</f>
        <v>351752_2024_12_</v>
      </c>
      <c r="J1248" s="2466"/>
      <c r="K1248" s="3359"/>
      <c r="L1248" s="3334"/>
      <c r="N1248" s="564"/>
      <c r="S1248" s="52"/>
      <c r="T1248" s="52"/>
      <c r="U1248" s="52"/>
      <c r="V1248" s="4293"/>
      <c r="W1248" s="3362"/>
      <c r="X1248" s="3363"/>
      <c r="Y1248" s="3363"/>
      <c r="Z1248" s="3362"/>
      <c r="AA1248" s="3362"/>
      <c r="AB1248" s="3364"/>
      <c r="AC1248" s="3363"/>
      <c r="AD1248" s="3363"/>
      <c r="AE1248" s="3367"/>
      <c r="AF1248" s="2236" t="str">
        <f t="shared" si="189"/>
        <v/>
      </c>
      <c r="AG1248" s="229"/>
      <c r="DG1248" s="573"/>
      <c r="DH1248" s="159"/>
      <c r="DI1248" s="1091"/>
    </row>
    <row r="1249" spans="1:115" hidden="1" outlineLevel="1">
      <c r="A1249" s="453"/>
      <c r="C1249" s="51"/>
      <c r="D1249" s="4295"/>
      <c r="E1249" s="4295"/>
      <c r="F1249" s="4290" t="str">
        <f t="shared" si="190"/>
        <v>Mini/MultiSplitASHP-Replace_CAC_NonElectricHeat_ER2_MF</v>
      </c>
      <c r="G1249" s="4290"/>
      <c r="H1249" s="4290"/>
      <c r="I1249" s="3334" t="str">
        <f>I1203</f>
        <v>351752_2024_12_</v>
      </c>
      <c r="J1249" s="2466"/>
      <c r="K1249" s="3359"/>
      <c r="L1249" s="3334"/>
      <c r="N1249" s="564"/>
      <c r="S1249" s="52"/>
      <c r="T1249" s="52"/>
      <c r="U1249" s="52"/>
      <c r="V1249" s="4293"/>
      <c r="W1249" s="3362"/>
      <c r="X1249" s="3363"/>
      <c r="Y1249" s="3363"/>
      <c r="Z1249" s="3362"/>
      <c r="AA1249" s="3362"/>
      <c r="AB1249" s="3364"/>
      <c r="AC1249" s="3363"/>
      <c r="AD1249" s="3363"/>
      <c r="AE1249" s="3367"/>
      <c r="AF1249" s="2236" t="str">
        <f t="shared" si="189"/>
        <v/>
      </c>
      <c r="AG1249" s="229"/>
      <c r="DG1249" s="573"/>
      <c r="DH1249" s="159"/>
      <c r="DI1249" s="1091"/>
    </row>
    <row r="1250" spans="1:115" hidden="1" outlineLevel="1">
      <c r="A1250" s="453"/>
      <c r="C1250" s="51"/>
      <c r="D1250" s="4295"/>
      <c r="E1250" s="4295"/>
      <c r="F1250" s="4290" t="str">
        <f t="shared" si="190"/>
        <v>Mini/MultiSplitASHP-Replace_CAC_NonElectricHeat_ER2_MF</v>
      </c>
      <c r="G1250" s="4290"/>
      <c r="H1250" s="4290"/>
      <c r="I1250" s="3334" t="str">
        <f>I1204</f>
        <v>351752_2024_12_</v>
      </c>
      <c r="J1250" s="2466"/>
      <c r="K1250" s="3359"/>
      <c r="L1250" s="3334"/>
      <c r="N1250" s="564"/>
      <c r="S1250" s="52"/>
      <c r="T1250" s="52"/>
      <c r="U1250" s="52"/>
      <c r="V1250" s="4293"/>
      <c r="W1250" s="3362"/>
      <c r="X1250" s="3363"/>
      <c r="Y1250" s="3363"/>
      <c r="Z1250" s="3362"/>
      <c r="AA1250" s="3362"/>
      <c r="AB1250" s="3364"/>
      <c r="AC1250" s="3363"/>
      <c r="AD1250" s="3363"/>
      <c r="AE1250" s="3367"/>
      <c r="AF1250" s="2236" t="str">
        <f t="shared" si="189"/>
        <v/>
      </c>
      <c r="AG1250" s="229"/>
      <c r="DG1250" s="573"/>
      <c r="DH1250" s="159"/>
      <c r="DI1250" s="1091"/>
    </row>
    <row r="1251" spans="1:115" hidden="1" outlineLevel="1">
      <c r="A1251" s="453"/>
      <c r="C1251" s="51"/>
      <c r="D1251" s="4295"/>
      <c r="E1251" s="4295"/>
      <c r="F1251" s="4290" t="str">
        <f t="shared" si="190"/>
        <v>Mini/MultiSplitASHP-Replace_CAC_ElectricHeat_ROF_MF</v>
      </c>
      <c r="G1251" s="4290"/>
      <c r="H1251" s="4290"/>
      <c r="I1251" s="3334" t="str">
        <f t="shared" ref="I1251:I1258" si="192">I1205</f>
        <v>351800_2024_12_</v>
      </c>
      <c r="J1251" s="2908">
        <f>MAX((SUMIFS(S$828:S$831,Q$828:Q$831,"&lt;="&amp;L1251,R$828:R$831,"&gt;"&amp;L1251)*K1251)-(S$836+T$836*K1251),(SUMIFS(T$828:T$831,Q$828:Q$831,"&lt;="&amp;L1251,R$828:R$831,"&gt;"&amp;L1251)*K1251))</f>
        <v>668</v>
      </c>
      <c r="K1251" s="3359">
        <f>VLOOKUP(INDEX($C$749:$E$817,MATCH(SUBSTITUTE(F1251, "MultiSplitAC_", "MultiSplitASHP_"),$E$749:$E$817,0),1),$I$827:$K$853,3,FALSE)</f>
        <v>2</v>
      </c>
      <c r="L1251" s="3360">
        <f>VLOOKUP(INDEX($C$749:$E$817,MATCH(SUBSTITUTE(F1251, "MultiSplitAC_", "MultiSplitASHP_"),$E$749:$E$817,0),1),$I$935:$J$961,2,FALSE)</f>
        <v>9.863636363636358</v>
      </c>
      <c r="M1251" s="553"/>
      <c r="N1251" s="1057"/>
      <c r="S1251" s="52"/>
      <c r="T1251" s="52"/>
      <c r="U1251" s="52"/>
      <c r="V1251" s="4293"/>
      <c r="W1251" s="3362">
        <v>752</v>
      </c>
      <c r="X1251" s="3363">
        <f>(705*(X$967/12000))/1.5*$J$1135</f>
        <v>705</v>
      </c>
      <c r="Y1251" s="3363">
        <f>(705*(Y$967/12000))/1.5*$J$1135</f>
        <v>752</v>
      </c>
      <c r="Z1251" s="3362">
        <v>752</v>
      </c>
      <c r="AA1251" s="3362">
        <v>752</v>
      </c>
      <c r="AB1251" s="3364">
        <v>336</v>
      </c>
      <c r="AC1251" s="3365">
        <v>337.89830508474574</v>
      </c>
      <c r="AD1251" s="3365">
        <v>364.64165582663026</v>
      </c>
      <c r="AE1251" s="2907">
        <v>364.64165582663026</v>
      </c>
      <c r="AF1251" s="2236">
        <f t="shared" si="189"/>
        <v>668</v>
      </c>
      <c r="AG1251" s="229"/>
      <c r="DG1251" s="573"/>
      <c r="DH1251" s="159"/>
      <c r="DI1251" s="1091"/>
    </row>
    <row r="1252" spans="1:115" hidden="1" outlineLevel="1">
      <c r="A1252" s="453"/>
      <c r="C1252" s="51"/>
      <c r="D1252" s="4295"/>
      <c r="E1252" s="4295"/>
      <c r="F1252" s="4290" t="str">
        <f t="shared" si="190"/>
        <v>Mini/MultiSplitASHP-Replace_CAC_ElectricHeat_ROF_MF</v>
      </c>
      <c r="G1252" s="4290"/>
      <c r="H1252" s="4290"/>
      <c r="I1252" s="3334" t="str">
        <f t="shared" si="192"/>
        <v>351800_2024_12_</v>
      </c>
      <c r="J1252" s="2466"/>
      <c r="K1252" s="3359"/>
      <c r="L1252" s="3334"/>
      <c r="N1252" s="564"/>
      <c r="S1252" s="52"/>
      <c r="T1252" s="52"/>
      <c r="U1252" s="52"/>
      <c r="V1252" s="4293"/>
      <c r="W1252" s="3362"/>
      <c r="X1252" s="3363"/>
      <c r="Y1252" s="3363"/>
      <c r="Z1252" s="3362"/>
      <c r="AA1252" s="3362"/>
      <c r="AB1252" s="3364"/>
      <c r="AC1252" s="3363"/>
      <c r="AD1252" s="3363"/>
      <c r="AE1252" s="3367"/>
      <c r="AF1252" s="2236" t="str">
        <f t="shared" si="189"/>
        <v/>
      </c>
      <c r="AG1252" s="229"/>
      <c r="DG1252" s="573"/>
      <c r="DH1252" s="159"/>
      <c r="DI1252" s="1091"/>
    </row>
    <row r="1253" spans="1:115" hidden="1" outlineLevel="1">
      <c r="A1253" s="453"/>
      <c r="C1253" s="51"/>
      <c r="D1253" s="4295"/>
      <c r="E1253" s="4295"/>
      <c r="F1253" s="4290" t="str">
        <f t="shared" si="190"/>
        <v>Mini/MultiSplitASHP-Replace_CAC_NonElectricHeat_ROF_MF</v>
      </c>
      <c r="G1253" s="4290"/>
      <c r="H1253" s="4290"/>
      <c r="I1253" s="3334" t="str">
        <f t="shared" si="192"/>
        <v>351802_2024_12_</v>
      </c>
      <c r="J1253" s="2908">
        <f>MAX((SUMIFS(S$828:S$831,Q$828:Q$831,"&lt;="&amp;L1253,R$828:R$831,"&gt;"&amp;L1253)*K1253)-(S$837+T$837*K1253),(SUMIFS(T$828:T$831,Q$828:Q$831,"&lt;="&amp;L1253,R$828:R$831,"&gt;"&amp;L1253)*K1253))*VLOOKUP(I1253,$I$1259:$J$1262,2,FALSE)</f>
        <v>36.669253938266728</v>
      </c>
      <c r="K1253" s="3359">
        <f>VLOOKUP(INDEX($C$749:$E$817,MATCH(SUBSTITUTE(F1253, "MultiSplitAC_", "MultiSplitASHP_"),$E$749:$E$817,0),1),$I$827:$K$853,3,FALSE)</f>
        <v>2</v>
      </c>
      <c r="L1253" s="3360">
        <f>VLOOKUP(INDEX($C$749:$E$817,MATCH(SUBSTITUTE(F1253, "MultiSplitAC_", "MultiSplitASHP_"),$E$749:$E$817,0),1),$I$935:$J$961,2,FALSE)</f>
        <v>9.863636363636358</v>
      </c>
      <c r="M1253" s="553"/>
      <c r="N1253" s="1057"/>
      <c r="S1253" s="41"/>
      <c r="T1253" s="41"/>
      <c r="U1253" s="41"/>
      <c r="V1253" s="4293"/>
      <c r="W1253" s="3363"/>
      <c r="X1253" s="3363"/>
      <c r="Y1253" s="3363"/>
      <c r="Z1253" s="3363"/>
      <c r="AA1253" s="3363"/>
      <c r="AB1253" s="3364"/>
      <c r="AC1253" s="3363"/>
      <c r="AD1253" s="3365">
        <v>364.64165582663026</v>
      </c>
      <c r="AE1253" s="2907">
        <v>364.64165582663026</v>
      </c>
      <c r="AF1253" s="2236">
        <f t="shared" si="189"/>
        <v>36.669253938266728</v>
      </c>
      <c r="AG1253" s="231"/>
      <c r="AH1253" s="41"/>
      <c r="AI1253" s="41"/>
      <c r="AJ1253" s="41"/>
      <c r="AK1253" s="41"/>
      <c r="AL1253" s="41"/>
      <c r="AM1253" s="41"/>
      <c r="AN1253" s="41"/>
      <c r="AO1253" s="41"/>
      <c r="AP1253" s="41"/>
      <c r="AQ1253" s="41"/>
      <c r="AR1253" s="41"/>
      <c r="AS1253" s="41"/>
      <c r="AT1253" s="41"/>
      <c r="AU1253" s="41"/>
      <c r="AV1253" s="41"/>
      <c r="AW1253" s="41"/>
      <c r="AX1253" s="41"/>
      <c r="AY1253" s="41"/>
      <c r="AZ1253" s="41"/>
      <c r="BA1253" s="41"/>
      <c r="BB1253" s="41"/>
      <c r="BC1253" s="41"/>
      <c r="BD1253" s="41"/>
      <c r="BE1253" s="41"/>
      <c r="BF1253" s="41"/>
      <c r="BG1253" s="41"/>
      <c r="BH1253" s="41"/>
      <c r="BI1253" s="41"/>
      <c r="BJ1253" s="41"/>
      <c r="BK1253" s="41"/>
      <c r="BL1253" s="41"/>
      <c r="BM1253" s="41"/>
      <c r="BN1253" s="41"/>
      <c r="BO1253" s="41"/>
      <c r="BP1253" s="41"/>
      <c r="BQ1253" s="41"/>
      <c r="BR1253" s="41"/>
      <c r="BS1253" s="41"/>
      <c r="BT1253" s="41"/>
      <c r="BU1253" s="41"/>
      <c r="BV1253" s="41"/>
      <c r="BW1253" s="41"/>
      <c r="BX1253" s="41"/>
      <c r="BY1253" s="41"/>
      <c r="BZ1253" s="41"/>
      <c r="CA1253" s="41"/>
      <c r="CB1253" s="41"/>
      <c r="CC1253" s="41"/>
      <c r="CD1253" s="41"/>
      <c r="CE1253" s="41"/>
      <c r="CF1253" s="41"/>
      <c r="CG1253" s="41"/>
      <c r="CH1253" s="41"/>
      <c r="CI1253" s="41"/>
      <c r="CJ1253" s="41"/>
      <c r="CK1253" s="41"/>
      <c r="CL1253" s="41"/>
      <c r="CM1253" s="41"/>
      <c r="CN1253" s="41"/>
      <c r="CO1253" s="41"/>
      <c r="CP1253" s="41"/>
      <c r="CQ1253" s="41"/>
      <c r="CR1253" s="41"/>
      <c r="CS1253" s="41"/>
      <c r="CT1253" s="41"/>
      <c r="CU1253" s="41"/>
      <c r="CV1253" s="41"/>
      <c r="CW1253" s="41"/>
      <c r="CX1253" s="41"/>
      <c r="CY1253" s="41"/>
      <c r="CZ1253" s="41"/>
      <c r="DA1253" s="41"/>
      <c r="DB1253" s="41"/>
      <c r="DC1253" s="41"/>
      <c r="DD1253" s="41"/>
      <c r="DE1253" s="41"/>
      <c r="DF1253" s="41"/>
      <c r="DG1253" s="573"/>
      <c r="DH1253" s="159"/>
      <c r="DI1253" s="1091"/>
      <c r="DK1253" s="41"/>
    </row>
    <row r="1254" spans="1:115" hidden="1" outlineLevel="1">
      <c r="A1254" s="453"/>
      <c r="C1254" s="51"/>
      <c r="D1254" s="4295"/>
      <c r="E1254" s="4295"/>
      <c r="F1254" s="4290" t="str">
        <f t="shared" si="190"/>
        <v>Mini/MultiSplitASHP-Replace_CAC_NonElectricHeat_ROF_MF</v>
      </c>
      <c r="G1254" s="4290"/>
      <c r="H1254" s="4290"/>
      <c r="I1254" s="3334" t="str">
        <f t="shared" si="192"/>
        <v>351802_2024_12_</v>
      </c>
      <c r="J1254" s="2466"/>
      <c r="K1254" s="3359"/>
      <c r="L1254" s="3334"/>
      <c r="N1254" s="564"/>
      <c r="S1254" s="41"/>
      <c r="T1254" s="41"/>
      <c r="U1254" s="41"/>
      <c r="V1254" s="4293"/>
      <c r="W1254" s="3363"/>
      <c r="X1254" s="3363"/>
      <c r="Y1254" s="3363"/>
      <c r="Z1254" s="3363"/>
      <c r="AA1254" s="3363"/>
      <c r="AB1254" s="3364"/>
      <c r="AC1254" s="3363"/>
      <c r="AD1254" s="3363"/>
      <c r="AE1254" s="3367"/>
      <c r="AF1254" s="2236" t="str">
        <f t="shared" si="189"/>
        <v/>
      </c>
      <c r="AG1254" s="231"/>
      <c r="AH1254" s="41"/>
      <c r="AI1254" s="41"/>
      <c r="AJ1254" s="41"/>
      <c r="AK1254" s="41"/>
      <c r="AL1254" s="41"/>
      <c r="AM1254" s="41"/>
      <c r="AN1254" s="41"/>
      <c r="AO1254" s="41"/>
      <c r="AP1254" s="41"/>
      <c r="AQ1254" s="41"/>
      <c r="AR1254" s="41"/>
      <c r="AS1254" s="41"/>
      <c r="AT1254" s="41"/>
      <c r="AU1254" s="41"/>
      <c r="AV1254" s="41"/>
      <c r="AW1254" s="41"/>
      <c r="AX1254" s="41"/>
      <c r="AY1254" s="41"/>
      <c r="AZ1254" s="41"/>
      <c r="BA1254" s="41"/>
      <c r="BB1254" s="41"/>
      <c r="BC1254" s="41"/>
      <c r="BD1254" s="41"/>
      <c r="BE1254" s="41"/>
      <c r="BF1254" s="41"/>
      <c r="BG1254" s="41"/>
      <c r="BH1254" s="41"/>
      <c r="BI1254" s="41"/>
      <c r="BJ1254" s="41"/>
      <c r="BK1254" s="41"/>
      <c r="BL1254" s="41"/>
      <c r="BM1254" s="41"/>
      <c r="BN1254" s="41"/>
      <c r="BO1254" s="41"/>
      <c r="BP1254" s="41"/>
      <c r="BQ1254" s="41"/>
      <c r="BR1254" s="41"/>
      <c r="BS1254" s="41"/>
      <c r="BT1254" s="41"/>
      <c r="BU1254" s="41"/>
      <c r="BV1254" s="41"/>
      <c r="BW1254" s="41"/>
      <c r="BX1254" s="41"/>
      <c r="BY1254" s="41"/>
      <c r="BZ1254" s="41"/>
      <c r="CA1254" s="41"/>
      <c r="CB1254" s="41"/>
      <c r="CC1254" s="41"/>
      <c r="CD1254" s="41"/>
      <c r="CE1254" s="41"/>
      <c r="CF1254" s="41"/>
      <c r="CG1254" s="41"/>
      <c r="CH1254" s="41"/>
      <c r="CI1254" s="41"/>
      <c r="CJ1254" s="41"/>
      <c r="CK1254" s="41"/>
      <c r="CL1254" s="41"/>
      <c r="CM1254" s="41"/>
      <c r="CN1254" s="41"/>
      <c r="CO1254" s="41"/>
      <c r="CP1254" s="41"/>
      <c r="CQ1254" s="41"/>
      <c r="CR1254" s="41"/>
      <c r="CS1254" s="41"/>
      <c r="CT1254" s="41"/>
      <c r="CU1254" s="41"/>
      <c r="CV1254" s="41"/>
      <c r="CW1254" s="41"/>
      <c r="CX1254" s="41"/>
      <c r="CY1254" s="41"/>
      <c r="CZ1254" s="41"/>
      <c r="DA1254" s="41"/>
      <c r="DB1254" s="41"/>
      <c r="DC1254" s="41"/>
      <c r="DD1254" s="41"/>
      <c r="DE1254" s="41"/>
      <c r="DF1254" s="41"/>
      <c r="DG1254" s="573"/>
      <c r="DH1254" s="159"/>
      <c r="DI1254" s="1091"/>
      <c r="DK1254" s="41"/>
    </row>
    <row r="1255" spans="1:115" hidden="1" outlineLevel="1">
      <c r="A1255" s="453"/>
      <c r="C1255" s="51"/>
      <c r="D1255" s="4295"/>
      <c r="E1255" s="4295"/>
      <c r="F1255" s="4290" t="str">
        <f t="shared" si="190"/>
        <v>Mini/MultiSplitASHP_ER1_MF</v>
      </c>
      <c r="G1255" s="4290"/>
      <c r="H1255" s="4290"/>
      <c r="I1255" s="3334" t="str">
        <f t="shared" si="192"/>
        <v>351850_2024_12_</v>
      </c>
      <c r="J1255" s="2908">
        <f>SUMIFS(S$828:S$831,Q$828:Q$831,"&lt;="&amp;L1255,R$828:R$831,"&gt;"&amp;L1255)*K1255-(T$838*K1255*S$845)</f>
        <v>1381.2177729469663</v>
      </c>
      <c r="K1255" s="3359">
        <f>VLOOKUP(INDEX($C$749:$E$817,MATCH(SUBSTITUTE(F1255, "MultiSplitAC_", "MultiSplitASHP_"),$E$749:$E$817,0),1),$I$827:$K$853,3,FALSE)</f>
        <v>2</v>
      </c>
      <c r="L1255" s="3360">
        <f>VLOOKUP(INDEX($C$749:$E$817,MATCH(SUBSTITUTE(F1255, "MultiSplitAC_", "MultiSplitASHP_"),$E$749:$E$817,0),1),$I$935:$J$961,2,FALSE)</f>
        <v>12.5</v>
      </c>
      <c r="M1255" s="553">
        <f>VLOOKUP(I1255,I$881:J$934,2,FALSE)</f>
        <v>7.5</v>
      </c>
      <c r="N1255" s="1057"/>
      <c r="S1255" s="52"/>
      <c r="T1255" s="52"/>
      <c r="U1255" s="52"/>
      <c r="V1255" s="4293"/>
      <c r="W1255" s="3362">
        <v>1632</v>
      </c>
      <c r="X1255" s="3363">
        <f>(1440*(X$970/12000)/1.5)*$J$1139</f>
        <v>1440</v>
      </c>
      <c r="Y1255" s="3363">
        <f>(1440*(Y$970/12000)/1.5)*$J$1139</f>
        <v>1440</v>
      </c>
      <c r="Z1255" s="3362">
        <v>1440</v>
      </c>
      <c r="AA1255" s="3362">
        <v>1440</v>
      </c>
      <c r="AB1255" s="3364">
        <v>648.60319098531227</v>
      </c>
      <c r="AC1255" s="3365">
        <v>698.32770489042764</v>
      </c>
      <c r="AD1255" s="3365">
        <v>852.60761248662948</v>
      </c>
      <c r="AE1255" s="2935">
        <v>920.06278033579429</v>
      </c>
      <c r="AF1255" s="2236">
        <f t="shared" si="189"/>
        <v>1381.2177729469663</v>
      </c>
      <c r="AG1255" s="229"/>
      <c r="DG1255" s="573"/>
      <c r="DH1255" s="159"/>
      <c r="DI1255" s="1091"/>
    </row>
    <row r="1256" spans="1:115" hidden="1" outlineLevel="1">
      <c r="A1256" s="453"/>
      <c r="C1256" s="51"/>
      <c r="D1256" s="4295"/>
      <c r="E1256" s="4295"/>
      <c r="F1256" s="4290" t="str">
        <f t="shared" si="190"/>
        <v>Mini/MultiSplitASHP_ER1_MF</v>
      </c>
      <c r="G1256" s="4290"/>
      <c r="H1256" s="4290"/>
      <c r="I1256" s="3334" t="str">
        <f t="shared" si="192"/>
        <v>351850_2024_12_</v>
      </c>
      <c r="J1256" s="2466"/>
      <c r="K1256" s="3359"/>
      <c r="L1256" s="3334"/>
      <c r="N1256" s="564"/>
      <c r="S1256" s="52"/>
      <c r="T1256" s="52"/>
      <c r="U1256" s="52"/>
      <c r="V1256" s="4293"/>
      <c r="W1256" s="3367"/>
      <c r="X1256" s="3367"/>
      <c r="Y1256" s="3362"/>
      <c r="Z1256" s="3362"/>
      <c r="AA1256" s="3362"/>
      <c r="AB1256" s="3364"/>
      <c r="AC1256" s="3363"/>
      <c r="AD1256" s="3363"/>
      <c r="AE1256" s="3367"/>
      <c r="AF1256" s="2236" t="str">
        <f t="shared" si="189"/>
        <v/>
      </c>
      <c r="AG1256" s="229"/>
      <c r="DG1256" s="573"/>
      <c r="DH1256" s="159"/>
      <c r="DI1256" s="1091"/>
    </row>
    <row r="1257" spans="1:115" hidden="1" outlineLevel="1">
      <c r="A1257" s="453"/>
      <c r="C1257" s="51"/>
      <c r="D1257" s="4295"/>
      <c r="E1257" s="4295"/>
      <c r="F1257" s="4290" t="str">
        <f t="shared" si="190"/>
        <v>Mini/MultiSplitASHP_ER2_MF</v>
      </c>
      <c r="G1257" s="4290"/>
      <c r="H1257" s="4290"/>
      <c r="I1257" s="3334" t="str">
        <f t="shared" si="192"/>
        <v>351850_2024_12_</v>
      </c>
      <c r="J1257" s="2466"/>
      <c r="K1257" s="3359"/>
      <c r="L1257" s="3334"/>
      <c r="N1257" s="564"/>
      <c r="S1257" s="52"/>
      <c r="T1257" s="52"/>
      <c r="U1257" s="52"/>
      <c r="V1257" s="4293"/>
      <c r="W1257" s="3367"/>
      <c r="X1257" s="3367"/>
      <c r="Y1257" s="3362"/>
      <c r="Z1257" s="3362"/>
      <c r="AA1257" s="3362"/>
      <c r="AB1257" s="3364"/>
      <c r="AC1257" s="3363"/>
      <c r="AD1257" s="3362"/>
      <c r="AE1257" s="3367"/>
      <c r="AF1257" s="2236" t="str">
        <f t="shared" si="189"/>
        <v/>
      </c>
      <c r="AG1257" s="229"/>
      <c r="DG1257" s="573"/>
      <c r="DH1257" s="159"/>
      <c r="DI1257" s="1091"/>
    </row>
    <row r="1258" spans="1:115" hidden="1" outlineLevel="1">
      <c r="A1258" s="453"/>
      <c r="C1258" s="51"/>
      <c r="D1258" s="4295"/>
      <c r="E1258" s="4295"/>
      <c r="F1258" s="4290" t="str">
        <f t="shared" si="190"/>
        <v>Mini/MultiSplitASHP_ER2_MF</v>
      </c>
      <c r="G1258" s="4290"/>
      <c r="H1258" s="4290"/>
      <c r="I1258" s="3334" t="str">
        <f t="shared" si="192"/>
        <v>351850_2024_12_</v>
      </c>
      <c r="J1258" s="3361"/>
      <c r="K1258" s="3359"/>
      <c r="L1258" s="3334"/>
      <c r="N1258" s="564"/>
      <c r="S1258" s="52"/>
      <c r="T1258" s="52"/>
      <c r="U1258" s="52"/>
      <c r="V1258" s="4293"/>
      <c r="W1258" s="3352"/>
      <c r="X1258" s="3352"/>
      <c r="Y1258" s="3352"/>
      <c r="Z1258" s="3352"/>
      <c r="AA1258" s="3352"/>
      <c r="AB1258" s="3352"/>
      <c r="AC1258" s="3353"/>
      <c r="AD1258" s="3352"/>
      <c r="AE1258" s="3354"/>
      <c r="AF1258" s="2236" t="str">
        <f t="shared" si="189"/>
        <v/>
      </c>
      <c r="AG1258" s="229"/>
      <c r="DG1258" s="573"/>
      <c r="DH1258" s="159"/>
      <c r="DI1258" s="1091"/>
    </row>
    <row r="1259" spans="1:115" hidden="1" outlineLevel="1">
      <c r="A1259" s="453"/>
      <c r="C1259" s="51"/>
      <c r="D1259" s="4288" t="s">
        <v>2072</v>
      </c>
      <c r="E1259" s="4288" t="s">
        <v>2073</v>
      </c>
      <c r="F1259" s="4289" t="s">
        <v>1969</v>
      </c>
      <c r="G1259" s="4289"/>
      <c r="H1259" s="4289"/>
      <c r="I1259" s="929" t="s">
        <v>1968</v>
      </c>
      <c r="J1259" s="1674">
        <f>SUMIFS(F$749:F$817,C$749:C$817,I1259)/SUMIFS(F$749:F$817,C$749:C$817,L1259)</f>
        <v>0.14344644405897658</v>
      </c>
      <c r="K1259" s="1044"/>
      <c r="L1259" s="1751" t="str">
        <f>INDEX($C$749:$E$817,MATCH(SUBSTITUTE(F1259, "NonElectric", "Electric"),$E$749:$E$817,0),1)</f>
        <v>351400_2024_12_</v>
      </c>
      <c r="N1259" s="564"/>
      <c r="S1259" s="52"/>
      <c r="T1259" s="52"/>
      <c r="U1259" s="52"/>
      <c r="V1259" s="1766"/>
      <c r="W1259" s="1767"/>
      <c r="X1259" s="1767"/>
      <c r="Y1259" s="1767"/>
      <c r="Z1259" s="1767"/>
      <c r="AA1259" s="1767"/>
      <c r="AB1259" s="1767"/>
      <c r="AC1259" s="1768"/>
      <c r="AD1259" s="1767"/>
      <c r="AE1259" s="1765"/>
      <c r="AF1259" s="1765"/>
      <c r="AG1259" s="1767"/>
      <c r="DG1259" s="573"/>
      <c r="DH1259" s="159"/>
      <c r="DI1259" s="1091"/>
    </row>
    <row r="1260" spans="1:115" hidden="1" outlineLevel="1">
      <c r="A1260" s="453"/>
      <c r="C1260" s="51"/>
      <c r="D1260" s="4288"/>
      <c r="E1260" s="4288"/>
      <c r="F1260" s="4289" t="s">
        <v>1974</v>
      </c>
      <c r="G1260" s="4289"/>
      <c r="H1260" s="4289"/>
      <c r="I1260" s="929" t="s">
        <v>1973</v>
      </c>
      <c r="J1260" s="1674">
        <f>SUMIFS(F$749:F$817,C$749:C$817,I1260)/SUMIFS(F$749:F$817,C$749:C$817,L1260)</f>
        <v>6.7371472687453721E-2</v>
      </c>
      <c r="K1260" s="1044"/>
      <c r="L1260" s="1751" t="str">
        <f>INDEX($C$749:$E$817,MATCH(SUBSTITUTE(F1260, "NonElectric", "Electric"),$E$749:$E$817,0),1)</f>
        <v>351450_2024_12_</v>
      </c>
      <c r="N1260" s="564"/>
      <c r="S1260" s="52"/>
      <c r="T1260" s="52"/>
      <c r="U1260" s="52"/>
      <c r="V1260" s="1766"/>
      <c r="W1260" s="1767"/>
      <c r="X1260" s="1767"/>
      <c r="Y1260" s="1767"/>
      <c r="Z1260" s="1767"/>
      <c r="AA1260" s="1767"/>
      <c r="AB1260" s="1767"/>
      <c r="AC1260" s="1768"/>
      <c r="AD1260" s="1767"/>
      <c r="AE1260" s="1765"/>
      <c r="AF1260" s="1765"/>
      <c r="AG1260" s="1767"/>
      <c r="DG1260" s="573"/>
      <c r="DH1260" s="159"/>
      <c r="DI1260" s="1091"/>
    </row>
    <row r="1261" spans="1:115" hidden="1" outlineLevel="1">
      <c r="A1261" s="453"/>
      <c r="C1261" s="51"/>
      <c r="D1261" s="4288"/>
      <c r="E1261" s="4288"/>
      <c r="F1261" s="4290" t="s">
        <v>2003</v>
      </c>
      <c r="G1261" s="4290"/>
      <c r="H1261" s="4290"/>
      <c r="I1261" s="3334" t="s">
        <v>2002</v>
      </c>
      <c r="J1261" s="3001">
        <f>SUMIFS(F$749:F$817,C$749:C$817,I1261)/SUMIFS(F$749:F$817,C$749:C$817,L1261)</f>
        <v>0.12270040899036228</v>
      </c>
      <c r="K1261" s="3359"/>
      <c r="L1261" s="3368" t="str">
        <f>INDEX($C$749:$E$817,MATCH(SUBSTITUTE(F1261, "NonElectric", "Electric"),$E$749:$E$817,0),1)</f>
        <v>351750_2024_12_</v>
      </c>
      <c r="N1261" s="564"/>
      <c r="S1261" s="52"/>
      <c r="T1261" s="52"/>
      <c r="U1261" s="52"/>
      <c r="V1261" s="1766"/>
      <c r="W1261" s="1767"/>
      <c r="X1261" s="1767"/>
      <c r="Y1261" s="1767"/>
      <c r="Z1261" s="1767"/>
      <c r="AA1261" s="1767"/>
      <c r="AB1261" s="1767"/>
      <c r="AC1261" s="1768"/>
      <c r="AD1261" s="1767"/>
      <c r="AE1261" s="1765"/>
      <c r="AF1261" s="1765"/>
      <c r="AG1261" s="1767"/>
      <c r="DG1261" s="573"/>
      <c r="DH1261" s="159"/>
      <c r="DI1261" s="1091"/>
    </row>
    <row r="1262" spans="1:115" hidden="1" outlineLevel="1">
      <c r="A1262" s="453"/>
      <c r="C1262" s="51"/>
      <c r="D1262" s="4288"/>
      <c r="E1262" s="4288"/>
      <c r="F1262" s="4290" t="s">
        <v>2013</v>
      </c>
      <c r="G1262" s="4290"/>
      <c r="H1262" s="4290"/>
      <c r="I1262" s="3334" t="s">
        <v>2012</v>
      </c>
      <c r="J1262" s="3001">
        <f>SUMIFS(F$749:F$817,C$749:C$817,I1262)/SUMIFS(F$749:F$817,C$749:C$817,L1262)</f>
        <v>5.4894092721956181E-2</v>
      </c>
      <c r="K1262" s="3359"/>
      <c r="L1262" s="3368" t="str">
        <f>INDEX($C$749:$E$817,MATCH(SUBSTITUTE(F1262, "NonElectric", "Electric"),$E$749:$E$817,0),1)</f>
        <v>351800_2024_12_</v>
      </c>
      <c r="N1262" s="564"/>
      <c r="S1262" s="52"/>
      <c r="T1262" s="52"/>
      <c r="U1262" s="52"/>
      <c r="V1262" s="1766"/>
      <c r="W1262" s="1767"/>
      <c r="X1262" s="1767"/>
      <c r="Y1262" s="1767"/>
      <c r="Z1262" s="1767"/>
      <c r="AA1262" s="1767"/>
      <c r="AB1262" s="1767"/>
      <c r="AC1262" s="1768"/>
      <c r="AD1262" s="1767"/>
      <c r="AE1262" s="1765"/>
      <c r="AF1262" s="1765"/>
      <c r="AG1262" s="1767"/>
      <c r="DG1262" s="573"/>
      <c r="DH1262" s="159"/>
      <c r="DI1262" s="1091"/>
    </row>
    <row r="1263" spans="1:115" collapsed="1">
      <c r="A1263" s="453"/>
      <c r="C1263" s="51"/>
      <c r="D1263" s="104"/>
      <c r="E1263" s="104"/>
      <c r="G1263" s="104"/>
      <c r="N1263" s="564"/>
      <c r="S1263" s="52"/>
      <c r="T1263" s="52"/>
      <c r="U1263" s="52"/>
      <c r="V1263" s="52"/>
      <c r="DG1263" s="573"/>
      <c r="DH1263" s="159"/>
      <c r="DI1263" s="1091"/>
    </row>
    <row r="1264" spans="1:115" ht="9.75" customHeight="1">
      <c r="A1264" s="453"/>
      <c r="C1264" s="51"/>
      <c r="D1264" s="104"/>
      <c r="E1264" s="104"/>
      <c r="G1264" s="104"/>
      <c r="S1264" s="52"/>
      <c r="T1264" s="52"/>
      <c r="U1264" s="52"/>
      <c r="V1264" s="52"/>
      <c r="DG1264" s="573"/>
      <c r="DH1264" s="159"/>
      <c r="DI1264" s="1091"/>
    </row>
    <row r="1265" spans="1:114">
      <c r="A1265" s="453"/>
      <c r="B1265" s="1363" t="s">
        <v>2074</v>
      </c>
      <c r="C1265" s="220"/>
      <c r="D1265" s="1364"/>
      <c r="E1265" s="1364"/>
      <c r="F1265" s="1364"/>
      <c r="G1265" s="1364"/>
      <c r="H1265" s="1364"/>
      <c r="I1265" s="1364"/>
      <c r="J1265" s="1364"/>
      <c r="K1265" s="1364"/>
      <c r="L1265" s="1364"/>
      <c r="M1265" s="1364"/>
      <c r="N1265" s="1364"/>
      <c r="O1265" s="1364"/>
      <c r="P1265" s="1364"/>
      <c r="Q1265" s="1397"/>
      <c r="S1265" s="52"/>
      <c r="T1265" s="52"/>
      <c r="U1265" s="52"/>
      <c r="V1265" s="4066" t="str">
        <f>B1265</f>
        <v>Dual Fuel Heat Pumps</v>
      </c>
      <c r="W1265" s="4067"/>
      <c r="X1265" s="4067"/>
      <c r="Y1265" s="4067"/>
      <c r="Z1265" s="4067"/>
      <c r="AA1265" s="4067"/>
      <c r="AB1265" s="4067"/>
      <c r="AC1265" s="4837"/>
      <c r="AD1265" s="4837"/>
      <c r="AE1265" s="4837"/>
      <c r="AF1265" s="4837"/>
      <c r="AG1265" s="4837"/>
      <c r="AH1265" s="4838"/>
      <c r="DG1265" s="573"/>
      <c r="DH1265" s="159"/>
      <c r="DI1265" s="1091"/>
    </row>
    <row r="1266" spans="1:114">
      <c r="A1266" s="453"/>
      <c r="C1266" s="51"/>
      <c r="D1266" s="104"/>
      <c r="E1266" s="104"/>
      <c r="G1266" s="104"/>
      <c r="H1266" s="51"/>
      <c r="I1266" s="51"/>
      <c r="J1266" s="51"/>
      <c r="K1266" s="51"/>
      <c r="L1266" s="51"/>
      <c r="M1266" s="51"/>
      <c r="Q1266" s="104"/>
      <c r="S1266" s="52"/>
      <c r="T1266" s="52"/>
      <c r="U1266" s="52"/>
      <c r="V1266" s="52"/>
      <c r="DG1266" s="573"/>
      <c r="DH1266" s="159"/>
      <c r="DI1266" s="1091"/>
    </row>
    <row r="1267" spans="1:114">
      <c r="A1267" s="453"/>
      <c r="C1267" s="51"/>
      <c r="D1267" s="2206" t="s">
        <v>1781</v>
      </c>
      <c r="E1267" s="104"/>
      <c r="G1267" s="104"/>
      <c r="I1267" s="51"/>
      <c r="J1267" s="51"/>
      <c r="K1267" s="51"/>
      <c r="L1267" s="51"/>
      <c r="M1267" s="51"/>
      <c r="Q1267" s="104"/>
      <c r="S1267" s="52"/>
      <c r="T1267" s="52"/>
      <c r="U1267" s="52"/>
      <c r="V1267" s="52"/>
      <c r="DG1267" s="573"/>
      <c r="DH1267" s="159"/>
      <c r="DI1267" s="1091"/>
    </row>
    <row r="1268" spans="1:114" ht="30">
      <c r="A1268" s="453"/>
      <c r="C1268" s="1371" t="s">
        <v>42</v>
      </c>
      <c r="D1268" s="1398" t="s">
        <v>953</v>
      </c>
      <c r="E1268" s="1371" t="s">
        <v>44</v>
      </c>
      <c r="F1268" s="1371" t="s">
        <v>45</v>
      </c>
      <c r="G1268" s="1371" t="s">
        <v>46</v>
      </c>
      <c r="H1268" s="1371" t="s">
        <v>47</v>
      </c>
      <c r="I1268" s="1371" t="s">
        <v>48</v>
      </c>
      <c r="J1268" s="1383" t="s">
        <v>49</v>
      </c>
      <c r="K1268" s="1371" t="s">
        <v>50</v>
      </c>
      <c r="L1268" s="1371" t="s">
        <v>1782</v>
      </c>
      <c r="S1268" s="52"/>
      <c r="T1268" s="52"/>
      <c r="U1268" s="52"/>
      <c r="V1268" s="177" t="s">
        <v>52</v>
      </c>
      <c r="W1268" s="669">
        <f>W$6</f>
        <v>43252</v>
      </c>
      <c r="X1268" s="669">
        <f t="shared" ref="X1268:AG1268" si="193">X$6</f>
        <v>43465</v>
      </c>
      <c r="Y1268" s="669">
        <f t="shared" si="193"/>
        <v>43800</v>
      </c>
      <c r="Z1268" s="669">
        <f t="shared" si="193"/>
        <v>43862</v>
      </c>
      <c r="AA1268" s="669">
        <f t="shared" si="193"/>
        <v>44013</v>
      </c>
      <c r="AB1268" s="669">
        <f t="shared" si="193"/>
        <v>44166</v>
      </c>
      <c r="AC1268" s="669">
        <f t="shared" si="193"/>
        <v>44531</v>
      </c>
      <c r="AD1268" s="669">
        <f t="shared" si="193"/>
        <v>44774</v>
      </c>
      <c r="AE1268" s="669">
        <f t="shared" si="193"/>
        <v>45142</v>
      </c>
      <c r="AF1268" s="669">
        <f t="shared" si="193"/>
        <v>45672</v>
      </c>
      <c r="AG1268" s="669" t="str">
        <f t="shared" si="193"/>
        <v>-</v>
      </c>
      <c r="DG1268" s="811" t="str">
        <f>$DG$6</f>
        <v>TRC (2025)</v>
      </c>
      <c r="DH1268" s="811" t="str">
        <f>$DH$6</f>
        <v>Benefit Lookup</v>
      </c>
      <c r="DI1268" s="1076" t="str">
        <f>$DI$6</f>
        <v>Benefits (2025 $)</v>
      </c>
      <c r="DJ1268" s="1103" t="str">
        <f>$DJ$6</f>
        <v>Incremental Cost (2025 $)</v>
      </c>
    </row>
    <row r="1269" spans="1:114">
      <c r="A1269" s="453"/>
      <c r="B1269" s="1454">
        <f t="shared" ref="B1269:B1280" si="194">VALUE(LEFT(C1269,6))</f>
        <v>351900</v>
      </c>
      <c r="C1269" s="1608" t="s">
        <v>2075</v>
      </c>
      <c r="D1269" s="1540" t="s">
        <v>1800</v>
      </c>
      <c r="E1269" s="1369" t="s">
        <v>2076</v>
      </c>
      <c r="F1269" s="184">
        <f>ROUND(((J1326*J1332*(1/J1338-1/J1344))/1000)*J1350,2)</f>
        <v>398.66</v>
      </c>
      <c r="G1269" s="84" t="s">
        <v>2077</v>
      </c>
      <c r="H1269" s="69">
        <f>VLOOKUP(G1269,'CP FACTORS'!$A$3:$B$38, 2, FALSE)</f>
        <v>9.4741810000000004E-4</v>
      </c>
      <c r="I1269" s="1474">
        <f t="shared" ref="I1269:I1280" si="195">ROUND(F1269*H1269,6)</f>
        <v>0.37769799999999998</v>
      </c>
      <c r="J1269" s="46">
        <f>J1356</f>
        <v>18</v>
      </c>
      <c r="K1269" s="2073">
        <f>J1362</f>
        <v>1081</v>
      </c>
      <c r="L1269" s="567">
        <f>K1326</f>
        <v>3.4</v>
      </c>
      <c r="M1269" s="560"/>
      <c r="R1269" s="532"/>
      <c r="S1269" s="52"/>
      <c r="T1269" s="52"/>
      <c r="U1269" s="52"/>
      <c r="V1269" s="1378" t="s">
        <v>45</v>
      </c>
      <c r="W1269" s="959">
        <v>433.19323308270674</v>
      </c>
      <c r="X1269" s="959">
        <v>433.19323308270674</v>
      </c>
      <c r="Y1269" s="960">
        <v>433.19</v>
      </c>
      <c r="Z1269" s="225">
        <v>433.19</v>
      </c>
      <c r="AA1269" s="225">
        <v>433.19</v>
      </c>
      <c r="AB1269" s="961">
        <v>433.19</v>
      </c>
      <c r="AC1269" s="961">
        <v>433.19</v>
      </c>
      <c r="AD1269" s="961">
        <v>433.19</v>
      </c>
      <c r="AE1269" s="227">
        <v>323.45</v>
      </c>
      <c r="AF1269" s="271">
        <v>398.66</v>
      </c>
      <c r="AG1269" s="356"/>
      <c r="DG1269" s="992">
        <f>(DI1269+DI1270)/(DJ1269+DJ1270)</f>
        <v>1.15042615353807</v>
      </c>
      <c r="DH1269" s="1369" t="str">
        <f t="shared" ref="DH1269:DH1280" si="196">CONCATENATE(G1269," ",J1269," Year EUL")</f>
        <v>Cooling Res 18 Year EUL</v>
      </c>
      <c r="DI1269" s="1087">
        <f>(INDEX('Avoided Cost Benefits'!$B$4:$B$866,MATCH(DH1269,'Avoided Cost Benefits'!$A$4:$A$866,0)))*F1269</f>
        <v>912.83926953079788</v>
      </c>
      <c r="DJ1269" s="1169">
        <f t="shared" ref="DJ1269:DJ1280" si="197">K1269/(1.0686^(2025-2025))</f>
        <v>1081</v>
      </c>
    </row>
    <row r="1270" spans="1:114">
      <c r="A1270" s="453"/>
      <c r="B1270" s="1454">
        <f t="shared" si="194"/>
        <v>351900</v>
      </c>
      <c r="C1270" s="1608" t="s">
        <v>2075</v>
      </c>
      <c r="D1270" s="1540" t="s">
        <v>1800</v>
      </c>
      <c r="E1270" s="1370" t="s">
        <v>2076</v>
      </c>
      <c r="F1270" s="227">
        <f>ROUND(((J1302*J1308*(1/J1314-1/J1320))/1000)*J1350,2)</f>
        <v>545.76</v>
      </c>
      <c r="G1270" s="84" t="s">
        <v>2078</v>
      </c>
      <c r="H1270" s="69">
        <f>VLOOKUP(G1270,'CP FACTORS'!$A$3:$B$38, 2, FALSE)</f>
        <v>0</v>
      </c>
      <c r="I1270" s="1474">
        <f t="shared" si="195"/>
        <v>0</v>
      </c>
      <c r="J1270" s="46">
        <f>J1269</f>
        <v>18</v>
      </c>
      <c r="K1270" s="151"/>
      <c r="L1270" s="567"/>
      <c r="M1270" s="560"/>
      <c r="R1270" s="532"/>
      <c r="S1270" s="52"/>
      <c r="T1270" s="52"/>
      <c r="U1270" s="52"/>
      <c r="V1270" s="1378" t="s">
        <v>45</v>
      </c>
      <c r="W1270" s="959">
        <v>651.42175609756123</v>
      </c>
      <c r="X1270" s="959">
        <v>651.42175609756123</v>
      </c>
      <c r="Y1270" s="960">
        <v>651.41999999999996</v>
      </c>
      <c r="Z1270" s="225">
        <v>651.41999999999996</v>
      </c>
      <c r="AA1270" s="225">
        <v>651.41999999999996</v>
      </c>
      <c r="AB1270" s="961">
        <v>651.41999999999996</v>
      </c>
      <c r="AC1270" s="961">
        <v>651.41999999999996</v>
      </c>
      <c r="AD1270" s="961">
        <v>651.41999999999996</v>
      </c>
      <c r="AE1270" s="227">
        <v>483.1</v>
      </c>
      <c r="AF1270" s="271">
        <v>545.76</v>
      </c>
      <c r="AG1270" s="356"/>
      <c r="DG1270" s="1092"/>
      <c r="DH1270" s="1370" t="str">
        <f t="shared" si="196"/>
        <v>Heating Res 18 Year EUL</v>
      </c>
      <c r="DI1270" s="1091">
        <f>(INDEX('Avoided Cost Benefits'!$B$4:$B$866,MATCH(DH1270,'Avoided Cost Benefits'!$A$4:$A$866,0)))*F1270</f>
        <v>330.77140244385566</v>
      </c>
      <c r="DJ1270" s="1170">
        <f t="shared" si="197"/>
        <v>0</v>
      </c>
    </row>
    <row r="1271" spans="1:114">
      <c r="A1271" s="453"/>
      <c r="B1271" s="1454">
        <f t="shared" si="194"/>
        <v>351901</v>
      </c>
      <c r="C1271" s="2209" t="s">
        <v>2079</v>
      </c>
      <c r="D1271" s="2402" t="s">
        <v>1118</v>
      </c>
      <c r="E1271" s="2521" t="s">
        <v>2080</v>
      </c>
      <c r="F1271" s="3369">
        <f>ROUND((($J$1327*$J$1333*(1/$J$1339-1/$J$1345))/1000)*$J$1351,2)</f>
        <v>289.93</v>
      </c>
      <c r="G1271" s="2643" t="s">
        <v>2077</v>
      </c>
      <c r="H1271" s="2213">
        <f>VLOOKUP(G1271,'CP FACTORS'!$A$3:$B$38, 2, FALSE)</f>
        <v>9.4741810000000004E-4</v>
      </c>
      <c r="I1271" s="2246">
        <f t="shared" si="195"/>
        <v>0.27468500000000001</v>
      </c>
      <c r="J1271" s="2345">
        <f>J1357</f>
        <v>18</v>
      </c>
      <c r="K1271" s="3370">
        <f>J1363</f>
        <v>1081</v>
      </c>
      <c r="L1271" s="3371">
        <f>K1327</f>
        <v>3.4</v>
      </c>
      <c r="M1271" s="560"/>
      <c r="R1271" s="532"/>
      <c r="S1271" s="52"/>
      <c r="T1271" s="52"/>
      <c r="U1271" s="52"/>
      <c r="V1271" s="2425" t="s">
        <v>45</v>
      </c>
      <c r="W1271" s="3372"/>
      <c r="X1271" s="3372"/>
      <c r="Y1271" s="3369">
        <v>315.05</v>
      </c>
      <c r="Z1271" s="3373">
        <v>315.05</v>
      </c>
      <c r="AA1271" s="3373">
        <v>315.05</v>
      </c>
      <c r="AB1271" s="3374">
        <v>315.05</v>
      </c>
      <c r="AC1271" s="3374">
        <v>315.05</v>
      </c>
      <c r="AD1271" s="3374">
        <v>315.05</v>
      </c>
      <c r="AE1271" s="3369">
        <v>235.24</v>
      </c>
      <c r="AF1271" s="2236">
        <v>289.93</v>
      </c>
      <c r="AG1271" s="356"/>
      <c r="DG1271" s="3259">
        <f>(DI1271+DI1272)/(DJ1271+DJ1272)</f>
        <v>0.75358718941352509</v>
      </c>
      <c r="DH1271" s="2521" t="str">
        <f t="shared" si="196"/>
        <v>Cooling Res 18 Year EUL</v>
      </c>
      <c r="DI1271" s="3260">
        <f>(INDEX('Avoided Cost Benefits'!$B$4:$B$866,MATCH(DH1271,'Avoided Cost Benefits'!$A$4:$A$866,0)))*F1271</f>
        <v>663.87269707285463</v>
      </c>
      <c r="DJ1271" s="2424">
        <f t="shared" si="197"/>
        <v>1081</v>
      </c>
    </row>
    <row r="1272" spans="1:114">
      <c r="A1272" s="453"/>
      <c r="B1272" s="1454">
        <f t="shared" si="194"/>
        <v>351901</v>
      </c>
      <c r="C1272" s="2209" t="s">
        <v>2079</v>
      </c>
      <c r="D1272" s="2402" t="s">
        <v>1118</v>
      </c>
      <c r="E1272" s="2522" t="s">
        <v>2080</v>
      </c>
      <c r="F1272" s="3369">
        <f>ROUND((($J$1303*$J$1309*(1/$J$1315-1/$J$1321))/1000)*$J$1351,2)</f>
        <v>248.74</v>
      </c>
      <c r="G1272" s="2643" t="s">
        <v>2078</v>
      </c>
      <c r="H1272" s="2213">
        <f>VLOOKUP(G1272,'CP FACTORS'!$A$3:$B$38, 2, FALSE)</f>
        <v>0</v>
      </c>
      <c r="I1272" s="2246">
        <f t="shared" si="195"/>
        <v>0</v>
      </c>
      <c r="J1272" s="2345">
        <f>J1271</f>
        <v>18</v>
      </c>
      <c r="K1272" s="2412"/>
      <c r="L1272" s="3371"/>
      <c r="M1272" s="560"/>
      <c r="R1272" s="532"/>
      <c r="S1272" s="52"/>
      <c r="T1272" s="52"/>
      <c r="U1272" s="52"/>
      <c r="V1272" s="2425" t="s">
        <v>45</v>
      </c>
      <c r="W1272" s="3372"/>
      <c r="X1272" s="3372"/>
      <c r="Y1272" s="3369">
        <v>296.89</v>
      </c>
      <c r="Z1272" s="3373">
        <v>296.89</v>
      </c>
      <c r="AA1272" s="3373">
        <v>296.89</v>
      </c>
      <c r="AB1272" s="3374">
        <v>296.89</v>
      </c>
      <c r="AC1272" s="3374">
        <v>296.89</v>
      </c>
      <c r="AD1272" s="3374">
        <v>296.89</v>
      </c>
      <c r="AE1272" s="3369">
        <v>220.18</v>
      </c>
      <c r="AF1272" s="2236">
        <v>248.74</v>
      </c>
      <c r="AG1272" s="356"/>
      <c r="DG1272" s="3261"/>
      <c r="DH1272" s="2522" t="str">
        <f t="shared" si="196"/>
        <v>Heating Res 18 Year EUL</v>
      </c>
      <c r="DI1272" s="3260">
        <f>(INDEX('Avoided Cost Benefits'!$B$4:$B$866,MATCH(DH1272,'Avoided Cost Benefits'!$A$4:$A$866,0)))*F1272</f>
        <v>150.75505468316598</v>
      </c>
      <c r="DJ1272" s="2424">
        <f t="shared" si="197"/>
        <v>0</v>
      </c>
    </row>
    <row r="1273" spans="1:114">
      <c r="A1273" s="453"/>
      <c r="B1273" s="1454">
        <f t="shared" si="194"/>
        <v>351950</v>
      </c>
      <c r="C1273" s="1608" t="s">
        <v>2081</v>
      </c>
      <c r="D1273" s="1894" t="s">
        <v>1800</v>
      </c>
      <c r="E1273" s="1369" t="s">
        <v>2082</v>
      </c>
      <c r="F1273" s="227">
        <f>ROUND(((J1328*J1334*(1/J1340-1/J1346))/1000)*J1352,2)</f>
        <v>594.4</v>
      </c>
      <c r="G1273" s="84" t="s">
        <v>2077</v>
      </c>
      <c r="H1273" s="69">
        <f>VLOOKUP(G1273,'CP FACTORS'!$A$3:$B$38, 2, FALSE)</f>
        <v>9.4741810000000004E-4</v>
      </c>
      <c r="I1273" s="1474">
        <f t="shared" si="195"/>
        <v>0.56314500000000001</v>
      </c>
      <c r="J1273" s="46">
        <f>J1358</f>
        <v>18</v>
      </c>
      <c r="K1273" s="2073">
        <f>J1364</f>
        <v>1081</v>
      </c>
      <c r="L1273" s="567">
        <f>K1328</f>
        <v>4.4000000000000004</v>
      </c>
      <c r="M1273" s="560"/>
      <c r="R1273" s="532"/>
      <c r="S1273" s="52"/>
      <c r="T1273" s="52"/>
      <c r="U1273" s="52"/>
      <c r="V1273" s="1378" t="s">
        <v>45</v>
      </c>
      <c r="W1273" s="959">
        <v>639.08742857142852</v>
      </c>
      <c r="X1273" s="959">
        <v>639.08742857142852</v>
      </c>
      <c r="Y1273" s="960">
        <v>639.09</v>
      </c>
      <c r="Z1273" s="225">
        <v>639.09</v>
      </c>
      <c r="AA1273" s="225">
        <v>639.09</v>
      </c>
      <c r="AB1273" s="961">
        <v>639.09</v>
      </c>
      <c r="AC1273" s="961">
        <v>639.09</v>
      </c>
      <c r="AD1273" s="961">
        <v>639.09</v>
      </c>
      <c r="AE1273" s="227">
        <v>497.07</v>
      </c>
      <c r="AF1273" s="271">
        <v>594.4</v>
      </c>
      <c r="AG1273" s="356"/>
      <c r="DG1273" s="1090">
        <f>(DI1273+DI1274)/(DJ1273+DJ1274)</f>
        <v>1.7502280801942376</v>
      </c>
      <c r="DH1273" s="1369" t="str">
        <f t="shared" si="196"/>
        <v>Cooling Res 18 Year EUL</v>
      </c>
      <c r="DI1273" s="1091">
        <f>(INDEX('Avoided Cost Benefits'!$B$4:$B$866,MATCH(DH1273,'Avoided Cost Benefits'!$A$4:$A$866,0)))*F1273</f>
        <v>1361.0386339464862</v>
      </c>
      <c r="DJ1273" s="1170">
        <f t="shared" si="197"/>
        <v>1081</v>
      </c>
    </row>
    <row r="1274" spans="1:114">
      <c r="A1274" s="453"/>
      <c r="B1274" s="1454">
        <f t="shared" si="194"/>
        <v>351950</v>
      </c>
      <c r="C1274" s="1608" t="s">
        <v>2081</v>
      </c>
      <c r="D1274" s="1894" t="s">
        <v>1800</v>
      </c>
      <c r="E1274" s="1370" t="s">
        <v>2082</v>
      </c>
      <c r="F1274" s="227">
        <f>ROUND(((J1304*J1310*(1/J1316-1/J1322))/1000)*J1352,2)</f>
        <v>876.06</v>
      </c>
      <c r="G1274" s="84" t="s">
        <v>2078</v>
      </c>
      <c r="H1274" s="69">
        <f>VLOOKUP(G1274,'CP FACTORS'!$A$3:$B$38, 2, FALSE)</f>
        <v>0</v>
      </c>
      <c r="I1274" s="1474">
        <f t="shared" si="195"/>
        <v>0</v>
      </c>
      <c r="J1274" s="46">
        <f>J1273</f>
        <v>18</v>
      </c>
      <c r="K1274" s="151"/>
      <c r="L1274" s="567"/>
      <c r="M1274" s="560"/>
      <c r="R1274" s="532"/>
      <c r="S1274" s="52"/>
      <c r="T1274" s="52"/>
      <c r="U1274" s="52"/>
      <c r="V1274" s="1378" t="s">
        <v>45</v>
      </c>
      <c r="W1274" s="959">
        <v>990.72439024390337</v>
      </c>
      <c r="X1274" s="959">
        <v>990.72439024390337</v>
      </c>
      <c r="Y1274" s="960">
        <v>990.72</v>
      </c>
      <c r="Z1274" s="225">
        <v>990.72</v>
      </c>
      <c r="AA1274" s="225">
        <v>990.72</v>
      </c>
      <c r="AB1274" s="961">
        <v>990.72</v>
      </c>
      <c r="AC1274" s="961">
        <v>990.72</v>
      </c>
      <c r="AD1274" s="961">
        <v>990.72</v>
      </c>
      <c r="AE1274" s="227">
        <v>772.89</v>
      </c>
      <c r="AF1274" s="271">
        <v>876.06</v>
      </c>
      <c r="AG1274" s="356"/>
      <c r="DG1274" s="1092"/>
      <c r="DH1274" s="1370" t="str">
        <f t="shared" si="196"/>
        <v>Heating Res 18 Year EUL</v>
      </c>
      <c r="DI1274" s="1091">
        <f>(INDEX('Avoided Cost Benefits'!$B$4:$B$866,MATCH(DH1274,'Avoided Cost Benefits'!$A$4:$A$866,0)))*F1274</f>
        <v>530.95792074348469</v>
      </c>
      <c r="DJ1274" s="1170">
        <f t="shared" si="197"/>
        <v>0</v>
      </c>
    </row>
    <row r="1275" spans="1:114">
      <c r="A1275" s="453"/>
      <c r="B1275" s="1454">
        <f t="shared" si="194"/>
        <v>351951</v>
      </c>
      <c r="C1275" s="2209" t="s">
        <v>2083</v>
      </c>
      <c r="D1275" s="2402" t="s">
        <v>1118</v>
      </c>
      <c r="E1275" s="2521" t="s">
        <v>2084</v>
      </c>
      <c r="F1275" s="3369">
        <f>ROUND((($J$1329*$J$1335*(1/$J$1341-1/$J$1347))/1000)*$J$1353,2)</f>
        <v>432.29</v>
      </c>
      <c r="G1275" s="2643" t="s">
        <v>2077</v>
      </c>
      <c r="H1275" s="2213">
        <f>VLOOKUP(G1275,'CP FACTORS'!$A$3:$B$38, 2, FALSE)</f>
        <v>9.4741810000000004E-4</v>
      </c>
      <c r="I1275" s="2246">
        <f t="shared" si="195"/>
        <v>0.40955900000000001</v>
      </c>
      <c r="J1275" s="2345">
        <f>J1359</f>
        <v>18</v>
      </c>
      <c r="K1275" s="3370">
        <f>J1365</f>
        <v>1081</v>
      </c>
      <c r="L1275" s="3371">
        <f>K1329</f>
        <v>4.4000000000000004</v>
      </c>
      <c r="M1275" s="560"/>
      <c r="R1275" s="532"/>
      <c r="S1275" s="52"/>
      <c r="T1275" s="52"/>
      <c r="U1275" s="52"/>
      <c r="V1275" s="2425" t="s">
        <v>45</v>
      </c>
      <c r="W1275" s="3372"/>
      <c r="X1275" s="3372"/>
      <c r="Y1275" s="3369">
        <v>464.79</v>
      </c>
      <c r="Z1275" s="3373">
        <v>464.79</v>
      </c>
      <c r="AA1275" s="3373">
        <v>464.79</v>
      </c>
      <c r="AB1275" s="3374">
        <v>464.79</v>
      </c>
      <c r="AC1275" s="3374">
        <v>464.79</v>
      </c>
      <c r="AD1275" s="3374">
        <v>464.79</v>
      </c>
      <c r="AE1275" s="3369">
        <v>361.5</v>
      </c>
      <c r="AF1275" s="2236">
        <v>432.29</v>
      </c>
      <c r="AG1275" s="356"/>
      <c r="DG1275" s="3259">
        <f>(DI1275+DI1276)/(DJ1275+DJ1276)</f>
        <v>1.1395353914025135</v>
      </c>
      <c r="DH1275" s="2521" t="str">
        <f t="shared" si="196"/>
        <v>Cooling Res 18 Year EUL</v>
      </c>
      <c r="DI1275" s="3260">
        <f>(INDEX('Avoided Cost Benefits'!$B$4:$B$866,MATCH(DH1275,'Avoided Cost Benefits'!$A$4:$A$866,0)))*F1275</f>
        <v>989.8441976257177</v>
      </c>
      <c r="DJ1275" s="2424">
        <f t="shared" si="197"/>
        <v>1081</v>
      </c>
    </row>
    <row r="1276" spans="1:114">
      <c r="A1276" s="453"/>
      <c r="B1276" s="1454">
        <f t="shared" si="194"/>
        <v>351951</v>
      </c>
      <c r="C1276" s="2209" t="s">
        <v>2083</v>
      </c>
      <c r="D1276" s="2402" t="s">
        <v>1118</v>
      </c>
      <c r="E1276" s="2522" t="s">
        <v>2084</v>
      </c>
      <c r="F1276" s="3369">
        <f>ROUND((($J$1305*$J$1311*(1/$J$1317-1/$J$1323))/1000)*$J$1353,2)</f>
        <v>399.28</v>
      </c>
      <c r="G1276" s="2643" t="s">
        <v>2078</v>
      </c>
      <c r="H1276" s="2213">
        <f>VLOOKUP(G1276,'CP FACTORS'!$A$3:$B$38, 2, FALSE)</f>
        <v>0</v>
      </c>
      <c r="I1276" s="2246">
        <f t="shared" si="195"/>
        <v>0</v>
      </c>
      <c r="J1276" s="2345">
        <f>J1275</f>
        <v>18</v>
      </c>
      <c r="K1276" s="2412"/>
      <c r="L1276" s="3371"/>
      <c r="M1276" s="560"/>
      <c r="R1276" s="532"/>
      <c r="S1276" s="52"/>
      <c r="T1276" s="52"/>
      <c r="U1276" s="52"/>
      <c r="V1276" s="2425" t="s">
        <v>45</v>
      </c>
      <c r="W1276" s="3372"/>
      <c r="X1276" s="3372"/>
      <c r="Y1276" s="3369">
        <v>451.54</v>
      </c>
      <c r="Z1276" s="3373">
        <v>451.54</v>
      </c>
      <c r="AA1276" s="3373">
        <v>451.54</v>
      </c>
      <c r="AB1276" s="3374">
        <v>451.54</v>
      </c>
      <c r="AC1276" s="3374">
        <v>451.54</v>
      </c>
      <c r="AD1276" s="3374">
        <v>451.54</v>
      </c>
      <c r="AE1276" s="3369">
        <v>352.26</v>
      </c>
      <c r="AF1276" s="2236">
        <v>399.28</v>
      </c>
      <c r="AG1276" s="356"/>
      <c r="DG1276" s="3261"/>
      <c r="DH1276" s="2522" t="str">
        <f t="shared" si="196"/>
        <v>Heating Res 18 Year EUL</v>
      </c>
      <c r="DI1276" s="3260">
        <f>(INDEX('Avoided Cost Benefits'!$B$4:$B$866,MATCH(DH1276,'Avoided Cost Benefits'!$A$4:$A$866,0)))*F1276</f>
        <v>241.99356048039925</v>
      </c>
      <c r="DJ1276" s="2424">
        <f t="shared" si="197"/>
        <v>0</v>
      </c>
    </row>
    <row r="1277" spans="1:114">
      <c r="A1277" s="453"/>
      <c r="B1277" s="1454">
        <f t="shared" si="194"/>
        <v>352000</v>
      </c>
      <c r="C1277" s="1608" t="s">
        <v>2085</v>
      </c>
      <c r="D1277" s="1894" t="s">
        <v>1800</v>
      </c>
      <c r="E1277" s="1369" t="s">
        <v>2086</v>
      </c>
      <c r="F1277" s="227">
        <f>ROUND(((J1330*J1336*(1/J1342-1/J1348))/1000)*J1354,2)</f>
        <v>816.63</v>
      </c>
      <c r="G1277" s="84" t="s">
        <v>2077</v>
      </c>
      <c r="H1277" s="69">
        <f>VLOOKUP(G1277,'CP FACTORS'!$A$3:$B$38, 2, FALSE)</f>
        <v>9.4741810000000004E-4</v>
      </c>
      <c r="I1277" s="1474">
        <f t="shared" si="195"/>
        <v>0.77368999999999999</v>
      </c>
      <c r="J1277" s="46">
        <f>J1360</f>
        <v>18</v>
      </c>
      <c r="K1277" s="2073">
        <f>J1366</f>
        <v>1081</v>
      </c>
      <c r="L1277" s="567">
        <f>K1330</f>
        <v>5.4</v>
      </c>
      <c r="M1277" s="560"/>
      <c r="R1277" s="532"/>
      <c r="S1277" s="52"/>
      <c r="T1277" s="52"/>
      <c r="U1277" s="52"/>
      <c r="V1277" s="1378" t="s">
        <v>45</v>
      </c>
      <c r="W1277" s="959">
        <v>871.48285714285726</v>
      </c>
      <c r="X1277" s="959">
        <v>871.48285714285726</v>
      </c>
      <c r="Y1277" s="960">
        <v>871.48</v>
      </c>
      <c r="Z1277" s="225">
        <v>871.48</v>
      </c>
      <c r="AA1277" s="225">
        <v>871.48</v>
      </c>
      <c r="AB1277" s="961">
        <v>871.48</v>
      </c>
      <c r="AC1277" s="961">
        <v>871.48</v>
      </c>
      <c r="AD1277" s="961">
        <v>871.48</v>
      </c>
      <c r="AE1277" s="227">
        <v>697.19</v>
      </c>
      <c r="AF1277" s="271">
        <v>816.63</v>
      </c>
      <c r="AG1277" s="356"/>
      <c r="DG1277" s="1090">
        <f>(DI1277+DI1278)/(DJ1277+DJ1278)</f>
        <v>2.4407562219478138</v>
      </c>
      <c r="DH1277" s="1369" t="str">
        <f t="shared" si="196"/>
        <v>Cooling Res 18 Year EUL</v>
      </c>
      <c r="DI1277" s="1091">
        <f>(INDEX('Avoided Cost Benefits'!$B$4:$B$866,MATCH(DH1277,'Avoided Cost Benefits'!$A$4:$A$866,0)))*F1277</f>
        <v>1869.8939765136593</v>
      </c>
      <c r="DJ1277" s="1170">
        <f t="shared" si="197"/>
        <v>1081</v>
      </c>
    </row>
    <row r="1278" spans="1:114">
      <c r="A1278" s="453"/>
      <c r="B1278" s="1454">
        <f t="shared" si="194"/>
        <v>352000</v>
      </c>
      <c r="C1278" s="1608" t="s">
        <v>2085</v>
      </c>
      <c r="D1278" s="1894" t="s">
        <v>1800</v>
      </c>
      <c r="E1278" s="1370" t="s">
        <v>2086</v>
      </c>
      <c r="F1278" s="227">
        <f>ROUND(((J1306*J1312*(1/J1318-1/J1324))/1000)*J1354,2)</f>
        <v>1268.0999999999999</v>
      </c>
      <c r="G1278" s="84" t="s">
        <v>2078</v>
      </c>
      <c r="H1278" s="69">
        <f>VLOOKUP(G1278,'CP FACTORS'!$A$3:$B$38, 2, FALSE)</f>
        <v>0</v>
      </c>
      <c r="I1278" s="1474">
        <f t="shared" si="195"/>
        <v>0</v>
      </c>
      <c r="J1278" s="46">
        <f>J1277</f>
        <v>18</v>
      </c>
      <c r="K1278" s="151"/>
      <c r="L1278" s="567"/>
      <c r="M1278" s="560"/>
      <c r="R1278" s="532"/>
      <c r="S1278" s="52"/>
      <c r="T1278" s="52"/>
      <c r="U1278" s="52"/>
      <c r="V1278" s="1378" t="s">
        <v>45</v>
      </c>
      <c r="W1278" s="959">
        <v>1383.739024390245</v>
      </c>
      <c r="X1278" s="959">
        <v>1383.739024390245</v>
      </c>
      <c r="Y1278" s="960">
        <v>1383.74</v>
      </c>
      <c r="Z1278" s="225">
        <v>1383.74</v>
      </c>
      <c r="AA1278" s="225">
        <v>1383.74</v>
      </c>
      <c r="AB1278" s="961">
        <v>1383.74</v>
      </c>
      <c r="AC1278" s="961">
        <v>1383.74</v>
      </c>
      <c r="AD1278" s="961">
        <v>1383.74</v>
      </c>
      <c r="AE1278" s="227">
        <v>1116.4000000000001</v>
      </c>
      <c r="AF1278" s="271">
        <v>1268.0999999999999</v>
      </c>
      <c r="AG1278" s="356"/>
      <c r="DG1278" s="1092"/>
      <c r="DH1278" s="1370" t="str">
        <f t="shared" si="196"/>
        <v>Heating Res 18 Year EUL</v>
      </c>
      <c r="DI1278" s="1091">
        <f>(INDEX('Avoided Cost Benefits'!$B$4:$B$866,MATCH(DH1278,'Avoided Cost Benefits'!$A$4:$A$866,0)))*F1278</f>
        <v>768.56349941192718</v>
      </c>
      <c r="DJ1278" s="1170">
        <f t="shared" si="197"/>
        <v>0</v>
      </c>
    </row>
    <row r="1279" spans="1:114">
      <c r="A1279" s="453"/>
      <c r="B1279" s="1454">
        <f t="shared" si="194"/>
        <v>352001</v>
      </c>
      <c r="C1279" s="2209" t="s">
        <v>2087</v>
      </c>
      <c r="D1279" s="2402" t="s">
        <v>1118</v>
      </c>
      <c r="E1279" s="2521" t="s">
        <v>2088</v>
      </c>
      <c r="F1279" s="3369">
        <f>ROUND((($J$1331*$J$1337*(1/$J$1343-1/$J$1349))/1000)*$J$1355,2)</f>
        <v>593.91999999999996</v>
      </c>
      <c r="G1279" s="2643" t="s">
        <v>2077</v>
      </c>
      <c r="H1279" s="2213">
        <f>VLOOKUP(G1279,'CP FACTORS'!$A$3:$B$38, 2, FALSE)</f>
        <v>9.4741810000000004E-4</v>
      </c>
      <c r="I1279" s="2246">
        <f t="shared" si="195"/>
        <v>0.56269100000000005</v>
      </c>
      <c r="J1279" s="2345">
        <f>J1361</f>
        <v>18</v>
      </c>
      <c r="K1279" s="3370">
        <f>J1367</f>
        <v>1081</v>
      </c>
      <c r="L1279" s="3371">
        <f>K1331</f>
        <v>5.4</v>
      </c>
      <c r="M1279" s="560"/>
      <c r="R1279" s="532"/>
      <c r="S1279" s="52"/>
      <c r="T1279" s="52"/>
      <c r="U1279" s="52"/>
      <c r="V1279" s="2425" t="s">
        <v>45</v>
      </c>
      <c r="W1279" s="3372"/>
      <c r="X1279" s="3372"/>
      <c r="Y1279" s="3369">
        <v>633.80999999999995</v>
      </c>
      <c r="Z1279" s="3373">
        <v>633.80999999999995</v>
      </c>
      <c r="AA1279" s="3373">
        <v>633.80999999999995</v>
      </c>
      <c r="AB1279" s="3374">
        <v>633.80999999999995</v>
      </c>
      <c r="AC1279" s="3374">
        <v>633.80999999999995</v>
      </c>
      <c r="AD1279" s="3374">
        <v>633.80999999999995</v>
      </c>
      <c r="AE1279" s="3369">
        <v>507.04</v>
      </c>
      <c r="AF1279" s="2236">
        <v>593.91999999999996</v>
      </c>
      <c r="AG1279" s="356"/>
      <c r="DG1279" s="3259">
        <f>(DI1279+DI1280)/(DJ1279+DJ1280)</f>
        <v>1.5820726145109312</v>
      </c>
      <c r="DH1279" s="2521" t="str">
        <f t="shared" si="196"/>
        <v>Cooling Res 18 Year EUL</v>
      </c>
      <c r="DI1279" s="3260">
        <f>(INDEX('Avoided Cost Benefits'!$B$4:$B$866,MATCH(DH1279,'Avoided Cost Benefits'!$A$4:$A$866,0)))*F1279</f>
        <v>1359.9395448746586</v>
      </c>
      <c r="DJ1279" s="2424">
        <f t="shared" si="197"/>
        <v>1081</v>
      </c>
    </row>
    <row r="1280" spans="1:114">
      <c r="A1280" s="453"/>
      <c r="B1280" s="1454">
        <f t="shared" si="194"/>
        <v>352001</v>
      </c>
      <c r="C1280" s="2209" t="s">
        <v>2087</v>
      </c>
      <c r="D1280" s="2402" t="s">
        <v>1118</v>
      </c>
      <c r="E1280" s="2522" t="s">
        <v>2088</v>
      </c>
      <c r="F1280" s="3369">
        <f>ROUND((($J$1307*$J$1313*(1/$J$1319-1/$J$1325))/1000)*$J$1355,2)</f>
        <v>577.95000000000005</v>
      </c>
      <c r="G1280" s="2643" t="s">
        <v>2078</v>
      </c>
      <c r="H1280" s="2213">
        <f>VLOOKUP(G1280,'CP FACTORS'!$A$3:$B$38, 2, FALSE)</f>
        <v>0</v>
      </c>
      <c r="I1280" s="2246">
        <f t="shared" si="195"/>
        <v>0</v>
      </c>
      <c r="J1280" s="2345">
        <f>J1279</f>
        <v>18</v>
      </c>
      <c r="K1280" s="2412"/>
      <c r="L1280" s="3371"/>
      <c r="M1280" s="560"/>
      <c r="R1280" s="532"/>
      <c r="S1280" s="52"/>
      <c r="T1280" s="52"/>
      <c r="U1280" s="52"/>
      <c r="V1280" s="2425" t="s">
        <v>45</v>
      </c>
      <c r="W1280" s="3372"/>
      <c r="X1280" s="3372"/>
      <c r="Y1280" s="3369">
        <v>630.66</v>
      </c>
      <c r="Z1280" s="3373">
        <v>630.66</v>
      </c>
      <c r="AA1280" s="3373">
        <v>630.66</v>
      </c>
      <c r="AB1280" s="3374">
        <v>630.66</v>
      </c>
      <c r="AC1280" s="3374">
        <v>630.66</v>
      </c>
      <c r="AD1280" s="3374">
        <v>630.66</v>
      </c>
      <c r="AE1280" s="3369">
        <v>508.81</v>
      </c>
      <c r="AF1280" s="2236">
        <v>577.95000000000005</v>
      </c>
      <c r="AG1280" s="356"/>
      <c r="DG1280" s="2748"/>
      <c r="DH1280" s="2522" t="str">
        <f t="shared" si="196"/>
        <v>Heating Res 18 Year EUL</v>
      </c>
      <c r="DI1280" s="3254">
        <f>(INDEX('Avoided Cost Benefits'!$B$4:$B$866,MATCH(DH1280,'Avoided Cost Benefits'!$A$4:$A$866,0)))*F1280</f>
        <v>350.2809514116579</v>
      </c>
      <c r="DJ1280" s="2431">
        <f t="shared" si="197"/>
        <v>0</v>
      </c>
    </row>
    <row r="1281" spans="1:113" hidden="1" outlineLevel="1">
      <c r="A1281" s="453"/>
      <c r="B1281" s="1454"/>
      <c r="C1281" s="51"/>
      <c r="D1281" s="77" t="s">
        <v>118</v>
      </c>
      <c r="E1281" s="52" t="s">
        <v>2089</v>
      </c>
      <c r="F1281" s="542"/>
      <c r="G1281" s="568"/>
      <c r="H1281" s="51"/>
      <c r="I1281" s="51"/>
      <c r="J1281" s="51"/>
      <c r="K1281" s="104" t="s">
        <v>2090</v>
      </c>
      <c r="L1281" s="51"/>
      <c r="M1281" s="51"/>
      <c r="Q1281" s="104"/>
      <c r="S1281" s="52"/>
      <c r="T1281" s="52"/>
      <c r="U1281" s="52"/>
      <c r="V1281" s="52"/>
      <c r="DG1281" s="573"/>
      <c r="DH1281" s="159"/>
      <c r="DI1281" s="1091"/>
    </row>
    <row r="1282" spans="1:113" hidden="1" outlineLevel="1">
      <c r="A1282" s="453"/>
      <c r="B1282" s="1454"/>
      <c r="C1282" s="51"/>
      <c r="D1282" s="74" t="s">
        <v>963</v>
      </c>
      <c r="E1282" s="104" t="s">
        <v>2091</v>
      </c>
      <c r="F1282" s="542"/>
      <c r="G1282" s="568"/>
      <c r="H1282" s="51"/>
      <c r="I1282" s="51"/>
      <c r="J1282" s="51"/>
      <c r="K1282" s="51"/>
      <c r="L1282" s="51"/>
      <c r="M1282" s="51"/>
      <c r="Q1282" s="104"/>
      <c r="S1282" s="52"/>
      <c r="T1282" s="52"/>
      <c r="U1282" s="52"/>
      <c r="V1282" s="52"/>
      <c r="DG1282" s="573"/>
      <c r="DH1282" s="159"/>
      <c r="DI1282" s="1091"/>
    </row>
    <row r="1283" spans="1:113" hidden="1" outlineLevel="1">
      <c r="A1283" s="453"/>
      <c r="B1283" s="1454"/>
      <c r="C1283" s="51"/>
      <c r="D1283" s="74"/>
      <c r="E1283" s="104" t="s">
        <v>2092</v>
      </c>
      <c r="G1283" s="104"/>
      <c r="S1283" s="52"/>
      <c r="T1283" s="52"/>
      <c r="U1283" s="52"/>
      <c r="V1283" s="52"/>
      <c r="DG1283" s="573"/>
      <c r="DH1283" s="159"/>
      <c r="DI1283" s="1091"/>
    </row>
    <row r="1284" spans="1:113" hidden="1" outlineLevel="1">
      <c r="A1284" s="453"/>
      <c r="B1284" s="1454"/>
      <c r="C1284" s="51"/>
      <c r="D1284" s="104"/>
      <c r="E1284" s="104" t="s">
        <v>2093</v>
      </c>
      <c r="G1284" s="104"/>
      <c r="H1284" s="51"/>
      <c r="S1284" s="52"/>
      <c r="T1284" s="52"/>
      <c r="U1284" s="52"/>
      <c r="V1284" s="52"/>
      <c r="DG1284" s="573"/>
      <c r="DH1284" s="159"/>
      <c r="DI1284" s="1091"/>
    </row>
    <row r="1285" spans="1:113" hidden="1" outlineLevel="1">
      <c r="A1285" s="453"/>
      <c r="B1285" s="1454"/>
      <c r="C1285" s="51"/>
      <c r="D1285" s="104"/>
      <c r="E1285" s="104" t="s">
        <v>2094</v>
      </c>
      <c r="G1285" s="104"/>
      <c r="H1285" s="51"/>
      <c r="S1285" s="52"/>
      <c r="T1285" s="52"/>
      <c r="U1285" s="52"/>
      <c r="V1285" s="52"/>
      <c r="DG1285" s="573"/>
      <c r="DH1285" s="159"/>
      <c r="DI1285" s="1091"/>
    </row>
    <row r="1286" spans="1:113" hidden="1" outlineLevel="1">
      <c r="A1286" s="453"/>
      <c r="B1286" s="1454"/>
      <c r="C1286" s="51"/>
      <c r="D1286" s="104"/>
      <c r="E1286" s="104"/>
      <c r="G1286" s="104"/>
      <c r="H1286" s="51"/>
      <c r="S1286" s="52"/>
      <c r="T1286" s="52"/>
      <c r="U1286" s="52"/>
      <c r="V1286" s="52"/>
      <c r="DG1286" s="573"/>
      <c r="DH1286" s="159"/>
      <c r="DI1286" s="1091"/>
    </row>
    <row r="1287" spans="1:113" hidden="1" outlineLevel="1">
      <c r="A1287" s="453"/>
      <c r="B1287" s="1454"/>
      <c r="C1287" s="51"/>
      <c r="D1287" s="104"/>
      <c r="E1287" s="104" t="s">
        <v>2095</v>
      </c>
      <c r="G1287" s="104"/>
      <c r="H1287" s="51"/>
      <c r="S1287" s="52"/>
      <c r="T1287" s="52"/>
      <c r="U1287" s="52"/>
      <c r="V1287" s="52"/>
      <c r="DG1287" s="573"/>
      <c r="DH1287" s="159"/>
      <c r="DI1287" s="1091"/>
    </row>
    <row r="1288" spans="1:113" hidden="1" outlineLevel="1">
      <c r="A1288" s="453"/>
      <c r="B1288" s="1454"/>
      <c r="C1288" s="51"/>
      <c r="D1288" s="104"/>
      <c r="E1288" s="104" t="s">
        <v>2096</v>
      </c>
      <c r="G1288" s="104"/>
      <c r="H1288" s="51"/>
      <c r="J1288" s="104"/>
      <c r="S1288" s="52"/>
      <c r="T1288" s="52"/>
      <c r="U1288" s="52"/>
      <c r="V1288" s="52"/>
      <c r="DG1288" s="573"/>
      <c r="DH1288" s="159"/>
      <c r="DI1288" s="1091"/>
    </row>
    <row r="1289" spans="1:113" hidden="1" outlineLevel="1">
      <c r="A1289" s="453"/>
      <c r="B1289" s="1454"/>
      <c r="C1289" s="51"/>
      <c r="E1289" s="104" t="s">
        <v>2097</v>
      </c>
      <c r="G1289" s="104"/>
      <c r="H1289" s="51"/>
      <c r="S1289" s="52"/>
      <c r="T1289" s="52"/>
      <c r="U1289" s="52"/>
      <c r="V1289" s="52"/>
      <c r="DG1289" s="573"/>
      <c r="DH1289" s="159"/>
      <c r="DI1289" s="1091"/>
    </row>
    <row r="1290" spans="1:113" hidden="1" outlineLevel="1">
      <c r="A1290" s="453"/>
      <c r="B1290" s="1454"/>
      <c r="C1290" s="51"/>
      <c r="D1290" s="104"/>
      <c r="E1290" s="104" t="s">
        <v>2093</v>
      </c>
      <c r="G1290" s="104"/>
      <c r="H1290" s="51"/>
      <c r="S1290" s="52"/>
      <c r="T1290" s="52"/>
      <c r="U1290" s="52"/>
      <c r="V1290" s="52"/>
      <c r="DG1290" s="573"/>
      <c r="DH1290" s="159"/>
      <c r="DI1290" s="1091"/>
    </row>
    <row r="1291" spans="1:113" hidden="1" outlineLevel="1">
      <c r="A1291" s="453"/>
      <c r="B1291" s="1454"/>
      <c r="C1291" s="51"/>
      <c r="D1291" s="104"/>
      <c r="E1291" s="104" t="s">
        <v>2098</v>
      </c>
      <c r="G1291" s="104"/>
      <c r="H1291" s="51"/>
      <c r="S1291" s="52"/>
      <c r="T1291" s="52"/>
      <c r="U1291" s="52"/>
      <c r="V1291" s="52"/>
      <c r="DG1291" s="573"/>
      <c r="DH1291" s="159"/>
      <c r="DI1291" s="1091"/>
    </row>
    <row r="1292" spans="1:113" hidden="1" outlineLevel="1">
      <c r="A1292" s="453"/>
      <c r="B1292" s="1454"/>
      <c r="C1292" s="51"/>
      <c r="D1292" s="104"/>
      <c r="E1292" s="104" t="s">
        <v>2099</v>
      </c>
      <c r="G1292" s="104"/>
      <c r="H1292" s="51"/>
      <c r="S1292" s="52"/>
      <c r="T1292" s="52"/>
      <c r="U1292" s="52"/>
      <c r="V1292" s="52"/>
      <c r="DG1292" s="573"/>
      <c r="DH1292" s="159"/>
      <c r="DI1292" s="1091"/>
    </row>
    <row r="1293" spans="1:113" hidden="1" outlineLevel="1">
      <c r="A1293" s="453"/>
      <c r="B1293" s="1454"/>
      <c r="C1293" s="51"/>
      <c r="D1293" s="104"/>
      <c r="E1293" s="104" t="s">
        <v>2100</v>
      </c>
      <c r="G1293" s="104"/>
      <c r="H1293" s="51"/>
      <c r="S1293" s="52"/>
      <c r="T1293" s="52"/>
      <c r="U1293" s="52"/>
      <c r="V1293" s="52"/>
      <c r="DG1293" s="573"/>
      <c r="DH1293" s="159"/>
      <c r="DI1293" s="1091"/>
    </row>
    <row r="1294" spans="1:113" hidden="1" outlineLevel="1">
      <c r="A1294" s="453"/>
      <c r="B1294" s="1454"/>
      <c r="C1294" s="51"/>
      <c r="D1294" s="104"/>
      <c r="E1294" s="104" t="s">
        <v>2093</v>
      </c>
      <c r="G1294" s="104"/>
      <c r="H1294" s="51"/>
      <c r="S1294" s="52"/>
      <c r="T1294" s="52"/>
      <c r="U1294" s="52"/>
      <c r="V1294" s="52"/>
      <c r="DG1294" s="573"/>
      <c r="DH1294" s="159"/>
      <c r="DI1294" s="1091"/>
    </row>
    <row r="1295" spans="1:113" hidden="1" outlineLevel="1">
      <c r="A1295" s="453"/>
      <c r="B1295" s="1454"/>
      <c r="C1295" s="51"/>
      <c r="E1295" s="104" t="s">
        <v>2094</v>
      </c>
      <c r="G1295" s="104"/>
      <c r="H1295" s="51"/>
      <c r="S1295" s="52"/>
      <c r="T1295" s="52"/>
      <c r="U1295" s="52"/>
      <c r="V1295" s="52"/>
      <c r="DG1295" s="573"/>
      <c r="DH1295" s="159"/>
      <c r="DI1295" s="1091"/>
    </row>
    <row r="1296" spans="1:113" hidden="1" outlineLevel="1">
      <c r="A1296" s="453"/>
      <c r="B1296" s="1454"/>
      <c r="C1296" s="51"/>
      <c r="D1296" s="104"/>
      <c r="E1296" s="104"/>
      <c r="G1296" s="104"/>
      <c r="H1296" s="51"/>
      <c r="S1296" s="52"/>
      <c r="T1296" s="52"/>
      <c r="U1296" s="52"/>
      <c r="V1296" s="52"/>
      <c r="DG1296" s="573"/>
      <c r="DH1296" s="159"/>
      <c r="DI1296" s="1091"/>
    </row>
    <row r="1297" spans="1:113" hidden="1" outlineLevel="1">
      <c r="A1297" s="453"/>
      <c r="B1297" s="1454"/>
      <c r="C1297" s="51"/>
      <c r="D1297" s="104"/>
      <c r="E1297" s="52" t="s">
        <v>1075</v>
      </c>
      <c r="G1297" s="104"/>
      <c r="H1297" s="51"/>
      <c r="S1297" s="52"/>
      <c r="T1297" s="52"/>
      <c r="U1297" s="52"/>
      <c r="V1297" s="52"/>
      <c r="DG1297" s="573"/>
      <c r="DH1297" s="159"/>
      <c r="DI1297" s="1091"/>
    </row>
    <row r="1298" spans="1:113" hidden="1" outlineLevel="1">
      <c r="A1298" s="453"/>
      <c r="B1298" s="1454"/>
      <c r="C1298" s="51"/>
      <c r="D1298" s="104"/>
      <c r="E1298" s="104"/>
      <c r="G1298" s="104"/>
      <c r="H1298" s="51"/>
      <c r="Q1298" s="1858" t="str">
        <f>B1265</f>
        <v>Dual Fuel Heat Pumps</v>
      </c>
      <c r="S1298" s="52"/>
      <c r="T1298" s="52"/>
      <c r="U1298" s="52"/>
      <c r="V1298" s="52"/>
      <c r="DG1298" s="573"/>
      <c r="DH1298" s="159"/>
      <c r="DI1298" s="1091"/>
    </row>
    <row r="1299" spans="1:113" hidden="1" outlineLevel="1">
      <c r="A1299" s="453"/>
      <c r="B1299" s="1454"/>
      <c r="C1299" s="51"/>
      <c r="D1299" s="104"/>
      <c r="E1299" s="104"/>
      <c r="G1299" s="104"/>
      <c r="H1299" s="51"/>
      <c r="I1299" s="51"/>
      <c r="J1299" s="51"/>
      <c r="K1299" s="51"/>
      <c r="L1299" s="51"/>
      <c r="M1299" s="51"/>
      <c r="S1299" s="52"/>
      <c r="T1299" s="52"/>
      <c r="U1299" s="52"/>
      <c r="V1299" s="52"/>
      <c r="DG1299" s="573"/>
      <c r="DH1299" s="159"/>
      <c r="DI1299" s="1091"/>
    </row>
    <row r="1300" spans="1:113" ht="30" hidden="1" outlineLevel="1">
      <c r="A1300" s="453"/>
      <c r="B1300" s="1454"/>
      <c r="C1300" s="51"/>
      <c r="D1300" s="1443" t="s">
        <v>1078</v>
      </c>
      <c r="E1300" s="1443" t="s">
        <v>967</v>
      </c>
      <c r="F1300" s="4068" t="s">
        <v>968</v>
      </c>
      <c r="G1300" s="4068"/>
      <c r="H1300" s="4068"/>
      <c r="I1300" s="1371" t="s">
        <v>42</v>
      </c>
      <c r="J1300" s="1371" t="s">
        <v>969</v>
      </c>
      <c r="K1300" s="1371" t="s">
        <v>1912</v>
      </c>
      <c r="L1300" s="1371" t="s">
        <v>1184</v>
      </c>
      <c r="R1300"/>
      <c r="S1300" s="4287" t="s">
        <v>2101</v>
      </c>
      <c r="T1300" s="4287"/>
      <c r="U1300" s="52"/>
      <c r="V1300" s="177" t="s">
        <v>52</v>
      </c>
      <c r="W1300" s="669">
        <v>43252</v>
      </c>
      <c r="X1300" s="669">
        <f>$X$6</f>
        <v>43465</v>
      </c>
      <c r="Y1300" s="669">
        <f>$Y$6</f>
        <v>43800</v>
      </c>
      <c r="Z1300" s="669">
        <f>$Z$6</f>
        <v>43862</v>
      </c>
      <c r="AA1300" s="669">
        <f>$AA$6</f>
        <v>44013</v>
      </c>
      <c r="AB1300" s="669">
        <f>$AB$6</f>
        <v>44166</v>
      </c>
      <c r="AC1300" s="669">
        <f>$AC$6</f>
        <v>44531</v>
      </c>
      <c r="AD1300" s="669">
        <f>$AD$6</f>
        <v>44774</v>
      </c>
      <c r="AE1300" s="669">
        <f>$AE$6</f>
        <v>45142</v>
      </c>
      <c r="AF1300" s="669">
        <f>$AF$6</f>
        <v>45672</v>
      </c>
      <c r="AG1300" s="669" t="str">
        <f>$AG$6</f>
        <v>-</v>
      </c>
      <c r="DG1300" s="573"/>
      <c r="DH1300" s="159"/>
      <c r="DI1300" s="1091"/>
    </row>
    <row r="1301" spans="1:113" hidden="1" outlineLevel="1">
      <c r="A1301" s="453"/>
      <c r="B1301" s="1454"/>
      <c r="C1301" s="51"/>
      <c r="D1301" s="1443"/>
      <c r="E1301" s="1443"/>
      <c r="F1301" s="1371"/>
      <c r="G1301" s="1371"/>
      <c r="H1301" s="1371"/>
      <c r="I1301" s="1371"/>
      <c r="J1301" s="1371"/>
      <c r="K1301" s="1371"/>
      <c r="L1301" s="1371"/>
      <c r="R1301" s="1643" t="s">
        <v>1917</v>
      </c>
      <c r="S1301" s="1643" t="s">
        <v>2040</v>
      </c>
      <c r="T1301" s="1643" t="s">
        <v>2041</v>
      </c>
      <c r="U1301" s="52"/>
      <c r="V1301" s="177"/>
      <c r="W1301" s="669"/>
      <c r="X1301" s="669"/>
      <c r="Y1301" s="669"/>
      <c r="Z1301" s="669"/>
      <c r="AA1301" s="669"/>
      <c r="AB1301" s="669"/>
      <c r="AC1301" s="669"/>
      <c r="AD1301" s="669"/>
      <c r="AE1301" s="669"/>
      <c r="AF1301" s="669"/>
      <c r="AG1301" s="669"/>
      <c r="DG1301" s="573"/>
      <c r="DH1301" s="159"/>
      <c r="DI1301" s="1091"/>
    </row>
    <row r="1302" spans="1:113" hidden="1" outlineLevel="1">
      <c r="A1302" s="453"/>
      <c r="B1302" s="1454"/>
      <c r="C1302" s="51"/>
      <c r="D1302" s="4293" t="s">
        <v>2102</v>
      </c>
      <c r="E1302" s="4293" t="s">
        <v>2103</v>
      </c>
      <c r="F1302" s="4342" t="str">
        <f>E1269</f>
        <v>DFHP-SEER19-ROF_MF</v>
      </c>
      <c r="G1302" s="4342"/>
      <c r="H1302" s="4342"/>
      <c r="I1302" s="822"/>
      <c r="J1302" s="1754">
        <v>40800</v>
      </c>
      <c r="K1302" s="1442">
        <f>J1302/12000</f>
        <v>3.4</v>
      </c>
      <c r="L1302" s="929" t="s">
        <v>2104</v>
      </c>
      <c r="R1302" s="1644">
        <v>15.2</v>
      </c>
      <c r="S1302" s="1644">
        <v>7000</v>
      </c>
      <c r="T1302" s="71">
        <v>600</v>
      </c>
      <c r="U1302" s="52"/>
      <c r="V1302" s="4293"/>
      <c r="W1302" s="1396">
        <f>$K1309*12000</f>
        <v>0</v>
      </c>
      <c r="X1302" s="1396">
        <v>40800</v>
      </c>
      <c r="Y1302" s="1396">
        <v>40800</v>
      </c>
      <c r="Z1302" s="1396">
        <v>40800</v>
      </c>
      <c r="AA1302" s="1396">
        <v>40800</v>
      </c>
      <c r="AB1302" s="1396">
        <v>40800</v>
      </c>
      <c r="AC1302" s="1396">
        <v>40800</v>
      </c>
      <c r="AD1302" s="1396">
        <v>40800</v>
      </c>
      <c r="AE1302" s="1396">
        <v>40800</v>
      </c>
      <c r="AF1302" s="271">
        <f t="shared" ref="AF1302:AF1333" si="198">IF(J1302&lt;&gt;"",J1302,"")</f>
        <v>40800</v>
      </c>
      <c r="AG1302" s="1396"/>
      <c r="DG1302" s="573"/>
      <c r="DH1302" s="159"/>
      <c r="DI1302" s="1091"/>
    </row>
    <row r="1303" spans="1:113" hidden="1" outlineLevel="1">
      <c r="A1303" s="453"/>
      <c r="B1303" s="1454"/>
      <c r="C1303" s="51"/>
      <c r="D1303" s="4293"/>
      <c r="E1303" s="4293"/>
      <c r="F1303" s="4341" t="str">
        <f>E1271</f>
        <v>DFHP-SEER19-ROF_MF_CompE</v>
      </c>
      <c r="G1303" s="4341"/>
      <c r="H1303" s="4341"/>
      <c r="I1303" s="3335"/>
      <c r="J1303" s="3375">
        <v>40800</v>
      </c>
      <c r="K1303" s="2962">
        <f t="shared" ref="K1303:K1307" si="199">J1303/12000</f>
        <v>3.4</v>
      </c>
      <c r="L1303" s="3334"/>
      <c r="R1303" s="1644">
        <v>16.2</v>
      </c>
      <c r="S1303" s="1644">
        <v>7286</v>
      </c>
      <c r="T1303" s="71">
        <v>600</v>
      </c>
      <c r="U1303" s="52"/>
      <c r="V1303" s="4293"/>
      <c r="W1303" s="1396"/>
      <c r="X1303" s="1396"/>
      <c r="Y1303" s="3262">
        <v>40800</v>
      </c>
      <c r="Z1303" s="3262">
        <v>40800</v>
      </c>
      <c r="AA1303" s="3262">
        <v>40800</v>
      </c>
      <c r="AB1303" s="3262">
        <v>40800</v>
      </c>
      <c r="AC1303" s="3262">
        <v>40800</v>
      </c>
      <c r="AD1303" s="3262">
        <v>40800</v>
      </c>
      <c r="AE1303" s="3262">
        <v>40800</v>
      </c>
      <c r="AF1303" s="2236">
        <f t="shared" si="198"/>
        <v>40800</v>
      </c>
      <c r="AG1303" s="1396"/>
      <c r="DG1303" s="573"/>
      <c r="DH1303" s="159"/>
      <c r="DI1303" s="1091"/>
    </row>
    <row r="1304" spans="1:113" hidden="1" outlineLevel="1">
      <c r="A1304" s="453"/>
      <c r="B1304" s="1454"/>
      <c r="C1304" s="51"/>
      <c r="D1304" s="4293"/>
      <c r="E1304" s="4293"/>
      <c r="F1304" s="4342" t="str">
        <f>E1273</f>
        <v>DFHP-SEER20-ROF_MF</v>
      </c>
      <c r="G1304" s="4342"/>
      <c r="H1304" s="4342"/>
      <c r="I1304" s="822"/>
      <c r="J1304" s="1754">
        <v>52800.000000000007</v>
      </c>
      <c r="K1304" s="1442">
        <f t="shared" si="199"/>
        <v>4.4000000000000004</v>
      </c>
      <c r="L1304" s="929" t="s">
        <v>2104</v>
      </c>
      <c r="R1304" s="1644">
        <v>17.100000000000001</v>
      </c>
      <c r="S1304" s="1644">
        <v>7495</v>
      </c>
      <c r="T1304" s="71">
        <v>600</v>
      </c>
      <c r="U1304" s="52"/>
      <c r="V1304" s="4293"/>
      <c r="W1304" s="1396">
        <f>$K1304*12000</f>
        <v>52800.000000000007</v>
      </c>
      <c r="X1304" s="1396">
        <v>52800.000000000007</v>
      </c>
      <c r="Y1304" s="1396">
        <v>52800.000000000007</v>
      </c>
      <c r="Z1304" s="1396">
        <v>52800.000000000007</v>
      </c>
      <c r="AA1304" s="1396">
        <v>52800.000000000007</v>
      </c>
      <c r="AB1304" s="1396">
        <v>52800.000000000007</v>
      </c>
      <c r="AC1304" s="1396">
        <v>52800.000000000007</v>
      </c>
      <c r="AD1304" s="1396">
        <v>52800.000000000007</v>
      </c>
      <c r="AE1304" s="1396">
        <v>52800.000000000007</v>
      </c>
      <c r="AF1304" s="271">
        <f t="shared" si="198"/>
        <v>52800.000000000007</v>
      </c>
      <c r="AG1304" s="1396"/>
      <c r="DG1304" s="573"/>
      <c r="DH1304" s="159"/>
      <c r="DI1304" s="1091"/>
    </row>
    <row r="1305" spans="1:113" hidden="1" outlineLevel="1">
      <c r="A1305" s="453"/>
      <c r="B1305" s="1454"/>
      <c r="C1305" s="51"/>
      <c r="D1305" s="4293"/>
      <c r="E1305" s="4293"/>
      <c r="F1305" s="4341" t="str">
        <f>E1275</f>
        <v>DFHP-SEER20-ROF_MF_CompE</v>
      </c>
      <c r="G1305" s="4341"/>
      <c r="H1305" s="4341"/>
      <c r="I1305" s="3335"/>
      <c r="J1305" s="3375">
        <v>52800.000000000007</v>
      </c>
      <c r="K1305" s="2962">
        <f t="shared" si="199"/>
        <v>4.4000000000000004</v>
      </c>
      <c r="L1305" s="929"/>
      <c r="R1305" s="1644">
        <v>18.100000000000001</v>
      </c>
      <c r="S1305" s="1644">
        <v>7720</v>
      </c>
      <c r="T1305" s="71">
        <v>600</v>
      </c>
      <c r="U1305" s="52"/>
      <c r="V1305" s="4293"/>
      <c r="W1305" s="1396"/>
      <c r="X1305" s="1396"/>
      <c r="Y1305" s="3262">
        <v>52800.000000000007</v>
      </c>
      <c r="Z1305" s="3262">
        <v>52800.000000000007</v>
      </c>
      <c r="AA1305" s="3262">
        <v>52800.000000000007</v>
      </c>
      <c r="AB1305" s="3262">
        <v>52800.000000000007</v>
      </c>
      <c r="AC1305" s="3262">
        <v>52800.000000000007</v>
      </c>
      <c r="AD1305" s="3262">
        <v>52800.000000000007</v>
      </c>
      <c r="AE1305" s="3262">
        <v>52800.000000000007</v>
      </c>
      <c r="AF1305" s="2236">
        <f t="shared" si="198"/>
        <v>52800.000000000007</v>
      </c>
      <c r="AG1305" s="1396"/>
      <c r="DG1305" s="573"/>
      <c r="DH1305" s="159"/>
      <c r="DI1305" s="1091"/>
    </row>
    <row r="1306" spans="1:113" hidden="1" outlineLevel="1">
      <c r="A1306" s="453"/>
      <c r="B1306" s="1454"/>
      <c r="C1306" s="51"/>
      <c r="D1306" s="4293"/>
      <c r="E1306" s="4293"/>
      <c r="F1306" s="4342" t="str">
        <f>E1277</f>
        <v>DFHP-SEER21-ROF_MF</v>
      </c>
      <c r="G1306" s="4342"/>
      <c r="H1306" s="4342"/>
      <c r="I1306" s="822"/>
      <c r="J1306" s="1754">
        <v>64800.000000000007</v>
      </c>
      <c r="K1306" s="1442">
        <f t="shared" si="199"/>
        <v>5.4</v>
      </c>
      <c r="L1306" s="929" t="s">
        <v>2104</v>
      </c>
      <c r="R1306" s="1644">
        <v>19</v>
      </c>
      <c r="S1306" s="1644">
        <v>7946</v>
      </c>
      <c r="T1306" s="71">
        <v>600</v>
      </c>
      <c r="U1306" s="52"/>
      <c r="V1306" s="4293"/>
      <c r="W1306" s="1396">
        <f>$K1306*12000</f>
        <v>64800.000000000007</v>
      </c>
      <c r="X1306" s="1396">
        <v>64800.000000000007</v>
      </c>
      <c r="Y1306" s="1396">
        <v>64800.000000000007</v>
      </c>
      <c r="Z1306" s="1396">
        <v>64800.000000000007</v>
      </c>
      <c r="AA1306" s="1396">
        <v>64800.000000000007</v>
      </c>
      <c r="AB1306" s="1396">
        <v>64800.000000000007</v>
      </c>
      <c r="AC1306" s="1396">
        <v>64800.000000000007</v>
      </c>
      <c r="AD1306" s="1396">
        <v>64800.000000000007</v>
      </c>
      <c r="AE1306" s="1396">
        <v>64800.000000000007</v>
      </c>
      <c r="AF1306" s="271">
        <f t="shared" si="198"/>
        <v>64800.000000000007</v>
      </c>
      <c r="AG1306" s="1396"/>
      <c r="DG1306" s="573"/>
      <c r="DH1306" s="159"/>
      <c r="DI1306" s="1091"/>
    </row>
    <row r="1307" spans="1:113" hidden="1" outlineLevel="1">
      <c r="A1307" s="453"/>
      <c r="B1307" s="1454"/>
      <c r="C1307" s="51"/>
      <c r="D1307" s="4293"/>
      <c r="E1307" s="4293"/>
      <c r="F1307" s="4341" t="str">
        <f>E1279</f>
        <v>DFHP-SEER21-ROF_MF_CompE</v>
      </c>
      <c r="G1307" s="4341"/>
      <c r="H1307" s="4341"/>
      <c r="I1307" s="3335"/>
      <c r="J1307" s="3375">
        <v>64800.000000000007</v>
      </c>
      <c r="K1307" s="2962">
        <f t="shared" si="199"/>
        <v>5.4</v>
      </c>
      <c r="L1307" s="929"/>
      <c r="S1307" s="52"/>
      <c r="T1307" s="209"/>
      <c r="U1307" s="52"/>
      <c r="V1307" s="4293"/>
      <c r="W1307" s="1396"/>
      <c r="X1307" s="1396"/>
      <c r="Y1307" s="3262">
        <v>64800.000000000007</v>
      </c>
      <c r="Z1307" s="3262">
        <v>64800.000000000007</v>
      </c>
      <c r="AA1307" s="3262">
        <v>64800.000000000007</v>
      </c>
      <c r="AB1307" s="3262">
        <v>64800.000000000007</v>
      </c>
      <c r="AC1307" s="3262">
        <v>64800.000000000007</v>
      </c>
      <c r="AD1307" s="3262">
        <v>64800.000000000007</v>
      </c>
      <c r="AE1307" s="3262">
        <v>64800.000000000007</v>
      </c>
      <c r="AF1307" s="2236">
        <f t="shared" si="198"/>
        <v>64800.000000000007</v>
      </c>
      <c r="AG1307" s="1396"/>
      <c r="DG1307" s="573"/>
      <c r="DH1307" s="159"/>
      <c r="DI1307" s="1091"/>
    </row>
    <row r="1308" spans="1:113" hidden="1" outlineLevel="1">
      <c r="A1308" s="453"/>
      <c r="B1308" s="1454"/>
      <c r="C1308" s="51"/>
      <c r="D1308" s="4293" t="s">
        <v>2105</v>
      </c>
      <c r="E1308" s="4293" t="s">
        <v>2106</v>
      </c>
      <c r="F1308" s="4342" t="str">
        <f>$F$1302</f>
        <v>DFHP-SEER19-ROF_MF</v>
      </c>
      <c r="G1308" s="4342"/>
      <c r="H1308" s="4342"/>
      <c r="I1308" s="822"/>
      <c r="J1308" s="1790">
        <v>1119</v>
      </c>
      <c r="K1308" s="1442"/>
      <c r="L1308" s="929" t="s">
        <v>2107</v>
      </c>
      <c r="R1308"/>
      <c r="S1308" s="4287" t="s">
        <v>2037</v>
      </c>
      <c r="T1308" s="4287"/>
      <c r="U1308" s="52"/>
      <c r="V1308" s="4293" t="s">
        <v>2105</v>
      </c>
      <c r="W1308" s="1396">
        <v>1119</v>
      </c>
      <c r="X1308" s="1396">
        <v>1119</v>
      </c>
      <c r="Y1308" s="1396">
        <v>1119</v>
      </c>
      <c r="Z1308" s="1396">
        <v>1119</v>
      </c>
      <c r="AA1308" s="1396">
        <v>1119</v>
      </c>
      <c r="AB1308" s="1396">
        <v>1119</v>
      </c>
      <c r="AC1308" s="1396">
        <v>1119</v>
      </c>
      <c r="AD1308" s="1396">
        <v>1119</v>
      </c>
      <c r="AE1308" s="1396">
        <v>1119</v>
      </c>
      <c r="AF1308" s="271">
        <f t="shared" si="198"/>
        <v>1119</v>
      </c>
      <c r="AG1308" s="1396"/>
      <c r="DG1308" s="573"/>
      <c r="DH1308" s="159"/>
      <c r="DI1308" s="1091"/>
    </row>
    <row r="1309" spans="1:113" hidden="1" outlineLevel="1">
      <c r="A1309" s="453"/>
      <c r="B1309" s="1454"/>
      <c r="C1309" s="51"/>
      <c r="D1309" s="4293"/>
      <c r="E1309" s="4293"/>
      <c r="F1309" s="4341" t="str">
        <f>$F$1303</f>
        <v>DFHP-SEER19-ROF_MF_CompE</v>
      </c>
      <c r="G1309" s="4341"/>
      <c r="H1309" s="4341"/>
      <c r="I1309" s="3335"/>
      <c r="J1309" s="3263">
        <v>510</v>
      </c>
      <c r="K1309" s="2962"/>
      <c r="L1309" s="3334" t="s">
        <v>2108</v>
      </c>
      <c r="Q1309" s="1643" t="s">
        <v>2038</v>
      </c>
      <c r="R1309" s="1643" t="s">
        <v>2039</v>
      </c>
      <c r="S1309" s="1643" t="s">
        <v>2040</v>
      </c>
      <c r="T1309" s="1643" t="s">
        <v>2041</v>
      </c>
      <c r="U1309" s="52"/>
      <c r="V1309" s="4293"/>
      <c r="W1309" s="1396"/>
      <c r="X1309" s="1396"/>
      <c r="Y1309" s="3265">
        <v>510</v>
      </c>
      <c r="Z1309" s="3262">
        <v>510</v>
      </c>
      <c r="AA1309" s="3262">
        <v>510</v>
      </c>
      <c r="AB1309" s="3262">
        <v>510</v>
      </c>
      <c r="AC1309" s="3262">
        <v>510</v>
      </c>
      <c r="AD1309" s="3262">
        <v>510</v>
      </c>
      <c r="AE1309" s="3262">
        <v>510</v>
      </c>
      <c r="AF1309" s="2236">
        <f t="shared" si="198"/>
        <v>510</v>
      </c>
      <c r="AG1309" s="1396"/>
      <c r="DG1309" s="573"/>
      <c r="DH1309" s="159"/>
      <c r="DI1309" s="1091"/>
    </row>
    <row r="1310" spans="1:113" hidden="1" outlineLevel="1">
      <c r="A1310" s="453"/>
      <c r="B1310" s="1454"/>
      <c r="C1310" s="51"/>
      <c r="D1310" s="4293"/>
      <c r="E1310" s="4293"/>
      <c r="F1310" s="4342" t="str">
        <f>$F$1304</f>
        <v>DFHP-SEER20-ROF_MF</v>
      </c>
      <c r="G1310" s="4342"/>
      <c r="H1310" s="4342"/>
      <c r="I1310" s="822"/>
      <c r="J1310" s="1790">
        <v>1119</v>
      </c>
      <c r="K1310" s="1442"/>
      <c r="L1310" s="929"/>
      <c r="Q1310" s="71" t="s">
        <v>2109</v>
      </c>
      <c r="R1310" s="71" t="s">
        <v>2109</v>
      </c>
      <c r="S1310" s="71">
        <v>6865</v>
      </c>
      <c r="T1310" s="71">
        <v>600</v>
      </c>
      <c r="U1310" s="52"/>
      <c r="V1310" s="4293"/>
      <c r="W1310" s="1396">
        <v>1119</v>
      </c>
      <c r="X1310" s="1396">
        <v>1119</v>
      </c>
      <c r="Y1310" s="1396">
        <v>1119</v>
      </c>
      <c r="Z1310" s="1396">
        <v>1119</v>
      </c>
      <c r="AA1310" s="1396">
        <v>1119</v>
      </c>
      <c r="AB1310" s="1396">
        <v>1119</v>
      </c>
      <c r="AC1310" s="1396">
        <v>1119</v>
      </c>
      <c r="AD1310" s="1396">
        <v>1119</v>
      </c>
      <c r="AE1310" s="1396">
        <v>1119</v>
      </c>
      <c r="AF1310" s="271">
        <f t="shared" si="198"/>
        <v>1119</v>
      </c>
      <c r="AG1310" s="1396"/>
      <c r="DG1310" s="573"/>
      <c r="DH1310" s="159"/>
      <c r="DI1310" s="1091"/>
    </row>
    <row r="1311" spans="1:113" hidden="1" outlineLevel="1">
      <c r="A1311" s="453"/>
      <c r="B1311" s="1454"/>
      <c r="C1311" s="51"/>
      <c r="D1311" s="4293"/>
      <c r="E1311" s="4293"/>
      <c r="F1311" s="4341" t="str">
        <f>$F$1305</f>
        <v>DFHP-SEER20-ROF_MF_CompE</v>
      </c>
      <c r="G1311" s="4341"/>
      <c r="H1311" s="4341"/>
      <c r="I1311" s="3335"/>
      <c r="J1311" s="3263">
        <v>510</v>
      </c>
      <c r="K1311" s="2962"/>
      <c r="L1311" s="3334" t="s">
        <v>2108</v>
      </c>
      <c r="Q1311" s="71" t="s">
        <v>2042</v>
      </c>
      <c r="R1311" s="71" t="s">
        <v>2042</v>
      </c>
      <c r="S1311" s="71">
        <f>2011+3338</f>
        <v>5349</v>
      </c>
      <c r="T1311" s="71"/>
      <c r="U1311" s="52"/>
      <c r="V1311" s="4293"/>
      <c r="W1311" s="1396"/>
      <c r="X1311" s="1396"/>
      <c r="Y1311" s="3265">
        <v>510</v>
      </c>
      <c r="Z1311" s="3262">
        <v>510</v>
      </c>
      <c r="AA1311" s="3262">
        <v>510</v>
      </c>
      <c r="AB1311" s="3262">
        <v>510</v>
      </c>
      <c r="AC1311" s="3262">
        <v>510</v>
      </c>
      <c r="AD1311" s="3262">
        <v>510</v>
      </c>
      <c r="AE1311" s="3262">
        <v>510</v>
      </c>
      <c r="AF1311" s="2236">
        <f t="shared" si="198"/>
        <v>510</v>
      </c>
      <c r="AG1311" s="1396"/>
      <c r="DG1311" s="573"/>
      <c r="DH1311" s="159"/>
      <c r="DI1311" s="1091"/>
    </row>
    <row r="1312" spans="1:113" hidden="1" outlineLevel="1">
      <c r="A1312" s="453"/>
      <c r="B1312" s="1454"/>
      <c r="C1312" s="51"/>
      <c r="D1312" s="4293"/>
      <c r="E1312" s="4293"/>
      <c r="F1312" s="4342" t="str">
        <f>$F$1306</f>
        <v>DFHP-SEER21-ROF_MF</v>
      </c>
      <c r="G1312" s="4342"/>
      <c r="H1312" s="4342"/>
      <c r="I1312" s="822"/>
      <c r="J1312" s="1790">
        <v>1119</v>
      </c>
      <c r="K1312" s="1442"/>
      <c r="L1312" s="929"/>
      <c r="Q1312" s="71" t="s">
        <v>2110</v>
      </c>
      <c r="R1312" s="71" t="s">
        <v>2110</v>
      </c>
      <c r="S1312" s="71">
        <v>7722</v>
      </c>
      <c r="T1312" s="71">
        <v>674</v>
      </c>
      <c r="U1312" s="52"/>
      <c r="V1312" s="4293"/>
      <c r="W1312" s="1396">
        <v>1119</v>
      </c>
      <c r="X1312" s="1396">
        <v>1119</v>
      </c>
      <c r="Y1312" s="1396">
        <v>1119</v>
      </c>
      <c r="Z1312" s="1396">
        <v>1119</v>
      </c>
      <c r="AA1312" s="1396">
        <v>1119</v>
      </c>
      <c r="AB1312" s="1396">
        <v>1119</v>
      </c>
      <c r="AC1312" s="1396">
        <v>1119</v>
      </c>
      <c r="AD1312" s="1396">
        <v>1119</v>
      </c>
      <c r="AE1312" s="1396">
        <v>1119</v>
      </c>
      <c r="AF1312" s="271">
        <f t="shared" si="198"/>
        <v>1119</v>
      </c>
      <c r="AG1312" s="1396"/>
      <c r="DG1312" s="573"/>
      <c r="DH1312" s="159"/>
      <c r="DI1312" s="1091"/>
    </row>
    <row r="1313" spans="1:113" hidden="1" outlineLevel="1">
      <c r="A1313" s="453"/>
      <c r="B1313" s="1454"/>
      <c r="C1313" s="51"/>
      <c r="D1313" s="4293"/>
      <c r="E1313" s="4293"/>
      <c r="F1313" s="4341" t="str">
        <f>$F$1307</f>
        <v>DFHP-SEER21-ROF_MF_CompE</v>
      </c>
      <c r="G1313" s="4341"/>
      <c r="H1313" s="4341"/>
      <c r="I1313" s="3335"/>
      <c r="J1313" s="3263">
        <v>510</v>
      </c>
      <c r="K1313" s="2962"/>
      <c r="L1313" s="3334" t="s">
        <v>2108</v>
      </c>
      <c r="Q1313" s="71" t="s">
        <v>2045</v>
      </c>
      <c r="R1313" s="71" t="s">
        <v>2045</v>
      </c>
      <c r="S1313" s="71">
        <f>2296+3670</f>
        <v>5966</v>
      </c>
      <c r="T1313" s="71"/>
      <c r="U1313" s="52"/>
      <c r="V1313" s="4293"/>
      <c r="W1313" s="3262">
        <v>1119</v>
      </c>
      <c r="X1313" s="3262">
        <v>1119</v>
      </c>
      <c r="Y1313" s="3265">
        <v>510</v>
      </c>
      <c r="Z1313" s="3262">
        <v>510</v>
      </c>
      <c r="AA1313" s="3262">
        <v>510</v>
      </c>
      <c r="AB1313" s="3262">
        <v>510</v>
      </c>
      <c r="AC1313" s="3262">
        <v>510</v>
      </c>
      <c r="AD1313" s="3262">
        <v>510</v>
      </c>
      <c r="AE1313" s="3262">
        <v>510</v>
      </c>
      <c r="AF1313" s="2236">
        <f t="shared" si="198"/>
        <v>510</v>
      </c>
      <c r="AG1313" s="1396"/>
      <c r="DG1313" s="573"/>
      <c r="DH1313" s="159"/>
      <c r="DI1313" s="1091"/>
    </row>
    <row r="1314" spans="1:113" hidden="1" outlineLevel="1">
      <c r="A1314" s="453"/>
      <c r="B1314" s="1454"/>
      <c r="C1314" s="51"/>
      <c r="D1314" s="4294" t="s">
        <v>2111</v>
      </c>
      <c r="E1314" s="4293" t="s">
        <v>2112</v>
      </c>
      <c r="F1314" s="4342" t="str">
        <f>$F$1302</f>
        <v>DFHP-SEER19-ROF_MF</v>
      </c>
      <c r="G1314" s="4342"/>
      <c r="H1314" s="4342"/>
      <c r="I1314" s="822"/>
      <c r="J1314" s="1795">
        <v>7.5</v>
      </c>
      <c r="K1314" s="1442"/>
      <c r="L1314" s="929" t="s">
        <v>1941</v>
      </c>
      <c r="S1314" s="52"/>
      <c r="T1314" s="209"/>
      <c r="U1314" s="52"/>
      <c r="V1314" s="4293" t="s">
        <v>2113</v>
      </c>
      <c r="W1314" s="1396">
        <v>8.1999999999999993</v>
      </c>
      <c r="X1314" s="1396">
        <v>8.1999999999999993</v>
      </c>
      <c r="Y1314" s="1396">
        <v>8.1999999999999993</v>
      </c>
      <c r="Z1314" s="1396">
        <v>8.1999999999999993</v>
      </c>
      <c r="AA1314" s="1396">
        <v>8.1999999999999993</v>
      </c>
      <c r="AB1314" s="1396">
        <v>8.1999999999999993</v>
      </c>
      <c r="AC1314" s="1396">
        <v>8.1999999999999993</v>
      </c>
      <c r="AD1314" s="1396">
        <v>8.1999999999999993</v>
      </c>
      <c r="AE1314" s="833">
        <v>8.6</v>
      </c>
      <c r="AF1314" s="271">
        <f t="shared" si="198"/>
        <v>7.5</v>
      </c>
      <c r="AG1314" s="1396"/>
      <c r="DG1314" s="573"/>
      <c r="DH1314" s="159"/>
      <c r="DI1314" s="1091"/>
    </row>
    <row r="1315" spans="1:113" hidden="1" outlineLevel="1">
      <c r="A1315" s="453"/>
      <c r="B1315" s="1454"/>
      <c r="C1315" s="51"/>
      <c r="D1315" s="4294"/>
      <c r="E1315" s="4293"/>
      <c r="F1315" s="4341" t="str">
        <f>$F$1303</f>
        <v>DFHP-SEER19-ROF_MF_CompE</v>
      </c>
      <c r="G1315" s="4341"/>
      <c r="H1315" s="4341"/>
      <c r="I1315" s="3335"/>
      <c r="J1315" s="2283">
        <v>7.5</v>
      </c>
      <c r="K1315" s="2962"/>
      <c r="L1315" s="3334" t="s">
        <v>1941</v>
      </c>
      <c r="R1315" s="1643" t="s">
        <v>1922</v>
      </c>
      <c r="S1315" s="1643" t="s">
        <v>969</v>
      </c>
      <c r="T1315" s="1643" t="s">
        <v>970</v>
      </c>
      <c r="U1315" s="52"/>
      <c r="V1315" s="4293"/>
      <c r="W1315" s="1396"/>
      <c r="X1315" s="1396"/>
      <c r="Y1315" s="3265">
        <v>8.1999999999999993</v>
      </c>
      <c r="Z1315" s="3262">
        <v>8.1999999999999993</v>
      </c>
      <c r="AA1315" s="3262">
        <v>8.1999999999999993</v>
      </c>
      <c r="AB1315" s="3262">
        <v>8.1999999999999993</v>
      </c>
      <c r="AC1315" s="3262">
        <v>8.1999999999999993</v>
      </c>
      <c r="AD1315" s="3262">
        <v>8.1999999999999993</v>
      </c>
      <c r="AE1315" s="3265">
        <v>8.6</v>
      </c>
      <c r="AF1315" s="2236">
        <f t="shared" si="198"/>
        <v>7.5</v>
      </c>
      <c r="AG1315" s="1396"/>
      <c r="DG1315" s="573"/>
      <c r="DH1315" s="159"/>
      <c r="DI1315" s="1091"/>
    </row>
    <row r="1316" spans="1:113" hidden="1" outlineLevel="1">
      <c r="A1316" s="453"/>
      <c r="B1316" s="1454"/>
      <c r="C1316" s="51"/>
      <c r="D1316" s="4294"/>
      <c r="E1316" s="4293"/>
      <c r="F1316" s="4342" t="str">
        <f>$F$1304</f>
        <v>DFHP-SEER20-ROF_MF</v>
      </c>
      <c r="G1316" s="4342"/>
      <c r="H1316" s="4342"/>
      <c r="I1316" s="822"/>
      <c r="J1316" s="1795">
        <v>7.5</v>
      </c>
      <c r="K1316" s="1442"/>
      <c r="L1316" s="929" t="s">
        <v>1941</v>
      </c>
      <c r="R1316" s="71" t="s">
        <v>1923</v>
      </c>
      <c r="S1316" s="260">
        <v>2.3128228708516586E-2</v>
      </c>
      <c r="T1316" s="71" t="s">
        <v>1924</v>
      </c>
      <c r="U1316" s="52"/>
      <c r="V1316" s="4293"/>
      <c r="W1316" s="1396">
        <v>8.1999999999999993</v>
      </c>
      <c r="X1316" s="1396">
        <v>8.1999999999999993</v>
      </c>
      <c r="Y1316" s="1396">
        <v>8.1999999999999993</v>
      </c>
      <c r="Z1316" s="1396">
        <v>8.1999999999999993</v>
      </c>
      <c r="AA1316" s="1396">
        <v>8.1999999999999993</v>
      </c>
      <c r="AB1316" s="1396">
        <v>8.1999999999999993</v>
      </c>
      <c r="AC1316" s="1396">
        <v>8.1999999999999993</v>
      </c>
      <c r="AD1316" s="1396">
        <v>8.1999999999999993</v>
      </c>
      <c r="AE1316" s="833">
        <v>8.6</v>
      </c>
      <c r="AF1316" s="271">
        <f t="shared" si="198"/>
        <v>7.5</v>
      </c>
      <c r="AG1316" s="1396"/>
      <c r="DG1316" s="573"/>
      <c r="DH1316" s="159"/>
      <c r="DI1316" s="1091"/>
    </row>
    <row r="1317" spans="1:113" hidden="1" outlineLevel="1">
      <c r="A1317" s="453"/>
      <c r="B1317" s="1454"/>
      <c r="C1317" s="51"/>
      <c r="D1317" s="4294"/>
      <c r="E1317" s="4293"/>
      <c r="F1317" s="4341" t="str">
        <f>$F$1305</f>
        <v>DFHP-SEER20-ROF_MF_CompE</v>
      </c>
      <c r="G1317" s="4341"/>
      <c r="H1317" s="4341"/>
      <c r="I1317" s="3335"/>
      <c r="J1317" s="2283">
        <v>7.5</v>
      </c>
      <c r="K1317" s="2962"/>
      <c r="L1317" s="3334" t="s">
        <v>1941</v>
      </c>
      <c r="R1317" s="71" t="s">
        <v>1925</v>
      </c>
      <c r="S1317" s="1378">
        <v>6</v>
      </c>
      <c r="T1317" s="71" t="s">
        <v>1926</v>
      </c>
      <c r="U1317" s="52"/>
      <c r="V1317" s="4293"/>
      <c r="W1317" s="1396"/>
      <c r="X1317" s="1396"/>
      <c r="Y1317" s="3265">
        <v>8.1999999999999993</v>
      </c>
      <c r="Z1317" s="3262">
        <v>8.1999999999999993</v>
      </c>
      <c r="AA1317" s="3262">
        <v>8.1999999999999993</v>
      </c>
      <c r="AB1317" s="3262">
        <v>8.1999999999999993</v>
      </c>
      <c r="AC1317" s="3262">
        <v>8.1999999999999993</v>
      </c>
      <c r="AD1317" s="3262">
        <v>8.1999999999999993</v>
      </c>
      <c r="AE1317" s="3265">
        <v>8.6</v>
      </c>
      <c r="AF1317" s="2236">
        <f t="shared" si="198"/>
        <v>7.5</v>
      </c>
      <c r="AG1317" s="1396"/>
      <c r="DG1317" s="573"/>
      <c r="DH1317" s="159"/>
      <c r="DI1317" s="1091"/>
    </row>
    <row r="1318" spans="1:113" hidden="1" outlineLevel="1">
      <c r="A1318" s="453"/>
      <c r="B1318" s="1454"/>
      <c r="C1318" s="51"/>
      <c r="D1318" s="4294"/>
      <c r="E1318" s="4293"/>
      <c r="F1318" s="4342" t="str">
        <f>$F$1306</f>
        <v>DFHP-SEER21-ROF_MF</v>
      </c>
      <c r="G1318" s="4342"/>
      <c r="H1318" s="4342"/>
      <c r="I1318" s="822"/>
      <c r="J1318" s="1795">
        <v>7.5</v>
      </c>
      <c r="K1318" s="1442"/>
      <c r="L1318" s="929" t="s">
        <v>1941</v>
      </c>
      <c r="R1318" s="71" t="s">
        <v>1927</v>
      </c>
      <c r="S1318" s="202">
        <f>(1-S1316)^(S1317-1)</f>
        <v>0.88958571378558426</v>
      </c>
      <c r="T1318" s="71" t="s">
        <v>1928</v>
      </c>
      <c r="U1318" s="52"/>
      <c r="V1318" s="4293"/>
      <c r="W1318" s="1396">
        <v>8.1999999999999993</v>
      </c>
      <c r="X1318" s="1396">
        <v>8.1999999999999993</v>
      </c>
      <c r="Y1318" s="1396">
        <v>8.1999999999999993</v>
      </c>
      <c r="Z1318" s="1396">
        <v>8.1999999999999993</v>
      </c>
      <c r="AA1318" s="1396">
        <v>8.1999999999999993</v>
      </c>
      <c r="AB1318" s="1396">
        <v>8.1999999999999993</v>
      </c>
      <c r="AC1318" s="1396">
        <v>8.1999999999999993</v>
      </c>
      <c r="AD1318" s="1396">
        <v>8.1999999999999993</v>
      </c>
      <c r="AE1318" s="833">
        <v>8.6</v>
      </c>
      <c r="AF1318" s="271">
        <f t="shared" si="198"/>
        <v>7.5</v>
      </c>
      <c r="AG1318" s="1396"/>
      <c r="DG1318" s="573"/>
      <c r="DH1318" s="159"/>
      <c r="DI1318" s="1091"/>
    </row>
    <row r="1319" spans="1:113" hidden="1" outlineLevel="1">
      <c r="A1319" s="453"/>
      <c r="B1319" s="1454"/>
      <c r="C1319" s="51"/>
      <c r="D1319" s="4294"/>
      <c r="E1319" s="4293"/>
      <c r="F1319" s="4341" t="str">
        <f>$F$1307</f>
        <v>DFHP-SEER21-ROF_MF_CompE</v>
      </c>
      <c r="G1319" s="4341"/>
      <c r="H1319" s="4341"/>
      <c r="I1319" s="3335"/>
      <c r="J1319" s="2283">
        <v>7.5</v>
      </c>
      <c r="K1319" s="2962"/>
      <c r="L1319" s="3334" t="s">
        <v>1941</v>
      </c>
      <c r="R1319" s="181"/>
      <c r="S1319" s="52"/>
      <c r="T1319" s="52"/>
      <c r="U1319" s="52"/>
      <c r="V1319" s="4293"/>
      <c r="W1319" s="1396"/>
      <c r="X1319" s="1396"/>
      <c r="Y1319" s="3265">
        <v>8.1999999999999993</v>
      </c>
      <c r="Z1319" s="3262">
        <v>8.1999999999999993</v>
      </c>
      <c r="AA1319" s="3262">
        <v>8.1999999999999993</v>
      </c>
      <c r="AB1319" s="3262">
        <v>8.1999999999999993</v>
      </c>
      <c r="AC1319" s="3262">
        <v>8.1999999999999993</v>
      </c>
      <c r="AD1319" s="3262">
        <v>8.1999999999999993</v>
      </c>
      <c r="AE1319" s="3265">
        <v>8.6</v>
      </c>
      <c r="AF1319" s="2236">
        <f t="shared" si="198"/>
        <v>7.5</v>
      </c>
      <c r="AG1319" s="1396"/>
      <c r="DG1319" s="573"/>
      <c r="DH1319" s="159"/>
      <c r="DI1319" s="1091"/>
    </row>
    <row r="1320" spans="1:113" hidden="1" outlineLevel="1">
      <c r="A1320" s="453"/>
      <c r="B1320" s="1454"/>
      <c r="C1320" s="51"/>
      <c r="D1320" s="4294" t="s">
        <v>2114</v>
      </c>
      <c r="E1320" s="4293" t="s">
        <v>2115</v>
      </c>
      <c r="F1320" s="4342" t="str">
        <f>$F$1302</f>
        <v>DFHP-SEER19-ROF_MF</v>
      </c>
      <c r="G1320" s="4342"/>
      <c r="H1320" s="4342"/>
      <c r="I1320" s="822"/>
      <c r="J1320" s="1757">
        <f>0.87*10</f>
        <v>8.6999999999999993</v>
      </c>
      <c r="K1320" s="1442"/>
      <c r="L1320" s="929" t="s">
        <v>2116</v>
      </c>
      <c r="R1320" s="181"/>
      <c r="S1320" s="52"/>
      <c r="T1320" s="52"/>
      <c r="U1320" s="52"/>
      <c r="V1320" s="4293" t="s">
        <v>2117</v>
      </c>
      <c r="W1320" s="1396">
        <v>10</v>
      </c>
      <c r="X1320" s="1396">
        <v>10</v>
      </c>
      <c r="Y1320" s="1396">
        <v>10</v>
      </c>
      <c r="Z1320" s="1396">
        <v>10</v>
      </c>
      <c r="AA1320" s="1396">
        <v>10</v>
      </c>
      <c r="AB1320" s="1396">
        <v>10</v>
      </c>
      <c r="AC1320" s="1396">
        <v>10</v>
      </c>
      <c r="AD1320" s="1396">
        <v>10</v>
      </c>
      <c r="AE1320" s="1396">
        <v>10</v>
      </c>
      <c r="AF1320" s="271">
        <f t="shared" si="198"/>
        <v>8.6999999999999993</v>
      </c>
      <c r="AG1320" s="1396"/>
      <c r="DG1320" s="573"/>
      <c r="DH1320" s="159"/>
      <c r="DI1320" s="1091"/>
    </row>
    <row r="1321" spans="1:113" hidden="1" outlineLevel="1">
      <c r="A1321" s="453"/>
      <c r="B1321" s="1454"/>
      <c r="C1321" s="51"/>
      <c r="D1321" s="4294"/>
      <c r="E1321" s="4293"/>
      <c r="F1321" s="4341" t="str">
        <f>$F$1303</f>
        <v>DFHP-SEER19-ROF_MF_CompE</v>
      </c>
      <c r="G1321" s="4341"/>
      <c r="H1321" s="4341"/>
      <c r="I1321" s="3335"/>
      <c r="J1321" s="3015">
        <f>0.87*10</f>
        <v>8.6999999999999993</v>
      </c>
      <c r="K1321" s="2962"/>
      <c r="L1321" s="3334"/>
      <c r="R1321" s="181"/>
      <c r="S1321" s="52"/>
      <c r="T1321" s="52"/>
      <c r="U1321" s="52"/>
      <c r="V1321" s="4293"/>
      <c r="W1321" s="1396"/>
      <c r="X1321" s="1396"/>
      <c r="Y1321" s="3265">
        <v>10</v>
      </c>
      <c r="Z1321" s="3262">
        <v>10</v>
      </c>
      <c r="AA1321" s="3262">
        <v>10</v>
      </c>
      <c r="AB1321" s="3262">
        <v>10</v>
      </c>
      <c r="AC1321" s="3262">
        <v>10</v>
      </c>
      <c r="AD1321" s="3262">
        <v>10</v>
      </c>
      <c r="AE1321" s="3262">
        <v>10</v>
      </c>
      <c r="AF1321" s="2236">
        <f t="shared" si="198"/>
        <v>8.6999999999999993</v>
      </c>
      <c r="AG1321" s="1396"/>
      <c r="DG1321" s="573"/>
      <c r="DH1321" s="159"/>
      <c r="DI1321" s="1091"/>
    </row>
    <row r="1322" spans="1:113" hidden="1" outlineLevel="1">
      <c r="A1322" s="453"/>
      <c r="B1322" s="1454"/>
      <c r="C1322" s="51"/>
      <c r="D1322" s="4294"/>
      <c r="E1322" s="4293"/>
      <c r="F1322" s="4342" t="str">
        <f>$F$1304</f>
        <v>DFHP-SEER20-ROF_MF</v>
      </c>
      <c r="G1322" s="4342"/>
      <c r="H1322" s="4342"/>
      <c r="I1322" s="822"/>
      <c r="J1322" s="1757">
        <f>0.87*10.4</f>
        <v>9.048</v>
      </c>
      <c r="K1322" s="1442"/>
      <c r="L1322" s="929" t="s">
        <v>2116</v>
      </c>
      <c r="R1322" s="181"/>
      <c r="S1322" s="52"/>
      <c r="T1322" s="52"/>
      <c r="U1322" s="52"/>
      <c r="V1322" s="4293"/>
      <c r="W1322" s="1396">
        <v>10.4</v>
      </c>
      <c r="X1322" s="1396">
        <v>10.4</v>
      </c>
      <c r="Y1322" s="1396">
        <v>10.4</v>
      </c>
      <c r="Z1322" s="1396">
        <v>10.4</v>
      </c>
      <c r="AA1322" s="1396">
        <v>10.4</v>
      </c>
      <c r="AB1322" s="1396">
        <v>10.4</v>
      </c>
      <c r="AC1322" s="1396">
        <v>10.4</v>
      </c>
      <c r="AD1322" s="1396">
        <v>10.4</v>
      </c>
      <c r="AE1322" s="1396">
        <v>10.4</v>
      </c>
      <c r="AF1322" s="271">
        <f t="shared" si="198"/>
        <v>9.048</v>
      </c>
      <c r="AG1322" s="1396"/>
      <c r="DG1322" s="573"/>
      <c r="DH1322" s="159"/>
      <c r="DI1322" s="1091"/>
    </row>
    <row r="1323" spans="1:113" hidden="1" outlineLevel="1">
      <c r="A1323" s="453"/>
      <c r="B1323" s="1454"/>
      <c r="C1323" s="51"/>
      <c r="D1323" s="4294"/>
      <c r="E1323" s="4293"/>
      <c r="F1323" s="4341" t="str">
        <f>$F$1305</f>
        <v>DFHP-SEER20-ROF_MF_CompE</v>
      </c>
      <c r="G1323" s="4341"/>
      <c r="H1323" s="4341"/>
      <c r="I1323" s="3335"/>
      <c r="J1323" s="3015">
        <f>0.87*10.4</f>
        <v>9.048</v>
      </c>
      <c r="K1323" s="2962"/>
      <c r="L1323" s="3334"/>
      <c r="R1323" s="181"/>
      <c r="S1323" s="52"/>
      <c r="T1323" s="52"/>
      <c r="U1323" s="52"/>
      <c r="V1323" s="4293"/>
      <c r="W1323" s="1396"/>
      <c r="X1323" s="1396"/>
      <c r="Y1323" s="3265">
        <v>10.4</v>
      </c>
      <c r="Z1323" s="3262">
        <v>10.4</v>
      </c>
      <c r="AA1323" s="3262">
        <v>10.4</v>
      </c>
      <c r="AB1323" s="3262">
        <v>10.4</v>
      </c>
      <c r="AC1323" s="3262">
        <v>10.4</v>
      </c>
      <c r="AD1323" s="3262">
        <v>10.4</v>
      </c>
      <c r="AE1323" s="3262">
        <v>10.4</v>
      </c>
      <c r="AF1323" s="2236">
        <f t="shared" si="198"/>
        <v>9.048</v>
      </c>
      <c r="AG1323" s="1396"/>
      <c r="DG1323" s="573"/>
      <c r="DH1323" s="159"/>
      <c r="DI1323" s="1091"/>
    </row>
    <row r="1324" spans="1:113" hidden="1" outlineLevel="1">
      <c r="A1324" s="453"/>
      <c r="B1324" s="1454"/>
      <c r="C1324" s="51"/>
      <c r="D1324" s="4294"/>
      <c r="E1324" s="4293"/>
      <c r="F1324" s="4342" t="str">
        <f>$F$1306</f>
        <v>DFHP-SEER21-ROF_MF</v>
      </c>
      <c r="G1324" s="4342"/>
      <c r="H1324" s="4342"/>
      <c r="I1324" s="822"/>
      <c r="J1324" s="1757">
        <f>0.87*10.8</f>
        <v>9.3960000000000008</v>
      </c>
      <c r="K1324" s="1442"/>
      <c r="L1324" s="929" t="s">
        <v>2116</v>
      </c>
      <c r="R1324" s="181"/>
      <c r="S1324" s="52"/>
      <c r="T1324" s="52"/>
      <c r="U1324" s="52"/>
      <c r="V1324" s="4293"/>
      <c r="W1324" s="1396">
        <v>10.8</v>
      </c>
      <c r="X1324" s="1396">
        <v>10.8</v>
      </c>
      <c r="Y1324" s="1396">
        <v>10.8</v>
      </c>
      <c r="Z1324" s="1396">
        <v>10.8</v>
      </c>
      <c r="AA1324" s="1396">
        <v>10.8</v>
      </c>
      <c r="AB1324" s="1396">
        <v>10.8</v>
      </c>
      <c r="AC1324" s="1396">
        <v>10.8</v>
      </c>
      <c r="AD1324" s="1396">
        <v>10.8</v>
      </c>
      <c r="AE1324" s="1396">
        <v>10.8</v>
      </c>
      <c r="AF1324" s="271">
        <f t="shared" si="198"/>
        <v>9.3960000000000008</v>
      </c>
      <c r="AG1324" s="1396"/>
      <c r="DG1324" s="573"/>
      <c r="DH1324" s="159"/>
      <c r="DI1324" s="1091"/>
    </row>
    <row r="1325" spans="1:113" hidden="1" outlineLevel="1">
      <c r="A1325" s="453"/>
      <c r="B1325" s="1454"/>
      <c r="C1325" s="51"/>
      <c r="D1325" s="4294"/>
      <c r="E1325" s="4293"/>
      <c r="F1325" s="4341" t="str">
        <f>$F$1307</f>
        <v>DFHP-SEER21-ROF_MF_CompE</v>
      </c>
      <c r="G1325" s="4341"/>
      <c r="H1325" s="4341"/>
      <c r="I1325" s="3335"/>
      <c r="J1325" s="3015">
        <f>0.87*10.8</f>
        <v>9.3960000000000008</v>
      </c>
      <c r="K1325" s="2962"/>
      <c r="L1325" s="3334"/>
      <c r="R1325" s="181"/>
      <c r="S1325" s="52"/>
      <c r="T1325" s="52"/>
      <c r="U1325" s="52"/>
      <c r="V1325" s="4293"/>
      <c r="W1325" s="1396"/>
      <c r="X1325" s="1396"/>
      <c r="Y1325" s="3265">
        <v>10.8</v>
      </c>
      <c r="Z1325" s="3262">
        <v>10.8</v>
      </c>
      <c r="AA1325" s="3262">
        <v>10.8</v>
      </c>
      <c r="AB1325" s="3262">
        <v>10.8</v>
      </c>
      <c r="AC1325" s="3262">
        <v>10.8</v>
      </c>
      <c r="AD1325" s="3262">
        <v>10.8</v>
      </c>
      <c r="AE1325" s="3262">
        <v>10.8</v>
      </c>
      <c r="AF1325" s="2236">
        <f t="shared" si="198"/>
        <v>9.3960000000000008</v>
      </c>
      <c r="AG1325" s="1396"/>
      <c r="DG1325" s="573"/>
      <c r="DH1325" s="159"/>
      <c r="DI1325" s="1091"/>
    </row>
    <row r="1326" spans="1:113" hidden="1" outlineLevel="1">
      <c r="A1326" s="453"/>
      <c r="B1326" s="1454"/>
      <c r="C1326" s="51"/>
      <c r="D1326" s="4293" t="s">
        <v>2118</v>
      </c>
      <c r="E1326" s="4293" t="s">
        <v>2119</v>
      </c>
      <c r="F1326" s="4342" t="str">
        <f>$F$1302</f>
        <v>DFHP-SEER19-ROF_MF</v>
      </c>
      <c r="G1326" s="4342"/>
      <c r="H1326" s="4342"/>
      <c r="I1326" s="822"/>
      <c r="J1326" s="1754">
        <v>40800</v>
      </c>
      <c r="K1326" s="1442">
        <f t="shared" ref="K1326:K1331" si="200">J1326/12000</f>
        <v>3.4</v>
      </c>
      <c r="L1326" s="929" t="s">
        <v>2104</v>
      </c>
      <c r="R1326" s="181"/>
      <c r="S1326" s="52"/>
      <c r="T1326" s="52"/>
      <c r="U1326" s="52"/>
      <c r="V1326" s="4293" t="s">
        <v>2118</v>
      </c>
      <c r="W1326" s="1396">
        <f>$K1326*12000</f>
        <v>40800</v>
      </c>
      <c r="X1326" s="1396">
        <f>$K1326*12000</f>
        <v>40800</v>
      </c>
      <c r="Y1326" s="1396">
        <v>40800</v>
      </c>
      <c r="Z1326" s="1396">
        <v>40800</v>
      </c>
      <c r="AA1326" s="1396">
        <v>40800</v>
      </c>
      <c r="AB1326" s="1396">
        <v>40800</v>
      </c>
      <c r="AC1326" s="1396">
        <v>40800</v>
      </c>
      <c r="AD1326" s="1396">
        <v>40800</v>
      </c>
      <c r="AE1326" s="1396">
        <v>40800</v>
      </c>
      <c r="AF1326" s="271">
        <f t="shared" si="198"/>
        <v>40800</v>
      </c>
      <c r="AG1326" s="1396"/>
      <c r="DG1326" s="573"/>
      <c r="DH1326" s="159"/>
      <c r="DI1326" s="1091"/>
    </row>
    <row r="1327" spans="1:113" hidden="1" outlineLevel="1">
      <c r="A1327" s="453"/>
      <c r="B1327" s="1454"/>
      <c r="C1327" s="51"/>
      <c r="D1327" s="4293"/>
      <c r="E1327" s="4293"/>
      <c r="F1327" s="4341" t="str">
        <f>$F$1303</f>
        <v>DFHP-SEER19-ROF_MF_CompE</v>
      </c>
      <c r="G1327" s="4341"/>
      <c r="H1327" s="4341"/>
      <c r="I1327" s="3335"/>
      <c r="J1327" s="3375">
        <v>40800</v>
      </c>
      <c r="K1327" s="2962">
        <f t="shared" si="200"/>
        <v>3.4</v>
      </c>
      <c r="L1327" s="3334"/>
      <c r="R1327" s="181"/>
      <c r="S1327" s="52"/>
      <c r="T1327" s="52"/>
      <c r="U1327" s="52"/>
      <c r="V1327" s="4293"/>
      <c r="W1327" s="1396"/>
      <c r="X1327" s="1396"/>
      <c r="Y1327" s="3262">
        <v>40800</v>
      </c>
      <c r="Z1327" s="3262">
        <v>40800</v>
      </c>
      <c r="AA1327" s="3262">
        <v>40800</v>
      </c>
      <c r="AB1327" s="3262">
        <v>40800</v>
      </c>
      <c r="AC1327" s="3262">
        <v>40800</v>
      </c>
      <c r="AD1327" s="3262">
        <v>40800</v>
      </c>
      <c r="AE1327" s="3262">
        <v>40800</v>
      </c>
      <c r="AF1327" s="2236">
        <f t="shared" si="198"/>
        <v>40800</v>
      </c>
      <c r="AG1327" s="1396"/>
      <c r="DG1327" s="573"/>
      <c r="DH1327" s="159"/>
      <c r="DI1327" s="1091"/>
    </row>
    <row r="1328" spans="1:113" hidden="1" outlineLevel="1">
      <c r="A1328" s="453"/>
      <c r="B1328" s="1454"/>
      <c r="C1328" s="51"/>
      <c r="D1328" s="4293"/>
      <c r="E1328" s="4293"/>
      <c r="F1328" s="4342" t="str">
        <f>$F$1304</f>
        <v>DFHP-SEER20-ROF_MF</v>
      </c>
      <c r="G1328" s="4342"/>
      <c r="H1328" s="4342"/>
      <c r="I1328" s="822"/>
      <c r="J1328" s="1754">
        <v>52800.000000000007</v>
      </c>
      <c r="K1328" s="1442">
        <f t="shared" si="200"/>
        <v>4.4000000000000004</v>
      </c>
      <c r="L1328" s="929" t="s">
        <v>2104</v>
      </c>
      <c r="R1328" s="181"/>
      <c r="S1328" s="52"/>
      <c r="T1328" s="52"/>
      <c r="U1328" s="52"/>
      <c r="V1328" s="4293"/>
      <c r="W1328" s="1396">
        <f t="shared" ref="W1328:X1330" si="201">$K1328*12000</f>
        <v>52800.000000000007</v>
      </c>
      <c r="X1328" s="1396">
        <f t="shared" si="201"/>
        <v>52800.000000000007</v>
      </c>
      <c r="Y1328" s="1396">
        <v>52800.000000000007</v>
      </c>
      <c r="Z1328" s="1396">
        <v>52800.000000000007</v>
      </c>
      <c r="AA1328" s="1396">
        <v>52800.000000000007</v>
      </c>
      <c r="AB1328" s="1396">
        <v>52800.000000000007</v>
      </c>
      <c r="AC1328" s="1396">
        <v>52800.000000000007</v>
      </c>
      <c r="AD1328" s="1396">
        <v>52800.000000000007</v>
      </c>
      <c r="AE1328" s="1396">
        <v>52800.000000000007</v>
      </c>
      <c r="AF1328" s="271">
        <f t="shared" si="198"/>
        <v>52800.000000000007</v>
      </c>
      <c r="AG1328" s="1396"/>
      <c r="DG1328" s="573"/>
      <c r="DH1328" s="159"/>
      <c r="DI1328" s="1091"/>
    </row>
    <row r="1329" spans="1:113" hidden="1" outlineLevel="1">
      <c r="A1329" s="453"/>
      <c r="B1329" s="1454"/>
      <c r="C1329" s="51"/>
      <c r="D1329" s="4293"/>
      <c r="E1329" s="4293"/>
      <c r="F1329" s="4341" t="str">
        <f>$F$1305</f>
        <v>DFHP-SEER20-ROF_MF_CompE</v>
      </c>
      <c r="G1329" s="4341"/>
      <c r="H1329" s="4341"/>
      <c r="I1329" s="3335"/>
      <c r="J1329" s="3375">
        <v>52800.000000000007</v>
      </c>
      <c r="K1329" s="2962">
        <f>J1329/12000</f>
        <v>4.4000000000000004</v>
      </c>
      <c r="L1329" s="3334"/>
      <c r="R1329" s="181"/>
      <c r="S1329" s="52"/>
      <c r="T1329" s="52"/>
      <c r="U1329" s="52"/>
      <c r="V1329" s="4293"/>
      <c r="W1329" s="1396"/>
      <c r="X1329" s="1396"/>
      <c r="Y1329" s="3262">
        <v>52800.000000000007</v>
      </c>
      <c r="Z1329" s="3262">
        <v>52800.000000000007</v>
      </c>
      <c r="AA1329" s="3262">
        <v>52800.000000000007</v>
      </c>
      <c r="AB1329" s="3262">
        <v>52800.000000000007</v>
      </c>
      <c r="AC1329" s="3262">
        <v>52800.000000000007</v>
      </c>
      <c r="AD1329" s="3262">
        <v>52800.000000000007</v>
      </c>
      <c r="AE1329" s="3262">
        <v>52800.000000000007</v>
      </c>
      <c r="AF1329" s="2236">
        <f t="shared" si="198"/>
        <v>52800.000000000007</v>
      </c>
      <c r="AG1329" s="1396"/>
      <c r="DG1329" s="573"/>
      <c r="DH1329" s="159"/>
      <c r="DI1329" s="1091"/>
    </row>
    <row r="1330" spans="1:113" hidden="1" outlineLevel="1">
      <c r="A1330" s="453"/>
      <c r="B1330" s="1454"/>
      <c r="C1330" s="51"/>
      <c r="D1330" s="4293"/>
      <c r="E1330" s="4293"/>
      <c r="F1330" s="4342" t="str">
        <f>$F$1306</f>
        <v>DFHP-SEER21-ROF_MF</v>
      </c>
      <c r="G1330" s="4342"/>
      <c r="H1330" s="4342"/>
      <c r="I1330" s="822"/>
      <c r="J1330" s="1754">
        <v>64800.000000000007</v>
      </c>
      <c r="K1330" s="1442">
        <f t="shared" si="200"/>
        <v>5.4</v>
      </c>
      <c r="L1330" s="929" t="s">
        <v>2104</v>
      </c>
      <c r="R1330" s="181"/>
      <c r="S1330" s="52"/>
      <c r="T1330" s="52"/>
      <c r="U1330" s="52"/>
      <c r="V1330" s="4293"/>
      <c r="W1330" s="1396">
        <f t="shared" si="201"/>
        <v>64800.000000000007</v>
      </c>
      <c r="X1330" s="1396">
        <f t="shared" si="201"/>
        <v>64800.000000000007</v>
      </c>
      <c r="Y1330" s="1396">
        <v>64800.000000000007</v>
      </c>
      <c r="Z1330" s="1396">
        <v>64800.000000000007</v>
      </c>
      <c r="AA1330" s="1396">
        <v>64800.000000000007</v>
      </c>
      <c r="AB1330" s="1396">
        <v>64800.000000000007</v>
      </c>
      <c r="AC1330" s="1396">
        <v>64800.000000000007</v>
      </c>
      <c r="AD1330" s="1396">
        <v>64800.000000000007</v>
      </c>
      <c r="AE1330" s="1396">
        <v>64800.000000000007</v>
      </c>
      <c r="AF1330" s="271">
        <f t="shared" si="198"/>
        <v>64800.000000000007</v>
      </c>
      <c r="AG1330" s="1396"/>
      <c r="DG1330" s="573"/>
      <c r="DH1330" s="159"/>
      <c r="DI1330" s="1091"/>
    </row>
    <row r="1331" spans="1:113" hidden="1" outlineLevel="1">
      <c r="A1331" s="453"/>
      <c r="B1331" s="1454"/>
      <c r="C1331" s="51"/>
      <c r="D1331" s="4293"/>
      <c r="E1331" s="4293"/>
      <c r="F1331" s="4341" t="str">
        <f>$F$1307</f>
        <v>DFHP-SEER21-ROF_MF_CompE</v>
      </c>
      <c r="G1331" s="4341"/>
      <c r="H1331" s="4341"/>
      <c r="I1331" s="3335"/>
      <c r="J1331" s="3375">
        <v>64800.000000000007</v>
      </c>
      <c r="K1331" s="2962">
        <f t="shared" si="200"/>
        <v>5.4</v>
      </c>
      <c r="L1331" s="3334"/>
      <c r="R1331" s="181"/>
      <c r="S1331" s="52"/>
      <c r="T1331" s="52"/>
      <c r="U1331" s="52"/>
      <c r="V1331" s="4293"/>
      <c r="W1331" s="1396"/>
      <c r="X1331" s="1396"/>
      <c r="Y1331" s="3262">
        <v>64800.000000000007</v>
      </c>
      <c r="Z1331" s="3262">
        <v>64800.000000000007</v>
      </c>
      <c r="AA1331" s="3262">
        <v>64800.000000000007</v>
      </c>
      <c r="AB1331" s="3262">
        <v>64800.000000000007</v>
      </c>
      <c r="AC1331" s="3262">
        <v>64800.000000000007</v>
      </c>
      <c r="AD1331" s="3262">
        <v>64800.000000000007</v>
      </c>
      <c r="AE1331" s="3262">
        <v>64800.000000000007</v>
      </c>
      <c r="AF1331" s="2236">
        <f t="shared" si="198"/>
        <v>64800.000000000007</v>
      </c>
      <c r="AG1331" s="1396"/>
      <c r="DG1331" s="573"/>
      <c r="DH1331" s="159"/>
      <c r="DI1331" s="1091"/>
    </row>
    <row r="1332" spans="1:113" hidden="1" outlineLevel="1">
      <c r="A1332" s="453"/>
      <c r="B1332" s="1454"/>
      <c r="C1332" s="51"/>
      <c r="D1332" s="4293" t="s">
        <v>2120</v>
      </c>
      <c r="E1332" s="4293" t="s">
        <v>2121</v>
      </c>
      <c r="F1332" s="4342" t="str">
        <f>$F$1302</f>
        <v>DFHP-SEER19-ROF_MF</v>
      </c>
      <c r="G1332" s="4342"/>
      <c r="H1332" s="4342"/>
      <c r="I1332" s="822"/>
      <c r="J1332" s="1790">
        <v>869</v>
      </c>
      <c r="K1332" s="1442"/>
      <c r="L1332" s="929" t="s">
        <v>2065</v>
      </c>
      <c r="R1332" s="181"/>
      <c r="S1332" s="52"/>
      <c r="T1332" s="52"/>
      <c r="U1332" s="52"/>
      <c r="V1332" s="4293" t="s">
        <v>2120</v>
      </c>
      <c r="W1332" s="1396">
        <v>869</v>
      </c>
      <c r="X1332" s="1396">
        <v>869</v>
      </c>
      <c r="Y1332" s="1396">
        <v>869</v>
      </c>
      <c r="Z1332" s="1396">
        <v>869</v>
      </c>
      <c r="AA1332" s="1396">
        <v>869</v>
      </c>
      <c r="AB1332" s="1396">
        <v>869</v>
      </c>
      <c r="AC1332" s="1396">
        <v>869</v>
      </c>
      <c r="AD1332" s="1396">
        <v>869</v>
      </c>
      <c r="AE1332" s="1396">
        <v>869</v>
      </c>
      <c r="AF1332" s="271">
        <f t="shared" si="198"/>
        <v>869</v>
      </c>
      <c r="AG1332" s="1396"/>
      <c r="DG1332" s="573"/>
      <c r="DH1332" s="159"/>
      <c r="DI1332" s="1091"/>
    </row>
    <row r="1333" spans="1:113" hidden="1" outlineLevel="1">
      <c r="A1333" s="453"/>
      <c r="B1333" s="1454"/>
      <c r="C1333" s="51"/>
      <c r="D1333" s="4293"/>
      <c r="E1333" s="4293"/>
      <c r="F1333" s="4341" t="str">
        <f>$F$1303</f>
        <v>DFHP-SEER19-ROF_MF_CompE</v>
      </c>
      <c r="G1333" s="4341"/>
      <c r="H1333" s="4341"/>
      <c r="I1333" s="3335"/>
      <c r="J1333" s="3263">
        <v>632</v>
      </c>
      <c r="K1333" s="2962"/>
      <c r="L1333" s="3334" t="s">
        <v>2108</v>
      </c>
      <c r="R1333" s="181"/>
      <c r="S1333" s="52"/>
      <c r="T1333" s="52"/>
      <c r="U1333" s="52"/>
      <c r="V1333" s="4293"/>
      <c r="W1333" s="1396"/>
      <c r="X1333" s="1396"/>
      <c r="Y1333" s="3265">
        <v>632</v>
      </c>
      <c r="Z1333" s="3262">
        <v>632</v>
      </c>
      <c r="AA1333" s="3262">
        <v>632</v>
      </c>
      <c r="AB1333" s="3262">
        <v>632</v>
      </c>
      <c r="AC1333" s="3262">
        <v>632</v>
      </c>
      <c r="AD1333" s="3262">
        <v>632</v>
      </c>
      <c r="AE1333" s="3262">
        <v>632</v>
      </c>
      <c r="AF1333" s="2236">
        <f t="shared" si="198"/>
        <v>632</v>
      </c>
      <c r="AG1333" s="1396"/>
      <c r="DG1333" s="573"/>
      <c r="DH1333" s="159"/>
      <c r="DI1333" s="1091"/>
    </row>
    <row r="1334" spans="1:113" hidden="1" outlineLevel="1">
      <c r="A1334" s="453"/>
      <c r="B1334" s="1454"/>
      <c r="C1334" s="51"/>
      <c r="D1334" s="4293"/>
      <c r="E1334" s="4293"/>
      <c r="F1334" s="4342" t="str">
        <f>$F$1304</f>
        <v>DFHP-SEER20-ROF_MF</v>
      </c>
      <c r="G1334" s="4342"/>
      <c r="H1334" s="4342"/>
      <c r="I1334" s="822"/>
      <c r="J1334" s="1790">
        <v>869</v>
      </c>
      <c r="K1334" s="1442"/>
      <c r="L1334" s="929" t="s">
        <v>2065</v>
      </c>
      <c r="R1334" s="181"/>
      <c r="S1334" s="52"/>
      <c r="T1334" s="52"/>
      <c r="U1334" s="52"/>
      <c r="V1334" s="4293"/>
      <c r="W1334" s="1396">
        <v>869</v>
      </c>
      <c r="X1334" s="1396">
        <v>869</v>
      </c>
      <c r="Y1334" s="1396">
        <v>869</v>
      </c>
      <c r="Z1334" s="1396">
        <v>869</v>
      </c>
      <c r="AA1334" s="1396">
        <v>869</v>
      </c>
      <c r="AB1334" s="1396">
        <v>869</v>
      </c>
      <c r="AC1334" s="1396">
        <v>869</v>
      </c>
      <c r="AD1334" s="1396">
        <v>869</v>
      </c>
      <c r="AE1334" s="1396">
        <v>869</v>
      </c>
      <c r="AF1334" s="271">
        <f t="shared" ref="AF1334:AF1367" si="202">IF(J1334&lt;&gt;"",J1334,"")</f>
        <v>869</v>
      </c>
      <c r="AG1334" s="1396"/>
      <c r="DG1334" s="573"/>
      <c r="DH1334" s="159"/>
      <c r="DI1334" s="1091"/>
    </row>
    <row r="1335" spans="1:113" hidden="1" outlineLevel="1">
      <c r="A1335" s="453"/>
      <c r="B1335" s="1454"/>
      <c r="C1335" s="51"/>
      <c r="D1335" s="4293"/>
      <c r="E1335" s="4293"/>
      <c r="F1335" s="4341" t="str">
        <f>$F$1305</f>
        <v>DFHP-SEER20-ROF_MF_CompE</v>
      </c>
      <c r="G1335" s="4341"/>
      <c r="H1335" s="4341"/>
      <c r="I1335" s="3335"/>
      <c r="J1335" s="3263">
        <v>632</v>
      </c>
      <c r="K1335" s="2962"/>
      <c r="L1335" s="3334" t="s">
        <v>2108</v>
      </c>
      <c r="R1335" s="181"/>
      <c r="S1335" s="52"/>
      <c r="T1335" s="52"/>
      <c r="U1335" s="52"/>
      <c r="V1335" s="4293"/>
      <c r="W1335" s="1396"/>
      <c r="X1335" s="1396"/>
      <c r="Y1335" s="3265">
        <v>632</v>
      </c>
      <c r="Z1335" s="3262">
        <v>632</v>
      </c>
      <c r="AA1335" s="3262">
        <v>632</v>
      </c>
      <c r="AB1335" s="3262">
        <v>632</v>
      </c>
      <c r="AC1335" s="3262">
        <v>632</v>
      </c>
      <c r="AD1335" s="3262">
        <v>632</v>
      </c>
      <c r="AE1335" s="3262">
        <v>632</v>
      </c>
      <c r="AF1335" s="2236">
        <f t="shared" si="202"/>
        <v>632</v>
      </c>
      <c r="AG1335" s="1396"/>
      <c r="DG1335" s="573"/>
      <c r="DH1335" s="159"/>
      <c r="DI1335" s="1091"/>
    </row>
    <row r="1336" spans="1:113" hidden="1" outlineLevel="1">
      <c r="A1336" s="453"/>
      <c r="B1336" s="1454"/>
      <c r="C1336" s="51"/>
      <c r="D1336" s="4293"/>
      <c r="E1336" s="4293"/>
      <c r="F1336" s="4342" t="str">
        <f>$F$1306</f>
        <v>DFHP-SEER21-ROF_MF</v>
      </c>
      <c r="G1336" s="4342"/>
      <c r="H1336" s="4342"/>
      <c r="I1336" s="822"/>
      <c r="J1336" s="1790">
        <v>869</v>
      </c>
      <c r="K1336" s="1442"/>
      <c r="L1336" s="929" t="s">
        <v>2065</v>
      </c>
      <c r="R1336" s="181"/>
      <c r="S1336" s="52"/>
      <c r="T1336" s="52"/>
      <c r="U1336" s="52"/>
      <c r="V1336" s="4293"/>
      <c r="W1336" s="1396">
        <v>869</v>
      </c>
      <c r="X1336" s="1396">
        <v>869</v>
      </c>
      <c r="Y1336" s="1396">
        <v>869</v>
      </c>
      <c r="Z1336" s="1396">
        <v>869</v>
      </c>
      <c r="AA1336" s="1396">
        <v>869</v>
      </c>
      <c r="AB1336" s="1396">
        <v>869</v>
      </c>
      <c r="AC1336" s="1396">
        <v>869</v>
      </c>
      <c r="AD1336" s="1396">
        <v>869</v>
      </c>
      <c r="AE1336" s="1396">
        <v>869</v>
      </c>
      <c r="AF1336" s="271">
        <f t="shared" si="202"/>
        <v>869</v>
      </c>
      <c r="AG1336" s="1396"/>
      <c r="DG1336" s="573"/>
      <c r="DH1336" s="159"/>
      <c r="DI1336" s="1091"/>
    </row>
    <row r="1337" spans="1:113" hidden="1" outlineLevel="1">
      <c r="A1337" s="453"/>
      <c r="B1337" s="1454"/>
      <c r="C1337" s="51"/>
      <c r="D1337" s="4293"/>
      <c r="E1337" s="4293"/>
      <c r="F1337" s="4341" t="str">
        <f>$F$1307</f>
        <v>DFHP-SEER21-ROF_MF_CompE</v>
      </c>
      <c r="G1337" s="4341"/>
      <c r="H1337" s="4341"/>
      <c r="I1337" s="3335"/>
      <c r="J1337" s="3263">
        <v>632</v>
      </c>
      <c r="K1337" s="2962"/>
      <c r="L1337" s="3334" t="s">
        <v>2108</v>
      </c>
      <c r="R1337" s="181"/>
      <c r="S1337" s="52"/>
      <c r="T1337" s="52"/>
      <c r="U1337" s="52"/>
      <c r="V1337" s="4293"/>
      <c r="W1337" s="1396"/>
      <c r="X1337" s="1396"/>
      <c r="Y1337" s="3265">
        <v>632</v>
      </c>
      <c r="Z1337" s="3262">
        <v>632</v>
      </c>
      <c r="AA1337" s="3262">
        <v>632</v>
      </c>
      <c r="AB1337" s="3262">
        <v>632</v>
      </c>
      <c r="AC1337" s="3262">
        <v>632</v>
      </c>
      <c r="AD1337" s="3262">
        <v>632</v>
      </c>
      <c r="AE1337" s="3262">
        <v>632</v>
      </c>
      <c r="AF1337" s="2236">
        <f t="shared" si="202"/>
        <v>632</v>
      </c>
      <c r="AG1337" s="1396"/>
      <c r="DG1337" s="573"/>
      <c r="DH1337" s="159"/>
      <c r="DI1337" s="1091"/>
    </row>
    <row r="1338" spans="1:113" hidden="1" outlineLevel="1">
      <c r="A1338" s="453"/>
      <c r="B1338" s="1454"/>
      <c r="C1338" s="51"/>
      <c r="D1338" s="4294" t="s">
        <v>2122</v>
      </c>
      <c r="E1338" s="4293" t="s">
        <v>2123</v>
      </c>
      <c r="F1338" s="4342" t="str">
        <f>$F$1302</f>
        <v>DFHP-SEER19-ROF_MF</v>
      </c>
      <c r="G1338" s="4342"/>
      <c r="H1338" s="4342"/>
      <c r="I1338" s="822"/>
      <c r="J1338" s="1795">
        <v>14.3</v>
      </c>
      <c r="K1338" s="1442"/>
      <c r="L1338" s="929" t="s">
        <v>1941</v>
      </c>
      <c r="R1338" s="181"/>
      <c r="S1338" s="52"/>
      <c r="T1338" s="52"/>
      <c r="U1338" s="52"/>
      <c r="V1338" s="4293" t="s">
        <v>2124</v>
      </c>
      <c r="W1338" s="1396">
        <v>14</v>
      </c>
      <c r="X1338" s="1396">
        <v>14</v>
      </c>
      <c r="Y1338" s="1396">
        <v>14</v>
      </c>
      <c r="Z1338" s="1396">
        <v>14</v>
      </c>
      <c r="AA1338" s="1396">
        <v>14</v>
      </c>
      <c r="AB1338" s="1396">
        <v>14</v>
      </c>
      <c r="AC1338" s="1396">
        <v>14</v>
      </c>
      <c r="AD1338" s="1396">
        <v>14</v>
      </c>
      <c r="AE1338" s="833">
        <v>15</v>
      </c>
      <c r="AF1338" s="271">
        <f t="shared" si="202"/>
        <v>14.3</v>
      </c>
      <c r="AG1338" s="1396"/>
      <c r="DG1338" s="573"/>
      <c r="DH1338" s="159"/>
      <c r="DI1338" s="1091"/>
    </row>
    <row r="1339" spans="1:113" hidden="1" outlineLevel="1">
      <c r="A1339" s="453"/>
      <c r="B1339" s="1454"/>
      <c r="C1339" s="51"/>
      <c r="D1339" s="4294"/>
      <c r="E1339" s="4293"/>
      <c r="F1339" s="4341" t="str">
        <f>$F$1303</f>
        <v>DFHP-SEER19-ROF_MF_CompE</v>
      </c>
      <c r="G1339" s="4341"/>
      <c r="H1339" s="4341"/>
      <c r="I1339" s="3335"/>
      <c r="J1339" s="2283">
        <v>14.3</v>
      </c>
      <c r="K1339" s="2962"/>
      <c r="L1339" s="2425" t="s">
        <v>1941</v>
      </c>
      <c r="R1339" s="181"/>
      <c r="S1339" s="52"/>
      <c r="T1339" s="52"/>
      <c r="U1339" s="52"/>
      <c r="V1339" s="4293"/>
      <c r="W1339" s="1396"/>
      <c r="X1339" s="1396"/>
      <c r="Y1339" s="3265">
        <v>14</v>
      </c>
      <c r="Z1339" s="3262">
        <v>14</v>
      </c>
      <c r="AA1339" s="3262">
        <v>14</v>
      </c>
      <c r="AB1339" s="3262">
        <v>14</v>
      </c>
      <c r="AC1339" s="3262">
        <v>14</v>
      </c>
      <c r="AD1339" s="3262">
        <v>14</v>
      </c>
      <c r="AE1339" s="3265">
        <v>15</v>
      </c>
      <c r="AF1339" s="2236">
        <f t="shared" si="202"/>
        <v>14.3</v>
      </c>
      <c r="AG1339" s="1396"/>
      <c r="DG1339" s="573"/>
      <c r="DH1339" s="159"/>
      <c r="DI1339" s="1091"/>
    </row>
    <row r="1340" spans="1:113" hidden="1" outlineLevel="1">
      <c r="A1340" s="453"/>
      <c r="B1340" s="1454"/>
      <c r="C1340" s="51"/>
      <c r="D1340" s="4294"/>
      <c r="E1340" s="4293"/>
      <c r="F1340" s="4342" t="str">
        <f>$F$1304</f>
        <v>DFHP-SEER20-ROF_MF</v>
      </c>
      <c r="G1340" s="4342"/>
      <c r="H1340" s="4342"/>
      <c r="I1340" s="822"/>
      <c r="J1340" s="1795">
        <v>14.3</v>
      </c>
      <c r="K1340" s="1442"/>
      <c r="L1340" s="929" t="s">
        <v>1941</v>
      </c>
      <c r="R1340" s="181"/>
      <c r="S1340" s="52"/>
      <c r="T1340" s="52"/>
      <c r="U1340" s="52"/>
      <c r="V1340" s="4293"/>
      <c r="W1340" s="1396">
        <v>14</v>
      </c>
      <c r="X1340" s="1396">
        <v>14</v>
      </c>
      <c r="Y1340" s="1396">
        <v>14</v>
      </c>
      <c r="Z1340" s="1396">
        <v>14</v>
      </c>
      <c r="AA1340" s="1396">
        <v>14</v>
      </c>
      <c r="AB1340" s="1396">
        <v>14</v>
      </c>
      <c r="AC1340" s="1396">
        <v>14</v>
      </c>
      <c r="AD1340" s="1396">
        <v>14</v>
      </c>
      <c r="AE1340" s="833">
        <v>15</v>
      </c>
      <c r="AF1340" s="271">
        <f t="shared" si="202"/>
        <v>14.3</v>
      </c>
      <c r="AG1340" s="1396"/>
      <c r="DG1340" s="573"/>
      <c r="DH1340" s="159"/>
      <c r="DI1340" s="1091"/>
    </row>
    <row r="1341" spans="1:113" hidden="1" outlineLevel="1">
      <c r="A1341" s="453"/>
      <c r="B1341" s="1454"/>
      <c r="C1341" s="51"/>
      <c r="D1341" s="4294"/>
      <c r="E1341" s="4293"/>
      <c r="F1341" s="4341" t="str">
        <f>$F$1305</f>
        <v>DFHP-SEER20-ROF_MF_CompE</v>
      </c>
      <c r="G1341" s="4341"/>
      <c r="H1341" s="4341"/>
      <c r="I1341" s="3335"/>
      <c r="J1341" s="2283">
        <v>14.3</v>
      </c>
      <c r="K1341" s="2962"/>
      <c r="L1341" s="3334" t="s">
        <v>1941</v>
      </c>
      <c r="R1341" s="181"/>
      <c r="S1341" s="52"/>
      <c r="T1341" s="52"/>
      <c r="U1341" s="52"/>
      <c r="V1341" s="4293"/>
      <c r="W1341" s="1396"/>
      <c r="X1341" s="1396"/>
      <c r="Y1341" s="3265">
        <v>14</v>
      </c>
      <c r="Z1341" s="3262">
        <v>14</v>
      </c>
      <c r="AA1341" s="3262">
        <v>14</v>
      </c>
      <c r="AB1341" s="3262">
        <v>14</v>
      </c>
      <c r="AC1341" s="3262">
        <v>14</v>
      </c>
      <c r="AD1341" s="3262">
        <v>14</v>
      </c>
      <c r="AE1341" s="3265">
        <v>15</v>
      </c>
      <c r="AF1341" s="2236">
        <f t="shared" si="202"/>
        <v>14.3</v>
      </c>
      <c r="AG1341" s="1396"/>
      <c r="DG1341" s="573"/>
      <c r="DH1341" s="159"/>
      <c r="DI1341" s="1091"/>
    </row>
    <row r="1342" spans="1:113" hidden="1" outlineLevel="1">
      <c r="A1342" s="453"/>
      <c r="B1342" s="1454"/>
      <c r="C1342" s="51"/>
      <c r="D1342" s="4294"/>
      <c r="E1342" s="4293"/>
      <c r="F1342" s="4342" t="str">
        <f>$F$1306</f>
        <v>DFHP-SEER21-ROF_MF</v>
      </c>
      <c r="G1342" s="4342"/>
      <c r="H1342" s="4342"/>
      <c r="I1342" s="822"/>
      <c r="J1342" s="1795">
        <v>14.3</v>
      </c>
      <c r="K1342" s="1442"/>
      <c r="L1342" s="929" t="s">
        <v>1941</v>
      </c>
      <c r="R1342" s="181"/>
      <c r="S1342" s="52"/>
      <c r="T1342" s="52"/>
      <c r="U1342" s="52"/>
      <c r="V1342" s="4293"/>
      <c r="W1342" s="1396">
        <v>14</v>
      </c>
      <c r="X1342" s="1396">
        <v>14</v>
      </c>
      <c r="Y1342" s="1396">
        <v>14</v>
      </c>
      <c r="Z1342" s="1396">
        <v>14</v>
      </c>
      <c r="AA1342" s="1396">
        <v>14</v>
      </c>
      <c r="AB1342" s="1396">
        <v>14</v>
      </c>
      <c r="AC1342" s="1396">
        <v>14</v>
      </c>
      <c r="AD1342" s="1396">
        <v>14</v>
      </c>
      <c r="AE1342" s="833">
        <v>15</v>
      </c>
      <c r="AF1342" s="271">
        <f t="shared" si="202"/>
        <v>14.3</v>
      </c>
      <c r="AG1342" s="1396"/>
      <c r="DG1342" s="573"/>
      <c r="DH1342" s="159"/>
      <c r="DI1342" s="1091"/>
    </row>
    <row r="1343" spans="1:113" hidden="1" outlineLevel="1">
      <c r="A1343" s="453"/>
      <c r="B1343" s="1454"/>
      <c r="C1343" s="51"/>
      <c r="D1343" s="4294"/>
      <c r="E1343" s="4293"/>
      <c r="F1343" s="4341" t="str">
        <f>$F$1307</f>
        <v>DFHP-SEER21-ROF_MF_CompE</v>
      </c>
      <c r="G1343" s="4341"/>
      <c r="H1343" s="4341"/>
      <c r="I1343" s="3335"/>
      <c r="J1343" s="2283">
        <v>14.3</v>
      </c>
      <c r="K1343" s="2962"/>
      <c r="L1343" s="3334" t="s">
        <v>1941</v>
      </c>
      <c r="R1343" s="181"/>
      <c r="S1343" s="52"/>
      <c r="T1343" s="52"/>
      <c r="U1343" s="52"/>
      <c r="V1343" s="4293"/>
      <c r="W1343" s="1396"/>
      <c r="X1343" s="1396"/>
      <c r="Y1343" s="3265">
        <v>14</v>
      </c>
      <c r="Z1343" s="3262">
        <v>14</v>
      </c>
      <c r="AA1343" s="3262">
        <v>14</v>
      </c>
      <c r="AB1343" s="3262">
        <v>14</v>
      </c>
      <c r="AC1343" s="3262">
        <v>14</v>
      </c>
      <c r="AD1343" s="3262">
        <v>14</v>
      </c>
      <c r="AE1343" s="3265">
        <v>15</v>
      </c>
      <c r="AF1343" s="2236">
        <f t="shared" si="202"/>
        <v>14.3</v>
      </c>
      <c r="AG1343" s="1396"/>
      <c r="DG1343" s="573"/>
      <c r="DH1343" s="159"/>
      <c r="DI1343" s="1091"/>
    </row>
    <row r="1344" spans="1:113" hidden="1" outlineLevel="1">
      <c r="A1344" s="453"/>
      <c r="B1344" s="1454"/>
      <c r="C1344" s="51"/>
      <c r="D1344" s="4294" t="s">
        <v>2125</v>
      </c>
      <c r="E1344" s="4293" t="s">
        <v>2126</v>
      </c>
      <c r="F1344" s="4342" t="str">
        <f>$F$1302</f>
        <v>DFHP-SEER19-ROF_MF</v>
      </c>
      <c r="G1344" s="4342"/>
      <c r="H1344" s="4342"/>
      <c r="I1344" s="822"/>
      <c r="J1344" s="1758">
        <v>19</v>
      </c>
      <c r="K1344" s="1442"/>
      <c r="L1344" s="929" t="s">
        <v>2127</v>
      </c>
      <c r="R1344" s="181"/>
      <c r="S1344" s="52"/>
      <c r="T1344" s="52"/>
      <c r="U1344" s="52"/>
      <c r="V1344" s="4293" t="s">
        <v>2128</v>
      </c>
      <c r="W1344" s="1396">
        <v>19</v>
      </c>
      <c r="X1344" s="1396">
        <v>19</v>
      </c>
      <c r="Y1344" s="1396">
        <v>19</v>
      </c>
      <c r="Z1344" s="1396">
        <v>19</v>
      </c>
      <c r="AA1344" s="1396">
        <v>19</v>
      </c>
      <c r="AB1344" s="1396">
        <v>19</v>
      </c>
      <c r="AC1344" s="1396">
        <v>19</v>
      </c>
      <c r="AD1344" s="1396">
        <v>19</v>
      </c>
      <c r="AE1344" s="1396">
        <v>19</v>
      </c>
      <c r="AF1344" s="271">
        <f t="shared" si="202"/>
        <v>19</v>
      </c>
      <c r="AG1344" s="1396"/>
      <c r="DG1344" s="573"/>
      <c r="DH1344" s="159"/>
      <c r="DI1344" s="1091"/>
    </row>
    <row r="1345" spans="1:113" hidden="1" outlineLevel="1">
      <c r="A1345" s="453"/>
      <c r="B1345" s="1454"/>
      <c r="C1345" s="51"/>
      <c r="D1345" s="4294"/>
      <c r="E1345" s="4293"/>
      <c r="F1345" s="4341" t="str">
        <f>$F$1303</f>
        <v>DFHP-SEER19-ROF_MF_CompE</v>
      </c>
      <c r="G1345" s="4341"/>
      <c r="H1345" s="4341"/>
      <c r="I1345" s="3335"/>
      <c r="J1345" s="3283">
        <v>19</v>
      </c>
      <c r="K1345" s="2962"/>
      <c r="L1345" s="3334" t="s">
        <v>2127</v>
      </c>
      <c r="R1345" s="181"/>
      <c r="S1345" s="52"/>
      <c r="T1345" s="52"/>
      <c r="U1345" s="52"/>
      <c r="V1345" s="4293"/>
      <c r="W1345" s="1396"/>
      <c r="X1345" s="1396"/>
      <c r="Y1345" s="3265">
        <v>19</v>
      </c>
      <c r="Z1345" s="3262">
        <v>19</v>
      </c>
      <c r="AA1345" s="3262">
        <v>19</v>
      </c>
      <c r="AB1345" s="3262">
        <v>19</v>
      </c>
      <c r="AC1345" s="3262">
        <v>19</v>
      </c>
      <c r="AD1345" s="3262">
        <v>19</v>
      </c>
      <c r="AE1345" s="3262">
        <v>19</v>
      </c>
      <c r="AF1345" s="2236">
        <f t="shared" si="202"/>
        <v>19</v>
      </c>
      <c r="AG1345" s="1396"/>
      <c r="DG1345" s="573"/>
      <c r="DH1345" s="159"/>
      <c r="DI1345" s="1091"/>
    </row>
    <row r="1346" spans="1:113" hidden="1" outlineLevel="1">
      <c r="A1346" s="453"/>
      <c r="B1346" s="1454"/>
      <c r="C1346" s="51"/>
      <c r="D1346" s="4294"/>
      <c r="E1346" s="4293"/>
      <c r="F1346" s="4342" t="str">
        <f>$F$1304</f>
        <v>DFHP-SEER20-ROF_MF</v>
      </c>
      <c r="G1346" s="4342"/>
      <c r="H1346" s="4342"/>
      <c r="I1346" s="822"/>
      <c r="J1346" s="1758">
        <v>20</v>
      </c>
      <c r="K1346" s="1442"/>
      <c r="L1346" s="929" t="s">
        <v>2127</v>
      </c>
      <c r="R1346" s="181"/>
      <c r="S1346" s="52"/>
      <c r="T1346" s="52"/>
      <c r="U1346" s="52"/>
      <c r="V1346" s="4293"/>
      <c r="W1346" s="1396">
        <v>20</v>
      </c>
      <c r="X1346" s="1396">
        <v>20</v>
      </c>
      <c r="Y1346" s="1396">
        <v>20</v>
      </c>
      <c r="Z1346" s="1396">
        <v>20</v>
      </c>
      <c r="AA1346" s="1396">
        <v>20</v>
      </c>
      <c r="AB1346" s="1396">
        <v>20</v>
      </c>
      <c r="AC1346" s="1396">
        <v>20</v>
      </c>
      <c r="AD1346" s="1396">
        <v>20</v>
      </c>
      <c r="AE1346" s="1396">
        <v>20</v>
      </c>
      <c r="AF1346" s="271">
        <f t="shared" si="202"/>
        <v>20</v>
      </c>
      <c r="AG1346" s="1396"/>
      <c r="DG1346" s="573"/>
      <c r="DH1346" s="159"/>
      <c r="DI1346" s="1091"/>
    </row>
    <row r="1347" spans="1:113" hidden="1" outlineLevel="1">
      <c r="A1347" s="453"/>
      <c r="B1347" s="1454"/>
      <c r="C1347" s="51"/>
      <c r="D1347" s="4294"/>
      <c r="E1347" s="4293"/>
      <c r="F1347" s="4341" t="str">
        <f>$F$1305</f>
        <v>DFHP-SEER20-ROF_MF_CompE</v>
      </c>
      <c r="G1347" s="4341"/>
      <c r="H1347" s="4341"/>
      <c r="I1347" s="3335"/>
      <c r="J1347" s="3283">
        <v>20</v>
      </c>
      <c r="K1347" s="2962"/>
      <c r="L1347" s="3334" t="s">
        <v>2127</v>
      </c>
      <c r="R1347" s="181"/>
      <c r="S1347" s="52"/>
      <c r="T1347" s="52"/>
      <c r="U1347" s="52"/>
      <c r="V1347" s="4293"/>
      <c r="W1347" s="1396"/>
      <c r="X1347" s="1396"/>
      <c r="Y1347" s="3265">
        <v>20</v>
      </c>
      <c r="Z1347" s="3262">
        <v>20</v>
      </c>
      <c r="AA1347" s="3262">
        <v>20</v>
      </c>
      <c r="AB1347" s="3262">
        <v>20</v>
      </c>
      <c r="AC1347" s="3262">
        <v>20</v>
      </c>
      <c r="AD1347" s="3262">
        <v>20</v>
      </c>
      <c r="AE1347" s="3262">
        <v>20</v>
      </c>
      <c r="AF1347" s="2236">
        <f t="shared" si="202"/>
        <v>20</v>
      </c>
      <c r="AG1347" s="1396"/>
      <c r="DG1347" s="573"/>
      <c r="DH1347" s="159"/>
      <c r="DI1347" s="1091"/>
    </row>
    <row r="1348" spans="1:113" hidden="1" outlineLevel="1">
      <c r="A1348" s="453"/>
      <c r="B1348" s="1454"/>
      <c r="C1348" s="51"/>
      <c r="D1348" s="4294"/>
      <c r="E1348" s="4293"/>
      <c r="F1348" s="4342" t="str">
        <f>$F$1306</f>
        <v>DFHP-SEER21-ROF_MF</v>
      </c>
      <c r="G1348" s="4342"/>
      <c r="H1348" s="4342"/>
      <c r="I1348" s="822"/>
      <c r="J1348" s="1758">
        <v>21</v>
      </c>
      <c r="K1348" s="1442"/>
      <c r="L1348" s="929" t="s">
        <v>2127</v>
      </c>
      <c r="R1348" s="181"/>
      <c r="S1348" s="52"/>
      <c r="T1348" s="52"/>
      <c r="U1348" s="52"/>
      <c r="V1348" s="4293"/>
      <c r="W1348" s="1396">
        <v>21</v>
      </c>
      <c r="X1348" s="1396">
        <v>21</v>
      </c>
      <c r="Y1348" s="1396">
        <v>21</v>
      </c>
      <c r="Z1348" s="1396">
        <v>21</v>
      </c>
      <c r="AA1348" s="1396">
        <v>21</v>
      </c>
      <c r="AB1348" s="1396">
        <v>21</v>
      </c>
      <c r="AC1348" s="1396">
        <v>21</v>
      </c>
      <c r="AD1348" s="1396">
        <v>21</v>
      </c>
      <c r="AE1348" s="1396">
        <v>21</v>
      </c>
      <c r="AF1348" s="271">
        <f t="shared" si="202"/>
        <v>21</v>
      </c>
      <c r="AG1348" s="1396"/>
      <c r="DG1348" s="573"/>
      <c r="DH1348" s="159"/>
      <c r="DI1348" s="1091"/>
    </row>
    <row r="1349" spans="1:113" hidden="1" outlineLevel="1">
      <c r="A1349" s="453"/>
      <c r="B1349" s="1454"/>
      <c r="C1349" s="51"/>
      <c r="D1349" s="4294"/>
      <c r="E1349" s="4293"/>
      <c r="F1349" s="4341" t="str">
        <f>$F$1307</f>
        <v>DFHP-SEER21-ROF_MF_CompE</v>
      </c>
      <c r="G1349" s="4341"/>
      <c r="H1349" s="4341"/>
      <c r="I1349" s="3335"/>
      <c r="J1349" s="3283">
        <v>21</v>
      </c>
      <c r="K1349" s="2962"/>
      <c r="L1349" s="3334" t="s">
        <v>2127</v>
      </c>
      <c r="R1349" s="181"/>
      <c r="S1349" s="52"/>
      <c r="T1349" s="52"/>
      <c r="U1349" s="52"/>
      <c r="V1349" s="4293"/>
      <c r="W1349" s="1396"/>
      <c r="X1349" s="1396"/>
      <c r="Y1349" s="3265">
        <v>21</v>
      </c>
      <c r="Z1349" s="3262">
        <v>21</v>
      </c>
      <c r="AA1349" s="3262">
        <v>21</v>
      </c>
      <c r="AB1349" s="3262">
        <v>21</v>
      </c>
      <c r="AC1349" s="3262">
        <v>21</v>
      </c>
      <c r="AD1349" s="3262">
        <v>21</v>
      </c>
      <c r="AE1349" s="3262">
        <v>21</v>
      </c>
      <c r="AF1349" s="2236">
        <f t="shared" si="202"/>
        <v>21</v>
      </c>
      <c r="AG1349" s="1396"/>
      <c r="DG1349" s="573"/>
      <c r="DH1349" s="159"/>
      <c r="DI1349" s="1091"/>
    </row>
    <row r="1350" spans="1:113" hidden="1" outlineLevel="1">
      <c r="A1350" s="453"/>
      <c r="B1350" s="1454"/>
      <c r="C1350" s="51"/>
      <c r="D1350" s="4199" t="s">
        <v>1089</v>
      </c>
      <c r="E1350" s="4199" t="s">
        <v>2129</v>
      </c>
      <c r="F1350" s="4311" t="str">
        <f>$F$1302</f>
        <v>DFHP-SEER19-ROF_MF</v>
      </c>
      <c r="G1350" s="4311"/>
      <c r="H1350" s="4311"/>
      <c r="I1350" s="1405"/>
      <c r="J1350" s="1775">
        <v>0.65</v>
      </c>
      <c r="K1350" s="1378"/>
      <c r="L1350" s="1760" t="s">
        <v>2065</v>
      </c>
      <c r="R1350" s="181"/>
      <c r="S1350" s="52"/>
      <c r="T1350" s="52"/>
      <c r="U1350" s="52"/>
      <c r="V1350" s="4293" t="s">
        <v>1089</v>
      </c>
      <c r="W1350" s="241">
        <v>0.65</v>
      </c>
      <c r="X1350" s="241">
        <v>0.65</v>
      </c>
      <c r="Y1350" s="241">
        <v>0.65</v>
      </c>
      <c r="Z1350" s="241">
        <v>0.65</v>
      </c>
      <c r="AA1350" s="241">
        <v>0.65</v>
      </c>
      <c r="AB1350" s="241">
        <v>0.65</v>
      </c>
      <c r="AC1350" s="241">
        <v>0.65</v>
      </c>
      <c r="AD1350" s="241">
        <v>0.65</v>
      </c>
      <c r="AE1350" s="241">
        <v>0.65</v>
      </c>
      <c r="AF1350" s="271">
        <f t="shared" si="202"/>
        <v>0.65</v>
      </c>
      <c r="AG1350" s="241"/>
      <c r="DG1350" s="573"/>
      <c r="DH1350" s="159"/>
      <c r="DI1350" s="1091"/>
    </row>
    <row r="1351" spans="1:113" hidden="1" outlineLevel="1">
      <c r="A1351" s="453"/>
      <c r="B1351" s="1454"/>
      <c r="C1351" s="51"/>
      <c r="D1351" s="4199"/>
      <c r="E1351" s="4199"/>
      <c r="F1351" s="4343" t="str">
        <f>$F$1303</f>
        <v>DFHP-SEER19-ROF_MF_CompE</v>
      </c>
      <c r="G1351" s="4343"/>
      <c r="H1351" s="4343"/>
      <c r="I1351" s="3284"/>
      <c r="J1351" s="3376">
        <v>0.65</v>
      </c>
      <c r="K1351" s="2425"/>
      <c r="L1351" s="3338" t="s">
        <v>2065</v>
      </c>
      <c r="R1351" s="181"/>
      <c r="S1351" s="52"/>
      <c r="T1351" s="52"/>
      <c r="U1351" s="52"/>
      <c r="V1351" s="4293"/>
      <c r="W1351" s="241"/>
      <c r="X1351" s="241"/>
      <c r="Y1351" s="3379">
        <v>0.65</v>
      </c>
      <c r="Z1351" s="3380">
        <v>0.65</v>
      </c>
      <c r="AA1351" s="3380">
        <v>0.65</v>
      </c>
      <c r="AB1351" s="3380">
        <v>0.65</v>
      </c>
      <c r="AC1351" s="3380">
        <v>0.65</v>
      </c>
      <c r="AD1351" s="3380">
        <v>0.65</v>
      </c>
      <c r="AE1351" s="3380">
        <v>0.65</v>
      </c>
      <c r="AF1351" s="2236">
        <f t="shared" si="202"/>
        <v>0.65</v>
      </c>
      <c r="AG1351" s="241"/>
      <c r="DG1351" s="573"/>
      <c r="DH1351" s="159"/>
      <c r="DI1351" s="1091"/>
    </row>
    <row r="1352" spans="1:113" hidden="1" outlineLevel="1">
      <c r="A1352" s="453"/>
      <c r="B1352" s="1454"/>
      <c r="C1352" s="51"/>
      <c r="D1352" s="4199"/>
      <c r="E1352" s="4199"/>
      <c r="F1352" s="4311" t="str">
        <f>$F$1304</f>
        <v>DFHP-SEER20-ROF_MF</v>
      </c>
      <c r="G1352" s="4311"/>
      <c r="H1352" s="4311"/>
      <c r="I1352" s="1405"/>
      <c r="J1352" s="1775">
        <v>0.65</v>
      </c>
      <c r="K1352" s="1378"/>
      <c r="L1352" s="1760" t="s">
        <v>2065</v>
      </c>
      <c r="R1352" s="181"/>
      <c r="S1352" s="52"/>
      <c r="T1352" s="52"/>
      <c r="U1352" s="52"/>
      <c r="V1352" s="4293"/>
      <c r="W1352" s="241">
        <v>0.65</v>
      </c>
      <c r="X1352" s="241">
        <v>0.65</v>
      </c>
      <c r="Y1352" s="241">
        <v>0.65</v>
      </c>
      <c r="Z1352" s="241">
        <v>0.65</v>
      </c>
      <c r="AA1352" s="241">
        <v>0.65</v>
      </c>
      <c r="AB1352" s="241">
        <v>0.65</v>
      </c>
      <c r="AC1352" s="241">
        <v>0.65</v>
      </c>
      <c r="AD1352" s="241">
        <v>0.65</v>
      </c>
      <c r="AE1352" s="241">
        <v>0.65</v>
      </c>
      <c r="AF1352" s="271">
        <f t="shared" si="202"/>
        <v>0.65</v>
      </c>
      <c r="AG1352" s="241"/>
      <c r="DG1352" s="573"/>
      <c r="DH1352" s="159"/>
      <c r="DI1352" s="1091"/>
    </row>
    <row r="1353" spans="1:113" hidden="1" outlineLevel="1">
      <c r="A1353" s="453"/>
      <c r="B1353" s="1454"/>
      <c r="C1353" s="51"/>
      <c r="D1353" s="4199"/>
      <c r="E1353" s="4199"/>
      <c r="F1353" s="4343" t="str">
        <f>$F$1305</f>
        <v>DFHP-SEER20-ROF_MF_CompE</v>
      </c>
      <c r="G1353" s="4343"/>
      <c r="H1353" s="4343"/>
      <c r="I1353" s="3284"/>
      <c r="J1353" s="3376">
        <v>0.65</v>
      </c>
      <c r="K1353" s="2425"/>
      <c r="L1353" s="3338" t="s">
        <v>2065</v>
      </c>
      <c r="R1353" s="181"/>
      <c r="S1353" s="52"/>
      <c r="T1353" s="52"/>
      <c r="U1353" s="52"/>
      <c r="V1353" s="4293"/>
      <c r="W1353" s="241"/>
      <c r="X1353" s="241"/>
      <c r="Y1353" s="3379">
        <v>0.65</v>
      </c>
      <c r="Z1353" s="3380">
        <v>0.65</v>
      </c>
      <c r="AA1353" s="3380">
        <v>0.65</v>
      </c>
      <c r="AB1353" s="3380">
        <v>0.65</v>
      </c>
      <c r="AC1353" s="3380">
        <v>0.65</v>
      </c>
      <c r="AD1353" s="3380">
        <v>0.65</v>
      </c>
      <c r="AE1353" s="3380">
        <v>0.65</v>
      </c>
      <c r="AF1353" s="2236">
        <f t="shared" si="202"/>
        <v>0.65</v>
      </c>
      <c r="AG1353" s="241"/>
      <c r="DG1353" s="573"/>
      <c r="DH1353" s="159"/>
      <c r="DI1353" s="1091"/>
    </row>
    <row r="1354" spans="1:113" hidden="1" outlineLevel="1">
      <c r="A1354" s="453"/>
      <c r="B1354" s="1454"/>
      <c r="C1354" s="51"/>
      <c r="D1354" s="4199"/>
      <c r="E1354" s="4199"/>
      <c r="F1354" s="4311" t="str">
        <f>$F$1306</f>
        <v>DFHP-SEER21-ROF_MF</v>
      </c>
      <c r="G1354" s="4311"/>
      <c r="H1354" s="4311"/>
      <c r="I1354" s="1405"/>
      <c r="J1354" s="1775">
        <v>0.65</v>
      </c>
      <c r="K1354" s="1378"/>
      <c r="L1354" s="1760" t="s">
        <v>2065</v>
      </c>
      <c r="R1354" s="181"/>
      <c r="S1354" s="52"/>
      <c r="T1354" s="52"/>
      <c r="U1354" s="52"/>
      <c r="V1354" s="4293"/>
      <c r="W1354" s="241">
        <v>0.65</v>
      </c>
      <c r="X1354" s="241">
        <v>0.65</v>
      </c>
      <c r="Y1354" s="241">
        <v>0.65</v>
      </c>
      <c r="Z1354" s="241">
        <v>0.65</v>
      </c>
      <c r="AA1354" s="241">
        <v>0.65</v>
      </c>
      <c r="AB1354" s="241">
        <v>0.65</v>
      </c>
      <c r="AC1354" s="241">
        <v>0.65</v>
      </c>
      <c r="AD1354" s="241">
        <v>0.65</v>
      </c>
      <c r="AE1354" s="241">
        <v>0.65</v>
      </c>
      <c r="AF1354" s="271">
        <f t="shared" si="202"/>
        <v>0.65</v>
      </c>
      <c r="AG1354" s="241"/>
      <c r="DG1354" s="573"/>
      <c r="DH1354" s="159"/>
      <c r="DI1354" s="1091"/>
    </row>
    <row r="1355" spans="1:113" hidden="1" outlineLevel="1">
      <c r="A1355" s="453"/>
      <c r="B1355" s="1454"/>
      <c r="C1355" s="51"/>
      <c r="D1355" s="4199"/>
      <c r="E1355" s="4199"/>
      <c r="F1355" s="4343" t="str">
        <f>$F$1307</f>
        <v>DFHP-SEER21-ROF_MF_CompE</v>
      </c>
      <c r="G1355" s="4343"/>
      <c r="H1355" s="4343"/>
      <c r="I1355" s="3284"/>
      <c r="J1355" s="3376">
        <v>0.65</v>
      </c>
      <c r="K1355" s="2425"/>
      <c r="L1355" s="3338" t="s">
        <v>2065</v>
      </c>
      <c r="R1355" s="181"/>
      <c r="S1355" s="52"/>
      <c r="T1355" s="52"/>
      <c r="U1355" s="52"/>
      <c r="V1355" s="4293"/>
      <c r="W1355" s="241"/>
      <c r="X1355" s="241"/>
      <c r="Y1355" s="3379">
        <v>0.65</v>
      </c>
      <c r="Z1355" s="3380">
        <v>0.65</v>
      </c>
      <c r="AA1355" s="3380">
        <v>0.65</v>
      </c>
      <c r="AB1355" s="3380">
        <v>0.65</v>
      </c>
      <c r="AC1355" s="3380">
        <v>0.65</v>
      </c>
      <c r="AD1355" s="3380">
        <v>0.65</v>
      </c>
      <c r="AE1355" s="3380">
        <v>0.65</v>
      </c>
      <c r="AF1355" s="2236">
        <f t="shared" si="202"/>
        <v>0.65</v>
      </c>
      <c r="AG1355" s="241"/>
      <c r="DG1355" s="573"/>
      <c r="DH1355" s="159"/>
      <c r="DI1355" s="1091"/>
    </row>
    <row r="1356" spans="1:113" hidden="1" outlineLevel="1">
      <c r="A1356" s="453"/>
      <c r="B1356" s="1454"/>
      <c r="C1356" s="51"/>
      <c r="D1356" s="4293" t="s">
        <v>49</v>
      </c>
      <c r="E1356" s="4293" t="s">
        <v>2130</v>
      </c>
      <c r="F1356" s="4342" t="str">
        <f>$F$1302</f>
        <v>DFHP-SEER19-ROF_MF</v>
      </c>
      <c r="G1356" s="4342"/>
      <c r="H1356" s="4342"/>
      <c r="I1356" s="822"/>
      <c r="J1356" s="1796">
        <v>18</v>
      </c>
      <c r="K1356" s="1442"/>
      <c r="L1356" s="4372" t="s">
        <v>1953</v>
      </c>
      <c r="R1356" s="181"/>
      <c r="S1356" s="52"/>
      <c r="T1356" s="52"/>
      <c r="U1356" s="52"/>
      <c r="V1356" s="4293" t="str">
        <f>D1356</f>
        <v>EUL</v>
      </c>
      <c r="W1356" s="232">
        <v>18</v>
      </c>
      <c r="X1356" s="232">
        <v>18</v>
      </c>
      <c r="Y1356" s="232">
        <v>18</v>
      </c>
      <c r="Z1356" s="232">
        <v>18</v>
      </c>
      <c r="AA1356" s="232">
        <v>18</v>
      </c>
      <c r="AB1356" s="232">
        <v>18</v>
      </c>
      <c r="AC1356" s="1396">
        <v>18</v>
      </c>
      <c r="AD1356" s="1396">
        <v>18</v>
      </c>
      <c r="AE1356" s="1396">
        <v>18</v>
      </c>
      <c r="AF1356" s="271">
        <f t="shared" si="202"/>
        <v>18</v>
      </c>
      <c r="AG1356" s="232"/>
      <c r="DG1356" s="573"/>
      <c r="DH1356" s="159"/>
      <c r="DI1356" s="1091"/>
    </row>
    <row r="1357" spans="1:113" hidden="1" outlineLevel="1">
      <c r="A1357" s="453"/>
      <c r="B1357" s="1454"/>
      <c r="C1357" s="51"/>
      <c r="D1357" s="4293"/>
      <c r="E1357" s="4293"/>
      <c r="F1357" s="4341" t="str">
        <f>$F$1303</f>
        <v>DFHP-SEER19-ROF_MF_CompE</v>
      </c>
      <c r="G1357" s="4341"/>
      <c r="H1357" s="4341"/>
      <c r="I1357" s="3335"/>
      <c r="J1357" s="3377">
        <v>18</v>
      </c>
      <c r="K1357" s="1442"/>
      <c r="L1357" s="4373"/>
      <c r="R1357" s="181"/>
      <c r="S1357" s="52"/>
      <c r="T1357" s="52"/>
      <c r="U1357" s="52"/>
      <c r="V1357" s="4293"/>
      <c r="W1357" s="232"/>
      <c r="X1357" s="232"/>
      <c r="Y1357" s="3358">
        <v>18</v>
      </c>
      <c r="Z1357" s="3356">
        <v>18</v>
      </c>
      <c r="AA1357" s="3356">
        <v>18</v>
      </c>
      <c r="AB1357" s="3356">
        <v>18</v>
      </c>
      <c r="AC1357" s="3262">
        <v>18</v>
      </c>
      <c r="AD1357" s="3262">
        <v>18</v>
      </c>
      <c r="AE1357" s="3262">
        <v>18</v>
      </c>
      <c r="AF1357" s="2236">
        <f t="shared" si="202"/>
        <v>18</v>
      </c>
      <c r="AG1357" s="232"/>
      <c r="DG1357" s="573"/>
      <c r="DH1357" s="159"/>
      <c r="DI1357" s="1091"/>
    </row>
    <row r="1358" spans="1:113" hidden="1" outlineLevel="1">
      <c r="A1358" s="453"/>
      <c r="B1358" s="1454"/>
      <c r="C1358" s="51"/>
      <c r="D1358" s="4293"/>
      <c r="E1358" s="4293"/>
      <c r="F1358" s="4342" t="str">
        <f>$F$1304</f>
        <v>DFHP-SEER20-ROF_MF</v>
      </c>
      <c r="G1358" s="4342"/>
      <c r="H1358" s="4342"/>
      <c r="I1358" s="822"/>
      <c r="J1358" s="1796">
        <v>18</v>
      </c>
      <c r="K1358" s="1442"/>
      <c r="L1358" s="4373"/>
      <c r="R1358" s="181"/>
      <c r="S1358" s="52"/>
      <c r="T1358" s="52"/>
      <c r="U1358" s="52"/>
      <c r="V1358" s="4293"/>
      <c r="W1358" s="232">
        <v>18</v>
      </c>
      <c r="X1358" s="232">
        <v>18</v>
      </c>
      <c r="Y1358" s="232">
        <v>18</v>
      </c>
      <c r="Z1358" s="232">
        <v>18</v>
      </c>
      <c r="AA1358" s="232">
        <v>18</v>
      </c>
      <c r="AB1358" s="232">
        <v>18</v>
      </c>
      <c r="AC1358" s="1396">
        <v>18</v>
      </c>
      <c r="AD1358" s="1396">
        <v>18</v>
      </c>
      <c r="AE1358" s="1396">
        <v>18</v>
      </c>
      <c r="AF1358" s="271">
        <f t="shared" si="202"/>
        <v>18</v>
      </c>
      <c r="AG1358" s="232"/>
      <c r="DG1358" s="573"/>
      <c r="DH1358" s="159"/>
      <c r="DI1358" s="1091"/>
    </row>
    <row r="1359" spans="1:113" hidden="1" outlineLevel="1">
      <c r="A1359" s="453"/>
      <c r="B1359" s="1454"/>
      <c r="C1359" s="51"/>
      <c r="D1359" s="4293"/>
      <c r="E1359" s="4293"/>
      <c r="F1359" s="4341" t="str">
        <f>$F$1305</f>
        <v>DFHP-SEER20-ROF_MF_CompE</v>
      </c>
      <c r="G1359" s="4341"/>
      <c r="H1359" s="4341"/>
      <c r="I1359" s="3335"/>
      <c r="J1359" s="3377">
        <v>18</v>
      </c>
      <c r="K1359" s="1442"/>
      <c r="L1359" s="4373"/>
      <c r="R1359" s="181"/>
      <c r="S1359" s="52"/>
      <c r="T1359" s="52"/>
      <c r="U1359" s="52"/>
      <c r="V1359" s="4293"/>
      <c r="W1359" s="232"/>
      <c r="X1359" s="232"/>
      <c r="Y1359" s="3358">
        <v>18</v>
      </c>
      <c r="Z1359" s="3356">
        <v>18</v>
      </c>
      <c r="AA1359" s="3356">
        <v>18</v>
      </c>
      <c r="AB1359" s="3356">
        <v>18</v>
      </c>
      <c r="AC1359" s="3262">
        <v>18</v>
      </c>
      <c r="AD1359" s="3262">
        <v>18</v>
      </c>
      <c r="AE1359" s="3262">
        <v>18</v>
      </c>
      <c r="AF1359" s="2236">
        <f t="shared" si="202"/>
        <v>18</v>
      </c>
      <c r="AG1359" s="232"/>
      <c r="DG1359" s="573"/>
      <c r="DH1359" s="159"/>
      <c r="DI1359" s="1091"/>
    </row>
    <row r="1360" spans="1:113" hidden="1" outlineLevel="1">
      <c r="A1360" s="453"/>
      <c r="B1360" s="1454"/>
      <c r="C1360" s="51"/>
      <c r="D1360" s="4293"/>
      <c r="E1360" s="4293"/>
      <c r="F1360" s="4342" t="str">
        <f>$F$1306</f>
        <v>DFHP-SEER21-ROF_MF</v>
      </c>
      <c r="G1360" s="4342"/>
      <c r="H1360" s="4342"/>
      <c r="I1360" s="822"/>
      <c r="J1360" s="1796">
        <v>18</v>
      </c>
      <c r="K1360" s="1442"/>
      <c r="L1360" s="4373"/>
      <c r="R1360" s="181"/>
      <c r="S1360" s="52"/>
      <c r="T1360" s="52"/>
      <c r="U1360" s="52"/>
      <c r="V1360" s="4293"/>
      <c r="W1360" s="232">
        <v>18</v>
      </c>
      <c r="X1360" s="232">
        <v>18</v>
      </c>
      <c r="Y1360" s="232">
        <v>18</v>
      </c>
      <c r="Z1360" s="232">
        <v>18</v>
      </c>
      <c r="AA1360" s="232">
        <v>18</v>
      </c>
      <c r="AB1360" s="232">
        <v>18</v>
      </c>
      <c r="AC1360" s="1396">
        <v>18</v>
      </c>
      <c r="AD1360" s="1396">
        <v>18</v>
      </c>
      <c r="AE1360" s="1396">
        <v>18</v>
      </c>
      <c r="AF1360" s="271">
        <f t="shared" si="202"/>
        <v>18</v>
      </c>
      <c r="AG1360" s="232"/>
      <c r="DG1360" s="573"/>
      <c r="DH1360" s="159"/>
      <c r="DI1360" s="1091"/>
    </row>
    <row r="1361" spans="1:114" hidden="1" outlineLevel="1">
      <c r="A1361" s="453"/>
      <c r="B1361" s="1454"/>
      <c r="C1361" s="51"/>
      <c r="D1361" s="4293"/>
      <c r="E1361" s="4293"/>
      <c r="F1361" s="4341" t="str">
        <f>$F$1307</f>
        <v>DFHP-SEER21-ROF_MF_CompE</v>
      </c>
      <c r="G1361" s="4341"/>
      <c r="H1361" s="4341"/>
      <c r="I1361" s="3335"/>
      <c r="J1361" s="3377">
        <v>18</v>
      </c>
      <c r="K1361" s="1442"/>
      <c r="L1361" s="4374"/>
      <c r="R1361" s="181"/>
      <c r="S1361" s="52"/>
      <c r="T1361" s="52"/>
      <c r="U1361" s="52"/>
      <c r="V1361" s="4293"/>
      <c r="W1361" s="232"/>
      <c r="X1361" s="232"/>
      <c r="Y1361" s="3358">
        <v>18</v>
      </c>
      <c r="Z1361" s="3356">
        <v>18</v>
      </c>
      <c r="AA1361" s="3356">
        <v>18</v>
      </c>
      <c r="AB1361" s="3356">
        <v>18</v>
      </c>
      <c r="AC1361" s="3262">
        <v>18</v>
      </c>
      <c r="AD1361" s="3262">
        <v>18</v>
      </c>
      <c r="AE1361" s="3262">
        <v>18</v>
      </c>
      <c r="AF1361" s="2236">
        <f t="shared" si="202"/>
        <v>18</v>
      </c>
      <c r="AG1361" s="232"/>
      <c r="DG1361" s="573"/>
      <c r="DH1361" s="159"/>
      <c r="DI1361" s="1091"/>
    </row>
    <row r="1362" spans="1:114" hidden="1" outlineLevel="1">
      <c r="A1362" s="453"/>
      <c r="B1362" s="1454"/>
      <c r="C1362" s="51"/>
      <c r="D1362" s="4293" t="s">
        <v>50</v>
      </c>
      <c r="E1362" s="4293" t="s">
        <v>1280</v>
      </c>
      <c r="F1362" s="4342" t="str">
        <f>$F$1302</f>
        <v>DFHP-SEER19-ROF_MF</v>
      </c>
      <c r="G1362" s="4342"/>
      <c r="H1362" s="4342"/>
      <c r="I1362" s="822"/>
      <c r="J1362" s="2077">
        <f t="shared" ref="J1362:J1367" si="203">(S$1306+K1362*T$1306)-(S$1310+K1362*T$1310)</f>
        <v>1081</v>
      </c>
      <c r="K1362" s="1442">
        <f>VLOOKUP(F1362,F$1302:K$1307,6,FALSE)</f>
        <v>3.4</v>
      </c>
      <c r="L1362" s="929"/>
      <c r="R1362" s="181"/>
      <c r="S1362" s="52"/>
      <c r="T1362" s="52"/>
      <c r="U1362" s="52"/>
      <c r="V1362" s="4293" t="str">
        <f>D1362</f>
        <v>Inc. Cost</v>
      </c>
      <c r="W1362" s="244">
        <v>2936.6</v>
      </c>
      <c r="X1362" s="244">
        <v>2936.6</v>
      </c>
      <c r="Y1362" s="244">
        <v>2936.6</v>
      </c>
      <c r="Z1362" s="244">
        <v>2936.6</v>
      </c>
      <c r="AA1362" s="244">
        <v>2936.6</v>
      </c>
      <c r="AB1362" s="244">
        <v>2936.6</v>
      </c>
      <c r="AC1362" s="244">
        <v>2936.6</v>
      </c>
      <c r="AD1362" s="244">
        <v>2936.6</v>
      </c>
      <c r="AE1362" s="244">
        <v>2936.6</v>
      </c>
      <c r="AF1362" s="271">
        <f t="shared" si="202"/>
        <v>1081</v>
      </c>
      <c r="AG1362" s="244"/>
      <c r="DG1362" s="573"/>
      <c r="DH1362" s="159"/>
      <c r="DI1362" s="1091"/>
    </row>
    <row r="1363" spans="1:114" hidden="1" outlineLevel="1">
      <c r="A1363" s="453"/>
      <c r="B1363" s="1454"/>
      <c r="C1363" s="51"/>
      <c r="D1363" s="4293"/>
      <c r="E1363" s="4293"/>
      <c r="F1363" s="4341" t="str">
        <f>$F$1303</f>
        <v>DFHP-SEER19-ROF_MF_CompE</v>
      </c>
      <c r="G1363" s="4341"/>
      <c r="H1363" s="4341"/>
      <c r="I1363" s="3335"/>
      <c r="J1363" s="3378">
        <f t="shared" si="203"/>
        <v>1081</v>
      </c>
      <c r="K1363" s="2962">
        <f t="shared" ref="K1363:K1367" si="204">VLOOKUP(F1363,F$1302:K$1307,6,FALSE)</f>
        <v>3.4</v>
      </c>
      <c r="L1363" s="929"/>
      <c r="R1363" s="181"/>
      <c r="S1363" s="52"/>
      <c r="T1363" s="52"/>
      <c r="U1363" s="52"/>
      <c r="V1363" s="4293"/>
      <c r="W1363" s="244"/>
      <c r="X1363" s="244"/>
      <c r="Y1363" s="3381">
        <v>2936.6</v>
      </c>
      <c r="Z1363" s="3382">
        <v>2936.6</v>
      </c>
      <c r="AA1363" s="3382">
        <v>2936.6</v>
      </c>
      <c r="AB1363" s="3382">
        <v>2936.6</v>
      </c>
      <c r="AC1363" s="3382">
        <v>2936.6</v>
      </c>
      <c r="AD1363" s="3382">
        <v>2936.6</v>
      </c>
      <c r="AE1363" s="3382">
        <v>2936.6</v>
      </c>
      <c r="AF1363" s="2236">
        <f t="shared" si="202"/>
        <v>1081</v>
      </c>
      <c r="AG1363" s="244"/>
      <c r="DG1363" s="573"/>
      <c r="DH1363" s="159"/>
      <c r="DI1363" s="1091"/>
    </row>
    <row r="1364" spans="1:114" hidden="1" outlineLevel="1">
      <c r="A1364" s="453"/>
      <c r="B1364" s="1454"/>
      <c r="C1364" s="51"/>
      <c r="D1364" s="4293"/>
      <c r="E1364" s="4293"/>
      <c r="F1364" s="4342" t="str">
        <f>$F$1304</f>
        <v>DFHP-SEER20-ROF_MF</v>
      </c>
      <c r="G1364" s="4342"/>
      <c r="H1364" s="4342"/>
      <c r="I1364" s="822"/>
      <c r="J1364" s="2077">
        <f t="shared" si="203"/>
        <v>1081</v>
      </c>
      <c r="K1364" s="1442">
        <f t="shared" si="204"/>
        <v>4.4000000000000004</v>
      </c>
      <c r="L1364" s="929"/>
      <c r="R1364" s="181"/>
      <c r="S1364" s="52"/>
      <c r="T1364" s="52"/>
      <c r="U1364" s="52"/>
      <c r="V1364" s="4293"/>
      <c r="W1364" s="244">
        <v>3176.6</v>
      </c>
      <c r="X1364" s="244">
        <v>3176.6</v>
      </c>
      <c r="Y1364" s="244">
        <v>3176.6</v>
      </c>
      <c r="Z1364" s="244">
        <v>3176.6</v>
      </c>
      <c r="AA1364" s="244">
        <v>3176.6</v>
      </c>
      <c r="AB1364" s="244">
        <v>3176.6</v>
      </c>
      <c r="AC1364" s="244">
        <v>3176.6</v>
      </c>
      <c r="AD1364" s="244">
        <v>3176.6</v>
      </c>
      <c r="AE1364" s="244">
        <v>3176.6</v>
      </c>
      <c r="AF1364" s="271">
        <f t="shared" si="202"/>
        <v>1081</v>
      </c>
      <c r="AG1364" s="244"/>
      <c r="DG1364" s="573"/>
      <c r="DH1364" s="159"/>
      <c r="DI1364" s="1091"/>
    </row>
    <row r="1365" spans="1:114" hidden="1" outlineLevel="1">
      <c r="A1365" s="453"/>
      <c r="B1365" s="1454"/>
      <c r="C1365" s="51"/>
      <c r="D1365" s="4293"/>
      <c r="E1365" s="4293"/>
      <c r="F1365" s="4341" t="str">
        <f>$F$1305</f>
        <v>DFHP-SEER20-ROF_MF_CompE</v>
      </c>
      <c r="G1365" s="4341"/>
      <c r="H1365" s="4341"/>
      <c r="I1365" s="3335"/>
      <c r="J1365" s="3378">
        <f t="shared" si="203"/>
        <v>1081</v>
      </c>
      <c r="K1365" s="2962">
        <f t="shared" si="204"/>
        <v>4.4000000000000004</v>
      </c>
      <c r="L1365" s="929"/>
      <c r="R1365" s="181"/>
      <c r="S1365" s="52"/>
      <c r="T1365" s="52"/>
      <c r="U1365" s="52"/>
      <c r="V1365" s="4293"/>
      <c r="W1365" s="244"/>
      <c r="X1365" s="244"/>
      <c r="Y1365" s="3381">
        <v>3176.6</v>
      </c>
      <c r="Z1365" s="3382">
        <v>3176.6</v>
      </c>
      <c r="AA1365" s="3382">
        <v>3176.6</v>
      </c>
      <c r="AB1365" s="3382">
        <v>3176.6</v>
      </c>
      <c r="AC1365" s="3382">
        <v>3176.6</v>
      </c>
      <c r="AD1365" s="3382">
        <v>3176.6</v>
      </c>
      <c r="AE1365" s="3382">
        <v>3176.6</v>
      </c>
      <c r="AF1365" s="2236">
        <f t="shared" si="202"/>
        <v>1081</v>
      </c>
      <c r="AG1365" s="244"/>
      <c r="DG1365" s="573"/>
      <c r="DH1365" s="159"/>
      <c r="DI1365" s="1091"/>
    </row>
    <row r="1366" spans="1:114" hidden="1" outlineLevel="1">
      <c r="A1366" s="453"/>
      <c r="B1366" s="1454"/>
      <c r="C1366" s="51"/>
      <c r="D1366" s="4293"/>
      <c r="E1366" s="4293"/>
      <c r="F1366" s="4342" t="str">
        <f>$F$1306</f>
        <v>DFHP-SEER21-ROF_MF</v>
      </c>
      <c r="G1366" s="4342"/>
      <c r="H1366" s="4342"/>
      <c r="I1366" s="822"/>
      <c r="J1366" s="2077">
        <f t="shared" si="203"/>
        <v>1081</v>
      </c>
      <c r="K1366" s="1442">
        <f t="shared" si="204"/>
        <v>5.4</v>
      </c>
      <c r="L1366" s="929"/>
      <c r="R1366" s="181"/>
      <c r="S1366" s="52"/>
      <c r="T1366" s="52"/>
      <c r="U1366" s="52"/>
      <c r="V1366" s="4293"/>
      <c r="W1366" s="244">
        <v>3626.6</v>
      </c>
      <c r="X1366" s="244">
        <v>3626.6</v>
      </c>
      <c r="Y1366" s="244">
        <v>3626.6</v>
      </c>
      <c r="Z1366" s="244">
        <v>3626.6</v>
      </c>
      <c r="AA1366" s="244">
        <v>3626.6</v>
      </c>
      <c r="AB1366" s="244">
        <v>3626.6</v>
      </c>
      <c r="AC1366" s="244">
        <v>3626.6</v>
      </c>
      <c r="AD1366" s="244">
        <v>3626.6</v>
      </c>
      <c r="AE1366" s="244">
        <v>3626.6</v>
      </c>
      <c r="AF1366" s="271">
        <f t="shared" si="202"/>
        <v>1081</v>
      </c>
      <c r="AG1366" s="244"/>
      <c r="DG1366" s="573"/>
      <c r="DH1366" s="159"/>
      <c r="DI1366" s="1091"/>
    </row>
    <row r="1367" spans="1:114" hidden="1" outlineLevel="1">
      <c r="A1367" s="453"/>
      <c r="B1367" s="1454"/>
      <c r="C1367" s="51"/>
      <c r="D1367" s="4293"/>
      <c r="E1367" s="4293"/>
      <c r="F1367" s="4341" t="str">
        <f>$F$1307</f>
        <v>DFHP-SEER21-ROF_MF_CompE</v>
      </c>
      <c r="G1367" s="4341"/>
      <c r="H1367" s="4341"/>
      <c r="I1367" s="3335"/>
      <c r="J1367" s="3378">
        <f t="shared" si="203"/>
        <v>1081</v>
      </c>
      <c r="K1367" s="2962">
        <f t="shared" si="204"/>
        <v>5.4</v>
      </c>
      <c r="L1367" s="1384"/>
      <c r="R1367" s="181"/>
      <c r="S1367" s="52"/>
      <c r="T1367" s="52"/>
      <c r="U1367" s="52"/>
      <c r="V1367" s="4293"/>
      <c r="W1367" s="244"/>
      <c r="X1367" s="244"/>
      <c r="Y1367" s="3381">
        <v>3626.6</v>
      </c>
      <c r="Z1367" s="3382">
        <v>3626.6</v>
      </c>
      <c r="AA1367" s="3382">
        <v>3626.6</v>
      </c>
      <c r="AB1367" s="3382">
        <v>3626.6</v>
      </c>
      <c r="AC1367" s="3382">
        <v>3626.6</v>
      </c>
      <c r="AD1367" s="3382">
        <v>3626.6</v>
      </c>
      <c r="AE1367" s="3382">
        <v>3626.6</v>
      </c>
      <c r="AF1367" s="2236">
        <f t="shared" si="202"/>
        <v>1081</v>
      </c>
      <c r="AG1367" s="244"/>
      <c r="DG1367" s="573"/>
      <c r="DH1367" s="159"/>
      <c r="DI1367" s="1091"/>
    </row>
    <row r="1368" spans="1:114" collapsed="1">
      <c r="A1368" s="453"/>
      <c r="C1368" s="51"/>
      <c r="D1368" s="407"/>
      <c r="E1368" s="407"/>
      <c r="F1368" s="1436"/>
      <c r="G1368" s="1436"/>
      <c r="H1368" s="1436"/>
      <c r="I1368" s="1436"/>
      <c r="J1368" s="926"/>
      <c r="K1368" s="563"/>
      <c r="L1368" s="1436"/>
      <c r="R1368" s="181"/>
      <c r="S1368" s="52"/>
      <c r="T1368" s="52"/>
      <c r="U1368" s="52"/>
      <c r="V1368" s="52"/>
      <c r="DG1368" s="573"/>
      <c r="DH1368" s="159"/>
      <c r="DI1368" s="1091"/>
    </row>
    <row r="1369" spans="1:114">
      <c r="A1369" s="453"/>
      <c r="C1369" s="51"/>
      <c r="D1369" s="104"/>
      <c r="E1369" s="104"/>
      <c r="G1369" s="104"/>
      <c r="S1369" s="52"/>
      <c r="T1369" s="52"/>
      <c r="U1369" s="52"/>
      <c r="V1369" s="52"/>
      <c r="DG1369" s="573"/>
      <c r="DH1369" s="159"/>
      <c r="DI1369" s="1091"/>
    </row>
    <row r="1370" spans="1:114">
      <c r="A1370" s="453"/>
      <c r="B1370" s="1363" t="s">
        <v>2131</v>
      </c>
      <c r="C1370" s="220"/>
      <c r="D1370" s="1364"/>
      <c r="E1370" s="1364"/>
      <c r="F1370" s="1364"/>
      <c r="G1370" s="1364"/>
      <c r="H1370" s="1364"/>
      <c r="I1370" s="1364"/>
      <c r="J1370" s="1364"/>
      <c r="K1370" s="1364"/>
      <c r="L1370" s="1364"/>
      <c r="M1370" s="1364"/>
      <c r="N1370" s="1364"/>
      <c r="O1370" s="1364"/>
      <c r="P1370" s="1364"/>
      <c r="Q1370" s="1397"/>
      <c r="S1370" s="52"/>
      <c r="T1370" s="52"/>
      <c r="U1370" s="52"/>
      <c r="V1370" s="4066" t="str">
        <f>B1370</f>
        <v>Ground Source Heat Pumps</v>
      </c>
      <c r="W1370" s="4067"/>
      <c r="X1370" s="4067"/>
      <c r="Y1370" s="4067"/>
      <c r="Z1370" s="4067"/>
      <c r="AA1370" s="4067"/>
      <c r="AB1370" s="4067"/>
      <c r="AC1370" s="4837"/>
      <c r="AD1370" s="4837"/>
      <c r="AE1370" s="4837"/>
      <c r="AF1370" s="4837"/>
      <c r="AG1370" s="4837"/>
      <c r="AH1370" s="4838"/>
      <c r="DG1370" s="573"/>
      <c r="DH1370" s="159"/>
      <c r="DI1370" s="1091"/>
    </row>
    <row r="1371" spans="1:114">
      <c r="A1371" s="453"/>
      <c r="C1371" s="51"/>
      <c r="D1371" s="104"/>
      <c r="E1371" s="104"/>
      <c r="G1371" s="104"/>
      <c r="I1371" s="51"/>
      <c r="J1371" s="51"/>
      <c r="K1371" s="51"/>
      <c r="L1371" s="51"/>
      <c r="M1371" s="51"/>
      <c r="Q1371" s="104"/>
      <c r="S1371" s="52"/>
      <c r="T1371" s="52"/>
      <c r="U1371" s="52"/>
      <c r="V1371" s="52"/>
      <c r="AD1371" s="41"/>
      <c r="DG1371" s="573"/>
      <c r="DH1371" s="159"/>
      <c r="DI1371" s="1091"/>
    </row>
    <row r="1372" spans="1:114" ht="30">
      <c r="A1372" s="453"/>
      <c r="C1372" s="1371" t="s">
        <v>42</v>
      </c>
      <c r="D1372" s="1371" t="s">
        <v>953</v>
      </c>
      <c r="E1372" s="1371" t="s">
        <v>44</v>
      </c>
      <c r="F1372" s="1371" t="s">
        <v>45</v>
      </c>
      <c r="G1372" s="1371" t="s">
        <v>46</v>
      </c>
      <c r="H1372" s="1371" t="s">
        <v>47</v>
      </c>
      <c r="I1372" s="1371" t="s">
        <v>48</v>
      </c>
      <c r="J1372" s="1371" t="s">
        <v>49</v>
      </c>
      <c r="K1372" s="1371" t="s">
        <v>50</v>
      </c>
      <c r="L1372" s="1371" t="s">
        <v>1782</v>
      </c>
      <c r="M1372" s="51"/>
      <c r="S1372" s="52"/>
      <c r="T1372" s="52"/>
      <c r="U1372" s="52"/>
      <c r="V1372" s="177" t="s">
        <v>52</v>
      </c>
      <c r="W1372" s="669">
        <f>W$6</f>
        <v>43252</v>
      </c>
      <c r="X1372" s="669">
        <f t="shared" ref="X1372:AG1372" si="205">X$6</f>
        <v>43465</v>
      </c>
      <c r="Y1372" s="669">
        <f t="shared" si="205"/>
        <v>43800</v>
      </c>
      <c r="Z1372" s="669">
        <f t="shared" si="205"/>
        <v>43862</v>
      </c>
      <c r="AA1372" s="669">
        <f t="shared" si="205"/>
        <v>44013</v>
      </c>
      <c r="AB1372" s="669">
        <f t="shared" si="205"/>
        <v>44166</v>
      </c>
      <c r="AC1372" s="669">
        <f t="shared" si="205"/>
        <v>44531</v>
      </c>
      <c r="AD1372" s="669">
        <f t="shared" si="205"/>
        <v>44774</v>
      </c>
      <c r="AE1372" s="669">
        <f t="shared" si="205"/>
        <v>45142</v>
      </c>
      <c r="AF1372" s="669">
        <f t="shared" si="205"/>
        <v>45672</v>
      </c>
      <c r="AG1372" s="669" t="str">
        <f t="shared" si="205"/>
        <v>-</v>
      </c>
      <c r="DG1372" s="811" t="str">
        <f>$DG$6</f>
        <v>TRC (2025)</v>
      </c>
      <c r="DH1372" s="811" t="str">
        <f>$DH$6</f>
        <v>Benefit Lookup</v>
      </c>
      <c r="DI1372" s="1076" t="str">
        <f>$DI$6</f>
        <v>Benefits (2025 $)</v>
      </c>
      <c r="DJ1372" s="1103" t="str">
        <f>$DJ$6</f>
        <v>Incremental Cost (2025 $)</v>
      </c>
    </row>
    <row r="1373" spans="1:114">
      <c r="A1373" s="453"/>
      <c r="B1373" s="1454">
        <f t="shared" ref="B1373:B1388" si="206">VALUE(LEFT(C1373,6))</f>
        <v>352050</v>
      </c>
      <c r="C1373" s="682" t="s">
        <v>2132</v>
      </c>
      <c r="D1373" s="1540" t="s">
        <v>1800</v>
      </c>
      <c r="E1373" s="1368" t="s">
        <v>2133</v>
      </c>
      <c r="F1373" s="944">
        <f>ROUND((($J$1441*$J$1449*(1/$J$1457-1/$J$1465))/1000)*$J$1473,2)</f>
        <v>1606.94</v>
      </c>
      <c r="G1373" s="84" t="s">
        <v>2077</v>
      </c>
      <c r="H1373" s="69">
        <f>VLOOKUP(G1373,'CP FACTORS'!$A$3:$B$38, 2, FALSE)</f>
        <v>9.4741810000000004E-4</v>
      </c>
      <c r="I1373" s="1474">
        <f t="shared" ref="I1373:I1388" si="207">ROUND(F1373*H1373,6)</f>
        <v>1.5224439999999999</v>
      </c>
      <c r="J1373" s="59">
        <v>18</v>
      </c>
      <c r="K1373" s="1607">
        <f>VLOOKUP(E1373,$F$1488:$J$1500,5,FALSE)</f>
        <v>10389.878378378377</v>
      </c>
      <c r="L1373" s="117">
        <f>K1441</f>
        <v>3.993150684931507</v>
      </c>
      <c r="M1373" s="560"/>
      <c r="R1373" s="532"/>
      <c r="S1373" s="52"/>
      <c r="T1373" s="52"/>
      <c r="U1373" s="52"/>
      <c r="V1373" s="1378" t="s">
        <v>45</v>
      </c>
      <c r="W1373" s="246">
        <v>1811.005012964564</v>
      </c>
      <c r="X1373" s="246">
        <v>1413.8603840319427</v>
      </c>
      <c r="Y1373" s="247">
        <v>1413.86</v>
      </c>
      <c r="Z1373" s="732">
        <v>1413.86</v>
      </c>
      <c r="AA1373" s="732">
        <v>1413.86</v>
      </c>
      <c r="AB1373" s="659">
        <v>1387.05</v>
      </c>
      <c r="AC1373" s="678">
        <v>1403.37</v>
      </c>
      <c r="AD1373" s="944">
        <v>1510.41</v>
      </c>
      <c r="AE1373" s="944">
        <v>1603.02</v>
      </c>
      <c r="AF1373" s="271">
        <f t="shared" ref="AF1373:AF1388" si="208">IF(F1373&lt;&gt;"",F1373,"")</f>
        <v>1606.94</v>
      </c>
      <c r="AG1373" s="356"/>
      <c r="AH1373" s="121"/>
      <c r="AI1373" s="121"/>
      <c r="DG1373" s="992">
        <f>(DI1373+DI1374)/(DJ1373+DJ1374)</f>
        <v>1.300507010341031</v>
      </c>
      <c r="DH1373" s="1369" t="str">
        <f t="shared" ref="DH1373:DH1384" si="209">CONCATENATE(G1373," ",J1373," Year EUL")</f>
        <v>Cooling Res 18 Year EUL</v>
      </c>
      <c r="DI1373" s="1087">
        <f>(INDEX('Avoided Cost Benefits'!$B$4:$B$866,MATCH(DH1373,'Avoided Cost Benefits'!$A$4:$A$866,0)))*F1373</f>
        <v>3679.5212355887734</v>
      </c>
      <c r="DJ1373" s="1169">
        <f t="shared" ref="DJ1373:DJ1386" si="210">K1373/(1.0686^(2025-2025))</f>
        <v>10389.878378378377</v>
      </c>
    </row>
    <row r="1374" spans="1:114">
      <c r="A1374" s="453"/>
      <c r="B1374" s="1454">
        <f t="shared" si="206"/>
        <v>352050</v>
      </c>
      <c r="C1374" s="19" t="s">
        <v>2134</v>
      </c>
      <c r="D1374" s="1540" t="s">
        <v>1800</v>
      </c>
      <c r="E1374" s="1368" t="s">
        <v>2133</v>
      </c>
      <c r="F1374" s="1045">
        <f>ROUND((($J$1409*$J$1417*(1/$J$1425-1/$J$1433))/1000)*$J$1473,2)</f>
        <v>16223.39</v>
      </c>
      <c r="G1374" s="84" t="s">
        <v>1046</v>
      </c>
      <c r="H1374" s="69">
        <f>VLOOKUP(G1374,'CP FACTORS'!$A$3:$B$38, 2, FALSE)</f>
        <v>0</v>
      </c>
      <c r="I1374" s="45">
        <f t="shared" si="207"/>
        <v>0</v>
      </c>
      <c r="J1374" s="59">
        <v>18</v>
      </c>
      <c r="K1374" s="1604"/>
      <c r="L1374" s="18"/>
      <c r="M1374" s="560"/>
      <c r="R1374" s="532"/>
      <c r="S1374" s="52"/>
      <c r="T1374" s="52"/>
      <c r="U1374" s="52"/>
      <c r="V1374" s="1378" t="s">
        <v>45</v>
      </c>
      <c r="W1374" s="246">
        <v>6530.865353107697</v>
      </c>
      <c r="X1374" s="248">
        <v>21786.888829533</v>
      </c>
      <c r="Y1374" s="247">
        <v>16223.59</v>
      </c>
      <c r="Z1374" s="732">
        <v>16223.59</v>
      </c>
      <c r="AA1374" s="732">
        <v>16223.59</v>
      </c>
      <c r="AB1374" s="659">
        <v>16908.54</v>
      </c>
      <c r="AC1374" s="678">
        <v>15839.4</v>
      </c>
      <c r="AD1374" s="944">
        <v>16223.39</v>
      </c>
      <c r="AE1374" s="1045">
        <v>16223.39</v>
      </c>
      <c r="AF1374" s="271">
        <f t="shared" si="208"/>
        <v>16223.39</v>
      </c>
      <c r="AG1374" s="356"/>
      <c r="AH1374" s="121"/>
      <c r="AI1374" s="121"/>
      <c r="DG1374" s="1092"/>
      <c r="DH1374" s="1370" t="str">
        <f t="shared" si="209"/>
        <v>Heating RES 18 Year EUL</v>
      </c>
      <c r="DI1374" s="1091">
        <f>(INDEX('Avoided Cost Benefits'!$B$4:$B$866,MATCH(DH1374,'Avoided Cost Benefits'!$A$4:$A$866,0)))*F1374</f>
        <v>9832.58843208301</v>
      </c>
      <c r="DJ1374" s="872">
        <f t="shared" si="210"/>
        <v>0</v>
      </c>
    </row>
    <row r="1375" spans="1:114">
      <c r="A1375" s="453"/>
      <c r="B1375" s="1454">
        <f t="shared" si="206"/>
        <v>352100</v>
      </c>
      <c r="C1375" s="682" t="s">
        <v>2135</v>
      </c>
      <c r="D1375" s="1540" t="s">
        <v>1800</v>
      </c>
      <c r="E1375" s="1368" t="s">
        <v>2136</v>
      </c>
      <c r="F1375" s="944">
        <f>ROUND((($J$1442*$J$1450*(1/$J$1458-1/$J$1466))/1000)*$J$1473,2)</f>
        <v>4725.7</v>
      </c>
      <c r="G1375" s="84" t="s">
        <v>2077</v>
      </c>
      <c r="H1375" s="69">
        <f>VLOOKUP(G1375,'CP FACTORS'!$A$3:$B$38, 2, FALSE)</f>
        <v>9.4741810000000004E-4</v>
      </c>
      <c r="I1375" s="1474">
        <f t="shared" si="207"/>
        <v>4.477214</v>
      </c>
      <c r="J1375" s="59">
        <v>6</v>
      </c>
      <c r="K1375" s="1607">
        <f>VLOOKUP(E1375,$F$1488:$J$1500,5,FALSE)</f>
        <v>10005.779576760684</v>
      </c>
      <c r="L1375" s="18">
        <f>K1442</f>
        <v>3.8698630136986303</v>
      </c>
      <c r="M1375" s="560"/>
      <c r="R1375" s="532"/>
      <c r="S1375" s="52"/>
      <c r="T1375" s="52"/>
      <c r="U1375" s="52"/>
      <c r="V1375" s="1378" t="s">
        <v>45</v>
      </c>
      <c r="W1375" s="246">
        <v>4715.6029411764694</v>
      </c>
      <c r="X1375" s="246">
        <v>4824.9949536200738</v>
      </c>
      <c r="Y1375" s="247">
        <v>4824.99</v>
      </c>
      <c r="Z1375" s="732">
        <v>4824.99</v>
      </c>
      <c r="AA1375" s="732">
        <v>4824.99</v>
      </c>
      <c r="AB1375" s="659">
        <v>4734.18</v>
      </c>
      <c r="AC1375" s="678">
        <v>5417.2</v>
      </c>
      <c r="AD1375" s="944">
        <v>4933.84</v>
      </c>
      <c r="AE1375" s="1045">
        <v>4933.84</v>
      </c>
      <c r="AF1375" s="271">
        <f t="shared" si="208"/>
        <v>4725.7</v>
      </c>
      <c r="AG1375" s="356"/>
      <c r="AH1375" s="121"/>
      <c r="AI1375" s="121"/>
      <c r="DG1375" s="1090">
        <f>(DI1375+DI1376+DI1377+DI1378)/(DJ1375+DJ1376+DJ1377+DJ1378)</f>
        <v>1.6278290817075913</v>
      </c>
      <c r="DH1375" s="1369" t="str">
        <f t="shared" si="209"/>
        <v>Cooling Res 6 Year EUL</v>
      </c>
      <c r="DI1375" s="1091">
        <f>(INDEX('Avoided Cost Benefits'!$B$4:$B$866,MATCH(DH1375,'Avoided Cost Benefits'!$A$4:$A$866,0)))*F1375</f>
        <v>4706.0793535244566</v>
      </c>
      <c r="DJ1375" s="1170">
        <f t="shared" si="210"/>
        <v>10005.779576760684</v>
      </c>
    </row>
    <row r="1376" spans="1:114">
      <c r="A1376" s="453"/>
      <c r="B1376" s="1454">
        <f t="shared" si="206"/>
        <v>352100</v>
      </c>
      <c r="C1376" s="682" t="s">
        <v>2135</v>
      </c>
      <c r="D1376" s="1540" t="s">
        <v>1800</v>
      </c>
      <c r="E1376" s="1368" t="s">
        <v>2136</v>
      </c>
      <c r="F1376" s="1045">
        <f>ROUND((($J$1410*$J$1418*(1/$J$1426-1/$J$1434))/1000)*$J$1473,2)</f>
        <v>15784.45</v>
      </c>
      <c r="G1376" s="84" t="s">
        <v>1046</v>
      </c>
      <c r="H1376" s="69">
        <f>VLOOKUP(G1376,'CP FACTORS'!$A$3:$B$38, 2, FALSE)</f>
        <v>0</v>
      </c>
      <c r="I1376" s="45">
        <f t="shared" si="207"/>
        <v>0</v>
      </c>
      <c r="J1376" s="59">
        <v>6</v>
      </c>
      <c r="K1376" s="1604"/>
      <c r="L1376" s="18"/>
      <c r="M1376" s="560"/>
      <c r="R1376" s="532"/>
      <c r="S1376" s="52"/>
      <c r="T1376" s="52"/>
      <c r="U1376" s="52"/>
      <c r="V1376" s="1378" t="s">
        <v>45</v>
      </c>
      <c r="W1376" s="246">
        <v>6530.865353107697</v>
      </c>
      <c r="X1376" s="248">
        <v>21786.888829533</v>
      </c>
      <c r="Y1376" s="247">
        <v>16223.59</v>
      </c>
      <c r="Z1376" s="732">
        <v>16223.59</v>
      </c>
      <c r="AA1376" s="732">
        <v>16223.59</v>
      </c>
      <c r="AB1376" s="659">
        <v>15550.48</v>
      </c>
      <c r="AC1376" s="678">
        <v>16555.189999999999</v>
      </c>
      <c r="AD1376" s="944">
        <v>15784.45</v>
      </c>
      <c r="AE1376" s="1045">
        <v>15784.45</v>
      </c>
      <c r="AF1376" s="271">
        <f t="shared" si="208"/>
        <v>15784.45</v>
      </c>
      <c r="AG1376" s="356"/>
      <c r="AH1376" s="121"/>
      <c r="AI1376" s="121"/>
      <c r="DG1376" s="1094"/>
      <c r="DH1376" s="1393" t="str">
        <f t="shared" si="209"/>
        <v>Heating RES 6 Year EUL</v>
      </c>
      <c r="DI1376" s="1091">
        <f>(INDEX('Avoided Cost Benefits'!$B$4:$B$866,MATCH(DH1376,'Avoided Cost Benefits'!$A$4:$A$866,0)))*F1376</f>
        <v>4233.0550275767064</v>
      </c>
      <c r="DJ1376" s="872">
        <f t="shared" si="210"/>
        <v>0</v>
      </c>
    </row>
    <row r="1377" spans="1:114">
      <c r="A1377" s="453"/>
      <c r="B1377" s="1454">
        <f t="shared" si="206"/>
        <v>352100</v>
      </c>
      <c r="C1377" s="682" t="s">
        <v>2135</v>
      </c>
      <c r="D1377" s="1540" t="s">
        <v>1800</v>
      </c>
      <c r="E1377" s="1368" t="s">
        <v>2137</v>
      </c>
      <c r="F1377" s="944">
        <f>ROUND((($J$1443*$J$1451*(1/$J$1459-1/$J$1467))/1000)*$J$1473,2)</f>
        <v>1557.33</v>
      </c>
      <c r="G1377" s="570" t="s">
        <v>2138</v>
      </c>
      <c r="H1377" s="69">
        <f>VLOOKUP(G1377,'CP FACTORS'!$A$3:$B$38, 2, FALSE)</f>
        <v>9.4741810000000004E-4</v>
      </c>
      <c r="I1377" s="1474">
        <f t="shared" si="207"/>
        <v>1.4754430000000001</v>
      </c>
      <c r="J1377" s="59">
        <v>12</v>
      </c>
      <c r="K1377" s="1604"/>
      <c r="L1377" s="18"/>
      <c r="M1377" s="560"/>
      <c r="R1377" s="532"/>
      <c r="S1377" s="52"/>
      <c r="T1377" s="52"/>
      <c r="U1377" s="52"/>
      <c r="V1377" s="1378" t="s">
        <v>45</v>
      </c>
      <c r="W1377" s="246">
        <v>1716.9631221719455</v>
      </c>
      <c r="X1377" s="246">
        <v>1413.8603840319427</v>
      </c>
      <c r="Y1377" s="247">
        <v>1413.86</v>
      </c>
      <c r="Z1377" s="732">
        <v>1413.86</v>
      </c>
      <c r="AA1377" s="732">
        <v>1413.86</v>
      </c>
      <c r="AB1377" s="659">
        <v>1603.59</v>
      </c>
      <c r="AC1377" s="678">
        <v>1743.88</v>
      </c>
      <c r="AD1377" s="944">
        <v>1431.53</v>
      </c>
      <c r="AE1377" s="1045">
        <v>1431.53</v>
      </c>
      <c r="AF1377" s="271">
        <f t="shared" si="208"/>
        <v>1557.33</v>
      </c>
      <c r="AG1377" s="356"/>
      <c r="AH1377" s="121"/>
      <c r="AI1377" s="121"/>
      <c r="DG1377" s="1094"/>
      <c r="DH1377" s="1393" t="str">
        <f t="shared" si="209"/>
        <v>Cooling Res ER2 12 Year EUL</v>
      </c>
      <c r="DI1377" s="1091">
        <f>(INDEX('Avoided Cost Benefits'!$B$4:$B$866,MATCH(DH1377,'Avoided Cost Benefits'!$A$4:$A$866,0)))*F1377</f>
        <v>2015.0616830718666</v>
      </c>
      <c r="DJ1377" s="872">
        <f t="shared" si="210"/>
        <v>0</v>
      </c>
    </row>
    <row r="1378" spans="1:114">
      <c r="A1378" s="453"/>
      <c r="B1378" s="1454">
        <f t="shared" si="206"/>
        <v>352100</v>
      </c>
      <c r="C1378" s="682" t="s">
        <v>2135</v>
      </c>
      <c r="D1378" s="1540" t="s">
        <v>1800</v>
      </c>
      <c r="E1378" s="1368" t="s">
        <v>2137</v>
      </c>
      <c r="F1378" s="1045">
        <f>ROUND((($J$1411*$J$1419*(1/$J$1427-1/$J$1435))/1000)*$J$1473,2)</f>
        <v>15784.45</v>
      </c>
      <c r="G1378" s="570" t="s">
        <v>1967</v>
      </c>
      <c r="H1378" s="69">
        <f>VLOOKUP(G1378,'CP FACTORS'!$A$3:$B$38, 2, FALSE)</f>
        <v>0</v>
      </c>
      <c r="I1378" s="45">
        <f t="shared" si="207"/>
        <v>0</v>
      </c>
      <c r="J1378" s="59">
        <v>12</v>
      </c>
      <c r="K1378" s="1604"/>
      <c r="L1378" s="18"/>
      <c r="M1378" s="560"/>
      <c r="R1378" s="532"/>
      <c r="S1378" s="52"/>
      <c r="T1378" s="52"/>
      <c r="U1378" s="52"/>
      <c r="V1378" s="1378" t="s">
        <v>45</v>
      </c>
      <c r="W1378" s="246">
        <v>6530.865353107697</v>
      </c>
      <c r="X1378" s="248">
        <v>21786.888829533</v>
      </c>
      <c r="Y1378" s="247">
        <v>16223.59</v>
      </c>
      <c r="Z1378" s="732">
        <v>16223.59</v>
      </c>
      <c r="AA1378" s="732">
        <v>16223.59</v>
      </c>
      <c r="AB1378" s="659">
        <v>15550.48</v>
      </c>
      <c r="AC1378" s="678">
        <v>16555.189999999999</v>
      </c>
      <c r="AD1378" s="944">
        <v>15784.45</v>
      </c>
      <c r="AE1378" s="1045">
        <v>15784.45</v>
      </c>
      <c r="AF1378" s="271">
        <f t="shared" si="208"/>
        <v>15784.45</v>
      </c>
      <c r="AG1378" s="356"/>
      <c r="AH1378" s="121"/>
      <c r="AI1378" s="121"/>
      <c r="DG1378" s="1094"/>
      <c r="DH1378" s="1370" t="str">
        <f t="shared" si="209"/>
        <v>Heating RES ER2 12 Year EUL</v>
      </c>
      <c r="DI1378" s="1091">
        <f>(INDEX('Avoided Cost Benefits'!$B$4:$B$866,MATCH(DH1378,'Avoided Cost Benefits'!$A$4:$A$866,0)))*F1378</f>
        <v>5333.5029160338872</v>
      </c>
      <c r="DJ1378" s="872">
        <f t="shared" si="210"/>
        <v>0</v>
      </c>
    </row>
    <row r="1379" spans="1:114">
      <c r="A1379" s="453"/>
      <c r="B1379" s="1454">
        <f t="shared" si="206"/>
        <v>352200</v>
      </c>
      <c r="C1379" s="682" t="s">
        <v>2139</v>
      </c>
      <c r="D1379" s="1540" t="s">
        <v>1800</v>
      </c>
      <c r="E1379" s="1024" t="s">
        <v>2140</v>
      </c>
      <c r="F1379" s="944">
        <f>ROUND(((J1444*J1452*(1/J1460-1/J1468))/1000)*$J$1473,2)</f>
        <v>4385.8500000000004</v>
      </c>
      <c r="G1379" s="84" t="s">
        <v>2077</v>
      </c>
      <c r="H1379" s="69">
        <f>VLOOKUP(G1379,'CP FACTORS'!$A$3:$B$38, 2, FALSE)</f>
        <v>9.4741810000000004E-4</v>
      </c>
      <c r="I1379" s="1474">
        <f t="shared" si="207"/>
        <v>4.1552340000000001</v>
      </c>
      <c r="J1379" s="59">
        <v>6</v>
      </c>
      <c r="K1379" s="1607">
        <f>VLOOKUP(E1379,$F$1488:$J$1500,5,FALSE)</f>
        <v>6248.64477985144</v>
      </c>
      <c r="L1379" s="18">
        <f>K1444</f>
        <v>3.8698630136986303</v>
      </c>
      <c r="M1379" s="560"/>
      <c r="R1379" s="532"/>
      <c r="S1379" s="52"/>
      <c r="T1379" s="52"/>
      <c r="U1379" s="52"/>
      <c r="V1379" s="1378" t="s">
        <v>45</v>
      </c>
      <c r="W1379" s="246">
        <v>4715.6029411764694</v>
      </c>
      <c r="X1379" s="246">
        <v>1930.2682563723677</v>
      </c>
      <c r="Y1379" s="247">
        <v>1930.27</v>
      </c>
      <c r="Z1379" s="732">
        <v>1930.27</v>
      </c>
      <c r="AA1379" s="732">
        <v>1930.27</v>
      </c>
      <c r="AB1379" s="659">
        <v>2089.52</v>
      </c>
      <c r="AC1379" s="678">
        <v>3155.16</v>
      </c>
      <c r="AD1379" s="944">
        <v>3557.73</v>
      </c>
      <c r="AE1379" s="1045">
        <v>3557.73</v>
      </c>
      <c r="AF1379" s="271">
        <f t="shared" si="208"/>
        <v>4385.8500000000004</v>
      </c>
      <c r="AG1379" s="356"/>
      <c r="AH1379" s="121"/>
      <c r="AI1379" s="121"/>
      <c r="DG1379" s="1090">
        <f>(DI1379+DI1380+DI1381+DI1382)/(DJ1379+DJ1380+DJ1381+DJ1382)</f>
        <v>1.4355894503288062</v>
      </c>
      <c r="DH1379" s="1369" t="str">
        <f t="shared" si="209"/>
        <v>Cooling Res 6 Year EUL</v>
      </c>
      <c r="DI1379" s="1091">
        <f>(INDEX('Avoided Cost Benefits'!$B$4:$B$866,MATCH(DH1379,'Avoided Cost Benefits'!$A$4:$A$866,0)))*F1379</f>
        <v>4367.6403776488651</v>
      </c>
      <c r="DJ1379" s="1170">
        <f t="shared" si="210"/>
        <v>6248.64477985144</v>
      </c>
    </row>
    <row r="1380" spans="1:114">
      <c r="A1380" s="453"/>
      <c r="B1380" s="1454">
        <f t="shared" si="206"/>
        <v>352200</v>
      </c>
      <c r="C1380" s="682" t="s">
        <v>2139</v>
      </c>
      <c r="D1380" s="1540" t="s">
        <v>1800</v>
      </c>
      <c r="E1380" s="1024" t="s">
        <v>2140</v>
      </c>
      <c r="F1380" s="944">
        <f>ROUND(((J1413*J1421*(1/J1428-1/J1437))/1000)*$J$1473,2)</f>
        <v>4674.3999999999996</v>
      </c>
      <c r="G1380" s="84" t="s">
        <v>1046</v>
      </c>
      <c r="H1380" s="69">
        <f>VLOOKUP(G1380,'CP FACTORS'!$A$3:$B$38, 2, FALSE)</f>
        <v>0</v>
      </c>
      <c r="I1380" s="1474">
        <f t="shared" si="207"/>
        <v>0</v>
      </c>
      <c r="J1380" s="59">
        <v>6</v>
      </c>
      <c r="K1380" s="1604"/>
      <c r="L1380" s="18"/>
      <c r="M1380" s="560"/>
      <c r="R1380" s="532"/>
      <c r="S1380" s="52"/>
      <c r="T1380" s="52"/>
      <c r="U1380" s="52"/>
      <c r="V1380" s="1378" t="s">
        <v>45</v>
      </c>
      <c r="W1380" s="246">
        <v>6530.865353107697</v>
      </c>
      <c r="X1380" s="248">
        <v>3650.7555350956377</v>
      </c>
      <c r="Y1380" s="247">
        <v>2718.53</v>
      </c>
      <c r="Z1380" s="732">
        <v>2718.53</v>
      </c>
      <c r="AA1380" s="732">
        <v>2718.53</v>
      </c>
      <c r="AB1380" s="659">
        <v>2968.34</v>
      </c>
      <c r="AC1380" s="678">
        <v>2827.56</v>
      </c>
      <c r="AD1380" s="944">
        <v>2686.03</v>
      </c>
      <c r="AE1380" s="1045">
        <v>2686.03</v>
      </c>
      <c r="AF1380" s="271">
        <f t="shared" si="208"/>
        <v>4674.3999999999996</v>
      </c>
      <c r="AG1380" s="356"/>
      <c r="AH1380" s="121"/>
      <c r="AI1380" s="121"/>
      <c r="DG1380" s="1094"/>
      <c r="DH1380" s="1393" t="str">
        <f t="shared" si="209"/>
        <v>Heating RES 6 Year EUL</v>
      </c>
      <c r="DI1380" s="1091">
        <f>(INDEX('Avoided Cost Benefits'!$B$4:$B$866,MATCH(DH1380,'Avoided Cost Benefits'!$A$4:$A$866,0)))*F1380</f>
        <v>1253.5750324467788</v>
      </c>
      <c r="DJ1380" s="872">
        <f t="shared" si="210"/>
        <v>0</v>
      </c>
    </row>
    <row r="1381" spans="1:114">
      <c r="A1381" s="453"/>
      <c r="B1381" s="1454">
        <f t="shared" si="206"/>
        <v>352200</v>
      </c>
      <c r="C1381" s="682" t="s">
        <v>2139</v>
      </c>
      <c r="D1381" s="1540" t="s">
        <v>1800</v>
      </c>
      <c r="E1381" s="1024" t="s">
        <v>2141</v>
      </c>
      <c r="F1381" s="638">
        <f>ROUND(((J1444*J1452*(1/J1462-1/J1468))/1000)*$J$1473,2)</f>
        <v>1367.79</v>
      </c>
      <c r="G1381" s="570" t="s">
        <v>2138</v>
      </c>
      <c r="H1381" s="69">
        <f>VLOOKUP(G1381,'CP FACTORS'!$A$3:$B$38, 2, FALSE)</f>
        <v>9.4741810000000004E-4</v>
      </c>
      <c r="I1381" s="1474">
        <f t="shared" si="207"/>
        <v>1.2958689999999999</v>
      </c>
      <c r="J1381" s="59">
        <v>12</v>
      </c>
      <c r="K1381" s="1604"/>
      <c r="L1381" s="18"/>
      <c r="M1381" s="560"/>
      <c r="R1381" s="532"/>
      <c r="S1381" s="52"/>
      <c r="T1381" s="52"/>
      <c r="U1381" s="52"/>
      <c r="V1381" s="1378" t="s">
        <v>45</v>
      </c>
      <c r="W1381" s="130">
        <v>1460.3876720901126</v>
      </c>
      <c r="X1381" s="130">
        <v>1413.8603840319427</v>
      </c>
      <c r="Y1381" s="247">
        <v>1413.86</v>
      </c>
      <c r="Z1381" s="732">
        <v>1413.86</v>
      </c>
      <c r="AA1381" s="732">
        <v>1413.86</v>
      </c>
      <c r="AB1381" s="659">
        <v>1536.02</v>
      </c>
      <c r="AC1381" s="678">
        <v>1481.42</v>
      </c>
      <c r="AD1381" s="638">
        <v>1431.53</v>
      </c>
      <c r="AE1381" s="443">
        <v>1431.53</v>
      </c>
      <c r="AF1381" s="271">
        <f t="shared" si="208"/>
        <v>1367.79</v>
      </c>
      <c r="AG1381" s="356"/>
      <c r="AH1381" s="121"/>
      <c r="AI1381" s="121"/>
      <c r="DG1381" s="1094"/>
      <c r="DH1381" s="1393" t="str">
        <f t="shared" si="209"/>
        <v>Cooling Res ER2 12 Year EUL</v>
      </c>
      <c r="DI1381" s="1091">
        <f>(INDEX('Avoided Cost Benefits'!$B$4:$B$866,MATCH(DH1381,'Avoided Cost Benefits'!$A$4:$A$866,0)))*F1381</f>
        <v>1769.8119342007592</v>
      </c>
      <c r="DJ1381" s="872">
        <f t="shared" si="210"/>
        <v>0</v>
      </c>
    </row>
    <row r="1382" spans="1:114">
      <c r="A1382" s="453"/>
      <c r="B1382" s="1454">
        <f t="shared" si="206"/>
        <v>352200</v>
      </c>
      <c r="C1382" s="682" t="s">
        <v>2139</v>
      </c>
      <c r="D1382" s="1540" t="s">
        <v>1800</v>
      </c>
      <c r="E1382" s="1024" t="s">
        <v>2141</v>
      </c>
      <c r="F1382" s="638">
        <f>ROUND(((J1413*J1421*(1/J1429-1/J1437))/1000)*$J$1473,2)</f>
        <v>4674.3999999999996</v>
      </c>
      <c r="G1382" s="570" t="s">
        <v>1967</v>
      </c>
      <c r="H1382" s="69">
        <f>VLOOKUP(G1382,'CP FACTORS'!$A$3:$B$38, 2, FALSE)</f>
        <v>0</v>
      </c>
      <c r="I1382" s="1474">
        <f t="shared" si="207"/>
        <v>0</v>
      </c>
      <c r="J1382" s="59">
        <v>12</v>
      </c>
      <c r="K1382" s="1604"/>
      <c r="L1382" s="18"/>
      <c r="M1382" s="560"/>
      <c r="R1382" s="532"/>
      <c r="S1382" s="52"/>
      <c r="T1382" s="52"/>
      <c r="U1382" s="52"/>
      <c r="V1382" s="1378" t="s">
        <v>45</v>
      </c>
      <c r="W1382" s="130">
        <v>6530.865353107697</v>
      </c>
      <c r="X1382" s="249">
        <v>2670.177267298056</v>
      </c>
      <c r="Y1382" s="247">
        <v>1988.35</v>
      </c>
      <c r="Z1382" s="732">
        <v>1988.35</v>
      </c>
      <c r="AA1382" s="732">
        <v>1988.35</v>
      </c>
      <c r="AB1382" s="659">
        <v>2185.6999999999998</v>
      </c>
      <c r="AC1382" s="678">
        <v>2082.04</v>
      </c>
      <c r="AD1382" s="638">
        <v>1977.83</v>
      </c>
      <c r="AE1382" s="443">
        <v>1977.83</v>
      </c>
      <c r="AF1382" s="271">
        <f t="shared" si="208"/>
        <v>4674.3999999999996</v>
      </c>
      <c r="AG1382" s="356"/>
      <c r="AH1382" s="121"/>
      <c r="AI1382" s="121"/>
      <c r="DG1382" s="1094"/>
      <c r="DH1382" s="1370" t="str">
        <f t="shared" si="209"/>
        <v>Heating RES ER2 12 Year EUL</v>
      </c>
      <c r="DI1382" s="1091">
        <f>(INDEX('Avoided Cost Benefits'!$B$4:$B$866,MATCH(DH1382,'Avoided Cost Benefits'!$A$4:$A$866,0)))*F1382</f>
        <v>1579.4611805104896</v>
      </c>
      <c r="DJ1382" s="872">
        <f t="shared" si="210"/>
        <v>0</v>
      </c>
    </row>
    <row r="1383" spans="1:114">
      <c r="A1383" s="453"/>
      <c r="B1383" s="1454">
        <f t="shared" si="206"/>
        <v>352250</v>
      </c>
      <c r="C1383" s="682" t="s">
        <v>2142</v>
      </c>
      <c r="D1383" s="1540" t="s">
        <v>1800</v>
      </c>
      <c r="E1383" s="1368" t="s">
        <v>2143</v>
      </c>
      <c r="F1383" s="944">
        <f>ROUND(((J1446*J1454*(1/J1462-1/J1470))/1000)*$J$1473,2)</f>
        <v>1411.37</v>
      </c>
      <c r="G1383" s="84" t="s">
        <v>2077</v>
      </c>
      <c r="H1383" s="69">
        <f>VLOOKUP(G1383,'CP FACTORS'!$A$3:$B$38, 2, FALSE)</f>
        <v>9.4741810000000004E-4</v>
      </c>
      <c r="I1383" s="1474">
        <f t="shared" si="207"/>
        <v>1.3371569999999999</v>
      </c>
      <c r="J1383" s="59">
        <v>18</v>
      </c>
      <c r="K1383" s="1607">
        <f>VLOOKUP(E1383,$F$1488:$J$1500,5,FALSE)</f>
        <v>7508.8881687196081</v>
      </c>
      <c r="L1383" s="117">
        <f>K1446</f>
        <v>3.993150684931507</v>
      </c>
      <c r="M1383" s="560"/>
      <c r="R1383" s="532"/>
      <c r="S1383" s="52"/>
      <c r="T1383" s="52"/>
      <c r="U1383" s="52"/>
      <c r="V1383" s="1378" t="s">
        <v>45</v>
      </c>
      <c r="W1383" s="246">
        <v>1535.655749462109</v>
      </c>
      <c r="X1383" s="246">
        <v>1413.8603840319427</v>
      </c>
      <c r="Y1383" s="247">
        <v>1413.86</v>
      </c>
      <c r="Z1383" s="732">
        <v>1413.86</v>
      </c>
      <c r="AA1383" s="732">
        <v>1413.86</v>
      </c>
      <c r="AB1383" s="659">
        <v>1553.75</v>
      </c>
      <c r="AC1383" s="678">
        <v>1520.53</v>
      </c>
      <c r="AD1383" s="944">
        <v>1510.41</v>
      </c>
      <c r="AE1383" s="944">
        <v>1603.02</v>
      </c>
      <c r="AF1383" s="271">
        <f t="shared" si="208"/>
        <v>1411.37</v>
      </c>
      <c r="AG1383" s="356"/>
      <c r="AH1383" s="121"/>
      <c r="AI1383" s="121"/>
      <c r="DG1383" s="1090">
        <f>(DI1383+DI1384)/(DJ1383+DJ1384)</f>
        <v>0.81816786649657092</v>
      </c>
      <c r="DH1383" s="1369" t="str">
        <f t="shared" si="209"/>
        <v>Cooling Res 18 Year EUL</v>
      </c>
      <c r="DI1383" s="1091">
        <f>(INDEX('Avoided Cost Benefits'!$B$4:$B$866,MATCH(DH1383,'Avoided Cost Benefits'!$A$4:$A$866,0)))*F1383</f>
        <v>3231.7111318860234</v>
      </c>
      <c r="DJ1383" s="1170">
        <f t="shared" si="210"/>
        <v>7508.8881687196081</v>
      </c>
    </row>
    <row r="1384" spans="1:114">
      <c r="A1384" s="453"/>
      <c r="B1384" s="1454">
        <f t="shared" si="206"/>
        <v>352250</v>
      </c>
      <c r="C1384" s="19" t="s">
        <v>2144</v>
      </c>
      <c r="D1384" s="1540" t="s">
        <v>1800</v>
      </c>
      <c r="E1384" s="1368" t="s">
        <v>2143</v>
      </c>
      <c r="F1384" s="944">
        <f>ROUND(((J1414*J1422*(1/J1430-1/J1438))/1000)*$J$1473,2)</f>
        <v>4804.3900000000003</v>
      </c>
      <c r="G1384" s="84" t="s">
        <v>1046</v>
      </c>
      <c r="H1384" s="69">
        <f>VLOOKUP(G1384,'CP FACTORS'!$A$3:$B$38, 2, FALSE)</f>
        <v>0</v>
      </c>
      <c r="I1384" s="1474">
        <f t="shared" si="207"/>
        <v>0</v>
      </c>
      <c r="J1384" s="59">
        <v>18</v>
      </c>
      <c r="K1384" s="1608"/>
      <c r="L1384" s="19"/>
      <c r="M1384" s="560"/>
      <c r="R1384" s="532"/>
      <c r="S1384" s="52"/>
      <c r="T1384" s="52"/>
      <c r="U1384" s="52"/>
      <c r="V1384" s="1378" t="s">
        <v>45</v>
      </c>
      <c r="W1384" s="246">
        <v>7008.7335496765554</v>
      </c>
      <c r="X1384" s="248">
        <v>2670.177267298056</v>
      </c>
      <c r="Y1384" s="247">
        <v>1988.35</v>
      </c>
      <c r="Z1384" s="732">
        <v>1988.35</v>
      </c>
      <c r="AA1384" s="732">
        <v>1988.35</v>
      </c>
      <c r="AB1384" s="659">
        <v>2199.89</v>
      </c>
      <c r="AC1384" s="678">
        <v>2128.5500000000002</v>
      </c>
      <c r="AD1384" s="944">
        <v>2032.83</v>
      </c>
      <c r="AE1384" s="1045">
        <v>2032.83</v>
      </c>
      <c r="AF1384" s="271">
        <f t="shared" si="208"/>
        <v>4804.3900000000003</v>
      </c>
      <c r="AG1384" s="356"/>
      <c r="AH1384" s="121"/>
      <c r="AI1384" s="121"/>
      <c r="DG1384" s="995"/>
      <c r="DH1384" s="1370" t="str">
        <f t="shared" si="209"/>
        <v>Heating RES 18 Year EUL</v>
      </c>
      <c r="DI1384" s="1088">
        <f>(INDEX('Avoided Cost Benefits'!$B$4:$B$866,MATCH(DH1384,'Avoided Cost Benefits'!$A$4:$A$866,0)))*F1384</f>
        <v>2911.8198808766415</v>
      </c>
      <c r="DJ1384" s="873">
        <f t="shared" si="210"/>
        <v>0</v>
      </c>
    </row>
    <row r="1385" spans="1:114" s="41" customFormat="1">
      <c r="A1385" s="453"/>
      <c r="B1385" s="1454">
        <f t="shared" si="206"/>
        <v>352260</v>
      </c>
      <c r="C1385" s="682" t="s">
        <v>2145</v>
      </c>
      <c r="D1385" s="1540" t="s">
        <v>1800</v>
      </c>
      <c r="E1385" s="1024" t="s">
        <v>2146</v>
      </c>
      <c r="F1385" s="638">
        <f>ROUND(((J1447*J1455*(1/J1463-1/J1471))/1000)*$J$1473,2)</f>
        <v>1557.33</v>
      </c>
      <c r="G1385" s="694" t="s">
        <v>2077</v>
      </c>
      <c r="H1385" s="1484">
        <f>VLOOKUP(G1385,'CP FACTORS'!$A$3:$B$38, 2, FALSE)</f>
        <v>9.4741810000000004E-4</v>
      </c>
      <c r="I1385" s="1474">
        <f t="shared" si="207"/>
        <v>1.4754430000000001</v>
      </c>
      <c r="J1385" s="165">
        <v>6</v>
      </c>
      <c r="K1385" s="1607">
        <f>VLOOKUP(E1385,$F$1488:$J$1500,5,FALSE)</f>
        <v>6248.64477985144</v>
      </c>
      <c r="L1385" s="117">
        <f>K1447</f>
        <v>3.8698630136986303</v>
      </c>
      <c r="M1385" s="1605"/>
      <c r="R1385" s="1606"/>
      <c r="V1385" s="676"/>
      <c r="W1385" s="249"/>
      <c r="X1385" s="249"/>
      <c r="Y1385" s="247"/>
      <c r="Z1385" s="247"/>
      <c r="AA1385" s="247"/>
      <c r="AB1385" s="659"/>
      <c r="AC1385" s="678"/>
      <c r="AD1385" s="638"/>
      <c r="AE1385" s="638"/>
      <c r="AF1385" s="271">
        <f t="shared" si="208"/>
        <v>1557.33</v>
      </c>
      <c r="AG1385" s="676"/>
      <c r="AH1385" s="728"/>
      <c r="AI1385" s="728"/>
      <c r="DG1385" s="1090">
        <f>(DI1385+DI1386+DI1387+DI1388)/(DJ1385+DJ1386+DJ1387+DJ1388)</f>
        <v>0.98480750328554567</v>
      </c>
      <c r="DH1385" s="1369" t="str">
        <f t="shared" ref="DH1385:DH1388" si="211">CONCATENATE(G1385," ",J1385," Year EUL")</f>
        <v>Cooling Res 6 Year EUL</v>
      </c>
      <c r="DI1385" s="1091">
        <f>(INDEX('Avoided Cost Benefits'!$B$4:$B$866,MATCH(DH1385,'Avoided Cost Benefits'!$A$4:$A$866,0)))*F1385</f>
        <v>1550.8641174057266</v>
      </c>
      <c r="DJ1385" s="1170">
        <f t="shared" si="210"/>
        <v>6248.64477985144</v>
      </c>
    </row>
    <row r="1386" spans="1:114" s="41" customFormat="1">
      <c r="A1386" s="453"/>
      <c r="B1386" s="1454">
        <f t="shared" si="206"/>
        <v>352260</v>
      </c>
      <c r="C1386" s="682" t="s">
        <v>2145</v>
      </c>
      <c r="D1386" s="1540" t="s">
        <v>1800</v>
      </c>
      <c r="E1386" s="1024" t="s">
        <v>2146</v>
      </c>
      <c r="F1386" s="638">
        <f>ROUND(((J1416*J1424*(1/J1431-1/J1440))/1000)*$J$1473,2)</f>
        <v>4674.3999999999996</v>
      </c>
      <c r="G1386" s="694" t="s">
        <v>1046</v>
      </c>
      <c r="H1386" s="1484">
        <f>VLOOKUP(G1386,'CP FACTORS'!$A$3:$B$38, 2, FALSE)</f>
        <v>0</v>
      </c>
      <c r="I1386" s="1474">
        <f t="shared" si="207"/>
        <v>0</v>
      </c>
      <c r="J1386" s="165">
        <v>6</v>
      </c>
      <c r="K1386" s="1604"/>
      <c r="L1386" s="117"/>
      <c r="M1386" s="1605"/>
      <c r="R1386" s="1606"/>
      <c r="V1386" s="676"/>
      <c r="W1386" s="249"/>
      <c r="X1386" s="249"/>
      <c r="Y1386" s="247"/>
      <c r="Z1386" s="247"/>
      <c r="AA1386" s="247"/>
      <c r="AB1386" s="659"/>
      <c r="AC1386" s="678"/>
      <c r="AD1386" s="638"/>
      <c r="AE1386" s="638"/>
      <c r="AF1386" s="271">
        <f t="shared" si="208"/>
        <v>4674.3999999999996</v>
      </c>
      <c r="AG1386" s="676"/>
      <c r="AH1386" s="728"/>
      <c r="AI1386" s="728"/>
      <c r="DG1386" s="1094"/>
      <c r="DH1386" s="1393" t="str">
        <f t="shared" si="211"/>
        <v>Heating RES 6 Year EUL</v>
      </c>
      <c r="DI1386" s="1091">
        <f>(INDEX('Avoided Cost Benefits'!$B$4:$B$866,MATCH(DH1386,'Avoided Cost Benefits'!$A$4:$A$866,0)))*F1386</f>
        <v>1253.5750324467788</v>
      </c>
      <c r="DJ1386" s="872">
        <f t="shared" si="210"/>
        <v>0</v>
      </c>
    </row>
    <row r="1387" spans="1:114" s="41" customFormat="1">
      <c r="A1387" s="453"/>
      <c r="B1387" s="1454">
        <f t="shared" si="206"/>
        <v>352260</v>
      </c>
      <c r="C1387" s="682" t="s">
        <v>2145</v>
      </c>
      <c r="D1387" s="1540" t="s">
        <v>1800</v>
      </c>
      <c r="E1387" s="1024" t="s">
        <v>2147</v>
      </c>
      <c r="F1387" s="944">
        <f>ROUND(((J1448*J1456*(1/J1464-1/J1472))/1000)*$J$1473,2)</f>
        <v>1367.79</v>
      </c>
      <c r="G1387" s="1603" t="s">
        <v>2138</v>
      </c>
      <c r="H1387" s="1484">
        <f>VLOOKUP(G1387,'CP FACTORS'!$A$3:$B$38, 2, FALSE)</f>
        <v>9.4741810000000004E-4</v>
      </c>
      <c r="I1387" s="1474">
        <f t="shared" si="207"/>
        <v>1.2958689999999999</v>
      </c>
      <c r="J1387" s="165">
        <v>12</v>
      </c>
      <c r="K1387" s="1607"/>
      <c r="L1387" s="117"/>
      <c r="M1387" s="1605"/>
      <c r="R1387" s="1606"/>
      <c r="V1387" s="676"/>
      <c r="W1387" s="248"/>
      <c r="X1387" s="248"/>
      <c r="Y1387" s="247"/>
      <c r="Z1387" s="247"/>
      <c r="AA1387" s="247"/>
      <c r="AB1387" s="659"/>
      <c r="AC1387" s="678"/>
      <c r="AD1387" s="944"/>
      <c r="AE1387" s="944"/>
      <c r="AF1387" s="271">
        <f t="shared" si="208"/>
        <v>1367.79</v>
      </c>
      <c r="AG1387" s="676"/>
      <c r="AH1387" s="728"/>
      <c r="AI1387" s="728"/>
      <c r="DG1387" s="1094"/>
      <c r="DH1387" s="1393" t="str">
        <f t="shared" si="211"/>
        <v>Cooling Res ER2 12 Year EUL</v>
      </c>
      <c r="DI1387" s="1091">
        <f>(INDEX('Avoided Cost Benefits'!$B$4:$B$866,MATCH(DH1387,'Avoided Cost Benefits'!$A$4:$A$866,0)))*F1387</f>
        <v>1769.8119342007592</v>
      </c>
      <c r="DJ1387" s="872"/>
    </row>
    <row r="1388" spans="1:114" s="41" customFormat="1">
      <c r="A1388" s="453"/>
      <c r="B1388" s="1454">
        <f t="shared" si="206"/>
        <v>352260</v>
      </c>
      <c r="C1388" s="682" t="s">
        <v>2145</v>
      </c>
      <c r="D1388" s="1540" t="s">
        <v>1800</v>
      </c>
      <c r="E1388" s="1024" t="s">
        <v>2147</v>
      </c>
      <c r="F1388" s="944">
        <f>ROUND(((J1416*J1424*(1/J1432-1/J1440))/1000)*$J$1473,2)</f>
        <v>4674.3999999999996</v>
      </c>
      <c r="G1388" s="1603" t="s">
        <v>1967</v>
      </c>
      <c r="H1388" s="1484">
        <f>VLOOKUP(G1388,'CP FACTORS'!$A$3:$B$38, 2, FALSE)</f>
        <v>0</v>
      </c>
      <c r="I1388" s="1474">
        <f t="shared" si="207"/>
        <v>0</v>
      </c>
      <c r="J1388" s="165">
        <v>12</v>
      </c>
      <c r="K1388" s="1608"/>
      <c r="L1388" s="682"/>
      <c r="M1388" s="1605"/>
      <c r="R1388" s="1606"/>
      <c r="V1388" s="676"/>
      <c r="W1388" s="248"/>
      <c r="X1388" s="248"/>
      <c r="Y1388" s="247"/>
      <c r="Z1388" s="247"/>
      <c r="AA1388" s="247"/>
      <c r="AB1388" s="659"/>
      <c r="AC1388" s="678"/>
      <c r="AD1388" s="944"/>
      <c r="AE1388" s="944"/>
      <c r="AF1388" s="271">
        <f t="shared" si="208"/>
        <v>4674.3999999999996</v>
      </c>
      <c r="AG1388" s="676"/>
      <c r="AH1388" s="728"/>
      <c r="AI1388" s="728"/>
      <c r="DG1388" s="1094"/>
      <c r="DH1388" s="1370" t="str">
        <f t="shared" si="211"/>
        <v>Heating RES ER2 12 Year EUL</v>
      </c>
      <c r="DI1388" s="1091">
        <f>(INDEX('Avoided Cost Benefits'!$B$4:$B$866,MATCH(DH1388,'Avoided Cost Benefits'!$A$4:$A$866,0)))*F1388</f>
        <v>1579.4611805104896</v>
      </c>
      <c r="DJ1388" s="872"/>
    </row>
    <row r="1389" spans="1:114" hidden="1" outlineLevel="1">
      <c r="A1389" s="453"/>
      <c r="C1389" s="571"/>
      <c r="D1389" s="77" t="s">
        <v>118</v>
      </c>
      <c r="E1389" s="52" t="s">
        <v>2148</v>
      </c>
      <c r="F1389" s="104" t="s">
        <v>2068</v>
      </c>
      <c r="G1389" s="568"/>
      <c r="H1389" s="51"/>
      <c r="I1389" s="51"/>
      <c r="J1389" s="51"/>
      <c r="K1389" s="51"/>
      <c r="L1389" s="51"/>
      <c r="M1389" s="51"/>
      <c r="S1389" s="52"/>
      <c r="T1389" s="52"/>
      <c r="U1389" s="52"/>
      <c r="V1389" s="52"/>
      <c r="DG1389" s="573"/>
      <c r="DH1389" s="188"/>
      <c r="DI1389" s="1091"/>
      <c r="DJ1389" s="1187"/>
    </row>
    <row r="1390" spans="1:114" hidden="1" outlineLevel="1">
      <c r="A1390" s="453"/>
      <c r="C1390" s="571"/>
      <c r="D1390" s="74" t="s">
        <v>963</v>
      </c>
      <c r="E1390" s="104" t="s">
        <v>2091</v>
      </c>
      <c r="F1390" s="542"/>
      <c r="G1390" s="568"/>
      <c r="H1390" s="51"/>
      <c r="I1390" s="51"/>
      <c r="J1390" s="51"/>
      <c r="K1390" s="51"/>
      <c r="L1390" s="51"/>
      <c r="M1390" s="51"/>
      <c r="S1390" s="52"/>
      <c r="T1390" s="52"/>
      <c r="U1390" s="52"/>
      <c r="V1390" s="52"/>
      <c r="DG1390" s="573"/>
      <c r="DH1390" s="188"/>
      <c r="DI1390" s="1091"/>
      <c r="DJ1390" s="1187"/>
    </row>
    <row r="1391" spans="1:114" hidden="1" outlineLevel="1">
      <c r="A1391" s="453"/>
      <c r="C1391" s="571"/>
      <c r="D1391" s="74"/>
      <c r="E1391" s="104" t="s">
        <v>2149</v>
      </c>
      <c r="G1391" s="104"/>
      <c r="S1391" s="52"/>
      <c r="T1391" s="52"/>
      <c r="U1391" s="52"/>
      <c r="V1391" s="52"/>
      <c r="DG1391" s="573"/>
      <c r="DH1391" s="188"/>
      <c r="DI1391" s="1091"/>
      <c r="DJ1391" s="1187"/>
    </row>
    <row r="1392" spans="1:114" hidden="1" outlineLevel="1">
      <c r="A1392" s="453"/>
      <c r="C1392" s="571"/>
      <c r="D1392" s="104"/>
      <c r="E1392" s="104"/>
      <c r="G1392" s="104"/>
      <c r="H1392" s="51"/>
      <c r="S1392" s="52"/>
      <c r="T1392" s="52"/>
      <c r="U1392" s="52"/>
      <c r="V1392" s="52"/>
      <c r="DG1392" s="573"/>
      <c r="DH1392" s="188"/>
      <c r="DI1392" s="1091"/>
      <c r="DJ1392" s="1187"/>
    </row>
    <row r="1393" spans="1:114" hidden="1" outlineLevel="1">
      <c r="A1393" s="453"/>
      <c r="C1393" s="571"/>
      <c r="D1393" s="104"/>
      <c r="E1393" s="104" t="s">
        <v>2095</v>
      </c>
      <c r="G1393" s="104"/>
      <c r="H1393" s="51"/>
      <c r="S1393" s="52"/>
      <c r="T1393" s="52"/>
      <c r="U1393" s="52"/>
      <c r="V1393" s="52"/>
      <c r="DG1393" s="573"/>
      <c r="DH1393" s="188"/>
      <c r="DI1393" s="1091"/>
      <c r="DJ1393" s="1187"/>
    </row>
    <row r="1394" spans="1:114" hidden="1" outlineLevel="1">
      <c r="A1394" s="453"/>
      <c r="C1394" s="571"/>
      <c r="D1394" s="104"/>
      <c r="E1394" s="104" t="s">
        <v>2150</v>
      </c>
      <c r="G1394" s="104"/>
      <c r="H1394" s="51"/>
      <c r="S1394" s="52"/>
      <c r="T1394" s="52"/>
      <c r="U1394" s="52"/>
      <c r="V1394" s="52"/>
      <c r="DG1394" s="573"/>
      <c r="DH1394" s="188"/>
      <c r="DI1394" s="1091"/>
      <c r="DJ1394" s="1187"/>
    </row>
    <row r="1395" spans="1:114" hidden="1" outlineLevel="1">
      <c r="A1395" s="453"/>
      <c r="C1395" s="571"/>
      <c r="D1395" s="104"/>
      <c r="E1395" s="104" t="s">
        <v>2151</v>
      </c>
      <c r="G1395" s="104"/>
      <c r="H1395" s="51"/>
      <c r="S1395" s="52"/>
      <c r="T1395" s="52"/>
      <c r="U1395" s="52"/>
      <c r="V1395" s="52"/>
      <c r="DG1395" s="573"/>
      <c r="DH1395" s="188"/>
      <c r="DI1395" s="1091"/>
      <c r="DJ1395" s="1187"/>
    </row>
    <row r="1396" spans="1:114" hidden="1" outlineLevel="1">
      <c r="A1396" s="453"/>
      <c r="C1396" s="571"/>
      <c r="D1396" s="104"/>
      <c r="E1396" s="104" t="s">
        <v>2152</v>
      </c>
      <c r="G1396" s="104"/>
      <c r="H1396" s="51"/>
      <c r="J1396" s="104"/>
      <c r="S1396" s="52"/>
      <c r="T1396" s="52"/>
      <c r="U1396" s="52"/>
      <c r="V1396" s="52"/>
      <c r="DG1396" s="573"/>
      <c r="DH1396" s="188"/>
      <c r="DI1396" s="1091"/>
      <c r="DJ1396" s="1187"/>
    </row>
    <row r="1397" spans="1:114" hidden="1" outlineLevel="1">
      <c r="A1397" s="453"/>
      <c r="C1397" s="571"/>
      <c r="E1397" s="104" t="s">
        <v>2153</v>
      </c>
      <c r="G1397" s="104"/>
      <c r="H1397" s="51"/>
      <c r="S1397" s="52"/>
      <c r="T1397" s="52"/>
      <c r="U1397" s="52"/>
      <c r="V1397" s="52"/>
      <c r="DG1397" s="573"/>
      <c r="DH1397" s="188"/>
      <c r="DI1397" s="1091"/>
      <c r="DJ1397" s="1187"/>
    </row>
    <row r="1398" spans="1:114" hidden="1" outlineLevel="1">
      <c r="A1398" s="453"/>
      <c r="C1398" s="571"/>
      <c r="D1398" s="104"/>
      <c r="E1398" s="104"/>
      <c r="G1398" s="104"/>
      <c r="H1398" s="51"/>
      <c r="S1398" s="52"/>
      <c r="T1398" s="52"/>
      <c r="U1398" s="52"/>
      <c r="V1398" s="52"/>
      <c r="DG1398" s="573"/>
      <c r="DH1398" s="188"/>
      <c r="DI1398" s="1091"/>
      <c r="DJ1398" s="1187"/>
    </row>
    <row r="1399" spans="1:114" hidden="1" outlineLevel="1">
      <c r="A1399" s="453"/>
      <c r="C1399" s="571"/>
      <c r="D1399" s="104"/>
      <c r="E1399" s="104" t="s">
        <v>1075</v>
      </c>
      <c r="G1399" s="104"/>
      <c r="H1399" s="51"/>
      <c r="S1399" s="52"/>
      <c r="T1399" s="52"/>
      <c r="U1399" s="52"/>
      <c r="V1399" s="52"/>
      <c r="DG1399" s="573"/>
      <c r="DH1399" s="188"/>
      <c r="DI1399" s="1091"/>
      <c r="DJ1399" s="1187"/>
    </row>
    <row r="1400" spans="1:114" hidden="1" outlineLevel="1">
      <c r="A1400" s="453"/>
      <c r="C1400" s="571"/>
      <c r="D1400" s="104"/>
      <c r="E1400" s="104"/>
      <c r="G1400" s="104"/>
      <c r="H1400" s="51"/>
      <c r="S1400" s="52"/>
      <c r="T1400" s="52"/>
      <c r="U1400" s="52"/>
      <c r="V1400" s="52"/>
      <c r="DG1400" s="573"/>
      <c r="DH1400" s="188"/>
      <c r="DI1400" s="1091"/>
      <c r="DJ1400" s="1187"/>
    </row>
    <row r="1401" spans="1:114" hidden="1" outlineLevel="1">
      <c r="A1401" s="453"/>
      <c r="C1401" s="571"/>
      <c r="D1401" s="104"/>
      <c r="E1401" s="104"/>
      <c r="G1401" s="104"/>
      <c r="H1401" s="51"/>
      <c r="S1401" s="52"/>
      <c r="T1401" s="52"/>
      <c r="U1401" s="52"/>
      <c r="V1401" s="52"/>
      <c r="DG1401" s="573"/>
      <c r="DH1401" s="188"/>
      <c r="DI1401" s="1091"/>
      <c r="DJ1401" s="1187"/>
    </row>
    <row r="1402" spans="1:114" hidden="1" outlineLevel="1">
      <c r="A1402" s="453"/>
      <c r="C1402" s="571"/>
      <c r="D1402" s="104"/>
      <c r="E1402" s="104"/>
      <c r="G1402" s="104"/>
      <c r="H1402" s="51"/>
      <c r="S1402" s="52"/>
      <c r="T1402" s="52"/>
      <c r="U1402" s="52"/>
      <c r="V1402" s="52"/>
      <c r="DG1402" s="573"/>
      <c r="DH1402" s="188"/>
      <c r="DI1402" s="1091"/>
      <c r="DJ1402" s="1187"/>
    </row>
    <row r="1403" spans="1:114" hidden="1" outlineLevel="1">
      <c r="A1403" s="453"/>
      <c r="C1403" s="571"/>
      <c r="D1403" s="104"/>
      <c r="E1403" s="104"/>
      <c r="G1403" s="104"/>
      <c r="H1403" s="51"/>
      <c r="S1403" s="52"/>
      <c r="T1403" s="52"/>
      <c r="U1403" s="52"/>
      <c r="V1403" s="52"/>
      <c r="DG1403" s="573"/>
      <c r="DH1403" s="188"/>
      <c r="DI1403" s="1091"/>
      <c r="DJ1403" s="1187"/>
    </row>
    <row r="1404" spans="1:114" hidden="1" outlineLevel="1">
      <c r="A1404" s="453"/>
      <c r="C1404" s="571"/>
      <c r="D1404" s="104"/>
      <c r="E1404" s="104"/>
      <c r="G1404" s="104"/>
      <c r="H1404" s="51"/>
      <c r="S1404" s="52"/>
      <c r="T1404" s="52"/>
      <c r="U1404" s="52"/>
      <c r="V1404" s="52"/>
      <c r="DG1404" s="573"/>
      <c r="DH1404" s="188"/>
      <c r="DI1404" s="1091"/>
      <c r="DJ1404" s="1187"/>
    </row>
    <row r="1405" spans="1:114" hidden="1" outlineLevel="1">
      <c r="A1405" s="453"/>
      <c r="C1405" s="571"/>
      <c r="D1405" s="104"/>
      <c r="E1405" s="104"/>
      <c r="G1405" s="104"/>
      <c r="H1405" s="51"/>
      <c r="S1405" s="52"/>
      <c r="T1405" s="52"/>
      <c r="U1405" s="52"/>
      <c r="V1405" s="52"/>
      <c r="DG1405" s="573"/>
      <c r="DH1405" s="188"/>
      <c r="DI1405" s="1091"/>
      <c r="DJ1405" s="1187"/>
    </row>
    <row r="1406" spans="1:114" hidden="1" outlineLevel="1">
      <c r="A1406" s="453"/>
      <c r="C1406" s="571"/>
      <c r="D1406" s="104"/>
      <c r="E1406" s="104"/>
      <c r="G1406" s="104"/>
      <c r="H1406" s="51"/>
      <c r="P1406" s="148"/>
      <c r="S1406" s="52"/>
      <c r="T1406" s="52"/>
      <c r="U1406" s="52"/>
      <c r="V1406" s="52"/>
      <c r="DG1406" s="573"/>
      <c r="DH1406" s="188"/>
      <c r="DI1406" s="1091"/>
      <c r="DJ1406" s="1187"/>
    </row>
    <row r="1407" spans="1:114" hidden="1" outlineLevel="1">
      <c r="A1407" s="453"/>
      <c r="C1407" s="571"/>
      <c r="D1407" s="104"/>
      <c r="E1407" s="104"/>
      <c r="G1407" s="104"/>
      <c r="H1407" s="51"/>
      <c r="I1407" s="51"/>
      <c r="J1407" s="51"/>
      <c r="K1407" s="51"/>
      <c r="L1407" s="51"/>
      <c r="M1407" s="51"/>
      <c r="S1407" s="52"/>
      <c r="T1407" s="52"/>
      <c r="U1407" s="52"/>
      <c r="V1407" s="52"/>
      <c r="DG1407" s="573"/>
      <c r="DH1407" s="188"/>
      <c r="DI1407" s="1091"/>
      <c r="DJ1407" s="1187"/>
    </row>
    <row r="1408" spans="1:114" ht="30" hidden="1" outlineLevel="1">
      <c r="A1408" s="453"/>
      <c r="C1408" s="571"/>
      <c r="D1408" s="1443" t="s">
        <v>1078</v>
      </c>
      <c r="E1408" s="1443" t="s">
        <v>967</v>
      </c>
      <c r="F1408" s="4068" t="s">
        <v>968</v>
      </c>
      <c r="G1408" s="4068"/>
      <c r="H1408" s="4068"/>
      <c r="I1408" s="1371" t="s">
        <v>42</v>
      </c>
      <c r="J1408" s="1371" t="s">
        <v>969</v>
      </c>
      <c r="K1408" s="1371" t="s">
        <v>1912</v>
      </c>
      <c r="L1408" s="1371" t="s">
        <v>1184</v>
      </c>
      <c r="Q1408" s="1858" t="str">
        <f>B1370</f>
        <v>Ground Source Heat Pumps</v>
      </c>
      <c r="R1408"/>
      <c r="S1408"/>
      <c r="T1408"/>
      <c r="U1408" s="52"/>
      <c r="V1408" s="177" t="s">
        <v>52</v>
      </c>
      <c r="W1408" s="669">
        <v>43252</v>
      </c>
      <c r="X1408" s="669">
        <f>$X$6</f>
        <v>43465</v>
      </c>
      <c r="Y1408" s="669">
        <f>$Y$6</f>
        <v>43800</v>
      </c>
      <c r="Z1408" s="669">
        <f>$Z$6</f>
        <v>43862</v>
      </c>
      <c r="AA1408" s="669">
        <f>$AA$6</f>
        <v>44013</v>
      </c>
      <c r="AB1408" s="669">
        <f>$AB$6</f>
        <v>44166</v>
      </c>
      <c r="AC1408" s="669">
        <f>$AC$6</f>
        <v>44531</v>
      </c>
      <c r="AD1408" s="669">
        <f>$AD$6</f>
        <v>44774</v>
      </c>
      <c r="AE1408" s="669">
        <f>$AE$6</f>
        <v>45142</v>
      </c>
      <c r="AF1408" s="669">
        <f>$AF$6</f>
        <v>45672</v>
      </c>
      <c r="AG1408" s="669" t="str">
        <f>$AG$6</f>
        <v>-</v>
      </c>
      <c r="DG1408" s="573"/>
      <c r="DH1408" s="188"/>
      <c r="DI1408" s="1091"/>
      <c r="DJ1408" s="1187"/>
    </row>
    <row r="1409" spans="1:114" hidden="1" outlineLevel="1">
      <c r="A1409" s="453"/>
      <c r="C1409" s="571"/>
      <c r="D1409" s="4293" t="s">
        <v>2102</v>
      </c>
      <c r="E1409" s="4293" t="s">
        <v>2154</v>
      </c>
      <c r="F1409" s="4307" t="str">
        <f>$E$1374</f>
        <v>GSHP-EER23-Replace_CAC_ElectricHeat_ROF_SF</v>
      </c>
      <c r="G1409" s="4307"/>
      <c r="H1409" s="4307"/>
      <c r="I1409" s="1396"/>
      <c r="J1409" s="1753">
        <v>47729.729729729726</v>
      </c>
      <c r="K1409" s="55">
        <f t="shared" ref="K1409:K1412" si="212">J1409/12000</f>
        <v>3.977477477477477</v>
      </c>
      <c r="L1409" s="4197" t="s">
        <v>2155</v>
      </c>
      <c r="P1409" s="1404"/>
      <c r="R1409"/>
      <c r="S1409"/>
      <c r="T1409"/>
      <c r="U1409" s="52"/>
      <c r="V1409" s="4293" t="s">
        <v>2102</v>
      </c>
      <c r="W1409" s="1396">
        <v>49199.999999999993</v>
      </c>
      <c r="X1409" s="833">
        <f>3.99*12000</f>
        <v>47880</v>
      </c>
      <c r="Y1409" s="833">
        <f>3.98*12000</f>
        <v>47760</v>
      </c>
      <c r="Z1409" s="1396">
        <f>3.98*12000</f>
        <v>47760</v>
      </c>
      <c r="AA1409" s="1396">
        <f>3.98*12000</f>
        <v>47760</v>
      </c>
      <c r="AB1409" s="735">
        <v>49745.454545454544</v>
      </c>
      <c r="AC1409" s="735">
        <v>46600</v>
      </c>
      <c r="AD1409" s="735">
        <v>47729.729729729726</v>
      </c>
      <c r="AE1409" s="1046">
        <v>47729.729729729726</v>
      </c>
      <c r="AF1409" s="271">
        <f t="shared" ref="AF1409:AF1440" si="213">IF(J1409&lt;&gt;"",J1409,"")</f>
        <v>47729.729729729726</v>
      </c>
      <c r="AG1409" s="1396"/>
      <c r="DG1409" s="573"/>
      <c r="DH1409" s="188"/>
      <c r="DI1409" s="1091"/>
      <c r="DJ1409" s="1187"/>
    </row>
    <row r="1410" spans="1:114" hidden="1" outlineLevel="1">
      <c r="A1410" s="453"/>
      <c r="C1410" s="571"/>
      <c r="D1410" s="4293"/>
      <c r="E1410" s="4293"/>
      <c r="F1410" s="4307" t="str">
        <f>$E$1376</f>
        <v>GSHP-EER23-Replace_CAC_ElectricHeat_ER1_SF</v>
      </c>
      <c r="G1410" s="4307"/>
      <c r="H1410" s="4307"/>
      <c r="I1410" s="1396"/>
      <c r="J1410" s="1753">
        <v>46438.356164383564</v>
      </c>
      <c r="K1410" s="55">
        <f t="shared" si="212"/>
        <v>3.8698630136986303</v>
      </c>
      <c r="L1410" s="4197"/>
      <c r="P1410" s="1404"/>
      <c r="R1410" s="1643" t="s">
        <v>2156</v>
      </c>
      <c r="S1410" s="1644">
        <v>3957</v>
      </c>
      <c r="T1410"/>
      <c r="U1410" s="52"/>
      <c r="V1410" s="4293"/>
      <c r="W1410" s="1396">
        <v>49199.999999999993</v>
      </c>
      <c r="X1410" s="833">
        <f>3.99*12000</f>
        <v>47880</v>
      </c>
      <c r="Y1410" s="833">
        <f t="shared" ref="Y1410:AA1411" si="214">3.86*12000</f>
        <v>46320</v>
      </c>
      <c r="Z1410" s="1396">
        <f t="shared" si="214"/>
        <v>46320</v>
      </c>
      <c r="AA1410" s="1396">
        <f t="shared" si="214"/>
        <v>46320</v>
      </c>
      <c r="AB1410" s="735">
        <v>45750</v>
      </c>
      <c r="AC1410" s="735">
        <v>48705.882352941175</v>
      </c>
      <c r="AD1410" s="735">
        <v>46438.356164383564</v>
      </c>
      <c r="AE1410" s="1046">
        <v>46438.356164383564</v>
      </c>
      <c r="AF1410" s="271">
        <f t="shared" si="213"/>
        <v>46438.356164383564</v>
      </c>
      <c r="AG1410" s="1396"/>
      <c r="DG1410" s="573"/>
      <c r="DH1410" s="188"/>
      <c r="DI1410" s="1091"/>
      <c r="DJ1410" s="1187"/>
    </row>
    <row r="1411" spans="1:114" hidden="1" outlineLevel="1">
      <c r="A1411" s="453"/>
      <c r="C1411" s="571"/>
      <c r="D1411" s="4293"/>
      <c r="E1411" s="4293"/>
      <c r="F1411" s="4307" t="str">
        <f>$E$1378</f>
        <v>GSHP-EER23-Replace_CAC_ElectricHeat_ER2_SF</v>
      </c>
      <c r="G1411" s="4307"/>
      <c r="H1411" s="4307"/>
      <c r="I1411" s="1396"/>
      <c r="J1411" s="1771">
        <f>J1410</f>
        <v>46438.356164383564</v>
      </c>
      <c r="K1411" s="55">
        <f t="shared" si="212"/>
        <v>3.8698630136986303</v>
      </c>
      <c r="L1411" s="4197"/>
      <c r="P1411" s="563"/>
      <c r="R1411"/>
      <c r="S1411"/>
      <c r="T1411"/>
      <c r="U1411" s="52"/>
      <c r="V1411" s="4293"/>
      <c r="W1411" s="1396">
        <v>49199.999999999993</v>
      </c>
      <c r="X1411" s="833">
        <f>3.99*12000</f>
        <v>47880</v>
      </c>
      <c r="Y1411" s="833">
        <f t="shared" si="214"/>
        <v>46320</v>
      </c>
      <c r="Z1411" s="1396">
        <f t="shared" si="214"/>
        <v>46320</v>
      </c>
      <c r="AA1411" s="1396">
        <f t="shared" si="214"/>
        <v>46320</v>
      </c>
      <c r="AB1411" s="735">
        <v>45750</v>
      </c>
      <c r="AC1411" s="735">
        <v>48705.882352941175</v>
      </c>
      <c r="AD1411" s="735">
        <v>46438.356164383564</v>
      </c>
      <c r="AE1411" s="803">
        <v>46438.356164383564</v>
      </c>
      <c r="AF1411" s="271">
        <f t="shared" si="213"/>
        <v>46438.356164383564</v>
      </c>
      <c r="AG1411" s="1396"/>
      <c r="DG1411" s="573"/>
      <c r="DH1411" s="188"/>
      <c r="DI1411" s="1091"/>
      <c r="DJ1411" s="1187"/>
    </row>
    <row r="1412" spans="1:114" hidden="1" outlineLevel="1">
      <c r="A1412" s="453"/>
      <c r="C1412" s="571"/>
      <c r="D1412" s="4293"/>
      <c r="E1412" s="4293"/>
      <c r="F1412" s="4311" t="str">
        <f>$E$1380</f>
        <v>GSHP-EER23-Replace_ASHP_ER1_SF</v>
      </c>
      <c r="G1412" s="4311"/>
      <c r="H1412" s="4311"/>
      <c r="I1412" s="1396"/>
      <c r="J1412" s="1771">
        <f>J1410</f>
        <v>46438.356164383564</v>
      </c>
      <c r="K1412" s="55">
        <f t="shared" si="212"/>
        <v>3.8698630136986303</v>
      </c>
      <c r="L1412" s="4197"/>
      <c r="P1412" s="563"/>
      <c r="R1412"/>
      <c r="S1412"/>
      <c r="T1412"/>
      <c r="U1412" s="52"/>
      <c r="V1412" s="4293"/>
      <c r="W1412" s="1396"/>
      <c r="X1412" s="833"/>
      <c r="Y1412" s="833"/>
      <c r="Z1412" s="1396"/>
      <c r="AA1412" s="1396"/>
      <c r="AB1412" s="735">
        <v>51319.148936170212</v>
      </c>
      <c r="AC1412" s="735">
        <v>48885.24590163934</v>
      </c>
      <c r="AD1412" s="735">
        <v>46438.356164383564</v>
      </c>
      <c r="AE1412" s="803">
        <v>46438.356164383564</v>
      </c>
      <c r="AF1412" s="271">
        <f t="shared" si="213"/>
        <v>46438.356164383564</v>
      </c>
      <c r="AG1412" s="1396"/>
      <c r="DG1412" s="573"/>
      <c r="DH1412" s="188"/>
      <c r="DI1412" s="1091"/>
      <c r="DJ1412" s="1187"/>
    </row>
    <row r="1413" spans="1:114" ht="15" hidden="1" customHeight="1" outlineLevel="1">
      <c r="A1413" s="453"/>
      <c r="C1413" s="571"/>
      <c r="D1413" s="4293"/>
      <c r="E1413" s="4293"/>
      <c r="F1413" s="4311" t="str">
        <f>$E$1382</f>
        <v>GSHP-EER23-Replace_ASHP_ER2_SF</v>
      </c>
      <c r="G1413" s="4311"/>
      <c r="H1413" s="4311"/>
      <c r="I1413" s="1396"/>
      <c r="J1413" s="1771">
        <f>J1410</f>
        <v>46438.356164383564</v>
      </c>
      <c r="K1413" s="55">
        <f>J1413/12000</f>
        <v>3.8698630136986303</v>
      </c>
      <c r="L1413" s="4197"/>
      <c r="P1413" s="563"/>
      <c r="R1413"/>
      <c r="S1413"/>
      <c r="T1413"/>
      <c r="U1413" s="52"/>
      <c r="V1413" s="4293"/>
      <c r="W1413" s="1396">
        <v>49199.999999999993</v>
      </c>
      <c r="X1413" s="833">
        <f>3.99*12000</f>
        <v>47880</v>
      </c>
      <c r="Y1413" s="833">
        <f>4.2*12000</f>
        <v>50400</v>
      </c>
      <c r="Z1413" s="1396">
        <f>4.2*12000</f>
        <v>50400</v>
      </c>
      <c r="AA1413" s="1396">
        <f>4.2*12000</f>
        <v>50400</v>
      </c>
      <c r="AB1413" s="735">
        <v>51319.148936170212</v>
      </c>
      <c r="AC1413" s="735">
        <v>48885.24590163934</v>
      </c>
      <c r="AD1413" s="735">
        <v>46438.356164383564</v>
      </c>
      <c r="AE1413" s="803">
        <v>46438.356164383564</v>
      </c>
      <c r="AF1413" s="271">
        <f t="shared" si="213"/>
        <v>46438.356164383564</v>
      </c>
      <c r="AG1413" s="1396"/>
      <c r="DG1413" s="573"/>
      <c r="DH1413" s="188"/>
      <c r="DI1413" s="1091"/>
      <c r="DJ1413" s="1187"/>
    </row>
    <row r="1414" spans="1:114" ht="15.75" hidden="1" customHeight="1" outlineLevel="1">
      <c r="A1414" s="453"/>
      <c r="C1414" s="571"/>
      <c r="D1414" s="4293"/>
      <c r="E1414" s="4293"/>
      <c r="F1414" s="4311" t="str">
        <f>$E$1384</f>
        <v>GSHP-EER23_ROF_SF</v>
      </c>
      <c r="G1414" s="4311"/>
      <c r="H1414" s="4311"/>
      <c r="I1414" s="1396"/>
      <c r="J1414" s="1771">
        <f>J1409</f>
        <v>47729.729729729726</v>
      </c>
      <c r="K1414" s="55">
        <f>J1414/12000</f>
        <v>3.977477477477477</v>
      </c>
      <c r="L1414" s="4197"/>
      <c r="P1414" s="563"/>
      <c r="R1414"/>
      <c r="S1414"/>
      <c r="T1414"/>
      <c r="U1414" s="52"/>
      <c r="V1414" s="4293"/>
      <c r="W1414" s="1396">
        <v>52800.000000000007</v>
      </c>
      <c r="X1414" s="833">
        <f>3.99*12000</f>
        <v>47880</v>
      </c>
      <c r="Y1414" s="833">
        <f>3.93*12000</f>
        <v>47160</v>
      </c>
      <c r="Z1414" s="1396">
        <f>3.93*12000</f>
        <v>47160</v>
      </c>
      <c r="AA1414" s="1396">
        <f>3.93*12000</f>
        <v>47160</v>
      </c>
      <c r="AB1414" s="735">
        <v>51652.173913043473</v>
      </c>
      <c r="AC1414" s="735">
        <v>49977.272727272728</v>
      </c>
      <c r="AD1414" s="735">
        <v>47729.729729729726</v>
      </c>
      <c r="AE1414" s="803">
        <v>47729.729729729726</v>
      </c>
      <c r="AF1414" s="271">
        <f t="shared" si="213"/>
        <v>47729.729729729726</v>
      </c>
      <c r="AG1414" s="1396"/>
      <c r="DG1414" s="573"/>
      <c r="DH1414" s="188"/>
      <c r="DI1414" s="1091"/>
      <c r="DJ1414" s="1187"/>
    </row>
    <row r="1415" spans="1:114" s="41" customFormat="1" hidden="1" outlineLevel="1">
      <c r="A1415" s="453"/>
      <c r="C1415" s="1611"/>
      <c r="D1415" s="4293"/>
      <c r="E1415" s="4293"/>
      <c r="F1415" s="4310" t="str">
        <f>$E$1385</f>
        <v>GSHP-EER23-Replace_GSHP_ER1_SF</v>
      </c>
      <c r="G1415" s="4310"/>
      <c r="H1415" s="4310"/>
      <c r="I1415" s="833"/>
      <c r="J1415" s="1783">
        <f>J1413</f>
        <v>46438.356164383564</v>
      </c>
      <c r="K1415" s="670">
        <f t="shared" ref="K1415:K1416" si="215">J1415/12000</f>
        <v>3.8698630136986303</v>
      </c>
      <c r="L1415" s="4197"/>
      <c r="P1415" s="1612"/>
      <c r="Q1415" s="52"/>
      <c r="R1415"/>
      <c r="S1415" s="52"/>
      <c r="T1415" s="209"/>
      <c r="V1415" s="4293"/>
      <c r="W1415" s="833"/>
      <c r="X1415" s="833"/>
      <c r="Y1415" s="833"/>
      <c r="Z1415" s="833"/>
      <c r="AA1415" s="833"/>
      <c r="AB1415" s="735"/>
      <c r="AC1415" s="735"/>
      <c r="AD1415" s="735"/>
      <c r="AE1415" s="735"/>
      <c r="AF1415" s="271">
        <f t="shared" si="213"/>
        <v>46438.356164383564</v>
      </c>
      <c r="AG1415" s="833"/>
      <c r="DG1415" s="1613"/>
      <c r="DH1415" s="1614"/>
      <c r="DI1415" s="1109"/>
      <c r="DJ1415" s="1187"/>
    </row>
    <row r="1416" spans="1:114" s="41" customFormat="1" hidden="1" outlineLevel="1">
      <c r="A1416" s="453"/>
      <c r="C1416" s="1611"/>
      <c r="D1416" s="4293"/>
      <c r="E1416" s="4293"/>
      <c r="F1416" s="4310" t="str">
        <f>$E$1387</f>
        <v>GSHP-EER23-Replace_GSHP_ER2_SF</v>
      </c>
      <c r="G1416" s="4310"/>
      <c r="H1416" s="4310"/>
      <c r="I1416" s="833"/>
      <c r="J1416" s="1783">
        <f>J1413</f>
        <v>46438.356164383564</v>
      </c>
      <c r="K1416" s="670">
        <f t="shared" si="215"/>
        <v>3.8698630136986303</v>
      </c>
      <c r="L1416" s="4197"/>
      <c r="P1416" s="1612"/>
      <c r="Q1416" s="52"/>
      <c r="R1416"/>
      <c r="S1416" s="4287" t="s">
        <v>2037</v>
      </c>
      <c r="T1416" s="4287"/>
      <c r="V1416" s="4293"/>
      <c r="W1416" s="833"/>
      <c r="X1416" s="833"/>
      <c r="Y1416" s="833"/>
      <c r="Z1416" s="833"/>
      <c r="AA1416" s="833"/>
      <c r="AB1416" s="735"/>
      <c r="AC1416" s="735"/>
      <c r="AD1416" s="735"/>
      <c r="AE1416" s="735"/>
      <c r="AF1416" s="271">
        <f t="shared" si="213"/>
        <v>46438.356164383564</v>
      </c>
      <c r="AG1416" s="833"/>
      <c r="DG1416" s="1613"/>
      <c r="DH1416" s="1614"/>
      <c r="DI1416" s="1109"/>
      <c r="DJ1416" s="1187"/>
    </row>
    <row r="1417" spans="1:114" ht="15" hidden="1" customHeight="1" outlineLevel="1">
      <c r="A1417" s="453"/>
      <c r="C1417" s="571"/>
      <c r="D1417" s="4293" t="s">
        <v>2105</v>
      </c>
      <c r="E1417" s="4293" t="s">
        <v>2106</v>
      </c>
      <c r="F1417" s="4307" t="str">
        <f>$E$1374</f>
        <v>GSHP-EER23-Replace_CAC_ElectricHeat_ROF_SF</v>
      </c>
      <c r="G1417" s="4307"/>
      <c r="H1417" s="4307"/>
      <c r="I1417" s="1396"/>
      <c r="J1417" s="1797">
        <v>1496</v>
      </c>
      <c r="K1417" s="55"/>
      <c r="L1417" s="4197" t="s">
        <v>2157</v>
      </c>
      <c r="P1417" s="563"/>
      <c r="Q1417" s="1643" t="s">
        <v>2038</v>
      </c>
      <c r="R1417" s="1643" t="s">
        <v>2039</v>
      </c>
      <c r="S1417" s="1643" t="s">
        <v>2040</v>
      </c>
      <c r="T1417" s="1643" t="s">
        <v>2041</v>
      </c>
      <c r="U1417" s="52"/>
      <c r="V1417" s="4293" t="s">
        <v>2105</v>
      </c>
      <c r="W1417" s="1396">
        <v>2009</v>
      </c>
      <c r="X1417" s="1396">
        <v>2009</v>
      </c>
      <c r="Y1417" s="833">
        <v>1496</v>
      </c>
      <c r="Z1417" s="1396">
        <v>1496</v>
      </c>
      <c r="AA1417" s="1396">
        <v>1496</v>
      </c>
      <c r="AB1417" s="1396">
        <v>1496</v>
      </c>
      <c r="AC1417" s="1396">
        <v>1496</v>
      </c>
      <c r="AD1417" s="1396">
        <v>1496</v>
      </c>
      <c r="AE1417" s="1396">
        <v>1496</v>
      </c>
      <c r="AF1417" s="271">
        <f t="shared" si="213"/>
        <v>1496</v>
      </c>
      <c r="AG1417" s="1396"/>
      <c r="DG1417" s="573"/>
      <c r="DH1417" s="188"/>
      <c r="DI1417" s="1091"/>
      <c r="DJ1417" s="1187"/>
    </row>
    <row r="1418" spans="1:114" ht="15" hidden="1" customHeight="1" outlineLevel="1">
      <c r="A1418" s="453"/>
      <c r="C1418" s="571"/>
      <c r="D1418" s="4293"/>
      <c r="E1418" s="4293"/>
      <c r="F1418" s="4307" t="str">
        <f>$E$1376</f>
        <v>GSHP-EER23-Replace_CAC_ElectricHeat_ER1_SF</v>
      </c>
      <c r="G1418" s="4307"/>
      <c r="H1418" s="4307"/>
      <c r="I1418" s="1396"/>
      <c r="J1418" s="1797">
        <v>1496</v>
      </c>
      <c r="K1418" s="55"/>
      <c r="L1418" s="4197"/>
      <c r="P1418" s="563"/>
      <c r="Q1418" s="71" t="s">
        <v>2109</v>
      </c>
      <c r="R1418" s="71" t="s">
        <v>2109</v>
      </c>
      <c r="S1418" s="71">
        <v>6865</v>
      </c>
      <c r="T1418" s="71">
        <v>600</v>
      </c>
      <c r="U1418" s="52"/>
      <c r="V1418" s="4293"/>
      <c r="W1418" s="1396">
        <v>2009</v>
      </c>
      <c r="X1418" s="1396">
        <v>2009</v>
      </c>
      <c r="Y1418" s="833">
        <v>1496</v>
      </c>
      <c r="Z1418" s="1396">
        <v>1496</v>
      </c>
      <c r="AA1418" s="1396">
        <v>1496</v>
      </c>
      <c r="AB1418" s="1396">
        <v>1496</v>
      </c>
      <c r="AC1418" s="1396">
        <v>1496</v>
      </c>
      <c r="AD1418" s="1396">
        <v>1496</v>
      </c>
      <c r="AE1418" s="1396">
        <v>1496</v>
      </c>
      <c r="AF1418" s="271">
        <f t="shared" si="213"/>
        <v>1496</v>
      </c>
      <c r="AG1418" s="1396"/>
      <c r="DG1418" s="573"/>
      <c r="DH1418" s="188"/>
      <c r="DI1418" s="1091"/>
      <c r="DJ1418" s="1187"/>
    </row>
    <row r="1419" spans="1:114" ht="15" hidden="1" customHeight="1" outlineLevel="1">
      <c r="A1419" s="453"/>
      <c r="C1419" s="571"/>
      <c r="D1419" s="4293"/>
      <c r="E1419" s="4293"/>
      <c r="F1419" s="4307" t="str">
        <f>$E$1378</f>
        <v>GSHP-EER23-Replace_CAC_ElectricHeat_ER2_SF</v>
      </c>
      <c r="G1419" s="4307"/>
      <c r="H1419" s="4307"/>
      <c r="I1419" s="1396"/>
      <c r="J1419" s="1793">
        <v>1496</v>
      </c>
      <c r="K1419" s="55"/>
      <c r="L1419" s="4197"/>
      <c r="P1419" s="563"/>
      <c r="Q1419" s="71" t="s">
        <v>2042</v>
      </c>
      <c r="R1419" s="71" t="s">
        <v>2042</v>
      </c>
      <c r="S1419" s="71">
        <f>2011+3338</f>
        <v>5349</v>
      </c>
      <c r="T1419" s="71"/>
      <c r="U1419" s="52"/>
      <c r="V1419" s="4293"/>
      <c r="W1419" s="1396">
        <v>2009</v>
      </c>
      <c r="X1419" s="1396">
        <v>2009</v>
      </c>
      <c r="Y1419" s="833">
        <v>1496</v>
      </c>
      <c r="Z1419" s="1396">
        <v>1496</v>
      </c>
      <c r="AA1419" s="1396">
        <v>1496</v>
      </c>
      <c r="AB1419" s="1396">
        <v>1496</v>
      </c>
      <c r="AC1419" s="1396">
        <v>1496</v>
      </c>
      <c r="AD1419" s="1396">
        <v>1496</v>
      </c>
      <c r="AE1419" s="1396">
        <v>1496</v>
      </c>
      <c r="AF1419" s="271">
        <f t="shared" si="213"/>
        <v>1496</v>
      </c>
      <c r="AG1419" s="1396"/>
      <c r="DG1419" s="573"/>
      <c r="DH1419" s="188"/>
      <c r="DI1419" s="1091"/>
      <c r="DJ1419" s="1187"/>
    </row>
    <row r="1420" spans="1:114" ht="15" hidden="1" customHeight="1" outlineLevel="1">
      <c r="A1420" s="453"/>
      <c r="C1420" s="571"/>
      <c r="D1420" s="4293"/>
      <c r="E1420" s="4293"/>
      <c r="F1420" s="4311" t="str">
        <f>$E$1380</f>
        <v>GSHP-EER23-Replace_ASHP_ER1_SF</v>
      </c>
      <c r="G1420" s="4311"/>
      <c r="H1420" s="4311"/>
      <c r="I1420" s="1396"/>
      <c r="J1420" s="1793">
        <v>1496</v>
      </c>
      <c r="K1420" s="55"/>
      <c r="L1420" s="4197"/>
      <c r="P1420" s="563"/>
      <c r="Q1420" s="71" t="s">
        <v>2110</v>
      </c>
      <c r="R1420" s="71" t="s">
        <v>2110</v>
      </c>
      <c r="S1420" s="71">
        <v>7527</v>
      </c>
      <c r="T1420" s="71">
        <v>688</v>
      </c>
      <c r="U1420" s="52"/>
      <c r="V1420" s="4293"/>
      <c r="W1420" s="1396"/>
      <c r="X1420" s="1396"/>
      <c r="Y1420" s="833"/>
      <c r="Z1420" s="1396"/>
      <c r="AA1420" s="1396"/>
      <c r="AB1420" s="833">
        <v>1496</v>
      </c>
      <c r="AC1420" s="1396">
        <v>1496</v>
      </c>
      <c r="AD1420" s="1396">
        <v>1496</v>
      </c>
      <c r="AE1420" s="1396">
        <v>1496</v>
      </c>
      <c r="AF1420" s="271">
        <f t="shared" si="213"/>
        <v>1496</v>
      </c>
      <c r="AG1420" s="1396"/>
      <c r="DG1420" s="573"/>
      <c r="DH1420" s="188"/>
      <c r="DI1420" s="1091"/>
      <c r="DJ1420" s="1187"/>
    </row>
    <row r="1421" spans="1:114" ht="15" hidden="1" customHeight="1" outlineLevel="1">
      <c r="A1421" s="453"/>
      <c r="C1421" s="571"/>
      <c r="D1421" s="4293"/>
      <c r="E1421" s="4293"/>
      <c r="F1421" s="4311" t="str">
        <f>$E$1382</f>
        <v>GSHP-EER23-Replace_ASHP_ER2_SF</v>
      </c>
      <c r="G1421" s="4311"/>
      <c r="H1421" s="4311"/>
      <c r="I1421" s="1396"/>
      <c r="J1421" s="1793">
        <v>1496</v>
      </c>
      <c r="K1421" s="55"/>
      <c r="L1421" s="4197"/>
      <c r="P1421" s="563"/>
      <c r="Q1421" s="71" t="s">
        <v>2045</v>
      </c>
      <c r="R1421" s="71" t="s">
        <v>2045</v>
      </c>
      <c r="S1421" s="71">
        <f>2296+3670</f>
        <v>5966</v>
      </c>
      <c r="T1421" s="71"/>
      <c r="U1421" s="52"/>
      <c r="V1421" s="4293"/>
      <c r="W1421" s="1396">
        <v>2009</v>
      </c>
      <c r="X1421" s="1396">
        <v>2009</v>
      </c>
      <c r="Y1421" s="833">
        <v>1496</v>
      </c>
      <c r="Z1421" s="1396">
        <v>1496</v>
      </c>
      <c r="AA1421" s="1396">
        <v>1496</v>
      </c>
      <c r="AB1421" s="1396">
        <v>1496</v>
      </c>
      <c r="AC1421" s="1396">
        <v>1496</v>
      </c>
      <c r="AD1421" s="1396">
        <v>1496</v>
      </c>
      <c r="AE1421" s="1396">
        <v>1496</v>
      </c>
      <c r="AF1421" s="271">
        <f t="shared" si="213"/>
        <v>1496</v>
      </c>
      <c r="AG1421" s="1396"/>
      <c r="DG1421" s="573"/>
      <c r="DH1421" s="188"/>
      <c r="DI1421" s="1091"/>
      <c r="DJ1421" s="1187"/>
    </row>
    <row r="1422" spans="1:114" ht="15.75" hidden="1" customHeight="1" outlineLevel="1">
      <c r="A1422" s="453"/>
      <c r="C1422" s="571"/>
      <c r="D1422" s="4293"/>
      <c r="E1422" s="4293"/>
      <c r="F1422" s="4311" t="str">
        <f>$E$1384</f>
        <v>GSHP-EER23_ROF_SF</v>
      </c>
      <c r="G1422" s="4311"/>
      <c r="H1422" s="4311"/>
      <c r="I1422" s="1396"/>
      <c r="J1422" s="1793">
        <v>1496</v>
      </c>
      <c r="K1422" s="55"/>
      <c r="L1422" s="4197"/>
      <c r="P1422" s="563"/>
      <c r="S1422" s="52"/>
      <c r="T1422" s="209"/>
      <c r="U1422" s="52"/>
      <c r="V1422" s="4293"/>
      <c r="W1422" s="1396">
        <v>2009</v>
      </c>
      <c r="X1422" s="1396">
        <v>2009</v>
      </c>
      <c r="Y1422" s="833">
        <v>1496</v>
      </c>
      <c r="Z1422" s="1396">
        <v>1496</v>
      </c>
      <c r="AA1422" s="1396">
        <v>1496</v>
      </c>
      <c r="AB1422" s="1396">
        <v>1496</v>
      </c>
      <c r="AC1422" s="1396">
        <v>1496</v>
      </c>
      <c r="AD1422" s="1396">
        <v>1496</v>
      </c>
      <c r="AE1422" s="1396">
        <v>1496</v>
      </c>
      <c r="AF1422" s="271">
        <f t="shared" si="213"/>
        <v>1496</v>
      </c>
      <c r="AG1422" s="1396"/>
      <c r="DG1422" s="573"/>
      <c r="DH1422" s="188"/>
      <c r="DI1422" s="1091"/>
      <c r="DJ1422" s="1187"/>
    </row>
    <row r="1423" spans="1:114" s="41" customFormat="1" hidden="1" outlineLevel="1">
      <c r="A1423" s="453"/>
      <c r="C1423" s="1611"/>
      <c r="D1423" s="4293"/>
      <c r="E1423" s="4293"/>
      <c r="F1423" s="4310" t="str">
        <f>$E$1385</f>
        <v>GSHP-EER23-Replace_GSHP_ER1_SF</v>
      </c>
      <c r="G1423" s="4310"/>
      <c r="H1423" s="4310"/>
      <c r="I1423" s="833"/>
      <c r="J1423" s="1798">
        <v>1496</v>
      </c>
      <c r="K1423" s="670"/>
      <c r="L1423" s="4197"/>
      <c r="P1423" s="1612"/>
      <c r="Q1423" s="52"/>
      <c r="R1423" s="1643" t="s">
        <v>1922</v>
      </c>
      <c r="S1423" s="1643" t="s">
        <v>969</v>
      </c>
      <c r="T1423" s="1643" t="s">
        <v>970</v>
      </c>
      <c r="V1423" s="4293"/>
      <c r="W1423" s="833"/>
      <c r="X1423" s="833"/>
      <c r="Y1423" s="833"/>
      <c r="Z1423" s="833"/>
      <c r="AA1423" s="833"/>
      <c r="AB1423" s="833"/>
      <c r="AC1423" s="833"/>
      <c r="AD1423" s="833"/>
      <c r="AE1423" s="833"/>
      <c r="AF1423" s="271">
        <f t="shared" si="213"/>
        <v>1496</v>
      </c>
      <c r="AG1423" s="833"/>
      <c r="DG1423" s="1613"/>
      <c r="DH1423" s="1614"/>
      <c r="DI1423" s="1109"/>
      <c r="DJ1423" s="1187"/>
    </row>
    <row r="1424" spans="1:114" s="41" customFormat="1" hidden="1" outlineLevel="1">
      <c r="A1424" s="453"/>
      <c r="C1424" s="1611"/>
      <c r="D1424" s="4293"/>
      <c r="E1424" s="4293"/>
      <c r="F1424" s="4310" t="str">
        <f>$E$1387</f>
        <v>GSHP-EER23-Replace_GSHP_ER2_SF</v>
      </c>
      <c r="G1424" s="4310"/>
      <c r="H1424" s="4310"/>
      <c r="I1424" s="833"/>
      <c r="J1424" s="1798">
        <v>1496</v>
      </c>
      <c r="K1424" s="670"/>
      <c r="L1424" s="4197"/>
      <c r="P1424" s="1612"/>
      <c r="Q1424" s="52"/>
      <c r="R1424" s="71" t="s">
        <v>1923</v>
      </c>
      <c r="S1424" s="260">
        <v>2.3128228708516586E-2</v>
      </c>
      <c r="T1424" s="71" t="s">
        <v>1924</v>
      </c>
      <c r="V1424" s="4293"/>
      <c r="W1424" s="833"/>
      <c r="X1424" s="833"/>
      <c r="Y1424" s="833"/>
      <c r="Z1424" s="833"/>
      <c r="AA1424" s="833"/>
      <c r="AB1424" s="833"/>
      <c r="AC1424" s="833"/>
      <c r="AD1424" s="833"/>
      <c r="AE1424" s="833"/>
      <c r="AF1424" s="271">
        <f t="shared" si="213"/>
        <v>1496</v>
      </c>
      <c r="AG1424" s="833"/>
      <c r="DG1424" s="1613"/>
      <c r="DH1424" s="1614"/>
      <c r="DI1424" s="1109"/>
      <c r="DJ1424" s="1187"/>
    </row>
    <row r="1425" spans="1:114" ht="15" hidden="1" customHeight="1" outlineLevel="1">
      <c r="A1425" s="453"/>
      <c r="C1425" s="571"/>
      <c r="D1425" s="4294" t="s">
        <v>2111</v>
      </c>
      <c r="E1425" s="4294" t="s">
        <v>2112</v>
      </c>
      <c r="F1425" s="4307" t="str">
        <f>$E$1374</f>
        <v>GSHP-EER23-Replace_CAC_ElectricHeat_ROF_SF</v>
      </c>
      <c r="G1425" s="4307"/>
      <c r="H1425" s="4307"/>
      <c r="I1425" s="1396"/>
      <c r="J1425" s="1790">
        <v>3.41</v>
      </c>
      <c r="K1425" s="1442"/>
      <c r="L1425" s="4375" t="s">
        <v>2158</v>
      </c>
      <c r="P1425" s="563"/>
      <c r="R1425" s="71" t="s">
        <v>1925</v>
      </c>
      <c r="S1425" s="1378">
        <v>6</v>
      </c>
      <c r="T1425" s="71" t="s">
        <v>1926</v>
      </c>
      <c r="U1425" s="52"/>
      <c r="V1425" s="4294" t="s">
        <v>2111</v>
      </c>
      <c r="W1425" s="1396">
        <v>3.41</v>
      </c>
      <c r="X1425" s="1396">
        <v>3.41</v>
      </c>
      <c r="Y1425" s="1396">
        <v>3.41</v>
      </c>
      <c r="Z1425" s="1396">
        <v>3.41</v>
      </c>
      <c r="AA1425" s="1396">
        <v>3.41</v>
      </c>
      <c r="AB1425" s="1396">
        <v>3.41</v>
      </c>
      <c r="AC1425" s="1396">
        <v>3.41</v>
      </c>
      <c r="AD1425" s="1396">
        <v>3.41</v>
      </c>
      <c r="AE1425" s="1396">
        <v>3.41</v>
      </c>
      <c r="AF1425" s="271">
        <f t="shared" si="213"/>
        <v>3.41</v>
      </c>
      <c r="AG1425" s="1396"/>
      <c r="DG1425" s="573"/>
      <c r="DH1425" s="188"/>
      <c r="DI1425" s="1091"/>
      <c r="DJ1425" s="1187"/>
    </row>
    <row r="1426" spans="1:114" hidden="1" outlineLevel="1">
      <c r="A1426" s="453"/>
      <c r="C1426" s="571"/>
      <c r="D1426" s="4294"/>
      <c r="E1426" s="4294"/>
      <c r="F1426" s="4307" t="str">
        <f>$E$1376</f>
        <v>GSHP-EER23-Replace_CAC_ElectricHeat_ER1_SF</v>
      </c>
      <c r="G1426" s="4307"/>
      <c r="H1426" s="4307"/>
      <c r="I1426" s="1396"/>
      <c r="J1426" s="1790">
        <v>3.41</v>
      </c>
      <c r="K1426" s="1442"/>
      <c r="L1426" s="4376"/>
      <c r="P1426" s="63"/>
      <c r="R1426" s="71" t="s">
        <v>1927</v>
      </c>
      <c r="S1426" s="202">
        <f>(1-S1424)^(S1425-1)</f>
        <v>0.88958571378558426</v>
      </c>
      <c r="T1426" s="71" t="s">
        <v>1928</v>
      </c>
      <c r="U1426" s="52"/>
      <c r="V1426" s="4294"/>
      <c r="W1426" s="1396">
        <v>3.41</v>
      </c>
      <c r="X1426" s="1396">
        <v>3.41</v>
      </c>
      <c r="Y1426" s="1396">
        <v>3.41</v>
      </c>
      <c r="Z1426" s="1396">
        <v>3.41</v>
      </c>
      <c r="AA1426" s="1396">
        <v>3.41</v>
      </c>
      <c r="AB1426" s="1396">
        <v>3.41</v>
      </c>
      <c r="AC1426" s="1396">
        <v>3.41</v>
      </c>
      <c r="AD1426" s="1396">
        <v>3.41</v>
      </c>
      <c r="AE1426" s="1396">
        <v>3.41</v>
      </c>
      <c r="AF1426" s="271">
        <f t="shared" si="213"/>
        <v>3.41</v>
      </c>
      <c r="AG1426" s="1396"/>
      <c r="DG1426" s="573"/>
      <c r="DH1426" s="188"/>
      <c r="DI1426" s="1091"/>
      <c r="DJ1426" s="1187"/>
    </row>
    <row r="1427" spans="1:114" hidden="1" outlineLevel="1">
      <c r="A1427" s="453"/>
      <c r="C1427" s="571"/>
      <c r="D1427" s="4294"/>
      <c r="E1427" s="4294"/>
      <c r="F1427" s="4307" t="str">
        <f>$E$1378</f>
        <v>GSHP-EER23-Replace_CAC_ElectricHeat_ER2_SF</v>
      </c>
      <c r="G1427" s="4307"/>
      <c r="H1427" s="4307"/>
      <c r="I1427" s="1396"/>
      <c r="J1427" s="1790">
        <v>3.41</v>
      </c>
      <c r="K1427" s="1442"/>
      <c r="L1427" s="4376"/>
      <c r="T1427" s="52"/>
      <c r="U1427" s="52"/>
      <c r="V1427" s="4294"/>
      <c r="W1427" s="1396">
        <v>3.41</v>
      </c>
      <c r="X1427" s="1396">
        <v>3.41</v>
      </c>
      <c r="Y1427" s="1396">
        <v>3.41</v>
      </c>
      <c r="Z1427" s="1396">
        <v>3.41</v>
      </c>
      <c r="AA1427" s="1396">
        <v>3.41</v>
      </c>
      <c r="AB1427" s="1396">
        <v>3.41</v>
      </c>
      <c r="AC1427" s="1396">
        <v>3.41</v>
      </c>
      <c r="AD1427" s="1396">
        <v>3.41</v>
      </c>
      <c r="AE1427" s="1396">
        <v>3.41</v>
      </c>
      <c r="AF1427" s="271">
        <f t="shared" si="213"/>
        <v>3.41</v>
      </c>
      <c r="AG1427" s="1396"/>
      <c r="DG1427" s="573"/>
      <c r="DH1427" s="188"/>
      <c r="DI1427" s="1091"/>
      <c r="DJ1427" s="1187"/>
    </row>
    <row r="1428" spans="1:114" hidden="1" outlineLevel="1">
      <c r="A1428" s="453"/>
      <c r="C1428" s="571"/>
      <c r="D1428" s="4294"/>
      <c r="E1428" s="4294"/>
      <c r="F1428" s="4311" t="str">
        <f>$E$1380</f>
        <v>GSHP-EER23-Replace_ASHP_ER1_SF</v>
      </c>
      <c r="G1428" s="4311"/>
      <c r="H1428" s="4311"/>
      <c r="I1428" s="1396"/>
      <c r="J1428" s="1794">
        <v>7.5</v>
      </c>
      <c r="K1428" s="1442"/>
      <c r="L1428" s="4376"/>
      <c r="P1428" s="1404"/>
      <c r="S1428" s="52"/>
      <c r="T1428" s="52"/>
      <c r="U1428" s="52"/>
      <c r="V1428" s="4294"/>
      <c r="W1428" s="1396"/>
      <c r="X1428" s="833">
        <v>9.5500000000000007</v>
      </c>
      <c r="Y1428" s="1396">
        <v>9.5500000000000007</v>
      </c>
      <c r="Z1428" s="1396">
        <v>9.5500000000000007</v>
      </c>
      <c r="AA1428" s="1396">
        <v>9.5500000000000007</v>
      </c>
      <c r="AB1428" s="1396">
        <v>9.5500000000000007</v>
      </c>
      <c r="AC1428" s="1396">
        <v>9.5500000000000007</v>
      </c>
      <c r="AD1428" s="1396">
        <v>9.5500000000000007</v>
      </c>
      <c r="AE1428" s="1396">
        <v>9.5500000000000007</v>
      </c>
      <c r="AF1428" s="271">
        <f t="shared" si="213"/>
        <v>7.5</v>
      </c>
      <c r="AG1428" s="1396"/>
      <c r="DG1428" s="573"/>
      <c r="DH1428" s="188"/>
      <c r="DI1428" s="1091"/>
      <c r="DJ1428" s="1187"/>
    </row>
    <row r="1429" spans="1:114" hidden="1" outlineLevel="1">
      <c r="A1429" s="453"/>
      <c r="C1429" s="571"/>
      <c r="D1429" s="4294"/>
      <c r="E1429" s="4294"/>
      <c r="F1429" s="4307" t="str">
        <f>$E$1382</f>
        <v>GSHP-EER23-Replace_ASHP_ER2_SF</v>
      </c>
      <c r="G1429" s="4307"/>
      <c r="H1429" s="4307"/>
      <c r="I1429" s="1396"/>
      <c r="J1429" s="1794">
        <v>7.5</v>
      </c>
      <c r="K1429" s="1442"/>
      <c r="L1429" s="4376"/>
      <c r="P1429" s="654"/>
      <c r="Q1429" s="51"/>
      <c r="R1429" s="51"/>
      <c r="S1429" s="52"/>
      <c r="T1429" s="52"/>
      <c r="U1429" s="52"/>
      <c r="V1429" s="4294"/>
      <c r="W1429" s="1396">
        <v>3.41</v>
      </c>
      <c r="X1429" s="833">
        <v>10.58</v>
      </c>
      <c r="Y1429" s="1396">
        <v>10.58</v>
      </c>
      <c r="Z1429" s="1396">
        <v>10.58</v>
      </c>
      <c r="AA1429" s="1396">
        <v>10.58</v>
      </c>
      <c r="AB1429" s="1396">
        <v>10.58</v>
      </c>
      <c r="AC1429" s="1396">
        <v>10.58</v>
      </c>
      <c r="AD1429" s="1396">
        <v>10.58</v>
      </c>
      <c r="AE1429" s="1396">
        <v>10.58</v>
      </c>
      <c r="AF1429" s="271">
        <f t="shared" si="213"/>
        <v>7.5</v>
      </c>
      <c r="AG1429" s="1396"/>
      <c r="DG1429" s="573"/>
      <c r="DH1429" s="188"/>
      <c r="DI1429" s="1091"/>
      <c r="DJ1429" s="1187"/>
    </row>
    <row r="1430" spans="1:114" hidden="1" outlineLevel="1">
      <c r="A1430" s="453"/>
      <c r="C1430" s="571"/>
      <c r="D1430" s="4294"/>
      <c r="E1430" s="4294"/>
      <c r="F1430" s="4307" t="str">
        <f>$E$1384</f>
        <v>GSHP-EER23_ROF_SF</v>
      </c>
      <c r="G1430" s="4307"/>
      <c r="H1430" s="4307"/>
      <c r="I1430" s="1396"/>
      <c r="J1430" s="1794">
        <v>7.5</v>
      </c>
      <c r="K1430" s="1442"/>
      <c r="L1430" s="4376"/>
      <c r="P1430" s="654"/>
      <c r="Q1430" s="655"/>
      <c r="R1430" s="655"/>
      <c r="S1430" s="52"/>
      <c r="T1430" s="653"/>
      <c r="U1430" s="52"/>
      <c r="V1430" s="4294"/>
      <c r="W1430" s="1396">
        <v>3.41</v>
      </c>
      <c r="X1430" s="833">
        <v>10.58</v>
      </c>
      <c r="Y1430" s="1396">
        <v>10.58</v>
      </c>
      <c r="Z1430" s="1396">
        <v>10.58</v>
      </c>
      <c r="AA1430" s="1396">
        <v>10.58</v>
      </c>
      <c r="AB1430" s="1396">
        <v>10.58</v>
      </c>
      <c r="AC1430" s="1396">
        <v>10.58</v>
      </c>
      <c r="AD1430" s="1396">
        <v>10.58</v>
      </c>
      <c r="AE1430" s="1396">
        <v>10.58</v>
      </c>
      <c r="AF1430" s="271">
        <f t="shared" si="213"/>
        <v>7.5</v>
      </c>
      <c r="AG1430" s="1396"/>
      <c r="DG1430" s="573"/>
      <c r="DH1430" s="188"/>
      <c r="DI1430" s="1091"/>
      <c r="DJ1430" s="1187"/>
    </row>
    <row r="1431" spans="1:114" s="41" customFormat="1" hidden="1" outlineLevel="1">
      <c r="A1431" s="453"/>
      <c r="C1431" s="1611"/>
      <c r="D1431" s="4294"/>
      <c r="E1431" s="4294"/>
      <c r="F1431" s="4310" t="str">
        <f>$E$1385</f>
        <v>GSHP-EER23-Replace_GSHP_ER1_SF</v>
      </c>
      <c r="G1431" s="4310"/>
      <c r="H1431" s="4310"/>
      <c r="I1431" s="833"/>
      <c r="J1431" s="1794">
        <v>7.5</v>
      </c>
      <c r="K1431" s="677"/>
      <c r="L1431" s="4376"/>
      <c r="P1431" s="1615"/>
      <c r="Q1431" s="1188"/>
      <c r="R1431" s="1188"/>
      <c r="T1431" s="1616"/>
      <c r="V1431" s="4294"/>
      <c r="W1431" s="833"/>
      <c r="X1431" s="833"/>
      <c r="Y1431" s="833"/>
      <c r="Z1431" s="833"/>
      <c r="AA1431" s="833"/>
      <c r="AB1431" s="833"/>
      <c r="AC1431" s="833"/>
      <c r="AD1431" s="833"/>
      <c r="AE1431" s="833"/>
      <c r="AF1431" s="271">
        <f t="shared" si="213"/>
        <v>7.5</v>
      </c>
      <c r="AG1431" s="833"/>
      <c r="DG1431" s="1613"/>
      <c r="DH1431" s="1614"/>
      <c r="DI1431" s="1109"/>
      <c r="DJ1431" s="1187"/>
    </row>
    <row r="1432" spans="1:114" s="41" customFormat="1" hidden="1" outlineLevel="1">
      <c r="A1432" s="453"/>
      <c r="C1432" s="1611"/>
      <c r="D1432" s="4294"/>
      <c r="E1432" s="4294"/>
      <c r="F1432" s="4310" t="str">
        <f>$E$1387</f>
        <v>GSHP-EER23-Replace_GSHP_ER2_SF</v>
      </c>
      <c r="G1432" s="4310"/>
      <c r="H1432" s="4310"/>
      <c r="I1432" s="833"/>
      <c r="J1432" s="1794">
        <v>7.5</v>
      </c>
      <c r="K1432" s="677"/>
      <c r="L1432" s="4364"/>
      <c r="P1432" s="1615"/>
      <c r="Q1432" s="1188"/>
      <c r="R1432" s="1188"/>
      <c r="T1432" s="1616"/>
      <c r="V1432" s="4294"/>
      <c r="W1432" s="833"/>
      <c r="X1432" s="833"/>
      <c r="Y1432" s="833"/>
      <c r="Z1432" s="833"/>
      <c r="AA1432" s="833"/>
      <c r="AB1432" s="833"/>
      <c r="AC1432" s="833"/>
      <c r="AD1432" s="833"/>
      <c r="AE1432" s="833"/>
      <c r="AF1432" s="271">
        <f t="shared" si="213"/>
        <v>7.5</v>
      </c>
      <c r="AG1432" s="833"/>
      <c r="DG1432" s="1613"/>
      <c r="DH1432" s="1614"/>
      <c r="DI1432" s="1109"/>
      <c r="DJ1432" s="1187"/>
    </row>
    <row r="1433" spans="1:114" ht="15" hidden="1" customHeight="1" outlineLevel="1">
      <c r="A1433" s="453"/>
      <c r="C1433" s="571"/>
      <c r="D1433" s="4294" t="s">
        <v>2114</v>
      </c>
      <c r="E1433" s="4294" t="s">
        <v>2159</v>
      </c>
      <c r="F1433" s="4307" t="str">
        <f>$E$1374</f>
        <v>GSHP-EER23-Replace_CAC_ElectricHeat_ROF_SF</v>
      </c>
      <c r="G1433" s="4307"/>
      <c r="H1433" s="4307"/>
      <c r="I1433" s="1396"/>
      <c r="J1433" s="1758">
        <v>15.140400000000001</v>
      </c>
      <c r="K1433" s="1442"/>
      <c r="L1433" s="4375" t="s">
        <v>2108</v>
      </c>
      <c r="P1433" s="654"/>
      <c r="R1433" s="656"/>
      <c r="S1433" s="52"/>
      <c r="T1433" s="52"/>
      <c r="U1433" s="52"/>
      <c r="V1433" s="4294" t="s">
        <v>2114</v>
      </c>
      <c r="W1433" s="1396">
        <f>15.01/3.41</f>
        <v>4.4017595307917885</v>
      </c>
      <c r="X1433" s="212">
        <v>14.979294599999999</v>
      </c>
      <c r="Y1433" s="833">
        <f>4.44*3.41</f>
        <v>15.140400000000001</v>
      </c>
      <c r="Z1433" s="1396">
        <f t="shared" ref="Z1433:AA1438" si="216">4.44*3.41</f>
        <v>15.140400000000001</v>
      </c>
      <c r="AA1433" s="1396">
        <f t="shared" si="216"/>
        <v>15.140400000000001</v>
      </c>
      <c r="AB1433" s="211">
        <v>15.140400000000001</v>
      </c>
      <c r="AC1433" s="211">
        <v>15.140400000000001</v>
      </c>
      <c r="AD1433" s="211">
        <v>15.140400000000001</v>
      </c>
      <c r="AE1433" s="211">
        <v>15.140400000000001</v>
      </c>
      <c r="AF1433" s="271">
        <f t="shared" si="213"/>
        <v>15.140400000000001</v>
      </c>
      <c r="AG1433" s="1396"/>
      <c r="DG1433" s="573"/>
      <c r="DH1433" s="188"/>
      <c r="DI1433" s="1091"/>
      <c r="DJ1433" s="1187"/>
    </row>
    <row r="1434" spans="1:114" hidden="1" outlineLevel="1">
      <c r="A1434" s="453"/>
      <c r="C1434" s="571"/>
      <c r="D1434" s="4294"/>
      <c r="E1434" s="4294"/>
      <c r="F1434" s="4307" t="str">
        <f>$E$1376</f>
        <v>GSHP-EER23-Replace_CAC_ElectricHeat_ER1_SF</v>
      </c>
      <c r="G1434" s="4307"/>
      <c r="H1434" s="4307"/>
      <c r="I1434" s="1396"/>
      <c r="J1434" s="1758">
        <v>15.140400000000001</v>
      </c>
      <c r="K1434" s="1442"/>
      <c r="L1434" s="4376"/>
      <c r="P1434" s="657"/>
      <c r="R1434" s="656"/>
      <c r="S1434" s="52"/>
      <c r="T1434" s="52"/>
      <c r="U1434" s="52"/>
      <c r="V1434" s="4294"/>
      <c r="W1434" s="1396">
        <f>15.01/3.41</f>
        <v>4.4017595307917885</v>
      </c>
      <c r="X1434" s="212">
        <v>14.979294599999999</v>
      </c>
      <c r="Y1434" s="833">
        <f>4.44*3.41</f>
        <v>15.140400000000001</v>
      </c>
      <c r="Z1434" s="1396">
        <f t="shared" si="216"/>
        <v>15.140400000000001</v>
      </c>
      <c r="AA1434" s="1396">
        <f t="shared" si="216"/>
        <v>15.140400000000001</v>
      </c>
      <c r="AB1434" s="211">
        <v>15.140400000000001</v>
      </c>
      <c r="AC1434" s="211">
        <v>15.140400000000001</v>
      </c>
      <c r="AD1434" s="211">
        <v>15.140400000000001</v>
      </c>
      <c r="AE1434" s="211">
        <v>15.140400000000001</v>
      </c>
      <c r="AF1434" s="271">
        <f t="shared" si="213"/>
        <v>15.140400000000001</v>
      </c>
      <c r="AG1434" s="1396"/>
      <c r="DG1434" s="573"/>
      <c r="DH1434" s="188"/>
      <c r="DI1434" s="1091"/>
      <c r="DJ1434" s="1187"/>
    </row>
    <row r="1435" spans="1:114" hidden="1" outlineLevel="1">
      <c r="A1435" s="453"/>
      <c r="C1435" s="571"/>
      <c r="D1435" s="4294"/>
      <c r="E1435" s="4294"/>
      <c r="F1435" s="4307" t="str">
        <f>$E$1378</f>
        <v>GSHP-EER23-Replace_CAC_ElectricHeat_ER2_SF</v>
      </c>
      <c r="G1435" s="4307"/>
      <c r="H1435" s="4307"/>
      <c r="I1435" s="1396"/>
      <c r="J1435" s="1758">
        <v>15.140400000000001</v>
      </c>
      <c r="K1435" s="1610"/>
      <c r="L1435" s="4376"/>
      <c r="P1435" s="104"/>
      <c r="S1435" s="52"/>
      <c r="T1435" s="52"/>
      <c r="U1435" s="52"/>
      <c r="V1435" s="4294"/>
      <c r="W1435" s="1396">
        <f>15.01/3.41</f>
        <v>4.4017595307917885</v>
      </c>
      <c r="X1435" s="212">
        <v>14.979294599999999</v>
      </c>
      <c r="Y1435" s="833">
        <f>4.44*3.41</f>
        <v>15.140400000000001</v>
      </c>
      <c r="Z1435" s="1396">
        <f t="shared" si="216"/>
        <v>15.140400000000001</v>
      </c>
      <c r="AA1435" s="1396">
        <f t="shared" si="216"/>
        <v>15.140400000000001</v>
      </c>
      <c r="AB1435" s="211">
        <v>15.140400000000001</v>
      </c>
      <c r="AC1435" s="211">
        <v>15.140400000000001</v>
      </c>
      <c r="AD1435" s="211">
        <v>15.140400000000001</v>
      </c>
      <c r="AE1435" s="211">
        <v>15.140400000000001</v>
      </c>
      <c r="AF1435" s="271">
        <f t="shared" si="213"/>
        <v>15.140400000000001</v>
      </c>
      <c r="AG1435" s="1396"/>
      <c r="DG1435" s="573"/>
      <c r="DH1435" s="188"/>
      <c r="DI1435" s="1091"/>
      <c r="DJ1435" s="1187"/>
    </row>
    <row r="1436" spans="1:114" hidden="1" outlineLevel="1">
      <c r="A1436" s="453"/>
      <c r="C1436" s="571"/>
      <c r="D1436" s="4294"/>
      <c r="E1436" s="4294"/>
      <c r="F1436" s="4311" t="str">
        <f>$E$1380</f>
        <v>GSHP-EER23-Replace_ASHP_ER1_SF</v>
      </c>
      <c r="G1436" s="4311"/>
      <c r="H1436" s="4311"/>
      <c r="I1436" s="1405"/>
      <c r="J1436" s="1758">
        <v>15.140400000000001</v>
      </c>
      <c r="K1436" s="1610"/>
      <c r="L1436" s="4376"/>
      <c r="P1436" s="104"/>
      <c r="S1436" s="52"/>
      <c r="T1436" s="52"/>
      <c r="U1436" s="52"/>
      <c r="V1436" s="4294"/>
      <c r="W1436" s="1396"/>
      <c r="X1436" s="212"/>
      <c r="Y1436" s="833"/>
      <c r="Z1436" s="1396"/>
      <c r="AA1436" s="1396"/>
      <c r="AB1436" s="736">
        <v>15.140400000000001</v>
      </c>
      <c r="AC1436" s="741">
        <v>15.140400000000001</v>
      </c>
      <c r="AD1436" s="741">
        <v>15.140400000000001</v>
      </c>
      <c r="AE1436" s="741">
        <v>15.140400000000001</v>
      </c>
      <c r="AF1436" s="271">
        <f t="shared" si="213"/>
        <v>15.140400000000001</v>
      </c>
      <c r="AG1436" s="1396"/>
      <c r="DG1436" s="573"/>
      <c r="DH1436" s="188"/>
      <c r="DI1436" s="1091"/>
      <c r="DJ1436" s="1187"/>
    </row>
    <row r="1437" spans="1:114" hidden="1" outlineLevel="1">
      <c r="A1437" s="453"/>
      <c r="C1437" s="571"/>
      <c r="D1437" s="4294"/>
      <c r="E1437" s="4294"/>
      <c r="F1437" s="4307" t="str">
        <f>$E$1382</f>
        <v>GSHP-EER23-Replace_ASHP_ER2_SF</v>
      </c>
      <c r="G1437" s="4307"/>
      <c r="H1437" s="4307"/>
      <c r="I1437" s="1396"/>
      <c r="J1437" s="1758">
        <v>15.140400000000001</v>
      </c>
      <c r="K1437" s="1610"/>
      <c r="L1437" s="4376"/>
      <c r="P1437" s="209"/>
      <c r="S1437" s="52"/>
      <c r="T1437" s="52"/>
      <c r="U1437" s="52"/>
      <c r="V1437" s="4294"/>
      <c r="W1437" s="1396">
        <f>15.01/3.41</f>
        <v>4.4017595307917885</v>
      </c>
      <c r="X1437" s="212">
        <v>14.979294599999999</v>
      </c>
      <c r="Y1437" s="833">
        <f>4.44*3.41</f>
        <v>15.140400000000001</v>
      </c>
      <c r="Z1437" s="1396">
        <f t="shared" si="216"/>
        <v>15.140400000000001</v>
      </c>
      <c r="AA1437" s="1396">
        <f t="shared" si="216"/>
        <v>15.140400000000001</v>
      </c>
      <c r="AB1437" s="211">
        <v>15.140400000000001</v>
      </c>
      <c r="AC1437" s="211">
        <v>15.140400000000001</v>
      </c>
      <c r="AD1437" s="211">
        <v>15.140400000000001</v>
      </c>
      <c r="AE1437" s="211">
        <v>15.140400000000001</v>
      </c>
      <c r="AF1437" s="271">
        <f t="shared" si="213"/>
        <v>15.140400000000001</v>
      </c>
      <c r="AG1437" s="1396"/>
      <c r="DG1437" s="573"/>
      <c r="DH1437" s="188"/>
      <c r="DI1437" s="1091"/>
      <c r="DJ1437" s="1187"/>
    </row>
    <row r="1438" spans="1:114" hidden="1" outlineLevel="1">
      <c r="A1438" s="453"/>
      <c r="C1438" s="571"/>
      <c r="D1438" s="4294"/>
      <c r="E1438" s="4294"/>
      <c r="F1438" s="4307" t="str">
        <f>$E$1384</f>
        <v>GSHP-EER23_ROF_SF</v>
      </c>
      <c r="G1438" s="4307"/>
      <c r="H1438" s="4307"/>
      <c r="I1438" s="1396"/>
      <c r="J1438" s="1758">
        <v>15.140400000000001</v>
      </c>
      <c r="K1438" s="1610"/>
      <c r="L1438" s="4376"/>
      <c r="S1438" s="52"/>
      <c r="T1438" s="52"/>
      <c r="U1438" s="52"/>
      <c r="V1438" s="4294"/>
      <c r="W1438" s="1396">
        <f>15.01/3.41</f>
        <v>4.4017595307917885</v>
      </c>
      <c r="X1438" s="212">
        <v>14.979294599999999</v>
      </c>
      <c r="Y1438" s="833">
        <f>4.44*3.41</f>
        <v>15.140400000000001</v>
      </c>
      <c r="Z1438" s="1396">
        <f t="shared" si="216"/>
        <v>15.140400000000001</v>
      </c>
      <c r="AA1438" s="1396">
        <f t="shared" si="216"/>
        <v>15.140400000000001</v>
      </c>
      <c r="AB1438" s="211">
        <v>15.140400000000001</v>
      </c>
      <c r="AC1438" s="211">
        <v>15.140400000000001</v>
      </c>
      <c r="AD1438" s="211">
        <v>15.140400000000001</v>
      </c>
      <c r="AE1438" s="211">
        <v>15.140400000000001</v>
      </c>
      <c r="AF1438" s="271">
        <f t="shared" si="213"/>
        <v>15.140400000000001</v>
      </c>
      <c r="AG1438" s="1396"/>
      <c r="DG1438" s="573"/>
      <c r="DH1438" s="188"/>
      <c r="DI1438" s="1091"/>
      <c r="DJ1438" s="1187"/>
    </row>
    <row r="1439" spans="1:114" s="41" customFormat="1" hidden="1" outlineLevel="1">
      <c r="A1439" s="453"/>
      <c r="C1439" s="1611"/>
      <c r="D1439" s="4294"/>
      <c r="E1439" s="4294"/>
      <c r="F1439" s="4310" t="str">
        <f>$E$1385</f>
        <v>GSHP-EER23-Replace_GSHP_ER1_SF</v>
      </c>
      <c r="G1439" s="4310"/>
      <c r="H1439" s="4310"/>
      <c r="I1439" s="833"/>
      <c r="J1439" s="1784">
        <v>15.140400000000001</v>
      </c>
      <c r="K1439" s="1617"/>
      <c r="L1439" s="4376"/>
      <c r="V1439" s="4294"/>
      <c r="W1439" s="833"/>
      <c r="X1439" s="212"/>
      <c r="Y1439" s="833"/>
      <c r="Z1439" s="833"/>
      <c r="AA1439" s="833"/>
      <c r="AB1439" s="212"/>
      <c r="AC1439" s="212"/>
      <c r="AD1439" s="212"/>
      <c r="AE1439" s="212"/>
      <c r="AF1439" s="271">
        <f t="shared" si="213"/>
        <v>15.140400000000001</v>
      </c>
      <c r="AG1439" s="833"/>
      <c r="DG1439" s="1613"/>
      <c r="DH1439" s="1614"/>
      <c r="DI1439" s="1109"/>
      <c r="DJ1439" s="1187"/>
    </row>
    <row r="1440" spans="1:114" s="41" customFormat="1" hidden="1" outlineLevel="1">
      <c r="A1440" s="453"/>
      <c r="C1440" s="1611"/>
      <c r="D1440" s="4294"/>
      <c r="E1440" s="4294"/>
      <c r="F1440" s="4310" t="str">
        <f>$E$1387</f>
        <v>GSHP-EER23-Replace_GSHP_ER2_SF</v>
      </c>
      <c r="G1440" s="4310"/>
      <c r="H1440" s="4310"/>
      <c r="I1440" s="833"/>
      <c r="J1440" s="1784">
        <v>15.140400000000001</v>
      </c>
      <c r="K1440" s="1617"/>
      <c r="L1440" s="4364"/>
      <c r="V1440" s="4294"/>
      <c r="W1440" s="833"/>
      <c r="X1440" s="212"/>
      <c r="Y1440" s="833"/>
      <c r="Z1440" s="833"/>
      <c r="AA1440" s="833"/>
      <c r="AB1440" s="212"/>
      <c r="AC1440" s="212"/>
      <c r="AD1440" s="212"/>
      <c r="AE1440" s="212"/>
      <c r="AF1440" s="271">
        <f t="shared" si="213"/>
        <v>15.140400000000001</v>
      </c>
      <c r="AG1440" s="833"/>
      <c r="DG1440" s="1613"/>
      <c r="DH1440" s="1614"/>
      <c r="DI1440" s="1109"/>
      <c r="DJ1440" s="1187"/>
    </row>
    <row r="1441" spans="1:114" hidden="1" outlineLevel="1">
      <c r="A1441" s="453"/>
      <c r="C1441" s="571"/>
      <c r="D1441" s="4293" t="s">
        <v>2118</v>
      </c>
      <c r="E1441" s="4293" t="s">
        <v>2160</v>
      </c>
      <c r="F1441" s="4307" t="str">
        <f>$E$1373</f>
        <v>GSHP-EER23-Replace_CAC_ElectricHeat_ROF_SF</v>
      </c>
      <c r="G1441" s="4307"/>
      <c r="H1441" s="4307"/>
      <c r="I1441" s="1396"/>
      <c r="J1441" s="1756">
        <v>47917.808219178085</v>
      </c>
      <c r="K1441" s="670">
        <f>J1441/12000</f>
        <v>3.993150684931507</v>
      </c>
      <c r="L1441" s="1609" t="s">
        <v>1935</v>
      </c>
      <c r="S1441" s="52"/>
      <c r="T1441" s="52"/>
      <c r="U1441" s="52"/>
      <c r="V1441" s="4293" t="s">
        <v>2118</v>
      </c>
      <c r="W1441" s="1396">
        <v>52800.000000000007</v>
      </c>
      <c r="X1441" s="833">
        <f>3.99*12000</f>
        <v>47880</v>
      </c>
      <c r="Y1441" s="833">
        <f t="shared" ref="Y1441:AA1442" si="217">Y1410</f>
        <v>46320</v>
      </c>
      <c r="Z1441" s="1396">
        <f t="shared" si="217"/>
        <v>46320</v>
      </c>
      <c r="AA1441" s="1396">
        <f t="shared" si="217"/>
        <v>46320</v>
      </c>
      <c r="AB1441" s="735">
        <v>49745.454545454544</v>
      </c>
      <c r="AC1441" s="735">
        <v>46600</v>
      </c>
      <c r="AD1441" s="735">
        <v>47729.729729729726</v>
      </c>
      <c r="AE1441" s="1112">
        <v>50350.515463917523</v>
      </c>
      <c r="AF1441" s="271">
        <f t="shared" ref="AF1441:AF1472" si="218">IF(J1441&lt;&gt;"",J1441,"")</f>
        <v>47917.808219178085</v>
      </c>
      <c r="AG1441" s="1396"/>
      <c r="DG1441" s="573"/>
      <c r="DH1441" s="188"/>
      <c r="DI1441" s="1091"/>
      <c r="DJ1441" s="1187"/>
    </row>
    <row r="1442" spans="1:114" hidden="1" outlineLevel="1">
      <c r="A1442" s="453"/>
      <c r="C1442" s="571"/>
      <c r="D1442" s="4293"/>
      <c r="E1442" s="4293"/>
      <c r="F1442" s="4307" t="str">
        <f>$E$1375</f>
        <v>GSHP-EER23-Replace_CAC_ElectricHeat_ER1_SF</v>
      </c>
      <c r="G1442" s="4307"/>
      <c r="H1442" s="4307"/>
      <c r="I1442" s="1396"/>
      <c r="J1442" s="1753">
        <v>46438.356164383564</v>
      </c>
      <c r="K1442" s="55">
        <f>J1443/12000</f>
        <v>3.8698630136986303</v>
      </c>
      <c r="L1442" s="778" t="s">
        <v>2155</v>
      </c>
      <c r="S1442" s="52"/>
      <c r="T1442" s="52"/>
      <c r="U1442" s="52"/>
      <c r="V1442" s="4293"/>
      <c r="W1442" s="1396">
        <v>49199.999999999993</v>
      </c>
      <c r="X1442" s="833">
        <f>3.99*12000</f>
        <v>47880</v>
      </c>
      <c r="Y1442" s="833">
        <f t="shared" si="217"/>
        <v>46320</v>
      </c>
      <c r="Z1442" s="1396">
        <f t="shared" si="217"/>
        <v>46320</v>
      </c>
      <c r="AA1442" s="1396">
        <f t="shared" si="217"/>
        <v>46320</v>
      </c>
      <c r="AB1442" s="735">
        <v>45750</v>
      </c>
      <c r="AC1442" s="735">
        <v>48705.882352941175</v>
      </c>
      <c r="AD1442" s="735">
        <v>46438.356164383564</v>
      </c>
      <c r="AE1442" s="1046">
        <v>46438.356164383564</v>
      </c>
      <c r="AF1442" s="271">
        <f t="shared" si="218"/>
        <v>46438.356164383564</v>
      </c>
      <c r="AG1442" s="1396"/>
      <c r="DG1442" s="573"/>
      <c r="DH1442" s="188"/>
      <c r="DI1442" s="1091"/>
      <c r="DJ1442" s="1187"/>
    </row>
    <row r="1443" spans="1:114" hidden="1" outlineLevel="1">
      <c r="A1443" s="453"/>
      <c r="C1443" s="571"/>
      <c r="D1443" s="4293"/>
      <c r="E1443" s="4293"/>
      <c r="F1443" s="4307" t="str">
        <f>$E$1377</f>
        <v>GSHP-EER23-Replace_CAC_ElectricHeat_ER2_SF</v>
      </c>
      <c r="G1443" s="4307"/>
      <c r="H1443" s="4307"/>
      <c r="I1443" s="1396"/>
      <c r="J1443" s="1753">
        <f>J1442</f>
        <v>46438.356164383564</v>
      </c>
      <c r="K1443" s="55">
        <f>J1441/12000</f>
        <v>3.993150684931507</v>
      </c>
      <c r="L1443" s="778" t="s">
        <v>2155</v>
      </c>
      <c r="S1443" s="52"/>
      <c r="T1443" s="52"/>
      <c r="U1443" s="52"/>
      <c r="V1443" s="4293"/>
      <c r="W1443" s="1396">
        <v>49199.999999999993</v>
      </c>
      <c r="X1443" s="833">
        <f>3.99*12000</f>
        <v>47880</v>
      </c>
      <c r="Y1443" s="833">
        <f>Y1409</f>
        <v>47760</v>
      </c>
      <c r="Z1443" s="1396">
        <f>Z1409</f>
        <v>47760</v>
      </c>
      <c r="AA1443" s="1396">
        <f>AA1409</f>
        <v>47760</v>
      </c>
      <c r="AB1443" s="735">
        <v>45750</v>
      </c>
      <c r="AC1443" s="735">
        <v>48705.882352941175</v>
      </c>
      <c r="AD1443" s="735">
        <v>46438.356164383564</v>
      </c>
      <c r="AE1443" s="803">
        <v>46438.356164383564</v>
      </c>
      <c r="AF1443" s="271">
        <f t="shared" si="218"/>
        <v>46438.356164383564</v>
      </c>
      <c r="AG1443" s="1396"/>
      <c r="DG1443" s="573"/>
      <c r="DH1443" s="188"/>
      <c r="DI1443" s="1091"/>
      <c r="DJ1443" s="1187"/>
    </row>
    <row r="1444" spans="1:114" hidden="1" outlineLevel="1">
      <c r="A1444" s="453"/>
      <c r="C1444" s="571"/>
      <c r="D1444" s="4293"/>
      <c r="E1444" s="4293"/>
      <c r="F1444" s="4307" t="str">
        <f>$E$1379</f>
        <v>GSHP-EER23-Replace_ASHP_ER1_SF</v>
      </c>
      <c r="G1444" s="4307"/>
      <c r="H1444" s="4307"/>
      <c r="I1444" s="1396"/>
      <c r="J1444" s="1753">
        <f>J1442</f>
        <v>46438.356164383564</v>
      </c>
      <c r="K1444" s="55">
        <f>J1444/12000</f>
        <v>3.8698630136986303</v>
      </c>
      <c r="L1444" s="778" t="s">
        <v>2155</v>
      </c>
      <c r="S1444" s="52"/>
      <c r="T1444" s="52"/>
      <c r="U1444" s="52"/>
      <c r="V1444" s="4293"/>
      <c r="W1444" s="1396">
        <v>49199.999999999993</v>
      </c>
      <c r="X1444" s="833">
        <f>3.99*12000</f>
        <v>47880</v>
      </c>
      <c r="Y1444" s="833">
        <f>Y1413</f>
        <v>50400</v>
      </c>
      <c r="Z1444" s="1396">
        <f>Z1413</f>
        <v>50400</v>
      </c>
      <c r="AA1444" s="1396">
        <f>AA1413</f>
        <v>50400</v>
      </c>
      <c r="AB1444" s="735">
        <v>51319.148936170212</v>
      </c>
      <c r="AC1444" s="735">
        <v>48885.24590163934</v>
      </c>
      <c r="AD1444" s="735">
        <v>46438.356164383564</v>
      </c>
      <c r="AE1444" s="803">
        <v>46438.356164383564</v>
      </c>
      <c r="AF1444" s="271">
        <f t="shared" si="218"/>
        <v>46438.356164383564</v>
      </c>
      <c r="AG1444" s="1396"/>
      <c r="DG1444" s="573"/>
      <c r="DH1444" s="188"/>
      <c r="DI1444" s="1091"/>
      <c r="DJ1444" s="1187"/>
    </row>
    <row r="1445" spans="1:114" hidden="1" outlineLevel="1">
      <c r="A1445" s="453"/>
      <c r="C1445" s="571"/>
      <c r="D1445" s="4293"/>
      <c r="E1445" s="4293"/>
      <c r="F1445" s="4311" t="str">
        <f>$E$1381</f>
        <v>GSHP-EER23-Replace_ASHP_ER2_SF</v>
      </c>
      <c r="G1445" s="4311"/>
      <c r="H1445" s="4311"/>
      <c r="I1445" s="1396"/>
      <c r="J1445" s="1753">
        <f>J1442</f>
        <v>46438.356164383564</v>
      </c>
      <c r="K1445" s="55">
        <f>J1445/12000</f>
        <v>3.8698630136986303</v>
      </c>
      <c r="L1445" s="778" t="s">
        <v>2155</v>
      </c>
      <c r="S1445" s="52"/>
      <c r="T1445" s="52"/>
      <c r="U1445" s="52"/>
      <c r="V1445" s="4293"/>
      <c r="W1445" s="1396"/>
      <c r="X1445" s="833"/>
      <c r="Y1445" s="833"/>
      <c r="Z1445" s="1396"/>
      <c r="AA1445" s="1396"/>
      <c r="AB1445" s="735">
        <v>51319.148936170212</v>
      </c>
      <c r="AC1445" s="735">
        <v>48885.24590163934</v>
      </c>
      <c r="AD1445" s="735">
        <v>46438.356164383564</v>
      </c>
      <c r="AE1445" s="803">
        <v>46438.356164383564</v>
      </c>
      <c r="AF1445" s="271">
        <f t="shared" si="218"/>
        <v>46438.356164383564</v>
      </c>
      <c r="AG1445" s="1396"/>
      <c r="DG1445" s="573"/>
      <c r="DH1445" s="188"/>
      <c r="DI1445" s="1091"/>
      <c r="DJ1445" s="1187"/>
    </row>
    <row r="1446" spans="1:114" hidden="1" outlineLevel="1">
      <c r="A1446" s="453"/>
      <c r="C1446" s="571"/>
      <c r="D1446" s="4293"/>
      <c r="E1446" s="4293"/>
      <c r="F1446" s="4307" t="str">
        <f>$E$1383</f>
        <v>GSHP-EER23_ROF_SF</v>
      </c>
      <c r="G1446" s="4307"/>
      <c r="H1446" s="4307"/>
      <c r="I1446" s="1396"/>
      <c r="J1446" s="1756">
        <v>47917.808219178085</v>
      </c>
      <c r="K1446" s="697">
        <f>J1446/12000</f>
        <v>3.993150684931507</v>
      </c>
      <c r="L1446" s="1609" t="s">
        <v>1935</v>
      </c>
      <c r="S1446" s="52"/>
      <c r="T1446" s="52"/>
      <c r="U1446" s="52"/>
      <c r="V1446" s="4293"/>
      <c r="W1446" s="1396">
        <v>52800.000000000007</v>
      </c>
      <c r="X1446" s="833">
        <f>3.99*12000</f>
        <v>47880</v>
      </c>
      <c r="Y1446" s="833">
        <f>Y1414</f>
        <v>47160</v>
      </c>
      <c r="Z1446" s="1396">
        <f>Z1414</f>
        <v>47160</v>
      </c>
      <c r="AA1446" s="1396">
        <f>AA1414</f>
        <v>47160</v>
      </c>
      <c r="AB1446" s="735">
        <v>51652.173913043473</v>
      </c>
      <c r="AC1446" s="735">
        <v>49977.272727272728</v>
      </c>
      <c r="AD1446" s="735">
        <v>47729.729729729726</v>
      </c>
      <c r="AE1446" s="735">
        <v>50350.515463917523</v>
      </c>
      <c r="AF1446" s="271">
        <f t="shared" si="218"/>
        <v>47917.808219178085</v>
      </c>
      <c r="AG1446" s="1396"/>
      <c r="DG1446" s="573"/>
      <c r="DH1446" s="188"/>
      <c r="DI1446" s="1091"/>
      <c r="DJ1446" s="1187"/>
    </row>
    <row r="1447" spans="1:114" s="41" customFormat="1" hidden="1" outlineLevel="1">
      <c r="A1447" s="453"/>
      <c r="C1447" s="1611"/>
      <c r="D1447" s="4293"/>
      <c r="E1447" s="4293"/>
      <c r="F1447" s="4310" t="str">
        <f>$E$1385</f>
        <v>GSHP-EER23-Replace_GSHP_ER1_SF</v>
      </c>
      <c r="G1447" s="4310"/>
      <c r="H1447" s="4310"/>
      <c r="I1447" s="833"/>
      <c r="J1447" s="1756">
        <f>J1445</f>
        <v>46438.356164383564</v>
      </c>
      <c r="K1447" s="697">
        <f t="shared" ref="K1447:K1448" si="219">J1447/12000</f>
        <v>3.8698630136986303</v>
      </c>
      <c r="L1447" s="1609" t="s">
        <v>1945</v>
      </c>
      <c r="V1447" s="4293"/>
      <c r="W1447" s="833"/>
      <c r="X1447" s="833"/>
      <c r="Y1447" s="833"/>
      <c r="Z1447" s="833"/>
      <c r="AA1447" s="833"/>
      <c r="AB1447" s="735"/>
      <c r="AC1447" s="735"/>
      <c r="AD1447" s="735"/>
      <c r="AE1447" s="735"/>
      <c r="AF1447" s="271">
        <f t="shared" si="218"/>
        <v>46438.356164383564</v>
      </c>
      <c r="AG1447" s="833"/>
      <c r="DG1447" s="1613"/>
      <c r="DH1447" s="1614"/>
      <c r="DI1447" s="1109"/>
      <c r="DJ1447" s="1187"/>
    </row>
    <row r="1448" spans="1:114" s="41" customFormat="1" hidden="1" outlineLevel="1">
      <c r="A1448" s="453"/>
      <c r="C1448" s="1611"/>
      <c r="D1448" s="4293"/>
      <c r="E1448" s="4293"/>
      <c r="F1448" s="4310" t="str">
        <f>$E$1387</f>
        <v>GSHP-EER23-Replace_GSHP_ER2_SF</v>
      </c>
      <c r="G1448" s="4310"/>
      <c r="H1448" s="4310"/>
      <c r="I1448" s="833"/>
      <c r="J1448" s="1756">
        <f>J1445</f>
        <v>46438.356164383564</v>
      </c>
      <c r="K1448" s="697">
        <f t="shared" si="219"/>
        <v>3.8698630136986303</v>
      </c>
      <c r="L1448" s="1609" t="s">
        <v>1945</v>
      </c>
      <c r="V1448" s="4293"/>
      <c r="W1448" s="833"/>
      <c r="X1448" s="833"/>
      <c r="Y1448" s="833"/>
      <c r="Z1448" s="833"/>
      <c r="AA1448" s="833"/>
      <c r="AB1448" s="735"/>
      <c r="AC1448" s="735"/>
      <c r="AD1448" s="735"/>
      <c r="AE1448" s="735"/>
      <c r="AF1448" s="271">
        <f t="shared" si="218"/>
        <v>46438.356164383564</v>
      </c>
      <c r="AG1448" s="833"/>
      <c r="DG1448" s="1613"/>
      <c r="DH1448" s="1614"/>
      <c r="DI1448" s="1109"/>
      <c r="DJ1448" s="1187"/>
    </row>
    <row r="1449" spans="1:114" hidden="1" outlineLevel="1">
      <c r="A1449" s="453"/>
      <c r="C1449" s="571"/>
      <c r="D1449" s="4293" t="s">
        <v>2161</v>
      </c>
      <c r="E1449" s="4293" t="s">
        <v>2121</v>
      </c>
      <c r="F1449" s="4307" t="str">
        <f>$E$1373</f>
        <v>GSHP-EER23-Replace_CAC_ElectricHeat_ROF_SF</v>
      </c>
      <c r="G1449" s="4307"/>
      <c r="H1449" s="4307"/>
      <c r="I1449" s="1396"/>
      <c r="J1449" s="1790">
        <v>869</v>
      </c>
      <c r="K1449" s="1442"/>
      <c r="L1449" s="4295" t="s">
        <v>2162</v>
      </c>
      <c r="S1449" s="52"/>
      <c r="T1449" s="52"/>
      <c r="U1449" s="52"/>
      <c r="V1449" s="4293" t="s">
        <v>2161</v>
      </c>
      <c r="W1449" s="1396">
        <v>869</v>
      </c>
      <c r="X1449" s="1396">
        <v>869</v>
      </c>
      <c r="Y1449" s="1396">
        <v>869</v>
      </c>
      <c r="Z1449" s="1396">
        <v>869</v>
      </c>
      <c r="AA1449" s="1396">
        <v>869</v>
      </c>
      <c r="AB1449" s="1396">
        <v>869</v>
      </c>
      <c r="AC1449" s="1396">
        <v>869</v>
      </c>
      <c r="AD1449" s="1396">
        <v>869</v>
      </c>
      <c r="AE1449" s="1396">
        <v>869</v>
      </c>
      <c r="AF1449" s="271">
        <f t="shared" si="218"/>
        <v>869</v>
      </c>
      <c r="AG1449" s="1396"/>
      <c r="DG1449" s="573"/>
      <c r="DH1449" s="188"/>
      <c r="DI1449" s="1091"/>
      <c r="DJ1449" s="1187"/>
    </row>
    <row r="1450" spans="1:114" hidden="1" outlineLevel="1">
      <c r="A1450" s="453"/>
      <c r="C1450" s="571"/>
      <c r="D1450" s="4293"/>
      <c r="E1450" s="4293"/>
      <c r="F1450" s="4307" t="str">
        <f>$E$1375</f>
        <v>GSHP-EER23-Replace_CAC_ElectricHeat_ER1_SF</v>
      </c>
      <c r="G1450" s="4307"/>
      <c r="H1450" s="4307"/>
      <c r="I1450" s="1396"/>
      <c r="J1450" s="1790">
        <v>869</v>
      </c>
      <c r="K1450" s="1442"/>
      <c r="L1450" s="4295"/>
      <c r="S1450" s="52"/>
      <c r="T1450" s="52"/>
      <c r="U1450" s="52"/>
      <c r="V1450" s="4293"/>
      <c r="W1450" s="1396">
        <v>869</v>
      </c>
      <c r="X1450" s="1396">
        <v>869</v>
      </c>
      <c r="Y1450" s="1396">
        <v>869</v>
      </c>
      <c r="Z1450" s="1396">
        <v>869</v>
      </c>
      <c r="AA1450" s="1396">
        <v>869</v>
      </c>
      <c r="AB1450" s="1396">
        <v>869</v>
      </c>
      <c r="AC1450" s="1396">
        <v>869</v>
      </c>
      <c r="AD1450" s="1396">
        <v>869</v>
      </c>
      <c r="AE1450" s="1396">
        <v>869</v>
      </c>
      <c r="AF1450" s="271">
        <f t="shared" si="218"/>
        <v>869</v>
      </c>
      <c r="AG1450" s="1396"/>
      <c r="DG1450" s="573"/>
      <c r="DH1450" s="188"/>
      <c r="DI1450" s="1091"/>
      <c r="DJ1450" s="1187"/>
    </row>
    <row r="1451" spans="1:114" hidden="1" outlineLevel="1">
      <c r="A1451" s="453"/>
      <c r="C1451" s="571"/>
      <c r="D1451" s="4293"/>
      <c r="E1451" s="4293"/>
      <c r="F1451" s="4307" t="str">
        <f>$E$1377</f>
        <v>GSHP-EER23-Replace_CAC_ElectricHeat_ER2_SF</v>
      </c>
      <c r="G1451" s="4307"/>
      <c r="H1451" s="4307"/>
      <c r="I1451" s="1396"/>
      <c r="J1451" s="1790">
        <v>869</v>
      </c>
      <c r="K1451" s="1442"/>
      <c r="L1451" s="4295"/>
      <c r="S1451" s="52"/>
      <c r="T1451" s="52"/>
      <c r="U1451" s="52"/>
      <c r="V1451" s="4293"/>
      <c r="W1451" s="1396">
        <v>869</v>
      </c>
      <c r="X1451" s="1396">
        <v>869</v>
      </c>
      <c r="Y1451" s="1396">
        <v>869</v>
      </c>
      <c r="Z1451" s="1396">
        <v>869</v>
      </c>
      <c r="AA1451" s="1396">
        <v>869</v>
      </c>
      <c r="AB1451" s="1396">
        <v>869</v>
      </c>
      <c r="AC1451" s="1396">
        <v>869</v>
      </c>
      <c r="AD1451" s="1396">
        <v>869</v>
      </c>
      <c r="AE1451" s="1396">
        <v>869</v>
      </c>
      <c r="AF1451" s="271">
        <f t="shared" si="218"/>
        <v>869</v>
      </c>
      <c r="AG1451" s="1396"/>
      <c r="DG1451" s="573"/>
      <c r="DH1451" s="188"/>
      <c r="DI1451" s="1091"/>
      <c r="DJ1451" s="1187"/>
    </row>
    <row r="1452" spans="1:114" hidden="1" outlineLevel="1">
      <c r="A1452" s="453"/>
      <c r="C1452" s="571"/>
      <c r="D1452" s="4293"/>
      <c r="E1452" s="4293"/>
      <c r="F1452" s="4307" t="str">
        <f>$E$1379</f>
        <v>GSHP-EER23-Replace_ASHP_ER1_SF</v>
      </c>
      <c r="G1452" s="4307"/>
      <c r="H1452" s="4307"/>
      <c r="I1452" s="1396"/>
      <c r="J1452" s="1790">
        <v>869</v>
      </c>
      <c r="K1452" s="1442"/>
      <c r="L1452" s="4295"/>
      <c r="S1452" s="52"/>
      <c r="T1452" s="52"/>
      <c r="U1452" s="52"/>
      <c r="V1452" s="4293"/>
      <c r="W1452" s="1396">
        <v>869</v>
      </c>
      <c r="X1452" s="1396">
        <v>869</v>
      </c>
      <c r="Y1452" s="1396">
        <v>869</v>
      </c>
      <c r="Z1452" s="1396">
        <v>869</v>
      </c>
      <c r="AA1452" s="1396">
        <v>869</v>
      </c>
      <c r="AB1452" s="1396">
        <v>869</v>
      </c>
      <c r="AC1452" s="1396">
        <v>869</v>
      </c>
      <c r="AD1452" s="1396">
        <v>869</v>
      </c>
      <c r="AE1452" s="1396">
        <v>869</v>
      </c>
      <c r="AF1452" s="271">
        <f t="shared" si="218"/>
        <v>869</v>
      </c>
      <c r="AG1452" s="1396"/>
      <c r="DG1452" s="573"/>
      <c r="DH1452" s="188"/>
      <c r="DI1452" s="1091"/>
      <c r="DJ1452" s="1187"/>
    </row>
    <row r="1453" spans="1:114" hidden="1" outlineLevel="1">
      <c r="A1453" s="453"/>
      <c r="C1453" s="571"/>
      <c r="D1453" s="4293"/>
      <c r="E1453" s="4293"/>
      <c r="F1453" s="4311" t="str">
        <f>$E$1381</f>
        <v>GSHP-EER23-Replace_ASHP_ER2_SF</v>
      </c>
      <c r="G1453" s="4311"/>
      <c r="H1453" s="4311"/>
      <c r="I1453" s="1405"/>
      <c r="J1453" s="1790">
        <v>869</v>
      </c>
      <c r="K1453" s="1442"/>
      <c r="L1453" s="4295"/>
      <c r="S1453" s="52"/>
      <c r="T1453" s="52"/>
      <c r="U1453" s="52"/>
      <c r="V1453" s="4293"/>
      <c r="W1453" s="1396"/>
      <c r="X1453" s="1396"/>
      <c r="Y1453" s="1396"/>
      <c r="Z1453" s="1396"/>
      <c r="AA1453" s="1396"/>
      <c r="AB1453" s="965">
        <v>869</v>
      </c>
      <c r="AC1453" s="1405">
        <v>869</v>
      </c>
      <c r="AD1453" s="1405">
        <v>869</v>
      </c>
      <c r="AE1453" s="1405">
        <v>869</v>
      </c>
      <c r="AF1453" s="271">
        <f t="shared" si="218"/>
        <v>869</v>
      </c>
      <c r="AG1453" s="1396"/>
      <c r="DG1453" s="573"/>
      <c r="DH1453" s="188"/>
      <c r="DI1453" s="1091"/>
      <c r="DJ1453" s="1187"/>
    </row>
    <row r="1454" spans="1:114" hidden="1" outlineLevel="1">
      <c r="A1454" s="453"/>
      <c r="C1454" s="571"/>
      <c r="D1454" s="4293"/>
      <c r="E1454" s="4293"/>
      <c r="F1454" s="4307" t="str">
        <f>$E$1383</f>
        <v>GSHP-EER23_ROF_SF</v>
      </c>
      <c r="G1454" s="4307"/>
      <c r="H1454" s="4307"/>
      <c r="I1454" s="1396"/>
      <c r="J1454" s="1790">
        <v>869</v>
      </c>
      <c r="K1454" s="1442"/>
      <c r="L1454" s="4295"/>
      <c r="S1454" s="52"/>
      <c r="T1454" s="52"/>
      <c r="U1454" s="52"/>
      <c r="V1454" s="4293"/>
      <c r="W1454" s="1396">
        <v>869</v>
      </c>
      <c r="X1454" s="1396">
        <v>869</v>
      </c>
      <c r="Y1454" s="1396">
        <v>869</v>
      </c>
      <c r="Z1454" s="1396">
        <v>869</v>
      </c>
      <c r="AA1454" s="1396">
        <v>869</v>
      </c>
      <c r="AB1454" s="1396">
        <v>869</v>
      </c>
      <c r="AC1454" s="1396">
        <v>869</v>
      </c>
      <c r="AD1454" s="1396">
        <v>869</v>
      </c>
      <c r="AE1454" s="1396">
        <v>869</v>
      </c>
      <c r="AF1454" s="271">
        <f t="shared" si="218"/>
        <v>869</v>
      </c>
      <c r="AG1454" s="1396"/>
      <c r="DG1454" s="573"/>
      <c r="DH1454" s="188"/>
      <c r="DI1454" s="1091"/>
      <c r="DJ1454" s="1187"/>
    </row>
    <row r="1455" spans="1:114" s="41" customFormat="1" hidden="1" outlineLevel="1">
      <c r="A1455" s="453"/>
      <c r="C1455" s="1611"/>
      <c r="D1455" s="4293"/>
      <c r="E1455" s="4293"/>
      <c r="F1455" s="4310" t="str">
        <f>$E$1385</f>
        <v>GSHP-EER23-Replace_GSHP_ER1_SF</v>
      </c>
      <c r="G1455" s="4310"/>
      <c r="H1455" s="4310"/>
      <c r="I1455" s="833"/>
      <c r="J1455" s="1794">
        <v>869</v>
      </c>
      <c r="K1455" s="677"/>
      <c r="L1455" s="4295"/>
      <c r="V1455" s="4293"/>
      <c r="W1455" s="833"/>
      <c r="X1455" s="833"/>
      <c r="Y1455" s="833"/>
      <c r="Z1455" s="833"/>
      <c r="AA1455" s="833"/>
      <c r="AB1455" s="833"/>
      <c r="AC1455" s="833"/>
      <c r="AD1455" s="833"/>
      <c r="AE1455" s="833"/>
      <c r="AF1455" s="271">
        <f t="shared" si="218"/>
        <v>869</v>
      </c>
      <c r="AG1455" s="833"/>
      <c r="DG1455" s="1613"/>
      <c r="DH1455" s="1614"/>
      <c r="DI1455" s="1109"/>
      <c r="DJ1455" s="1187"/>
    </row>
    <row r="1456" spans="1:114" s="41" customFormat="1" hidden="1" outlineLevel="1">
      <c r="A1456" s="453"/>
      <c r="C1456" s="1611"/>
      <c r="D1456" s="4293"/>
      <c r="E1456" s="4293"/>
      <c r="F1456" s="4310" t="str">
        <f>$E$1387</f>
        <v>GSHP-EER23-Replace_GSHP_ER2_SF</v>
      </c>
      <c r="G1456" s="4310"/>
      <c r="H1456" s="4310"/>
      <c r="I1456" s="833"/>
      <c r="J1456" s="1794">
        <v>869</v>
      </c>
      <c r="K1456" s="677"/>
      <c r="L1456" s="4295"/>
      <c r="V1456" s="4293"/>
      <c r="W1456" s="833"/>
      <c r="X1456" s="833"/>
      <c r="Y1456" s="833"/>
      <c r="Z1456" s="833"/>
      <c r="AA1456" s="833"/>
      <c r="AB1456" s="833"/>
      <c r="AC1456" s="833"/>
      <c r="AD1456" s="833"/>
      <c r="AE1456" s="833"/>
      <c r="AF1456" s="271">
        <f t="shared" si="218"/>
        <v>869</v>
      </c>
      <c r="AG1456" s="833"/>
      <c r="DG1456" s="1613"/>
      <c r="DH1456" s="1614"/>
      <c r="DI1456" s="1109"/>
      <c r="DJ1456" s="1187"/>
    </row>
    <row r="1457" spans="1:114" ht="15" hidden="1" customHeight="1" outlineLevel="1">
      <c r="A1457" s="453"/>
      <c r="C1457" s="571"/>
      <c r="D1457" s="4294" t="s">
        <v>2163</v>
      </c>
      <c r="E1457" s="4294" t="s">
        <v>2123</v>
      </c>
      <c r="F1457" s="4307" t="str">
        <f>$E$1373</f>
        <v>GSHP-EER23-Replace_CAC_ElectricHeat_ROF_SF</v>
      </c>
      <c r="G1457" s="4307"/>
      <c r="H1457" s="4307"/>
      <c r="I1457" s="1396"/>
      <c r="J1457" s="1799">
        <v>13.4</v>
      </c>
      <c r="K1457" s="1442"/>
      <c r="L1457" s="660" t="s">
        <v>2164</v>
      </c>
      <c r="S1457" s="52"/>
      <c r="T1457" s="52"/>
      <c r="U1457" s="52"/>
      <c r="V1457" s="4294" t="s">
        <v>2163</v>
      </c>
      <c r="W1457" s="1396">
        <v>13</v>
      </c>
      <c r="X1457" s="250">
        <v>14.1</v>
      </c>
      <c r="Y1457" s="733">
        <v>14.1</v>
      </c>
      <c r="Z1457" s="733">
        <v>14.1</v>
      </c>
      <c r="AA1457" s="733">
        <v>14.1</v>
      </c>
      <c r="AB1457" s="733">
        <v>14.1</v>
      </c>
      <c r="AC1457" s="733">
        <v>14.1</v>
      </c>
      <c r="AD1457" s="1619">
        <v>14.1</v>
      </c>
      <c r="AE1457" s="1619">
        <v>14.1</v>
      </c>
      <c r="AF1457" s="271">
        <f t="shared" si="218"/>
        <v>13.4</v>
      </c>
      <c r="AG1457" s="1396"/>
      <c r="DG1457" s="573"/>
      <c r="DH1457" s="188"/>
      <c r="DI1457" s="1091"/>
      <c r="DJ1457" s="1187"/>
    </row>
    <row r="1458" spans="1:114" hidden="1" outlineLevel="1">
      <c r="A1458" s="453"/>
      <c r="C1458" s="571"/>
      <c r="D1458" s="4294"/>
      <c r="E1458" s="4294"/>
      <c r="F1458" s="4307" t="str">
        <f>$E$1375</f>
        <v>GSHP-EER23-Replace_CAC_ElectricHeat_ER1_SF</v>
      </c>
      <c r="G1458" s="4307"/>
      <c r="H1458" s="4307"/>
      <c r="I1458" s="1396"/>
      <c r="J1458" s="1784">
        <v>6.53</v>
      </c>
      <c r="K1458" s="1442"/>
      <c r="L1458" s="778"/>
      <c r="S1458" s="52"/>
      <c r="T1458" s="52"/>
      <c r="U1458" s="52"/>
      <c r="V1458" s="4294"/>
      <c r="W1458" s="1396">
        <v>6.8</v>
      </c>
      <c r="X1458" s="833">
        <v>6.54</v>
      </c>
      <c r="Y1458" s="1396">
        <v>6.54</v>
      </c>
      <c r="Z1458" s="1396">
        <v>6.54</v>
      </c>
      <c r="AA1458" s="1396">
        <v>6.54</v>
      </c>
      <c r="AB1458" s="1396">
        <v>6.54</v>
      </c>
      <c r="AC1458" s="212">
        <v>6.3407685330503476</v>
      </c>
      <c r="AD1458" s="741">
        <v>6.3407685330503476</v>
      </c>
      <c r="AE1458" s="741">
        <v>6.3407685330503476</v>
      </c>
      <c r="AF1458" s="271">
        <f t="shared" si="218"/>
        <v>6.53</v>
      </c>
      <c r="AG1458" s="1396"/>
      <c r="DG1458" s="573"/>
      <c r="DH1458" s="188"/>
      <c r="DI1458" s="1091"/>
      <c r="DJ1458" s="1187"/>
    </row>
    <row r="1459" spans="1:114" hidden="1" outlineLevel="1">
      <c r="A1459" s="453"/>
      <c r="C1459" s="571"/>
      <c r="D1459" s="4294"/>
      <c r="E1459" s="4294"/>
      <c r="F1459" s="4307" t="str">
        <f>$E$1377</f>
        <v>GSHP-EER23-Replace_CAC_ElectricHeat_ER2_SF</v>
      </c>
      <c r="G1459" s="4307"/>
      <c r="H1459" s="4307"/>
      <c r="I1459" s="1396"/>
      <c r="J1459" s="1794">
        <v>13.4</v>
      </c>
      <c r="K1459" s="1442"/>
      <c r="L1459" s="660" t="s">
        <v>2164</v>
      </c>
      <c r="S1459" s="52"/>
      <c r="T1459" s="52"/>
      <c r="U1459" s="52"/>
      <c r="V1459" s="4294"/>
      <c r="W1459" s="1396">
        <v>13</v>
      </c>
      <c r="X1459" s="833">
        <v>14.1</v>
      </c>
      <c r="Y1459" s="1396">
        <v>14.1</v>
      </c>
      <c r="Z1459" s="1396">
        <v>14.1</v>
      </c>
      <c r="AA1459" s="1396">
        <v>14.1</v>
      </c>
      <c r="AB1459" s="1396">
        <v>14.1</v>
      </c>
      <c r="AC1459" s="1396">
        <v>14.1</v>
      </c>
      <c r="AD1459" s="1405">
        <v>14.1</v>
      </c>
      <c r="AE1459" s="1405">
        <v>14.1</v>
      </c>
      <c r="AF1459" s="271">
        <f t="shared" si="218"/>
        <v>13.4</v>
      </c>
      <c r="AG1459" s="1396"/>
      <c r="DG1459" s="573"/>
      <c r="DH1459" s="188"/>
      <c r="DI1459" s="1091"/>
      <c r="DJ1459" s="1187"/>
    </row>
    <row r="1460" spans="1:114" hidden="1" outlineLevel="1">
      <c r="A1460" s="453"/>
      <c r="C1460" s="571"/>
      <c r="D1460" s="4294"/>
      <c r="E1460" s="4294"/>
      <c r="F1460" s="4307" t="str">
        <f>$E$1379</f>
        <v>GSHP-EER23-Replace_ASHP_ER1_SF</v>
      </c>
      <c r="G1460" s="4307"/>
      <c r="H1460" s="4307"/>
      <c r="I1460" s="1396"/>
      <c r="J1460" s="1784">
        <v>6.91</v>
      </c>
      <c r="K1460" s="1442"/>
      <c r="L1460" s="778"/>
      <c r="S1460" s="52"/>
      <c r="T1460" s="52"/>
      <c r="U1460" s="52"/>
      <c r="V1460" s="4294"/>
      <c r="W1460" s="1396">
        <v>6.8</v>
      </c>
      <c r="X1460" s="833">
        <v>12</v>
      </c>
      <c r="Y1460" s="1396">
        <v>12</v>
      </c>
      <c r="Z1460" s="1396">
        <v>12</v>
      </c>
      <c r="AA1460" s="1396">
        <v>12</v>
      </c>
      <c r="AB1460" s="1396">
        <v>12</v>
      </c>
      <c r="AC1460" s="212">
        <v>9.0644192432638082</v>
      </c>
      <c r="AD1460" s="736">
        <v>8.09</v>
      </c>
      <c r="AE1460" s="741">
        <v>8.09</v>
      </c>
      <c r="AF1460" s="271">
        <f t="shared" si="218"/>
        <v>6.91</v>
      </c>
      <c r="AG1460" s="1396"/>
      <c r="DG1460" s="573"/>
      <c r="DH1460" s="188"/>
      <c r="DI1460" s="1091"/>
      <c r="DJ1460" s="1187"/>
    </row>
    <row r="1461" spans="1:114" hidden="1" outlineLevel="1">
      <c r="A1461" s="453"/>
      <c r="C1461" s="571"/>
      <c r="D1461" s="4294"/>
      <c r="E1461" s="4294"/>
      <c r="F1461" s="4311" t="str">
        <f>$E$1381</f>
        <v>GSHP-EER23-Replace_ASHP_ER2_SF</v>
      </c>
      <c r="G1461" s="4311"/>
      <c r="H1461" s="4311"/>
      <c r="I1461" s="1405"/>
      <c r="J1461" s="1794">
        <v>14.3</v>
      </c>
      <c r="K1461" s="1378"/>
      <c r="L1461" s="778"/>
      <c r="S1461" s="52"/>
      <c r="T1461" s="52"/>
      <c r="U1461" s="52"/>
      <c r="V1461" s="4294"/>
      <c r="W1461" s="1396"/>
      <c r="X1461" s="833"/>
      <c r="Y1461" s="1396"/>
      <c r="Z1461" s="1396"/>
      <c r="AA1461" s="1396"/>
      <c r="AB1461" s="965">
        <v>12</v>
      </c>
      <c r="AC1461" s="1405">
        <v>12</v>
      </c>
      <c r="AD1461" s="1405">
        <v>12</v>
      </c>
      <c r="AE1461" s="1405">
        <v>12</v>
      </c>
      <c r="AF1461" s="271">
        <f t="shared" si="218"/>
        <v>14.3</v>
      </c>
      <c r="AG1461" s="1396"/>
      <c r="DG1461" s="573"/>
      <c r="DH1461" s="188"/>
      <c r="DI1461" s="1091"/>
      <c r="DJ1461" s="1187"/>
    </row>
    <row r="1462" spans="1:114" hidden="1" outlineLevel="1">
      <c r="A1462" s="453"/>
      <c r="C1462" s="571"/>
      <c r="D1462" s="4294"/>
      <c r="E1462" s="4294"/>
      <c r="F1462" s="4307" t="str">
        <f>$E$1383</f>
        <v>GSHP-EER23_ROF_SF</v>
      </c>
      <c r="G1462" s="4307"/>
      <c r="H1462" s="4307"/>
      <c r="I1462" s="1396"/>
      <c r="J1462" s="1794">
        <v>14.3</v>
      </c>
      <c r="K1462" s="1442"/>
      <c r="L1462" s="778" t="s">
        <v>2165</v>
      </c>
      <c r="S1462" s="52"/>
      <c r="T1462" s="52"/>
      <c r="U1462" s="52"/>
      <c r="V1462" s="4294"/>
      <c r="W1462" s="1396">
        <v>14.1</v>
      </c>
      <c r="X1462" s="833">
        <v>14.1</v>
      </c>
      <c r="Y1462" s="1396">
        <v>14.1</v>
      </c>
      <c r="Z1462" s="1396">
        <v>14.1</v>
      </c>
      <c r="AA1462" s="1396">
        <v>14.1</v>
      </c>
      <c r="AB1462" s="1396">
        <v>14.1</v>
      </c>
      <c r="AC1462" s="1396">
        <v>14.1</v>
      </c>
      <c r="AD1462" s="1405">
        <v>14.1</v>
      </c>
      <c r="AE1462" s="1405">
        <v>14.1</v>
      </c>
      <c r="AF1462" s="271">
        <f t="shared" si="218"/>
        <v>14.3</v>
      </c>
      <c r="AG1462" s="1396"/>
      <c r="DG1462" s="573"/>
      <c r="DH1462" s="188"/>
      <c r="DI1462" s="1091"/>
      <c r="DJ1462" s="1187"/>
    </row>
    <row r="1463" spans="1:114" s="41" customFormat="1" hidden="1" outlineLevel="1">
      <c r="A1463" s="453"/>
      <c r="C1463" s="1611"/>
      <c r="D1463" s="4294"/>
      <c r="E1463" s="4294"/>
      <c r="F1463" s="4310" t="str">
        <f>$E$1385</f>
        <v>GSHP-EER23-Replace_GSHP_ER1_SF</v>
      </c>
      <c r="G1463" s="4310"/>
      <c r="H1463" s="4310"/>
      <c r="I1463" s="833"/>
      <c r="J1463" s="1794">
        <v>13.4</v>
      </c>
      <c r="K1463" s="677"/>
      <c r="L1463" s="660" t="s">
        <v>2164</v>
      </c>
      <c r="V1463" s="4294"/>
      <c r="W1463" s="833"/>
      <c r="X1463" s="833"/>
      <c r="Y1463" s="833"/>
      <c r="Z1463" s="833"/>
      <c r="AA1463" s="833"/>
      <c r="AB1463" s="833"/>
      <c r="AC1463" s="833"/>
      <c r="AD1463" s="965"/>
      <c r="AE1463" s="965"/>
      <c r="AF1463" s="271">
        <f t="shared" si="218"/>
        <v>13.4</v>
      </c>
      <c r="AG1463" s="833"/>
      <c r="DG1463" s="1613"/>
      <c r="DH1463" s="1614"/>
      <c r="DI1463" s="1109"/>
      <c r="DJ1463" s="1187"/>
    </row>
    <row r="1464" spans="1:114" s="41" customFormat="1" hidden="1" outlineLevel="1">
      <c r="A1464" s="453"/>
      <c r="C1464" s="1611"/>
      <c r="D1464" s="4294"/>
      <c r="E1464" s="4294"/>
      <c r="F1464" s="4310" t="str">
        <f>$E$1387</f>
        <v>GSHP-EER23-Replace_GSHP_ER2_SF</v>
      </c>
      <c r="G1464" s="4310"/>
      <c r="H1464" s="4310"/>
      <c r="I1464" s="833"/>
      <c r="J1464" s="1794">
        <v>14.3</v>
      </c>
      <c r="K1464" s="677"/>
      <c r="L1464" s="778" t="s">
        <v>2165</v>
      </c>
      <c r="V1464" s="4294"/>
      <c r="W1464" s="833"/>
      <c r="X1464" s="833"/>
      <c r="Y1464" s="833"/>
      <c r="Z1464" s="833"/>
      <c r="AA1464" s="833"/>
      <c r="AB1464" s="833"/>
      <c r="AC1464" s="833"/>
      <c r="AD1464" s="965"/>
      <c r="AE1464" s="965"/>
      <c r="AF1464" s="271">
        <f t="shared" si="218"/>
        <v>14.3</v>
      </c>
      <c r="AG1464" s="833"/>
      <c r="DG1464" s="1613"/>
      <c r="DH1464" s="1614"/>
      <c r="DI1464" s="1109"/>
      <c r="DJ1464" s="1187"/>
    </row>
    <row r="1465" spans="1:114" hidden="1" outlineLevel="1">
      <c r="A1465" s="453"/>
      <c r="C1465" s="571"/>
      <c r="D1465" s="4294" t="s">
        <v>1942</v>
      </c>
      <c r="E1465" s="4294" t="s">
        <v>2166</v>
      </c>
      <c r="F1465" s="4307" t="str">
        <f>$E$1373</f>
        <v>GSHP-EER23-Replace_CAC_ElectricHeat_ROF_SF</v>
      </c>
      <c r="G1465" s="4307"/>
      <c r="H1465" s="4307"/>
      <c r="I1465" s="1396"/>
      <c r="J1465" s="1773">
        <v>27.75</v>
      </c>
      <c r="K1465" s="1378"/>
      <c r="L1465" s="4199" t="s">
        <v>2167</v>
      </c>
      <c r="S1465" s="52"/>
      <c r="T1465" s="52"/>
      <c r="U1465" s="52"/>
      <c r="V1465" s="4294" t="s">
        <v>1942</v>
      </c>
      <c r="W1465" s="1396">
        <v>26.7</v>
      </c>
      <c r="X1465" s="833">
        <v>27.07</v>
      </c>
      <c r="Y1465" s="250">
        <v>28</v>
      </c>
      <c r="Z1465" s="733">
        <v>28</v>
      </c>
      <c r="AA1465" s="733">
        <v>28</v>
      </c>
      <c r="AB1465" s="740">
        <v>27.751818181818177</v>
      </c>
      <c r="AC1465" s="740">
        <v>27.573333333333338</v>
      </c>
      <c r="AD1465" s="939">
        <v>28.98</v>
      </c>
      <c r="AE1465" s="939">
        <v>29.167010309278364</v>
      </c>
      <c r="AF1465" s="271">
        <f t="shared" si="218"/>
        <v>27.75</v>
      </c>
      <c r="AG1465" s="1396"/>
      <c r="DG1465" s="573"/>
      <c r="DH1465" s="188"/>
      <c r="DI1465" s="1091"/>
      <c r="DJ1465" s="1187"/>
    </row>
    <row r="1466" spans="1:114" hidden="1" outlineLevel="1">
      <c r="A1466" s="453"/>
      <c r="C1466" s="571"/>
      <c r="D1466" s="4294"/>
      <c r="E1466" s="4294"/>
      <c r="F1466" s="4307" t="str">
        <f>$E$1375</f>
        <v>GSHP-EER23-Replace_CAC_ElectricHeat_ER1_SF</v>
      </c>
      <c r="G1466" s="4307"/>
      <c r="H1466" s="4307"/>
      <c r="I1466" s="1396"/>
      <c r="J1466" s="1773">
        <v>27.75</v>
      </c>
      <c r="K1466" s="1378"/>
      <c r="L1466" s="4199"/>
      <c r="S1466" s="52"/>
      <c r="T1466" s="52"/>
      <c r="U1466" s="52"/>
      <c r="V1466" s="4294"/>
      <c r="W1466" s="1396">
        <v>27.2</v>
      </c>
      <c r="X1466" s="833">
        <v>27.07</v>
      </c>
      <c r="Y1466" s="250">
        <v>28.1</v>
      </c>
      <c r="Z1466" s="733">
        <v>28.1</v>
      </c>
      <c r="AA1466" s="733">
        <v>28.1</v>
      </c>
      <c r="AB1466" s="740">
        <v>29.562499999999996</v>
      </c>
      <c r="AC1466" s="740">
        <v>33.647058823529413</v>
      </c>
      <c r="AD1466" s="939">
        <v>28.21</v>
      </c>
      <c r="AE1466" s="1043">
        <v>28.21</v>
      </c>
      <c r="AF1466" s="271">
        <f t="shared" si="218"/>
        <v>27.75</v>
      </c>
      <c r="AG1466" s="1396"/>
      <c r="DG1466" s="573"/>
      <c r="DH1466" s="188"/>
      <c r="DI1466" s="1091"/>
      <c r="DJ1466" s="1187"/>
    </row>
    <row r="1467" spans="1:114" hidden="1" outlineLevel="1">
      <c r="A1467" s="453"/>
      <c r="C1467" s="571"/>
      <c r="D1467" s="4294"/>
      <c r="E1467" s="4294"/>
      <c r="F1467" s="4307" t="str">
        <f>$E$1377</f>
        <v>GSHP-EER23-Replace_CAC_ElectricHeat_ER2_SF</v>
      </c>
      <c r="G1467" s="4307"/>
      <c r="H1467" s="4307"/>
      <c r="I1467" s="1396"/>
      <c r="J1467" s="1773">
        <v>27.75</v>
      </c>
      <c r="K1467" s="257"/>
      <c r="L1467" s="4199"/>
      <c r="S1467" s="52"/>
      <c r="T1467" s="52"/>
      <c r="U1467" s="52"/>
      <c r="V1467" s="4294"/>
      <c r="W1467" s="1396">
        <v>27.2</v>
      </c>
      <c r="X1467" s="833">
        <v>27.07</v>
      </c>
      <c r="Y1467" s="250">
        <v>28.1</v>
      </c>
      <c r="Z1467" s="733">
        <v>28.1</v>
      </c>
      <c r="AA1467" s="733">
        <v>28.1</v>
      </c>
      <c r="AB1467" s="740">
        <v>29.562499999999996</v>
      </c>
      <c r="AC1467" s="740">
        <v>33.647058823529413</v>
      </c>
      <c r="AD1467" s="939">
        <v>28.213698630136992</v>
      </c>
      <c r="AE1467" s="1043">
        <v>28.21</v>
      </c>
      <c r="AF1467" s="271">
        <f t="shared" si="218"/>
        <v>27.75</v>
      </c>
      <c r="AG1467" s="1396"/>
      <c r="DG1467" s="573"/>
      <c r="DH1467" s="188"/>
      <c r="DI1467" s="1091"/>
      <c r="DJ1467" s="1187"/>
    </row>
    <row r="1468" spans="1:114" hidden="1" outlineLevel="1">
      <c r="A1468" s="453"/>
      <c r="C1468" s="571"/>
      <c r="D1468" s="4294"/>
      <c r="E1468" s="4294"/>
      <c r="F1468" s="4307" t="str">
        <f>$E$1379</f>
        <v>GSHP-EER23-Replace_ASHP_ER1_SF</v>
      </c>
      <c r="G1468" s="4307"/>
      <c r="H1468" s="4307"/>
      <c r="I1468" s="1396"/>
      <c r="J1468" s="1773">
        <v>27.75</v>
      </c>
      <c r="K1468" s="257"/>
      <c r="L1468" s="4199"/>
      <c r="S1468" s="52"/>
      <c r="T1468" s="52"/>
      <c r="U1468" s="52"/>
      <c r="V1468" s="4294"/>
      <c r="W1468" s="1396">
        <v>27.2</v>
      </c>
      <c r="X1468" s="833">
        <v>27.07</v>
      </c>
      <c r="Y1468" s="250">
        <v>28</v>
      </c>
      <c r="Z1468" s="733">
        <v>28</v>
      </c>
      <c r="AA1468" s="733">
        <v>28</v>
      </c>
      <c r="AB1468" s="740">
        <v>27.412765957446812</v>
      </c>
      <c r="AC1468" s="740">
        <v>27.739508196721314</v>
      </c>
      <c r="AD1468" s="939">
        <v>28.213698630136992</v>
      </c>
      <c r="AE1468" s="1043">
        <v>28.21</v>
      </c>
      <c r="AF1468" s="271">
        <f t="shared" si="218"/>
        <v>27.75</v>
      </c>
      <c r="AG1468" s="1396"/>
      <c r="DG1468" s="573"/>
      <c r="DH1468" s="188"/>
      <c r="DI1468" s="1091"/>
      <c r="DJ1468" s="1187"/>
    </row>
    <row r="1469" spans="1:114" hidden="1" outlineLevel="1">
      <c r="A1469" s="453"/>
      <c r="C1469" s="571"/>
      <c r="D1469" s="4294"/>
      <c r="E1469" s="4294"/>
      <c r="F1469" s="4311" t="str">
        <f>$E$1381</f>
        <v>GSHP-EER23-Replace_ASHP_ER2_SF</v>
      </c>
      <c r="G1469" s="4311"/>
      <c r="H1469" s="4311"/>
      <c r="I1469" s="1396"/>
      <c r="J1469" s="1773">
        <v>27.75</v>
      </c>
      <c r="K1469" s="257"/>
      <c r="L1469" s="4199"/>
      <c r="S1469" s="52"/>
      <c r="T1469" s="52"/>
      <c r="U1469" s="52"/>
      <c r="V1469" s="4294"/>
      <c r="W1469" s="1396"/>
      <c r="X1469" s="833"/>
      <c r="Y1469" s="250"/>
      <c r="Z1469" s="733"/>
      <c r="AA1469" s="733"/>
      <c r="AB1469" s="740">
        <v>27.412765957446812</v>
      </c>
      <c r="AC1469" s="740">
        <v>27.739508196721314</v>
      </c>
      <c r="AD1469" s="939">
        <v>28.213698630136992</v>
      </c>
      <c r="AE1469" s="1043">
        <v>28.21</v>
      </c>
      <c r="AF1469" s="271">
        <f t="shared" si="218"/>
        <v>27.75</v>
      </c>
      <c r="AG1469" s="1396"/>
      <c r="DG1469" s="573"/>
      <c r="DH1469" s="188"/>
      <c r="DI1469" s="1091"/>
      <c r="DJ1469" s="1187"/>
    </row>
    <row r="1470" spans="1:114" hidden="1" outlineLevel="1">
      <c r="A1470" s="453"/>
      <c r="C1470" s="571"/>
      <c r="D1470" s="4294"/>
      <c r="E1470" s="4294"/>
      <c r="F1470" s="4307" t="str">
        <f>$E$1383</f>
        <v>GSHP-EER23_ROF_SF</v>
      </c>
      <c r="G1470" s="4307"/>
      <c r="H1470" s="4307"/>
      <c r="I1470" s="1396"/>
      <c r="J1470" s="1773">
        <v>27.75</v>
      </c>
      <c r="K1470" s="257"/>
      <c r="L1470" s="4199"/>
      <c r="S1470" s="52"/>
      <c r="T1470" s="52"/>
      <c r="U1470" s="52"/>
      <c r="V1470" s="4294"/>
      <c r="W1470" s="1396">
        <v>26.7</v>
      </c>
      <c r="X1470" s="833">
        <v>27.07</v>
      </c>
      <c r="Y1470" s="250">
        <v>28</v>
      </c>
      <c r="Z1470" s="733">
        <v>28</v>
      </c>
      <c r="AA1470" s="733">
        <v>28</v>
      </c>
      <c r="AB1470" s="740">
        <v>27.543478260869559</v>
      </c>
      <c r="AC1470" s="740">
        <v>27.846590909090903</v>
      </c>
      <c r="AD1470" s="939">
        <v>28.98468468468467</v>
      </c>
      <c r="AE1470" s="939">
        <v>29.167010309278364</v>
      </c>
      <c r="AF1470" s="271">
        <f t="shared" si="218"/>
        <v>27.75</v>
      </c>
      <c r="AG1470" s="1396"/>
      <c r="DG1470" s="573"/>
      <c r="DH1470" s="188"/>
      <c r="DI1470" s="1091"/>
      <c r="DJ1470" s="1187"/>
    </row>
    <row r="1471" spans="1:114" s="41" customFormat="1" hidden="1" outlineLevel="1">
      <c r="A1471" s="453"/>
      <c r="C1471" s="1611"/>
      <c r="D1471" s="4294"/>
      <c r="E1471" s="4294"/>
      <c r="F1471" s="4310" t="str">
        <f>$E$1385</f>
        <v>GSHP-EER23-Replace_GSHP_ER1_SF</v>
      </c>
      <c r="G1471" s="4310"/>
      <c r="H1471" s="4310"/>
      <c r="I1471" s="833"/>
      <c r="J1471" s="1773">
        <v>27.75</v>
      </c>
      <c r="K1471" s="697"/>
      <c r="L1471" s="4199"/>
      <c r="V1471" s="4294"/>
      <c r="W1471" s="833"/>
      <c r="X1471" s="833"/>
      <c r="Y1471" s="250"/>
      <c r="Z1471" s="250"/>
      <c r="AA1471" s="250"/>
      <c r="AB1471" s="740"/>
      <c r="AC1471" s="740"/>
      <c r="AD1471" s="939"/>
      <c r="AE1471" s="939"/>
      <c r="AF1471" s="271">
        <f t="shared" si="218"/>
        <v>27.75</v>
      </c>
      <c r="AG1471" s="833"/>
      <c r="DG1471" s="1613"/>
      <c r="DH1471" s="1614"/>
      <c r="DI1471" s="1109"/>
      <c r="DJ1471" s="1187"/>
    </row>
    <row r="1472" spans="1:114" s="41" customFormat="1" hidden="1" outlineLevel="1">
      <c r="A1472" s="453"/>
      <c r="C1472" s="1611"/>
      <c r="D1472" s="4294"/>
      <c r="E1472" s="4294"/>
      <c r="F1472" s="4310" t="str">
        <f>$E$1387</f>
        <v>GSHP-EER23-Replace_GSHP_ER2_SF</v>
      </c>
      <c r="G1472" s="4310"/>
      <c r="H1472" s="4310"/>
      <c r="I1472" s="833"/>
      <c r="J1472" s="1773">
        <v>27.75</v>
      </c>
      <c r="K1472" s="697"/>
      <c r="L1472" s="4199"/>
      <c r="V1472" s="4294"/>
      <c r="W1472" s="833"/>
      <c r="X1472" s="833"/>
      <c r="Y1472" s="250"/>
      <c r="Z1472" s="250"/>
      <c r="AA1472" s="250"/>
      <c r="AB1472" s="740"/>
      <c r="AC1472" s="740"/>
      <c r="AD1472" s="939"/>
      <c r="AE1472" s="939"/>
      <c r="AF1472" s="271">
        <f t="shared" si="218"/>
        <v>27.75</v>
      </c>
      <c r="AG1472" s="833"/>
      <c r="DG1472" s="1613"/>
      <c r="DH1472" s="1614"/>
      <c r="DI1472" s="1109"/>
      <c r="DJ1472" s="1187"/>
    </row>
    <row r="1473" spans="1:114" ht="26.25" hidden="1" customHeight="1" outlineLevel="1">
      <c r="A1473" s="453"/>
      <c r="C1473" s="571"/>
      <c r="D1473" s="1377" t="s">
        <v>128</v>
      </c>
      <c r="E1473" s="1377" t="s">
        <v>1398</v>
      </c>
      <c r="F1473" s="4363" t="s">
        <v>1102</v>
      </c>
      <c r="G1473" s="4363"/>
      <c r="H1473" s="4363"/>
      <c r="I1473" s="1405"/>
      <c r="J1473" s="1721">
        <v>1</v>
      </c>
      <c r="K1473" s="257"/>
      <c r="L1473" s="778" t="s">
        <v>1952</v>
      </c>
      <c r="S1473" s="41"/>
      <c r="T1473" s="41"/>
      <c r="U1473" s="41"/>
      <c r="V1473" s="1377" t="s">
        <v>128</v>
      </c>
      <c r="W1473" s="965"/>
      <c r="X1473" s="965"/>
      <c r="Y1473" s="740"/>
      <c r="Z1473" s="965"/>
      <c r="AA1473" s="1620"/>
      <c r="AB1473" s="1621">
        <v>1</v>
      </c>
      <c r="AC1473" s="1161">
        <v>1</v>
      </c>
      <c r="AD1473" s="1161">
        <v>1</v>
      </c>
      <c r="AE1473" s="1161">
        <v>1</v>
      </c>
      <c r="AF1473" s="271">
        <f t="shared" ref="AF1473:AF1501" si="220">IF(J1473&lt;&gt;"",J1473,"")</f>
        <v>1</v>
      </c>
      <c r="AG1473" s="965"/>
      <c r="AH1473" s="41"/>
      <c r="AI1473" s="41"/>
      <c r="AJ1473" s="41"/>
      <c r="AK1473" s="41"/>
      <c r="AL1473" s="41"/>
      <c r="AM1473" s="41"/>
      <c r="AN1473" s="41"/>
      <c r="AO1473" s="41"/>
      <c r="AP1473" s="41"/>
      <c r="AQ1473" s="41"/>
      <c r="AR1473" s="41"/>
      <c r="AS1473" s="41"/>
      <c r="AT1473" s="41"/>
      <c r="AU1473" s="41"/>
      <c r="AV1473" s="41"/>
      <c r="AW1473" s="41"/>
      <c r="AX1473" s="41"/>
      <c r="DG1473" s="573"/>
      <c r="DH1473" s="188"/>
      <c r="DI1473" s="1091"/>
      <c r="DJ1473" s="1187"/>
    </row>
    <row r="1474" spans="1:114" hidden="1" outlineLevel="1">
      <c r="A1474" s="453"/>
      <c r="B1474" s="181"/>
      <c r="C1474" s="571"/>
      <c r="D1474" s="4293" t="s">
        <v>49</v>
      </c>
      <c r="E1474" s="4293" t="s">
        <v>1198</v>
      </c>
      <c r="F1474" s="4307" t="str">
        <f t="shared" ref="F1474:F1485" si="221">E1373</f>
        <v>GSHP-EER23-Replace_CAC_ElectricHeat_ROF_SF</v>
      </c>
      <c r="G1474" s="4307"/>
      <c r="H1474" s="4307"/>
      <c r="I1474" s="1396"/>
      <c r="J1474" s="1800">
        <v>25</v>
      </c>
      <c r="K1474" s="1442"/>
      <c r="L1474" s="4375" t="s">
        <v>2168</v>
      </c>
      <c r="S1474" s="52"/>
      <c r="T1474" s="52"/>
      <c r="U1474" s="52"/>
      <c r="V1474" s="4293" t="s">
        <v>49</v>
      </c>
      <c r="W1474" s="1396">
        <v>18</v>
      </c>
      <c r="X1474" s="1396">
        <v>18</v>
      </c>
      <c r="Y1474" s="1396">
        <v>18</v>
      </c>
      <c r="Z1474" s="1396">
        <v>18</v>
      </c>
      <c r="AA1474" s="1396">
        <v>18</v>
      </c>
      <c r="AB1474" s="1396">
        <v>18</v>
      </c>
      <c r="AC1474" s="1396">
        <v>18</v>
      </c>
      <c r="AD1474" s="1396">
        <v>18</v>
      </c>
      <c r="AE1474" s="1396">
        <v>18</v>
      </c>
      <c r="AF1474" s="271">
        <f t="shared" si="220"/>
        <v>25</v>
      </c>
      <c r="AG1474" s="1396"/>
      <c r="DG1474" s="573"/>
      <c r="DH1474" s="188"/>
      <c r="DI1474" s="1091"/>
      <c r="DJ1474" s="1187"/>
    </row>
    <row r="1475" spans="1:114" hidden="1" outlineLevel="1">
      <c r="A1475" s="453"/>
      <c r="B1475" s="181"/>
      <c r="C1475" s="571"/>
      <c r="D1475" s="4293"/>
      <c r="E1475" s="4293"/>
      <c r="F1475" s="4307" t="str">
        <f t="shared" si="221"/>
        <v>GSHP-EER23-Replace_CAC_ElectricHeat_ROF_SF</v>
      </c>
      <c r="G1475" s="4307"/>
      <c r="H1475" s="4307"/>
      <c r="I1475" s="1396"/>
      <c r="J1475" s="1800">
        <v>25</v>
      </c>
      <c r="K1475" s="1442"/>
      <c r="L1475" s="4376"/>
      <c r="S1475" s="52"/>
      <c r="T1475" s="52"/>
      <c r="U1475" s="52"/>
      <c r="V1475" s="4293"/>
      <c r="W1475" s="1396">
        <v>18</v>
      </c>
      <c r="X1475" s="1396">
        <v>18</v>
      </c>
      <c r="Y1475" s="1396">
        <v>18</v>
      </c>
      <c r="Z1475" s="1396">
        <v>18</v>
      </c>
      <c r="AA1475" s="1396">
        <v>18</v>
      </c>
      <c r="AB1475" s="1396">
        <v>18</v>
      </c>
      <c r="AC1475" s="1396">
        <v>18</v>
      </c>
      <c r="AD1475" s="1396">
        <v>18</v>
      </c>
      <c r="AE1475" s="1396">
        <v>18</v>
      </c>
      <c r="AF1475" s="271">
        <f t="shared" si="220"/>
        <v>25</v>
      </c>
      <c r="AG1475" s="1396"/>
      <c r="DG1475" s="573"/>
      <c r="DH1475" s="188"/>
      <c r="DI1475" s="1091"/>
      <c r="DJ1475" s="1187"/>
    </row>
    <row r="1476" spans="1:114" hidden="1" outlineLevel="1">
      <c r="A1476" s="453"/>
      <c r="B1476" s="181"/>
      <c r="C1476" s="571"/>
      <c r="D1476" s="4293"/>
      <c r="E1476" s="4293"/>
      <c r="F1476" s="4307" t="str">
        <f t="shared" si="221"/>
        <v>GSHP-EER23-Replace_CAC_ElectricHeat_ER1_SF</v>
      </c>
      <c r="G1476" s="4307"/>
      <c r="H1476" s="4307"/>
      <c r="I1476" s="1396"/>
      <c r="J1476" s="1680">
        <v>6</v>
      </c>
      <c r="K1476" s="1610"/>
      <c r="L1476" s="4376"/>
      <c r="S1476" s="52"/>
      <c r="T1476" s="52"/>
      <c r="U1476" s="52"/>
      <c r="V1476" s="4293"/>
      <c r="W1476" s="1396">
        <v>6</v>
      </c>
      <c r="X1476" s="1396">
        <v>6</v>
      </c>
      <c r="Y1476" s="1396">
        <v>6</v>
      </c>
      <c r="Z1476" s="1396">
        <v>6</v>
      </c>
      <c r="AA1476" s="1396">
        <v>6</v>
      </c>
      <c r="AB1476" s="1396">
        <v>6</v>
      </c>
      <c r="AC1476" s="1396">
        <v>6</v>
      </c>
      <c r="AD1476" s="1396">
        <v>6</v>
      </c>
      <c r="AE1476" s="1396">
        <v>6</v>
      </c>
      <c r="AF1476" s="271">
        <f t="shared" si="220"/>
        <v>6</v>
      </c>
      <c r="AG1476" s="1396"/>
      <c r="DG1476" s="573"/>
      <c r="DH1476" s="188"/>
      <c r="DI1476" s="1091"/>
      <c r="DJ1476" s="1187"/>
    </row>
    <row r="1477" spans="1:114" hidden="1" outlineLevel="1">
      <c r="A1477" s="453"/>
      <c r="B1477" s="181"/>
      <c r="C1477" s="571"/>
      <c r="D1477" s="4293"/>
      <c r="E1477" s="4293"/>
      <c r="F1477" s="4307" t="str">
        <f t="shared" si="221"/>
        <v>GSHP-EER23-Replace_CAC_ElectricHeat_ER1_SF</v>
      </c>
      <c r="G1477" s="4307"/>
      <c r="H1477" s="4307"/>
      <c r="I1477" s="1396"/>
      <c r="J1477" s="1680">
        <v>6</v>
      </c>
      <c r="K1477" s="1610"/>
      <c r="L1477" s="4376"/>
      <c r="S1477" s="52"/>
      <c r="T1477" s="52"/>
      <c r="U1477" s="52"/>
      <c r="V1477" s="4293"/>
      <c r="W1477" s="1396">
        <v>6</v>
      </c>
      <c r="X1477" s="1396">
        <v>6</v>
      </c>
      <c r="Y1477" s="1396">
        <v>6</v>
      </c>
      <c r="Z1477" s="1396">
        <v>6</v>
      </c>
      <c r="AA1477" s="1396">
        <v>6</v>
      </c>
      <c r="AB1477" s="1396">
        <v>6</v>
      </c>
      <c r="AC1477" s="1396">
        <v>6</v>
      </c>
      <c r="AD1477" s="1396">
        <v>6</v>
      </c>
      <c r="AE1477" s="1396">
        <v>6</v>
      </c>
      <c r="AF1477" s="271">
        <f t="shared" si="220"/>
        <v>6</v>
      </c>
      <c r="AG1477" s="1396"/>
      <c r="DG1477" s="573"/>
      <c r="DH1477" s="188"/>
      <c r="DI1477" s="1091"/>
      <c r="DJ1477" s="1187"/>
    </row>
    <row r="1478" spans="1:114" hidden="1" outlineLevel="1">
      <c r="A1478" s="453"/>
      <c r="B1478" s="181"/>
      <c r="C1478" s="571"/>
      <c r="D1478" s="4293"/>
      <c r="E1478" s="4293"/>
      <c r="F1478" s="4307" t="str">
        <f t="shared" si="221"/>
        <v>GSHP-EER23-Replace_CAC_ElectricHeat_ER2_SF</v>
      </c>
      <c r="G1478" s="4307"/>
      <c r="H1478" s="4307"/>
      <c r="I1478" s="1396"/>
      <c r="J1478" s="1800">
        <f>25-6</f>
        <v>19</v>
      </c>
      <c r="K1478" s="1442"/>
      <c r="L1478" s="4376"/>
      <c r="S1478" s="52"/>
      <c r="T1478" s="52"/>
      <c r="U1478" s="52"/>
      <c r="V1478" s="4293"/>
      <c r="W1478" s="1396">
        <v>12</v>
      </c>
      <c r="X1478" s="1396">
        <v>12</v>
      </c>
      <c r="Y1478" s="1396">
        <v>12</v>
      </c>
      <c r="Z1478" s="1396">
        <v>12</v>
      </c>
      <c r="AA1478" s="1396">
        <v>12</v>
      </c>
      <c r="AB1478" s="1396">
        <v>12</v>
      </c>
      <c r="AC1478" s="1396">
        <v>12</v>
      </c>
      <c r="AD1478" s="1396">
        <v>12</v>
      </c>
      <c r="AE1478" s="1396">
        <v>12</v>
      </c>
      <c r="AF1478" s="271">
        <f t="shared" si="220"/>
        <v>19</v>
      </c>
      <c r="AG1478" s="1396"/>
      <c r="DG1478" s="573"/>
      <c r="DH1478" s="188"/>
      <c r="DI1478" s="1091"/>
      <c r="DJ1478" s="1187"/>
    </row>
    <row r="1479" spans="1:114" hidden="1" outlineLevel="1">
      <c r="A1479" s="453"/>
      <c r="B1479" s="181"/>
      <c r="C1479" s="571"/>
      <c r="D1479" s="4293"/>
      <c r="E1479" s="4293"/>
      <c r="F1479" s="4307" t="str">
        <f t="shared" si="221"/>
        <v>GSHP-EER23-Replace_CAC_ElectricHeat_ER2_SF</v>
      </c>
      <c r="G1479" s="4307"/>
      <c r="H1479" s="4307"/>
      <c r="I1479" s="1396"/>
      <c r="J1479" s="1800">
        <f>25-6</f>
        <v>19</v>
      </c>
      <c r="K1479" s="1442"/>
      <c r="L1479" s="4376"/>
      <c r="S1479" s="52"/>
      <c r="T1479" s="52"/>
      <c r="U1479" s="52"/>
      <c r="V1479" s="4293"/>
      <c r="W1479" s="1396">
        <v>12</v>
      </c>
      <c r="X1479" s="1396">
        <v>12</v>
      </c>
      <c r="Y1479" s="1396">
        <v>12</v>
      </c>
      <c r="Z1479" s="1396">
        <v>12</v>
      </c>
      <c r="AA1479" s="1396">
        <v>12</v>
      </c>
      <c r="AB1479" s="1396">
        <v>12</v>
      </c>
      <c r="AC1479" s="1396">
        <v>12</v>
      </c>
      <c r="AD1479" s="1396">
        <v>12</v>
      </c>
      <c r="AE1479" s="1396">
        <v>12</v>
      </c>
      <c r="AF1479" s="271">
        <f t="shared" si="220"/>
        <v>19</v>
      </c>
      <c r="AG1479" s="1396"/>
      <c r="DG1479" s="573"/>
      <c r="DH1479" s="188"/>
      <c r="DI1479" s="1091"/>
      <c r="DJ1479" s="1187"/>
    </row>
    <row r="1480" spans="1:114" hidden="1" outlineLevel="1">
      <c r="A1480" s="453"/>
      <c r="B1480" s="181"/>
      <c r="C1480" s="571"/>
      <c r="D1480" s="4293"/>
      <c r="E1480" s="4293"/>
      <c r="F1480" s="4307" t="str">
        <f t="shared" si="221"/>
        <v>GSHP-EER23-Replace_ASHP_ER1_SF</v>
      </c>
      <c r="G1480" s="4307"/>
      <c r="H1480" s="4307"/>
      <c r="I1480" s="1396"/>
      <c r="J1480" s="1680">
        <v>6</v>
      </c>
      <c r="K1480" s="1610"/>
      <c r="L1480" s="4376"/>
      <c r="S1480" s="52"/>
      <c r="T1480" s="52"/>
      <c r="U1480" s="52"/>
      <c r="V1480" s="4293"/>
      <c r="W1480" s="1396">
        <v>6</v>
      </c>
      <c r="X1480" s="1396">
        <v>6</v>
      </c>
      <c r="Y1480" s="1396">
        <v>6</v>
      </c>
      <c r="Z1480" s="1396">
        <v>6</v>
      </c>
      <c r="AA1480" s="1396">
        <v>6</v>
      </c>
      <c r="AB1480" s="1396">
        <v>6</v>
      </c>
      <c r="AC1480" s="1396">
        <v>6</v>
      </c>
      <c r="AD1480" s="1396">
        <v>6</v>
      </c>
      <c r="AE1480" s="1396">
        <v>6</v>
      </c>
      <c r="AF1480" s="271">
        <f t="shared" si="220"/>
        <v>6</v>
      </c>
      <c r="AG1480" s="1396"/>
      <c r="DG1480" s="573"/>
      <c r="DH1480" s="188"/>
      <c r="DI1480" s="1091"/>
      <c r="DJ1480" s="1187"/>
    </row>
    <row r="1481" spans="1:114" hidden="1" outlineLevel="1">
      <c r="A1481" s="453"/>
      <c r="B1481" s="181"/>
      <c r="C1481" s="571"/>
      <c r="D1481" s="4293"/>
      <c r="E1481" s="4293"/>
      <c r="F1481" s="4307" t="str">
        <f t="shared" si="221"/>
        <v>GSHP-EER23-Replace_ASHP_ER1_SF</v>
      </c>
      <c r="G1481" s="4307"/>
      <c r="H1481" s="4307"/>
      <c r="I1481" s="1396"/>
      <c r="J1481" s="1680">
        <v>6</v>
      </c>
      <c r="K1481" s="1610"/>
      <c r="L1481" s="4376"/>
      <c r="S1481" s="52"/>
      <c r="T1481" s="52"/>
      <c r="U1481" s="52"/>
      <c r="V1481" s="4293"/>
      <c r="W1481" s="1396">
        <v>6</v>
      </c>
      <c r="X1481" s="1396">
        <v>6</v>
      </c>
      <c r="Y1481" s="1396">
        <v>6</v>
      </c>
      <c r="Z1481" s="1396">
        <v>6</v>
      </c>
      <c r="AA1481" s="1396">
        <v>6</v>
      </c>
      <c r="AB1481" s="1396">
        <v>6</v>
      </c>
      <c r="AC1481" s="1396">
        <v>6</v>
      </c>
      <c r="AD1481" s="1396">
        <v>6</v>
      </c>
      <c r="AE1481" s="1396">
        <v>6</v>
      </c>
      <c r="AF1481" s="271">
        <f t="shared" si="220"/>
        <v>6</v>
      </c>
      <c r="AG1481" s="1396"/>
      <c r="DG1481" s="573"/>
      <c r="DH1481" s="188"/>
      <c r="DI1481" s="1091"/>
      <c r="DJ1481" s="1187"/>
    </row>
    <row r="1482" spans="1:114" hidden="1" outlineLevel="1">
      <c r="A1482" s="453"/>
      <c r="B1482" s="181"/>
      <c r="C1482" s="571"/>
      <c r="D1482" s="4293"/>
      <c r="E1482" s="4293"/>
      <c r="F1482" s="4307" t="str">
        <f t="shared" si="221"/>
        <v>GSHP-EER23-Replace_ASHP_ER2_SF</v>
      </c>
      <c r="G1482" s="4307"/>
      <c r="H1482" s="4307"/>
      <c r="I1482" s="1396"/>
      <c r="J1482" s="1800">
        <f>25-6</f>
        <v>19</v>
      </c>
      <c r="K1482" s="1442"/>
      <c r="L1482" s="4376"/>
      <c r="S1482" s="52"/>
      <c r="T1482" s="52"/>
      <c r="U1482" s="52"/>
      <c r="V1482" s="4293"/>
      <c r="W1482" s="1396">
        <v>12</v>
      </c>
      <c r="X1482" s="1396">
        <v>12</v>
      </c>
      <c r="Y1482" s="1396">
        <v>12</v>
      </c>
      <c r="Z1482" s="1396">
        <v>12</v>
      </c>
      <c r="AA1482" s="1396">
        <v>12</v>
      </c>
      <c r="AB1482" s="1396">
        <v>12</v>
      </c>
      <c r="AC1482" s="1396">
        <v>12</v>
      </c>
      <c r="AD1482" s="1396">
        <v>12</v>
      </c>
      <c r="AE1482" s="1396">
        <v>12</v>
      </c>
      <c r="AF1482" s="271">
        <f t="shared" si="220"/>
        <v>19</v>
      </c>
      <c r="AG1482" s="1396"/>
      <c r="DG1482" s="573"/>
      <c r="DH1482" s="188"/>
      <c r="DI1482" s="1091"/>
      <c r="DJ1482" s="1187"/>
    </row>
    <row r="1483" spans="1:114" hidden="1" outlineLevel="1">
      <c r="A1483" s="453"/>
      <c r="B1483" s="181"/>
      <c r="C1483" s="571"/>
      <c r="D1483" s="4293"/>
      <c r="E1483" s="4293"/>
      <c r="F1483" s="4307" t="str">
        <f t="shared" si="221"/>
        <v>GSHP-EER23-Replace_ASHP_ER2_SF</v>
      </c>
      <c r="G1483" s="4307"/>
      <c r="H1483" s="4307"/>
      <c r="I1483" s="1396"/>
      <c r="J1483" s="1800">
        <f>25-6</f>
        <v>19</v>
      </c>
      <c r="K1483" s="1610"/>
      <c r="L1483" s="4376"/>
      <c r="S1483" s="52"/>
      <c r="T1483" s="52"/>
      <c r="U1483" s="52"/>
      <c r="V1483" s="4293"/>
      <c r="W1483" s="1396">
        <v>12</v>
      </c>
      <c r="X1483" s="1396">
        <v>12</v>
      </c>
      <c r="Y1483" s="1396">
        <v>12</v>
      </c>
      <c r="Z1483" s="1396">
        <v>12</v>
      </c>
      <c r="AA1483" s="1396">
        <v>12</v>
      </c>
      <c r="AB1483" s="1396">
        <v>12</v>
      </c>
      <c r="AC1483" s="1396">
        <v>12</v>
      </c>
      <c r="AD1483" s="1396">
        <v>12</v>
      </c>
      <c r="AE1483" s="1396">
        <v>12</v>
      </c>
      <c r="AF1483" s="271">
        <f t="shared" si="220"/>
        <v>19</v>
      </c>
      <c r="AG1483" s="1396"/>
      <c r="DG1483" s="573"/>
      <c r="DH1483" s="188"/>
      <c r="DI1483" s="1091"/>
      <c r="DJ1483" s="1187"/>
    </row>
    <row r="1484" spans="1:114" hidden="1" outlineLevel="1">
      <c r="A1484" s="453"/>
      <c r="B1484" s="181"/>
      <c r="C1484" s="571"/>
      <c r="D1484" s="4293"/>
      <c r="E1484" s="4293"/>
      <c r="F1484" s="4307" t="str">
        <f t="shared" si="221"/>
        <v>GSHP-EER23_ROF_SF</v>
      </c>
      <c r="G1484" s="4307"/>
      <c r="H1484" s="4307"/>
      <c r="I1484" s="1396"/>
      <c r="J1484" s="1800">
        <v>25</v>
      </c>
      <c r="K1484" s="1610"/>
      <c r="L1484" s="4376"/>
      <c r="S1484" s="52"/>
      <c r="T1484" s="52"/>
      <c r="U1484" s="52"/>
      <c r="V1484" s="4293"/>
      <c r="W1484" s="1396">
        <v>18</v>
      </c>
      <c r="X1484" s="1396">
        <v>18</v>
      </c>
      <c r="Y1484" s="1396">
        <v>18</v>
      </c>
      <c r="Z1484" s="1396">
        <v>18</v>
      </c>
      <c r="AA1484" s="1396">
        <v>18</v>
      </c>
      <c r="AB1484" s="1396">
        <v>18</v>
      </c>
      <c r="AC1484" s="1396">
        <v>18</v>
      </c>
      <c r="AD1484" s="1396">
        <v>18</v>
      </c>
      <c r="AE1484" s="1396">
        <v>18</v>
      </c>
      <c r="AF1484" s="271">
        <f t="shared" si="220"/>
        <v>25</v>
      </c>
      <c r="AG1484" s="1396"/>
      <c r="DG1484" s="573"/>
      <c r="DH1484" s="188"/>
      <c r="DI1484" s="1091"/>
      <c r="DJ1484" s="1187"/>
    </row>
    <row r="1485" spans="1:114" hidden="1" outlineLevel="1">
      <c r="A1485" s="453"/>
      <c r="B1485" s="181"/>
      <c r="C1485" s="571"/>
      <c r="D1485" s="4293"/>
      <c r="E1485" s="4293"/>
      <c r="F1485" s="4307" t="str">
        <f t="shared" si="221"/>
        <v>GSHP-EER23_ROF_SF</v>
      </c>
      <c r="G1485" s="4307"/>
      <c r="H1485" s="4307"/>
      <c r="I1485" s="1396"/>
      <c r="J1485" s="1800">
        <v>25</v>
      </c>
      <c r="K1485" s="1610"/>
      <c r="L1485" s="4376"/>
      <c r="S1485" s="52"/>
      <c r="T1485" s="52"/>
      <c r="U1485" s="52"/>
      <c r="V1485" s="4293"/>
      <c r="W1485" s="1396">
        <v>18</v>
      </c>
      <c r="X1485" s="1396">
        <v>18</v>
      </c>
      <c r="Y1485" s="1396">
        <v>18</v>
      </c>
      <c r="Z1485" s="1396">
        <v>18</v>
      </c>
      <c r="AA1485" s="1396">
        <v>18</v>
      </c>
      <c r="AB1485" s="1396">
        <v>18</v>
      </c>
      <c r="AC1485" s="1396">
        <v>18</v>
      </c>
      <c r="AD1485" s="1396">
        <v>18</v>
      </c>
      <c r="AE1485" s="1396">
        <v>18</v>
      </c>
      <c r="AF1485" s="271">
        <f t="shared" si="220"/>
        <v>25</v>
      </c>
      <c r="AG1485" s="1396"/>
      <c r="DG1485" s="573"/>
      <c r="DH1485" s="188"/>
      <c r="DI1485" s="1091"/>
      <c r="DJ1485" s="1187"/>
    </row>
    <row r="1486" spans="1:114" s="41" customFormat="1" hidden="1" outlineLevel="1">
      <c r="A1486" s="453"/>
      <c r="B1486" s="150"/>
      <c r="C1486" s="1611"/>
      <c r="D1486" s="4293"/>
      <c r="E1486" s="4293"/>
      <c r="F1486" s="4310" t="str">
        <f>$E$1385</f>
        <v>GSHP-EER23-Replace_GSHP_ER1_SF</v>
      </c>
      <c r="G1486" s="4310"/>
      <c r="H1486" s="4310"/>
      <c r="I1486" s="833"/>
      <c r="J1486" s="1680">
        <v>6</v>
      </c>
      <c r="K1486" s="1617"/>
      <c r="L1486" s="4376"/>
      <c r="V1486" s="4293"/>
      <c r="W1486" s="833"/>
      <c r="X1486" s="833"/>
      <c r="Y1486" s="833"/>
      <c r="Z1486" s="833"/>
      <c r="AA1486" s="833"/>
      <c r="AB1486" s="833"/>
      <c r="AC1486" s="833"/>
      <c r="AD1486" s="833"/>
      <c r="AE1486" s="833"/>
      <c r="AF1486" s="271">
        <f t="shared" si="220"/>
        <v>6</v>
      </c>
      <c r="AG1486" s="833"/>
      <c r="DG1486" s="1613"/>
      <c r="DH1486" s="1614"/>
      <c r="DI1486" s="1109"/>
      <c r="DJ1486" s="1187"/>
    </row>
    <row r="1487" spans="1:114" s="41" customFormat="1" hidden="1" outlineLevel="1">
      <c r="A1487" s="453"/>
      <c r="B1487" s="150"/>
      <c r="C1487" s="1611"/>
      <c r="D1487" s="4293"/>
      <c r="E1487" s="4293"/>
      <c r="F1487" s="4310" t="str">
        <f>$E$1387</f>
        <v>GSHP-EER23-Replace_GSHP_ER2_SF</v>
      </c>
      <c r="G1487" s="4310"/>
      <c r="H1487" s="4310"/>
      <c r="I1487" s="833"/>
      <c r="J1487" s="1800">
        <f>25-6</f>
        <v>19</v>
      </c>
      <c r="K1487" s="1617"/>
      <c r="L1487" s="4364"/>
      <c r="V1487" s="4293"/>
      <c r="W1487" s="833"/>
      <c r="X1487" s="833"/>
      <c r="Y1487" s="833"/>
      <c r="Z1487" s="833"/>
      <c r="AA1487" s="833"/>
      <c r="AB1487" s="833"/>
      <c r="AC1487" s="833"/>
      <c r="AD1487" s="833"/>
      <c r="AE1487" s="833"/>
      <c r="AF1487" s="271">
        <f t="shared" si="220"/>
        <v>19</v>
      </c>
      <c r="AG1487" s="833"/>
      <c r="DG1487" s="1613"/>
      <c r="DH1487" s="1614"/>
      <c r="DI1487" s="1109"/>
      <c r="DJ1487" s="1187"/>
    </row>
    <row r="1488" spans="1:114" hidden="1" outlineLevel="1">
      <c r="A1488" s="453"/>
      <c r="B1488" s="181"/>
      <c r="C1488" s="571"/>
      <c r="D1488" s="4293" t="s">
        <v>50</v>
      </c>
      <c r="E1488" s="4293" t="s">
        <v>1280</v>
      </c>
      <c r="F1488" s="4307" t="str">
        <f t="shared" ref="F1488:F1499" si="222">E1373</f>
        <v>GSHP-EER23-Replace_CAC_ElectricHeat_ROF_SF</v>
      </c>
      <c r="G1488" s="4307"/>
      <c r="H1488" s="4307"/>
      <c r="I1488" s="1396"/>
      <c r="J1488" s="2078">
        <f>K1488*S$1410-(S$1419+T$1419*K1488)</f>
        <v>10389.878378378377</v>
      </c>
      <c r="K1488" s="2079">
        <f>VLOOKUP(F1488,F$1409:K$1416,6,FALSE)</f>
        <v>3.977477477477477</v>
      </c>
      <c r="L1488" s="927"/>
      <c r="S1488" s="52"/>
      <c r="T1488" s="52"/>
      <c r="U1488" s="52"/>
      <c r="V1488" s="4293" t="s">
        <v>50</v>
      </c>
      <c r="W1488" s="244">
        <v>4717</v>
      </c>
      <c r="X1488" s="244">
        <v>4717</v>
      </c>
      <c r="Y1488" s="244">
        <v>4717</v>
      </c>
      <c r="Z1488" s="244">
        <v>4717</v>
      </c>
      <c r="AA1488" s="244">
        <v>4717</v>
      </c>
      <c r="AB1488" s="244">
        <v>4717</v>
      </c>
      <c r="AC1488" s="244">
        <v>4717</v>
      </c>
      <c r="AD1488" s="244">
        <v>4717</v>
      </c>
      <c r="AE1488" s="244">
        <v>4717</v>
      </c>
      <c r="AF1488" s="271">
        <f t="shared" si="220"/>
        <v>10389.878378378377</v>
      </c>
      <c r="AG1488" s="244"/>
      <c r="DG1488" s="573"/>
      <c r="DH1488" s="188"/>
      <c r="DI1488" s="1091"/>
      <c r="DJ1488" s="1187"/>
    </row>
    <row r="1489" spans="1:114" hidden="1" outlineLevel="1">
      <c r="A1489" s="453"/>
      <c r="B1489" s="181"/>
      <c r="C1489" s="571"/>
      <c r="D1489" s="4293"/>
      <c r="E1489" s="4293"/>
      <c r="F1489" s="4307" t="str">
        <f t="shared" si="222"/>
        <v>GSHP-EER23-Replace_CAC_ElectricHeat_ROF_SF</v>
      </c>
      <c r="G1489" s="4307"/>
      <c r="H1489" s="4307"/>
      <c r="I1489" s="1396"/>
      <c r="J1489" s="1787"/>
      <c r="K1489" s="1442"/>
      <c r="L1489" s="927"/>
      <c r="S1489" s="52"/>
      <c r="T1489" s="52"/>
      <c r="U1489" s="52"/>
      <c r="V1489" s="4293"/>
      <c r="W1489" s="244"/>
      <c r="X1489" s="244"/>
      <c r="Y1489" s="244"/>
      <c r="Z1489" s="244"/>
      <c r="AA1489" s="244"/>
      <c r="AB1489" s="244"/>
      <c r="AC1489" s="244"/>
      <c r="AD1489" s="244"/>
      <c r="AE1489" s="244"/>
      <c r="AF1489" s="271" t="str">
        <f t="shared" si="220"/>
        <v/>
      </c>
      <c r="AG1489" s="244"/>
      <c r="DG1489" s="573"/>
      <c r="DH1489" s="188"/>
      <c r="DI1489" s="1091"/>
      <c r="DJ1489" s="1187"/>
    </row>
    <row r="1490" spans="1:114" hidden="1" outlineLevel="1">
      <c r="A1490" s="453"/>
      <c r="B1490" s="181"/>
      <c r="C1490" s="571"/>
      <c r="D1490" s="4293"/>
      <c r="E1490" s="4293"/>
      <c r="F1490" s="4307" t="str">
        <f t="shared" si="222"/>
        <v>GSHP-EER23-Replace_CAC_ElectricHeat_ER1_SF</v>
      </c>
      <c r="G1490" s="4307"/>
      <c r="H1490" s="4307"/>
      <c r="I1490" s="1396"/>
      <c r="J1490" s="2078">
        <f>K1490*S$1410-(S$1421+T$1421*K1490)*S$1426</f>
        <v>10005.779576760684</v>
      </c>
      <c r="K1490" s="2079">
        <f>VLOOKUP(F1490,F$1409:K$1416,6,FALSE)</f>
        <v>3.8698630136986303</v>
      </c>
      <c r="L1490" s="927"/>
      <c r="S1490" s="52"/>
      <c r="T1490" s="52"/>
      <c r="U1490" s="52"/>
      <c r="V1490" s="4293"/>
      <c r="W1490" s="244">
        <v>5250</v>
      </c>
      <c r="X1490" s="244">
        <v>5250</v>
      </c>
      <c r="Y1490" s="244">
        <v>5250</v>
      </c>
      <c r="Z1490" s="244">
        <v>5250</v>
      </c>
      <c r="AA1490" s="244">
        <v>5250</v>
      </c>
      <c r="AB1490" s="244">
        <v>5250</v>
      </c>
      <c r="AC1490" s="244">
        <v>5250</v>
      </c>
      <c r="AD1490" s="244">
        <v>5250</v>
      </c>
      <c r="AE1490" s="244">
        <v>5250</v>
      </c>
      <c r="AF1490" s="271">
        <f t="shared" si="220"/>
        <v>10005.779576760684</v>
      </c>
      <c r="AG1490" s="244"/>
      <c r="DG1490" s="573"/>
      <c r="DH1490" s="188"/>
      <c r="DI1490" s="1091"/>
      <c r="DJ1490" s="1187"/>
    </row>
    <row r="1491" spans="1:114" hidden="1" outlineLevel="1">
      <c r="A1491" s="453"/>
      <c r="B1491" s="181"/>
      <c r="C1491" s="571"/>
      <c r="D1491" s="4293"/>
      <c r="E1491" s="4293"/>
      <c r="F1491" s="4307" t="str">
        <f t="shared" si="222"/>
        <v>GSHP-EER23-Replace_CAC_ElectricHeat_ER1_SF</v>
      </c>
      <c r="G1491" s="4307"/>
      <c r="H1491" s="4307"/>
      <c r="I1491" s="1396"/>
      <c r="J1491" s="1787"/>
      <c r="K1491" s="1610"/>
      <c r="L1491" s="927"/>
      <c r="S1491" s="52"/>
      <c r="T1491" s="52"/>
      <c r="U1491" s="52"/>
      <c r="V1491" s="4293"/>
      <c r="W1491" s="244"/>
      <c r="X1491" s="244"/>
      <c r="Y1491" s="244"/>
      <c r="Z1491" s="244"/>
      <c r="AA1491" s="244"/>
      <c r="AB1491" s="244"/>
      <c r="AC1491" s="244"/>
      <c r="AD1491" s="244"/>
      <c r="AE1491" s="244"/>
      <c r="AF1491" s="271" t="str">
        <f t="shared" si="220"/>
        <v/>
      </c>
      <c r="AG1491" s="244"/>
      <c r="DG1491" s="573"/>
      <c r="DH1491" s="188"/>
      <c r="DI1491" s="1091"/>
      <c r="DJ1491" s="1187"/>
    </row>
    <row r="1492" spans="1:114" hidden="1" outlineLevel="1">
      <c r="A1492" s="453"/>
      <c r="B1492" s="181"/>
      <c r="C1492" s="571"/>
      <c r="D1492" s="4293"/>
      <c r="E1492" s="4293"/>
      <c r="F1492" s="4307" t="str">
        <f t="shared" si="222"/>
        <v>GSHP-EER23-Replace_CAC_ElectricHeat_ER2_SF</v>
      </c>
      <c r="G1492" s="4307"/>
      <c r="H1492" s="4307"/>
      <c r="I1492" s="1396"/>
      <c r="J1492" s="1787"/>
      <c r="K1492" s="1442"/>
      <c r="L1492" s="927"/>
      <c r="S1492" s="52"/>
      <c r="T1492" s="52"/>
      <c r="U1492" s="52"/>
      <c r="V1492" s="4293"/>
      <c r="W1492" s="244"/>
      <c r="X1492" s="244"/>
      <c r="Y1492" s="244"/>
      <c r="Z1492" s="244"/>
      <c r="AA1492" s="244"/>
      <c r="AB1492" s="244"/>
      <c r="AC1492" s="244"/>
      <c r="AD1492" s="244"/>
      <c r="AE1492" s="244"/>
      <c r="AF1492" s="271" t="str">
        <f t="shared" si="220"/>
        <v/>
      </c>
      <c r="AG1492" s="244"/>
      <c r="DG1492" s="573"/>
      <c r="DH1492" s="188"/>
      <c r="DI1492" s="1091"/>
      <c r="DJ1492" s="1187"/>
    </row>
    <row r="1493" spans="1:114" hidden="1" outlineLevel="1">
      <c r="A1493" s="453"/>
      <c r="B1493" s="181"/>
      <c r="C1493" s="571"/>
      <c r="D1493" s="4293"/>
      <c r="E1493" s="4293"/>
      <c r="F1493" s="4307" t="str">
        <f t="shared" si="222"/>
        <v>GSHP-EER23-Replace_CAC_ElectricHeat_ER2_SF</v>
      </c>
      <c r="G1493" s="4307"/>
      <c r="H1493" s="4307"/>
      <c r="I1493" s="1396"/>
      <c r="J1493" s="1787"/>
      <c r="K1493" s="1442"/>
      <c r="L1493" s="927"/>
      <c r="S1493" s="52"/>
      <c r="T1493" s="52"/>
      <c r="U1493" s="52"/>
      <c r="V1493" s="4293"/>
      <c r="W1493" s="244"/>
      <c r="X1493" s="244"/>
      <c r="Y1493" s="244"/>
      <c r="Z1493" s="244"/>
      <c r="AA1493" s="244"/>
      <c r="AB1493" s="244"/>
      <c r="AC1493" s="244"/>
      <c r="AD1493" s="244"/>
      <c r="AE1493" s="244"/>
      <c r="AF1493" s="271" t="str">
        <f t="shared" si="220"/>
        <v/>
      </c>
      <c r="AG1493" s="244"/>
      <c r="DG1493" s="573"/>
      <c r="DH1493" s="188"/>
      <c r="DI1493" s="1091"/>
      <c r="DJ1493" s="1187"/>
    </row>
    <row r="1494" spans="1:114" hidden="1" outlineLevel="1">
      <c r="A1494" s="453"/>
      <c r="B1494" s="181"/>
      <c r="C1494" s="571"/>
      <c r="D1494" s="4293"/>
      <c r="E1494" s="4293"/>
      <c r="F1494" s="4307" t="str">
        <f t="shared" si="222"/>
        <v>GSHP-EER23-Replace_ASHP_ER1_SF</v>
      </c>
      <c r="G1494" s="4307"/>
      <c r="H1494" s="4307"/>
      <c r="I1494" s="1396"/>
      <c r="J1494" s="2078">
        <f>K1494*S$1410-(S$1420+T$1420*K1494)*S$1426</f>
        <v>6248.64477985144</v>
      </c>
      <c r="K1494" s="2079">
        <f>VLOOKUP(F1494,F$1409:K$1416,6,FALSE)</f>
        <v>3.8698630136986303</v>
      </c>
      <c r="L1494" s="927"/>
      <c r="S1494" s="52"/>
      <c r="T1494" s="52"/>
      <c r="U1494" s="52"/>
      <c r="V1494" s="4293"/>
      <c r="W1494" s="244">
        <v>4859</v>
      </c>
      <c r="X1494" s="244">
        <v>4859</v>
      </c>
      <c r="Y1494" s="244">
        <v>4859</v>
      </c>
      <c r="Z1494" s="244">
        <v>4859</v>
      </c>
      <c r="AA1494" s="244">
        <v>4859</v>
      </c>
      <c r="AB1494" s="244">
        <v>4859</v>
      </c>
      <c r="AC1494" s="244">
        <v>4859</v>
      </c>
      <c r="AD1494" s="244">
        <v>4859</v>
      </c>
      <c r="AE1494" s="244">
        <v>4859</v>
      </c>
      <c r="AF1494" s="271">
        <f t="shared" si="220"/>
        <v>6248.64477985144</v>
      </c>
      <c r="AG1494" s="244"/>
      <c r="DG1494" s="573"/>
      <c r="DH1494" s="188"/>
      <c r="DI1494" s="1091"/>
      <c r="DJ1494" s="1187"/>
    </row>
    <row r="1495" spans="1:114" hidden="1" outlineLevel="1">
      <c r="A1495" s="453"/>
      <c r="B1495" s="181"/>
      <c r="C1495" s="571"/>
      <c r="D1495" s="4293"/>
      <c r="E1495" s="4293"/>
      <c r="F1495" s="4307" t="str">
        <f t="shared" si="222"/>
        <v>GSHP-EER23-Replace_ASHP_ER1_SF</v>
      </c>
      <c r="G1495" s="4307"/>
      <c r="H1495" s="4307"/>
      <c r="I1495" s="1396"/>
      <c r="J1495" s="1787"/>
      <c r="K1495" s="1610"/>
      <c r="L1495" s="927"/>
      <c r="S1495" s="52"/>
      <c r="T1495" s="52"/>
      <c r="U1495" s="52"/>
      <c r="V1495" s="4293"/>
      <c r="W1495" s="244"/>
      <c r="X1495" s="244"/>
      <c r="Y1495" s="244"/>
      <c r="Z1495" s="244"/>
      <c r="AA1495" s="244"/>
      <c r="AB1495" s="244"/>
      <c r="AC1495" s="244"/>
      <c r="AD1495" s="244"/>
      <c r="AE1495" s="244"/>
      <c r="AF1495" s="271" t="str">
        <f t="shared" si="220"/>
        <v/>
      </c>
      <c r="AG1495" s="244"/>
      <c r="DG1495" s="573"/>
      <c r="DH1495" s="188"/>
      <c r="DI1495" s="1091"/>
      <c r="DJ1495" s="1187"/>
    </row>
    <row r="1496" spans="1:114" hidden="1" outlineLevel="1">
      <c r="A1496" s="453"/>
      <c r="B1496" s="181"/>
      <c r="C1496" s="571"/>
      <c r="D1496" s="4293"/>
      <c r="E1496" s="4293"/>
      <c r="F1496" s="4307" t="str">
        <f t="shared" si="222"/>
        <v>GSHP-EER23-Replace_ASHP_ER2_SF</v>
      </c>
      <c r="G1496" s="4307"/>
      <c r="H1496" s="4307"/>
      <c r="I1496" s="1396"/>
      <c r="J1496" s="1787"/>
      <c r="K1496" s="1442"/>
      <c r="L1496" s="927"/>
      <c r="S1496" s="52"/>
      <c r="T1496" s="52"/>
      <c r="U1496" s="52"/>
      <c r="V1496" s="4293"/>
      <c r="W1496" s="244"/>
      <c r="X1496" s="244"/>
      <c r="Y1496" s="244"/>
      <c r="Z1496" s="244"/>
      <c r="AA1496" s="244"/>
      <c r="AB1496" s="244"/>
      <c r="AC1496" s="244"/>
      <c r="AD1496" s="244"/>
      <c r="AE1496" s="244"/>
      <c r="AF1496" s="271" t="str">
        <f t="shared" si="220"/>
        <v/>
      </c>
      <c r="AG1496" s="244"/>
      <c r="DG1496" s="573"/>
      <c r="DH1496" s="188"/>
      <c r="DI1496" s="1091"/>
      <c r="DJ1496" s="1187"/>
    </row>
    <row r="1497" spans="1:114" hidden="1" outlineLevel="1">
      <c r="A1497" s="453"/>
      <c r="B1497" s="181"/>
      <c r="C1497" s="571"/>
      <c r="D1497" s="4293"/>
      <c r="E1497" s="4293"/>
      <c r="F1497" s="4307" t="str">
        <f t="shared" si="222"/>
        <v>GSHP-EER23-Replace_ASHP_ER2_SF</v>
      </c>
      <c r="G1497" s="4307"/>
      <c r="H1497" s="4307"/>
      <c r="I1497" s="1396"/>
      <c r="J1497" s="1787"/>
      <c r="K1497" s="1610"/>
      <c r="L1497" s="927"/>
      <c r="S1497" s="52"/>
      <c r="T1497" s="52"/>
      <c r="U1497" s="52"/>
      <c r="V1497" s="4293"/>
      <c r="W1497" s="244"/>
      <c r="X1497" s="244"/>
      <c r="Y1497" s="244"/>
      <c r="Z1497" s="244"/>
      <c r="AA1497" s="244"/>
      <c r="AB1497" s="244"/>
      <c r="AC1497" s="244"/>
      <c r="AD1497" s="244"/>
      <c r="AE1497" s="244"/>
      <c r="AF1497" s="271" t="str">
        <f t="shared" si="220"/>
        <v/>
      </c>
      <c r="AG1497" s="244"/>
      <c r="DG1497" s="573"/>
      <c r="DH1497" s="188"/>
      <c r="DI1497" s="1091"/>
      <c r="DJ1497" s="1187"/>
    </row>
    <row r="1498" spans="1:114" hidden="1" outlineLevel="1">
      <c r="A1498" s="453"/>
      <c r="B1498" s="181"/>
      <c r="C1498" s="571"/>
      <c r="D1498" s="4293"/>
      <c r="E1498" s="4293"/>
      <c r="F1498" s="4307" t="str">
        <f t="shared" si="222"/>
        <v>GSHP-EER23_ROF_SF</v>
      </c>
      <c r="G1498" s="4307"/>
      <c r="H1498" s="4307"/>
      <c r="I1498" s="1396"/>
      <c r="J1498" s="2078">
        <f>K1498*S$1410-(S$1418+T$1418*K1498)*S$1426</f>
        <v>7508.8881687196081</v>
      </c>
      <c r="K1498" s="2079">
        <f>VLOOKUP(F1498,F$1409:K$1416,6,FALSE)</f>
        <v>3.977477477477477</v>
      </c>
      <c r="L1498" s="927"/>
      <c r="S1498" s="52"/>
      <c r="T1498" s="52"/>
      <c r="U1498" s="52"/>
      <c r="V1498" s="4293"/>
      <c r="W1498" s="244">
        <v>3200</v>
      </c>
      <c r="X1498" s="244">
        <v>3200</v>
      </c>
      <c r="Y1498" s="244">
        <v>3200</v>
      </c>
      <c r="Z1498" s="244">
        <v>3200</v>
      </c>
      <c r="AA1498" s="244">
        <v>3200</v>
      </c>
      <c r="AB1498" s="244">
        <v>3200</v>
      </c>
      <c r="AC1498" s="244">
        <v>3200</v>
      </c>
      <c r="AD1498" s="244">
        <v>3200</v>
      </c>
      <c r="AE1498" s="244">
        <v>3200</v>
      </c>
      <c r="AF1498" s="271">
        <f t="shared" si="220"/>
        <v>7508.8881687196081</v>
      </c>
      <c r="AG1498" s="244"/>
      <c r="DG1498" s="573"/>
      <c r="DH1498" s="188"/>
      <c r="DI1498" s="1091"/>
      <c r="DJ1498" s="1187"/>
    </row>
    <row r="1499" spans="1:114" hidden="1" outlineLevel="1">
      <c r="A1499" s="453"/>
      <c r="B1499" s="181"/>
      <c r="C1499" s="571"/>
      <c r="D1499" s="4293"/>
      <c r="E1499" s="4293"/>
      <c r="F1499" s="4307" t="str">
        <f t="shared" si="222"/>
        <v>GSHP-EER23_ROF_SF</v>
      </c>
      <c r="G1499" s="4307"/>
      <c r="H1499" s="4307"/>
      <c r="I1499" s="1396"/>
      <c r="J1499" s="1787"/>
      <c r="K1499" s="1610"/>
      <c r="L1499" s="927"/>
      <c r="S1499" s="52"/>
      <c r="T1499" s="52"/>
      <c r="U1499" s="52"/>
      <c r="V1499" s="4293"/>
      <c r="W1499" s="244"/>
      <c r="X1499" s="244"/>
      <c r="Y1499" s="244"/>
      <c r="Z1499" s="244"/>
      <c r="AA1499" s="244"/>
      <c r="AB1499" s="244"/>
      <c r="AC1499" s="244"/>
      <c r="AD1499" s="244"/>
      <c r="AE1499" s="244"/>
      <c r="AF1499" s="271" t="str">
        <f t="shared" si="220"/>
        <v/>
      </c>
      <c r="AG1499" s="244"/>
      <c r="DG1499" s="573"/>
      <c r="DH1499" s="188"/>
      <c r="DI1499" s="1091"/>
      <c r="DJ1499" s="1187"/>
    </row>
    <row r="1500" spans="1:114" s="41" customFormat="1" hidden="1" outlineLevel="1">
      <c r="A1500" s="453"/>
      <c r="B1500" s="150"/>
      <c r="C1500" s="1611"/>
      <c r="D1500" s="4293"/>
      <c r="E1500" s="4293"/>
      <c r="F1500" s="4310" t="str">
        <f>$E$1385</f>
        <v>GSHP-EER23-Replace_GSHP_ER1_SF</v>
      </c>
      <c r="G1500" s="4310"/>
      <c r="H1500" s="4310"/>
      <c r="I1500" s="833"/>
      <c r="J1500" s="2078">
        <f>K1500*S$1410-(S$1420+T$1420*K1500)*S$1426</f>
        <v>6248.64477985144</v>
      </c>
      <c r="K1500" s="2079">
        <f>VLOOKUP(F1500,F$1409:K$1416,6,FALSE)</f>
        <v>3.8698630136986303</v>
      </c>
      <c r="L1500" s="1618"/>
      <c r="V1500" s="4293"/>
      <c r="W1500" s="243"/>
      <c r="X1500" s="243"/>
      <c r="Y1500" s="243"/>
      <c r="Z1500" s="243"/>
      <c r="AA1500" s="243"/>
      <c r="AB1500" s="243"/>
      <c r="AC1500" s="243"/>
      <c r="AD1500" s="243"/>
      <c r="AE1500" s="243"/>
      <c r="AF1500" s="271">
        <f t="shared" si="220"/>
        <v>6248.64477985144</v>
      </c>
      <c r="AG1500" s="243"/>
      <c r="DG1500" s="1613"/>
      <c r="DH1500" s="1614"/>
      <c r="DI1500" s="1109"/>
      <c r="DJ1500" s="1187"/>
    </row>
    <row r="1501" spans="1:114" s="41" customFormat="1" hidden="1" outlineLevel="1">
      <c r="A1501" s="453"/>
      <c r="B1501" s="150"/>
      <c r="C1501" s="1611"/>
      <c r="D1501" s="4293"/>
      <c r="E1501" s="4293"/>
      <c r="F1501" s="4310" t="str">
        <f>$E$1387</f>
        <v>GSHP-EER23-Replace_GSHP_ER2_SF</v>
      </c>
      <c r="G1501" s="4310"/>
      <c r="H1501" s="4310"/>
      <c r="I1501" s="833"/>
      <c r="J1501" s="1788"/>
      <c r="K1501" s="1617"/>
      <c r="L1501" s="1618"/>
      <c r="V1501" s="4293"/>
      <c r="W1501" s="243"/>
      <c r="X1501" s="243"/>
      <c r="Y1501" s="243"/>
      <c r="Z1501" s="243"/>
      <c r="AA1501" s="243"/>
      <c r="AB1501" s="243"/>
      <c r="AC1501" s="243"/>
      <c r="AD1501" s="243"/>
      <c r="AE1501" s="243"/>
      <c r="AF1501" s="271" t="str">
        <f t="shared" si="220"/>
        <v/>
      </c>
      <c r="AG1501" s="243"/>
      <c r="DG1501" s="1613"/>
      <c r="DH1501" s="1614"/>
      <c r="DI1501" s="1109"/>
      <c r="DJ1501" s="1187"/>
    </row>
    <row r="1502" spans="1:114" collapsed="1">
      <c r="A1502" s="453"/>
      <c r="C1502" s="571"/>
      <c r="D1502" s="148"/>
      <c r="E1502" s="148"/>
      <c r="F1502" s="543"/>
      <c r="G1502" s="148"/>
      <c r="H1502" s="543"/>
      <c r="I1502" s="181"/>
      <c r="J1502" s="543"/>
      <c r="K1502" s="543"/>
      <c r="L1502" s="543"/>
      <c r="Q1502" s="104"/>
      <c r="S1502" s="52"/>
      <c r="T1502" s="52"/>
      <c r="U1502" s="52"/>
      <c r="V1502" s="52"/>
      <c r="DG1502" s="573"/>
      <c r="DH1502" s="188"/>
      <c r="DI1502" s="1091"/>
    </row>
    <row r="1503" spans="1:114">
      <c r="A1503" s="453"/>
      <c r="C1503" s="51"/>
      <c r="D1503" s="104"/>
      <c r="E1503" s="148"/>
      <c r="F1503" s="543"/>
      <c r="G1503" s="148"/>
      <c r="H1503" s="543"/>
      <c r="I1503" s="543"/>
      <c r="J1503" s="543"/>
      <c r="K1503" s="543"/>
      <c r="L1503" s="543"/>
      <c r="M1503" s="543"/>
      <c r="N1503" s="543"/>
      <c r="O1503" s="245"/>
      <c r="P1503" s="245"/>
      <c r="Q1503" s="104"/>
      <c r="S1503" s="52"/>
      <c r="T1503" s="52"/>
      <c r="U1503" s="52"/>
      <c r="V1503" s="52"/>
      <c r="DG1503" s="573"/>
      <c r="DH1503" s="159"/>
      <c r="DI1503" s="1091"/>
    </row>
    <row r="1504" spans="1:114">
      <c r="A1504" s="453"/>
      <c r="B1504" s="1363" t="s">
        <v>2169</v>
      </c>
      <c r="C1504" s="220"/>
      <c r="D1504" s="1364"/>
      <c r="E1504" s="1364"/>
      <c r="F1504" s="1364"/>
      <c r="G1504" s="1364"/>
      <c r="H1504" s="1364"/>
      <c r="I1504" s="1364"/>
      <c r="J1504" s="1364"/>
      <c r="K1504" s="1364"/>
      <c r="L1504" s="1364"/>
      <c r="M1504" s="1364"/>
      <c r="N1504" s="1364"/>
      <c r="O1504" s="1364"/>
      <c r="P1504" s="1364"/>
      <c r="Q1504" s="1397"/>
      <c r="S1504" s="52"/>
      <c r="T1504" s="52"/>
      <c r="U1504" s="52"/>
      <c r="V1504" s="4066" t="str">
        <f>B1504</f>
        <v>Air Source Heat Pumps</v>
      </c>
      <c r="W1504" s="4067"/>
      <c r="X1504" s="4067"/>
      <c r="Y1504" s="4067"/>
      <c r="Z1504" s="4067"/>
      <c r="AA1504" s="4067"/>
      <c r="AB1504" s="4067"/>
      <c r="AC1504" s="4837"/>
      <c r="AD1504" s="4837"/>
      <c r="AE1504" s="4837"/>
      <c r="AF1504" s="4837"/>
      <c r="AG1504" s="4837"/>
      <c r="AH1504" s="4838"/>
      <c r="DG1504" s="573"/>
      <c r="DH1504" s="159"/>
      <c r="DI1504" s="1091"/>
    </row>
    <row r="1505" spans="1:117">
      <c r="A1505" s="453"/>
      <c r="C1505" s="51"/>
      <c r="D1505" s="104"/>
      <c r="E1505" s="104"/>
      <c r="G1505" s="104"/>
      <c r="H1505" s="51"/>
      <c r="I1505" s="51"/>
      <c r="J1505" s="51"/>
      <c r="K1505" s="51"/>
      <c r="L1505" s="51"/>
      <c r="M1505" s="51"/>
      <c r="Q1505" s="104"/>
      <c r="S1505" s="52"/>
      <c r="T1505" s="52"/>
      <c r="U1505" s="52"/>
      <c r="V1505" s="52"/>
      <c r="DG1505" s="573"/>
      <c r="DH1505" s="159"/>
      <c r="DI1505" s="1091"/>
    </row>
    <row r="1506" spans="1:117">
      <c r="A1506" s="453"/>
      <c r="C1506" s="51"/>
      <c r="D1506" s="2206" t="s">
        <v>1781</v>
      </c>
      <c r="E1506" s="104"/>
      <c r="G1506" s="104"/>
      <c r="I1506" s="51"/>
      <c r="J1506" s="51"/>
      <c r="K1506" s="51"/>
      <c r="L1506" s="51"/>
      <c r="M1506" s="51"/>
      <c r="Q1506" s="104"/>
      <c r="S1506" s="52"/>
      <c r="T1506" s="52"/>
      <c r="U1506" s="52"/>
      <c r="V1506" s="52"/>
      <c r="DG1506" s="573"/>
      <c r="DH1506" s="159"/>
      <c r="DI1506" s="1091"/>
    </row>
    <row r="1507" spans="1:117" ht="30">
      <c r="A1507" s="453"/>
      <c r="C1507" s="1371" t="s">
        <v>42</v>
      </c>
      <c r="D1507" s="1371" t="s">
        <v>953</v>
      </c>
      <c r="E1507" s="1371" t="s">
        <v>44</v>
      </c>
      <c r="F1507" s="1371" t="s">
        <v>45</v>
      </c>
      <c r="G1507" s="111" t="s">
        <v>46</v>
      </c>
      <c r="H1507" s="1371" t="s">
        <v>47</v>
      </c>
      <c r="I1507" s="1371" t="s">
        <v>48</v>
      </c>
      <c r="J1507" s="1383" t="s">
        <v>49</v>
      </c>
      <c r="K1507" s="1371" t="s">
        <v>50</v>
      </c>
      <c r="L1507" s="1371" t="s">
        <v>1782</v>
      </c>
      <c r="M1507" s="51"/>
      <c r="N1507" s="572"/>
      <c r="S1507" s="52"/>
      <c r="T1507" s="573"/>
      <c r="U1507" s="52"/>
      <c r="V1507" s="177" t="str">
        <f>V1372</f>
        <v>REVISION DATE</v>
      </c>
      <c r="W1507" s="669">
        <f>W$6</f>
        <v>43252</v>
      </c>
      <c r="X1507" s="669">
        <f t="shared" ref="X1507:AG1507" si="223">X$6</f>
        <v>43465</v>
      </c>
      <c r="Y1507" s="669">
        <f t="shared" si="223"/>
        <v>43800</v>
      </c>
      <c r="Z1507" s="669">
        <f t="shared" si="223"/>
        <v>43862</v>
      </c>
      <c r="AA1507" s="669">
        <f t="shared" si="223"/>
        <v>44013</v>
      </c>
      <c r="AB1507" s="669">
        <f t="shared" si="223"/>
        <v>44166</v>
      </c>
      <c r="AC1507" s="669">
        <f t="shared" si="223"/>
        <v>44531</v>
      </c>
      <c r="AD1507" s="669">
        <f t="shared" si="223"/>
        <v>44774</v>
      </c>
      <c r="AE1507" s="669">
        <f t="shared" si="223"/>
        <v>45142</v>
      </c>
      <c r="AF1507" s="669">
        <f t="shared" si="223"/>
        <v>45672</v>
      </c>
      <c r="AG1507" s="669" t="str">
        <f t="shared" si="223"/>
        <v>-</v>
      </c>
      <c r="DG1507" s="811" t="str">
        <f>$DG$6</f>
        <v>TRC (2025)</v>
      </c>
      <c r="DH1507" s="811" t="str">
        <f>$DH$6</f>
        <v>Benefit Lookup</v>
      </c>
      <c r="DI1507" s="1076" t="str">
        <f>$DI$6</f>
        <v>Benefits (2025 $)</v>
      </c>
      <c r="DJ1507" s="1103" t="str">
        <f>$DJ$6</f>
        <v>Incremental Cost (2025 $)</v>
      </c>
      <c r="DM1507" s="1404"/>
    </row>
    <row r="1508" spans="1:117">
      <c r="A1508" s="453"/>
      <c r="B1508" s="1454">
        <f t="shared" ref="B1508:B1571" si="224">VALUE(LEFT(C1508,6))</f>
        <v>352300</v>
      </c>
      <c r="C1508" s="682" t="s">
        <v>2170</v>
      </c>
      <c r="D1508" s="1542" t="s">
        <v>1800</v>
      </c>
      <c r="E1508" s="1369" t="s">
        <v>2171</v>
      </c>
      <c r="F1508" s="225">
        <f>ROUND(((K2686*K2879*(1/K3072-1/K3265)*K3458)/1000)*$K$3651,2)</f>
        <v>2004.34</v>
      </c>
      <c r="G1508" s="570" t="s">
        <v>2077</v>
      </c>
      <c r="H1508" s="69">
        <f>VLOOKUP(G1508,'CP FACTORS'!$A$3:$B$38, 2, FALSE)</f>
        <v>9.4741810000000004E-4</v>
      </c>
      <c r="I1508" s="1028">
        <f t="shared" ref="I1508:I1599" si="225">ROUND(F1508*H1508,6)</f>
        <v>1.8989480000000001</v>
      </c>
      <c r="J1508" s="59">
        <f t="shared" ref="J1508:J1539" si="226">K3652</f>
        <v>6</v>
      </c>
      <c r="K1508" s="166">
        <f t="shared" ref="K1508:K1571" si="227">IF(C1508&lt;&gt;C1507,VLOOKUP(C1508,$J$4038:$K$4469,2,FALSE),0)</f>
        <v>3236.3220917485878</v>
      </c>
      <c r="L1508" s="255">
        <f>L1914</f>
        <v>2.5726507669889709</v>
      </c>
      <c r="M1508" s="560"/>
      <c r="N1508" s="572"/>
      <c r="O1508" s="417"/>
      <c r="R1508" s="532"/>
      <c r="S1508" s="52"/>
      <c r="T1508" s="52"/>
      <c r="U1508" s="574"/>
      <c r="V1508" s="1442" t="s">
        <v>45</v>
      </c>
      <c r="W1508" s="962">
        <v>2360.2134787689906</v>
      </c>
      <c r="X1508" s="251">
        <v>1720.2653061224485</v>
      </c>
      <c r="Y1508" s="227">
        <v>1628.99</v>
      </c>
      <c r="Z1508" s="225">
        <v>1628.99</v>
      </c>
      <c r="AA1508" s="225">
        <v>1628.99</v>
      </c>
      <c r="AB1508" s="1026">
        <v>2165.13</v>
      </c>
      <c r="AC1508" s="227">
        <v>1696.71</v>
      </c>
      <c r="AD1508" s="227">
        <v>2105.67</v>
      </c>
      <c r="AE1508" s="227">
        <v>2004.34</v>
      </c>
      <c r="AF1508" s="271">
        <f t="shared" ref="AF1508:AF1571" si="228">IF(F1508&lt;&gt;"",F1508,"")</f>
        <v>2004.34</v>
      </c>
      <c r="AG1508" s="962"/>
      <c r="AH1508" s="121"/>
      <c r="AK1508" s="963"/>
      <c r="DF1508" s="1650" t="str">
        <f>E1508</f>
        <v>ASHP-SEER15-Replace_CAC_ElectricHeat_ER1_SF</v>
      </c>
      <c r="DG1508" s="1108">
        <f>(DI1508+DI1509+DI1510+DI1511)/(DJ1508+DJ1509+DJ1510+DJ1511)</f>
        <v>2.2774505609007343</v>
      </c>
      <c r="DH1508" s="1369" t="str">
        <f t="shared" ref="DH1508:DH1599" si="229">CONCATENATE(G1508," ",J1508," Year EUL")</f>
        <v>Cooling Res 6 Year EUL</v>
      </c>
      <c r="DI1508" s="1087">
        <f>(INDEX('Avoided Cost Benefits'!$B$4:$B$866,MATCH(DH1508,'Avoided Cost Benefits'!$A$4:$A$866,0)))*F1508</f>
        <v>1996.0181753905683</v>
      </c>
      <c r="DJ1508" s="1174">
        <f t="shared" ref="DJ1508:DJ1515" si="230">K1508/(1.0686^(2025-2025))</f>
        <v>3236.3220917485878</v>
      </c>
      <c r="DM1508" s="252"/>
    </row>
    <row r="1509" spans="1:117">
      <c r="A1509" s="453"/>
      <c r="B1509" s="1454">
        <f t="shared" si="224"/>
        <v>352300</v>
      </c>
      <c r="C1509" s="682" t="s">
        <v>2170</v>
      </c>
      <c r="D1509" s="1542" t="s">
        <v>1800</v>
      </c>
      <c r="E1509" s="1393" t="s">
        <v>2171</v>
      </c>
      <c r="F1509" s="182">
        <f>ROUND(((K1914*K2107*(1/K2300-1/K2493)*K3458)/1000)*$K$3651,2)</f>
        <v>8299.2199999999993</v>
      </c>
      <c r="G1509" s="570" t="s">
        <v>2078</v>
      </c>
      <c r="H1509" s="69">
        <f>VLOOKUP(G1509,'CP FACTORS'!$A$3:$B$38, 2, FALSE)</f>
        <v>0</v>
      </c>
      <c r="I1509" s="1028">
        <f t="shared" si="225"/>
        <v>0</v>
      </c>
      <c r="J1509" s="59">
        <f t="shared" si="226"/>
        <v>6</v>
      </c>
      <c r="K1509" s="163">
        <f t="shared" si="227"/>
        <v>0</v>
      </c>
      <c r="L1509" s="255"/>
      <c r="M1509" s="560"/>
      <c r="N1509" s="572"/>
      <c r="O1509" s="417"/>
      <c r="R1509" s="532"/>
      <c r="S1509" s="52"/>
      <c r="T1509" s="52"/>
      <c r="U1509" s="574"/>
      <c r="V1509" s="1442" t="s">
        <v>45</v>
      </c>
      <c r="W1509" s="962">
        <v>12036.528668217206</v>
      </c>
      <c r="X1509" s="251">
        <v>9788.00163331972</v>
      </c>
      <c r="Y1509" s="227">
        <v>9262.39</v>
      </c>
      <c r="Z1509" s="225">
        <v>9262.39</v>
      </c>
      <c r="AA1509" s="225">
        <v>9262.39</v>
      </c>
      <c r="AB1509" s="1026">
        <v>9075</v>
      </c>
      <c r="AC1509" s="227">
        <v>9228.66</v>
      </c>
      <c r="AD1509" s="227">
        <v>8749.4599999999991</v>
      </c>
      <c r="AE1509" s="227">
        <v>8299.2199999999993</v>
      </c>
      <c r="AF1509" s="271">
        <f t="shared" si="228"/>
        <v>8299.2199999999993</v>
      </c>
      <c r="AG1509" s="962"/>
      <c r="AH1509" s="121"/>
      <c r="AK1509" s="963"/>
      <c r="DF1509" s="1650" t="str">
        <f t="shared" ref="DF1509:DF1572" si="231">E1509</f>
        <v>ASHP-SEER15-Replace_CAC_ElectricHeat_ER1_SF</v>
      </c>
      <c r="DG1509" s="1094"/>
      <c r="DH1509" s="1393" t="str">
        <f t="shared" si="229"/>
        <v>Heating Res 6 Year EUL</v>
      </c>
      <c r="DI1509" s="1109">
        <f>(INDEX('Avoided Cost Benefits'!$B$4:$B$866,MATCH(DH1509,'Avoided Cost Benefits'!$A$4:$A$866,0)))*F1509</f>
        <v>2225.6749488240107</v>
      </c>
      <c r="DJ1509" s="1176">
        <f t="shared" si="230"/>
        <v>0</v>
      </c>
      <c r="DM1509" s="252"/>
    </row>
    <row r="1510" spans="1:117">
      <c r="A1510" s="453"/>
      <c r="B1510" s="1454">
        <f t="shared" si="224"/>
        <v>352300</v>
      </c>
      <c r="C1510" s="682" t="s">
        <v>2170</v>
      </c>
      <c r="D1510" s="1542" t="s">
        <v>1800</v>
      </c>
      <c r="E1510" s="1393" t="s">
        <v>2172</v>
      </c>
      <c r="F1510" s="227">
        <f>ROUND(((K2687*K2880*(1/K3073-1/K3266)*K3459)/1000)*$K$3651,2)</f>
        <v>266.32</v>
      </c>
      <c r="G1510" s="570" t="s">
        <v>2138</v>
      </c>
      <c r="H1510" s="69">
        <f>VLOOKUP(G1510,'CP FACTORS'!$A$3:$B$38, 2, FALSE)</f>
        <v>9.4741810000000004E-4</v>
      </c>
      <c r="I1510" s="1476">
        <f t="shared" si="225"/>
        <v>0.25231599999999998</v>
      </c>
      <c r="J1510" s="59">
        <f t="shared" si="226"/>
        <v>12</v>
      </c>
      <c r="K1510" s="163">
        <f t="shared" si="227"/>
        <v>0</v>
      </c>
      <c r="L1510" s="255"/>
      <c r="M1510" s="560"/>
      <c r="N1510" s="572"/>
      <c r="O1510" s="417"/>
      <c r="R1510" s="532"/>
      <c r="S1510" s="52"/>
      <c r="T1510" s="52"/>
      <c r="U1510" s="574"/>
      <c r="V1510" s="1442" t="s">
        <v>45</v>
      </c>
      <c r="W1510" s="962">
        <v>312.36189505858374</v>
      </c>
      <c r="X1510" s="251">
        <v>344.16219780219757</v>
      </c>
      <c r="Y1510" s="227">
        <v>324.83999999999997</v>
      </c>
      <c r="Z1510" s="225">
        <v>324.83999999999997</v>
      </c>
      <c r="AA1510" s="225">
        <v>324.83999999999997</v>
      </c>
      <c r="AB1510" s="1026">
        <v>324.12</v>
      </c>
      <c r="AC1510" s="227">
        <v>324.06</v>
      </c>
      <c r="AD1510" s="227">
        <v>334.51</v>
      </c>
      <c r="AE1510" s="227">
        <v>166.32</v>
      </c>
      <c r="AF1510" s="271">
        <f t="shared" si="228"/>
        <v>266.32</v>
      </c>
      <c r="AG1510" s="962"/>
      <c r="AH1510" s="121"/>
      <c r="AK1510" s="963"/>
      <c r="DF1510" s="1650" t="str">
        <f t="shared" si="231"/>
        <v>ASHP-SEER15-Replace_CAC_ElectricHeat_ER2_SF</v>
      </c>
      <c r="DG1510" s="1094"/>
      <c r="DH1510" s="1393" t="str">
        <f t="shared" si="229"/>
        <v>Cooling Res ER2 12 Year EUL</v>
      </c>
      <c r="DI1510" s="1091">
        <f>(INDEX('Avoided Cost Benefits'!$B$4:$B$866,MATCH(DH1510,'Avoided Cost Benefits'!$A$4:$A$866,0)))*F1510</f>
        <v>344.59698807298355</v>
      </c>
      <c r="DJ1510" s="1176">
        <f t="shared" si="230"/>
        <v>0</v>
      </c>
      <c r="DM1510" s="252"/>
    </row>
    <row r="1511" spans="1:117">
      <c r="A1511" s="453"/>
      <c r="B1511" s="1454">
        <f t="shared" si="224"/>
        <v>352300</v>
      </c>
      <c r="C1511" s="682" t="s">
        <v>2170</v>
      </c>
      <c r="D1511" s="1542" t="s">
        <v>1800</v>
      </c>
      <c r="E1511" s="1370" t="s">
        <v>2172</v>
      </c>
      <c r="F1511" s="182">
        <f>ROUND(((K1915*K2108*(1/K2301-1/K2494)*K3459)/1000)*$K$3651,2)</f>
        <v>8299.2199999999993</v>
      </c>
      <c r="G1511" s="570" t="s">
        <v>2173</v>
      </c>
      <c r="H1511" s="69">
        <f>VLOOKUP(G1511,'CP FACTORS'!$A$3:$B$38, 2, FALSE)</f>
        <v>0</v>
      </c>
      <c r="I1511" s="1028">
        <f t="shared" si="225"/>
        <v>0</v>
      </c>
      <c r="J1511" s="59">
        <f t="shared" si="226"/>
        <v>12</v>
      </c>
      <c r="K1511" s="163">
        <f t="shared" si="227"/>
        <v>0</v>
      </c>
      <c r="L1511" s="255"/>
      <c r="M1511" s="560"/>
      <c r="N1511" s="572"/>
      <c r="O1511" s="417"/>
      <c r="R1511" s="532"/>
      <c r="S1511" s="52"/>
      <c r="T1511" s="52"/>
      <c r="U1511" s="574"/>
      <c r="V1511" s="1442" t="s">
        <v>45</v>
      </c>
      <c r="W1511" s="962">
        <v>12036.528668217206</v>
      </c>
      <c r="X1511" s="251">
        <v>9788.00163331972</v>
      </c>
      <c r="Y1511" s="227">
        <v>9262.39</v>
      </c>
      <c r="Z1511" s="225">
        <v>9262.39</v>
      </c>
      <c r="AA1511" s="225">
        <v>9262.39</v>
      </c>
      <c r="AB1511" s="1026">
        <v>9075</v>
      </c>
      <c r="AC1511" s="227">
        <v>9228.66</v>
      </c>
      <c r="AD1511" s="227">
        <v>8749.4599999999991</v>
      </c>
      <c r="AE1511" s="227">
        <v>8299.2199999999993</v>
      </c>
      <c r="AF1511" s="271">
        <f t="shared" si="228"/>
        <v>8299.2199999999993</v>
      </c>
      <c r="AG1511" s="962"/>
      <c r="AH1511" s="121"/>
      <c r="AK1511" s="963"/>
      <c r="DF1511" s="1650" t="str">
        <f t="shared" si="231"/>
        <v>ASHP-SEER15-Replace_CAC_ElectricHeat_ER2_SF</v>
      </c>
      <c r="DG1511" s="1094"/>
      <c r="DH1511" s="1370" t="str">
        <f t="shared" si="229"/>
        <v>Heating Res ER2 12 Year EUL</v>
      </c>
      <c r="DI1511" s="1109">
        <f>(INDEX('Avoided Cost Benefits'!$B$4:$B$866,MATCH(DH1511,'Avoided Cost Benefits'!$A$4:$A$866,0)))*F1511</f>
        <v>2804.2734508206968</v>
      </c>
      <c r="DJ1511" s="1176">
        <f t="shared" si="230"/>
        <v>0</v>
      </c>
      <c r="DM1511" s="252"/>
    </row>
    <row r="1512" spans="1:117">
      <c r="A1512" s="453"/>
      <c r="B1512" s="1454">
        <f t="shared" si="224"/>
        <v>352310</v>
      </c>
      <c r="C1512" s="682" t="s">
        <v>2174</v>
      </c>
      <c r="D1512" s="1542" t="s">
        <v>1800</v>
      </c>
      <c r="E1512" s="1393" t="s">
        <v>2175</v>
      </c>
      <c r="F1512" s="225">
        <f>ROUND(((K2688*K2881*(1/K3074-1/K3267)*K3460)/1000)*$K$3651,2)</f>
        <v>2004.34</v>
      </c>
      <c r="G1512" s="570" t="s">
        <v>2077</v>
      </c>
      <c r="H1512" s="69">
        <f>VLOOKUP(G1512,'CP FACTORS'!$A$3:$B$38, 2, FALSE)</f>
        <v>9.4741810000000004E-4</v>
      </c>
      <c r="I1512" s="1028">
        <f t="shared" si="225"/>
        <v>1.8989480000000001</v>
      </c>
      <c r="J1512" s="59">
        <f t="shared" si="226"/>
        <v>6</v>
      </c>
      <c r="K1512" s="166">
        <f t="shared" si="227"/>
        <v>389.45085461679935</v>
      </c>
      <c r="L1512" s="255">
        <f>L1916</f>
        <v>2.5726507669889709</v>
      </c>
      <c r="M1512" s="560"/>
      <c r="N1512" s="572"/>
      <c r="O1512" s="417"/>
      <c r="R1512" s="532"/>
      <c r="S1512" s="52"/>
      <c r="T1512" s="52"/>
      <c r="U1512" s="574"/>
      <c r="V1512" s="1442" t="s">
        <v>45</v>
      </c>
      <c r="W1512" s="962"/>
      <c r="X1512" s="251"/>
      <c r="Y1512" s="227"/>
      <c r="Z1512" s="225"/>
      <c r="AA1512" s="225"/>
      <c r="AB1512" s="1026"/>
      <c r="AC1512" s="227">
        <v>1696.71</v>
      </c>
      <c r="AD1512" s="227">
        <v>2105.67</v>
      </c>
      <c r="AE1512" s="227">
        <v>2004.34</v>
      </c>
      <c r="AF1512" s="271">
        <f t="shared" si="228"/>
        <v>2004.34</v>
      </c>
      <c r="AG1512" s="962"/>
      <c r="AH1512" s="121"/>
      <c r="AK1512" s="963"/>
      <c r="DF1512" s="1650" t="str">
        <f t="shared" si="231"/>
        <v>ASHP-SEER15-Replace_CAC_NonElectricHeat_ER1_SF</v>
      </c>
      <c r="DG1512" s="992">
        <f>(DI1512+DI1513+DI1514+DI1515)/(DJ1512+DJ1513+DJ1514+DJ1515)</f>
        <v>6.0100398695147375</v>
      </c>
      <c r="DH1512" s="1393" t="str">
        <f t="shared" si="229"/>
        <v>Cooling Res 6 Year EUL</v>
      </c>
      <c r="DI1512" s="1091">
        <f>(INDEX('Avoided Cost Benefits'!$B$4:$B$866,MATCH(DH1512,'Avoided Cost Benefits'!$A$4:$A$866,0)))*F1512</f>
        <v>1996.0181753905683</v>
      </c>
      <c r="DJ1512" s="1176">
        <f t="shared" si="230"/>
        <v>389.45085461679935</v>
      </c>
      <c r="DM1512" s="252"/>
    </row>
    <row r="1513" spans="1:117">
      <c r="A1513" s="453"/>
      <c r="B1513" s="1454">
        <f t="shared" si="224"/>
        <v>352310</v>
      </c>
      <c r="C1513" s="682" t="s">
        <v>2174</v>
      </c>
      <c r="D1513" s="1542" t="s">
        <v>1800</v>
      </c>
      <c r="E1513" s="1393" t="s">
        <v>2175</v>
      </c>
      <c r="F1513" s="225">
        <f>0</f>
        <v>0</v>
      </c>
      <c r="G1513" s="570" t="s">
        <v>2078</v>
      </c>
      <c r="H1513" s="69">
        <f>VLOOKUP(G1513,'CP FACTORS'!$A$3:$B$38, 2, FALSE)</f>
        <v>0</v>
      </c>
      <c r="I1513" s="1028">
        <f t="shared" si="225"/>
        <v>0</v>
      </c>
      <c r="J1513" s="59">
        <f t="shared" si="226"/>
        <v>6</v>
      </c>
      <c r="K1513" s="163">
        <f t="shared" si="227"/>
        <v>0</v>
      </c>
      <c r="L1513" s="255"/>
      <c r="M1513" s="560"/>
      <c r="N1513" s="572"/>
      <c r="O1513" s="417"/>
      <c r="R1513" s="532"/>
      <c r="S1513" s="52"/>
      <c r="T1513" s="52"/>
      <c r="U1513" s="574"/>
      <c r="V1513" s="1442" t="s">
        <v>45</v>
      </c>
      <c r="W1513" s="962"/>
      <c r="X1513" s="251"/>
      <c r="Y1513" s="227"/>
      <c r="Z1513" s="225"/>
      <c r="AA1513" s="225"/>
      <c r="AB1513" s="1026"/>
      <c r="AC1513" s="227">
        <v>0</v>
      </c>
      <c r="AD1513" s="225">
        <v>0</v>
      </c>
      <c r="AE1513" s="225">
        <v>0</v>
      </c>
      <c r="AF1513" s="271">
        <f t="shared" si="228"/>
        <v>0</v>
      </c>
      <c r="AG1513" s="962"/>
      <c r="AH1513" s="121"/>
      <c r="AK1513" s="963"/>
      <c r="DF1513" s="1650" t="str">
        <f t="shared" si="231"/>
        <v>ASHP-SEER15-Replace_CAC_NonElectricHeat_ER1_SF</v>
      </c>
      <c r="DG1513" s="1094"/>
      <c r="DH1513" s="1393" t="str">
        <f t="shared" si="229"/>
        <v>Heating Res 6 Year EUL</v>
      </c>
      <c r="DI1513" s="1091">
        <f>(INDEX('Avoided Cost Benefits'!$B$4:$B$866,MATCH(DH1513,'Avoided Cost Benefits'!$A$4:$A$866,0)))*F1513</f>
        <v>0</v>
      </c>
      <c r="DJ1513" s="1176">
        <f t="shared" si="230"/>
        <v>0</v>
      </c>
      <c r="DM1513" s="252"/>
    </row>
    <row r="1514" spans="1:117">
      <c r="A1514" s="453"/>
      <c r="B1514" s="1454">
        <f t="shared" si="224"/>
        <v>352310</v>
      </c>
      <c r="C1514" s="682" t="s">
        <v>2174</v>
      </c>
      <c r="D1514" s="1542" t="s">
        <v>1800</v>
      </c>
      <c r="E1514" s="1393" t="s">
        <v>2176</v>
      </c>
      <c r="F1514" s="227">
        <f>ROUND(((K2689*K2882*(1/K3075-1/K3268)*K3461)/1000)*$K$3651,2)</f>
        <v>266.32</v>
      </c>
      <c r="G1514" s="570" t="s">
        <v>2138</v>
      </c>
      <c r="H1514" s="69">
        <f>VLOOKUP(G1514,'CP FACTORS'!$A$3:$B$38, 2, FALSE)</f>
        <v>9.4741810000000004E-4</v>
      </c>
      <c r="I1514" s="1476">
        <f t="shared" si="225"/>
        <v>0.25231599999999998</v>
      </c>
      <c r="J1514" s="59">
        <f t="shared" si="226"/>
        <v>12</v>
      </c>
      <c r="K1514" s="163">
        <f t="shared" si="227"/>
        <v>0</v>
      </c>
      <c r="L1514" s="255"/>
      <c r="M1514" s="560"/>
      <c r="N1514" s="572"/>
      <c r="O1514" s="417"/>
      <c r="R1514" s="532"/>
      <c r="S1514" s="52"/>
      <c r="T1514" s="52"/>
      <c r="U1514" s="574"/>
      <c r="V1514" s="1442" t="s">
        <v>45</v>
      </c>
      <c r="W1514" s="962"/>
      <c r="X1514" s="251"/>
      <c r="Y1514" s="227"/>
      <c r="Z1514" s="225"/>
      <c r="AA1514" s="225"/>
      <c r="AB1514" s="1026"/>
      <c r="AC1514" s="227">
        <v>324.06</v>
      </c>
      <c r="AD1514" s="227">
        <v>334.51</v>
      </c>
      <c r="AE1514" s="227">
        <v>166.32</v>
      </c>
      <c r="AF1514" s="271">
        <f t="shared" si="228"/>
        <v>266.32</v>
      </c>
      <c r="AG1514" s="962"/>
      <c r="AH1514" s="121"/>
      <c r="AK1514" s="963"/>
      <c r="DF1514" s="1650" t="str">
        <f t="shared" si="231"/>
        <v>ASHP-SEER15-Replace_CAC_NonElectricHeat_ER2_SF</v>
      </c>
      <c r="DG1514" s="1094"/>
      <c r="DH1514" s="1393" t="str">
        <f t="shared" si="229"/>
        <v>Cooling Res ER2 12 Year EUL</v>
      </c>
      <c r="DI1514" s="1091">
        <f>(INDEX('Avoided Cost Benefits'!$B$4:$B$866,MATCH(DH1514,'Avoided Cost Benefits'!$A$4:$A$866,0)))*F1514</f>
        <v>344.59698807298355</v>
      </c>
      <c r="DJ1514" s="1176">
        <f t="shared" si="230"/>
        <v>0</v>
      </c>
      <c r="DM1514" s="252"/>
    </row>
    <row r="1515" spans="1:117">
      <c r="A1515" s="453"/>
      <c r="B1515" s="1454">
        <f t="shared" si="224"/>
        <v>352310</v>
      </c>
      <c r="C1515" s="682" t="s">
        <v>2174</v>
      </c>
      <c r="D1515" s="1542" t="s">
        <v>1800</v>
      </c>
      <c r="E1515" s="1393" t="s">
        <v>2176</v>
      </c>
      <c r="F1515" s="225">
        <f>0</f>
        <v>0</v>
      </c>
      <c r="G1515" s="570" t="s">
        <v>2173</v>
      </c>
      <c r="H1515" s="69">
        <f>VLOOKUP(G1515,'CP FACTORS'!$A$3:$B$38, 2, FALSE)</f>
        <v>0</v>
      </c>
      <c r="I1515" s="1028">
        <f t="shared" si="225"/>
        <v>0</v>
      </c>
      <c r="J1515" s="59">
        <f t="shared" si="226"/>
        <v>12</v>
      </c>
      <c r="K1515" s="163">
        <f t="shared" si="227"/>
        <v>0</v>
      </c>
      <c r="L1515" s="255"/>
      <c r="M1515" s="560"/>
      <c r="N1515" s="572"/>
      <c r="O1515" s="417"/>
      <c r="R1515" s="532"/>
      <c r="S1515" s="52"/>
      <c r="T1515" s="52"/>
      <c r="U1515" s="574"/>
      <c r="V1515" s="1442" t="s">
        <v>45</v>
      </c>
      <c r="W1515" s="962"/>
      <c r="X1515" s="251"/>
      <c r="Y1515" s="227"/>
      <c r="Z1515" s="225"/>
      <c r="AA1515" s="225"/>
      <c r="AB1515" s="1026"/>
      <c r="AC1515" s="227">
        <v>0</v>
      </c>
      <c r="AD1515" s="225">
        <v>0</v>
      </c>
      <c r="AE1515" s="225">
        <v>0</v>
      </c>
      <c r="AF1515" s="271">
        <f t="shared" si="228"/>
        <v>0</v>
      </c>
      <c r="AG1515" s="962"/>
      <c r="AH1515" s="121"/>
      <c r="AK1515" s="963"/>
      <c r="DF1515" s="1650" t="str">
        <f t="shared" si="231"/>
        <v>ASHP-SEER15-Replace_CAC_NonElectricHeat_ER2_SF</v>
      </c>
      <c r="DG1515" s="1094"/>
      <c r="DH1515" s="1393" t="str">
        <f t="shared" si="229"/>
        <v>Heating Res ER2 12 Year EUL</v>
      </c>
      <c r="DI1515" s="1091">
        <f>(INDEX('Avoided Cost Benefits'!$B$4:$B$866,MATCH(DH1515,'Avoided Cost Benefits'!$A$4:$A$866,0)))*F1515</f>
        <v>0</v>
      </c>
      <c r="DJ1515" s="1176">
        <f t="shared" si="230"/>
        <v>0</v>
      </c>
      <c r="DM1515" s="252"/>
    </row>
    <row r="1516" spans="1:117">
      <c r="A1516" s="453"/>
      <c r="B1516" s="1454">
        <f t="shared" si="224"/>
        <v>352350</v>
      </c>
      <c r="C1516" s="682" t="s">
        <v>2177</v>
      </c>
      <c r="D1516" s="1542" t="s">
        <v>1800</v>
      </c>
      <c r="E1516" s="1369" t="s">
        <v>2178</v>
      </c>
      <c r="F1516" s="225">
        <f>ROUND(((K2690*K2883*(1/K3076-1/K3269)*K3462)/1000)*$K$3651,2)</f>
        <v>2004.34</v>
      </c>
      <c r="G1516" s="570" t="s">
        <v>2077</v>
      </c>
      <c r="H1516" s="69">
        <f>VLOOKUP(G1516,'CP FACTORS'!$A$3:$B$38, 2, FALSE)</f>
        <v>9.4741810000000004E-4</v>
      </c>
      <c r="I1516" s="1028">
        <f t="shared" si="225"/>
        <v>1.8989480000000001</v>
      </c>
      <c r="J1516" s="59">
        <f t="shared" si="226"/>
        <v>6</v>
      </c>
      <c r="K1516" s="166">
        <f t="shared" si="227"/>
        <v>131.69764772075905</v>
      </c>
      <c r="L1516" s="255">
        <f>L1918</f>
        <v>2.5726507669889709</v>
      </c>
      <c r="M1516" s="560"/>
      <c r="N1516" s="572"/>
      <c r="O1516" s="417"/>
      <c r="R1516" s="532"/>
      <c r="S1516" s="52"/>
      <c r="T1516" s="52"/>
      <c r="U1516" s="574"/>
      <c r="V1516" s="1442" t="s">
        <v>45</v>
      </c>
      <c r="W1516" s="962">
        <v>2348.9856512141278</v>
      </c>
      <c r="X1516" s="251">
        <v>1720.2653061224485</v>
      </c>
      <c r="Y1516" s="227">
        <v>1647.18</v>
      </c>
      <c r="Z1516" s="225">
        <v>1647.18</v>
      </c>
      <c r="AA1516" s="225">
        <v>1647.18</v>
      </c>
      <c r="AB1516" s="1026">
        <v>2190.89</v>
      </c>
      <c r="AC1516" s="227">
        <v>1735.46</v>
      </c>
      <c r="AD1516" s="227">
        <v>2105.67</v>
      </c>
      <c r="AE1516" s="227">
        <v>2004.34</v>
      </c>
      <c r="AF1516" s="271">
        <f t="shared" si="228"/>
        <v>2004.34</v>
      </c>
      <c r="AG1516" s="962"/>
      <c r="AH1516" s="121"/>
      <c r="AK1516" s="963"/>
      <c r="DF1516" s="1650" t="str">
        <f t="shared" si="231"/>
        <v>ASHP-SEER15_ER1_SF</v>
      </c>
      <c r="DG1516" s="1090">
        <f>(DI1516+DI1517+DI1518+DI1519)/(DJ1516+DJ1517+DJ1518+DJ1519)</f>
        <v>22.286283086578191</v>
      </c>
      <c r="DH1516" s="1369" t="str">
        <f t="shared" si="229"/>
        <v>Cooling Res 6 Year EUL</v>
      </c>
      <c r="DI1516" s="1091">
        <f>(INDEX('Avoided Cost Benefits'!$B$4:$B$866,MATCH(DH1516,'Avoided Cost Benefits'!$A$4:$A$866,0)))*F1516</f>
        <v>1996.0181753905683</v>
      </c>
      <c r="DJ1516" s="1176">
        <f>IFERROR(K1516/(1.0686^(2025-2025)),10000000)</f>
        <v>131.69764772075905</v>
      </c>
      <c r="DM1516" s="252"/>
    </row>
    <row r="1517" spans="1:117">
      <c r="A1517" s="453"/>
      <c r="B1517" s="1454">
        <f t="shared" si="224"/>
        <v>352350</v>
      </c>
      <c r="C1517" s="682" t="s">
        <v>2177</v>
      </c>
      <c r="D1517" s="1542" t="s">
        <v>1800</v>
      </c>
      <c r="E1517" s="1393" t="s">
        <v>2178</v>
      </c>
      <c r="F1517" s="225">
        <f>ROUND(((K1918*K2111*(1/K2304-1/K2497)*K3462)/1000)*$K$3651,2)</f>
        <v>1774.34</v>
      </c>
      <c r="G1517" s="570" t="s">
        <v>2078</v>
      </c>
      <c r="H1517" s="69">
        <f>VLOOKUP(G1517,'CP FACTORS'!$A$3:$B$38, 2, FALSE)</f>
        <v>0</v>
      </c>
      <c r="I1517" s="1028">
        <f t="shared" si="225"/>
        <v>0</v>
      </c>
      <c r="J1517" s="59">
        <f t="shared" si="226"/>
        <v>6</v>
      </c>
      <c r="K1517" s="163">
        <f t="shared" si="227"/>
        <v>0</v>
      </c>
      <c r="L1517" s="255"/>
      <c r="M1517" s="560"/>
      <c r="N1517" s="572"/>
      <c r="O1517" s="417"/>
      <c r="R1517" s="532"/>
      <c r="S1517" s="52"/>
      <c r="T1517" s="52"/>
      <c r="U1517" s="574"/>
      <c r="V1517" s="1442" t="s">
        <v>45</v>
      </c>
      <c r="W1517" s="962">
        <v>5147.8078093306267</v>
      </c>
      <c r="X1517" s="251">
        <v>2027.0807587241729</v>
      </c>
      <c r="Y1517" s="227">
        <v>1982.47</v>
      </c>
      <c r="Z1517" s="225">
        <v>1982.47</v>
      </c>
      <c r="AA1517" s="225">
        <v>1982.47</v>
      </c>
      <c r="AB1517" s="1026">
        <v>1893.17</v>
      </c>
      <c r="AC1517" s="227">
        <v>2167.42</v>
      </c>
      <c r="AD1517" s="227">
        <v>1855.9</v>
      </c>
      <c r="AE1517" s="227">
        <v>1774.34</v>
      </c>
      <c r="AF1517" s="271">
        <f t="shared" si="228"/>
        <v>1774.34</v>
      </c>
      <c r="AG1517" s="962"/>
      <c r="AH1517" s="121"/>
      <c r="AK1517" s="963"/>
      <c r="DF1517" s="1650" t="str">
        <f t="shared" si="231"/>
        <v>ASHP-SEER15_ER1_SF</v>
      </c>
      <c r="DG1517" s="1094"/>
      <c r="DH1517" s="1393" t="str">
        <f t="shared" si="229"/>
        <v>Heating Res 6 Year EUL</v>
      </c>
      <c r="DI1517" s="1091">
        <f>(INDEX('Avoided Cost Benefits'!$B$4:$B$866,MATCH(DH1517,'Avoided Cost Benefits'!$A$4:$A$866,0)))*F1517</f>
        <v>475.84039086762311</v>
      </c>
      <c r="DJ1517" s="1176">
        <f>K1517/(1.0686^(2025-2025))</f>
        <v>0</v>
      </c>
      <c r="DM1517" s="252"/>
    </row>
    <row r="1518" spans="1:117">
      <c r="A1518" s="453"/>
      <c r="B1518" s="1454">
        <f t="shared" si="224"/>
        <v>352350</v>
      </c>
      <c r="C1518" s="682" t="s">
        <v>2177</v>
      </c>
      <c r="D1518" s="1542" t="s">
        <v>1800</v>
      </c>
      <c r="E1518" s="1393" t="s">
        <v>2179</v>
      </c>
      <c r="F1518" s="227">
        <f>ROUND(((K2691*K2884*(1/K3077-1/K3270)*K3463)/1000)*$K$3651,2)</f>
        <v>119.46</v>
      </c>
      <c r="G1518" s="570" t="s">
        <v>2138</v>
      </c>
      <c r="H1518" s="69">
        <f>VLOOKUP(G1518,'CP FACTORS'!$A$3:$B$38, 2, FALSE)</f>
        <v>9.4741810000000004E-4</v>
      </c>
      <c r="I1518" s="1476">
        <f t="shared" si="225"/>
        <v>0.113179</v>
      </c>
      <c r="J1518" s="59">
        <f t="shared" si="226"/>
        <v>12</v>
      </c>
      <c r="K1518" s="163">
        <f t="shared" si="227"/>
        <v>0</v>
      </c>
      <c r="L1518" s="255"/>
      <c r="M1518" s="560"/>
      <c r="N1518" s="572"/>
      <c r="O1518" s="417"/>
      <c r="R1518" s="532"/>
      <c r="S1518" s="52"/>
      <c r="T1518" s="52"/>
      <c r="U1518" s="574"/>
      <c r="V1518" s="1442" t="s">
        <v>45</v>
      </c>
      <c r="W1518" s="962">
        <v>168.20946073793726</v>
      </c>
      <c r="X1518" s="251">
        <v>168.83428571428527</v>
      </c>
      <c r="Y1518" s="227">
        <v>161.66</v>
      </c>
      <c r="Z1518" s="225">
        <v>161.66</v>
      </c>
      <c r="AA1518" s="225">
        <v>161.66</v>
      </c>
      <c r="AB1518" s="1026">
        <v>171.72</v>
      </c>
      <c r="AC1518" s="227">
        <v>175.54</v>
      </c>
      <c r="AD1518" s="227">
        <v>164.86</v>
      </c>
      <c r="AE1518" s="227">
        <v>17.43</v>
      </c>
      <c r="AF1518" s="271">
        <f t="shared" si="228"/>
        <v>119.46</v>
      </c>
      <c r="AG1518" s="962"/>
      <c r="AH1518" s="121"/>
      <c r="AK1518" s="963"/>
      <c r="DF1518" s="1650" t="str">
        <f t="shared" si="231"/>
        <v>ASHP-SEER15_ER2_SF</v>
      </c>
      <c r="DG1518" s="1094"/>
      <c r="DH1518" s="1393" t="str">
        <f t="shared" si="229"/>
        <v>Cooling Res ER2 12 Year EUL</v>
      </c>
      <c r="DI1518" s="1091">
        <f>(INDEX('Avoided Cost Benefits'!$B$4:$B$866,MATCH(DH1518,'Avoided Cost Benefits'!$A$4:$A$866,0)))*F1518</f>
        <v>154.57177904475299</v>
      </c>
      <c r="DJ1518" s="1176">
        <f>K1518/(1.0686^(2025-2025))</f>
        <v>0</v>
      </c>
      <c r="DM1518" s="252"/>
    </row>
    <row r="1519" spans="1:117">
      <c r="A1519" s="453"/>
      <c r="B1519" s="1454">
        <f t="shared" si="224"/>
        <v>352350</v>
      </c>
      <c r="C1519" s="682" t="s">
        <v>2177</v>
      </c>
      <c r="D1519" s="1542" t="s">
        <v>1800</v>
      </c>
      <c r="E1519" s="1370" t="s">
        <v>2179</v>
      </c>
      <c r="F1519" s="227">
        <f>ROUND(((K1919*K2112*(1/K2305-1/K2498)*K3463)/1000)*$K$3651,2)</f>
        <v>913.36</v>
      </c>
      <c r="G1519" s="570" t="s">
        <v>2173</v>
      </c>
      <c r="H1519" s="69">
        <f>VLOOKUP(G1519,'CP FACTORS'!$A$3:$B$38, 2, FALSE)</f>
        <v>0</v>
      </c>
      <c r="I1519" s="1028">
        <f t="shared" si="225"/>
        <v>0</v>
      </c>
      <c r="J1519" s="59">
        <f t="shared" si="226"/>
        <v>12</v>
      </c>
      <c r="K1519" s="163">
        <f t="shared" si="227"/>
        <v>0</v>
      </c>
      <c r="L1519" s="255"/>
      <c r="M1519" s="560"/>
      <c r="N1519" s="572"/>
      <c r="O1519" s="417"/>
      <c r="R1519" s="532"/>
      <c r="S1519" s="52"/>
      <c r="T1519" s="52"/>
      <c r="U1519" s="574"/>
      <c r="V1519" s="1442" t="s">
        <v>45</v>
      </c>
      <c r="W1519" s="962">
        <v>523.79310344827582</v>
      </c>
      <c r="X1519" s="251">
        <v>377.74325409076874</v>
      </c>
      <c r="Y1519" s="227">
        <v>403.2</v>
      </c>
      <c r="Z1519" s="225">
        <v>403.2</v>
      </c>
      <c r="AA1519" s="225">
        <v>403.2</v>
      </c>
      <c r="AB1519" s="1026">
        <v>221.27</v>
      </c>
      <c r="AC1519" s="227">
        <v>483.92</v>
      </c>
      <c r="AD1519" s="227">
        <v>390.89</v>
      </c>
      <c r="AE1519" s="227">
        <v>125.72</v>
      </c>
      <c r="AF1519" s="271">
        <f t="shared" si="228"/>
        <v>913.36</v>
      </c>
      <c r="AG1519" s="962"/>
      <c r="AH1519" s="121"/>
      <c r="AK1519" s="963"/>
      <c r="DF1519" s="1650" t="str">
        <f t="shared" si="231"/>
        <v>ASHP-SEER15_ER2_SF</v>
      </c>
      <c r="DG1519" s="1094"/>
      <c r="DH1519" s="1370" t="str">
        <f t="shared" si="229"/>
        <v>Heating Res ER2 12 Year EUL</v>
      </c>
      <c r="DI1519" s="1091">
        <f>(INDEX('Avoided Cost Benefits'!$B$4:$B$866,MATCH(DH1519,'Avoided Cost Benefits'!$A$4:$A$866,0)))*F1519</f>
        <v>308.62071363834093</v>
      </c>
      <c r="DJ1519" s="1176">
        <f>K1519/(1.0686^(2025-2025))</f>
        <v>0</v>
      </c>
      <c r="DM1519" s="252"/>
    </row>
    <row r="1520" spans="1:117">
      <c r="A1520" s="453"/>
      <c r="B1520" s="1454">
        <f t="shared" si="224"/>
        <v>352400</v>
      </c>
      <c r="C1520" s="682" t="s">
        <v>2180</v>
      </c>
      <c r="D1520" s="1542" t="s">
        <v>1800</v>
      </c>
      <c r="E1520" s="215" t="s">
        <v>2181</v>
      </c>
      <c r="F1520" s="227">
        <f>ROUND(((K2692*K2885*(1/K3078-1/K3271)*K3464)/1000)*$K$3651,2)</f>
        <v>273.67</v>
      </c>
      <c r="G1520" s="570" t="s">
        <v>2077</v>
      </c>
      <c r="H1520" s="69">
        <f>VLOOKUP(G1520,'CP FACTORS'!$A$3:$B$38, 2, FALSE)</f>
        <v>9.4741810000000004E-4</v>
      </c>
      <c r="I1520" s="1476">
        <f t="shared" si="225"/>
        <v>0.25928000000000001</v>
      </c>
      <c r="J1520" s="59">
        <f t="shared" si="226"/>
        <v>18</v>
      </c>
      <c r="K1520" s="166">
        <f t="shared" si="227"/>
        <v>3334.5954220882886</v>
      </c>
      <c r="L1520" s="255">
        <f>L1920</f>
        <v>2.8059923701471465</v>
      </c>
      <c r="M1520" s="560"/>
      <c r="N1520" s="572"/>
      <c r="O1520" s="417"/>
      <c r="R1520" s="532"/>
      <c r="S1520" s="52"/>
      <c r="T1520" s="52"/>
      <c r="U1520" s="574"/>
      <c r="V1520" s="1442" t="s">
        <v>45</v>
      </c>
      <c r="W1520" s="962">
        <v>301.86315789473701</v>
      </c>
      <c r="X1520" s="251">
        <v>344.16219780219757</v>
      </c>
      <c r="Y1520" s="227">
        <v>320.36</v>
      </c>
      <c r="Z1520" s="225">
        <v>320.36</v>
      </c>
      <c r="AA1520" s="225">
        <v>320.36</v>
      </c>
      <c r="AB1520" s="1026">
        <v>345.06</v>
      </c>
      <c r="AC1520" s="227">
        <v>349.89</v>
      </c>
      <c r="AD1520" s="227">
        <v>351.14</v>
      </c>
      <c r="AE1520" s="227">
        <v>171.42</v>
      </c>
      <c r="AF1520" s="271">
        <f t="shared" si="228"/>
        <v>273.67</v>
      </c>
      <c r="AG1520" s="962"/>
      <c r="AH1520" s="121"/>
      <c r="DF1520" s="1650" t="str">
        <f t="shared" si="231"/>
        <v>ASHP-SEER15-Replace_CAC_ElectricHeat_ROF_SF</v>
      </c>
      <c r="DG1520" s="1090">
        <f>(DI1520+DI1521)/(DJ1520+DJ1521)</f>
        <v>1.8162501539997935</v>
      </c>
      <c r="DH1520" s="215" t="str">
        <f t="shared" si="229"/>
        <v>Cooling Res 18 Year EUL</v>
      </c>
      <c r="DI1520" s="1091">
        <f>(INDEX('Avoided Cost Benefits'!$B$4:$B$866,MATCH(DH1520,'Avoided Cost Benefits'!$A$4:$A$866,0)))*F1520</f>
        <v>626.64105476469535</v>
      </c>
      <c r="DJ1520" s="1176">
        <f>IFERROR(K1520/(1.0686^(2025-2025)),10000000)</f>
        <v>3334.5954220882886</v>
      </c>
      <c r="DM1520" s="252"/>
    </row>
    <row r="1521" spans="1:117">
      <c r="A1521" s="453"/>
      <c r="B1521" s="1454">
        <f t="shared" si="224"/>
        <v>352400</v>
      </c>
      <c r="C1521" s="682" t="s">
        <v>2180</v>
      </c>
      <c r="D1521" s="1542" t="s">
        <v>1800</v>
      </c>
      <c r="E1521" s="253" t="s">
        <v>2181</v>
      </c>
      <c r="F1521" s="225">
        <f>ROUND(((K1920*K2113*(1/K2306-1/K2499)*K3464)/1000)*$K$3651,2)</f>
        <v>8958.99</v>
      </c>
      <c r="G1521" s="570" t="s">
        <v>2078</v>
      </c>
      <c r="H1521" s="69">
        <f>VLOOKUP(G1521,'CP FACTORS'!$A$3:$B$38, 2, FALSE)</f>
        <v>0</v>
      </c>
      <c r="I1521" s="1028">
        <f t="shared" si="225"/>
        <v>0</v>
      </c>
      <c r="J1521" s="59">
        <f t="shared" si="226"/>
        <v>18</v>
      </c>
      <c r="K1521" s="163">
        <f t="shared" si="227"/>
        <v>0</v>
      </c>
      <c r="L1521" s="255"/>
      <c r="M1521" s="560"/>
      <c r="N1521" s="572"/>
      <c r="O1521" s="417"/>
      <c r="R1521" s="532"/>
      <c r="S1521" s="52"/>
      <c r="T1521" s="52"/>
      <c r="U1521" s="574"/>
      <c r="V1521" s="1442" t="s">
        <v>45</v>
      </c>
      <c r="W1521" s="962">
        <v>11093.001159380752</v>
      </c>
      <c r="X1521" s="251">
        <v>9788.00163331972</v>
      </c>
      <c r="Y1521" s="227">
        <v>9127.7999999999993</v>
      </c>
      <c r="Z1521" s="225">
        <v>9127.7999999999993</v>
      </c>
      <c r="AA1521" s="225">
        <v>9127.7999999999993</v>
      </c>
      <c r="AB1521" s="1026">
        <v>9372.23</v>
      </c>
      <c r="AC1521" s="227">
        <v>9964.14</v>
      </c>
      <c r="AD1521" s="227">
        <v>9046.66</v>
      </c>
      <c r="AE1521" s="227">
        <v>8958.99</v>
      </c>
      <c r="AF1521" s="271">
        <f t="shared" si="228"/>
        <v>8958.99</v>
      </c>
      <c r="AG1521" s="962"/>
      <c r="AH1521" s="121"/>
      <c r="AK1521" s="963"/>
      <c r="DF1521" s="1650" t="str">
        <f t="shared" si="231"/>
        <v>ASHP-SEER15-Replace_CAC_ElectricHeat_ROF_SF</v>
      </c>
      <c r="DG1521" s="1092"/>
      <c r="DH1521" s="253" t="str">
        <f t="shared" si="229"/>
        <v>Heating Res 18 Year EUL</v>
      </c>
      <c r="DI1521" s="1091">
        <f>(INDEX('Avoided Cost Benefits'!$B$4:$B$866,MATCH(DH1521,'Avoided Cost Benefits'!$A$4:$A$866,0)))*F1521</f>
        <v>5429.818394130165</v>
      </c>
      <c r="DJ1521" s="1176">
        <f>K1521/(1.0686^(2025-2025))</f>
        <v>0</v>
      </c>
      <c r="DM1521" s="252"/>
    </row>
    <row r="1522" spans="1:117">
      <c r="A1522" s="453"/>
      <c r="B1522" s="1454">
        <f t="shared" si="224"/>
        <v>352410</v>
      </c>
      <c r="C1522" s="682" t="s">
        <v>2182</v>
      </c>
      <c r="D1522" s="1542" t="s">
        <v>1800</v>
      </c>
      <c r="E1522" s="831" t="s">
        <v>2183</v>
      </c>
      <c r="F1522" s="227">
        <f>ROUND(((K2693*K2886*(1/K3079-1/K3272)*K3465)/1000)*$K$3651,2)</f>
        <v>273.67</v>
      </c>
      <c r="G1522" s="570" t="s">
        <v>2077</v>
      </c>
      <c r="H1522" s="69">
        <f>VLOOKUP(G1522,'CP FACTORS'!$A$3:$B$38, 2, FALSE)</f>
        <v>9.4741810000000004E-4</v>
      </c>
      <c r="I1522" s="1476">
        <f t="shared" si="225"/>
        <v>0.25928000000000001</v>
      </c>
      <c r="J1522" s="59">
        <f t="shared" si="226"/>
        <v>18</v>
      </c>
      <c r="K1522" s="166">
        <f t="shared" si="227"/>
        <v>98.842449430922628</v>
      </c>
      <c r="L1522" s="255">
        <f>L1921</f>
        <v>2.8059923701471465</v>
      </c>
      <c r="M1522" s="560"/>
      <c r="N1522" s="572"/>
      <c r="O1522" s="417"/>
      <c r="R1522" s="532"/>
      <c r="S1522" s="52"/>
      <c r="T1522" s="52"/>
      <c r="U1522" s="574"/>
      <c r="V1522" s="1442" t="s">
        <v>45</v>
      </c>
      <c r="W1522" s="962"/>
      <c r="X1522" s="251"/>
      <c r="Y1522" s="227"/>
      <c r="Z1522" s="225"/>
      <c r="AA1522" s="225"/>
      <c r="AB1522" s="1026"/>
      <c r="AC1522" s="227">
        <v>349.89</v>
      </c>
      <c r="AD1522" s="227">
        <v>351.14</v>
      </c>
      <c r="AE1522" s="227">
        <v>171.42</v>
      </c>
      <c r="AF1522" s="271">
        <f t="shared" si="228"/>
        <v>273.67</v>
      </c>
      <c r="AG1522" s="962"/>
      <c r="AH1522" s="121"/>
      <c r="AK1522" s="963"/>
      <c r="DF1522" s="1650" t="str">
        <f t="shared" si="231"/>
        <v>ASHP-SEER15-Replace_CAC_NonElectricHeat_ROF_SF</v>
      </c>
      <c r="DG1522" s="1090">
        <f>(DI1522+DI1523)/(DJ1522+DJ1523)</f>
        <v>6.3397969027733563</v>
      </c>
      <c r="DH1522" s="831" t="str">
        <f t="shared" si="229"/>
        <v>Cooling Res 18 Year EUL</v>
      </c>
      <c r="DI1522" s="1091">
        <f>(INDEX('Avoided Cost Benefits'!$B$4:$B$866,MATCH(DH1522,'Avoided Cost Benefits'!$A$4:$A$866,0)))*F1522</f>
        <v>626.64105476469535</v>
      </c>
      <c r="DJ1522" s="1176">
        <f>IFERROR(K1522/(1.0686^(2025-2025)),10000000)</f>
        <v>98.842449430922628</v>
      </c>
      <c r="DM1522" s="252"/>
    </row>
    <row r="1523" spans="1:117">
      <c r="A1523" s="453"/>
      <c r="B1523" s="1454">
        <f t="shared" si="224"/>
        <v>352410</v>
      </c>
      <c r="C1523" s="682" t="s">
        <v>2182</v>
      </c>
      <c r="D1523" s="1542" t="s">
        <v>1800</v>
      </c>
      <c r="E1523" s="831" t="s">
        <v>2183</v>
      </c>
      <c r="F1523" s="225">
        <f>0</f>
        <v>0</v>
      </c>
      <c r="G1523" s="570" t="s">
        <v>2078</v>
      </c>
      <c r="H1523" s="69">
        <f>VLOOKUP(G1523,'CP FACTORS'!$A$3:$B$38, 2, FALSE)</f>
        <v>0</v>
      </c>
      <c r="I1523" s="1028">
        <f t="shared" si="225"/>
        <v>0</v>
      </c>
      <c r="J1523" s="59">
        <f t="shared" si="226"/>
        <v>18</v>
      </c>
      <c r="K1523" s="163">
        <f t="shared" si="227"/>
        <v>0</v>
      </c>
      <c r="L1523" s="255"/>
      <c r="M1523" s="560"/>
      <c r="N1523" s="572"/>
      <c r="O1523" s="417"/>
      <c r="R1523" s="532"/>
      <c r="S1523" s="52"/>
      <c r="T1523" s="52"/>
      <c r="U1523" s="574"/>
      <c r="V1523" s="1442" t="s">
        <v>45</v>
      </c>
      <c r="W1523" s="962"/>
      <c r="X1523" s="251"/>
      <c r="Y1523" s="227"/>
      <c r="Z1523" s="225"/>
      <c r="AA1523" s="225"/>
      <c r="AB1523" s="1026"/>
      <c r="AC1523" s="227">
        <v>0</v>
      </c>
      <c r="AD1523" s="225">
        <v>0</v>
      </c>
      <c r="AE1523" s="225">
        <v>0</v>
      </c>
      <c r="AF1523" s="271">
        <f t="shared" si="228"/>
        <v>0</v>
      </c>
      <c r="AG1523" s="962"/>
      <c r="AH1523" s="121"/>
      <c r="AK1523" s="963"/>
      <c r="DF1523" s="1650" t="str">
        <f t="shared" si="231"/>
        <v>ASHP-SEER15-Replace_CAC_NonElectricHeat_ROF_SF</v>
      </c>
      <c r="DG1523" s="1092"/>
      <c r="DH1523" s="831" t="str">
        <f t="shared" si="229"/>
        <v>Heating Res 18 Year EUL</v>
      </c>
      <c r="DI1523" s="1091">
        <f>(INDEX('Avoided Cost Benefits'!$B$4:$B$866,MATCH(DH1523,'Avoided Cost Benefits'!$A$4:$A$866,0)))*F1523</f>
        <v>0</v>
      </c>
      <c r="DJ1523" s="1176">
        <f>K1523/(1.0686^(2025-2025))</f>
        <v>0</v>
      </c>
      <c r="DM1523" s="252"/>
    </row>
    <row r="1524" spans="1:117">
      <c r="A1524" s="453"/>
      <c r="B1524" s="1454">
        <f t="shared" si="224"/>
        <v>352450</v>
      </c>
      <c r="C1524" s="2554" t="s">
        <v>2184</v>
      </c>
      <c r="D1524" s="3383" t="s">
        <v>170</v>
      </c>
      <c r="E1524" s="3398" t="s">
        <v>2185</v>
      </c>
      <c r="F1524" s="3369">
        <f>ROUND(((K2694*K2887*(1/K3080-1/K3273)*K3466)/1000)*$K$3651,2)</f>
        <v>123.52</v>
      </c>
      <c r="G1524" s="3384" t="s">
        <v>2077</v>
      </c>
      <c r="H1524" s="2213">
        <f>VLOOKUP(G1524,'CP FACTORS'!$A$3:$B$38, 2, FALSE)</f>
        <v>9.4741810000000004E-4</v>
      </c>
      <c r="I1524" s="3394">
        <f t="shared" si="225"/>
        <v>0.117025</v>
      </c>
      <c r="J1524" s="2449">
        <f t="shared" si="226"/>
        <v>18</v>
      </c>
      <c r="K1524" s="2467">
        <f>IF(C1524&lt;&gt;C1523,VLOOKUP(C1524,$J$4038:$K$4469,2,FALSE),0)</f>
        <v>135</v>
      </c>
      <c r="L1524" s="2649">
        <f>L1922</f>
        <v>2.8059923701471465</v>
      </c>
      <c r="M1524" s="3386"/>
      <c r="N1524" s="3387"/>
      <c r="O1524" s="2702"/>
      <c r="P1524" s="635"/>
      <c r="Q1524" s="635"/>
      <c r="R1524" s="2966"/>
      <c r="S1524" s="635"/>
      <c r="T1524" s="635"/>
      <c r="U1524" s="3388"/>
      <c r="V1524" s="2962" t="s">
        <v>45</v>
      </c>
      <c r="W1524" s="3389">
        <v>168.20946073793726</v>
      </c>
      <c r="X1524" s="3390">
        <v>168.83428571428527</v>
      </c>
      <c r="Y1524" s="3369">
        <v>166.02</v>
      </c>
      <c r="Z1524" s="3373">
        <v>166.02</v>
      </c>
      <c r="AA1524" s="3373">
        <v>166.02</v>
      </c>
      <c r="AB1524" s="3400">
        <v>166.02</v>
      </c>
      <c r="AC1524" s="3369">
        <v>159.12</v>
      </c>
      <c r="AD1524" s="3369">
        <v>176.89</v>
      </c>
      <c r="AE1524" s="3369">
        <v>19.190000000000001</v>
      </c>
      <c r="AF1524" s="2236">
        <f t="shared" si="228"/>
        <v>123.52</v>
      </c>
      <c r="AG1524" s="3389"/>
      <c r="AH1524" s="2728"/>
      <c r="AI1524" s="2237"/>
      <c r="AJ1524" s="2237"/>
      <c r="AK1524" s="3392"/>
      <c r="AL1524" s="2237"/>
      <c r="AM1524" s="2237"/>
      <c r="AN1524" s="2237"/>
      <c r="AO1524" s="2237"/>
      <c r="AP1524" s="2237"/>
      <c r="AQ1524" s="2237"/>
      <c r="AR1524" s="2237"/>
      <c r="AS1524" s="2237"/>
      <c r="AT1524" s="2237"/>
      <c r="AU1524" s="2237"/>
      <c r="AV1524" s="2237"/>
      <c r="AW1524" s="2237"/>
      <c r="AX1524" s="2237"/>
      <c r="AY1524" s="2237"/>
      <c r="AZ1524" s="2237"/>
      <c r="BA1524" s="2237"/>
      <c r="BB1524" s="2237"/>
      <c r="BC1524" s="2237"/>
      <c r="BD1524" s="2237"/>
      <c r="BE1524" s="2237"/>
      <c r="BF1524" s="2237"/>
      <c r="BG1524" s="2237"/>
      <c r="BH1524" s="2237"/>
      <c r="BI1524" s="2237"/>
      <c r="BJ1524" s="2237"/>
      <c r="BK1524" s="2237"/>
      <c r="BL1524" s="2237"/>
      <c r="BM1524" s="2237"/>
      <c r="BN1524" s="2237"/>
      <c r="BO1524" s="2237"/>
      <c r="BP1524" s="2237"/>
      <c r="BQ1524" s="2237"/>
      <c r="BR1524" s="2237"/>
      <c r="BS1524" s="2237"/>
      <c r="BT1524" s="2237"/>
      <c r="BU1524" s="2237"/>
      <c r="BV1524" s="2237"/>
      <c r="BW1524" s="2237"/>
      <c r="BX1524" s="2237"/>
      <c r="BY1524" s="2237"/>
      <c r="BZ1524" s="2237"/>
      <c r="CA1524" s="2237"/>
      <c r="CB1524" s="2237"/>
      <c r="CC1524" s="2237"/>
      <c r="CD1524" s="2237"/>
      <c r="CE1524" s="2237"/>
      <c r="CF1524" s="2237"/>
      <c r="CG1524" s="2237"/>
      <c r="CH1524" s="2237"/>
      <c r="CI1524" s="2237"/>
      <c r="CJ1524" s="2237"/>
      <c r="CK1524" s="2237"/>
      <c r="CL1524" s="2237"/>
      <c r="CM1524" s="2237"/>
      <c r="CN1524" s="2237"/>
      <c r="CO1524" s="2237"/>
      <c r="CP1524" s="2237"/>
      <c r="CQ1524" s="2237"/>
      <c r="CR1524" s="2237"/>
      <c r="CS1524" s="2237"/>
      <c r="CT1524" s="2237"/>
      <c r="CU1524" s="2237"/>
      <c r="CV1524" s="2237"/>
      <c r="CW1524" s="2237"/>
      <c r="CX1524" s="2237"/>
      <c r="CY1524" s="2237"/>
      <c r="CZ1524" s="2237"/>
      <c r="DA1524" s="2237"/>
      <c r="DB1524" s="2237"/>
      <c r="DC1524" s="2237"/>
      <c r="DD1524" s="2237"/>
      <c r="DE1524" s="2237"/>
      <c r="DF1524" s="3393" t="str">
        <f t="shared" si="231"/>
        <v>ASHP-SEER15_ROF_SF</v>
      </c>
      <c r="DG1524" s="3259">
        <f>(DI1524+DI1525)/(DJ1524+DJ1525)</f>
        <v>6.1500086501504603</v>
      </c>
      <c r="DH1524" s="3398" t="str">
        <f t="shared" si="229"/>
        <v>Cooling Res 18 Year EUL</v>
      </c>
      <c r="DI1524" s="3260">
        <f>(INDEX('Avoided Cost Benefits'!$B$4:$B$866,MATCH(DH1524,'Avoided Cost Benefits'!$A$4:$A$866,0)))*F1524</f>
        <v>282.83225448363055</v>
      </c>
      <c r="DJ1524" s="2507">
        <f>IFERROR(K1524/(1.0686^(2025-2025)),10000000)</f>
        <v>135</v>
      </c>
      <c r="DM1524" s="252"/>
    </row>
    <row r="1525" spans="1:117">
      <c r="A1525" s="453"/>
      <c r="B1525" s="1454">
        <f t="shared" si="224"/>
        <v>352450</v>
      </c>
      <c r="C1525" s="2554" t="s">
        <v>2184</v>
      </c>
      <c r="D1525" s="3383" t="s">
        <v>170</v>
      </c>
      <c r="E1525" s="3402" t="s">
        <v>2185</v>
      </c>
      <c r="F1525" s="3369">
        <f>ROUND(((K1922*K2115*(1/K2308-1/K2501)*K3466)/1000)*$K$3651,2)</f>
        <v>903.22</v>
      </c>
      <c r="G1525" s="3384" t="s">
        <v>2078</v>
      </c>
      <c r="H1525" s="2213">
        <f>VLOOKUP(G1525,'CP FACTORS'!$A$3:$B$38, 2, FALSE)</f>
        <v>0</v>
      </c>
      <c r="I1525" s="3385">
        <f t="shared" si="225"/>
        <v>0</v>
      </c>
      <c r="J1525" s="2449">
        <f t="shared" si="226"/>
        <v>18</v>
      </c>
      <c r="K1525" s="2894">
        <f t="shared" si="227"/>
        <v>0</v>
      </c>
      <c r="L1525" s="2649"/>
      <c r="M1525" s="3386"/>
      <c r="N1525" s="3387"/>
      <c r="O1525" s="2702"/>
      <c r="P1525" s="635"/>
      <c r="Q1525" s="635"/>
      <c r="R1525" s="2966"/>
      <c r="S1525" s="635"/>
      <c r="T1525" s="635"/>
      <c r="U1525" s="3388"/>
      <c r="V1525" s="2962" t="s">
        <v>45</v>
      </c>
      <c r="W1525" s="3389">
        <v>523.79310344827582</v>
      </c>
      <c r="X1525" s="3390">
        <v>377.74325409076874</v>
      </c>
      <c r="Y1525" s="3369">
        <v>363.62</v>
      </c>
      <c r="Z1525" s="3373">
        <v>363.62</v>
      </c>
      <c r="AA1525" s="3373">
        <v>363.62</v>
      </c>
      <c r="AB1525" s="3400">
        <v>363.62</v>
      </c>
      <c r="AC1525" s="3369">
        <v>342.62</v>
      </c>
      <c r="AD1525" s="3369">
        <v>393.91</v>
      </c>
      <c r="AE1525" s="3369">
        <v>44.14</v>
      </c>
      <c r="AF1525" s="2236">
        <f t="shared" si="228"/>
        <v>903.22</v>
      </c>
      <c r="AG1525" s="3389"/>
      <c r="AH1525" s="2728"/>
      <c r="AI1525" s="2237"/>
      <c r="AJ1525" s="2237"/>
      <c r="AK1525" s="3392"/>
      <c r="AL1525" s="2237"/>
      <c r="AM1525" s="2237"/>
      <c r="AN1525" s="2237"/>
      <c r="AO1525" s="2237"/>
      <c r="AP1525" s="2237"/>
      <c r="AQ1525" s="2237"/>
      <c r="AR1525" s="2237"/>
      <c r="AS1525" s="2237"/>
      <c r="AT1525" s="2237"/>
      <c r="AU1525" s="2237"/>
      <c r="AV1525" s="2237"/>
      <c r="AW1525" s="2237"/>
      <c r="AX1525" s="2237"/>
      <c r="AY1525" s="2237"/>
      <c r="AZ1525" s="2237"/>
      <c r="BA1525" s="2237"/>
      <c r="BB1525" s="2237"/>
      <c r="BC1525" s="2237"/>
      <c r="BD1525" s="2237"/>
      <c r="BE1525" s="2237"/>
      <c r="BF1525" s="2237"/>
      <c r="BG1525" s="2237"/>
      <c r="BH1525" s="2237"/>
      <c r="BI1525" s="2237"/>
      <c r="BJ1525" s="2237"/>
      <c r="BK1525" s="2237"/>
      <c r="BL1525" s="2237"/>
      <c r="BM1525" s="2237"/>
      <c r="BN1525" s="2237"/>
      <c r="BO1525" s="2237"/>
      <c r="BP1525" s="2237"/>
      <c r="BQ1525" s="2237"/>
      <c r="BR1525" s="2237"/>
      <c r="BS1525" s="2237"/>
      <c r="BT1525" s="2237"/>
      <c r="BU1525" s="2237"/>
      <c r="BV1525" s="2237"/>
      <c r="BW1525" s="2237"/>
      <c r="BX1525" s="2237"/>
      <c r="BY1525" s="2237"/>
      <c r="BZ1525" s="2237"/>
      <c r="CA1525" s="2237"/>
      <c r="CB1525" s="2237"/>
      <c r="CC1525" s="2237"/>
      <c r="CD1525" s="2237"/>
      <c r="CE1525" s="2237"/>
      <c r="CF1525" s="2237"/>
      <c r="CG1525" s="2237"/>
      <c r="CH1525" s="2237"/>
      <c r="CI1525" s="2237"/>
      <c r="CJ1525" s="2237"/>
      <c r="CK1525" s="2237"/>
      <c r="CL1525" s="2237"/>
      <c r="CM1525" s="2237"/>
      <c r="CN1525" s="2237"/>
      <c r="CO1525" s="2237"/>
      <c r="CP1525" s="2237"/>
      <c r="CQ1525" s="2237"/>
      <c r="CR1525" s="2237"/>
      <c r="CS1525" s="2237"/>
      <c r="CT1525" s="2237"/>
      <c r="CU1525" s="2237"/>
      <c r="CV1525" s="2237"/>
      <c r="CW1525" s="2237"/>
      <c r="CX1525" s="2237"/>
      <c r="CY1525" s="2237"/>
      <c r="CZ1525" s="2237"/>
      <c r="DA1525" s="2237"/>
      <c r="DB1525" s="2237"/>
      <c r="DC1525" s="2237"/>
      <c r="DD1525" s="2237"/>
      <c r="DE1525" s="2237"/>
      <c r="DF1525" s="3393" t="str">
        <f t="shared" si="231"/>
        <v>ASHP-SEER15_ROF_SF</v>
      </c>
      <c r="DG1525" s="3261"/>
      <c r="DH1525" s="3402" t="str">
        <f t="shared" si="229"/>
        <v>Heating Res 18 Year EUL</v>
      </c>
      <c r="DI1525" s="3260">
        <f>(INDEX('Avoided Cost Benefits'!$B$4:$B$866,MATCH(DH1525,'Avoided Cost Benefits'!$A$4:$A$866,0)))*F1525</f>
        <v>547.41891328668157</v>
      </c>
      <c r="DJ1525" s="2507">
        <f>K1525/(1.0686^(2025-2025))</f>
        <v>0</v>
      </c>
      <c r="DM1525" s="252"/>
    </row>
    <row r="1526" spans="1:117">
      <c r="A1526" s="453"/>
      <c r="B1526" s="1454">
        <f t="shared" si="224"/>
        <v>352500</v>
      </c>
      <c r="C1526" s="682" t="s">
        <v>2186</v>
      </c>
      <c r="D1526" s="3470" t="s">
        <v>1043</v>
      </c>
      <c r="E1526" s="1369" t="s">
        <v>2187</v>
      </c>
      <c r="F1526" s="227">
        <f>ROUND(((K2695*K2888*(1/K3081-1/K3274)*K3467)/1000)*$K$3651,2)</f>
        <v>2150.16</v>
      </c>
      <c r="G1526" s="570" t="s">
        <v>2077</v>
      </c>
      <c r="H1526" s="69">
        <f>VLOOKUP(G1526,'CP FACTORS'!$A$3:$B$38, 2, FALSE)</f>
        <v>9.4741810000000004E-4</v>
      </c>
      <c r="I1526" s="1476">
        <f t="shared" si="225"/>
        <v>2.0371009999999998</v>
      </c>
      <c r="J1526" s="59">
        <f t="shared" si="226"/>
        <v>6</v>
      </c>
      <c r="K1526" s="166">
        <f t="shared" si="227"/>
        <v>3497.3493799102171</v>
      </c>
      <c r="L1526" s="1107">
        <f>L1923</f>
        <v>2.5310295805916874</v>
      </c>
      <c r="M1526" s="560"/>
      <c r="N1526" s="572"/>
      <c r="O1526" s="417"/>
      <c r="R1526" s="532"/>
      <c r="S1526" s="52"/>
      <c r="T1526" s="52"/>
      <c r="U1526" s="574"/>
      <c r="V1526" s="1442" t="s">
        <v>45</v>
      </c>
      <c r="W1526" s="962">
        <v>2733.5161764705886</v>
      </c>
      <c r="X1526" s="251">
        <v>1836.3388775510205</v>
      </c>
      <c r="Y1526" s="227">
        <v>1908.35</v>
      </c>
      <c r="Z1526" s="225">
        <v>1908.35</v>
      </c>
      <c r="AA1526" s="225">
        <v>1908.35</v>
      </c>
      <c r="AB1526" s="1026">
        <v>2277.63</v>
      </c>
      <c r="AC1526" s="227">
        <v>1835.16</v>
      </c>
      <c r="AD1526" s="227">
        <v>2194.71</v>
      </c>
      <c r="AE1526" s="227">
        <v>2031.51</v>
      </c>
      <c r="AF1526" s="271">
        <f t="shared" si="228"/>
        <v>2150.16</v>
      </c>
      <c r="AG1526" s="962"/>
      <c r="AH1526" s="121"/>
      <c r="AK1526" s="963"/>
      <c r="DF1526" s="1650" t="str">
        <f t="shared" si="231"/>
        <v>ASHP-SEER16-Replace_CAC_ElectricHeat_ER1_SF</v>
      </c>
      <c r="DG1526" s="1090">
        <f>(DI1526+DI1527+DI1528+DI1529)/(DJ1526+DJ1527+DJ1528+DJ1529)</f>
        <v>2.2019497986351224</v>
      </c>
      <c r="DH1526" s="1369" t="str">
        <f t="shared" si="229"/>
        <v>Cooling Res 6 Year EUL</v>
      </c>
      <c r="DI1526" s="1091">
        <f>(INDEX('Avoided Cost Benefits'!$B$4:$B$866,MATCH(DH1526,'Avoided Cost Benefits'!$A$4:$A$866,0)))*F1526</f>
        <v>2141.2327449423674</v>
      </c>
      <c r="DJ1526" s="1176">
        <f>IFERROR(K1526/(1.0686^(2025-2025)),10000000)</f>
        <v>3497.3493799102171</v>
      </c>
      <c r="DM1526" s="252"/>
    </row>
    <row r="1527" spans="1:117">
      <c r="A1527" s="453"/>
      <c r="B1527" s="1454">
        <f t="shared" si="224"/>
        <v>352500</v>
      </c>
      <c r="C1527" s="682" t="s">
        <v>2186</v>
      </c>
      <c r="D1527" s="3470" t="s">
        <v>1043</v>
      </c>
      <c r="E1527" s="1393" t="s">
        <v>2187</v>
      </c>
      <c r="F1527" s="225">
        <f>ROUND(((K1923*K2116*(1/K2309-1/K2502)*K3467)/1000)*$K$3651,2)</f>
        <v>8346.27</v>
      </c>
      <c r="G1527" s="570" t="s">
        <v>2078</v>
      </c>
      <c r="H1527" s="69">
        <f>VLOOKUP(G1527,'CP FACTORS'!$A$3:$B$38, 2, FALSE)</f>
        <v>0</v>
      </c>
      <c r="I1527" s="1028">
        <f t="shared" si="225"/>
        <v>0</v>
      </c>
      <c r="J1527" s="59">
        <f t="shared" si="226"/>
        <v>6</v>
      </c>
      <c r="K1527" s="163">
        <f t="shared" si="227"/>
        <v>0</v>
      </c>
      <c r="L1527" s="255"/>
      <c r="M1527" s="560"/>
      <c r="N1527" s="572"/>
      <c r="O1527" s="417"/>
      <c r="R1527" s="532"/>
      <c r="S1527" s="52"/>
      <c r="T1527" s="52"/>
      <c r="U1527" s="574"/>
      <c r="V1527" s="1442" t="s">
        <v>45</v>
      </c>
      <c r="W1527" s="962">
        <v>13965.852998065762</v>
      </c>
      <c r="X1527" s="251">
        <v>9788.00163331972</v>
      </c>
      <c r="Y1527" s="227">
        <v>10635.56</v>
      </c>
      <c r="Z1527" s="225">
        <v>10635.56</v>
      </c>
      <c r="AA1527" s="225">
        <v>10635.56</v>
      </c>
      <c r="AB1527" s="1026">
        <v>9240.1</v>
      </c>
      <c r="AC1527" s="227">
        <v>9585.06</v>
      </c>
      <c r="AD1527" s="227">
        <v>9041.35</v>
      </c>
      <c r="AE1527" s="227">
        <v>8346.27</v>
      </c>
      <c r="AF1527" s="271">
        <f t="shared" si="228"/>
        <v>8346.27</v>
      </c>
      <c r="AG1527" s="962"/>
      <c r="AH1527" s="121"/>
      <c r="AK1527" s="963"/>
      <c r="DF1527" s="1650" t="str">
        <f t="shared" si="231"/>
        <v>ASHP-SEER16-Replace_CAC_ElectricHeat_ER1_SF</v>
      </c>
      <c r="DG1527" s="1094"/>
      <c r="DH1527" s="1393" t="str">
        <f t="shared" si="229"/>
        <v>Heating Res 6 Year EUL</v>
      </c>
      <c r="DI1527" s="1091">
        <f>(INDEX('Avoided Cost Benefits'!$B$4:$B$866,MATCH(DH1527,'Avoided Cost Benefits'!$A$4:$A$866,0)))*F1527</f>
        <v>2238.292761864534</v>
      </c>
      <c r="DJ1527" s="1176">
        <f t="shared" ref="DJ1527:DJ1533" si="232">K1527/(1.0686^(2025-2025))</f>
        <v>0</v>
      </c>
      <c r="DM1527" s="252"/>
    </row>
    <row r="1528" spans="1:117">
      <c r="A1528" s="453"/>
      <c r="B1528" s="1454">
        <f t="shared" si="224"/>
        <v>352500</v>
      </c>
      <c r="C1528" s="682" t="s">
        <v>2186</v>
      </c>
      <c r="D1528" s="3470" t="s">
        <v>1043</v>
      </c>
      <c r="E1528" s="1393" t="s">
        <v>2188</v>
      </c>
      <c r="F1528" s="227">
        <f>ROUND(((K2696*K2889*(1/K3082-1/K3275)*K3468)/1000)*$K$3651,2)</f>
        <v>387.42</v>
      </c>
      <c r="G1528" s="570" t="s">
        <v>2138</v>
      </c>
      <c r="H1528" s="69">
        <f>VLOOKUP(G1528,'CP FACTORS'!$A$3:$B$38, 2, FALSE)</f>
        <v>9.4741810000000004E-4</v>
      </c>
      <c r="I1528" s="1476">
        <f t="shared" si="225"/>
        <v>0.36704900000000001</v>
      </c>
      <c r="J1528" s="59">
        <f t="shared" si="226"/>
        <v>12</v>
      </c>
      <c r="K1528" s="163">
        <f t="shared" si="227"/>
        <v>0</v>
      </c>
      <c r="L1528" s="255"/>
      <c r="M1528" s="560"/>
      <c r="N1528" s="572"/>
      <c r="O1528" s="417"/>
      <c r="R1528" s="532"/>
      <c r="S1528" s="52"/>
      <c r="T1528" s="52"/>
      <c r="U1528" s="574"/>
      <c r="V1528" s="1442" t="s">
        <v>45</v>
      </c>
      <c r="W1528" s="962">
        <v>466.25192307692322</v>
      </c>
      <c r="X1528" s="251">
        <v>460.23576923076939</v>
      </c>
      <c r="Y1528" s="227">
        <v>478.28</v>
      </c>
      <c r="Z1528" s="225">
        <v>478.28</v>
      </c>
      <c r="AA1528" s="225">
        <v>478.28</v>
      </c>
      <c r="AB1528" s="1026">
        <v>473.24</v>
      </c>
      <c r="AC1528" s="227">
        <v>447.63</v>
      </c>
      <c r="AD1528" s="227">
        <v>452.14</v>
      </c>
      <c r="AE1528" s="227">
        <v>280.11</v>
      </c>
      <c r="AF1528" s="271">
        <f t="shared" si="228"/>
        <v>387.42</v>
      </c>
      <c r="AG1528" s="962"/>
      <c r="AH1528" s="121"/>
      <c r="AK1528" s="963"/>
      <c r="DF1528" s="1650" t="str">
        <f t="shared" si="231"/>
        <v>ASHP-SEER16-Replace_CAC_ElectricHeat_ER2_SF</v>
      </c>
      <c r="DG1528" s="1094"/>
      <c r="DH1528" s="1393" t="str">
        <f t="shared" si="229"/>
        <v>Cooling Res ER2 12 Year EUL</v>
      </c>
      <c r="DI1528" s="1091">
        <f>(INDEX('Avoided Cost Benefits'!$B$4:$B$866,MATCH(DH1528,'Avoided Cost Benefits'!$A$4:$A$866,0)))*F1528</f>
        <v>501.29079723353601</v>
      </c>
      <c r="DJ1528" s="1176">
        <f t="shared" si="232"/>
        <v>0</v>
      </c>
      <c r="DM1528" s="252"/>
    </row>
    <row r="1529" spans="1:117">
      <c r="A1529" s="453"/>
      <c r="B1529" s="1454">
        <f t="shared" si="224"/>
        <v>352500</v>
      </c>
      <c r="C1529" s="682" t="s">
        <v>2186</v>
      </c>
      <c r="D1529" s="3470" t="s">
        <v>1043</v>
      </c>
      <c r="E1529" s="1370" t="s">
        <v>2188</v>
      </c>
      <c r="F1529" s="225">
        <f>ROUND(((K1924*K2117*(1/K2310-1/K2503)*K3468)/1000)*$K$3651,2)</f>
        <v>8346.27</v>
      </c>
      <c r="G1529" s="570" t="s">
        <v>2173</v>
      </c>
      <c r="H1529" s="69">
        <f>VLOOKUP(G1529,'CP FACTORS'!$A$3:$B$38, 2, FALSE)</f>
        <v>0</v>
      </c>
      <c r="I1529" s="1028">
        <f t="shared" si="225"/>
        <v>0</v>
      </c>
      <c r="J1529" s="59">
        <f t="shared" si="226"/>
        <v>12</v>
      </c>
      <c r="K1529" s="163">
        <f t="shared" si="227"/>
        <v>0</v>
      </c>
      <c r="L1529" s="255"/>
      <c r="M1529" s="560"/>
      <c r="N1529" s="572"/>
      <c r="O1529" s="417"/>
      <c r="R1529" s="532"/>
      <c r="S1529" s="52"/>
      <c r="T1529" s="52"/>
      <c r="U1529" s="574"/>
      <c r="V1529" s="1442" t="s">
        <v>45</v>
      </c>
      <c r="W1529" s="962">
        <v>13965.852998065762</v>
      </c>
      <c r="X1529" s="251">
        <v>9788.00163331972</v>
      </c>
      <c r="Y1529" s="227">
        <v>10635.56</v>
      </c>
      <c r="Z1529" s="225">
        <v>10635.56</v>
      </c>
      <c r="AA1529" s="225">
        <v>10635.56</v>
      </c>
      <c r="AB1529" s="1026">
        <v>9240.1</v>
      </c>
      <c r="AC1529" s="227">
        <v>9585.06</v>
      </c>
      <c r="AD1529" s="227">
        <v>9041.35</v>
      </c>
      <c r="AE1529" s="227">
        <v>8346.27</v>
      </c>
      <c r="AF1529" s="271">
        <f t="shared" si="228"/>
        <v>8346.27</v>
      </c>
      <c r="AG1529" s="962"/>
      <c r="AH1529" s="121"/>
      <c r="AK1529" s="963"/>
      <c r="DF1529" s="1650" t="str">
        <f t="shared" si="231"/>
        <v>ASHP-SEER16-Replace_CAC_ElectricHeat_ER2_SF</v>
      </c>
      <c r="DG1529" s="1094"/>
      <c r="DH1529" s="1370" t="str">
        <f t="shared" si="229"/>
        <v>Heating Res ER2 12 Year EUL</v>
      </c>
      <c r="DI1529" s="1091">
        <f>(INDEX('Avoided Cost Benefits'!$B$4:$B$866,MATCH(DH1529,'Avoided Cost Benefits'!$A$4:$A$866,0)))*F1529</f>
        <v>2820.1714588095342</v>
      </c>
      <c r="DJ1529" s="1176">
        <f t="shared" si="232"/>
        <v>0</v>
      </c>
      <c r="DM1529" s="252"/>
    </row>
    <row r="1530" spans="1:117">
      <c r="A1530" s="453"/>
      <c r="B1530" s="1454">
        <f t="shared" si="224"/>
        <v>352510</v>
      </c>
      <c r="C1530" s="682" t="s">
        <v>2189</v>
      </c>
      <c r="D1530" s="3470" t="s">
        <v>1800</v>
      </c>
      <c r="E1530" s="1393" t="s">
        <v>2190</v>
      </c>
      <c r="F1530" s="227">
        <f>ROUND(((K2697*K2890*(1/K3083-1/K3276)*K3469)/1000)*$K$3651,2)</f>
        <v>2150.16</v>
      </c>
      <c r="G1530" s="570" t="s">
        <v>2077</v>
      </c>
      <c r="H1530" s="69">
        <f>VLOOKUP(G1530,'CP FACTORS'!$A$3:$B$38, 2, FALSE)</f>
        <v>9.4741810000000004E-4</v>
      </c>
      <c r="I1530" s="1476">
        <f t="shared" si="225"/>
        <v>2.0371009999999998</v>
      </c>
      <c r="J1530" s="59">
        <f t="shared" si="226"/>
        <v>6</v>
      </c>
      <c r="K1530" s="166">
        <f t="shared" si="227"/>
        <v>461.50538007420482</v>
      </c>
      <c r="L1530" s="1107">
        <f>L1925</f>
        <v>2.5310295805916874</v>
      </c>
      <c r="M1530" s="560"/>
      <c r="N1530" s="572"/>
      <c r="O1530" s="417"/>
      <c r="R1530" s="532"/>
      <c r="S1530" s="52"/>
      <c r="T1530" s="52"/>
      <c r="U1530" s="574"/>
      <c r="V1530" s="1442" t="s">
        <v>45</v>
      </c>
      <c r="W1530" s="962"/>
      <c r="X1530" s="251"/>
      <c r="Y1530" s="227"/>
      <c r="Z1530" s="225"/>
      <c r="AA1530" s="225"/>
      <c r="AB1530" s="1026"/>
      <c r="AC1530" s="227">
        <v>1835.16</v>
      </c>
      <c r="AD1530" s="227">
        <v>2194.71</v>
      </c>
      <c r="AE1530" s="227">
        <v>2031.51</v>
      </c>
      <c r="AF1530" s="271">
        <f t="shared" si="228"/>
        <v>2150.16</v>
      </c>
      <c r="AG1530" s="962"/>
      <c r="AH1530" s="121"/>
      <c r="AK1530" s="963"/>
      <c r="DF1530" s="1650" t="str">
        <f t="shared" si="231"/>
        <v>ASHP-SEER16-Replace_CAC_NonElectricHeat_ER1_SF</v>
      </c>
      <c r="DG1530" s="1090">
        <f>(DI1530+DI1531+DI1532+DI1533)/(DJ1530+DJ1531+DJ1532+DJ1533)</f>
        <v>5.7258780856487865</v>
      </c>
      <c r="DH1530" s="1393" t="str">
        <f t="shared" si="229"/>
        <v>Cooling Res 6 Year EUL</v>
      </c>
      <c r="DI1530" s="1091">
        <f>(INDEX('Avoided Cost Benefits'!$B$4:$B$866,MATCH(DH1530,'Avoided Cost Benefits'!$A$4:$A$866,0)))*F1530</f>
        <v>2141.2327449423674</v>
      </c>
      <c r="DJ1530" s="1176">
        <f t="shared" si="232"/>
        <v>461.50538007420482</v>
      </c>
      <c r="DM1530" s="252"/>
    </row>
    <row r="1531" spans="1:117">
      <c r="A1531" s="453"/>
      <c r="B1531" s="1454">
        <f t="shared" si="224"/>
        <v>352510</v>
      </c>
      <c r="C1531" s="682" t="s">
        <v>2189</v>
      </c>
      <c r="D1531" s="3470" t="s">
        <v>1800</v>
      </c>
      <c r="E1531" s="1393" t="s">
        <v>2190</v>
      </c>
      <c r="F1531" s="225">
        <v>0</v>
      </c>
      <c r="G1531" s="570" t="s">
        <v>2078</v>
      </c>
      <c r="H1531" s="69">
        <f>VLOOKUP(G1531,'CP FACTORS'!$A$3:$B$38, 2, FALSE)</f>
        <v>0</v>
      </c>
      <c r="I1531" s="1028">
        <f t="shared" si="225"/>
        <v>0</v>
      </c>
      <c r="J1531" s="59">
        <f t="shared" si="226"/>
        <v>6</v>
      </c>
      <c r="K1531" s="163">
        <f t="shared" si="227"/>
        <v>0</v>
      </c>
      <c r="L1531" s="255"/>
      <c r="M1531" s="560"/>
      <c r="N1531" s="572"/>
      <c r="O1531" s="417"/>
      <c r="R1531" s="532"/>
      <c r="S1531" s="52"/>
      <c r="T1531" s="52"/>
      <c r="U1531" s="574"/>
      <c r="V1531" s="1442" t="s">
        <v>45</v>
      </c>
      <c r="W1531" s="962"/>
      <c r="X1531" s="251"/>
      <c r="Y1531" s="227"/>
      <c r="Z1531" s="225"/>
      <c r="AA1531" s="225"/>
      <c r="AB1531" s="1026"/>
      <c r="AC1531" s="227">
        <v>0</v>
      </c>
      <c r="AD1531" s="225">
        <v>0</v>
      </c>
      <c r="AE1531" s="225">
        <v>0</v>
      </c>
      <c r="AF1531" s="271">
        <f t="shared" si="228"/>
        <v>0</v>
      </c>
      <c r="AG1531" s="962"/>
      <c r="AH1531" s="121"/>
      <c r="AK1531" s="963"/>
      <c r="DF1531" s="1650" t="str">
        <f t="shared" si="231"/>
        <v>ASHP-SEER16-Replace_CAC_NonElectricHeat_ER1_SF</v>
      </c>
      <c r="DG1531" s="1094"/>
      <c r="DH1531" s="1393" t="str">
        <f t="shared" si="229"/>
        <v>Heating Res 6 Year EUL</v>
      </c>
      <c r="DI1531" s="1091">
        <f>(INDEX('Avoided Cost Benefits'!$B$4:$B$866,MATCH(DH1531,'Avoided Cost Benefits'!$A$4:$A$866,0)))*F1531</f>
        <v>0</v>
      </c>
      <c r="DJ1531" s="1176">
        <f t="shared" si="232"/>
        <v>0</v>
      </c>
      <c r="DM1531" s="252"/>
    </row>
    <row r="1532" spans="1:117">
      <c r="A1532" s="453"/>
      <c r="B1532" s="1454">
        <f t="shared" si="224"/>
        <v>352510</v>
      </c>
      <c r="C1532" s="682" t="s">
        <v>2189</v>
      </c>
      <c r="D1532" s="3470" t="s">
        <v>1800</v>
      </c>
      <c r="E1532" s="1393" t="s">
        <v>2191</v>
      </c>
      <c r="F1532" s="227">
        <f>ROUND(((K2698*K2891*(1/K3084-1/K3277)*K3470)/1000)*$K$3651,2)</f>
        <v>387.42</v>
      </c>
      <c r="G1532" s="570" t="s">
        <v>2138</v>
      </c>
      <c r="H1532" s="69">
        <f>VLOOKUP(G1532,'CP FACTORS'!$A$3:$B$38, 2, FALSE)</f>
        <v>9.4741810000000004E-4</v>
      </c>
      <c r="I1532" s="1476">
        <f t="shared" si="225"/>
        <v>0.36704900000000001</v>
      </c>
      <c r="J1532" s="59">
        <f t="shared" si="226"/>
        <v>12</v>
      </c>
      <c r="K1532" s="163">
        <f t="shared" si="227"/>
        <v>0</v>
      </c>
      <c r="L1532" s="255"/>
      <c r="M1532" s="560"/>
      <c r="N1532" s="572"/>
      <c r="O1532" s="417"/>
      <c r="R1532" s="532"/>
      <c r="S1532" s="52"/>
      <c r="T1532" s="52"/>
      <c r="U1532" s="574"/>
      <c r="V1532" s="1442" t="s">
        <v>45</v>
      </c>
      <c r="W1532" s="962"/>
      <c r="X1532" s="251"/>
      <c r="Y1532" s="227"/>
      <c r="Z1532" s="225"/>
      <c r="AA1532" s="225"/>
      <c r="AB1532" s="1026"/>
      <c r="AC1532" s="227">
        <v>447.63</v>
      </c>
      <c r="AD1532" s="227">
        <v>452.14</v>
      </c>
      <c r="AE1532" s="227">
        <v>280.11</v>
      </c>
      <c r="AF1532" s="271">
        <f t="shared" si="228"/>
        <v>387.42</v>
      </c>
      <c r="AG1532" s="962"/>
      <c r="AH1532" s="121"/>
      <c r="AK1532" s="963"/>
      <c r="DF1532" s="1650" t="str">
        <f t="shared" si="231"/>
        <v>ASHP-SEER16-Replace_CAC_NonElectricHeat_ER2_SF</v>
      </c>
      <c r="DG1532" s="1094"/>
      <c r="DH1532" s="1393" t="str">
        <f t="shared" si="229"/>
        <v>Cooling Res ER2 12 Year EUL</v>
      </c>
      <c r="DI1532" s="1091">
        <f>(INDEX('Avoided Cost Benefits'!$B$4:$B$866,MATCH(DH1532,'Avoided Cost Benefits'!$A$4:$A$866,0)))*F1532</f>
        <v>501.29079723353601</v>
      </c>
      <c r="DJ1532" s="1176">
        <f t="shared" si="232"/>
        <v>0</v>
      </c>
      <c r="DM1532" s="252"/>
    </row>
    <row r="1533" spans="1:117">
      <c r="A1533" s="453"/>
      <c r="B1533" s="1454">
        <f t="shared" si="224"/>
        <v>352510</v>
      </c>
      <c r="C1533" s="682" t="s">
        <v>2189</v>
      </c>
      <c r="D1533" s="3470" t="s">
        <v>1800</v>
      </c>
      <c r="E1533" s="1393" t="s">
        <v>2191</v>
      </c>
      <c r="F1533" s="225">
        <f>0</f>
        <v>0</v>
      </c>
      <c r="G1533" s="570" t="s">
        <v>2173</v>
      </c>
      <c r="H1533" s="69">
        <f>VLOOKUP(G1533,'CP FACTORS'!$A$3:$B$38, 2, FALSE)</f>
        <v>0</v>
      </c>
      <c r="I1533" s="1028">
        <f t="shared" si="225"/>
        <v>0</v>
      </c>
      <c r="J1533" s="59">
        <f t="shared" si="226"/>
        <v>12</v>
      </c>
      <c r="K1533" s="163">
        <f t="shared" si="227"/>
        <v>0</v>
      </c>
      <c r="L1533" s="255"/>
      <c r="M1533" s="560"/>
      <c r="N1533" s="572"/>
      <c r="O1533" s="417"/>
      <c r="R1533" s="532"/>
      <c r="S1533" s="52"/>
      <c r="T1533" s="52"/>
      <c r="U1533" s="574"/>
      <c r="V1533" s="1442" t="s">
        <v>45</v>
      </c>
      <c r="W1533" s="962"/>
      <c r="X1533" s="251"/>
      <c r="Y1533" s="227"/>
      <c r="Z1533" s="225"/>
      <c r="AA1533" s="225"/>
      <c r="AB1533" s="1026"/>
      <c r="AC1533" s="227">
        <v>0</v>
      </c>
      <c r="AD1533" s="225">
        <v>0</v>
      </c>
      <c r="AE1533" s="225">
        <v>0</v>
      </c>
      <c r="AF1533" s="271">
        <f t="shared" si="228"/>
        <v>0</v>
      </c>
      <c r="AG1533" s="962"/>
      <c r="AH1533" s="121"/>
      <c r="AK1533" s="963"/>
      <c r="DF1533" s="1650" t="str">
        <f t="shared" si="231"/>
        <v>ASHP-SEER16-Replace_CAC_NonElectricHeat_ER2_SF</v>
      </c>
      <c r="DG1533" s="1094"/>
      <c r="DH1533" s="1393" t="str">
        <f t="shared" si="229"/>
        <v>Heating Res ER2 12 Year EUL</v>
      </c>
      <c r="DI1533" s="1091">
        <f>(INDEX('Avoided Cost Benefits'!$B$4:$B$866,MATCH(DH1533,'Avoided Cost Benefits'!$A$4:$A$866,0)))*F1533</f>
        <v>0</v>
      </c>
      <c r="DJ1533" s="1176">
        <f t="shared" si="232"/>
        <v>0</v>
      </c>
      <c r="DM1533" s="252"/>
    </row>
    <row r="1534" spans="1:117">
      <c r="A1534" s="453"/>
      <c r="B1534" s="1454">
        <f t="shared" si="224"/>
        <v>352550</v>
      </c>
      <c r="C1534" s="682" t="s">
        <v>2192</v>
      </c>
      <c r="D1534" s="3470" t="s">
        <v>1043</v>
      </c>
      <c r="E1534" s="1369" t="s">
        <v>2193</v>
      </c>
      <c r="F1534" s="227">
        <f>ROUND(((K2699*K2892*(1/K3085-1/K3278)*K3471)/1000)*$K$3651,2)</f>
        <v>2150.16</v>
      </c>
      <c r="G1534" s="570" t="s">
        <v>2077</v>
      </c>
      <c r="H1534" s="69">
        <f>VLOOKUP(G1534,'CP FACTORS'!$A$3:$B$38, 2, FALSE)</f>
        <v>9.4741810000000004E-4</v>
      </c>
      <c r="I1534" s="1476">
        <f t="shared" si="225"/>
        <v>2.0371009999999998</v>
      </c>
      <c r="J1534" s="59">
        <f t="shared" si="226"/>
        <v>6</v>
      </c>
      <c r="K1534" s="166">
        <f t="shared" si="227"/>
        <v>417.68019891621225</v>
      </c>
      <c r="L1534" s="1107">
        <f>L1927</f>
        <v>2.5310295805916874</v>
      </c>
      <c r="M1534" s="560"/>
      <c r="N1534" s="572"/>
      <c r="O1534" s="417"/>
      <c r="R1534" s="532"/>
      <c r="S1534" s="52"/>
      <c r="T1534" s="52"/>
      <c r="U1534" s="574"/>
      <c r="V1534" s="1442" t="s">
        <v>45</v>
      </c>
      <c r="W1534" s="962">
        <v>2628.7249999999999</v>
      </c>
      <c r="X1534" s="251">
        <v>1836.3388775510205</v>
      </c>
      <c r="Y1534" s="227">
        <v>1890.35</v>
      </c>
      <c r="Z1534" s="225">
        <v>1890.35</v>
      </c>
      <c r="AA1534" s="225">
        <v>1890.35</v>
      </c>
      <c r="AB1534" s="1026">
        <v>2180.1</v>
      </c>
      <c r="AC1534" s="227">
        <v>1797.54</v>
      </c>
      <c r="AD1534" s="227">
        <v>2194.71</v>
      </c>
      <c r="AE1534" s="227">
        <v>2031.51</v>
      </c>
      <c r="AF1534" s="271">
        <f t="shared" si="228"/>
        <v>2150.16</v>
      </c>
      <c r="AG1534" s="962"/>
      <c r="AH1534" s="121"/>
      <c r="AK1534" s="963"/>
      <c r="DF1534" s="1650" t="str">
        <f t="shared" si="231"/>
        <v>ASHP-SEER16_ER1_SF</v>
      </c>
      <c r="DG1534" s="1090">
        <f>(DI1534+DI1535+DI1536+DI1537)/(DJ1534+DJ1535+DJ1536+DJ1537)</f>
        <v>7.9800104070902824</v>
      </c>
      <c r="DH1534" s="1369" t="str">
        <f t="shared" si="229"/>
        <v>Cooling Res 6 Year EUL</v>
      </c>
      <c r="DI1534" s="1091">
        <f>(INDEX('Avoided Cost Benefits'!$B$4:$B$866,MATCH(DH1534,'Avoided Cost Benefits'!$A$4:$A$866,0)))*F1534</f>
        <v>2141.2327449423674</v>
      </c>
      <c r="DJ1534" s="1176">
        <f>IFERROR(K1534/(1.0686^(2025-2025)),10000000)</f>
        <v>417.68019891621225</v>
      </c>
      <c r="DM1534" s="252"/>
    </row>
    <row r="1535" spans="1:117">
      <c r="A1535" s="453"/>
      <c r="B1535" s="1454">
        <f t="shared" si="224"/>
        <v>352550</v>
      </c>
      <c r="C1535" s="682" t="s">
        <v>2192</v>
      </c>
      <c r="D1535" s="3470" t="s">
        <v>1043</v>
      </c>
      <c r="E1535" s="1393" t="s">
        <v>2193</v>
      </c>
      <c r="F1535" s="225">
        <f>ROUND(((K1927*K2120*(1/K2313-1/K2506)*K3471)/1000)*$K$3651,2)</f>
        <v>1926.94</v>
      </c>
      <c r="G1535" s="570" t="s">
        <v>2078</v>
      </c>
      <c r="H1535" s="69">
        <f>VLOOKUP(G1535,'CP FACTORS'!$A$3:$B$38, 2, FALSE)</f>
        <v>0</v>
      </c>
      <c r="I1535" s="1028">
        <f t="shared" si="225"/>
        <v>0</v>
      </c>
      <c r="J1535" s="59">
        <f t="shared" si="226"/>
        <v>6</v>
      </c>
      <c r="K1535" s="163">
        <f t="shared" si="227"/>
        <v>0</v>
      </c>
      <c r="L1535" s="255"/>
      <c r="M1535" s="560"/>
      <c r="N1535" s="572"/>
      <c r="O1535" s="417"/>
      <c r="R1535" s="532"/>
      <c r="S1535" s="52"/>
      <c r="T1535" s="52"/>
      <c r="U1535" s="574"/>
      <c r="V1535" s="1442" t="s">
        <v>45</v>
      </c>
      <c r="W1535" s="962">
        <v>6249.9803405572748</v>
      </c>
      <c r="X1535" s="251">
        <v>2027.0807587241729</v>
      </c>
      <c r="Y1535" s="227">
        <v>2533.08</v>
      </c>
      <c r="Z1535" s="225">
        <v>2533.08</v>
      </c>
      <c r="AA1535" s="225">
        <v>2533.08</v>
      </c>
      <c r="AB1535" s="1026">
        <v>2201.9299999999998</v>
      </c>
      <c r="AC1535" s="227">
        <v>2313.4299999999998</v>
      </c>
      <c r="AD1535" s="227">
        <v>2055.86</v>
      </c>
      <c r="AE1535" s="227">
        <v>1926.94</v>
      </c>
      <c r="AF1535" s="271">
        <f t="shared" si="228"/>
        <v>1926.94</v>
      </c>
      <c r="AG1535" s="962"/>
      <c r="AH1535" s="121"/>
      <c r="AK1535" s="963"/>
      <c r="DF1535" s="1650" t="str">
        <f t="shared" si="231"/>
        <v>ASHP-SEER16_ER1_SF</v>
      </c>
      <c r="DG1535" s="1094"/>
      <c r="DH1535" s="1393" t="str">
        <f t="shared" si="229"/>
        <v>Heating Res 6 Year EUL</v>
      </c>
      <c r="DI1535" s="1091">
        <f>(INDEX('Avoided Cost Benefits'!$B$4:$B$866,MATCH(DH1535,'Avoided Cost Benefits'!$A$4:$A$866,0)))*F1535</f>
        <v>516.76447737099863</v>
      </c>
      <c r="DJ1535" s="1176">
        <f>K1535/(1.0686^(2025-2025))</f>
        <v>0</v>
      </c>
      <c r="DM1535" s="252"/>
    </row>
    <row r="1536" spans="1:117">
      <c r="A1536" s="453"/>
      <c r="B1536" s="1454">
        <f t="shared" si="224"/>
        <v>352550</v>
      </c>
      <c r="C1536" s="682" t="s">
        <v>2192</v>
      </c>
      <c r="D1536" s="3470" t="s">
        <v>1043</v>
      </c>
      <c r="E1536" s="1393" t="s">
        <v>2194</v>
      </c>
      <c r="F1536" s="227">
        <f>ROUND(((K2700*K2893*(1/K3086-1/K3279)*K3472)/1000)*$K$3651,2)</f>
        <v>239.74</v>
      </c>
      <c r="G1536" s="570" t="s">
        <v>2138</v>
      </c>
      <c r="H1536" s="69">
        <f>VLOOKUP(G1536,'CP FACTORS'!$A$3:$B$38, 2, FALSE)</f>
        <v>9.4741810000000004E-4</v>
      </c>
      <c r="I1536" s="1476">
        <f t="shared" si="225"/>
        <v>0.227134</v>
      </c>
      <c r="J1536" s="59">
        <f t="shared" si="226"/>
        <v>12</v>
      </c>
      <c r="K1536" s="163">
        <f t="shared" si="227"/>
        <v>0</v>
      </c>
      <c r="L1536" s="255"/>
      <c r="M1536" s="560"/>
      <c r="N1536" s="572"/>
      <c r="O1536" s="417"/>
      <c r="R1536" s="532"/>
      <c r="S1536" s="52"/>
      <c r="T1536" s="52"/>
      <c r="U1536" s="574"/>
      <c r="V1536" s="1442" t="s">
        <v>45</v>
      </c>
      <c r="W1536" s="962">
        <v>307.25357142857132</v>
      </c>
      <c r="X1536" s="251">
        <v>284.90785714285704</v>
      </c>
      <c r="Y1536" s="227">
        <v>293.29000000000002</v>
      </c>
      <c r="Z1536" s="225">
        <v>293.29000000000002</v>
      </c>
      <c r="AA1536" s="225">
        <v>293.29000000000002</v>
      </c>
      <c r="AB1536" s="1026">
        <v>333.47</v>
      </c>
      <c r="AC1536" s="227">
        <v>297.11</v>
      </c>
      <c r="AD1536" s="227">
        <v>282.74</v>
      </c>
      <c r="AE1536" s="227">
        <v>133.91</v>
      </c>
      <c r="AF1536" s="271">
        <f t="shared" si="228"/>
        <v>239.74</v>
      </c>
      <c r="AG1536" s="962"/>
      <c r="AH1536" s="121"/>
      <c r="AK1536" s="963"/>
      <c r="DF1536" s="1650" t="str">
        <f t="shared" si="231"/>
        <v>ASHP-SEER16_ER2_SF</v>
      </c>
      <c r="DG1536" s="1094"/>
      <c r="DH1536" s="1393" t="str">
        <f t="shared" si="229"/>
        <v>Cooling Res ER2 12 Year EUL</v>
      </c>
      <c r="DI1536" s="1091">
        <f>(INDEX('Avoided Cost Benefits'!$B$4:$B$866,MATCH(DH1536,'Avoided Cost Benefits'!$A$4:$A$866,0)))*F1536</f>
        <v>310.20457314740571</v>
      </c>
      <c r="DJ1536" s="1176">
        <f>K1536/(1.0686^(2025-2025))</f>
        <v>0</v>
      </c>
      <c r="DM1536" s="252"/>
    </row>
    <row r="1537" spans="1:117">
      <c r="A1537" s="453"/>
      <c r="B1537" s="1454">
        <f t="shared" si="224"/>
        <v>352550</v>
      </c>
      <c r="C1537" s="682" t="s">
        <v>2192</v>
      </c>
      <c r="D1537" s="3470" t="s">
        <v>1043</v>
      </c>
      <c r="E1537" s="1370" t="s">
        <v>2194</v>
      </c>
      <c r="F1537" s="227">
        <f>ROUND(((K1928*K2121*(1/K2314-1/K2507)*K3472)/1000)*$K$3651,2)</f>
        <v>1079.8900000000001</v>
      </c>
      <c r="G1537" s="570" t="s">
        <v>2173</v>
      </c>
      <c r="H1537" s="69">
        <f>VLOOKUP(G1537,'CP FACTORS'!$A$3:$B$38, 2, FALSE)</f>
        <v>0</v>
      </c>
      <c r="I1537" s="1028">
        <f t="shared" si="225"/>
        <v>0</v>
      </c>
      <c r="J1537" s="59">
        <f t="shared" si="226"/>
        <v>12</v>
      </c>
      <c r="K1537" s="163">
        <f t="shared" si="227"/>
        <v>0</v>
      </c>
      <c r="L1537" s="255"/>
      <c r="M1537" s="560"/>
      <c r="N1537" s="572"/>
      <c r="O1537" s="417"/>
      <c r="R1537" s="532"/>
      <c r="S1537" s="52"/>
      <c r="T1537" s="52"/>
      <c r="U1537" s="574"/>
      <c r="V1537" s="1442" t="s">
        <v>45</v>
      </c>
      <c r="W1537" s="962">
        <v>1327.6421052631592</v>
      </c>
      <c r="X1537" s="251">
        <v>377.74325409076874</v>
      </c>
      <c r="Y1537" s="227">
        <v>835.23</v>
      </c>
      <c r="Z1537" s="225">
        <v>835.23</v>
      </c>
      <c r="AA1537" s="225">
        <v>835.23</v>
      </c>
      <c r="AB1537" s="1026">
        <v>525.75</v>
      </c>
      <c r="AC1537" s="227">
        <v>672.35</v>
      </c>
      <c r="AD1537" s="227">
        <v>571.32000000000005</v>
      </c>
      <c r="AE1537" s="227">
        <v>305</v>
      </c>
      <c r="AF1537" s="271">
        <f t="shared" si="228"/>
        <v>1079.8900000000001</v>
      </c>
      <c r="AG1537" s="962"/>
      <c r="AH1537" s="121"/>
      <c r="AK1537" s="963"/>
      <c r="DF1537" s="1650" t="str">
        <f t="shared" si="231"/>
        <v>ASHP-SEER16_ER2_SF</v>
      </c>
      <c r="DG1537" s="1094"/>
      <c r="DH1537" s="1370" t="str">
        <f t="shared" si="229"/>
        <v>Heating Res ER2 12 Year EUL</v>
      </c>
      <c r="DI1537" s="1091">
        <f>(INDEX('Avoided Cost Benefits'!$B$4:$B$866,MATCH(DH1537,'Avoided Cost Benefits'!$A$4:$A$866,0)))*F1537</f>
        <v>364.8905387261409</v>
      </c>
      <c r="DJ1537" s="1176">
        <f>K1537/(1.0686^(2025-2025))</f>
        <v>0</v>
      </c>
      <c r="DM1537" s="252"/>
    </row>
    <row r="1538" spans="1:117">
      <c r="A1538" s="453"/>
      <c r="B1538" s="1454">
        <f t="shared" si="224"/>
        <v>352600</v>
      </c>
      <c r="C1538" s="682" t="s">
        <v>2195</v>
      </c>
      <c r="D1538" s="3470" t="s">
        <v>1043</v>
      </c>
      <c r="E1538" s="215" t="s">
        <v>2196</v>
      </c>
      <c r="F1538" s="227">
        <f>ROUND(((K2701*K2894*(1/K3087-1/K3280)*K3473)/1000)*$K$3651,2)</f>
        <v>394.62</v>
      </c>
      <c r="G1538" s="570" t="s">
        <v>2077</v>
      </c>
      <c r="H1538" s="69">
        <f>VLOOKUP(G1538,'CP FACTORS'!$A$3:$B$38, 2, FALSE)</f>
        <v>9.4741810000000004E-4</v>
      </c>
      <c r="I1538" s="1476">
        <f t="shared" si="225"/>
        <v>0.37386999999999998</v>
      </c>
      <c r="J1538" s="59">
        <f t="shared" si="226"/>
        <v>18</v>
      </c>
      <c r="K1538" s="166">
        <f t="shared" si="227"/>
        <v>3623.261297181818</v>
      </c>
      <c r="L1538" s="255">
        <f>L1929</f>
        <v>2.8104354953030306</v>
      </c>
      <c r="M1538" s="560"/>
      <c r="N1538" s="572"/>
      <c r="O1538" s="417"/>
      <c r="R1538" s="532"/>
      <c r="S1538" s="52"/>
      <c r="T1538" s="52"/>
      <c r="U1538" s="574"/>
      <c r="V1538" s="1442" t="s">
        <v>45</v>
      </c>
      <c r="W1538" s="962">
        <v>481.29230769230787</v>
      </c>
      <c r="X1538" s="251">
        <v>460.23576923076939</v>
      </c>
      <c r="Y1538" s="227">
        <v>467.76</v>
      </c>
      <c r="Z1538" s="225">
        <v>467.76</v>
      </c>
      <c r="AA1538" s="225">
        <v>467.76</v>
      </c>
      <c r="AB1538" s="1026">
        <v>463.89</v>
      </c>
      <c r="AC1538" s="227">
        <v>506.78</v>
      </c>
      <c r="AD1538" s="227">
        <v>480.91</v>
      </c>
      <c r="AE1538" s="227">
        <v>292.10000000000002</v>
      </c>
      <c r="AF1538" s="271">
        <f t="shared" si="228"/>
        <v>394.62</v>
      </c>
      <c r="AG1538" s="962"/>
      <c r="AH1538" s="121"/>
      <c r="AK1538" s="963"/>
      <c r="DF1538" s="1650" t="str">
        <f t="shared" si="231"/>
        <v>ASHP-SEER16-Replace_CAC_ElectricHeat_ROF_SF</v>
      </c>
      <c r="DG1538" s="1090">
        <f>(DI1538+DI1539)/(DJ1538+DJ1539)</f>
        <v>1.7837950310688742</v>
      </c>
      <c r="DH1538" s="215" t="str">
        <f t="shared" si="229"/>
        <v>Cooling Res 18 Year EUL</v>
      </c>
      <c r="DI1538" s="1091">
        <f>(INDEX('Avoided Cost Benefits'!$B$4:$B$866,MATCH(DH1538,'Avoided Cost Benefits'!$A$4:$A$866,0)))*F1538</f>
        <v>903.58860317624908</v>
      </c>
      <c r="DJ1538" s="1176">
        <f>IFERROR(K1538/(1.0686^(2025-2025)),10000000)</f>
        <v>3623.261297181818</v>
      </c>
      <c r="DM1538" s="252"/>
    </row>
    <row r="1539" spans="1:117">
      <c r="A1539" s="453"/>
      <c r="B1539" s="1454">
        <f t="shared" si="224"/>
        <v>352600</v>
      </c>
      <c r="C1539" s="682" t="s">
        <v>2195</v>
      </c>
      <c r="D1539" s="3470" t="s">
        <v>1043</v>
      </c>
      <c r="E1539" s="253" t="s">
        <v>2196</v>
      </c>
      <c r="F1539" s="225">
        <f>ROUND(((K1929*K2122*(1/K2315-1/K2508)*K3473)/1000)*$K$3651,2)</f>
        <v>9173.07</v>
      </c>
      <c r="G1539" s="570" t="s">
        <v>2078</v>
      </c>
      <c r="H1539" s="69">
        <f>VLOOKUP(G1539,'CP FACTORS'!$A$3:$B$38, 2, FALSE)</f>
        <v>0</v>
      </c>
      <c r="I1539" s="1028">
        <f t="shared" si="225"/>
        <v>0</v>
      </c>
      <c r="J1539" s="59">
        <f t="shared" si="226"/>
        <v>18</v>
      </c>
      <c r="K1539" s="163">
        <f t="shared" si="227"/>
        <v>0</v>
      </c>
      <c r="L1539" s="255"/>
      <c r="M1539" s="560"/>
      <c r="N1539" s="572"/>
      <c r="O1539" s="417"/>
      <c r="R1539" s="532"/>
      <c r="S1539" s="52"/>
      <c r="T1539" s="52"/>
      <c r="U1539" s="574"/>
      <c r="V1539" s="1442" t="s">
        <v>45</v>
      </c>
      <c r="W1539" s="962">
        <v>14670.188469329136</v>
      </c>
      <c r="X1539" s="251">
        <v>9788.00163331972</v>
      </c>
      <c r="Y1539" s="227">
        <v>10452.1</v>
      </c>
      <c r="Z1539" s="225">
        <v>10452.1</v>
      </c>
      <c r="AA1539" s="225">
        <v>10452.1</v>
      </c>
      <c r="AB1539" s="1026">
        <v>9504.2099999999991</v>
      </c>
      <c r="AC1539" s="227">
        <v>9883.59</v>
      </c>
      <c r="AD1539" s="227">
        <v>9811.7099999999991</v>
      </c>
      <c r="AE1539" s="227">
        <v>9173.07</v>
      </c>
      <c r="AF1539" s="271">
        <f t="shared" si="228"/>
        <v>9173.07</v>
      </c>
      <c r="AG1539" s="962"/>
      <c r="AH1539" s="121"/>
      <c r="AK1539" s="963"/>
      <c r="DF1539" s="1650" t="str">
        <f t="shared" si="231"/>
        <v>ASHP-SEER16-Replace_CAC_ElectricHeat_ROF_SF</v>
      </c>
      <c r="DG1539" s="1092"/>
      <c r="DH1539" s="253" t="str">
        <f t="shared" si="229"/>
        <v>Heating Res 18 Year EUL</v>
      </c>
      <c r="DI1539" s="1091">
        <f>(INDEX('Avoided Cost Benefits'!$B$4:$B$866,MATCH(DH1539,'Avoided Cost Benefits'!$A$4:$A$866,0)))*F1539</f>
        <v>5559.5668950008412</v>
      </c>
      <c r="DJ1539" s="1176">
        <f>K1539/(1.0686^(2025-2025))</f>
        <v>0</v>
      </c>
      <c r="DM1539" s="252"/>
    </row>
    <row r="1540" spans="1:117">
      <c r="A1540" s="453"/>
      <c r="B1540" s="1454">
        <f t="shared" si="224"/>
        <v>352610</v>
      </c>
      <c r="C1540" s="682" t="s">
        <v>2197</v>
      </c>
      <c r="D1540" s="3470" t="s">
        <v>1800</v>
      </c>
      <c r="E1540" s="215" t="s">
        <v>2198</v>
      </c>
      <c r="F1540" s="227">
        <f>ROUND(((K2702*K2895*(1/K3088-1/K3281)*K3474)/1000)*$K$3651,2)</f>
        <v>394.62</v>
      </c>
      <c r="G1540" s="570" t="s">
        <v>2077</v>
      </c>
      <c r="H1540" s="69">
        <f>VLOOKUP(G1540,'CP FACTORS'!$A$3:$B$38, 2, FALSE)</f>
        <v>9.4741810000000004E-4</v>
      </c>
      <c r="I1540" s="1476">
        <f>ROUND(F1540*H1540,6)</f>
        <v>0.37386999999999998</v>
      </c>
      <c r="J1540" s="59">
        <f>K3686</f>
        <v>18</v>
      </c>
      <c r="K1540" s="166">
        <f t="shared" si="227"/>
        <v>149.4416492480305</v>
      </c>
      <c r="L1540" s="255">
        <f>L1932</f>
        <v>2.9733333333333332</v>
      </c>
      <c r="M1540" s="560"/>
      <c r="N1540" s="572"/>
      <c r="O1540" s="417"/>
      <c r="R1540" s="532"/>
      <c r="S1540" s="52"/>
      <c r="T1540" s="52"/>
      <c r="U1540" s="574"/>
      <c r="V1540" s="1442" t="s">
        <v>45</v>
      </c>
      <c r="W1540" s="962"/>
      <c r="X1540" s="251"/>
      <c r="Y1540" s="227"/>
      <c r="Z1540" s="225"/>
      <c r="AA1540" s="225"/>
      <c r="AB1540" s="1026"/>
      <c r="AC1540" s="227"/>
      <c r="AD1540" s="227">
        <v>480.91</v>
      </c>
      <c r="AE1540" s="227">
        <v>292.10000000000002</v>
      </c>
      <c r="AF1540" s="271">
        <f t="shared" si="228"/>
        <v>394.62</v>
      </c>
      <c r="AG1540" s="962"/>
      <c r="AH1540" s="121"/>
      <c r="AK1540" s="963"/>
      <c r="DF1540" s="1650" t="str">
        <f t="shared" si="231"/>
        <v>ASHP-SEER16-Replace_CAC_NonElectricHeat_ROF_SF</v>
      </c>
      <c r="DG1540" s="1090">
        <f>(DI1540+DI1541)/(DJ1540+DJ1541)</f>
        <v>6.0464308827089415</v>
      </c>
      <c r="DH1540" s="215" t="str">
        <f>CONCATENATE(G1540," ",J1540," Year EUL")</f>
        <v>Cooling Res 18 Year EUL</v>
      </c>
      <c r="DI1540" s="1091">
        <f>(INDEX('Avoided Cost Benefits'!$B$4:$B$866,MATCH(DH1540,'Avoided Cost Benefits'!$A$4:$A$866,0)))*F1540</f>
        <v>903.58860317624908</v>
      </c>
      <c r="DJ1540" s="1176">
        <f>IFERROR(K1540/(1.0686^(2025-2025)),10000000)</f>
        <v>149.4416492480305</v>
      </c>
      <c r="DM1540" s="252"/>
    </row>
    <row r="1541" spans="1:117">
      <c r="A1541" s="453"/>
      <c r="B1541" s="1454">
        <f t="shared" si="224"/>
        <v>352610</v>
      </c>
      <c r="C1541" s="682" t="s">
        <v>2197</v>
      </c>
      <c r="D1541" s="3470" t="s">
        <v>1800</v>
      </c>
      <c r="E1541" s="253" t="s">
        <v>2198</v>
      </c>
      <c r="F1541" s="225">
        <f>0</f>
        <v>0</v>
      </c>
      <c r="G1541" s="570" t="s">
        <v>2078</v>
      </c>
      <c r="H1541" s="69">
        <f>VLOOKUP(G1541,'CP FACTORS'!$A$3:$B$38, 2, FALSE)</f>
        <v>0</v>
      </c>
      <c r="I1541" s="1028">
        <f>ROUND(F1541*H1541,6)</f>
        <v>0</v>
      </c>
      <c r="J1541" s="59">
        <f>K3687</f>
        <v>18</v>
      </c>
      <c r="K1541" s="163">
        <f t="shared" si="227"/>
        <v>0</v>
      </c>
      <c r="L1541" s="255"/>
      <c r="M1541" s="560"/>
      <c r="N1541" s="572"/>
      <c r="O1541" s="417"/>
      <c r="R1541" s="532"/>
      <c r="S1541" s="52"/>
      <c r="T1541" s="52"/>
      <c r="U1541" s="574"/>
      <c r="V1541" s="1442" t="s">
        <v>45</v>
      </c>
      <c r="W1541" s="962"/>
      <c r="X1541" s="251"/>
      <c r="Y1541" s="227"/>
      <c r="Z1541" s="225"/>
      <c r="AA1541" s="225"/>
      <c r="AB1541" s="1026"/>
      <c r="AC1541" s="227"/>
      <c r="AD1541" s="227">
        <v>0</v>
      </c>
      <c r="AE1541" s="225">
        <v>0</v>
      </c>
      <c r="AF1541" s="271">
        <f t="shared" si="228"/>
        <v>0</v>
      </c>
      <c r="AG1541" s="962"/>
      <c r="AH1541" s="121"/>
      <c r="AK1541" s="963"/>
      <c r="DF1541" s="1650" t="str">
        <f t="shared" si="231"/>
        <v>ASHP-SEER16-Replace_CAC_NonElectricHeat_ROF_SF</v>
      </c>
      <c r="DG1541" s="1092"/>
      <c r="DH1541" s="253" t="str">
        <f>CONCATENATE(G1541," ",J1541," Year EUL")</f>
        <v>Heating Res 18 Year EUL</v>
      </c>
      <c r="DI1541" s="1091">
        <f>(INDEX('Avoided Cost Benefits'!$B$4:$B$866,MATCH(DH1541,'Avoided Cost Benefits'!$A$4:$A$866,0)))*F1541</f>
        <v>0</v>
      </c>
      <c r="DJ1541" s="1176">
        <f>K1541/(1.0686^(2025-2025))</f>
        <v>0</v>
      </c>
      <c r="DM1541" s="252"/>
    </row>
    <row r="1542" spans="1:117">
      <c r="A1542" s="453"/>
      <c r="B1542" s="1454">
        <f t="shared" si="224"/>
        <v>352650</v>
      </c>
      <c r="C1542" s="682" t="s">
        <v>2199</v>
      </c>
      <c r="D1542" s="3470" t="s">
        <v>1043</v>
      </c>
      <c r="E1542" s="215" t="s">
        <v>2200</v>
      </c>
      <c r="F1542" s="227">
        <f>ROUND(((K2703*K2896*(1/K3089-1/K3282)*K3475)/1000)*$K$3651,2)</f>
        <v>244.06</v>
      </c>
      <c r="G1542" s="570" t="s">
        <v>2077</v>
      </c>
      <c r="H1542" s="69">
        <f>VLOOKUP(G1542,'CP FACTORS'!$A$3:$B$38, 2, FALSE)</f>
        <v>9.4741810000000004E-4</v>
      </c>
      <c r="I1542" s="1476">
        <f t="shared" si="225"/>
        <v>0.23122699999999999</v>
      </c>
      <c r="J1542" s="59">
        <f t="shared" ref="J1542:J1605" si="233">K3686</f>
        <v>18</v>
      </c>
      <c r="K1542" s="166">
        <f t="shared" si="227"/>
        <v>421</v>
      </c>
      <c r="L1542" s="255">
        <f>L1931</f>
        <v>2.8104354953030306</v>
      </c>
      <c r="M1542" s="560"/>
      <c r="N1542" s="572"/>
      <c r="O1542" s="417"/>
      <c r="R1542" s="532"/>
      <c r="S1542" s="52"/>
      <c r="T1542" s="52"/>
      <c r="U1542" s="574"/>
      <c r="V1542" s="1442" t="s">
        <v>45</v>
      </c>
      <c r="W1542" s="962">
        <v>307.25357142857132</v>
      </c>
      <c r="X1542" s="251">
        <v>284.90785714285704</v>
      </c>
      <c r="Y1542" s="227">
        <v>302.60000000000002</v>
      </c>
      <c r="Z1542" s="225">
        <v>302.60000000000002</v>
      </c>
      <c r="AA1542" s="225">
        <v>302.60000000000002</v>
      </c>
      <c r="AB1542" s="1027">
        <v>302.60000000000002</v>
      </c>
      <c r="AC1542" s="227">
        <v>292.86</v>
      </c>
      <c r="AD1542" s="227">
        <v>300.64</v>
      </c>
      <c r="AE1542" s="227">
        <v>139.44999999999999</v>
      </c>
      <c r="AF1542" s="271">
        <f t="shared" si="228"/>
        <v>244.06</v>
      </c>
      <c r="AG1542" s="962"/>
      <c r="AH1542" s="121"/>
      <c r="AK1542" s="963"/>
      <c r="DF1542" s="1650" t="str">
        <f t="shared" si="231"/>
        <v>ASHP-SEER16_ROF_SF</v>
      </c>
      <c r="DG1542" s="1090">
        <f>(DI1542+DI1543)/(DJ1542+DJ1543)</f>
        <v>2.9175319659047343</v>
      </c>
      <c r="DH1542" s="215" t="str">
        <f t="shared" si="229"/>
        <v>Cooling Res 18 Year EUL</v>
      </c>
      <c r="DI1542" s="1091">
        <f>(INDEX('Avoided Cost Benefits'!$B$4:$B$866,MATCH(DH1542,'Avoided Cost Benefits'!$A$4:$A$866,0)))*F1542</f>
        <v>558.84099764633152</v>
      </c>
      <c r="DJ1542" s="1176">
        <f>IFERROR(K1542/(1.0686^(2025-2025)),10000000)</f>
        <v>421</v>
      </c>
      <c r="DM1542" s="252"/>
    </row>
    <row r="1543" spans="1:117">
      <c r="A1543" s="453"/>
      <c r="B1543" s="1454">
        <f t="shared" si="224"/>
        <v>352650</v>
      </c>
      <c r="C1543" s="682" t="s">
        <v>2199</v>
      </c>
      <c r="D1543" s="3470" t="s">
        <v>1043</v>
      </c>
      <c r="E1543" s="253" t="s">
        <v>2200</v>
      </c>
      <c r="F1543" s="227">
        <f>ROUND(((K1931*K2124*(1/K2317-1/K2510)*K3475)/1000)*$K$3651,2)</f>
        <v>1104.55</v>
      </c>
      <c r="G1543" s="570" t="s">
        <v>2078</v>
      </c>
      <c r="H1543" s="69">
        <f>VLOOKUP(G1543,'CP FACTORS'!$A$3:$B$38, 2, FALSE)</f>
        <v>0</v>
      </c>
      <c r="I1543" s="1028">
        <f t="shared" si="225"/>
        <v>0</v>
      </c>
      <c r="J1543" s="59">
        <f t="shared" si="233"/>
        <v>18</v>
      </c>
      <c r="K1543" s="163">
        <f t="shared" si="227"/>
        <v>0</v>
      </c>
      <c r="L1543" s="255"/>
      <c r="M1543" s="560"/>
      <c r="N1543" s="572"/>
      <c r="O1543" s="417"/>
      <c r="R1543" s="532"/>
      <c r="S1543" s="52"/>
      <c r="T1543" s="52"/>
      <c r="U1543" s="574"/>
      <c r="V1543" s="1442" t="s">
        <v>45</v>
      </c>
      <c r="W1543" s="962">
        <v>1584.0000000000018</v>
      </c>
      <c r="X1543" s="251">
        <v>377.74325409076874</v>
      </c>
      <c r="Y1543" s="227">
        <v>928.06</v>
      </c>
      <c r="Z1543" s="225">
        <v>928.06</v>
      </c>
      <c r="AA1543" s="225">
        <v>928.06</v>
      </c>
      <c r="AB1543" s="1027">
        <v>928.06</v>
      </c>
      <c r="AC1543" s="227">
        <v>637.16</v>
      </c>
      <c r="AD1543" s="227">
        <v>677.46</v>
      </c>
      <c r="AE1543" s="227">
        <v>244.11</v>
      </c>
      <c r="AF1543" s="271">
        <f t="shared" si="228"/>
        <v>1104.55</v>
      </c>
      <c r="AG1543" s="962"/>
      <c r="AH1543" s="121"/>
      <c r="AK1543" s="963"/>
      <c r="DF1543" s="1650" t="str">
        <f t="shared" si="231"/>
        <v>ASHP-SEER16_ROF_SF</v>
      </c>
      <c r="DG1543" s="1092"/>
      <c r="DH1543" s="253" t="str">
        <f t="shared" si="229"/>
        <v>Heating Res 18 Year EUL</v>
      </c>
      <c r="DI1543" s="1091">
        <f>(INDEX('Avoided Cost Benefits'!$B$4:$B$866,MATCH(DH1543,'Avoided Cost Benefits'!$A$4:$A$866,0)))*F1543</f>
        <v>669.43995999956167</v>
      </c>
      <c r="DJ1543" s="1176">
        <f>K1543/(1.0686^(2025-2025))</f>
        <v>0</v>
      </c>
      <c r="DM1543" s="252"/>
    </row>
    <row r="1544" spans="1:117">
      <c r="A1544" s="453"/>
      <c r="B1544" s="1454">
        <f t="shared" si="224"/>
        <v>352700</v>
      </c>
      <c r="C1544" s="2554" t="s">
        <v>2201</v>
      </c>
      <c r="D1544" s="3383" t="s">
        <v>1122</v>
      </c>
      <c r="E1544" s="2521" t="s">
        <v>2202</v>
      </c>
      <c r="F1544" s="3373">
        <f>ROUND(((K2704*K2897*(1/K3090-1/K3283)*K3476)/1000)*$K$3651,2)</f>
        <v>2374.39</v>
      </c>
      <c r="G1544" s="3384" t="s">
        <v>2077</v>
      </c>
      <c r="H1544" s="2213">
        <f>VLOOKUP(G1544,'CP FACTORS'!$A$3:$B$38, 2, FALSE)</f>
        <v>9.4741810000000004E-4</v>
      </c>
      <c r="I1544" s="3385">
        <f t="shared" si="225"/>
        <v>2.2495400000000001</v>
      </c>
      <c r="J1544" s="2449">
        <f t="shared" si="233"/>
        <v>6</v>
      </c>
      <c r="K1544" s="2467">
        <f t="shared" si="227"/>
        <v>131.86562543570653</v>
      </c>
      <c r="L1544" s="2649">
        <f>L1932</f>
        <v>2.9733333333333332</v>
      </c>
      <c r="M1544" s="3386"/>
      <c r="N1544" s="3387"/>
      <c r="O1544" s="2702"/>
      <c r="P1544" s="635"/>
      <c r="Q1544" s="635"/>
      <c r="R1544" s="2966"/>
      <c r="S1544" s="635"/>
      <c r="T1544" s="635"/>
      <c r="U1544" s="3388"/>
      <c r="V1544" s="2962" t="s">
        <v>45</v>
      </c>
      <c r="W1544" s="3389">
        <v>1526.8406732891833</v>
      </c>
      <c r="X1544" s="3390">
        <v>1130.9484063824204</v>
      </c>
      <c r="Y1544" s="3373">
        <v>1130.95</v>
      </c>
      <c r="Z1544" s="3373">
        <v>1130.95</v>
      </c>
      <c r="AA1544" s="3373">
        <v>1130.95</v>
      </c>
      <c r="AB1544" s="3391">
        <v>1328.6</v>
      </c>
      <c r="AC1544" s="3369">
        <v>1068.07</v>
      </c>
      <c r="AD1544" s="3369">
        <v>2374.39</v>
      </c>
      <c r="AE1544" s="3373">
        <v>2374.39</v>
      </c>
      <c r="AF1544" s="2236">
        <f t="shared" si="228"/>
        <v>2374.39</v>
      </c>
      <c r="AG1544" s="3389"/>
      <c r="AH1544" s="2728"/>
      <c r="AI1544" s="2237"/>
      <c r="AJ1544" s="2237"/>
      <c r="AK1544" s="3392"/>
      <c r="AL1544" s="2237"/>
      <c r="AM1544" s="2237"/>
      <c r="AN1544" s="2237"/>
      <c r="AO1544" s="2237"/>
      <c r="AP1544" s="2237"/>
      <c r="AQ1544" s="2237"/>
      <c r="AR1544" s="2237"/>
      <c r="AS1544" s="2237"/>
      <c r="AT1544" s="2237"/>
      <c r="AU1544" s="2237"/>
      <c r="AV1544" s="2237"/>
      <c r="AW1544" s="2237"/>
      <c r="AX1544" s="2237"/>
      <c r="AY1544" s="2237"/>
      <c r="AZ1544" s="2237"/>
      <c r="BA1544" s="2237"/>
      <c r="BB1544" s="2237"/>
      <c r="BC1544" s="2237"/>
      <c r="BD1544" s="2237"/>
      <c r="BE1544" s="2237"/>
      <c r="BF1544" s="2237"/>
      <c r="BG1544" s="2237"/>
      <c r="BH1544" s="2237"/>
      <c r="BI1544" s="2237"/>
      <c r="BJ1544" s="2237"/>
      <c r="BK1544" s="2237"/>
      <c r="BL1544" s="2237"/>
      <c r="BM1544" s="2237"/>
      <c r="BN1544" s="2237"/>
      <c r="BO1544" s="2237"/>
      <c r="BP1544" s="2237"/>
      <c r="BQ1544" s="2237"/>
      <c r="BR1544" s="2237"/>
      <c r="BS1544" s="2237"/>
      <c r="BT1544" s="2237"/>
      <c r="BU1544" s="2237"/>
      <c r="BV1544" s="2237"/>
      <c r="BW1544" s="2237"/>
      <c r="BX1544" s="2237"/>
      <c r="BY1544" s="2237"/>
      <c r="BZ1544" s="2237"/>
      <c r="CA1544" s="2237"/>
      <c r="CB1544" s="2237"/>
      <c r="CC1544" s="2237"/>
      <c r="CD1544" s="2237"/>
      <c r="CE1544" s="2237"/>
      <c r="CF1544" s="2237"/>
      <c r="CG1544" s="2237"/>
      <c r="CH1544" s="2237"/>
      <c r="CI1544" s="2237"/>
      <c r="CJ1544" s="2237"/>
      <c r="CK1544" s="2237"/>
      <c r="CL1544" s="2237"/>
      <c r="CM1544" s="2237"/>
      <c r="CN1544" s="2237"/>
      <c r="CO1544" s="2237"/>
      <c r="CP1544" s="2237"/>
      <c r="CQ1544" s="2237"/>
      <c r="CR1544" s="2237"/>
      <c r="CS1544" s="2237"/>
      <c r="CT1544" s="2237"/>
      <c r="CU1544" s="2237"/>
      <c r="CV1544" s="2237"/>
      <c r="CW1544" s="2237"/>
      <c r="CX1544" s="2237"/>
      <c r="CY1544" s="2237"/>
      <c r="CZ1544" s="2237"/>
      <c r="DA1544" s="2237"/>
      <c r="DB1544" s="2237"/>
      <c r="DC1544" s="2237"/>
      <c r="DD1544" s="2237"/>
      <c r="DE1544" s="2237"/>
      <c r="DF1544" s="3393" t="str">
        <f t="shared" si="231"/>
        <v>ASHP-SEER15_ER1_MF</v>
      </c>
      <c r="DG1544" s="3259">
        <f>(DI1544+DI1545+DI1546+DI1547)/(DJ1544+DJ1545+DJ1546+DJ1547)</f>
        <v>27.462912114559437</v>
      </c>
      <c r="DH1544" s="2521" t="str">
        <f t="shared" si="229"/>
        <v>Cooling Res 6 Year EUL</v>
      </c>
      <c r="DI1544" s="3260">
        <f>(INDEX('Avoided Cost Benefits'!$B$4:$B$866,MATCH(DH1544,'Avoided Cost Benefits'!$A$4:$A$866,0)))*F1544</f>
        <v>2364.5317638053484</v>
      </c>
      <c r="DJ1544" s="2507">
        <f>IFERROR(K1544/(1.0686^(2025-2025)),10000000)</f>
        <v>131.86562543570653</v>
      </c>
      <c r="DM1544" s="252"/>
    </row>
    <row r="1545" spans="1:117">
      <c r="A1545" s="453"/>
      <c r="B1545" s="1454">
        <f t="shared" si="224"/>
        <v>352700</v>
      </c>
      <c r="C1545" s="2554" t="s">
        <v>2201</v>
      </c>
      <c r="D1545" s="3383" t="s">
        <v>1122</v>
      </c>
      <c r="E1545" s="2882" t="s">
        <v>2202</v>
      </c>
      <c r="F1545" s="3373">
        <f>ROUND(((K1932*K2125*(1/K2318-1/K2511)*K3476)/1000)*$K$3651,2)</f>
        <v>2372.56</v>
      </c>
      <c r="G1545" s="3384" t="s">
        <v>2078</v>
      </c>
      <c r="H1545" s="2213">
        <f>VLOOKUP(G1545,'CP FACTORS'!$A$3:$B$38, 2, FALSE)</f>
        <v>0</v>
      </c>
      <c r="I1545" s="3385">
        <f t="shared" si="225"/>
        <v>0</v>
      </c>
      <c r="J1545" s="2449">
        <f t="shared" si="233"/>
        <v>6</v>
      </c>
      <c r="K1545" s="2894">
        <f t="shared" si="227"/>
        <v>0</v>
      </c>
      <c r="L1545" s="2649"/>
      <c r="M1545" s="3386"/>
      <c r="N1545" s="3387"/>
      <c r="O1545" s="2702"/>
      <c r="P1545" s="635"/>
      <c r="Q1545" s="635"/>
      <c r="R1545" s="2966"/>
      <c r="S1545" s="635"/>
      <c r="T1545" s="635"/>
      <c r="U1545" s="3388"/>
      <c r="V1545" s="2962" t="s">
        <v>45</v>
      </c>
      <c r="W1545" s="3389">
        <v>3346.0750760649075</v>
      </c>
      <c r="X1545" s="3390">
        <v>2491.6517241379302</v>
      </c>
      <c r="Y1545" s="3373">
        <v>2491.65</v>
      </c>
      <c r="Z1545" s="3373">
        <v>2491.65</v>
      </c>
      <c r="AA1545" s="3373">
        <v>2491.65</v>
      </c>
      <c r="AB1545" s="3391">
        <v>1396.62</v>
      </c>
      <c r="AC1545" s="3369">
        <v>1319.43</v>
      </c>
      <c r="AD1545" s="3369">
        <v>2372.56</v>
      </c>
      <c r="AE1545" s="3373">
        <v>2372.56</v>
      </c>
      <c r="AF1545" s="2236">
        <f t="shared" si="228"/>
        <v>2372.56</v>
      </c>
      <c r="AG1545" s="3389"/>
      <c r="AH1545" s="2728"/>
      <c r="AI1545" s="2237"/>
      <c r="AJ1545" s="2237"/>
      <c r="AK1545" s="3392"/>
      <c r="AL1545" s="2237"/>
      <c r="AM1545" s="2237"/>
      <c r="AN1545" s="2237"/>
      <c r="AO1545" s="2237"/>
      <c r="AP1545" s="2237"/>
      <c r="AQ1545" s="2237"/>
      <c r="AR1545" s="2237"/>
      <c r="AS1545" s="2237"/>
      <c r="AT1545" s="2237"/>
      <c r="AU1545" s="2237"/>
      <c r="AV1545" s="2237"/>
      <c r="AW1545" s="2237"/>
      <c r="AX1545" s="2237"/>
      <c r="AY1545" s="2237"/>
      <c r="AZ1545" s="2237"/>
      <c r="BA1545" s="2237"/>
      <c r="BB1545" s="2237"/>
      <c r="BC1545" s="2237"/>
      <c r="BD1545" s="2237"/>
      <c r="BE1545" s="2237"/>
      <c r="BF1545" s="2237"/>
      <c r="BG1545" s="2237"/>
      <c r="BH1545" s="2237"/>
      <c r="BI1545" s="2237"/>
      <c r="BJ1545" s="2237"/>
      <c r="BK1545" s="2237"/>
      <c r="BL1545" s="2237"/>
      <c r="BM1545" s="2237"/>
      <c r="BN1545" s="2237"/>
      <c r="BO1545" s="2237"/>
      <c r="BP1545" s="2237"/>
      <c r="BQ1545" s="2237"/>
      <c r="BR1545" s="2237"/>
      <c r="BS1545" s="2237"/>
      <c r="BT1545" s="2237"/>
      <c r="BU1545" s="2237"/>
      <c r="BV1545" s="2237"/>
      <c r="BW1545" s="2237"/>
      <c r="BX1545" s="2237"/>
      <c r="BY1545" s="2237"/>
      <c r="BZ1545" s="2237"/>
      <c r="CA1545" s="2237"/>
      <c r="CB1545" s="2237"/>
      <c r="CC1545" s="2237"/>
      <c r="CD1545" s="2237"/>
      <c r="CE1545" s="2237"/>
      <c r="CF1545" s="2237"/>
      <c r="CG1545" s="2237"/>
      <c r="CH1545" s="2237"/>
      <c r="CI1545" s="2237"/>
      <c r="CJ1545" s="2237"/>
      <c r="CK1545" s="2237"/>
      <c r="CL1545" s="2237"/>
      <c r="CM1545" s="2237"/>
      <c r="CN1545" s="2237"/>
      <c r="CO1545" s="2237"/>
      <c r="CP1545" s="2237"/>
      <c r="CQ1545" s="2237"/>
      <c r="CR1545" s="2237"/>
      <c r="CS1545" s="2237"/>
      <c r="CT1545" s="2237"/>
      <c r="CU1545" s="2237"/>
      <c r="CV1545" s="2237"/>
      <c r="CW1545" s="2237"/>
      <c r="CX1545" s="2237"/>
      <c r="CY1545" s="2237"/>
      <c r="CZ1545" s="2237"/>
      <c r="DA1545" s="2237"/>
      <c r="DB1545" s="2237"/>
      <c r="DC1545" s="2237"/>
      <c r="DD1545" s="2237"/>
      <c r="DE1545" s="2237"/>
      <c r="DF1545" s="3393" t="str">
        <f t="shared" si="231"/>
        <v>ASHP-SEER15_ER1_MF</v>
      </c>
      <c r="DG1545" s="3332"/>
      <c r="DH1545" s="2882" t="str">
        <f t="shared" si="229"/>
        <v>Heating Res 6 Year EUL</v>
      </c>
      <c r="DI1545" s="3260">
        <f>(INDEX('Avoided Cost Benefits'!$B$4:$B$866,MATCH(DH1545,'Avoided Cost Benefits'!$A$4:$A$866,0)))*F1545</f>
        <v>636.27031896755295</v>
      </c>
      <c r="DJ1545" s="2507">
        <f>K1545/(1.0686^(2025-2025))</f>
        <v>0</v>
      </c>
      <c r="DM1545" s="252"/>
    </row>
    <row r="1546" spans="1:117">
      <c r="A1546" s="453"/>
      <c r="B1546" s="1454">
        <f t="shared" si="224"/>
        <v>352700</v>
      </c>
      <c r="C1546" s="2554" t="s">
        <v>2201</v>
      </c>
      <c r="D1546" s="3383" t="s">
        <v>1122</v>
      </c>
      <c r="E1546" s="2882" t="s">
        <v>2203</v>
      </c>
      <c r="F1546" s="3369">
        <f>ROUND(((K2705*K2898*(1/K3091-1/K3284)*K3477)/1000)*$K$3651,2)</f>
        <v>119.92</v>
      </c>
      <c r="G1546" s="3384" t="s">
        <v>2138</v>
      </c>
      <c r="H1546" s="2213">
        <f>VLOOKUP(G1546,'CP FACTORS'!$A$3:$B$38, 2, FALSE)</f>
        <v>9.4741810000000004E-4</v>
      </c>
      <c r="I1546" s="3394">
        <f t="shared" si="225"/>
        <v>0.11361400000000001</v>
      </c>
      <c r="J1546" s="2449">
        <f t="shared" si="233"/>
        <v>12</v>
      </c>
      <c r="K1546" s="2894">
        <f t="shared" si="227"/>
        <v>0</v>
      </c>
      <c r="L1546" s="2649"/>
      <c r="M1546" s="3386"/>
      <c r="N1546" s="3387"/>
      <c r="O1546" s="2702"/>
      <c r="P1546" s="635"/>
      <c r="Q1546" s="635"/>
      <c r="R1546" s="2966"/>
      <c r="S1546" s="635"/>
      <c r="T1546" s="635"/>
      <c r="U1546" s="3388"/>
      <c r="V1546" s="2962" t="s">
        <v>45</v>
      </c>
      <c r="W1546" s="3389">
        <v>109.33614947965923</v>
      </c>
      <c r="X1546" s="3390">
        <v>109.33614947965923</v>
      </c>
      <c r="Y1546" s="3373">
        <v>109.34</v>
      </c>
      <c r="Z1546" s="3373">
        <v>109.34</v>
      </c>
      <c r="AA1546" s="3373">
        <v>109.34</v>
      </c>
      <c r="AB1546" s="3391">
        <v>103.53</v>
      </c>
      <c r="AC1546" s="3369">
        <v>105.03</v>
      </c>
      <c r="AD1546" s="3369">
        <v>171.49</v>
      </c>
      <c r="AE1546" s="3369">
        <v>7.62</v>
      </c>
      <c r="AF1546" s="2236">
        <f t="shared" si="228"/>
        <v>119.92</v>
      </c>
      <c r="AG1546" s="3389"/>
      <c r="AH1546" s="2728"/>
      <c r="AI1546" s="2237"/>
      <c r="AJ1546" s="2237"/>
      <c r="AK1546" s="3392"/>
      <c r="AL1546" s="2237"/>
      <c r="AM1546" s="2237"/>
      <c r="AN1546" s="2237"/>
      <c r="AO1546" s="2237"/>
      <c r="AP1546" s="2237"/>
      <c r="AQ1546" s="2237"/>
      <c r="AR1546" s="2237"/>
      <c r="AS1546" s="2237"/>
      <c r="AT1546" s="2237"/>
      <c r="AU1546" s="2237"/>
      <c r="AV1546" s="2237"/>
      <c r="AW1546" s="2237"/>
      <c r="AX1546" s="2237"/>
      <c r="AY1546" s="2237"/>
      <c r="AZ1546" s="2237"/>
      <c r="BA1546" s="2237"/>
      <c r="BB1546" s="2237"/>
      <c r="BC1546" s="2237"/>
      <c r="BD1546" s="2237"/>
      <c r="BE1546" s="2237"/>
      <c r="BF1546" s="2237"/>
      <c r="BG1546" s="2237"/>
      <c r="BH1546" s="2237"/>
      <c r="BI1546" s="2237"/>
      <c r="BJ1546" s="2237"/>
      <c r="BK1546" s="2237"/>
      <c r="BL1546" s="2237"/>
      <c r="BM1546" s="2237"/>
      <c r="BN1546" s="2237"/>
      <c r="BO1546" s="2237"/>
      <c r="BP1546" s="2237"/>
      <c r="BQ1546" s="2237"/>
      <c r="BR1546" s="2237"/>
      <c r="BS1546" s="2237"/>
      <c r="BT1546" s="2237"/>
      <c r="BU1546" s="2237"/>
      <c r="BV1546" s="2237"/>
      <c r="BW1546" s="2237"/>
      <c r="BX1546" s="2237"/>
      <c r="BY1546" s="2237"/>
      <c r="BZ1546" s="2237"/>
      <c r="CA1546" s="2237"/>
      <c r="CB1546" s="2237"/>
      <c r="CC1546" s="2237"/>
      <c r="CD1546" s="2237"/>
      <c r="CE1546" s="2237"/>
      <c r="CF1546" s="2237"/>
      <c r="CG1546" s="2237"/>
      <c r="CH1546" s="2237"/>
      <c r="CI1546" s="2237"/>
      <c r="CJ1546" s="2237"/>
      <c r="CK1546" s="2237"/>
      <c r="CL1546" s="2237"/>
      <c r="CM1546" s="2237"/>
      <c r="CN1546" s="2237"/>
      <c r="CO1546" s="2237"/>
      <c r="CP1546" s="2237"/>
      <c r="CQ1546" s="2237"/>
      <c r="CR1546" s="2237"/>
      <c r="CS1546" s="2237"/>
      <c r="CT1546" s="2237"/>
      <c r="CU1546" s="2237"/>
      <c r="CV1546" s="2237"/>
      <c r="CW1546" s="2237"/>
      <c r="CX1546" s="2237"/>
      <c r="CY1546" s="2237"/>
      <c r="CZ1546" s="2237"/>
      <c r="DA1546" s="2237"/>
      <c r="DB1546" s="2237"/>
      <c r="DC1546" s="2237"/>
      <c r="DD1546" s="2237"/>
      <c r="DE1546" s="2237"/>
      <c r="DF1546" s="3393" t="str">
        <f t="shared" si="231"/>
        <v>ASHP-SEER15_ER2_MF</v>
      </c>
      <c r="DG1546" s="3332"/>
      <c r="DH1546" s="2882" t="str">
        <f t="shared" si="229"/>
        <v>Cooling Res ER2 12 Year EUL</v>
      </c>
      <c r="DI1546" s="3260">
        <f>(INDEX('Avoided Cost Benefits'!$B$4:$B$866,MATCH(DH1546,'Avoided Cost Benefits'!$A$4:$A$866,0)))*F1546</f>
        <v>155.16698261381867</v>
      </c>
      <c r="DJ1546" s="2507">
        <f>K1546/(1.0686^(2025-2025))</f>
        <v>0</v>
      </c>
      <c r="DM1546" s="252"/>
    </row>
    <row r="1547" spans="1:117">
      <c r="A1547" s="453"/>
      <c r="B1547" s="1454">
        <f t="shared" si="224"/>
        <v>352700</v>
      </c>
      <c r="C1547" s="2554" t="s">
        <v>2201</v>
      </c>
      <c r="D1547" s="3383" t="s">
        <v>1122</v>
      </c>
      <c r="E1547" s="2522" t="s">
        <v>2203</v>
      </c>
      <c r="F1547" s="3369">
        <f>ROUND(((K1933*K2126*(1/K2319-1/K2512)*K3477)/1000)*$K$3651,2)</f>
        <v>1377.48</v>
      </c>
      <c r="G1547" s="3384" t="s">
        <v>2173</v>
      </c>
      <c r="H1547" s="2213">
        <f>VLOOKUP(G1547,'CP FACTORS'!$A$3:$B$38, 2, FALSE)</f>
        <v>0</v>
      </c>
      <c r="I1547" s="3385">
        <f t="shared" si="225"/>
        <v>0</v>
      </c>
      <c r="J1547" s="2449">
        <f t="shared" si="233"/>
        <v>12</v>
      </c>
      <c r="K1547" s="2894">
        <f t="shared" si="227"/>
        <v>0</v>
      </c>
      <c r="L1547" s="2649"/>
      <c r="M1547" s="3386"/>
      <c r="N1547" s="3387"/>
      <c r="O1547" s="2702"/>
      <c r="P1547" s="635"/>
      <c r="Q1547" s="635"/>
      <c r="R1547" s="2966"/>
      <c r="S1547" s="635"/>
      <c r="T1547" s="635"/>
      <c r="U1547" s="3388"/>
      <c r="V1547" s="2962" t="s">
        <v>45</v>
      </c>
      <c r="W1547" s="3389">
        <v>340.46551724137925</v>
      </c>
      <c r="X1547" s="3390">
        <v>253.52733389402857</v>
      </c>
      <c r="Y1547" s="3373">
        <v>253.53</v>
      </c>
      <c r="Z1547" s="3373">
        <v>253.53</v>
      </c>
      <c r="AA1547" s="3373">
        <v>253.53</v>
      </c>
      <c r="AB1547" s="3391">
        <v>389.37</v>
      </c>
      <c r="AC1547" s="3369">
        <v>297.58</v>
      </c>
      <c r="AD1547" s="3369">
        <v>769.93</v>
      </c>
      <c r="AE1547" s="3369">
        <v>467.17</v>
      </c>
      <c r="AF1547" s="2236">
        <f t="shared" si="228"/>
        <v>1377.48</v>
      </c>
      <c r="AG1547" s="3389"/>
      <c r="AH1547" s="2728"/>
      <c r="AI1547" s="2237"/>
      <c r="AJ1547" s="2237"/>
      <c r="AK1547" s="3392"/>
      <c r="AL1547" s="2237"/>
      <c r="AM1547" s="2237"/>
      <c r="AN1547" s="2237"/>
      <c r="AO1547" s="2237"/>
      <c r="AP1547" s="2237"/>
      <c r="AQ1547" s="2237"/>
      <c r="AR1547" s="2237"/>
      <c r="AS1547" s="2237"/>
      <c r="AT1547" s="2237"/>
      <c r="AU1547" s="2237"/>
      <c r="AV1547" s="2237"/>
      <c r="AW1547" s="2237"/>
      <c r="AX1547" s="2237"/>
      <c r="AY1547" s="2237"/>
      <c r="AZ1547" s="2237"/>
      <c r="BA1547" s="2237"/>
      <c r="BB1547" s="2237"/>
      <c r="BC1547" s="2237"/>
      <c r="BD1547" s="2237"/>
      <c r="BE1547" s="2237"/>
      <c r="BF1547" s="2237"/>
      <c r="BG1547" s="2237"/>
      <c r="BH1547" s="2237"/>
      <c r="BI1547" s="2237"/>
      <c r="BJ1547" s="2237"/>
      <c r="BK1547" s="2237"/>
      <c r="BL1547" s="2237"/>
      <c r="BM1547" s="2237"/>
      <c r="BN1547" s="2237"/>
      <c r="BO1547" s="2237"/>
      <c r="BP1547" s="2237"/>
      <c r="BQ1547" s="2237"/>
      <c r="BR1547" s="2237"/>
      <c r="BS1547" s="2237"/>
      <c r="BT1547" s="2237"/>
      <c r="BU1547" s="2237"/>
      <c r="BV1547" s="2237"/>
      <c r="BW1547" s="2237"/>
      <c r="BX1547" s="2237"/>
      <c r="BY1547" s="2237"/>
      <c r="BZ1547" s="2237"/>
      <c r="CA1547" s="2237"/>
      <c r="CB1547" s="2237"/>
      <c r="CC1547" s="2237"/>
      <c r="CD1547" s="2237"/>
      <c r="CE1547" s="2237"/>
      <c r="CF1547" s="2237"/>
      <c r="CG1547" s="2237"/>
      <c r="CH1547" s="2237"/>
      <c r="CI1547" s="2237"/>
      <c r="CJ1547" s="2237"/>
      <c r="CK1547" s="2237"/>
      <c r="CL1547" s="2237"/>
      <c r="CM1547" s="2237"/>
      <c r="CN1547" s="2237"/>
      <c r="CO1547" s="2237"/>
      <c r="CP1547" s="2237"/>
      <c r="CQ1547" s="2237"/>
      <c r="CR1547" s="2237"/>
      <c r="CS1547" s="2237"/>
      <c r="CT1547" s="2237"/>
      <c r="CU1547" s="2237"/>
      <c r="CV1547" s="2237"/>
      <c r="CW1547" s="2237"/>
      <c r="CX1547" s="2237"/>
      <c r="CY1547" s="2237"/>
      <c r="CZ1547" s="2237"/>
      <c r="DA1547" s="2237"/>
      <c r="DB1547" s="2237"/>
      <c r="DC1547" s="2237"/>
      <c r="DD1547" s="2237"/>
      <c r="DE1547" s="2237"/>
      <c r="DF1547" s="3393" t="str">
        <f t="shared" si="231"/>
        <v>ASHP-SEER15_ER2_MF</v>
      </c>
      <c r="DG1547" s="3332"/>
      <c r="DH1547" s="2522" t="str">
        <f t="shared" si="229"/>
        <v>Heating Res ER2 12 Year EUL</v>
      </c>
      <c r="DI1547" s="3260">
        <f>(INDEX('Avoided Cost Benefits'!$B$4:$B$866,MATCH(DH1547,'Avoided Cost Benefits'!$A$4:$A$866,0)))*F1547</f>
        <v>465.44501688550179</v>
      </c>
      <c r="DJ1547" s="2507">
        <f>K1547/(1.0686^(2025-2025))</f>
        <v>0</v>
      </c>
      <c r="DM1547" s="252"/>
    </row>
    <row r="1548" spans="1:117">
      <c r="A1548" s="453"/>
      <c r="B1548" s="1454">
        <f t="shared" si="224"/>
        <v>352701</v>
      </c>
      <c r="C1548" s="2554" t="s">
        <v>2204</v>
      </c>
      <c r="D1548" s="3383" t="s">
        <v>1118</v>
      </c>
      <c r="E1548" s="2521" t="s">
        <v>2205</v>
      </c>
      <c r="F1548" s="3373">
        <f>ROUND((($K$2706*$K$2899*(1/$K$3092-1/$K$3285)*$K$3478)/1000)*$K$3651,2)</f>
        <v>1726.83</v>
      </c>
      <c r="G1548" s="3384" t="str">
        <f>G1544</f>
        <v>Cooling Res</v>
      </c>
      <c r="H1548" s="2213">
        <f>VLOOKUP(G1548,'CP FACTORS'!$A$3:$B$38, 2, FALSE)</f>
        <v>9.4741810000000004E-4</v>
      </c>
      <c r="I1548" s="3385">
        <f t="shared" si="225"/>
        <v>1.6360300000000001</v>
      </c>
      <c r="J1548" s="2449">
        <f t="shared" si="233"/>
        <v>6</v>
      </c>
      <c r="K1548" s="2467">
        <f t="shared" si="227"/>
        <v>131.86562543570653</v>
      </c>
      <c r="L1548" s="2649">
        <f>L1934</f>
        <v>2.9733333333333332</v>
      </c>
      <c r="M1548" s="3386"/>
      <c r="N1548" s="3387"/>
      <c r="O1548" s="2702"/>
      <c r="P1548" s="635"/>
      <c r="Q1548" s="635"/>
      <c r="R1548" s="2966"/>
      <c r="S1548" s="635"/>
      <c r="T1548" s="635"/>
      <c r="U1548" s="3388"/>
      <c r="V1548" s="2962" t="s">
        <v>45</v>
      </c>
      <c r="W1548" s="3389"/>
      <c r="X1548" s="3390"/>
      <c r="Y1548" s="3369">
        <v>822.51</v>
      </c>
      <c r="Z1548" s="3373">
        <v>822.51</v>
      </c>
      <c r="AA1548" s="3373">
        <v>822.51</v>
      </c>
      <c r="AB1548" s="3391">
        <v>1041.8800000000001</v>
      </c>
      <c r="AC1548" s="3369">
        <v>980.26</v>
      </c>
      <c r="AD1548" s="3369">
        <v>1122.44</v>
      </c>
      <c r="AE1548" s="3369">
        <v>1726.83</v>
      </c>
      <c r="AF1548" s="2236">
        <f t="shared" si="228"/>
        <v>1726.83</v>
      </c>
      <c r="AG1548" s="3389"/>
      <c r="AH1548" s="2728"/>
      <c r="AI1548" s="2237"/>
      <c r="AJ1548" s="2237"/>
      <c r="AK1548" s="3392"/>
      <c r="AL1548" s="2237"/>
      <c r="AM1548" s="2237"/>
      <c r="AN1548" s="2237"/>
      <c r="AO1548" s="2237"/>
      <c r="AP1548" s="2237"/>
      <c r="AQ1548" s="2237"/>
      <c r="AR1548" s="2237"/>
      <c r="AS1548" s="2237"/>
      <c r="AT1548" s="2237"/>
      <c r="AU1548" s="2237"/>
      <c r="AV1548" s="2237"/>
      <c r="AW1548" s="2237"/>
      <c r="AX1548" s="2237"/>
      <c r="AY1548" s="2237"/>
      <c r="AZ1548" s="2237"/>
      <c r="BA1548" s="2237"/>
      <c r="BB1548" s="2237"/>
      <c r="BC1548" s="2237"/>
      <c r="BD1548" s="2237"/>
      <c r="BE1548" s="2237"/>
      <c r="BF1548" s="2237"/>
      <c r="BG1548" s="2237"/>
      <c r="BH1548" s="2237"/>
      <c r="BI1548" s="2237"/>
      <c r="BJ1548" s="2237"/>
      <c r="BK1548" s="2237"/>
      <c r="BL1548" s="2237"/>
      <c r="BM1548" s="2237"/>
      <c r="BN1548" s="2237"/>
      <c r="BO1548" s="2237"/>
      <c r="BP1548" s="2237"/>
      <c r="BQ1548" s="2237"/>
      <c r="BR1548" s="2237"/>
      <c r="BS1548" s="2237"/>
      <c r="BT1548" s="2237"/>
      <c r="BU1548" s="2237"/>
      <c r="BV1548" s="2237"/>
      <c r="BW1548" s="2237"/>
      <c r="BX1548" s="2237"/>
      <c r="BY1548" s="2237"/>
      <c r="BZ1548" s="2237"/>
      <c r="CA1548" s="2237"/>
      <c r="CB1548" s="2237"/>
      <c r="CC1548" s="2237"/>
      <c r="CD1548" s="2237"/>
      <c r="CE1548" s="2237"/>
      <c r="CF1548" s="2237"/>
      <c r="CG1548" s="2237"/>
      <c r="CH1548" s="2237"/>
      <c r="CI1548" s="2237"/>
      <c r="CJ1548" s="2237"/>
      <c r="CK1548" s="2237"/>
      <c r="CL1548" s="2237"/>
      <c r="CM1548" s="2237"/>
      <c r="CN1548" s="2237"/>
      <c r="CO1548" s="2237"/>
      <c r="CP1548" s="2237"/>
      <c r="CQ1548" s="2237"/>
      <c r="CR1548" s="2237"/>
      <c r="CS1548" s="2237"/>
      <c r="CT1548" s="2237"/>
      <c r="CU1548" s="2237"/>
      <c r="CV1548" s="2237"/>
      <c r="CW1548" s="2237"/>
      <c r="CX1548" s="2237"/>
      <c r="CY1548" s="2237"/>
      <c r="CZ1548" s="2237"/>
      <c r="DA1548" s="2237"/>
      <c r="DB1548" s="2237"/>
      <c r="DC1548" s="2237"/>
      <c r="DD1548" s="2237"/>
      <c r="DE1548" s="2237"/>
      <c r="DF1548" s="3393" t="str">
        <f t="shared" si="231"/>
        <v>ASHP-SEER15_ER1_MF_CompE</v>
      </c>
      <c r="DG1548" s="3259">
        <f>(DI1548+DI1549+DI1550+DI1551)/(DJ1548+DJ1549+DJ1550+DJ1551)</f>
        <v>16.745075123998998</v>
      </c>
      <c r="DH1548" s="2521" t="str">
        <f t="shared" si="229"/>
        <v>Cooling Res 6 Year EUL</v>
      </c>
      <c r="DI1548" s="3260">
        <f>(INDEX('Avoided Cost Benefits'!$B$4:$B$866,MATCH(DH1548,'Avoided Cost Benefits'!$A$4:$A$866,0)))*F1548</f>
        <v>1719.66036990216</v>
      </c>
      <c r="DJ1548" s="2507">
        <f>IFERROR(K1548/(1.0686^(2025-2025)),10000000)</f>
        <v>131.86562543570653</v>
      </c>
      <c r="DM1548" s="252"/>
    </row>
    <row r="1549" spans="1:117">
      <c r="A1549" s="453"/>
      <c r="B1549" s="1454">
        <f t="shared" si="224"/>
        <v>352701</v>
      </c>
      <c r="C1549" s="2554" t="str">
        <f>C1548</f>
        <v>352701_2024_12_</v>
      </c>
      <c r="D1549" s="3383" t="s">
        <v>1118</v>
      </c>
      <c r="E1549" s="2882" t="s">
        <v>2205</v>
      </c>
      <c r="F1549" s="3373">
        <f>ROUND((($K$1934*$K$2127*(1/$K$2320-1/$K$2513)*$K$3478)/1000)*$K$3651,2)</f>
        <v>808.83</v>
      </c>
      <c r="G1549" s="3384" t="str">
        <f>G1545</f>
        <v>Heating Res</v>
      </c>
      <c r="H1549" s="2213">
        <f>VLOOKUP(G1549,'CP FACTORS'!$A$3:$B$38, 2, FALSE)</f>
        <v>0</v>
      </c>
      <c r="I1549" s="3385">
        <f t="shared" si="225"/>
        <v>0</v>
      </c>
      <c r="J1549" s="2449">
        <f t="shared" si="233"/>
        <v>6</v>
      </c>
      <c r="K1549" s="2894">
        <f t="shared" si="227"/>
        <v>0</v>
      </c>
      <c r="L1549" s="2649"/>
      <c r="M1549" s="3386"/>
      <c r="N1549" s="3387"/>
      <c r="O1549" s="2702"/>
      <c r="P1549" s="635"/>
      <c r="Q1549" s="635"/>
      <c r="R1549" s="2966"/>
      <c r="S1549" s="635"/>
      <c r="T1549" s="635"/>
      <c r="U1549" s="3388"/>
      <c r="V1549" s="2962" t="s">
        <v>45</v>
      </c>
      <c r="W1549" s="3389"/>
      <c r="X1549" s="3390"/>
      <c r="Y1549" s="3369">
        <v>849.43</v>
      </c>
      <c r="Z1549" s="3373">
        <v>849.43</v>
      </c>
      <c r="AA1549" s="3373">
        <v>849.43</v>
      </c>
      <c r="AB1549" s="3391">
        <v>423.54</v>
      </c>
      <c r="AC1549" s="3369">
        <v>449.81</v>
      </c>
      <c r="AD1549" s="3369">
        <v>525.74</v>
      </c>
      <c r="AE1549" s="3369">
        <v>808.83</v>
      </c>
      <c r="AF1549" s="2236">
        <f t="shared" si="228"/>
        <v>808.83</v>
      </c>
      <c r="AG1549" s="3389"/>
      <c r="AH1549" s="2728"/>
      <c r="AI1549" s="2237"/>
      <c r="AJ1549" s="2237"/>
      <c r="AK1549" s="3392"/>
      <c r="AL1549" s="2237"/>
      <c r="AM1549" s="2237"/>
      <c r="AN1549" s="2237"/>
      <c r="AO1549" s="2237"/>
      <c r="AP1549" s="2237"/>
      <c r="AQ1549" s="2237"/>
      <c r="AR1549" s="2237"/>
      <c r="AS1549" s="2237"/>
      <c r="AT1549" s="2237"/>
      <c r="AU1549" s="2237"/>
      <c r="AV1549" s="2237"/>
      <c r="AW1549" s="2237"/>
      <c r="AX1549" s="2237"/>
      <c r="AY1549" s="2237"/>
      <c r="AZ1549" s="2237"/>
      <c r="BA1549" s="2237"/>
      <c r="BB1549" s="2237"/>
      <c r="BC1549" s="2237"/>
      <c r="BD1549" s="2237"/>
      <c r="BE1549" s="2237"/>
      <c r="BF1549" s="2237"/>
      <c r="BG1549" s="2237"/>
      <c r="BH1549" s="2237"/>
      <c r="BI1549" s="2237"/>
      <c r="BJ1549" s="2237"/>
      <c r="BK1549" s="2237"/>
      <c r="BL1549" s="2237"/>
      <c r="BM1549" s="2237"/>
      <c r="BN1549" s="2237"/>
      <c r="BO1549" s="2237"/>
      <c r="BP1549" s="2237"/>
      <c r="BQ1549" s="2237"/>
      <c r="BR1549" s="2237"/>
      <c r="BS1549" s="2237"/>
      <c r="BT1549" s="2237"/>
      <c r="BU1549" s="2237"/>
      <c r="BV1549" s="2237"/>
      <c r="BW1549" s="2237"/>
      <c r="BX1549" s="2237"/>
      <c r="BY1549" s="2237"/>
      <c r="BZ1549" s="2237"/>
      <c r="CA1549" s="2237"/>
      <c r="CB1549" s="2237"/>
      <c r="CC1549" s="2237"/>
      <c r="CD1549" s="2237"/>
      <c r="CE1549" s="2237"/>
      <c r="CF1549" s="2237"/>
      <c r="CG1549" s="2237"/>
      <c r="CH1549" s="2237"/>
      <c r="CI1549" s="2237"/>
      <c r="CJ1549" s="2237"/>
      <c r="CK1549" s="2237"/>
      <c r="CL1549" s="2237"/>
      <c r="CM1549" s="2237"/>
      <c r="CN1549" s="2237"/>
      <c r="CO1549" s="2237"/>
      <c r="CP1549" s="2237"/>
      <c r="CQ1549" s="2237"/>
      <c r="CR1549" s="2237"/>
      <c r="CS1549" s="2237"/>
      <c r="CT1549" s="2237"/>
      <c r="CU1549" s="2237"/>
      <c r="CV1549" s="2237"/>
      <c r="CW1549" s="2237"/>
      <c r="CX1549" s="2237"/>
      <c r="CY1549" s="2237"/>
      <c r="CZ1549" s="2237"/>
      <c r="DA1549" s="2237"/>
      <c r="DB1549" s="2237"/>
      <c r="DC1549" s="2237"/>
      <c r="DD1549" s="2237"/>
      <c r="DE1549" s="2237"/>
      <c r="DF1549" s="3393" t="str">
        <f t="shared" si="231"/>
        <v>ASHP-SEER15_ER1_MF_CompE</v>
      </c>
      <c r="DG1549" s="3332"/>
      <c r="DH1549" s="2882" t="str">
        <f t="shared" si="229"/>
        <v>Heating Res 6 Year EUL</v>
      </c>
      <c r="DI1549" s="3260">
        <f>(INDEX('Avoided Cost Benefits'!$B$4:$B$866,MATCH(DH1549,'Avoided Cost Benefits'!$A$4:$A$866,0)))*F1549</f>
        <v>216.91106740842207</v>
      </c>
      <c r="DJ1549" s="2507">
        <f>K1549/(1.0686^(2025-2025))</f>
        <v>0</v>
      </c>
      <c r="DM1549" s="252"/>
    </row>
    <row r="1550" spans="1:117">
      <c r="A1550" s="453"/>
      <c r="B1550" s="1454">
        <f t="shared" si="224"/>
        <v>352701</v>
      </c>
      <c r="C1550" s="2554" t="str">
        <f>C1549</f>
        <v>352701_2024_12_</v>
      </c>
      <c r="D1550" s="3383" t="s">
        <v>1118</v>
      </c>
      <c r="E1550" s="2882" t="s">
        <v>2206</v>
      </c>
      <c r="F1550" s="3369">
        <f>ROUND((($K$2707*$K$2900*(1/$K$3093-1/$K$3286)*$K$3479)/1000)*$K$3651,2)</f>
        <v>87.22</v>
      </c>
      <c r="G1550" s="3384" t="str">
        <f>G1546</f>
        <v>Cooling Res ER2</v>
      </c>
      <c r="H1550" s="2213">
        <f>VLOOKUP(G1550,'CP FACTORS'!$A$3:$B$38, 2, FALSE)</f>
        <v>9.4741810000000004E-4</v>
      </c>
      <c r="I1550" s="3394">
        <f t="shared" si="225"/>
        <v>8.2633999999999999E-2</v>
      </c>
      <c r="J1550" s="2449">
        <f t="shared" si="233"/>
        <v>12</v>
      </c>
      <c r="K1550" s="2894">
        <f t="shared" si="227"/>
        <v>0</v>
      </c>
      <c r="L1550" s="2649"/>
      <c r="M1550" s="3386"/>
      <c r="N1550" s="3387"/>
      <c r="O1550" s="2702"/>
      <c r="P1550" s="635"/>
      <c r="Q1550" s="635"/>
      <c r="R1550" s="2966"/>
      <c r="S1550" s="635"/>
      <c r="T1550" s="635"/>
      <c r="U1550" s="3388"/>
      <c r="V1550" s="2962" t="s">
        <v>45</v>
      </c>
      <c r="W1550" s="3389"/>
      <c r="X1550" s="3390"/>
      <c r="Y1550" s="3369">
        <v>79.52</v>
      </c>
      <c r="Z1550" s="3373">
        <v>79.52</v>
      </c>
      <c r="AA1550" s="3373">
        <v>79.52</v>
      </c>
      <c r="AB1550" s="3391">
        <v>81.19</v>
      </c>
      <c r="AC1550" s="3369">
        <v>76.39</v>
      </c>
      <c r="AD1550" s="3369">
        <v>81.069999999999993</v>
      </c>
      <c r="AE1550" s="3369">
        <v>5.54</v>
      </c>
      <c r="AF1550" s="2236">
        <f t="shared" si="228"/>
        <v>87.22</v>
      </c>
      <c r="AG1550" s="3389"/>
      <c r="AH1550" s="2728"/>
      <c r="AI1550" s="2237"/>
      <c r="AJ1550" s="2237"/>
      <c r="AK1550" s="3392"/>
      <c r="AL1550" s="2237"/>
      <c r="AM1550" s="2237"/>
      <c r="AN1550" s="2237"/>
      <c r="AO1550" s="2237"/>
      <c r="AP1550" s="2237"/>
      <c r="AQ1550" s="2237"/>
      <c r="AR1550" s="2237"/>
      <c r="AS1550" s="2237"/>
      <c r="AT1550" s="2237"/>
      <c r="AU1550" s="2237"/>
      <c r="AV1550" s="2237"/>
      <c r="AW1550" s="2237"/>
      <c r="AX1550" s="2237"/>
      <c r="AY1550" s="2237"/>
      <c r="AZ1550" s="2237"/>
      <c r="BA1550" s="2237"/>
      <c r="BB1550" s="2237"/>
      <c r="BC1550" s="2237"/>
      <c r="BD1550" s="2237"/>
      <c r="BE1550" s="2237"/>
      <c r="BF1550" s="2237"/>
      <c r="BG1550" s="2237"/>
      <c r="BH1550" s="2237"/>
      <c r="BI1550" s="2237"/>
      <c r="BJ1550" s="2237"/>
      <c r="BK1550" s="2237"/>
      <c r="BL1550" s="2237"/>
      <c r="BM1550" s="2237"/>
      <c r="BN1550" s="2237"/>
      <c r="BO1550" s="2237"/>
      <c r="BP1550" s="2237"/>
      <c r="BQ1550" s="2237"/>
      <c r="BR1550" s="2237"/>
      <c r="BS1550" s="2237"/>
      <c r="BT1550" s="2237"/>
      <c r="BU1550" s="2237"/>
      <c r="BV1550" s="2237"/>
      <c r="BW1550" s="2237"/>
      <c r="BX1550" s="2237"/>
      <c r="BY1550" s="2237"/>
      <c r="BZ1550" s="2237"/>
      <c r="CA1550" s="2237"/>
      <c r="CB1550" s="2237"/>
      <c r="CC1550" s="2237"/>
      <c r="CD1550" s="2237"/>
      <c r="CE1550" s="2237"/>
      <c r="CF1550" s="2237"/>
      <c r="CG1550" s="2237"/>
      <c r="CH1550" s="2237"/>
      <c r="CI1550" s="2237"/>
      <c r="CJ1550" s="2237"/>
      <c r="CK1550" s="2237"/>
      <c r="CL1550" s="2237"/>
      <c r="CM1550" s="2237"/>
      <c r="CN1550" s="2237"/>
      <c r="CO1550" s="2237"/>
      <c r="CP1550" s="2237"/>
      <c r="CQ1550" s="2237"/>
      <c r="CR1550" s="2237"/>
      <c r="CS1550" s="2237"/>
      <c r="CT1550" s="2237"/>
      <c r="CU1550" s="2237"/>
      <c r="CV1550" s="2237"/>
      <c r="CW1550" s="2237"/>
      <c r="CX1550" s="2237"/>
      <c r="CY1550" s="2237"/>
      <c r="CZ1550" s="2237"/>
      <c r="DA1550" s="2237"/>
      <c r="DB1550" s="2237"/>
      <c r="DC1550" s="2237"/>
      <c r="DD1550" s="2237"/>
      <c r="DE1550" s="2237"/>
      <c r="DF1550" s="3393" t="str">
        <f t="shared" si="231"/>
        <v>ASHP-SEER15_ER2_MF_CompE</v>
      </c>
      <c r="DG1550" s="3332"/>
      <c r="DH1550" s="2882" t="str">
        <f t="shared" si="229"/>
        <v>Cooling Res ER2 12 Year EUL</v>
      </c>
      <c r="DI1550" s="3260">
        <f>(INDEX('Avoided Cost Benefits'!$B$4:$B$866,MATCH(DH1550,'Avoided Cost Benefits'!$A$4:$A$866,0)))*F1550</f>
        <v>112.85577237806258</v>
      </c>
      <c r="DJ1550" s="2507">
        <f>K1550/(1.0686^(2025-2025))</f>
        <v>0</v>
      </c>
      <c r="DM1550" s="252"/>
    </row>
    <row r="1551" spans="1:117">
      <c r="A1551" s="453"/>
      <c r="B1551" s="1454">
        <f t="shared" si="224"/>
        <v>352701</v>
      </c>
      <c r="C1551" s="2554" t="str">
        <f>C1550</f>
        <v>352701_2024_12_</v>
      </c>
      <c r="D1551" s="3383" t="s">
        <v>1118</v>
      </c>
      <c r="E1551" s="2522" t="s">
        <v>2206</v>
      </c>
      <c r="F1551" s="3369">
        <f>ROUND((($K$1935*$K$2128*(1/$K$2321-1/$K$2514)*$K$3479)/1000)*$K$3651,2)</f>
        <v>469.59</v>
      </c>
      <c r="G1551" s="3384" t="str">
        <f>G1547</f>
        <v>Heating Res ER2</v>
      </c>
      <c r="H1551" s="2213">
        <f>VLOOKUP(G1551,'CP FACTORS'!$A$3:$B$38, 2, FALSE)</f>
        <v>0</v>
      </c>
      <c r="I1551" s="3385">
        <f t="shared" si="225"/>
        <v>0</v>
      </c>
      <c r="J1551" s="2449">
        <f t="shared" si="233"/>
        <v>12</v>
      </c>
      <c r="K1551" s="2894">
        <f t="shared" si="227"/>
        <v>0</v>
      </c>
      <c r="L1551" s="2649"/>
      <c r="M1551" s="3386"/>
      <c r="N1551" s="3387"/>
      <c r="O1551" s="2702"/>
      <c r="P1551" s="635"/>
      <c r="Q1551" s="635"/>
      <c r="R1551" s="2966"/>
      <c r="S1551" s="635"/>
      <c r="T1551" s="635"/>
      <c r="U1551" s="3388"/>
      <c r="V1551" s="2962" t="s">
        <v>45</v>
      </c>
      <c r="W1551" s="3389"/>
      <c r="X1551" s="3390"/>
      <c r="Y1551" s="3369">
        <v>86.43</v>
      </c>
      <c r="Z1551" s="3373">
        <v>86.43</v>
      </c>
      <c r="AA1551" s="3373">
        <v>86.43</v>
      </c>
      <c r="AB1551" s="3391">
        <v>80.16</v>
      </c>
      <c r="AC1551" s="3369">
        <v>101.45</v>
      </c>
      <c r="AD1551" s="3369">
        <v>170.61</v>
      </c>
      <c r="AE1551" s="3369">
        <v>159.26</v>
      </c>
      <c r="AF1551" s="2236">
        <f t="shared" si="228"/>
        <v>469.59</v>
      </c>
      <c r="AG1551" s="3389"/>
      <c r="AH1551" s="2728"/>
      <c r="AI1551" s="2237"/>
      <c r="AJ1551" s="2237"/>
      <c r="AK1551" s="3392"/>
      <c r="AL1551" s="2237"/>
      <c r="AM1551" s="2237"/>
      <c r="AN1551" s="2237"/>
      <c r="AO1551" s="2237"/>
      <c r="AP1551" s="2237"/>
      <c r="AQ1551" s="2237"/>
      <c r="AR1551" s="2237"/>
      <c r="AS1551" s="2237"/>
      <c r="AT1551" s="2237"/>
      <c r="AU1551" s="2237"/>
      <c r="AV1551" s="2237"/>
      <c r="AW1551" s="2237"/>
      <c r="AX1551" s="2237"/>
      <c r="AY1551" s="2237"/>
      <c r="AZ1551" s="2237"/>
      <c r="BA1551" s="2237"/>
      <c r="BB1551" s="2237"/>
      <c r="BC1551" s="2237"/>
      <c r="BD1551" s="2237"/>
      <c r="BE1551" s="2237"/>
      <c r="BF1551" s="2237"/>
      <c r="BG1551" s="2237"/>
      <c r="BH1551" s="2237"/>
      <c r="BI1551" s="2237"/>
      <c r="BJ1551" s="2237"/>
      <c r="BK1551" s="2237"/>
      <c r="BL1551" s="2237"/>
      <c r="BM1551" s="2237"/>
      <c r="BN1551" s="2237"/>
      <c r="BO1551" s="2237"/>
      <c r="BP1551" s="2237"/>
      <c r="BQ1551" s="2237"/>
      <c r="BR1551" s="2237"/>
      <c r="BS1551" s="2237"/>
      <c r="BT1551" s="2237"/>
      <c r="BU1551" s="2237"/>
      <c r="BV1551" s="2237"/>
      <c r="BW1551" s="2237"/>
      <c r="BX1551" s="2237"/>
      <c r="BY1551" s="2237"/>
      <c r="BZ1551" s="2237"/>
      <c r="CA1551" s="2237"/>
      <c r="CB1551" s="2237"/>
      <c r="CC1551" s="2237"/>
      <c r="CD1551" s="2237"/>
      <c r="CE1551" s="2237"/>
      <c r="CF1551" s="2237"/>
      <c r="CG1551" s="2237"/>
      <c r="CH1551" s="2237"/>
      <c r="CI1551" s="2237"/>
      <c r="CJ1551" s="2237"/>
      <c r="CK1551" s="2237"/>
      <c r="CL1551" s="2237"/>
      <c r="CM1551" s="2237"/>
      <c r="CN1551" s="2237"/>
      <c r="CO1551" s="2237"/>
      <c r="CP1551" s="2237"/>
      <c r="CQ1551" s="2237"/>
      <c r="CR1551" s="2237"/>
      <c r="CS1551" s="2237"/>
      <c r="CT1551" s="2237"/>
      <c r="CU1551" s="2237"/>
      <c r="CV1551" s="2237"/>
      <c r="CW1551" s="2237"/>
      <c r="CX1551" s="2237"/>
      <c r="CY1551" s="2237"/>
      <c r="CZ1551" s="2237"/>
      <c r="DA1551" s="2237"/>
      <c r="DB1551" s="2237"/>
      <c r="DC1551" s="2237"/>
      <c r="DD1551" s="2237"/>
      <c r="DE1551" s="2237"/>
      <c r="DF1551" s="3393" t="str">
        <f t="shared" si="231"/>
        <v>ASHP-SEER15_ER2_MF_CompE</v>
      </c>
      <c r="DG1551" s="3332"/>
      <c r="DH1551" s="2522" t="str">
        <f t="shared" si="229"/>
        <v>Heating Res ER2 12 Year EUL</v>
      </c>
      <c r="DI1551" s="3260">
        <f>(INDEX('Avoided Cost Benefits'!$B$4:$B$866,MATCH(DH1551,'Avoided Cost Benefits'!$A$4:$A$866,0)))*F1551</f>
        <v>158.67259450537412</v>
      </c>
      <c r="DJ1551" s="2507">
        <f>K1551/(1.0686^(2025-2025))</f>
        <v>0</v>
      </c>
      <c r="DM1551" s="252"/>
    </row>
    <row r="1552" spans="1:117">
      <c r="A1552" s="453"/>
      <c r="B1552" s="1454">
        <f t="shared" si="224"/>
        <v>352750</v>
      </c>
      <c r="C1552" s="2554" t="s">
        <v>2207</v>
      </c>
      <c r="D1552" s="3383" t="s">
        <v>1122</v>
      </c>
      <c r="E1552" s="2521" t="s">
        <v>2208</v>
      </c>
      <c r="F1552" s="3395">
        <f>ROUND(((K2708*K2901*(1/K3094-1/K3287)*K3480)/1000)*$K$3651,2)</f>
        <v>2374.39</v>
      </c>
      <c r="G1552" s="3384" t="s">
        <v>2077</v>
      </c>
      <c r="H1552" s="2213">
        <f>VLOOKUP(G1552,'CP FACTORS'!$A$3:$B$38, 2, FALSE)</f>
        <v>9.4741810000000004E-4</v>
      </c>
      <c r="I1552" s="3385">
        <f t="shared" si="225"/>
        <v>2.2495400000000001</v>
      </c>
      <c r="J1552" s="2449">
        <f t="shared" si="233"/>
        <v>6</v>
      </c>
      <c r="K1552" s="2467">
        <f t="shared" si="227"/>
        <v>3476.7316315552043</v>
      </c>
      <c r="L1552" s="2649">
        <f>L1936</f>
        <v>2.9733333333333332</v>
      </c>
      <c r="M1552" s="3386"/>
      <c r="N1552" s="3387"/>
      <c r="O1552" s="2702"/>
      <c r="P1552" s="635"/>
      <c r="Q1552" s="635"/>
      <c r="R1552" s="2966"/>
      <c r="S1552" s="635"/>
      <c r="T1552" s="635"/>
      <c r="U1552" s="3388"/>
      <c r="V1552" s="2962" t="s">
        <v>45</v>
      </c>
      <c r="W1552" s="3389">
        <v>1534.1387611998441</v>
      </c>
      <c r="X1552" s="3390">
        <v>1021.5017864099281</v>
      </c>
      <c r="Y1552" s="3373">
        <v>1021.5</v>
      </c>
      <c r="Z1552" s="3373">
        <v>1021.5</v>
      </c>
      <c r="AA1552" s="3373">
        <v>1021.5</v>
      </c>
      <c r="AB1552" s="3391">
        <v>1281.8399999999999</v>
      </c>
      <c r="AC1552" s="3369">
        <v>914.58</v>
      </c>
      <c r="AD1552" s="3369">
        <v>2374.39</v>
      </c>
      <c r="AE1552" s="3389">
        <v>2374.39</v>
      </c>
      <c r="AF1552" s="2236">
        <f t="shared" si="228"/>
        <v>2374.39</v>
      </c>
      <c r="AG1552" s="3389"/>
      <c r="AH1552" s="2728"/>
      <c r="AI1552" s="2237"/>
      <c r="AJ1552" s="2237"/>
      <c r="AK1552" s="3392"/>
      <c r="AL1552" s="2237"/>
      <c r="AM1552" s="2237"/>
      <c r="AN1552" s="2237"/>
      <c r="AO1552" s="2237"/>
      <c r="AP1552" s="2237"/>
      <c r="AQ1552" s="2237"/>
      <c r="AR1552" s="2237"/>
      <c r="AS1552" s="2237"/>
      <c r="AT1552" s="2237"/>
      <c r="AU1552" s="2237"/>
      <c r="AV1552" s="2237"/>
      <c r="AW1552" s="2237"/>
      <c r="AX1552" s="2237"/>
      <c r="AY1552" s="2237"/>
      <c r="AZ1552" s="2237"/>
      <c r="BA1552" s="2237"/>
      <c r="BB1552" s="2237"/>
      <c r="BC1552" s="2237"/>
      <c r="BD1552" s="2237"/>
      <c r="BE1552" s="2237"/>
      <c r="BF1552" s="2237"/>
      <c r="BG1552" s="2237"/>
      <c r="BH1552" s="2237"/>
      <c r="BI1552" s="2237"/>
      <c r="BJ1552" s="2237"/>
      <c r="BK1552" s="2237"/>
      <c r="BL1552" s="2237"/>
      <c r="BM1552" s="2237"/>
      <c r="BN1552" s="2237"/>
      <c r="BO1552" s="2237"/>
      <c r="BP1552" s="2237"/>
      <c r="BQ1552" s="2237"/>
      <c r="BR1552" s="2237"/>
      <c r="BS1552" s="2237"/>
      <c r="BT1552" s="2237"/>
      <c r="BU1552" s="2237"/>
      <c r="BV1552" s="2237"/>
      <c r="BW1552" s="2237"/>
      <c r="BX1552" s="2237"/>
      <c r="BY1552" s="2237"/>
      <c r="BZ1552" s="2237"/>
      <c r="CA1552" s="2237"/>
      <c r="CB1552" s="2237"/>
      <c r="CC1552" s="2237"/>
      <c r="CD1552" s="2237"/>
      <c r="CE1552" s="2237"/>
      <c r="CF1552" s="2237"/>
      <c r="CG1552" s="2237"/>
      <c r="CH1552" s="2237"/>
      <c r="CI1552" s="2237"/>
      <c r="CJ1552" s="2237"/>
      <c r="CK1552" s="2237"/>
      <c r="CL1552" s="2237"/>
      <c r="CM1552" s="2237"/>
      <c r="CN1552" s="2237"/>
      <c r="CO1552" s="2237"/>
      <c r="CP1552" s="2237"/>
      <c r="CQ1552" s="2237"/>
      <c r="CR1552" s="2237"/>
      <c r="CS1552" s="2237"/>
      <c r="CT1552" s="2237"/>
      <c r="CU1552" s="2237"/>
      <c r="CV1552" s="2237"/>
      <c r="CW1552" s="2237"/>
      <c r="CX1552" s="2237"/>
      <c r="CY1552" s="2237"/>
      <c r="CZ1552" s="2237"/>
      <c r="DA1552" s="2237"/>
      <c r="DB1552" s="2237"/>
      <c r="DC1552" s="2237"/>
      <c r="DD1552" s="2237"/>
      <c r="DE1552" s="2237"/>
      <c r="DF1552" s="3393" t="str">
        <f t="shared" si="231"/>
        <v>ASHP-SEER15-Replace_CAC_ElectricHeat_ER1_MF</v>
      </c>
      <c r="DG1552" s="3259">
        <f>(DI1552+DI1553+DI1554+DI1555)/(DJ1552+DJ1553+DJ1554+DJ1555)</f>
        <v>2.5130674466990226</v>
      </c>
      <c r="DH1552" s="2521" t="str">
        <f t="shared" si="229"/>
        <v>Cooling Res 6 Year EUL</v>
      </c>
      <c r="DI1552" s="3260">
        <f>(INDEX('Avoided Cost Benefits'!$B$4:$B$866,MATCH(DH1552,'Avoided Cost Benefits'!$A$4:$A$866,0)))*F1552</f>
        <v>2364.5317638053484</v>
      </c>
      <c r="DJ1552" s="2507">
        <f>IFERROR(K1552/(1.0686^(2025-2025)),10000000)</f>
        <v>3476.7316315552043</v>
      </c>
      <c r="DM1552" s="252"/>
    </row>
    <row r="1553" spans="1:117">
      <c r="A1553" s="453"/>
      <c r="B1553" s="1454">
        <f t="shared" si="224"/>
        <v>352750</v>
      </c>
      <c r="C1553" s="2554" t="s">
        <v>2207</v>
      </c>
      <c r="D1553" s="3383" t="s">
        <v>1122</v>
      </c>
      <c r="E1553" s="2882" t="s">
        <v>2208</v>
      </c>
      <c r="F1553" s="3395">
        <f>ROUND(((K1936*K2129*(1/K2322-1/K2515)*K3480)/1000)*$K$3651,2)</f>
        <v>9913.67</v>
      </c>
      <c r="G1553" s="3384" t="s">
        <v>2078</v>
      </c>
      <c r="H1553" s="2213">
        <f>VLOOKUP(G1553,'CP FACTORS'!$A$3:$B$38, 2, FALSE)</f>
        <v>0</v>
      </c>
      <c r="I1553" s="3385">
        <f t="shared" si="225"/>
        <v>0</v>
      </c>
      <c r="J1553" s="2449">
        <f t="shared" si="233"/>
        <v>6</v>
      </c>
      <c r="K1553" s="2894">
        <f t="shared" si="227"/>
        <v>0</v>
      </c>
      <c r="L1553" s="2649"/>
      <c r="M1553" s="3386"/>
      <c r="N1553" s="3387"/>
      <c r="O1553" s="2702"/>
      <c r="P1553" s="635"/>
      <c r="Q1553" s="635"/>
      <c r="R1553" s="2966"/>
      <c r="S1553" s="635"/>
      <c r="T1553" s="635"/>
      <c r="U1553" s="3388"/>
      <c r="V1553" s="2962" t="s">
        <v>45</v>
      </c>
      <c r="W1553" s="3389">
        <v>7823.7436343411837</v>
      </c>
      <c r="X1553" s="3390">
        <v>5825.9434927697412</v>
      </c>
      <c r="Y1553" s="3373">
        <v>5825.94</v>
      </c>
      <c r="Z1553" s="3373">
        <v>5825.94</v>
      </c>
      <c r="AA1553" s="3373">
        <v>5825.94</v>
      </c>
      <c r="AB1553" s="3391">
        <v>5742.99</v>
      </c>
      <c r="AC1553" s="3369">
        <v>5401.11</v>
      </c>
      <c r="AD1553" s="3369">
        <v>9913.67</v>
      </c>
      <c r="AE1553" s="3389">
        <v>9913.67</v>
      </c>
      <c r="AF1553" s="2236">
        <f t="shared" si="228"/>
        <v>9913.67</v>
      </c>
      <c r="AG1553" s="3389"/>
      <c r="AH1553" s="2728"/>
      <c r="AI1553" s="2237"/>
      <c r="AJ1553" s="2237"/>
      <c r="AK1553" s="3392"/>
      <c r="AL1553" s="2237"/>
      <c r="AM1553" s="2237"/>
      <c r="AN1553" s="2237"/>
      <c r="AO1553" s="2237"/>
      <c r="AP1553" s="2237"/>
      <c r="AQ1553" s="2237"/>
      <c r="AR1553" s="2237"/>
      <c r="AS1553" s="2237"/>
      <c r="AT1553" s="2237"/>
      <c r="AU1553" s="2237"/>
      <c r="AV1553" s="2237"/>
      <c r="AW1553" s="2237"/>
      <c r="AX1553" s="2237"/>
      <c r="AY1553" s="2237"/>
      <c r="AZ1553" s="2237"/>
      <c r="BA1553" s="2237"/>
      <c r="BB1553" s="2237"/>
      <c r="BC1553" s="2237"/>
      <c r="BD1553" s="2237"/>
      <c r="BE1553" s="2237"/>
      <c r="BF1553" s="2237"/>
      <c r="BG1553" s="2237"/>
      <c r="BH1553" s="2237"/>
      <c r="BI1553" s="2237"/>
      <c r="BJ1553" s="2237"/>
      <c r="BK1553" s="2237"/>
      <c r="BL1553" s="2237"/>
      <c r="BM1553" s="2237"/>
      <c r="BN1553" s="2237"/>
      <c r="BO1553" s="2237"/>
      <c r="BP1553" s="2237"/>
      <c r="BQ1553" s="2237"/>
      <c r="BR1553" s="2237"/>
      <c r="BS1553" s="2237"/>
      <c r="BT1553" s="2237"/>
      <c r="BU1553" s="2237"/>
      <c r="BV1553" s="2237"/>
      <c r="BW1553" s="2237"/>
      <c r="BX1553" s="2237"/>
      <c r="BY1553" s="2237"/>
      <c r="BZ1553" s="2237"/>
      <c r="CA1553" s="2237"/>
      <c r="CB1553" s="2237"/>
      <c r="CC1553" s="2237"/>
      <c r="CD1553" s="2237"/>
      <c r="CE1553" s="2237"/>
      <c r="CF1553" s="2237"/>
      <c r="CG1553" s="2237"/>
      <c r="CH1553" s="2237"/>
      <c r="CI1553" s="2237"/>
      <c r="CJ1553" s="2237"/>
      <c r="CK1553" s="2237"/>
      <c r="CL1553" s="2237"/>
      <c r="CM1553" s="2237"/>
      <c r="CN1553" s="2237"/>
      <c r="CO1553" s="2237"/>
      <c r="CP1553" s="2237"/>
      <c r="CQ1553" s="2237"/>
      <c r="CR1553" s="2237"/>
      <c r="CS1553" s="2237"/>
      <c r="CT1553" s="2237"/>
      <c r="CU1553" s="2237"/>
      <c r="CV1553" s="2237"/>
      <c r="CW1553" s="2237"/>
      <c r="CX1553" s="2237"/>
      <c r="CY1553" s="2237"/>
      <c r="CZ1553" s="2237"/>
      <c r="DA1553" s="2237"/>
      <c r="DB1553" s="2237"/>
      <c r="DC1553" s="2237"/>
      <c r="DD1553" s="2237"/>
      <c r="DE1553" s="2237"/>
      <c r="DF1553" s="3393" t="str">
        <f t="shared" si="231"/>
        <v>ASHP-SEER15-Replace_CAC_ElectricHeat_ER1_MF</v>
      </c>
      <c r="DG1553" s="3332"/>
      <c r="DH1553" s="2882" t="str">
        <f t="shared" si="229"/>
        <v>Heating Res 6 Year EUL</v>
      </c>
      <c r="DI1553" s="3260">
        <f>(INDEX('Avoided Cost Benefits'!$B$4:$B$866,MATCH(DH1553,'Avoided Cost Benefits'!$A$4:$A$866,0)))*F1553</f>
        <v>2658.6362296587063</v>
      </c>
      <c r="DJ1553" s="2507">
        <f>K1553/(1.0686^(2025-2025))</f>
        <v>0</v>
      </c>
      <c r="DM1553" s="252"/>
    </row>
    <row r="1554" spans="1:117">
      <c r="A1554" s="453"/>
      <c r="B1554" s="1454">
        <f t="shared" si="224"/>
        <v>352750</v>
      </c>
      <c r="C1554" s="2554" t="s">
        <v>2207</v>
      </c>
      <c r="D1554" s="3383" t="s">
        <v>1122</v>
      </c>
      <c r="E1554" s="2882" t="s">
        <v>2209</v>
      </c>
      <c r="F1554" s="3396">
        <f>ROUND(((K2709*K2902*(1/K3095-1/K3288)*K3481)/1000)*$K$3651,2)</f>
        <v>281.55</v>
      </c>
      <c r="G1554" s="3384" t="s">
        <v>2138</v>
      </c>
      <c r="H1554" s="2213">
        <f>VLOOKUP(G1554,'CP FACTORS'!$A$3:$B$38, 2, FALSE)</f>
        <v>9.4741810000000004E-4</v>
      </c>
      <c r="I1554" s="3394">
        <f t="shared" si="225"/>
        <v>0.26674599999999998</v>
      </c>
      <c r="J1554" s="2449">
        <f t="shared" si="233"/>
        <v>12</v>
      </c>
      <c r="K1554" s="2894">
        <f t="shared" si="227"/>
        <v>0</v>
      </c>
      <c r="L1554" s="2649"/>
      <c r="M1554" s="3386"/>
      <c r="N1554" s="3387"/>
      <c r="O1554" s="2702"/>
      <c r="P1554" s="635"/>
      <c r="Q1554" s="635"/>
      <c r="R1554" s="2966"/>
      <c r="S1554" s="635"/>
      <c r="T1554" s="635"/>
      <c r="U1554" s="3388"/>
      <c r="V1554" s="2962" t="s">
        <v>45</v>
      </c>
      <c r="W1554" s="3389">
        <v>203.03523178807947</v>
      </c>
      <c r="X1554" s="3397">
        <v>203.03523178807947</v>
      </c>
      <c r="Y1554" s="3373">
        <v>203.04</v>
      </c>
      <c r="Z1554" s="3373">
        <v>203.04</v>
      </c>
      <c r="AA1554" s="3373">
        <v>203.04</v>
      </c>
      <c r="AB1554" s="3391">
        <v>199.41</v>
      </c>
      <c r="AC1554" s="3369">
        <v>201.35</v>
      </c>
      <c r="AD1554" s="3369">
        <v>360.57</v>
      </c>
      <c r="AE1554" s="3396">
        <v>171.49</v>
      </c>
      <c r="AF1554" s="2236">
        <f t="shared" si="228"/>
        <v>281.55</v>
      </c>
      <c r="AG1554" s="3389"/>
      <c r="AH1554" s="2728"/>
      <c r="AI1554" s="2237"/>
      <c r="AJ1554" s="2237"/>
      <c r="AK1554" s="3392"/>
      <c r="AL1554" s="2237"/>
      <c r="AM1554" s="2237"/>
      <c r="AN1554" s="2237"/>
      <c r="AO1554" s="2237"/>
      <c r="AP1554" s="2237"/>
      <c r="AQ1554" s="2237"/>
      <c r="AR1554" s="2237"/>
      <c r="AS1554" s="2237"/>
      <c r="AT1554" s="2237"/>
      <c r="AU1554" s="2237"/>
      <c r="AV1554" s="2237"/>
      <c r="AW1554" s="2237"/>
      <c r="AX1554" s="2237"/>
      <c r="AY1554" s="2237"/>
      <c r="AZ1554" s="2237"/>
      <c r="BA1554" s="2237"/>
      <c r="BB1554" s="2237"/>
      <c r="BC1554" s="2237"/>
      <c r="BD1554" s="2237"/>
      <c r="BE1554" s="2237"/>
      <c r="BF1554" s="2237"/>
      <c r="BG1554" s="2237"/>
      <c r="BH1554" s="2237"/>
      <c r="BI1554" s="2237"/>
      <c r="BJ1554" s="2237"/>
      <c r="BK1554" s="2237"/>
      <c r="BL1554" s="2237"/>
      <c r="BM1554" s="2237"/>
      <c r="BN1554" s="2237"/>
      <c r="BO1554" s="2237"/>
      <c r="BP1554" s="2237"/>
      <c r="BQ1554" s="2237"/>
      <c r="BR1554" s="2237"/>
      <c r="BS1554" s="2237"/>
      <c r="BT1554" s="2237"/>
      <c r="BU1554" s="2237"/>
      <c r="BV1554" s="2237"/>
      <c r="BW1554" s="2237"/>
      <c r="BX1554" s="2237"/>
      <c r="BY1554" s="2237"/>
      <c r="BZ1554" s="2237"/>
      <c r="CA1554" s="2237"/>
      <c r="CB1554" s="2237"/>
      <c r="CC1554" s="2237"/>
      <c r="CD1554" s="2237"/>
      <c r="CE1554" s="2237"/>
      <c r="CF1554" s="2237"/>
      <c r="CG1554" s="2237"/>
      <c r="CH1554" s="2237"/>
      <c r="CI1554" s="2237"/>
      <c r="CJ1554" s="2237"/>
      <c r="CK1554" s="2237"/>
      <c r="CL1554" s="2237"/>
      <c r="CM1554" s="2237"/>
      <c r="CN1554" s="2237"/>
      <c r="CO1554" s="2237"/>
      <c r="CP1554" s="2237"/>
      <c r="CQ1554" s="2237"/>
      <c r="CR1554" s="2237"/>
      <c r="CS1554" s="2237"/>
      <c r="CT1554" s="2237"/>
      <c r="CU1554" s="2237"/>
      <c r="CV1554" s="2237"/>
      <c r="CW1554" s="2237"/>
      <c r="CX1554" s="2237"/>
      <c r="CY1554" s="2237"/>
      <c r="CZ1554" s="2237"/>
      <c r="DA1554" s="2237"/>
      <c r="DB1554" s="2237"/>
      <c r="DC1554" s="2237"/>
      <c r="DD1554" s="2237"/>
      <c r="DE1554" s="2237"/>
      <c r="DF1554" s="3393" t="str">
        <f t="shared" si="231"/>
        <v>ASHP-SEER15-Replace_CAC_ElectricHeat_ER2_MF</v>
      </c>
      <c r="DG1554" s="3332"/>
      <c r="DH1554" s="2882" t="str">
        <f t="shared" si="229"/>
        <v>Cooling Res ER2 12 Year EUL</v>
      </c>
      <c r="DI1554" s="3260">
        <f>(INDEX('Avoided Cost Benefits'!$B$4:$B$866,MATCH(DH1554,'Avoided Cost Benefits'!$A$4:$A$866,0)))*F1554</f>
        <v>364.30340189226695</v>
      </c>
      <c r="DJ1554" s="2507">
        <f>K1554/(1.0686^(2025-2025))</f>
        <v>0</v>
      </c>
      <c r="DM1554" s="252"/>
    </row>
    <row r="1555" spans="1:117">
      <c r="A1555" s="453"/>
      <c r="B1555" s="1454">
        <f t="shared" si="224"/>
        <v>352750</v>
      </c>
      <c r="C1555" s="2554" t="s">
        <v>2207</v>
      </c>
      <c r="D1555" s="3383" t="s">
        <v>1122</v>
      </c>
      <c r="E1555" s="2522" t="s">
        <v>2209</v>
      </c>
      <c r="F1555" s="3395">
        <f>ROUND(((K1937*K2130*(1/K2323-1/K2516)*K3481)/1000)*$K$3651,2)</f>
        <v>9913.67</v>
      </c>
      <c r="G1555" s="3384" t="s">
        <v>2173</v>
      </c>
      <c r="H1555" s="2213">
        <f>VLOOKUP(G1555,'CP FACTORS'!$A$3:$B$38, 2, FALSE)</f>
        <v>0</v>
      </c>
      <c r="I1555" s="3385">
        <f t="shared" si="225"/>
        <v>0</v>
      </c>
      <c r="J1555" s="2449">
        <f t="shared" si="233"/>
        <v>12</v>
      </c>
      <c r="K1555" s="2894">
        <f t="shared" si="227"/>
        <v>0</v>
      </c>
      <c r="L1555" s="2649"/>
      <c r="M1555" s="3386"/>
      <c r="N1555" s="3387"/>
      <c r="O1555" s="2702"/>
      <c r="P1555" s="635"/>
      <c r="Q1555" s="635"/>
      <c r="R1555" s="2966"/>
      <c r="S1555" s="635"/>
      <c r="T1555" s="635"/>
      <c r="U1555" s="3388"/>
      <c r="V1555" s="2962" t="s">
        <v>45</v>
      </c>
      <c r="W1555" s="3389">
        <v>7823.7436343411837</v>
      </c>
      <c r="X1555" s="3390">
        <v>5825.9434927697412</v>
      </c>
      <c r="Y1555" s="3373">
        <v>5825.94</v>
      </c>
      <c r="Z1555" s="3373">
        <v>5825.94</v>
      </c>
      <c r="AA1555" s="3373">
        <v>5825.94</v>
      </c>
      <c r="AB1555" s="3391">
        <v>5742.99</v>
      </c>
      <c r="AC1555" s="3369">
        <v>5401.11</v>
      </c>
      <c r="AD1555" s="3369">
        <v>9913.67</v>
      </c>
      <c r="AE1555" s="3389">
        <v>9913.67</v>
      </c>
      <c r="AF1555" s="2236">
        <f t="shared" si="228"/>
        <v>9913.67</v>
      </c>
      <c r="AG1555" s="3389"/>
      <c r="AH1555" s="2728"/>
      <c r="AI1555" s="2237"/>
      <c r="AJ1555" s="2237"/>
      <c r="AK1555" s="3392"/>
      <c r="AL1555" s="2237"/>
      <c r="AM1555" s="2237"/>
      <c r="AN1555" s="2237"/>
      <c r="AO1555" s="2237"/>
      <c r="AP1555" s="2237"/>
      <c r="AQ1555" s="2237"/>
      <c r="AR1555" s="2237"/>
      <c r="AS1555" s="2237"/>
      <c r="AT1555" s="2237"/>
      <c r="AU1555" s="2237"/>
      <c r="AV1555" s="2237"/>
      <c r="AW1555" s="2237"/>
      <c r="AX1555" s="2237"/>
      <c r="AY1555" s="2237"/>
      <c r="AZ1555" s="2237"/>
      <c r="BA1555" s="2237"/>
      <c r="BB1555" s="2237"/>
      <c r="BC1555" s="2237"/>
      <c r="BD1555" s="2237"/>
      <c r="BE1555" s="2237"/>
      <c r="BF1555" s="2237"/>
      <c r="BG1555" s="2237"/>
      <c r="BH1555" s="2237"/>
      <c r="BI1555" s="2237"/>
      <c r="BJ1555" s="2237"/>
      <c r="BK1555" s="2237"/>
      <c r="BL1555" s="2237"/>
      <c r="BM1555" s="2237"/>
      <c r="BN1555" s="2237"/>
      <c r="BO1555" s="2237"/>
      <c r="BP1555" s="2237"/>
      <c r="BQ1555" s="2237"/>
      <c r="BR1555" s="2237"/>
      <c r="BS1555" s="2237"/>
      <c r="BT1555" s="2237"/>
      <c r="BU1555" s="2237"/>
      <c r="BV1555" s="2237"/>
      <c r="BW1555" s="2237"/>
      <c r="BX1555" s="2237"/>
      <c r="BY1555" s="2237"/>
      <c r="BZ1555" s="2237"/>
      <c r="CA1555" s="2237"/>
      <c r="CB1555" s="2237"/>
      <c r="CC1555" s="2237"/>
      <c r="CD1555" s="2237"/>
      <c r="CE1555" s="2237"/>
      <c r="CF1555" s="2237"/>
      <c r="CG1555" s="2237"/>
      <c r="CH1555" s="2237"/>
      <c r="CI1555" s="2237"/>
      <c r="CJ1555" s="2237"/>
      <c r="CK1555" s="2237"/>
      <c r="CL1555" s="2237"/>
      <c r="CM1555" s="2237"/>
      <c r="CN1555" s="2237"/>
      <c r="CO1555" s="2237"/>
      <c r="CP1555" s="2237"/>
      <c r="CQ1555" s="2237"/>
      <c r="CR1555" s="2237"/>
      <c r="CS1555" s="2237"/>
      <c r="CT1555" s="2237"/>
      <c r="CU1555" s="2237"/>
      <c r="CV1555" s="2237"/>
      <c r="CW1555" s="2237"/>
      <c r="CX1555" s="2237"/>
      <c r="CY1555" s="2237"/>
      <c r="CZ1555" s="2237"/>
      <c r="DA1555" s="2237"/>
      <c r="DB1555" s="2237"/>
      <c r="DC1555" s="2237"/>
      <c r="DD1555" s="2237"/>
      <c r="DE1555" s="2237"/>
      <c r="DF1555" s="3393" t="str">
        <f t="shared" si="231"/>
        <v>ASHP-SEER15-Replace_CAC_ElectricHeat_ER2_MF</v>
      </c>
      <c r="DG1555" s="3332"/>
      <c r="DH1555" s="2522" t="str">
        <f t="shared" si="229"/>
        <v>Heating Res ER2 12 Year EUL</v>
      </c>
      <c r="DI1555" s="3260">
        <f>(INDEX('Avoided Cost Benefits'!$B$4:$B$866,MATCH(DH1555,'Avoided Cost Benefits'!$A$4:$A$866,0)))*F1555</f>
        <v>3349.789688813843</v>
      </c>
      <c r="DJ1555" s="2507">
        <f>K1555/(1.0686^(2025-2025))</f>
        <v>0</v>
      </c>
      <c r="DM1555" s="252"/>
    </row>
    <row r="1556" spans="1:117">
      <c r="A1556" s="453"/>
      <c r="B1556" s="1454">
        <f t="shared" si="224"/>
        <v>352751</v>
      </c>
      <c r="C1556" s="2554" t="s">
        <v>2210</v>
      </c>
      <c r="D1556" s="3383" t="s">
        <v>1118</v>
      </c>
      <c r="E1556" s="2521" t="s">
        <v>2211</v>
      </c>
      <c r="F1556" s="3395">
        <f>ROUND((($K$2710*$K$2903*(1/$K$3096-1/$K$3289)*$K$3482)/1000)*$K$3651,2)</f>
        <v>1726.83</v>
      </c>
      <c r="G1556" s="3384" t="str">
        <f>G1552</f>
        <v>Cooling Res</v>
      </c>
      <c r="H1556" s="2213">
        <f>VLOOKUP(G1556,'CP FACTORS'!$A$3:$B$38, 2, FALSE)</f>
        <v>9.4741810000000004E-4</v>
      </c>
      <c r="I1556" s="3385">
        <f t="shared" si="225"/>
        <v>1.6360300000000001</v>
      </c>
      <c r="J1556" s="2449">
        <f t="shared" si="233"/>
        <v>6</v>
      </c>
      <c r="K1556" s="2467">
        <f t="shared" si="227"/>
        <v>3476.7316315552043</v>
      </c>
      <c r="L1556" s="2649">
        <f>L1938</f>
        <v>2.9733333333333332</v>
      </c>
      <c r="M1556" s="3386"/>
      <c r="N1556" s="3387"/>
      <c r="O1556" s="2702"/>
      <c r="P1556" s="635"/>
      <c r="Q1556" s="635"/>
      <c r="R1556" s="2966"/>
      <c r="S1556" s="635"/>
      <c r="T1556" s="635"/>
      <c r="U1556" s="3388"/>
      <c r="V1556" s="2962" t="s">
        <v>45</v>
      </c>
      <c r="W1556" s="3389"/>
      <c r="X1556" s="3390"/>
      <c r="Y1556" s="3369">
        <v>742.91</v>
      </c>
      <c r="Z1556" s="3373">
        <v>742.91</v>
      </c>
      <c r="AA1556" s="3373">
        <v>742.91</v>
      </c>
      <c r="AB1556" s="3391">
        <v>923.42</v>
      </c>
      <c r="AC1556" s="3369">
        <v>839.47</v>
      </c>
      <c r="AD1556" s="3369">
        <v>1726.83</v>
      </c>
      <c r="AE1556" s="3389">
        <v>1726.83</v>
      </c>
      <c r="AF1556" s="2236">
        <f t="shared" si="228"/>
        <v>1726.83</v>
      </c>
      <c r="AG1556" s="3389"/>
      <c r="AH1556" s="2728"/>
      <c r="AI1556" s="2237"/>
      <c r="AJ1556" s="2237"/>
      <c r="AK1556" s="3392"/>
      <c r="AL1556" s="2237"/>
      <c r="AM1556" s="2237"/>
      <c r="AN1556" s="2237"/>
      <c r="AO1556" s="2237"/>
      <c r="AP1556" s="2237"/>
      <c r="AQ1556" s="2237"/>
      <c r="AR1556" s="2237"/>
      <c r="AS1556" s="2237"/>
      <c r="AT1556" s="2237"/>
      <c r="AU1556" s="2237"/>
      <c r="AV1556" s="2237"/>
      <c r="AW1556" s="2237"/>
      <c r="AX1556" s="2237"/>
      <c r="AY1556" s="2237"/>
      <c r="AZ1556" s="2237"/>
      <c r="BA1556" s="2237"/>
      <c r="BB1556" s="2237"/>
      <c r="BC1556" s="2237"/>
      <c r="BD1556" s="2237"/>
      <c r="BE1556" s="2237"/>
      <c r="BF1556" s="2237"/>
      <c r="BG1556" s="2237"/>
      <c r="BH1556" s="2237"/>
      <c r="BI1556" s="2237"/>
      <c r="BJ1556" s="2237"/>
      <c r="BK1556" s="2237"/>
      <c r="BL1556" s="2237"/>
      <c r="BM1556" s="2237"/>
      <c r="BN1556" s="2237"/>
      <c r="BO1556" s="2237"/>
      <c r="BP1556" s="2237"/>
      <c r="BQ1556" s="2237"/>
      <c r="BR1556" s="2237"/>
      <c r="BS1556" s="2237"/>
      <c r="BT1556" s="2237"/>
      <c r="BU1556" s="2237"/>
      <c r="BV1556" s="2237"/>
      <c r="BW1556" s="2237"/>
      <c r="BX1556" s="2237"/>
      <c r="BY1556" s="2237"/>
      <c r="BZ1556" s="2237"/>
      <c r="CA1556" s="2237"/>
      <c r="CB1556" s="2237"/>
      <c r="CC1556" s="2237"/>
      <c r="CD1556" s="2237"/>
      <c r="CE1556" s="2237"/>
      <c r="CF1556" s="2237"/>
      <c r="CG1556" s="2237"/>
      <c r="CH1556" s="2237"/>
      <c r="CI1556" s="2237"/>
      <c r="CJ1556" s="2237"/>
      <c r="CK1556" s="2237"/>
      <c r="CL1556" s="2237"/>
      <c r="CM1556" s="2237"/>
      <c r="CN1556" s="2237"/>
      <c r="CO1556" s="2237"/>
      <c r="CP1556" s="2237"/>
      <c r="CQ1556" s="2237"/>
      <c r="CR1556" s="2237"/>
      <c r="CS1556" s="2237"/>
      <c r="CT1556" s="2237"/>
      <c r="CU1556" s="2237"/>
      <c r="CV1556" s="2237"/>
      <c r="CW1556" s="2237"/>
      <c r="CX1556" s="2237"/>
      <c r="CY1556" s="2237"/>
      <c r="CZ1556" s="2237"/>
      <c r="DA1556" s="2237"/>
      <c r="DB1556" s="2237"/>
      <c r="DC1556" s="2237"/>
      <c r="DD1556" s="2237"/>
      <c r="DE1556" s="2237"/>
      <c r="DF1556" s="3393" t="str">
        <f t="shared" si="231"/>
        <v>ASHP-SEER15-Replace_CAC_ElectricHeat_ER1_MF_CompE</v>
      </c>
      <c r="DG1556" s="3259">
        <f>(DI1556+DI1557+DI1558+DI1559)/(DJ1556+DJ1557+DJ1558+DJ1559)</f>
        <v>1.1599775020591223</v>
      </c>
      <c r="DH1556" s="2521" t="str">
        <f t="shared" si="229"/>
        <v>Cooling Res 6 Year EUL</v>
      </c>
      <c r="DI1556" s="3260">
        <f>(INDEX('Avoided Cost Benefits'!$B$4:$B$866,MATCH(DH1556,'Avoided Cost Benefits'!$A$4:$A$866,0)))*F1556</f>
        <v>1719.66036990216</v>
      </c>
      <c r="DJ1556" s="2507">
        <f>IFERROR(K1556/(1.0686^(2025-2025)),10000000)</f>
        <v>3476.7316315552043</v>
      </c>
      <c r="DM1556" s="252"/>
    </row>
    <row r="1557" spans="1:117">
      <c r="A1557" s="453"/>
      <c r="B1557" s="1454">
        <f t="shared" si="224"/>
        <v>352751</v>
      </c>
      <c r="C1557" s="2554" t="str">
        <f>C1556</f>
        <v>352751_2024_12_</v>
      </c>
      <c r="D1557" s="3383" t="s">
        <v>1118</v>
      </c>
      <c r="E1557" s="2882" t="s">
        <v>2211</v>
      </c>
      <c r="F1557" s="3395">
        <f>ROUND((($K$1938*$K$2131*(1/$K$2324-1/$K$2517)*$K$3482)/1000)*$K$3651,2)</f>
        <v>3379.66</v>
      </c>
      <c r="G1557" s="3384" t="str">
        <f>G1553</f>
        <v>Heating Res</v>
      </c>
      <c r="H1557" s="2213">
        <f>VLOOKUP(G1557,'CP FACTORS'!$A$3:$B$38, 2, FALSE)</f>
        <v>0</v>
      </c>
      <c r="I1557" s="3385">
        <f t="shared" si="225"/>
        <v>0</v>
      </c>
      <c r="J1557" s="2449">
        <f t="shared" si="233"/>
        <v>6</v>
      </c>
      <c r="K1557" s="2894">
        <f t="shared" si="227"/>
        <v>0</v>
      </c>
      <c r="L1557" s="2649"/>
      <c r="M1557" s="3386"/>
      <c r="N1557" s="3387"/>
      <c r="O1557" s="2702"/>
      <c r="P1557" s="635"/>
      <c r="Q1557" s="635"/>
      <c r="R1557" s="2966"/>
      <c r="S1557" s="635"/>
      <c r="T1557" s="635"/>
      <c r="U1557" s="3388"/>
      <c r="V1557" s="2962" t="s">
        <v>45</v>
      </c>
      <c r="W1557" s="3389"/>
      <c r="X1557" s="3390"/>
      <c r="Y1557" s="3369">
        <v>1986.12</v>
      </c>
      <c r="Z1557" s="3373">
        <v>1986.12</v>
      </c>
      <c r="AA1557" s="3373">
        <v>1986.12</v>
      </c>
      <c r="AB1557" s="3391">
        <v>1957.84</v>
      </c>
      <c r="AC1557" s="3369">
        <v>1841.29</v>
      </c>
      <c r="AD1557" s="3369">
        <v>3379.66</v>
      </c>
      <c r="AE1557" s="3389">
        <v>3379.66</v>
      </c>
      <c r="AF1557" s="2236">
        <f t="shared" si="228"/>
        <v>3379.66</v>
      </c>
      <c r="AG1557" s="3389"/>
      <c r="AH1557" s="2728"/>
      <c r="AI1557" s="2237"/>
      <c r="AJ1557" s="2237"/>
      <c r="AK1557" s="3392"/>
      <c r="AL1557" s="2237"/>
      <c r="AM1557" s="2237"/>
      <c r="AN1557" s="2237"/>
      <c r="AO1557" s="2237"/>
      <c r="AP1557" s="2237"/>
      <c r="AQ1557" s="2237"/>
      <c r="AR1557" s="2237"/>
      <c r="AS1557" s="2237"/>
      <c r="AT1557" s="2237"/>
      <c r="AU1557" s="2237"/>
      <c r="AV1557" s="2237"/>
      <c r="AW1557" s="2237"/>
      <c r="AX1557" s="2237"/>
      <c r="AY1557" s="2237"/>
      <c r="AZ1557" s="2237"/>
      <c r="BA1557" s="2237"/>
      <c r="BB1557" s="2237"/>
      <c r="BC1557" s="2237"/>
      <c r="BD1557" s="2237"/>
      <c r="BE1557" s="2237"/>
      <c r="BF1557" s="2237"/>
      <c r="BG1557" s="2237"/>
      <c r="BH1557" s="2237"/>
      <c r="BI1557" s="2237"/>
      <c r="BJ1557" s="2237"/>
      <c r="BK1557" s="2237"/>
      <c r="BL1557" s="2237"/>
      <c r="BM1557" s="2237"/>
      <c r="BN1557" s="2237"/>
      <c r="BO1557" s="2237"/>
      <c r="BP1557" s="2237"/>
      <c r="BQ1557" s="2237"/>
      <c r="BR1557" s="2237"/>
      <c r="BS1557" s="2237"/>
      <c r="BT1557" s="2237"/>
      <c r="BU1557" s="2237"/>
      <c r="BV1557" s="2237"/>
      <c r="BW1557" s="2237"/>
      <c r="BX1557" s="2237"/>
      <c r="BY1557" s="2237"/>
      <c r="BZ1557" s="2237"/>
      <c r="CA1557" s="2237"/>
      <c r="CB1557" s="2237"/>
      <c r="CC1557" s="2237"/>
      <c r="CD1557" s="2237"/>
      <c r="CE1557" s="2237"/>
      <c r="CF1557" s="2237"/>
      <c r="CG1557" s="2237"/>
      <c r="CH1557" s="2237"/>
      <c r="CI1557" s="2237"/>
      <c r="CJ1557" s="2237"/>
      <c r="CK1557" s="2237"/>
      <c r="CL1557" s="2237"/>
      <c r="CM1557" s="2237"/>
      <c r="CN1557" s="2237"/>
      <c r="CO1557" s="2237"/>
      <c r="CP1557" s="2237"/>
      <c r="CQ1557" s="2237"/>
      <c r="CR1557" s="2237"/>
      <c r="CS1557" s="2237"/>
      <c r="CT1557" s="2237"/>
      <c r="CU1557" s="2237"/>
      <c r="CV1557" s="2237"/>
      <c r="CW1557" s="2237"/>
      <c r="CX1557" s="2237"/>
      <c r="CY1557" s="2237"/>
      <c r="CZ1557" s="2237"/>
      <c r="DA1557" s="2237"/>
      <c r="DB1557" s="2237"/>
      <c r="DC1557" s="2237"/>
      <c r="DD1557" s="2237"/>
      <c r="DE1557" s="2237"/>
      <c r="DF1557" s="3393" t="str">
        <f t="shared" si="231"/>
        <v>ASHP-SEER15-Replace_CAC_ElectricHeat_ER1_MF_CompE</v>
      </c>
      <c r="DG1557" s="3332"/>
      <c r="DH1557" s="2882" t="str">
        <f t="shared" si="229"/>
        <v>Heating Res 6 Year EUL</v>
      </c>
      <c r="DI1557" s="3260">
        <f>(INDEX('Avoided Cost Benefits'!$B$4:$B$866,MATCH(DH1557,'Avoided Cost Benefits'!$A$4:$A$866,0)))*F1557</f>
        <v>906.35319916119295</v>
      </c>
      <c r="DJ1557" s="2507">
        <f t="shared" ref="DJ1557:DJ1567" si="234">K1557/(1.0686^(2025-2025))</f>
        <v>0</v>
      </c>
      <c r="DM1557" s="252"/>
    </row>
    <row r="1558" spans="1:117">
      <c r="A1558" s="453"/>
      <c r="B1558" s="1454">
        <f t="shared" si="224"/>
        <v>352751</v>
      </c>
      <c r="C1558" s="2554" t="str">
        <f>C1557</f>
        <v>352751_2024_12_</v>
      </c>
      <c r="D1558" s="3383" t="s">
        <v>1118</v>
      </c>
      <c r="E1558" s="2882" t="s">
        <v>2212</v>
      </c>
      <c r="F1558" s="3396">
        <f>ROUND((($K$2711*$K$2904*(1/$K$3097-1/$K$3290)*$K$3483)/1000)*$K$3651,2)</f>
        <v>204.76</v>
      </c>
      <c r="G1558" s="3384" t="str">
        <f>G1554</f>
        <v>Cooling Res ER2</v>
      </c>
      <c r="H1558" s="2213">
        <f>VLOOKUP(G1558,'CP FACTORS'!$A$3:$B$38, 2, FALSE)</f>
        <v>9.4741810000000004E-4</v>
      </c>
      <c r="I1558" s="3394">
        <f t="shared" si="225"/>
        <v>0.193993</v>
      </c>
      <c r="J1558" s="2449">
        <f t="shared" si="233"/>
        <v>12</v>
      </c>
      <c r="K1558" s="2894">
        <f t="shared" si="227"/>
        <v>0</v>
      </c>
      <c r="L1558" s="2649"/>
      <c r="M1558" s="3386"/>
      <c r="N1558" s="3387"/>
      <c r="O1558" s="2702"/>
      <c r="P1558" s="635"/>
      <c r="Q1558" s="635"/>
      <c r="R1558" s="2966"/>
      <c r="S1558" s="635"/>
      <c r="T1558" s="635"/>
      <c r="U1558" s="3388"/>
      <c r="V1558" s="2962" t="s">
        <v>45</v>
      </c>
      <c r="W1558" s="3389"/>
      <c r="X1558" s="3390"/>
      <c r="Y1558" s="3369">
        <v>147.66</v>
      </c>
      <c r="Z1558" s="3373">
        <v>147.66</v>
      </c>
      <c r="AA1558" s="3373">
        <v>147.66</v>
      </c>
      <c r="AB1558" s="3391">
        <v>145.03</v>
      </c>
      <c r="AC1558" s="3369">
        <v>131.84</v>
      </c>
      <c r="AD1558" s="3369">
        <v>262.23</v>
      </c>
      <c r="AE1558" s="3396">
        <v>124.72</v>
      </c>
      <c r="AF1558" s="2236">
        <f t="shared" si="228"/>
        <v>204.76</v>
      </c>
      <c r="AG1558" s="3389"/>
      <c r="AH1558" s="2728"/>
      <c r="AI1558" s="2237"/>
      <c r="AJ1558" s="2237"/>
      <c r="AK1558" s="3392"/>
      <c r="AL1558" s="2237"/>
      <c r="AM1558" s="2237"/>
      <c r="AN1558" s="2237"/>
      <c r="AO1558" s="2237"/>
      <c r="AP1558" s="2237"/>
      <c r="AQ1558" s="2237"/>
      <c r="AR1558" s="2237"/>
      <c r="AS1558" s="2237"/>
      <c r="AT1558" s="2237"/>
      <c r="AU1558" s="2237"/>
      <c r="AV1558" s="2237"/>
      <c r="AW1558" s="2237"/>
      <c r="AX1558" s="2237"/>
      <c r="AY1558" s="2237"/>
      <c r="AZ1558" s="2237"/>
      <c r="BA1558" s="2237"/>
      <c r="BB1558" s="2237"/>
      <c r="BC1558" s="2237"/>
      <c r="BD1558" s="2237"/>
      <c r="BE1558" s="2237"/>
      <c r="BF1558" s="2237"/>
      <c r="BG1558" s="2237"/>
      <c r="BH1558" s="2237"/>
      <c r="BI1558" s="2237"/>
      <c r="BJ1558" s="2237"/>
      <c r="BK1558" s="2237"/>
      <c r="BL1558" s="2237"/>
      <c r="BM1558" s="2237"/>
      <c r="BN1558" s="2237"/>
      <c r="BO1558" s="2237"/>
      <c r="BP1558" s="2237"/>
      <c r="BQ1558" s="2237"/>
      <c r="BR1558" s="2237"/>
      <c r="BS1558" s="2237"/>
      <c r="BT1558" s="2237"/>
      <c r="BU1558" s="2237"/>
      <c r="BV1558" s="2237"/>
      <c r="BW1558" s="2237"/>
      <c r="BX1558" s="2237"/>
      <c r="BY1558" s="2237"/>
      <c r="BZ1558" s="2237"/>
      <c r="CA1558" s="2237"/>
      <c r="CB1558" s="2237"/>
      <c r="CC1558" s="2237"/>
      <c r="CD1558" s="2237"/>
      <c r="CE1558" s="2237"/>
      <c r="CF1558" s="2237"/>
      <c r="CG1558" s="2237"/>
      <c r="CH1558" s="2237"/>
      <c r="CI1558" s="2237"/>
      <c r="CJ1558" s="2237"/>
      <c r="CK1558" s="2237"/>
      <c r="CL1558" s="2237"/>
      <c r="CM1558" s="2237"/>
      <c r="CN1558" s="2237"/>
      <c r="CO1558" s="2237"/>
      <c r="CP1558" s="2237"/>
      <c r="CQ1558" s="2237"/>
      <c r="CR1558" s="2237"/>
      <c r="CS1558" s="2237"/>
      <c r="CT1558" s="2237"/>
      <c r="CU1558" s="2237"/>
      <c r="CV1558" s="2237"/>
      <c r="CW1558" s="2237"/>
      <c r="CX1558" s="2237"/>
      <c r="CY1558" s="2237"/>
      <c r="CZ1558" s="2237"/>
      <c r="DA1558" s="2237"/>
      <c r="DB1558" s="2237"/>
      <c r="DC1558" s="2237"/>
      <c r="DD1558" s="2237"/>
      <c r="DE1558" s="2237"/>
      <c r="DF1558" s="3393" t="str">
        <f t="shared" si="231"/>
        <v>ASHP-SEER15-Replace_CAC_ElectricHeat_ER2_MF_CompE</v>
      </c>
      <c r="DG1558" s="3332"/>
      <c r="DH1558" s="2882" t="str">
        <f t="shared" si="229"/>
        <v>Cooling Res ER2 12 Year EUL</v>
      </c>
      <c r="DI1558" s="3260">
        <f>(INDEX('Avoided Cost Benefits'!$B$4:$B$866,MATCH(DH1558,'Avoided Cost Benefits'!$A$4:$A$866,0)))*F1558</f>
        <v>264.9432234823675</v>
      </c>
      <c r="DJ1558" s="2507">
        <f t="shared" si="234"/>
        <v>0</v>
      </c>
      <c r="DM1558" s="252"/>
    </row>
    <row r="1559" spans="1:117">
      <c r="A1559" s="453"/>
      <c r="B1559" s="1454">
        <f t="shared" si="224"/>
        <v>352751</v>
      </c>
      <c r="C1559" s="2554" t="str">
        <f>C1558</f>
        <v>352751_2024_12_</v>
      </c>
      <c r="D1559" s="3383" t="s">
        <v>1118</v>
      </c>
      <c r="E1559" s="2522" t="s">
        <v>2212</v>
      </c>
      <c r="F1559" s="3395">
        <f>ROUND((($K$1939*$K$2132*(1/$K$2325-1/$K$2518)*$K$3483)/1000)*$K$3651,2)</f>
        <v>3379.66</v>
      </c>
      <c r="G1559" s="3384" t="str">
        <f>G1555</f>
        <v>Heating Res ER2</v>
      </c>
      <c r="H1559" s="2213">
        <f>VLOOKUP(G1559,'CP FACTORS'!$A$3:$B$38, 2, FALSE)</f>
        <v>0</v>
      </c>
      <c r="I1559" s="3385">
        <f t="shared" si="225"/>
        <v>0</v>
      </c>
      <c r="J1559" s="2449">
        <f t="shared" si="233"/>
        <v>12</v>
      </c>
      <c r="K1559" s="2894">
        <f t="shared" si="227"/>
        <v>0</v>
      </c>
      <c r="L1559" s="2649"/>
      <c r="M1559" s="3386"/>
      <c r="N1559" s="3387"/>
      <c r="O1559" s="2702"/>
      <c r="P1559" s="635"/>
      <c r="Q1559" s="635"/>
      <c r="R1559" s="2966"/>
      <c r="S1559" s="635"/>
      <c r="T1559" s="635"/>
      <c r="U1559" s="3388"/>
      <c r="V1559" s="2962" t="s">
        <v>45</v>
      </c>
      <c r="W1559" s="3389"/>
      <c r="X1559" s="3390"/>
      <c r="Y1559" s="3369">
        <v>1986.12</v>
      </c>
      <c r="Z1559" s="3373">
        <v>1986.12</v>
      </c>
      <c r="AA1559" s="3373">
        <v>1986.12</v>
      </c>
      <c r="AB1559" s="3391">
        <v>1957.84</v>
      </c>
      <c r="AC1559" s="3369">
        <v>1841.29</v>
      </c>
      <c r="AD1559" s="3369">
        <v>3379.66</v>
      </c>
      <c r="AE1559" s="3389">
        <v>3379.66</v>
      </c>
      <c r="AF1559" s="2236">
        <f t="shared" si="228"/>
        <v>3379.66</v>
      </c>
      <c r="AG1559" s="3389"/>
      <c r="AH1559" s="2728"/>
      <c r="AI1559" s="2237"/>
      <c r="AJ1559" s="2237"/>
      <c r="AK1559" s="3392"/>
      <c r="AL1559" s="2237"/>
      <c r="AM1559" s="2237"/>
      <c r="AN1559" s="2237"/>
      <c r="AO1559" s="2237"/>
      <c r="AP1559" s="2237"/>
      <c r="AQ1559" s="2237"/>
      <c r="AR1559" s="2237"/>
      <c r="AS1559" s="2237"/>
      <c r="AT1559" s="2237"/>
      <c r="AU1559" s="2237"/>
      <c r="AV1559" s="2237"/>
      <c r="AW1559" s="2237"/>
      <c r="AX1559" s="2237"/>
      <c r="AY1559" s="2237"/>
      <c r="AZ1559" s="2237"/>
      <c r="BA1559" s="2237"/>
      <c r="BB1559" s="2237"/>
      <c r="BC1559" s="2237"/>
      <c r="BD1559" s="2237"/>
      <c r="BE1559" s="2237"/>
      <c r="BF1559" s="2237"/>
      <c r="BG1559" s="2237"/>
      <c r="BH1559" s="2237"/>
      <c r="BI1559" s="2237"/>
      <c r="BJ1559" s="2237"/>
      <c r="BK1559" s="2237"/>
      <c r="BL1559" s="2237"/>
      <c r="BM1559" s="2237"/>
      <c r="BN1559" s="2237"/>
      <c r="BO1559" s="2237"/>
      <c r="BP1559" s="2237"/>
      <c r="BQ1559" s="2237"/>
      <c r="BR1559" s="2237"/>
      <c r="BS1559" s="2237"/>
      <c r="BT1559" s="2237"/>
      <c r="BU1559" s="2237"/>
      <c r="BV1559" s="2237"/>
      <c r="BW1559" s="2237"/>
      <c r="BX1559" s="2237"/>
      <c r="BY1559" s="2237"/>
      <c r="BZ1559" s="2237"/>
      <c r="CA1559" s="2237"/>
      <c r="CB1559" s="2237"/>
      <c r="CC1559" s="2237"/>
      <c r="CD1559" s="2237"/>
      <c r="CE1559" s="2237"/>
      <c r="CF1559" s="2237"/>
      <c r="CG1559" s="2237"/>
      <c r="CH1559" s="2237"/>
      <c r="CI1559" s="2237"/>
      <c r="CJ1559" s="2237"/>
      <c r="CK1559" s="2237"/>
      <c r="CL1559" s="2237"/>
      <c r="CM1559" s="2237"/>
      <c r="CN1559" s="2237"/>
      <c r="CO1559" s="2237"/>
      <c r="CP1559" s="2237"/>
      <c r="CQ1559" s="2237"/>
      <c r="CR1559" s="2237"/>
      <c r="CS1559" s="2237"/>
      <c r="CT1559" s="2237"/>
      <c r="CU1559" s="2237"/>
      <c r="CV1559" s="2237"/>
      <c r="CW1559" s="2237"/>
      <c r="CX1559" s="2237"/>
      <c r="CY1559" s="2237"/>
      <c r="CZ1559" s="2237"/>
      <c r="DA1559" s="2237"/>
      <c r="DB1559" s="2237"/>
      <c r="DC1559" s="2237"/>
      <c r="DD1559" s="2237"/>
      <c r="DE1559" s="2237"/>
      <c r="DF1559" s="3393" t="str">
        <f t="shared" si="231"/>
        <v>ASHP-SEER15-Replace_CAC_ElectricHeat_ER2_MF_CompE</v>
      </c>
      <c r="DG1559" s="3332"/>
      <c r="DH1559" s="2522" t="str">
        <f t="shared" si="229"/>
        <v>Heating Res ER2 12 Year EUL</v>
      </c>
      <c r="DI1559" s="3260">
        <f>(INDEX('Avoided Cost Benefits'!$B$4:$B$866,MATCH(DH1559,'Avoided Cost Benefits'!$A$4:$A$866,0)))*F1559</f>
        <v>1141.9736807556224</v>
      </c>
      <c r="DJ1559" s="2507">
        <f t="shared" si="234"/>
        <v>0</v>
      </c>
      <c r="DM1559" s="252"/>
    </row>
    <row r="1560" spans="1:117">
      <c r="A1560" s="453"/>
      <c r="B1560" s="1454">
        <f t="shared" si="224"/>
        <v>352760</v>
      </c>
      <c r="C1560" s="2554" t="s">
        <v>2213</v>
      </c>
      <c r="D1560" s="3383" t="s">
        <v>1122</v>
      </c>
      <c r="E1560" s="2882" t="s">
        <v>2214</v>
      </c>
      <c r="F1560" s="3395">
        <f>ROUND((($K$2712*$K$2905*(1/$K$3098-1/$K$3291)*$K$3484)/1000)*$K$3651,2)</f>
        <v>2374.39</v>
      </c>
      <c r="G1560" s="3384" t="s">
        <v>2077</v>
      </c>
      <c r="H1560" s="2213">
        <f>VLOOKUP(G1560,'CP FACTORS'!$A$3:$B$38, 2, FALSE)</f>
        <v>9.4741810000000004E-4</v>
      </c>
      <c r="I1560" s="3385">
        <f t="shared" si="225"/>
        <v>2.2495400000000001</v>
      </c>
      <c r="J1560" s="2449">
        <f t="shared" si="233"/>
        <v>6</v>
      </c>
      <c r="K1560" s="2467">
        <f t="shared" si="227"/>
        <v>410.70478193185022</v>
      </c>
      <c r="L1560" s="2649">
        <f>L1940</f>
        <v>2.9733333333333332</v>
      </c>
      <c r="M1560" s="3386"/>
      <c r="N1560" s="3387"/>
      <c r="O1560" s="2702"/>
      <c r="P1560" s="635"/>
      <c r="Q1560" s="635"/>
      <c r="R1560" s="2966"/>
      <c r="S1560" s="635"/>
      <c r="T1560" s="635"/>
      <c r="U1560" s="3388"/>
      <c r="V1560" s="2962" t="s">
        <v>45</v>
      </c>
      <c r="W1560" s="3389"/>
      <c r="X1560" s="3390"/>
      <c r="Y1560" s="3369"/>
      <c r="Z1560" s="3373"/>
      <c r="AA1560" s="3373"/>
      <c r="AB1560" s="3391"/>
      <c r="AC1560" s="3369">
        <v>914.58</v>
      </c>
      <c r="AD1560" s="3369">
        <v>2374.39</v>
      </c>
      <c r="AE1560" s="3389">
        <v>2374.39</v>
      </c>
      <c r="AF1560" s="2236">
        <f t="shared" si="228"/>
        <v>2374.39</v>
      </c>
      <c r="AG1560" s="3389"/>
      <c r="AH1560" s="2728"/>
      <c r="AI1560" s="2237"/>
      <c r="AJ1560" s="2237"/>
      <c r="AK1560" s="3392"/>
      <c r="AL1560" s="2237"/>
      <c r="AM1560" s="2237"/>
      <c r="AN1560" s="2237"/>
      <c r="AO1560" s="2237"/>
      <c r="AP1560" s="2237"/>
      <c r="AQ1560" s="2237"/>
      <c r="AR1560" s="2237"/>
      <c r="AS1560" s="2237"/>
      <c r="AT1560" s="2237"/>
      <c r="AU1560" s="2237"/>
      <c r="AV1560" s="2237"/>
      <c r="AW1560" s="2237"/>
      <c r="AX1560" s="2237"/>
      <c r="AY1560" s="2237"/>
      <c r="AZ1560" s="2237"/>
      <c r="BA1560" s="2237"/>
      <c r="BB1560" s="2237"/>
      <c r="BC1560" s="2237"/>
      <c r="BD1560" s="2237"/>
      <c r="BE1560" s="2237"/>
      <c r="BF1560" s="2237"/>
      <c r="BG1560" s="2237"/>
      <c r="BH1560" s="2237"/>
      <c r="BI1560" s="2237"/>
      <c r="BJ1560" s="2237"/>
      <c r="BK1560" s="2237"/>
      <c r="BL1560" s="2237"/>
      <c r="BM1560" s="2237"/>
      <c r="BN1560" s="2237"/>
      <c r="BO1560" s="2237"/>
      <c r="BP1560" s="2237"/>
      <c r="BQ1560" s="2237"/>
      <c r="BR1560" s="2237"/>
      <c r="BS1560" s="2237"/>
      <c r="BT1560" s="2237"/>
      <c r="BU1560" s="2237"/>
      <c r="BV1560" s="2237"/>
      <c r="BW1560" s="2237"/>
      <c r="BX1560" s="2237"/>
      <c r="BY1560" s="2237"/>
      <c r="BZ1560" s="2237"/>
      <c r="CA1560" s="2237"/>
      <c r="CB1560" s="2237"/>
      <c r="CC1560" s="2237"/>
      <c r="CD1560" s="2237"/>
      <c r="CE1560" s="2237"/>
      <c r="CF1560" s="2237"/>
      <c r="CG1560" s="2237"/>
      <c r="CH1560" s="2237"/>
      <c r="CI1560" s="2237"/>
      <c r="CJ1560" s="2237"/>
      <c r="CK1560" s="2237"/>
      <c r="CL1560" s="2237"/>
      <c r="CM1560" s="2237"/>
      <c r="CN1560" s="2237"/>
      <c r="CO1560" s="2237"/>
      <c r="CP1560" s="2237"/>
      <c r="CQ1560" s="2237"/>
      <c r="CR1560" s="2237"/>
      <c r="CS1560" s="2237"/>
      <c r="CT1560" s="2237"/>
      <c r="CU1560" s="2237"/>
      <c r="CV1560" s="2237"/>
      <c r="CW1560" s="2237"/>
      <c r="CX1560" s="2237"/>
      <c r="CY1560" s="2237"/>
      <c r="CZ1560" s="2237"/>
      <c r="DA1560" s="2237"/>
      <c r="DB1560" s="2237"/>
      <c r="DC1560" s="2237"/>
      <c r="DD1560" s="2237"/>
      <c r="DE1560" s="2237"/>
      <c r="DF1560" s="3393" t="str">
        <f t="shared" si="231"/>
        <v>ASHP-SEER15-Replace_CAC_NonElectricHeat_ER1_MF</v>
      </c>
      <c r="DG1560" s="3259">
        <f>(DI1560+DI1561+DI1562+DI1563)/(DJ1560+DJ1561+DJ1562+DJ1563)</f>
        <v>6.6442741495773996</v>
      </c>
      <c r="DH1560" s="2882" t="str">
        <f t="shared" si="229"/>
        <v>Cooling Res 6 Year EUL</v>
      </c>
      <c r="DI1560" s="3260">
        <f>(INDEX('Avoided Cost Benefits'!$B$4:$B$866,MATCH(DH1560,'Avoided Cost Benefits'!$A$4:$A$866,0)))*F1560</f>
        <v>2364.5317638053484</v>
      </c>
      <c r="DJ1560" s="2507">
        <f t="shared" si="234"/>
        <v>410.70478193185022</v>
      </c>
      <c r="DM1560" s="252"/>
    </row>
    <row r="1561" spans="1:117">
      <c r="A1561" s="453"/>
      <c r="B1561" s="1454">
        <f t="shared" si="224"/>
        <v>352760</v>
      </c>
      <c r="C1561" s="2554" t="s">
        <v>2213</v>
      </c>
      <c r="D1561" s="3383" t="s">
        <v>1122</v>
      </c>
      <c r="E1561" s="2882" t="s">
        <v>2214</v>
      </c>
      <c r="F1561" s="3395">
        <f>0</f>
        <v>0</v>
      </c>
      <c r="G1561" s="3384" t="s">
        <v>2078</v>
      </c>
      <c r="H1561" s="2213">
        <f>VLOOKUP(G1561,'CP FACTORS'!$A$3:$B$38, 2, FALSE)</f>
        <v>0</v>
      </c>
      <c r="I1561" s="3385">
        <f t="shared" si="225"/>
        <v>0</v>
      </c>
      <c r="J1561" s="2449">
        <f t="shared" si="233"/>
        <v>6</v>
      </c>
      <c r="K1561" s="2894">
        <f t="shared" si="227"/>
        <v>0</v>
      </c>
      <c r="L1561" s="2649"/>
      <c r="M1561" s="3386"/>
      <c r="N1561" s="3387"/>
      <c r="O1561" s="2702"/>
      <c r="P1561" s="635"/>
      <c r="Q1561" s="635"/>
      <c r="R1561" s="2966"/>
      <c r="S1561" s="635"/>
      <c r="T1561" s="635"/>
      <c r="U1561" s="3388"/>
      <c r="V1561" s="2962" t="s">
        <v>45</v>
      </c>
      <c r="W1561" s="3389"/>
      <c r="X1561" s="3390"/>
      <c r="Y1561" s="3369"/>
      <c r="Z1561" s="3373"/>
      <c r="AA1561" s="3373"/>
      <c r="AB1561" s="3391"/>
      <c r="AC1561" s="3369">
        <v>0</v>
      </c>
      <c r="AD1561" s="3373">
        <v>0</v>
      </c>
      <c r="AE1561" s="3389">
        <v>0</v>
      </c>
      <c r="AF1561" s="2236">
        <f t="shared" si="228"/>
        <v>0</v>
      </c>
      <c r="AG1561" s="3389"/>
      <c r="AH1561" s="2728"/>
      <c r="AI1561" s="2237"/>
      <c r="AJ1561" s="2237"/>
      <c r="AK1561" s="3392"/>
      <c r="AL1561" s="2237"/>
      <c r="AM1561" s="2237"/>
      <c r="AN1561" s="2237"/>
      <c r="AO1561" s="2237"/>
      <c r="AP1561" s="2237"/>
      <c r="AQ1561" s="2237"/>
      <c r="AR1561" s="2237"/>
      <c r="AS1561" s="2237"/>
      <c r="AT1561" s="2237"/>
      <c r="AU1561" s="2237"/>
      <c r="AV1561" s="2237"/>
      <c r="AW1561" s="2237"/>
      <c r="AX1561" s="2237"/>
      <c r="AY1561" s="2237"/>
      <c r="AZ1561" s="2237"/>
      <c r="BA1561" s="2237"/>
      <c r="BB1561" s="2237"/>
      <c r="BC1561" s="2237"/>
      <c r="BD1561" s="2237"/>
      <c r="BE1561" s="2237"/>
      <c r="BF1561" s="2237"/>
      <c r="BG1561" s="2237"/>
      <c r="BH1561" s="2237"/>
      <c r="BI1561" s="2237"/>
      <c r="BJ1561" s="2237"/>
      <c r="BK1561" s="2237"/>
      <c r="BL1561" s="2237"/>
      <c r="BM1561" s="2237"/>
      <c r="BN1561" s="2237"/>
      <c r="BO1561" s="2237"/>
      <c r="BP1561" s="2237"/>
      <c r="BQ1561" s="2237"/>
      <c r="BR1561" s="2237"/>
      <c r="BS1561" s="2237"/>
      <c r="BT1561" s="2237"/>
      <c r="BU1561" s="2237"/>
      <c r="BV1561" s="2237"/>
      <c r="BW1561" s="2237"/>
      <c r="BX1561" s="2237"/>
      <c r="BY1561" s="2237"/>
      <c r="BZ1561" s="2237"/>
      <c r="CA1561" s="2237"/>
      <c r="CB1561" s="2237"/>
      <c r="CC1561" s="2237"/>
      <c r="CD1561" s="2237"/>
      <c r="CE1561" s="2237"/>
      <c r="CF1561" s="2237"/>
      <c r="CG1561" s="2237"/>
      <c r="CH1561" s="2237"/>
      <c r="CI1561" s="2237"/>
      <c r="CJ1561" s="2237"/>
      <c r="CK1561" s="2237"/>
      <c r="CL1561" s="2237"/>
      <c r="CM1561" s="2237"/>
      <c r="CN1561" s="2237"/>
      <c r="CO1561" s="2237"/>
      <c r="CP1561" s="2237"/>
      <c r="CQ1561" s="2237"/>
      <c r="CR1561" s="2237"/>
      <c r="CS1561" s="2237"/>
      <c r="CT1561" s="2237"/>
      <c r="CU1561" s="2237"/>
      <c r="CV1561" s="2237"/>
      <c r="CW1561" s="2237"/>
      <c r="CX1561" s="2237"/>
      <c r="CY1561" s="2237"/>
      <c r="CZ1561" s="2237"/>
      <c r="DA1561" s="2237"/>
      <c r="DB1561" s="2237"/>
      <c r="DC1561" s="2237"/>
      <c r="DD1561" s="2237"/>
      <c r="DE1561" s="2237"/>
      <c r="DF1561" s="3393" t="str">
        <f t="shared" si="231"/>
        <v>ASHP-SEER15-Replace_CAC_NonElectricHeat_ER1_MF</v>
      </c>
      <c r="DG1561" s="3332"/>
      <c r="DH1561" s="2882" t="str">
        <f t="shared" si="229"/>
        <v>Heating Res 6 Year EUL</v>
      </c>
      <c r="DI1561" s="3260">
        <f>(INDEX('Avoided Cost Benefits'!$B$4:$B$866,MATCH(DH1561,'Avoided Cost Benefits'!$A$4:$A$866,0)))*F1561</f>
        <v>0</v>
      </c>
      <c r="DJ1561" s="2507">
        <f t="shared" si="234"/>
        <v>0</v>
      </c>
      <c r="DM1561" s="252"/>
    </row>
    <row r="1562" spans="1:117">
      <c r="A1562" s="453"/>
      <c r="B1562" s="1454">
        <f t="shared" si="224"/>
        <v>352760</v>
      </c>
      <c r="C1562" s="2554" t="s">
        <v>2213</v>
      </c>
      <c r="D1562" s="3383" t="s">
        <v>1122</v>
      </c>
      <c r="E1562" s="2882" t="s">
        <v>2215</v>
      </c>
      <c r="F1562" s="3396">
        <f>ROUND((($K$2713*$K$2906*(1/$K$3099-1/$K$3292)*$K$3485)/1000)*$K$3651,2)</f>
        <v>281.55</v>
      </c>
      <c r="G1562" s="3384" t="s">
        <v>2138</v>
      </c>
      <c r="H1562" s="2213">
        <f>VLOOKUP(G1562,'CP FACTORS'!$A$3:$B$38, 2, FALSE)</f>
        <v>9.4741810000000004E-4</v>
      </c>
      <c r="I1562" s="3394">
        <f t="shared" si="225"/>
        <v>0.26674599999999998</v>
      </c>
      <c r="J1562" s="2449">
        <f t="shared" si="233"/>
        <v>12</v>
      </c>
      <c r="K1562" s="2894">
        <f t="shared" si="227"/>
        <v>0</v>
      </c>
      <c r="L1562" s="2649"/>
      <c r="M1562" s="3386"/>
      <c r="N1562" s="3387"/>
      <c r="O1562" s="2702"/>
      <c r="P1562" s="635"/>
      <c r="Q1562" s="635"/>
      <c r="R1562" s="2966"/>
      <c r="S1562" s="635"/>
      <c r="T1562" s="635"/>
      <c r="U1562" s="3388"/>
      <c r="V1562" s="2962" t="s">
        <v>45</v>
      </c>
      <c r="W1562" s="3389"/>
      <c r="X1562" s="3390"/>
      <c r="Y1562" s="3369"/>
      <c r="Z1562" s="3373"/>
      <c r="AA1562" s="3373"/>
      <c r="AB1562" s="3391"/>
      <c r="AC1562" s="3369">
        <v>201.35</v>
      </c>
      <c r="AD1562" s="3369">
        <v>360.57</v>
      </c>
      <c r="AE1562" s="3396">
        <v>171.49</v>
      </c>
      <c r="AF1562" s="2236">
        <f t="shared" si="228"/>
        <v>281.55</v>
      </c>
      <c r="AG1562" s="3389"/>
      <c r="AH1562" s="2728"/>
      <c r="AI1562" s="2237"/>
      <c r="AJ1562" s="2237"/>
      <c r="AK1562" s="3392"/>
      <c r="AL1562" s="2237"/>
      <c r="AM1562" s="2237"/>
      <c r="AN1562" s="2237"/>
      <c r="AO1562" s="2237"/>
      <c r="AP1562" s="2237"/>
      <c r="AQ1562" s="2237"/>
      <c r="AR1562" s="2237"/>
      <c r="AS1562" s="2237"/>
      <c r="AT1562" s="2237"/>
      <c r="AU1562" s="2237"/>
      <c r="AV1562" s="2237"/>
      <c r="AW1562" s="2237"/>
      <c r="AX1562" s="2237"/>
      <c r="AY1562" s="2237"/>
      <c r="AZ1562" s="2237"/>
      <c r="BA1562" s="2237"/>
      <c r="BB1562" s="2237"/>
      <c r="BC1562" s="2237"/>
      <c r="BD1562" s="2237"/>
      <c r="BE1562" s="2237"/>
      <c r="BF1562" s="2237"/>
      <c r="BG1562" s="2237"/>
      <c r="BH1562" s="2237"/>
      <c r="BI1562" s="2237"/>
      <c r="BJ1562" s="2237"/>
      <c r="BK1562" s="2237"/>
      <c r="BL1562" s="2237"/>
      <c r="BM1562" s="2237"/>
      <c r="BN1562" s="2237"/>
      <c r="BO1562" s="2237"/>
      <c r="BP1562" s="2237"/>
      <c r="BQ1562" s="2237"/>
      <c r="BR1562" s="2237"/>
      <c r="BS1562" s="2237"/>
      <c r="BT1562" s="2237"/>
      <c r="BU1562" s="2237"/>
      <c r="BV1562" s="2237"/>
      <c r="BW1562" s="2237"/>
      <c r="BX1562" s="2237"/>
      <c r="BY1562" s="2237"/>
      <c r="BZ1562" s="2237"/>
      <c r="CA1562" s="2237"/>
      <c r="CB1562" s="2237"/>
      <c r="CC1562" s="2237"/>
      <c r="CD1562" s="2237"/>
      <c r="CE1562" s="2237"/>
      <c r="CF1562" s="2237"/>
      <c r="CG1562" s="2237"/>
      <c r="CH1562" s="2237"/>
      <c r="CI1562" s="2237"/>
      <c r="CJ1562" s="2237"/>
      <c r="CK1562" s="2237"/>
      <c r="CL1562" s="2237"/>
      <c r="CM1562" s="2237"/>
      <c r="CN1562" s="2237"/>
      <c r="CO1562" s="2237"/>
      <c r="CP1562" s="2237"/>
      <c r="CQ1562" s="2237"/>
      <c r="CR1562" s="2237"/>
      <c r="CS1562" s="2237"/>
      <c r="CT1562" s="2237"/>
      <c r="CU1562" s="2237"/>
      <c r="CV1562" s="2237"/>
      <c r="CW1562" s="2237"/>
      <c r="CX1562" s="2237"/>
      <c r="CY1562" s="2237"/>
      <c r="CZ1562" s="2237"/>
      <c r="DA1562" s="2237"/>
      <c r="DB1562" s="2237"/>
      <c r="DC1562" s="2237"/>
      <c r="DD1562" s="2237"/>
      <c r="DE1562" s="2237"/>
      <c r="DF1562" s="3393" t="str">
        <f t="shared" si="231"/>
        <v>ASHP-SEER15-Replace_CAC_NonElectricHeat_ER2_MF</v>
      </c>
      <c r="DG1562" s="3332"/>
      <c r="DH1562" s="2882" t="str">
        <f t="shared" si="229"/>
        <v>Cooling Res ER2 12 Year EUL</v>
      </c>
      <c r="DI1562" s="3260">
        <f>(INDEX('Avoided Cost Benefits'!$B$4:$B$866,MATCH(DH1562,'Avoided Cost Benefits'!$A$4:$A$866,0)))*F1562</f>
        <v>364.30340189226695</v>
      </c>
      <c r="DJ1562" s="2507">
        <f t="shared" si="234"/>
        <v>0</v>
      </c>
      <c r="DM1562" s="252"/>
    </row>
    <row r="1563" spans="1:117">
      <c r="A1563" s="453"/>
      <c r="B1563" s="1454">
        <f t="shared" si="224"/>
        <v>352760</v>
      </c>
      <c r="C1563" s="2554" t="s">
        <v>2213</v>
      </c>
      <c r="D1563" s="3383" t="s">
        <v>1122</v>
      </c>
      <c r="E1563" s="2522" t="s">
        <v>2215</v>
      </c>
      <c r="F1563" s="3395">
        <f>0</f>
        <v>0</v>
      </c>
      <c r="G1563" s="3384" t="s">
        <v>2173</v>
      </c>
      <c r="H1563" s="2213">
        <f>VLOOKUP(G1563,'CP FACTORS'!$A$3:$B$38, 2, FALSE)</f>
        <v>0</v>
      </c>
      <c r="I1563" s="3385">
        <f t="shared" si="225"/>
        <v>0</v>
      </c>
      <c r="J1563" s="2449">
        <f t="shared" si="233"/>
        <v>12</v>
      </c>
      <c r="K1563" s="2894">
        <f t="shared" si="227"/>
        <v>0</v>
      </c>
      <c r="L1563" s="2649"/>
      <c r="M1563" s="3386"/>
      <c r="N1563" s="3387"/>
      <c r="O1563" s="2702"/>
      <c r="P1563" s="635"/>
      <c r="Q1563" s="635"/>
      <c r="R1563" s="2966"/>
      <c r="S1563" s="635"/>
      <c r="T1563" s="635"/>
      <c r="U1563" s="3388"/>
      <c r="V1563" s="2962" t="s">
        <v>45</v>
      </c>
      <c r="W1563" s="3389"/>
      <c r="X1563" s="3390"/>
      <c r="Y1563" s="3369"/>
      <c r="Z1563" s="3373"/>
      <c r="AA1563" s="3373"/>
      <c r="AB1563" s="3391"/>
      <c r="AC1563" s="3369">
        <v>0</v>
      </c>
      <c r="AD1563" s="3373">
        <v>0</v>
      </c>
      <c r="AE1563" s="3389">
        <v>0</v>
      </c>
      <c r="AF1563" s="2236">
        <f t="shared" si="228"/>
        <v>0</v>
      </c>
      <c r="AG1563" s="3389"/>
      <c r="AH1563" s="2728"/>
      <c r="AI1563" s="2237"/>
      <c r="AJ1563" s="2237"/>
      <c r="AK1563" s="3392"/>
      <c r="AL1563" s="2237"/>
      <c r="AM1563" s="2237"/>
      <c r="AN1563" s="2237"/>
      <c r="AO1563" s="2237"/>
      <c r="AP1563" s="2237"/>
      <c r="AQ1563" s="2237"/>
      <c r="AR1563" s="2237"/>
      <c r="AS1563" s="2237"/>
      <c r="AT1563" s="2237"/>
      <c r="AU1563" s="2237"/>
      <c r="AV1563" s="2237"/>
      <c r="AW1563" s="2237"/>
      <c r="AX1563" s="2237"/>
      <c r="AY1563" s="2237"/>
      <c r="AZ1563" s="2237"/>
      <c r="BA1563" s="2237"/>
      <c r="BB1563" s="2237"/>
      <c r="BC1563" s="2237"/>
      <c r="BD1563" s="2237"/>
      <c r="BE1563" s="2237"/>
      <c r="BF1563" s="2237"/>
      <c r="BG1563" s="2237"/>
      <c r="BH1563" s="2237"/>
      <c r="BI1563" s="2237"/>
      <c r="BJ1563" s="2237"/>
      <c r="BK1563" s="2237"/>
      <c r="BL1563" s="2237"/>
      <c r="BM1563" s="2237"/>
      <c r="BN1563" s="2237"/>
      <c r="BO1563" s="2237"/>
      <c r="BP1563" s="2237"/>
      <c r="BQ1563" s="2237"/>
      <c r="BR1563" s="2237"/>
      <c r="BS1563" s="2237"/>
      <c r="BT1563" s="2237"/>
      <c r="BU1563" s="2237"/>
      <c r="BV1563" s="2237"/>
      <c r="BW1563" s="2237"/>
      <c r="BX1563" s="2237"/>
      <c r="BY1563" s="2237"/>
      <c r="BZ1563" s="2237"/>
      <c r="CA1563" s="2237"/>
      <c r="CB1563" s="2237"/>
      <c r="CC1563" s="2237"/>
      <c r="CD1563" s="2237"/>
      <c r="CE1563" s="2237"/>
      <c r="CF1563" s="2237"/>
      <c r="CG1563" s="2237"/>
      <c r="CH1563" s="2237"/>
      <c r="CI1563" s="2237"/>
      <c r="CJ1563" s="2237"/>
      <c r="CK1563" s="2237"/>
      <c r="CL1563" s="2237"/>
      <c r="CM1563" s="2237"/>
      <c r="CN1563" s="2237"/>
      <c r="CO1563" s="2237"/>
      <c r="CP1563" s="2237"/>
      <c r="CQ1563" s="2237"/>
      <c r="CR1563" s="2237"/>
      <c r="CS1563" s="2237"/>
      <c r="CT1563" s="2237"/>
      <c r="CU1563" s="2237"/>
      <c r="CV1563" s="2237"/>
      <c r="CW1563" s="2237"/>
      <c r="CX1563" s="2237"/>
      <c r="CY1563" s="2237"/>
      <c r="CZ1563" s="2237"/>
      <c r="DA1563" s="2237"/>
      <c r="DB1563" s="2237"/>
      <c r="DC1563" s="2237"/>
      <c r="DD1563" s="2237"/>
      <c r="DE1563" s="2237"/>
      <c r="DF1563" s="3393" t="str">
        <f t="shared" si="231"/>
        <v>ASHP-SEER15-Replace_CAC_NonElectricHeat_ER2_MF</v>
      </c>
      <c r="DG1563" s="3332"/>
      <c r="DH1563" s="2522" t="str">
        <f t="shared" si="229"/>
        <v>Heating Res ER2 12 Year EUL</v>
      </c>
      <c r="DI1563" s="3260">
        <f>(INDEX('Avoided Cost Benefits'!$B$4:$B$866,MATCH(DH1563,'Avoided Cost Benefits'!$A$4:$A$866,0)))*F1563</f>
        <v>0</v>
      </c>
      <c r="DJ1563" s="2507">
        <f t="shared" si="234"/>
        <v>0</v>
      </c>
      <c r="DM1563" s="252"/>
    </row>
    <row r="1564" spans="1:117">
      <c r="A1564" s="453"/>
      <c r="B1564" s="1454">
        <f t="shared" si="224"/>
        <v>352761</v>
      </c>
      <c r="C1564" s="2554" t="s">
        <v>2216</v>
      </c>
      <c r="D1564" s="3383" t="s">
        <v>1118</v>
      </c>
      <c r="E1564" s="2882" t="s">
        <v>2217</v>
      </c>
      <c r="F1564" s="3395">
        <f>ROUND((($K$2714*$K$2907*(1/$K$3100-1/$K$3293)*$K$3486)/1000)*$K$3651,2)</f>
        <v>1726.83</v>
      </c>
      <c r="G1564" s="3384" t="s">
        <v>2077</v>
      </c>
      <c r="H1564" s="2213">
        <f>VLOOKUP(G1564,'CP FACTORS'!$A$3:$B$38, 2, FALSE)</f>
        <v>9.4741810000000004E-4</v>
      </c>
      <c r="I1564" s="3385">
        <f t="shared" si="225"/>
        <v>1.6360300000000001</v>
      </c>
      <c r="J1564" s="2449">
        <f t="shared" si="233"/>
        <v>6</v>
      </c>
      <c r="K1564" s="2467">
        <f t="shared" si="227"/>
        <v>772.71770760434947</v>
      </c>
      <c r="L1564" s="2649">
        <f>L1942</f>
        <v>2.9733333333333332</v>
      </c>
      <c r="M1564" s="3386"/>
      <c r="N1564" s="3387"/>
      <c r="O1564" s="2702"/>
      <c r="P1564" s="635"/>
      <c r="Q1564" s="635"/>
      <c r="R1564" s="2966"/>
      <c r="S1564" s="635"/>
      <c r="T1564" s="635"/>
      <c r="U1564" s="3388"/>
      <c r="V1564" s="2962" t="s">
        <v>45</v>
      </c>
      <c r="W1564" s="3389"/>
      <c r="X1564" s="3390"/>
      <c r="Y1564" s="3369"/>
      <c r="Z1564" s="3373"/>
      <c r="AA1564" s="3373"/>
      <c r="AB1564" s="3391"/>
      <c r="AC1564" s="3369">
        <v>839.47</v>
      </c>
      <c r="AD1564" s="3369">
        <v>1726.83</v>
      </c>
      <c r="AE1564" s="3389">
        <v>1726.83</v>
      </c>
      <c r="AF1564" s="2236">
        <f t="shared" si="228"/>
        <v>1726.83</v>
      </c>
      <c r="AG1564" s="3389"/>
      <c r="AH1564" s="2728"/>
      <c r="AI1564" s="2237"/>
      <c r="AJ1564" s="2237"/>
      <c r="AK1564" s="3392"/>
      <c r="AL1564" s="2237"/>
      <c r="AM1564" s="2237"/>
      <c r="AN1564" s="2237"/>
      <c r="AO1564" s="2237"/>
      <c r="AP1564" s="2237"/>
      <c r="AQ1564" s="2237"/>
      <c r="AR1564" s="2237"/>
      <c r="AS1564" s="2237"/>
      <c r="AT1564" s="2237"/>
      <c r="AU1564" s="2237"/>
      <c r="AV1564" s="2237"/>
      <c r="AW1564" s="2237"/>
      <c r="AX1564" s="2237"/>
      <c r="AY1564" s="2237"/>
      <c r="AZ1564" s="2237"/>
      <c r="BA1564" s="2237"/>
      <c r="BB1564" s="2237"/>
      <c r="BC1564" s="2237"/>
      <c r="BD1564" s="2237"/>
      <c r="BE1564" s="2237"/>
      <c r="BF1564" s="2237"/>
      <c r="BG1564" s="2237"/>
      <c r="BH1564" s="2237"/>
      <c r="BI1564" s="2237"/>
      <c r="BJ1564" s="2237"/>
      <c r="BK1564" s="2237"/>
      <c r="BL1564" s="2237"/>
      <c r="BM1564" s="2237"/>
      <c r="BN1564" s="2237"/>
      <c r="BO1564" s="2237"/>
      <c r="BP1564" s="2237"/>
      <c r="BQ1564" s="2237"/>
      <c r="BR1564" s="2237"/>
      <c r="BS1564" s="2237"/>
      <c r="BT1564" s="2237"/>
      <c r="BU1564" s="2237"/>
      <c r="BV1564" s="2237"/>
      <c r="BW1564" s="2237"/>
      <c r="BX1564" s="2237"/>
      <c r="BY1564" s="2237"/>
      <c r="BZ1564" s="2237"/>
      <c r="CA1564" s="2237"/>
      <c r="CB1564" s="2237"/>
      <c r="CC1564" s="2237"/>
      <c r="CD1564" s="2237"/>
      <c r="CE1564" s="2237"/>
      <c r="CF1564" s="2237"/>
      <c r="CG1564" s="2237"/>
      <c r="CH1564" s="2237"/>
      <c r="CI1564" s="2237"/>
      <c r="CJ1564" s="2237"/>
      <c r="CK1564" s="2237"/>
      <c r="CL1564" s="2237"/>
      <c r="CM1564" s="2237"/>
      <c r="CN1564" s="2237"/>
      <c r="CO1564" s="2237"/>
      <c r="CP1564" s="2237"/>
      <c r="CQ1564" s="2237"/>
      <c r="CR1564" s="2237"/>
      <c r="CS1564" s="2237"/>
      <c r="CT1564" s="2237"/>
      <c r="CU1564" s="2237"/>
      <c r="CV1564" s="2237"/>
      <c r="CW1564" s="2237"/>
      <c r="CX1564" s="2237"/>
      <c r="CY1564" s="2237"/>
      <c r="CZ1564" s="2237"/>
      <c r="DA1564" s="2237"/>
      <c r="DB1564" s="2237"/>
      <c r="DC1564" s="2237"/>
      <c r="DD1564" s="2237"/>
      <c r="DE1564" s="2237"/>
      <c r="DF1564" s="3393" t="str">
        <f t="shared" si="231"/>
        <v>ASHP-SEER15-Replace_CAC_NonElectricHeat_ER1_MF_CompE</v>
      </c>
      <c r="DG1564" s="3259">
        <f>(DI1564+DI1565+DI1566+DI1567)/(DJ1564+DJ1565+DJ1566+DJ1567)</f>
        <v>2.568342324569445</v>
      </c>
      <c r="DH1564" s="2882" t="str">
        <f t="shared" si="229"/>
        <v>Cooling Res 6 Year EUL</v>
      </c>
      <c r="DI1564" s="3260">
        <f>(INDEX('Avoided Cost Benefits'!$B$4:$B$866,MATCH(DH1564,'Avoided Cost Benefits'!$A$4:$A$866,0)))*F1564</f>
        <v>1719.66036990216</v>
      </c>
      <c r="DJ1564" s="2507">
        <f t="shared" si="234"/>
        <v>772.71770760434947</v>
      </c>
      <c r="DM1564" s="252"/>
    </row>
    <row r="1565" spans="1:117">
      <c r="A1565" s="453"/>
      <c r="B1565" s="1454">
        <f t="shared" si="224"/>
        <v>352761</v>
      </c>
      <c r="C1565" s="2554" t="s">
        <v>2216</v>
      </c>
      <c r="D1565" s="3383" t="s">
        <v>1118</v>
      </c>
      <c r="E1565" s="2882" t="s">
        <v>2217</v>
      </c>
      <c r="F1565" s="3395">
        <f>0</f>
        <v>0</v>
      </c>
      <c r="G1565" s="3384" t="s">
        <v>2078</v>
      </c>
      <c r="H1565" s="2213">
        <f>VLOOKUP(G1565,'CP FACTORS'!$A$3:$B$38, 2, FALSE)</f>
        <v>0</v>
      </c>
      <c r="I1565" s="3385">
        <f t="shared" si="225"/>
        <v>0</v>
      </c>
      <c r="J1565" s="2449">
        <f t="shared" si="233"/>
        <v>6</v>
      </c>
      <c r="K1565" s="2894">
        <f t="shared" si="227"/>
        <v>0</v>
      </c>
      <c r="L1565" s="2649"/>
      <c r="M1565" s="3386"/>
      <c r="N1565" s="3387"/>
      <c r="O1565" s="2702"/>
      <c r="P1565" s="635"/>
      <c r="Q1565" s="635"/>
      <c r="R1565" s="2966"/>
      <c r="S1565" s="635"/>
      <c r="T1565" s="635"/>
      <c r="U1565" s="3388"/>
      <c r="V1565" s="2962" t="s">
        <v>45</v>
      </c>
      <c r="W1565" s="3389"/>
      <c r="X1565" s="3390"/>
      <c r="Y1565" s="3369"/>
      <c r="Z1565" s="3373"/>
      <c r="AA1565" s="3373"/>
      <c r="AB1565" s="3391"/>
      <c r="AC1565" s="3369">
        <v>0</v>
      </c>
      <c r="AD1565" s="3373">
        <v>0</v>
      </c>
      <c r="AE1565" s="3389">
        <v>0</v>
      </c>
      <c r="AF1565" s="2236">
        <f t="shared" si="228"/>
        <v>0</v>
      </c>
      <c r="AG1565" s="3389"/>
      <c r="AH1565" s="2728"/>
      <c r="AI1565" s="2237"/>
      <c r="AJ1565" s="2237"/>
      <c r="AK1565" s="3392"/>
      <c r="AL1565" s="2237"/>
      <c r="AM1565" s="2237"/>
      <c r="AN1565" s="2237"/>
      <c r="AO1565" s="2237"/>
      <c r="AP1565" s="2237"/>
      <c r="AQ1565" s="2237"/>
      <c r="AR1565" s="2237"/>
      <c r="AS1565" s="2237"/>
      <c r="AT1565" s="2237"/>
      <c r="AU1565" s="2237"/>
      <c r="AV1565" s="2237"/>
      <c r="AW1565" s="2237"/>
      <c r="AX1565" s="2237"/>
      <c r="AY1565" s="2237"/>
      <c r="AZ1565" s="2237"/>
      <c r="BA1565" s="2237"/>
      <c r="BB1565" s="2237"/>
      <c r="BC1565" s="2237"/>
      <c r="BD1565" s="2237"/>
      <c r="BE1565" s="2237"/>
      <c r="BF1565" s="2237"/>
      <c r="BG1565" s="2237"/>
      <c r="BH1565" s="2237"/>
      <c r="BI1565" s="2237"/>
      <c r="BJ1565" s="2237"/>
      <c r="BK1565" s="2237"/>
      <c r="BL1565" s="2237"/>
      <c r="BM1565" s="2237"/>
      <c r="BN1565" s="2237"/>
      <c r="BO1565" s="2237"/>
      <c r="BP1565" s="2237"/>
      <c r="BQ1565" s="2237"/>
      <c r="BR1565" s="2237"/>
      <c r="BS1565" s="2237"/>
      <c r="BT1565" s="2237"/>
      <c r="BU1565" s="2237"/>
      <c r="BV1565" s="2237"/>
      <c r="BW1565" s="2237"/>
      <c r="BX1565" s="2237"/>
      <c r="BY1565" s="2237"/>
      <c r="BZ1565" s="2237"/>
      <c r="CA1565" s="2237"/>
      <c r="CB1565" s="2237"/>
      <c r="CC1565" s="2237"/>
      <c r="CD1565" s="2237"/>
      <c r="CE1565" s="2237"/>
      <c r="CF1565" s="2237"/>
      <c r="CG1565" s="2237"/>
      <c r="CH1565" s="2237"/>
      <c r="CI1565" s="2237"/>
      <c r="CJ1565" s="2237"/>
      <c r="CK1565" s="2237"/>
      <c r="CL1565" s="2237"/>
      <c r="CM1565" s="2237"/>
      <c r="CN1565" s="2237"/>
      <c r="CO1565" s="2237"/>
      <c r="CP1565" s="2237"/>
      <c r="CQ1565" s="2237"/>
      <c r="CR1565" s="2237"/>
      <c r="CS1565" s="2237"/>
      <c r="CT1565" s="2237"/>
      <c r="CU1565" s="2237"/>
      <c r="CV1565" s="2237"/>
      <c r="CW1565" s="2237"/>
      <c r="CX1565" s="2237"/>
      <c r="CY1565" s="2237"/>
      <c r="CZ1565" s="2237"/>
      <c r="DA1565" s="2237"/>
      <c r="DB1565" s="2237"/>
      <c r="DC1565" s="2237"/>
      <c r="DD1565" s="2237"/>
      <c r="DE1565" s="2237"/>
      <c r="DF1565" s="3393" t="str">
        <f t="shared" si="231"/>
        <v>ASHP-SEER15-Replace_CAC_NonElectricHeat_ER1_MF_CompE</v>
      </c>
      <c r="DG1565" s="3332"/>
      <c r="DH1565" s="2882" t="str">
        <f t="shared" si="229"/>
        <v>Heating Res 6 Year EUL</v>
      </c>
      <c r="DI1565" s="3260">
        <f>(INDEX('Avoided Cost Benefits'!$B$4:$B$866,MATCH(DH1565,'Avoided Cost Benefits'!$A$4:$A$866,0)))*F1565</f>
        <v>0</v>
      </c>
      <c r="DJ1565" s="2507">
        <f t="shared" si="234"/>
        <v>0</v>
      </c>
      <c r="DM1565" s="252"/>
    </row>
    <row r="1566" spans="1:117">
      <c r="A1566" s="453"/>
      <c r="B1566" s="1454">
        <f t="shared" si="224"/>
        <v>352761</v>
      </c>
      <c r="C1566" s="2554" t="s">
        <v>2216</v>
      </c>
      <c r="D1566" s="3383" t="s">
        <v>1118</v>
      </c>
      <c r="E1566" s="2882" t="s">
        <v>2218</v>
      </c>
      <c r="F1566" s="3396">
        <f>ROUND((($K$2715*$K$2908*(1/$K$3101-1/$K$3294)*$K$3487)/1000)*$K$3651,2)</f>
        <v>204.76</v>
      </c>
      <c r="G1566" s="3384" t="s">
        <v>2138</v>
      </c>
      <c r="H1566" s="2213">
        <f>VLOOKUP(G1566,'CP FACTORS'!$A$3:$B$38, 2, FALSE)</f>
        <v>9.4741810000000004E-4</v>
      </c>
      <c r="I1566" s="3394">
        <f t="shared" si="225"/>
        <v>0.193993</v>
      </c>
      <c r="J1566" s="2449">
        <f t="shared" si="233"/>
        <v>12</v>
      </c>
      <c r="K1566" s="2894">
        <f t="shared" si="227"/>
        <v>0</v>
      </c>
      <c r="L1566" s="2649"/>
      <c r="M1566" s="3386"/>
      <c r="N1566" s="3387"/>
      <c r="O1566" s="2702"/>
      <c r="P1566" s="635"/>
      <c r="Q1566" s="635"/>
      <c r="R1566" s="2966"/>
      <c r="S1566" s="635"/>
      <c r="T1566" s="635"/>
      <c r="U1566" s="3388"/>
      <c r="V1566" s="2962" t="s">
        <v>45</v>
      </c>
      <c r="W1566" s="3389"/>
      <c r="X1566" s="3390"/>
      <c r="Y1566" s="3369"/>
      <c r="Z1566" s="3373"/>
      <c r="AA1566" s="3373"/>
      <c r="AB1566" s="3391"/>
      <c r="AC1566" s="3369">
        <v>131.84</v>
      </c>
      <c r="AD1566" s="3369">
        <v>262.23</v>
      </c>
      <c r="AE1566" s="3396">
        <v>124.72</v>
      </c>
      <c r="AF1566" s="2236">
        <f t="shared" si="228"/>
        <v>204.76</v>
      </c>
      <c r="AG1566" s="3389"/>
      <c r="AH1566" s="2728"/>
      <c r="AI1566" s="2237"/>
      <c r="AJ1566" s="2237"/>
      <c r="AK1566" s="3392"/>
      <c r="AL1566" s="2237"/>
      <c r="AM1566" s="2237"/>
      <c r="AN1566" s="2237"/>
      <c r="AO1566" s="2237"/>
      <c r="AP1566" s="2237"/>
      <c r="AQ1566" s="2237"/>
      <c r="AR1566" s="2237"/>
      <c r="AS1566" s="2237"/>
      <c r="AT1566" s="2237"/>
      <c r="AU1566" s="2237"/>
      <c r="AV1566" s="2237"/>
      <c r="AW1566" s="2237"/>
      <c r="AX1566" s="2237"/>
      <c r="AY1566" s="2237"/>
      <c r="AZ1566" s="2237"/>
      <c r="BA1566" s="2237"/>
      <c r="BB1566" s="2237"/>
      <c r="BC1566" s="2237"/>
      <c r="BD1566" s="2237"/>
      <c r="BE1566" s="2237"/>
      <c r="BF1566" s="2237"/>
      <c r="BG1566" s="2237"/>
      <c r="BH1566" s="2237"/>
      <c r="BI1566" s="2237"/>
      <c r="BJ1566" s="2237"/>
      <c r="BK1566" s="2237"/>
      <c r="BL1566" s="2237"/>
      <c r="BM1566" s="2237"/>
      <c r="BN1566" s="2237"/>
      <c r="BO1566" s="2237"/>
      <c r="BP1566" s="2237"/>
      <c r="BQ1566" s="2237"/>
      <c r="BR1566" s="2237"/>
      <c r="BS1566" s="2237"/>
      <c r="BT1566" s="2237"/>
      <c r="BU1566" s="2237"/>
      <c r="BV1566" s="2237"/>
      <c r="BW1566" s="2237"/>
      <c r="BX1566" s="2237"/>
      <c r="BY1566" s="2237"/>
      <c r="BZ1566" s="2237"/>
      <c r="CA1566" s="2237"/>
      <c r="CB1566" s="2237"/>
      <c r="CC1566" s="2237"/>
      <c r="CD1566" s="2237"/>
      <c r="CE1566" s="2237"/>
      <c r="CF1566" s="2237"/>
      <c r="CG1566" s="2237"/>
      <c r="CH1566" s="2237"/>
      <c r="CI1566" s="2237"/>
      <c r="CJ1566" s="2237"/>
      <c r="CK1566" s="2237"/>
      <c r="CL1566" s="2237"/>
      <c r="CM1566" s="2237"/>
      <c r="CN1566" s="2237"/>
      <c r="CO1566" s="2237"/>
      <c r="CP1566" s="2237"/>
      <c r="CQ1566" s="2237"/>
      <c r="CR1566" s="2237"/>
      <c r="CS1566" s="2237"/>
      <c r="CT1566" s="2237"/>
      <c r="CU1566" s="2237"/>
      <c r="CV1566" s="2237"/>
      <c r="CW1566" s="2237"/>
      <c r="CX1566" s="2237"/>
      <c r="CY1566" s="2237"/>
      <c r="CZ1566" s="2237"/>
      <c r="DA1566" s="2237"/>
      <c r="DB1566" s="2237"/>
      <c r="DC1566" s="2237"/>
      <c r="DD1566" s="2237"/>
      <c r="DE1566" s="2237"/>
      <c r="DF1566" s="3393" t="str">
        <f t="shared" si="231"/>
        <v>ASHP-SEER15-Replace_CAC_NonElectricHeat_ER2_MF_CompE</v>
      </c>
      <c r="DG1566" s="3332"/>
      <c r="DH1566" s="2882" t="str">
        <f t="shared" si="229"/>
        <v>Cooling Res ER2 12 Year EUL</v>
      </c>
      <c r="DI1566" s="3260">
        <f>(INDEX('Avoided Cost Benefits'!$B$4:$B$866,MATCH(DH1566,'Avoided Cost Benefits'!$A$4:$A$866,0)))*F1566</f>
        <v>264.9432234823675</v>
      </c>
      <c r="DJ1566" s="2507">
        <f t="shared" si="234"/>
        <v>0</v>
      </c>
      <c r="DM1566" s="252"/>
    </row>
    <row r="1567" spans="1:117">
      <c r="A1567" s="453"/>
      <c r="B1567" s="1454">
        <f t="shared" si="224"/>
        <v>352761</v>
      </c>
      <c r="C1567" s="2554" t="s">
        <v>2216</v>
      </c>
      <c r="D1567" s="3383" t="s">
        <v>1118</v>
      </c>
      <c r="E1567" s="2882" t="s">
        <v>2218</v>
      </c>
      <c r="F1567" s="3395">
        <f>0</f>
        <v>0</v>
      </c>
      <c r="G1567" s="3384" t="s">
        <v>2173</v>
      </c>
      <c r="H1567" s="2213">
        <f>VLOOKUP(G1567,'CP FACTORS'!$A$3:$B$38, 2, FALSE)</f>
        <v>0</v>
      </c>
      <c r="I1567" s="3385">
        <f t="shared" si="225"/>
        <v>0</v>
      </c>
      <c r="J1567" s="2449">
        <f t="shared" si="233"/>
        <v>12</v>
      </c>
      <c r="K1567" s="2894">
        <f t="shared" si="227"/>
        <v>0</v>
      </c>
      <c r="L1567" s="2649"/>
      <c r="M1567" s="3386"/>
      <c r="N1567" s="3387"/>
      <c r="O1567" s="2702"/>
      <c r="P1567" s="635"/>
      <c r="Q1567" s="635"/>
      <c r="R1567" s="2966"/>
      <c r="S1567" s="635"/>
      <c r="T1567" s="635"/>
      <c r="U1567" s="3388"/>
      <c r="V1567" s="2962" t="s">
        <v>45</v>
      </c>
      <c r="W1567" s="3389"/>
      <c r="X1567" s="3390"/>
      <c r="Y1567" s="3369"/>
      <c r="Z1567" s="3373"/>
      <c r="AA1567" s="3373"/>
      <c r="AB1567" s="3391"/>
      <c r="AC1567" s="3369">
        <v>0</v>
      </c>
      <c r="AD1567" s="3373">
        <v>0</v>
      </c>
      <c r="AE1567" s="3389">
        <v>0</v>
      </c>
      <c r="AF1567" s="2236">
        <f t="shared" si="228"/>
        <v>0</v>
      </c>
      <c r="AG1567" s="3389"/>
      <c r="AH1567" s="2728"/>
      <c r="AI1567" s="2237"/>
      <c r="AJ1567" s="2237"/>
      <c r="AK1567" s="3392"/>
      <c r="AL1567" s="2237"/>
      <c r="AM1567" s="2237"/>
      <c r="AN1567" s="2237"/>
      <c r="AO1567" s="2237"/>
      <c r="AP1567" s="2237"/>
      <c r="AQ1567" s="2237"/>
      <c r="AR1567" s="2237"/>
      <c r="AS1567" s="2237"/>
      <c r="AT1567" s="2237"/>
      <c r="AU1567" s="2237"/>
      <c r="AV1567" s="2237"/>
      <c r="AW1567" s="2237"/>
      <c r="AX1567" s="2237"/>
      <c r="AY1567" s="2237"/>
      <c r="AZ1567" s="2237"/>
      <c r="BA1567" s="2237"/>
      <c r="BB1567" s="2237"/>
      <c r="BC1567" s="2237"/>
      <c r="BD1567" s="2237"/>
      <c r="BE1567" s="2237"/>
      <c r="BF1567" s="2237"/>
      <c r="BG1567" s="2237"/>
      <c r="BH1567" s="2237"/>
      <c r="BI1567" s="2237"/>
      <c r="BJ1567" s="2237"/>
      <c r="BK1567" s="2237"/>
      <c r="BL1567" s="2237"/>
      <c r="BM1567" s="2237"/>
      <c r="BN1567" s="2237"/>
      <c r="BO1567" s="2237"/>
      <c r="BP1567" s="2237"/>
      <c r="BQ1567" s="2237"/>
      <c r="BR1567" s="2237"/>
      <c r="BS1567" s="2237"/>
      <c r="BT1567" s="2237"/>
      <c r="BU1567" s="2237"/>
      <c r="BV1567" s="2237"/>
      <c r="BW1567" s="2237"/>
      <c r="BX1567" s="2237"/>
      <c r="BY1567" s="2237"/>
      <c r="BZ1567" s="2237"/>
      <c r="CA1567" s="2237"/>
      <c r="CB1567" s="2237"/>
      <c r="CC1567" s="2237"/>
      <c r="CD1567" s="2237"/>
      <c r="CE1567" s="2237"/>
      <c r="CF1567" s="2237"/>
      <c r="CG1567" s="2237"/>
      <c r="CH1567" s="2237"/>
      <c r="CI1567" s="2237"/>
      <c r="CJ1567" s="2237"/>
      <c r="CK1567" s="2237"/>
      <c r="CL1567" s="2237"/>
      <c r="CM1567" s="2237"/>
      <c r="CN1567" s="2237"/>
      <c r="CO1567" s="2237"/>
      <c r="CP1567" s="2237"/>
      <c r="CQ1567" s="2237"/>
      <c r="CR1567" s="2237"/>
      <c r="CS1567" s="2237"/>
      <c r="CT1567" s="2237"/>
      <c r="CU1567" s="2237"/>
      <c r="CV1567" s="2237"/>
      <c r="CW1567" s="2237"/>
      <c r="CX1567" s="2237"/>
      <c r="CY1567" s="2237"/>
      <c r="CZ1567" s="2237"/>
      <c r="DA1567" s="2237"/>
      <c r="DB1567" s="2237"/>
      <c r="DC1567" s="2237"/>
      <c r="DD1567" s="2237"/>
      <c r="DE1567" s="2237"/>
      <c r="DF1567" s="3393" t="str">
        <f t="shared" si="231"/>
        <v>ASHP-SEER15-Replace_CAC_NonElectricHeat_ER2_MF_CompE</v>
      </c>
      <c r="DG1567" s="3332"/>
      <c r="DH1567" s="2882" t="str">
        <f t="shared" si="229"/>
        <v>Heating Res ER2 12 Year EUL</v>
      </c>
      <c r="DI1567" s="3260">
        <f>(INDEX('Avoided Cost Benefits'!$B$4:$B$866,MATCH(DH1567,'Avoided Cost Benefits'!$A$4:$A$866,0)))*F1567</f>
        <v>0</v>
      </c>
      <c r="DJ1567" s="2507">
        <f t="shared" si="234"/>
        <v>0</v>
      </c>
      <c r="DM1567" s="252"/>
    </row>
    <row r="1568" spans="1:117">
      <c r="A1568" s="453"/>
      <c r="B1568" s="1454">
        <f t="shared" si="224"/>
        <v>352800</v>
      </c>
      <c r="C1568" s="2554" t="s">
        <v>2219</v>
      </c>
      <c r="D1568" s="3383" t="s">
        <v>1122</v>
      </c>
      <c r="E1568" s="3398" t="s">
        <v>2220</v>
      </c>
      <c r="F1568" s="3396">
        <f>ROUND(((K2716*K2909*(1/K3102-1/K3295)*K3488)/1000)*$K$3651,2)</f>
        <v>207.52</v>
      </c>
      <c r="G1568" s="3384" t="s">
        <v>2077</v>
      </c>
      <c r="H1568" s="2213">
        <f>VLOOKUP(G1568,'CP FACTORS'!$A$3:$B$38, 2, FALSE)</f>
        <v>9.4741810000000004E-4</v>
      </c>
      <c r="I1568" s="3394">
        <f t="shared" si="225"/>
        <v>0.196608</v>
      </c>
      <c r="J1568" s="2449">
        <f t="shared" si="233"/>
        <v>18</v>
      </c>
      <c r="K1568" s="2467">
        <f t="shared" si="227"/>
        <v>2961</v>
      </c>
      <c r="L1568" s="2649">
        <f>L1944</f>
        <v>2.1833333333333331</v>
      </c>
      <c r="M1568" s="3386"/>
      <c r="N1568" s="3387"/>
      <c r="O1568" s="2702"/>
      <c r="P1568" s="635"/>
      <c r="Q1568" s="635"/>
      <c r="R1568" s="2966"/>
      <c r="S1568" s="635"/>
      <c r="T1568" s="635"/>
      <c r="U1568" s="3388"/>
      <c r="V1568" s="2962" t="s">
        <v>45</v>
      </c>
      <c r="W1568" s="3389">
        <v>196.21105263157907</v>
      </c>
      <c r="X1568" s="3399">
        <v>196.21105263157907</v>
      </c>
      <c r="Y1568" s="3373">
        <v>196.21</v>
      </c>
      <c r="Z1568" s="3373">
        <v>196.21</v>
      </c>
      <c r="AA1568" s="3373">
        <v>196.21</v>
      </c>
      <c r="AB1568" s="3400">
        <v>196.21</v>
      </c>
      <c r="AC1568" s="3401">
        <v>196.21</v>
      </c>
      <c r="AD1568" s="3369">
        <v>267.38</v>
      </c>
      <c r="AE1568" s="3396">
        <v>124.14</v>
      </c>
      <c r="AF1568" s="2236">
        <f t="shared" si="228"/>
        <v>207.52</v>
      </c>
      <c r="AG1568" s="3389"/>
      <c r="AH1568" s="2728"/>
      <c r="AI1568" s="2237"/>
      <c r="AJ1568" s="2237"/>
      <c r="AK1568" s="3392"/>
      <c r="AL1568" s="2237"/>
      <c r="AM1568" s="2237"/>
      <c r="AN1568" s="2237"/>
      <c r="AO1568" s="2237"/>
      <c r="AP1568" s="2237"/>
      <c r="AQ1568" s="2237"/>
      <c r="AR1568" s="2237"/>
      <c r="AS1568" s="2237"/>
      <c r="AT1568" s="2237"/>
      <c r="AU1568" s="2237"/>
      <c r="AV1568" s="2237"/>
      <c r="AW1568" s="2237"/>
      <c r="AX1568" s="2237"/>
      <c r="AY1568" s="2237"/>
      <c r="AZ1568" s="2237"/>
      <c r="BA1568" s="2237"/>
      <c r="BB1568" s="2237"/>
      <c r="BC1568" s="2237"/>
      <c r="BD1568" s="2237"/>
      <c r="BE1568" s="2237"/>
      <c r="BF1568" s="2237"/>
      <c r="BG1568" s="2237"/>
      <c r="BH1568" s="2237"/>
      <c r="BI1568" s="2237"/>
      <c r="BJ1568" s="2237"/>
      <c r="BK1568" s="2237"/>
      <c r="BL1568" s="2237"/>
      <c r="BM1568" s="2237"/>
      <c r="BN1568" s="2237"/>
      <c r="BO1568" s="2237"/>
      <c r="BP1568" s="2237"/>
      <c r="BQ1568" s="2237"/>
      <c r="BR1568" s="2237"/>
      <c r="BS1568" s="2237"/>
      <c r="BT1568" s="2237"/>
      <c r="BU1568" s="2237"/>
      <c r="BV1568" s="2237"/>
      <c r="BW1568" s="2237"/>
      <c r="BX1568" s="2237"/>
      <c r="BY1568" s="2237"/>
      <c r="BZ1568" s="2237"/>
      <c r="CA1568" s="2237"/>
      <c r="CB1568" s="2237"/>
      <c r="CC1568" s="2237"/>
      <c r="CD1568" s="2237"/>
      <c r="CE1568" s="2237"/>
      <c r="CF1568" s="2237"/>
      <c r="CG1568" s="2237"/>
      <c r="CH1568" s="2237"/>
      <c r="CI1568" s="2237"/>
      <c r="CJ1568" s="2237"/>
      <c r="CK1568" s="2237"/>
      <c r="CL1568" s="2237"/>
      <c r="CM1568" s="2237"/>
      <c r="CN1568" s="2237"/>
      <c r="CO1568" s="2237"/>
      <c r="CP1568" s="2237"/>
      <c r="CQ1568" s="2237"/>
      <c r="CR1568" s="2237"/>
      <c r="CS1568" s="2237"/>
      <c r="CT1568" s="2237"/>
      <c r="CU1568" s="2237"/>
      <c r="CV1568" s="2237"/>
      <c r="CW1568" s="2237"/>
      <c r="CX1568" s="2237"/>
      <c r="CY1568" s="2237"/>
      <c r="CZ1568" s="2237"/>
      <c r="DA1568" s="2237"/>
      <c r="DB1568" s="2237"/>
      <c r="DC1568" s="2237"/>
      <c r="DD1568" s="2237"/>
      <c r="DE1568" s="2237"/>
      <c r="DF1568" s="3393" t="str">
        <f t="shared" si="231"/>
        <v>ASHP-SEER15-Replace_CAC_ElectricHeat_ROF_MF</v>
      </c>
      <c r="DG1568" s="3259">
        <f>(DI1568+DI1569)/(DJ1568+DJ1569)</f>
        <v>1.5693278881606003</v>
      </c>
      <c r="DH1568" s="3398" t="str">
        <f t="shared" si="229"/>
        <v>Cooling Res 18 Year EUL</v>
      </c>
      <c r="DI1568" s="3260">
        <f>(INDEX('Avoided Cost Benefits'!$B$4:$B$866,MATCH(DH1568,'Avoided Cost Benefits'!$A$4:$A$866,0)))*F1568</f>
        <v>475.17284205345703</v>
      </c>
      <c r="DJ1568" s="2507">
        <f>IFERROR(K1568/(1.0686^(2025-2025)),10000000)</f>
        <v>2961</v>
      </c>
      <c r="DM1568" s="252"/>
    </row>
    <row r="1569" spans="1:117">
      <c r="A1569" s="453"/>
      <c r="B1569" s="1454">
        <f t="shared" si="224"/>
        <v>352800</v>
      </c>
      <c r="C1569" s="2554" t="s">
        <v>2219</v>
      </c>
      <c r="D1569" s="3383" t="s">
        <v>1122</v>
      </c>
      <c r="E1569" s="3402" t="s">
        <v>2220</v>
      </c>
      <c r="F1569" s="3395">
        <f>ROUND(((K1944*K2137*(1/K2330-1/K2523)*K3488)/1000)*$K$3651,2)</f>
        <v>6882.99</v>
      </c>
      <c r="G1569" s="3384" t="s">
        <v>2078</v>
      </c>
      <c r="H1569" s="2213">
        <f>VLOOKUP(G1569,'CP FACTORS'!$A$3:$B$38, 2, FALSE)</f>
        <v>0</v>
      </c>
      <c r="I1569" s="3385">
        <f t="shared" si="225"/>
        <v>0</v>
      </c>
      <c r="J1569" s="2449">
        <f t="shared" si="233"/>
        <v>18</v>
      </c>
      <c r="K1569" s="2894">
        <f t="shared" si="227"/>
        <v>0</v>
      </c>
      <c r="L1569" s="2649"/>
      <c r="M1569" s="3386"/>
      <c r="N1569" s="3387"/>
      <c r="O1569" s="2702"/>
      <c r="P1569" s="635"/>
      <c r="Q1569" s="635"/>
      <c r="R1569" s="2966"/>
      <c r="S1569" s="635"/>
      <c r="T1569" s="635"/>
      <c r="U1569" s="3388"/>
      <c r="V1569" s="2962" t="s">
        <v>45</v>
      </c>
      <c r="W1569" s="3389">
        <v>7210.4507535974899</v>
      </c>
      <c r="X1569" s="3390">
        <v>5369.2555138784683</v>
      </c>
      <c r="Y1569" s="3373">
        <v>5369.26</v>
      </c>
      <c r="Z1569" s="3373">
        <v>5369.26</v>
      </c>
      <c r="AA1569" s="3373">
        <v>5369.26</v>
      </c>
      <c r="AB1569" s="3400">
        <v>5369.26</v>
      </c>
      <c r="AC1569" s="3401">
        <v>5369.26</v>
      </c>
      <c r="AD1569" s="3369">
        <v>6882.99</v>
      </c>
      <c r="AE1569" s="3389">
        <v>6882.99</v>
      </c>
      <c r="AF1569" s="2236">
        <f t="shared" si="228"/>
        <v>6882.99</v>
      </c>
      <c r="AG1569" s="3389"/>
      <c r="AH1569" s="2728"/>
      <c r="AI1569" s="2237"/>
      <c r="AJ1569" s="2237"/>
      <c r="AK1569" s="3392"/>
      <c r="AL1569" s="2237"/>
      <c r="AM1569" s="2237"/>
      <c r="AN1569" s="2237"/>
      <c r="AO1569" s="2237"/>
      <c r="AP1569" s="2237"/>
      <c r="AQ1569" s="2237"/>
      <c r="AR1569" s="2237"/>
      <c r="AS1569" s="2237"/>
      <c r="AT1569" s="2237"/>
      <c r="AU1569" s="2237"/>
      <c r="AV1569" s="2237"/>
      <c r="AW1569" s="2237"/>
      <c r="AX1569" s="2237"/>
      <c r="AY1569" s="2237"/>
      <c r="AZ1569" s="2237"/>
      <c r="BA1569" s="2237"/>
      <c r="BB1569" s="2237"/>
      <c r="BC1569" s="2237"/>
      <c r="BD1569" s="2237"/>
      <c r="BE1569" s="2237"/>
      <c r="BF1569" s="2237"/>
      <c r="BG1569" s="2237"/>
      <c r="BH1569" s="2237"/>
      <c r="BI1569" s="2237"/>
      <c r="BJ1569" s="2237"/>
      <c r="BK1569" s="2237"/>
      <c r="BL1569" s="2237"/>
      <c r="BM1569" s="2237"/>
      <c r="BN1569" s="2237"/>
      <c r="BO1569" s="2237"/>
      <c r="BP1569" s="2237"/>
      <c r="BQ1569" s="2237"/>
      <c r="BR1569" s="2237"/>
      <c r="BS1569" s="2237"/>
      <c r="BT1569" s="2237"/>
      <c r="BU1569" s="2237"/>
      <c r="BV1569" s="2237"/>
      <c r="BW1569" s="2237"/>
      <c r="BX1569" s="2237"/>
      <c r="BY1569" s="2237"/>
      <c r="BZ1569" s="2237"/>
      <c r="CA1569" s="2237"/>
      <c r="CB1569" s="2237"/>
      <c r="CC1569" s="2237"/>
      <c r="CD1569" s="2237"/>
      <c r="CE1569" s="2237"/>
      <c r="CF1569" s="2237"/>
      <c r="CG1569" s="2237"/>
      <c r="CH1569" s="2237"/>
      <c r="CI1569" s="2237"/>
      <c r="CJ1569" s="2237"/>
      <c r="CK1569" s="2237"/>
      <c r="CL1569" s="2237"/>
      <c r="CM1569" s="2237"/>
      <c r="CN1569" s="2237"/>
      <c r="CO1569" s="2237"/>
      <c r="CP1569" s="2237"/>
      <c r="CQ1569" s="2237"/>
      <c r="CR1569" s="2237"/>
      <c r="CS1569" s="2237"/>
      <c r="CT1569" s="2237"/>
      <c r="CU1569" s="2237"/>
      <c r="CV1569" s="2237"/>
      <c r="CW1569" s="2237"/>
      <c r="CX1569" s="2237"/>
      <c r="CY1569" s="2237"/>
      <c r="CZ1569" s="2237"/>
      <c r="DA1569" s="2237"/>
      <c r="DB1569" s="2237"/>
      <c r="DC1569" s="2237"/>
      <c r="DD1569" s="2237"/>
      <c r="DE1569" s="2237"/>
      <c r="DF1569" s="3393" t="str">
        <f t="shared" si="231"/>
        <v>ASHP-SEER15-Replace_CAC_ElectricHeat_ROF_MF</v>
      </c>
      <c r="DG1569" s="3261"/>
      <c r="DH1569" s="3402" t="str">
        <f t="shared" si="229"/>
        <v>Heating Res 18 Year EUL</v>
      </c>
      <c r="DI1569" s="3260">
        <f>(INDEX('Avoided Cost Benefits'!$B$4:$B$866,MATCH(DH1569,'Avoided Cost Benefits'!$A$4:$A$866,0)))*F1569</f>
        <v>4171.6070347900804</v>
      </c>
      <c r="DJ1569" s="2507">
        <f>K1569/(1.0686^(2025-2025))</f>
        <v>0</v>
      </c>
      <c r="DM1569" s="252"/>
    </row>
    <row r="1570" spans="1:117">
      <c r="A1570" s="453"/>
      <c r="B1570" s="1454">
        <f t="shared" si="224"/>
        <v>352801</v>
      </c>
      <c r="C1570" s="2554" t="s">
        <v>2221</v>
      </c>
      <c r="D1570" s="3383" t="s">
        <v>1118</v>
      </c>
      <c r="E1570" s="2521" t="s">
        <v>2222</v>
      </c>
      <c r="F1570" s="3396">
        <f>ROUND((($K$2717*$K$2910*(1/$K$3103-1/$K$3296)*$K$3489)/1000)*$K$3651,2)</f>
        <v>150.93</v>
      </c>
      <c r="G1570" s="3384" t="str">
        <f>G1568</f>
        <v>Cooling Res</v>
      </c>
      <c r="H1570" s="2213">
        <f>VLOOKUP(G1570,'CP FACTORS'!$A$3:$B$38, 2, FALSE)</f>
        <v>9.4741810000000004E-4</v>
      </c>
      <c r="I1570" s="3394">
        <f t="shared" si="225"/>
        <v>0.14299400000000001</v>
      </c>
      <c r="J1570" s="2449">
        <f t="shared" si="233"/>
        <v>18</v>
      </c>
      <c r="K1570" s="2467">
        <f t="shared" si="227"/>
        <v>2961</v>
      </c>
      <c r="L1570" s="2649">
        <f>L1945</f>
        <v>2.1833333333333331</v>
      </c>
      <c r="M1570" s="3386"/>
      <c r="N1570" s="3387"/>
      <c r="O1570" s="2702"/>
      <c r="P1570" s="635"/>
      <c r="Q1570" s="635"/>
      <c r="R1570" s="2966"/>
      <c r="S1570" s="635"/>
      <c r="T1570" s="635"/>
      <c r="U1570" s="3388"/>
      <c r="V1570" s="2962" t="s">
        <v>45</v>
      </c>
      <c r="W1570" s="3389"/>
      <c r="X1570" s="3390"/>
      <c r="Y1570" s="3369">
        <v>219.54</v>
      </c>
      <c r="Z1570" s="3373">
        <v>219.54</v>
      </c>
      <c r="AA1570" s="3373">
        <v>219.54</v>
      </c>
      <c r="AB1570" s="3400">
        <v>219.54</v>
      </c>
      <c r="AC1570" s="3369">
        <v>142.69999999999999</v>
      </c>
      <c r="AD1570" s="3369">
        <v>194.46</v>
      </c>
      <c r="AE1570" s="3396">
        <v>90.29</v>
      </c>
      <c r="AF1570" s="2236">
        <f t="shared" si="228"/>
        <v>150.93</v>
      </c>
      <c r="AG1570" s="3389"/>
      <c r="AH1570" s="2728"/>
      <c r="AI1570" s="2237"/>
      <c r="AJ1570" s="2237"/>
      <c r="AK1570" s="3392"/>
      <c r="AL1570" s="2237"/>
      <c r="AM1570" s="2237"/>
      <c r="AN1570" s="2237"/>
      <c r="AO1570" s="2237"/>
      <c r="AP1570" s="2237"/>
      <c r="AQ1570" s="2237"/>
      <c r="AR1570" s="2237"/>
      <c r="AS1570" s="2237"/>
      <c r="AT1570" s="2237"/>
      <c r="AU1570" s="2237"/>
      <c r="AV1570" s="2237"/>
      <c r="AW1570" s="2237"/>
      <c r="AX1570" s="2237"/>
      <c r="AY1570" s="2237"/>
      <c r="AZ1570" s="2237"/>
      <c r="BA1570" s="2237"/>
      <c r="BB1570" s="2237"/>
      <c r="BC1570" s="2237"/>
      <c r="BD1570" s="2237"/>
      <c r="BE1570" s="2237"/>
      <c r="BF1570" s="2237"/>
      <c r="BG1570" s="2237"/>
      <c r="BH1570" s="2237"/>
      <c r="BI1570" s="2237"/>
      <c r="BJ1570" s="2237"/>
      <c r="BK1570" s="2237"/>
      <c r="BL1570" s="2237"/>
      <c r="BM1570" s="2237"/>
      <c r="BN1570" s="2237"/>
      <c r="BO1570" s="2237"/>
      <c r="BP1570" s="2237"/>
      <c r="BQ1570" s="2237"/>
      <c r="BR1570" s="2237"/>
      <c r="BS1570" s="2237"/>
      <c r="BT1570" s="2237"/>
      <c r="BU1570" s="2237"/>
      <c r="BV1570" s="2237"/>
      <c r="BW1570" s="2237"/>
      <c r="BX1570" s="2237"/>
      <c r="BY1570" s="2237"/>
      <c r="BZ1570" s="2237"/>
      <c r="CA1570" s="2237"/>
      <c r="CB1570" s="2237"/>
      <c r="CC1570" s="2237"/>
      <c r="CD1570" s="2237"/>
      <c r="CE1570" s="2237"/>
      <c r="CF1570" s="2237"/>
      <c r="CG1570" s="2237"/>
      <c r="CH1570" s="2237"/>
      <c r="CI1570" s="2237"/>
      <c r="CJ1570" s="2237"/>
      <c r="CK1570" s="2237"/>
      <c r="CL1570" s="2237"/>
      <c r="CM1570" s="2237"/>
      <c r="CN1570" s="2237"/>
      <c r="CO1570" s="2237"/>
      <c r="CP1570" s="2237"/>
      <c r="CQ1570" s="2237"/>
      <c r="CR1570" s="2237"/>
      <c r="CS1570" s="2237"/>
      <c r="CT1570" s="2237"/>
      <c r="CU1570" s="2237"/>
      <c r="CV1570" s="2237"/>
      <c r="CW1570" s="2237"/>
      <c r="CX1570" s="2237"/>
      <c r="CY1570" s="2237"/>
      <c r="CZ1570" s="2237"/>
      <c r="DA1570" s="2237"/>
      <c r="DB1570" s="2237"/>
      <c r="DC1570" s="2237"/>
      <c r="DD1570" s="2237"/>
      <c r="DE1570" s="2237"/>
      <c r="DF1570" s="3393" t="str">
        <f t="shared" si="231"/>
        <v>ASHP-SEER15-Replace_CAC_ElectricHeat_ROF_MF_CompE</v>
      </c>
      <c r="DG1570" s="3259">
        <f>(DI1570+DI1571)/(DJ1570+DJ1571)</f>
        <v>0.59700685612246651</v>
      </c>
      <c r="DH1570" s="3398" t="str">
        <f t="shared" si="229"/>
        <v>Cooling Res 18 Year EUL</v>
      </c>
      <c r="DI1570" s="3260">
        <f>(INDEX('Avoided Cost Benefits'!$B$4:$B$866,MATCH(DH1570,'Avoided Cost Benefits'!$A$4:$A$866,0)))*F1570</f>
        <v>345.59482002278463</v>
      </c>
      <c r="DJ1570" s="2507">
        <f>IFERROR(K1570/(1.0686^(2025-2025)),10000000)</f>
        <v>2961</v>
      </c>
      <c r="DM1570" s="252"/>
    </row>
    <row r="1571" spans="1:117">
      <c r="A1571" s="453"/>
      <c r="B1571" s="1454">
        <f t="shared" si="224"/>
        <v>352801</v>
      </c>
      <c r="C1571" s="2554" t="str">
        <f>C1570</f>
        <v>352801_2024_12_</v>
      </c>
      <c r="D1571" s="3383" t="s">
        <v>1118</v>
      </c>
      <c r="E1571" s="2522" t="s">
        <v>2222</v>
      </c>
      <c r="F1571" s="3395">
        <f>ROUND((($K$1945*$K$2138*(1/$K$2331-1/$K$2524)*$K$3489)/1000)*$K$3651,2)</f>
        <v>2346.48</v>
      </c>
      <c r="G1571" s="3384" t="str">
        <f>G1569</f>
        <v>Heating Res</v>
      </c>
      <c r="H1571" s="2213">
        <f>VLOOKUP(G1571,'CP FACTORS'!$A$3:$B$38, 2, FALSE)</f>
        <v>0</v>
      </c>
      <c r="I1571" s="3385">
        <f t="shared" si="225"/>
        <v>0</v>
      </c>
      <c r="J1571" s="2449">
        <f t="shared" si="233"/>
        <v>18</v>
      </c>
      <c r="K1571" s="2894">
        <f t="shared" si="227"/>
        <v>0</v>
      </c>
      <c r="L1571" s="2649"/>
      <c r="M1571" s="3386"/>
      <c r="N1571" s="3387"/>
      <c r="O1571" s="2702"/>
      <c r="P1571" s="635"/>
      <c r="Q1571" s="635"/>
      <c r="R1571" s="2966"/>
      <c r="S1571" s="635"/>
      <c r="T1571" s="635"/>
      <c r="U1571" s="3388"/>
      <c r="V1571" s="2962" t="s">
        <v>45</v>
      </c>
      <c r="W1571" s="3389"/>
      <c r="X1571" s="3390"/>
      <c r="Y1571" s="3369">
        <v>2816.04</v>
      </c>
      <c r="Z1571" s="3373">
        <v>2816.04</v>
      </c>
      <c r="AA1571" s="3373">
        <v>2816.04</v>
      </c>
      <c r="AB1571" s="3400">
        <v>2816.04</v>
      </c>
      <c r="AC1571" s="3369">
        <v>1830.43</v>
      </c>
      <c r="AD1571" s="3369">
        <v>2346.48</v>
      </c>
      <c r="AE1571" s="3389">
        <v>2346.48</v>
      </c>
      <c r="AF1571" s="2236">
        <f t="shared" si="228"/>
        <v>2346.48</v>
      </c>
      <c r="AG1571" s="3389"/>
      <c r="AH1571" s="2728"/>
      <c r="AI1571" s="2237"/>
      <c r="AJ1571" s="2237"/>
      <c r="AK1571" s="3392"/>
      <c r="AL1571" s="2237"/>
      <c r="AM1571" s="2237"/>
      <c r="AN1571" s="2237"/>
      <c r="AO1571" s="2237"/>
      <c r="AP1571" s="2237"/>
      <c r="AQ1571" s="2237"/>
      <c r="AR1571" s="2237"/>
      <c r="AS1571" s="2237"/>
      <c r="AT1571" s="2237"/>
      <c r="AU1571" s="2237"/>
      <c r="AV1571" s="2237"/>
      <c r="AW1571" s="2237"/>
      <c r="AX1571" s="2237"/>
      <c r="AY1571" s="2237"/>
      <c r="AZ1571" s="2237"/>
      <c r="BA1571" s="2237"/>
      <c r="BB1571" s="2237"/>
      <c r="BC1571" s="2237"/>
      <c r="BD1571" s="2237"/>
      <c r="BE1571" s="2237"/>
      <c r="BF1571" s="2237"/>
      <c r="BG1571" s="2237"/>
      <c r="BH1571" s="2237"/>
      <c r="BI1571" s="2237"/>
      <c r="BJ1571" s="2237"/>
      <c r="BK1571" s="2237"/>
      <c r="BL1571" s="2237"/>
      <c r="BM1571" s="2237"/>
      <c r="BN1571" s="2237"/>
      <c r="BO1571" s="2237"/>
      <c r="BP1571" s="2237"/>
      <c r="BQ1571" s="2237"/>
      <c r="BR1571" s="2237"/>
      <c r="BS1571" s="2237"/>
      <c r="BT1571" s="2237"/>
      <c r="BU1571" s="2237"/>
      <c r="BV1571" s="2237"/>
      <c r="BW1571" s="2237"/>
      <c r="BX1571" s="2237"/>
      <c r="BY1571" s="2237"/>
      <c r="BZ1571" s="2237"/>
      <c r="CA1571" s="2237"/>
      <c r="CB1571" s="2237"/>
      <c r="CC1571" s="2237"/>
      <c r="CD1571" s="2237"/>
      <c r="CE1571" s="2237"/>
      <c r="CF1571" s="2237"/>
      <c r="CG1571" s="2237"/>
      <c r="CH1571" s="2237"/>
      <c r="CI1571" s="2237"/>
      <c r="CJ1571" s="2237"/>
      <c r="CK1571" s="2237"/>
      <c r="CL1571" s="2237"/>
      <c r="CM1571" s="2237"/>
      <c r="CN1571" s="2237"/>
      <c r="CO1571" s="2237"/>
      <c r="CP1571" s="2237"/>
      <c r="CQ1571" s="2237"/>
      <c r="CR1571" s="2237"/>
      <c r="CS1571" s="2237"/>
      <c r="CT1571" s="2237"/>
      <c r="CU1571" s="2237"/>
      <c r="CV1571" s="2237"/>
      <c r="CW1571" s="2237"/>
      <c r="CX1571" s="2237"/>
      <c r="CY1571" s="2237"/>
      <c r="CZ1571" s="2237"/>
      <c r="DA1571" s="2237"/>
      <c r="DB1571" s="2237"/>
      <c r="DC1571" s="2237"/>
      <c r="DD1571" s="2237"/>
      <c r="DE1571" s="2237"/>
      <c r="DF1571" s="3393" t="str">
        <f t="shared" si="231"/>
        <v>ASHP-SEER15-Replace_CAC_ElectricHeat_ROF_MF_CompE</v>
      </c>
      <c r="DG1571" s="3261"/>
      <c r="DH1571" s="3402" t="str">
        <f t="shared" si="229"/>
        <v>Heating Res 18 Year EUL</v>
      </c>
      <c r="DI1571" s="3260">
        <f>(INDEX('Avoided Cost Benefits'!$B$4:$B$866,MATCH(DH1571,'Avoided Cost Benefits'!$A$4:$A$866,0)))*F1571</f>
        <v>1422.1424809558387</v>
      </c>
      <c r="DJ1571" s="2507">
        <f>K1571/(1.0686^(2025-2025))</f>
        <v>0</v>
      </c>
      <c r="DM1571" s="252"/>
    </row>
    <row r="1572" spans="1:117">
      <c r="A1572" s="453"/>
      <c r="B1572" s="1454">
        <f t="shared" ref="B1572:B1635" si="235">VALUE(LEFT(C1572,6))</f>
        <v>352810</v>
      </c>
      <c r="C1572" s="2554" t="s">
        <v>2223</v>
      </c>
      <c r="D1572" s="3383" t="s">
        <v>1122</v>
      </c>
      <c r="E1572" s="2882" t="s">
        <v>2224</v>
      </c>
      <c r="F1572" s="3396">
        <f>ROUND(((K2718*K2911*(1/K3104-1/K3297)*K3490)/1000)*$K$3651,2)</f>
        <v>207.52</v>
      </c>
      <c r="G1572" s="3384" t="s">
        <v>2077</v>
      </c>
      <c r="H1572" s="2213">
        <f>VLOOKUP(G1572,'CP FACTORS'!$A$3:$B$38, 2, FALSE)</f>
        <v>9.4741810000000004E-4</v>
      </c>
      <c r="I1572" s="3394">
        <f t="shared" si="225"/>
        <v>0.196608</v>
      </c>
      <c r="J1572" s="2449">
        <f t="shared" si="233"/>
        <v>18</v>
      </c>
      <c r="K1572" s="2467">
        <f t="shared" ref="K1572:K1635" si="236">IF(C1572&lt;&gt;C1571,VLOOKUP(C1572,$J$4038:$K$4469,2,FALSE),0)</f>
        <v>86.660440504279663</v>
      </c>
      <c r="L1572" s="2649">
        <f>L1946</f>
        <v>2.1833333333333331</v>
      </c>
      <c r="M1572" s="3386"/>
      <c r="N1572" s="3387"/>
      <c r="O1572" s="2702"/>
      <c r="P1572" s="635"/>
      <c r="Q1572" s="635"/>
      <c r="R1572" s="2966"/>
      <c r="S1572" s="635"/>
      <c r="T1572" s="635"/>
      <c r="U1572" s="3388"/>
      <c r="V1572" s="2962" t="s">
        <v>45</v>
      </c>
      <c r="W1572" s="3389"/>
      <c r="X1572" s="3390"/>
      <c r="Y1572" s="3369"/>
      <c r="Z1572" s="3373"/>
      <c r="AA1572" s="3373"/>
      <c r="AB1572" s="3400"/>
      <c r="AC1572" s="3369">
        <v>196.21</v>
      </c>
      <c r="AD1572" s="3369">
        <v>267.38</v>
      </c>
      <c r="AE1572" s="3396">
        <v>124.14</v>
      </c>
      <c r="AF1572" s="2236">
        <f t="shared" ref="AF1572:AF1635" si="237">IF(F1572&lt;&gt;"",F1572,"")</f>
        <v>207.52</v>
      </c>
      <c r="AG1572" s="3389"/>
      <c r="AH1572" s="2728"/>
      <c r="AI1572" s="2237"/>
      <c r="AJ1572" s="2237"/>
      <c r="AK1572" s="3392"/>
      <c r="AL1572" s="2237"/>
      <c r="AM1572" s="2237"/>
      <c r="AN1572" s="2237"/>
      <c r="AO1572" s="2237"/>
      <c r="AP1572" s="2237"/>
      <c r="AQ1572" s="2237"/>
      <c r="AR1572" s="2237"/>
      <c r="AS1572" s="2237"/>
      <c r="AT1572" s="2237"/>
      <c r="AU1572" s="2237"/>
      <c r="AV1572" s="2237"/>
      <c r="AW1572" s="2237"/>
      <c r="AX1572" s="2237"/>
      <c r="AY1572" s="2237"/>
      <c r="AZ1572" s="2237"/>
      <c r="BA1572" s="2237"/>
      <c r="BB1572" s="2237"/>
      <c r="BC1572" s="2237"/>
      <c r="BD1572" s="2237"/>
      <c r="BE1572" s="2237"/>
      <c r="BF1572" s="2237"/>
      <c r="BG1572" s="2237"/>
      <c r="BH1572" s="2237"/>
      <c r="BI1572" s="2237"/>
      <c r="BJ1572" s="2237"/>
      <c r="BK1572" s="2237"/>
      <c r="BL1572" s="2237"/>
      <c r="BM1572" s="2237"/>
      <c r="BN1572" s="2237"/>
      <c r="BO1572" s="2237"/>
      <c r="BP1572" s="2237"/>
      <c r="BQ1572" s="2237"/>
      <c r="BR1572" s="2237"/>
      <c r="BS1572" s="2237"/>
      <c r="BT1572" s="2237"/>
      <c r="BU1572" s="2237"/>
      <c r="BV1572" s="2237"/>
      <c r="BW1572" s="2237"/>
      <c r="BX1572" s="2237"/>
      <c r="BY1572" s="2237"/>
      <c r="BZ1572" s="2237"/>
      <c r="CA1572" s="2237"/>
      <c r="CB1572" s="2237"/>
      <c r="CC1572" s="2237"/>
      <c r="CD1572" s="2237"/>
      <c r="CE1572" s="2237"/>
      <c r="CF1572" s="2237"/>
      <c r="CG1572" s="2237"/>
      <c r="CH1572" s="2237"/>
      <c r="CI1572" s="2237"/>
      <c r="CJ1572" s="2237"/>
      <c r="CK1572" s="2237"/>
      <c r="CL1572" s="2237"/>
      <c r="CM1572" s="2237"/>
      <c r="CN1572" s="2237"/>
      <c r="CO1572" s="2237"/>
      <c r="CP1572" s="2237"/>
      <c r="CQ1572" s="2237"/>
      <c r="CR1572" s="2237"/>
      <c r="CS1572" s="2237"/>
      <c r="CT1572" s="2237"/>
      <c r="CU1572" s="2237"/>
      <c r="CV1572" s="2237"/>
      <c r="CW1572" s="2237"/>
      <c r="CX1572" s="2237"/>
      <c r="CY1572" s="2237"/>
      <c r="CZ1572" s="2237"/>
      <c r="DA1572" s="2237"/>
      <c r="DB1572" s="2237"/>
      <c r="DC1572" s="2237"/>
      <c r="DD1572" s="2237"/>
      <c r="DE1572" s="2237"/>
      <c r="DF1572" s="3393" t="str">
        <f t="shared" si="231"/>
        <v>ASHP-SEER15-Replace_CAC_NonElectricHeat_ROF_MF</v>
      </c>
      <c r="DG1572" s="3259">
        <f>(DI1572+DI1573)/(DJ1572+DJ1573)</f>
        <v>5.4831574740263518</v>
      </c>
      <c r="DH1572" s="3403" t="str">
        <f t="shared" si="229"/>
        <v>Cooling Res 18 Year EUL</v>
      </c>
      <c r="DI1572" s="3260">
        <f>(INDEX('Avoided Cost Benefits'!$B$4:$B$866,MATCH(DH1572,'Avoided Cost Benefits'!$A$4:$A$866,0)))*F1572</f>
        <v>475.17284205345703</v>
      </c>
      <c r="DJ1572" s="2507">
        <f>IFERROR(K1572/(1.0686^(2025-2025)),10000000)</f>
        <v>86.660440504279663</v>
      </c>
      <c r="DM1572" s="252"/>
    </row>
    <row r="1573" spans="1:117">
      <c r="A1573" s="453"/>
      <c r="B1573" s="1454">
        <f t="shared" si="235"/>
        <v>352810</v>
      </c>
      <c r="C1573" s="2554" t="s">
        <v>2223</v>
      </c>
      <c r="D1573" s="3383" t="s">
        <v>1122</v>
      </c>
      <c r="E1573" s="2522" t="s">
        <v>2224</v>
      </c>
      <c r="F1573" s="3395">
        <v>0</v>
      </c>
      <c r="G1573" s="3384" t="s">
        <v>2078</v>
      </c>
      <c r="H1573" s="2213">
        <f>VLOOKUP(G1573,'CP FACTORS'!$A$3:$B$38, 2, FALSE)</f>
        <v>0</v>
      </c>
      <c r="I1573" s="3385">
        <f t="shared" si="225"/>
        <v>0</v>
      </c>
      <c r="J1573" s="2449">
        <f t="shared" si="233"/>
        <v>18</v>
      </c>
      <c r="K1573" s="2894">
        <f t="shared" si="236"/>
        <v>0</v>
      </c>
      <c r="L1573" s="2649"/>
      <c r="M1573" s="3386"/>
      <c r="N1573" s="3387"/>
      <c r="O1573" s="2702"/>
      <c r="P1573" s="635"/>
      <c r="Q1573" s="635"/>
      <c r="R1573" s="2966"/>
      <c r="S1573" s="635"/>
      <c r="T1573" s="635"/>
      <c r="U1573" s="3388"/>
      <c r="V1573" s="2962" t="s">
        <v>45</v>
      </c>
      <c r="W1573" s="3389"/>
      <c r="X1573" s="3390"/>
      <c r="Y1573" s="3369"/>
      <c r="Z1573" s="3373"/>
      <c r="AA1573" s="3373"/>
      <c r="AB1573" s="3400"/>
      <c r="AC1573" s="3369">
        <v>0</v>
      </c>
      <c r="AD1573" s="3369">
        <v>0</v>
      </c>
      <c r="AE1573" s="3389">
        <v>0</v>
      </c>
      <c r="AF1573" s="2236">
        <f t="shared" si="237"/>
        <v>0</v>
      </c>
      <c r="AG1573" s="3389"/>
      <c r="AH1573" s="2728"/>
      <c r="AI1573" s="2237"/>
      <c r="AJ1573" s="2237"/>
      <c r="AK1573" s="3392"/>
      <c r="AL1573" s="2237"/>
      <c r="AM1573" s="2237"/>
      <c r="AN1573" s="2237"/>
      <c r="AO1573" s="2237"/>
      <c r="AP1573" s="2237"/>
      <c r="AQ1573" s="2237"/>
      <c r="AR1573" s="2237"/>
      <c r="AS1573" s="2237"/>
      <c r="AT1573" s="2237"/>
      <c r="AU1573" s="2237"/>
      <c r="AV1573" s="2237"/>
      <c r="AW1573" s="2237"/>
      <c r="AX1573" s="2237"/>
      <c r="AY1573" s="2237"/>
      <c r="AZ1573" s="2237"/>
      <c r="BA1573" s="2237"/>
      <c r="BB1573" s="2237"/>
      <c r="BC1573" s="2237"/>
      <c r="BD1573" s="2237"/>
      <c r="BE1573" s="2237"/>
      <c r="BF1573" s="2237"/>
      <c r="BG1573" s="2237"/>
      <c r="BH1573" s="2237"/>
      <c r="BI1573" s="2237"/>
      <c r="BJ1573" s="2237"/>
      <c r="BK1573" s="2237"/>
      <c r="BL1573" s="2237"/>
      <c r="BM1573" s="2237"/>
      <c r="BN1573" s="2237"/>
      <c r="BO1573" s="2237"/>
      <c r="BP1573" s="2237"/>
      <c r="BQ1573" s="2237"/>
      <c r="BR1573" s="2237"/>
      <c r="BS1573" s="2237"/>
      <c r="BT1573" s="2237"/>
      <c r="BU1573" s="2237"/>
      <c r="BV1573" s="2237"/>
      <c r="BW1573" s="2237"/>
      <c r="BX1573" s="2237"/>
      <c r="BY1573" s="2237"/>
      <c r="BZ1573" s="2237"/>
      <c r="CA1573" s="2237"/>
      <c r="CB1573" s="2237"/>
      <c r="CC1573" s="2237"/>
      <c r="CD1573" s="2237"/>
      <c r="CE1573" s="2237"/>
      <c r="CF1573" s="2237"/>
      <c r="CG1573" s="2237"/>
      <c r="CH1573" s="2237"/>
      <c r="CI1573" s="2237"/>
      <c r="CJ1573" s="2237"/>
      <c r="CK1573" s="2237"/>
      <c r="CL1573" s="2237"/>
      <c r="CM1573" s="2237"/>
      <c r="CN1573" s="2237"/>
      <c r="CO1573" s="2237"/>
      <c r="CP1573" s="2237"/>
      <c r="CQ1573" s="2237"/>
      <c r="CR1573" s="2237"/>
      <c r="CS1573" s="2237"/>
      <c r="CT1573" s="2237"/>
      <c r="CU1573" s="2237"/>
      <c r="CV1573" s="2237"/>
      <c r="CW1573" s="2237"/>
      <c r="CX1573" s="2237"/>
      <c r="CY1573" s="2237"/>
      <c r="CZ1573" s="2237"/>
      <c r="DA1573" s="2237"/>
      <c r="DB1573" s="2237"/>
      <c r="DC1573" s="2237"/>
      <c r="DD1573" s="2237"/>
      <c r="DE1573" s="2237"/>
      <c r="DF1573" s="3393" t="str">
        <f t="shared" ref="DF1573:DF1636" si="238">E1573</f>
        <v>ASHP-SEER15-Replace_CAC_NonElectricHeat_ROF_MF</v>
      </c>
      <c r="DG1573" s="3261"/>
      <c r="DH1573" s="3402" t="str">
        <f t="shared" si="229"/>
        <v>Heating Res 18 Year EUL</v>
      </c>
      <c r="DI1573" s="3260">
        <f>(INDEX('Avoided Cost Benefits'!$B$4:$B$866,MATCH(DH1573,'Avoided Cost Benefits'!$A$4:$A$866,0)))*F1573</f>
        <v>0</v>
      </c>
      <c r="DJ1573" s="2507">
        <f>K1573/(1.0686^(2025-2025))</f>
        <v>0</v>
      </c>
      <c r="DM1573" s="252"/>
    </row>
    <row r="1574" spans="1:117">
      <c r="A1574" s="453"/>
      <c r="B1574" s="1454">
        <f t="shared" si="235"/>
        <v>352811</v>
      </c>
      <c r="C1574" s="2554" t="s">
        <v>2225</v>
      </c>
      <c r="D1574" s="3383" t="s">
        <v>1118</v>
      </c>
      <c r="E1574" s="2882" t="s">
        <v>2226</v>
      </c>
      <c r="F1574" s="3396">
        <f>ROUND(((K2719*K2912*(1/K3105-1/K3298)*K3491)/1000)*$K$3651,2)</f>
        <v>150.93</v>
      </c>
      <c r="G1574" s="3384" t="s">
        <v>2077</v>
      </c>
      <c r="H1574" s="2213">
        <f>VLOOKUP(G1574,'CP FACTORS'!$A$3:$B$38, 2, FALSE)</f>
        <v>9.4741810000000004E-4</v>
      </c>
      <c r="I1574" s="3394">
        <f t="shared" si="225"/>
        <v>0.14299400000000001</v>
      </c>
      <c r="J1574" s="2449">
        <f t="shared" si="233"/>
        <v>18</v>
      </c>
      <c r="K1574" s="2467">
        <f t="shared" si="236"/>
        <v>178.94688096868359</v>
      </c>
      <c r="L1574" s="2649">
        <f>L1947</f>
        <v>2.1833333333333331</v>
      </c>
      <c r="M1574" s="3386"/>
      <c r="N1574" s="3387"/>
      <c r="O1574" s="2702"/>
      <c r="P1574" s="635"/>
      <c r="Q1574" s="635"/>
      <c r="R1574" s="2966"/>
      <c r="S1574" s="635"/>
      <c r="T1574" s="635"/>
      <c r="U1574" s="3388"/>
      <c r="V1574" s="2962" t="s">
        <v>45</v>
      </c>
      <c r="W1574" s="3389"/>
      <c r="X1574" s="3390"/>
      <c r="Y1574" s="3369"/>
      <c r="Z1574" s="3373"/>
      <c r="AA1574" s="3373"/>
      <c r="AB1574" s="3400"/>
      <c r="AC1574" s="3369">
        <v>142.69999999999999</v>
      </c>
      <c r="AD1574" s="3369">
        <v>194.46</v>
      </c>
      <c r="AE1574" s="3396">
        <v>90.29</v>
      </c>
      <c r="AF1574" s="2236">
        <f t="shared" si="237"/>
        <v>150.93</v>
      </c>
      <c r="AG1574" s="3389"/>
      <c r="AH1574" s="2728"/>
      <c r="AI1574" s="2237"/>
      <c r="AJ1574" s="2237"/>
      <c r="AK1574" s="3392"/>
      <c r="AL1574" s="2237"/>
      <c r="AM1574" s="2237"/>
      <c r="AN1574" s="2237"/>
      <c r="AO1574" s="2237"/>
      <c r="AP1574" s="2237"/>
      <c r="AQ1574" s="2237"/>
      <c r="AR1574" s="2237"/>
      <c r="AS1574" s="2237"/>
      <c r="AT1574" s="2237"/>
      <c r="AU1574" s="2237"/>
      <c r="AV1574" s="2237"/>
      <c r="AW1574" s="2237"/>
      <c r="AX1574" s="2237"/>
      <c r="AY1574" s="2237"/>
      <c r="AZ1574" s="2237"/>
      <c r="BA1574" s="2237"/>
      <c r="BB1574" s="2237"/>
      <c r="BC1574" s="2237"/>
      <c r="BD1574" s="2237"/>
      <c r="BE1574" s="2237"/>
      <c r="BF1574" s="2237"/>
      <c r="BG1574" s="2237"/>
      <c r="BH1574" s="2237"/>
      <c r="BI1574" s="2237"/>
      <c r="BJ1574" s="2237"/>
      <c r="BK1574" s="2237"/>
      <c r="BL1574" s="2237"/>
      <c r="BM1574" s="2237"/>
      <c r="BN1574" s="2237"/>
      <c r="BO1574" s="2237"/>
      <c r="BP1574" s="2237"/>
      <c r="BQ1574" s="2237"/>
      <c r="BR1574" s="2237"/>
      <c r="BS1574" s="2237"/>
      <c r="BT1574" s="2237"/>
      <c r="BU1574" s="2237"/>
      <c r="BV1574" s="2237"/>
      <c r="BW1574" s="2237"/>
      <c r="BX1574" s="2237"/>
      <c r="BY1574" s="2237"/>
      <c r="BZ1574" s="2237"/>
      <c r="CA1574" s="2237"/>
      <c r="CB1574" s="2237"/>
      <c r="CC1574" s="2237"/>
      <c r="CD1574" s="2237"/>
      <c r="CE1574" s="2237"/>
      <c r="CF1574" s="2237"/>
      <c r="CG1574" s="2237"/>
      <c r="CH1574" s="2237"/>
      <c r="CI1574" s="2237"/>
      <c r="CJ1574" s="2237"/>
      <c r="CK1574" s="2237"/>
      <c r="CL1574" s="2237"/>
      <c r="CM1574" s="2237"/>
      <c r="CN1574" s="2237"/>
      <c r="CO1574" s="2237"/>
      <c r="CP1574" s="2237"/>
      <c r="CQ1574" s="2237"/>
      <c r="CR1574" s="2237"/>
      <c r="CS1574" s="2237"/>
      <c r="CT1574" s="2237"/>
      <c r="CU1574" s="2237"/>
      <c r="CV1574" s="2237"/>
      <c r="CW1574" s="2237"/>
      <c r="CX1574" s="2237"/>
      <c r="CY1574" s="2237"/>
      <c r="CZ1574" s="2237"/>
      <c r="DA1574" s="2237"/>
      <c r="DB1574" s="2237"/>
      <c r="DC1574" s="2237"/>
      <c r="DD1574" s="2237"/>
      <c r="DE1574" s="2237"/>
      <c r="DF1574" s="3393" t="str">
        <f t="shared" si="238"/>
        <v>ASHP-SEER15-Replace_CAC_NonElectricHeat_ROF_MF_CompE</v>
      </c>
      <c r="DG1574" s="3259">
        <f>(DI1574+DI1575)/(DJ1574+DJ1575)</f>
        <v>1.9312704314933833</v>
      </c>
      <c r="DH1574" s="3403" t="str">
        <f t="shared" si="229"/>
        <v>Cooling Res 18 Year EUL</v>
      </c>
      <c r="DI1574" s="3260">
        <f>(INDEX('Avoided Cost Benefits'!$B$4:$B$866,MATCH(DH1574,'Avoided Cost Benefits'!$A$4:$A$866,0)))*F1574</f>
        <v>345.59482002278463</v>
      </c>
      <c r="DJ1574" s="2507">
        <f>IFERROR(K1574/(1.0686^(2025-2025)),10000000)</f>
        <v>178.94688096868359</v>
      </c>
      <c r="DM1574" s="252"/>
    </row>
    <row r="1575" spans="1:117">
      <c r="A1575" s="453"/>
      <c r="B1575" s="1454">
        <f t="shared" si="235"/>
        <v>352811</v>
      </c>
      <c r="C1575" s="2554" t="s">
        <v>2225</v>
      </c>
      <c r="D1575" s="3383" t="s">
        <v>1118</v>
      </c>
      <c r="E1575" s="2882" t="s">
        <v>2226</v>
      </c>
      <c r="F1575" s="3395">
        <f>0</f>
        <v>0</v>
      </c>
      <c r="G1575" s="3384" t="s">
        <v>2078</v>
      </c>
      <c r="H1575" s="2213">
        <f>VLOOKUP(G1575,'CP FACTORS'!$A$3:$B$38, 2, FALSE)</f>
        <v>0</v>
      </c>
      <c r="I1575" s="3385">
        <f t="shared" si="225"/>
        <v>0</v>
      </c>
      <c r="J1575" s="2449">
        <f t="shared" si="233"/>
        <v>18</v>
      </c>
      <c r="K1575" s="2894">
        <f t="shared" si="236"/>
        <v>0</v>
      </c>
      <c r="L1575" s="2649"/>
      <c r="M1575" s="3386"/>
      <c r="N1575" s="3387"/>
      <c r="O1575" s="2702"/>
      <c r="P1575" s="635"/>
      <c r="Q1575" s="635"/>
      <c r="R1575" s="2966"/>
      <c r="S1575" s="635"/>
      <c r="T1575" s="635"/>
      <c r="U1575" s="3388"/>
      <c r="V1575" s="2962" t="s">
        <v>45</v>
      </c>
      <c r="W1575" s="3389"/>
      <c r="X1575" s="3390"/>
      <c r="Y1575" s="3369"/>
      <c r="Z1575" s="3373"/>
      <c r="AA1575" s="3373"/>
      <c r="AB1575" s="3400"/>
      <c r="AC1575" s="3369">
        <v>0</v>
      </c>
      <c r="AD1575" s="3373">
        <v>0</v>
      </c>
      <c r="AE1575" s="3389">
        <v>0</v>
      </c>
      <c r="AF1575" s="2236">
        <f t="shared" si="237"/>
        <v>0</v>
      </c>
      <c r="AG1575" s="3389"/>
      <c r="AH1575" s="2728"/>
      <c r="AI1575" s="2237"/>
      <c r="AJ1575" s="2237"/>
      <c r="AK1575" s="3392"/>
      <c r="AL1575" s="2237"/>
      <c r="AM1575" s="2237"/>
      <c r="AN1575" s="2237"/>
      <c r="AO1575" s="2237"/>
      <c r="AP1575" s="2237"/>
      <c r="AQ1575" s="2237"/>
      <c r="AR1575" s="2237"/>
      <c r="AS1575" s="2237"/>
      <c r="AT1575" s="2237"/>
      <c r="AU1575" s="2237"/>
      <c r="AV1575" s="2237"/>
      <c r="AW1575" s="2237"/>
      <c r="AX1575" s="2237"/>
      <c r="AY1575" s="2237"/>
      <c r="AZ1575" s="2237"/>
      <c r="BA1575" s="2237"/>
      <c r="BB1575" s="2237"/>
      <c r="BC1575" s="2237"/>
      <c r="BD1575" s="2237"/>
      <c r="BE1575" s="2237"/>
      <c r="BF1575" s="2237"/>
      <c r="BG1575" s="2237"/>
      <c r="BH1575" s="2237"/>
      <c r="BI1575" s="2237"/>
      <c r="BJ1575" s="2237"/>
      <c r="BK1575" s="2237"/>
      <c r="BL1575" s="2237"/>
      <c r="BM1575" s="2237"/>
      <c r="BN1575" s="2237"/>
      <c r="BO1575" s="2237"/>
      <c r="BP1575" s="2237"/>
      <c r="BQ1575" s="2237"/>
      <c r="BR1575" s="2237"/>
      <c r="BS1575" s="2237"/>
      <c r="BT1575" s="2237"/>
      <c r="BU1575" s="2237"/>
      <c r="BV1575" s="2237"/>
      <c r="BW1575" s="2237"/>
      <c r="BX1575" s="2237"/>
      <c r="BY1575" s="2237"/>
      <c r="BZ1575" s="2237"/>
      <c r="CA1575" s="2237"/>
      <c r="CB1575" s="2237"/>
      <c r="CC1575" s="2237"/>
      <c r="CD1575" s="2237"/>
      <c r="CE1575" s="2237"/>
      <c r="CF1575" s="2237"/>
      <c r="CG1575" s="2237"/>
      <c r="CH1575" s="2237"/>
      <c r="CI1575" s="2237"/>
      <c r="CJ1575" s="2237"/>
      <c r="CK1575" s="2237"/>
      <c r="CL1575" s="2237"/>
      <c r="CM1575" s="2237"/>
      <c r="CN1575" s="2237"/>
      <c r="CO1575" s="2237"/>
      <c r="CP1575" s="2237"/>
      <c r="CQ1575" s="2237"/>
      <c r="CR1575" s="2237"/>
      <c r="CS1575" s="2237"/>
      <c r="CT1575" s="2237"/>
      <c r="CU1575" s="2237"/>
      <c r="CV1575" s="2237"/>
      <c r="CW1575" s="2237"/>
      <c r="CX1575" s="2237"/>
      <c r="CY1575" s="2237"/>
      <c r="CZ1575" s="2237"/>
      <c r="DA1575" s="2237"/>
      <c r="DB1575" s="2237"/>
      <c r="DC1575" s="2237"/>
      <c r="DD1575" s="2237"/>
      <c r="DE1575" s="2237"/>
      <c r="DF1575" s="3393" t="str">
        <f t="shared" si="238"/>
        <v>ASHP-SEER15-Replace_CAC_NonElectricHeat_ROF_MF_CompE</v>
      </c>
      <c r="DG1575" s="3261"/>
      <c r="DH1575" s="3403" t="str">
        <f t="shared" si="229"/>
        <v>Heating Res 18 Year EUL</v>
      </c>
      <c r="DI1575" s="3260">
        <f>(INDEX('Avoided Cost Benefits'!$B$4:$B$866,MATCH(DH1575,'Avoided Cost Benefits'!$A$4:$A$866,0)))*F1575</f>
        <v>0</v>
      </c>
      <c r="DJ1575" s="2507">
        <f>K1575/(1.0686^(2025-2025))</f>
        <v>0</v>
      </c>
      <c r="DM1575" s="252"/>
    </row>
    <row r="1576" spans="1:117">
      <c r="A1576" s="453"/>
      <c r="B1576" s="1454">
        <f t="shared" si="235"/>
        <v>352850</v>
      </c>
      <c r="C1576" s="2554" t="s">
        <v>2227</v>
      </c>
      <c r="D1576" s="3383" t="s">
        <v>1122</v>
      </c>
      <c r="E1576" s="2521" t="s">
        <v>2228</v>
      </c>
      <c r="F1576" s="3395">
        <f>ROUND(((K2720*K2913*(1/K3106-1/K3299)*K3492)/1000)*$K$3651,2)</f>
        <v>2088.29</v>
      </c>
      <c r="G1576" s="3384" t="s">
        <v>2077</v>
      </c>
      <c r="H1576" s="2213">
        <f>VLOOKUP(G1576,'CP FACTORS'!$A$3:$B$38, 2, FALSE)</f>
        <v>9.4741810000000004E-4</v>
      </c>
      <c r="I1576" s="3385">
        <f t="shared" si="225"/>
        <v>1.9784839999999999</v>
      </c>
      <c r="J1576" s="2449">
        <f t="shared" si="233"/>
        <v>6</v>
      </c>
      <c r="K1576" s="2467">
        <f t="shared" si="236"/>
        <v>417.80926243800604</v>
      </c>
      <c r="L1576" s="2649">
        <f>L1948</f>
        <v>2.8388888888888886</v>
      </c>
      <c r="M1576" s="3386"/>
      <c r="N1576" s="3387"/>
      <c r="O1576" s="2702"/>
      <c r="P1576" s="635"/>
      <c r="Q1576" s="635"/>
      <c r="R1576" s="2966"/>
      <c r="S1576" s="635"/>
      <c r="T1576" s="635"/>
      <c r="U1576" s="3388"/>
      <c r="V1576" s="2962" t="s">
        <v>45</v>
      </c>
      <c r="W1576" s="3389">
        <v>1708.6712500000001</v>
      </c>
      <c r="X1576" s="3390">
        <v>1287.2375465186074</v>
      </c>
      <c r="Y1576" s="3373">
        <v>1287.24</v>
      </c>
      <c r="Z1576" s="3373">
        <v>1287.24</v>
      </c>
      <c r="AA1576" s="3373">
        <v>1287.24</v>
      </c>
      <c r="AB1576" s="3400">
        <v>1287.24</v>
      </c>
      <c r="AC1576" s="3369">
        <v>1217.31</v>
      </c>
      <c r="AD1576" s="3369">
        <v>2088.29</v>
      </c>
      <c r="AE1576" s="3389">
        <v>2088.29</v>
      </c>
      <c r="AF1576" s="2236">
        <f t="shared" si="237"/>
        <v>2088.29</v>
      </c>
      <c r="AG1576" s="3389"/>
      <c r="AH1576" s="2728"/>
      <c r="AI1576" s="2237"/>
      <c r="AJ1576" s="2237"/>
      <c r="AK1576" s="3392"/>
      <c r="AL1576" s="2237"/>
      <c r="AM1576" s="2237"/>
      <c r="AN1576" s="2237"/>
      <c r="AO1576" s="2237"/>
      <c r="AP1576" s="2237"/>
      <c r="AQ1576" s="2237"/>
      <c r="AR1576" s="2237"/>
      <c r="AS1576" s="2237"/>
      <c r="AT1576" s="2237"/>
      <c r="AU1576" s="2237"/>
      <c r="AV1576" s="2237"/>
      <c r="AW1576" s="2237"/>
      <c r="AX1576" s="2237"/>
      <c r="AY1576" s="2237"/>
      <c r="AZ1576" s="2237"/>
      <c r="BA1576" s="2237"/>
      <c r="BB1576" s="2237"/>
      <c r="BC1576" s="2237"/>
      <c r="BD1576" s="2237"/>
      <c r="BE1576" s="2237"/>
      <c r="BF1576" s="2237"/>
      <c r="BG1576" s="2237"/>
      <c r="BH1576" s="2237"/>
      <c r="BI1576" s="2237"/>
      <c r="BJ1576" s="2237"/>
      <c r="BK1576" s="2237"/>
      <c r="BL1576" s="2237"/>
      <c r="BM1576" s="2237"/>
      <c r="BN1576" s="2237"/>
      <c r="BO1576" s="2237"/>
      <c r="BP1576" s="2237"/>
      <c r="BQ1576" s="2237"/>
      <c r="BR1576" s="2237"/>
      <c r="BS1576" s="2237"/>
      <c r="BT1576" s="2237"/>
      <c r="BU1576" s="2237"/>
      <c r="BV1576" s="2237"/>
      <c r="BW1576" s="2237"/>
      <c r="BX1576" s="2237"/>
      <c r="BY1576" s="2237"/>
      <c r="BZ1576" s="2237"/>
      <c r="CA1576" s="2237"/>
      <c r="CB1576" s="2237"/>
      <c r="CC1576" s="2237"/>
      <c r="CD1576" s="2237"/>
      <c r="CE1576" s="2237"/>
      <c r="CF1576" s="2237"/>
      <c r="CG1576" s="2237"/>
      <c r="CH1576" s="2237"/>
      <c r="CI1576" s="2237"/>
      <c r="CJ1576" s="2237"/>
      <c r="CK1576" s="2237"/>
      <c r="CL1576" s="2237"/>
      <c r="CM1576" s="2237"/>
      <c r="CN1576" s="2237"/>
      <c r="CO1576" s="2237"/>
      <c r="CP1576" s="2237"/>
      <c r="CQ1576" s="2237"/>
      <c r="CR1576" s="2237"/>
      <c r="CS1576" s="2237"/>
      <c r="CT1576" s="2237"/>
      <c r="CU1576" s="2237"/>
      <c r="CV1576" s="2237"/>
      <c r="CW1576" s="2237"/>
      <c r="CX1576" s="2237"/>
      <c r="CY1576" s="2237"/>
      <c r="CZ1576" s="2237"/>
      <c r="DA1576" s="2237"/>
      <c r="DB1576" s="2237"/>
      <c r="DC1576" s="2237"/>
      <c r="DD1576" s="2237"/>
      <c r="DE1576" s="2237"/>
      <c r="DF1576" s="3393" t="str">
        <f t="shared" si="238"/>
        <v>ASHP-SEER16_ER1_MF</v>
      </c>
      <c r="DG1576" s="3259">
        <f>(DI1576+DI1577+DI1578+DI1579)/(DJ1576+DJ1577+DJ1578+DJ1579)</f>
        <v>8.226349899453016</v>
      </c>
      <c r="DH1576" s="2521" t="str">
        <f t="shared" si="229"/>
        <v>Cooling Res 6 Year EUL</v>
      </c>
      <c r="DI1576" s="3260">
        <f>(INDEX('Avoided Cost Benefits'!$B$4:$B$866,MATCH(DH1576,'Avoided Cost Benefits'!$A$4:$A$866,0)))*F1576</f>
        <v>2079.619623160926</v>
      </c>
      <c r="DJ1576" s="2507">
        <f>IFERROR(K1576/(1.0686^(2025-2025)),10000000)</f>
        <v>417.80926243800604</v>
      </c>
      <c r="DM1576" s="252"/>
    </row>
    <row r="1577" spans="1:117">
      <c r="A1577" s="453"/>
      <c r="B1577" s="1454">
        <f t="shared" si="235"/>
        <v>352850</v>
      </c>
      <c r="C1577" s="2554" t="s">
        <v>2227</v>
      </c>
      <c r="D1577" s="3383" t="s">
        <v>1122</v>
      </c>
      <c r="E1577" s="2882" t="s">
        <v>2228</v>
      </c>
      <c r="F1577" s="3395">
        <f>ROUND(((K1948*K2141*(1/K2334-1/K2527)*K3492)/1000)*$K$3651,2)</f>
        <v>2245.56</v>
      </c>
      <c r="G1577" s="3384" t="s">
        <v>2078</v>
      </c>
      <c r="H1577" s="2213">
        <f>VLOOKUP(G1577,'CP FACTORS'!$A$3:$B$38, 2, FALSE)</f>
        <v>0</v>
      </c>
      <c r="I1577" s="3385">
        <f t="shared" si="225"/>
        <v>0</v>
      </c>
      <c r="J1577" s="2449">
        <f t="shared" si="233"/>
        <v>6</v>
      </c>
      <c r="K1577" s="2894">
        <f t="shared" si="236"/>
        <v>0</v>
      </c>
      <c r="L1577" s="2649"/>
      <c r="M1577" s="3386"/>
      <c r="N1577" s="3387"/>
      <c r="O1577" s="2702"/>
      <c r="P1577" s="635"/>
      <c r="Q1577" s="635"/>
      <c r="R1577" s="2966"/>
      <c r="S1577" s="635"/>
      <c r="T1577" s="635"/>
      <c r="U1577" s="3388"/>
      <c r="V1577" s="2962" t="s">
        <v>45</v>
      </c>
      <c r="W1577" s="3389">
        <v>4062.4872213622284</v>
      </c>
      <c r="X1577" s="3390">
        <v>1798.7611070228763</v>
      </c>
      <c r="Y1577" s="3373">
        <v>1798.76</v>
      </c>
      <c r="Z1577" s="3373">
        <v>1798.76</v>
      </c>
      <c r="AA1577" s="3373">
        <v>1798.76</v>
      </c>
      <c r="AB1577" s="3400">
        <v>1798.76</v>
      </c>
      <c r="AC1577" s="3369">
        <v>1441.3</v>
      </c>
      <c r="AD1577" s="3369">
        <v>2245.56</v>
      </c>
      <c r="AE1577" s="3389">
        <v>2245.56</v>
      </c>
      <c r="AF1577" s="2236">
        <f t="shared" si="237"/>
        <v>2245.56</v>
      </c>
      <c r="AG1577" s="3389"/>
      <c r="AH1577" s="2728"/>
      <c r="AI1577" s="2237"/>
      <c r="AJ1577" s="2237"/>
      <c r="AK1577" s="3392"/>
      <c r="AL1577" s="2237"/>
      <c r="AM1577" s="2237"/>
      <c r="AN1577" s="2237"/>
      <c r="AO1577" s="2237"/>
      <c r="AP1577" s="2237"/>
      <c r="AQ1577" s="2237"/>
      <c r="AR1577" s="2237"/>
      <c r="AS1577" s="2237"/>
      <c r="AT1577" s="2237"/>
      <c r="AU1577" s="2237"/>
      <c r="AV1577" s="2237"/>
      <c r="AW1577" s="2237"/>
      <c r="AX1577" s="2237"/>
      <c r="AY1577" s="2237"/>
      <c r="AZ1577" s="2237"/>
      <c r="BA1577" s="2237"/>
      <c r="BB1577" s="2237"/>
      <c r="BC1577" s="2237"/>
      <c r="BD1577" s="2237"/>
      <c r="BE1577" s="2237"/>
      <c r="BF1577" s="2237"/>
      <c r="BG1577" s="2237"/>
      <c r="BH1577" s="2237"/>
      <c r="BI1577" s="2237"/>
      <c r="BJ1577" s="2237"/>
      <c r="BK1577" s="2237"/>
      <c r="BL1577" s="2237"/>
      <c r="BM1577" s="2237"/>
      <c r="BN1577" s="2237"/>
      <c r="BO1577" s="2237"/>
      <c r="BP1577" s="2237"/>
      <c r="BQ1577" s="2237"/>
      <c r="BR1577" s="2237"/>
      <c r="BS1577" s="2237"/>
      <c r="BT1577" s="2237"/>
      <c r="BU1577" s="2237"/>
      <c r="BV1577" s="2237"/>
      <c r="BW1577" s="2237"/>
      <c r="BX1577" s="2237"/>
      <c r="BY1577" s="2237"/>
      <c r="BZ1577" s="2237"/>
      <c r="CA1577" s="2237"/>
      <c r="CB1577" s="2237"/>
      <c r="CC1577" s="2237"/>
      <c r="CD1577" s="2237"/>
      <c r="CE1577" s="2237"/>
      <c r="CF1577" s="2237"/>
      <c r="CG1577" s="2237"/>
      <c r="CH1577" s="2237"/>
      <c r="CI1577" s="2237"/>
      <c r="CJ1577" s="2237"/>
      <c r="CK1577" s="2237"/>
      <c r="CL1577" s="2237"/>
      <c r="CM1577" s="2237"/>
      <c r="CN1577" s="2237"/>
      <c r="CO1577" s="2237"/>
      <c r="CP1577" s="2237"/>
      <c r="CQ1577" s="2237"/>
      <c r="CR1577" s="2237"/>
      <c r="CS1577" s="2237"/>
      <c r="CT1577" s="2237"/>
      <c r="CU1577" s="2237"/>
      <c r="CV1577" s="2237"/>
      <c r="CW1577" s="2237"/>
      <c r="CX1577" s="2237"/>
      <c r="CY1577" s="2237"/>
      <c r="CZ1577" s="2237"/>
      <c r="DA1577" s="2237"/>
      <c r="DB1577" s="2237"/>
      <c r="DC1577" s="2237"/>
      <c r="DD1577" s="2237"/>
      <c r="DE1577" s="2237"/>
      <c r="DF1577" s="3393" t="str">
        <f t="shared" si="238"/>
        <v>ASHP-SEER16_ER1_MF</v>
      </c>
      <c r="DG1577" s="3332"/>
      <c r="DH1577" s="2882" t="str">
        <f t="shared" si="229"/>
        <v>Heating Res 6 Year EUL</v>
      </c>
      <c r="DI1577" s="3260">
        <f>(INDEX('Avoided Cost Benefits'!$B$4:$B$866,MATCH(DH1577,'Avoided Cost Benefits'!$A$4:$A$866,0)))*F1577</f>
        <v>602.21161001651308</v>
      </c>
      <c r="DJ1577" s="2507">
        <f>K1577/(1.0686^(2025-2025))</f>
        <v>0</v>
      </c>
      <c r="DM1577" s="252"/>
    </row>
    <row r="1578" spans="1:117">
      <c r="A1578" s="453"/>
      <c r="B1578" s="1454">
        <f t="shared" si="235"/>
        <v>352850</v>
      </c>
      <c r="C1578" s="2554" t="s">
        <v>2227</v>
      </c>
      <c r="D1578" s="3383" t="s">
        <v>1122</v>
      </c>
      <c r="E1578" s="2882" t="s">
        <v>2229</v>
      </c>
      <c r="F1578" s="3396">
        <f>ROUND(((K2721*K2914*(1/K3107-1/K3300)*K3493)/1000)*$K$3651,2)</f>
        <v>245.36</v>
      </c>
      <c r="G1578" s="3384" t="s">
        <v>2138</v>
      </c>
      <c r="H1578" s="2213">
        <f>VLOOKUP(G1578,'CP FACTORS'!$A$3:$B$38, 2, FALSE)</f>
        <v>9.4741810000000004E-4</v>
      </c>
      <c r="I1578" s="3394">
        <f t="shared" si="225"/>
        <v>0.232459</v>
      </c>
      <c r="J1578" s="2449">
        <f t="shared" si="233"/>
        <v>12</v>
      </c>
      <c r="K1578" s="2894">
        <f t="shared" si="236"/>
        <v>0</v>
      </c>
      <c r="L1578" s="2649"/>
      <c r="M1578" s="3386"/>
      <c r="N1578" s="3387"/>
      <c r="O1578" s="2702"/>
      <c r="P1578" s="635"/>
      <c r="Q1578" s="635"/>
      <c r="R1578" s="2966"/>
      <c r="S1578" s="635"/>
      <c r="T1578" s="635"/>
      <c r="U1578" s="3388"/>
      <c r="V1578" s="2962" t="s">
        <v>45</v>
      </c>
      <c r="W1578" s="3389">
        <v>199.71482142857135</v>
      </c>
      <c r="X1578" s="3390">
        <v>199.71482142857135</v>
      </c>
      <c r="Y1578" s="3373">
        <v>199.71</v>
      </c>
      <c r="Z1578" s="3373">
        <v>199.71</v>
      </c>
      <c r="AA1578" s="3373">
        <v>199.71</v>
      </c>
      <c r="AB1578" s="3400">
        <v>199.71</v>
      </c>
      <c r="AC1578" s="3369">
        <v>181.56</v>
      </c>
      <c r="AD1578" s="3369">
        <v>294.83999999999997</v>
      </c>
      <c r="AE1578" s="3396">
        <v>137.59</v>
      </c>
      <c r="AF1578" s="2236">
        <f t="shared" si="237"/>
        <v>245.36</v>
      </c>
      <c r="AG1578" s="3389"/>
      <c r="AH1578" s="2728"/>
      <c r="AI1578" s="2237"/>
      <c r="AJ1578" s="2237"/>
      <c r="AK1578" s="3392"/>
      <c r="AL1578" s="2237"/>
      <c r="AM1578" s="2237"/>
      <c r="AN1578" s="2237"/>
      <c r="AO1578" s="2237"/>
      <c r="AP1578" s="2237"/>
      <c r="AQ1578" s="2237"/>
      <c r="AR1578" s="2237"/>
      <c r="AS1578" s="2237"/>
      <c r="AT1578" s="2237"/>
      <c r="AU1578" s="2237"/>
      <c r="AV1578" s="2237"/>
      <c r="AW1578" s="2237"/>
      <c r="AX1578" s="2237"/>
      <c r="AY1578" s="2237"/>
      <c r="AZ1578" s="2237"/>
      <c r="BA1578" s="2237"/>
      <c r="BB1578" s="2237"/>
      <c r="BC1578" s="2237"/>
      <c r="BD1578" s="2237"/>
      <c r="BE1578" s="2237"/>
      <c r="BF1578" s="2237"/>
      <c r="BG1578" s="2237"/>
      <c r="BH1578" s="2237"/>
      <c r="BI1578" s="2237"/>
      <c r="BJ1578" s="2237"/>
      <c r="BK1578" s="2237"/>
      <c r="BL1578" s="2237"/>
      <c r="BM1578" s="2237"/>
      <c r="BN1578" s="2237"/>
      <c r="BO1578" s="2237"/>
      <c r="BP1578" s="2237"/>
      <c r="BQ1578" s="2237"/>
      <c r="BR1578" s="2237"/>
      <c r="BS1578" s="2237"/>
      <c r="BT1578" s="2237"/>
      <c r="BU1578" s="2237"/>
      <c r="BV1578" s="2237"/>
      <c r="BW1578" s="2237"/>
      <c r="BX1578" s="2237"/>
      <c r="BY1578" s="2237"/>
      <c r="BZ1578" s="2237"/>
      <c r="CA1578" s="2237"/>
      <c r="CB1578" s="2237"/>
      <c r="CC1578" s="2237"/>
      <c r="CD1578" s="2237"/>
      <c r="CE1578" s="2237"/>
      <c r="CF1578" s="2237"/>
      <c r="CG1578" s="2237"/>
      <c r="CH1578" s="2237"/>
      <c r="CI1578" s="2237"/>
      <c r="CJ1578" s="2237"/>
      <c r="CK1578" s="2237"/>
      <c r="CL1578" s="2237"/>
      <c r="CM1578" s="2237"/>
      <c r="CN1578" s="2237"/>
      <c r="CO1578" s="2237"/>
      <c r="CP1578" s="2237"/>
      <c r="CQ1578" s="2237"/>
      <c r="CR1578" s="2237"/>
      <c r="CS1578" s="2237"/>
      <c r="CT1578" s="2237"/>
      <c r="CU1578" s="2237"/>
      <c r="CV1578" s="2237"/>
      <c r="CW1578" s="2237"/>
      <c r="CX1578" s="2237"/>
      <c r="CY1578" s="2237"/>
      <c r="CZ1578" s="2237"/>
      <c r="DA1578" s="2237"/>
      <c r="DB1578" s="2237"/>
      <c r="DC1578" s="2237"/>
      <c r="DD1578" s="2237"/>
      <c r="DE1578" s="2237"/>
      <c r="DF1578" s="3393" t="str">
        <f t="shared" si="238"/>
        <v>ASHP-SEER16_ER2_MF</v>
      </c>
      <c r="DG1578" s="3332"/>
      <c r="DH1578" s="2882" t="str">
        <f t="shared" si="229"/>
        <v>Cooling Res ER2 12 Year EUL</v>
      </c>
      <c r="DI1578" s="3260">
        <f>(INDEX('Avoided Cost Benefits'!$B$4:$B$866,MATCH(DH1578,'Avoided Cost Benefits'!$A$4:$A$866,0)))*F1578</f>
        <v>317.47640805642556</v>
      </c>
      <c r="DJ1578" s="2507">
        <f>K1578/(1.0686^(2025-2025))</f>
        <v>0</v>
      </c>
      <c r="DM1578" s="252"/>
    </row>
    <row r="1579" spans="1:117">
      <c r="A1579" s="453"/>
      <c r="B1579" s="1454">
        <f t="shared" si="235"/>
        <v>352850</v>
      </c>
      <c r="C1579" s="2554" t="s">
        <v>2227</v>
      </c>
      <c r="D1579" s="3383" t="s">
        <v>1122</v>
      </c>
      <c r="E1579" s="2522" t="s">
        <v>2229</v>
      </c>
      <c r="F1579" s="3396">
        <f>ROUND(((K1949*K2142*(1/K2335-1/K2528)*K3493)/1000)*$K$3651,2)</f>
        <v>1295.48</v>
      </c>
      <c r="G1579" s="3384" t="s">
        <v>2173</v>
      </c>
      <c r="H1579" s="2213">
        <f>VLOOKUP(G1579,'CP FACTORS'!$A$3:$B$38, 2, FALSE)</f>
        <v>0</v>
      </c>
      <c r="I1579" s="3385">
        <f t="shared" si="225"/>
        <v>0</v>
      </c>
      <c r="J1579" s="2449">
        <f t="shared" si="233"/>
        <v>12</v>
      </c>
      <c r="K1579" s="2894">
        <f t="shared" si="236"/>
        <v>0</v>
      </c>
      <c r="L1579" s="2649"/>
      <c r="M1579" s="3386"/>
      <c r="N1579" s="3387"/>
      <c r="O1579" s="2702"/>
      <c r="P1579" s="635"/>
      <c r="Q1579" s="635"/>
      <c r="R1579" s="2966"/>
      <c r="S1579" s="635"/>
      <c r="T1579" s="635"/>
      <c r="U1579" s="3388"/>
      <c r="V1579" s="2962" t="s">
        <v>45</v>
      </c>
      <c r="W1579" s="3389">
        <v>862.96736842105349</v>
      </c>
      <c r="X1579" s="3390">
        <v>642.6078562259313</v>
      </c>
      <c r="Y1579" s="3373">
        <v>642.61</v>
      </c>
      <c r="Z1579" s="3373">
        <v>642.61</v>
      </c>
      <c r="AA1579" s="3373">
        <v>642.61</v>
      </c>
      <c r="AB1579" s="3400">
        <v>642.61</v>
      </c>
      <c r="AC1579" s="3369">
        <v>390.25</v>
      </c>
      <c r="AD1579" s="3369">
        <v>715.41</v>
      </c>
      <c r="AE1579" s="3396">
        <v>426.33</v>
      </c>
      <c r="AF1579" s="2236">
        <f t="shared" si="237"/>
        <v>1295.48</v>
      </c>
      <c r="AG1579" s="3389"/>
      <c r="AH1579" s="2728"/>
      <c r="AI1579" s="2237"/>
      <c r="AJ1579" s="2237"/>
      <c r="AK1579" s="3392"/>
      <c r="AL1579" s="2237"/>
      <c r="AM1579" s="2237"/>
      <c r="AN1579" s="2237"/>
      <c r="AO1579" s="2237"/>
      <c r="AP1579" s="2237"/>
      <c r="AQ1579" s="2237"/>
      <c r="AR1579" s="2237"/>
      <c r="AS1579" s="2237"/>
      <c r="AT1579" s="2237"/>
      <c r="AU1579" s="2237"/>
      <c r="AV1579" s="2237"/>
      <c r="AW1579" s="2237"/>
      <c r="AX1579" s="2237"/>
      <c r="AY1579" s="2237"/>
      <c r="AZ1579" s="2237"/>
      <c r="BA1579" s="2237"/>
      <c r="BB1579" s="2237"/>
      <c r="BC1579" s="2237"/>
      <c r="BD1579" s="2237"/>
      <c r="BE1579" s="2237"/>
      <c r="BF1579" s="2237"/>
      <c r="BG1579" s="2237"/>
      <c r="BH1579" s="2237"/>
      <c r="BI1579" s="2237"/>
      <c r="BJ1579" s="2237"/>
      <c r="BK1579" s="2237"/>
      <c r="BL1579" s="2237"/>
      <c r="BM1579" s="2237"/>
      <c r="BN1579" s="2237"/>
      <c r="BO1579" s="2237"/>
      <c r="BP1579" s="2237"/>
      <c r="BQ1579" s="2237"/>
      <c r="BR1579" s="2237"/>
      <c r="BS1579" s="2237"/>
      <c r="BT1579" s="2237"/>
      <c r="BU1579" s="2237"/>
      <c r="BV1579" s="2237"/>
      <c r="BW1579" s="2237"/>
      <c r="BX1579" s="2237"/>
      <c r="BY1579" s="2237"/>
      <c r="BZ1579" s="2237"/>
      <c r="CA1579" s="2237"/>
      <c r="CB1579" s="2237"/>
      <c r="CC1579" s="2237"/>
      <c r="CD1579" s="2237"/>
      <c r="CE1579" s="2237"/>
      <c r="CF1579" s="2237"/>
      <c r="CG1579" s="2237"/>
      <c r="CH1579" s="2237"/>
      <c r="CI1579" s="2237"/>
      <c r="CJ1579" s="2237"/>
      <c r="CK1579" s="2237"/>
      <c r="CL1579" s="2237"/>
      <c r="CM1579" s="2237"/>
      <c r="CN1579" s="2237"/>
      <c r="CO1579" s="2237"/>
      <c r="CP1579" s="2237"/>
      <c r="CQ1579" s="2237"/>
      <c r="CR1579" s="2237"/>
      <c r="CS1579" s="2237"/>
      <c r="CT1579" s="2237"/>
      <c r="CU1579" s="2237"/>
      <c r="CV1579" s="2237"/>
      <c r="CW1579" s="2237"/>
      <c r="CX1579" s="2237"/>
      <c r="CY1579" s="2237"/>
      <c r="CZ1579" s="2237"/>
      <c r="DA1579" s="2237"/>
      <c r="DB1579" s="2237"/>
      <c r="DC1579" s="2237"/>
      <c r="DD1579" s="2237"/>
      <c r="DE1579" s="2237"/>
      <c r="DF1579" s="3393" t="str">
        <f t="shared" si="238"/>
        <v>ASHP-SEER16_ER2_MF</v>
      </c>
      <c r="DG1579" s="3332"/>
      <c r="DH1579" s="2522" t="str">
        <f t="shared" si="229"/>
        <v>Heating Res ER2 12 Year EUL</v>
      </c>
      <c r="DI1579" s="3260">
        <f>(INDEX('Avoided Cost Benefits'!$B$4:$B$866,MATCH(DH1579,'Avoided Cost Benefits'!$A$4:$A$866,0)))*F1579</f>
        <v>437.7375428135652</v>
      </c>
      <c r="DJ1579" s="2507">
        <f>K1579/(1.0686^(2025-2025))</f>
        <v>0</v>
      </c>
      <c r="DM1579" s="252"/>
    </row>
    <row r="1580" spans="1:117">
      <c r="A1580" s="453"/>
      <c r="B1580" s="1454">
        <f t="shared" si="235"/>
        <v>352851</v>
      </c>
      <c r="C1580" s="2554" t="s">
        <v>2230</v>
      </c>
      <c r="D1580" s="3383" t="s">
        <v>1118</v>
      </c>
      <c r="E1580" s="2521" t="s">
        <v>2231</v>
      </c>
      <c r="F1580" s="3395">
        <f>ROUND((($K$2722*$K$2915*(1/$K$3108-1/$K$3301)*$K$3494)/1000)*$K$3651,2)</f>
        <v>1518.75</v>
      </c>
      <c r="G1580" s="3384" t="str">
        <f>G1576</f>
        <v>Cooling Res</v>
      </c>
      <c r="H1580" s="2213">
        <f>VLOOKUP(G1580,'CP FACTORS'!$A$3:$B$38, 2, FALSE)</f>
        <v>9.4741810000000004E-4</v>
      </c>
      <c r="I1580" s="3385">
        <f t="shared" si="225"/>
        <v>1.4388909999999999</v>
      </c>
      <c r="J1580" s="2449">
        <f t="shared" si="233"/>
        <v>6</v>
      </c>
      <c r="K1580" s="2467">
        <f t="shared" si="236"/>
        <v>417.80926243800604</v>
      </c>
      <c r="L1580" s="2649">
        <f>L1950</f>
        <v>2.8388888888888886</v>
      </c>
      <c r="M1580" s="3386"/>
      <c r="N1580" s="3387"/>
      <c r="O1580" s="2702"/>
      <c r="P1580" s="635"/>
      <c r="Q1580" s="635"/>
      <c r="R1580" s="2966"/>
      <c r="S1580" s="635"/>
      <c r="T1580" s="635"/>
      <c r="U1580" s="3388"/>
      <c r="V1580" s="2962" t="s">
        <v>45</v>
      </c>
      <c r="W1580" s="3389"/>
      <c r="X1580" s="3390"/>
      <c r="Y1580" s="3369">
        <v>936.17</v>
      </c>
      <c r="Z1580" s="3373">
        <v>936.17</v>
      </c>
      <c r="AA1580" s="3373">
        <v>936.17</v>
      </c>
      <c r="AB1580" s="3400">
        <v>936.17</v>
      </c>
      <c r="AC1580" s="3369">
        <v>851.07</v>
      </c>
      <c r="AD1580" s="3369">
        <v>1518.75</v>
      </c>
      <c r="AE1580" s="3389">
        <v>1518.75</v>
      </c>
      <c r="AF1580" s="2236">
        <f t="shared" si="237"/>
        <v>1518.75</v>
      </c>
      <c r="AG1580" s="3389"/>
      <c r="AH1580" s="2728"/>
      <c r="AI1580" s="2237"/>
      <c r="AJ1580" s="2237"/>
      <c r="AK1580" s="3392"/>
      <c r="AL1580" s="2237"/>
      <c r="AM1580" s="2237"/>
      <c r="AN1580" s="2237"/>
      <c r="AO1580" s="2237"/>
      <c r="AP1580" s="2237"/>
      <c r="AQ1580" s="2237"/>
      <c r="AR1580" s="2237"/>
      <c r="AS1580" s="2237"/>
      <c r="AT1580" s="2237"/>
      <c r="AU1580" s="2237"/>
      <c r="AV1580" s="2237"/>
      <c r="AW1580" s="2237"/>
      <c r="AX1580" s="2237"/>
      <c r="AY1580" s="2237"/>
      <c r="AZ1580" s="2237"/>
      <c r="BA1580" s="2237"/>
      <c r="BB1580" s="2237"/>
      <c r="BC1580" s="2237"/>
      <c r="BD1580" s="2237"/>
      <c r="BE1580" s="2237"/>
      <c r="BF1580" s="2237"/>
      <c r="BG1580" s="2237"/>
      <c r="BH1580" s="2237"/>
      <c r="BI1580" s="2237"/>
      <c r="BJ1580" s="2237"/>
      <c r="BK1580" s="2237"/>
      <c r="BL1580" s="2237"/>
      <c r="BM1580" s="2237"/>
      <c r="BN1580" s="2237"/>
      <c r="BO1580" s="2237"/>
      <c r="BP1580" s="2237"/>
      <c r="BQ1580" s="2237"/>
      <c r="BR1580" s="2237"/>
      <c r="BS1580" s="2237"/>
      <c r="BT1580" s="2237"/>
      <c r="BU1580" s="2237"/>
      <c r="BV1580" s="2237"/>
      <c r="BW1580" s="2237"/>
      <c r="BX1580" s="2237"/>
      <c r="BY1580" s="2237"/>
      <c r="BZ1580" s="2237"/>
      <c r="CA1580" s="2237"/>
      <c r="CB1580" s="2237"/>
      <c r="CC1580" s="2237"/>
      <c r="CD1580" s="2237"/>
      <c r="CE1580" s="2237"/>
      <c r="CF1580" s="2237"/>
      <c r="CG1580" s="2237"/>
      <c r="CH1580" s="2237"/>
      <c r="CI1580" s="2237"/>
      <c r="CJ1580" s="2237"/>
      <c r="CK1580" s="2237"/>
      <c r="CL1580" s="2237"/>
      <c r="CM1580" s="2237"/>
      <c r="CN1580" s="2237"/>
      <c r="CO1580" s="2237"/>
      <c r="CP1580" s="2237"/>
      <c r="CQ1580" s="2237"/>
      <c r="CR1580" s="2237"/>
      <c r="CS1580" s="2237"/>
      <c r="CT1580" s="2237"/>
      <c r="CU1580" s="2237"/>
      <c r="CV1580" s="2237"/>
      <c r="CW1580" s="2237"/>
      <c r="CX1580" s="2237"/>
      <c r="CY1580" s="2237"/>
      <c r="CZ1580" s="2237"/>
      <c r="DA1580" s="2237"/>
      <c r="DB1580" s="2237"/>
      <c r="DC1580" s="2237"/>
      <c r="DD1580" s="2237"/>
      <c r="DE1580" s="2237"/>
      <c r="DF1580" s="3393" t="str">
        <f t="shared" si="238"/>
        <v>ASHP-SEER16_ER1_MF_CompE</v>
      </c>
      <c r="DG1580" s="3259">
        <f>(DI1580+DI1581+DI1582+DI1583)/(DJ1580+DJ1581+DJ1582+DJ1583)</f>
        <v>5.021092254015243</v>
      </c>
      <c r="DH1580" s="2521" t="str">
        <f t="shared" si="229"/>
        <v>Cooling Res 6 Year EUL</v>
      </c>
      <c r="DI1580" s="3260">
        <f>(INDEX('Avoided Cost Benefits'!$B$4:$B$866,MATCH(DH1580,'Avoided Cost Benefits'!$A$4:$A$866,0)))*F1580</f>
        <v>1512.4442978109632</v>
      </c>
      <c r="DJ1580" s="2507">
        <f>IFERROR(K1580/(1.0686^(2025-2025)),10000000)</f>
        <v>417.80926243800604</v>
      </c>
      <c r="DM1580" s="252"/>
    </row>
    <row r="1581" spans="1:117">
      <c r="A1581" s="453"/>
      <c r="B1581" s="1454">
        <f t="shared" si="235"/>
        <v>352851</v>
      </c>
      <c r="C1581" s="2554" t="str">
        <f>C1580</f>
        <v>352851_2024_12_</v>
      </c>
      <c r="D1581" s="3383" t="s">
        <v>1118</v>
      </c>
      <c r="E1581" s="2882" t="s">
        <v>2231</v>
      </c>
      <c r="F1581" s="3395">
        <f>ROUND((($K$1950*$K$2143*(1/$K$2336-1/$K$2529)*$K$3494)/1000)*$K$3651,2)</f>
        <v>765.53</v>
      </c>
      <c r="G1581" s="3384" t="str">
        <f>G1577</f>
        <v>Heating Res</v>
      </c>
      <c r="H1581" s="2213">
        <f>VLOOKUP(G1581,'CP FACTORS'!$A$3:$B$38, 2, FALSE)</f>
        <v>0</v>
      </c>
      <c r="I1581" s="3385">
        <f t="shared" si="225"/>
        <v>0</v>
      </c>
      <c r="J1581" s="2449">
        <f t="shared" si="233"/>
        <v>6</v>
      </c>
      <c r="K1581" s="2894">
        <f t="shared" si="236"/>
        <v>0</v>
      </c>
      <c r="L1581" s="2649"/>
      <c r="M1581" s="3386"/>
      <c r="N1581" s="3387"/>
      <c r="O1581" s="2702"/>
      <c r="P1581" s="635"/>
      <c r="Q1581" s="635"/>
      <c r="R1581" s="2966"/>
      <c r="S1581" s="635"/>
      <c r="T1581" s="635"/>
      <c r="U1581" s="3388"/>
      <c r="V1581" s="2962" t="s">
        <v>45</v>
      </c>
      <c r="W1581" s="3389"/>
      <c r="X1581" s="3390"/>
      <c r="Y1581" s="3369">
        <v>613.21</v>
      </c>
      <c r="Z1581" s="3373">
        <v>613.21</v>
      </c>
      <c r="AA1581" s="3373">
        <v>613.21</v>
      </c>
      <c r="AB1581" s="3400">
        <v>613.21</v>
      </c>
      <c r="AC1581" s="3369">
        <v>491.35</v>
      </c>
      <c r="AD1581" s="3369">
        <v>765.53</v>
      </c>
      <c r="AE1581" s="3389">
        <v>765.53</v>
      </c>
      <c r="AF1581" s="2236">
        <f t="shared" si="237"/>
        <v>765.53</v>
      </c>
      <c r="AG1581" s="3389"/>
      <c r="AH1581" s="2728"/>
      <c r="AI1581" s="2237"/>
      <c r="AJ1581" s="2237"/>
      <c r="AK1581" s="3392"/>
      <c r="AL1581" s="2237"/>
      <c r="AM1581" s="2237"/>
      <c r="AN1581" s="2237"/>
      <c r="AO1581" s="2237"/>
      <c r="AP1581" s="2237"/>
      <c r="AQ1581" s="2237"/>
      <c r="AR1581" s="2237"/>
      <c r="AS1581" s="2237"/>
      <c r="AT1581" s="2237"/>
      <c r="AU1581" s="2237"/>
      <c r="AV1581" s="2237"/>
      <c r="AW1581" s="2237"/>
      <c r="AX1581" s="2237"/>
      <c r="AY1581" s="2237"/>
      <c r="AZ1581" s="2237"/>
      <c r="BA1581" s="2237"/>
      <c r="BB1581" s="2237"/>
      <c r="BC1581" s="2237"/>
      <c r="BD1581" s="2237"/>
      <c r="BE1581" s="2237"/>
      <c r="BF1581" s="2237"/>
      <c r="BG1581" s="2237"/>
      <c r="BH1581" s="2237"/>
      <c r="BI1581" s="2237"/>
      <c r="BJ1581" s="2237"/>
      <c r="BK1581" s="2237"/>
      <c r="BL1581" s="2237"/>
      <c r="BM1581" s="2237"/>
      <c r="BN1581" s="2237"/>
      <c r="BO1581" s="2237"/>
      <c r="BP1581" s="2237"/>
      <c r="BQ1581" s="2237"/>
      <c r="BR1581" s="2237"/>
      <c r="BS1581" s="2237"/>
      <c r="BT1581" s="2237"/>
      <c r="BU1581" s="2237"/>
      <c r="BV1581" s="2237"/>
      <c r="BW1581" s="2237"/>
      <c r="BX1581" s="2237"/>
      <c r="BY1581" s="2237"/>
      <c r="BZ1581" s="2237"/>
      <c r="CA1581" s="2237"/>
      <c r="CB1581" s="2237"/>
      <c r="CC1581" s="2237"/>
      <c r="CD1581" s="2237"/>
      <c r="CE1581" s="2237"/>
      <c r="CF1581" s="2237"/>
      <c r="CG1581" s="2237"/>
      <c r="CH1581" s="2237"/>
      <c r="CI1581" s="2237"/>
      <c r="CJ1581" s="2237"/>
      <c r="CK1581" s="2237"/>
      <c r="CL1581" s="2237"/>
      <c r="CM1581" s="2237"/>
      <c r="CN1581" s="2237"/>
      <c r="CO1581" s="2237"/>
      <c r="CP1581" s="2237"/>
      <c r="CQ1581" s="2237"/>
      <c r="CR1581" s="2237"/>
      <c r="CS1581" s="2237"/>
      <c r="CT1581" s="2237"/>
      <c r="CU1581" s="2237"/>
      <c r="CV1581" s="2237"/>
      <c r="CW1581" s="2237"/>
      <c r="CX1581" s="2237"/>
      <c r="CY1581" s="2237"/>
      <c r="CZ1581" s="2237"/>
      <c r="DA1581" s="2237"/>
      <c r="DB1581" s="2237"/>
      <c r="DC1581" s="2237"/>
      <c r="DD1581" s="2237"/>
      <c r="DE1581" s="2237"/>
      <c r="DF1581" s="3393" t="str">
        <f t="shared" si="238"/>
        <v>ASHP-SEER16_ER1_MF_CompE</v>
      </c>
      <c r="DG1581" s="3332"/>
      <c r="DH1581" s="2882" t="str">
        <f t="shared" si="229"/>
        <v>Heating Res 6 Year EUL</v>
      </c>
      <c r="DI1581" s="3260">
        <f>(INDEX('Avoided Cost Benefits'!$B$4:$B$866,MATCH(DH1581,'Avoided Cost Benefits'!$A$4:$A$866,0)))*F1581</f>
        <v>205.29892490779193</v>
      </c>
      <c r="DJ1581" s="2507">
        <f>K1581/(1.0686^(2025-2025))</f>
        <v>0</v>
      </c>
      <c r="DM1581" s="252"/>
    </row>
    <row r="1582" spans="1:117">
      <c r="A1582" s="453"/>
      <c r="B1582" s="1454">
        <f t="shared" si="235"/>
        <v>352851</v>
      </c>
      <c r="C1582" s="2554" t="str">
        <f>C1581</f>
        <v>352851_2024_12_</v>
      </c>
      <c r="D1582" s="3383" t="s">
        <v>1118</v>
      </c>
      <c r="E1582" s="2882" t="s">
        <v>2232</v>
      </c>
      <c r="F1582" s="3396">
        <f>ROUND((($K$2723*$K$2916*(1/$K$3109-1/$K$3302)*$K$3495)/1000)*$K$3651,2)</f>
        <v>178.44</v>
      </c>
      <c r="G1582" s="3384" t="str">
        <f>G1578</f>
        <v>Cooling Res ER2</v>
      </c>
      <c r="H1582" s="2213">
        <f>VLOOKUP(G1582,'CP FACTORS'!$A$3:$B$38, 2, FALSE)</f>
        <v>9.4741810000000004E-4</v>
      </c>
      <c r="I1582" s="3394">
        <f t="shared" si="225"/>
        <v>0.16905700000000001</v>
      </c>
      <c r="J1582" s="2449">
        <f t="shared" si="233"/>
        <v>12</v>
      </c>
      <c r="K1582" s="2894">
        <f t="shared" si="236"/>
        <v>0</v>
      </c>
      <c r="L1582" s="2649"/>
      <c r="M1582" s="3386"/>
      <c r="N1582" s="3387"/>
      <c r="O1582" s="2702"/>
      <c r="P1582" s="635"/>
      <c r="Q1582" s="635"/>
      <c r="R1582" s="2966"/>
      <c r="S1582" s="635"/>
      <c r="T1582" s="635"/>
      <c r="U1582" s="3388"/>
      <c r="V1582" s="2962" t="s">
        <v>45</v>
      </c>
      <c r="W1582" s="3389"/>
      <c r="X1582" s="3390"/>
      <c r="Y1582" s="3369">
        <v>145.25</v>
      </c>
      <c r="Z1582" s="3373">
        <v>145.25</v>
      </c>
      <c r="AA1582" s="3373">
        <v>145.25</v>
      </c>
      <c r="AB1582" s="3400">
        <v>145.25</v>
      </c>
      <c r="AC1582" s="3369">
        <v>132.04</v>
      </c>
      <c r="AD1582" s="3369">
        <v>214.43</v>
      </c>
      <c r="AE1582" s="3396">
        <v>100.07</v>
      </c>
      <c r="AF1582" s="2236">
        <f t="shared" si="237"/>
        <v>178.44</v>
      </c>
      <c r="AG1582" s="3389"/>
      <c r="AH1582" s="2728"/>
      <c r="AI1582" s="2237"/>
      <c r="AJ1582" s="2237"/>
      <c r="AK1582" s="3392"/>
      <c r="AL1582" s="2237"/>
      <c r="AM1582" s="2237"/>
      <c r="AN1582" s="2237"/>
      <c r="AO1582" s="2237"/>
      <c r="AP1582" s="2237"/>
      <c r="AQ1582" s="2237"/>
      <c r="AR1582" s="2237"/>
      <c r="AS1582" s="2237"/>
      <c r="AT1582" s="2237"/>
      <c r="AU1582" s="2237"/>
      <c r="AV1582" s="2237"/>
      <c r="AW1582" s="2237"/>
      <c r="AX1582" s="2237"/>
      <c r="AY1582" s="2237"/>
      <c r="AZ1582" s="2237"/>
      <c r="BA1582" s="2237"/>
      <c r="BB1582" s="2237"/>
      <c r="BC1582" s="2237"/>
      <c r="BD1582" s="2237"/>
      <c r="BE1582" s="2237"/>
      <c r="BF1582" s="2237"/>
      <c r="BG1582" s="2237"/>
      <c r="BH1582" s="2237"/>
      <c r="BI1582" s="2237"/>
      <c r="BJ1582" s="2237"/>
      <c r="BK1582" s="2237"/>
      <c r="BL1582" s="2237"/>
      <c r="BM1582" s="2237"/>
      <c r="BN1582" s="2237"/>
      <c r="BO1582" s="2237"/>
      <c r="BP1582" s="2237"/>
      <c r="BQ1582" s="2237"/>
      <c r="BR1582" s="2237"/>
      <c r="BS1582" s="2237"/>
      <c r="BT1582" s="2237"/>
      <c r="BU1582" s="2237"/>
      <c r="BV1582" s="2237"/>
      <c r="BW1582" s="2237"/>
      <c r="BX1582" s="2237"/>
      <c r="BY1582" s="2237"/>
      <c r="BZ1582" s="2237"/>
      <c r="CA1582" s="2237"/>
      <c r="CB1582" s="2237"/>
      <c r="CC1582" s="2237"/>
      <c r="CD1582" s="2237"/>
      <c r="CE1582" s="2237"/>
      <c r="CF1582" s="2237"/>
      <c r="CG1582" s="2237"/>
      <c r="CH1582" s="2237"/>
      <c r="CI1582" s="2237"/>
      <c r="CJ1582" s="2237"/>
      <c r="CK1582" s="2237"/>
      <c r="CL1582" s="2237"/>
      <c r="CM1582" s="2237"/>
      <c r="CN1582" s="2237"/>
      <c r="CO1582" s="2237"/>
      <c r="CP1582" s="2237"/>
      <c r="CQ1582" s="2237"/>
      <c r="CR1582" s="2237"/>
      <c r="CS1582" s="2237"/>
      <c r="CT1582" s="2237"/>
      <c r="CU1582" s="2237"/>
      <c r="CV1582" s="2237"/>
      <c r="CW1582" s="2237"/>
      <c r="CX1582" s="2237"/>
      <c r="CY1582" s="2237"/>
      <c r="CZ1582" s="2237"/>
      <c r="DA1582" s="2237"/>
      <c r="DB1582" s="2237"/>
      <c r="DC1582" s="2237"/>
      <c r="DD1582" s="2237"/>
      <c r="DE1582" s="2237"/>
      <c r="DF1582" s="3393" t="str">
        <f t="shared" si="238"/>
        <v>ASHP-SEER16_ER2_MF_CompE</v>
      </c>
      <c r="DG1582" s="3332"/>
      <c r="DH1582" s="2882" t="str">
        <f t="shared" si="229"/>
        <v>Cooling Res ER2 12 Year EUL</v>
      </c>
      <c r="DI1582" s="3260">
        <f>(INDEX('Avoided Cost Benefits'!$B$4:$B$866,MATCH(DH1582,'Avoided Cost Benefits'!$A$4:$A$866,0)))*F1582</f>
        <v>230.88722796539196</v>
      </c>
      <c r="DJ1582" s="2507">
        <f>K1582/(1.0686^(2025-2025))</f>
        <v>0</v>
      </c>
      <c r="DM1582" s="252"/>
    </row>
    <row r="1583" spans="1:117">
      <c r="A1583" s="453"/>
      <c r="B1583" s="1454">
        <f t="shared" si="235"/>
        <v>352851</v>
      </c>
      <c r="C1583" s="2554" t="str">
        <f>C1582</f>
        <v>352851_2024_12_</v>
      </c>
      <c r="D1583" s="3383" t="s">
        <v>1118</v>
      </c>
      <c r="E1583" s="2522" t="s">
        <v>2232</v>
      </c>
      <c r="F1583" s="3396">
        <f>ROUND((($K$1951*$K$2144*(1/$K$2337-1/$K$2530)*$K$3495)/1000)*$K$3651,2)</f>
        <v>441.64</v>
      </c>
      <c r="G1583" s="3384" t="str">
        <f>G1579</f>
        <v>Heating Res ER2</v>
      </c>
      <c r="H1583" s="2213">
        <f>VLOOKUP(G1583,'CP FACTORS'!$A$3:$B$38, 2, FALSE)</f>
        <v>0</v>
      </c>
      <c r="I1583" s="3385">
        <f t="shared" si="225"/>
        <v>0</v>
      </c>
      <c r="J1583" s="2449">
        <f t="shared" si="233"/>
        <v>12</v>
      </c>
      <c r="K1583" s="2894">
        <f t="shared" si="236"/>
        <v>0</v>
      </c>
      <c r="L1583" s="2649"/>
      <c r="M1583" s="3386"/>
      <c r="N1583" s="3387"/>
      <c r="O1583" s="2702"/>
      <c r="P1583" s="635"/>
      <c r="Q1583" s="635"/>
      <c r="R1583" s="2966"/>
      <c r="S1583" s="635"/>
      <c r="T1583" s="635"/>
      <c r="U1583" s="3388"/>
      <c r="V1583" s="2962" t="s">
        <v>45</v>
      </c>
      <c r="W1583" s="3389"/>
      <c r="X1583" s="3390"/>
      <c r="Y1583" s="3369">
        <v>219.07</v>
      </c>
      <c r="Z1583" s="3373">
        <v>219.07</v>
      </c>
      <c r="AA1583" s="3373">
        <v>219.07</v>
      </c>
      <c r="AB1583" s="3400">
        <v>219.07</v>
      </c>
      <c r="AC1583" s="3369">
        <v>133.04</v>
      </c>
      <c r="AD1583" s="3369">
        <v>243.89</v>
      </c>
      <c r="AE1583" s="3396">
        <v>145.34</v>
      </c>
      <c r="AF1583" s="2236">
        <f t="shared" si="237"/>
        <v>441.64</v>
      </c>
      <c r="AG1583" s="3389"/>
      <c r="AH1583" s="2728"/>
      <c r="AI1583" s="2237"/>
      <c r="AJ1583" s="2237"/>
      <c r="AK1583" s="3392"/>
      <c r="AL1583" s="2237"/>
      <c r="AM1583" s="2237"/>
      <c r="AN1583" s="2237"/>
      <c r="AO1583" s="2237"/>
      <c r="AP1583" s="2237"/>
      <c r="AQ1583" s="2237"/>
      <c r="AR1583" s="2237"/>
      <c r="AS1583" s="2237"/>
      <c r="AT1583" s="2237"/>
      <c r="AU1583" s="2237"/>
      <c r="AV1583" s="2237"/>
      <c r="AW1583" s="2237"/>
      <c r="AX1583" s="2237"/>
      <c r="AY1583" s="2237"/>
      <c r="AZ1583" s="2237"/>
      <c r="BA1583" s="2237"/>
      <c r="BB1583" s="2237"/>
      <c r="BC1583" s="2237"/>
      <c r="BD1583" s="2237"/>
      <c r="BE1583" s="2237"/>
      <c r="BF1583" s="2237"/>
      <c r="BG1583" s="2237"/>
      <c r="BH1583" s="2237"/>
      <c r="BI1583" s="2237"/>
      <c r="BJ1583" s="2237"/>
      <c r="BK1583" s="2237"/>
      <c r="BL1583" s="2237"/>
      <c r="BM1583" s="2237"/>
      <c r="BN1583" s="2237"/>
      <c r="BO1583" s="2237"/>
      <c r="BP1583" s="2237"/>
      <c r="BQ1583" s="2237"/>
      <c r="BR1583" s="2237"/>
      <c r="BS1583" s="2237"/>
      <c r="BT1583" s="2237"/>
      <c r="BU1583" s="2237"/>
      <c r="BV1583" s="2237"/>
      <c r="BW1583" s="2237"/>
      <c r="BX1583" s="2237"/>
      <c r="BY1583" s="2237"/>
      <c r="BZ1583" s="2237"/>
      <c r="CA1583" s="2237"/>
      <c r="CB1583" s="2237"/>
      <c r="CC1583" s="2237"/>
      <c r="CD1583" s="2237"/>
      <c r="CE1583" s="2237"/>
      <c r="CF1583" s="2237"/>
      <c r="CG1583" s="2237"/>
      <c r="CH1583" s="2237"/>
      <c r="CI1583" s="2237"/>
      <c r="CJ1583" s="2237"/>
      <c r="CK1583" s="2237"/>
      <c r="CL1583" s="2237"/>
      <c r="CM1583" s="2237"/>
      <c r="CN1583" s="2237"/>
      <c r="CO1583" s="2237"/>
      <c r="CP1583" s="2237"/>
      <c r="CQ1583" s="2237"/>
      <c r="CR1583" s="2237"/>
      <c r="CS1583" s="2237"/>
      <c r="CT1583" s="2237"/>
      <c r="CU1583" s="2237"/>
      <c r="CV1583" s="2237"/>
      <c r="CW1583" s="2237"/>
      <c r="CX1583" s="2237"/>
      <c r="CY1583" s="2237"/>
      <c r="CZ1583" s="2237"/>
      <c r="DA1583" s="2237"/>
      <c r="DB1583" s="2237"/>
      <c r="DC1583" s="2237"/>
      <c r="DD1583" s="2237"/>
      <c r="DE1583" s="2237"/>
      <c r="DF1583" s="3393" t="str">
        <f t="shared" si="238"/>
        <v>ASHP-SEER16_ER2_MF_CompE</v>
      </c>
      <c r="DG1583" s="3332"/>
      <c r="DH1583" s="2522" t="str">
        <f t="shared" si="229"/>
        <v>Heating Res ER2 12 Year EUL</v>
      </c>
      <c r="DI1583" s="3260">
        <f>(INDEX('Avoided Cost Benefits'!$B$4:$B$866,MATCH(DH1583,'Avoided Cost Benefits'!$A$4:$A$866,0)))*F1583</f>
        <v>149.22840059914699</v>
      </c>
      <c r="DJ1583" s="2507">
        <f>K1583/(1.0686^(2025-2025))</f>
        <v>0</v>
      </c>
      <c r="DM1583" s="252"/>
    </row>
    <row r="1584" spans="1:117">
      <c r="A1584" s="453"/>
      <c r="B1584" s="1454">
        <f t="shared" si="235"/>
        <v>352900</v>
      </c>
      <c r="C1584" s="2554" t="s">
        <v>2233</v>
      </c>
      <c r="D1584" s="3383" t="s">
        <v>1122</v>
      </c>
      <c r="E1584" s="3398" t="s">
        <v>2234</v>
      </c>
      <c r="F1584" s="3396">
        <f>ROUND(((K2724*K2917*(1/K3110-1/K3303)*K3496)/1000)*$K$3651,2)</f>
        <v>174.33</v>
      </c>
      <c r="G1584" s="3384" t="s">
        <v>2077</v>
      </c>
      <c r="H1584" s="2213">
        <f>VLOOKUP(G1584,'CP FACTORS'!$A$3:$B$38, 2, FALSE)</f>
        <v>9.4741810000000004E-4</v>
      </c>
      <c r="I1584" s="3394">
        <f t="shared" si="225"/>
        <v>0.165163</v>
      </c>
      <c r="J1584" s="2449">
        <f t="shared" si="233"/>
        <v>18</v>
      </c>
      <c r="K1584" s="2467">
        <f t="shared" si="236"/>
        <v>421</v>
      </c>
      <c r="L1584" s="2649">
        <f>L1952</f>
        <v>2.2333333333333334</v>
      </c>
      <c r="M1584" s="3386"/>
      <c r="N1584" s="3387"/>
      <c r="O1584" s="2702"/>
      <c r="P1584" s="635"/>
      <c r="Q1584" s="635"/>
      <c r="R1584" s="2966"/>
      <c r="S1584" s="635"/>
      <c r="T1584" s="635"/>
      <c r="U1584" s="3388"/>
      <c r="V1584" s="2962" t="s">
        <v>45</v>
      </c>
      <c r="W1584" s="3389">
        <v>199.71482142857135</v>
      </c>
      <c r="X1584" s="3399">
        <v>199.71482142857135</v>
      </c>
      <c r="Y1584" s="3373">
        <v>199.71</v>
      </c>
      <c r="Z1584" s="3373">
        <v>199.71</v>
      </c>
      <c r="AA1584" s="3373">
        <v>199.71</v>
      </c>
      <c r="AB1584" s="3400">
        <v>199.71</v>
      </c>
      <c r="AC1584" s="3369">
        <v>181.56</v>
      </c>
      <c r="AD1584" s="3369">
        <v>209.49</v>
      </c>
      <c r="AE1584" s="3396">
        <v>97.76</v>
      </c>
      <c r="AF1584" s="2236">
        <f t="shared" si="237"/>
        <v>174.33</v>
      </c>
      <c r="AG1584" s="3389"/>
      <c r="AH1584" s="2728"/>
      <c r="AI1584" s="2237"/>
      <c r="AJ1584" s="2237"/>
      <c r="AK1584" s="3392"/>
      <c r="AL1584" s="2237"/>
      <c r="AM1584" s="2237"/>
      <c r="AN1584" s="2237"/>
      <c r="AO1584" s="2237"/>
      <c r="AP1584" s="2237"/>
      <c r="AQ1584" s="2237"/>
      <c r="AR1584" s="2237"/>
      <c r="AS1584" s="2237"/>
      <c r="AT1584" s="2237"/>
      <c r="AU1584" s="2237"/>
      <c r="AV1584" s="2237"/>
      <c r="AW1584" s="2237"/>
      <c r="AX1584" s="2237"/>
      <c r="AY1584" s="2237"/>
      <c r="AZ1584" s="2237"/>
      <c r="BA1584" s="2237"/>
      <c r="BB1584" s="2237"/>
      <c r="BC1584" s="2237"/>
      <c r="BD1584" s="2237"/>
      <c r="BE1584" s="2237"/>
      <c r="BF1584" s="2237"/>
      <c r="BG1584" s="2237"/>
      <c r="BH1584" s="2237"/>
      <c r="BI1584" s="2237"/>
      <c r="BJ1584" s="2237"/>
      <c r="BK1584" s="2237"/>
      <c r="BL1584" s="2237"/>
      <c r="BM1584" s="2237"/>
      <c r="BN1584" s="2237"/>
      <c r="BO1584" s="2237"/>
      <c r="BP1584" s="2237"/>
      <c r="BQ1584" s="2237"/>
      <c r="BR1584" s="2237"/>
      <c r="BS1584" s="2237"/>
      <c r="BT1584" s="2237"/>
      <c r="BU1584" s="2237"/>
      <c r="BV1584" s="2237"/>
      <c r="BW1584" s="2237"/>
      <c r="BX1584" s="2237"/>
      <c r="BY1584" s="2237"/>
      <c r="BZ1584" s="2237"/>
      <c r="CA1584" s="2237"/>
      <c r="CB1584" s="2237"/>
      <c r="CC1584" s="2237"/>
      <c r="CD1584" s="2237"/>
      <c r="CE1584" s="2237"/>
      <c r="CF1584" s="2237"/>
      <c r="CG1584" s="2237"/>
      <c r="CH1584" s="2237"/>
      <c r="CI1584" s="2237"/>
      <c r="CJ1584" s="2237"/>
      <c r="CK1584" s="2237"/>
      <c r="CL1584" s="2237"/>
      <c r="CM1584" s="2237"/>
      <c r="CN1584" s="2237"/>
      <c r="CO1584" s="2237"/>
      <c r="CP1584" s="2237"/>
      <c r="CQ1584" s="2237"/>
      <c r="CR1584" s="2237"/>
      <c r="CS1584" s="2237"/>
      <c r="CT1584" s="2237"/>
      <c r="CU1584" s="2237"/>
      <c r="CV1584" s="2237"/>
      <c r="CW1584" s="2237"/>
      <c r="CX1584" s="2237"/>
      <c r="CY1584" s="2237"/>
      <c r="CZ1584" s="2237"/>
      <c r="DA1584" s="2237"/>
      <c r="DB1584" s="2237"/>
      <c r="DC1584" s="2237"/>
      <c r="DD1584" s="2237"/>
      <c r="DE1584" s="2237"/>
      <c r="DF1584" s="3393" t="str">
        <f t="shared" si="238"/>
        <v>ASHP-SEER16_ROF_MF</v>
      </c>
      <c r="DG1584" s="3259">
        <f>(DI1584+DI1585)/(DJ1584+DJ1585)</f>
        <v>2.2307785922197119</v>
      </c>
      <c r="DH1584" s="3398" t="str">
        <f t="shared" si="229"/>
        <v>Cooling Res 18 Year EUL</v>
      </c>
      <c r="DI1584" s="3260">
        <f>(INDEX('Avoided Cost Benefits'!$B$4:$B$866,MATCH(DH1584,'Avoided Cost Benefits'!$A$4:$A$866,0)))*F1584</f>
        <v>399.17541227437914</v>
      </c>
      <c r="DJ1584" s="2507">
        <f>IFERROR(K1584/(1.0686^(2025-2025)),10000000)</f>
        <v>421</v>
      </c>
      <c r="DM1584" s="252"/>
    </row>
    <row r="1585" spans="1:117">
      <c r="A1585" s="453"/>
      <c r="B1585" s="1454">
        <f t="shared" si="235"/>
        <v>352900</v>
      </c>
      <c r="C1585" s="2554" t="s">
        <v>2233</v>
      </c>
      <c r="D1585" s="3383" t="s">
        <v>1122</v>
      </c>
      <c r="E1585" s="3402" t="s">
        <v>2234</v>
      </c>
      <c r="F1585" s="3396">
        <f>ROUND(((K1952*K2145*(1/K2338-1/K2531)*K3496)/1000)*$K$3651,2)</f>
        <v>890.95</v>
      </c>
      <c r="G1585" s="3384" t="s">
        <v>2078</v>
      </c>
      <c r="H1585" s="2213">
        <f>VLOOKUP(G1585,'CP FACTORS'!$A$3:$B$38, 2, FALSE)</f>
        <v>0</v>
      </c>
      <c r="I1585" s="3385">
        <f t="shared" si="225"/>
        <v>0</v>
      </c>
      <c r="J1585" s="2449">
        <f t="shared" si="233"/>
        <v>18</v>
      </c>
      <c r="K1585" s="2894">
        <f t="shared" si="236"/>
        <v>0</v>
      </c>
      <c r="L1585" s="2649"/>
      <c r="M1585" s="3386"/>
      <c r="N1585" s="3387"/>
      <c r="O1585" s="2702"/>
      <c r="P1585" s="635"/>
      <c r="Q1585" s="635"/>
      <c r="R1585" s="2966"/>
      <c r="S1585" s="635"/>
      <c r="T1585" s="635"/>
      <c r="U1585" s="3388"/>
      <c r="V1585" s="2962" t="s">
        <v>45</v>
      </c>
      <c r="W1585" s="3389">
        <v>1029.6000000000013</v>
      </c>
      <c r="X1585" s="3390">
        <v>766.69069188651167</v>
      </c>
      <c r="Y1585" s="3373">
        <v>766.69</v>
      </c>
      <c r="Z1585" s="3373">
        <v>766.69</v>
      </c>
      <c r="AA1585" s="3373">
        <v>766.69</v>
      </c>
      <c r="AB1585" s="3400">
        <v>766.69</v>
      </c>
      <c r="AC1585" s="3369">
        <v>379.47</v>
      </c>
      <c r="AD1585" s="3369">
        <v>434.61</v>
      </c>
      <c r="AE1585" s="3396">
        <v>207.2</v>
      </c>
      <c r="AF1585" s="2236">
        <f t="shared" si="237"/>
        <v>890.95</v>
      </c>
      <c r="AG1585" s="3389"/>
      <c r="AH1585" s="2728"/>
      <c r="AI1585" s="2237"/>
      <c r="AJ1585" s="2237"/>
      <c r="AK1585" s="3392"/>
      <c r="AL1585" s="2237"/>
      <c r="AM1585" s="2237"/>
      <c r="AN1585" s="2237"/>
      <c r="AO1585" s="2237"/>
      <c r="AP1585" s="2237"/>
      <c r="AQ1585" s="2237"/>
      <c r="AR1585" s="2237"/>
      <c r="AS1585" s="2237"/>
      <c r="AT1585" s="2237"/>
      <c r="AU1585" s="2237"/>
      <c r="AV1585" s="2237"/>
      <c r="AW1585" s="2237"/>
      <c r="AX1585" s="2237"/>
      <c r="AY1585" s="2237"/>
      <c r="AZ1585" s="2237"/>
      <c r="BA1585" s="2237"/>
      <c r="BB1585" s="2237"/>
      <c r="BC1585" s="2237"/>
      <c r="BD1585" s="2237"/>
      <c r="BE1585" s="2237"/>
      <c r="BF1585" s="2237"/>
      <c r="BG1585" s="2237"/>
      <c r="BH1585" s="2237"/>
      <c r="BI1585" s="2237"/>
      <c r="BJ1585" s="2237"/>
      <c r="BK1585" s="2237"/>
      <c r="BL1585" s="2237"/>
      <c r="BM1585" s="2237"/>
      <c r="BN1585" s="2237"/>
      <c r="BO1585" s="2237"/>
      <c r="BP1585" s="2237"/>
      <c r="BQ1585" s="2237"/>
      <c r="BR1585" s="2237"/>
      <c r="BS1585" s="2237"/>
      <c r="BT1585" s="2237"/>
      <c r="BU1585" s="2237"/>
      <c r="BV1585" s="2237"/>
      <c r="BW1585" s="2237"/>
      <c r="BX1585" s="2237"/>
      <c r="BY1585" s="2237"/>
      <c r="BZ1585" s="2237"/>
      <c r="CA1585" s="2237"/>
      <c r="CB1585" s="2237"/>
      <c r="CC1585" s="2237"/>
      <c r="CD1585" s="2237"/>
      <c r="CE1585" s="2237"/>
      <c r="CF1585" s="2237"/>
      <c r="CG1585" s="2237"/>
      <c r="CH1585" s="2237"/>
      <c r="CI1585" s="2237"/>
      <c r="CJ1585" s="2237"/>
      <c r="CK1585" s="2237"/>
      <c r="CL1585" s="2237"/>
      <c r="CM1585" s="2237"/>
      <c r="CN1585" s="2237"/>
      <c r="CO1585" s="2237"/>
      <c r="CP1585" s="2237"/>
      <c r="CQ1585" s="2237"/>
      <c r="CR1585" s="2237"/>
      <c r="CS1585" s="2237"/>
      <c r="CT1585" s="2237"/>
      <c r="CU1585" s="2237"/>
      <c r="CV1585" s="2237"/>
      <c r="CW1585" s="2237"/>
      <c r="CX1585" s="2237"/>
      <c r="CY1585" s="2237"/>
      <c r="CZ1585" s="2237"/>
      <c r="DA1585" s="2237"/>
      <c r="DB1585" s="2237"/>
      <c r="DC1585" s="2237"/>
      <c r="DD1585" s="2237"/>
      <c r="DE1585" s="2237"/>
      <c r="DF1585" s="3393" t="str">
        <f t="shared" si="238"/>
        <v>ASHP-SEER16_ROF_MF</v>
      </c>
      <c r="DG1585" s="3261"/>
      <c r="DH1585" s="3402" t="str">
        <f t="shared" si="229"/>
        <v>Heating Res 18 Year EUL</v>
      </c>
      <c r="DI1585" s="3260">
        <f>(INDEX('Avoided Cost Benefits'!$B$4:$B$866,MATCH(DH1585,'Avoided Cost Benefits'!$A$4:$A$866,0)))*F1585</f>
        <v>539.98237505011957</v>
      </c>
      <c r="DJ1585" s="2507">
        <f>K1585/(1.0686^(2025-2025))</f>
        <v>0</v>
      </c>
      <c r="DM1585" s="252"/>
    </row>
    <row r="1586" spans="1:117">
      <c r="A1586" s="453"/>
      <c r="B1586" s="1454">
        <f t="shared" si="235"/>
        <v>352901</v>
      </c>
      <c r="C1586" s="2554" t="s">
        <v>2235</v>
      </c>
      <c r="D1586" s="3383" t="s">
        <v>1118</v>
      </c>
      <c r="E1586" s="2521" t="s">
        <v>2236</v>
      </c>
      <c r="F1586" s="3396">
        <f>ROUND((($K$2725*$K$2918*(1/$K$3111-1/$K$3304)*$K$3497)/1000)*$K$3651,2)</f>
        <v>126.79</v>
      </c>
      <c r="G1586" s="3384" t="str">
        <f>G1584</f>
        <v>Cooling Res</v>
      </c>
      <c r="H1586" s="2213">
        <f>VLOOKUP(G1586,'CP FACTORS'!$A$3:$B$38, 2, FALSE)</f>
        <v>9.4741810000000004E-4</v>
      </c>
      <c r="I1586" s="3394">
        <f t="shared" si="225"/>
        <v>0.12012299999999999</v>
      </c>
      <c r="J1586" s="2449">
        <f t="shared" si="233"/>
        <v>18</v>
      </c>
      <c r="K1586" s="2467">
        <f t="shared" si="236"/>
        <v>421</v>
      </c>
      <c r="L1586" s="2649">
        <f>L1953</f>
        <v>2.2333333333333334</v>
      </c>
      <c r="M1586" s="3386"/>
      <c r="N1586" s="3387"/>
      <c r="O1586" s="2702"/>
      <c r="P1586" s="635"/>
      <c r="Q1586" s="635"/>
      <c r="R1586" s="2966"/>
      <c r="S1586" s="635"/>
      <c r="T1586" s="635"/>
      <c r="U1586" s="3388"/>
      <c r="V1586" s="2962" t="s">
        <v>45</v>
      </c>
      <c r="W1586" s="3389"/>
      <c r="X1586" s="3390"/>
      <c r="Y1586" s="3369">
        <v>145.25</v>
      </c>
      <c r="Z1586" s="3373">
        <v>145.25</v>
      </c>
      <c r="AA1586" s="3373">
        <v>145.25</v>
      </c>
      <c r="AB1586" s="3400">
        <v>145.25</v>
      </c>
      <c r="AC1586" s="3369">
        <v>132.04</v>
      </c>
      <c r="AD1586" s="3369">
        <v>152.36000000000001</v>
      </c>
      <c r="AE1586" s="3396">
        <v>71.099999999999994</v>
      </c>
      <c r="AF1586" s="2236">
        <f t="shared" si="237"/>
        <v>126.79</v>
      </c>
      <c r="AG1586" s="3389"/>
      <c r="AH1586" s="2728"/>
      <c r="AI1586" s="2237"/>
      <c r="AJ1586" s="2237"/>
      <c r="AK1586" s="3392"/>
      <c r="AL1586" s="2237"/>
      <c r="AM1586" s="2237"/>
      <c r="AN1586" s="2237"/>
      <c r="AO1586" s="2237"/>
      <c r="AP1586" s="2237"/>
      <c r="AQ1586" s="2237"/>
      <c r="AR1586" s="2237"/>
      <c r="AS1586" s="2237"/>
      <c r="AT1586" s="2237"/>
      <c r="AU1586" s="2237"/>
      <c r="AV1586" s="2237"/>
      <c r="AW1586" s="2237"/>
      <c r="AX1586" s="2237"/>
      <c r="AY1586" s="2237"/>
      <c r="AZ1586" s="2237"/>
      <c r="BA1586" s="2237"/>
      <c r="BB1586" s="2237"/>
      <c r="BC1586" s="2237"/>
      <c r="BD1586" s="2237"/>
      <c r="BE1586" s="2237"/>
      <c r="BF1586" s="2237"/>
      <c r="BG1586" s="2237"/>
      <c r="BH1586" s="2237"/>
      <c r="BI1586" s="2237"/>
      <c r="BJ1586" s="2237"/>
      <c r="BK1586" s="2237"/>
      <c r="BL1586" s="2237"/>
      <c r="BM1586" s="2237"/>
      <c r="BN1586" s="2237"/>
      <c r="BO1586" s="2237"/>
      <c r="BP1586" s="2237"/>
      <c r="BQ1586" s="2237"/>
      <c r="BR1586" s="2237"/>
      <c r="BS1586" s="2237"/>
      <c r="BT1586" s="2237"/>
      <c r="BU1586" s="2237"/>
      <c r="BV1586" s="2237"/>
      <c r="BW1586" s="2237"/>
      <c r="BX1586" s="2237"/>
      <c r="BY1586" s="2237"/>
      <c r="BZ1586" s="2237"/>
      <c r="CA1586" s="2237"/>
      <c r="CB1586" s="2237"/>
      <c r="CC1586" s="2237"/>
      <c r="CD1586" s="2237"/>
      <c r="CE1586" s="2237"/>
      <c r="CF1586" s="2237"/>
      <c r="CG1586" s="2237"/>
      <c r="CH1586" s="2237"/>
      <c r="CI1586" s="2237"/>
      <c r="CJ1586" s="2237"/>
      <c r="CK1586" s="2237"/>
      <c r="CL1586" s="2237"/>
      <c r="CM1586" s="2237"/>
      <c r="CN1586" s="2237"/>
      <c r="CO1586" s="2237"/>
      <c r="CP1586" s="2237"/>
      <c r="CQ1586" s="2237"/>
      <c r="CR1586" s="2237"/>
      <c r="CS1586" s="2237"/>
      <c r="CT1586" s="2237"/>
      <c r="CU1586" s="2237"/>
      <c r="CV1586" s="2237"/>
      <c r="CW1586" s="2237"/>
      <c r="CX1586" s="2237"/>
      <c r="CY1586" s="2237"/>
      <c r="CZ1586" s="2237"/>
      <c r="DA1586" s="2237"/>
      <c r="DB1586" s="2237"/>
      <c r="DC1586" s="2237"/>
      <c r="DD1586" s="2237"/>
      <c r="DE1586" s="2237"/>
      <c r="DF1586" s="3393" t="str">
        <f t="shared" si="238"/>
        <v>ASHP-SEER16_ROF_MF_CompE</v>
      </c>
      <c r="DG1586" s="3259">
        <f>(DI1586+DI1587)/(DJ1586+DJ1587)</f>
        <v>1.1268477641213122</v>
      </c>
      <c r="DH1586" s="3398" t="str">
        <f t="shared" si="229"/>
        <v>Cooling Res 18 Year EUL</v>
      </c>
      <c r="DI1586" s="3260">
        <f>(INDEX('Avoided Cost Benefits'!$B$4:$B$866,MATCH(DH1586,'Avoided Cost Benefits'!$A$4:$A$866,0)))*F1586</f>
        <v>290.31979878545593</v>
      </c>
      <c r="DJ1586" s="2507">
        <f>IFERROR(K1586/(1.0686^(2025-2025)),10000000)</f>
        <v>421</v>
      </c>
      <c r="DM1586" s="252"/>
    </row>
    <row r="1587" spans="1:117">
      <c r="A1587" s="453"/>
      <c r="B1587" s="1454">
        <f t="shared" si="235"/>
        <v>352901</v>
      </c>
      <c r="C1587" s="2554" t="str">
        <f>C1586</f>
        <v>352901_2024_12_</v>
      </c>
      <c r="D1587" s="3383" t="s">
        <v>1118</v>
      </c>
      <c r="E1587" s="2522" t="s">
        <v>2236</v>
      </c>
      <c r="F1587" s="3396">
        <f>ROUND((($K$1953*$K$2146*(1/$K$2339-1/$K$2532)*$K$3497)/1000)*$K$3651,2)</f>
        <v>303.73</v>
      </c>
      <c r="G1587" s="3384" t="str">
        <f>G1585</f>
        <v>Heating Res</v>
      </c>
      <c r="H1587" s="2213">
        <f>VLOOKUP(G1587,'CP FACTORS'!$A$3:$B$38, 2, FALSE)</f>
        <v>0</v>
      </c>
      <c r="I1587" s="3385">
        <f t="shared" si="225"/>
        <v>0</v>
      </c>
      <c r="J1587" s="2449">
        <f t="shared" si="233"/>
        <v>18</v>
      </c>
      <c r="K1587" s="2894">
        <f t="shared" si="236"/>
        <v>0</v>
      </c>
      <c r="L1587" s="2649"/>
      <c r="M1587" s="3386"/>
      <c r="N1587" s="3387"/>
      <c r="O1587" s="2702"/>
      <c r="P1587" s="635"/>
      <c r="Q1587" s="635"/>
      <c r="R1587" s="2966"/>
      <c r="S1587" s="635"/>
      <c r="T1587" s="635"/>
      <c r="U1587" s="3388"/>
      <c r="V1587" s="2962" t="s">
        <v>45</v>
      </c>
      <c r="W1587" s="3389"/>
      <c r="X1587" s="3390"/>
      <c r="Y1587" s="3369">
        <v>261.37</v>
      </c>
      <c r="Z1587" s="3373">
        <v>261.37</v>
      </c>
      <c r="AA1587" s="3373">
        <v>261.37</v>
      </c>
      <c r="AB1587" s="3400">
        <v>261.37</v>
      </c>
      <c r="AC1587" s="3369">
        <v>129.37</v>
      </c>
      <c r="AD1587" s="3369">
        <v>148.16</v>
      </c>
      <c r="AE1587" s="3396">
        <v>70.64</v>
      </c>
      <c r="AF1587" s="2236">
        <f t="shared" si="237"/>
        <v>303.73</v>
      </c>
      <c r="AG1587" s="3389"/>
      <c r="AH1587" s="2728"/>
      <c r="AI1587" s="2237"/>
      <c r="AJ1587" s="2237"/>
      <c r="AK1587" s="3392"/>
      <c r="AL1587" s="2237"/>
      <c r="AM1587" s="2237"/>
      <c r="AN1587" s="2237"/>
      <c r="AO1587" s="2237"/>
      <c r="AP1587" s="2237"/>
      <c r="AQ1587" s="2237"/>
      <c r="AR1587" s="2237"/>
      <c r="AS1587" s="2237"/>
      <c r="AT1587" s="2237"/>
      <c r="AU1587" s="2237"/>
      <c r="AV1587" s="2237"/>
      <c r="AW1587" s="2237"/>
      <c r="AX1587" s="2237"/>
      <c r="AY1587" s="2237"/>
      <c r="AZ1587" s="2237"/>
      <c r="BA1587" s="2237"/>
      <c r="BB1587" s="2237"/>
      <c r="BC1587" s="2237"/>
      <c r="BD1587" s="2237"/>
      <c r="BE1587" s="2237"/>
      <c r="BF1587" s="2237"/>
      <c r="BG1587" s="2237"/>
      <c r="BH1587" s="2237"/>
      <c r="BI1587" s="2237"/>
      <c r="BJ1587" s="2237"/>
      <c r="BK1587" s="2237"/>
      <c r="BL1587" s="2237"/>
      <c r="BM1587" s="2237"/>
      <c r="BN1587" s="2237"/>
      <c r="BO1587" s="2237"/>
      <c r="BP1587" s="2237"/>
      <c r="BQ1587" s="2237"/>
      <c r="BR1587" s="2237"/>
      <c r="BS1587" s="2237"/>
      <c r="BT1587" s="2237"/>
      <c r="BU1587" s="2237"/>
      <c r="BV1587" s="2237"/>
      <c r="BW1587" s="2237"/>
      <c r="BX1587" s="2237"/>
      <c r="BY1587" s="2237"/>
      <c r="BZ1587" s="2237"/>
      <c r="CA1587" s="2237"/>
      <c r="CB1587" s="2237"/>
      <c r="CC1587" s="2237"/>
      <c r="CD1587" s="2237"/>
      <c r="CE1587" s="2237"/>
      <c r="CF1587" s="2237"/>
      <c r="CG1587" s="2237"/>
      <c r="CH1587" s="2237"/>
      <c r="CI1587" s="2237"/>
      <c r="CJ1587" s="2237"/>
      <c r="CK1587" s="2237"/>
      <c r="CL1587" s="2237"/>
      <c r="CM1587" s="2237"/>
      <c r="CN1587" s="2237"/>
      <c r="CO1587" s="2237"/>
      <c r="CP1587" s="2237"/>
      <c r="CQ1587" s="2237"/>
      <c r="CR1587" s="2237"/>
      <c r="CS1587" s="2237"/>
      <c r="CT1587" s="2237"/>
      <c r="CU1587" s="2237"/>
      <c r="CV1587" s="2237"/>
      <c r="CW1587" s="2237"/>
      <c r="CX1587" s="2237"/>
      <c r="CY1587" s="2237"/>
      <c r="CZ1587" s="2237"/>
      <c r="DA1587" s="2237"/>
      <c r="DB1587" s="2237"/>
      <c r="DC1587" s="2237"/>
      <c r="DD1587" s="2237"/>
      <c r="DE1587" s="2237"/>
      <c r="DF1587" s="3393" t="str">
        <f t="shared" si="238"/>
        <v>ASHP-SEER16_ROF_MF_CompE</v>
      </c>
      <c r="DG1587" s="3261"/>
      <c r="DH1587" s="3402" t="str">
        <f t="shared" si="229"/>
        <v>Heating Res 18 Year EUL</v>
      </c>
      <c r="DI1587" s="3260">
        <f>(INDEX('Avoided Cost Benefits'!$B$4:$B$866,MATCH(DH1587,'Avoided Cost Benefits'!$A$4:$A$866,0)))*F1587</f>
        <v>184.0831099096165</v>
      </c>
      <c r="DJ1587" s="2507">
        <f>K1587/(1.0686^(2025-2025))</f>
        <v>0</v>
      </c>
      <c r="DM1587" s="252"/>
    </row>
    <row r="1588" spans="1:117">
      <c r="A1588" s="453"/>
      <c r="B1588" s="1454">
        <f t="shared" si="235"/>
        <v>352950</v>
      </c>
      <c r="C1588" s="2554" t="s">
        <v>2237</v>
      </c>
      <c r="D1588" s="3383" t="s">
        <v>1122</v>
      </c>
      <c r="E1588" s="3398" t="s">
        <v>2238</v>
      </c>
      <c r="F1588" s="3396">
        <f>ROUND(((K2726*K2919*(1/K3112-1/K3305)*K3498)/1000)*$K$3651,2)</f>
        <v>284.52999999999997</v>
      </c>
      <c r="G1588" s="3384" t="s">
        <v>2077</v>
      </c>
      <c r="H1588" s="2213">
        <f>VLOOKUP(G1588,'CP FACTORS'!$A$3:$B$38, 2, FALSE)</f>
        <v>9.4741810000000004E-4</v>
      </c>
      <c r="I1588" s="3394">
        <f t="shared" si="225"/>
        <v>0.269569</v>
      </c>
      <c r="J1588" s="2449">
        <f t="shared" si="233"/>
        <v>18</v>
      </c>
      <c r="K1588" s="2467">
        <f t="shared" si="236"/>
        <v>3277</v>
      </c>
      <c r="L1588" s="2649">
        <f>L1954</f>
        <v>2.2333333333333334</v>
      </c>
      <c r="M1588" s="3386"/>
      <c r="N1588" s="3387"/>
      <c r="O1588" s="2702"/>
      <c r="P1588" s="635"/>
      <c r="Q1588" s="635"/>
      <c r="R1588" s="2966"/>
      <c r="S1588" s="635"/>
      <c r="T1588" s="635"/>
      <c r="U1588" s="3388"/>
      <c r="V1588" s="2962" t="s">
        <v>45</v>
      </c>
      <c r="W1588" s="3389">
        <v>312.84000000000009</v>
      </c>
      <c r="X1588" s="3397">
        <v>312.84000000000009</v>
      </c>
      <c r="Y1588" s="3373">
        <v>312.83999999999997</v>
      </c>
      <c r="Z1588" s="3373">
        <v>312.83999999999997</v>
      </c>
      <c r="AA1588" s="3373">
        <v>312.83999999999997</v>
      </c>
      <c r="AB1588" s="3391">
        <v>245.36</v>
      </c>
      <c r="AC1588" s="3401">
        <v>245.36</v>
      </c>
      <c r="AD1588" s="3369">
        <v>338.41</v>
      </c>
      <c r="AE1588" s="3396">
        <v>209.49</v>
      </c>
      <c r="AF1588" s="2236">
        <f t="shared" si="237"/>
        <v>284.52999999999997</v>
      </c>
      <c r="AG1588" s="3389"/>
      <c r="AH1588" s="2728"/>
      <c r="AI1588" s="2237"/>
      <c r="AJ1588" s="2237"/>
      <c r="AK1588" s="3392"/>
      <c r="AL1588" s="2237"/>
      <c r="AM1588" s="2237"/>
      <c r="AN1588" s="2237"/>
      <c r="AO1588" s="2237"/>
      <c r="AP1588" s="2237"/>
      <c r="AQ1588" s="2237"/>
      <c r="AR1588" s="2237"/>
      <c r="AS1588" s="2237"/>
      <c r="AT1588" s="2237"/>
      <c r="AU1588" s="2237"/>
      <c r="AV1588" s="2237"/>
      <c r="AW1588" s="2237"/>
      <c r="AX1588" s="2237"/>
      <c r="AY1588" s="2237"/>
      <c r="AZ1588" s="2237"/>
      <c r="BA1588" s="2237"/>
      <c r="BB1588" s="2237"/>
      <c r="BC1588" s="2237"/>
      <c r="BD1588" s="2237"/>
      <c r="BE1588" s="2237"/>
      <c r="BF1588" s="2237"/>
      <c r="BG1588" s="2237"/>
      <c r="BH1588" s="2237"/>
      <c r="BI1588" s="2237"/>
      <c r="BJ1588" s="2237"/>
      <c r="BK1588" s="2237"/>
      <c r="BL1588" s="2237"/>
      <c r="BM1588" s="2237"/>
      <c r="BN1588" s="2237"/>
      <c r="BO1588" s="2237"/>
      <c r="BP1588" s="2237"/>
      <c r="BQ1588" s="2237"/>
      <c r="BR1588" s="2237"/>
      <c r="BS1588" s="2237"/>
      <c r="BT1588" s="2237"/>
      <c r="BU1588" s="2237"/>
      <c r="BV1588" s="2237"/>
      <c r="BW1588" s="2237"/>
      <c r="BX1588" s="2237"/>
      <c r="BY1588" s="2237"/>
      <c r="BZ1588" s="2237"/>
      <c r="CA1588" s="2237"/>
      <c r="CB1588" s="2237"/>
      <c r="CC1588" s="2237"/>
      <c r="CD1588" s="2237"/>
      <c r="CE1588" s="2237"/>
      <c r="CF1588" s="2237"/>
      <c r="CG1588" s="2237"/>
      <c r="CH1588" s="2237"/>
      <c r="CI1588" s="2237"/>
      <c r="CJ1588" s="2237"/>
      <c r="CK1588" s="2237"/>
      <c r="CL1588" s="2237"/>
      <c r="CM1588" s="2237"/>
      <c r="CN1588" s="2237"/>
      <c r="CO1588" s="2237"/>
      <c r="CP1588" s="2237"/>
      <c r="CQ1588" s="2237"/>
      <c r="CR1588" s="2237"/>
      <c r="CS1588" s="2237"/>
      <c r="CT1588" s="2237"/>
      <c r="CU1588" s="2237"/>
      <c r="CV1588" s="2237"/>
      <c r="CW1588" s="2237"/>
      <c r="CX1588" s="2237"/>
      <c r="CY1588" s="2237"/>
      <c r="CZ1588" s="2237"/>
      <c r="DA1588" s="2237"/>
      <c r="DB1588" s="2237"/>
      <c r="DC1588" s="2237"/>
      <c r="DD1588" s="2237"/>
      <c r="DE1588" s="2237"/>
      <c r="DF1588" s="3393" t="str">
        <f t="shared" si="238"/>
        <v>ASHP-SEER16-Replace_CAC_ElectricHeat_ROF_MF</v>
      </c>
      <c r="DG1588" s="3259">
        <f>(DI1588+DI1589)/(DJ1588+DJ1589)</f>
        <v>1.5494252078698165</v>
      </c>
      <c r="DH1588" s="3398" t="str">
        <f t="shared" si="229"/>
        <v>Cooling Res 18 Year EUL</v>
      </c>
      <c r="DI1588" s="3260">
        <f>(INDEX('Avoided Cost Benefits'!$B$4:$B$866,MATCH(DH1588,'Avoided Cost Benefits'!$A$4:$A$866,0)))*F1588</f>
        <v>651.50794501479425</v>
      </c>
      <c r="DJ1588" s="2507">
        <f>IFERROR(K1588/(1.0686^(2025-2025)),10000000)</f>
        <v>3277</v>
      </c>
      <c r="DM1588" s="252"/>
    </row>
    <row r="1589" spans="1:117">
      <c r="A1589" s="453"/>
      <c r="B1589" s="1454">
        <f t="shared" si="235"/>
        <v>352950</v>
      </c>
      <c r="C1589" s="2554" t="s">
        <v>2237</v>
      </c>
      <c r="D1589" s="3383" t="s">
        <v>1122</v>
      </c>
      <c r="E1589" s="3402" t="s">
        <v>2238</v>
      </c>
      <c r="F1589" s="3395">
        <f>ROUND(((K1954*K2147*(1/K2340-1/K2533)*K3498)/1000)*$K$3651,2)</f>
        <v>7302.66</v>
      </c>
      <c r="G1589" s="3384" t="s">
        <v>2078</v>
      </c>
      <c r="H1589" s="2213">
        <f>VLOOKUP(G1589,'CP FACTORS'!$A$3:$B$38, 2, FALSE)</f>
        <v>0</v>
      </c>
      <c r="I1589" s="3385">
        <f t="shared" si="225"/>
        <v>0</v>
      </c>
      <c r="J1589" s="2449">
        <f t="shared" si="233"/>
        <v>18</v>
      </c>
      <c r="K1589" s="2894">
        <f t="shared" si="236"/>
        <v>0</v>
      </c>
      <c r="L1589" s="2649"/>
      <c r="M1589" s="3386"/>
      <c r="N1589" s="3387"/>
      <c r="O1589" s="2702"/>
      <c r="P1589" s="635"/>
      <c r="Q1589" s="635"/>
      <c r="R1589" s="2966"/>
      <c r="S1589" s="635"/>
      <c r="T1589" s="635"/>
      <c r="U1589" s="3388"/>
      <c r="V1589" s="2962" t="s">
        <v>45</v>
      </c>
      <c r="W1589" s="3389">
        <v>9535.6225050639387</v>
      </c>
      <c r="X1589" s="3390">
        <v>7100.6925174592607</v>
      </c>
      <c r="Y1589" s="3373">
        <v>7100.69</v>
      </c>
      <c r="Z1589" s="3373">
        <v>7100.69</v>
      </c>
      <c r="AA1589" s="3373">
        <v>7100.69</v>
      </c>
      <c r="AB1589" s="3391">
        <v>4307.18</v>
      </c>
      <c r="AC1589" s="3401">
        <v>4307.18</v>
      </c>
      <c r="AD1589" s="3369">
        <v>7302.66</v>
      </c>
      <c r="AE1589" s="3389">
        <v>7302.66</v>
      </c>
      <c r="AF1589" s="2236">
        <f t="shared" si="237"/>
        <v>7302.66</v>
      </c>
      <c r="AG1589" s="3389"/>
      <c r="AH1589" s="2728"/>
      <c r="AI1589" s="2237"/>
      <c r="AJ1589" s="2237"/>
      <c r="AK1589" s="3392"/>
      <c r="AL1589" s="2237"/>
      <c r="AM1589" s="2237"/>
      <c r="AN1589" s="2237"/>
      <c r="AO1589" s="2237"/>
      <c r="AP1589" s="2237"/>
      <c r="AQ1589" s="2237"/>
      <c r="AR1589" s="2237"/>
      <c r="AS1589" s="2237"/>
      <c r="AT1589" s="2237"/>
      <c r="AU1589" s="2237"/>
      <c r="AV1589" s="2237"/>
      <c r="AW1589" s="2237"/>
      <c r="AX1589" s="2237"/>
      <c r="AY1589" s="2237"/>
      <c r="AZ1589" s="2237"/>
      <c r="BA1589" s="2237"/>
      <c r="BB1589" s="2237"/>
      <c r="BC1589" s="2237"/>
      <c r="BD1589" s="2237"/>
      <c r="BE1589" s="2237"/>
      <c r="BF1589" s="2237"/>
      <c r="BG1589" s="2237"/>
      <c r="BH1589" s="2237"/>
      <c r="BI1589" s="2237"/>
      <c r="BJ1589" s="2237"/>
      <c r="BK1589" s="2237"/>
      <c r="BL1589" s="2237"/>
      <c r="BM1589" s="2237"/>
      <c r="BN1589" s="2237"/>
      <c r="BO1589" s="2237"/>
      <c r="BP1589" s="2237"/>
      <c r="BQ1589" s="2237"/>
      <c r="BR1589" s="2237"/>
      <c r="BS1589" s="2237"/>
      <c r="BT1589" s="2237"/>
      <c r="BU1589" s="2237"/>
      <c r="BV1589" s="2237"/>
      <c r="BW1589" s="2237"/>
      <c r="BX1589" s="2237"/>
      <c r="BY1589" s="2237"/>
      <c r="BZ1589" s="2237"/>
      <c r="CA1589" s="2237"/>
      <c r="CB1589" s="2237"/>
      <c r="CC1589" s="2237"/>
      <c r="CD1589" s="2237"/>
      <c r="CE1589" s="2237"/>
      <c r="CF1589" s="2237"/>
      <c r="CG1589" s="2237"/>
      <c r="CH1589" s="2237"/>
      <c r="CI1589" s="2237"/>
      <c r="CJ1589" s="2237"/>
      <c r="CK1589" s="2237"/>
      <c r="CL1589" s="2237"/>
      <c r="CM1589" s="2237"/>
      <c r="CN1589" s="2237"/>
      <c r="CO1589" s="2237"/>
      <c r="CP1589" s="2237"/>
      <c r="CQ1589" s="2237"/>
      <c r="CR1589" s="2237"/>
      <c r="CS1589" s="2237"/>
      <c r="CT1589" s="2237"/>
      <c r="CU1589" s="2237"/>
      <c r="CV1589" s="2237"/>
      <c r="CW1589" s="2237"/>
      <c r="CX1589" s="2237"/>
      <c r="CY1589" s="2237"/>
      <c r="CZ1589" s="2237"/>
      <c r="DA1589" s="2237"/>
      <c r="DB1589" s="2237"/>
      <c r="DC1589" s="2237"/>
      <c r="DD1589" s="2237"/>
      <c r="DE1589" s="2237"/>
      <c r="DF1589" s="3393" t="str">
        <f t="shared" si="238"/>
        <v>ASHP-SEER16-Replace_CAC_ElectricHeat_ROF_MF</v>
      </c>
      <c r="DG1589" s="3261"/>
      <c r="DH1589" s="3402" t="str">
        <f t="shared" si="229"/>
        <v>Heating Res 18 Year EUL</v>
      </c>
      <c r="DI1589" s="3260">
        <f>(INDEX('Avoided Cost Benefits'!$B$4:$B$866,MATCH(DH1589,'Avoided Cost Benefits'!$A$4:$A$866,0)))*F1589</f>
        <v>4425.958461174595</v>
      </c>
      <c r="DJ1589" s="2507">
        <f>K1589/(1.0686^(2025-2025))</f>
        <v>0</v>
      </c>
      <c r="DM1589" s="252"/>
    </row>
    <row r="1590" spans="1:117">
      <c r="A1590" s="453"/>
      <c r="B1590" s="1454">
        <f t="shared" si="235"/>
        <v>352951</v>
      </c>
      <c r="C1590" s="2554" t="s">
        <v>2239</v>
      </c>
      <c r="D1590" s="3383" t="s">
        <v>1118</v>
      </c>
      <c r="E1590" s="2521" t="s">
        <v>2240</v>
      </c>
      <c r="F1590" s="3396">
        <f>ROUND((($K$2727*$K$2920*(1/$K$3113-1/$K$3306)*$K$3499)/1000)*$K$3651,2)</f>
        <v>206.93</v>
      </c>
      <c r="G1590" s="3384" t="str">
        <f>G1588</f>
        <v>Cooling Res</v>
      </c>
      <c r="H1590" s="2213">
        <f>VLOOKUP(G1590,'CP FACTORS'!$A$3:$B$38, 2, FALSE)</f>
        <v>9.4741810000000004E-4</v>
      </c>
      <c r="I1590" s="3394">
        <f t="shared" si="225"/>
        <v>0.196049</v>
      </c>
      <c r="J1590" s="2449">
        <f t="shared" si="233"/>
        <v>18</v>
      </c>
      <c r="K1590" s="2467">
        <f t="shared" si="236"/>
        <v>3277</v>
      </c>
      <c r="L1590" s="2649">
        <f>L1955</f>
        <v>2.2333333333333334</v>
      </c>
      <c r="M1590" s="3386"/>
      <c r="N1590" s="3387"/>
      <c r="O1590" s="2702"/>
      <c r="P1590" s="635"/>
      <c r="Q1590" s="635"/>
      <c r="R1590" s="2966"/>
      <c r="S1590" s="635"/>
      <c r="T1590" s="635"/>
      <c r="U1590" s="3388"/>
      <c r="V1590" s="2962" t="s">
        <v>45</v>
      </c>
      <c r="W1590" s="3389"/>
      <c r="X1590" s="3390"/>
      <c r="Y1590" s="3369">
        <v>227.52</v>
      </c>
      <c r="Z1590" s="3373">
        <v>227.52</v>
      </c>
      <c r="AA1590" s="3373">
        <v>227.52</v>
      </c>
      <c r="AB1590" s="3391">
        <v>178.45</v>
      </c>
      <c r="AC1590" s="3401">
        <v>178.45</v>
      </c>
      <c r="AD1590" s="3369">
        <v>246.12</v>
      </c>
      <c r="AE1590" s="3396">
        <v>152.36000000000001</v>
      </c>
      <c r="AF1590" s="2236">
        <f t="shared" si="237"/>
        <v>206.93</v>
      </c>
      <c r="AG1590" s="3389"/>
      <c r="AH1590" s="2728"/>
      <c r="AI1590" s="2237"/>
      <c r="AJ1590" s="2237"/>
      <c r="AK1590" s="3392"/>
      <c r="AL1590" s="2237"/>
      <c r="AM1590" s="2237"/>
      <c r="AN1590" s="2237"/>
      <c r="AO1590" s="2237"/>
      <c r="AP1590" s="2237"/>
      <c r="AQ1590" s="2237"/>
      <c r="AR1590" s="2237"/>
      <c r="AS1590" s="2237"/>
      <c r="AT1590" s="2237"/>
      <c r="AU1590" s="2237"/>
      <c r="AV1590" s="2237"/>
      <c r="AW1590" s="2237"/>
      <c r="AX1590" s="2237"/>
      <c r="AY1590" s="2237"/>
      <c r="AZ1590" s="2237"/>
      <c r="BA1590" s="2237"/>
      <c r="BB1590" s="2237"/>
      <c r="BC1590" s="2237"/>
      <c r="BD1590" s="2237"/>
      <c r="BE1590" s="2237"/>
      <c r="BF1590" s="2237"/>
      <c r="BG1590" s="2237"/>
      <c r="BH1590" s="2237"/>
      <c r="BI1590" s="2237"/>
      <c r="BJ1590" s="2237"/>
      <c r="BK1590" s="2237"/>
      <c r="BL1590" s="2237"/>
      <c r="BM1590" s="2237"/>
      <c r="BN1590" s="2237"/>
      <c r="BO1590" s="2237"/>
      <c r="BP1590" s="2237"/>
      <c r="BQ1590" s="2237"/>
      <c r="BR1590" s="2237"/>
      <c r="BS1590" s="2237"/>
      <c r="BT1590" s="2237"/>
      <c r="BU1590" s="2237"/>
      <c r="BV1590" s="2237"/>
      <c r="BW1590" s="2237"/>
      <c r="BX1590" s="2237"/>
      <c r="BY1590" s="2237"/>
      <c r="BZ1590" s="2237"/>
      <c r="CA1590" s="2237"/>
      <c r="CB1590" s="2237"/>
      <c r="CC1590" s="2237"/>
      <c r="CD1590" s="2237"/>
      <c r="CE1590" s="2237"/>
      <c r="CF1590" s="2237"/>
      <c r="CG1590" s="2237"/>
      <c r="CH1590" s="2237"/>
      <c r="CI1590" s="2237"/>
      <c r="CJ1590" s="2237"/>
      <c r="CK1590" s="2237"/>
      <c r="CL1590" s="2237"/>
      <c r="CM1590" s="2237"/>
      <c r="CN1590" s="2237"/>
      <c r="CO1590" s="2237"/>
      <c r="CP1590" s="2237"/>
      <c r="CQ1590" s="2237"/>
      <c r="CR1590" s="2237"/>
      <c r="CS1590" s="2237"/>
      <c r="CT1590" s="2237"/>
      <c r="CU1590" s="2237"/>
      <c r="CV1590" s="2237"/>
      <c r="CW1590" s="2237"/>
      <c r="CX1590" s="2237"/>
      <c r="CY1590" s="2237"/>
      <c r="CZ1590" s="2237"/>
      <c r="DA1590" s="2237"/>
      <c r="DB1590" s="2237"/>
      <c r="DC1590" s="2237"/>
      <c r="DD1590" s="2237"/>
      <c r="DE1590" s="2237"/>
      <c r="DF1590" s="3393" t="str">
        <f t="shared" si="238"/>
        <v>ASHP-SEER16-Replace_CAC_ElectricHeat_ROF_MF_CompE</v>
      </c>
      <c r="DG1590" s="3259">
        <f>(DI1590+DI1591)/(DJ1590+DJ1591)</f>
        <v>0.60502576300981592</v>
      </c>
      <c r="DH1590" s="3398" t="str">
        <f t="shared" si="229"/>
        <v>Cooling Res 18 Year EUL</v>
      </c>
      <c r="DI1590" s="3260">
        <f>(INDEX('Avoided Cost Benefits'!$B$4:$B$866,MATCH(DH1590,'Avoided Cost Benefits'!$A$4:$A$866,0)))*F1590</f>
        <v>473.82187840266891</v>
      </c>
      <c r="DJ1590" s="2507">
        <f>IFERROR(K1590/(1.0686^(2025-2025)),10000000)</f>
        <v>3277</v>
      </c>
      <c r="DM1590" s="252"/>
    </row>
    <row r="1591" spans="1:117">
      <c r="A1591" s="453"/>
      <c r="B1591" s="1454">
        <f t="shared" si="235"/>
        <v>352951</v>
      </c>
      <c r="C1591" s="2554" t="str">
        <f>C1590</f>
        <v>352951_2024_12_</v>
      </c>
      <c r="D1591" s="3383" t="s">
        <v>1118</v>
      </c>
      <c r="E1591" s="2522" t="s">
        <v>2240</v>
      </c>
      <c r="F1591" s="3395">
        <f>ROUND((($K$1955*$K$2148*(1/$K$2341-1/$K$2534)*$K$3499)/1000)*$K$3651,2)</f>
        <v>2489.54</v>
      </c>
      <c r="G1591" s="3384" t="str">
        <f>G1589</f>
        <v>Heating Res</v>
      </c>
      <c r="H1591" s="2213">
        <f>VLOOKUP(G1591,'CP FACTORS'!$A$3:$B$38, 2, FALSE)</f>
        <v>0</v>
      </c>
      <c r="I1591" s="3385">
        <f t="shared" si="225"/>
        <v>0</v>
      </c>
      <c r="J1591" s="2449">
        <f t="shared" si="233"/>
        <v>18</v>
      </c>
      <c r="K1591" s="2894">
        <f t="shared" si="236"/>
        <v>0</v>
      </c>
      <c r="L1591" s="2649"/>
      <c r="M1591" s="3386"/>
      <c r="N1591" s="3387"/>
      <c r="O1591" s="2702"/>
      <c r="P1591" s="635"/>
      <c r="Q1591" s="635"/>
      <c r="R1591" s="2966"/>
      <c r="S1591" s="635"/>
      <c r="T1591" s="635"/>
      <c r="U1591" s="3388"/>
      <c r="V1591" s="2962" t="s">
        <v>45</v>
      </c>
      <c r="W1591" s="3389"/>
      <c r="X1591" s="3390"/>
      <c r="Y1591" s="3369">
        <v>2420.69</v>
      </c>
      <c r="Z1591" s="3373">
        <v>2420.69</v>
      </c>
      <c r="AA1591" s="3373">
        <v>2420.69</v>
      </c>
      <c r="AB1591" s="3391">
        <v>1468.36</v>
      </c>
      <c r="AC1591" s="3401">
        <v>1468.36</v>
      </c>
      <c r="AD1591" s="3369">
        <v>2489.54</v>
      </c>
      <c r="AE1591" s="3389">
        <v>2489.54</v>
      </c>
      <c r="AF1591" s="2236">
        <f t="shared" si="237"/>
        <v>2489.54</v>
      </c>
      <c r="AG1591" s="3389"/>
      <c r="AH1591" s="2728"/>
      <c r="AI1591" s="2237"/>
      <c r="AJ1591" s="2237"/>
      <c r="AK1591" s="3392"/>
      <c r="AL1591" s="2237"/>
      <c r="AM1591" s="2237"/>
      <c r="AN1591" s="2237"/>
      <c r="AO1591" s="2237"/>
      <c r="AP1591" s="2237"/>
      <c r="AQ1591" s="2237"/>
      <c r="AR1591" s="2237"/>
      <c r="AS1591" s="2237"/>
      <c r="AT1591" s="2237"/>
      <c r="AU1591" s="2237"/>
      <c r="AV1591" s="2237"/>
      <c r="AW1591" s="2237"/>
      <c r="AX1591" s="2237"/>
      <c r="AY1591" s="2237"/>
      <c r="AZ1591" s="2237"/>
      <c r="BA1591" s="2237"/>
      <c r="BB1591" s="2237"/>
      <c r="BC1591" s="2237"/>
      <c r="BD1591" s="2237"/>
      <c r="BE1591" s="2237"/>
      <c r="BF1591" s="2237"/>
      <c r="BG1591" s="2237"/>
      <c r="BH1591" s="2237"/>
      <c r="BI1591" s="2237"/>
      <c r="BJ1591" s="2237"/>
      <c r="BK1591" s="2237"/>
      <c r="BL1591" s="2237"/>
      <c r="BM1591" s="2237"/>
      <c r="BN1591" s="2237"/>
      <c r="BO1591" s="2237"/>
      <c r="BP1591" s="2237"/>
      <c r="BQ1591" s="2237"/>
      <c r="BR1591" s="2237"/>
      <c r="BS1591" s="2237"/>
      <c r="BT1591" s="2237"/>
      <c r="BU1591" s="2237"/>
      <c r="BV1591" s="2237"/>
      <c r="BW1591" s="2237"/>
      <c r="BX1591" s="2237"/>
      <c r="BY1591" s="2237"/>
      <c r="BZ1591" s="2237"/>
      <c r="CA1591" s="2237"/>
      <c r="CB1591" s="2237"/>
      <c r="CC1591" s="2237"/>
      <c r="CD1591" s="2237"/>
      <c r="CE1591" s="2237"/>
      <c r="CF1591" s="2237"/>
      <c r="CG1591" s="2237"/>
      <c r="CH1591" s="2237"/>
      <c r="CI1591" s="2237"/>
      <c r="CJ1591" s="2237"/>
      <c r="CK1591" s="2237"/>
      <c r="CL1591" s="2237"/>
      <c r="CM1591" s="2237"/>
      <c r="CN1591" s="2237"/>
      <c r="CO1591" s="2237"/>
      <c r="CP1591" s="2237"/>
      <c r="CQ1591" s="2237"/>
      <c r="CR1591" s="2237"/>
      <c r="CS1591" s="2237"/>
      <c r="CT1591" s="2237"/>
      <c r="CU1591" s="2237"/>
      <c r="CV1591" s="2237"/>
      <c r="CW1591" s="2237"/>
      <c r="CX1591" s="2237"/>
      <c r="CY1591" s="2237"/>
      <c r="CZ1591" s="2237"/>
      <c r="DA1591" s="2237"/>
      <c r="DB1591" s="2237"/>
      <c r="DC1591" s="2237"/>
      <c r="DD1591" s="2237"/>
      <c r="DE1591" s="2237"/>
      <c r="DF1591" s="3393" t="str">
        <f t="shared" si="238"/>
        <v>ASHP-SEER16-Replace_CAC_ElectricHeat_ROF_MF_CompE</v>
      </c>
      <c r="DG1591" s="3261"/>
      <c r="DH1591" s="3402" t="str">
        <f t="shared" si="229"/>
        <v>Heating Res 18 Year EUL</v>
      </c>
      <c r="DI1591" s="3260">
        <f>(INDEX('Avoided Cost Benefits'!$B$4:$B$866,MATCH(DH1591,'Avoided Cost Benefits'!$A$4:$A$866,0)))*F1591</f>
        <v>1508.8475469804978</v>
      </c>
      <c r="DJ1591" s="2507">
        <f>K1591/(1.0686^(2025-2025))</f>
        <v>0</v>
      </c>
      <c r="DM1591" s="252"/>
    </row>
    <row r="1592" spans="1:117">
      <c r="A1592" s="453"/>
      <c r="B1592" s="1454">
        <f t="shared" si="235"/>
        <v>352960</v>
      </c>
      <c r="C1592" s="2554" t="s">
        <v>2241</v>
      </c>
      <c r="D1592" s="3383" t="s">
        <v>1122</v>
      </c>
      <c r="E1592" s="2882" t="s">
        <v>2242</v>
      </c>
      <c r="F1592" s="3396">
        <f>ROUND(((K2728*K2921*(1/K3114-1/K3307)*K3500)/1000)*$K$3651,2)</f>
        <v>284.52999999999997</v>
      </c>
      <c r="G1592" s="3384" t="s">
        <v>2077</v>
      </c>
      <c r="H1592" s="2213">
        <f>VLOOKUP(G1592,'CP FACTORS'!$A$3:$B$38, 2, FALSE)</f>
        <v>9.4741810000000004E-4</v>
      </c>
      <c r="I1592" s="3394">
        <f t="shared" si="225"/>
        <v>0.269569</v>
      </c>
      <c r="J1592" s="2449">
        <f t="shared" si="233"/>
        <v>18</v>
      </c>
      <c r="K1592" s="2467">
        <f t="shared" si="236"/>
        <v>122.89198108917795</v>
      </c>
      <c r="L1592" s="2649">
        <f>L1956</f>
        <v>2.2333333333333334</v>
      </c>
      <c r="M1592" s="3386"/>
      <c r="N1592" s="3387"/>
      <c r="O1592" s="2702"/>
      <c r="P1592" s="635"/>
      <c r="Q1592" s="635"/>
      <c r="R1592" s="2966"/>
      <c r="S1592" s="635"/>
      <c r="T1592" s="635"/>
      <c r="U1592" s="3388"/>
      <c r="V1592" s="2962" t="s">
        <v>45</v>
      </c>
      <c r="W1592" s="3389"/>
      <c r="X1592" s="3390"/>
      <c r="Y1592" s="3369"/>
      <c r="Z1592" s="3373"/>
      <c r="AA1592" s="3373"/>
      <c r="AB1592" s="3391"/>
      <c r="AC1592" s="3369">
        <v>245.36</v>
      </c>
      <c r="AD1592" s="3369">
        <v>338.41</v>
      </c>
      <c r="AE1592" s="3396">
        <v>209.49</v>
      </c>
      <c r="AF1592" s="2236">
        <f t="shared" si="237"/>
        <v>284.52999999999997</v>
      </c>
      <c r="AG1592" s="3389"/>
      <c r="AH1592" s="2728"/>
      <c r="AI1592" s="2237"/>
      <c r="AJ1592" s="2237"/>
      <c r="AK1592" s="3392"/>
      <c r="AL1592" s="2237"/>
      <c r="AM1592" s="2237"/>
      <c r="AN1592" s="2237"/>
      <c r="AO1592" s="2237"/>
      <c r="AP1592" s="2237"/>
      <c r="AQ1592" s="2237"/>
      <c r="AR1592" s="2237"/>
      <c r="AS1592" s="2237"/>
      <c r="AT1592" s="2237"/>
      <c r="AU1592" s="2237"/>
      <c r="AV1592" s="2237"/>
      <c r="AW1592" s="2237"/>
      <c r="AX1592" s="2237"/>
      <c r="AY1592" s="2237"/>
      <c r="AZ1592" s="2237"/>
      <c r="BA1592" s="2237"/>
      <c r="BB1592" s="2237"/>
      <c r="BC1592" s="2237"/>
      <c r="BD1592" s="2237"/>
      <c r="BE1592" s="2237"/>
      <c r="BF1592" s="2237"/>
      <c r="BG1592" s="2237"/>
      <c r="BH1592" s="2237"/>
      <c r="BI1592" s="2237"/>
      <c r="BJ1592" s="2237"/>
      <c r="BK1592" s="2237"/>
      <c r="BL1592" s="2237"/>
      <c r="BM1592" s="2237"/>
      <c r="BN1592" s="2237"/>
      <c r="BO1592" s="2237"/>
      <c r="BP1592" s="2237"/>
      <c r="BQ1592" s="2237"/>
      <c r="BR1592" s="2237"/>
      <c r="BS1592" s="2237"/>
      <c r="BT1592" s="2237"/>
      <c r="BU1592" s="2237"/>
      <c r="BV1592" s="2237"/>
      <c r="BW1592" s="2237"/>
      <c r="BX1592" s="2237"/>
      <c r="BY1592" s="2237"/>
      <c r="BZ1592" s="2237"/>
      <c r="CA1592" s="2237"/>
      <c r="CB1592" s="2237"/>
      <c r="CC1592" s="2237"/>
      <c r="CD1592" s="2237"/>
      <c r="CE1592" s="2237"/>
      <c r="CF1592" s="2237"/>
      <c r="CG1592" s="2237"/>
      <c r="CH1592" s="2237"/>
      <c r="CI1592" s="2237"/>
      <c r="CJ1592" s="2237"/>
      <c r="CK1592" s="2237"/>
      <c r="CL1592" s="2237"/>
      <c r="CM1592" s="2237"/>
      <c r="CN1592" s="2237"/>
      <c r="CO1592" s="2237"/>
      <c r="CP1592" s="2237"/>
      <c r="CQ1592" s="2237"/>
      <c r="CR1592" s="2237"/>
      <c r="CS1592" s="2237"/>
      <c r="CT1592" s="2237"/>
      <c r="CU1592" s="2237"/>
      <c r="CV1592" s="2237"/>
      <c r="CW1592" s="2237"/>
      <c r="CX1592" s="2237"/>
      <c r="CY1592" s="2237"/>
      <c r="CZ1592" s="2237"/>
      <c r="DA1592" s="2237"/>
      <c r="DB1592" s="2237"/>
      <c r="DC1592" s="2237"/>
      <c r="DD1592" s="2237"/>
      <c r="DE1592" s="2237"/>
      <c r="DF1592" s="3393" t="str">
        <f t="shared" si="238"/>
        <v>ASHP-SEER16-Replace_CAC_NonElectricHeat_ROF_MF</v>
      </c>
      <c r="DG1592" s="3259">
        <f>(DI1592+DI1593)/(DJ1592+DJ1593)</f>
        <v>5.3014683239748583</v>
      </c>
      <c r="DH1592" s="3403" t="str">
        <f t="shared" si="229"/>
        <v>Cooling Res 18 Year EUL</v>
      </c>
      <c r="DI1592" s="3260">
        <f>(INDEX('Avoided Cost Benefits'!$B$4:$B$866,MATCH(DH1592,'Avoided Cost Benefits'!$A$4:$A$866,0)))*F1592</f>
        <v>651.50794501479425</v>
      </c>
      <c r="DJ1592" s="2507">
        <f>IFERROR(K1592/(1.0686^(2025-2025)),10000000)</f>
        <v>122.89198108917795</v>
      </c>
      <c r="DM1592" s="252"/>
    </row>
    <row r="1593" spans="1:117">
      <c r="A1593" s="453"/>
      <c r="B1593" s="1454">
        <f t="shared" si="235"/>
        <v>352960</v>
      </c>
      <c r="C1593" s="2554" t="s">
        <v>2241</v>
      </c>
      <c r="D1593" s="3383" t="s">
        <v>1122</v>
      </c>
      <c r="E1593" s="2522" t="s">
        <v>2242</v>
      </c>
      <c r="F1593" s="3395">
        <v>0</v>
      </c>
      <c r="G1593" s="3384" t="s">
        <v>2078</v>
      </c>
      <c r="H1593" s="2213">
        <f>VLOOKUP(G1593,'CP FACTORS'!$A$3:$B$38, 2, FALSE)</f>
        <v>0</v>
      </c>
      <c r="I1593" s="3385">
        <f t="shared" si="225"/>
        <v>0</v>
      </c>
      <c r="J1593" s="2449">
        <f t="shared" si="233"/>
        <v>18</v>
      </c>
      <c r="K1593" s="2894">
        <f t="shared" si="236"/>
        <v>0</v>
      </c>
      <c r="L1593" s="2649"/>
      <c r="M1593" s="3386"/>
      <c r="N1593" s="3387"/>
      <c r="O1593" s="2702"/>
      <c r="P1593" s="635"/>
      <c r="Q1593" s="635"/>
      <c r="R1593" s="2966"/>
      <c r="S1593" s="635"/>
      <c r="T1593" s="635"/>
      <c r="U1593" s="3388"/>
      <c r="V1593" s="2962" t="s">
        <v>45</v>
      </c>
      <c r="W1593" s="3389"/>
      <c r="X1593" s="3390"/>
      <c r="Y1593" s="3369"/>
      <c r="Z1593" s="3373"/>
      <c r="AA1593" s="3373"/>
      <c r="AB1593" s="3391"/>
      <c r="AC1593" s="3369">
        <v>0</v>
      </c>
      <c r="AD1593" s="3373">
        <v>0</v>
      </c>
      <c r="AE1593" s="3389">
        <v>0</v>
      </c>
      <c r="AF1593" s="2236">
        <f t="shared" si="237"/>
        <v>0</v>
      </c>
      <c r="AG1593" s="3389"/>
      <c r="AH1593" s="2728"/>
      <c r="AI1593" s="2237"/>
      <c r="AJ1593" s="2237"/>
      <c r="AK1593" s="3392"/>
      <c r="AL1593" s="2237"/>
      <c r="AM1593" s="2237"/>
      <c r="AN1593" s="2237"/>
      <c r="AO1593" s="2237"/>
      <c r="AP1593" s="2237"/>
      <c r="AQ1593" s="2237"/>
      <c r="AR1593" s="2237"/>
      <c r="AS1593" s="2237"/>
      <c r="AT1593" s="2237"/>
      <c r="AU1593" s="2237"/>
      <c r="AV1593" s="2237"/>
      <c r="AW1593" s="2237"/>
      <c r="AX1593" s="2237"/>
      <c r="AY1593" s="2237"/>
      <c r="AZ1593" s="2237"/>
      <c r="BA1593" s="2237"/>
      <c r="BB1593" s="2237"/>
      <c r="BC1593" s="2237"/>
      <c r="BD1593" s="2237"/>
      <c r="BE1593" s="2237"/>
      <c r="BF1593" s="2237"/>
      <c r="BG1593" s="2237"/>
      <c r="BH1593" s="2237"/>
      <c r="BI1593" s="2237"/>
      <c r="BJ1593" s="2237"/>
      <c r="BK1593" s="2237"/>
      <c r="BL1593" s="2237"/>
      <c r="BM1593" s="2237"/>
      <c r="BN1593" s="2237"/>
      <c r="BO1593" s="2237"/>
      <c r="BP1593" s="2237"/>
      <c r="BQ1593" s="2237"/>
      <c r="BR1593" s="2237"/>
      <c r="BS1593" s="2237"/>
      <c r="BT1593" s="2237"/>
      <c r="BU1593" s="2237"/>
      <c r="BV1593" s="2237"/>
      <c r="BW1593" s="2237"/>
      <c r="BX1593" s="2237"/>
      <c r="BY1593" s="2237"/>
      <c r="BZ1593" s="2237"/>
      <c r="CA1593" s="2237"/>
      <c r="CB1593" s="2237"/>
      <c r="CC1593" s="2237"/>
      <c r="CD1593" s="2237"/>
      <c r="CE1593" s="2237"/>
      <c r="CF1593" s="2237"/>
      <c r="CG1593" s="2237"/>
      <c r="CH1593" s="2237"/>
      <c r="CI1593" s="2237"/>
      <c r="CJ1593" s="2237"/>
      <c r="CK1593" s="2237"/>
      <c r="CL1593" s="2237"/>
      <c r="CM1593" s="2237"/>
      <c r="CN1593" s="2237"/>
      <c r="CO1593" s="2237"/>
      <c r="CP1593" s="2237"/>
      <c r="CQ1593" s="2237"/>
      <c r="CR1593" s="2237"/>
      <c r="CS1593" s="2237"/>
      <c r="CT1593" s="2237"/>
      <c r="CU1593" s="2237"/>
      <c r="CV1593" s="2237"/>
      <c r="CW1593" s="2237"/>
      <c r="CX1593" s="2237"/>
      <c r="CY1593" s="2237"/>
      <c r="CZ1593" s="2237"/>
      <c r="DA1593" s="2237"/>
      <c r="DB1593" s="2237"/>
      <c r="DC1593" s="2237"/>
      <c r="DD1593" s="2237"/>
      <c r="DE1593" s="2237"/>
      <c r="DF1593" s="3393" t="str">
        <f t="shared" si="238"/>
        <v>ASHP-SEER16-Replace_CAC_NonElectricHeat_ROF_MF</v>
      </c>
      <c r="DG1593" s="3261"/>
      <c r="DH1593" s="3402" t="str">
        <f t="shared" si="229"/>
        <v>Heating Res 18 Year EUL</v>
      </c>
      <c r="DI1593" s="3260">
        <f>(INDEX('Avoided Cost Benefits'!$B$4:$B$866,MATCH(DH1593,'Avoided Cost Benefits'!$A$4:$A$866,0)))*F1593</f>
        <v>0</v>
      </c>
      <c r="DJ1593" s="2507">
        <f>K1593/(1.0686^(2025-2025))</f>
        <v>0</v>
      </c>
      <c r="DM1593" s="252"/>
    </row>
    <row r="1594" spans="1:117">
      <c r="A1594" s="453"/>
      <c r="B1594" s="1454">
        <f t="shared" si="235"/>
        <v>352961</v>
      </c>
      <c r="C1594" s="2554" t="s">
        <v>2243</v>
      </c>
      <c r="D1594" s="3383" t="s">
        <v>1118</v>
      </c>
      <c r="E1594" s="2882" t="s">
        <v>2244</v>
      </c>
      <c r="F1594" s="3396">
        <f>ROUND(((K2729*K2922*(1/K3115-1/K3308)*K3501)/1000)*$K$3651,2)</f>
        <v>206.93</v>
      </c>
      <c r="G1594" s="3384" t="s">
        <v>2077</v>
      </c>
      <c r="H1594" s="2213">
        <f>VLOOKUP(G1594,'CP FACTORS'!$A$3:$B$38, 2, FALSE)</f>
        <v>9.4741810000000004E-4</v>
      </c>
      <c r="I1594" s="3394">
        <f t="shared" si="225"/>
        <v>0.196049</v>
      </c>
      <c r="J1594" s="2449">
        <f t="shared" si="233"/>
        <v>18</v>
      </c>
      <c r="K1594" s="2467">
        <f t="shared" si="236"/>
        <v>251.48049486921795</v>
      </c>
      <c r="L1594" s="2649">
        <f>L1957</f>
        <v>2.2333333333333334</v>
      </c>
      <c r="M1594" s="3386"/>
      <c r="N1594" s="3387"/>
      <c r="O1594" s="2702"/>
      <c r="P1594" s="635"/>
      <c r="Q1594" s="635"/>
      <c r="R1594" s="2966"/>
      <c r="S1594" s="635"/>
      <c r="T1594" s="635"/>
      <c r="U1594" s="3388"/>
      <c r="V1594" s="2962" t="s">
        <v>45</v>
      </c>
      <c r="W1594" s="3389"/>
      <c r="X1594" s="3390"/>
      <c r="Y1594" s="3369"/>
      <c r="Z1594" s="3373"/>
      <c r="AA1594" s="3373"/>
      <c r="AB1594" s="3391"/>
      <c r="AC1594" s="3369">
        <v>178.45</v>
      </c>
      <c r="AD1594" s="3369">
        <v>246.12</v>
      </c>
      <c r="AE1594" s="3396">
        <v>152.36000000000001</v>
      </c>
      <c r="AF1594" s="2236">
        <f t="shared" si="237"/>
        <v>206.93</v>
      </c>
      <c r="AG1594" s="3389"/>
      <c r="AH1594" s="2728"/>
      <c r="AI1594" s="2237"/>
      <c r="AJ1594" s="2237"/>
      <c r="AK1594" s="3392"/>
      <c r="AL1594" s="2237"/>
      <c r="AM1594" s="2237"/>
      <c r="AN1594" s="2237"/>
      <c r="AO1594" s="2237"/>
      <c r="AP1594" s="2237"/>
      <c r="AQ1594" s="2237"/>
      <c r="AR1594" s="2237"/>
      <c r="AS1594" s="2237"/>
      <c r="AT1594" s="2237"/>
      <c r="AU1594" s="2237"/>
      <c r="AV1594" s="2237"/>
      <c r="AW1594" s="2237"/>
      <c r="AX1594" s="2237"/>
      <c r="AY1594" s="2237"/>
      <c r="AZ1594" s="2237"/>
      <c r="BA1594" s="2237"/>
      <c r="BB1594" s="2237"/>
      <c r="BC1594" s="2237"/>
      <c r="BD1594" s="2237"/>
      <c r="BE1594" s="2237"/>
      <c r="BF1594" s="2237"/>
      <c r="BG1594" s="2237"/>
      <c r="BH1594" s="2237"/>
      <c r="BI1594" s="2237"/>
      <c r="BJ1594" s="2237"/>
      <c r="BK1594" s="2237"/>
      <c r="BL1594" s="2237"/>
      <c r="BM1594" s="2237"/>
      <c r="BN1594" s="2237"/>
      <c r="BO1594" s="2237"/>
      <c r="BP1594" s="2237"/>
      <c r="BQ1594" s="2237"/>
      <c r="BR1594" s="2237"/>
      <c r="BS1594" s="2237"/>
      <c r="BT1594" s="2237"/>
      <c r="BU1594" s="2237"/>
      <c r="BV1594" s="2237"/>
      <c r="BW1594" s="2237"/>
      <c r="BX1594" s="2237"/>
      <c r="BY1594" s="2237"/>
      <c r="BZ1594" s="2237"/>
      <c r="CA1594" s="2237"/>
      <c r="CB1594" s="2237"/>
      <c r="CC1594" s="2237"/>
      <c r="CD1594" s="2237"/>
      <c r="CE1594" s="2237"/>
      <c r="CF1594" s="2237"/>
      <c r="CG1594" s="2237"/>
      <c r="CH1594" s="2237"/>
      <c r="CI1594" s="2237"/>
      <c r="CJ1594" s="2237"/>
      <c r="CK1594" s="2237"/>
      <c r="CL1594" s="2237"/>
      <c r="CM1594" s="2237"/>
      <c r="CN1594" s="2237"/>
      <c r="CO1594" s="2237"/>
      <c r="CP1594" s="2237"/>
      <c r="CQ1594" s="2237"/>
      <c r="CR1594" s="2237"/>
      <c r="CS1594" s="2237"/>
      <c r="CT1594" s="2237"/>
      <c r="CU1594" s="2237"/>
      <c r="CV1594" s="2237"/>
      <c r="CW1594" s="2237"/>
      <c r="CX1594" s="2237"/>
      <c r="CY1594" s="2237"/>
      <c r="CZ1594" s="2237"/>
      <c r="DA1594" s="2237"/>
      <c r="DB1594" s="2237"/>
      <c r="DC1594" s="2237"/>
      <c r="DD1594" s="2237"/>
      <c r="DE1594" s="2237"/>
      <c r="DF1594" s="3393" t="str">
        <f t="shared" si="238"/>
        <v>ASHP-SEER16-Replace_CAC_NonElectricHeat_ROF_MF_CompE</v>
      </c>
      <c r="DG1594" s="3259">
        <f>(DI1594+DI1595)/(DJ1594+DJ1595)</f>
        <v>1.8841297359824238</v>
      </c>
      <c r="DH1594" s="3403" t="str">
        <f t="shared" si="229"/>
        <v>Cooling Res 18 Year EUL</v>
      </c>
      <c r="DI1594" s="3260">
        <f>(INDEX('Avoided Cost Benefits'!$B$4:$B$866,MATCH(DH1594,'Avoided Cost Benefits'!$A$4:$A$866,0)))*F1594</f>
        <v>473.82187840266891</v>
      </c>
      <c r="DJ1594" s="2507">
        <f>IFERROR(K1594/(1.0686^(2025-2025)),10000000)</f>
        <v>251.48049486921795</v>
      </c>
      <c r="DM1594" s="252"/>
    </row>
    <row r="1595" spans="1:117">
      <c r="A1595" s="453"/>
      <c r="B1595" s="1454">
        <f t="shared" si="235"/>
        <v>352961</v>
      </c>
      <c r="C1595" s="2554" t="s">
        <v>2243</v>
      </c>
      <c r="D1595" s="3383" t="s">
        <v>1118</v>
      </c>
      <c r="E1595" s="2882" t="s">
        <v>2244</v>
      </c>
      <c r="F1595" s="3395">
        <f>0</f>
        <v>0</v>
      </c>
      <c r="G1595" s="3384" t="s">
        <v>2078</v>
      </c>
      <c r="H1595" s="2213">
        <f>VLOOKUP(G1595,'CP FACTORS'!$A$3:$B$38, 2, FALSE)</f>
        <v>0</v>
      </c>
      <c r="I1595" s="3385">
        <f t="shared" si="225"/>
        <v>0</v>
      </c>
      <c r="J1595" s="2449">
        <f t="shared" si="233"/>
        <v>18</v>
      </c>
      <c r="K1595" s="2894">
        <f t="shared" si="236"/>
        <v>0</v>
      </c>
      <c r="L1595" s="2649"/>
      <c r="M1595" s="3386"/>
      <c r="N1595" s="3387"/>
      <c r="O1595" s="2702"/>
      <c r="P1595" s="635"/>
      <c r="Q1595" s="635"/>
      <c r="R1595" s="2966"/>
      <c r="S1595" s="635"/>
      <c r="T1595" s="635"/>
      <c r="U1595" s="3388"/>
      <c r="V1595" s="2962" t="s">
        <v>45</v>
      </c>
      <c r="W1595" s="3389"/>
      <c r="X1595" s="3390"/>
      <c r="Y1595" s="3369"/>
      <c r="Z1595" s="3373"/>
      <c r="AA1595" s="3373"/>
      <c r="AB1595" s="3391"/>
      <c r="AC1595" s="3369">
        <v>0</v>
      </c>
      <c r="AD1595" s="3373">
        <v>0</v>
      </c>
      <c r="AE1595" s="3389">
        <v>0</v>
      </c>
      <c r="AF1595" s="2236">
        <f t="shared" si="237"/>
        <v>0</v>
      </c>
      <c r="AG1595" s="3389"/>
      <c r="AH1595" s="2728"/>
      <c r="AI1595" s="2237"/>
      <c r="AJ1595" s="2237"/>
      <c r="AK1595" s="3392"/>
      <c r="AL1595" s="2237"/>
      <c r="AM1595" s="2237"/>
      <c r="AN1595" s="2237"/>
      <c r="AO1595" s="2237"/>
      <c r="AP1595" s="2237"/>
      <c r="AQ1595" s="2237"/>
      <c r="AR1595" s="2237"/>
      <c r="AS1595" s="2237"/>
      <c r="AT1595" s="2237"/>
      <c r="AU1595" s="2237"/>
      <c r="AV1595" s="2237"/>
      <c r="AW1595" s="2237"/>
      <c r="AX1595" s="2237"/>
      <c r="AY1595" s="2237"/>
      <c r="AZ1595" s="2237"/>
      <c r="BA1595" s="2237"/>
      <c r="BB1595" s="2237"/>
      <c r="BC1595" s="2237"/>
      <c r="BD1595" s="2237"/>
      <c r="BE1595" s="2237"/>
      <c r="BF1595" s="2237"/>
      <c r="BG1595" s="2237"/>
      <c r="BH1595" s="2237"/>
      <c r="BI1595" s="2237"/>
      <c r="BJ1595" s="2237"/>
      <c r="BK1595" s="2237"/>
      <c r="BL1595" s="2237"/>
      <c r="BM1595" s="2237"/>
      <c r="BN1595" s="2237"/>
      <c r="BO1595" s="2237"/>
      <c r="BP1595" s="2237"/>
      <c r="BQ1595" s="2237"/>
      <c r="BR1595" s="2237"/>
      <c r="BS1595" s="2237"/>
      <c r="BT1595" s="2237"/>
      <c r="BU1595" s="2237"/>
      <c r="BV1595" s="2237"/>
      <c r="BW1595" s="2237"/>
      <c r="BX1595" s="2237"/>
      <c r="BY1595" s="2237"/>
      <c r="BZ1595" s="2237"/>
      <c r="CA1595" s="2237"/>
      <c r="CB1595" s="2237"/>
      <c r="CC1595" s="2237"/>
      <c r="CD1595" s="2237"/>
      <c r="CE1595" s="2237"/>
      <c r="CF1595" s="2237"/>
      <c r="CG1595" s="2237"/>
      <c r="CH1595" s="2237"/>
      <c r="CI1595" s="2237"/>
      <c r="CJ1595" s="2237"/>
      <c r="CK1595" s="2237"/>
      <c r="CL1595" s="2237"/>
      <c r="CM1595" s="2237"/>
      <c r="CN1595" s="2237"/>
      <c r="CO1595" s="2237"/>
      <c r="CP1595" s="2237"/>
      <c r="CQ1595" s="2237"/>
      <c r="CR1595" s="2237"/>
      <c r="CS1595" s="2237"/>
      <c r="CT1595" s="2237"/>
      <c r="CU1595" s="2237"/>
      <c r="CV1595" s="2237"/>
      <c r="CW1595" s="2237"/>
      <c r="CX1595" s="2237"/>
      <c r="CY1595" s="2237"/>
      <c r="CZ1595" s="2237"/>
      <c r="DA1595" s="2237"/>
      <c r="DB1595" s="2237"/>
      <c r="DC1595" s="2237"/>
      <c r="DD1595" s="2237"/>
      <c r="DE1595" s="2237"/>
      <c r="DF1595" s="3393" t="str">
        <f t="shared" si="238"/>
        <v>ASHP-SEER16-Replace_CAC_NonElectricHeat_ROF_MF_CompE</v>
      </c>
      <c r="DG1595" s="3261"/>
      <c r="DH1595" s="3403" t="str">
        <f t="shared" si="229"/>
        <v>Heating Res 18 Year EUL</v>
      </c>
      <c r="DI1595" s="3260">
        <f>(INDEX('Avoided Cost Benefits'!$B$4:$B$866,MATCH(DH1595,'Avoided Cost Benefits'!$A$4:$A$866,0)))*F1595</f>
        <v>0</v>
      </c>
      <c r="DJ1595" s="2507">
        <f>K1595/(1.0686^(2025-2025))</f>
        <v>0</v>
      </c>
      <c r="DM1595" s="252"/>
    </row>
    <row r="1596" spans="1:117">
      <c r="A1596" s="453"/>
      <c r="B1596" s="1454">
        <f t="shared" si="235"/>
        <v>353000</v>
      </c>
      <c r="C1596" s="682" t="s">
        <v>2245</v>
      </c>
      <c r="D1596" s="3470" t="s">
        <v>959</v>
      </c>
      <c r="E1596" s="1369" t="s">
        <v>2246</v>
      </c>
      <c r="F1596" s="246">
        <f>ROUND(((K2730*K2923*(1/K3116-1/K3309)*K3502)/1000)*$K$3651,2)</f>
        <v>2088.29</v>
      </c>
      <c r="G1596" s="570" t="s">
        <v>2077</v>
      </c>
      <c r="H1596" s="69">
        <f>VLOOKUP(G1596,'CP FACTORS'!$A$3:$B$38, 2, FALSE)</f>
        <v>9.4741810000000004E-4</v>
      </c>
      <c r="I1596" s="1028">
        <f t="shared" si="225"/>
        <v>1.9784839999999999</v>
      </c>
      <c r="J1596" s="59">
        <f t="shared" si="233"/>
        <v>6</v>
      </c>
      <c r="K1596" s="166">
        <f t="shared" si="236"/>
        <v>3682.0649648885365</v>
      </c>
      <c r="L1596" s="255">
        <f>L1958</f>
        <v>2.8388888888888886</v>
      </c>
      <c r="M1596" s="560"/>
      <c r="N1596" s="572"/>
      <c r="O1596" s="417"/>
      <c r="R1596" s="532"/>
      <c r="S1596" s="52"/>
      <c r="T1596" s="52"/>
      <c r="U1596" s="574"/>
      <c r="V1596" s="1442" t="s">
        <v>45</v>
      </c>
      <c r="W1596" s="962">
        <v>1776.7855147058826</v>
      </c>
      <c r="X1596" s="251">
        <v>1209.2231497599041</v>
      </c>
      <c r="Y1596" s="225">
        <v>1209.22</v>
      </c>
      <c r="Z1596" s="225">
        <v>1209.22</v>
      </c>
      <c r="AA1596" s="225">
        <v>1209.22</v>
      </c>
      <c r="AB1596" s="1026">
        <v>1329.6</v>
      </c>
      <c r="AC1596" s="227">
        <v>1169.45</v>
      </c>
      <c r="AD1596" s="227">
        <v>2088.29</v>
      </c>
      <c r="AE1596" s="962">
        <v>2088.29</v>
      </c>
      <c r="AF1596" s="271">
        <f t="shared" si="237"/>
        <v>2088.29</v>
      </c>
      <c r="AG1596" s="962"/>
      <c r="AH1596" s="121"/>
      <c r="AK1596" s="963"/>
      <c r="DF1596" s="1650" t="str">
        <f t="shared" si="238"/>
        <v>ASHP-SEER16-Replace_CAC_ElectricHeat_ER1_MF</v>
      </c>
      <c r="DG1596" s="1090">
        <f>(DI1596+DI1597+DI1598+DI1599)/(DJ1596+DJ1597+DJ1598+DJ1599)</f>
        <v>2.2602983121092279</v>
      </c>
      <c r="DH1596" s="1369" t="str">
        <f t="shared" si="229"/>
        <v>Cooling Res 6 Year EUL</v>
      </c>
      <c r="DI1596" s="1091">
        <f>(INDEX('Avoided Cost Benefits'!$B$4:$B$866,MATCH(DH1596,'Avoided Cost Benefits'!$A$4:$A$866,0)))*F1596</f>
        <v>2079.619623160926</v>
      </c>
      <c r="DJ1596" s="1176">
        <f>IFERROR(K1596/(1.0686^(2025-2025)),10000000)</f>
        <v>3682.0649648885365</v>
      </c>
      <c r="DM1596" s="252"/>
    </row>
    <row r="1597" spans="1:117">
      <c r="A1597" s="453"/>
      <c r="B1597" s="1454">
        <f t="shared" si="235"/>
        <v>353000</v>
      </c>
      <c r="C1597" s="682" t="s">
        <v>2245</v>
      </c>
      <c r="D1597" s="3470" t="s">
        <v>959</v>
      </c>
      <c r="E1597" s="1393" t="s">
        <v>2246</v>
      </c>
      <c r="F1597" s="246">
        <f>ROUND(((K1958*K2151*(1/K2344-1/K2537)*K3502)/1000)*$K$3651,2)</f>
        <v>9445.69</v>
      </c>
      <c r="G1597" s="570" t="s">
        <v>2078</v>
      </c>
      <c r="H1597" s="69">
        <f>VLOOKUP(G1597,'CP FACTORS'!$A$3:$B$38, 2, FALSE)</f>
        <v>0</v>
      </c>
      <c r="I1597" s="1028">
        <f t="shared" si="225"/>
        <v>0</v>
      </c>
      <c r="J1597" s="59">
        <f t="shared" si="233"/>
        <v>6</v>
      </c>
      <c r="K1597" s="163">
        <f t="shared" si="236"/>
        <v>0</v>
      </c>
      <c r="L1597" s="255"/>
      <c r="M1597" s="560"/>
      <c r="N1597" s="572"/>
      <c r="O1597" s="417"/>
      <c r="R1597" s="532"/>
      <c r="S1597" s="52"/>
      <c r="T1597" s="52"/>
      <c r="U1597" s="574"/>
      <c r="V1597" s="1442" t="s">
        <v>45</v>
      </c>
      <c r="W1597" s="962">
        <v>9077.8044487427451</v>
      </c>
      <c r="X1597" s="251">
        <v>6759.7787234042544</v>
      </c>
      <c r="Y1597" s="225">
        <v>6759.78</v>
      </c>
      <c r="Z1597" s="225">
        <v>6759.78</v>
      </c>
      <c r="AA1597" s="225">
        <v>6759.78</v>
      </c>
      <c r="AB1597" s="1026">
        <v>6102.76</v>
      </c>
      <c r="AC1597" s="227">
        <v>4250.8</v>
      </c>
      <c r="AD1597" s="227">
        <v>9445.69</v>
      </c>
      <c r="AE1597" s="962">
        <v>9445.69</v>
      </c>
      <c r="AF1597" s="271">
        <f t="shared" si="237"/>
        <v>9445.69</v>
      </c>
      <c r="AG1597" s="962"/>
      <c r="AH1597" s="121"/>
      <c r="AK1597" s="963"/>
      <c r="DF1597" s="1650" t="str">
        <f t="shared" si="238"/>
        <v>ASHP-SEER16-Replace_CAC_ElectricHeat_ER1_MF</v>
      </c>
      <c r="DG1597" s="1094"/>
      <c r="DH1597" s="1393" t="str">
        <f t="shared" si="229"/>
        <v>Heating Res 6 Year EUL</v>
      </c>
      <c r="DI1597" s="1091">
        <f>(INDEX('Avoided Cost Benefits'!$B$4:$B$866,MATCH(DH1597,'Avoided Cost Benefits'!$A$4:$A$866,0)))*F1597</f>
        <v>2533.1339098562839</v>
      </c>
      <c r="DJ1597" s="1176">
        <f>K1597/(1.0686^(2025-2025))</f>
        <v>0</v>
      </c>
      <c r="DM1597" s="252"/>
    </row>
    <row r="1598" spans="1:117">
      <c r="A1598" s="453"/>
      <c r="B1598" s="1454">
        <f t="shared" si="235"/>
        <v>353000</v>
      </c>
      <c r="C1598" s="682" t="s">
        <v>2245</v>
      </c>
      <c r="D1598" s="3470" t="s">
        <v>959</v>
      </c>
      <c r="E1598" s="1393" t="s">
        <v>2247</v>
      </c>
      <c r="F1598" s="248">
        <f>ROUND(((K2731*K2924*(1/K3117-1/K3310)*K3503)/1000)*$K$3651,2)</f>
        <v>400.45</v>
      </c>
      <c r="G1598" s="570" t="s">
        <v>2138</v>
      </c>
      <c r="H1598" s="69">
        <f>VLOOKUP(G1598,'CP FACTORS'!$A$3:$B$38, 2, FALSE)</f>
        <v>9.4741810000000004E-4</v>
      </c>
      <c r="I1598" s="1476">
        <f t="shared" si="225"/>
        <v>0.37939400000000001</v>
      </c>
      <c r="J1598" s="59">
        <f t="shared" si="233"/>
        <v>12</v>
      </c>
      <c r="K1598" s="163">
        <f t="shared" si="236"/>
        <v>0</v>
      </c>
      <c r="L1598" s="255"/>
      <c r="M1598" s="560"/>
      <c r="N1598" s="572"/>
      <c r="O1598" s="417"/>
      <c r="R1598" s="532"/>
      <c r="S1598" s="52"/>
      <c r="T1598" s="52"/>
      <c r="U1598" s="574"/>
      <c r="V1598" s="1442" t="s">
        <v>45</v>
      </c>
      <c r="W1598" s="962">
        <v>303.06375000000014</v>
      </c>
      <c r="X1598" s="254">
        <v>303.06375000000014</v>
      </c>
      <c r="Y1598" s="225">
        <v>303.06</v>
      </c>
      <c r="Z1598" s="225">
        <v>303.06</v>
      </c>
      <c r="AA1598" s="225">
        <v>303.06</v>
      </c>
      <c r="AB1598" s="1026">
        <v>364.98</v>
      </c>
      <c r="AC1598" s="227">
        <v>195.53</v>
      </c>
      <c r="AD1598" s="227">
        <v>476.28</v>
      </c>
      <c r="AE1598" s="248">
        <v>294.83999999999997</v>
      </c>
      <c r="AF1598" s="271">
        <f t="shared" si="237"/>
        <v>400.45</v>
      </c>
      <c r="AG1598" s="962"/>
      <c r="AH1598" s="121"/>
      <c r="AK1598" s="963"/>
      <c r="DF1598" s="1650" t="str">
        <f t="shared" si="238"/>
        <v>ASHP-SEER16-Replace_CAC_ElectricHeat_ER2_MF</v>
      </c>
      <c r="DG1598" s="1094"/>
      <c r="DH1598" s="1393" t="str">
        <f t="shared" si="229"/>
        <v>Cooling Res ER2 12 Year EUL</v>
      </c>
      <c r="DI1598" s="1091">
        <f>(INDEX('Avoided Cost Benefits'!$B$4:$B$866,MATCH(DH1598,'Avoided Cost Benefits'!$A$4:$A$866,0)))*F1598</f>
        <v>518.15058528772261</v>
      </c>
      <c r="DJ1598" s="1176">
        <f>K1598/(1.0686^(2025-2025))</f>
        <v>0</v>
      </c>
      <c r="DM1598" s="252"/>
    </row>
    <row r="1599" spans="1:117">
      <c r="A1599" s="453"/>
      <c r="B1599" s="1454">
        <f t="shared" si="235"/>
        <v>353000</v>
      </c>
      <c r="C1599" s="682" t="s">
        <v>2245</v>
      </c>
      <c r="D1599" s="3470" t="s">
        <v>959</v>
      </c>
      <c r="E1599" s="1370" t="s">
        <v>2247</v>
      </c>
      <c r="F1599" s="246">
        <f>ROUND(((K1959*K2152*(1/K2345-1/K2538)*K3503)/1000)*$K$3651,2)</f>
        <v>9445.69</v>
      </c>
      <c r="G1599" s="570" t="s">
        <v>2173</v>
      </c>
      <c r="H1599" s="69">
        <f>VLOOKUP(G1599,'CP FACTORS'!$A$3:$B$38, 2, FALSE)</f>
        <v>0</v>
      </c>
      <c r="I1599" s="1028">
        <f t="shared" si="225"/>
        <v>0</v>
      </c>
      <c r="J1599" s="59">
        <f t="shared" si="233"/>
        <v>12</v>
      </c>
      <c r="K1599" s="163">
        <f t="shared" si="236"/>
        <v>0</v>
      </c>
      <c r="L1599" s="255"/>
      <c r="M1599" s="560"/>
      <c r="N1599" s="572"/>
      <c r="O1599" s="417"/>
      <c r="R1599" s="532"/>
      <c r="S1599" s="52"/>
      <c r="T1599" s="52"/>
      <c r="U1599" s="574"/>
      <c r="V1599" s="1442" t="s">
        <v>45</v>
      </c>
      <c r="W1599" s="962">
        <v>9077.8044487427451</v>
      </c>
      <c r="X1599" s="251">
        <v>6759.7787234042544</v>
      </c>
      <c r="Y1599" s="225">
        <v>6759.78</v>
      </c>
      <c r="Z1599" s="225">
        <v>6759.78</v>
      </c>
      <c r="AA1599" s="225">
        <v>6759.78</v>
      </c>
      <c r="AB1599" s="1026">
        <v>6102.76</v>
      </c>
      <c r="AC1599" s="227">
        <v>4250.8</v>
      </c>
      <c r="AD1599" s="227">
        <v>9445.69</v>
      </c>
      <c r="AE1599" s="962">
        <v>9445.69</v>
      </c>
      <c r="AF1599" s="271">
        <f t="shared" si="237"/>
        <v>9445.69</v>
      </c>
      <c r="AG1599" s="962"/>
      <c r="AH1599" s="121"/>
      <c r="AK1599" s="963"/>
      <c r="DF1599" s="1650" t="str">
        <f t="shared" si="238"/>
        <v>ASHP-SEER16-Replace_CAC_ElectricHeat_ER2_MF</v>
      </c>
      <c r="DG1599" s="1094"/>
      <c r="DH1599" s="1370" t="str">
        <f t="shared" si="229"/>
        <v>Heating Res ER2 12 Year EUL</v>
      </c>
      <c r="DI1599" s="1091">
        <f>(INDEX('Avoided Cost Benefits'!$B$4:$B$866,MATCH(DH1599,'Avoided Cost Benefits'!$A$4:$A$866,0)))*F1599</f>
        <v>3191.6611069091496</v>
      </c>
      <c r="DJ1599" s="1176">
        <f>K1599/(1.0686^(2025-2025))</f>
        <v>0</v>
      </c>
      <c r="DM1599" s="252"/>
    </row>
    <row r="1600" spans="1:117">
      <c r="A1600" s="453"/>
      <c r="B1600" s="1454">
        <f t="shared" si="235"/>
        <v>353001</v>
      </c>
      <c r="C1600" s="2554" t="s">
        <v>2248</v>
      </c>
      <c r="D1600" s="3383" t="s">
        <v>1118</v>
      </c>
      <c r="E1600" s="2521" t="s">
        <v>2249</v>
      </c>
      <c r="F1600" s="3395">
        <f>ROUND((($K$2732*$K$2925*(1/$K$3118-1/$K$3311)*$K$3504)/1000)*$K$3651,2)</f>
        <v>1518.75</v>
      </c>
      <c r="G1600" s="3384" t="str">
        <f>G1596</f>
        <v>Cooling Res</v>
      </c>
      <c r="H1600" s="2213">
        <f>VLOOKUP(G1600,'CP FACTORS'!$A$3:$B$38, 2, FALSE)</f>
        <v>9.4741810000000004E-4</v>
      </c>
      <c r="I1600" s="3385">
        <f t="shared" ref="I1600:I1671" si="239">ROUND(F1600*H1600,6)</f>
        <v>1.4388909999999999</v>
      </c>
      <c r="J1600" s="2449">
        <f t="shared" si="233"/>
        <v>6</v>
      </c>
      <c r="K1600" s="2467">
        <f t="shared" si="236"/>
        <v>3682.0649648885365</v>
      </c>
      <c r="L1600" s="2649">
        <f>L1960</f>
        <v>2.8388888888888886</v>
      </c>
      <c r="M1600" s="3386"/>
      <c r="N1600" s="3387"/>
      <c r="O1600" s="2702"/>
      <c r="P1600" s="635"/>
      <c r="Q1600" s="635"/>
      <c r="R1600" s="2966"/>
      <c r="S1600" s="635"/>
      <c r="T1600" s="635"/>
      <c r="U1600" s="3388"/>
      <c r="V1600" s="2962" t="s">
        <v>45</v>
      </c>
      <c r="W1600" s="3389"/>
      <c r="X1600" s="3390"/>
      <c r="Y1600" s="3369">
        <v>879.44</v>
      </c>
      <c r="Z1600" s="3373">
        <v>879.44</v>
      </c>
      <c r="AA1600" s="3373">
        <v>879.44</v>
      </c>
      <c r="AB1600" s="3391">
        <v>966.98</v>
      </c>
      <c r="AC1600" s="3369">
        <v>567.38</v>
      </c>
      <c r="AD1600" s="3369">
        <v>987.19</v>
      </c>
      <c r="AE1600" s="3396">
        <v>1518.75</v>
      </c>
      <c r="AF1600" s="2236">
        <f t="shared" si="237"/>
        <v>1518.75</v>
      </c>
      <c r="AG1600" s="3389"/>
      <c r="AH1600" s="2728"/>
      <c r="AI1600" s="2237"/>
      <c r="AJ1600" s="2237"/>
      <c r="AK1600" s="3392"/>
      <c r="AL1600" s="2237"/>
      <c r="AM1600" s="2237"/>
      <c r="AN1600" s="2237"/>
      <c r="AO1600" s="2237"/>
      <c r="AP1600" s="2237"/>
      <c r="AQ1600" s="2237"/>
      <c r="AR1600" s="2237"/>
      <c r="AS1600" s="2237"/>
      <c r="AT1600" s="2237"/>
      <c r="AU1600" s="2237"/>
      <c r="AV1600" s="2237"/>
      <c r="AW1600" s="2237"/>
      <c r="AX1600" s="2237"/>
      <c r="AY1600" s="2237"/>
      <c r="AZ1600" s="2237"/>
      <c r="BA1600" s="2237"/>
      <c r="BB1600" s="2237"/>
      <c r="BC1600" s="2237"/>
      <c r="BD1600" s="2237"/>
      <c r="BE1600" s="2237"/>
      <c r="BF1600" s="2237"/>
      <c r="BG1600" s="2237"/>
      <c r="BH1600" s="2237"/>
      <c r="BI1600" s="2237"/>
      <c r="BJ1600" s="2237"/>
      <c r="BK1600" s="2237"/>
      <c r="BL1600" s="2237"/>
      <c r="BM1600" s="2237"/>
      <c r="BN1600" s="2237"/>
      <c r="BO1600" s="2237"/>
      <c r="BP1600" s="2237"/>
      <c r="BQ1600" s="2237"/>
      <c r="BR1600" s="2237"/>
      <c r="BS1600" s="2237"/>
      <c r="BT1600" s="2237"/>
      <c r="BU1600" s="2237"/>
      <c r="BV1600" s="2237"/>
      <c r="BW1600" s="2237"/>
      <c r="BX1600" s="2237"/>
      <c r="BY1600" s="2237"/>
      <c r="BZ1600" s="2237"/>
      <c r="CA1600" s="2237"/>
      <c r="CB1600" s="2237"/>
      <c r="CC1600" s="2237"/>
      <c r="CD1600" s="2237"/>
      <c r="CE1600" s="2237"/>
      <c r="CF1600" s="2237"/>
      <c r="CG1600" s="2237"/>
      <c r="CH1600" s="2237"/>
      <c r="CI1600" s="2237"/>
      <c r="CJ1600" s="2237"/>
      <c r="CK1600" s="2237"/>
      <c r="CL1600" s="2237"/>
      <c r="CM1600" s="2237"/>
      <c r="CN1600" s="2237"/>
      <c r="CO1600" s="2237"/>
      <c r="CP1600" s="2237"/>
      <c r="CQ1600" s="2237"/>
      <c r="CR1600" s="2237"/>
      <c r="CS1600" s="2237"/>
      <c r="CT1600" s="2237"/>
      <c r="CU1600" s="2237"/>
      <c r="CV1600" s="2237"/>
      <c r="CW1600" s="2237"/>
      <c r="CX1600" s="2237"/>
      <c r="CY1600" s="2237"/>
      <c r="CZ1600" s="2237"/>
      <c r="DA1600" s="2237"/>
      <c r="DB1600" s="2237"/>
      <c r="DC1600" s="2237"/>
      <c r="DD1600" s="2237"/>
      <c r="DE1600" s="2237"/>
      <c r="DF1600" s="3393" t="str">
        <f t="shared" si="238"/>
        <v>ASHP-SEER16-Replace_CAC_ElectricHeat_ER1_MF_CompE</v>
      </c>
      <c r="DG1600" s="3259">
        <f>(DI1600+DI1601+DI1602+DI1603)/(DJ1600+DJ1601+DJ1602+DJ1603)</f>
        <v>1.0431427825148061</v>
      </c>
      <c r="DH1600" s="2521" t="str">
        <f t="shared" ref="DH1600:DH1671" si="240">CONCATENATE(G1600," ",J1600," Year EUL")</f>
        <v>Cooling Res 6 Year EUL</v>
      </c>
      <c r="DI1600" s="3260">
        <f>(INDEX('Avoided Cost Benefits'!$B$4:$B$866,MATCH(DH1600,'Avoided Cost Benefits'!$A$4:$A$866,0)))*F1600</f>
        <v>1512.4442978109632</v>
      </c>
      <c r="DJ1600" s="2507">
        <f>IFERROR(K1600/(1.0686^(2025-2025)),10000000)</f>
        <v>3682.0649648885365</v>
      </c>
      <c r="DM1600" s="252"/>
    </row>
    <row r="1601" spans="1:117">
      <c r="A1601" s="453"/>
      <c r="B1601" s="1454">
        <f t="shared" si="235"/>
        <v>353001</v>
      </c>
      <c r="C1601" s="2554" t="str">
        <f>C1600</f>
        <v>353001_2024_12_</v>
      </c>
      <c r="D1601" s="3383" t="s">
        <v>1118</v>
      </c>
      <c r="E1601" s="2882" t="s">
        <v>2249</v>
      </c>
      <c r="F1601" s="3395">
        <f>ROUND((($K$1960*$K$2153*(1/$K$2346-1/$K$2539)*$K$3504)/1000)*$K$3651,2)</f>
        <v>3220.12</v>
      </c>
      <c r="G1601" s="3384" t="str">
        <f>G1597</f>
        <v>Heating Res</v>
      </c>
      <c r="H1601" s="2213">
        <f>VLOOKUP(G1601,'CP FACTORS'!$A$3:$B$38, 2, FALSE)</f>
        <v>0</v>
      </c>
      <c r="I1601" s="3385">
        <f t="shared" si="239"/>
        <v>0</v>
      </c>
      <c r="J1601" s="2449">
        <f t="shared" si="233"/>
        <v>6</v>
      </c>
      <c r="K1601" s="2894">
        <f t="shared" si="236"/>
        <v>0</v>
      </c>
      <c r="L1601" s="2649"/>
      <c r="M1601" s="3386"/>
      <c r="N1601" s="3387"/>
      <c r="O1601" s="2702"/>
      <c r="P1601" s="635"/>
      <c r="Q1601" s="635"/>
      <c r="R1601" s="2966"/>
      <c r="S1601" s="635"/>
      <c r="T1601" s="635"/>
      <c r="U1601" s="3388"/>
      <c r="V1601" s="2962" t="s">
        <v>45</v>
      </c>
      <c r="W1601" s="3389"/>
      <c r="X1601" s="3390"/>
      <c r="Y1601" s="3369">
        <v>2304.4699999999998</v>
      </c>
      <c r="Z1601" s="3373">
        <v>2304.4699999999998</v>
      </c>
      <c r="AA1601" s="3373">
        <v>2304.4699999999998</v>
      </c>
      <c r="AB1601" s="3391">
        <v>2080.4899999999998</v>
      </c>
      <c r="AC1601" s="3369">
        <v>1449.14</v>
      </c>
      <c r="AD1601" s="3369">
        <v>2093.08</v>
      </c>
      <c r="AE1601" s="3396">
        <v>3220.12</v>
      </c>
      <c r="AF1601" s="2236">
        <f t="shared" si="237"/>
        <v>3220.12</v>
      </c>
      <c r="AG1601" s="3389"/>
      <c r="AH1601" s="2728"/>
      <c r="AI1601" s="2237"/>
      <c r="AJ1601" s="2237"/>
      <c r="AK1601" s="3392"/>
      <c r="AL1601" s="2237"/>
      <c r="AM1601" s="2237"/>
      <c r="AN1601" s="2237"/>
      <c r="AO1601" s="2237"/>
      <c r="AP1601" s="2237"/>
      <c r="AQ1601" s="2237"/>
      <c r="AR1601" s="2237"/>
      <c r="AS1601" s="2237"/>
      <c r="AT1601" s="2237"/>
      <c r="AU1601" s="2237"/>
      <c r="AV1601" s="2237"/>
      <c r="AW1601" s="2237"/>
      <c r="AX1601" s="2237"/>
      <c r="AY1601" s="2237"/>
      <c r="AZ1601" s="2237"/>
      <c r="BA1601" s="2237"/>
      <c r="BB1601" s="2237"/>
      <c r="BC1601" s="2237"/>
      <c r="BD1601" s="2237"/>
      <c r="BE1601" s="2237"/>
      <c r="BF1601" s="2237"/>
      <c r="BG1601" s="2237"/>
      <c r="BH1601" s="2237"/>
      <c r="BI1601" s="2237"/>
      <c r="BJ1601" s="2237"/>
      <c r="BK1601" s="2237"/>
      <c r="BL1601" s="2237"/>
      <c r="BM1601" s="2237"/>
      <c r="BN1601" s="2237"/>
      <c r="BO1601" s="2237"/>
      <c r="BP1601" s="2237"/>
      <c r="BQ1601" s="2237"/>
      <c r="BR1601" s="2237"/>
      <c r="BS1601" s="2237"/>
      <c r="BT1601" s="2237"/>
      <c r="BU1601" s="2237"/>
      <c r="BV1601" s="2237"/>
      <c r="BW1601" s="2237"/>
      <c r="BX1601" s="2237"/>
      <c r="BY1601" s="2237"/>
      <c r="BZ1601" s="2237"/>
      <c r="CA1601" s="2237"/>
      <c r="CB1601" s="2237"/>
      <c r="CC1601" s="2237"/>
      <c r="CD1601" s="2237"/>
      <c r="CE1601" s="2237"/>
      <c r="CF1601" s="2237"/>
      <c r="CG1601" s="2237"/>
      <c r="CH1601" s="2237"/>
      <c r="CI1601" s="2237"/>
      <c r="CJ1601" s="2237"/>
      <c r="CK1601" s="2237"/>
      <c r="CL1601" s="2237"/>
      <c r="CM1601" s="2237"/>
      <c r="CN1601" s="2237"/>
      <c r="CO1601" s="2237"/>
      <c r="CP1601" s="2237"/>
      <c r="CQ1601" s="2237"/>
      <c r="CR1601" s="2237"/>
      <c r="CS1601" s="2237"/>
      <c r="CT1601" s="2237"/>
      <c r="CU1601" s="2237"/>
      <c r="CV1601" s="2237"/>
      <c r="CW1601" s="2237"/>
      <c r="CX1601" s="2237"/>
      <c r="CY1601" s="2237"/>
      <c r="CZ1601" s="2237"/>
      <c r="DA1601" s="2237"/>
      <c r="DB1601" s="2237"/>
      <c r="DC1601" s="2237"/>
      <c r="DD1601" s="2237"/>
      <c r="DE1601" s="2237"/>
      <c r="DF1601" s="3393" t="str">
        <f t="shared" si="238"/>
        <v>ASHP-SEER16-Replace_CAC_ElectricHeat_ER1_MF_CompE</v>
      </c>
      <c r="DG1601" s="3332"/>
      <c r="DH1601" s="2882" t="str">
        <f t="shared" si="240"/>
        <v>Heating Res 6 Year EUL</v>
      </c>
      <c r="DI1601" s="3260">
        <f>(INDEX('Avoided Cost Benefits'!$B$4:$B$866,MATCH(DH1601,'Avoided Cost Benefits'!$A$4:$A$866,0)))*F1601</f>
        <v>863.56795171198894</v>
      </c>
      <c r="DJ1601" s="2507">
        <f t="shared" ref="DJ1601:DJ1611" si="241">K1601/(1.0686^(2025-2025))</f>
        <v>0</v>
      </c>
      <c r="DM1601" s="252"/>
    </row>
    <row r="1602" spans="1:117">
      <c r="A1602" s="453"/>
      <c r="B1602" s="1454">
        <f t="shared" si="235"/>
        <v>353001</v>
      </c>
      <c r="C1602" s="2554" t="str">
        <f>C1601</f>
        <v>353001_2024_12_</v>
      </c>
      <c r="D1602" s="3383" t="s">
        <v>1118</v>
      </c>
      <c r="E1602" s="2882" t="s">
        <v>2250</v>
      </c>
      <c r="F1602" s="3396">
        <f>ROUND((($K$2733*$K$2926*(1/$K$3119-1/$K$3312)*$K$3505)/1000)*$K$3651,2)</f>
        <v>291.24</v>
      </c>
      <c r="G1602" s="3384" t="str">
        <f>G1598</f>
        <v>Cooling Res ER2</v>
      </c>
      <c r="H1602" s="2213">
        <f>VLOOKUP(G1602,'CP FACTORS'!$A$3:$B$38, 2, FALSE)</f>
        <v>9.4741810000000004E-4</v>
      </c>
      <c r="I1602" s="3394">
        <f t="shared" si="239"/>
        <v>0.275926</v>
      </c>
      <c r="J1602" s="2449">
        <f t="shared" si="233"/>
        <v>12</v>
      </c>
      <c r="K1602" s="2894">
        <f t="shared" si="236"/>
        <v>0</v>
      </c>
      <c r="L1602" s="2649"/>
      <c r="M1602" s="3386"/>
      <c r="N1602" s="3387"/>
      <c r="O1602" s="2702"/>
      <c r="P1602" s="635"/>
      <c r="Q1602" s="635"/>
      <c r="R1602" s="2966"/>
      <c r="S1602" s="635"/>
      <c r="T1602" s="635"/>
      <c r="U1602" s="3388"/>
      <c r="V1602" s="2962" t="s">
        <v>45</v>
      </c>
      <c r="W1602" s="3389"/>
      <c r="X1602" s="3390"/>
      <c r="Y1602" s="3369">
        <v>220.41</v>
      </c>
      <c r="Z1602" s="3373">
        <v>220.41</v>
      </c>
      <c r="AA1602" s="3373">
        <v>220.41</v>
      </c>
      <c r="AB1602" s="3391">
        <v>265.44</v>
      </c>
      <c r="AC1602" s="3369">
        <v>142.19999999999999</v>
      </c>
      <c r="AD1602" s="3369">
        <v>225.15</v>
      </c>
      <c r="AE1602" s="3396">
        <v>214.43</v>
      </c>
      <c r="AF1602" s="2236">
        <f t="shared" si="237"/>
        <v>291.24</v>
      </c>
      <c r="AG1602" s="3389"/>
      <c r="AH1602" s="2728"/>
      <c r="AI1602" s="2237"/>
      <c r="AJ1602" s="2237"/>
      <c r="AK1602" s="3392"/>
      <c r="AL1602" s="2237"/>
      <c r="AM1602" s="2237"/>
      <c r="AN1602" s="2237"/>
      <c r="AO1602" s="2237"/>
      <c r="AP1602" s="2237"/>
      <c r="AQ1602" s="2237"/>
      <c r="AR1602" s="2237"/>
      <c r="AS1602" s="2237"/>
      <c r="AT1602" s="2237"/>
      <c r="AU1602" s="2237"/>
      <c r="AV1602" s="2237"/>
      <c r="AW1602" s="2237"/>
      <c r="AX1602" s="2237"/>
      <c r="AY1602" s="2237"/>
      <c r="AZ1602" s="2237"/>
      <c r="BA1602" s="2237"/>
      <c r="BB1602" s="2237"/>
      <c r="BC1602" s="2237"/>
      <c r="BD1602" s="2237"/>
      <c r="BE1602" s="2237"/>
      <c r="BF1602" s="2237"/>
      <c r="BG1602" s="2237"/>
      <c r="BH1602" s="2237"/>
      <c r="BI1602" s="2237"/>
      <c r="BJ1602" s="2237"/>
      <c r="BK1602" s="2237"/>
      <c r="BL1602" s="2237"/>
      <c r="BM1602" s="2237"/>
      <c r="BN1602" s="2237"/>
      <c r="BO1602" s="2237"/>
      <c r="BP1602" s="2237"/>
      <c r="BQ1602" s="2237"/>
      <c r="BR1602" s="2237"/>
      <c r="BS1602" s="2237"/>
      <c r="BT1602" s="2237"/>
      <c r="BU1602" s="2237"/>
      <c r="BV1602" s="2237"/>
      <c r="BW1602" s="2237"/>
      <c r="BX1602" s="2237"/>
      <c r="BY1602" s="2237"/>
      <c r="BZ1602" s="2237"/>
      <c r="CA1602" s="2237"/>
      <c r="CB1602" s="2237"/>
      <c r="CC1602" s="2237"/>
      <c r="CD1602" s="2237"/>
      <c r="CE1602" s="2237"/>
      <c r="CF1602" s="2237"/>
      <c r="CG1602" s="2237"/>
      <c r="CH1602" s="2237"/>
      <c r="CI1602" s="2237"/>
      <c r="CJ1602" s="2237"/>
      <c r="CK1602" s="2237"/>
      <c r="CL1602" s="2237"/>
      <c r="CM1602" s="2237"/>
      <c r="CN1602" s="2237"/>
      <c r="CO1602" s="2237"/>
      <c r="CP1602" s="2237"/>
      <c r="CQ1602" s="2237"/>
      <c r="CR1602" s="2237"/>
      <c r="CS1602" s="2237"/>
      <c r="CT1602" s="2237"/>
      <c r="CU1602" s="2237"/>
      <c r="CV1602" s="2237"/>
      <c r="CW1602" s="2237"/>
      <c r="CX1602" s="2237"/>
      <c r="CY1602" s="2237"/>
      <c r="CZ1602" s="2237"/>
      <c r="DA1602" s="2237"/>
      <c r="DB1602" s="2237"/>
      <c r="DC1602" s="2237"/>
      <c r="DD1602" s="2237"/>
      <c r="DE1602" s="2237"/>
      <c r="DF1602" s="3393" t="str">
        <f t="shared" si="238"/>
        <v>ASHP-SEER16-Replace_CAC_ElectricHeat_ER2_MF_CompE</v>
      </c>
      <c r="DG1602" s="3332"/>
      <c r="DH1602" s="2882" t="str">
        <f t="shared" si="240"/>
        <v>Cooling Res ER2 12 Year EUL</v>
      </c>
      <c r="DI1602" s="3260">
        <f>(INDEX('Avoided Cost Benefits'!$B$4:$B$866,MATCH(DH1602,'Avoided Cost Benefits'!$A$4:$A$866,0)))*F1602</f>
        <v>376.84149446671574</v>
      </c>
      <c r="DJ1602" s="2507">
        <f t="shared" si="241"/>
        <v>0</v>
      </c>
      <c r="DM1602" s="252"/>
    </row>
    <row r="1603" spans="1:117">
      <c r="A1603" s="453"/>
      <c r="B1603" s="1454">
        <f t="shared" si="235"/>
        <v>353001</v>
      </c>
      <c r="C1603" s="2554" t="str">
        <f>C1602</f>
        <v>353001_2024_12_</v>
      </c>
      <c r="D1603" s="3383" t="s">
        <v>1118</v>
      </c>
      <c r="E1603" s="2522" t="s">
        <v>2250</v>
      </c>
      <c r="F1603" s="3395">
        <f>ROUND((($K$1961*$K$2154*(1/$K$2347-1/$K$2540)*$K$3505)/1000)*$K$3651,2)</f>
        <v>3220.12</v>
      </c>
      <c r="G1603" s="3384" t="str">
        <f>G1599</f>
        <v>Heating Res ER2</v>
      </c>
      <c r="H1603" s="2213">
        <f>VLOOKUP(G1603,'CP FACTORS'!$A$3:$B$38, 2, FALSE)</f>
        <v>0</v>
      </c>
      <c r="I1603" s="3385">
        <f t="shared" si="239"/>
        <v>0</v>
      </c>
      <c r="J1603" s="2449">
        <f t="shared" si="233"/>
        <v>12</v>
      </c>
      <c r="K1603" s="2894">
        <f t="shared" si="236"/>
        <v>0</v>
      </c>
      <c r="L1603" s="2649"/>
      <c r="M1603" s="3386"/>
      <c r="N1603" s="3387"/>
      <c r="O1603" s="2702"/>
      <c r="P1603" s="635"/>
      <c r="Q1603" s="635"/>
      <c r="R1603" s="2966"/>
      <c r="S1603" s="635"/>
      <c r="T1603" s="635"/>
      <c r="U1603" s="3388"/>
      <c r="V1603" s="2962" t="s">
        <v>45</v>
      </c>
      <c r="W1603" s="3389"/>
      <c r="X1603" s="3390"/>
      <c r="Y1603" s="3369">
        <v>2304.4699999999998</v>
      </c>
      <c r="Z1603" s="3373">
        <v>2304.4699999999998</v>
      </c>
      <c r="AA1603" s="3373">
        <v>2304.4699999999998</v>
      </c>
      <c r="AB1603" s="3391">
        <v>2080.4899999999998</v>
      </c>
      <c r="AC1603" s="3369">
        <v>1449.14</v>
      </c>
      <c r="AD1603" s="3369">
        <v>2093.08</v>
      </c>
      <c r="AE1603" s="3396">
        <v>3220.12</v>
      </c>
      <c r="AF1603" s="2236">
        <f t="shared" si="237"/>
        <v>3220.12</v>
      </c>
      <c r="AG1603" s="3389"/>
      <c r="AH1603" s="2728"/>
      <c r="AI1603" s="2237"/>
      <c r="AJ1603" s="2237"/>
      <c r="AK1603" s="3392"/>
      <c r="AL1603" s="2237"/>
      <c r="AM1603" s="2237"/>
      <c r="AN1603" s="2237"/>
      <c r="AO1603" s="2237"/>
      <c r="AP1603" s="2237"/>
      <c r="AQ1603" s="2237"/>
      <c r="AR1603" s="2237"/>
      <c r="AS1603" s="2237"/>
      <c r="AT1603" s="2237"/>
      <c r="AU1603" s="2237"/>
      <c r="AV1603" s="2237"/>
      <c r="AW1603" s="2237"/>
      <c r="AX1603" s="2237"/>
      <c r="AY1603" s="2237"/>
      <c r="AZ1603" s="2237"/>
      <c r="BA1603" s="2237"/>
      <c r="BB1603" s="2237"/>
      <c r="BC1603" s="2237"/>
      <c r="BD1603" s="2237"/>
      <c r="BE1603" s="2237"/>
      <c r="BF1603" s="2237"/>
      <c r="BG1603" s="2237"/>
      <c r="BH1603" s="2237"/>
      <c r="BI1603" s="2237"/>
      <c r="BJ1603" s="2237"/>
      <c r="BK1603" s="2237"/>
      <c r="BL1603" s="2237"/>
      <c r="BM1603" s="2237"/>
      <c r="BN1603" s="2237"/>
      <c r="BO1603" s="2237"/>
      <c r="BP1603" s="2237"/>
      <c r="BQ1603" s="2237"/>
      <c r="BR1603" s="2237"/>
      <c r="BS1603" s="2237"/>
      <c r="BT1603" s="2237"/>
      <c r="BU1603" s="2237"/>
      <c r="BV1603" s="2237"/>
      <c r="BW1603" s="2237"/>
      <c r="BX1603" s="2237"/>
      <c r="BY1603" s="2237"/>
      <c r="BZ1603" s="2237"/>
      <c r="CA1603" s="2237"/>
      <c r="CB1603" s="2237"/>
      <c r="CC1603" s="2237"/>
      <c r="CD1603" s="2237"/>
      <c r="CE1603" s="2237"/>
      <c r="CF1603" s="2237"/>
      <c r="CG1603" s="2237"/>
      <c r="CH1603" s="2237"/>
      <c r="CI1603" s="2237"/>
      <c r="CJ1603" s="2237"/>
      <c r="CK1603" s="2237"/>
      <c r="CL1603" s="2237"/>
      <c r="CM1603" s="2237"/>
      <c r="CN1603" s="2237"/>
      <c r="CO1603" s="2237"/>
      <c r="CP1603" s="2237"/>
      <c r="CQ1603" s="2237"/>
      <c r="CR1603" s="2237"/>
      <c r="CS1603" s="2237"/>
      <c r="CT1603" s="2237"/>
      <c r="CU1603" s="2237"/>
      <c r="CV1603" s="2237"/>
      <c r="CW1603" s="2237"/>
      <c r="CX1603" s="2237"/>
      <c r="CY1603" s="2237"/>
      <c r="CZ1603" s="2237"/>
      <c r="DA1603" s="2237"/>
      <c r="DB1603" s="2237"/>
      <c r="DC1603" s="2237"/>
      <c r="DD1603" s="2237"/>
      <c r="DE1603" s="2237"/>
      <c r="DF1603" s="3393" t="str">
        <f t="shared" si="238"/>
        <v>ASHP-SEER16-Replace_CAC_ElectricHeat_ER2_MF_CompE</v>
      </c>
      <c r="DG1603" s="3332"/>
      <c r="DH1603" s="2522" t="str">
        <f t="shared" si="240"/>
        <v>Heating Res ER2 12 Year EUL</v>
      </c>
      <c r="DI1603" s="3260">
        <f>(INDEX('Avoided Cost Benefits'!$B$4:$B$866,MATCH(DH1603,'Avoided Cost Benefits'!$A$4:$A$866,0)))*F1603</f>
        <v>1088.0657488844424</v>
      </c>
      <c r="DJ1603" s="2507">
        <f t="shared" si="241"/>
        <v>0</v>
      </c>
      <c r="DM1603" s="252"/>
    </row>
    <row r="1604" spans="1:117">
      <c r="A1604" s="453"/>
      <c r="B1604" s="1454">
        <f t="shared" si="235"/>
        <v>353010</v>
      </c>
      <c r="C1604" s="2554" t="s">
        <v>2251</v>
      </c>
      <c r="D1604" s="3383" t="s">
        <v>1122</v>
      </c>
      <c r="E1604" s="2882" t="s">
        <v>2252</v>
      </c>
      <c r="F1604" s="3395">
        <f>ROUND(((K2734*K2927*(1/K3120-1/K3313)*K3506)/1000)*$K$3651,2)</f>
        <v>2088.29</v>
      </c>
      <c r="G1604" s="3384" t="s">
        <v>2077</v>
      </c>
      <c r="H1604" s="2213">
        <f>VLOOKUP(G1604,'CP FACTORS'!$A$3:$B$38, 2, FALSE)</f>
        <v>9.4741810000000004E-4</v>
      </c>
      <c r="I1604" s="3385">
        <f t="shared" si="239"/>
        <v>1.9784839999999999</v>
      </c>
      <c r="J1604" s="2449">
        <f t="shared" si="233"/>
        <v>6</v>
      </c>
      <c r="K1604" s="2467">
        <f t="shared" si="236"/>
        <v>428.60855601917552</v>
      </c>
      <c r="L1604" s="2649">
        <f>L1962</f>
        <v>2.8388888888888886</v>
      </c>
      <c r="M1604" s="3386"/>
      <c r="N1604" s="3387"/>
      <c r="O1604" s="2702"/>
      <c r="P1604" s="635"/>
      <c r="Q1604" s="635"/>
      <c r="R1604" s="2966"/>
      <c r="S1604" s="635"/>
      <c r="T1604" s="635"/>
      <c r="U1604" s="3388"/>
      <c r="V1604" s="2962" t="s">
        <v>45</v>
      </c>
      <c r="W1604" s="3389"/>
      <c r="X1604" s="3390"/>
      <c r="Y1604" s="3369"/>
      <c r="Z1604" s="3373"/>
      <c r="AA1604" s="3373"/>
      <c r="AB1604" s="3391"/>
      <c r="AC1604" s="3369">
        <v>1169.45</v>
      </c>
      <c r="AD1604" s="3369">
        <v>1357.39</v>
      </c>
      <c r="AE1604" s="3396">
        <v>2088.29</v>
      </c>
      <c r="AF1604" s="2236">
        <f t="shared" si="237"/>
        <v>2088.29</v>
      </c>
      <c r="AG1604" s="3389"/>
      <c r="AH1604" s="2728"/>
      <c r="AI1604" s="2237"/>
      <c r="AJ1604" s="2237"/>
      <c r="AK1604" s="3392"/>
      <c r="AL1604" s="2237"/>
      <c r="AM1604" s="2237"/>
      <c r="AN1604" s="2237"/>
      <c r="AO1604" s="2237"/>
      <c r="AP1604" s="2237"/>
      <c r="AQ1604" s="2237"/>
      <c r="AR1604" s="2237"/>
      <c r="AS1604" s="2237"/>
      <c r="AT1604" s="2237"/>
      <c r="AU1604" s="2237"/>
      <c r="AV1604" s="2237"/>
      <c r="AW1604" s="2237"/>
      <c r="AX1604" s="2237"/>
      <c r="AY1604" s="2237"/>
      <c r="AZ1604" s="2237"/>
      <c r="BA1604" s="2237"/>
      <c r="BB1604" s="2237"/>
      <c r="BC1604" s="2237"/>
      <c r="BD1604" s="2237"/>
      <c r="BE1604" s="2237"/>
      <c r="BF1604" s="2237"/>
      <c r="BG1604" s="2237"/>
      <c r="BH1604" s="2237"/>
      <c r="BI1604" s="2237"/>
      <c r="BJ1604" s="2237"/>
      <c r="BK1604" s="2237"/>
      <c r="BL1604" s="2237"/>
      <c r="BM1604" s="2237"/>
      <c r="BN1604" s="2237"/>
      <c r="BO1604" s="2237"/>
      <c r="BP1604" s="2237"/>
      <c r="BQ1604" s="2237"/>
      <c r="BR1604" s="2237"/>
      <c r="BS1604" s="2237"/>
      <c r="BT1604" s="2237"/>
      <c r="BU1604" s="2237"/>
      <c r="BV1604" s="2237"/>
      <c r="BW1604" s="2237"/>
      <c r="BX1604" s="2237"/>
      <c r="BY1604" s="2237"/>
      <c r="BZ1604" s="2237"/>
      <c r="CA1604" s="2237"/>
      <c r="CB1604" s="2237"/>
      <c r="CC1604" s="2237"/>
      <c r="CD1604" s="2237"/>
      <c r="CE1604" s="2237"/>
      <c r="CF1604" s="2237"/>
      <c r="CG1604" s="2237"/>
      <c r="CH1604" s="2237"/>
      <c r="CI1604" s="2237"/>
      <c r="CJ1604" s="2237"/>
      <c r="CK1604" s="2237"/>
      <c r="CL1604" s="2237"/>
      <c r="CM1604" s="2237"/>
      <c r="CN1604" s="2237"/>
      <c r="CO1604" s="2237"/>
      <c r="CP1604" s="2237"/>
      <c r="CQ1604" s="2237"/>
      <c r="CR1604" s="2237"/>
      <c r="CS1604" s="2237"/>
      <c r="CT1604" s="2237"/>
      <c r="CU1604" s="2237"/>
      <c r="CV1604" s="2237"/>
      <c r="CW1604" s="2237"/>
      <c r="CX1604" s="2237"/>
      <c r="CY1604" s="2237"/>
      <c r="CZ1604" s="2237"/>
      <c r="DA1604" s="2237"/>
      <c r="DB1604" s="2237"/>
      <c r="DC1604" s="2237"/>
      <c r="DD1604" s="2237"/>
      <c r="DE1604" s="2237"/>
      <c r="DF1604" s="3393" t="str">
        <f t="shared" si="238"/>
        <v>ASHP-SEER16-Replace_CAC_NonElectricHeat_ER1_MF</v>
      </c>
      <c r="DG1604" s="3259">
        <f>(DI1604+DI1605+DI1606+DI1607)/(DJ1604+DJ1605+DJ1606+DJ1607)</f>
        <v>6.0609387562772472</v>
      </c>
      <c r="DH1604" s="2882" t="str">
        <f t="shared" si="240"/>
        <v>Cooling Res 6 Year EUL</v>
      </c>
      <c r="DI1604" s="3260">
        <f>(INDEX('Avoided Cost Benefits'!$B$4:$B$866,MATCH(DH1604,'Avoided Cost Benefits'!$A$4:$A$866,0)))*F1604</f>
        <v>2079.619623160926</v>
      </c>
      <c r="DJ1604" s="2507">
        <f t="shared" si="241"/>
        <v>428.60855601917552</v>
      </c>
      <c r="DM1604" s="252"/>
    </row>
    <row r="1605" spans="1:117">
      <c r="A1605" s="453"/>
      <c r="B1605" s="1454">
        <f t="shared" si="235"/>
        <v>353010</v>
      </c>
      <c r="C1605" s="2554" t="s">
        <v>2251</v>
      </c>
      <c r="D1605" s="3383" t="s">
        <v>1122</v>
      </c>
      <c r="E1605" s="2882" t="s">
        <v>2252</v>
      </c>
      <c r="F1605" s="3395">
        <v>0</v>
      </c>
      <c r="G1605" s="3384" t="s">
        <v>2078</v>
      </c>
      <c r="H1605" s="2213">
        <f>VLOOKUP(G1605,'CP FACTORS'!$A$3:$B$38, 2, FALSE)</f>
        <v>0</v>
      </c>
      <c r="I1605" s="3385">
        <f t="shared" si="239"/>
        <v>0</v>
      </c>
      <c r="J1605" s="2449">
        <f t="shared" si="233"/>
        <v>6</v>
      </c>
      <c r="K1605" s="2894">
        <f t="shared" si="236"/>
        <v>0</v>
      </c>
      <c r="L1605" s="2649"/>
      <c r="M1605" s="3386"/>
      <c r="N1605" s="3387"/>
      <c r="O1605" s="2702"/>
      <c r="P1605" s="635"/>
      <c r="Q1605" s="635"/>
      <c r="R1605" s="2966"/>
      <c r="S1605" s="635"/>
      <c r="T1605" s="635"/>
      <c r="U1605" s="3388"/>
      <c r="V1605" s="2962" t="s">
        <v>45</v>
      </c>
      <c r="W1605" s="3389"/>
      <c r="X1605" s="3390"/>
      <c r="Y1605" s="3369"/>
      <c r="Z1605" s="3373"/>
      <c r="AA1605" s="3373"/>
      <c r="AB1605" s="3391"/>
      <c r="AC1605" s="3369">
        <v>0</v>
      </c>
      <c r="AD1605" s="3373">
        <v>0</v>
      </c>
      <c r="AE1605" s="3389">
        <v>0</v>
      </c>
      <c r="AF1605" s="2236">
        <f t="shared" si="237"/>
        <v>0</v>
      </c>
      <c r="AG1605" s="3389"/>
      <c r="AH1605" s="2728"/>
      <c r="AI1605" s="2237"/>
      <c r="AJ1605" s="2237"/>
      <c r="AK1605" s="3392"/>
      <c r="AL1605" s="2237"/>
      <c r="AM1605" s="2237"/>
      <c r="AN1605" s="2237"/>
      <c r="AO1605" s="2237"/>
      <c r="AP1605" s="2237"/>
      <c r="AQ1605" s="2237"/>
      <c r="AR1605" s="2237"/>
      <c r="AS1605" s="2237"/>
      <c r="AT1605" s="2237"/>
      <c r="AU1605" s="2237"/>
      <c r="AV1605" s="2237"/>
      <c r="AW1605" s="2237"/>
      <c r="AX1605" s="2237"/>
      <c r="AY1605" s="2237"/>
      <c r="AZ1605" s="2237"/>
      <c r="BA1605" s="2237"/>
      <c r="BB1605" s="2237"/>
      <c r="BC1605" s="2237"/>
      <c r="BD1605" s="2237"/>
      <c r="BE1605" s="2237"/>
      <c r="BF1605" s="2237"/>
      <c r="BG1605" s="2237"/>
      <c r="BH1605" s="2237"/>
      <c r="BI1605" s="2237"/>
      <c r="BJ1605" s="2237"/>
      <c r="BK1605" s="2237"/>
      <c r="BL1605" s="2237"/>
      <c r="BM1605" s="2237"/>
      <c r="BN1605" s="2237"/>
      <c r="BO1605" s="2237"/>
      <c r="BP1605" s="2237"/>
      <c r="BQ1605" s="2237"/>
      <c r="BR1605" s="2237"/>
      <c r="BS1605" s="2237"/>
      <c r="BT1605" s="2237"/>
      <c r="BU1605" s="2237"/>
      <c r="BV1605" s="2237"/>
      <c r="BW1605" s="2237"/>
      <c r="BX1605" s="2237"/>
      <c r="BY1605" s="2237"/>
      <c r="BZ1605" s="2237"/>
      <c r="CA1605" s="2237"/>
      <c r="CB1605" s="2237"/>
      <c r="CC1605" s="2237"/>
      <c r="CD1605" s="2237"/>
      <c r="CE1605" s="2237"/>
      <c r="CF1605" s="2237"/>
      <c r="CG1605" s="2237"/>
      <c r="CH1605" s="2237"/>
      <c r="CI1605" s="2237"/>
      <c r="CJ1605" s="2237"/>
      <c r="CK1605" s="2237"/>
      <c r="CL1605" s="2237"/>
      <c r="CM1605" s="2237"/>
      <c r="CN1605" s="2237"/>
      <c r="CO1605" s="2237"/>
      <c r="CP1605" s="2237"/>
      <c r="CQ1605" s="2237"/>
      <c r="CR1605" s="2237"/>
      <c r="CS1605" s="2237"/>
      <c r="CT1605" s="2237"/>
      <c r="CU1605" s="2237"/>
      <c r="CV1605" s="2237"/>
      <c r="CW1605" s="2237"/>
      <c r="CX1605" s="2237"/>
      <c r="CY1605" s="2237"/>
      <c r="CZ1605" s="2237"/>
      <c r="DA1605" s="2237"/>
      <c r="DB1605" s="2237"/>
      <c r="DC1605" s="2237"/>
      <c r="DD1605" s="2237"/>
      <c r="DE1605" s="2237"/>
      <c r="DF1605" s="3393" t="str">
        <f t="shared" si="238"/>
        <v>ASHP-SEER16-Replace_CAC_NonElectricHeat_ER1_MF</v>
      </c>
      <c r="DG1605" s="3332"/>
      <c r="DH1605" s="2882" t="str">
        <f t="shared" si="240"/>
        <v>Heating Res 6 Year EUL</v>
      </c>
      <c r="DI1605" s="3260">
        <f>(INDEX('Avoided Cost Benefits'!$B$4:$B$866,MATCH(DH1605,'Avoided Cost Benefits'!$A$4:$A$866,0)))*F1605</f>
        <v>0</v>
      </c>
      <c r="DJ1605" s="2507">
        <f t="shared" si="241"/>
        <v>0</v>
      </c>
      <c r="DM1605" s="252"/>
    </row>
    <row r="1606" spans="1:117">
      <c r="A1606" s="453"/>
      <c r="B1606" s="1454">
        <f t="shared" si="235"/>
        <v>353010</v>
      </c>
      <c r="C1606" s="2554" t="s">
        <v>2251</v>
      </c>
      <c r="D1606" s="3383" t="s">
        <v>1122</v>
      </c>
      <c r="E1606" s="2882" t="s">
        <v>2253</v>
      </c>
      <c r="F1606" s="3396">
        <f>ROUND(((K2735*K2928*(1/K3121-1/K3314)*K3507)/1000)*$K$3651,2)</f>
        <v>400.45</v>
      </c>
      <c r="G1606" s="3384" t="s">
        <v>2138</v>
      </c>
      <c r="H1606" s="2213">
        <f>VLOOKUP(G1606,'CP FACTORS'!$A$3:$B$38, 2, FALSE)</f>
        <v>9.4741810000000004E-4</v>
      </c>
      <c r="I1606" s="3394">
        <f t="shared" si="239"/>
        <v>0.37939400000000001</v>
      </c>
      <c r="J1606" s="2449">
        <f t="shared" ref="J1606:J1615" si="242">K3750</f>
        <v>12</v>
      </c>
      <c r="K1606" s="2894">
        <f t="shared" si="236"/>
        <v>0</v>
      </c>
      <c r="L1606" s="2649"/>
      <c r="M1606" s="3386"/>
      <c r="N1606" s="3387"/>
      <c r="O1606" s="2702"/>
      <c r="P1606" s="635"/>
      <c r="Q1606" s="635"/>
      <c r="R1606" s="2966"/>
      <c r="S1606" s="635"/>
      <c r="T1606" s="635"/>
      <c r="U1606" s="3388"/>
      <c r="V1606" s="2962" t="s">
        <v>45</v>
      </c>
      <c r="W1606" s="3389"/>
      <c r="X1606" s="3390"/>
      <c r="Y1606" s="3369"/>
      <c r="Z1606" s="3373"/>
      <c r="AA1606" s="3373"/>
      <c r="AB1606" s="3391"/>
      <c r="AC1606" s="3369">
        <v>195.53</v>
      </c>
      <c r="AD1606" s="3369">
        <v>309.58</v>
      </c>
      <c r="AE1606" s="3396">
        <v>294.83999999999997</v>
      </c>
      <c r="AF1606" s="2236">
        <f t="shared" si="237"/>
        <v>400.45</v>
      </c>
      <c r="AG1606" s="3389"/>
      <c r="AH1606" s="2728"/>
      <c r="AI1606" s="2237"/>
      <c r="AJ1606" s="2237"/>
      <c r="AK1606" s="3392"/>
      <c r="AL1606" s="2237"/>
      <c r="AM1606" s="2237"/>
      <c r="AN1606" s="2237"/>
      <c r="AO1606" s="2237"/>
      <c r="AP1606" s="2237"/>
      <c r="AQ1606" s="2237"/>
      <c r="AR1606" s="2237"/>
      <c r="AS1606" s="2237"/>
      <c r="AT1606" s="2237"/>
      <c r="AU1606" s="2237"/>
      <c r="AV1606" s="2237"/>
      <c r="AW1606" s="2237"/>
      <c r="AX1606" s="2237"/>
      <c r="AY1606" s="2237"/>
      <c r="AZ1606" s="2237"/>
      <c r="BA1606" s="2237"/>
      <c r="BB1606" s="2237"/>
      <c r="BC1606" s="2237"/>
      <c r="BD1606" s="2237"/>
      <c r="BE1606" s="2237"/>
      <c r="BF1606" s="2237"/>
      <c r="BG1606" s="2237"/>
      <c r="BH1606" s="2237"/>
      <c r="BI1606" s="2237"/>
      <c r="BJ1606" s="2237"/>
      <c r="BK1606" s="2237"/>
      <c r="BL1606" s="2237"/>
      <c r="BM1606" s="2237"/>
      <c r="BN1606" s="2237"/>
      <c r="BO1606" s="2237"/>
      <c r="BP1606" s="2237"/>
      <c r="BQ1606" s="2237"/>
      <c r="BR1606" s="2237"/>
      <c r="BS1606" s="2237"/>
      <c r="BT1606" s="2237"/>
      <c r="BU1606" s="2237"/>
      <c r="BV1606" s="2237"/>
      <c r="BW1606" s="2237"/>
      <c r="BX1606" s="2237"/>
      <c r="BY1606" s="2237"/>
      <c r="BZ1606" s="2237"/>
      <c r="CA1606" s="2237"/>
      <c r="CB1606" s="2237"/>
      <c r="CC1606" s="2237"/>
      <c r="CD1606" s="2237"/>
      <c r="CE1606" s="2237"/>
      <c r="CF1606" s="2237"/>
      <c r="CG1606" s="2237"/>
      <c r="CH1606" s="2237"/>
      <c r="CI1606" s="2237"/>
      <c r="CJ1606" s="2237"/>
      <c r="CK1606" s="2237"/>
      <c r="CL1606" s="2237"/>
      <c r="CM1606" s="2237"/>
      <c r="CN1606" s="2237"/>
      <c r="CO1606" s="2237"/>
      <c r="CP1606" s="2237"/>
      <c r="CQ1606" s="2237"/>
      <c r="CR1606" s="2237"/>
      <c r="CS1606" s="2237"/>
      <c r="CT1606" s="2237"/>
      <c r="CU1606" s="2237"/>
      <c r="CV1606" s="2237"/>
      <c r="CW1606" s="2237"/>
      <c r="CX1606" s="2237"/>
      <c r="CY1606" s="2237"/>
      <c r="CZ1606" s="2237"/>
      <c r="DA1606" s="2237"/>
      <c r="DB1606" s="2237"/>
      <c r="DC1606" s="2237"/>
      <c r="DD1606" s="2237"/>
      <c r="DE1606" s="2237"/>
      <c r="DF1606" s="3393" t="str">
        <f t="shared" si="238"/>
        <v>ASHP-SEER16-Replace_CAC_NonElectricHeat_ER2_MF</v>
      </c>
      <c r="DG1606" s="3332"/>
      <c r="DH1606" s="2882" t="str">
        <f t="shared" si="240"/>
        <v>Cooling Res ER2 12 Year EUL</v>
      </c>
      <c r="DI1606" s="3260">
        <f>(INDEX('Avoided Cost Benefits'!$B$4:$B$866,MATCH(DH1606,'Avoided Cost Benefits'!$A$4:$A$866,0)))*F1606</f>
        <v>518.15058528772261</v>
      </c>
      <c r="DJ1606" s="2507">
        <f t="shared" si="241"/>
        <v>0</v>
      </c>
      <c r="DM1606" s="252"/>
    </row>
    <row r="1607" spans="1:117">
      <c r="A1607" s="453"/>
      <c r="B1607" s="1454">
        <f t="shared" si="235"/>
        <v>353010</v>
      </c>
      <c r="C1607" s="2554" t="s">
        <v>2251</v>
      </c>
      <c r="D1607" s="3383" t="s">
        <v>1122</v>
      </c>
      <c r="E1607" s="2522" t="s">
        <v>2253</v>
      </c>
      <c r="F1607" s="3395">
        <v>0</v>
      </c>
      <c r="G1607" s="3384" t="s">
        <v>2173</v>
      </c>
      <c r="H1607" s="2213">
        <f>VLOOKUP(G1607,'CP FACTORS'!$A$3:$B$38, 2, FALSE)</f>
        <v>0</v>
      </c>
      <c r="I1607" s="3385">
        <f t="shared" si="239"/>
        <v>0</v>
      </c>
      <c r="J1607" s="2449">
        <f t="shared" si="242"/>
        <v>12</v>
      </c>
      <c r="K1607" s="2894">
        <f t="shared" si="236"/>
        <v>0</v>
      </c>
      <c r="L1607" s="2649"/>
      <c r="M1607" s="3386"/>
      <c r="N1607" s="3387"/>
      <c r="O1607" s="2702"/>
      <c r="P1607" s="635"/>
      <c r="Q1607" s="635"/>
      <c r="R1607" s="2966"/>
      <c r="S1607" s="635"/>
      <c r="T1607" s="635"/>
      <c r="U1607" s="3388"/>
      <c r="V1607" s="2962" t="s">
        <v>45</v>
      </c>
      <c r="W1607" s="3389"/>
      <c r="X1607" s="3390"/>
      <c r="Y1607" s="3369"/>
      <c r="Z1607" s="3373"/>
      <c r="AA1607" s="3373"/>
      <c r="AB1607" s="3391"/>
      <c r="AC1607" s="3369">
        <v>0</v>
      </c>
      <c r="AD1607" s="3373">
        <v>0</v>
      </c>
      <c r="AE1607" s="3389">
        <v>0</v>
      </c>
      <c r="AF1607" s="2236">
        <f t="shared" si="237"/>
        <v>0</v>
      </c>
      <c r="AG1607" s="3389"/>
      <c r="AH1607" s="2728"/>
      <c r="AI1607" s="2237"/>
      <c r="AJ1607" s="2237"/>
      <c r="AK1607" s="3392"/>
      <c r="AL1607" s="2237"/>
      <c r="AM1607" s="2237"/>
      <c r="AN1607" s="2237"/>
      <c r="AO1607" s="2237"/>
      <c r="AP1607" s="2237"/>
      <c r="AQ1607" s="2237"/>
      <c r="AR1607" s="2237"/>
      <c r="AS1607" s="2237"/>
      <c r="AT1607" s="2237"/>
      <c r="AU1607" s="2237"/>
      <c r="AV1607" s="2237"/>
      <c r="AW1607" s="2237"/>
      <c r="AX1607" s="2237"/>
      <c r="AY1607" s="2237"/>
      <c r="AZ1607" s="2237"/>
      <c r="BA1607" s="2237"/>
      <c r="BB1607" s="2237"/>
      <c r="BC1607" s="2237"/>
      <c r="BD1607" s="2237"/>
      <c r="BE1607" s="2237"/>
      <c r="BF1607" s="2237"/>
      <c r="BG1607" s="2237"/>
      <c r="BH1607" s="2237"/>
      <c r="BI1607" s="2237"/>
      <c r="BJ1607" s="2237"/>
      <c r="BK1607" s="2237"/>
      <c r="BL1607" s="2237"/>
      <c r="BM1607" s="2237"/>
      <c r="BN1607" s="2237"/>
      <c r="BO1607" s="2237"/>
      <c r="BP1607" s="2237"/>
      <c r="BQ1607" s="2237"/>
      <c r="BR1607" s="2237"/>
      <c r="BS1607" s="2237"/>
      <c r="BT1607" s="2237"/>
      <c r="BU1607" s="2237"/>
      <c r="BV1607" s="2237"/>
      <c r="BW1607" s="2237"/>
      <c r="BX1607" s="2237"/>
      <c r="BY1607" s="2237"/>
      <c r="BZ1607" s="2237"/>
      <c r="CA1607" s="2237"/>
      <c r="CB1607" s="2237"/>
      <c r="CC1607" s="2237"/>
      <c r="CD1607" s="2237"/>
      <c r="CE1607" s="2237"/>
      <c r="CF1607" s="2237"/>
      <c r="CG1607" s="2237"/>
      <c r="CH1607" s="2237"/>
      <c r="CI1607" s="2237"/>
      <c r="CJ1607" s="2237"/>
      <c r="CK1607" s="2237"/>
      <c r="CL1607" s="2237"/>
      <c r="CM1607" s="2237"/>
      <c r="CN1607" s="2237"/>
      <c r="CO1607" s="2237"/>
      <c r="CP1607" s="2237"/>
      <c r="CQ1607" s="2237"/>
      <c r="CR1607" s="2237"/>
      <c r="CS1607" s="2237"/>
      <c r="CT1607" s="2237"/>
      <c r="CU1607" s="2237"/>
      <c r="CV1607" s="2237"/>
      <c r="CW1607" s="2237"/>
      <c r="CX1607" s="2237"/>
      <c r="CY1607" s="2237"/>
      <c r="CZ1607" s="2237"/>
      <c r="DA1607" s="2237"/>
      <c r="DB1607" s="2237"/>
      <c r="DC1607" s="2237"/>
      <c r="DD1607" s="2237"/>
      <c r="DE1607" s="2237"/>
      <c r="DF1607" s="3393" t="str">
        <f t="shared" si="238"/>
        <v>ASHP-SEER16-Replace_CAC_NonElectricHeat_ER2_MF</v>
      </c>
      <c r="DG1607" s="3332"/>
      <c r="DH1607" s="2522" t="str">
        <f t="shared" si="240"/>
        <v>Heating Res ER2 12 Year EUL</v>
      </c>
      <c r="DI1607" s="3260">
        <f>(INDEX('Avoided Cost Benefits'!$B$4:$B$866,MATCH(DH1607,'Avoided Cost Benefits'!$A$4:$A$866,0)))*F1607</f>
        <v>0</v>
      </c>
      <c r="DJ1607" s="2507">
        <f t="shared" si="241"/>
        <v>0</v>
      </c>
      <c r="DM1607" s="252"/>
    </row>
    <row r="1608" spans="1:117">
      <c r="A1608" s="453"/>
      <c r="B1608" s="1454">
        <f t="shared" si="235"/>
        <v>353011</v>
      </c>
      <c r="C1608" s="2554" t="s">
        <v>2254</v>
      </c>
      <c r="D1608" s="3383" t="s">
        <v>1118</v>
      </c>
      <c r="E1608" s="2882" t="s">
        <v>2255</v>
      </c>
      <c r="F1608" s="3395">
        <f>ROUND(((K2736*K2929*(1/K3122-1/K3315)*K3508)/1000)*$K$3651,2)</f>
        <v>1518.75</v>
      </c>
      <c r="G1608" s="3384" t="s">
        <v>2077</v>
      </c>
      <c r="H1608" s="2213">
        <f>VLOOKUP(G1608,'CP FACTORS'!$A$3:$B$38, 2, FALSE)</f>
        <v>9.4741810000000004E-4</v>
      </c>
      <c r="I1608" s="3385">
        <f t="shared" si="239"/>
        <v>1.4388909999999999</v>
      </c>
      <c r="J1608" s="2449">
        <f t="shared" si="242"/>
        <v>6</v>
      </c>
      <c r="K1608" s="2467">
        <f t="shared" si="236"/>
        <v>807.79575427577197</v>
      </c>
      <c r="L1608" s="2649">
        <f>L1964</f>
        <v>2.8388888888888886</v>
      </c>
      <c r="M1608" s="3386"/>
      <c r="N1608" s="3387"/>
      <c r="O1608" s="2702"/>
      <c r="P1608" s="635"/>
      <c r="Q1608" s="635"/>
      <c r="R1608" s="2966"/>
      <c r="S1608" s="635"/>
      <c r="T1608" s="635"/>
      <c r="U1608" s="3388"/>
      <c r="V1608" s="2962" t="s">
        <v>45</v>
      </c>
      <c r="W1608" s="3389"/>
      <c r="X1608" s="3390"/>
      <c r="Y1608" s="3369"/>
      <c r="Z1608" s="3373"/>
      <c r="AA1608" s="3373"/>
      <c r="AB1608" s="3391"/>
      <c r="AC1608" s="3369">
        <v>567.38</v>
      </c>
      <c r="AD1608" s="3369">
        <v>987.19</v>
      </c>
      <c r="AE1608" s="3396">
        <v>1518.75</v>
      </c>
      <c r="AF1608" s="2236">
        <f t="shared" si="237"/>
        <v>1518.75</v>
      </c>
      <c r="AG1608" s="3389"/>
      <c r="AH1608" s="2728"/>
      <c r="AI1608" s="2237"/>
      <c r="AJ1608" s="2237"/>
      <c r="AK1608" s="3392"/>
      <c r="AL1608" s="2237"/>
      <c r="AM1608" s="2237"/>
      <c r="AN1608" s="2237"/>
      <c r="AO1608" s="2237"/>
      <c r="AP1608" s="2237"/>
      <c r="AQ1608" s="2237"/>
      <c r="AR1608" s="2237"/>
      <c r="AS1608" s="2237"/>
      <c r="AT1608" s="2237"/>
      <c r="AU1608" s="2237"/>
      <c r="AV1608" s="2237"/>
      <c r="AW1608" s="2237"/>
      <c r="AX1608" s="2237"/>
      <c r="AY1608" s="2237"/>
      <c r="AZ1608" s="2237"/>
      <c r="BA1608" s="2237"/>
      <c r="BB1608" s="2237"/>
      <c r="BC1608" s="2237"/>
      <c r="BD1608" s="2237"/>
      <c r="BE1608" s="2237"/>
      <c r="BF1608" s="2237"/>
      <c r="BG1608" s="2237"/>
      <c r="BH1608" s="2237"/>
      <c r="BI1608" s="2237"/>
      <c r="BJ1608" s="2237"/>
      <c r="BK1608" s="2237"/>
      <c r="BL1608" s="2237"/>
      <c r="BM1608" s="2237"/>
      <c r="BN1608" s="2237"/>
      <c r="BO1608" s="2237"/>
      <c r="BP1608" s="2237"/>
      <c r="BQ1608" s="2237"/>
      <c r="BR1608" s="2237"/>
      <c r="BS1608" s="2237"/>
      <c r="BT1608" s="2237"/>
      <c r="BU1608" s="2237"/>
      <c r="BV1608" s="2237"/>
      <c r="BW1608" s="2237"/>
      <c r="BX1608" s="2237"/>
      <c r="BY1608" s="2237"/>
      <c r="BZ1608" s="2237"/>
      <c r="CA1608" s="2237"/>
      <c r="CB1608" s="2237"/>
      <c r="CC1608" s="2237"/>
      <c r="CD1608" s="2237"/>
      <c r="CE1608" s="2237"/>
      <c r="CF1608" s="2237"/>
      <c r="CG1608" s="2237"/>
      <c r="CH1608" s="2237"/>
      <c r="CI1608" s="2237"/>
      <c r="CJ1608" s="2237"/>
      <c r="CK1608" s="2237"/>
      <c r="CL1608" s="2237"/>
      <c r="CM1608" s="2237"/>
      <c r="CN1608" s="2237"/>
      <c r="CO1608" s="2237"/>
      <c r="CP1608" s="2237"/>
      <c r="CQ1608" s="2237"/>
      <c r="CR1608" s="2237"/>
      <c r="CS1608" s="2237"/>
      <c r="CT1608" s="2237"/>
      <c r="CU1608" s="2237"/>
      <c r="CV1608" s="2237"/>
      <c r="CW1608" s="2237"/>
      <c r="CX1608" s="2237"/>
      <c r="CY1608" s="2237"/>
      <c r="CZ1608" s="2237"/>
      <c r="DA1608" s="2237"/>
      <c r="DB1608" s="2237"/>
      <c r="DC1608" s="2237"/>
      <c r="DD1608" s="2237"/>
      <c r="DE1608" s="2237"/>
      <c r="DF1608" s="3393" t="str">
        <f t="shared" si="238"/>
        <v>ASHP-SEER16-Replace_CAC_NonElectricHeat_ER1_MF_CompE</v>
      </c>
      <c r="DG1608" s="3259">
        <f>(DI1608+DI1609+DI1610+DI1611)/(DJ1608+DJ1609+DJ1610+DJ1611)</f>
        <v>2.3388161949074804</v>
      </c>
      <c r="DH1608" s="2882" t="str">
        <f t="shared" si="240"/>
        <v>Cooling Res 6 Year EUL</v>
      </c>
      <c r="DI1608" s="3260">
        <f>(INDEX('Avoided Cost Benefits'!$B$4:$B$866,MATCH(DH1608,'Avoided Cost Benefits'!$A$4:$A$866,0)))*F1608</f>
        <v>1512.4442978109632</v>
      </c>
      <c r="DJ1608" s="2507">
        <f t="shared" si="241"/>
        <v>807.79575427577197</v>
      </c>
      <c r="DM1608" s="252"/>
    </row>
    <row r="1609" spans="1:117">
      <c r="A1609" s="453"/>
      <c r="B1609" s="1454">
        <f t="shared" si="235"/>
        <v>353011</v>
      </c>
      <c r="C1609" s="2554" t="s">
        <v>2254</v>
      </c>
      <c r="D1609" s="3383" t="s">
        <v>1118</v>
      </c>
      <c r="E1609" s="2882" t="s">
        <v>2255</v>
      </c>
      <c r="F1609" s="3395">
        <v>0</v>
      </c>
      <c r="G1609" s="3384" t="s">
        <v>2078</v>
      </c>
      <c r="H1609" s="2213">
        <f>VLOOKUP(G1609,'CP FACTORS'!$A$3:$B$38, 2, FALSE)</f>
        <v>0</v>
      </c>
      <c r="I1609" s="3385">
        <f t="shared" si="239"/>
        <v>0</v>
      </c>
      <c r="J1609" s="2449">
        <f t="shared" si="242"/>
        <v>6</v>
      </c>
      <c r="K1609" s="2894">
        <f t="shared" si="236"/>
        <v>0</v>
      </c>
      <c r="L1609" s="2649"/>
      <c r="M1609" s="3386"/>
      <c r="N1609" s="3387"/>
      <c r="O1609" s="2702"/>
      <c r="P1609" s="635"/>
      <c r="Q1609" s="635"/>
      <c r="R1609" s="2966"/>
      <c r="S1609" s="635"/>
      <c r="T1609" s="635"/>
      <c r="U1609" s="3388"/>
      <c r="V1609" s="2962" t="s">
        <v>45</v>
      </c>
      <c r="W1609" s="3389"/>
      <c r="X1609" s="3390"/>
      <c r="Y1609" s="3369"/>
      <c r="Z1609" s="3373"/>
      <c r="AA1609" s="3373"/>
      <c r="AB1609" s="3391"/>
      <c r="AC1609" s="3369">
        <v>0</v>
      </c>
      <c r="AD1609" s="3369">
        <v>0</v>
      </c>
      <c r="AE1609" s="3389">
        <v>0</v>
      </c>
      <c r="AF1609" s="2236">
        <f t="shared" si="237"/>
        <v>0</v>
      </c>
      <c r="AG1609" s="3389"/>
      <c r="AH1609" s="2728"/>
      <c r="AI1609" s="2237"/>
      <c r="AJ1609" s="2237"/>
      <c r="AK1609" s="3392"/>
      <c r="AL1609" s="2237"/>
      <c r="AM1609" s="2237"/>
      <c r="AN1609" s="2237"/>
      <c r="AO1609" s="2237"/>
      <c r="AP1609" s="2237"/>
      <c r="AQ1609" s="2237"/>
      <c r="AR1609" s="2237"/>
      <c r="AS1609" s="2237"/>
      <c r="AT1609" s="2237"/>
      <c r="AU1609" s="2237"/>
      <c r="AV1609" s="2237"/>
      <c r="AW1609" s="2237"/>
      <c r="AX1609" s="2237"/>
      <c r="AY1609" s="2237"/>
      <c r="AZ1609" s="2237"/>
      <c r="BA1609" s="2237"/>
      <c r="BB1609" s="2237"/>
      <c r="BC1609" s="2237"/>
      <c r="BD1609" s="2237"/>
      <c r="BE1609" s="2237"/>
      <c r="BF1609" s="2237"/>
      <c r="BG1609" s="2237"/>
      <c r="BH1609" s="2237"/>
      <c r="BI1609" s="2237"/>
      <c r="BJ1609" s="2237"/>
      <c r="BK1609" s="2237"/>
      <c r="BL1609" s="2237"/>
      <c r="BM1609" s="2237"/>
      <c r="BN1609" s="2237"/>
      <c r="BO1609" s="2237"/>
      <c r="BP1609" s="2237"/>
      <c r="BQ1609" s="2237"/>
      <c r="BR1609" s="2237"/>
      <c r="BS1609" s="2237"/>
      <c r="BT1609" s="2237"/>
      <c r="BU1609" s="2237"/>
      <c r="BV1609" s="2237"/>
      <c r="BW1609" s="2237"/>
      <c r="BX1609" s="2237"/>
      <c r="BY1609" s="2237"/>
      <c r="BZ1609" s="2237"/>
      <c r="CA1609" s="2237"/>
      <c r="CB1609" s="2237"/>
      <c r="CC1609" s="2237"/>
      <c r="CD1609" s="2237"/>
      <c r="CE1609" s="2237"/>
      <c r="CF1609" s="2237"/>
      <c r="CG1609" s="2237"/>
      <c r="CH1609" s="2237"/>
      <c r="CI1609" s="2237"/>
      <c r="CJ1609" s="2237"/>
      <c r="CK1609" s="2237"/>
      <c r="CL1609" s="2237"/>
      <c r="CM1609" s="2237"/>
      <c r="CN1609" s="2237"/>
      <c r="CO1609" s="2237"/>
      <c r="CP1609" s="2237"/>
      <c r="CQ1609" s="2237"/>
      <c r="CR1609" s="2237"/>
      <c r="CS1609" s="2237"/>
      <c r="CT1609" s="2237"/>
      <c r="CU1609" s="2237"/>
      <c r="CV1609" s="2237"/>
      <c r="CW1609" s="2237"/>
      <c r="CX1609" s="2237"/>
      <c r="CY1609" s="2237"/>
      <c r="CZ1609" s="2237"/>
      <c r="DA1609" s="2237"/>
      <c r="DB1609" s="2237"/>
      <c r="DC1609" s="2237"/>
      <c r="DD1609" s="2237"/>
      <c r="DE1609" s="2237"/>
      <c r="DF1609" s="3393" t="str">
        <f t="shared" si="238"/>
        <v>ASHP-SEER16-Replace_CAC_NonElectricHeat_ER1_MF_CompE</v>
      </c>
      <c r="DG1609" s="3332"/>
      <c r="DH1609" s="2882" t="str">
        <f t="shared" si="240"/>
        <v>Heating Res 6 Year EUL</v>
      </c>
      <c r="DI1609" s="3260">
        <f>(INDEX('Avoided Cost Benefits'!$B$4:$B$866,MATCH(DH1609,'Avoided Cost Benefits'!$A$4:$A$866,0)))*F1609</f>
        <v>0</v>
      </c>
      <c r="DJ1609" s="2507">
        <f t="shared" si="241"/>
        <v>0</v>
      </c>
      <c r="DM1609" s="252"/>
    </row>
    <row r="1610" spans="1:117">
      <c r="A1610" s="453"/>
      <c r="B1610" s="1454">
        <f t="shared" si="235"/>
        <v>353011</v>
      </c>
      <c r="C1610" s="2554" t="s">
        <v>2254</v>
      </c>
      <c r="D1610" s="3383" t="s">
        <v>1118</v>
      </c>
      <c r="E1610" s="2882" t="s">
        <v>2256</v>
      </c>
      <c r="F1610" s="3396">
        <f>ROUND(((K2737*K2930*(1/K3123-1/K3316)*K3509)/1000)*$K$3651,2)</f>
        <v>291.24</v>
      </c>
      <c r="G1610" s="3384" t="s">
        <v>2138</v>
      </c>
      <c r="H1610" s="2213">
        <f>VLOOKUP(G1610,'CP FACTORS'!$A$3:$B$38, 2, FALSE)</f>
        <v>9.4741810000000004E-4</v>
      </c>
      <c r="I1610" s="3394">
        <f t="shared" si="239"/>
        <v>0.275926</v>
      </c>
      <c r="J1610" s="2449">
        <f t="shared" si="242"/>
        <v>12</v>
      </c>
      <c r="K1610" s="2894">
        <f t="shared" si="236"/>
        <v>0</v>
      </c>
      <c r="L1610" s="2649"/>
      <c r="M1610" s="3386"/>
      <c r="N1610" s="3387"/>
      <c r="O1610" s="2702"/>
      <c r="P1610" s="635"/>
      <c r="Q1610" s="635"/>
      <c r="R1610" s="2966"/>
      <c r="S1610" s="635"/>
      <c r="T1610" s="635"/>
      <c r="U1610" s="3388"/>
      <c r="V1610" s="2962" t="s">
        <v>45</v>
      </c>
      <c r="W1610" s="3389"/>
      <c r="X1610" s="3390"/>
      <c r="Y1610" s="3369"/>
      <c r="Z1610" s="3373"/>
      <c r="AA1610" s="3373"/>
      <c r="AB1610" s="3391"/>
      <c r="AC1610" s="3369">
        <v>142.19999999999999</v>
      </c>
      <c r="AD1610" s="3369">
        <v>225.15</v>
      </c>
      <c r="AE1610" s="3396">
        <v>214.43</v>
      </c>
      <c r="AF1610" s="2236">
        <f t="shared" si="237"/>
        <v>291.24</v>
      </c>
      <c r="AG1610" s="3389"/>
      <c r="AH1610" s="2728"/>
      <c r="AI1610" s="2237"/>
      <c r="AJ1610" s="2237"/>
      <c r="AK1610" s="3392"/>
      <c r="AL1610" s="2237"/>
      <c r="AM1610" s="2237"/>
      <c r="AN1610" s="2237"/>
      <c r="AO1610" s="2237"/>
      <c r="AP1610" s="2237"/>
      <c r="AQ1610" s="2237"/>
      <c r="AR1610" s="2237"/>
      <c r="AS1610" s="2237"/>
      <c r="AT1610" s="2237"/>
      <c r="AU1610" s="2237"/>
      <c r="AV1610" s="2237"/>
      <c r="AW1610" s="2237"/>
      <c r="AX1610" s="2237"/>
      <c r="AY1610" s="2237"/>
      <c r="AZ1610" s="2237"/>
      <c r="BA1610" s="2237"/>
      <c r="BB1610" s="2237"/>
      <c r="BC1610" s="2237"/>
      <c r="BD1610" s="2237"/>
      <c r="BE1610" s="2237"/>
      <c r="BF1610" s="2237"/>
      <c r="BG1610" s="2237"/>
      <c r="BH1610" s="2237"/>
      <c r="BI1610" s="2237"/>
      <c r="BJ1610" s="2237"/>
      <c r="BK1610" s="2237"/>
      <c r="BL1610" s="2237"/>
      <c r="BM1610" s="2237"/>
      <c r="BN1610" s="2237"/>
      <c r="BO1610" s="2237"/>
      <c r="BP1610" s="2237"/>
      <c r="BQ1610" s="2237"/>
      <c r="BR1610" s="2237"/>
      <c r="BS1610" s="2237"/>
      <c r="BT1610" s="2237"/>
      <c r="BU1610" s="2237"/>
      <c r="BV1610" s="2237"/>
      <c r="BW1610" s="2237"/>
      <c r="BX1610" s="2237"/>
      <c r="BY1610" s="2237"/>
      <c r="BZ1610" s="2237"/>
      <c r="CA1610" s="2237"/>
      <c r="CB1610" s="2237"/>
      <c r="CC1610" s="2237"/>
      <c r="CD1610" s="2237"/>
      <c r="CE1610" s="2237"/>
      <c r="CF1610" s="2237"/>
      <c r="CG1610" s="2237"/>
      <c r="CH1610" s="2237"/>
      <c r="CI1610" s="2237"/>
      <c r="CJ1610" s="2237"/>
      <c r="CK1610" s="2237"/>
      <c r="CL1610" s="2237"/>
      <c r="CM1610" s="2237"/>
      <c r="CN1610" s="2237"/>
      <c r="CO1610" s="2237"/>
      <c r="CP1610" s="2237"/>
      <c r="CQ1610" s="2237"/>
      <c r="CR1610" s="2237"/>
      <c r="CS1610" s="2237"/>
      <c r="CT1610" s="2237"/>
      <c r="CU1610" s="2237"/>
      <c r="CV1610" s="2237"/>
      <c r="CW1610" s="2237"/>
      <c r="CX1610" s="2237"/>
      <c r="CY1610" s="2237"/>
      <c r="CZ1610" s="2237"/>
      <c r="DA1610" s="2237"/>
      <c r="DB1610" s="2237"/>
      <c r="DC1610" s="2237"/>
      <c r="DD1610" s="2237"/>
      <c r="DE1610" s="2237"/>
      <c r="DF1610" s="3393" t="str">
        <f t="shared" si="238"/>
        <v>ASHP-SEER16-Replace_CAC_NonElectricHeat_ER2_MF_CompE</v>
      </c>
      <c r="DG1610" s="3332"/>
      <c r="DH1610" s="2882" t="str">
        <f t="shared" si="240"/>
        <v>Cooling Res ER2 12 Year EUL</v>
      </c>
      <c r="DI1610" s="3260">
        <f>(INDEX('Avoided Cost Benefits'!$B$4:$B$866,MATCH(DH1610,'Avoided Cost Benefits'!$A$4:$A$866,0)))*F1610</f>
        <v>376.84149446671574</v>
      </c>
      <c r="DJ1610" s="2507">
        <f t="shared" si="241"/>
        <v>0</v>
      </c>
      <c r="DM1610" s="252"/>
    </row>
    <row r="1611" spans="1:117">
      <c r="A1611" s="453"/>
      <c r="B1611" s="1454">
        <f t="shared" si="235"/>
        <v>353011</v>
      </c>
      <c r="C1611" s="2554" t="s">
        <v>2254</v>
      </c>
      <c r="D1611" s="3383" t="s">
        <v>1118</v>
      </c>
      <c r="E1611" s="2882" t="s">
        <v>2256</v>
      </c>
      <c r="F1611" s="3395">
        <f>0</f>
        <v>0</v>
      </c>
      <c r="G1611" s="3384" t="s">
        <v>2173</v>
      </c>
      <c r="H1611" s="2213">
        <f>VLOOKUP(G1611,'CP FACTORS'!$A$3:$B$38, 2, FALSE)</f>
        <v>0</v>
      </c>
      <c r="I1611" s="3385">
        <f t="shared" si="239"/>
        <v>0</v>
      </c>
      <c r="J1611" s="2449">
        <f t="shared" si="242"/>
        <v>12</v>
      </c>
      <c r="K1611" s="2894">
        <f t="shared" si="236"/>
        <v>0</v>
      </c>
      <c r="L1611" s="2649"/>
      <c r="M1611" s="3386"/>
      <c r="N1611" s="3387"/>
      <c r="O1611" s="2702"/>
      <c r="P1611" s="635"/>
      <c r="Q1611" s="635"/>
      <c r="R1611" s="2966"/>
      <c r="S1611" s="635"/>
      <c r="T1611" s="635"/>
      <c r="U1611" s="3388"/>
      <c r="V1611" s="2962" t="s">
        <v>45</v>
      </c>
      <c r="W1611" s="3389"/>
      <c r="X1611" s="3390"/>
      <c r="Y1611" s="3369"/>
      <c r="Z1611" s="3373"/>
      <c r="AA1611" s="3373"/>
      <c r="AB1611" s="3391"/>
      <c r="AC1611" s="3369">
        <v>0</v>
      </c>
      <c r="AD1611" s="3373">
        <v>0</v>
      </c>
      <c r="AE1611" s="3389">
        <v>0</v>
      </c>
      <c r="AF1611" s="2236">
        <f t="shared" si="237"/>
        <v>0</v>
      </c>
      <c r="AG1611" s="3389"/>
      <c r="AH1611" s="2728"/>
      <c r="AI1611" s="2237"/>
      <c r="AJ1611" s="2237"/>
      <c r="AK1611" s="3392"/>
      <c r="AL1611" s="2237"/>
      <c r="AM1611" s="2237"/>
      <c r="AN1611" s="2237"/>
      <c r="AO1611" s="2237"/>
      <c r="AP1611" s="2237"/>
      <c r="AQ1611" s="2237"/>
      <c r="AR1611" s="2237"/>
      <c r="AS1611" s="2237"/>
      <c r="AT1611" s="2237"/>
      <c r="AU1611" s="2237"/>
      <c r="AV1611" s="2237"/>
      <c r="AW1611" s="2237"/>
      <c r="AX1611" s="2237"/>
      <c r="AY1611" s="2237"/>
      <c r="AZ1611" s="2237"/>
      <c r="BA1611" s="2237"/>
      <c r="BB1611" s="2237"/>
      <c r="BC1611" s="2237"/>
      <c r="BD1611" s="2237"/>
      <c r="BE1611" s="2237"/>
      <c r="BF1611" s="2237"/>
      <c r="BG1611" s="2237"/>
      <c r="BH1611" s="2237"/>
      <c r="BI1611" s="2237"/>
      <c r="BJ1611" s="2237"/>
      <c r="BK1611" s="2237"/>
      <c r="BL1611" s="2237"/>
      <c r="BM1611" s="2237"/>
      <c r="BN1611" s="2237"/>
      <c r="BO1611" s="2237"/>
      <c r="BP1611" s="2237"/>
      <c r="BQ1611" s="2237"/>
      <c r="BR1611" s="2237"/>
      <c r="BS1611" s="2237"/>
      <c r="BT1611" s="2237"/>
      <c r="BU1611" s="2237"/>
      <c r="BV1611" s="2237"/>
      <c r="BW1611" s="2237"/>
      <c r="BX1611" s="2237"/>
      <c r="BY1611" s="2237"/>
      <c r="BZ1611" s="2237"/>
      <c r="CA1611" s="2237"/>
      <c r="CB1611" s="2237"/>
      <c r="CC1611" s="2237"/>
      <c r="CD1611" s="2237"/>
      <c r="CE1611" s="2237"/>
      <c r="CF1611" s="2237"/>
      <c r="CG1611" s="2237"/>
      <c r="CH1611" s="2237"/>
      <c r="CI1611" s="2237"/>
      <c r="CJ1611" s="2237"/>
      <c r="CK1611" s="2237"/>
      <c r="CL1611" s="2237"/>
      <c r="CM1611" s="2237"/>
      <c r="CN1611" s="2237"/>
      <c r="CO1611" s="2237"/>
      <c r="CP1611" s="2237"/>
      <c r="CQ1611" s="2237"/>
      <c r="CR1611" s="2237"/>
      <c r="CS1611" s="2237"/>
      <c r="CT1611" s="2237"/>
      <c r="CU1611" s="2237"/>
      <c r="CV1611" s="2237"/>
      <c r="CW1611" s="2237"/>
      <c r="CX1611" s="2237"/>
      <c r="CY1611" s="2237"/>
      <c r="CZ1611" s="2237"/>
      <c r="DA1611" s="2237"/>
      <c r="DB1611" s="2237"/>
      <c r="DC1611" s="2237"/>
      <c r="DD1611" s="2237"/>
      <c r="DE1611" s="2237"/>
      <c r="DF1611" s="3393" t="str">
        <f t="shared" si="238"/>
        <v>ASHP-SEER16-Replace_CAC_NonElectricHeat_ER2_MF_CompE</v>
      </c>
      <c r="DG1611" s="3332"/>
      <c r="DH1611" s="2882" t="str">
        <f t="shared" si="240"/>
        <v>Heating Res ER2 12 Year EUL</v>
      </c>
      <c r="DI1611" s="3260">
        <f>(INDEX('Avoided Cost Benefits'!$B$4:$B$866,MATCH(DH1611,'Avoided Cost Benefits'!$A$4:$A$866,0)))*F1611</f>
        <v>0</v>
      </c>
      <c r="DJ1611" s="2507">
        <f t="shared" si="241"/>
        <v>0</v>
      </c>
      <c r="DM1611" s="252"/>
    </row>
    <row r="1612" spans="1:117">
      <c r="A1612" s="453"/>
      <c r="B1612" s="1454">
        <f t="shared" si="235"/>
        <v>353050</v>
      </c>
      <c r="C1612" s="2554" t="s">
        <v>2257</v>
      </c>
      <c r="D1612" s="3383" t="s">
        <v>1122</v>
      </c>
      <c r="E1612" s="3398" t="s">
        <v>2258</v>
      </c>
      <c r="F1612" s="3396">
        <f>ROUND(((K2738*K2931*(1/K3124-1/K3317)*K3510)/1000)*$K$3651,2)</f>
        <v>85.08</v>
      </c>
      <c r="G1612" s="3384" t="s">
        <v>2077</v>
      </c>
      <c r="H1612" s="2213">
        <f>VLOOKUP(G1612,'CP FACTORS'!$A$3:$B$38, 2, FALSE)</f>
        <v>9.4741810000000004E-4</v>
      </c>
      <c r="I1612" s="3394">
        <f t="shared" si="239"/>
        <v>8.0605999999999997E-2</v>
      </c>
      <c r="J1612" s="2449">
        <f t="shared" si="242"/>
        <v>18</v>
      </c>
      <c r="K1612" s="2467">
        <f t="shared" si="236"/>
        <v>135</v>
      </c>
      <c r="L1612" s="2649">
        <f>L1966</f>
        <v>2.1833333333333331</v>
      </c>
      <c r="M1612" s="3386"/>
      <c r="N1612" s="3387"/>
      <c r="O1612" s="2702"/>
      <c r="P1612" s="635"/>
      <c r="Q1612" s="635"/>
      <c r="R1612" s="2966"/>
      <c r="S1612" s="635"/>
      <c r="T1612" s="635"/>
      <c r="U1612" s="3388"/>
      <c r="V1612" s="2962" t="s">
        <v>45</v>
      </c>
      <c r="W1612" s="3389">
        <v>109.33614947965923</v>
      </c>
      <c r="X1612" s="3397">
        <v>109.33614947965923</v>
      </c>
      <c r="Y1612" s="3373">
        <v>109.34</v>
      </c>
      <c r="Z1612" s="3373">
        <v>109.34</v>
      </c>
      <c r="AA1612" s="3373">
        <v>109.34</v>
      </c>
      <c r="AB1612" s="3400">
        <v>109.34</v>
      </c>
      <c r="AC1612" s="3369">
        <v>64.98</v>
      </c>
      <c r="AD1612" s="3369">
        <v>124.14</v>
      </c>
      <c r="AE1612" s="3396">
        <v>0</v>
      </c>
      <c r="AF1612" s="2236">
        <f t="shared" si="237"/>
        <v>85.08</v>
      </c>
      <c r="AG1612" s="3389"/>
      <c r="AH1612" s="2728"/>
      <c r="AI1612" s="2237"/>
      <c r="AJ1612" s="2237"/>
      <c r="AK1612" s="3392"/>
      <c r="AL1612" s="2237"/>
      <c r="AM1612" s="2237"/>
      <c r="AN1612" s="2237"/>
      <c r="AO1612" s="2237"/>
      <c r="AP1612" s="2237"/>
      <c r="AQ1612" s="2237"/>
      <c r="AR1612" s="2237"/>
      <c r="AS1612" s="2237"/>
      <c r="AT1612" s="2237"/>
      <c r="AU1612" s="2237"/>
      <c r="AV1612" s="2237"/>
      <c r="AW1612" s="2237"/>
      <c r="AX1612" s="2237"/>
      <c r="AY1612" s="2237"/>
      <c r="AZ1612" s="2237"/>
      <c r="BA1612" s="2237"/>
      <c r="BB1612" s="2237"/>
      <c r="BC1612" s="2237"/>
      <c r="BD1612" s="2237"/>
      <c r="BE1612" s="2237"/>
      <c r="BF1612" s="2237"/>
      <c r="BG1612" s="2237"/>
      <c r="BH1612" s="2237"/>
      <c r="BI1612" s="2237"/>
      <c r="BJ1612" s="2237"/>
      <c r="BK1612" s="2237"/>
      <c r="BL1612" s="2237"/>
      <c r="BM1612" s="2237"/>
      <c r="BN1612" s="2237"/>
      <c r="BO1612" s="2237"/>
      <c r="BP1612" s="2237"/>
      <c r="BQ1612" s="2237"/>
      <c r="BR1612" s="2237"/>
      <c r="BS1612" s="2237"/>
      <c r="BT1612" s="2237"/>
      <c r="BU1612" s="2237"/>
      <c r="BV1612" s="2237"/>
      <c r="BW1612" s="2237"/>
      <c r="BX1612" s="2237"/>
      <c r="BY1612" s="2237"/>
      <c r="BZ1612" s="2237"/>
      <c r="CA1612" s="2237"/>
      <c r="CB1612" s="2237"/>
      <c r="CC1612" s="2237"/>
      <c r="CD1612" s="2237"/>
      <c r="CE1612" s="2237"/>
      <c r="CF1612" s="2237"/>
      <c r="CG1612" s="2237"/>
      <c r="CH1612" s="2237"/>
      <c r="CI1612" s="2237"/>
      <c r="CJ1612" s="2237"/>
      <c r="CK1612" s="2237"/>
      <c r="CL1612" s="2237"/>
      <c r="CM1612" s="2237"/>
      <c r="CN1612" s="2237"/>
      <c r="CO1612" s="2237"/>
      <c r="CP1612" s="2237"/>
      <c r="CQ1612" s="2237"/>
      <c r="CR1612" s="2237"/>
      <c r="CS1612" s="2237"/>
      <c r="CT1612" s="2237"/>
      <c r="CU1612" s="2237"/>
      <c r="CV1612" s="2237"/>
      <c r="CW1612" s="2237"/>
      <c r="CX1612" s="2237"/>
      <c r="CY1612" s="2237"/>
      <c r="CZ1612" s="2237"/>
      <c r="DA1612" s="2237"/>
      <c r="DB1612" s="2237"/>
      <c r="DC1612" s="2237"/>
      <c r="DD1612" s="2237"/>
      <c r="DE1612" s="2237"/>
      <c r="DF1612" s="3393" t="str">
        <f t="shared" si="238"/>
        <v>ASHP-SEER15_ROF_MF</v>
      </c>
      <c r="DG1612" s="3259">
        <f>(DI1612+DI1613)/(DJ1612+DJ1613)</f>
        <v>1.443063244306952</v>
      </c>
      <c r="DH1612" s="3398" t="str">
        <f t="shared" si="240"/>
        <v>Cooling Res 18 Year EUL</v>
      </c>
      <c r="DI1612" s="3260">
        <f>(INDEX('Avoided Cost Benefits'!$B$4:$B$866,MATCH(DH1612,'Avoided Cost Benefits'!$A$4:$A$866,0)))*F1612</f>
        <v>194.81353798143851</v>
      </c>
      <c r="DJ1612" s="2507">
        <f>IFERROR(K1612/(1.0686^(2025-2025)),10000000)</f>
        <v>135</v>
      </c>
      <c r="DM1612" s="252"/>
    </row>
    <row r="1613" spans="1:117">
      <c r="A1613" s="453"/>
      <c r="B1613" s="1454">
        <f t="shared" si="235"/>
        <v>353050</v>
      </c>
      <c r="C1613" s="2554" t="s">
        <v>2257</v>
      </c>
      <c r="D1613" s="3383" t="s">
        <v>1122</v>
      </c>
      <c r="E1613" s="3402" t="s">
        <v>2258</v>
      </c>
      <c r="F1613" s="3396">
        <f>ROUND(((K1966*K2159*(1/K2352-1/K2545)*K3510)/1000)*$K$3651,2)</f>
        <v>0</v>
      </c>
      <c r="G1613" s="3384" t="s">
        <v>2078</v>
      </c>
      <c r="H1613" s="2213">
        <f>VLOOKUP(G1613,'CP FACTORS'!$A$3:$B$38, 2, FALSE)</f>
        <v>0</v>
      </c>
      <c r="I1613" s="3385">
        <f t="shared" si="239"/>
        <v>0</v>
      </c>
      <c r="J1613" s="2449">
        <f t="shared" si="242"/>
        <v>18</v>
      </c>
      <c r="K1613" s="2894">
        <f t="shared" si="236"/>
        <v>0</v>
      </c>
      <c r="L1613" s="2649"/>
      <c r="M1613" s="3386"/>
      <c r="N1613" s="3387"/>
      <c r="O1613" s="2702"/>
      <c r="P1613" s="635"/>
      <c r="Q1613" s="635"/>
      <c r="R1613" s="2966"/>
      <c r="S1613" s="635"/>
      <c r="T1613" s="635"/>
      <c r="U1613" s="3388"/>
      <c r="V1613" s="2962" t="s">
        <v>45</v>
      </c>
      <c r="W1613" s="3389">
        <v>340.46551724137925</v>
      </c>
      <c r="X1613" s="3390">
        <v>253.52733389402857</v>
      </c>
      <c r="Y1613" s="3373">
        <v>253.53</v>
      </c>
      <c r="Z1613" s="3373">
        <v>253.53</v>
      </c>
      <c r="AA1613" s="3373">
        <v>253.53</v>
      </c>
      <c r="AB1613" s="3400">
        <v>253.53</v>
      </c>
      <c r="AC1613" s="3369">
        <v>254.65</v>
      </c>
      <c r="AD1613" s="3369">
        <v>168.7</v>
      </c>
      <c r="AE1613" s="3396">
        <v>-53.62</v>
      </c>
      <c r="AF1613" s="2236">
        <f t="shared" si="237"/>
        <v>0</v>
      </c>
      <c r="AG1613" s="3389"/>
      <c r="AH1613" s="2728"/>
      <c r="AI1613" s="2237"/>
      <c r="AJ1613" s="2237"/>
      <c r="AK1613" s="3392"/>
      <c r="AL1613" s="2237"/>
      <c r="AM1613" s="2237"/>
      <c r="AN1613" s="2237"/>
      <c r="AO1613" s="2237"/>
      <c r="AP1613" s="2237"/>
      <c r="AQ1613" s="2237"/>
      <c r="AR1613" s="2237"/>
      <c r="AS1613" s="2237"/>
      <c r="AT1613" s="2237"/>
      <c r="AU1613" s="2237"/>
      <c r="AV1613" s="2237"/>
      <c r="AW1613" s="2237"/>
      <c r="AX1613" s="2237"/>
      <c r="AY1613" s="2237"/>
      <c r="AZ1613" s="2237"/>
      <c r="BA1613" s="2237"/>
      <c r="BB1613" s="2237"/>
      <c r="BC1613" s="2237"/>
      <c r="BD1613" s="2237"/>
      <c r="BE1613" s="2237"/>
      <c r="BF1613" s="2237"/>
      <c r="BG1613" s="2237"/>
      <c r="BH1613" s="2237"/>
      <c r="BI1613" s="2237"/>
      <c r="BJ1613" s="2237"/>
      <c r="BK1613" s="2237"/>
      <c r="BL1613" s="2237"/>
      <c r="BM1613" s="2237"/>
      <c r="BN1613" s="2237"/>
      <c r="BO1613" s="2237"/>
      <c r="BP1613" s="2237"/>
      <c r="BQ1613" s="2237"/>
      <c r="BR1613" s="2237"/>
      <c r="BS1613" s="2237"/>
      <c r="BT1613" s="2237"/>
      <c r="BU1613" s="2237"/>
      <c r="BV1613" s="2237"/>
      <c r="BW1613" s="2237"/>
      <c r="BX1613" s="2237"/>
      <c r="BY1613" s="2237"/>
      <c r="BZ1613" s="2237"/>
      <c r="CA1613" s="2237"/>
      <c r="CB1613" s="2237"/>
      <c r="CC1613" s="2237"/>
      <c r="CD1613" s="2237"/>
      <c r="CE1613" s="2237"/>
      <c r="CF1613" s="2237"/>
      <c r="CG1613" s="2237"/>
      <c r="CH1613" s="2237"/>
      <c r="CI1613" s="2237"/>
      <c r="CJ1613" s="2237"/>
      <c r="CK1613" s="2237"/>
      <c r="CL1613" s="2237"/>
      <c r="CM1613" s="2237"/>
      <c r="CN1613" s="2237"/>
      <c r="CO1613" s="2237"/>
      <c r="CP1613" s="2237"/>
      <c r="CQ1613" s="2237"/>
      <c r="CR1613" s="2237"/>
      <c r="CS1613" s="2237"/>
      <c r="CT1613" s="2237"/>
      <c r="CU1613" s="2237"/>
      <c r="CV1613" s="2237"/>
      <c r="CW1613" s="2237"/>
      <c r="CX1613" s="2237"/>
      <c r="CY1613" s="2237"/>
      <c r="CZ1613" s="2237"/>
      <c r="DA1613" s="2237"/>
      <c r="DB1613" s="2237"/>
      <c r="DC1613" s="2237"/>
      <c r="DD1613" s="2237"/>
      <c r="DE1613" s="2237"/>
      <c r="DF1613" s="3393" t="str">
        <f t="shared" si="238"/>
        <v>ASHP-SEER15_ROF_MF</v>
      </c>
      <c r="DG1613" s="3261"/>
      <c r="DH1613" s="3402" t="str">
        <f t="shared" si="240"/>
        <v>Heating Res 18 Year EUL</v>
      </c>
      <c r="DI1613" s="3260">
        <f>(INDEX('Avoided Cost Benefits'!$B$4:$B$866,MATCH(DH1613,'Avoided Cost Benefits'!$A$4:$A$866,0)))*F1613</f>
        <v>0</v>
      </c>
      <c r="DJ1613" s="2507">
        <f>K1613/(1.0686^(2025-2025))</f>
        <v>0</v>
      </c>
      <c r="DM1613" s="252"/>
    </row>
    <row r="1614" spans="1:117">
      <c r="A1614" s="453"/>
      <c r="B1614" s="1454">
        <f t="shared" si="235"/>
        <v>353051</v>
      </c>
      <c r="C1614" s="2554" t="s">
        <v>2259</v>
      </c>
      <c r="D1614" s="3383" t="s">
        <v>1118</v>
      </c>
      <c r="E1614" s="2521" t="s">
        <v>2260</v>
      </c>
      <c r="F1614" s="3396">
        <f>ROUND((($K$2739*$K$2932*(1/$K$3125-1/$K$3318)*$K$3511)/1000)*$K$3651,2)</f>
        <v>61.87</v>
      </c>
      <c r="G1614" s="3384" t="str">
        <f>G1612</f>
        <v>Cooling Res</v>
      </c>
      <c r="H1614" s="2213">
        <f>VLOOKUP(G1614,'CP FACTORS'!$A$3:$B$38, 2, FALSE)</f>
        <v>9.4741810000000004E-4</v>
      </c>
      <c r="I1614" s="3394">
        <f t="shared" si="239"/>
        <v>5.8617000000000002E-2</v>
      </c>
      <c r="J1614" s="2449">
        <f t="shared" si="242"/>
        <v>18</v>
      </c>
      <c r="K1614" s="2467">
        <f t="shared" si="236"/>
        <v>135</v>
      </c>
      <c r="L1614" s="2649">
        <f>L1967</f>
        <v>2.1833333333333331</v>
      </c>
      <c r="M1614" s="3386"/>
      <c r="N1614" s="3387"/>
      <c r="O1614" s="2702"/>
      <c r="P1614" s="635"/>
      <c r="Q1614" s="635"/>
      <c r="R1614" s="2966"/>
      <c r="S1614" s="635"/>
      <c r="T1614" s="635"/>
      <c r="U1614" s="3388"/>
      <c r="V1614" s="2962" t="s">
        <v>45</v>
      </c>
      <c r="W1614" s="3389"/>
      <c r="X1614" s="3390"/>
      <c r="Y1614" s="3369">
        <v>79.52</v>
      </c>
      <c r="Z1614" s="3373">
        <v>79.52</v>
      </c>
      <c r="AA1614" s="3373">
        <v>79.52</v>
      </c>
      <c r="AB1614" s="3400">
        <v>79.52</v>
      </c>
      <c r="AC1614" s="3369">
        <v>51.64</v>
      </c>
      <c r="AD1614" s="3369">
        <v>90.29</v>
      </c>
      <c r="AE1614" s="3396">
        <v>0</v>
      </c>
      <c r="AF1614" s="2236">
        <f t="shared" si="237"/>
        <v>61.87</v>
      </c>
      <c r="AG1614" s="3389"/>
      <c r="AH1614" s="2728"/>
      <c r="AI1614" s="2237"/>
      <c r="AJ1614" s="2237"/>
      <c r="AK1614" s="3392"/>
      <c r="AL1614" s="2237"/>
      <c r="AM1614" s="2237"/>
      <c r="AN1614" s="2237"/>
      <c r="AO1614" s="2237"/>
      <c r="AP1614" s="2237"/>
      <c r="AQ1614" s="2237"/>
      <c r="AR1614" s="2237"/>
      <c r="AS1614" s="2237"/>
      <c r="AT1614" s="2237"/>
      <c r="AU1614" s="2237"/>
      <c r="AV1614" s="2237"/>
      <c r="AW1614" s="2237"/>
      <c r="AX1614" s="2237"/>
      <c r="AY1614" s="2237"/>
      <c r="AZ1614" s="2237"/>
      <c r="BA1614" s="2237"/>
      <c r="BB1614" s="2237"/>
      <c r="BC1614" s="2237"/>
      <c r="BD1614" s="2237"/>
      <c r="BE1614" s="2237"/>
      <c r="BF1614" s="2237"/>
      <c r="BG1614" s="2237"/>
      <c r="BH1614" s="2237"/>
      <c r="BI1614" s="2237"/>
      <c r="BJ1614" s="2237"/>
      <c r="BK1614" s="2237"/>
      <c r="BL1614" s="2237"/>
      <c r="BM1614" s="2237"/>
      <c r="BN1614" s="2237"/>
      <c r="BO1614" s="2237"/>
      <c r="BP1614" s="2237"/>
      <c r="BQ1614" s="2237"/>
      <c r="BR1614" s="2237"/>
      <c r="BS1614" s="2237"/>
      <c r="BT1614" s="2237"/>
      <c r="BU1614" s="2237"/>
      <c r="BV1614" s="2237"/>
      <c r="BW1614" s="2237"/>
      <c r="BX1614" s="2237"/>
      <c r="BY1614" s="2237"/>
      <c r="BZ1614" s="2237"/>
      <c r="CA1614" s="2237"/>
      <c r="CB1614" s="2237"/>
      <c r="CC1614" s="2237"/>
      <c r="CD1614" s="2237"/>
      <c r="CE1614" s="2237"/>
      <c r="CF1614" s="2237"/>
      <c r="CG1614" s="2237"/>
      <c r="CH1614" s="2237"/>
      <c r="CI1614" s="2237"/>
      <c r="CJ1614" s="2237"/>
      <c r="CK1614" s="2237"/>
      <c r="CL1614" s="2237"/>
      <c r="CM1614" s="2237"/>
      <c r="CN1614" s="2237"/>
      <c r="CO1614" s="2237"/>
      <c r="CP1614" s="2237"/>
      <c r="CQ1614" s="2237"/>
      <c r="CR1614" s="2237"/>
      <c r="CS1614" s="2237"/>
      <c r="CT1614" s="2237"/>
      <c r="CU1614" s="2237"/>
      <c r="CV1614" s="2237"/>
      <c r="CW1614" s="2237"/>
      <c r="CX1614" s="2237"/>
      <c r="CY1614" s="2237"/>
      <c r="CZ1614" s="2237"/>
      <c r="DA1614" s="2237"/>
      <c r="DB1614" s="2237"/>
      <c r="DC1614" s="2237"/>
      <c r="DD1614" s="2237"/>
      <c r="DE1614" s="2237"/>
      <c r="DF1614" s="3393" t="str">
        <f t="shared" si="238"/>
        <v>ASHP-SEER15_ROF_MF_CompE</v>
      </c>
      <c r="DG1614" s="3259">
        <f>(DI1614+DI1615)/(DJ1614+DJ1615)</f>
        <v>1.0493926060798202</v>
      </c>
      <c r="DH1614" s="3398" t="str">
        <f t="shared" si="240"/>
        <v>Cooling Res 18 Year EUL</v>
      </c>
      <c r="DI1614" s="3260">
        <f>(INDEX('Avoided Cost Benefits'!$B$4:$B$866,MATCH(DH1614,'Avoided Cost Benefits'!$A$4:$A$866,0)))*F1614</f>
        <v>141.66800182077574</v>
      </c>
      <c r="DJ1614" s="2507">
        <f>IFERROR(K1614/(1.0686^(2025-2025)),10000000)</f>
        <v>135</v>
      </c>
      <c r="DM1614" s="252"/>
    </row>
    <row r="1615" spans="1:117">
      <c r="A1615" s="453"/>
      <c r="B1615" s="1454">
        <f t="shared" si="235"/>
        <v>353051</v>
      </c>
      <c r="C1615" s="2554" t="str">
        <f>C1614</f>
        <v>353051_2024_12_</v>
      </c>
      <c r="D1615" s="3383" t="s">
        <v>1118</v>
      </c>
      <c r="E1615" s="2522" t="s">
        <v>2260</v>
      </c>
      <c r="F1615" s="3396">
        <f>ROUND((($K$1967*$K$2160*(1/$K$2353-1/$K$2546)*$K$3511)/1000)*$K$3651,2)</f>
        <v>0</v>
      </c>
      <c r="G1615" s="3384" t="str">
        <f>G1613</f>
        <v>Heating Res</v>
      </c>
      <c r="H1615" s="2213">
        <f>VLOOKUP(G1615,'CP FACTORS'!$A$3:$B$38, 2, FALSE)</f>
        <v>0</v>
      </c>
      <c r="I1615" s="3385">
        <f t="shared" si="239"/>
        <v>0</v>
      </c>
      <c r="J1615" s="2449">
        <f t="shared" si="242"/>
        <v>18</v>
      </c>
      <c r="K1615" s="2894">
        <f t="shared" si="236"/>
        <v>0</v>
      </c>
      <c r="L1615" s="2649"/>
      <c r="M1615" s="3386"/>
      <c r="N1615" s="3387"/>
      <c r="O1615" s="2702"/>
      <c r="P1615" s="635"/>
      <c r="Q1615" s="635"/>
      <c r="R1615" s="2966"/>
      <c r="S1615" s="635"/>
      <c r="T1615" s="635"/>
      <c r="U1615" s="3388"/>
      <c r="V1615" s="2962" t="s">
        <v>45</v>
      </c>
      <c r="W1615" s="3389"/>
      <c r="X1615" s="3390"/>
      <c r="Y1615" s="3369">
        <v>86.43</v>
      </c>
      <c r="Z1615" s="3373">
        <v>86.43</v>
      </c>
      <c r="AA1615" s="3373">
        <v>86.43</v>
      </c>
      <c r="AB1615" s="3400">
        <v>86.43</v>
      </c>
      <c r="AC1615" s="3369">
        <v>86.81</v>
      </c>
      <c r="AD1615" s="3369">
        <v>57.51</v>
      </c>
      <c r="AE1615" s="3396">
        <v>-18.28</v>
      </c>
      <c r="AF1615" s="2236">
        <f t="shared" si="237"/>
        <v>0</v>
      </c>
      <c r="AG1615" s="3389"/>
      <c r="AH1615" s="2728"/>
      <c r="AI1615" s="2237"/>
      <c r="AJ1615" s="2237"/>
      <c r="AK1615" s="3392"/>
      <c r="AL1615" s="2237"/>
      <c r="AM1615" s="2237"/>
      <c r="AN1615" s="2237"/>
      <c r="AO1615" s="2237"/>
      <c r="AP1615" s="2237"/>
      <c r="AQ1615" s="2237"/>
      <c r="AR1615" s="2237"/>
      <c r="AS1615" s="2237"/>
      <c r="AT1615" s="2237"/>
      <c r="AU1615" s="2237"/>
      <c r="AV1615" s="2237"/>
      <c r="AW1615" s="2237"/>
      <c r="AX1615" s="2237"/>
      <c r="AY1615" s="2237"/>
      <c r="AZ1615" s="2237"/>
      <c r="BA1615" s="2237"/>
      <c r="BB1615" s="2237"/>
      <c r="BC1615" s="2237"/>
      <c r="BD1615" s="2237"/>
      <c r="BE1615" s="2237"/>
      <c r="BF1615" s="2237"/>
      <c r="BG1615" s="2237"/>
      <c r="BH1615" s="2237"/>
      <c r="BI1615" s="2237"/>
      <c r="BJ1615" s="2237"/>
      <c r="BK1615" s="2237"/>
      <c r="BL1615" s="2237"/>
      <c r="BM1615" s="2237"/>
      <c r="BN1615" s="2237"/>
      <c r="BO1615" s="2237"/>
      <c r="BP1615" s="2237"/>
      <c r="BQ1615" s="2237"/>
      <c r="BR1615" s="2237"/>
      <c r="BS1615" s="2237"/>
      <c r="BT1615" s="2237"/>
      <c r="BU1615" s="2237"/>
      <c r="BV1615" s="2237"/>
      <c r="BW1615" s="2237"/>
      <c r="BX1615" s="2237"/>
      <c r="BY1615" s="2237"/>
      <c r="BZ1615" s="2237"/>
      <c r="CA1615" s="2237"/>
      <c r="CB1615" s="2237"/>
      <c r="CC1615" s="2237"/>
      <c r="CD1615" s="2237"/>
      <c r="CE1615" s="2237"/>
      <c r="CF1615" s="2237"/>
      <c r="CG1615" s="2237"/>
      <c r="CH1615" s="2237"/>
      <c r="CI1615" s="2237"/>
      <c r="CJ1615" s="2237"/>
      <c r="CK1615" s="2237"/>
      <c r="CL1615" s="2237"/>
      <c r="CM1615" s="2237"/>
      <c r="CN1615" s="2237"/>
      <c r="CO1615" s="2237"/>
      <c r="CP1615" s="2237"/>
      <c r="CQ1615" s="2237"/>
      <c r="CR1615" s="2237"/>
      <c r="CS1615" s="2237"/>
      <c r="CT1615" s="2237"/>
      <c r="CU1615" s="2237"/>
      <c r="CV1615" s="2237"/>
      <c r="CW1615" s="2237"/>
      <c r="CX1615" s="2237"/>
      <c r="CY1615" s="2237"/>
      <c r="CZ1615" s="2237"/>
      <c r="DA1615" s="2237"/>
      <c r="DB1615" s="2237"/>
      <c r="DC1615" s="2237"/>
      <c r="DD1615" s="2237"/>
      <c r="DE1615" s="2237"/>
      <c r="DF1615" s="3393" t="str">
        <f t="shared" si="238"/>
        <v>ASHP-SEER15_ROF_MF_CompE</v>
      </c>
      <c r="DG1615" s="3261"/>
      <c r="DH1615" s="3402" t="str">
        <f t="shared" si="240"/>
        <v>Heating Res 18 Year EUL</v>
      </c>
      <c r="DI1615" s="3260">
        <f>(INDEX('Avoided Cost Benefits'!$B$4:$B$866,MATCH(DH1615,'Avoided Cost Benefits'!$A$4:$A$866,0)))*F1615</f>
        <v>0</v>
      </c>
      <c r="DJ1615" s="2507">
        <f>K1615/(1.0686^(2025-2025))</f>
        <v>0</v>
      </c>
      <c r="DM1615" s="252"/>
    </row>
    <row r="1616" spans="1:117">
      <c r="A1616" s="453"/>
      <c r="B1616" s="1454">
        <f t="shared" si="235"/>
        <v>353100</v>
      </c>
      <c r="C1616" s="682" t="s">
        <v>2261</v>
      </c>
      <c r="D1616" s="3470" t="s">
        <v>1043</v>
      </c>
      <c r="E1616" s="215" t="s">
        <v>2262</v>
      </c>
      <c r="F1616" s="227">
        <f>ROUND(((K2740*K2933*(1/K3126-1/K3319)*K3512)/1000)*$K$3651,2)</f>
        <v>510.45</v>
      </c>
      <c r="G1616" s="570" t="s">
        <v>2077</v>
      </c>
      <c r="H1616" s="69">
        <f>VLOOKUP(G1616,'CP FACTORS'!$A$3:$B$38, 2, FALSE)</f>
        <v>9.4741810000000004E-4</v>
      </c>
      <c r="I1616" s="1477">
        <f t="shared" si="239"/>
        <v>0.48360999999999998</v>
      </c>
      <c r="J1616" s="59">
        <f>K3760</f>
        <v>18</v>
      </c>
      <c r="K1616" s="166">
        <f t="shared" si="236"/>
        <v>4073.1981423529414</v>
      </c>
      <c r="L1616" s="1107">
        <f>L1968</f>
        <v>3.2119969039215692</v>
      </c>
      <c r="M1616" s="560"/>
      <c r="N1616" s="572"/>
      <c r="O1616" s="417"/>
      <c r="R1616" s="532"/>
      <c r="S1616" s="52"/>
      <c r="T1616" s="52"/>
      <c r="U1616" s="574"/>
      <c r="V1616" s="1442" t="s">
        <v>45</v>
      </c>
      <c r="W1616" s="962">
        <v>2576.329411764706</v>
      </c>
      <c r="X1616" s="251">
        <v>1787.6571428571426</v>
      </c>
      <c r="Y1616" s="227">
        <v>528.48</v>
      </c>
      <c r="Z1616" s="225">
        <v>528.48</v>
      </c>
      <c r="AA1616" s="225">
        <v>528.48</v>
      </c>
      <c r="AB1616" s="1027">
        <v>528.48</v>
      </c>
      <c r="AC1616" s="227">
        <v>538.32000000000005</v>
      </c>
      <c r="AD1616" s="227">
        <v>605.63</v>
      </c>
      <c r="AE1616" s="227">
        <v>424.08</v>
      </c>
      <c r="AF1616" s="271">
        <f t="shared" si="237"/>
        <v>510.45</v>
      </c>
      <c r="AG1616" s="962"/>
      <c r="AH1616" s="121"/>
      <c r="AK1616" s="963"/>
      <c r="DF1616" s="1650" t="str">
        <f t="shared" si="238"/>
        <v>ASHP-SEER17-Replace_CAC_ElectricHeat_ROF_SF</v>
      </c>
      <c r="DG1616" s="1090">
        <f>(DI1616+DI1617)/(DJ1616+DJ1617)</f>
        <v>1.8931507853865068</v>
      </c>
      <c r="DH1616" s="215" t="str">
        <f t="shared" si="240"/>
        <v>Cooling Res 18 Year EUL</v>
      </c>
      <c r="DI1616" s="1091">
        <f>(INDEX('Avoided Cost Benefits'!$B$4:$B$866,MATCH(DH1616,'Avoided Cost Benefits'!$A$4:$A$866,0)))*F1616</f>
        <v>1168.8125348216417</v>
      </c>
      <c r="DJ1616" s="1176">
        <f>IFERROR(K1616/(1.0686^(2025-2025)),10000000)</f>
        <v>4073.1981423529414</v>
      </c>
      <c r="DM1616" s="252"/>
    </row>
    <row r="1617" spans="1:117">
      <c r="A1617" s="453"/>
      <c r="B1617" s="1454">
        <f t="shared" si="235"/>
        <v>353100</v>
      </c>
      <c r="C1617" s="682" t="s">
        <v>2261</v>
      </c>
      <c r="D1617" s="3470" t="s">
        <v>1043</v>
      </c>
      <c r="E1617" s="253" t="s">
        <v>2262</v>
      </c>
      <c r="F1617" s="225">
        <f>ROUND(((K1968*K2161*(1/K2354-1/K2547)*K3512)/1000)*$K$3651,2)</f>
        <v>10794.65</v>
      </c>
      <c r="G1617" s="570" t="s">
        <v>2078</v>
      </c>
      <c r="H1617" s="69">
        <f>VLOOKUP(G1617,'CP FACTORS'!$A$3:$B$38, 2, FALSE)</f>
        <v>0</v>
      </c>
      <c r="I1617" s="1167">
        <f t="shared" si="239"/>
        <v>0</v>
      </c>
      <c r="J1617" s="59">
        <f>K3761</f>
        <v>18</v>
      </c>
      <c r="K1617" s="163">
        <f t="shared" si="236"/>
        <v>0</v>
      </c>
      <c r="L1617" s="255"/>
      <c r="M1617" s="560"/>
      <c r="N1617" s="572"/>
      <c r="O1617" s="417"/>
      <c r="R1617" s="532"/>
      <c r="S1617" s="52"/>
      <c r="T1617" s="52"/>
      <c r="U1617" s="574"/>
      <c r="V1617" s="1442" t="s">
        <v>45</v>
      </c>
      <c r="W1617" s="962">
        <v>12836.414910662994</v>
      </c>
      <c r="X1617" s="251">
        <v>9558.6245427336198</v>
      </c>
      <c r="Y1617" s="225">
        <v>9558.6200000000008</v>
      </c>
      <c r="Z1617" s="225">
        <v>9558.6200000000008</v>
      </c>
      <c r="AA1617" s="225">
        <v>9558.6200000000008</v>
      </c>
      <c r="AB1617" s="1027">
        <v>9558.6200000000008</v>
      </c>
      <c r="AC1617" s="227">
        <v>9112.0499999999993</v>
      </c>
      <c r="AD1617" s="227">
        <v>9907.98</v>
      </c>
      <c r="AE1617" s="227">
        <v>10794.65</v>
      </c>
      <c r="AF1617" s="271">
        <f t="shared" si="237"/>
        <v>10794.65</v>
      </c>
      <c r="AG1617" s="962"/>
      <c r="AH1617" s="121"/>
      <c r="AK1617" s="963"/>
      <c r="DF1617" s="1650" t="str">
        <f t="shared" si="238"/>
        <v>ASHP-SEER17-Replace_CAC_ElectricHeat_ROF_SF</v>
      </c>
      <c r="DG1617" s="1092"/>
      <c r="DH1617" s="253" t="str">
        <f t="shared" si="240"/>
        <v>Heating Res 18 Year EUL</v>
      </c>
      <c r="DI1617" s="1091">
        <f>(INDEX('Avoided Cost Benefits'!$B$4:$B$866,MATCH(DH1617,'Avoided Cost Benefits'!$A$4:$A$866,0)))*F1617</f>
        <v>6542.36572740869</v>
      </c>
      <c r="DJ1617" s="1176">
        <f>K1617/(1.0686^(2025-2025))</f>
        <v>0</v>
      </c>
      <c r="DM1617" s="252"/>
    </row>
    <row r="1618" spans="1:117">
      <c r="A1618" s="453"/>
      <c r="B1618" s="1454">
        <f t="shared" si="235"/>
        <v>353110</v>
      </c>
      <c r="C1618" s="682" t="s">
        <v>2263</v>
      </c>
      <c r="D1618" s="3470" t="s">
        <v>1800</v>
      </c>
      <c r="E1618" s="215" t="s">
        <v>2264</v>
      </c>
      <c r="F1618" s="227">
        <f>ROUND(((K2741*K2934*(1/K3127-1/K3320)*K3513)/1000)*$K$3651,2)</f>
        <v>510.45</v>
      </c>
      <c r="G1618" s="570" t="s">
        <v>2077</v>
      </c>
      <c r="H1618" s="69">
        <f>VLOOKUP(G1618,'CP FACTORS'!$A$3:$B$38, 2, FALSE)</f>
        <v>9.4741810000000004E-4</v>
      </c>
      <c r="I1618" s="1477">
        <f t="shared" si="239"/>
        <v>0.48360999999999998</v>
      </c>
      <c r="J1618" s="59">
        <f>K3762</f>
        <v>18</v>
      </c>
      <c r="K1618" s="166">
        <f t="shared" si="236"/>
        <v>183.91380808343658</v>
      </c>
      <c r="L1618" s="1107">
        <f>L1969</f>
        <v>3.2119969039215692</v>
      </c>
      <c r="M1618" s="560"/>
      <c r="N1618" s="572"/>
      <c r="O1618" s="417"/>
      <c r="R1618" s="532"/>
      <c r="S1618" s="52"/>
      <c r="T1618" s="52"/>
      <c r="U1618" s="574"/>
      <c r="V1618" s="1442" t="s">
        <v>45</v>
      </c>
      <c r="W1618" s="962"/>
      <c r="X1618" s="251"/>
      <c r="Y1618" s="227"/>
      <c r="Z1618" s="225"/>
      <c r="AA1618" s="225"/>
      <c r="AB1618" s="1026"/>
      <c r="AC1618" s="227"/>
      <c r="AD1618" s="227">
        <v>605.63</v>
      </c>
      <c r="AE1618" s="227">
        <v>424.08</v>
      </c>
      <c r="AF1618" s="271">
        <f t="shared" si="237"/>
        <v>510.45</v>
      </c>
      <c r="AG1618" s="962"/>
      <c r="AH1618" s="121"/>
      <c r="AK1618" s="963"/>
      <c r="DF1618" s="1650" t="str">
        <f t="shared" si="238"/>
        <v>ASHP-SEER17-Replace_CAC_NonElectricHeat_ROF_SF</v>
      </c>
      <c r="DG1618" s="1090">
        <f>(DI1618+DI1619)/(DJ1618+DJ1619)</f>
        <v>6.3552190398416633</v>
      </c>
      <c r="DH1618" s="215" t="str">
        <f>CONCATENATE(G1618," ",J1618," Year EUL")</f>
        <v>Cooling Res 18 Year EUL</v>
      </c>
      <c r="DI1618" s="1091">
        <f>(INDEX('Avoided Cost Benefits'!$B$4:$B$866,MATCH(DH1618,'Avoided Cost Benefits'!$A$4:$A$866,0)))*F1618</f>
        <v>1168.8125348216417</v>
      </c>
      <c r="DJ1618" s="1176">
        <f>IFERROR(K1618/(1.0686^(2025-2025)),10000000)</f>
        <v>183.91380808343658</v>
      </c>
      <c r="DM1618" s="252"/>
    </row>
    <row r="1619" spans="1:117">
      <c r="A1619" s="453"/>
      <c r="B1619" s="1454">
        <f t="shared" si="235"/>
        <v>353110</v>
      </c>
      <c r="C1619" s="682" t="s">
        <v>2263</v>
      </c>
      <c r="D1619" s="3470" t="s">
        <v>1800</v>
      </c>
      <c r="E1619" s="253" t="s">
        <v>2264</v>
      </c>
      <c r="F1619" s="225">
        <f>0</f>
        <v>0</v>
      </c>
      <c r="G1619" s="570" t="s">
        <v>2078</v>
      </c>
      <c r="H1619" s="69">
        <f>VLOOKUP(G1619,'CP FACTORS'!$A$3:$B$38, 2, FALSE)</f>
        <v>0</v>
      </c>
      <c r="I1619" s="1167">
        <f t="shared" si="239"/>
        <v>0</v>
      </c>
      <c r="J1619" s="59">
        <f>K3763</f>
        <v>18</v>
      </c>
      <c r="K1619" s="163">
        <f t="shared" si="236"/>
        <v>0</v>
      </c>
      <c r="L1619" s="255"/>
      <c r="M1619" s="560"/>
      <c r="N1619" s="572"/>
      <c r="O1619" s="417"/>
      <c r="R1619" s="532"/>
      <c r="S1619" s="52"/>
      <c r="T1619" s="52"/>
      <c r="U1619" s="574"/>
      <c r="V1619" s="1442" t="s">
        <v>45</v>
      </c>
      <c r="W1619" s="962"/>
      <c r="X1619" s="251"/>
      <c r="Y1619" s="227"/>
      <c r="Z1619" s="225"/>
      <c r="AA1619" s="225"/>
      <c r="AB1619" s="1026"/>
      <c r="AC1619" s="227"/>
      <c r="AD1619" s="227">
        <v>0</v>
      </c>
      <c r="AE1619" s="225">
        <v>0</v>
      </c>
      <c r="AF1619" s="271">
        <f t="shared" si="237"/>
        <v>0</v>
      </c>
      <c r="AG1619" s="962"/>
      <c r="AH1619" s="121"/>
      <c r="AK1619" s="963"/>
      <c r="DF1619" s="1650" t="str">
        <f t="shared" si="238"/>
        <v>ASHP-SEER17-Replace_CAC_NonElectricHeat_ROF_SF</v>
      </c>
      <c r="DG1619" s="1092"/>
      <c r="DH1619" s="253" t="str">
        <f>CONCATENATE(G1619," ",J1619," Year EUL")</f>
        <v>Heating Res 18 Year EUL</v>
      </c>
      <c r="DI1619" s="1091">
        <f>(INDEX('Avoided Cost Benefits'!$B$4:$B$866,MATCH(DH1619,'Avoided Cost Benefits'!$A$4:$A$866,0)))*F1619</f>
        <v>0</v>
      </c>
      <c r="DJ1619" s="1176">
        <f>K1619/(1.0686^(2025-2025))</f>
        <v>0</v>
      </c>
      <c r="DM1619" s="252"/>
    </row>
    <row r="1620" spans="1:117">
      <c r="A1620" s="453"/>
      <c r="B1620" s="1454">
        <f t="shared" si="235"/>
        <v>353150</v>
      </c>
      <c r="C1620" s="2554" t="s">
        <v>2265</v>
      </c>
      <c r="D1620" s="3383" t="s">
        <v>1122</v>
      </c>
      <c r="E1620" s="3398" t="s">
        <v>2266</v>
      </c>
      <c r="F1620" s="3369">
        <f>ROUND(((K2742*K2935*(1/K3128-1/K3321)*K3514)/1000)*$K$3651,2)</f>
        <v>299.93</v>
      </c>
      <c r="G1620" s="3384" t="s">
        <v>2077</v>
      </c>
      <c r="H1620" s="2213">
        <f>VLOOKUP(G1620,'CP FACTORS'!$A$3:$B$38, 2, FALSE)</f>
        <v>9.4741810000000004E-4</v>
      </c>
      <c r="I1620" s="3404">
        <f t="shared" si="239"/>
        <v>0.28415899999999999</v>
      </c>
      <c r="J1620" s="2449">
        <f t="shared" ref="J1620:J1629" si="243">K3764</f>
        <v>18</v>
      </c>
      <c r="K1620" s="2467">
        <f t="shared" si="236"/>
        <v>3238</v>
      </c>
      <c r="L1620" s="2649">
        <f>L1970</f>
        <v>2.8</v>
      </c>
      <c r="M1620" s="3386"/>
      <c r="N1620" s="3387"/>
      <c r="O1620" s="2702"/>
      <c r="P1620" s="635"/>
      <c r="Q1620" s="635"/>
      <c r="R1620" s="2966"/>
      <c r="S1620" s="635"/>
      <c r="T1620" s="635"/>
      <c r="U1620" s="3388"/>
      <c r="V1620" s="2962" t="s">
        <v>45</v>
      </c>
      <c r="W1620" s="3389">
        <v>1674.6141176470589</v>
      </c>
      <c r="X1620" s="3390">
        <v>1161.9771428571428</v>
      </c>
      <c r="Y1620" s="3369">
        <v>343.51</v>
      </c>
      <c r="Z1620" s="3373">
        <v>343.51</v>
      </c>
      <c r="AA1620" s="3373">
        <v>343.51</v>
      </c>
      <c r="AB1620" s="3400">
        <v>343.51</v>
      </c>
      <c r="AC1620" s="3401">
        <v>343.51</v>
      </c>
      <c r="AD1620" s="3373">
        <v>343.51</v>
      </c>
      <c r="AE1620" s="3369">
        <v>239.23</v>
      </c>
      <c r="AF1620" s="2236">
        <f t="shared" si="237"/>
        <v>299.93</v>
      </c>
      <c r="AG1620" s="3389"/>
      <c r="AH1620" s="2728"/>
      <c r="AI1620" s="2237"/>
      <c r="AJ1620" s="2237"/>
      <c r="AK1620" s="3392"/>
      <c r="AL1620" s="2237"/>
      <c r="AM1620" s="2237"/>
      <c r="AN1620" s="2237"/>
      <c r="AO1620" s="2237"/>
      <c r="AP1620" s="2237"/>
      <c r="AQ1620" s="2237"/>
      <c r="AR1620" s="2237"/>
      <c r="AS1620" s="2237"/>
      <c r="AT1620" s="2237"/>
      <c r="AU1620" s="2237"/>
      <c r="AV1620" s="2237"/>
      <c r="AW1620" s="2237"/>
      <c r="AX1620" s="2237"/>
      <c r="AY1620" s="2237"/>
      <c r="AZ1620" s="2237"/>
      <c r="BA1620" s="2237"/>
      <c r="BB1620" s="2237"/>
      <c r="BC1620" s="2237"/>
      <c r="BD1620" s="2237"/>
      <c r="BE1620" s="2237"/>
      <c r="BF1620" s="2237"/>
      <c r="BG1620" s="2237"/>
      <c r="BH1620" s="2237"/>
      <c r="BI1620" s="2237"/>
      <c r="BJ1620" s="2237"/>
      <c r="BK1620" s="2237"/>
      <c r="BL1620" s="2237"/>
      <c r="BM1620" s="2237"/>
      <c r="BN1620" s="2237"/>
      <c r="BO1620" s="2237"/>
      <c r="BP1620" s="2237"/>
      <c r="BQ1620" s="2237"/>
      <c r="BR1620" s="2237"/>
      <c r="BS1620" s="2237"/>
      <c r="BT1620" s="2237"/>
      <c r="BU1620" s="2237"/>
      <c r="BV1620" s="2237"/>
      <c r="BW1620" s="2237"/>
      <c r="BX1620" s="2237"/>
      <c r="BY1620" s="2237"/>
      <c r="BZ1620" s="2237"/>
      <c r="CA1620" s="2237"/>
      <c r="CB1620" s="2237"/>
      <c r="CC1620" s="2237"/>
      <c r="CD1620" s="2237"/>
      <c r="CE1620" s="2237"/>
      <c r="CF1620" s="2237"/>
      <c r="CG1620" s="2237"/>
      <c r="CH1620" s="2237"/>
      <c r="CI1620" s="2237"/>
      <c r="CJ1620" s="2237"/>
      <c r="CK1620" s="2237"/>
      <c r="CL1620" s="2237"/>
      <c r="CM1620" s="2237"/>
      <c r="CN1620" s="2237"/>
      <c r="CO1620" s="2237"/>
      <c r="CP1620" s="2237"/>
      <c r="CQ1620" s="2237"/>
      <c r="CR1620" s="2237"/>
      <c r="CS1620" s="2237"/>
      <c r="CT1620" s="2237"/>
      <c r="CU1620" s="2237"/>
      <c r="CV1620" s="2237"/>
      <c r="CW1620" s="2237"/>
      <c r="CX1620" s="2237"/>
      <c r="CY1620" s="2237"/>
      <c r="CZ1620" s="2237"/>
      <c r="DA1620" s="2237"/>
      <c r="DB1620" s="2237"/>
      <c r="DC1620" s="2237"/>
      <c r="DD1620" s="2237"/>
      <c r="DE1620" s="2237"/>
      <c r="DF1620" s="3393" t="str">
        <f t="shared" si="238"/>
        <v>ASHP-SEER17-Replace_CAC_ElectricHeat_ROF_MF</v>
      </c>
      <c r="DG1620" s="3259">
        <f>(DI1620+DI1621)/(DJ1620+DJ1621)</f>
        <v>1.3750401512609267</v>
      </c>
      <c r="DH1620" s="3398" t="str">
        <f t="shared" si="240"/>
        <v>Cooling Res 18 Year EUL</v>
      </c>
      <c r="DI1620" s="3260">
        <f>(INDEX('Avoided Cost Benefits'!$B$4:$B$866,MATCH(DH1620,'Avoided Cost Benefits'!$A$4:$A$866,0)))*F1620</f>
        <v>686.77038606926249</v>
      </c>
      <c r="DJ1620" s="2507">
        <f>IFERROR(K1620/(1.0686^(2025-2025)),10000000)</f>
        <v>3238</v>
      </c>
      <c r="DM1620" s="252"/>
    </row>
    <row r="1621" spans="1:117">
      <c r="A1621" s="453"/>
      <c r="B1621" s="1454">
        <f t="shared" si="235"/>
        <v>353150</v>
      </c>
      <c r="C1621" s="2554" t="s">
        <v>2265</v>
      </c>
      <c r="D1621" s="3383" t="s">
        <v>1122</v>
      </c>
      <c r="E1621" s="3402" t="s">
        <v>2266</v>
      </c>
      <c r="F1621" s="3373">
        <f>ROUND(((K1970*K2163*(1/K2356-1/K2549)*K3514)/1000)*$K$3651,2)</f>
        <v>6213.11</v>
      </c>
      <c r="G1621" s="3384" t="s">
        <v>2078</v>
      </c>
      <c r="H1621" s="2213">
        <f>VLOOKUP(G1621,'CP FACTORS'!$A$3:$B$38, 2, FALSE)</f>
        <v>0</v>
      </c>
      <c r="I1621" s="3405">
        <f t="shared" si="239"/>
        <v>0</v>
      </c>
      <c r="J1621" s="2449">
        <f t="shared" si="243"/>
        <v>18</v>
      </c>
      <c r="K1621" s="2894">
        <f t="shared" si="236"/>
        <v>0</v>
      </c>
      <c r="L1621" s="2649"/>
      <c r="M1621" s="3386"/>
      <c r="N1621" s="3387"/>
      <c r="O1621" s="2702"/>
      <c r="P1621" s="635"/>
      <c r="Q1621" s="635"/>
      <c r="R1621" s="2966"/>
      <c r="S1621" s="635"/>
      <c r="T1621" s="635"/>
      <c r="U1621" s="3388"/>
      <c r="V1621" s="2962" t="s">
        <v>45</v>
      </c>
      <c r="W1621" s="3389">
        <v>8343.6696919309452</v>
      </c>
      <c r="X1621" s="3390">
        <v>6213.105952776853</v>
      </c>
      <c r="Y1621" s="3373">
        <v>6213.11</v>
      </c>
      <c r="Z1621" s="3373">
        <v>6213.11</v>
      </c>
      <c r="AA1621" s="3373">
        <v>6213.11</v>
      </c>
      <c r="AB1621" s="3400">
        <v>6213.11</v>
      </c>
      <c r="AC1621" s="3401">
        <v>6213.11</v>
      </c>
      <c r="AD1621" s="3373">
        <v>6213.11</v>
      </c>
      <c r="AE1621" s="3373">
        <v>6213.11</v>
      </c>
      <c r="AF1621" s="2236">
        <f t="shared" si="237"/>
        <v>6213.11</v>
      </c>
      <c r="AG1621" s="3389"/>
      <c r="AH1621" s="2728"/>
      <c r="AI1621" s="2237"/>
      <c r="AJ1621" s="2237"/>
      <c r="AK1621" s="3392"/>
      <c r="AL1621" s="2237"/>
      <c r="AM1621" s="2237"/>
      <c r="AN1621" s="2237"/>
      <c r="AO1621" s="2237"/>
      <c r="AP1621" s="2237"/>
      <c r="AQ1621" s="2237"/>
      <c r="AR1621" s="2237"/>
      <c r="AS1621" s="2237"/>
      <c r="AT1621" s="2237"/>
      <c r="AU1621" s="2237"/>
      <c r="AV1621" s="2237"/>
      <c r="AW1621" s="2237"/>
      <c r="AX1621" s="2237"/>
      <c r="AY1621" s="2237"/>
      <c r="AZ1621" s="2237"/>
      <c r="BA1621" s="2237"/>
      <c r="BB1621" s="2237"/>
      <c r="BC1621" s="2237"/>
      <c r="BD1621" s="2237"/>
      <c r="BE1621" s="2237"/>
      <c r="BF1621" s="2237"/>
      <c r="BG1621" s="2237"/>
      <c r="BH1621" s="2237"/>
      <c r="BI1621" s="2237"/>
      <c r="BJ1621" s="2237"/>
      <c r="BK1621" s="2237"/>
      <c r="BL1621" s="2237"/>
      <c r="BM1621" s="2237"/>
      <c r="BN1621" s="2237"/>
      <c r="BO1621" s="2237"/>
      <c r="BP1621" s="2237"/>
      <c r="BQ1621" s="2237"/>
      <c r="BR1621" s="2237"/>
      <c r="BS1621" s="2237"/>
      <c r="BT1621" s="2237"/>
      <c r="BU1621" s="2237"/>
      <c r="BV1621" s="2237"/>
      <c r="BW1621" s="2237"/>
      <c r="BX1621" s="2237"/>
      <c r="BY1621" s="2237"/>
      <c r="BZ1621" s="2237"/>
      <c r="CA1621" s="2237"/>
      <c r="CB1621" s="2237"/>
      <c r="CC1621" s="2237"/>
      <c r="CD1621" s="2237"/>
      <c r="CE1621" s="2237"/>
      <c r="CF1621" s="2237"/>
      <c r="CG1621" s="2237"/>
      <c r="CH1621" s="2237"/>
      <c r="CI1621" s="2237"/>
      <c r="CJ1621" s="2237"/>
      <c r="CK1621" s="2237"/>
      <c r="CL1621" s="2237"/>
      <c r="CM1621" s="2237"/>
      <c r="CN1621" s="2237"/>
      <c r="CO1621" s="2237"/>
      <c r="CP1621" s="2237"/>
      <c r="CQ1621" s="2237"/>
      <c r="CR1621" s="2237"/>
      <c r="CS1621" s="2237"/>
      <c r="CT1621" s="2237"/>
      <c r="CU1621" s="2237"/>
      <c r="CV1621" s="2237"/>
      <c r="CW1621" s="2237"/>
      <c r="CX1621" s="2237"/>
      <c r="CY1621" s="2237"/>
      <c r="CZ1621" s="2237"/>
      <c r="DA1621" s="2237"/>
      <c r="DB1621" s="2237"/>
      <c r="DC1621" s="2237"/>
      <c r="DD1621" s="2237"/>
      <c r="DE1621" s="2237"/>
      <c r="DF1621" s="3393" t="str">
        <f t="shared" si="238"/>
        <v>ASHP-SEER17-Replace_CAC_ElectricHeat_ROF_MF</v>
      </c>
      <c r="DG1621" s="3261"/>
      <c r="DH1621" s="3402" t="str">
        <f t="shared" si="240"/>
        <v>Heating Res 18 Year EUL</v>
      </c>
      <c r="DI1621" s="3260">
        <f>(INDEX('Avoided Cost Benefits'!$B$4:$B$866,MATCH(DH1621,'Avoided Cost Benefits'!$A$4:$A$866,0)))*F1621</f>
        <v>3765.609623713618</v>
      </c>
      <c r="DJ1621" s="2507">
        <f>K1621/(1.0686^(2025-2025))</f>
        <v>0</v>
      </c>
      <c r="DM1621" s="252"/>
    </row>
    <row r="1622" spans="1:117">
      <c r="A1622" s="453"/>
      <c r="B1622" s="1454">
        <f t="shared" si="235"/>
        <v>353151</v>
      </c>
      <c r="C1622" s="2554" t="s">
        <v>2267</v>
      </c>
      <c r="D1622" s="3383" t="s">
        <v>1118</v>
      </c>
      <c r="E1622" s="2521" t="s">
        <v>2268</v>
      </c>
      <c r="F1622" s="3369">
        <f>ROUND((($K$2743*$K$2936*(1/$K$3129-1/$K$3322)*$K$3515)/1000)*$K$3651,2)</f>
        <v>218.13</v>
      </c>
      <c r="G1622" s="3384" t="str">
        <f>G1620</f>
        <v>Cooling Res</v>
      </c>
      <c r="H1622" s="2213">
        <f>VLOOKUP(G1622,'CP FACTORS'!$A$3:$B$38, 2, FALSE)</f>
        <v>9.4741810000000004E-4</v>
      </c>
      <c r="I1622" s="3404">
        <f t="shared" si="239"/>
        <v>0.20666000000000001</v>
      </c>
      <c r="J1622" s="2449">
        <f t="shared" si="243"/>
        <v>18</v>
      </c>
      <c r="K1622" s="2467">
        <f t="shared" si="236"/>
        <v>3238</v>
      </c>
      <c r="L1622" s="2649">
        <f>L1971</f>
        <v>2.8</v>
      </c>
      <c r="M1622" s="3386"/>
      <c r="N1622" s="3387"/>
      <c r="O1622" s="2702"/>
      <c r="P1622" s="635"/>
      <c r="Q1622" s="635"/>
      <c r="R1622" s="2966"/>
      <c r="S1622" s="635"/>
      <c r="T1622" s="635"/>
      <c r="U1622" s="3388"/>
      <c r="V1622" s="2962" t="s">
        <v>45</v>
      </c>
      <c r="W1622" s="3389"/>
      <c r="X1622" s="3390"/>
      <c r="Y1622" s="3369">
        <v>249.83</v>
      </c>
      <c r="Z1622" s="3373">
        <v>249.83</v>
      </c>
      <c r="AA1622" s="3373">
        <v>249.83</v>
      </c>
      <c r="AB1622" s="3400">
        <v>249.83</v>
      </c>
      <c r="AC1622" s="3401">
        <v>249.83</v>
      </c>
      <c r="AD1622" s="3373">
        <v>249.83</v>
      </c>
      <c r="AE1622" s="3369">
        <v>173.99</v>
      </c>
      <c r="AF1622" s="2236">
        <f t="shared" si="237"/>
        <v>218.13</v>
      </c>
      <c r="AG1622" s="3389"/>
      <c r="AH1622" s="2728"/>
      <c r="AI1622" s="2237"/>
      <c r="AJ1622" s="2237"/>
      <c r="AK1622" s="3392"/>
      <c r="AL1622" s="2237"/>
      <c r="AM1622" s="2237"/>
      <c r="AN1622" s="2237"/>
      <c r="AO1622" s="2237"/>
      <c r="AP1622" s="2237"/>
      <c r="AQ1622" s="2237"/>
      <c r="AR1622" s="2237"/>
      <c r="AS1622" s="2237"/>
      <c r="AT1622" s="2237"/>
      <c r="AU1622" s="2237"/>
      <c r="AV1622" s="2237"/>
      <c r="AW1622" s="2237"/>
      <c r="AX1622" s="2237"/>
      <c r="AY1622" s="2237"/>
      <c r="AZ1622" s="2237"/>
      <c r="BA1622" s="2237"/>
      <c r="BB1622" s="2237"/>
      <c r="BC1622" s="2237"/>
      <c r="BD1622" s="2237"/>
      <c r="BE1622" s="2237"/>
      <c r="BF1622" s="2237"/>
      <c r="BG1622" s="2237"/>
      <c r="BH1622" s="2237"/>
      <c r="BI1622" s="2237"/>
      <c r="BJ1622" s="2237"/>
      <c r="BK1622" s="2237"/>
      <c r="BL1622" s="2237"/>
      <c r="BM1622" s="2237"/>
      <c r="BN1622" s="2237"/>
      <c r="BO1622" s="2237"/>
      <c r="BP1622" s="2237"/>
      <c r="BQ1622" s="2237"/>
      <c r="BR1622" s="2237"/>
      <c r="BS1622" s="2237"/>
      <c r="BT1622" s="2237"/>
      <c r="BU1622" s="2237"/>
      <c r="BV1622" s="2237"/>
      <c r="BW1622" s="2237"/>
      <c r="BX1622" s="2237"/>
      <c r="BY1622" s="2237"/>
      <c r="BZ1622" s="2237"/>
      <c r="CA1622" s="2237"/>
      <c r="CB1622" s="2237"/>
      <c r="CC1622" s="2237"/>
      <c r="CD1622" s="2237"/>
      <c r="CE1622" s="2237"/>
      <c r="CF1622" s="2237"/>
      <c r="CG1622" s="2237"/>
      <c r="CH1622" s="2237"/>
      <c r="CI1622" s="2237"/>
      <c r="CJ1622" s="2237"/>
      <c r="CK1622" s="2237"/>
      <c r="CL1622" s="2237"/>
      <c r="CM1622" s="2237"/>
      <c r="CN1622" s="2237"/>
      <c r="CO1622" s="2237"/>
      <c r="CP1622" s="2237"/>
      <c r="CQ1622" s="2237"/>
      <c r="CR1622" s="2237"/>
      <c r="CS1622" s="2237"/>
      <c r="CT1622" s="2237"/>
      <c r="CU1622" s="2237"/>
      <c r="CV1622" s="2237"/>
      <c r="CW1622" s="2237"/>
      <c r="CX1622" s="2237"/>
      <c r="CY1622" s="2237"/>
      <c r="CZ1622" s="2237"/>
      <c r="DA1622" s="2237"/>
      <c r="DB1622" s="2237"/>
      <c r="DC1622" s="2237"/>
      <c r="DD1622" s="2237"/>
      <c r="DE1622" s="2237"/>
      <c r="DF1622" s="3393" t="str">
        <f t="shared" si="238"/>
        <v>ASHP-SEER17-Replace_CAC_ElectricHeat_ROF_MF_CompE</v>
      </c>
      <c r="DG1622" s="3259">
        <f>(DI1622+DI1623)/(DJ1622+DJ1623)</f>
        <v>0.55070858554983226</v>
      </c>
      <c r="DH1622" s="3398" t="str">
        <f t="shared" si="240"/>
        <v>Cooling Res 18 Year EUL</v>
      </c>
      <c r="DI1622" s="3260">
        <f>(INDEX('Avoided Cost Benefits'!$B$4:$B$866,MATCH(DH1622,'Avoided Cost Benefits'!$A$4:$A$866,0)))*F1622</f>
        <v>499.46729007864576</v>
      </c>
      <c r="DJ1622" s="2507">
        <f>IFERROR(K1622/(1.0686^(2025-2025)),10000000)</f>
        <v>3238</v>
      </c>
      <c r="DM1622" s="252"/>
    </row>
    <row r="1623" spans="1:117">
      <c r="A1623" s="453"/>
      <c r="B1623" s="1454">
        <f t="shared" si="235"/>
        <v>353151</v>
      </c>
      <c r="C1623" s="2554" t="str">
        <f>C1622</f>
        <v>353151_2024_12_</v>
      </c>
      <c r="D1623" s="3383" t="s">
        <v>1118</v>
      </c>
      <c r="E1623" s="2522" t="s">
        <v>2268</v>
      </c>
      <c r="F1623" s="3373">
        <f>ROUND((($K$1971*$K$2164*(1/$K$2357-1/$K$2550)*$K$3515)/1000)*$K$3651,2)</f>
        <v>2118.1</v>
      </c>
      <c r="G1623" s="3384" t="str">
        <f>G1621</f>
        <v>Heating Res</v>
      </c>
      <c r="H1623" s="2213">
        <f>VLOOKUP(G1623,'CP FACTORS'!$A$3:$B$38, 2, FALSE)</f>
        <v>0</v>
      </c>
      <c r="I1623" s="3405">
        <f t="shared" si="239"/>
        <v>0</v>
      </c>
      <c r="J1623" s="2449">
        <f t="shared" si="243"/>
        <v>18</v>
      </c>
      <c r="K1623" s="2894">
        <f t="shared" si="236"/>
        <v>0</v>
      </c>
      <c r="L1623" s="2649"/>
      <c r="M1623" s="3386"/>
      <c r="N1623" s="3387"/>
      <c r="O1623" s="2702"/>
      <c r="P1623" s="635"/>
      <c r="Q1623" s="635"/>
      <c r="R1623" s="2966"/>
      <c r="S1623" s="635"/>
      <c r="T1623" s="635"/>
      <c r="U1623" s="3388"/>
      <c r="V1623" s="2962" t="s">
        <v>45</v>
      </c>
      <c r="W1623" s="3389"/>
      <c r="X1623" s="3390"/>
      <c r="Y1623" s="3369">
        <v>2118.1</v>
      </c>
      <c r="Z1623" s="3373">
        <v>2118.1</v>
      </c>
      <c r="AA1623" s="3373">
        <v>2118.1</v>
      </c>
      <c r="AB1623" s="3400">
        <v>2118.1</v>
      </c>
      <c r="AC1623" s="3401">
        <v>2118.1</v>
      </c>
      <c r="AD1623" s="3373">
        <v>2118.1</v>
      </c>
      <c r="AE1623" s="3373">
        <v>2118.1</v>
      </c>
      <c r="AF1623" s="2236">
        <f t="shared" si="237"/>
        <v>2118.1</v>
      </c>
      <c r="AG1623" s="3389"/>
      <c r="AH1623" s="2728"/>
      <c r="AI1623" s="2237"/>
      <c r="AJ1623" s="2237"/>
      <c r="AK1623" s="3392"/>
      <c r="AL1623" s="2237"/>
      <c r="AM1623" s="2237"/>
      <c r="AN1623" s="2237"/>
      <c r="AO1623" s="2237"/>
      <c r="AP1623" s="2237"/>
      <c r="AQ1623" s="2237"/>
      <c r="AR1623" s="2237"/>
      <c r="AS1623" s="2237"/>
      <c r="AT1623" s="2237"/>
      <c r="AU1623" s="2237"/>
      <c r="AV1623" s="2237"/>
      <c r="AW1623" s="2237"/>
      <c r="AX1623" s="2237"/>
      <c r="AY1623" s="2237"/>
      <c r="AZ1623" s="2237"/>
      <c r="BA1623" s="2237"/>
      <c r="BB1623" s="2237"/>
      <c r="BC1623" s="2237"/>
      <c r="BD1623" s="2237"/>
      <c r="BE1623" s="2237"/>
      <c r="BF1623" s="2237"/>
      <c r="BG1623" s="2237"/>
      <c r="BH1623" s="2237"/>
      <c r="BI1623" s="2237"/>
      <c r="BJ1623" s="2237"/>
      <c r="BK1623" s="2237"/>
      <c r="BL1623" s="2237"/>
      <c r="BM1623" s="2237"/>
      <c r="BN1623" s="2237"/>
      <c r="BO1623" s="2237"/>
      <c r="BP1623" s="2237"/>
      <c r="BQ1623" s="2237"/>
      <c r="BR1623" s="2237"/>
      <c r="BS1623" s="2237"/>
      <c r="BT1623" s="2237"/>
      <c r="BU1623" s="2237"/>
      <c r="BV1623" s="2237"/>
      <c r="BW1623" s="2237"/>
      <c r="BX1623" s="2237"/>
      <c r="BY1623" s="2237"/>
      <c r="BZ1623" s="2237"/>
      <c r="CA1623" s="2237"/>
      <c r="CB1623" s="2237"/>
      <c r="CC1623" s="2237"/>
      <c r="CD1623" s="2237"/>
      <c r="CE1623" s="2237"/>
      <c r="CF1623" s="2237"/>
      <c r="CG1623" s="2237"/>
      <c r="CH1623" s="2237"/>
      <c r="CI1623" s="2237"/>
      <c r="CJ1623" s="2237"/>
      <c r="CK1623" s="2237"/>
      <c r="CL1623" s="2237"/>
      <c r="CM1623" s="2237"/>
      <c r="CN1623" s="2237"/>
      <c r="CO1623" s="2237"/>
      <c r="CP1623" s="2237"/>
      <c r="CQ1623" s="2237"/>
      <c r="CR1623" s="2237"/>
      <c r="CS1623" s="2237"/>
      <c r="CT1623" s="2237"/>
      <c r="CU1623" s="2237"/>
      <c r="CV1623" s="2237"/>
      <c r="CW1623" s="2237"/>
      <c r="CX1623" s="2237"/>
      <c r="CY1623" s="2237"/>
      <c r="CZ1623" s="2237"/>
      <c r="DA1623" s="2237"/>
      <c r="DB1623" s="2237"/>
      <c r="DC1623" s="2237"/>
      <c r="DD1623" s="2237"/>
      <c r="DE1623" s="2237"/>
      <c r="DF1623" s="3393" t="str">
        <f t="shared" si="238"/>
        <v>ASHP-SEER17-Replace_CAC_ElectricHeat_ROF_MF_CompE</v>
      </c>
      <c r="DG1623" s="3261"/>
      <c r="DH1623" s="3402" t="str">
        <f t="shared" si="240"/>
        <v>Heating Res 18 Year EUL</v>
      </c>
      <c r="DI1623" s="3260">
        <f>(INDEX('Avoided Cost Benefits'!$B$4:$B$866,MATCH(DH1623,'Avoided Cost Benefits'!$A$4:$A$866,0)))*F1623</f>
        <v>1283.7271099317111</v>
      </c>
      <c r="DJ1623" s="2507">
        <f>K1623/(1.0686^(2025-2025))</f>
        <v>0</v>
      </c>
      <c r="DM1623" s="252"/>
    </row>
    <row r="1624" spans="1:117">
      <c r="A1624" s="453"/>
      <c r="B1624" s="1454">
        <f t="shared" si="235"/>
        <v>353160</v>
      </c>
      <c r="C1624" s="2554" t="s">
        <v>2269</v>
      </c>
      <c r="D1624" s="3383" t="s">
        <v>1122</v>
      </c>
      <c r="E1624" s="2882" t="s">
        <v>2270</v>
      </c>
      <c r="F1624" s="3369">
        <f>ROUND(((K2744*K2937*(1/K3130-1/K3323)*K3516)/1000)*$K$3651,2)</f>
        <v>299.93</v>
      </c>
      <c r="G1624" s="3384" t="s">
        <v>2077</v>
      </c>
      <c r="H1624" s="2213">
        <f>VLOOKUP(G1624,'CP FACTORS'!$A$3:$B$38, 2, FALSE)</f>
        <v>9.4741810000000004E-4</v>
      </c>
      <c r="I1624" s="3404">
        <f t="shared" si="239"/>
        <v>0.28415899999999999</v>
      </c>
      <c r="J1624" s="2449">
        <f t="shared" si="243"/>
        <v>18</v>
      </c>
      <c r="K1624" s="2467">
        <f t="shared" si="236"/>
        <v>149.11214118138381</v>
      </c>
      <c r="L1624" s="2649">
        <f>L1972</f>
        <v>2.8</v>
      </c>
      <c r="M1624" s="3386"/>
      <c r="N1624" s="3387"/>
      <c r="O1624" s="2702"/>
      <c r="P1624" s="635"/>
      <c r="Q1624" s="635"/>
      <c r="R1624" s="2966"/>
      <c r="S1624" s="635"/>
      <c r="T1624" s="635"/>
      <c r="U1624" s="3388"/>
      <c r="V1624" s="2962" t="s">
        <v>45</v>
      </c>
      <c r="W1624" s="3389"/>
      <c r="X1624" s="3390"/>
      <c r="Y1624" s="3369"/>
      <c r="Z1624" s="3373"/>
      <c r="AA1624" s="3373"/>
      <c r="AB1624" s="3400"/>
      <c r="AC1624" s="3369">
        <v>343.51</v>
      </c>
      <c r="AD1624" s="3373">
        <v>343.51</v>
      </c>
      <c r="AE1624" s="3369">
        <v>239.23</v>
      </c>
      <c r="AF1624" s="2236">
        <f t="shared" si="237"/>
        <v>299.93</v>
      </c>
      <c r="AG1624" s="3389"/>
      <c r="AH1624" s="2728"/>
      <c r="AI1624" s="2237"/>
      <c r="AJ1624" s="2237"/>
      <c r="AK1624" s="3392"/>
      <c r="AL1624" s="2237"/>
      <c r="AM1624" s="2237"/>
      <c r="AN1624" s="2237"/>
      <c r="AO1624" s="2237"/>
      <c r="AP1624" s="2237"/>
      <c r="AQ1624" s="2237"/>
      <c r="AR1624" s="2237"/>
      <c r="AS1624" s="2237"/>
      <c r="AT1624" s="2237"/>
      <c r="AU1624" s="2237"/>
      <c r="AV1624" s="2237"/>
      <c r="AW1624" s="2237"/>
      <c r="AX1624" s="2237"/>
      <c r="AY1624" s="2237"/>
      <c r="AZ1624" s="2237"/>
      <c r="BA1624" s="2237"/>
      <c r="BB1624" s="2237"/>
      <c r="BC1624" s="2237"/>
      <c r="BD1624" s="2237"/>
      <c r="BE1624" s="2237"/>
      <c r="BF1624" s="2237"/>
      <c r="BG1624" s="2237"/>
      <c r="BH1624" s="2237"/>
      <c r="BI1624" s="2237"/>
      <c r="BJ1624" s="2237"/>
      <c r="BK1624" s="2237"/>
      <c r="BL1624" s="2237"/>
      <c r="BM1624" s="2237"/>
      <c r="BN1624" s="2237"/>
      <c r="BO1624" s="2237"/>
      <c r="BP1624" s="2237"/>
      <c r="BQ1624" s="2237"/>
      <c r="BR1624" s="2237"/>
      <c r="BS1624" s="2237"/>
      <c r="BT1624" s="2237"/>
      <c r="BU1624" s="2237"/>
      <c r="BV1624" s="2237"/>
      <c r="BW1624" s="2237"/>
      <c r="BX1624" s="2237"/>
      <c r="BY1624" s="2237"/>
      <c r="BZ1624" s="2237"/>
      <c r="CA1624" s="2237"/>
      <c r="CB1624" s="2237"/>
      <c r="CC1624" s="2237"/>
      <c r="CD1624" s="2237"/>
      <c r="CE1624" s="2237"/>
      <c r="CF1624" s="2237"/>
      <c r="CG1624" s="2237"/>
      <c r="CH1624" s="2237"/>
      <c r="CI1624" s="2237"/>
      <c r="CJ1624" s="2237"/>
      <c r="CK1624" s="2237"/>
      <c r="CL1624" s="2237"/>
      <c r="CM1624" s="2237"/>
      <c r="CN1624" s="2237"/>
      <c r="CO1624" s="2237"/>
      <c r="CP1624" s="2237"/>
      <c r="CQ1624" s="2237"/>
      <c r="CR1624" s="2237"/>
      <c r="CS1624" s="2237"/>
      <c r="CT1624" s="2237"/>
      <c r="CU1624" s="2237"/>
      <c r="CV1624" s="2237"/>
      <c r="CW1624" s="2237"/>
      <c r="CX1624" s="2237"/>
      <c r="CY1624" s="2237"/>
      <c r="CZ1624" s="2237"/>
      <c r="DA1624" s="2237"/>
      <c r="DB1624" s="2237"/>
      <c r="DC1624" s="2237"/>
      <c r="DD1624" s="2237"/>
      <c r="DE1624" s="2237"/>
      <c r="DF1624" s="3393" t="str">
        <f t="shared" si="238"/>
        <v>ASHP-SEER17-Replace_CAC_NonElectricHeat_ROF_MF</v>
      </c>
      <c r="DG1624" s="3259">
        <f>(DI1624+DI1625)/(DJ1624+DJ1625)</f>
        <v>4.6057308320310248</v>
      </c>
      <c r="DH1624" s="3403" t="str">
        <f t="shared" si="240"/>
        <v>Cooling Res 18 Year EUL</v>
      </c>
      <c r="DI1624" s="3260">
        <f>(INDEX('Avoided Cost Benefits'!$B$4:$B$866,MATCH(DH1624,'Avoided Cost Benefits'!$A$4:$A$866,0)))*F1624</f>
        <v>686.77038606926249</v>
      </c>
      <c r="DJ1624" s="2507">
        <f>IFERROR(K1624/(1.0686^(2025-2025)),10000000)</f>
        <v>149.11214118138381</v>
      </c>
      <c r="DM1624" s="252"/>
    </row>
    <row r="1625" spans="1:117">
      <c r="A1625" s="453"/>
      <c r="B1625" s="1454">
        <f t="shared" si="235"/>
        <v>353160</v>
      </c>
      <c r="C1625" s="2554" t="s">
        <v>2269</v>
      </c>
      <c r="D1625" s="3383" t="s">
        <v>1122</v>
      </c>
      <c r="E1625" s="2522" t="s">
        <v>2270</v>
      </c>
      <c r="F1625" s="3373">
        <v>0</v>
      </c>
      <c r="G1625" s="3384" t="s">
        <v>2078</v>
      </c>
      <c r="H1625" s="2213">
        <f>VLOOKUP(G1625,'CP FACTORS'!$A$3:$B$38, 2, FALSE)</f>
        <v>0</v>
      </c>
      <c r="I1625" s="3405">
        <f t="shared" si="239"/>
        <v>0</v>
      </c>
      <c r="J1625" s="2449">
        <f t="shared" si="243"/>
        <v>18</v>
      </c>
      <c r="K1625" s="2894">
        <f t="shared" si="236"/>
        <v>0</v>
      </c>
      <c r="L1625" s="2649"/>
      <c r="M1625" s="3386"/>
      <c r="N1625" s="3387"/>
      <c r="O1625" s="2702"/>
      <c r="P1625" s="635"/>
      <c r="Q1625" s="635"/>
      <c r="R1625" s="2966"/>
      <c r="S1625" s="635"/>
      <c r="T1625" s="635"/>
      <c r="U1625" s="3388"/>
      <c r="V1625" s="2962" t="s">
        <v>45</v>
      </c>
      <c r="W1625" s="3389"/>
      <c r="X1625" s="3390"/>
      <c r="Y1625" s="3369"/>
      <c r="Z1625" s="3373"/>
      <c r="AA1625" s="3373"/>
      <c r="AB1625" s="3400"/>
      <c r="AC1625" s="3369">
        <v>0</v>
      </c>
      <c r="AD1625" s="3373">
        <v>0</v>
      </c>
      <c r="AE1625" s="3373">
        <v>0</v>
      </c>
      <c r="AF1625" s="2236">
        <f t="shared" si="237"/>
        <v>0</v>
      </c>
      <c r="AG1625" s="3389"/>
      <c r="AH1625" s="2728"/>
      <c r="AI1625" s="2237"/>
      <c r="AJ1625" s="2237"/>
      <c r="AK1625" s="3392"/>
      <c r="AL1625" s="2237"/>
      <c r="AM1625" s="2237"/>
      <c r="AN1625" s="2237"/>
      <c r="AO1625" s="2237"/>
      <c r="AP1625" s="2237"/>
      <c r="AQ1625" s="2237"/>
      <c r="AR1625" s="2237"/>
      <c r="AS1625" s="2237"/>
      <c r="AT1625" s="2237"/>
      <c r="AU1625" s="2237"/>
      <c r="AV1625" s="2237"/>
      <c r="AW1625" s="2237"/>
      <c r="AX1625" s="2237"/>
      <c r="AY1625" s="2237"/>
      <c r="AZ1625" s="2237"/>
      <c r="BA1625" s="2237"/>
      <c r="BB1625" s="2237"/>
      <c r="BC1625" s="2237"/>
      <c r="BD1625" s="2237"/>
      <c r="BE1625" s="2237"/>
      <c r="BF1625" s="2237"/>
      <c r="BG1625" s="2237"/>
      <c r="BH1625" s="2237"/>
      <c r="BI1625" s="2237"/>
      <c r="BJ1625" s="2237"/>
      <c r="BK1625" s="2237"/>
      <c r="BL1625" s="2237"/>
      <c r="BM1625" s="2237"/>
      <c r="BN1625" s="2237"/>
      <c r="BO1625" s="2237"/>
      <c r="BP1625" s="2237"/>
      <c r="BQ1625" s="2237"/>
      <c r="BR1625" s="2237"/>
      <c r="BS1625" s="2237"/>
      <c r="BT1625" s="2237"/>
      <c r="BU1625" s="2237"/>
      <c r="BV1625" s="2237"/>
      <c r="BW1625" s="2237"/>
      <c r="BX1625" s="2237"/>
      <c r="BY1625" s="2237"/>
      <c r="BZ1625" s="2237"/>
      <c r="CA1625" s="2237"/>
      <c r="CB1625" s="2237"/>
      <c r="CC1625" s="2237"/>
      <c r="CD1625" s="2237"/>
      <c r="CE1625" s="2237"/>
      <c r="CF1625" s="2237"/>
      <c r="CG1625" s="2237"/>
      <c r="CH1625" s="2237"/>
      <c r="CI1625" s="2237"/>
      <c r="CJ1625" s="2237"/>
      <c r="CK1625" s="2237"/>
      <c r="CL1625" s="2237"/>
      <c r="CM1625" s="2237"/>
      <c r="CN1625" s="2237"/>
      <c r="CO1625" s="2237"/>
      <c r="CP1625" s="2237"/>
      <c r="CQ1625" s="2237"/>
      <c r="CR1625" s="2237"/>
      <c r="CS1625" s="2237"/>
      <c r="CT1625" s="2237"/>
      <c r="CU1625" s="2237"/>
      <c r="CV1625" s="2237"/>
      <c r="CW1625" s="2237"/>
      <c r="CX1625" s="2237"/>
      <c r="CY1625" s="2237"/>
      <c r="CZ1625" s="2237"/>
      <c r="DA1625" s="2237"/>
      <c r="DB1625" s="2237"/>
      <c r="DC1625" s="2237"/>
      <c r="DD1625" s="2237"/>
      <c r="DE1625" s="2237"/>
      <c r="DF1625" s="3393" t="str">
        <f t="shared" si="238"/>
        <v>ASHP-SEER17-Replace_CAC_NonElectricHeat_ROF_MF</v>
      </c>
      <c r="DG1625" s="3261"/>
      <c r="DH1625" s="3402" t="str">
        <f t="shared" si="240"/>
        <v>Heating Res 18 Year EUL</v>
      </c>
      <c r="DI1625" s="3260">
        <f>(INDEX('Avoided Cost Benefits'!$B$4:$B$866,MATCH(DH1625,'Avoided Cost Benefits'!$A$4:$A$866,0)))*F1625</f>
        <v>0</v>
      </c>
      <c r="DJ1625" s="2507">
        <f>K1625/(1.0686^(2025-2025))</f>
        <v>0</v>
      </c>
      <c r="DM1625" s="252"/>
    </row>
    <row r="1626" spans="1:117">
      <c r="A1626" s="453"/>
      <c r="B1626" s="1454">
        <f t="shared" si="235"/>
        <v>353161</v>
      </c>
      <c r="C1626" s="2554" t="s">
        <v>2271</v>
      </c>
      <c r="D1626" s="3383" t="s">
        <v>1118</v>
      </c>
      <c r="E1626" s="2882" t="s">
        <v>2272</v>
      </c>
      <c r="F1626" s="3369">
        <f>ROUND(((K2745*K2938*(1/K3131-1/K3324)*K3517)/1000)*$K$3651,2)</f>
        <v>218.13</v>
      </c>
      <c r="G1626" s="3384" t="s">
        <v>2077</v>
      </c>
      <c r="H1626" s="2213">
        <f>VLOOKUP(G1626,'CP FACTORS'!$A$3:$B$38, 2, FALSE)</f>
        <v>9.4741810000000004E-4</v>
      </c>
      <c r="I1626" s="3404">
        <f t="shared" si="239"/>
        <v>0.20666000000000001</v>
      </c>
      <c r="J1626" s="2449">
        <f t="shared" si="243"/>
        <v>18</v>
      </c>
      <c r="K1626" s="2467">
        <f t="shared" si="236"/>
        <v>302.32680001540945</v>
      </c>
      <c r="L1626" s="2649">
        <f>L1973</f>
        <v>2.8</v>
      </c>
      <c r="M1626" s="3386"/>
      <c r="N1626" s="3387"/>
      <c r="O1626" s="2702"/>
      <c r="P1626" s="635"/>
      <c r="Q1626" s="635"/>
      <c r="R1626" s="2966"/>
      <c r="S1626" s="635"/>
      <c r="T1626" s="635"/>
      <c r="U1626" s="3388"/>
      <c r="V1626" s="2962" t="s">
        <v>45</v>
      </c>
      <c r="W1626" s="3389"/>
      <c r="X1626" s="3390"/>
      <c r="Y1626" s="3369"/>
      <c r="Z1626" s="3373"/>
      <c r="AA1626" s="3373"/>
      <c r="AB1626" s="3400"/>
      <c r="AC1626" s="3369">
        <v>249.83</v>
      </c>
      <c r="AD1626" s="3373">
        <v>249.83</v>
      </c>
      <c r="AE1626" s="3369">
        <v>173.99</v>
      </c>
      <c r="AF1626" s="2236">
        <f t="shared" si="237"/>
        <v>218.13</v>
      </c>
      <c r="AG1626" s="3389"/>
      <c r="AH1626" s="2728"/>
      <c r="AI1626" s="2237"/>
      <c r="AJ1626" s="2237"/>
      <c r="AK1626" s="3392"/>
      <c r="AL1626" s="2237"/>
      <c r="AM1626" s="2237"/>
      <c r="AN1626" s="2237"/>
      <c r="AO1626" s="2237"/>
      <c r="AP1626" s="2237"/>
      <c r="AQ1626" s="2237"/>
      <c r="AR1626" s="2237"/>
      <c r="AS1626" s="2237"/>
      <c r="AT1626" s="2237"/>
      <c r="AU1626" s="2237"/>
      <c r="AV1626" s="2237"/>
      <c r="AW1626" s="2237"/>
      <c r="AX1626" s="2237"/>
      <c r="AY1626" s="2237"/>
      <c r="AZ1626" s="2237"/>
      <c r="BA1626" s="2237"/>
      <c r="BB1626" s="2237"/>
      <c r="BC1626" s="2237"/>
      <c r="BD1626" s="2237"/>
      <c r="BE1626" s="2237"/>
      <c r="BF1626" s="2237"/>
      <c r="BG1626" s="2237"/>
      <c r="BH1626" s="2237"/>
      <c r="BI1626" s="2237"/>
      <c r="BJ1626" s="2237"/>
      <c r="BK1626" s="2237"/>
      <c r="BL1626" s="2237"/>
      <c r="BM1626" s="2237"/>
      <c r="BN1626" s="2237"/>
      <c r="BO1626" s="2237"/>
      <c r="BP1626" s="2237"/>
      <c r="BQ1626" s="2237"/>
      <c r="BR1626" s="2237"/>
      <c r="BS1626" s="2237"/>
      <c r="BT1626" s="2237"/>
      <c r="BU1626" s="2237"/>
      <c r="BV1626" s="2237"/>
      <c r="BW1626" s="2237"/>
      <c r="BX1626" s="2237"/>
      <c r="BY1626" s="2237"/>
      <c r="BZ1626" s="2237"/>
      <c r="CA1626" s="2237"/>
      <c r="CB1626" s="2237"/>
      <c r="CC1626" s="2237"/>
      <c r="CD1626" s="2237"/>
      <c r="CE1626" s="2237"/>
      <c r="CF1626" s="2237"/>
      <c r="CG1626" s="2237"/>
      <c r="CH1626" s="2237"/>
      <c r="CI1626" s="2237"/>
      <c r="CJ1626" s="2237"/>
      <c r="CK1626" s="2237"/>
      <c r="CL1626" s="2237"/>
      <c r="CM1626" s="2237"/>
      <c r="CN1626" s="2237"/>
      <c r="CO1626" s="2237"/>
      <c r="CP1626" s="2237"/>
      <c r="CQ1626" s="2237"/>
      <c r="CR1626" s="2237"/>
      <c r="CS1626" s="2237"/>
      <c r="CT1626" s="2237"/>
      <c r="CU1626" s="2237"/>
      <c r="CV1626" s="2237"/>
      <c r="CW1626" s="2237"/>
      <c r="CX1626" s="2237"/>
      <c r="CY1626" s="2237"/>
      <c r="CZ1626" s="2237"/>
      <c r="DA1626" s="2237"/>
      <c r="DB1626" s="2237"/>
      <c r="DC1626" s="2237"/>
      <c r="DD1626" s="2237"/>
      <c r="DE1626" s="2237"/>
      <c r="DF1626" s="3393" t="str">
        <f t="shared" si="238"/>
        <v>ASHP-SEER17-Replace_CAC_NonElectricHeat_ROF_MF_CompE</v>
      </c>
      <c r="DG1626" s="3259">
        <f>(DI1626+DI1627)/(DJ1626+DJ1627)</f>
        <v>1.6520774541098844</v>
      </c>
      <c r="DH1626" s="3403" t="str">
        <f t="shared" si="240"/>
        <v>Cooling Res 18 Year EUL</v>
      </c>
      <c r="DI1626" s="3260">
        <f>(INDEX('Avoided Cost Benefits'!$B$4:$B$866,MATCH(DH1626,'Avoided Cost Benefits'!$A$4:$A$866,0)))*F1626</f>
        <v>499.46729007864576</v>
      </c>
      <c r="DJ1626" s="2507">
        <f>IFERROR(K1626/(1.0686^(2025-2025)),10000000)</f>
        <v>302.32680001540945</v>
      </c>
      <c r="DM1626" s="252"/>
    </row>
    <row r="1627" spans="1:117">
      <c r="A1627" s="453"/>
      <c r="B1627" s="1454">
        <f t="shared" si="235"/>
        <v>353161</v>
      </c>
      <c r="C1627" s="2554" t="s">
        <v>2271</v>
      </c>
      <c r="D1627" s="3383" t="s">
        <v>1118</v>
      </c>
      <c r="E1627" s="2882" t="s">
        <v>2272</v>
      </c>
      <c r="F1627" s="3373">
        <f>0</f>
        <v>0</v>
      </c>
      <c r="G1627" s="3384" t="s">
        <v>2078</v>
      </c>
      <c r="H1627" s="2213">
        <f>VLOOKUP(G1627,'CP FACTORS'!$A$3:$B$38, 2, FALSE)</f>
        <v>0</v>
      </c>
      <c r="I1627" s="3405">
        <f t="shared" si="239"/>
        <v>0</v>
      </c>
      <c r="J1627" s="2449">
        <f t="shared" si="243"/>
        <v>18</v>
      </c>
      <c r="K1627" s="2894">
        <f t="shared" si="236"/>
        <v>0</v>
      </c>
      <c r="L1627" s="2649"/>
      <c r="M1627" s="3386"/>
      <c r="N1627" s="3387"/>
      <c r="O1627" s="2702"/>
      <c r="P1627" s="635"/>
      <c r="Q1627" s="635"/>
      <c r="R1627" s="2966"/>
      <c r="S1627" s="635"/>
      <c r="T1627" s="635"/>
      <c r="U1627" s="3388"/>
      <c r="V1627" s="2962" t="s">
        <v>45</v>
      </c>
      <c r="W1627" s="3389"/>
      <c r="X1627" s="3390"/>
      <c r="Y1627" s="3369"/>
      <c r="Z1627" s="3373"/>
      <c r="AA1627" s="3373"/>
      <c r="AB1627" s="3400"/>
      <c r="AC1627" s="3369">
        <v>0</v>
      </c>
      <c r="AD1627" s="3373">
        <v>0</v>
      </c>
      <c r="AE1627" s="3373">
        <v>0</v>
      </c>
      <c r="AF1627" s="2236">
        <f t="shared" si="237"/>
        <v>0</v>
      </c>
      <c r="AG1627" s="3389"/>
      <c r="AH1627" s="2728"/>
      <c r="AI1627" s="2237"/>
      <c r="AJ1627" s="2237"/>
      <c r="AK1627" s="3392"/>
      <c r="AL1627" s="2237"/>
      <c r="AM1627" s="2237"/>
      <c r="AN1627" s="2237"/>
      <c r="AO1627" s="2237"/>
      <c r="AP1627" s="2237"/>
      <c r="AQ1627" s="2237"/>
      <c r="AR1627" s="2237"/>
      <c r="AS1627" s="2237"/>
      <c r="AT1627" s="2237"/>
      <c r="AU1627" s="2237"/>
      <c r="AV1627" s="2237"/>
      <c r="AW1627" s="2237"/>
      <c r="AX1627" s="2237"/>
      <c r="AY1627" s="2237"/>
      <c r="AZ1627" s="2237"/>
      <c r="BA1627" s="2237"/>
      <c r="BB1627" s="2237"/>
      <c r="BC1627" s="2237"/>
      <c r="BD1627" s="2237"/>
      <c r="BE1627" s="2237"/>
      <c r="BF1627" s="2237"/>
      <c r="BG1627" s="2237"/>
      <c r="BH1627" s="2237"/>
      <c r="BI1627" s="2237"/>
      <c r="BJ1627" s="2237"/>
      <c r="BK1627" s="2237"/>
      <c r="BL1627" s="2237"/>
      <c r="BM1627" s="2237"/>
      <c r="BN1627" s="2237"/>
      <c r="BO1627" s="2237"/>
      <c r="BP1627" s="2237"/>
      <c r="BQ1627" s="2237"/>
      <c r="BR1627" s="2237"/>
      <c r="BS1627" s="2237"/>
      <c r="BT1627" s="2237"/>
      <c r="BU1627" s="2237"/>
      <c r="BV1627" s="2237"/>
      <c r="BW1627" s="2237"/>
      <c r="BX1627" s="2237"/>
      <c r="BY1627" s="2237"/>
      <c r="BZ1627" s="2237"/>
      <c r="CA1627" s="2237"/>
      <c r="CB1627" s="2237"/>
      <c r="CC1627" s="2237"/>
      <c r="CD1627" s="2237"/>
      <c r="CE1627" s="2237"/>
      <c r="CF1627" s="2237"/>
      <c r="CG1627" s="2237"/>
      <c r="CH1627" s="2237"/>
      <c r="CI1627" s="2237"/>
      <c r="CJ1627" s="2237"/>
      <c r="CK1627" s="2237"/>
      <c r="CL1627" s="2237"/>
      <c r="CM1627" s="2237"/>
      <c r="CN1627" s="2237"/>
      <c r="CO1627" s="2237"/>
      <c r="CP1627" s="2237"/>
      <c r="CQ1627" s="2237"/>
      <c r="CR1627" s="2237"/>
      <c r="CS1627" s="2237"/>
      <c r="CT1627" s="2237"/>
      <c r="CU1627" s="2237"/>
      <c r="CV1627" s="2237"/>
      <c r="CW1627" s="2237"/>
      <c r="CX1627" s="2237"/>
      <c r="CY1627" s="2237"/>
      <c r="CZ1627" s="2237"/>
      <c r="DA1627" s="2237"/>
      <c r="DB1627" s="2237"/>
      <c r="DC1627" s="2237"/>
      <c r="DD1627" s="2237"/>
      <c r="DE1627" s="2237"/>
      <c r="DF1627" s="3393" t="str">
        <f t="shared" si="238"/>
        <v>ASHP-SEER17-Replace_CAC_NonElectricHeat_ROF_MF_CompE</v>
      </c>
      <c r="DG1627" s="3261"/>
      <c r="DH1627" s="3403" t="str">
        <f t="shared" si="240"/>
        <v>Heating Res 18 Year EUL</v>
      </c>
      <c r="DI1627" s="3260">
        <f>(INDEX('Avoided Cost Benefits'!$B$4:$B$866,MATCH(DH1627,'Avoided Cost Benefits'!$A$4:$A$866,0)))*F1627</f>
        <v>0</v>
      </c>
      <c r="DJ1627" s="2507">
        <f>K1627/(1.0686^(2025-2025))</f>
        <v>0</v>
      </c>
      <c r="DM1627" s="252"/>
    </row>
    <row r="1628" spans="1:117">
      <c r="A1628" s="453"/>
      <c r="B1628" s="1454">
        <f t="shared" si="235"/>
        <v>353200</v>
      </c>
      <c r="C1628" s="682" t="s">
        <v>2273</v>
      </c>
      <c r="D1628" s="3470" t="s">
        <v>1043</v>
      </c>
      <c r="E1628" s="215" t="s">
        <v>2274</v>
      </c>
      <c r="F1628" s="227">
        <f>ROUND(((K2746*K2939*(1/K3132-1/K3325)*K3518)/1000)*$K$3651,2)</f>
        <v>700.49</v>
      </c>
      <c r="G1628" s="570" t="s">
        <v>2077</v>
      </c>
      <c r="H1628" s="69">
        <f>VLOOKUP(G1628,'CP FACTORS'!$A$3:$B$38, 2, FALSE)</f>
        <v>9.4741810000000004E-4</v>
      </c>
      <c r="I1628" s="1477">
        <f t="shared" si="239"/>
        <v>0.66365700000000005</v>
      </c>
      <c r="J1628" s="59">
        <f t="shared" si="243"/>
        <v>18</v>
      </c>
      <c r="K1628" s="166">
        <f t="shared" si="236"/>
        <v>4172.2222220000003</v>
      </c>
      <c r="L1628" s="1107">
        <f>L1974</f>
        <v>3.0020370366666667</v>
      </c>
      <c r="M1628" s="560"/>
      <c r="N1628" s="572"/>
      <c r="O1628" s="417"/>
      <c r="R1628" s="532"/>
      <c r="S1628" s="52"/>
      <c r="T1628" s="52"/>
      <c r="U1628" s="574"/>
      <c r="V1628" s="1442" t="s">
        <v>45</v>
      </c>
      <c r="W1628" s="962">
        <v>2671.7490196078434</v>
      </c>
      <c r="X1628" s="251">
        <v>1883.0767507002802</v>
      </c>
      <c r="Y1628" s="227">
        <v>623.9</v>
      </c>
      <c r="Z1628" s="225">
        <v>623.9</v>
      </c>
      <c r="AA1628" s="225">
        <v>623.9</v>
      </c>
      <c r="AB1628" s="1026">
        <v>759.94</v>
      </c>
      <c r="AC1628" s="227">
        <v>651.29999999999995</v>
      </c>
      <c r="AD1628" s="227">
        <v>707.23</v>
      </c>
      <c r="AE1628" s="227">
        <v>496.2</v>
      </c>
      <c r="AF1628" s="271">
        <f t="shared" si="237"/>
        <v>700.49</v>
      </c>
      <c r="AG1628" s="962"/>
      <c r="AH1628" s="121"/>
      <c r="AK1628" s="963"/>
      <c r="DF1628" s="1650" t="str">
        <f t="shared" si="238"/>
        <v>ASHP-SEER18-Replace_CAC_ElectricHeat_ROF_SF</v>
      </c>
      <c r="DG1628" s="1090">
        <f>(DI1628+DI1629)/(DJ1628+DJ1629)</f>
        <v>1.8891171859742262</v>
      </c>
      <c r="DH1628" s="215" t="str">
        <f t="shared" si="240"/>
        <v>Cooling Res 18 Year EUL</v>
      </c>
      <c r="DI1628" s="1091">
        <f>(INDEX('Avoided Cost Benefits'!$B$4:$B$866,MATCH(DH1628,'Avoided Cost Benefits'!$A$4:$A$866,0)))*F1628</f>
        <v>1603.9602165093779</v>
      </c>
      <c r="DJ1628" s="1176">
        <f>IFERROR(K1628/(1.0686^(2025-2025)),10000000)</f>
        <v>4172.2222220000003</v>
      </c>
      <c r="DM1628" s="252"/>
    </row>
    <row r="1629" spans="1:117">
      <c r="A1629" s="453"/>
      <c r="B1629" s="1454">
        <f t="shared" si="235"/>
        <v>353200</v>
      </c>
      <c r="C1629" s="682" t="s">
        <v>2273</v>
      </c>
      <c r="D1629" s="3470" t="s">
        <v>1043</v>
      </c>
      <c r="E1629" s="253" t="s">
        <v>2274</v>
      </c>
      <c r="F1629" s="225">
        <f>ROUND(((K1974*K2167*(1/K2360-1/K2553)*K3518)/1000)*$K$3651,2)</f>
        <v>10358.219999999999</v>
      </c>
      <c r="G1629" s="570" t="s">
        <v>2078</v>
      </c>
      <c r="H1629" s="69">
        <f>VLOOKUP(G1629,'CP FACTORS'!$A$3:$B$38, 2, FALSE)</f>
        <v>0</v>
      </c>
      <c r="I1629" s="1167">
        <f t="shared" si="239"/>
        <v>0</v>
      </c>
      <c r="J1629" s="59">
        <f t="shared" si="243"/>
        <v>18</v>
      </c>
      <c r="K1629" s="163">
        <f t="shared" si="236"/>
        <v>0</v>
      </c>
      <c r="L1629" s="255"/>
      <c r="M1629" s="560"/>
      <c r="N1629" s="572"/>
      <c r="O1629" s="417"/>
      <c r="R1629" s="532"/>
      <c r="S1629" s="52"/>
      <c r="T1629" s="52"/>
      <c r="U1629" s="574"/>
      <c r="V1629" s="1442" t="s">
        <v>45</v>
      </c>
      <c r="W1629" s="962">
        <v>12836.414910662994</v>
      </c>
      <c r="X1629" s="251">
        <v>9558.6245427336198</v>
      </c>
      <c r="Y1629" s="225">
        <v>9558.6200000000008</v>
      </c>
      <c r="Z1629" s="225">
        <v>9558.6200000000008</v>
      </c>
      <c r="AA1629" s="225">
        <v>9558.6200000000008</v>
      </c>
      <c r="AB1629" s="1026">
        <v>10664.41</v>
      </c>
      <c r="AC1629" s="227">
        <v>10428.83</v>
      </c>
      <c r="AD1629" s="227">
        <v>10917.73</v>
      </c>
      <c r="AE1629" s="227">
        <v>10358.219999999999</v>
      </c>
      <c r="AF1629" s="271">
        <f t="shared" si="237"/>
        <v>10358.219999999999</v>
      </c>
      <c r="AG1629" s="962"/>
      <c r="AH1629" s="121"/>
      <c r="AK1629" s="963"/>
      <c r="DF1629" s="1650" t="str">
        <f t="shared" si="238"/>
        <v>ASHP-SEER18-Replace_CAC_ElectricHeat_ROF_SF</v>
      </c>
      <c r="DG1629" s="1092"/>
      <c r="DH1629" s="253" t="str">
        <f t="shared" si="240"/>
        <v>Heating Res 18 Year EUL</v>
      </c>
      <c r="DI1629" s="1091">
        <f>(INDEX('Avoided Cost Benefits'!$B$4:$B$866,MATCH(DH1629,'Avoided Cost Benefits'!$A$4:$A$866,0)))*F1629</f>
        <v>6277.8564867743962</v>
      </c>
      <c r="DJ1629" s="1176">
        <f>K1629/(1.0686^(2025-2025))</f>
        <v>0</v>
      </c>
      <c r="DM1629" s="252"/>
    </row>
    <row r="1630" spans="1:117">
      <c r="A1630" s="453"/>
      <c r="B1630" s="1454">
        <f t="shared" si="235"/>
        <v>353210</v>
      </c>
      <c r="C1630" s="682" t="s">
        <v>2275</v>
      </c>
      <c r="D1630" s="3470" t="s">
        <v>1800</v>
      </c>
      <c r="E1630" s="215" t="s">
        <v>2276</v>
      </c>
      <c r="F1630" s="227">
        <f>ROUND(((K2747*K2940*(1/K3133-1/K3326)*K3519)/1000)*$K$3651,2)</f>
        <v>700.49</v>
      </c>
      <c r="G1630" s="570" t="s">
        <v>2077</v>
      </c>
      <c r="H1630" s="69">
        <f>VLOOKUP(G1630,'CP FACTORS'!$A$3:$B$38, 2, FALSE)</f>
        <v>9.4741810000000004E-4</v>
      </c>
      <c r="I1630" s="1477">
        <f t="shared" si="239"/>
        <v>0.66365700000000005</v>
      </c>
      <c r="J1630" s="59">
        <f>K3774</f>
        <v>18</v>
      </c>
      <c r="K1630" s="166">
        <f t="shared" si="236"/>
        <v>264.28036762775952</v>
      </c>
      <c r="L1630" s="1107">
        <f>L1975</f>
        <v>3.0020370366666667</v>
      </c>
      <c r="M1630" s="560"/>
      <c r="N1630" s="572"/>
      <c r="O1630" s="417"/>
      <c r="R1630" s="532"/>
      <c r="S1630" s="52"/>
      <c r="T1630" s="52"/>
      <c r="U1630" s="574"/>
      <c r="V1630" s="1442" t="s">
        <v>45</v>
      </c>
      <c r="W1630" s="962"/>
      <c r="X1630" s="251"/>
      <c r="Y1630" s="227"/>
      <c r="Z1630" s="225"/>
      <c r="AA1630" s="225"/>
      <c r="AB1630" s="1026"/>
      <c r="AC1630" s="227"/>
      <c r="AD1630" s="227">
        <v>707.23</v>
      </c>
      <c r="AE1630" s="227">
        <v>496.2</v>
      </c>
      <c r="AF1630" s="271">
        <f t="shared" si="237"/>
        <v>700.49</v>
      </c>
      <c r="AG1630" s="962"/>
      <c r="AH1630" s="121"/>
      <c r="AK1630" s="963"/>
      <c r="DF1630" s="1650" t="str">
        <f t="shared" si="238"/>
        <v>ASHP-SEER18-Replace_CAC_NonElectricHeat_ROF_SF</v>
      </c>
      <c r="DG1630" s="1090">
        <f>(DI1630+DI1631)/(DJ1630+DJ1631)</f>
        <v>6.0691614398257743</v>
      </c>
      <c r="DH1630" s="215" t="str">
        <f>CONCATENATE(G1630," ",J1630," Year EUL")</f>
        <v>Cooling Res 18 Year EUL</v>
      </c>
      <c r="DI1630" s="1091">
        <f>(INDEX('Avoided Cost Benefits'!$B$4:$B$866,MATCH(DH1630,'Avoided Cost Benefits'!$A$4:$A$866,0)))*F1630</f>
        <v>1603.9602165093779</v>
      </c>
      <c r="DJ1630" s="1176">
        <f>IFERROR(K1630/(1.0686^(2025-2025)),10000000)</f>
        <v>264.28036762775952</v>
      </c>
      <c r="DM1630" s="252"/>
    </row>
    <row r="1631" spans="1:117">
      <c r="A1631" s="453"/>
      <c r="B1631" s="1454">
        <f t="shared" si="235"/>
        <v>353210</v>
      </c>
      <c r="C1631" s="682" t="s">
        <v>2275</v>
      </c>
      <c r="D1631" s="3470" t="s">
        <v>1800</v>
      </c>
      <c r="E1631" s="253" t="s">
        <v>2276</v>
      </c>
      <c r="F1631" s="225">
        <f>0</f>
        <v>0</v>
      </c>
      <c r="G1631" s="570" t="s">
        <v>2078</v>
      </c>
      <c r="H1631" s="69">
        <f>VLOOKUP(G1631,'CP FACTORS'!$A$3:$B$38, 2, FALSE)</f>
        <v>0</v>
      </c>
      <c r="I1631" s="1167">
        <f t="shared" si="239"/>
        <v>0</v>
      </c>
      <c r="J1631" s="59">
        <f>K3775</f>
        <v>18</v>
      </c>
      <c r="K1631" s="163">
        <f t="shared" si="236"/>
        <v>0</v>
      </c>
      <c r="L1631" s="255"/>
      <c r="M1631" s="560"/>
      <c r="N1631" s="572"/>
      <c r="O1631" s="417"/>
      <c r="R1631" s="532"/>
      <c r="S1631" s="52"/>
      <c r="T1631" s="52"/>
      <c r="U1631" s="574"/>
      <c r="V1631" s="1442" t="s">
        <v>45</v>
      </c>
      <c r="W1631" s="962"/>
      <c r="X1631" s="251"/>
      <c r="Y1631" s="227"/>
      <c r="Z1631" s="225"/>
      <c r="AA1631" s="225"/>
      <c r="AB1631" s="1026"/>
      <c r="AC1631" s="227"/>
      <c r="AD1631" s="227">
        <v>0</v>
      </c>
      <c r="AE1631" s="227">
        <v>0</v>
      </c>
      <c r="AF1631" s="271">
        <f t="shared" si="237"/>
        <v>0</v>
      </c>
      <c r="AG1631" s="962"/>
      <c r="AH1631" s="121"/>
      <c r="AK1631" s="963"/>
      <c r="DF1631" s="1650" t="str">
        <f t="shared" si="238"/>
        <v>ASHP-SEER18-Replace_CAC_NonElectricHeat_ROF_SF</v>
      </c>
      <c r="DG1631" s="1092"/>
      <c r="DH1631" s="253" t="str">
        <f>CONCATENATE(G1631," ",J1631," Year EUL")</f>
        <v>Heating Res 18 Year EUL</v>
      </c>
      <c r="DI1631" s="1091">
        <f>(INDEX('Avoided Cost Benefits'!$B$4:$B$866,MATCH(DH1631,'Avoided Cost Benefits'!$A$4:$A$866,0)))*F1631</f>
        <v>0</v>
      </c>
      <c r="DJ1631" s="1176">
        <f>K1631/(1.0686^(2025-2025))</f>
        <v>0</v>
      </c>
      <c r="DM1631" s="252"/>
    </row>
    <row r="1632" spans="1:117">
      <c r="A1632" s="453"/>
      <c r="B1632" s="1454">
        <f t="shared" si="235"/>
        <v>353250</v>
      </c>
      <c r="C1632" s="2554" t="s">
        <v>2277</v>
      </c>
      <c r="D1632" s="3383" t="s">
        <v>1122</v>
      </c>
      <c r="E1632" s="3398" t="s">
        <v>2278</v>
      </c>
      <c r="F1632" s="3369">
        <f>ROUND(((K2748*K2941*(1/K3134-1/K3327)*K3520)/1000)*$K$3651,2)</f>
        <v>596.63</v>
      </c>
      <c r="G1632" s="3384" t="s">
        <v>2077</v>
      </c>
      <c r="H1632" s="2213">
        <f>VLOOKUP(G1632,'CP FACTORS'!$A$3:$B$38, 2, FALSE)</f>
        <v>9.4741810000000004E-4</v>
      </c>
      <c r="I1632" s="3404">
        <f t="shared" si="239"/>
        <v>0.56525800000000004</v>
      </c>
      <c r="J1632" s="2449">
        <f>K3776</f>
        <v>18</v>
      </c>
      <c r="K1632" s="2467">
        <f t="shared" si="236"/>
        <v>4171</v>
      </c>
      <c r="L1632" s="2649">
        <f>L1976</f>
        <v>3</v>
      </c>
      <c r="M1632" s="3386"/>
      <c r="N1632" s="3387"/>
      <c r="O1632" s="2702"/>
      <c r="P1632" s="635"/>
      <c r="Q1632" s="635"/>
      <c r="R1632" s="2966"/>
      <c r="S1632" s="635"/>
      <c r="T1632" s="635"/>
      <c r="U1632" s="3388"/>
      <c r="V1632" s="2962" t="s">
        <v>45</v>
      </c>
      <c r="W1632" s="3389">
        <v>1736.6368627450984</v>
      </c>
      <c r="X1632" s="3390">
        <v>1223.999887955182</v>
      </c>
      <c r="Y1632" s="3369">
        <v>405.53</v>
      </c>
      <c r="Z1632" s="3373">
        <v>405.53</v>
      </c>
      <c r="AA1632" s="3373">
        <v>405.53</v>
      </c>
      <c r="AB1632" s="3391">
        <v>658.61</v>
      </c>
      <c r="AC1632" s="3369">
        <v>434.5</v>
      </c>
      <c r="AD1632" s="3369">
        <v>668.46</v>
      </c>
      <c r="AE1632" s="3369">
        <v>496.57</v>
      </c>
      <c r="AF1632" s="2236">
        <f t="shared" si="237"/>
        <v>596.63</v>
      </c>
      <c r="AG1632" s="3389"/>
      <c r="AH1632" s="2728"/>
      <c r="AI1632" s="2237"/>
      <c r="AJ1632" s="2237"/>
      <c r="AK1632" s="3392"/>
      <c r="AL1632" s="2237"/>
      <c r="AM1632" s="2237"/>
      <c r="AN1632" s="2237"/>
      <c r="AO1632" s="2237"/>
      <c r="AP1632" s="2237"/>
      <c r="AQ1632" s="2237"/>
      <c r="AR1632" s="2237"/>
      <c r="AS1632" s="2237"/>
      <c r="AT1632" s="2237"/>
      <c r="AU1632" s="2237"/>
      <c r="AV1632" s="2237"/>
      <c r="AW1632" s="2237"/>
      <c r="AX1632" s="2237"/>
      <c r="AY1632" s="2237"/>
      <c r="AZ1632" s="2237"/>
      <c r="BA1632" s="2237"/>
      <c r="BB1632" s="2237"/>
      <c r="BC1632" s="2237"/>
      <c r="BD1632" s="2237"/>
      <c r="BE1632" s="2237"/>
      <c r="BF1632" s="2237"/>
      <c r="BG1632" s="2237"/>
      <c r="BH1632" s="2237"/>
      <c r="BI1632" s="2237"/>
      <c r="BJ1632" s="2237"/>
      <c r="BK1632" s="2237"/>
      <c r="BL1632" s="2237"/>
      <c r="BM1632" s="2237"/>
      <c r="BN1632" s="2237"/>
      <c r="BO1632" s="2237"/>
      <c r="BP1632" s="2237"/>
      <c r="BQ1632" s="2237"/>
      <c r="BR1632" s="2237"/>
      <c r="BS1632" s="2237"/>
      <c r="BT1632" s="2237"/>
      <c r="BU1632" s="2237"/>
      <c r="BV1632" s="2237"/>
      <c r="BW1632" s="2237"/>
      <c r="BX1632" s="2237"/>
      <c r="BY1632" s="2237"/>
      <c r="BZ1632" s="2237"/>
      <c r="CA1632" s="2237"/>
      <c r="CB1632" s="2237"/>
      <c r="CC1632" s="2237"/>
      <c r="CD1632" s="2237"/>
      <c r="CE1632" s="2237"/>
      <c r="CF1632" s="2237"/>
      <c r="CG1632" s="2237"/>
      <c r="CH1632" s="2237"/>
      <c r="CI1632" s="2237"/>
      <c r="CJ1632" s="2237"/>
      <c r="CK1632" s="2237"/>
      <c r="CL1632" s="2237"/>
      <c r="CM1632" s="2237"/>
      <c r="CN1632" s="2237"/>
      <c r="CO1632" s="2237"/>
      <c r="CP1632" s="2237"/>
      <c r="CQ1632" s="2237"/>
      <c r="CR1632" s="2237"/>
      <c r="CS1632" s="2237"/>
      <c r="CT1632" s="2237"/>
      <c r="CU1632" s="2237"/>
      <c r="CV1632" s="2237"/>
      <c r="CW1632" s="2237"/>
      <c r="CX1632" s="2237"/>
      <c r="CY1632" s="2237"/>
      <c r="CZ1632" s="2237"/>
      <c r="DA1632" s="2237"/>
      <c r="DB1632" s="2237"/>
      <c r="DC1632" s="2237"/>
      <c r="DD1632" s="2237"/>
      <c r="DE1632" s="2237"/>
      <c r="DF1632" s="3393" t="str">
        <f t="shared" si="238"/>
        <v>ASHP-SEER18-Replace_CAC_ElectricHeat_ROF_MF</v>
      </c>
      <c r="DG1632" s="3259">
        <f>(DI1632+DI1633)/(DJ1632+DJ1633)</f>
        <v>1.7986932377653366</v>
      </c>
      <c r="DH1632" s="3398" t="str">
        <f t="shared" si="240"/>
        <v>Cooling Res 18 Year EUL</v>
      </c>
      <c r="DI1632" s="3260">
        <f>(INDEX('Avoided Cost Benefits'!$B$4:$B$866,MATCH(DH1632,'Avoided Cost Benefits'!$A$4:$A$866,0)))*F1632</f>
        <v>1366.1448185926852</v>
      </c>
      <c r="DJ1632" s="2507">
        <f>IFERROR(K1632/(1.0686^(2025-2025)),10000000)</f>
        <v>4171</v>
      </c>
      <c r="DM1632" s="252"/>
    </row>
    <row r="1633" spans="1:117">
      <c r="A1633" s="453"/>
      <c r="B1633" s="1454">
        <f t="shared" si="235"/>
        <v>353250</v>
      </c>
      <c r="C1633" s="2554" t="s">
        <v>2277</v>
      </c>
      <c r="D1633" s="3383" t="s">
        <v>1122</v>
      </c>
      <c r="E1633" s="3402" t="s">
        <v>2278</v>
      </c>
      <c r="F1633" s="3373">
        <f>ROUND(((K1976*K2169*(1/K2362-1/K2555)*K3520)/1000)*$K$3651,2)</f>
        <v>10124.5</v>
      </c>
      <c r="G1633" s="3384" t="s">
        <v>2078</v>
      </c>
      <c r="H1633" s="2213">
        <f>VLOOKUP(G1633,'CP FACTORS'!$A$3:$B$38, 2, FALSE)</f>
        <v>0</v>
      </c>
      <c r="I1633" s="3405">
        <f t="shared" si="239"/>
        <v>0</v>
      </c>
      <c r="J1633" s="2449">
        <f>K3777</f>
        <v>18</v>
      </c>
      <c r="K1633" s="2894">
        <f t="shared" si="236"/>
        <v>0</v>
      </c>
      <c r="L1633" s="2649"/>
      <c r="M1633" s="3386"/>
      <c r="N1633" s="3387"/>
      <c r="O1633" s="2702"/>
      <c r="P1633" s="635"/>
      <c r="Q1633" s="635"/>
      <c r="R1633" s="2966"/>
      <c r="S1633" s="635"/>
      <c r="T1633" s="635"/>
      <c r="U1633" s="3388"/>
      <c r="V1633" s="2962" t="s">
        <v>45</v>
      </c>
      <c r="W1633" s="3389">
        <v>8343.6696919309452</v>
      </c>
      <c r="X1633" s="3390">
        <v>6213.105952776853</v>
      </c>
      <c r="Y1633" s="3373">
        <v>6213.11</v>
      </c>
      <c r="Z1633" s="3373">
        <v>6213.11</v>
      </c>
      <c r="AA1633" s="3373">
        <v>6213.11</v>
      </c>
      <c r="AB1633" s="3391">
        <v>9020.2199999999993</v>
      </c>
      <c r="AC1633" s="3369">
        <v>6580.92</v>
      </c>
      <c r="AD1633" s="3369">
        <v>10124.5</v>
      </c>
      <c r="AE1633" s="3373">
        <v>10124.5</v>
      </c>
      <c r="AF1633" s="2236">
        <f t="shared" si="237"/>
        <v>10124.5</v>
      </c>
      <c r="AG1633" s="3389"/>
      <c r="AH1633" s="2728"/>
      <c r="AI1633" s="2237"/>
      <c r="AJ1633" s="2237"/>
      <c r="AK1633" s="3392"/>
      <c r="AL1633" s="2237"/>
      <c r="AM1633" s="2237"/>
      <c r="AN1633" s="2237"/>
      <c r="AO1633" s="2237"/>
      <c r="AP1633" s="2237"/>
      <c r="AQ1633" s="2237"/>
      <c r="AR1633" s="2237"/>
      <c r="AS1633" s="2237"/>
      <c r="AT1633" s="2237"/>
      <c r="AU1633" s="2237"/>
      <c r="AV1633" s="2237"/>
      <c r="AW1633" s="2237"/>
      <c r="AX1633" s="2237"/>
      <c r="AY1633" s="2237"/>
      <c r="AZ1633" s="2237"/>
      <c r="BA1633" s="2237"/>
      <c r="BB1633" s="2237"/>
      <c r="BC1633" s="2237"/>
      <c r="BD1633" s="2237"/>
      <c r="BE1633" s="2237"/>
      <c r="BF1633" s="2237"/>
      <c r="BG1633" s="2237"/>
      <c r="BH1633" s="2237"/>
      <c r="BI1633" s="2237"/>
      <c r="BJ1633" s="2237"/>
      <c r="BK1633" s="2237"/>
      <c r="BL1633" s="2237"/>
      <c r="BM1633" s="2237"/>
      <c r="BN1633" s="2237"/>
      <c r="BO1633" s="2237"/>
      <c r="BP1633" s="2237"/>
      <c r="BQ1633" s="2237"/>
      <c r="BR1633" s="2237"/>
      <c r="BS1633" s="2237"/>
      <c r="BT1633" s="2237"/>
      <c r="BU1633" s="2237"/>
      <c r="BV1633" s="2237"/>
      <c r="BW1633" s="2237"/>
      <c r="BX1633" s="2237"/>
      <c r="BY1633" s="2237"/>
      <c r="BZ1633" s="2237"/>
      <c r="CA1633" s="2237"/>
      <c r="CB1633" s="2237"/>
      <c r="CC1633" s="2237"/>
      <c r="CD1633" s="2237"/>
      <c r="CE1633" s="2237"/>
      <c r="CF1633" s="2237"/>
      <c r="CG1633" s="2237"/>
      <c r="CH1633" s="2237"/>
      <c r="CI1633" s="2237"/>
      <c r="CJ1633" s="2237"/>
      <c r="CK1633" s="2237"/>
      <c r="CL1633" s="2237"/>
      <c r="CM1633" s="2237"/>
      <c r="CN1633" s="2237"/>
      <c r="CO1633" s="2237"/>
      <c r="CP1633" s="2237"/>
      <c r="CQ1633" s="2237"/>
      <c r="CR1633" s="2237"/>
      <c r="CS1633" s="2237"/>
      <c r="CT1633" s="2237"/>
      <c r="CU1633" s="2237"/>
      <c r="CV1633" s="2237"/>
      <c r="CW1633" s="2237"/>
      <c r="CX1633" s="2237"/>
      <c r="CY1633" s="2237"/>
      <c r="CZ1633" s="2237"/>
      <c r="DA1633" s="2237"/>
      <c r="DB1633" s="2237"/>
      <c r="DC1633" s="2237"/>
      <c r="DD1633" s="2237"/>
      <c r="DE1633" s="2237"/>
      <c r="DF1633" s="3393" t="str">
        <f t="shared" si="238"/>
        <v>ASHP-SEER18-Replace_CAC_ElectricHeat_ROF_MF</v>
      </c>
      <c r="DG1633" s="3261"/>
      <c r="DH1633" s="3402" t="str">
        <f t="shared" si="240"/>
        <v>Heating Res 18 Year EUL</v>
      </c>
      <c r="DI1633" s="3260">
        <f>(INDEX('Avoided Cost Benefits'!$B$4:$B$866,MATCH(DH1633,'Avoided Cost Benefits'!$A$4:$A$866,0)))*F1633</f>
        <v>6136.2046761265337</v>
      </c>
      <c r="DJ1633" s="2507">
        <f>K1633/(1.0686^(2025-2025))</f>
        <v>0</v>
      </c>
      <c r="DM1633" s="252"/>
    </row>
    <row r="1634" spans="1:117">
      <c r="A1634" s="453"/>
      <c r="B1634" s="1454">
        <f t="shared" si="235"/>
        <v>353251</v>
      </c>
      <c r="C1634" s="2554" t="s">
        <v>2279</v>
      </c>
      <c r="D1634" s="3383" t="s">
        <v>1118</v>
      </c>
      <c r="E1634" s="2521" t="s">
        <v>2280</v>
      </c>
      <c r="F1634" s="3369">
        <f>ROUND((($K$2749*$K$2942*(1/$K$3135-1/$K$3328)*$K$3521)/1000)*$K$3651,2)</f>
        <v>433.91</v>
      </c>
      <c r="G1634" s="3384" t="str">
        <f>G1632</f>
        <v>Cooling Res</v>
      </c>
      <c r="H1634" s="2213">
        <f>VLOOKUP(G1634,'CP FACTORS'!$A$3:$B$38, 2, FALSE)</f>
        <v>9.4741810000000004E-4</v>
      </c>
      <c r="I1634" s="3404">
        <f t="shared" si="239"/>
        <v>0.41109400000000001</v>
      </c>
      <c r="J1634" s="2449">
        <f t="shared" ref="J1634:J1641" si="244">K3778</f>
        <v>18</v>
      </c>
      <c r="K1634" s="2467">
        <f t="shared" si="236"/>
        <v>4171</v>
      </c>
      <c r="L1634" s="2649">
        <f>L1977</f>
        <v>3</v>
      </c>
      <c r="M1634" s="3386"/>
      <c r="N1634" s="3387"/>
      <c r="O1634" s="2702"/>
      <c r="P1634" s="635"/>
      <c r="Q1634" s="635"/>
      <c r="R1634" s="2966"/>
      <c r="S1634" s="635"/>
      <c r="T1634" s="635"/>
      <c r="U1634" s="3388"/>
      <c r="V1634" s="2962" t="s">
        <v>45</v>
      </c>
      <c r="W1634" s="3389"/>
      <c r="X1634" s="3390"/>
      <c r="Y1634" s="3369">
        <v>294.93</v>
      </c>
      <c r="Z1634" s="3373">
        <v>294.93</v>
      </c>
      <c r="AA1634" s="3373">
        <v>294.93</v>
      </c>
      <c r="AB1634" s="3391">
        <v>478.99</v>
      </c>
      <c r="AC1634" s="3369">
        <v>316</v>
      </c>
      <c r="AD1634" s="3369">
        <v>486.15</v>
      </c>
      <c r="AE1634" s="3369">
        <v>361.14</v>
      </c>
      <c r="AF1634" s="2236">
        <f t="shared" si="237"/>
        <v>433.91</v>
      </c>
      <c r="AG1634" s="3389"/>
      <c r="AH1634" s="2728"/>
      <c r="AI1634" s="2237"/>
      <c r="AJ1634" s="2237"/>
      <c r="AK1634" s="3392"/>
      <c r="AL1634" s="2237"/>
      <c r="AM1634" s="2237"/>
      <c r="AN1634" s="2237"/>
      <c r="AO1634" s="2237"/>
      <c r="AP1634" s="2237"/>
      <c r="AQ1634" s="2237"/>
      <c r="AR1634" s="2237"/>
      <c r="AS1634" s="2237"/>
      <c r="AT1634" s="2237"/>
      <c r="AU1634" s="2237"/>
      <c r="AV1634" s="2237"/>
      <c r="AW1634" s="2237"/>
      <c r="AX1634" s="2237"/>
      <c r="AY1634" s="2237"/>
      <c r="AZ1634" s="2237"/>
      <c r="BA1634" s="2237"/>
      <c r="BB1634" s="2237"/>
      <c r="BC1634" s="2237"/>
      <c r="BD1634" s="2237"/>
      <c r="BE1634" s="2237"/>
      <c r="BF1634" s="2237"/>
      <c r="BG1634" s="2237"/>
      <c r="BH1634" s="2237"/>
      <c r="BI1634" s="2237"/>
      <c r="BJ1634" s="2237"/>
      <c r="BK1634" s="2237"/>
      <c r="BL1634" s="2237"/>
      <c r="BM1634" s="2237"/>
      <c r="BN1634" s="2237"/>
      <c r="BO1634" s="2237"/>
      <c r="BP1634" s="2237"/>
      <c r="BQ1634" s="2237"/>
      <c r="BR1634" s="2237"/>
      <c r="BS1634" s="2237"/>
      <c r="BT1634" s="2237"/>
      <c r="BU1634" s="2237"/>
      <c r="BV1634" s="2237"/>
      <c r="BW1634" s="2237"/>
      <c r="BX1634" s="2237"/>
      <c r="BY1634" s="2237"/>
      <c r="BZ1634" s="2237"/>
      <c r="CA1634" s="2237"/>
      <c r="CB1634" s="2237"/>
      <c r="CC1634" s="2237"/>
      <c r="CD1634" s="2237"/>
      <c r="CE1634" s="2237"/>
      <c r="CF1634" s="2237"/>
      <c r="CG1634" s="2237"/>
      <c r="CH1634" s="2237"/>
      <c r="CI1634" s="2237"/>
      <c r="CJ1634" s="2237"/>
      <c r="CK1634" s="2237"/>
      <c r="CL1634" s="2237"/>
      <c r="CM1634" s="2237"/>
      <c r="CN1634" s="2237"/>
      <c r="CO1634" s="2237"/>
      <c r="CP1634" s="2237"/>
      <c r="CQ1634" s="2237"/>
      <c r="CR1634" s="2237"/>
      <c r="CS1634" s="2237"/>
      <c r="CT1634" s="2237"/>
      <c r="CU1634" s="2237"/>
      <c r="CV1634" s="2237"/>
      <c r="CW1634" s="2237"/>
      <c r="CX1634" s="2237"/>
      <c r="CY1634" s="2237"/>
      <c r="CZ1634" s="2237"/>
      <c r="DA1634" s="2237"/>
      <c r="DB1634" s="2237"/>
      <c r="DC1634" s="2237"/>
      <c r="DD1634" s="2237"/>
      <c r="DE1634" s="2237"/>
      <c r="DF1634" s="3393" t="str">
        <f t="shared" si="238"/>
        <v>ASHP-SEER18-Replace_CAC_ElectricHeat_ROF_MF_CompE</v>
      </c>
      <c r="DG1634" s="3259">
        <f>(DI1634+DI1635)/(DJ1634+DJ1635)</f>
        <v>0.73973605888671523</v>
      </c>
      <c r="DH1634" s="3398" t="str">
        <f t="shared" si="240"/>
        <v>Cooling Res 18 Year EUL</v>
      </c>
      <c r="DI1634" s="3260">
        <f>(INDEX('Avoided Cost Benefits'!$B$4:$B$866,MATCH(DH1634,'Avoided Cost Benefits'!$A$4:$A$866,0)))*F1634</f>
        <v>993.5536232431358</v>
      </c>
      <c r="DJ1634" s="2507">
        <f>IFERROR(K1634/(1.0686^(2025-2025)),10000000)</f>
        <v>4171</v>
      </c>
      <c r="DM1634" s="252"/>
    </row>
    <row r="1635" spans="1:117">
      <c r="A1635" s="453"/>
      <c r="B1635" s="1454">
        <f t="shared" si="235"/>
        <v>353251</v>
      </c>
      <c r="C1635" s="2554" t="str">
        <f>C1634</f>
        <v>353251_2024_12_</v>
      </c>
      <c r="D1635" s="3383" t="s">
        <v>1118</v>
      </c>
      <c r="E1635" s="2522" t="s">
        <v>2280</v>
      </c>
      <c r="F1635" s="3373">
        <f>ROUND((($K$1977*$K$2170*(1/$K$2363-1/$K$2556)*$K$3521)/1000)*$K$3651,2)</f>
        <v>3451.53</v>
      </c>
      <c r="G1635" s="3384" t="str">
        <f>G1633</f>
        <v>Heating Res</v>
      </c>
      <c r="H1635" s="2213">
        <f>VLOOKUP(G1635,'CP FACTORS'!$A$3:$B$38, 2, FALSE)</f>
        <v>0</v>
      </c>
      <c r="I1635" s="3405">
        <f t="shared" si="239"/>
        <v>0</v>
      </c>
      <c r="J1635" s="2449">
        <f t="shared" si="244"/>
        <v>18</v>
      </c>
      <c r="K1635" s="2894">
        <f t="shared" si="236"/>
        <v>0</v>
      </c>
      <c r="L1635" s="2649"/>
      <c r="M1635" s="3386"/>
      <c r="N1635" s="3387"/>
      <c r="O1635" s="2702"/>
      <c r="P1635" s="635"/>
      <c r="Q1635" s="635"/>
      <c r="R1635" s="2966"/>
      <c r="S1635" s="635"/>
      <c r="T1635" s="635"/>
      <c r="U1635" s="3388"/>
      <c r="V1635" s="2962" t="s">
        <v>45</v>
      </c>
      <c r="W1635" s="3389"/>
      <c r="X1635" s="3390"/>
      <c r="Y1635" s="3369">
        <v>2118.1</v>
      </c>
      <c r="Z1635" s="3373">
        <v>2118.1</v>
      </c>
      <c r="AA1635" s="3373">
        <v>2118.1</v>
      </c>
      <c r="AB1635" s="3391">
        <v>3075.08</v>
      </c>
      <c r="AC1635" s="3369">
        <v>2243.5</v>
      </c>
      <c r="AD1635" s="3369">
        <v>3451.53</v>
      </c>
      <c r="AE1635" s="3373">
        <v>3451.53</v>
      </c>
      <c r="AF1635" s="2236">
        <f t="shared" si="237"/>
        <v>3451.53</v>
      </c>
      <c r="AG1635" s="3389"/>
      <c r="AH1635" s="2728"/>
      <c r="AI1635" s="2237"/>
      <c r="AJ1635" s="2237"/>
      <c r="AK1635" s="3392"/>
      <c r="AL1635" s="2237"/>
      <c r="AM1635" s="2237"/>
      <c r="AN1635" s="2237"/>
      <c r="AO1635" s="2237"/>
      <c r="AP1635" s="2237"/>
      <c r="AQ1635" s="2237"/>
      <c r="AR1635" s="2237"/>
      <c r="AS1635" s="2237"/>
      <c r="AT1635" s="2237"/>
      <c r="AU1635" s="2237"/>
      <c r="AV1635" s="2237"/>
      <c r="AW1635" s="2237"/>
      <c r="AX1635" s="2237"/>
      <c r="AY1635" s="2237"/>
      <c r="AZ1635" s="2237"/>
      <c r="BA1635" s="2237"/>
      <c r="BB1635" s="2237"/>
      <c r="BC1635" s="2237"/>
      <c r="BD1635" s="2237"/>
      <c r="BE1635" s="2237"/>
      <c r="BF1635" s="2237"/>
      <c r="BG1635" s="2237"/>
      <c r="BH1635" s="2237"/>
      <c r="BI1635" s="2237"/>
      <c r="BJ1635" s="2237"/>
      <c r="BK1635" s="2237"/>
      <c r="BL1635" s="2237"/>
      <c r="BM1635" s="2237"/>
      <c r="BN1635" s="2237"/>
      <c r="BO1635" s="2237"/>
      <c r="BP1635" s="2237"/>
      <c r="BQ1635" s="2237"/>
      <c r="BR1635" s="2237"/>
      <c r="BS1635" s="2237"/>
      <c r="BT1635" s="2237"/>
      <c r="BU1635" s="2237"/>
      <c r="BV1635" s="2237"/>
      <c r="BW1635" s="2237"/>
      <c r="BX1635" s="2237"/>
      <c r="BY1635" s="2237"/>
      <c r="BZ1635" s="2237"/>
      <c r="CA1635" s="2237"/>
      <c r="CB1635" s="2237"/>
      <c r="CC1635" s="2237"/>
      <c r="CD1635" s="2237"/>
      <c r="CE1635" s="2237"/>
      <c r="CF1635" s="2237"/>
      <c r="CG1635" s="2237"/>
      <c r="CH1635" s="2237"/>
      <c r="CI1635" s="2237"/>
      <c r="CJ1635" s="2237"/>
      <c r="CK1635" s="2237"/>
      <c r="CL1635" s="2237"/>
      <c r="CM1635" s="2237"/>
      <c r="CN1635" s="2237"/>
      <c r="CO1635" s="2237"/>
      <c r="CP1635" s="2237"/>
      <c r="CQ1635" s="2237"/>
      <c r="CR1635" s="2237"/>
      <c r="CS1635" s="2237"/>
      <c r="CT1635" s="2237"/>
      <c r="CU1635" s="2237"/>
      <c r="CV1635" s="2237"/>
      <c r="CW1635" s="2237"/>
      <c r="CX1635" s="2237"/>
      <c r="CY1635" s="2237"/>
      <c r="CZ1635" s="2237"/>
      <c r="DA1635" s="2237"/>
      <c r="DB1635" s="2237"/>
      <c r="DC1635" s="2237"/>
      <c r="DD1635" s="2237"/>
      <c r="DE1635" s="2237"/>
      <c r="DF1635" s="3393" t="str">
        <f t="shared" si="238"/>
        <v>ASHP-SEER18-Replace_CAC_ElectricHeat_ROF_MF_CompE</v>
      </c>
      <c r="DG1635" s="3261"/>
      <c r="DH1635" s="3402" t="str">
        <f t="shared" si="240"/>
        <v>Heating Res 18 Year EUL</v>
      </c>
      <c r="DI1635" s="3260">
        <f>(INDEX('Avoided Cost Benefits'!$B$4:$B$866,MATCH(DH1635,'Avoided Cost Benefits'!$A$4:$A$866,0)))*F1635</f>
        <v>2091.8854783733532</v>
      </c>
      <c r="DJ1635" s="2507">
        <f>K1635/(1.0686^(2025-2025))</f>
        <v>0</v>
      </c>
      <c r="DM1635" s="252"/>
    </row>
    <row r="1636" spans="1:117">
      <c r="A1636" s="453"/>
      <c r="B1636" s="1454">
        <f t="shared" ref="B1636:B1699" si="245">VALUE(LEFT(C1636,6))</f>
        <v>353260</v>
      </c>
      <c r="C1636" s="2554" t="s">
        <v>2281</v>
      </c>
      <c r="D1636" s="3383" t="s">
        <v>1122</v>
      </c>
      <c r="E1636" s="2882" t="s">
        <v>2282</v>
      </c>
      <c r="F1636" s="3369">
        <f>ROUND(((K2750*K2943*(1/K3136-1/K3329)*K3522)/1000)*$K$3651,2)</f>
        <v>596.63</v>
      </c>
      <c r="G1636" s="3384" t="s">
        <v>2077</v>
      </c>
      <c r="H1636" s="2213">
        <f>VLOOKUP(G1636,'CP FACTORS'!$A$3:$B$38, 2, FALSE)</f>
        <v>9.4741810000000004E-4</v>
      </c>
      <c r="I1636" s="3404">
        <f t="shared" si="239"/>
        <v>0.56525800000000004</v>
      </c>
      <c r="J1636" s="2449">
        <f t="shared" si="244"/>
        <v>18</v>
      </c>
      <c r="K1636" s="2467">
        <f t="shared" ref="K1636:K1699" si="246">IF(C1636&lt;&gt;C1635,VLOOKUP(C1636,$J$4038:$K$4469,2,FALSE),0)</f>
        <v>232.11580588986425</v>
      </c>
      <c r="L1636" s="2649">
        <f>L1978</f>
        <v>3</v>
      </c>
      <c r="M1636" s="3386"/>
      <c r="N1636" s="3387"/>
      <c r="O1636" s="2702"/>
      <c r="P1636" s="635"/>
      <c r="Q1636" s="635"/>
      <c r="R1636" s="2966"/>
      <c r="S1636" s="635"/>
      <c r="T1636" s="635"/>
      <c r="U1636" s="3388"/>
      <c r="V1636" s="2962" t="s">
        <v>45</v>
      </c>
      <c r="W1636" s="3389"/>
      <c r="X1636" s="3390"/>
      <c r="Y1636" s="3369"/>
      <c r="Z1636" s="3373"/>
      <c r="AA1636" s="3373"/>
      <c r="AB1636" s="3391"/>
      <c r="AC1636" s="3369">
        <v>434.5</v>
      </c>
      <c r="AD1636" s="3369">
        <v>668.46</v>
      </c>
      <c r="AE1636" s="3369">
        <v>496.57</v>
      </c>
      <c r="AF1636" s="2236">
        <f t="shared" ref="AF1636:AF1699" si="247">IF(F1636&lt;&gt;"",F1636,"")</f>
        <v>596.63</v>
      </c>
      <c r="AG1636" s="3389"/>
      <c r="AH1636" s="2728"/>
      <c r="AI1636" s="2237"/>
      <c r="AJ1636" s="2237"/>
      <c r="AK1636" s="3392"/>
      <c r="AL1636" s="2237"/>
      <c r="AM1636" s="2237"/>
      <c r="AN1636" s="2237"/>
      <c r="AO1636" s="2237"/>
      <c r="AP1636" s="2237"/>
      <c r="AQ1636" s="2237"/>
      <c r="AR1636" s="2237"/>
      <c r="AS1636" s="2237"/>
      <c r="AT1636" s="2237"/>
      <c r="AU1636" s="2237"/>
      <c r="AV1636" s="2237"/>
      <c r="AW1636" s="2237"/>
      <c r="AX1636" s="2237"/>
      <c r="AY1636" s="2237"/>
      <c r="AZ1636" s="2237"/>
      <c r="BA1636" s="2237"/>
      <c r="BB1636" s="2237"/>
      <c r="BC1636" s="2237"/>
      <c r="BD1636" s="2237"/>
      <c r="BE1636" s="2237"/>
      <c r="BF1636" s="2237"/>
      <c r="BG1636" s="2237"/>
      <c r="BH1636" s="2237"/>
      <c r="BI1636" s="2237"/>
      <c r="BJ1636" s="2237"/>
      <c r="BK1636" s="2237"/>
      <c r="BL1636" s="2237"/>
      <c r="BM1636" s="2237"/>
      <c r="BN1636" s="2237"/>
      <c r="BO1636" s="2237"/>
      <c r="BP1636" s="2237"/>
      <c r="BQ1636" s="2237"/>
      <c r="BR1636" s="2237"/>
      <c r="BS1636" s="2237"/>
      <c r="BT1636" s="2237"/>
      <c r="BU1636" s="2237"/>
      <c r="BV1636" s="2237"/>
      <c r="BW1636" s="2237"/>
      <c r="BX1636" s="2237"/>
      <c r="BY1636" s="2237"/>
      <c r="BZ1636" s="2237"/>
      <c r="CA1636" s="2237"/>
      <c r="CB1636" s="2237"/>
      <c r="CC1636" s="2237"/>
      <c r="CD1636" s="2237"/>
      <c r="CE1636" s="2237"/>
      <c r="CF1636" s="2237"/>
      <c r="CG1636" s="2237"/>
      <c r="CH1636" s="2237"/>
      <c r="CI1636" s="2237"/>
      <c r="CJ1636" s="2237"/>
      <c r="CK1636" s="2237"/>
      <c r="CL1636" s="2237"/>
      <c r="CM1636" s="2237"/>
      <c r="CN1636" s="2237"/>
      <c r="CO1636" s="2237"/>
      <c r="CP1636" s="2237"/>
      <c r="CQ1636" s="2237"/>
      <c r="CR1636" s="2237"/>
      <c r="CS1636" s="2237"/>
      <c r="CT1636" s="2237"/>
      <c r="CU1636" s="2237"/>
      <c r="CV1636" s="2237"/>
      <c r="CW1636" s="2237"/>
      <c r="CX1636" s="2237"/>
      <c r="CY1636" s="2237"/>
      <c r="CZ1636" s="2237"/>
      <c r="DA1636" s="2237"/>
      <c r="DB1636" s="2237"/>
      <c r="DC1636" s="2237"/>
      <c r="DD1636" s="2237"/>
      <c r="DE1636" s="2237"/>
      <c r="DF1636" s="3393" t="str">
        <f t="shared" si="238"/>
        <v>ASHP-SEER18-Replace_CAC_NonElectricHeat_ROF_MF</v>
      </c>
      <c r="DG1636" s="3259">
        <f>(DI1636+DI1637)/(DJ1636+DJ1637)</f>
        <v>5.8856173682584201</v>
      </c>
      <c r="DH1636" s="3403" t="str">
        <f t="shared" si="240"/>
        <v>Cooling Res 18 Year EUL</v>
      </c>
      <c r="DI1636" s="3260">
        <f>(INDEX('Avoided Cost Benefits'!$B$4:$B$866,MATCH(DH1636,'Avoided Cost Benefits'!$A$4:$A$866,0)))*F1636</f>
        <v>1366.1448185926852</v>
      </c>
      <c r="DJ1636" s="2507">
        <f>IFERROR(K1636/(1.0686^(2025-2025)),10000000)</f>
        <v>232.11580588986425</v>
      </c>
      <c r="DM1636" s="252"/>
    </row>
    <row r="1637" spans="1:117">
      <c r="A1637" s="453"/>
      <c r="B1637" s="1454">
        <f t="shared" si="245"/>
        <v>353260</v>
      </c>
      <c r="C1637" s="2554" t="s">
        <v>2281</v>
      </c>
      <c r="D1637" s="3383" t="s">
        <v>1122</v>
      </c>
      <c r="E1637" s="2522" t="s">
        <v>2282</v>
      </c>
      <c r="F1637" s="3373">
        <v>0</v>
      </c>
      <c r="G1637" s="3384" t="s">
        <v>2078</v>
      </c>
      <c r="H1637" s="2213">
        <f>VLOOKUP(G1637,'CP FACTORS'!$A$3:$B$38, 2, FALSE)</f>
        <v>0</v>
      </c>
      <c r="I1637" s="3405">
        <f t="shared" si="239"/>
        <v>0</v>
      </c>
      <c r="J1637" s="2449">
        <f t="shared" si="244"/>
        <v>18</v>
      </c>
      <c r="K1637" s="2894">
        <f t="shared" si="246"/>
        <v>0</v>
      </c>
      <c r="L1637" s="2649"/>
      <c r="M1637" s="3386"/>
      <c r="N1637" s="3387"/>
      <c r="O1637" s="2702"/>
      <c r="P1637" s="635"/>
      <c r="Q1637" s="635"/>
      <c r="R1637" s="2966"/>
      <c r="S1637" s="635"/>
      <c r="T1637" s="635"/>
      <c r="U1637" s="3388"/>
      <c r="V1637" s="2962" t="s">
        <v>45</v>
      </c>
      <c r="W1637" s="3389"/>
      <c r="X1637" s="3390"/>
      <c r="Y1637" s="3369"/>
      <c r="Z1637" s="3373"/>
      <c r="AA1637" s="3373"/>
      <c r="AB1637" s="3391"/>
      <c r="AC1637" s="3369">
        <v>0</v>
      </c>
      <c r="AD1637" s="3373">
        <v>0</v>
      </c>
      <c r="AE1637" s="3373">
        <v>0</v>
      </c>
      <c r="AF1637" s="2236">
        <f t="shared" si="247"/>
        <v>0</v>
      </c>
      <c r="AG1637" s="3389"/>
      <c r="AH1637" s="2728"/>
      <c r="AI1637" s="2237"/>
      <c r="AJ1637" s="2237"/>
      <c r="AK1637" s="3392"/>
      <c r="AL1637" s="2237"/>
      <c r="AM1637" s="2237"/>
      <c r="AN1637" s="2237"/>
      <c r="AO1637" s="2237"/>
      <c r="AP1637" s="2237"/>
      <c r="AQ1637" s="2237"/>
      <c r="AR1637" s="2237"/>
      <c r="AS1637" s="2237"/>
      <c r="AT1637" s="2237"/>
      <c r="AU1637" s="2237"/>
      <c r="AV1637" s="2237"/>
      <c r="AW1637" s="2237"/>
      <c r="AX1637" s="2237"/>
      <c r="AY1637" s="2237"/>
      <c r="AZ1637" s="2237"/>
      <c r="BA1637" s="2237"/>
      <c r="BB1637" s="2237"/>
      <c r="BC1637" s="2237"/>
      <c r="BD1637" s="2237"/>
      <c r="BE1637" s="2237"/>
      <c r="BF1637" s="2237"/>
      <c r="BG1637" s="2237"/>
      <c r="BH1637" s="2237"/>
      <c r="BI1637" s="2237"/>
      <c r="BJ1637" s="2237"/>
      <c r="BK1637" s="2237"/>
      <c r="BL1637" s="2237"/>
      <c r="BM1637" s="2237"/>
      <c r="BN1637" s="2237"/>
      <c r="BO1637" s="2237"/>
      <c r="BP1637" s="2237"/>
      <c r="BQ1637" s="2237"/>
      <c r="BR1637" s="2237"/>
      <c r="BS1637" s="2237"/>
      <c r="BT1637" s="2237"/>
      <c r="BU1637" s="2237"/>
      <c r="BV1637" s="2237"/>
      <c r="BW1637" s="2237"/>
      <c r="BX1637" s="2237"/>
      <c r="BY1637" s="2237"/>
      <c r="BZ1637" s="2237"/>
      <c r="CA1637" s="2237"/>
      <c r="CB1637" s="2237"/>
      <c r="CC1637" s="2237"/>
      <c r="CD1637" s="2237"/>
      <c r="CE1637" s="2237"/>
      <c r="CF1637" s="2237"/>
      <c r="CG1637" s="2237"/>
      <c r="CH1637" s="2237"/>
      <c r="CI1637" s="2237"/>
      <c r="CJ1637" s="2237"/>
      <c r="CK1637" s="2237"/>
      <c r="CL1637" s="2237"/>
      <c r="CM1637" s="2237"/>
      <c r="CN1637" s="2237"/>
      <c r="CO1637" s="2237"/>
      <c r="CP1637" s="2237"/>
      <c r="CQ1637" s="2237"/>
      <c r="CR1637" s="2237"/>
      <c r="CS1637" s="2237"/>
      <c r="CT1637" s="2237"/>
      <c r="CU1637" s="2237"/>
      <c r="CV1637" s="2237"/>
      <c r="CW1637" s="2237"/>
      <c r="CX1637" s="2237"/>
      <c r="CY1637" s="2237"/>
      <c r="CZ1637" s="2237"/>
      <c r="DA1637" s="2237"/>
      <c r="DB1637" s="2237"/>
      <c r="DC1637" s="2237"/>
      <c r="DD1637" s="2237"/>
      <c r="DE1637" s="2237"/>
      <c r="DF1637" s="3393" t="str">
        <f t="shared" ref="DF1637:DF1700" si="248">E1637</f>
        <v>ASHP-SEER18-Replace_CAC_NonElectricHeat_ROF_MF</v>
      </c>
      <c r="DG1637" s="3261"/>
      <c r="DH1637" s="3402" t="str">
        <f t="shared" si="240"/>
        <v>Heating Res 18 Year EUL</v>
      </c>
      <c r="DI1637" s="3260">
        <f>(INDEX('Avoided Cost Benefits'!$B$4:$B$866,MATCH(DH1637,'Avoided Cost Benefits'!$A$4:$A$866,0)))*F1637</f>
        <v>0</v>
      </c>
      <c r="DJ1637" s="2507">
        <f>K1637/(1.0686^(2025-2025))</f>
        <v>0</v>
      </c>
      <c r="DM1637" s="252"/>
    </row>
    <row r="1638" spans="1:117">
      <c r="A1638" s="453"/>
      <c r="B1638" s="1454">
        <f t="shared" si="245"/>
        <v>353261</v>
      </c>
      <c r="C1638" s="2554" t="s">
        <v>2283</v>
      </c>
      <c r="D1638" s="3383" t="s">
        <v>1118</v>
      </c>
      <c r="E1638" s="2882" t="s">
        <v>2284</v>
      </c>
      <c r="F1638" s="3369">
        <f>ROUND(((K2751*K2944*(1/K3137-1/K3330)*K3523)/1000)*$K$3651,2)</f>
        <v>433.91</v>
      </c>
      <c r="G1638" s="3384" t="s">
        <v>2077</v>
      </c>
      <c r="H1638" s="2213">
        <f>VLOOKUP(G1638,'CP FACTORS'!$A$3:$B$38, 2, FALSE)</f>
        <v>9.4741810000000004E-4</v>
      </c>
      <c r="I1638" s="3404">
        <f t="shared" si="239"/>
        <v>0.41109400000000001</v>
      </c>
      <c r="J1638" s="2449">
        <f t="shared" si="244"/>
        <v>18</v>
      </c>
      <c r="K1638" s="2467">
        <f t="shared" si="246"/>
        <v>465.80016935018944</v>
      </c>
      <c r="L1638" s="2649">
        <f>L1979</f>
        <v>3</v>
      </c>
      <c r="M1638" s="3386"/>
      <c r="N1638" s="3387"/>
      <c r="O1638" s="2702"/>
      <c r="P1638" s="635"/>
      <c r="Q1638" s="635"/>
      <c r="R1638" s="2966"/>
      <c r="S1638" s="635"/>
      <c r="T1638" s="635"/>
      <c r="U1638" s="3388"/>
      <c r="V1638" s="2962" t="s">
        <v>45</v>
      </c>
      <c r="W1638" s="3389"/>
      <c r="X1638" s="3390"/>
      <c r="Y1638" s="3369"/>
      <c r="Z1638" s="3373"/>
      <c r="AA1638" s="3373"/>
      <c r="AB1638" s="3391"/>
      <c r="AC1638" s="3369">
        <v>316</v>
      </c>
      <c r="AD1638" s="3369">
        <v>486.15</v>
      </c>
      <c r="AE1638" s="3369">
        <v>361.14</v>
      </c>
      <c r="AF1638" s="2236">
        <f t="shared" si="247"/>
        <v>433.91</v>
      </c>
      <c r="AG1638" s="3389"/>
      <c r="AH1638" s="2728"/>
      <c r="AI1638" s="2237"/>
      <c r="AJ1638" s="2237"/>
      <c r="AK1638" s="3392"/>
      <c r="AL1638" s="2237"/>
      <c r="AM1638" s="2237"/>
      <c r="AN1638" s="2237"/>
      <c r="AO1638" s="2237"/>
      <c r="AP1638" s="2237"/>
      <c r="AQ1638" s="2237"/>
      <c r="AR1638" s="2237"/>
      <c r="AS1638" s="2237"/>
      <c r="AT1638" s="2237"/>
      <c r="AU1638" s="2237"/>
      <c r="AV1638" s="2237"/>
      <c r="AW1638" s="2237"/>
      <c r="AX1638" s="2237"/>
      <c r="AY1638" s="2237"/>
      <c r="AZ1638" s="2237"/>
      <c r="BA1638" s="2237"/>
      <c r="BB1638" s="2237"/>
      <c r="BC1638" s="2237"/>
      <c r="BD1638" s="2237"/>
      <c r="BE1638" s="2237"/>
      <c r="BF1638" s="2237"/>
      <c r="BG1638" s="2237"/>
      <c r="BH1638" s="2237"/>
      <c r="BI1638" s="2237"/>
      <c r="BJ1638" s="2237"/>
      <c r="BK1638" s="2237"/>
      <c r="BL1638" s="2237"/>
      <c r="BM1638" s="2237"/>
      <c r="BN1638" s="2237"/>
      <c r="BO1638" s="2237"/>
      <c r="BP1638" s="2237"/>
      <c r="BQ1638" s="2237"/>
      <c r="BR1638" s="2237"/>
      <c r="BS1638" s="2237"/>
      <c r="BT1638" s="2237"/>
      <c r="BU1638" s="2237"/>
      <c r="BV1638" s="2237"/>
      <c r="BW1638" s="2237"/>
      <c r="BX1638" s="2237"/>
      <c r="BY1638" s="2237"/>
      <c r="BZ1638" s="2237"/>
      <c r="CA1638" s="2237"/>
      <c r="CB1638" s="2237"/>
      <c r="CC1638" s="2237"/>
      <c r="CD1638" s="2237"/>
      <c r="CE1638" s="2237"/>
      <c r="CF1638" s="2237"/>
      <c r="CG1638" s="2237"/>
      <c r="CH1638" s="2237"/>
      <c r="CI1638" s="2237"/>
      <c r="CJ1638" s="2237"/>
      <c r="CK1638" s="2237"/>
      <c r="CL1638" s="2237"/>
      <c r="CM1638" s="2237"/>
      <c r="CN1638" s="2237"/>
      <c r="CO1638" s="2237"/>
      <c r="CP1638" s="2237"/>
      <c r="CQ1638" s="2237"/>
      <c r="CR1638" s="2237"/>
      <c r="CS1638" s="2237"/>
      <c r="CT1638" s="2237"/>
      <c r="CU1638" s="2237"/>
      <c r="CV1638" s="2237"/>
      <c r="CW1638" s="2237"/>
      <c r="CX1638" s="2237"/>
      <c r="CY1638" s="2237"/>
      <c r="CZ1638" s="2237"/>
      <c r="DA1638" s="2237"/>
      <c r="DB1638" s="2237"/>
      <c r="DC1638" s="2237"/>
      <c r="DD1638" s="2237"/>
      <c r="DE1638" s="2237"/>
      <c r="DF1638" s="3393" t="str">
        <f t="shared" si="248"/>
        <v>ASHP-SEER18-Replace_CAC_NonElectricHeat_ROF_MF_CompE</v>
      </c>
      <c r="DG1638" s="3259">
        <f>(DI1638+DI1639)/(DJ1638+DJ1639)</f>
        <v>2.133003997463514</v>
      </c>
      <c r="DH1638" s="3403" t="str">
        <f t="shared" si="240"/>
        <v>Cooling Res 18 Year EUL</v>
      </c>
      <c r="DI1638" s="3260">
        <f>(INDEX('Avoided Cost Benefits'!$B$4:$B$866,MATCH(DH1638,'Avoided Cost Benefits'!$A$4:$A$866,0)))*F1638</f>
        <v>993.5536232431358</v>
      </c>
      <c r="DJ1638" s="2507">
        <f>IFERROR(K1638/(1.0686^(2025-2025)),10000000)</f>
        <v>465.80016935018944</v>
      </c>
      <c r="DM1638" s="252"/>
    </row>
    <row r="1639" spans="1:117">
      <c r="A1639" s="453"/>
      <c r="B1639" s="1454">
        <f t="shared" si="245"/>
        <v>353261</v>
      </c>
      <c r="C1639" s="2554" t="s">
        <v>2283</v>
      </c>
      <c r="D1639" s="3383" t="s">
        <v>1118</v>
      </c>
      <c r="E1639" s="2882" t="s">
        <v>2284</v>
      </c>
      <c r="F1639" s="3373">
        <f>0</f>
        <v>0</v>
      </c>
      <c r="G1639" s="3384" t="s">
        <v>2078</v>
      </c>
      <c r="H1639" s="2213">
        <f>VLOOKUP(G1639,'CP FACTORS'!$A$3:$B$38, 2, FALSE)</f>
        <v>0</v>
      </c>
      <c r="I1639" s="3405">
        <f t="shared" si="239"/>
        <v>0</v>
      </c>
      <c r="J1639" s="2449">
        <f t="shared" si="244"/>
        <v>18</v>
      </c>
      <c r="K1639" s="2894">
        <f t="shared" si="246"/>
        <v>0</v>
      </c>
      <c r="L1639" s="2649"/>
      <c r="M1639" s="3386"/>
      <c r="N1639" s="3387"/>
      <c r="O1639" s="2702"/>
      <c r="P1639" s="635"/>
      <c r="Q1639" s="635"/>
      <c r="R1639" s="2966"/>
      <c r="S1639" s="635"/>
      <c r="T1639" s="635"/>
      <c r="U1639" s="3388"/>
      <c r="V1639" s="2962" t="s">
        <v>45</v>
      </c>
      <c r="W1639" s="3389"/>
      <c r="X1639" s="3390"/>
      <c r="Y1639" s="3369"/>
      <c r="Z1639" s="3373"/>
      <c r="AA1639" s="3373"/>
      <c r="AB1639" s="3391"/>
      <c r="AC1639" s="3369">
        <v>0</v>
      </c>
      <c r="AD1639" s="3373">
        <v>0</v>
      </c>
      <c r="AE1639" s="3373">
        <v>0</v>
      </c>
      <c r="AF1639" s="2236">
        <f t="shared" si="247"/>
        <v>0</v>
      </c>
      <c r="AG1639" s="3389"/>
      <c r="AH1639" s="2728"/>
      <c r="AI1639" s="2237"/>
      <c r="AJ1639" s="2237"/>
      <c r="AK1639" s="3392"/>
      <c r="AL1639" s="2237"/>
      <c r="AM1639" s="2237"/>
      <c r="AN1639" s="2237"/>
      <c r="AO1639" s="2237"/>
      <c r="AP1639" s="2237"/>
      <c r="AQ1639" s="2237"/>
      <c r="AR1639" s="2237"/>
      <c r="AS1639" s="2237"/>
      <c r="AT1639" s="2237"/>
      <c r="AU1639" s="2237"/>
      <c r="AV1639" s="2237"/>
      <c r="AW1639" s="2237"/>
      <c r="AX1639" s="2237"/>
      <c r="AY1639" s="2237"/>
      <c r="AZ1639" s="2237"/>
      <c r="BA1639" s="2237"/>
      <c r="BB1639" s="2237"/>
      <c r="BC1639" s="2237"/>
      <c r="BD1639" s="2237"/>
      <c r="BE1639" s="2237"/>
      <c r="BF1639" s="2237"/>
      <c r="BG1639" s="2237"/>
      <c r="BH1639" s="2237"/>
      <c r="BI1639" s="2237"/>
      <c r="BJ1639" s="2237"/>
      <c r="BK1639" s="2237"/>
      <c r="BL1639" s="2237"/>
      <c r="BM1639" s="2237"/>
      <c r="BN1639" s="2237"/>
      <c r="BO1639" s="2237"/>
      <c r="BP1639" s="2237"/>
      <c r="BQ1639" s="2237"/>
      <c r="BR1639" s="2237"/>
      <c r="BS1639" s="2237"/>
      <c r="BT1639" s="2237"/>
      <c r="BU1639" s="2237"/>
      <c r="BV1639" s="2237"/>
      <c r="BW1639" s="2237"/>
      <c r="BX1639" s="2237"/>
      <c r="BY1639" s="2237"/>
      <c r="BZ1639" s="2237"/>
      <c r="CA1639" s="2237"/>
      <c r="CB1639" s="2237"/>
      <c r="CC1639" s="2237"/>
      <c r="CD1639" s="2237"/>
      <c r="CE1639" s="2237"/>
      <c r="CF1639" s="2237"/>
      <c r="CG1639" s="2237"/>
      <c r="CH1639" s="2237"/>
      <c r="CI1639" s="2237"/>
      <c r="CJ1639" s="2237"/>
      <c r="CK1639" s="2237"/>
      <c r="CL1639" s="2237"/>
      <c r="CM1639" s="2237"/>
      <c r="CN1639" s="2237"/>
      <c r="CO1639" s="2237"/>
      <c r="CP1639" s="2237"/>
      <c r="CQ1639" s="2237"/>
      <c r="CR1639" s="2237"/>
      <c r="CS1639" s="2237"/>
      <c r="CT1639" s="2237"/>
      <c r="CU1639" s="2237"/>
      <c r="CV1639" s="2237"/>
      <c r="CW1639" s="2237"/>
      <c r="CX1639" s="2237"/>
      <c r="CY1639" s="2237"/>
      <c r="CZ1639" s="2237"/>
      <c r="DA1639" s="2237"/>
      <c r="DB1639" s="2237"/>
      <c r="DC1639" s="2237"/>
      <c r="DD1639" s="2237"/>
      <c r="DE1639" s="2237"/>
      <c r="DF1639" s="3393" t="str">
        <f t="shared" si="248"/>
        <v>ASHP-SEER18-Replace_CAC_NonElectricHeat_ROF_MF_CompE</v>
      </c>
      <c r="DG1639" s="3261"/>
      <c r="DH1639" s="3403" t="str">
        <f t="shared" si="240"/>
        <v>Heating Res 18 Year EUL</v>
      </c>
      <c r="DI1639" s="3260">
        <f>(INDEX('Avoided Cost Benefits'!$B$4:$B$866,MATCH(DH1639,'Avoided Cost Benefits'!$A$4:$A$866,0)))*F1639</f>
        <v>0</v>
      </c>
      <c r="DJ1639" s="2507">
        <f>K1639/(1.0686^(2025-2025))</f>
        <v>0</v>
      </c>
      <c r="DM1639" s="252"/>
    </row>
    <row r="1640" spans="1:117">
      <c r="A1640" s="453"/>
      <c r="B1640" s="1454">
        <f t="shared" si="245"/>
        <v>353300</v>
      </c>
      <c r="C1640" s="682" t="s">
        <v>2285</v>
      </c>
      <c r="D1640" s="3470" t="s">
        <v>1043</v>
      </c>
      <c r="E1640" s="215" t="s">
        <v>2286</v>
      </c>
      <c r="F1640" s="227">
        <f>ROUND(((K2752*K2945*(1/K3138-1/K3331)*K3524)/1000)*$K$3651,2)</f>
        <v>838.11</v>
      </c>
      <c r="G1640" s="570" t="s">
        <v>2077</v>
      </c>
      <c r="H1640" s="69">
        <f>VLOOKUP(G1640,'CP FACTORS'!$A$3:$B$38, 2, FALSE)</f>
        <v>9.4741810000000004E-4</v>
      </c>
      <c r="I1640" s="1477">
        <f t="shared" si="239"/>
        <v>0.794041</v>
      </c>
      <c r="J1640" s="59">
        <f t="shared" si="244"/>
        <v>18</v>
      </c>
      <c r="K1640" s="166">
        <f t="shared" si="246"/>
        <v>4392.2197803846157</v>
      </c>
      <c r="L1640" s="1107">
        <f>L1980</f>
        <v>2.9920329673076922</v>
      </c>
      <c r="M1640" s="560"/>
      <c r="N1640" s="572"/>
      <c r="O1640" s="417"/>
      <c r="R1640" s="532"/>
      <c r="S1640" s="52"/>
      <c r="T1640" s="52"/>
      <c r="U1640" s="574"/>
      <c r="V1640" s="1442" t="s">
        <v>45</v>
      </c>
      <c r="W1640" s="962">
        <v>2757.1244582043346</v>
      </c>
      <c r="X1640" s="251">
        <v>1968.4521892967714</v>
      </c>
      <c r="Y1640" s="227">
        <v>709.27</v>
      </c>
      <c r="Z1640" s="225">
        <v>709.27</v>
      </c>
      <c r="AA1640" s="225">
        <v>709.27</v>
      </c>
      <c r="AB1640" s="1027">
        <v>709.27</v>
      </c>
      <c r="AC1640" s="227">
        <v>1013.25</v>
      </c>
      <c r="AD1640" s="227">
        <v>895.2</v>
      </c>
      <c r="AE1640" s="227">
        <v>699.07</v>
      </c>
      <c r="AF1640" s="271">
        <f t="shared" si="247"/>
        <v>838.11</v>
      </c>
      <c r="AG1640" s="962"/>
      <c r="AH1640" s="121"/>
      <c r="AK1640" s="963"/>
      <c r="DF1640" s="1650" t="str">
        <f t="shared" si="248"/>
        <v>ASHP-SEER19-Replace_CAC_ElectricHeat_ROF_SF</v>
      </c>
      <c r="DG1640" s="1090">
        <f>(DI1640+DI1641)/(DJ1640+DJ1641)</f>
        <v>1.8777423512379938</v>
      </c>
      <c r="DH1640" s="215" t="str">
        <f t="shared" si="240"/>
        <v>Cooling Res 18 Year EUL</v>
      </c>
      <c r="DI1640" s="1091">
        <f>(INDEX('Avoided Cost Benefits'!$B$4:$B$866,MATCH(DH1640,'Avoided Cost Benefits'!$A$4:$A$866,0)))*F1640</f>
        <v>1919.0782124779435</v>
      </c>
      <c r="DJ1640" s="1176">
        <f>IFERROR(K1640/(1.0686^(2025-2025)),10000000)</f>
        <v>4392.2197803846157</v>
      </c>
      <c r="DM1640" s="252"/>
    </row>
    <row r="1641" spans="1:117">
      <c r="A1641" s="453"/>
      <c r="B1641" s="1454">
        <f t="shared" si="245"/>
        <v>353300</v>
      </c>
      <c r="C1641" s="682" t="s">
        <v>2285</v>
      </c>
      <c r="D1641" s="3470" t="s">
        <v>1043</v>
      </c>
      <c r="E1641" s="253" t="s">
        <v>2286</v>
      </c>
      <c r="F1641" s="225">
        <f>ROUND(((K1980*K2173*(1/K2366-1/K2559)*K3524)/1000)*$K$3651,2)</f>
        <v>10441.58</v>
      </c>
      <c r="G1641" s="570" t="s">
        <v>2078</v>
      </c>
      <c r="H1641" s="69">
        <f>VLOOKUP(G1641,'CP FACTORS'!$A$3:$B$38, 2, FALSE)</f>
        <v>0</v>
      </c>
      <c r="I1641" s="1167">
        <f t="shared" si="239"/>
        <v>0</v>
      </c>
      <c r="J1641" s="59">
        <f t="shared" si="244"/>
        <v>18</v>
      </c>
      <c r="K1641" s="163">
        <f t="shared" si="246"/>
        <v>0</v>
      </c>
      <c r="L1641" s="255"/>
      <c r="M1641" s="560"/>
      <c r="N1641" s="572"/>
      <c r="O1641" s="417"/>
      <c r="R1641" s="532"/>
      <c r="S1641" s="52"/>
      <c r="T1641" s="52"/>
      <c r="U1641" s="574"/>
      <c r="V1641" s="1442" t="s">
        <v>45</v>
      </c>
      <c r="W1641" s="962">
        <v>12836.414910662994</v>
      </c>
      <c r="X1641" s="251">
        <v>9558.6245427336198</v>
      </c>
      <c r="Y1641" s="225">
        <v>9558.6200000000008</v>
      </c>
      <c r="Z1641" s="225">
        <v>9558.6200000000008</v>
      </c>
      <c r="AA1641" s="225">
        <v>9558.6200000000008</v>
      </c>
      <c r="AB1641" s="1027">
        <v>9558.6200000000008</v>
      </c>
      <c r="AC1641" s="227">
        <v>14530.06</v>
      </c>
      <c r="AD1641" s="227">
        <v>10441.58</v>
      </c>
      <c r="AE1641" s="225">
        <v>10441.58</v>
      </c>
      <c r="AF1641" s="271">
        <f t="shared" si="247"/>
        <v>10441.58</v>
      </c>
      <c r="AG1641" s="962"/>
      <c r="AH1641" s="121"/>
      <c r="AK1641" s="963"/>
      <c r="DF1641" s="1650" t="str">
        <f t="shared" si="248"/>
        <v>ASHP-SEER19-Replace_CAC_ElectricHeat_ROF_SF</v>
      </c>
      <c r="DG1641" s="1092"/>
      <c r="DH1641" s="253" t="str">
        <f t="shared" si="240"/>
        <v>Heating Res 18 Year EUL</v>
      </c>
      <c r="DI1641" s="1091">
        <f>(INDEX('Avoided Cost Benefits'!$B$4:$B$866,MATCH(DH1641,'Avoided Cost Benefits'!$A$4:$A$866,0)))*F1641</f>
        <v>6328.3788850954897</v>
      </c>
      <c r="DJ1641" s="1176">
        <f>K1641/(1.0686^(2025-2025))</f>
        <v>0</v>
      </c>
      <c r="DM1641" s="252"/>
    </row>
    <row r="1642" spans="1:117">
      <c r="A1642" s="453"/>
      <c r="B1642" s="1454">
        <f t="shared" si="245"/>
        <v>353310</v>
      </c>
      <c r="C1642" s="682" t="s">
        <v>2287</v>
      </c>
      <c r="D1642" s="3470" t="s">
        <v>1800</v>
      </c>
      <c r="E1642" s="215" t="s">
        <v>2288</v>
      </c>
      <c r="F1642" s="227">
        <f>ROUND(((K2753*K2946*(1/K3139-1/K3332)*K3525)/1000)*$K$3651,2)</f>
        <v>838.11</v>
      </c>
      <c r="G1642" s="570" t="s">
        <v>2077</v>
      </c>
      <c r="H1642" s="69">
        <f>VLOOKUP(G1642,'CP FACTORS'!$A$3:$B$38, 2, FALSE)</f>
        <v>9.4741810000000004E-4</v>
      </c>
      <c r="I1642" s="1477">
        <f t="shared" si="239"/>
        <v>0.794041</v>
      </c>
      <c r="J1642" s="59">
        <f>K3786</f>
        <v>18</v>
      </c>
      <c r="K1642" s="166">
        <f t="shared" si="246"/>
        <v>326.35323489724897</v>
      </c>
      <c r="L1642" s="1107">
        <f>L1981</f>
        <v>2.9920329673076922</v>
      </c>
      <c r="M1642" s="560"/>
      <c r="N1642" s="572"/>
      <c r="O1642" s="417"/>
      <c r="R1642" s="532"/>
      <c r="S1642" s="52"/>
      <c r="T1642" s="52"/>
      <c r="U1642" s="574"/>
      <c r="V1642" s="1442" t="s">
        <v>45</v>
      </c>
      <c r="W1642" s="962"/>
      <c r="X1642" s="251"/>
      <c r="Y1642" s="227"/>
      <c r="Z1642" s="225"/>
      <c r="AA1642" s="225"/>
      <c r="AB1642" s="1026"/>
      <c r="AC1642" s="227"/>
      <c r="AD1642" s="227">
        <v>895.2</v>
      </c>
      <c r="AE1642" s="227">
        <v>699.07</v>
      </c>
      <c r="AF1642" s="271">
        <f t="shared" si="247"/>
        <v>838.11</v>
      </c>
      <c r="AG1642" s="962"/>
      <c r="AH1642" s="121"/>
      <c r="AK1642" s="963"/>
      <c r="DF1642" s="1650" t="str">
        <f t="shared" si="248"/>
        <v>ASHP-SEER19-Replace_CAC_NonElectricHeat_ROF_SF</v>
      </c>
      <c r="DG1642" s="1090">
        <f>(DI1642+DI1643)/(DJ1642+DJ1643)</f>
        <v>5.8803713500255563</v>
      </c>
      <c r="DH1642" s="215" t="str">
        <f>CONCATENATE(G1642," ",J1642," Year EUL")</f>
        <v>Cooling Res 18 Year EUL</v>
      </c>
      <c r="DI1642" s="1091">
        <f>(INDEX('Avoided Cost Benefits'!$B$4:$B$866,MATCH(DH1642,'Avoided Cost Benefits'!$A$4:$A$866,0)))*F1642</f>
        <v>1919.0782124779435</v>
      </c>
      <c r="DJ1642" s="1176">
        <f>IFERROR(K1642/(1.0686^(2025-2025)),10000000)</f>
        <v>326.35323489724897</v>
      </c>
      <c r="DM1642" s="252"/>
    </row>
    <row r="1643" spans="1:117">
      <c r="A1643" s="453"/>
      <c r="B1643" s="1454">
        <f t="shared" si="245"/>
        <v>353310</v>
      </c>
      <c r="C1643" s="682" t="s">
        <v>2287</v>
      </c>
      <c r="D1643" s="3470" t="s">
        <v>1800</v>
      </c>
      <c r="E1643" s="253" t="s">
        <v>2288</v>
      </c>
      <c r="F1643" s="225">
        <f>0</f>
        <v>0</v>
      </c>
      <c r="G1643" s="570" t="s">
        <v>2078</v>
      </c>
      <c r="H1643" s="69">
        <f>VLOOKUP(G1643,'CP FACTORS'!$A$3:$B$38, 2, FALSE)</f>
        <v>0</v>
      </c>
      <c r="I1643" s="1167">
        <f t="shared" si="239"/>
        <v>0</v>
      </c>
      <c r="J1643" s="59">
        <f>K3787</f>
        <v>18</v>
      </c>
      <c r="K1643" s="163">
        <f t="shared" si="246"/>
        <v>0</v>
      </c>
      <c r="L1643" s="255"/>
      <c r="M1643" s="560"/>
      <c r="N1643" s="572"/>
      <c r="O1643" s="417"/>
      <c r="R1643" s="532"/>
      <c r="S1643" s="52"/>
      <c r="T1643" s="52"/>
      <c r="U1643" s="574"/>
      <c r="V1643" s="1442" t="s">
        <v>45</v>
      </c>
      <c r="W1643" s="962"/>
      <c r="X1643" s="251"/>
      <c r="Y1643" s="227"/>
      <c r="Z1643" s="225"/>
      <c r="AA1643" s="225"/>
      <c r="AB1643" s="1026"/>
      <c r="AC1643" s="227"/>
      <c r="AD1643" s="227">
        <v>0</v>
      </c>
      <c r="AE1643" s="225">
        <v>0</v>
      </c>
      <c r="AF1643" s="271">
        <f t="shared" si="247"/>
        <v>0</v>
      </c>
      <c r="AG1643" s="962"/>
      <c r="AH1643" s="121"/>
      <c r="AK1643" s="963"/>
      <c r="DF1643" s="1650" t="str">
        <f t="shared" si="248"/>
        <v>ASHP-SEER19-Replace_CAC_NonElectricHeat_ROF_SF</v>
      </c>
      <c r="DG1643" s="1092"/>
      <c r="DH1643" s="253" t="str">
        <f>CONCATENATE(G1643," ",J1643," Year EUL")</f>
        <v>Heating Res 18 Year EUL</v>
      </c>
      <c r="DI1643" s="1091">
        <f>(INDEX('Avoided Cost Benefits'!$B$4:$B$866,MATCH(DH1643,'Avoided Cost Benefits'!$A$4:$A$866,0)))*F1643</f>
        <v>0</v>
      </c>
      <c r="DJ1643" s="1176">
        <f>K1643/(1.0686^(2025-2025))</f>
        <v>0</v>
      </c>
      <c r="DM1643" s="252"/>
    </row>
    <row r="1644" spans="1:117">
      <c r="A1644" s="453"/>
      <c r="B1644" s="1454">
        <f t="shared" si="245"/>
        <v>353350</v>
      </c>
      <c r="C1644" s="2554" t="s">
        <v>2289</v>
      </c>
      <c r="D1644" s="3383" t="s">
        <v>1122</v>
      </c>
      <c r="E1644" s="3398" t="s">
        <v>2290</v>
      </c>
      <c r="F1644" s="3369">
        <f>ROUND(((K2754*K2947*(1/K3140-1/K3333)*K3526)/1000)*$K$3651,2)</f>
        <v>443.06</v>
      </c>
      <c r="G1644" s="3384" t="s">
        <v>2077</v>
      </c>
      <c r="H1644" s="2213">
        <f>VLOOKUP(G1644,'CP FACTORS'!$A$3:$B$38, 2, FALSE)</f>
        <v>9.4741810000000004E-4</v>
      </c>
      <c r="I1644" s="3404">
        <f t="shared" si="239"/>
        <v>0.419763</v>
      </c>
      <c r="J1644" s="2449">
        <f>K3788</f>
        <v>18</v>
      </c>
      <c r="K1644" s="2467">
        <f t="shared" si="246"/>
        <v>3689</v>
      </c>
      <c r="L1644" s="2649">
        <f>L1982</f>
        <v>2.8</v>
      </c>
      <c r="M1644" s="3386"/>
      <c r="N1644" s="3387"/>
      <c r="O1644" s="2702"/>
      <c r="P1644" s="635"/>
      <c r="Q1644" s="635"/>
      <c r="R1644" s="2966"/>
      <c r="S1644" s="635"/>
      <c r="T1644" s="635"/>
      <c r="U1644" s="3388"/>
      <c r="V1644" s="2962" t="s">
        <v>45</v>
      </c>
      <c r="W1644" s="3389">
        <v>1792.1308978328177</v>
      </c>
      <c r="X1644" s="3390">
        <v>1279.4939230429013</v>
      </c>
      <c r="Y1644" s="3369">
        <v>461.03</v>
      </c>
      <c r="Z1644" s="3373">
        <v>461.03</v>
      </c>
      <c r="AA1644" s="3373">
        <v>461.03</v>
      </c>
      <c r="AB1644" s="3400">
        <v>461.03</v>
      </c>
      <c r="AC1644" s="3369">
        <v>486.64</v>
      </c>
      <c r="AD1644" s="3373">
        <v>486.64</v>
      </c>
      <c r="AE1644" s="3369">
        <v>382.36</v>
      </c>
      <c r="AF1644" s="2236">
        <f t="shared" si="247"/>
        <v>443.06</v>
      </c>
      <c r="AG1644" s="3389"/>
      <c r="AH1644" s="2728"/>
      <c r="AI1644" s="2237"/>
      <c r="AJ1644" s="2237"/>
      <c r="AK1644" s="3392"/>
      <c r="AL1644" s="2237"/>
      <c r="AM1644" s="2237"/>
      <c r="AN1644" s="2237"/>
      <c r="AO1644" s="2237"/>
      <c r="AP1644" s="2237"/>
      <c r="AQ1644" s="2237"/>
      <c r="AR1644" s="2237"/>
      <c r="AS1644" s="2237"/>
      <c r="AT1644" s="2237"/>
      <c r="AU1644" s="2237"/>
      <c r="AV1644" s="2237"/>
      <c r="AW1644" s="2237"/>
      <c r="AX1644" s="2237"/>
      <c r="AY1644" s="2237"/>
      <c r="AZ1644" s="2237"/>
      <c r="BA1644" s="2237"/>
      <c r="BB1644" s="2237"/>
      <c r="BC1644" s="2237"/>
      <c r="BD1644" s="2237"/>
      <c r="BE1644" s="2237"/>
      <c r="BF1644" s="2237"/>
      <c r="BG1644" s="2237"/>
      <c r="BH1644" s="2237"/>
      <c r="BI1644" s="2237"/>
      <c r="BJ1644" s="2237"/>
      <c r="BK1644" s="2237"/>
      <c r="BL1644" s="2237"/>
      <c r="BM1644" s="2237"/>
      <c r="BN1644" s="2237"/>
      <c r="BO1644" s="2237"/>
      <c r="BP1644" s="2237"/>
      <c r="BQ1644" s="2237"/>
      <c r="BR1644" s="2237"/>
      <c r="BS1644" s="2237"/>
      <c r="BT1644" s="2237"/>
      <c r="BU1644" s="2237"/>
      <c r="BV1644" s="2237"/>
      <c r="BW1644" s="2237"/>
      <c r="BX1644" s="2237"/>
      <c r="BY1644" s="2237"/>
      <c r="BZ1644" s="2237"/>
      <c r="CA1644" s="2237"/>
      <c r="CB1644" s="2237"/>
      <c r="CC1644" s="2237"/>
      <c r="CD1644" s="2237"/>
      <c r="CE1644" s="2237"/>
      <c r="CF1644" s="2237"/>
      <c r="CG1644" s="2237"/>
      <c r="CH1644" s="2237"/>
      <c r="CI1644" s="2237"/>
      <c r="CJ1644" s="2237"/>
      <c r="CK1644" s="2237"/>
      <c r="CL1644" s="2237"/>
      <c r="CM1644" s="2237"/>
      <c r="CN1644" s="2237"/>
      <c r="CO1644" s="2237"/>
      <c r="CP1644" s="2237"/>
      <c r="CQ1644" s="2237"/>
      <c r="CR1644" s="2237"/>
      <c r="CS1644" s="2237"/>
      <c r="CT1644" s="2237"/>
      <c r="CU1644" s="2237"/>
      <c r="CV1644" s="2237"/>
      <c r="CW1644" s="2237"/>
      <c r="CX1644" s="2237"/>
      <c r="CY1644" s="2237"/>
      <c r="CZ1644" s="2237"/>
      <c r="DA1644" s="2237"/>
      <c r="DB1644" s="2237"/>
      <c r="DC1644" s="2237"/>
      <c r="DD1644" s="2237"/>
      <c r="DE1644" s="2237"/>
      <c r="DF1644" s="3393" t="str">
        <f t="shared" si="248"/>
        <v>ASHP-SEER19-Replace_CAC_ElectricHeat_ROF_MF</v>
      </c>
      <c r="DG1644" s="3259">
        <f>(DI1644+DI1645)/(DJ1644+DJ1645)</f>
        <v>1.2957751782023494</v>
      </c>
      <c r="DH1644" s="3398" t="str">
        <f t="shared" si="240"/>
        <v>Cooling Res 18 Year EUL</v>
      </c>
      <c r="DI1644" s="3260">
        <f>(INDEX('Avoided Cost Benefits'!$B$4:$B$866,MATCH(DH1644,'Avoided Cost Benefits'!$A$4:$A$866,0)))*F1644</f>
        <v>1014.5050086748489</v>
      </c>
      <c r="DJ1644" s="2507">
        <f>IFERROR(K1644/(1.0686^(2025-2025)),10000000)</f>
        <v>3689</v>
      </c>
      <c r="DM1644" s="252"/>
    </row>
    <row r="1645" spans="1:117">
      <c r="A1645" s="453"/>
      <c r="B1645" s="1454">
        <f t="shared" si="245"/>
        <v>353350</v>
      </c>
      <c r="C1645" s="2554" t="s">
        <v>2289</v>
      </c>
      <c r="D1645" s="3383" t="s">
        <v>1122</v>
      </c>
      <c r="E1645" s="3402" t="s">
        <v>2290</v>
      </c>
      <c r="F1645" s="3373">
        <f>ROUND(((K1982*K2175*(1/K2368-1/K2561)*K3526)/1000)*$K$3651,2)</f>
        <v>6213.11</v>
      </c>
      <c r="G1645" s="3384" t="s">
        <v>2078</v>
      </c>
      <c r="H1645" s="2213">
        <f>VLOOKUP(G1645,'CP FACTORS'!$A$3:$B$38, 2, FALSE)</f>
        <v>0</v>
      </c>
      <c r="I1645" s="3405">
        <f t="shared" si="239"/>
        <v>0</v>
      </c>
      <c r="J1645" s="2449">
        <f t="shared" ref="J1645:J1697" si="249">K3789</f>
        <v>18</v>
      </c>
      <c r="K1645" s="2894">
        <f t="shared" si="246"/>
        <v>0</v>
      </c>
      <c r="L1645" s="2649"/>
      <c r="M1645" s="3386"/>
      <c r="N1645" s="3387"/>
      <c r="O1645" s="2702"/>
      <c r="P1645" s="635"/>
      <c r="Q1645" s="635"/>
      <c r="R1645" s="2966"/>
      <c r="S1645" s="635"/>
      <c r="T1645" s="635"/>
      <c r="U1645" s="3388"/>
      <c r="V1645" s="2962" t="s">
        <v>45</v>
      </c>
      <c r="W1645" s="3389">
        <v>8343.6696919309452</v>
      </c>
      <c r="X1645" s="3390">
        <v>6213.105952776853</v>
      </c>
      <c r="Y1645" s="3373">
        <v>6213.11</v>
      </c>
      <c r="Z1645" s="3373">
        <v>6213.11</v>
      </c>
      <c r="AA1645" s="3373">
        <v>6213.11</v>
      </c>
      <c r="AB1645" s="3400">
        <v>6213.11</v>
      </c>
      <c r="AC1645" s="3401">
        <v>6213.11</v>
      </c>
      <c r="AD1645" s="3373">
        <v>6213.11</v>
      </c>
      <c r="AE1645" s="3373">
        <v>6213.11</v>
      </c>
      <c r="AF1645" s="2236">
        <f t="shared" si="247"/>
        <v>6213.11</v>
      </c>
      <c r="AG1645" s="3389"/>
      <c r="AH1645" s="2728"/>
      <c r="AI1645" s="2237"/>
      <c r="AJ1645" s="2237"/>
      <c r="AK1645" s="3392"/>
      <c r="AL1645" s="2237"/>
      <c r="AM1645" s="2237"/>
      <c r="AN1645" s="2237"/>
      <c r="AO1645" s="2237"/>
      <c r="AP1645" s="2237"/>
      <c r="AQ1645" s="2237"/>
      <c r="AR1645" s="2237"/>
      <c r="AS1645" s="2237"/>
      <c r="AT1645" s="2237"/>
      <c r="AU1645" s="2237"/>
      <c r="AV1645" s="2237"/>
      <c r="AW1645" s="2237"/>
      <c r="AX1645" s="2237"/>
      <c r="AY1645" s="2237"/>
      <c r="AZ1645" s="2237"/>
      <c r="BA1645" s="2237"/>
      <c r="BB1645" s="2237"/>
      <c r="BC1645" s="2237"/>
      <c r="BD1645" s="2237"/>
      <c r="BE1645" s="2237"/>
      <c r="BF1645" s="2237"/>
      <c r="BG1645" s="2237"/>
      <c r="BH1645" s="2237"/>
      <c r="BI1645" s="2237"/>
      <c r="BJ1645" s="2237"/>
      <c r="BK1645" s="2237"/>
      <c r="BL1645" s="2237"/>
      <c r="BM1645" s="2237"/>
      <c r="BN1645" s="2237"/>
      <c r="BO1645" s="2237"/>
      <c r="BP1645" s="2237"/>
      <c r="BQ1645" s="2237"/>
      <c r="BR1645" s="2237"/>
      <c r="BS1645" s="2237"/>
      <c r="BT1645" s="2237"/>
      <c r="BU1645" s="2237"/>
      <c r="BV1645" s="2237"/>
      <c r="BW1645" s="2237"/>
      <c r="BX1645" s="2237"/>
      <c r="BY1645" s="2237"/>
      <c r="BZ1645" s="2237"/>
      <c r="CA1645" s="2237"/>
      <c r="CB1645" s="2237"/>
      <c r="CC1645" s="2237"/>
      <c r="CD1645" s="2237"/>
      <c r="CE1645" s="2237"/>
      <c r="CF1645" s="2237"/>
      <c r="CG1645" s="2237"/>
      <c r="CH1645" s="2237"/>
      <c r="CI1645" s="2237"/>
      <c r="CJ1645" s="2237"/>
      <c r="CK1645" s="2237"/>
      <c r="CL1645" s="2237"/>
      <c r="CM1645" s="2237"/>
      <c r="CN1645" s="2237"/>
      <c r="CO1645" s="2237"/>
      <c r="CP1645" s="2237"/>
      <c r="CQ1645" s="2237"/>
      <c r="CR1645" s="2237"/>
      <c r="CS1645" s="2237"/>
      <c r="CT1645" s="2237"/>
      <c r="CU1645" s="2237"/>
      <c r="CV1645" s="2237"/>
      <c r="CW1645" s="2237"/>
      <c r="CX1645" s="2237"/>
      <c r="CY1645" s="2237"/>
      <c r="CZ1645" s="2237"/>
      <c r="DA1645" s="2237"/>
      <c r="DB1645" s="2237"/>
      <c r="DC1645" s="2237"/>
      <c r="DD1645" s="2237"/>
      <c r="DE1645" s="2237"/>
      <c r="DF1645" s="3393" t="str">
        <f t="shared" si="248"/>
        <v>ASHP-SEER19-Replace_CAC_ElectricHeat_ROF_MF</v>
      </c>
      <c r="DG1645" s="3261"/>
      <c r="DH1645" s="3402" t="str">
        <f t="shared" si="240"/>
        <v>Heating Res 18 Year EUL</v>
      </c>
      <c r="DI1645" s="3260">
        <f>(INDEX('Avoided Cost Benefits'!$B$4:$B$866,MATCH(DH1645,'Avoided Cost Benefits'!$A$4:$A$866,0)))*F1645</f>
        <v>3765.609623713618</v>
      </c>
      <c r="DJ1645" s="2507">
        <f>K1645/(1.0686^(2025-2025))</f>
        <v>0</v>
      </c>
      <c r="DM1645" s="252"/>
    </row>
    <row r="1646" spans="1:117">
      <c r="A1646" s="453"/>
      <c r="B1646" s="1454">
        <f t="shared" si="245"/>
        <v>353351</v>
      </c>
      <c r="C1646" s="2554" t="s">
        <v>2291</v>
      </c>
      <c r="D1646" s="3383" t="s">
        <v>1118</v>
      </c>
      <c r="E1646" s="2521" t="s">
        <v>2292</v>
      </c>
      <c r="F1646" s="3369">
        <f>ROUND((($K$2755*$K$2948*(1/$K$3141-1/$K$3334)*$K$3527)/1000)*$K$3651,2)</f>
        <v>303.60000000000002</v>
      </c>
      <c r="G1646" s="3384" t="str">
        <f>G1644</f>
        <v>Cooling Res</v>
      </c>
      <c r="H1646" s="2213">
        <f>VLOOKUP(G1646,'CP FACTORS'!$A$3:$B$38, 2, FALSE)</f>
        <v>9.4741810000000004E-4</v>
      </c>
      <c r="I1646" s="3404">
        <f t="shared" si="239"/>
        <v>0.287636</v>
      </c>
      <c r="J1646" s="2449">
        <f t="shared" si="249"/>
        <v>18</v>
      </c>
      <c r="K1646" s="2467">
        <f t="shared" si="246"/>
        <v>3689</v>
      </c>
      <c r="L1646" s="2649">
        <f>L1983</f>
        <v>2.8</v>
      </c>
      <c r="M1646" s="3386"/>
      <c r="N1646" s="3387"/>
      <c r="O1646" s="2702"/>
      <c r="P1646" s="635"/>
      <c r="Q1646" s="635"/>
      <c r="R1646" s="2966"/>
      <c r="S1646" s="635"/>
      <c r="T1646" s="635"/>
      <c r="U1646" s="3388"/>
      <c r="V1646" s="2962" t="s">
        <v>45</v>
      </c>
      <c r="W1646" s="3389"/>
      <c r="X1646" s="3390"/>
      <c r="Y1646" s="3369">
        <v>335.29</v>
      </c>
      <c r="Z1646" s="3373">
        <v>335.29</v>
      </c>
      <c r="AA1646" s="3373">
        <v>335.29</v>
      </c>
      <c r="AB1646" s="3400">
        <v>335.29</v>
      </c>
      <c r="AC1646" s="3401">
        <v>335.29</v>
      </c>
      <c r="AD1646" s="3373">
        <v>335.29</v>
      </c>
      <c r="AE1646" s="3369">
        <v>259.45</v>
      </c>
      <c r="AF1646" s="2236">
        <f t="shared" si="247"/>
        <v>303.60000000000002</v>
      </c>
      <c r="AG1646" s="3389"/>
      <c r="AH1646" s="2728"/>
      <c r="AI1646" s="2237"/>
      <c r="AJ1646" s="2237"/>
      <c r="AK1646" s="3392"/>
      <c r="AL1646" s="2237"/>
      <c r="AM1646" s="2237"/>
      <c r="AN1646" s="2237"/>
      <c r="AO1646" s="2237"/>
      <c r="AP1646" s="2237"/>
      <c r="AQ1646" s="2237"/>
      <c r="AR1646" s="2237"/>
      <c r="AS1646" s="2237"/>
      <c r="AT1646" s="2237"/>
      <c r="AU1646" s="2237"/>
      <c r="AV1646" s="2237"/>
      <c r="AW1646" s="2237"/>
      <c r="AX1646" s="2237"/>
      <c r="AY1646" s="2237"/>
      <c r="AZ1646" s="2237"/>
      <c r="BA1646" s="2237"/>
      <c r="BB1646" s="2237"/>
      <c r="BC1646" s="2237"/>
      <c r="BD1646" s="2237"/>
      <c r="BE1646" s="2237"/>
      <c r="BF1646" s="2237"/>
      <c r="BG1646" s="2237"/>
      <c r="BH1646" s="2237"/>
      <c r="BI1646" s="2237"/>
      <c r="BJ1646" s="2237"/>
      <c r="BK1646" s="2237"/>
      <c r="BL1646" s="2237"/>
      <c r="BM1646" s="2237"/>
      <c r="BN1646" s="2237"/>
      <c r="BO1646" s="2237"/>
      <c r="BP1646" s="2237"/>
      <c r="BQ1646" s="2237"/>
      <c r="BR1646" s="2237"/>
      <c r="BS1646" s="2237"/>
      <c r="BT1646" s="2237"/>
      <c r="BU1646" s="2237"/>
      <c r="BV1646" s="2237"/>
      <c r="BW1646" s="2237"/>
      <c r="BX1646" s="2237"/>
      <c r="BY1646" s="2237"/>
      <c r="BZ1646" s="2237"/>
      <c r="CA1646" s="2237"/>
      <c r="CB1646" s="2237"/>
      <c r="CC1646" s="2237"/>
      <c r="CD1646" s="2237"/>
      <c r="CE1646" s="2237"/>
      <c r="CF1646" s="2237"/>
      <c r="CG1646" s="2237"/>
      <c r="CH1646" s="2237"/>
      <c r="CI1646" s="2237"/>
      <c r="CJ1646" s="2237"/>
      <c r="CK1646" s="2237"/>
      <c r="CL1646" s="2237"/>
      <c r="CM1646" s="2237"/>
      <c r="CN1646" s="2237"/>
      <c r="CO1646" s="2237"/>
      <c r="CP1646" s="2237"/>
      <c r="CQ1646" s="2237"/>
      <c r="CR1646" s="2237"/>
      <c r="CS1646" s="2237"/>
      <c r="CT1646" s="2237"/>
      <c r="CU1646" s="2237"/>
      <c r="CV1646" s="2237"/>
      <c r="CW1646" s="2237"/>
      <c r="CX1646" s="2237"/>
      <c r="CY1646" s="2237"/>
      <c r="CZ1646" s="2237"/>
      <c r="DA1646" s="2237"/>
      <c r="DB1646" s="2237"/>
      <c r="DC1646" s="2237"/>
      <c r="DD1646" s="2237"/>
      <c r="DE1646" s="2237"/>
      <c r="DF1646" s="3393" t="str">
        <f t="shared" si="248"/>
        <v>ASHP-SEER19-Replace_CAC_ElectricHeat_ROF_MF_CompE</v>
      </c>
      <c r="DG1646" s="3259">
        <f>(DI1646+DI1647)/(DJ1646+DJ1647)</f>
        <v>0.53643289451413811</v>
      </c>
      <c r="DH1646" s="3398" t="str">
        <f t="shared" si="240"/>
        <v>Cooling Res 18 Year EUL</v>
      </c>
      <c r="DI1646" s="3260">
        <f>(INDEX('Avoided Cost Benefits'!$B$4:$B$866,MATCH(DH1646,'Avoided Cost Benefits'!$A$4:$A$866,0)))*F1646</f>
        <v>695.17383793094427</v>
      </c>
      <c r="DJ1646" s="2507">
        <f>IFERROR(K1646/(1.0686^(2025-2025)),10000000)</f>
        <v>3689</v>
      </c>
      <c r="DM1646" s="252"/>
    </row>
    <row r="1647" spans="1:117">
      <c r="A1647" s="453"/>
      <c r="B1647" s="1454">
        <f t="shared" si="245"/>
        <v>353351</v>
      </c>
      <c r="C1647" s="2554" t="str">
        <f>C1646</f>
        <v>353351_2024_12_</v>
      </c>
      <c r="D1647" s="3383" t="s">
        <v>1118</v>
      </c>
      <c r="E1647" s="2522" t="s">
        <v>2292</v>
      </c>
      <c r="F1647" s="3373">
        <f>ROUND((($K$1983*$K$2176*(1/$K$2369-1/$K$2562)*$K$3527)/1000)*$K$3651,2)</f>
        <v>2118.1</v>
      </c>
      <c r="G1647" s="3384" t="str">
        <f>G1645</f>
        <v>Heating Res</v>
      </c>
      <c r="H1647" s="2213">
        <f>VLOOKUP(G1647,'CP FACTORS'!$A$3:$B$38, 2, FALSE)</f>
        <v>0</v>
      </c>
      <c r="I1647" s="3405">
        <f t="shared" si="239"/>
        <v>0</v>
      </c>
      <c r="J1647" s="2449">
        <f t="shared" si="249"/>
        <v>18</v>
      </c>
      <c r="K1647" s="2894">
        <f t="shared" si="246"/>
        <v>0</v>
      </c>
      <c r="L1647" s="2649"/>
      <c r="M1647" s="3386"/>
      <c r="N1647" s="3387"/>
      <c r="O1647" s="2702"/>
      <c r="P1647" s="635"/>
      <c r="Q1647" s="635"/>
      <c r="R1647" s="2966"/>
      <c r="S1647" s="635"/>
      <c r="T1647" s="635"/>
      <c r="U1647" s="3388"/>
      <c r="V1647" s="2962" t="s">
        <v>45</v>
      </c>
      <c r="W1647" s="3389"/>
      <c r="X1647" s="3390"/>
      <c r="Y1647" s="3369">
        <v>2118.1</v>
      </c>
      <c r="Z1647" s="3373">
        <v>2118.1</v>
      </c>
      <c r="AA1647" s="3373">
        <v>2118.1</v>
      </c>
      <c r="AB1647" s="3400">
        <v>2118.1</v>
      </c>
      <c r="AC1647" s="3401">
        <v>2118.1</v>
      </c>
      <c r="AD1647" s="3373">
        <v>2118.1</v>
      </c>
      <c r="AE1647" s="3373">
        <v>2118.1</v>
      </c>
      <c r="AF1647" s="2236">
        <f t="shared" si="247"/>
        <v>2118.1</v>
      </c>
      <c r="AG1647" s="3389"/>
      <c r="AH1647" s="2728"/>
      <c r="AI1647" s="2237"/>
      <c r="AJ1647" s="2237"/>
      <c r="AK1647" s="3392"/>
      <c r="AL1647" s="2237"/>
      <c r="AM1647" s="2237"/>
      <c r="AN1647" s="2237"/>
      <c r="AO1647" s="2237"/>
      <c r="AP1647" s="2237"/>
      <c r="AQ1647" s="2237"/>
      <c r="AR1647" s="2237"/>
      <c r="AS1647" s="2237"/>
      <c r="AT1647" s="2237"/>
      <c r="AU1647" s="2237"/>
      <c r="AV1647" s="2237"/>
      <c r="AW1647" s="2237"/>
      <c r="AX1647" s="2237"/>
      <c r="AY1647" s="2237"/>
      <c r="AZ1647" s="2237"/>
      <c r="BA1647" s="2237"/>
      <c r="BB1647" s="2237"/>
      <c r="BC1647" s="2237"/>
      <c r="BD1647" s="2237"/>
      <c r="BE1647" s="2237"/>
      <c r="BF1647" s="2237"/>
      <c r="BG1647" s="2237"/>
      <c r="BH1647" s="2237"/>
      <c r="BI1647" s="2237"/>
      <c r="BJ1647" s="2237"/>
      <c r="BK1647" s="2237"/>
      <c r="BL1647" s="2237"/>
      <c r="BM1647" s="2237"/>
      <c r="BN1647" s="2237"/>
      <c r="BO1647" s="2237"/>
      <c r="BP1647" s="2237"/>
      <c r="BQ1647" s="2237"/>
      <c r="BR1647" s="2237"/>
      <c r="BS1647" s="2237"/>
      <c r="BT1647" s="2237"/>
      <c r="BU1647" s="2237"/>
      <c r="BV1647" s="2237"/>
      <c r="BW1647" s="2237"/>
      <c r="BX1647" s="2237"/>
      <c r="BY1647" s="2237"/>
      <c r="BZ1647" s="2237"/>
      <c r="CA1647" s="2237"/>
      <c r="CB1647" s="2237"/>
      <c r="CC1647" s="2237"/>
      <c r="CD1647" s="2237"/>
      <c r="CE1647" s="2237"/>
      <c r="CF1647" s="2237"/>
      <c r="CG1647" s="2237"/>
      <c r="CH1647" s="2237"/>
      <c r="CI1647" s="2237"/>
      <c r="CJ1647" s="2237"/>
      <c r="CK1647" s="2237"/>
      <c r="CL1647" s="2237"/>
      <c r="CM1647" s="2237"/>
      <c r="CN1647" s="2237"/>
      <c r="CO1647" s="2237"/>
      <c r="CP1647" s="2237"/>
      <c r="CQ1647" s="2237"/>
      <c r="CR1647" s="2237"/>
      <c r="CS1647" s="2237"/>
      <c r="CT1647" s="2237"/>
      <c r="CU1647" s="2237"/>
      <c r="CV1647" s="2237"/>
      <c r="CW1647" s="2237"/>
      <c r="CX1647" s="2237"/>
      <c r="CY1647" s="2237"/>
      <c r="CZ1647" s="2237"/>
      <c r="DA1647" s="2237"/>
      <c r="DB1647" s="2237"/>
      <c r="DC1647" s="2237"/>
      <c r="DD1647" s="2237"/>
      <c r="DE1647" s="2237"/>
      <c r="DF1647" s="3393" t="str">
        <f t="shared" si="248"/>
        <v>ASHP-SEER19-Replace_CAC_ElectricHeat_ROF_MF_CompE</v>
      </c>
      <c r="DG1647" s="3261"/>
      <c r="DH1647" s="3402" t="str">
        <f t="shared" si="240"/>
        <v>Heating Res 18 Year EUL</v>
      </c>
      <c r="DI1647" s="3260">
        <f>(INDEX('Avoided Cost Benefits'!$B$4:$B$866,MATCH(DH1647,'Avoided Cost Benefits'!$A$4:$A$866,0)))*F1647</f>
        <v>1283.7271099317111</v>
      </c>
      <c r="DJ1647" s="2507">
        <f>K1647/(1.0686^(2025-2025))</f>
        <v>0</v>
      </c>
      <c r="DM1647" s="252"/>
    </row>
    <row r="1648" spans="1:117">
      <c r="A1648" s="453"/>
      <c r="B1648" s="1454">
        <f t="shared" si="245"/>
        <v>353360</v>
      </c>
      <c r="C1648" s="2554" t="s">
        <v>2293</v>
      </c>
      <c r="D1648" s="3383" t="s">
        <v>1122</v>
      </c>
      <c r="E1648" s="2882" t="s">
        <v>2294</v>
      </c>
      <c r="F1648" s="3369">
        <f>ROUND(((K2756*K2949*(1/K3142-1/K3335)*K3528)/1000)*$K$3651,2)</f>
        <v>443.06</v>
      </c>
      <c r="G1648" s="3384" t="s">
        <v>2077</v>
      </c>
      <c r="H1648" s="2213">
        <f>VLOOKUP(G1648,'CP FACTORS'!$A$3:$B$38, 2, FALSE)</f>
        <v>9.4741810000000004E-4</v>
      </c>
      <c r="I1648" s="3404">
        <f t="shared" si="239"/>
        <v>0.419763</v>
      </c>
      <c r="J1648" s="2449">
        <f t="shared" si="249"/>
        <v>18</v>
      </c>
      <c r="K1648" s="2467">
        <f t="shared" si="246"/>
        <v>245.55387557709614</v>
      </c>
      <c r="L1648" s="2649">
        <f>L1984</f>
        <v>2.8</v>
      </c>
      <c r="M1648" s="3386"/>
      <c r="N1648" s="3387"/>
      <c r="O1648" s="2702"/>
      <c r="P1648" s="635"/>
      <c r="Q1648" s="635"/>
      <c r="R1648" s="2966"/>
      <c r="S1648" s="635"/>
      <c r="T1648" s="635"/>
      <c r="U1648" s="3388"/>
      <c r="V1648" s="2962" t="s">
        <v>45</v>
      </c>
      <c r="W1648" s="3389"/>
      <c r="X1648" s="3390"/>
      <c r="Y1648" s="3369"/>
      <c r="Z1648" s="3373"/>
      <c r="AA1648" s="3373"/>
      <c r="AB1648" s="3400"/>
      <c r="AC1648" s="3369">
        <v>486.64</v>
      </c>
      <c r="AD1648" s="3373">
        <v>486.64</v>
      </c>
      <c r="AE1648" s="3369">
        <v>382.36</v>
      </c>
      <c r="AF1648" s="2236">
        <f t="shared" si="247"/>
        <v>443.06</v>
      </c>
      <c r="AG1648" s="3389"/>
      <c r="AH1648" s="2728"/>
      <c r="AI1648" s="2237"/>
      <c r="AJ1648" s="2237"/>
      <c r="AK1648" s="3392"/>
      <c r="AL1648" s="2237"/>
      <c r="AM1648" s="2237"/>
      <c r="AN1648" s="2237"/>
      <c r="AO1648" s="2237"/>
      <c r="AP1648" s="2237"/>
      <c r="AQ1648" s="2237"/>
      <c r="AR1648" s="2237"/>
      <c r="AS1648" s="2237"/>
      <c r="AT1648" s="2237"/>
      <c r="AU1648" s="2237"/>
      <c r="AV1648" s="2237"/>
      <c r="AW1648" s="2237"/>
      <c r="AX1648" s="2237"/>
      <c r="AY1648" s="2237"/>
      <c r="AZ1648" s="2237"/>
      <c r="BA1648" s="2237"/>
      <c r="BB1648" s="2237"/>
      <c r="BC1648" s="2237"/>
      <c r="BD1648" s="2237"/>
      <c r="BE1648" s="2237"/>
      <c r="BF1648" s="2237"/>
      <c r="BG1648" s="2237"/>
      <c r="BH1648" s="2237"/>
      <c r="BI1648" s="2237"/>
      <c r="BJ1648" s="2237"/>
      <c r="BK1648" s="2237"/>
      <c r="BL1648" s="2237"/>
      <c r="BM1648" s="2237"/>
      <c r="BN1648" s="2237"/>
      <c r="BO1648" s="2237"/>
      <c r="BP1648" s="2237"/>
      <c r="BQ1648" s="2237"/>
      <c r="BR1648" s="2237"/>
      <c r="BS1648" s="2237"/>
      <c r="BT1648" s="2237"/>
      <c r="BU1648" s="2237"/>
      <c r="BV1648" s="2237"/>
      <c r="BW1648" s="2237"/>
      <c r="BX1648" s="2237"/>
      <c r="BY1648" s="2237"/>
      <c r="BZ1648" s="2237"/>
      <c r="CA1648" s="2237"/>
      <c r="CB1648" s="2237"/>
      <c r="CC1648" s="2237"/>
      <c r="CD1648" s="2237"/>
      <c r="CE1648" s="2237"/>
      <c r="CF1648" s="2237"/>
      <c r="CG1648" s="2237"/>
      <c r="CH1648" s="2237"/>
      <c r="CI1648" s="2237"/>
      <c r="CJ1648" s="2237"/>
      <c r="CK1648" s="2237"/>
      <c r="CL1648" s="2237"/>
      <c r="CM1648" s="2237"/>
      <c r="CN1648" s="2237"/>
      <c r="CO1648" s="2237"/>
      <c r="CP1648" s="2237"/>
      <c r="CQ1648" s="2237"/>
      <c r="CR1648" s="2237"/>
      <c r="CS1648" s="2237"/>
      <c r="CT1648" s="2237"/>
      <c r="CU1648" s="2237"/>
      <c r="CV1648" s="2237"/>
      <c r="CW1648" s="2237"/>
      <c r="CX1648" s="2237"/>
      <c r="CY1648" s="2237"/>
      <c r="CZ1648" s="2237"/>
      <c r="DA1648" s="2237"/>
      <c r="DB1648" s="2237"/>
      <c r="DC1648" s="2237"/>
      <c r="DD1648" s="2237"/>
      <c r="DE1648" s="2237"/>
      <c r="DF1648" s="3393" t="str">
        <f t="shared" si="248"/>
        <v>ASHP-SEER19-Replace_CAC_NonElectricHeat_ROF_MF</v>
      </c>
      <c r="DG1648" s="3259">
        <f>(DI1648+DI1649)/(DJ1648+DJ1649)</f>
        <v>4.1314966269238393</v>
      </c>
      <c r="DH1648" s="3403" t="str">
        <f t="shared" si="240"/>
        <v>Cooling Res 18 Year EUL</v>
      </c>
      <c r="DI1648" s="3260">
        <f>(INDEX('Avoided Cost Benefits'!$B$4:$B$866,MATCH(DH1648,'Avoided Cost Benefits'!$A$4:$A$866,0)))*F1648</f>
        <v>1014.5050086748489</v>
      </c>
      <c r="DJ1648" s="2507">
        <f>IFERROR(K1648/(1.0686^(2025-2025)),10000000)</f>
        <v>245.55387557709614</v>
      </c>
      <c r="DM1648" s="252"/>
    </row>
    <row r="1649" spans="1:117">
      <c r="A1649" s="453"/>
      <c r="B1649" s="1454">
        <f t="shared" si="245"/>
        <v>353360</v>
      </c>
      <c r="C1649" s="2554" t="s">
        <v>2293</v>
      </c>
      <c r="D1649" s="3383" t="s">
        <v>1122</v>
      </c>
      <c r="E1649" s="2522" t="s">
        <v>2294</v>
      </c>
      <c r="F1649" s="3373">
        <v>0</v>
      </c>
      <c r="G1649" s="3384" t="s">
        <v>2078</v>
      </c>
      <c r="H1649" s="2213">
        <f>VLOOKUP(G1649,'CP FACTORS'!$A$3:$B$38, 2, FALSE)</f>
        <v>0</v>
      </c>
      <c r="I1649" s="3405">
        <f t="shared" si="239"/>
        <v>0</v>
      </c>
      <c r="J1649" s="2449">
        <f t="shared" si="249"/>
        <v>18</v>
      </c>
      <c r="K1649" s="2894">
        <f t="shared" si="246"/>
        <v>0</v>
      </c>
      <c r="L1649" s="2649"/>
      <c r="M1649" s="3386"/>
      <c r="N1649" s="3387"/>
      <c r="O1649" s="2702"/>
      <c r="P1649" s="635"/>
      <c r="Q1649" s="635"/>
      <c r="R1649" s="2966"/>
      <c r="S1649" s="635"/>
      <c r="T1649" s="635"/>
      <c r="U1649" s="3388"/>
      <c r="V1649" s="2962" t="s">
        <v>45</v>
      </c>
      <c r="W1649" s="3389"/>
      <c r="X1649" s="3390"/>
      <c r="Y1649" s="3369"/>
      <c r="Z1649" s="3373"/>
      <c r="AA1649" s="3373"/>
      <c r="AB1649" s="3400"/>
      <c r="AC1649" s="3369">
        <v>0</v>
      </c>
      <c r="AD1649" s="3373">
        <v>0</v>
      </c>
      <c r="AE1649" s="3373">
        <v>0</v>
      </c>
      <c r="AF1649" s="2236">
        <f t="shared" si="247"/>
        <v>0</v>
      </c>
      <c r="AG1649" s="3389"/>
      <c r="AH1649" s="2728"/>
      <c r="AI1649" s="2237"/>
      <c r="AJ1649" s="2237"/>
      <c r="AK1649" s="3392"/>
      <c r="AL1649" s="2237"/>
      <c r="AM1649" s="2237"/>
      <c r="AN1649" s="2237"/>
      <c r="AO1649" s="2237"/>
      <c r="AP1649" s="2237"/>
      <c r="AQ1649" s="2237"/>
      <c r="AR1649" s="2237"/>
      <c r="AS1649" s="2237"/>
      <c r="AT1649" s="2237"/>
      <c r="AU1649" s="2237"/>
      <c r="AV1649" s="2237"/>
      <c r="AW1649" s="2237"/>
      <c r="AX1649" s="2237"/>
      <c r="AY1649" s="2237"/>
      <c r="AZ1649" s="2237"/>
      <c r="BA1649" s="2237"/>
      <c r="BB1649" s="2237"/>
      <c r="BC1649" s="2237"/>
      <c r="BD1649" s="2237"/>
      <c r="BE1649" s="2237"/>
      <c r="BF1649" s="2237"/>
      <c r="BG1649" s="2237"/>
      <c r="BH1649" s="2237"/>
      <c r="BI1649" s="2237"/>
      <c r="BJ1649" s="2237"/>
      <c r="BK1649" s="2237"/>
      <c r="BL1649" s="2237"/>
      <c r="BM1649" s="2237"/>
      <c r="BN1649" s="2237"/>
      <c r="BO1649" s="2237"/>
      <c r="BP1649" s="2237"/>
      <c r="BQ1649" s="2237"/>
      <c r="BR1649" s="2237"/>
      <c r="BS1649" s="2237"/>
      <c r="BT1649" s="2237"/>
      <c r="BU1649" s="2237"/>
      <c r="BV1649" s="2237"/>
      <c r="BW1649" s="2237"/>
      <c r="BX1649" s="2237"/>
      <c r="BY1649" s="2237"/>
      <c r="BZ1649" s="2237"/>
      <c r="CA1649" s="2237"/>
      <c r="CB1649" s="2237"/>
      <c r="CC1649" s="2237"/>
      <c r="CD1649" s="2237"/>
      <c r="CE1649" s="2237"/>
      <c r="CF1649" s="2237"/>
      <c r="CG1649" s="2237"/>
      <c r="CH1649" s="2237"/>
      <c r="CI1649" s="2237"/>
      <c r="CJ1649" s="2237"/>
      <c r="CK1649" s="2237"/>
      <c r="CL1649" s="2237"/>
      <c r="CM1649" s="2237"/>
      <c r="CN1649" s="2237"/>
      <c r="CO1649" s="2237"/>
      <c r="CP1649" s="2237"/>
      <c r="CQ1649" s="2237"/>
      <c r="CR1649" s="2237"/>
      <c r="CS1649" s="2237"/>
      <c r="CT1649" s="2237"/>
      <c r="CU1649" s="2237"/>
      <c r="CV1649" s="2237"/>
      <c r="CW1649" s="2237"/>
      <c r="CX1649" s="2237"/>
      <c r="CY1649" s="2237"/>
      <c r="CZ1649" s="2237"/>
      <c r="DA1649" s="2237"/>
      <c r="DB1649" s="2237"/>
      <c r="DC1649" s="2237"/>
      <c r="DD1649" s="2237"/>
      <c r="DE1649" s="2237"/>
      <c r="DF1649" s="3393" t="str">
        <f t="shared" si="248"/>
        <v>ASHP-SEER19-Replace_CAC_NonElectricHeat_ROF_MF</v>
      </c>
      <c r="DG1649" s="3261"/>
      <c r="DH1649" s="3402" t="str">
        <f t="shared" si="240"/>
        <v>Heating Res 18 Year EUL</v>
      </c>
      <c r="DI1649" s="3260">
        <f>(INDEX('Avoided Cost Benefits'!$B$4:$B$866,MATCH(DH1649,'Avoided Cost Benefits'!$A$4:$A$866,0)))*F1649</f>
        <v>0</v>
      </c>
      <c r="DJ1649" s="2507">
        <f>K1649/(1.0686^(2025-2025))</f>
        <v>0</v>
      </c>
      <c r="DM1649" s="252"/>
    </row>
    <row r="1650" spans="1:117">
      <c r="A1650" s="453"/>
      <c r="B1650" s="1454">
        <f t="shared" si="245"/>
        <v>353361</v>
      </c>
      <c r="C1650" s="2554" t="s">
        <v>2295</v>
      </c>
      <c r="D1650" s="3383" t="s">
        <v>1118</v>
      </c>
      <c r="E1650" s="2882" t="s">
        <v>2296</v>
      </c>
      <c r="F1650" s="3369">
        <f>ROUND(((K2757*K2950*(1/K3143-1/K3336)*K3529)/1000)*$K$3651,2)</f>
        <v>303.60000000000002</v>
      </c>
      <c r="G1650" s="3384" t="s">
        <v>2077</v>
      </c>
      <c r="H1650" s="2213">
        <f>VLOOKUP(G1650,'CP FACTORS'!$A$3:$B$38, 2, FALSE)</f>
        <v>9.4741810000000004E-4</v>
      </c>
      <c r="I1650" s="3404">
        <f t="shared" si="239"/>
        <v>0.287636</v>
      </c>
      <c r="J1650" s="2449">
        <f t="shared" si="249"/>
        <v>18</v>
      </c>
      <c r="K1650" s="2467">
        <f t="shared" si="246"/>
        <v>462.47693768840077</v>
      </c>
      <c r="L1650" s="2649">
        <f>L1985</f>
        <v>2.8</v>
      </c>
      <c r="M1650" s="3386"/>
      <c r="N1650" s="3387"/>
      <c r="O1650" s="2702"/>
      <c r="P1650" s="635"/>
      <c r="Q1650" s="635"/>
      <c r="R1650" s="2966"/>
      <c r="S1650" s="635"/>
      <c r="T1650" s="635"/>
      <c r="U1650" s="3388"/>
      <c r="V1650" s="2962" t="s">
        <v>45</v>
      </c>
      <c r="W1650" s="3389"/>
      <c r="X1650" s="3390"/>
      <c r="Y1650" s="3369"/>
      <c r="Z1650" s="3373"/>
      <c r="AA1650" s="3373"/>
      <c r="AB1650" s="3400"/>
      <c r="AC1650" s="3369">
        <v>335.29</v>
      </c>
      <c r="AD1650" s="3373">
        <v>335.29</v>
      </c>
      <c r="AE1650" s="3369">
        <v>259.45</v>
      </c>
      <c r="AF1650" s="2236">
        <f t="shared" si="247"/>
        <v>303.60000000000002</v>
      </c>
      <c r="AG1650" s="3389"/>
      <c r="AH1650" s="2728"/>
      <c r="AI1650" s="2237"/>
      <c r="AJ1650" s="2237"/>
      <c r="AK1650" s="3392"/>
      <c r="AL1650" s="2237"/>
      <c r="AM1650" s="2237"/>
      <c r="AN1650" s="2237"/>
      <c r="AO1650" s="2237"/>
      <c r="AP1650" s="2237"/>
      <c r="AQ1650" s="2237"/>
      <c r="AR1650" s="2237"/>
      <c r="AS1650" s="2237"/>
      <c r="AT1650" s="2237"/>
      <c r="AU1650" s="2237"/>
      <c r="AV1650" s="2237"/>
      <c r="AW1650" s="2237"/>
      <c r="AX1650" s="2237"/>
      <c r="AY1650" s="2237"/>
      <c r="AZ1650" s="2237"/>
      <c r="BA1650" s="2237"/>
      <c r="BB1650" s="2237"/>
      <c r="BC1650" s="2237"/>
      <c r="BD1650" s="2237"/>
      <c r="BE1650" s="2237"/>
      <c r="BF1650" s="2237"/>
      <c r="BG1650" s="2237"/>
      <c r="BH1650" s="2237"/>
      <c r="BI1650" s="2237"/>
      <c r="BJ1650" s="2237"/>
      <c r="BK1650" s="2237"/>
      <c r="BL1650" s="2237"/>
      <c r="BM1650" s="2237"/>
      <c r="BN1650" s="2237"/>
      <c r="BO1650" s="2237"/>
      <c r="BP1650" s="2237"/>
      <c r="BQ1650" s="2237"/>
      <c r="BR1650" s="2237"/>
      <c r="BS1650" s="2237"/>
      <c r="BT1650" s="2237"/>
      <c r="BU1650" s="2237"/>
      <c r="BV1650" s="2237"/>
      <c r="BW1650" s="2237"/>
      <c r="BX1650" s="2237"/>
      <c r="BY1650" s="2237"/>
      <c r="BZ1650" s="2237"/>
      <c r="CA1650" s="2237"/>
      <c r="CB1650" s="2237"/>
      <c r="CC1650" s="2237"/>
      <c r="CD1650" s="2237"/>
      <c r="CE1650" s="2237"/>
      <c r="CF1650" s="2237"/>
      <c r="CG1650" s="2237"/>
      <c r="CH1650" s="2237"/>
      <c r="CI1650" s="2237"/>
      <c r="CJ1650" s="2237"/>
      <c r="CK1650" s="2237"/>
      <c r="CL1650" s="2237"/>
      <c r="CM1650" s="2237"/>
      <c r="CN1650" s="2237"/>
      <c r="CO1650" s="2237"/>
      <c r="CP1650" s="2237"/>
      <c r="CQ1650" s="2237"/>
      <c r="CR1650" s="2237"/>
      <c r="CS1650" s="2237"/>
      <c r="CT1650" s="2237"/>
      <c r="CU1650" s="2237"/>
      <c r="CV1650" s="2237"/>
      <c r="CW1650" s="2237"/>
      <c r="CX1650" s="2237"/>
      <c r="CY1650" s="2237"/>
      <c r="CZ1650" s="2237"/>
      <c r="DA1650" s="2237"/>
      <c r="DB1650" s="2237"/>
      <c r="DC1650" s="2237"/>
      <c r="DD1650" s="2237"/>
      <c r="DE1650" s="2237"/>
      <c r="DF1650" s="3393" t="str">
        <f t="shared" si="248"/>
        <v>ASHP-SEER19-Replace_CAC_NonElectricHeat_ROF_MF_CompE</v>
      </c>
      <c r="DG1650" s="3259">
        <f>(DI1650+DI1651)/(DJ1650+DJ1651)</f>
        <v>1.5031535224342922</v>
      </c>
      <c r="DH1650" s="3403" t="str">
        <f t="shared" si="240"/>
        <v>Cooling Res 18 Year EUL</v>
      </c>
      <c r="DI1650" s="3260">
        <f>(INDEX('Avoided Cost Benefits'!$B$4:$B$866,MATCH(DH1650,'Avoided Cost Benefits'!$A$4:$A$866,0)))*F1650</f>
        <v>695.17383793094427</v>
      </c>
      <c r="DJ1650" s="2507">
        <f>IFERROR(K1650/(1.0686^(2025-2025)),10000000)</f>
        <v>462.47693768840077</v>
      </c>
      <c r="DM1650" s="252"/>
    </row>
    <row r="1651" spans="1:117">
      <c r="A1651" s="453"/>
      <c r="B1651" s="1454">
        <f t="shared" si="245"/>
        <v>353361</v>
      </c>
      <c r="C1651" s="2554" t="s">
        <v>2295</v>
      </c>
      <c r="D1651" s="3383" t="s">
        <v>1118</v>
      </c>
      <c r="E1651" s="2882" t="s">
        <v>2296</v>
      </c>
      <c r="F1651" s="3373">
        <v>0</v>
      </c>
      <c r="G1651" s="3384" t="s">
        <v>2078</v>
      </c>
      <c r="H1651" s="2213">
        <f>VLOOKUP(G1651,'CP FACTORS'!$A$3:$B$38, 2, FALSE)</f>
        <v>0</v>
      </c>
      <c r="I1651" s="3405">
        <f t="shared" si="239"/>
        <v>0</v>
      </c>
      <c r="J1651" s="2449">
        <f t="shared" si="249"/>
        <v>18</v>
      </c>
      <c r="K1651" s="2894">
        <f t="shared" si="246"/>
        <v>0</v>
      </c>
      <c r="L1651" s="2649"/>
      <c r="M1651" s="3386"/>
      <c r="N1651" s="3387"/>
      <c r="O1651" s="2702"/>
      <c r="P1651" s="635"/>
      <c r="Q1651" s="635"/>
      <c r="R1651" s="2966"/>
      <c r="S1651" s="635"/>
      <c r="T1651" s="635"/>
      <c r="U1651" s="3388"/>
      <c r="V1651" s="2962" t="s">
        <v>45</v>
      </c>
      <c r="W1651" s="3389"/>
      <c r="X1651" s="3390"/>
      <c r="Y1651" s="3369"/>
      <c r="Z1651" s="3373"/>
      <c r="AA1651" s="3373"/>
      <c r="AB1651" s="3400"/>
      <c r="AC1651" s="3369">
        <v>0</v>
      </c>
      <c r="AD1651" s="3373">
        <v>0</v>
      </c>
      <c r="AE1651" s="3373">
        <v>0</v>
      </c>
      <c r="AF1651" s="2236">
        <f t="shared" si="247"/>
        <v>0</v>
      </c>
      <c r="AG1651" s="3389"/>
      <c r="AH1651" s="2728"/>
      <c r="AI1651" s="2237"/>
      <c r="AJ1651" s="2237"/>
      <c r="AK1651" s="3392"/>
      <c r="AL1651" s="2237"/>
      <c r="AM1651" s="2237"/>
      <c r="AN1651" s="2237"/>
      <c r="AO1651" s="2237"/>
      <c r="AP1651" s="2237"/>
      <c r="AQ1651" s="2237"/>
      <c r="AR1651" s="2237"/>
      <c r="AS1651" s="2237"/>
      <c r="AT1651" s="2237"/>
      <c r="AU1651" s="2237"/>
      <c r="AV1651" s="2237"/>
      <c r="AW1651" s="2237"/>
      <c r="AX1651" s="2237"/>
      <c r="AY1651" s="2237"/>
      <c r="AZ1651" s="2237"/>
      <c r="BA1651" s="2237"/>
      <c r="BB1651" s="2237"/>
      <c r="BC1651" s="2237"/>
      <c r="BD1651" s="2237"/>
      <c r="BE1651" s="2237"/>
      <c r="BF1651" s="2237"/>
      <c r="BG1651" s="2237"/>
      <c r="BH1651" s="2237"/>
      <c r="BI1651" s="2237"/>
      <c r="BJ1651" s="2237"/>
      <c r="BK1651" s="2237"/>
      <c r="BL1651" s="2237"/>
      <c r="BM1651" s="2237"/>
      <c r="BN1651" s="2237"/>
      <c r="BO1651" s="2237"/>
      <c r="BP1651" s="2237"/>
      <c r="BQ1651" s="2237"/>
      <c r="BR1651" s="2237"/>
      <c r="BS1651" s="2237"/>
      <c r="BT1651" s="2237"/>
      <c r="BU1651" s="2237"/>
      <c r="BV1651" s="2237"/>
      <c r="BW1651" s="2237"/>
      <c r="BX1651" s="2237"/>
      <c r="BY1651" s="2237"/>
      <c r="BZ1651" s="2237"/>
      <c r="CA1651" s="2237"/>
      <c r="CB1651" s="2237"/>
      <c r="CC1651" s="2237"/>
      <c r="CD1651" s="2237"/>
      <c r="CE1651" s="2237"/>
      <c r="CF1651" s="2237"/>
      <c r="CG1651" s="2237"/>
      <c r="CH1651" s="2237"/>
      <c r="CI1651" s="2237"/>
      <c r="CJ1651" s="2237"/>
      <c r="CK1651" s="2237"/>
      <c r="CL1651" s="2237"/>
      <c r="CM1651" s="2237"/>
      <c r="CN1651" s="2237"/>
      <c r="CO1651" s="2237"/>
      <c r="CP1651" s="2237"/>
      <c r="CQ1651" s="2237"/>
      <c r="CR1651" s="2237"/>
      <c r="CS1651" s="2237"/>
      <c r="CT1651" s="2237"/>
      <c r="CU1651" s="2237"/>
      <c r="CV1651" s="2237"/>
      <c r="CW1651" s="2237"/>
      <c r="CX1651" s="2237"/>
      <c r="CY1651" s="2237"/>
      <c r="CZ1651" s="2237"/>
      <c r="DA1651" s="2237"/>
      <c r="DB1651" s="2237"/>
      <c r="DC1651" s="2237"/>
      <c r="DD1651" s="2237"/>
      <c r="DE1651" s="2237"/>
      <c r="DF1651" s="3393" t="str">
        <f t="shared" si="248"/>
        <v>ASHP-SEER19-Replace_CAC_NonElectricHeat_ROF_MF_CompE</v>
      </c>
      <c r="DG1651" s="3261"/>
      <c r="DH1651" s="3403" t="str">
        <f t="shared" si="240"/>
        <v>Heating Res 18 Year EUL</v>
      </c>
      <c r="DI1651" s="3260">
        <f>(INDEX('Avoided Cost Benefits'!$B$4:$B$866,MATCH(DH1651,'Avoided Cost Benefits'!$A$4:$A$866,0)))*F1651</f>
        <v>0</v>
      </c>
      <c r="DJ1651" s="2507">
        <f>K1651/(1.0686^(2025-2025))</f>
        <v>0</v>
      </c>
      <c r="DM1651" s="252"/>
    </row>
    <row r="1652" spans="1:117">
      <c r="A1652" s="453"/>
      <c r="B1652" s="1454">
        <f t="shared" si="245"/>
        <v>353400</v>
      </c>
      <c r="C1652" s="682" t="s">
        <v>2297</v>
      </c>
      <c r="D1652" s="3470" t="s">
        <v>1043</v>
      </c>
      <c r="E1652" s="1369" t="s">
        <v>2298</v>
      </c>
      <c r="F1652" s="227">
        <f>ROUND(((K2758*K2951*(1/K3144-1/K3337)*K3530)/1000)*$K$3651,2)</f>
        <v>2257.71</v>
      </c>
      <c r="G1652" s="570" t="s">
        <v>2077</v>
      </c>
      <c r="H1652" s="69">
        <f>VLOOKUP(G1652,'CP FACTORS'!$A$3:$B$38, 2, FALSE)</f>
        <v>9.4741810000000004E-4</v>
      </c>
      <c r="I1652" s="1477">
        <f t="shared" si="239"/>
        <v>2.138995</v>
      </c>
      <c r="J1652" s="59">
        <f t="shared" si="249"/>
        <v>6</v>
      </c>
      <c r="K1652" s="166">
        <f t="shared" si="246"/>
        <v>4188.7510221369221</v>
      </c>
      <c r="L1652" s="1107">
        <f>L1986</f>
        <v>2.5833656509695291</v>
      </c>
      <c r="M1652" s="560"/>
      <c r="N1652" s="572"/>
      <c r="O1652" s="417"/>
      <c r="R1652" s="532"/>
      <c r="S1652" s="52"/>
      <c r="T1652" s="52"/>
      <c r="U1652" s="574"/>
      <c r="V1652" s="1442" t="s">
        <v>45</v>
      </c>
      <c r="W1652" s="962">
        <v>3137.6011764705886</v>
      </c>
      <c r="X1652" s="251">
        <v>2264.428307322929</v>
      </c>
      <c r="Y1652" s="225">
        <v>2264.4299999999998</v>
      </c>
      <c r="Z1652" s="225">
        <v>2264.4299999999998</v>
      </c>
      <c r="AA1652" s="225">
        <v>2264.4299999999998</v>
      </c>
      <c r="AB1652" s="1027">
        <v>2264.4299999999998</v>
      </c>
      <c r="AC1652" s="227">
        <v>2197.42</v>
      </c>
      <c r="AD1652" s="227">
        <v>2594.98</v>
      </c>
      <c r="AE1652" s="227">
        <v>2567.77</v>
      </c>
      <c r="AF1652" s="271">
        <f t="shared" si="247"/>
        <v>2257.71</v>
      </c>
      <c r="AG1652" s="962"/>
      <c r="AH1652" s="121"/>
      <c r="AK1652" s="963"/>
      <c r="DF1652" s="1650" t="str">
        <f t="shared" si="248"/>
        <v>ASHP-SEER20-Replace_CAC_ElectricHeat_ER1_SF</v>
      </c>
      <c r="DG1652" s="1090">
        <f>(DI1652+DI1653+DI1654+DI1655)/(DJ1652+DJ1653+DJ1654+DJ1655)</f>
        <v>2.0913445621339002</v>
      </c>
      <c r="DH1652" s="1369" t="str">
        <f t="shared" si="240"/>
        <v>Cooling Res 6 Year EUL</v>
      </c>
      <c r="DI1652" s="1091">
        <f>(INDEX('Avoided Cost Benefits'!$B$4:$B$866,MATCH(DH1652,'Avoided Cost Benefits'!$A$4:$A$866,0)))*F1652</f>
        <v>2248.3362078095734</v>
      </c>
      <c r="DJ1652" s="1176">
        <f>IFERROR(K1652/(1.0686^(2025-2025)),10000000)</f>
        <v>4188.7510221369221</v>
      </c>
      <c r="DM1652" s="252"/>
    </row>
    <row r="1653" spans="1:117">
      <c r="A1653" s="453"/>
      <c r="B1653" s="1454">
        <f t="shared" si="245"/>
        <v>353400</v>
      </c>
      <c r="C1653" s="682" t="s">
        <v>2297</v>
      </c>
      <c r="D1653" s="3470" t="s">
        <v>1043</v>
      </c>
      <c r="E1653" s="1393" t="s">
        <v>2298</v>
      </c>
      <c r="F1653" s="225">
        <f>ROUND(((K1986*K2179*(1/K2372-1/K2565)*K3530)/1000)*$K$3651,2)</f>
        <v>9124.58</v>
      </c>
      <c r="G1653" s="570" t="s">
        <v>2078</v>
      </c>
      <c r="H1653" s="69">
        <f>VLOOKUP(G1653,'CP FACTORS'!$A$3:$B$38, 2, FALSE)</f>
        <v>0</v>
      </c>
      <c r="I1653" s="1167">
        <f t="shared" si="239"/>
        <v>0</v>
      </c>
      <c r="J1653" s="59">
        <f t="shared" si="249"/>
        <v>6</v>
      </c>
      <c r="K1653" s="163">
        <f t="shared" si="246"/>
        <v>0</v>
      </c>
      <c r="L1653" s="255"/>
      <c r="M1653" s="560"/>
      <c r="N1653" s="572"/>
      <c r="O1653" s="417"/>
      <c r="R1653" s="532"/>
      <c r="S1653" s="52"/>
      <c r="T1653" s="52"/>
      <c r="U1653" s="574"/>
      <c r="V1653" s="1442" t="s">
        <v>45</v>
      </c>
      <c r="W1653" s="962">
        <v>13965.852998065762</v>
      </c>
      <c r="X1653" s="251">
        <v>10399.659574468084</v>
      </c>
      <c r="Y1653" s="225">
        <v>10399.66</v>
      </c>
      <c r="Z1653" s="225">
        <v>10399.66</v>
      </c>
      <c r="AA1653" s="225">
        <v>10399.66</v>
      </c>
      <c r="AB1653" s="1027">
        <v>10399.66</v>
      </c>
      <c r="AC1653" s="227">
        <v>10941.66</v>
      </c>
      <c r="AD1653" s="227">
        <v>9717.92</v>
      </c>
      <c r="AE1653" s="227">
        <v>9124.58</v>
      </c>
      <c r="AF1653" s="271">
        <f t="shared" si="247"/>
        <v>9124.58</v>
      </c>
      <c r="AG1653" s="962"/>
      <c r="AH1653" s="121"/>
      <c r="AK1653" s="963"/>
      <c r="DF1653" s="1650" t="str">
        <f t="shared" si="248"/>
        <v>ASHP-SEER20-Replace_CAC_ElectricHeat_ER1_SF</v>
      </c>
      <c r="DG1653" s="1094"/>
      <c r="DH1653" s="1393" t="str">
        <f t="shared" si="240"/>
        <v>Heating Res 6 Year EUL</v>
      </c>
      <c r="DI1653" s="1091">
        <f>(INDEX('Avoided Cost Benefits'!$B$4:$B$866,MATCH(DH1653,'Avoided Cost Benefits'!$A$4:$A$866,0)))*F1653</f>
        <v>2447.0190119722806</v>
      </c>
      <c r="DJ1653" s="1176">
        <f t="shared" ref="DJ1653:DJ1659" si="250">K1653/(1.0686^(2025-2025))</f>
        <v>0</v>
      </c>
      <c r="DM1653" s="252"/>
    </row>
    <row r="1654" spans="1:117">
      <c r="A1654" s="453"/>
      <c r="B1654" s="1454">
        <f t="shared" si="245"/>
        <v>353400</v>
      </c>
      <c r="C1654" s="682" t="s">
        <v>2297</v>
      </c>
      <c r="D1654" s="3470" t="s">
        <v>1043</v>
      </c>
      <c r="E1654" s="1393" t="s">
        <v>2299</v>
      </c>
      <c r="F1654" s="227">
        <f>ROUND(((K2759*K2952*(1/K3145-1/K3338)*K3531)/1000)*$K$3651,2)</f>
        <v>758.63</v>
      </c>
      <c r="G1654" s="570" t="s">
        <v>2138</v>
      </c>
      <c r="H1654" s="69">
        <f>VLOOKUP(G1654,'CP FACTORS'!$A$3:$B$38, 2, FALSE)</f>
        <v>9.4741810000000004E-4</v>
      </c>
      <c r="I1654" s="1477">
        <f t="shared" si="239"/>
        <v>0.71874000000000005</v>
      </c>
      <c r="J1654" s="59">
        <f t="shared" si="249"/>
        <v>12</v>
      </c>
      <c r="K1654" s="163">
        <f t="shared" si="246"/>
        <v>0</v>
      </c>
      <c r="L1654" s="255"/>
      <c r="M1654" s="560"/>
      <c r="N1654" s="572"/>
      <c r="O1654" s="417"/>
      <c r="R1654" s="532"/>
      <c r="S1654" s="52"/>
      <c r="T1654" s="52"/>
      <c r="U1654" s="574"/>
      <c r="V1654" s="1442" t="s">
        <v>45</v>
      </c>
      <c r="W1654" s="962">
        <v>870.33692307692309</v>
      </c>
      <c r="X1654" s="254">
        <v>870.33692307692309</v>
      </c>
      <c r="Y1654" s="225">
        <v>870.34</v>
      </c>
      <c r="Z1654" s="225">
        <v>870.34</v>
      </c>
      <c r="AA1654" s="225">
        <v>870.34</v>
      </c>
      <c r="AB1654" s="1027">
        <v>870.34</v>
      </c>
      <c r="AC1654" s="227">
        <v>842.26</v>
      </c>
      <c r="AD1654" s="227">
        <v>862.58</v>
      </c>
      <c r="AE1654" s="227">
        <v>717.86</v>
      </c>
      <c r="AF1654" s="271">
        <f t="shared" si="247"/>
        <v>758.63</v>
      </c>
      <c r="AG1654" s="962"/>
      <c r="AH1654" s="121"/>
      <c r="AK1654" s="963"/>
      <c r="DF1654" s="1650" t="str">
        <f t="shared" si="248"/>
        <v>ASHP-SEER20-Replace_CAC_ElectricHeat_ER2_SF</v>
      </c>
      <c r="DG1654" s="1094"/>
      <c r="DH1654" s="1393" t="str">
        <f t="shared" si="240"/>
        <v>Cooling Res ER2 12 Year EUL</v>
      </c>
      <c r="DI1654" s="1091">
        <f>(INDEX('Avoided Cost Benefits'!$B$4:$B$866,MATCH(DH1654,'Avoided Cost Benefits'!$A$4:$A$866,0)))*F1654</f>
        <v>981.60713826151823</v>
      </c>
      <c r="DJ1654" s="1176">
        <f t="shared" si="250"/>
        <v>0</v>
      </c>
      <c r="DM1654" s="252"/>
    </row>
    <row r="1655" spans="1:117">
      <c r="A1655" s="453"/>
      <c r="B1655" s="1454">
        <f t="shared" si="245"/>
        <v>353400</v>
      </c>
      <c r="C1655" s="682" t="s">
        <v>2297</v>
      </c>
      <c r="D1655" s="3470" t="s">
        <v>1043</v>
      </c>
      <c r="E1655" s="1370" t="s">
        <v>2299</v>
      </c>
      <c r="F1655" s="225">
        <f>ROUND(((K1987*K2180*(1/K2373-1/K2566)*K3531)/1000)*$K$3651,2)</f>
        <v>9124.58</v>
      </c>
      <c r="G1655" s="570" t="s">
        <v>2173</v>
      </c>
      <c r="H1655" s="69">
        <f>VLOOKUP(G1655,'CP FACTORS'!$A$3:$B$38, 2, FALSE)</f>
        <v>0</v>
      </c>
      <c r="I1655" s="1167">
        <f t="shared" si="239"/>
        <v>0</v>
      </c>
      <c r="J1655" s="59">
        <f t="shared" si="249"/>
        <v>12</v>
      </c>
      <c r="K1655" s="163">
        <f t="shared" si="246"/>
        <v>0</v>
      </c>
      <c r="L1655" s="255"/>
      <c r="M1655" s="560"/>
      <c r="N1655" s="572"/>
      <c r="O1655" s="417"/>
      <c r="R1655" s="532"/>
      <c r="S1655" s="52"/>
      <c r="T1655" s="52"/>
      <c r="U1655" s="574"/>
      <c r="V1655" s="1442" t="s">
        <v>45</v>
      </c>
      <c r="W1655" s="962">
        <v>13965.852998065762</v>
      </c>
      <c r="X1655" s="251">
        <v>10399.659574468084</v>
      </c>
      <c r="Y1655" s="225">
        <v>10399.66</v>
      </c>
      <c r="Z1655" s="225">
        <v>10399.66</v>
      </c>
      <c r="AA1655" s="225">
        <v>10399.66</v>
      </c>
      <c r="AB1655" s="1027">
        <v>10399.66</v>
      </c>
      <c r="AC1655" s="227">
        <v>10941.66</v>
      </c>
      <c r="AD1655" s="227">
        <v>9717.92</v>
      </c>
      <c r="AE1655" s="227">
        <v>9124.58</v>
      </c>
      <c r="AF1655" s="271">
        <f t="shared" si="247"/>
        <v>9124.58</v>
      </c>
      <c r="AG1655" s="962"/>
      <c r="AH1655" s="121"/>
      <c r="AK1655" s="963"/>
      <c r="DF1655" s="1650" t="str">
        <f t="shared" si="248"/>
        <v>ASHP-SEER20-Replace_CAC_ElectricHeat_ER2_SF</v>
      </c>
      <c r="DG1655" s="1094"/>
      <c r="DH1655" s="1370" t="str">
        <f t="shared" si="240"/>
        <v>Heating Res ER2 12 Year EUL</v>
      </c>
      <c r="DI1655" s="1091">
        <f>(INDEX('Avoided Cost Benefits'!$B$4:$B$866,MATCH(DH1655,'Avoided Cost Benefits'!$A$4:$A$866,0)))*F1655</f>
        <v>3083.1593142354964</v>
      </c>
      <c r="DJ1655" s="1176">
        <f t="shared" si="250"/>
        <v>0</v>
      </c>
      <c r="DM1655" s="252"/>
    </row>
    <row r="1656" spans="1:117">
      <c r="A1656" s="453"/>
      <c r="B1656" s="1454">
        <f t="shared" si="245"/>
        <v>353410</v>
      </c>
      <c r="C1656" s="682" t="s">
        <v>2300</v>
      </c>
      <c r="D1656" s="3470" t="s">
        <v>1800</v>
      </c>
      <c r="E1656" s="1393" t="s">
        <v>2301</v>
      </c>
      <c r="F1656" s="227">
        <f>ROUND(((K2760*K2953*(1/K3146-1/K3339)*K3532)/1000)*$K$3651,2)</f>
        <v>2257.71</v>
      </c>
      <c r="G1656" s="570" t="s">
        <v>2077</v>
      </c>
      <c r="H1656" s="69">
        <f>VLOOKUP(G1656,'CP FACTORS'!$A$3:$B$38, 2, FALSE)</f>
        <v>9.4741810000000004E-4</v>
      </c>
      <c r="I1656" s="1477">
        <f t="shared" si="239"/>
        <v>2.138995</v>
      </c>
      <c r="J1656" s="59">
        <f t="shared" si="249"/>
        <v>6</v>
      </c>
      <c r="K1656" s="166">
        <f t="shared" si="246"/>
        <v>594.14061546225037</v>
      </c>
      <c r="L1656" s="1107">
        <f>L1988</f>
        <v>2.5833656509695291</v>
      </c>
      <c r="M1656" s="560"/>
      <c r="N1656" s="572"/>
      <c r="O1656" s="417"/>
      <c r="R1656" s="532"/>
      <c r="S1656" s="52"/>
      <c r="T1656" s="52"/>
      <c r="U1656" s="574"/>
      <c r="V1656" s="1442" t="s">
        <v>45</v>
      </c>
      <c r="W1656" s="962"/>
      <c r="X1656" s="251"/>
      <c r="Y1656" s="225"/>
      <c r="Z1656" s="225"/>
      <c r="AA1656" s="225"/>
      <c r="AB1656" s="1027"/>
      <c r="AC1656" s="227">
        <v>2197.42</v>
      </c>
      <c r="AD1656" s="227">
        <v>2594.98</v>
      </c>
      <c r="AE1656" s="227">
        <v>2567.77</v>
      </c>
      <c r="AF1656" s="271">
        <f t="shared" si="247"/>
        <v>2257.71</v>
      </c>
      <c r="AG1656" s="962"/>
      <c r="AH1656" s="121"/>
      <c r="AK1656" s="963"/>
      <c r="DF1656" s="1650" t="str">
        <f t="shared" si="248"/>
        <v>ASHP-SEER20-Replace_CAC_NonElectricHeat_ER1_SF</v>
      </c>
      <c r="DG1656" s="1090">
        <f>(DI1656+DI1657+DI1658+DI1659)/(DJ1656+DJ1657+DJ1658+DJ1659)</f>
        <v>5.4363281385133835</v>
      </c>
      <c r="DH1656" s="1393" t="str">
        <f t="shared" si="240"/>
        <v>Cooling Res 6 Year EUL</v>
      </c>
      <c r="DI1656" s="1091">
        <f>(INDEX('Avoided Cost Benefits'!$B$4:$B$866,MATCH(DH1656,'Avoided Cost Benefits'!$A$4:$A$866,0)))*F1656</f>
        <v>2248.3362078095734</v>
      </c>
      <c r="DJ1656" s="1176">
        <f t="shared" si="250"/>
        <v>594.14061546225037</v>
      </c>
      <c r="DM1656" s="252"/>
    </row>
    <row r="1657" spans="1:117">
      <c r="A1657" s="453"/>
      <c r="B1657" s="1454">
        <f t="shared" si="245"/>
        <v>353410</v>
      </c>
      <c r="C1657" s="682" t="s">
        <v>2300</v>
      </c>
      <c r="D1657" s="3470" t="s">
        <v>1800</v>
      </c>
      <c r="E1657" s="1393" t="s">
        <v>2301</v>
      </c>
      <c r="F1657" s="225">
        <v>0</v>
      </c>
      <c r="G1657" s="570" t="s">
        <v>2078</v>
      </c>
      <c r="H1657" s="69">
        <f>VLOOKUP(G1657,'CP FACTORS'!$A$3:$B$38, 2, FALSE)</f>
        <v>0</v>
      </c>
      <c r="I1657" s="1167">
        <f t="shared" si="239"/>
        <v>0</v>
      </c>
      <c r="J1657" s="59">
        <f t="shared" si="249"/>
        <v>6</v>
      </c>
      <c r="K1657" s="163">
        <f t="shared" si="246"/>
        <v>0</v>
      </c>
      <c r="L1657" s="255"/>
      <c r="M1657" s="560"/>
      <c r="N1657" s="572"/>
      <c r="O1657" s="417"/>
      <c r="R1657" s="532"/>
      <c r="S1657" s="52"/>
      <c r="T1657" s="52"/>
      <c r="U1657" s="574"/>
      <c r="V1657" s="1442" t="s">
        <v>45</v>
      </c>
      <c r="W1657" s="962"/>
      <c r="X1657" s="251"/>
      <c r="Y1657" s="225"/>
      <c r="Z1657" s="225"/>
      <c r="AA1657" s="225"/>
      <c r="AB1657" s="1027"/>
      <c r="AC1657" s="227">
        <v>0</v>
      </c>
      <c r="AD1657" s="227">
        <v>0</v>
      </c>
      <c r="AE1657" s="225">
        <v>0</v>
      </c>
      <c r="AF1657" s="271">
        <f t="shared" si="247"/>
        <v>0</v>
      </c>
      <c r="AG1657" s="962"/>
      <c r="AH1657" s="121"/>
      <c r="AK1657" s="963"/>
      <c r="DF1657" s="1650" t="str">
        <f t="shared" si="248"/>
        <v>ASHP-SEER20-Replace_CAC_NonElectricHeat_ER1_SF</v>
      </c>
      <c r="DG1657" s="1094"/>
      <c r="DH1657" s="1393" t="str">
        <f t="shared" si="240"/>
        <v>Heating Res 6 Year EUL</v>
      </c>
      <c r="DI1657" s="1091">
        <f>(INDEX('Avoided Cost Benefits'!$B$4:$B$866,MATCH(DH1657,'Avoided Cost Benefits'!$A$4:$A$866,0)))*F1657</f>
        <v>0</v>
      </c>
      <c r="DJ1657" s="1176">
        <f t="shared" si="250"/>
        <v>0</v>
      </c>
      <c r="DM1657" s="252"/>
    </row>
    <row r="1658" spans="1:117">
      <c r="A1658" s="453"/>
      <c r="B1658" s="1454">
        <f t="shared" si="245"/>
        <v>353410</v>
      </c>
      <c r="C1658" s="682" t="s">
        <v>2300</v>
      </c>
      <c r="D1658" s="3470" t="s">
        <v>1800</v>
      </c>
      <c r="E1658" s="1393" t="s">
        <v>2302</v>
      </c>
      <c r="F1658" s="227">
        <f>ROUND(((K2761*K2954*(1/K3147-1/K3340)*K3533)/1000)*$K$3651,2)</f>
        <v>758.63</v>
      </c>
      <c r="G1658" s="570" t="s">
        <v>2138</v>
      </c>
      <c r="H1658" s="69">
        <f>VLOOKUP(G1658,'CP FACTORS'!$A$3:$B$38, 2, FALSE)</f>
        <v>9.4741810000000004E-4</v>
      </c>
      <c r="I1658" s="1477">
        <f t="shared" si="239"/>
        <v>0.71874000000000005</v>
      </c>
      <c r="J1658" s="59">
        <f t="shared" si="249"/>
        <v>12</v>
      </c>
      <c r="K1658" s="163">
        <f t="shared" si="246"/>
        <v>0</v>
      </c>
      <c r="L1658" s="255"/>
      <c r="M1658" s="560"/>
      <c r="N1658" s="572"/>
      <c r="O1658" s="417"/>
      <c r="R1658" s="532"/>
      <c r="S1658" s="52"/>
      <c r="T1658" s="52"/>
      <c r="U1658" s="574"/>
      <c r="V1658" s="1442" t="s">
        <v>45</v>
      </c>
      <c r="W1658" s="962"/>
      <c r="X1658" s="251"/>
      <c r="Y1658" s="225"/>
      <c r="Z1658" s="225"/>
      <c r="AA1658" s="225"/>
      <c r="AB1658" s="1027"/>
      <c r="AC1658" s="227">
        <v>842.26</v>
      </c>
      <c r="AD1658" s="227">
        <v>862.58</v>
      </c>
      <c r="AE1658" s="227">
        <v>717.86</v>
      </c>
      <c r="AF1658" s="271">
        <f t="shared" si="247"/>
        <v>758.63</v>
      </c>
      <c r="AG1658" s="962"/>
      <c r="AH1658" s="121"/>
      <c r="AK1658" s="963"/>
      <c r="DF1658" s="1650" t="str">
        <f t="shared" si="248"/>
        <v>ASHP-SEER20-Replace_CAC_NonElectricHeat_ER2_SF</v>
      </c>
      <c r="DG1658" s="1094"/>
      <c r="DH1658" s="1393" t="str">
        <f t="shared" si="240"/>
        <v>Cooling Res ER2 12 Year EUL</v>
      </c>
      <c r="DI1658" s="1091">
        <f>(INDEX('Avoided Cost Benefits'!$B$4:$B$866,MATCH(DH1658,'Avoided Cost Benefits'!$A$4:$A$866,0)))*F1658</f>
        <v>981.60713826151823</v>
      </c>
      <c r="DJ1658" s="1176">
        <f t="shared" si="250"/>
        <v>0</v>
      </c>
      <c r="DM1658" s="252"/>
    </row>
    <row r="1659" spans="1:117">
      <c r="A1659" s="453"/>
      <c r="B1659" s="1454">
        <f t="shared" si="245"/>
        <v>353410</v>
      </c>
      <c r="C1659" s="682" t="s">
        <v>2300</v>
      </c>
      <c r="D1659" s="3470" t="s">
        <v>1800</v>
      </c>
      <c r="E1659" s="1393" t="s">
        <v>2302</v>
      </c>
      <c r="F1659" s="225">
        <f>0</f>
        <v>0</v>
      </c>
      <c r="G1659" s="570" t="s">
        <v>2173</v>
      </c>
      <c r="H1659" s="69">
        <f>VLOOKUP(G1659,'CP FACTORS'!$A$3:$B$38, 2, FALSE)</f>
        <v>0</v>
      </c>
      <c r="I1659" s="1167">
        <f t="shared" si="239"/>
        <v>0</v>
      </c>
      <c r="J1659" s="59">
        <f t="shared" si="249"/>
        <v>12</v>
      </c>
      <c r="K1659" s="163">
        <f t="shared" si="246"/>
        <v>0</v>
      </c>
      <c r="L1659" s="255"/>
      <c r="M1659" s="560"/>
      <c r="N1659" s="572"/>
      <c r="O1659" s="417"/>
      <c r="R1659" s="532"/>
      <c r="S1659" s="52"/>
      <c r="T1659" s="52"/>
      <c r="U1659" s="574"/>
      <c r="V1659" s="1442" t="s">
        <v>45</v>
      </c>
      <c r="W1659" s="962"/>
      <c r="X1659" s="251"/>
      <c r="Y1659" s="225"/>
      <c r="Z1659" s="225"/>
      <c r="AA1659" s="225"/>
      <c r="AB1659" s="1027"/>
      <c r="AC1659" s="227">
        <v>0</v>
      </c>
      <c r="AD1659" s="227">
        <v>0</v>
      </c>
      <c r="AE1659" s="225">
        <v>0</v>
      </c>
      <c r="AF1659" s="271">
        <f t="shared" si="247"/>
        <v>0</v>
      </c>
      <c r="AG1659" s="962"/>
      <c r="AH1659" s="121"/>
      <c r="AK1659" s="963"/>
      <c r="DF1659" s="1650" t="str">
        <f t="shared" si="248"/>
        <v>ASHP-SEER20-Replace_CAC_NonElectricHeat_ER2_SF</v>
      </c>
      <c r="DG1659" s="1094"/>
      <c r="DH1659" s="1393" t="str">
        <f t="shared" si="240"/>
        <v>Heating Res ER2 12 Year EUL</v>
      </c>
      <c r="DI1659" s="1091">
        <f>(INDEX('Avoided Cost Benefits'!$B$4:$B$866,MATCH(DH1659,'Avoided Cost Benefits'!$A$4:$A$866,0)))*F1659</f>
        <v>0</v>
      </c>
      <c r="DJ1659" s="1176">
        <f t="shared" si="250"/>
        <v>0</v>
      </c>
      <c r="DM1659" s="252"/>
    </row>
    <row r="1660" spans="1:117">
      <c r="A1660" s="453"/>
      <c r="B1660" s="1454">
        <f t="shared" si="245"/>
        <v>353450</v>
      </c>
      <c r="C1660" s="682" t="s">
        <v>2303</v>
      </c>
      <c r="D1660" s="3470" t="s">
        <v>1043</v>
      </c>
      <c r="E1660" s="215" t="s">
        <v>2304</v>
      </c>
      <c r="F1660" s="227">
        <f>ROUND(((K2762*K2955*(1/K3148-1/K3341)*K3534)/1000)*$K$3651,2)</f>
        <v>823.65</v>
      </c>
      <c r="G1660" s="570" t="s">
        <v>2077</v>
      </c>
      <c r="H1660" s="69">
        <f>VLOOKUP(G1660,'CP FACTORS'!$A$3:$B$38, 2, FALSE)</f>
        <v>9.4741810000000004E-4</v>
      </c>
      <c r="I1660" s="1477">
        <f t="shared" si="239"/>
        <v>0.78034099999999995</v>
      </c>
      <c r="J1660" s="59">
        <f t="shared" si="249"/>
        <v>18</v>
      </c>
      <c r="K1660" s="166">
        <f t="shared" si="246"/>
        <v>4329.25</v>
      </c>
      <c r="L1660" s="255">
        <f>L1990</f>
        <v>2.8870833333333334</v>
      </c>
      <c r="M1660" s="560"/>
      <c r="N1660" s="572"/>
      <c r="O1660" s="417"/>
      <c r="R1660" s="532"/>
      <c r="S1660" s="52"/>
      <c r="T1660" s="52"/>
      <c r="U1660" s="574"/>
      <c r="V1660" s="1442" t="s">
        <v>45</v>
      </c>
      <c r="W1660" s="962">
        <v>898.41230769230776</v>
      </c>
      <c r="X1660" s="254">
        <v>898.41230769230776</v>
      </c>
      <c r="Y1660" s="225">
        <v>898.41</v>
      </c>
      <c r="Z1660" s="225">
        <v>898.41</v>
      </c>
      <c r="AA1660" s="225">
        <v>898.41</v>
      </c>
      <c r="AB1660" s="1027">
        <v>898.41</v>
      </c>
      <c r="AC1660" s="227">
        <v>701.88</v>
      </c>
      <c r="AD1660" s="227">
        <v>899.76</v>
      </c>
      <c r="AE1660" s="227">
        <v>717.64</v>
      </c>
      <c r="AF1660" s="271">
        <f t="shared" si="247"/>
        <v>823.65</v>
      </c>
      <c r="AG1660" s="962"/>
      <c r="AH1660" s="121"/>
      <c r="AK1660" s="963"/>
      <c r="DF1660" s="1650" t="str">
        <f t="shared" si="248"/>
        <v>ASHP-SEER20-Replace_CAC_ElectricHeat_ROF_SF</v>
      </c>
      <c r="DG1660" s="1090">
        <f>(DI1660+DI1661)/(DJ1660+DJ1661)</f>
        <v>1.866002733058677</v>
      </c>
      <c r="DH1660" s="215" t="str">
        <f t="shared" si="240"/>
        <v>Cooling Res 18 Year EUL</v>
      </c>
      <c r="DI1660" s="1091">
        <f>(INDEX('Avoided Cost Benefits'!$B$4:$B$866,MATCH(DH1660,'Avoided Cost Benefits'!$A$4:$A$866,0)))*F1660</f>
        <v>1885.9681541891377</v>
      </c>
      <c r="DJ1660" s="1176">
        <f>IFERROR(K1660/(1.0686^(2025-2025)),10000000)</f>
        <v>4329.25</v>
      </c>
      <c r="DM1660" s="252"/>
    </row>
    <row r="1661" spans="1:117">
      <c r="A1661" s="453"/>
      <c r="B1661" s="1454">
        <f t="shared" si="245"/>
        <v>353450</v>
      </c>
      <c r="C1661" s="682" t="s">
        <v>2303</v>
      </c>
      <c r="D1661" s="3470" t="s">
        <v>1043</v>
      </c>
      <c r="E1661" s="253" t="s">
        <v>2304</v>
      </c>
      <c r="F1661" s="225">
        <f>ROUND(((K1990*K2183*(1/K2376-1/K2569)*K3534)/1000)*$K$3651,2)</f>
        <v>10217.26</v>
      </c>
      <c r="G1661" s="570" t="s">
        <v>2078</v>
      </c>
      <c r="H1661" s="69">
        <f>VLOOKUP(G1661,'CP FACTORS'!$A$3:$B$38, 2, FALSE)</f>
        <v>0</v>
      </c>
      <c r="I1661" s="1167">
        <f t="shared" si="239"/>
        <v>0</v>
      </c>
      <c r="J1661" s="59">
        <f t="shared" si="249"/>
        <v>18</v>
      </c>
      <c r="K1661" s="163">
        <f t="shared" si="246"/>
        <v>0</v>
      </c>
      <c r="L1661" s="255"/>
      <c r="M1661" s="560"/>
      <c r="N1661" s="572"/>
      <c r="O1661" s="417"/>
      <c r="R1661" s="532"/>
      <c r="S1661" s="52"/>
      <c r="T1661" s="52"/>
      <c r="U1661" s="574"/>
      <c r="V1661" s="1442" t="s">
        <v>45</v>
      </c>
      <c r="W1661" s="962">
        <v>14670.188469329136</v>
      </c>
      <c r="X1661" s="251">
        <v>10924.142334552707</v>
      </c>
      <c r="Y1661" s="225">
        <v>10924.14</v>
      </c>
      <c r="Z1661" s="225">
        <v>10924.14</v>
      </c>
      <c r="AA1661" s="225">
        <v>10924.14</v>
      </c>
      <c r="AB1661" s="1027">
        <v>10924.14</v>
      </c>
      <c r="AC1661" s="227">
        <v>8887</v>
      </c>
      <c r="AD1661" s="227">
        <v>10217.26</v>
      </c>
      <c r="AE1661" s="225">
        <v>10217.26</v>
      </c>
      <c r="AF1661" s="271">
        <f t="shared" si="247"/>
        <v>10217.26</v>
      </c>
      <c r="AG1661" s="962"/>
      <c r="AH1661" s="121"/>
      <c r="AK1661" s="963"/>
      <c r="DF1661" s="1650" t="str">
        <f t="shared" si="248"/>
        <v>ASHP-SEER20-Replace_CAC_ElectricHeat_ROF_SF</v>
      </c>
      <c r="DG1661" s="1092"/>
      <c r="DH1661" s="253" t="str">
        <f t="shared" si="240"/>
        <v>Heating Res 18 Year EUL</v>
      </c>
      <c r="DI1661" s="1091">
        <f>(INDEX('Avoided Cost Benefits'!$B$4:$B$866,MATCH(DH1661,'Avoided Cost Benefits'!$A$4:$A$866,0)))*F1661</f>
        <v>6192.4241779051399</v>
      </c>
      <c r="DJ1661" s="1176">
        <f>K1661/(1.0686^(2025-2025))</f>
        <v>0</v>
      </c>
      <c r="DM1661" s="252"/>
    </row>
    <row r="1662" spans="1:117">
      <c r="A1662" s="453"/>
      <c r="B1662" s="1454">
        <f t="shared" si="245"/>
        <v>353460</v>
      </c>
      <c r="C1662" s="682" t="s">
        <v>2305</v>
      </c>
      <c r="D1662" s="3470" t="s">
        <v>1800</v>
      </c>
      <c r="E1662" s="215" t="s">
        <v>2306</v>
      </c>
      <c r="F1662" s="227">
        <f>ROUND(((K2763*K2956*(1/K3149-1/K3342)*K3535)/1000)*$K$3651,2)</f>
        <v>823.65</v>
      </c>
      <c r="G1662" s="570" t="s">
        <v>2077</v>
      </c>
      <c r="H1662" s="69">
        <f>VLOOKUP(G1662,'CP FACTORS'!$A$3:$B$38, 2, FALSE)</f>
        <v>9.4741810000000004E-4</v>
      </c>
      <c r="I1662" s="1477">
        <f t="shared" si="239"/>
        <v>0.78034099999999995</v>
      </c>
      <c r="J1662" s="59">
        <f t="shared" si="249"/>
        <v>18</v>
      </c>
      <c r="K1662" s="166">
        <f t="shared" si="246"/>
        <v>322.96131048074847</v>
      </c>
      <c r="L1662" s="255">
        <f>L1991</f>
        <v>2.8870833333333334</v>
      </c>
      <c r="M1662" s="560"/>
      <c r="N1662" s="572"/>
      <c r="O1662" s="417"/>
      <c r="R1662" s="532"/>
      <c r="S1662" s="52"/>
      <c r="T1662" s="52"/>
      <c r="U1662" s="574"/>
      <c r="V1662" s="1442" t="s">
        <v>45</v>
      </c>
      <c r="W1662" s="962"/>
      <c r="X1662" s="251"/>
      <c r="Y1662" s="227"/>
      <c r="Z1662" s="225"/>
      <c r="AA1662" s="225"/>
      <c r="AB1662" s="1026"/>
      <c r="AC1662" s="227"/>
      <c r="AD1662" s="227">
        <v>899.76</v>
      </c>
      <c r="AE1662" s="227">
        <v>717.64</v>
      </c>
      <c r="AF1662" s="271">
        <f t="shared" si="247"/>
        <v>823.65</v>
      </c>
      <c r="AG1662" s="962"/>
      <c r="AH1662" s="121"/>
      <c r="AK1662" s="963"/>
      <c r="DF1662" s="1650" t="str">
        <f t="shared" si="248"/>
        <v>ASHP-SEER20-Replace_CAC_NonElectricHeat_ROF_SF</v>
      </c>
      <c r="DG1662" s="1090">
        <f>(DI1662+DI1663)/(DJ1662+DJ1663)</f>
        <v>5.8396101730630026</v>
      </c>
      <c r="DH1662" s="215" t="str">
        <f>CONCATENATE(G1662," ",J1662," Year EUL")</f>
        <v>Cooling Res 18 Year EUL</v>
      </c>
      <c r="DI1662" s="1091">
        <f>(INDEX('Avoided Cost Benefits'!$B$4:$B$866,MATCH(DH1662,'Avoided Cost Benefits'!$A$4:$A$866,0)))*F1662</f>
        <v>1885.9681541891377</v>
      </c>
      <c r="DJ1662" s="1176">
        <f>IFERROR(K1662/(1.0686^(2025-2025)),10000000)</f>
        <v>322.96131048074847</v>
      </c>
      <c r="DM1662" s="252"/>
    </row>
    <row r="1663" spans="1:117">
      <c r="A1663" s="453"/>
      <c r="B1663" s="1454">
        <f t="shared" si="245"/>
        <v>353460</v>
      </c>
      <c r="C1663" s="682" t="s">
        <v>2305</v>
      </c>
      <c r="D1663" s="3470" t="s">
        <v>1800</v>
      </c>
      <c r="E1663" s="253" t="s">
        <v>2306</v>
      </c>
      <c r="F1663" s="225">
        <f>0</f>
        <v>0</v>
      </c>
      <c r="G1663" s="570" t="s">
        <v>2078</v>
      </c>
      <c r="H1663" s="69">
        <f>VLOOKUP(G1663,'CP FACTORS'!$A$3:$B$38, 2, FALSE)</f>
        <v>0</v>
      </c>
      <c r="I1663" s="1167">
        <f t="shared" si="239"/>
        <v>0</v>
      </c>
      <c r="J1663" s="59">
        <f t="shared" si="249"/>
        <v>18</v>
      </c>
      <c r="K1663" s="163">
        <f t="shared" si="246"/>
        <v>0</v>
      </c>
      <c r="L1663" s="255"/>
      <c r="M1663" s="560"/>
      <c r="N1663" s="572"/>
      <c r="O1663" s="417"/>
      <c r="R1663" s="532"/>
      <c r="S1663" s="52"/>
      <c r="T1663" s="52"/>
      <c r="U1663" s="574"/>
      <c r="V1663" s="1442" t="s">
        <v>45</v>
      </c>
      <c r="W1663" s="962"/>
      <c r="X1663" s="251"/>
      <c r="Y1663" s="227"/>
      <c r="Z1663" s="225"/>
      <c r="AA1663" s="225"/>
      <c r="AB1663" s="1026"/>
      <c r="AC1663" s="227"/>
      <c r="AD1663" s="227">
        <v>0</v>
      </c>
      <c r="AE1663" s="225">
        <v>0</v>
      </c>
      <c r="AF1663" s="271">
        <f t="shared" si="247"/>
        <v>0</v>
      </c>
      <c r="AG1663" s="962"/>
      <c r="AH1663" s="121"/>
      <c r="AK1663" s="963"/>
      <c r="DF1663" s="1650" t="str">
        <f t="shared" si="248"/>
        <v>ASHP-SEER20-Replace_CAC_NonElectricHeat_ROF_SF</v>
      </c>
      <c r="DG1663" s="1092"/>
      <c r="DH1663" s="253" t="str">
        <f>CONCATENATE(G1663," ",J1663," Year EUL")</f>
        <v>Heating Res 18 Year EUL</v>
      </c>
      <c r="DI1663" s="1091">
        <f>(INDEX('Avoided Cost Benefits'!$B$4:$B$866,MATCH(DH1663,'Avoided Cost Benefits'!$A$4:$A$866,0)))*F1663</f>
        <v>0</v>
      </c>
      <c r="DJ1663" s="1176">
        <f>K1663/(1.0686^(2025-2025))</f>
        <v>0</v>
      </c>
      <c r="DM1663" s="252"/>
    </row>
    <row r="1664" spans="1:117">
      <c r="A1664" s="453"/>
      <c r="B1664" s="1454">
        <f t="shared" si="245"/>
        <v>353500</v>
      </c>
      <c r="C1664" s="2554" t="s">
        <v>2307</v>
      </c>
      <c r="D1664" s="3383" t="s">
        <v>1122</v>
      </c>
      <c r="E1664" s="3398" t="s">
        <v>2308</v>
      </c>
      <c r="F1664" s="3369">
        <f>ROUND(((K2764*K2957*(1/K3150-1/K3343)*K3536)/1000)*$K$3651,2)</f>
        <v>534.16</v>
      </c>
      <c r="G1664" s="3384" t="s">
        <v>2077</v>
      </c>
      <c r="H1664" s="2213">
        <f>VLOOKUP(G1664,'CP FACTORS'!$A$3:$B$38, 2, FALSE)</f>
        <v>9.4741810000000004E-4</v>
      </c>
      <c r="I1664" s="3404">
        <f t="shared" si="239"/>
        <v>0.506073</v>
      </c>
      <c r="J1664" s="2449">
        <f t="shared" si="249"/>
        <v>18</v>
      </c>
      <c r="K1664" s="2467">
        <f t="shared" si="246"/>
        <v>3845</v>
      </c>
      <c r="L1664" s="2649">
        <f>L1992</f>
        <v>3.2</v>
      </c>
      <c r="M1664" s="3386"/>
      <c r="N1664" s="3387"/>
      <c r="O1664" s="2702"/>
      <c r="P1664" s="635"/>
      <c r="Q1664" s="635"/>
      <c r="R1664" s="2966"/>
      <c r="S1664" s="635"/>
      <c r="T1664" s="635"/>
      <c r="U1664" s="3388"/>
      <c r="V1664" s="2962" t="s">
        <v>45</v>
      </c>
      <c r="W1664" s="3389">
        <v>583.96799999999996</v>
      </c>
      <c r="X1664" s="3397">
        <v>583.96799999999996</v>
      </c>
      <c r="Y1664" s="3373">
        <v>583.97</v>
      </c>
      <c r="Z1664" s="3373">
        <v>583.97</v>
      </c>
      <c r="AA1664" s="3373">
        <v>583.97</v>
      </c>
      <c r="AB1664" s="3400">
        <v>583.97</v>
      </c>
      <c r="AC1664" s="3401">
        <v>583.97</v>
      </c>
      <c r="AD1664" s="3373">
        <v>583.97</v>
      </c>
      <c r="AE1664" s="3369">
        <v>464.79</v>
      </c>
      <c r="AF1664" s="2236">
        <f t="shared" si="247"/>
        <v>534.16</v>
      </c>
      <c r="AG1664" s="3389"/>
      <c r="AH1664" s="2728"/>
      <c r="AI1664" s="2237"/>
      <c r="AJ1664" s="2237"/>
      <c r="AK1664" s="3392"/>
      <c r="AL1664" s="2237"/>
      <c r="AM1664" s="2237"/>
      <c r="AN1664" s="2237"/>
      <c r="AO1664" s="2237"/>
      <c r="AP1664" s="2237"/>
      <c r="AQ1664" s="2237"/>
      <c r="AR1664" s="2237"/>
      <c r="AS1664" s="2237"/>
      <c r="AT1664" s="2237"/>
      <c r="AU1664" s="2237"/>
      <c r="AV1664" s="2237"/>
      <c r="AW1664" s="2237"/>
      <c r="AX1664" s="2237"/>
      <c r="AY1664" s="2237"/>
      <c r="AZ1664" s="2237"/>
      <c r="BA1664" s="2237"/>
      <c r="BB1664" s="2237"/>
      <c r="BC1664" s="2237"/>
      <c r="BD1664" s="2237"/>
      <c r="BE1664" s="2237"/>
      <c r="BF1664" s="2237"/>
      <c r="BG1664" s="2237"/>
      <c r="BH1664" s="2237"/>
      <c r="BI1664" s="2237"/>
      <c r="BJ1664" s="2237"/>
      <c r="BK1664" s="2237"/>
      <c r="BL1664" s="2237"/>
      <c r="BM1664" s="2237"/>
      <c r="BN1664" s="2237"/>
      <c r="BO1664" s="2237"/>
      <c r="BP1664" s="2237"/>
      <c r="BQ1664" s="2237"/>
      <c r="BR1664" s="2237"/>
      <c r="BS1664" s="2237"/>
      <c r="BT1664" s="2237"/>
      <c r="BU1664" s="2237"/>
      <c r="BV1664" s="2237"/>
      <c r="BW1664" s="2237"/>
      <c r="BX1664" s="2237"/>
      <c r="BY1664" s="2237"/>
      <c r="BZ1664" s="2237"/>
      <c r="CA1664" s="2237"/>
      <c r="CB1664" s="2237"/>
      <c r="CC1664" s="2237"/>
      <c r="CD1664" s="2237"/>
      <c r="CE1664" s="2237"/>
      <c r="CF1664" s="2237"/>
      <c r="CG1664" s="2237"/>
      <c r="CH1664" s="2237"/>
      <c r="CI1664" s="2237"/>
      <c r="CJ1664" s="2237"/>
      <c r="CK1664" s="2237"/>
      <c r="CL1664" s="2237"/>
      <c r="CM1664" s="2237"/>
      <c r="CN1664" s="2237"/>
      <c r="CO1664" s="2237"/>
      <c r="CP1664" s="2237"/>
      <c r="CQ1664" s="2237"/>
      <c r="CR1664" s="2237"/>
      <c r="CS1664" s="2237"/>
      <c r="CT1664" s="2237"/>
      <c r="CU1664" s="2237"/>
      <c r="CV1664" s="2237"/>
      <c r="CW1664" s="2237"/>
      <c r="CX1664" s="2237"/>
      <c r="CY1664" s="2237"/>
      <c r="CZ1664" s="2237"/>
      <c r="DA1664" s="2237"/>
      <c r="DB1664" s="2237"/>
      <c r="DC1664" s="2237"/>
      <c r="DD1664" s="2237"/>
      <c r="DE1664" s="2237"/>
      <c r="DF1664" s="3393" t="str">
        <f t="shared" si="248"/>
        <v>ASHP-SEER20-Replace_CAC_ElectricHeat_ROF_MF</v>
      </c>
      <c r="DG1664" s="3259">
        <f>(DI1664+DI1665)/(DJ1664+DJ1665)</f>
        <v>1.4373608535757763</v>
      </c>
      <c r="DH1664" s="3398" t="str">
        <f t="shared" si="240"/>
        <v>Cooling Res 18 Year EUL</v>
      </c>
      <c r="DI1664" s="3260">
        <f>(INDEX('Avoided Cost Benefits'!$B$4:$B$866,MATCH(DH1664,'Avoided Cost Benefits'!$A$4:$A$866,0)))*F1664</f>
        <v>1223.1029554321249</v>
      </c>
      <c r="DJ1664" s="2507">
        <f>IFERROR(K1664/(1.0686^(2025-2025)),10000000)</f>
        <v>3845</v>
      </c>
      <c r="DM1664" s="252"/>
    </row>
    <row r="1665" spans="1:117">
      <c r="A1665" s="453"/>
      <c r="B1665" s="1454">
        <f t="shared" si="245"/>
        <v>353500</v>
      </c>
      <c r="C1665" s="2554" t="s">
        <v>2307</v>
      </c>
      <c r="D1665" s="3383" t="s">
        <v>1122</v>
      </c>
      <c r="E1665" s="3402" t="s">
        <v>2308</v>
      </c>
      <c r="F1665" s="3373">
        <f>ROUND(((K1992*K2185*(1/K2378-1/K2571)*K3536)/1000)*$K$3651,2)</f>
        <v>7100.69</v>
      </c>
      <c r="G1665" s="3384" t="s">
        <v>2078</v>
      </c>
      <c r="H1665" s="2213">
        <f>VLOOKUP(G1665,'CP FACTORS'!$A$3:$B$38, 2, FALSE)</f>
        <v>0</v>
      </c>
      <c r="I1665" s="3405">
        <f t="shared" si="239"/>
        <v>0</v>
      </c>
      <c r="J1665" s="2449">
        <f t="shared" si="249"/>
        <v>18</v>
      </c>
      <c r="K1665" s="2894">
        <f t="shared" si="246"/>
        <v>0</v>
      </c>
      <c r="L1665" s="2649"/>
      <c r="M1665" s="3386"/>
      <c r="N1665" s="3387"/>
      <c r="O1665" s="2702"/>
      <c r="P1665" s="635"/>
      <c r="Q1665" s="635"/>
      <c r="R1665" s="2966"/>
      <c r="S1665" s="635"/>
      <c r="T1665" s="635"/>
      <c r="U1665" s="3388"/>
      <c r="V1665" s="2962" t="s">
        <v>45</v>
      </c>
      <c r="W1665" s="3389">
        <v>9535.6225050639387</v>
      </c>
      <c r="X1665" s="3390">
        <v>7100.6925174592607</v>
      </c>
      <c r="Y1665" s="3373">
        <v>7100.69</v>
      </c>
      <c r="Z1665" s="3373">
        <v>7100.69</v>
      </c>
      <c r="AA1665" s="3373">
        <v>7100.69</v>
      </c>
      <c r="AB1665" s="3400">
        <v>7100.69</v>
      </c>
      <c r="AC1665" s="3401">
        <v>7100.69</v>
      </c>
      <c r="AD1665" s="3373">
        <v>7100.69</v>
      </c>
      <c r="AE1665" s="3373">
        <v>7100.69</v>
      </c>
      <c r="AF1665" s="2236">
        <f t="shared" si="247"/>
        <v>7100.69</v>
      </c>
      <c r="AG1665" s="3389"/>
      <c r="AH1665" s="2728"/>
      <c r="AI1665" s="2237"/>
      <c r="AJ1665" s="2237"/>
      <c r="AK1665" s="3392"/>
      <c r="AL1665" s="2237"/>
      <c r="AM1665" s="2237"/>
      <c r="AN1665" s="2237"/>
      <c r="AO1665" s="2237"/>
      <c r="AP1665" s="2237"/>
      <c r="AQ1665" s="2237"/>
      <c r="AR1665" s="2237"/>
      <c r="AS1665" s="2237"/>
      <c r="AT1665" s="2237"/>
      <c r="AU1665" s="2237"/>
      <c r="AV1665" s="2237"/>
      <c r="AW1665" s="2237"/>
      <c r="AX1665" s="2237"/>
      <c r="AY1665" s="2237"/>
      <c r="AZ1665" s="2237"/>
      <c r="BA1665" s="2237"/>
      <c r="BB1665" s="2237"/>
      <c r="BC1665" s="2237"/>
      <c r="BD1665" s="2237"/>
      <c r="BE1665" s="2237"/>
      <c r="BF1665" s="2237"/>
      <c r="BG1665" s="2237"/>
      <c r="BH1665" s="2237"/>
      <c r="BI1665" s="2237"/>
      <c r="BJ1665" s="2237"/>
      <c r="BK1665" s="2237"/>
      <c r="BL1665" s="2237"/>
      <c r="BM1665" s="2237"/>
      <c r="BN1665" s="2237"/>
      <c r="BO1665" s="2237"/>
      <c r="BP1665" s="2237"/>
      <c r="BQ1665" s="2237"/>
      <c r="BR1665" s="2237"/>
      <c r="BS1665" s="2237"/>
      <c r="BT1665" s="2237"/>
      <c r="BU1665" s="2237"/>
      <c r="BV1665" s="2237"/>
      <c r="BW1665" s="2237"/>
      <c r="BX1665" s="2237"/>
      <c r="BY1665" s="2237"/>
      <c r="BZ1665" s="2237"/>
      <c r="CA1665" s="2237"/>
      <c r="CB1665" s="2237"/>
      <c r="CC1665" s="2237"/>
      <c r="CD1665" s="2237"/>
      <c r="CE1665" s="2237"/>
      <c r="CF1665" s="2237"/>
      <c r="CG1665" s="2237"/>
      <c r="CH1665" s="2237"/>
      <c r="CI1665" s="2237"/>
      <c r="CJ1665" s="2237"/>
      <c r="CK1665" s="2237"/>
      <c r="CL1665" s="2237"/>
      <c r="CM1665" s="2237"/>
      <c r="CN1665" s="2237"/>
      <c r="CO1665" s="2237"/>
      <c r="CP1665" s="2237"/>
      <c r="CQ1665" s="2237"/>
      <c r="CR1665" s="2237"/>
      <c r="CS1665" s="2237"/>
      <c r="CT1665" s="2237"/>
      <c r="CU1665" s="2237"/>
      <c r="CV1665" s="2237"/>
      <c r="CW1665" s="2237"/>
      <c r="CX1665" s="2237"/>
      <c r="CY1665" s="2237"/>
      <c r="CZ1665" s="2237"/>
      <c r="DA1665" s="2237"/>
      <c r="DB1665" s="2237"/>
      <c r="DC1665" s="2237"/>
      <c r="DD1665" s="2237"/>
      <c r="DE1665" s="2237"/>
      <c r="DF1665" s="3393" t="str">
        <f t="shared" si="248"/>
        <v>ASHP-SEER20-Replace_CAC_ElectricHeat_ROF_MF</v>
      </c>
      <c r="DG1665" s="3261"/>
      <c r="DH1665" s="3402" t="str">
        <f t="shared" si="240"/>
        <v>Heating Res 18 Year EUL</v>
      </c>
      <c r="DI1665" s="3260">
        <f>(INDEX('Avoided Cost Benefits'!$B$4:$B$866,MATCH(DH1665,'Avoided Cost Benefits'!$A$4:$A$866,0)))*F1665</f>
        <v>4303.549526566735</v>
      </c>
      <c r="DJ1665" s="2507">
        <f>K1665/(1.0686^(2025-2025))</f>
        <v>0</v>
      </c>
      <c r="DM1665" s="252"/>
    </row>
    <row r="1666" spans="1:117">
      <c r="A1666" s="453"/>
      <c r="B1666" s="1454">
        <f t="shared" si="245"/>
        <v>353501</v>
      </c>
      <c r="C1666" s="2554" t="s">
        <v>2309</v>
      </c>
      <c r="D1666" s="3383" t="s">
        <v>1118</v>
      </c>
      <c r="E1666" s="2521" t="s">
        <v>2310</v>
      </c>
      <c r="F1666" s="3369">
        <f>ROUND((($K$2765*$K$2958*(1/$K$3151-1/$K$3344)*$K$3537)/1000)*$K$3651,2)</f>
        <v>388.48</v>
      </c>
      <c r="G1666" s="3384" t="str">
        <f>G1664</f>
        <v>Cooling Res</v>
      </c>
      <c r="H1666" s="2213">
        <f>VLOOKUP(G1666,'CP FACTORS'!$A$3:$B$38, 2, FALSE)</f>
        <v>9.4741810000000004E-4</v>
      </c>
      <c r="I1666" s="3404">
        <f t="shared" si="239"/>
        <v>0.36805300000000002</v>
      </c>
      <c r="J1666" s="2449">
        <f t="shared" si="249"/>
        <v>18</v>
      </c>
      <c r="K1666" s="2467">
        <f t="shared" si="246"/>
        <v>3845</v>
      </c>
      <c r="L1666" s="2649">
        <f>L1993</f>
        <v>3.2</v>
      </c>
      <c r="M1666" s="3386"/>
      <c r="N1666" s="3387"/>
      <c r="O1666" s="2702"/>
      <c r="P1666" s="635"/>
      <c r="Q1666" s="635"/>
      <c r="R1666" s="2966"/>
      <c r="S1666" s="635"/>
      <c r="T1666" s="635"/>
      <c r="U1666" s="3388"/>
      <c r="V1666" s="2962" t="s">
        <v>45</v>
      </c>
      <c r="W1666" s="3389"/>
      <c r="X1666" s="3390"/>
      <c r="Y1666" s="3369">
        <v>424.7</v>
      </c>
      <c r="Z1666" s="3373">
        <v>424.7</v>
      </c>
      <c r="AA1666" s="3373">
        <v>424.7</v>
      </c>
      <c r="AB1666" s="3400">
        <v>424.7</v>
      </c>
      <c r="AC1666" s="3401">
        <v>424.7</v>
      </c>
      <c r="AD1666" s="3373">
        <v>424.7</v>
      </c>
      <c r="AE1666" s="3369">
        <v>338.03</v>
      </c>
      <c r="AF1666" s="2236">
        <f t="shared" si="247"/>
        <v>388.48</v>
      </c>
      <c r="AG1666" s="3389"/>
      <c r="AH1666" s="2728"/>
      <c r="AI1666" s="2237"/>
      <c r="AJ1666" s="2237"/>
      <c r="AK1666" s="3392"/>
      <c r="AL1666" s="2237"/>
      <c r="AM1666" s="2237"/>
      <c r="AN1666" s="2237"/>
      <c r="AO1666" s="2237"/>
      <c r="AP1666" s="2237"/>
      <c r="AQ1666" s="2237"/>
      <c r="AR1666" s="2237"/>
      <c r="AS1666" s="2237"/>
      <c r="AT1666" s="2237"/>
      <c r="AU1666" s="2237"/>
      <c r="AV1666" s="2237"/>
      <c r="AW1666" s="2237"/>
      <c r="AX1666" s="2237"/>
      <c r="AY1666" s="2237"/>
      <c r="AZ1666" s="2237"/>
      <c r="BA1666" s="2237"/>
      <c r="BB1666" s="2237"/>
      <c r="BC1666" s="2237"/>
      <c r="BD1666" s="2237"/>
      <c r="BE1666" s="2237"/>
      <c r="BF1666" s="2237"/>
      <c r="BG1666" s="2237"/>
      <c r="BH1666" s="2237"/>
      <c r="BI1666" s="2237"/>
      <c r="BJ1666" s="2237"/>
      <c r="BK1666" s="2237"/>
      <c r="BL1666" s="2237"/>
      <c r="BM1666" s="2237"/>
      <c r="BN1666" s="2237"/>
      <c r="BO1666" s="2237"/>
      <c r="BP1666" s="2237"/>
      <c r="BQ1666" s="2237"/>
      <c r="BR1666" s="2237"/>
      <c r="BS1666" s="2237"/>
      <c r="BT1666" s="2237"/>
      <c r="BU1666" s="2237"/>
      <c r="BV1666" s="2237"/>
      <c r="BW1666" s="2237"/>
      <c r="BX1666" s="2237"/>
      <c r="BY1666" s="2237"/>
      <c r="BZ1666" s="2237"/>
      <c r="CA1666" s="2237"/>
      <c r="CB1666" s="2237"/>
      <c r="CC1666" s="2237"/>
      <c r="CD1666" s="2237"/>
      <c r="CE1666" s="2237"/>
      <c r="CF1666" s="2237"/>
      <c r="CG1666" s="2237"/>
      <c r="CH1666" s="2237"/>
      <c r="CI1666" s="2237"/>
      <c r="CJ1666" s="2237"/>
      <c r="CK1666" s="2237"/>
      <c r="CL1666" s="2237"/>
      <c r="CM1666" s="2237"/>
      <c r="CN1666" s="2237"/>
      <c r="CO1666" s="2237"/>
      <c r="CP1666" s="2237"/>
      <c r="CQ1666" s="2237"/>
      <c r="CR1666" s="2237"/>
      <c r="CS1666" s="2237"/>
      <c r="CT1666" s="2237"/>
      <c r="CU1666" s="2237"/>
      <c r="CV1666" s="2237"/>
      <c r="CW1666" s="2237"/>
      <c r="CX1666" s="2237"/>
      <c r="CY1666" s="2237"/>
      <c r="CZ1666" s="2237"/>
      <c r="DA1666" s="2237"/>
      <c r="DB1666" s="2237"/>
      <c r="DC1666" s="2237"/>
      <c r="DD1666" s="2237"/>
      <c r="DE1666" s="2237"/>
      <c r="DF1666" s="3393" t="str">
        <f t="shared" si="248"/>
        <v>ASHP-SEER20-Replace_CAC_ElectricHeat_ROF_MF_CompE</v>
      </c>
      <c r="DG1666" s="3259">
        <f>(DI1666+DI1667)/(DJ1666+DJ1667)</f>
        <v>0.6129125400938491</v>
      </c>
      <c r="DH1666" s="3398" t="str">
        <f t="shared" si="240"/>
        <v>Cooling Res 18 Year EUL</v>
      </c>
      <c r="DI1666" s="3260">
        <f>(INDEX('Avoided Cost Benefits'!$B$4:$B$866,MATCH(DH1666,'Avoided Cost Benefits'!$A$4:$A$866,0)))*F1666</f>
        <v>889.52942213245467</v>
      </c>
      <c r="DJ1666" s="2507">
        <f>IFERROR(K1666/(1.0686^(2025-2025)),10000000)</f>
        <v>3845</v>
      </c>
      <c r="DM1666" s="252"/>
    </row>
    <row r="1667" spans="1:117">
      <c r="A1667" s="453"/>
      <c r="B1667" s="1454">
        <f t="shared" si="245"/>
        <v>353501</v>
      </c>
      <c r="C1667" s="2554" t="str">
        <f>C1666</f>
        <v>353501_2024_12_</v>
      </c>
      <c r="D1667" s="3383" t="s">
        <v>1118</v>
      </c>
      <c r="E1667" s="2522" t="s">
        <v>2310</v>
      </c>
      <c r="F1667" s="3373">
        <f>ROUND((($K$1993*$K$2186*(1/$K$2379-1/$K$2572)*$K$3537)/1000)*$K$3651,2)</f>
        <v>2420.69</v>
      </c>
      <c r="G1667" s="3384" t="str">
        <f>G1665</f>
        <v>Heating Res</v>
      </c>
      <c r="H1667" s="2213">
        <f>VLOOKUP(G1667,'CP FACTORS'!$A$3:$B$38, 2, FALSE)</f>
        <v>0</v>
      </c>
      <c r="I1667" s="3405">
        <f t="shared" si="239"/>
        <v>0</v>
      </c>
      <c r="J1667" s="2449">
        <f t="shared" si="249"/>
        <v>18</v>
      </c>
      <c r="K1667" s="2894">
        <f t="shared" si="246"/>
        <v>0</v>
      </c>
      <c r="L1667" s="2649"/>
      <c r="M1667" s="3386"/>
      <c r="N1667" s="3387"/>
      <c r="O1667" s="2702"/>
      <c r="P1667" s="635"/>
      <c r="Q1667" s="635"/>
      <c r="R1667" s="2966"/>
      <c r="S1667" s="635"/>
      <c r="T1667" s="635"/>
      <c r="U1667" s="3388"/>
      <c r="V1667" s="2962" t="s">
        <v>45</v>
      </c>
      <c r="W1667" s="3389"/>
      <c r="X1667" s="3390"/>
      <c r="Y1667" s="3369">
        <v>2420.69</v>
      </c>
      <c r="Z1667" s="3373">
        <v>2420.69</v>
      </c>
      <c r="AA1667" s="3373">
        <v>2420.69</v>
      </c>
      <c r="AB1667" s="3400">
        <v>2420.69</v>
      </c>
      <c r="AC1667" s="3401">
        <v>2420.69</v>
      </c>
      <c r="AD1667" s="3373">
        <v>2420.69</v>
      </c>
      <c r="AE1667" s="3373">
        <v>2420.69</v>
      </c>
      <c r="AF1667" s="2236">
        <f t="shared" si="247"/>
        <v>2420.69</v>
      </c>
      <c r="AG1667" s="3389"/>
      <c r="AH1667" s="2728"/>
      <c r="AI1667" s="2237"/>
      <c r="AJ1667" s="2237"/>
      <c r="AK1667" s="3392"/>
      <c r="AL1667" s="2237"/>
      <c r="AM1667" s="2237"/>
      <c r="AN1667" s="2237"/>
      <c r="AO1667" s="2237"/>
      <c r="AP1667" s="2237"/>
      <c r="AQ1667" s="2237"/>
      <c r="AR1667" s="2237"/>
      <c r="AS1667" s="2237"/>
      <c r="AT1667" s="2237"/>
      <c r="AU1667" s="2237"/>
      <c r="AV1667" s="2237"/>
      <c r="AW1667" s="2237"/>
      <c r="AX1667" s="2237"/>
      <c r="AY1667" s="2237"/>
      <c r="AZ1667" s="2237"/>
      <c r="BA1667" s="2237"/>
      <c r="BB1667" s="2237"/>
      <c r="BC1667" s="2237"/>
      <c r="BD1667" s="2237"/>
      <c r="BE1667" s="2237"/>
      <c r="BF1667" s="2237"/>
      <c r="BG1667" s="2237"/>
      <c r="BH1667" s="2237"/>
      <c r="BI1667" s="2237"/>
      <c r="BJ1667" s="2237"/>
      <c r="BK1667" s="2237"/>
      <c r="BL1667" s="2237"/>
      <c r="BM1667" s="2237"/>
      <c r="BN1667" s="2237"/>
      <c r="BO1667" s="2237"/>
      <c r="BP1667" s="2237"/>
      <c r="BQ1667" s="2237"/>
      <c r="BR1667" s="2237"/>
      <c r="BS1667" s="2237"/>
      <c r="BT1667" s="2237"/>
      <c r="BU1667" s="2237"/>
      <c r="BV1667" s="2237"/>
      <c r="BW1667" s="2237"/>
      <c r="BX1667" s="2237"/>
      <c r="BY1667" s="2237"/>
      <c r="BZ1667" s="2237"/>
      <c r="CA1667" s="2237"/>
      <c r="CB1667" s="2237"/>
      <c r="CC1667" s="2237"/>
      <c r="CD1667" s="2237"/>
      <c r="CE1667" s="2237"/>
      <c r="CF1667" s="2237"/>
      <c r="CG1667" s="2237"/>
      <c r="CH1667" s="2237"/>
      <c r="CI1667" s="2237"/>
      <c r="CJ1667" s="2237"/>
      <c r="CK1667" s="2237"/>
      <c r="CL1667" s="2237"/>
      <c r="CM1667" s="2237"/>
      <c r="CN1667" s="2237"/>
      <c r="CO1667" s="2237"/>
      <c r="CP1667" s="2237"/>
      <c r="CQ1667" s="2237"/>
      <c r="CR1667" s="2237"/>
      <c r="CS1667" s="2237"/>
      <c r="CT1667" s="2237"/>
      <c r="CU1667" s="2237"/>
      <c r="CV1667" s="2237"/>
      <c r="CW1667" s="2237"/>
      <c r="CX1667" s="2237"/>
      <c r="CY1667" s="2237"/>
      <c r="CZ1667" s="2237"/>
      <c r="DA1667" s="2237"/>
      <c r="DB1667" s="2237"/>
      <c r="DC1667" s="2237"/>
      <c r="DD1667" s="2237"/>
      <c r="DE1667" s="2237"/>
      <c r="DF1667" s="3393" t="str">
        <f t="shared" si="248"/>
        <v>ASHP-SEER20-Replace_CAC_ElectricHeat_ROF_MF_CompE</v>
      </c>
      <c r="DG1667" s="3261"/>
      <c r="DH1667" s="3402" t="str">
        <f t="shared" si="240"/>
        <v>Heating Res 18 Year EUL</v>
      </c>
      <c r="DI1667" s="3260">
        <f>(INDEX('Avoided Cost Benefits'!$B$4:$B$866,MATCH(DH1667,'Avoided Cost Benefits'!$A$4:$A$866,0)))*F1667</f>
        <v>1467.1192945283954</v>
      </c>
      <c r="DJ1667" s="2507">
        <f>K1667/(1.0686^(2025-2025))</f>
        <v>0</v>
      </c>
      <c r="DM1667" s="252"/>
    </row>
    <row r="1668" spans="1:117">
      <c r="A1668" s="453"/>
      <c r="B1668" s="1454">
        <f t="shared" si="245"/>
        <v>353510</v>
      </c>
      <c r="C1668" s="2554" t="s">
        <v>2311</v>
      </c>
      <c r="D1668" s="3383" t="s">
        <v>1122</v>
      </c>
      <c r="E1668" s="2882" t="s">
        <v>2312</v>
      </c>
      <c r="F1668" s="3369">
        <f>ROUND(((K2766*K2959*(1/K3152-1/K3345)*K3538)/1000)*$K$3651,2)</f>
        <v>534.16</v>
      </c>
      <c r="G1668" s="3384" t="s">
        <v>2077</v>
      </c>
      <c r="H1668" s="2213">
        <f>VLOOKUP(G1668,'CP FACTORS'!$A$3:$B$38, 2, FALSE)</f>
        <v>9.4741810000000004E-4</v>
      </c>
      <c r="I1668" s="3404">
        <f t="shared" si="239"/>
        <v>0.506073</v>
      </c>
      <c r="J1668" s="2449">
        <f t="shared" si="249"/>
        <v>18</v>
      </c>
      <c r="K1668" s="2467">
        <f t="shared" si="246"/>
        <v>269.00924052207966</v>
      </c>
      <c r="L1668" s="2649">
        <f>L1994</f>
        <v>3.2</v>
      </c>
      <c r="M1668" s="3386"/>
      <c r="N1668" s="3387"/>
      <c r="O1668" s="2702"/>
      <c r="P1668" s="635"/>
      <c r="Q1668" s="635"/>
      <c r="R1668" s="2966"/>
      <c r="S1668" s="635"/>
      <c r="T1668" s="635"/>
      <c r="U1668" s="3388"/>
      <c r="V1668" s="2962" t="s">
        <v>45</v>
      </c>
      <c r="W1668" s="3389"/>
      <c r="X1668" s="3390"/>
      <c r="Y1668" s="3369"/>
      <c r="Z1668" s="3373"/>
      <c r="AA1668" s="3373"/>
      <c r="AB1668" s="3400"/>
      <c r="AC1668" s="3369">
        <v>583.97</v>
      </c>
      <c r="AD1668" s="3373">
        <v>583.97</v>
      </c>
      <c r="AE1668" s="3369">
        <v>464.79</v>
      </c>
      <c r="AF1668" s="2236">
        <f t="shared" si="247"/>
        <v>534.16</v>
      </c>
      <c r="AG1668" s="3389"/>
      <c r="AH1668" s="2728"/>
      <c r="AI1668" s="2237"/>
      <c r="AJ1668" s="2237"/>
      <c r="AK1668" s="3392"/>
      <c r="AL1668" s="2237"/>
      <c r="AM1668" s="2237"/>
      <c r="AN1668" s="2237"/>
      <c r="AO1668" s="2237"/>
      <c r="AP1668" s="2237"/>
      <c r="AQ1668" s="2237"/>
      <c r="AR1668" s="2237"/>
      <c r="AS1668" s="2237"/>
      <c r="AT1668" s="2237"/>
      <c r="AU1668" s="2237"/>
      <c r="AV1668" s="2237"/>
      <c r="AW1668" s="2237"/>
      <c r="AX1668" s="2237"/>
      <c r="AY1668" s="2237"/>
      <c r="AZ1668" s="2237"/>
      <c r="BA1668" s="2237"/>
      <c r="BB1668" s="2237"/>
      <c r="BC1668" s="2237"/>
      <c r="BD1668" s="2237"/>
      <c r="BE1668" s="2237"/>
      <c r="BF1668" s="2237"/>
      <c r="BG1668" s="2237"/>
      <c r="BH1668" s="2237"/>
      <c r="BI1668" s="2237"/>
      <c r="BJ1668" s="2237"/>
      <c r="BK1668" s="2237"/>
      <c r="BL1668" s="2237"/>
      <c r="BM1668" s="2237"/>
      <c r="BN1668" s="2237"/>
      <c r="BO1668" s="2237"/>
      <c r="BP1668" s="2237"/>
      <c r="BQ1668" s="2237"/>
      <c r="BR1668" s="2237"/>
      <c r="BS1668" s="2237"/>
      <c r="BT1668" s="2237"/>
      <c r="BU1668" s="2237"/>
      <c r="BV1668" s="2237"/>
      <c r="BW1668" s="2237"/>
      <c r="BX1668" s="2237"/>
      <c r="BY1668" s="2237"/>
      <c r="BZ1668" s="2237"/>
      <c r="CA1668" s="2237"/>
      <c r="CB1668" s="2237"/>
      <c r="CC1668" s="2237"/>
      <c r="CD1668" s="2237"/>
      <c r="CE1668" s="2237"/>
      <c r="CF1668" s="2237"/>
      <c r="CG1668" s="2237"/>
      <c r="CH1668" s="2237"/>
      <c r="CI1668" s="2237"/>
      <c r="CJ1668" s="2237"/>
      <c r="CK1668" s="2237"/>
      <c r="CL1668" s="2237"/>
      <c r="CM1668" s="2237"/>
      <c r="CN1668" s="2237"/>
      <c r="CO1668" s="2237"/>
      <c r="CP1668" s="2237"/>
      <c r="CQ1668" s="2237"/>
      <c r="CR1668" s="2237"/>
      <c r="CS1668" s="2237"/>
      <c r="CT1668" s="2237"/>
      <c r="CU1668" s="2237"/>
      <c r="CV1668" s="2237"/>
      <c r="CW1668" s="2237"/>
      <c r="CX1668" s="2237"/>
      <c r="CY1668" s="2237"/>
      <c r="CZ1668" s="2237"/>
      <c r="DA1668" s="2237"/>
      <c r="DB1668" s="2237"/>
      <c r="DC1668" s="2237"/>
      <c r="DD1668" s="2237"/>
      <c r="DE1668" s="2237"/>
      <c r="DF1668" s="3393" t="str">
        <f t="shared" si="248"/>
        <v>ASHP-SEER20-Replace_CAC_NonElectricHeat_ROF_MF</v>
      </c>
      <c r="DG1668" s="3259">
        <f>(DI1668+DI1669)/(DJ1668+DJ1669)</f>
        <v>4.546694950174901</v>
      </c>
      <c r="DH1668" s="3403" t="str">
        <f t="shared" si="240"/>
        <v>Cooling Res 18 Year EUL</v>
      </c>
      <c r="DI1668" s="3260">
        <f>(INDEX('Avoided Cost Benefits'!$B$4:$B$866,MATCH(DH1668,'Avoided Cost Benefits'!$A$4:$A$866,0)))*F1668</f>
        <v>1223.1029554321249</v>
      </c>
      <c r="DJ1668" s="2507">
        <f>IFERROR(K1668/(1.0686^(2025-2025)),10000000)</f>
        <v>269.00924052207966</v>
      </c>
      <c r="DM1668" s="252"/>
    </row>
    <row r="1669" spans="1:117">
      <c r="A1669" s="453"/>
      <c r="B1669" s="1454">
        <f t="shared" si="245"/>
        <v>353510</v>
      </c>
      <c r="C1669" s="2554" t="s">
        <v>2311</v>
      </c>
      <c r="D1669" s="3383" t="s">
        <v>1122</v>
      </c>
      <c r="E1669" s="2522" t="s">
        <v>2312</v>
      </c>
      <c r="F1669" s="3373">
        <v>0</v>
      </c>
      <c r="G1669" s="3384" t="s">
        <v>2078</v>
      </c>
      <c r="H1669" s="2213">
        <f>VLOOKUP(G1669,'CP FACTORS'!$A$3:$B$38, 2, FALSE)</f>
        <v>0</v>
      </c>
      <c r="I1669" s="3405">
        <f t="shared" si="239"/>
        <v>0</v>
      </c>
      <c r="J1669" s="2449">
        <f t="shared" si="249"/>
        <v>18</v>
      </c>
      <c r="K1669" s="2894">
        <f t="shared" si="246"/>
        <v>0</v>
      </c>
      <c r="L1669" s="2649"/>
      <c r="M1669" s="3386"/>
      <c r="N1669" s="3387"/>
      <c r="O1669" s="2702"/>
      <c r="P1669" s="635"/>
      <c r="Q1669" s="635"/>
      <c r="R1669" s="2966"/>
      <c r="S1669" s="635"/>
      <c r="T1669" s="635"/>
      <c r="U1669" s="3388"/>
      <c r="V1669" s="2962" t="s">
        <v>45</v>
      </c>
      <c r="W1669" s="3389"/>
      <c r="X1669" s="3390"/>
      <c r="Y1669" s="3369"/>
      <c r="Z1669" s="3373"/>
      <c r="AA1669" s="3373"/>
      <c r="AB1669" s="3400"/>
      <c r="AC1669" s="3369">
        <v>0</v>
      </c>
      <c r="AD1669" s="3373">
        <v>0</v>
      </c>
      <c r="AE1669" s="3373">
        <v>0</v>
      </c>
      <c r="AF1669" s="2236">
        <f t="shared" si="247"/>
        <v>0</v>
      </c>
      <c r="AG1669" s="3389"/>
      <c r="AH1669" s="2728"/>
      <c r="AI1669" s="2237"/>
      <c r="AJ1669" s="2237"/>
      <c r="AK1669" s="3392"/>
      <c r="AL1669" s="2237"/>
      <c r="AM1669" s="2237"/>
      <c r="AN1669" s="2237"/>
      <c r="AO1669" s="2237"/>
      <c r="AP1669" s="2237"/>
      <c r="AQ1669" s="2237"/>
      <c r="AR1669" s="2237"/>
      <c r="AS1669" s="2237"/>
      <c r="AT1669" s="2237"/>
      <c r="AU1669" s="2237"/>
      <c r="AV1669" s="2237"/>
      <c r="AW1669" s="2237"/>
      <c r="AX1669" s="2237"/>
      <c r="AY1669" s="2237"/>
      <c r="AZ1669" s="2237"/>
      <c r="BA1669" s="2237"/>
      <c r="BB1669" s="2237"/>
      <c r="BC1669" s="2237"/>
      <c r="BD1669" s="2237"/>
      <c r="BE1669" s="2237"/>
      <c r="BF1669" s="2237"/>
      <c r="BG1669" s="2237"/>
      <c r="BH1669" s="2237"/>
      <c r="BI1669" s="2237"/>
      <c r="BJ1669" s="2237"/>
      <c r="BK1669" s="2237"/>
      <c r="BL1669" s="2237"/>
      <c r="BM1669" s="2237"/>
      <c r="BN1669" s="2237"/>
      <c r="BO1669" s="2237"/>
      <c r="BP1669" s="2237"/>
      <c r="BQ1669" s="2237"/>
      <c r="BR1669" s="2237"/>
      <c r="BS1669" s="2237"/>
      <c r="BT1669" s="2237"/>
      <c r="BU1669" s="2237"/>
      <c r="BV1669" s="2237"/>
      <c r="BW1669" s="2237"/>
      <c r="BX1669" s="2237"/>
      <c r="BY1669" s="2237"/>
      <c r="BZ1669" s="2237"/>
      <c r="CA1669" s="2237"/>
      <c r="CB1669" s="2237"/>
      <c r="CC1669" s="2237"/>
      <c r="CD1669" s="2237"/>
      <c r="CE1669" s="2237"/>
      <c r="CF1669" s="2237"/>
      <c r="CG1669" s="2237"/>
      <c r="CH1669" s="2237"/>
      <c r="CI1669" s="2237"/>
      <c r="CJ1669" s="2237"/>
      <c r="CK1669" s="2237"/>
      <c r="CL1669" s="2237"/>
      <c r="CM1669" s="2237"/>
      <c r="CN1669" s="2237"/>
      <c r="CO1669" s="2237"/>
      <c r="CP1669" s="2237"/>
      <c r="CQ1669" s="2237"/>
      <c r="CR1669" s="2237"/>
      <c r="CS1669" s="2237"/>
      <c r="CT1669" s="2237"/>
      <c r="CU1669" s="2237"/>
      <c r="CV1669" s="2237"/>
      <c r="CW1669" s="2237"/>
      <c r="CX1669" s="2237"/>
      <c r="CY1669" s="2237"/>
      <c r="CZ1669" s="2237"/>
      <c r="DA1669" s="2237"/>
      <c r="DB1669" s="2237"/>
      <c r="DC1669" s="2237"/>
      <c r="DD1669" s="2237"/>
      <c r="DE1669" s="2237"/>
      <c r="DF1669" s="3393" t="str">
        <f t="shared" si="248"/>
        <v>ASHP-SEER20-Replace_CAC_NonElectricHeat_ROF_MF</v>
      </c>
      <c r="DG1669" s="3261"/>
      <c r="DH1669" s="3402" t="str">
        <f t="shared" si="240"/>
        <v>Heating Res 18 Year EUL</v>
      </c>
      <c r="DI1669" s="3260">
        <f>(INDEX('Avoided Cost Benefits'!$B$4:$B$866,MATCH(DH1669,'Avoided Cost Benefits'!$A$4:$A$866,0)))*F1669</f>
        <v>0</v>
      </c>
      <c r="DJ1669" s="2507">
        <f>K1669/(1.0686^(2025-2025))</f>
        <v>0</v>
      </c>
      <c r="DM1669" s="252"/>
    </row>
    <row r="1670" spans="1:117">
      <c r="A1670" s="453"/>
      <c r="B1670" s="1454">
        <f t="shared" si="245"/>
        <v>353511</v>
      </c>
      <c r="C1670" s="2554" t="s">
        <v>2313</v>
      </c>
      <c r="D1670" s="3383" t="s">
        <v>1118</v>
      </c>
      <c r="E1670" s="2882" t="s">
        <v>2314</v>
      </c>
      <c r="F1670" s="3369">
        <f>ROUND(((K2767*K2960*(1/K3153-1/K3346)*K3539)/1000)*$K$3651,2)</f>
        <v>388.48</v>
      </c>
      <c r="G1670" s="3384" t="s">
        <v>2077</v>
      </c>
      <c r="H1670" s="2213">
        <f>VLOOKUP(G1670,'CP FACTORS'!$A$3:$B$38, 2, FALSE)</f>
        <v>9.4741810000000004E-4</v>
      </c>
      <c r="I1670" s="3404">
        <f t="shared" si="239"/>
        <v>0.36805300000000002</v>
      </c>
      <c r="J1670" s="2449">
        <f t="shared" si="249"/>
        <v>18</v>
      </c>
      <c r="K1670" s="2467">
        <f t="shared" si="246"/>
        <v>531.72488671030942</v>
      </c>
      <c r="L1670" s="2649">
        <f>L1995</f>
        <v>3.2</v>
      </c>
      <c r="M1670" s="3386"/>
      <c r="N1670" s="3387"/>
      <c r="O1670" s="2702"/>
      <c r="P1670" s="635"/>
      <c r="Q1670" s="635"/>
      <c r="R1670" s="2966"/>
      <c r="S1670" s="635"/>
      <c r="T1670" s="635"/>
      <c r="U1670" s="3388"/>
      <c r="V1670" s="2962" t="s">
        <v>45</v>
      </c>
      <c r="W1670" s="3389"/>
      <c r="X1670" s="3390"/>
      <c r="Y1670" s="3369"/>
      <c r="Z1670" s="3373"/>
      <c r="AA1670" s="3373"/>
      <c r="AB1670" s="3400"/>
      <c r="AC1670" s="3369">
        <v>424.7</v>
      </c>
      <c r="AD1670" s="3373">
        <v>424.7</v>
      </c>
      <c r="AE1670" s="3369">
        <v>338.03</v>
      </c>
      <c r="AF1670" s="2236">
        <f t="shared" si="247"/>
        <v>388.48</v>
      </c>
      <c r="AG1670" s="3389"/>
      <c r="AH1670" s="2728"/>
      <c r="AI1670" s="2237"/>
      <c r="AJ1670" s="2237"/>
      <c r="AK1670" s="3392"/>
      <c r="AL1670" s="2237"/>
      <c r="AM1670" s="2237"/>
      <c r="AN1670" s="2237"/>
      <c r="AO1670" s="2237"/>
      <c r="AP1670" s="2237"/>
      <c r="AQ1670" s="2237"/>
      <c r="AR1670" s="2237"/>
      <c r="AS1670" s="2237"/>
      <c r="AT1670" s="2237"/>
      <c r="AU1670" s="2237"/>
      <c r="AV1670" s="2237"/>
      <c r="AW1670" s="2237"/>
      <c r="AX1670" s="2237"/>
      <c r="AY1670" s="2237"/>
      <c r="AZ1670" s="2237"/>
      <c r="BA1670" s="2237"/>
      <c r="BB1670" s="2237"/>
      <c r="BC1670" s="2237"/>
      <c r="BD1670" s="2237"/>
      <c r="BE1670" s="2237"/>
      <c r="BF1670" s="2237"/>
      <c r="BG1670" s="2237"/>
      <c r="BH1670" s="2237"/>
      <c r="BI1670" s="2237"/>
      <c r="BJ1670" s="2237"/>
      <c r="BK1670" s="2237"/>
      <c r="BL1670" s="2237"/>
      <c r="BM1670" s="2237"/>
      <c r="BN1670" s="2237"/>
      <c r="BO1670" s="2237"/>
      <c r="BP1670" s="2237"/>
      <c r="BQ1670" s="2237"/>
      <c r="BR1670" s="2237"/>
      <c r="BS1670" s="2237"/>
      <c r="BT1670" s="2237"/>
      <c r="BU1670" s="2237"/>
      <c r="BV1670" s="2237"/>
      <c r="BW1670" s="2237"/>
      <c r="BX1670" s="2237"/>
      <c r="BY1670" s="2237"/>
      <c r="BZ1670" s="2237"/>
      <c r="CA1670" s="2237"/>
      <c r="CB1670" s="2237"/>
      <c r="CC1670" s="2237"/>
      <c r="CD1670" s="2237"/>
      <c r="CE1670" s="2237"/>
      <c r="CF1670" s="2237"/>
      <c r="CG1670" s="2237"/>
      <c r="CH1670" s="2237"/>
      <c r="CI1670" s="2237"/>
      <c r="CJ1670" s="2237"/>
      <c r="CK1670" s="2237"/>
      <c r="CL1670" s="2237"/>
      <c r="CM1670" s="2237"/>
      <c r="CN1670" s="2237"/>
      <c r="CO1670" s="2237"/>
      <c r="CP1670" s="2237"/>
      <c r="CQ1670" s="2237"/>
      <c r="CR1670" s="2237"/>
      <c r="CS1670" s="2237"/>
      <c r="CT1670" s="2237"/>
      <c r="CU1670" s="2237"/>
      <c r="CV1670" s="2237"/>
      <c r="CW1670" s="2237"/>
      <c r="CX1670" s="2237"/>
      <c r="CY1670" s="2237"/>
      <c r="CZ1670" s="2237"/>
      <c r="DA1670" s="2237"/>
      <c r="DB1670" s="2237"/>
      <c r="DC1670" s="2237"/>
      <c r="DD1670" s="2237"/>
      <c r="DE1670" s="2237"/>
      <c r="DF1670" s="3393" t="str">
        <f t="shared" si="248"/>
        <v>ASHP-SEER20-Replace_CAC_NonElectricHeat_ROF_MF_CompE</v>
      </c>
      <c r="DG1670" s="3259">
        <f>(DI1670+DI1671)/(DJ1670+DJ1671)</f>
        <v>1.6729128998189655</v>
      </c>
      <c r="DH1670" s="3403" t="str">
        <f t="shared" si="240"/>
        <v>Cooling Res 18 Year EUL</v>
      </c>
      <c r="DI1670" s="3260">
        <f>(INDEX('Avoided Cost Benefits'!$B$4:$B$866,MATCH(DH1670,'Avoided Cost Benefits'!$A$4:$A$866,0)))*F1670</f>
        <v>889.52942213245467</v>
      </c>
      <c r="DJ1670" s="2507">
        <f>IFERROR(K1670/(1.0686^(2025-2025)),10000000)</f>
        <v>531.72488671030942</v>
      </c>
      <c r="DM1670" s="252"/>
    </row>
    <row r="1671" spans="1:117">
      <c r="A1671" s="453"/>
      <c r="B1671" s="1454">
        <f t="shared" si="245"/>
        <v>353511</v>
      </c>
      <c r="C1671" s="2554" t="s">
        <v>2313</v>
      </c>
      <c r="D1671" s="3383" t="s">
        <v>1118</v>
      </c>
      <c r="E1671" s="2882" t="s">
        <v>2314</v>
      </c>
      <c r="F1671" s="3373">
        <f>0</f>
        <v>0</v>
      </c>
      <c r="G1671" s="3384" t="s">
        <v>2078</v>
      </c>
      <c r="H1671" s="2213">
        <f>VLOOKUP(G1671,'CP FACTORS'!$A$3:$B$38, 2, FALSE)</f>
        <v>0</v>
      </c>
      <c r="I1671" s="3405">
        <f t="shared" si="239"/>
        <v>0</v>
      </c>
      <c r="J1671" s="2449">
        <f t="shared" si="249"/>
        <v>18</v>
      </c>
      <c r="K1671" s="2894">
        <f t="shared" si="246"/>
        <v>0</v>
      </c>
      <c r="L1671" s="2649"/>
      <c r="M1671" s="3386"/>
      <c r="N1671" s="3387"/>
      <c r="O1671" s="2702"/>
      <c r="P1671" s="635"/>
      <c r="Q1671" s="635"/>
      <c r="R1671" s="2966"/>
      <c r="S1671" s="635"/>
      <c r="T1671" s="635"/>
      <c r="U1671" s="3388"/>
      <c r="V1671" s="2962" t="s">
        <v>45</v>
      </c>
      <c r="W1671" s="3389"/>
      <c r="X1671" s="3390"/>
      <c r="Y1671" s="3369"/>
      <c r="Z1671" s="3373"/>
      <c r="AA1671" s="3373"/>
      <c r="AB1671" s="3400"/>
      <c r="AC1671" s="3369">
        <v>0</v>
      </c>
      <c r="AD1671" s="3373">
        <v>0</v>
      </c>
      <c r="AE1671" s="3373">
        <v>0</v>
      </c>
      <c r="AF1671" s="2236">
        <f t="shared" si="247"/>
        <v>0</v>
      </c>
      <c r="AG1671" s="3389"/>
      <c r="AH1671" s="2728"/>
      <c r="AI1671" s="2237"/>
      <c r="AJ1671" s="2237"/>
      <c r="AK1671" s="3392"/>
      <c r="AL1671" s="2237"/>
      <c r="AM1671" s="2237"/>
      <c r="AN1671" s="2237"/>
      <c r="AO1671" s="2237"/>
      <c r="AP1671" s="2237"/>
      <c r="AQ1671" s="2237"/>
      <c r="AR1671" s="2237"/>
      <c r="AS1671" s="2237"/>
      <c r="AT1671" s="2237"/>
      <c r="AU1671" s="2237"/>
      <c r="AV1671" s="2237"/>
      <c r="AW1671" s="2237"/>
      <c r="AX1671" s="2237"/>
      <c r="AY1671" s="2237"/>
      <c r="AZ1671" s="2237"/>
      <c r="BA1671" s="2237"/>
      <c r="BB1671" s="2237"/>
      <c r="BC1671" s="2237"/>
      <c r="BD1671" s="2237"/>
      <c r="BE1671" s="2237"/>
      <c r="BF1671" s="2237"/>
      <c r="BG1671" s="2237"/>
      <c r="BH1671" s="2237"/>
      <c r="BI1671" s="2237"/>
      <c r="BJ1671" s="2237"/>
      <c r="BK1671" s="2237"/>
      <c r="BL1671" s="2237"/>
      <c r="BM1671" s="2237"/>
      <c r="BN1671" s="2237"/>
      <c r="BO1671" s="2237"/>
      <c r="BP1671" s="2237"/>
      <c r="BQ1671" s="2237"/>
      <c r="BR1671" s="2237"/>
      <c r="BS1671" s="2237"/>
      <c r="BT1671" s="2237"/>
      <c r="BU1671" s="2237"/>
      <c r="BV1671" s="2237"/>
      <c r="BW1671" s="2237"/>
      <c r="BX1671" s="2237"/>
      <c r="BY1671" s="2237"/>
      <c r="BZ1671" s="2237"/>
      <c r="CA1671" s="2237"/>
      <c r="CB1671" s="2237"/>
      <c r="CC1671" s="2237"/>
      <c r="CD1671" s="2237"/>
      <c r="CE1671" s="2237"/>
      <c r="CF1671" s="2237"/>
      <c r="CG1671" s="2237"/>
      <c r="CH1671" s="2237"/>
      <c r="CI1671" s="2237"/>
      <c r="CJ1671" s="2237"/>
      <c r="CK1671" s="2237"/>
      <c r="CL1671" s="2237"/>
      <c r="CM1671" s="2237"/>
      <c r="CN1671" s="2237"/>
      <c r="CO1671" s="2237"/>
      <c r="CP1671" s="2237"/>
      <c r="CQ1671" s="2237"/>
      <c r="CR1671" s="2237"/>
      <c r="CS1671" s="2237"/>
      <c r="CT1671" s="2237"/>
      <c r="CU1671" s="2237"/>
      <c r="CV1671" s="2237"/>
      <c r="CW1671" s="2237"/>
      <c r="CX1671" s="2237"/>
      <c r="CY1671" s="2237"/>
      <c r="CZ1671" s="2237"/>
      <c r="DA1671" s="2237"/>
      <c r="DB1671" s="2237"/>
      <c r="DC1671" s="2237"/>
      <c r="DD1671" s="2237"/>
      <c r="DE1671" s="2237"/>
      <c r="DF1671" s="3393" t="str">
        <f t="shared" si="248"/>
        <v>ASHP-SEER20-Replace_CAC_NonElectricHeat_ROF_MF_CompE</v>
      </c>
      <c r="DG1671" s="3261"/>
      <c r="DH1671" s="3403" t="str">
        <f t="shared" si="240"/>
        <v>Heating Res 18 Year EUL</v>
      </c>
      <c r="DI1671" s="3260">
        <f>(INDEX('Avoided Cost Benefits'!$B$4:$B$866,MATCH(DH1671,'Avoided Cost Benefits'!$A$4:$A$866,0)))*F1671</f>
        <v>0</v>
      </c>
      <c r="DJ1671" s="2507">
        <f>K1671/(1.0686^(2025-2025))</f>
        <v>0</v>
      </c>
      <c r="DM1671" s="252"/>
    </row>
    <row r="1672" spans="1:117">
      <c r="A1672" s="453"/>
      <c r="B1672" s="1454">
        <f t="shared" si="245"/>
        <v>353550</v>
      </c>
      <c r="C1672" s="682" t="s">
        <v>2315</v>
      </c>
      <c r="D1672" s="3470" t="s">
        <v>1043</v>
      </c>
      <c r="E1672" s="1369" t="s">
        <v>2316</v>
      </c>
      <c r="F1672" s="227">
        <f>ROUND(((K2768*K2961*(1/K3154-1/K3347)*K3540)/1000)*$K$3651,2)</f>
        <v>2498.89</v>
      </c>
      <c r="G1672" s="570" t="s">
        <v>2077</v>
      </c>
      <c r="H1672" s="69">
        <f>VLOOKUP(G1672,'CP FACTORS'!$A$3:$B$38, 2, FALSE)</f>
        <v>9.4741810000000004E-4</v>
      </c>
      <c r="I1672" s="1477">
        <f t="shared" ref="I1672:I1737" si="251">ROUND(F1672*H1672,6)</f>
        <v>2.3674940000000002</v>
      </c>
      <c r="J1672" s="59">
        <f t="shared" si="249"/>
        <v>6</v>
      </c>
      <c r="K1672" s="166">
        <f t="shared" si="246"/>
        <v>4645.1653206811143</v>
      </c>
      <c r="L1672" s="1107">
        <f>L1996</f>
        <v>3.3440561485431846</v>
      </c>
      <c r="M1672" s="560"/>
      <c r="N1672" s="572"/>
      <c r="O1672" s="417"/>
      <c r="R1672" s="532"/>
      <c r="S1672" s="52"/>
      <c r="T1672" s="52"/>
      <c r="U1672" s="574"/>
      <c r="V1672" s="1442" t="s">
        <v>45</v>
      </c>
      <c r="W1672" s="962">
        <v>3214.5697478991597</v>
      </c>
      <c r="X1672" s="251">
        <v>2341.3968787515005</v>
      </c>
      <c r="Y1672" s="225">
        <v>2341.4</v>
      </c>
      <c r="Z1672" s="225">
        <v>2341.4</v>
      </c>
      <c r="AA1672" s="225">
        <v>2341.4</v>
      </c>
      <c r="AB1672" s="1027">
        <v>2341.4</v>
      </c>
      <c r="AC1672" s="227">
        <v>2697.17</v>
      </c>
      <c r="AD1672" s="227">
        <v>2958.13</v>
      </c>
      <c r="AE1672" s="227">
        <v>2702.24</v>
      </c>
      <c r="AF1672" s="271">
        <f t="shared" si="247"/>
        <v>2498.89</v>
      </c>
      <c r="AG1672" s="962"/>
      <c r="AH1672" s="121"/>
      <c r="AK1672" s="963"/>
      <c r="DF1672" s="1650" t="str">
        <f t="shared" si="248"/>
        <v>ASHP-SEER21-Replace_CAC_ElectricHeat_ER1_SF</v>
      </c>
      <c r="DG1672" s="1090">
        <f>(DI1672+DI1673+DI1674+DI1675)/(DJ1672+DJ1673+DJ1674+DJ1675)</f>
        <v>2.3726800996174342</v>
      </c>
      <c r="DH1672" s="1369" t="str">
        <f t="shared" ref="DH1672:DH1737" si="252">CONCATENATE(G1672," ",J1672," Year EUL")</f>
        <v>Cooling Res 6 Year EUL</v>
      </c>
      <c r="DI1672" s="1091">
        <f>(INDEX('Avoided Cost Benefits'!$B$4:$B$866,MATCH(DH1672,'Avoided Cost Benefits'!$A$4:$A$866,0)))*F1672</f>
        <v>2488.5148519221975</v>
      </c>
      <c r="DJ1672" s="1176">
        <f>IFERROR(K1672/(1.0686^(2025-2025)),10000000)</f>
        <v>4645.1653206811143</v>
      </c>
      <c r="DM1672" s="252"/>
    </row>
    <row r="1673" spans="1:117">
      <c r="A1673" s="453"/>
      <c r="B1673" s="1454">
        <f t="shared" si="245"/>
        <v>353550</v>
      </c>
      <c r="C1673" s="682" t="s">
        <v>2315</v>
      </c>
      <c r="D1673" s="3470" t="s">
        <v>1043</v>
      </c>
      <c r="E1673" s="1393" t="s">
        <v>2316</v>
      </c>
      <c r="F1673" s="225">
        <f>ROUND(((K1996*K2189*(1/K2382-1/K2575)*K3540)/1000)*$K$3651,2)</f>
        <v>12022.15</v>
      </c>
      <c r="G1673" s="570" t="s">
        <v>2078</v>
      </c>
      <c r="H1673" s="69">
        <f>VLOOKUP(G1673,'CP FACTORS'!$A$3:$B$38, 2, FALSE)</f>
        <v>0</v>
      </c>
      <c r="I1673" s="1167">
        <f t="shared" si="251"/>
        <v>0</v>
      </c>
      <c r="J1673" s="59">
        <f t="shared" si="249"/>
        <v>6</v>
      </c>
      <c r="K1673" s="163">
        <f t="shared" si="246"/>
        <v>0</v>
      </c>
      <c r="L1673" s="255"/>
      <c r="M1673" s="560"/>
      <c r="N1673" s="572"/>
      <c r="O1673" s="417"/>
      <c r="R1673" s="532"/>
      <c r="S1673" s="52"/>
      <c r="T1673" s="52"/>
      <c r="U1673" s="574"/>
      <c r="V1673" s="1442" t="s">
        <v>45</v>
      </c>
      <c r="W1673" s="962">
        <v>13965.852998065762</v>
      </c>
      <c r="X1673" s="251">
        <v>10399.659574468084</v>
      </c>
      <c r="Y1673" s="225">
        <v>10399.66</v>
      </c>
      <c r="Z1673" s="225">
        <v>10399.66</v>
      </c>
      <c r="AA1673" s="225">
        <v>10399.66</v>
      </c>
      <c r="AB1673" s="1027">
        <v>10399.66</v>
      </c>
      <c r="AC1673" s="227">
        <v>12895.04</v>
      </c>
      <c r="AD1673" s="227">
        <v>12037.46</v>
      </c>
      <c r="AE1673" s="227">
        <v>12022.15</v>
      </c>
      <c r="AF1673" s="271">
        <f t="shared" si="247"/>
        <v>12022.15</v>
      </c>
      <c r="AG1673" s="962"/>
      <c r="AH1673" s="121"/>
      <c r="AK1673" s="963"/>
      <c r="DF1673" s="1650" t="str">
        <f t="shared" si="248"/>
        <v>ASHP-SEER21-Replace_CAC_ElectricHeat_ER1_SF</v>
      </c>
      <c r="DG1673" s="1094"/>
      <c r="DH1673" s="1393" t="str">
        <f t="shared" si="252"/>
        <v>Heating Res 6 Year EUL</v>
      </c>
      <c r="DI1673" s="1091">
        <f>(INDEX('Avoided Cost Benefits'!$B$4:$B$866,MATCH(DH1673,'Avoided Cost Benefits'!$A$4:$A$866,0)))*F1673</f>
        <v>3224.0858883129472</v>
      </c>
      <c r="DJ1673" s="1176">
        <f t="shared" ref="DJ1673:DJ1679" si="253">K1673/(1.0686^(2025-2025))</f>
        <v>0</v>
      </c>
      <c r="DM1673" s="252"/>
    </row>
    <row r="1674" spans="1:117">
      <c r="A1674" s="453"/>
      <c r="B1674" s="1454">
        <f t="shared" si="245"/>
        <v>353550</v>
      </c>
      <c r="C1674" s="682" t="s">
        <v>2315</v>
      </c>
      <c r="D1674" s="3470" t="s">
        <v>1043</v>
      </c>
      <c r="E1674" s="1393" t="s">
        <v>2317</v>
      </c>
      <c r="F1674" s="227">
        <f>ROUND(((K2769*K2962*(1/K3155-1/K3348)*K3541)/1000)*$K$3651,2)</f>
        <v>963.47</v>
      </c>
      <c r="G1674" s="570" t="s">
        <v>2138</v>
      </c>
      <c r="H1674" s="69">
        <f>VLOOKUP(G1674,'CP FACTORS'!$A$3:$B$38, 2, FALSE)</f>
        <v>9.4741810000000004E-4</v>
      </c>
      <c r="I1674" s="1477">
        <f t="shared" si="251"/>
        <v>0.91280899999999998</v>
      </c>
      <c r="J1674" s="59">
        <f t="shared" si="249"/>
        <v>12</v>
      </c>
      <c r="K1674" s="163">
        <f t="shared" si="246"/>
        <v>0</v>
      </c>
      <c r="L1674" s="255"/>
      <c r="M1674" s="560"/>
      <c r="N1674" s="572"/>
      <c r="O1674" s="417"/>
      <c r="R1674" s="532"/>
      <c r="S1674" s="52"/>
      <c r="T1674" s="52"/>
      <c r="U1674" s="574"/>
      <c r="V1674" s="1442" t="s">
        <v>45</v>
      </c>
      <c r="W1674" s="962">
        <v>947.30549450549472</v>
      </c>
      <c r="X1674" s="254">
        <v>947.30549450549472</v>
      </c>
      <c r="Y1674" s="225">
        <v>947.31</v>
      </c>
      <c r="Z1674" s="225">
        <v>947.31</v>
      </c>
      <c r="AA1674" s="225">
        <v>947.31</v>
      </c>
      <c r="AB1674" s="1027">
        <v>947.31</v>
      </c>
      <c r="AC1674" s="227">
        <v>1151.58</v>
      </c>
      <c r="AD1674" s="227">
        <v>1070.04</v>
      </c>
      <c r="AE1674" s="227">
        <v>892.64</v>
      </c>
      <c r="AF1674" s="271">
        <f t="shared" si="247"/>
        <v>963.47</v>
      </c>
      <c r="AG1674" s="962"/>
      <c r="AH1674" s="121"/>
      <c r="AK1674" s="963"/>
      <c r="DF1674" s="1650" t="str">
        <f t="shared" si="248"/>
        <v>ASHP-SEER21-Replace_CAC_ElectricHeat_ER2_SF</v>
      </c>
      <c r="DG1674" s="1094"/>
      <c r="DH1674" s="1393" t="str">
        <f t="shared" si="252"/>
        <v>Cooling Res ER2 12 Year EUL</v>
      </c>
      <c r="DI1674" s="1091">
        <f>(INDEX('Avoided Cost Benefits'!$B$4:$B$866,MATCH(DH1674,'Avoided Cost Benefits'!$A$4:$A$866,0)))*F1674</f>
        <v>1246.6538754080711</v>
      </c>
      <c r="DJ1674" s="1176">
        <f t="shared" si="253"/>
        <v>0</v>
      </c>
      <c r="DM1674" s="252"/>
    </row>
    <row r="1675" spans="1:117">
      <c r="A1675" s="453"/>
      <c r="B1675" s="1454">
        <f t="shared" si="245"/>
        <v>353550</v>
      </c>
      <c r="C1675" s="682" t="s">
        <v>2315</v>
      </c>
      <c r="D1675" s="3470" t="s">
        <v>1043</v>
      </c>
      <c r="E1675" s="1370" t="s">
        <v>2317</v>
      </c>
      <c r="F1675" s="225">
        <f>ROUND(((K1997*K2190*(1/K2383-1/K2576)*K3541)/1000)*$K$3651,2)</f>
        <v>12022.15</v>
      </c>
      <c r="G1675" s="570" t="s">
        <v>2173</v>
      </c>
      <c r="H1675" s="69">
        <f>VLOOKUP(G1675,'CP FACTORS'!$A$3:$B$38, 2, FALSE)</f>
        <v>0</v>
      </c>
      <c r="I1675" s="1167">
        <f t="shared" si="251"/>
        <v>0</v>
      </c>
      <c r="J1675" s="59">
        <f t="shared" si="249"/>
        <v>12</v>
      </c>
      <c r="K1675" s="163">
        <f t="shared" si="246"/>
        <v>0</v>
      </c>
      <c r="L1675" s="255"/>
      <c r="M1675" s="560"/>
      <c r="N1675" s="572"/>
      <c r="O1675" s="417"/>
      <c r="R1675" s="532"/>
      <c r="S1675" s="52"/>
      <c r="T1675" s="52"/>
      <c r="U1675" s="574"/>
      <c r="V1675" s="1442" t="s">
        <v>45</v>
      </c>
      <c r="W1675" s="962">
        <v>13965.852998065762</v>
      </c>
      <c r="X1675" s="251">
        <v>10399.659574468084</v>
      </c>
      <c r="Y1675" s="225">
        <v>10399.66</v>
      </c>
      <c r="Z1675" s="225">
        <v>10399.66</v>
      </c>
      <c r="AA1675" s="225">
        <v>10399.66</v>
      </c>
      <c r="AB1675" s="1027">
        <v>10399.66</v>
      </c>
      <c r="AC1675" s="227">
        <v>12895.04</v>
      </c>
      <c r="AD1675" s="227">
        <v>12037.46</v>
      </c>
      <c r="AE1675" s="227">
        <v>12022.15</v>
      </c>
      <c r="AF1675" s="271">
        <f t="shared" si="247"/>
        <v>12022.15</v>
      </c>
      <c r="AG1675" s="962"/>
      <c r="AH1675" s="121"/>
      <c r="AK1675" s="963"/>
      <c r="DF1675" s="1650" t="str">
        <f t="shared" si="248"/>
        <v>ASHP-SEER21-Replace_CAC_ElectricHeat_ER2_SF</v>
      </c>
      <c r="DG1675" s="1094"/>
      <c r="DH1675" s="1370" t="str">
        <f t="shared" si="252"/>
        <v>Heating Res ER2 12 Year EUL</v>
      </c>
      <c r="DI1675" s="1091">
        <f>(INDEX('Avoided Cost Benefits'!$B$4:$B$866,MATCH(DH1675,'Avoided Cost Benefits'!$A$4:$A$866,0)))*F1675</f>
        <v>4062.2367001699008</v>
      </c>
      <c r="DJ1675" s="1176">
        <f t="shared" si="253"/>
        <v>0</v>
      </c>
      <c r="DM1675" s="252"/>
    </row>
    <row r="1676" spans="1:117">
      <c r="A1676" s="453"/>
      <c r="B1676" s="1454">
        <f t="shared" si="245"/>
        <v>353560</v>
      </c>
      <c r="C1676" s="682" t="s">
        <v>2318</v>
      </c>
      <c r="D1676" s="3470" t="s">
        <v>1800</v>
      </c>
      <c r="E1676" s="1393" t="s">
        <v>2319</v>
      </c>
      <c r="F1676" s="227">
        <f>ROUND(((K2770*K2963*(1/K3156-1/K3349)*K3542)/1000)*$K$3651,2)</f>
        <v>2498.89</v>
      </c>
      <c r="G1676" s="570" t="s">
        <v>2077</v>
      </c>
      <c r="H1676" s="69">
        <f>VLOOKUP(G1676,'CP FACTORS'!$A$3:$B$38, 2, FALSE)</f>
        <v>9.4741810000000004E-4</v>
      </c>
      <c r="I1676" s="1477">
        <f t="shared" si="251"/>
        <v>2.3674940000000002</v>
      </c>
      <c r="J1676" s="59">
        <f t="shared" si="249"/>
        <v>6</v>
      </c>
      <c r="K1676" s="166">
        <f t="shared" si="246"/>
        <v>584.70329002915889</v>
      </c>
      <c r="L1676" s="1107">
        <f>L1998</f>
        <v>3.3440561485431846</v>
      </c>
      <c r="M1676" s="560"/>
      <c r="N1676" s="572"/>
      <c r="O1676" s="417"/>
      <c r="R1676" s="532"/>
      <c r="S1676" s="52"/>
      <c r="T1676" s="52"/>
      <c r="U1676" s="574"/>
      <c r="V1676" s="1442" t="s">
        <v>45</v>
      </c>
      <c r="W1676" s="962"/>
      <c r="X1676" s="251"/>
      <c r="Y1676" s="225"/>
      <c r="Z1676" s="225"/>
      <c r="AA1676" s="225"/>
      <c r="AB1676" s="1027"/>
      <c r="AC1676" s="227">
        <v>2697.17</v>
      </c>
      <c r="AD1676" s="227">
        <v>2958.13</v>
      </c>
      <c r="AE1676" s="227">
        <v>2702.24</v>
      </c>
      <c r="AF1676" s="271">
        <f t="shared" si="247"/>
        <v>2498.89</v>
      </c>
      <c r="AG1676" s="962"/>
      <c r="AH1676" s="121"/>
      <c r="AK1676" s="963"/>
      <c r="DF1676" s="1650" t="str">
        <f t="shared" si="248"/>
        <v>ASHP-SEER21-Replace_CAC_NonElectricHeat_ER1_SF</v>
      </c>
      <c r="DG1676" s="1090">
        <f>(DI1676+DI1677+DI1678+DI1679)/(DJ1676+DJ1677+DJ1678+DJ1679)</f>
        <v>6.3881438518055838</v>
      </c>
      <c r="DH1676" s="1393" t="str">
        <f t="shared" si="252"/>
        <v>Cooling Res 6 Year EUL</v>
      </c>
      <c r="DI1676" s="1091">
        <f>(INDEX('Avoided Cost Benefits'!$B$4:$B$866,MATCH(DH1676,'Avoided Cost Benefits'!$A$4:$A$866,0)))*F1676</f>
        <v>2488.5148519221975</v>
      </c>
      <c r="DJ1676" s="1176">
        <f t="shared" si="253"/>
        <v>584.70329002915889</v>
      </c>
      <c r="DM1676" s="252"/>
    </row>
    <row r="1677" spans="1:117">
      <c r="A1677" s="453"/>
      <c r="B1677" s="1454">
        <f t="shared" si="245"/>
        <v>353560</v>
      </c>
      <c r="C1677" s="682" t="s">
        <v>2318</v>
      </c>
      <c r="D1677" s="3470" t="s">
        <v>1800</v>
      </c>
      <c r="E1677" s="1393" t="s">
        <v>2319</v>
      </c>
      <c r="F1677" s="225">
        <v>0</v>
      </c>
      <c r="G1677" s="570" t="s">
        <v>2078</v>
      </c>
      <c r="H1677" s="69">
        <f>VLOOKUP(G1677,'CP FACTORS'!$A$3:$B$38, 2, FALSE)</f>
        <v>0</v>
      </c>
      <c r="I1677" s="1167">
        <f t="shared" si="251"/>
        <v>0</v>
      </c>
      <c r="J1677" s="59">
        <f t="shared" si="249"/>
        <v>6</v>
      </c>
      <c r="K1677" s="163">
        <f t="shared" si="246"/>
        <v>0</v>
      </c>
      <c r="L1677" s="255"/>
      <c r="M1677" s="560"/>
      <c r="N1677" s="572"/>
      <c r="O1677" s="417"/>
      <c r="R1677" s="532"/>
      <c r="S1677" s="52"/>
      <c r="T1677" s="52"/>
      <c r="U1677" s="574"/>
      <c r="V1677" s="1442" t="s">
        <v>45</v>
      </c>
      <c r="W1677" s="962"/>
      <c r="X1677" s="251"/>
      <c r="Y1677" s="225"/>
      <c r="Z1677" s="225"/>
      <c r="AA1677" s="225"/>
      <c r="AB1677" s="1027"/>
      <c r="AC1677" s="227">
        <v>0</v>
      </c>
      <c r="AD1677" s="225">
        <v>0</v>
      </c>
      <c r="AE1677" s="225">
        <v>0</v>
      </c>
      <c r="AF1677" s="271">
        <f t="shared" si="247"/>
        <v>0</v>
      </c>
      <c r="AG1677" s="962"/>
      <c r="AH1677" s="121"/>
      <c r="AK1677" s="963"/>
      <c r="DF1677" s="1650" t="str">
        <f t="shared" si="248"/>
        <v>ASHP-SEER21-Replace_CAC_NonElectricHeat_ER1_SF</v>
      </c>
      <c r="DG1677" s="1094"/>
      <c r="DH1677" s="1393" t="str">
        <f t="shared" si="252"/>
        <v>Heating Res 6 Year EUL</v>
      </c>
      <c r="DI1677" s="1091">
        <f>(INDEX('Avoided Cost Benefits'!$B$4:$B$866,MATCH(DH1677,'Avoided Cost Benefits'!$A$4:$A$866,0)))*F1677</f>
        <v>0</v>
      </c>
      <c r="DJ1677" s="1176">
        <f t="shared" si="253"/>
        <v>0</v>
      </c>
      <c r="DM1677" s="252"/>
    </row>
    <row r="1678" spans="1:117">
      <c r="A1678" s="453"/>
      <c r="B1678" s="1454">
        <f t="shared" si="245"/>
        <v>353560</v>
      </c>
      <c r="C1678" s="682" t="s">
        <v>2318</v>
      </c>
      <c r="D1678" s="3470" t="s">
        <v>1800</v>
      </c>
      <c r="E1678" s="1393" t="s">
        <v>2320</v>
      </c>
      <c r="F1678" s="227">
        <f>ROUND(((K2771*K2964*(1/K3157-1/K3350)*K3543)/1000)*$K$3651,2)</f>
        <v>963.47</v>
      </c>
      <c r="G1678" s="570" t="s">
        <v>2138</v>
      </c>
      <c r="H1678" s="69">
        <f>VLOOKUP(G1678,'CP FACTORS'!$A$3:$B$38, 2, FALSE)</f>
        <v>9.4741810000000004E-4</v>
      </c>
      <c r="I1678" s="1477">
        <f t="shared" si="251"/>
        <v>0.91280899999999998</v>
      </c>
      <c r="J1678" s="59">
        <f t="shared" si="249"/>
        <v>12</v>
      </c>
      <c r="K1678" s="163">
        <f t="shared" si="246"/>
        <v>0</v>
      </c>
      <c r="L1678" s="255"/>
      <c r="M1678" s="560"/>
      <c r="N1678" s="572"/>
      <c r="O1678" s="417"/>
      <c r="R1678" s="532"/>
      <c r="S1678" s="52"/>
      <c r="T1678" s="52"/>
      <c r="U1678" s="574"/>
      <c r="V1678" s="1442" t="s">
        <v>45</v>
      </c>
      <c r="W1678" s="962"/>
      <c r="X1678" s="251"/>
      <c r="Y1678" s="225"/>
      <c r="Z1678" s="225"/>
      <c r="AA1678" s="225"/>
      <c r="AB1678" s="1027"/>
      <c r="AC1678" s="227">
        <v>1151.58</v>
      </c>
      <c r="AD1678" s="227">
        <v>1070.04</v>
      </c>
      <c r="AE1678" s="227">
        <v>892.64</v>
      </c>
      <c r="AF1678" s="271">
        <f t="shared" si="247"/>
        <v>963.47</v>
      </c>
      <c r="AG1678" s="962"/>
      <c r="AH1678" s="121"/>
      <c r="AK1678" s="963"/>
      <c r="DF1678" s="1650" t="str">
        <f t="shared" si="248"/>
        <v>ASHP-SEER21-Replace_CAC_NonElectricHeat_ER2_SF</v>
      </c>
      <c r="DG1678" s="1094"/>
      <c r="DH1678" s="1393" t="str">
        <f t="shared" si="252"/>
        <v>Cooling Res ER2 12 Year EUL</v>
      </c>
      <c r="DI1678" s="1091">
        <f>(INDEX('Avoided Cost Benefits'!$B$4:$B$866,MATCH(DH1678,'Avoided Cost Benefits'!$A$4:$A$866,0)))*F1678</f>
        <v>1246.6538754080711</v>
      </c>
      <c r="DJ1678" s="1176">
        <f t="shared" si="253"/>
        <v>0</v>
      </c>
      <c r="DM1678" s="252"/>
    </row>
    <row r="1679" spans="1:117">
      <c r="A1679" s="453"/>
      <c r="B1679" s="1454">
        <f t="shared" si="245"/>
        <v>353560</v>
      </c>
      <c r="C1679" s="682" t="s">
        <v>2318</v>
      </c>
      <c r="D1679" s="3470" t="s">
        <v>1800</v>
      </c>
      <c r="E1679" s="1370" t="s">
        <v>2320</v>
      </c>
      <c r="F1679" s="225">
        <f>0</f>
        <v>0</v>
      </c>
      <c r="G1679" s="570" t="s">
        <v>2173</v>
      </c>
      <c r="H1679" s="69">
        <f>VLOOKUP(G1679,'CP FACTORS'!$A$3:$B$38, 2, FALSE)</f>
        <v>0</v>
      </c>
      <c r="I1679" s="1167">
        <f t="shared" si="251"/>
        <v>0</v>
      </c>
      <c r="J1679" s="59">
        <f t="shared" si="249"/>
        <v>12</v>
      </c>
      <c r="K1679" s="163">
        <f t="shared" si="246"/>
        <v>0</v>
      </c>
      <c r="L1679" s="255"/>
      <c r="M1679" s="560"/>
      <c r="N1679" s="572"/>
      <c r="O1679" s="417"/>
      <c r="R1679" s="532"/>
      <c r="S1679" s="52"/>
      <c r="T1679" s="52"/>
      <c r="U1679" s="574"/>
      <c r="V1679" s="1442" t="s">
        <v>45</v>
      </c>
      <c r="W1679" s="962"/>
      <c r="X1679" s="251"/>
      <c r="Y1679" s="225"/>
      <c r="Z1679" s="225"/>
      <c r="AA1679" s="225"/>
      <c r="AB1679" s="1027"/>
      <c r="AC1679" s="227">
        <v>0</v>
      </c>
      <c r="AD1679" s="225">
        <v>0</v>
      </c>
      <c r="AE1679" s="225">
        <v>0</v>
      </c>
      <c r="AF1679" s="271">
        <f t="shared" si="247"/>
        <v>0</v>
      </c>
      <c r="AG1679" s="962"/>
      <c r="AH1679" s="121"/>
      <c r="AK1679" s="963"/>
      <c r="DF1679" s="1650" t="str">
        <f t="shared" si="248"/>
        <v>ASHP-SEER21-Replace_CAC_NonElectricHeat_ER2_SF</v>
      </c>
      <c r="DG1679" s="1094"/>
      <c r="DH1679" s="1393" t="str">
        <f t="shared" si="252"/>
        <v>Heating Res ER2 12 Year EUL</v>
      </c>
      <c r="DI1679" s="1091">
        <f>(INDEX('Avoided Cost Benefits'!$B$4:$B$866,MATCH(DH1679,'Avoided Cost Benefits'!$A$4:$A$866,0)))*F1679</f>
        <v>0</v>
      </c>
      <c r="DJ1679" s="1176">
        <f t="shared" si="253"/>
        <v>0</v>
      </c>
      <c r="DM1679" s="252"/>
    </row>
    <row r="1680" spans="1:117">
      <c r="A1680" s="453"/>
      <c r="B1680" s="1454">
        <f t="shared" si="245"/>
        <v>353600</v>
      </c>
      <c r="C1680" s="682" t="s">
        <v>2321</v>
      </c>
      <c r="D1680" s="3470" t="s">
        <v>959</v>
      </c>
      <c r="E1680" s="1369" t="s">
        <v>2322</v>
      </c>
      <c r="F1680" s="225">
        <f>ROUND(((K2772*K2965*(1/K3158-1/K3351)*K3544)/1000)*$K$3651,2)</f>
        <v>1521.91</v>
      </c>
      <c r="G1680" s="570" t="s">
        <v>2077</v>
      </c>
      <c r="H1680" s="69">
        <f>VLOOKUP(G1680,'CP FACTORS'!$A$3:$B$38, 2, FALSE)</f>
        <v>9.4741810000000004E-4</v>
      </c>
      <c r="I1680" s="1167">
        <f t="shared" si="251"/>
        <v>1.4418850000000001</v>
      </c>
      <c r="J1680" s="59">
        <f t="shared" si="249"/>
        <v>6</v>
      </c>
      <c r="K1680" s="166">
        <f t="shared" si="246"/>
        <v>3847.7316315552043</v>
      </c>
      <c r="L1680" s="255">
        <f>L2000</f>
        <v>3.1</v>
      </c>
      <c r="M1680" s="560"/>
      <c r="N1680" s="572"/>
      <c r="O1680" s="417"/>
      <c r="R1680" s="532"/>
      <c r="S1680" s="52"/>
      <c r="T1680" s="52"/>
      <c r="U1680" s="574"/>
      <c r="V1680" s="1442" t="s">
        <v>45</v>
      </c>
      <c r="W1680" s="962">
        <v>2089.4703361344541</v>
      </c>
      <c r="X1680" s="251">
        <v>1521.9079711884754</v>
      </c>
      <c r="Y1680" s="225">
        <v>1521.91</v>
      </c>
      <c r="Z1680" s="225">
        <v>1521.91</v>
      </c>
      <c r="AA1680" s="225">
        <v>1521.91</v>
      </c>
      <c r="AB1680" s="1027">
        <v>1521.91</v>
      </c>
      <c r="AC1680" s="960">
        <v>1521.91</v>
      </c>
      <c r="AD1680" s="225">
        <v>1521.91</v>
      </c>
      <c r="AE1680" s="225">
        <v>1521.91</v>
      </c>
      <c r="AF1680" s="271">
        <f t="shared" si="247"/>
        <v>1521.91</v>
      </c>
      <c r="AG1680" s="962"/>
      <c r="AH1680" s="121"/>
      <c r="AK1680" s="963"/>
      <c r="DF1680" s="1650" t="str">
        <f t="shared" si="248"/>
        <v>ASHP-SEER21-Replace_CAC_ElectricHeat_ER1_MF</v>
      </c>
      <c r="DG1680" s="1090">
        <f>(DI1680+DI1681+DI1682+DI1683)/(DJ1680+DJ1681+DJ1682+DJ1683)</f>
        <v>1.6494975209084624</v>
      </c>
      <c r="DH1680" s="1369" t="str">
        <f t="shared" si="252"/>
        <v>Cooling Res 6 Year EUL</v>
      </c>
      <c r="DI1680" s="1091">
        <f>(INDEX('Avoided Cost Benefits'!$B$4:$B$866,MATCH(DH1680,'Avoided Cost Benefits'!$A$4:$A$866,0)))*F1680</f>
        <v>1515.5911777985073</v>
      </c>
      <c r="DJ1680" s="1176">
        <f>IFERROR(K1680/(1.0686^(2025-2025)),10000000)</f>
        <v>3847.7316315552043</v>
      </c>
      <c r="DM1680" s="252"/>
    </row>
    <row r="1681" spans="1:117">
      <c r="A1681" s="453"/>
      <c r="B1681" s="1454">
        <f t="shared" si="245"/>
        <v>353600</v>
      </c>
      <c r="C1681" s="682" t="s">
        <v>2321</v>
      </c>
      <c r="D1681" s="3470" t="s">
        <v>959</v>
      </c>
      <c r="E1681" s="1393" t="s">
        <v>2322</v>
      </c>
      <c r="F1681" s="225">
        <f>ROUND(((K2000*K2193*(1/K2386-1/K2579)*K3544)/1000)*$K$3651,2)</f>
        <v>6759.78</v>
      </c>
      <c r="G1681" s="570" t="s">
        <v>2078</v>
      </c>
      <c r="H1681" s="69">
        <f>VLOOKUP(G1681,'CP FACTORS'!$A$3:$B$38, 2, FALSE)</f>
        <v>0</v>
      </c>
      <c r="I1681" s="1167">
        <f t="shared" si="251"/>
        <v>0</v>
      </c>
      <c r="J1681" s="59">
        <f t="shared" si="249"/>
        <v>6</v>
      </c>
      <c r="K1681" s="163">
        <f t="shared" si="246"/>
        <v>0</v>
      </c>
      <c r="L1681" s="255"/>
      <c r="M1681" s="560"/>
      <c r="N1681" s="572"/>
      <c r="O1681" s="417"/>
      <c r="R1681" s="532"/>
      <c r="S1681" s="52"/>
      <c r="T1681" s="52"/>
      <c r="U1681" s="574"/>
      <c r="V1681" s="1442" t="s">
        <v>45</v>
      </c>
      <c r="W1681" s="962">
        <v>9077.8044487427451</v>
      </c>
      <c r="X1681" s="251">
        <v>6759.7787234042544</v>
      </c>
      <c r="Y1681" s="225">
        <v>6759.78</v>
      </c>
      <c r="Z1681" s="225">
        <v>6759.78</v>
      </c>
      <c r="AA1681" s="225">
        <v>6759.78</v>
      </c>
      <c r="AB1681" s="1027">
        <v>6759.78</v>
      </c>
      <c r="AC1681" s="960">
        <v>6759.78</v>
      </c>
      <c r="AD1681" s="225">
        <v>6759.78</v>
      </c>
      <c r="AE1681" s="225">
        <v>6759.78</v>
      </c>
      <c r="AF1681" s="271">
        <f t="shared" si="247"/>
        <v>6759.78</v>
      </c>
      <c r="AG1681" s="962"/>
      <c r="AH1681" s="121"/>
      <c r="AK1681" s="963"/>
      <c r="DF1681" s="1650" t="str">
        <f t="shared" si="248"/>
        <v>ASHP-SEER21-Replace_CAC_ElectricHeat_ER1_MF</v>
      </c>
      <c r="DG1681" s="1094"/>
      <c r="DH1681" s="1393" t="str">
        <f t="shared" si="252"/>
        <v>Heating Res 6 Year EUL</v>
      </c>
      <c r="DI1681" s="1091">
        <f>(INDEX('Avoided Cost Benefits'!$B$4:$B$866,MATCH(DH1681,'Avoided Cost Benefits'!$A$4:$A$866,0)))*F1681</f>
        <v>1812.8297605752794</v>
      </c>
      <c r="DJ1681" s="1176">
        <f>K1681/(1.0686^(2025-2025))</f>
        <v>0</v>
      </c>
      <c r="DM1681" s="252"/>
    </row>
    <row r="1682" spans="1:117">
      <c r="A1682" s="453"/>
      <c r="B1682" s="1454">
        <f t="shared" si="245"/>
        <v>353600</v>
      </c>
      <c r="C1682" s="682" t="s">
        <v>2321</v>
      </c>
      <c r="D1682" s="3470" t="s">
        <v>959</v>
      </c>
      <c r="E1682" s="1393" t="s">
        <v>2323</v>
      </c>
      <c r="F1682" s="227">
        <f>ROUND(((K2773*K2966*(1/K3159-1/K3352)*K3545)/1000)*$K$3651,2)</f>
        <v>567.5</v>
      </c>
      <c r="G1682" s="570" t="s">
        <v>2138</v>
      </c>
      <c r="H1682" s="69">
        <f>VLOOKUP(G1682,'CP FACTORS'!$A$3:$B$38, 2, FALSE)</f>
        <v>9.4741810000000004E-4</v>
      </c>
      <c r="I1682" s="1477">
        <f t="shared" si="251"/>
        <v>0.53766000000000003</v>
      </c>
      <c r="J1682" s="59">
        <f t="shared" si="249"/>
        <v>12</v>
      </c>
      <c r="K1682" s="163">
        <f t="shared" si="246"/>
        <v>0</v>
      </c>
      <c r="L1682" s="255"/>
      <c r="M1682" s="560"/>
      <c r="N1682" s="572"/>
      <c r="O1682" s="417"/>
      <c r="R1682" s="532"/>
      <c r="S1682" s="52"/>
      <c r="T1682" s="52"/>
      <c r="U1682" s="574"/>
      <c r="V1682" s="1442" t="s">
        <v>45</v>
      </c>
      <c r="W1682" s="962">
        <v>615.74857142857161</v>
      </c>
      <c r="X1682" s="254">
        <v>615.74857142857161</v>
      </c>
      <c r="Y1682" s="225">
        <v>615.75</v>
      </c>
      <c r="Z1682" s="225">
        <v>615.75</v>
      </c>
      <c r="AA1682" s="225">
        <v>615.75</v>
      </c>
      <c r="AB1682" s="1027">
        <v>615.75</v>
      </c>
      <c r="AC1682" s="960">
        <v>615.75</v>
      </c>
      <c r="AD1682" s="225">
        <v>615.75</v>
      </c>
      <c r="AE1682" s="227">
        <v>500.3</v>
      </c>
      <c r="AF1682" s="271">
        <f t="shared" si="247"/>
        <v>567.5</v>
      </c>
      <c r="AG1682" s="962"/>
      <c r="AH1682" s="121"/>
      <c r="AK1682" s="963"/>
      <c r="DF1682" s="1650" t="str">
        <f t="shared" si="248"/>
        <v>ASHP-SEER21-Replace_CAC_ElectricHeat_ER2_MF</v>
      </c>
      <c r="DG1682" s="1094"/>
      <c r="DH1682" s="1393" t="str">
        <f t="shared" si="252"/>
        <v>Cooling Res ER2 12 Year EUL</v>
      </c>
      <c r="DI1682" s="1091">
        <f>(INDEX('Avoided Cost Benefits'!$B$4:$B$866,MATCH(DH1682,'Avoided Cost Benefits'!$A$4:$A$866,0)))*F1682</f>
        <v>734.30005531472739</v>
      </c>
      <c r="DJ1682" s="1176">
        <f>K1682/(1.0686^(2025-2025))</f>
        <v>0</v>
      </c>
      <c r="DM1682" s="252"/>
    </row>
    <row r="1683" spans="1:117">
      <c r="A1683" s="453"/>
      <c r="B1683" s="1454">
        <f t="shared" si="245"/>
        <v>353600</v>
      </c>
      <c r="C1683" s="682" t="s">
        <v>2321</v>
      </c>
      <c r="D1683" s="3470" t="s">
        <v>959</v>
      </c>
      <c r="E1683" s="1370" t="s">
        <v>2323</v>
      </c>
      <c r="F1683" s="225">
        <f>ROUND(((K2001*K2194*(1/K2387-1/K2580)*K3545)/1000)*$K$3651,2)</f>
        <v>6759.78</v>
      </c>
      <c r="G1683" s="570" t="s">
        <v>2173</v>
      </c>
      <c r="H1683" s="69">
        <f>VLOOKUP(G1683,'CP FACTORS'!$A$3:$B$38, 2, FALSE)</f>
        <v>0</v>
      </c>
      <c r="I1683" s="1167">
        <f t="shared" si="251"/>
        <v>0</v>
      </c>
      <c r="J1683" s="59">
        <f t="shared" si="249"/>
        <v>12</v>
      </c>
      <c r="K1683" s="163">
        <f t="shared" si="246"/>
        <v>0</v>
      </c>
      <c r="L1683" s="255"/>
      <c r="M1683" s="560"/>
      <c r="N1683" s="572"/>
      <c r="O1683" s="417"/>
      <c r="R1683" s="532"/>
      <c r="S1683" s="52"/>
      <c r="T1683" s="52"/>
      <c r="U1683" s="574"/>
      <c r="V1683" s="1442" t="s">
        <v>45</v>
      </c>
      <c r="W1683" s="962">
        <v>9077.8044487427451</v>
      </c>
      <c r="X1683" s="251">
        <v>6759.7787234042544</v>
      </c>
      <c r="Y1683" s="225">
        <v>6759.78</v>
      </c>
      <c r="Z1683" s="225">
        <v>6759.78</v>
      </c>
      <c r="AA1683" s="225">
        <v>6759.78</v>
      </c>
      <c r="AB1683" s="1027">
        <v>6759.78</v>
      </c>
      <c r="AC1683" s="960">
        <v>6759.78</v>
      </c>
      <c r="AD1683" s="225">
        <v>6759.78</v>
      </c>
      <c r="AE1683" s="225">
        <v>6759.78</v>
      </c>
      <c r="AF1683" s="271">
        <f t="shared" si="247"/>
        <v>6759.78</v>
      </c>
      <c r="AG1683" s="962"/>
      <c r="AH1683" s="121"/>
      <c r="AK1683" s="963"/>
      <c r="DF1683" s="1650" t="str">
        <f t="shared" si="248"/>
        <v>ASHP-SEER21-Replace_CAC_ElectricHeat_ER2_MF</v>
      </c>
      <c r="DG1683" s="1094"/>
      <c r="DH1683" s="1370" t="str">
        <f t="shared" si="252"/>
        <v>Heating Res ER2 12 Year EUL</v>
      </c>
      <c r="DI1683" s="1091">
        <f>(INDEX('Avoided Cost Benefits'!$B$4:$B$866,MATCH(DH1683,'Avoided Cost Benefits'!$A$4:$A$866,0)))*F1683</f>
        <v>2284.1027936828682</v>
      </c>
      <c r="DJ1683" s="1176">
        <f>K1683/(1.0686^(2025-2025))</f>
        <v>0</v>
      </c>
      <c r="DM1683" s="252"/>
    </row>
    <row r="1684" spans="1:117">
      <c r="A1684" s="453"/>
      <c r="B1684" s="1454">
        <f t="shared" si="245"/>
        <v>353601</v>
      </c>
      <c r="C1684" s="2554" t="s">
        <v>2324</v>
      </c>
      <c r="D1684" s="3383" t="s">
        <v>1118</v>
      </c>
      <c r="E1684" s="2521" t="s">
        <v>2325</v>
      </c>
      <c r="F1684" s="3373">
        <f>ROUND((($K$2774*$K$2967*(1/$K$3160-1/$K$3353)*$K$3546)/1000)*$K$3651,2)</f>
        <v>1106.8399999999999</v>
      </c>
      <c r="G1684" s="3384" t="str">
        <f>G1680</f>
        <v>Cooling Res</v>
      </c>
      <c r="H1684" s="2213">
        <f>VLOOKUP(G1684,'CP FACTORS'!$A$3:$B$38, 2, FALSE)</f>
        <v>9.4741810000000004E-4</v>
      </c>
      <c r="I1684" s="3405">
        <f t="shared" si="251"/>
        <v>1.04864</v>
      </c>
      <c r="J1684" s="2449">
        <f t="shared" si="249"/>
        <v>6</v>
      </c>
      <c r="K1684" s="2467">
        <f t="shared" si="246"/>
        <v>3847.7316315552043</v>
      </c>
      <c r="L1684" s="2649">
        <f>L2002</f>
        <v>3.1</v>
      </c>
      <c r="M1684" s="3386"/>
      <c r="N1684" s="3387"/>
      <c r="O1684" s="2702"/>
      <c r="P1684" s="635"/>
      <c r="Q1684" s="635"/>
      <c r="R1684" s="2966"/>
      <c r="S1684" s="635"/>
      <c r="T1684" s="635"/>
      <c r="U1684" s="3388"/>
      <c r="V1684" s="2962" t="s">
        <v>45</v>
      </c>
      <c r="W1684" s="3389"/>
      <c r="X1684" s="3390"/>
      <c r="Y1684" s="3369">
        <v>1106.8399999999999</v>
      </c>
      <c r="Z1684" s="3373">
        <v>1106.8399999999999</v>
      </c>
      <c r="AA1684" s="3373">
        <v>1106.8399999999999</v>
      </c>
      <c r="AB1684" s="3400">
        <v>1106.8399999999999</v>
      </c>
      <c r="AC1684" s="3401">
        <v>1106.8399999999999</v>
      </c>
      <c r="AD1684" s="3373">
        <v>1106.8399999999999</v>
      </c>
      <c r="AE1684" s="3373">
        <v>1106.8399999999999</v>
      </c>
      <c r="AF1684" s="2236">
        <f t="shared" si="247"/>
        <v>1106.8399999999999</v>
      </c>
      <c r="AG1684" s="3389"/>
      <c r="AH1684" s="2728"/>
      <c r="AI1684" s="2237"/>
      <c r="AJ1684" s="2237"/>
      <c r="AK1684" s="3392"/>
      <c r="AL1684" s="2237"/>
      <c r="AM1684" s="2237"/>
      <c r="AN1684" s="2237"/>
      <c r="AO1684" s="2237"/>
      <c r="AP1684" s="2237"/>
      <c r="AQ1684" s="2237"/>
      <c r="AR1684" s="2237"/>
      <c r="AS1684" s="2237"/>
      <c r="AT1684" s="2237"/>
      <c r="AU1684" s="2237"/>
      <c r="AV1684" s="2237"/>
      <c r="AW1684" s="2237"/>
      <c r="AX1684" s="2237"/>
      <c r="AY1684" s="2237"/>
      <c r="AZ1684" s="2237"/>
      <c r="BA1684" s="2237"/>
      <c r="BB1684" s="2237"/>
      <c r="BC1684" s="2237"/>
      <c r="BD1684" s="2237"/>
      <c r="BE1684" s="2237"/>
      <c r="BF1684" s="2237"/>
      <c r="BG1684" s="2237"/>
      <c r="BH1684" s="2237"/>
      <c r="BI1684" s="2237"/>
      <c r="BJ1684" s="2237"/>
      <c r="BK1684" s="2237"/>
      <c r="BL1684" s="2237"/>
      <c r="BM1684" s="2237"/>
      <c r="BN1684" s="2237"/>
      <c r="BO1684" s="2237"/>
      <c r="BP1684" s="2237"/>
      <c r="BQ1684" s="2237"/>
      <c r="BR1684" s="2237"/>
      <c r="BS1684" s="2237"/>
      <c r="BT1684" s="2237"/>
      <c r="BU1684" s="2237"/>
      <c r="BV1684" s="2237"/>
      <c r="BW1684" s="2237"/>
      <c r="BX1684" s="2237"/>
      <c r="BY1684" s="2237"/>
      <c r="BZ1684" s="2237"/>
      <c r="CA1684" s="2237"/>
      <c r="CB1684" s="2237"/>
      <c r="CC1684" s="2237"/>
      <c r="CD1684" s="2237"/>
      <c r="CE1684" s="2237"/>
      <c r="CF1684" s="2237"/>
      <c r="CG1684" s="2237"/>
      <c r="CH1684" s="2237"/>
      <c r="CI1684" s="2237"/>
      <c r="CJ1684" s="2237"/>
      <c r="CK1684" s="2237"/>
      <c r="CL1684" s="2237"/>
      <c r="CM1684" s="2237"/>
      <c r="CN1684" s="2237"/>
      <c r="CO1684" s="2237"/>
      <c r="CP1684" s="2237"/>
      <c r="CQ1684" s="2237"/>
      <c r="CR1684" s="2237"/>
      <c r="CS1684" s="2237"/>
      <c r="CT1684" s="2237"/>
      <c r="CU1684" s="2237"/>
      <c r="CV1684" s="2237"/>
      <c r="CW1684" s="2237"/>
      <c r="CX1684" s="2237"/>
      <c r="CY1684" s="2237"/>
      <c r="CZ1684" s="2237"/>
      <c r="DA1684" s="2237"/>
      <c r="DB1684" s="2237"/>
      <c r="DC1684" s="2237"/>
      <c r="DD1684" s="2237"/>
      <c r="DE1684" s="2237"/>
      <c r="DF1684" s="3393" t="str">
        <f t="shared" si="248"/>
        <v>ASHP-SEER21-Replace_CAC_ElectricHeat_ER1_MF_CompE</v>
      </c>
      <c r="DG1684" s="3259">
        <f>(DI1684+DI1685+DI1686+DI1687)/(DJ1684+DJ1685+DJ1686+DJ1687)</f>
        <v>0.78824772835207457</v>
      </c>
      <c r="DH1684" s="2521" t="str">
        <f t="shared" si="252"/>
        <v>Cooling Res 6 Year EUL</v>
      </c>
      <c r="DI1684" s="3260">
        <f>(INDEX('Avoided Cost Benefits'!$B$4:$B$866,MATCH(DH1684,'Avoided Cost Benefits'!$A$4:$A$866,0)))*F1684</f>
        <v>1102.2445080421967</v>
      </c>
      <c r="DJ1684" s="2507">
        <f>IFERROR(K1684/(1.0686^(2025-2025)),10000000)</f>
        <v>3847.7316315552043</v>
      </c>
      <c r="DM1684" s="252"/>
    </row>
    <row r="1685" spans="1:117">
      <c r="A1685" s="453"/>
      <c r="B1685" s="1454">
        <f t="shared" si="245"/>
        <v>353601</v>
      </c>
      <c r="C1685" s="2554" t="str">
        <f>C1684</f>
        <v>353601_2024_12_</v>
      </c>
      <c r="D1685" s="3383" t="s">
        <v>1118</v>
      </c>
      <c r="E1685" s="2882" t="s">
        <v>2325</v>
      </c>
      <c r="F1685" s="3373">
        <f>ROUND((($K$2002*$K$2195*(1/$K$2388-1/$K$2581)*$K$3546)/1000)*$K$3651,2)</f>
        <v>2304.4699999999998</v>
      </c>
      <c r="G1685" s="3384" t="str">
        <f>G1681</f>
        <v>Heating Res</v>
      </c>
      <c r="H1685" s="2213">
        <f>VLOOKUP(G1685,'CP FACTORS'!$A$3:$B$38, 2, FALSE)</f>
        <v>0</v>
      </c>
      <c r="I1685" s="3405">
        <f t="shared" si="251"/>
        <v>0</v>
      </c>
      <c r="J1685" s="2449">
        <f t="shared" si="249"/>
        <v>6</v>
      </c>
      <c r="K1685" s="2894">
        <f t="shared" si="246"/>
        <v>0</v>
      </c>
      <c r="L1685" s="2649"/>
      <c r="M1685" s="3386"/>
      <c r="N1685" s="3387"/>
      <c r="O1685" s="2702"/>
      <c r="P1685" s="635"/>
      <c r="Q1685" s="635"/>
      <c r="R1685" s="2966"/>
      <c r="S1685" s="635"/>
      <c r="T1685" s="635"/>
      <c r="U1685" s="3388"/>
      <c r="V1685" s="2962" t="s">
        <v>45</v>
      </c>
      <c r="W1685" s="3389"/>
      <c r="X1685" s="3390"/>
      <c r="Y1685" s="3369">
        <v>2304.4699999999998</v>
      </c>
      <c r="Z1685" s="3373">
        <v>2304.4699999999998</v>
      </c>
      <c r="AA1685" s="3373">
        <v>2304.4699999999998</v>
      </c>
      <c r="AB1685" s="3400">
        <v>2304.4699999999998</v>
      </c>
      <c r="AC1685" s="3401">
        <v>2304.4699999999998</v>
      </c>
      <c r="AD1685" s="3373">
        <v>2304.4699999999998</v>
      </c>
      <c r="AE1685" s="3373">
        <v>2304.4699999999998</v>
      </c>
      <c r="AF1685" s="2236">
        <f t="shared" si="247"/>
        <v>2304.4699999999998</v>
      </c>
      <c r="AG1685" s="3389"/>
      <c r="AH1685" s="2728"/>
      <c r="AI1685" s="2237"/>
      <c r="AJ1685" s="2237"/>
      <c r="AK1685" s="3392"/>
      <c r="AL1685" s="2237"/>
      <c r="AM1685" s="2237"/>
      <c r="AN1685" s="2237"/>
      <c r="AO1685" s="2237"/>
      <c r="AP1685" s="2237"/>
      <c r="AQ1685" s="2237"/>
      <c r="AR1685" s="2237"/>
      <c r="AS1685" s="2237"/>
      <c r="AT1685" s="2237"/>
      <c r="AU1685" s="2237"/>
      <c r="AV1685" s="2237"/>
      <c r="AW1685" s="2237"/>
      <c r="AX1685" s="2237"/>
      <c r="AY1685" s="2237"/>
      <c r="AZ1685" s="2237"/>
      <c r="BA1685" s="2237"/>
      <c r="BB1685" s="2237"/>
      <c r="BC1685" s="2237"/>
      <c r="BD1685" s="2237"/>
      <c r="BE1685" s="2237"/>
      <c r="BF1685" s="2237"/>
      <c r="BG1685" s="2237"/>
      <c r="BH1685" s="2237"/>
      <c r="BI1685" s="2237"/>
      <c r="BJ1685" s="2237"/>
      <c r="BK1685" s="2237"/>
      <c r="BL1685" s="2237"/>
      <c r="BM1685" s="2237"/>
      <c r="BN1685" s="2237"/>
      <c r="BO1685" s="2237"/>
      <c r="BP1685" s="2237"/>
      <c r="BQ1685" s="2237"/>
      <c r="BR1685" s="2237"/>
      <c r="BS1685" s="2237"/>
      <c r="BT1685" s="2237"/>
      <c r="BU1685" s="2237"/>
      <c r="BV1685" s="2237"/>
      <c r="BW1685" s="2237"/>
      <c r="BX1685" s="2237"/>
      <c r="BY1685" s="2237"/>
      <c r="BZ1685" s="2237"/>
      <c r="CA1685" s="2237"/>
      <c r="CB1685" s="2237"/>
      <c r="CC1685" s="2237"/>
      <c r="CD1685" s="2237"/>
      <c r="CE1685" s="2237"/>
      <c r="CF1685" s="2237"/>
      <c r="CG1685" s="2237"/>
      <c r="CH1685" s="2237"/>
      <c r="CI1685" s="2237"/>
      <c r="CJ1685" s="2237"/>
      <c r="CK1685" s="2237"/>
      <c r="CL1685" s="2237"/>
      <c r="CM1685" s="2237"/>
      <c r="CN1685" s="2237"/>
      <c r="CO1685" s="2237"/>
      <c r="CP1685" s="2237"/>
      <c r="CQ1685" s="2237"/>
      <c r="CR1685" s="2237"/>
      <c r="CS1685" s="2237"/>
      <c r="CT1685" s="2237"/>
      <c r="CU1685" s="2237"/>
      <c r="CV1685" s="2237"/>
      <c r="CW1685" s="2237"/>
      <c r="CX1685" s="2237"/>
      <c r="CY1685" s="2237"/>
      <c r="CZ1685" s="2237"/>
      <c r="DA1685" s="2237"/>
      <c r="DB1685" s="2237"/>
      <c r="DC1685" s="2237"/>
      <c r="DD1685" s="2237"/>
      <c r="DE1685" s="2237"/>
      <c r="DF1685" s="3393" t="str">
        <f t="shared" si="248"/>
        <v>ASHP-SEER21-Replace_CAC_ElectricHeat_ER1_MF_CompE</v>
      </c>
      <c r="DG1685" s="3332"/>
      <c r="DH1685" s="2882" t="str">
        <f t="shared" si="252"/>
        <v>Heating Res 6 Year EUL</v>
      </c>
      <c r="DI1685" s="3260">
        <f>(INDEX('Avoided Cost Benefits'!$B$4:$B$866,MATCH(DH1685,'Avoided Cost Benefits'!$A$4:$A$866,0)))*F1685</f>
        <v>618.01002375120402</v>
      </c>
      <c r="DJ1685" s="2507">
        <f t="shared" ref="DJ1685:DJ1695" si="254">K1685/(1.0686^(2025-2025))</f>
        <v>0</v>
      </c>
      <c r="DM1685" s="252"/>
    </row>
    <row r="1686" spans="1:117">
      <c r="A1686" s="453"/>
      <c r="B1686" s="1454">
        <f t="shared" si="245"/>
        <v>353601</v>
      </c>
      <c r="C1686" s="2554" t="str">
        <f>C1685</f>
        <v>353601_2024_12_</v>
      </c>
      <c r="D1686" s="3383" t="s">
        <v>1118</v>
      </c>
      <c r="E1686" s="2882" t="s">
        <v>2326</v>
      </c>
      <c r="F1686" s="3369">
        <f>ROUND((($K$2775*$K$2968*(1/$K$3161-1/$K$3354)*$K$3547)/1000)*$K$3651,2)</f>
        <v>412.73</v>
      </c>
      <c r="G1686" s="3384" t="str">
        <f>G1682</f>
        <v>Cooling Res ER2</v>
      </c>
      <c r="H1686" s="2213">
        <f>VLOOKUP(G1686,'CP FACTORS'!$A$3:$B$38, 2, FALSE)</f>
        <v>9.4741810000000004E-4</v>
      </c>
      <c r="I1686" s="3404">
        <f t="shared" si="251"/>
        <v>0.39102799999999999</v>
      </c>
      <c r="J1686" s="2449">
        <f t="shared" si="249"/>
        <v>12</v>
      </c>
      <c r="K1686" s="2894">
        <f t="shared" si="246"/>
        <v>0</v>
      </c>
      <c r="L1686" s="2649"/>
      <c r="M1686" s="3386"/>
      <c r="N1686" s="3387"/>
      <c r="O1686" s="2702"/>
      <c r="P1686" s="635"/>
      <c r="Q1686" s="635"/>
      <c r="R1686" s="2966"/>
      <c r="S1686" s="635"/>
      <c r="T1686" s="635"/>
      <c r="U1686" s="3388"/>
      <c r="V1686" s="2962" t="s">
        <v>45</v>
      </c>
      <c r="W1686" s="3389"/>
      <c r="X1686" s="3390"/>
      <c r="Y1686" s="3369">
        <v>447.82</v>
      </c>
      <c r="Z1686" s="3373">
        <v>447.82</v>
      </c>
      <c r="AA1686" s="3373">
        <v>447.82</v>
      </c>
      <c r="AB1686" s="3400">
        <v>447.82</v>
      </c>
      <c r="AC1686" s="3401">
        <v>447.82</v>
      </c>
      <c r="AD1686" s="3373">
        <v>447.82</v>
      </c>
      <c r="AE1686" s="3369">
        <v>363.85</v>
      </c>
      <c r="AF1686" s="2236">
        <f t="shared" si="247"/>
        <v>412.73</v>
      </c>
      <c r="AG1686" s="3389"/>
      <c r="AH1686" s="2728"/>
      <c r="AI1686" s="2237"/>
      <c r="AJ1686" s="2237"/>
      <c r="AK1686" s="3392"/>
      <c r="AL1686" s="2237"/>
      <c r="AM1686" s="2237"/>
      <c r="AN1686" s="2237"/>
      <c r="AO1686" s="2237"/>
      <c r="AP1686" s="2237"/>
      <c r="AQ1686" s="2237"/>
      <c r="AR1686" s="2237"/>
      <c r="AS1686" s="2237"/>
      <c r="AT1686" s="2237"/>
      <c r="AU1686" s="2237"/>
      <c r="AV1686" s="2237"/>
      <c r="AW1686" s="2237"/>
      <c r="AX1686" s="2237"/>
      <c r="AY1686" s="2237"/>
      <c r="AZ1686" s="2237"/>
      <c r="BA1686" s="2237"/>
      <c r="BB1686" s="2237"/>
      <c r="BC1686" s="2237"/>
      <c r="BD1686" s="2237"/>
      <c r="BE1686" s="2237"/>
      <c r="BF1686" s="2237"/>
      <c r="BG1686" s="2237"/>
      <c r="BH1686" s="2237"/>
      <c r="BI1686" s="2237"/>
      <c r="BJ1686" s="2237"/>
      <c r="BK1686" s="2237"/>
      <c r="BL1686" s="2237"/>
      <c r="BM1686" s="2237"/>
      <c r="BN1686" s="2237"/>
      <c r="BO1686" s="2237"/>
      <c r="BP1686" s="2237"/>
      <c r="BQ1686" s="2237"/>
      <c r="BR1686" s="2237"/>
      <c r="BS1686" s="2237"/>
      <c r="BT1686" s="2237"/>
      <c r="BU1686" s="2237"/>
      <c r="BV1686" s="2237"/>
      <c r="BW1686" s="2237"/>
      <c r="BX1686" s="2237"/>
      <c r="BY1686" s="2237"/>
      <c r="BZ1686" s="2237"/>
      <c r="CA1686" s="2237"/>
      <c r="CB1686" s="2237"/>
      <c r="CC1686" s="2237"/>
      <c r="CD1686" s="2237"/>
      <c r="CE1686" s="2237"/>
      <c r="CF1686" s="2237"/>
      <c r="CG1686" s="2237"/>
      <c r="CH1686" s="2237"/>
      <c r="CI1686" s="2237"/>
      <c r="CJ1686" s="2237"/>
      <c r="CK1686" s="2237"/>
      <c r="CL1686" s="2237"/>
      <c r="CM1686" s="2237"/>
      <c r="CN1686" s="2237"/>
      <c r="CO1686" s="2237"/>
      <c r="CP1686" s="2237"/>
      <c r="CQ1686" s="2237"/>
      <c r="CR1686" s="2237"/>
      <c r="CS1686" s="2237"/>
      <c r="CT1686" s="2237"/>
      <c r="CU1686" s="2237"/>
      <c r="CV1686" s="2237"/>
      <c r="CW1686" s="2237"/>
      <c r="CX1686" s="2237"/>
      <c r="CY1686" s="2237"/>
      <c r="CZ1686" s="2237"/>
      <c r="DA1686" s="2237"/>
      <c r="DB1686" s="2237"/>
      <c r="DC1686" s="2237"/>
      <c r="DD1686" s="2237"/>
      <c r="DE1686" s="2237"/>
      <c r="DF1686" s="3393" t="str">
        <f t="shared" si="248"/>
        <v>ASHP-SEER21-Replace_CAC_ElectricHeat_ER2_MF_CompE</v>
      </c>
      <c r="DG1686" s="3332"/>
      <c r="DH1686" s="2882" t="str">
        <f t="shared" si="252"/>
        <v>Cooling Res ER2 12 Year EUL</v>
      </c>
      <c r="DI1686" s="3260">
        <f>(INDEX('Avoided Cost Benefits'!$B$4:$B$866,MATCH(DH1686,'Avoided Cost Benefits'!$A$4:$A$866,0)))*F1686</f>
        <v>534.03993274017171</v>
      </c>
      <c r="DJ1686" s="2507">
        <f t="shared" si="254"/>
        <v>0</v>
      </c>
      <c r="DM1686" s="252"/>
    </row>
    <row r="1687" spans="1:117">
      <c r="A1687" s="453"/>
      <c r="B1687" s="1454">
        <f t="shared" si="245"/>
        <v>353601</v>
      </c>
      <c r="C1687" s="2554" t="str">
        <f>C1686</f>
        <v>353601_2024_12_</v>
      </c>
      <c r="D1687" s="3383" t="s">
        <v>1118</v>
      </c>
      <c r="E1687" s="2522" t="s">
        <v>2326</v>
      </c>
      <c r="F1687" s="3373">
        <f>ROUND((($K$2003*$K$2196*(1/$K$2389-1/$K$2582)*$K$3547)/1000)*$K$3651,2)</f>
        <v>2304.4699999999998</v>
      </c>
      <c r="G1687" s="3384" t="str">
        <f>G1683</f>
        <v>Heating Res ER2</v>
      </c>
      <c r="H1687" s="2213">
        <f>VLOOKUP(G1687,'CP FACTORS'!$A$3:$B$38, 2, FALSE)</f>
        <v>0</v>
      </c>
      <c r="I1687" s="3405">
        <f t="shared" si="251"/>
        <v>0</v>
      </c>
      <c r="J1687" s="2449">
        <f t="shared" si="249"/>
        <v>12</v>
      </c>
      <c r="K1687" s="2894">
        <f t="shared" si="246"/>
        <v>0</v>
      </c>
      <c r="L1687" s="2649"/>
      <c r="M1687" s="3386"/>
      <c r="N1687" s="3387"/>
      <c r="O1687" s="2702"/>
      <c r="P1687" s="635"/>
      <c r="Q1687" s="635"/>
      <c r="R1687" s="2966"/>
      <c r="S1687" s="635"/>
      <c r="T1687" s="635"/>
      <c r="U1687" s="3388"/>
      <c r="V1687" s="2962" t="s">
        <v>45</v>
      </c>
      <c r="W1687" s="3389"/>
      <c r="X1687" s="3390"/>
      <c r="Y1687" s="3369">
        <v>2304.4699999999998</v>
      </c>
      <c r="Z1687" s="3373">
        <v>2304.4699999999998</v>
      </c>
      <c r="AA1687" s="3373">
        <v>2304.4699999999998</v>
      </c>
      <c r="AB1687" s="3400">
        <v>2304.4699999999998</v>
      </c>
      <c r="AC1687" s="3401">
        <v>2304.4699999999998</v>
      </c>
      <c r="AD1687" s="3373">
        <v>2304.4699999999998</v>
      </c>
      <c r="AE1687" s="3373">
        <v>2304.4699999999998</v>
      </c>
      <c r="AF1687" s="2236">
        <f t="shared" si="247"/>
        <v>2304.4699999999998</v>
      </c>
      <c r="AG1687" s="3389"/>
      <c r="AH1687" s="2728"/>
      <c r="AI1687" s="2237"/>
      <c r="AJ1687" s="2237"/>
      <c r="AK1687" s="3392"/>
      <c r="AL1687" s="2237"/>
      <c r="AM1687" s="2237"/>
      <c r="AN1687" s="2237"/>
      <c r="AO1687" s="2237"/>
      <c r="AP1687" s="2237"/>
      <c r="AQ1687" s="2237"/>
      <c r="AR1687" s="2237"/>
      <c r="AS1687" s="2237"/>
      <c r="AT1687" s="2237"/>
      <c r="AU1687" s="2237"/>
      <c r="AV1687" s="2237"/>
      <c r="AW1687" s="2237"/>
      <c r="AX1687" s="2237"/>
      <c r="AY1687" s="2237"/>
      <c r="AZ1687" s="2237"/>
      <c r="BA1687" s="2237"/>
      <c r="BB1687" s="2237"/>
      <c r="BC1687" s="2237"/>
      <c r="BD1687" s="2237"/>
      <c r="BE1687" s="2237"/>
      <c r="BF1687" s="2237"/>
      <c r="BG1687" s="2237"/>
      <c r="BH1687" s="2237"/>
      <c r="BI1687" s="2237"/>
      <c r="BJ1687" s="2237"/>
      <c r="BK1687" s="2237"/>
      <c r="BL1687" s="2237"/>
      <c r="BM1687" s="2237"/>
      <c r="BN1687" s="2237"/>
      <c r="BO1687" s="2237"/>
      <c r="BP1687" s="2237"/>
      <c r="BQ1687" s="2237"/>
      <c r="BR1687" s="2237"/>
      <c r="BS1687" s="2237"/>
      <c r="BT1687" s="2237"/>
      <c r="BU1687" s="2237"/>
      <c r="BV1687" s="2237"/>
      <c r="BW1687" s="2237"/>
      <c r="BX1687" s="2237"/>
      <c r="BY1687" s="2237"/>
      <c r="BZ1687" s="2237"/>
      <c r="CA1687" s="2237"/>
      <c r="CB1687" s="2237"/>
      <c r="CC1687" s="2237"/>
      <c r="CD1687" s="2237"/>
      <c r="CE1687" s="2237"/>
      <c r="CF1687" s="2237"/>
      <c r="CG1687" s="2237"/>
      <c r="CH1687" s="2237"/>
      <c r="CI1687" s="2237"/>
      <c r="CJ1687" s="2237"/>
      <c r="CK1687" s="2237"/>
      <c r="CL1687" s="2237"/>
      <c r="CM1687" s="2237"/>
      <c r="CN1687" s="2237"/>
      <c r="CO1687" s="2237"/>
      <c r="CP1687" s="2237"/>
      <c r="CQ1687" s="2237"/>
      <c r="CR1687" s="2237"/>
      <c r="CS1687" s="2237"/>
      <c r="CT1687" s="2237"/>
      <c r="CU1687" s="2237"/>
      <c r="CV1687" s="2237"/>
      <c r="CW1687" s="2237"/>
      <c r="CX1687" s="2237"/>
      <c r="CY1687" s="2237"/>
      <c r="CZ1687" s="2237"/>
      <c r="DA1687" s="2237"/>
      <c r="DB1687" s="2237"/>
      <c r="DC1687" s="2237"/>
      <c r="DD1687" s="2237"/>
      <c r="DE1687" s="2237"/>
      <c r="DF1687" s="3393" t="str">
        <f t="shared" si="248"/>
        <v>ASHP-SEER21-Replace_CAC_ElectricHeat_ER2_MF_CompE</v>
      </c>
      <c r="DG1687" s="3332"/>
      <c r="DH1687" s="2522" t="str">
        <f t="shared" si="252"/>
        <v>Heating Res ER2 12 Year EUL</v>
      </c>
      <c r="DI1687" s="3260">
        <f>(INDEX('Avoided Cost Benefits'!$B$4:$B$866,MATCH(DH1687,'Avoided Cost Benefits'!$A$4:$A$866,0)))*F1687</f>
        <v>778.67125334823891</v>
      </c>
      <c r="DJ1687" s="2507">
        <f t="shared" si="254"/>
        <v>0</v>
      </c>
      <c r="DM1687" s="252"/>
    </row>
    <row r="1688" spans="1:117">
      <c r="A1688" s="453"/>
      <c r="B1688" s="1454">
        <f t="shared" si="245"/>
        <v>353610</v>
      </c>
      <c r="C1688" s="2554" t="s">
        <v>2327</v>
      </c>
      <c r="D1688" s="3383" t="s">
        <v>1122</v>
      </c>
      <c r="E1688" s="2882" t="s">
        <v>2328</v>
      </c>
      <c r="F1688" s="3373">
        <f>ROUND(((K2776*K2969*(1/K3162-1/K3355)*K3548)/1000)*$K$3651,2)</f>
        <v>1521.91</v>
      </c>
      <c r="G1688" s="3384" t="s">
        <v>2077</v>
      </c>
      <c r="H1688" s="2213">
        <f>VLOOKUP(G1688,'CP FACTORS'!$A$3:$B$38, 2, FALSE)</f>
        <v>9.4741810000000004E-4</v>
      </c>
      <c r="I1688" s="3405">
        <f t="shared" si="251"/>
        <v>1.4418850000000001</v>
      </c>
      <c r="J1688" s="2449">
        <f t="shared" si="249"/>
        <v>6</v>
      </c>
      <c r="K1688" s="2467">
        <f t="shared" si="246"/>
        <v>515.05569863275787</v>
      </c>
      <c r="L1688" s="2649">
        <f>L2004</f>
        <v>3.1</v>
      </c>
      <c r="M1688" s="3386"/>
      <c r="N1688" s="3387"/>
      <c r="O1688" s="2702"/>
      <c r="P1688" s="635"/>
      <c r="Q1688" s="635"/>
      <c r="R1688" s="2966"/>
      <c r="S1688" s="635"/>
      <c r="T1688" s="635"/>
      <c r="U1688" s="3388"/>
      <c r="V1688" s="2962" t="s">
        <v>45</v>
      </c>
      <c r="W1688" s="3389"/>
      <c r="X1688" s="3390"/>
      <c r="Y1688" s="3369"/>
      <c r="Z1688" s="3373"/>
      <c r="AA1688" s="3373"/>
      <c r="AB1688" s="3400"/>
      <c r="AC1688" s="3369">
        <v>1521.91</v>
      </c>
      <c r="AD1688" s="3373">
        <v>1521.91</v>
      </c>
      <c r="AE1688" s="3373">
        <v>1521.91</v>
      </c>
      <c r="AF1688" s="2236">
        <f t="shared" si="247"/>
        <v>1521.91</v>
      </c>
      <c r="AG1688" s="3389"/>
      <c r="AH1688" s="2728"/>
      <c r="AI1688" s="2237"/>
      <c r="AJ1688" s="2237"/>
      <c r="AK1688" s="3392"/>
      <c r="AL1688" s="2237"/>
      <c r="AM1688" s="2237"/>
      <c r="AN1688" s="2237"/>
      <c r="AO1688" s="2237"/>
      <c r="AP1688" s="2237"/>
      <c r="AQ1688" s="2237"/>
      <c r="AR1688" s="2237"/>
      <c r="AS1688" s="2237"/>
      <c r="AT1688" s="2237"/>
      <c r="AU1688" s="2237"/>
      <c r="AV1688" s="2237"/>
      <c r="AW1688" s="2237"/>
      <c r="AX1688" s="2237"/>
      <c r="AY1688" s="2237"/>
      <c r="AZ1688" s="2237"/>
      <c r="BA1688" s="2237"/>
      <c r="BB1688" s="2237"/>
      <c r="BC1688" s="2237"/>
      <c r="BD1688" s="2237"/>
      <c r="BE1688" s="2237"/>
      <c r="BF1688" s="2237"/>
      <c r="BG1688" s="2237"/>
      <c r="BH1688" s="2237"/>
      <c r="BI1688" s="2237"/>
      <c r="BJ1688" s="2237"/>
      <c r="BK1688" s="2237"/>
      <c r="BL1688" s="2237"/>
      <c r="BM1688" s="2237"/>
      <c r="BN1688" s="2237"/>
      <c r="BO1688" s="2237"/>
      <c r="BP1688" s="2237"/>
      <c r="BQ1688" s="2237"/>
      <c r="BR1688" s="2237"/>
      <c r="BS1688" s="2237"/>
      <c r="BT1688" s="2237"/>
      <c r="BU1688" s="2237"/>
      <c r="BV1688" s="2237"/>
      <c r="BW1688" s="2237"/>
      <c r="BX1688" s="2237"/>
      <c r="BY1688" s="2237"/>
      <c r="BZ1688" s="2237"/>
      <c r="CA1688" s="2237"/>
      <c r="CB1688" s="2237"/>
      <c r="CC1688" s="2237"/>
      <c r="CD1688" s="2237"/>
      <c r="CE1688" s="2237"/>
      <c r="CF1688" s="2237"/>
      <c r="CG1688" s="2237"/>
      <c r="CH1688" s="2237"/>
      <c r="CI1688" s="2237"/>
      <c r="CJ1688" s="2237"/>
      <c r="CK1688" s="2237"/>
      <c r="CL1688" s="2237"/>
      <c r="CM1688" s="2237"/>
      <c r="CN1688" s="2237"/>
      <c r="CO1688" s="2237"/>
      <c r="CP1688" s="2237"/>
      <c r="CQ1688" s="2237"/>
      <c r="CR1688" s="2237"/>
      <c r="CS1688" s="2237"/>
      <c r="CT1688" s="2237"/>
      <c r="CU1688" s="2237"/>
      <c r="CV1688" s="2237"/>
      <c r="CW1688" s="2237"/>
      <c r="CX1688" s="2237"/>
      <c r="CY1688" s="2237"/>
      <c r="CZ1688" s="2237"/>
      <c r="DA1688" s="2237"/>
      <c r="DB1688" s="2237"/>
      <c r="DC1688" s="2237"/>
      <c r="DD1688" s="2237"/>
      <c r="DE1688" s="2237"/>
      <c r="DF1688" s="3393" t="str">
        <f t="shared" si="248"/>
        <v>ASHP-SEER21-Replace_CAC_NonElectricHeat_ER1_MF</v>
      </c>
      <c r="DG1688" s="3259">
        <f>(DI1688+DI1689+DI1690+DI1691)/(DJ1688+DJ1689+DJ1690+DJ1691)</f>
        <v>4.3682484032031637</v>
      </c>
      <c r="DH1688" s="2882" t="str">
        <f t="shared" si="252"/>
        <v>Cooling Res 6 Year EUL</v>
      </c>
      <c r="DI1688" s="3260">
        <f>(INDEX('Avoided Cost Benefits'!$B$4:$B$866,MATCH(DH1688,'Avoided Cost Benefits'!$A$4:$A$866,0)))*F1688</f>
        <v>1515.5911777985073</v>
      </c>
      <c r="DJ1688" s="2507">
        <f t="shared" si="254"/>
        <v>515.05569863275787</v>
      </c>
      <c r="DM1688" s="252"/>
    </row>
    <row r="1689" spans="1:117">
      <c r="A1689" s="453"/>
      <c r="B1689" s="1454">
        <f t="shared" si="245"/>
        <v>353610</v>
      </c>
      <c r="C1689" s="2554" t="s">
        <v>2327</v>
      </c>
      <c r="D1689" s="3383" t="s">
        <v>1122</v>
      </c>
      <c r="E1689" s="2882" t="s">
        <v>2328</v>
      </c>
      <c r="F1689" s="3373">
        <v>0</v>
      </c>
      <c r="G1689" s="3384" t="s">
        <v>2078</v>
      </c>
      <c r="H1689" s="2213">
        <f>VLOOKUP(G1689,'CP FACTORS'!$A$3:$B$38, 2, FALSE)</f>
        <v>0</v>
      </c>
      <c r="I1689" s="3405">
        <f t="shared" si="251"/>
        <v>0</v>
      </c>
      <c r="J1689" s="2449">
        <f t="shared" si="249"/>
        <v>6</v>
      </c>
      <c r="K1689" s="2894">
        <f t="shared" si="246"/>
        <v>0</v>
      </c>
      <c r="L1689" s="2649"/>
      <c r="M1689" s="3386"/>
      <c r="N1689" s="3387"/>
      <c r="O1689" s="2702"/>
      <c r="P1689" s="635"/>
      <c r="Q1689" s="635"/>
      <c r="R1689" s="2966"/>
      <c r="S1689" s="635"/>
      <c r="T1689" s="635"/>
      <c r="U1689" s="3388"/>
      <c r="V1689" s="2962" t="s">
        <v>45</v>
      </c>
      <c r="W1689" s="3389"/>
      <c r="X1689" s="3390"/>
      <c r="Y1689" s="3369"/>
      <c r="Z1689" s="3373"/>
      <c r="AA1689" s="3373"/>
      <c r="AB1689" s="3400"/>
      <c r="AC1689" s="3369">
        <v>0</v>
      </c>
      <c r="AD1689" s="3373">
        <v>0</v>
      </c>
      <c r="AE1689" s="3373">
        <v>0</v>
      </c>
      <c r="AF1689" s="2236">
        <f t="shared" si="247"/>
        <v>0</v>
      </c>
      <c r="AG1689" s="3389"/>
      <c r="AH1689" s="2728"/>
      <c r="AI1689" s="2237"/>
      <c r="AJ1689" s="2237"/>
      <c r="AK1689" s="3392"/>
      <c r="AL1689" s="2237"/>
      <c r="AM1689" s="2237"/>
      <c r="AN1689" s="2237"/>
      <c r="AO1689" s="2237"/>
      <c r="AP1689" s="2237"/>
      <c r="AQ1689" s="2237"/>
      <c r="AR1689" s="2237"/>
      <c r="AS1689" s="2237"/>
      <c r="AT1689" s="2237"/>
      <c r="AU1689" s="2237"/>
      <c r="AV1689" s="2237"/>
      <c r="AW1689" s="2237"/>
      <c r="AX1689" s="2237"/>
      <c r="AY1689" s="2237"/>
      <c r="AZ1689" s="2237"/>
      <c r="BA1689" s="2237"/>
      <c r="BB1689" s="2237"/>
      <c r="BC1689" s="2237"/>
      <c r="BD1689" s="2237"/>
      <c r="BE1689" s="2237"/>
      <c r="BF1689" s="2237"/>
      <c r="BG1689" s="2237"/>
      <c r="BH1689" s="2237"/>
      <c r="BI1689" s="2237"/>
      <c r="BJ1689" s="2237"/>
      <c r="BK1689" s="2237"/>
      <c r="BL1689" s="2237"/>
      <c r="BM1689" s="2237"/>
      <c r="BN1689" s="2237"/>
      <c r="BO1689" s="2237"/>
      <c r="BP1689" s="2237"/>
      <c r="BQ1689" s="2237"/>
      <c r="BR1689" s="2237"/>
      <c r="BS1689" s="2237"/>
      <c r="BT1689" s="2237"/>
      <c r="BU1689" s="2237"/>
      <c r="BV1689" s="2237"/>
      <c r="BW1689" s="2237"/>
      <c r="BX1689" s="2237"/>
      <c r="BY1689" s="2237"/>
      <c r="BZ1689" s="2237"/>
      <c r="CA1689" s="2237"/>
      <c r="CB1689" s="2237"/>
      <c r="CC1689" s="2237"/>
      <c r="CD1689" s="2237"/>
      <c r="CE1689" s="2237"/>
      <c r="CF1689" s="2237"/>
      <c r="CG1689" s="2237"/>
      <c r="CH1689" s="2237"/>
      <c r="CI1689" s="2237"/>
      <c r="CJ1689" s="2237"/>
      <c r="CK1689" s="2237"/>
      <c r="CL1689" s="2237"/>
      <c r="CM1689" s="2237"/>
      <c r="CN1689" s="2237"/>
      <c r="CO1689" s="2237"/>
      <c r="CP1689" s="2237"/>
      <c r="CQ1689" s="2237"/>
      <c r="CR1689" s="2237"/>
      <c r="CS1689" s="2237"/>
      <c r="CT1689" s="2237"/>
      <c r="CU1689" s="2237"/>
      <c r="CV1689" s="2237"/>
      <c r="CW1689" s="2237"/>
      <c r="CX1689" s="2237"/>
      <c r="CY1689" s="2237"/>
      <c r="CZ1689" s="2237"/>
      <c r="DA1689" s="2237"/>
      <c r="DB1689" s="2237"/>
      <c r="DC1689" s="2237"/>
      <c r="DD1689" s="2237"/>
      <c r="DE1689" s="2237"/>
      <c r="DF1689" s="3393" t="str">
        <f t="shared" si="248"/>
        <v>ASHP-SEER21-Replace_CAC_NonElectricHeat_ER1_MF</v>
      </c>
      <c r="DG1689" s="3332"/>
      <c r="DH1689" s="2882" t="str">
        <f t="shared" si="252"/>
        <v>Heating Res 6 Year EUL</v>
      </c>
      <c r="DI1689" s="3260">
        <f>(INDEX('Avoided Cost Benefits'!$B$4:$B$866,MATCH(DH1689,'Avoided Cost Benefits'!$A$4:$A$866,0)))*F1689</f>
        <v>0</v>
      </c>
      <c r="DJ1689" s="2507">
        <f t="shared" si="254"/>
        <v>0</v>
      </c>
      <c r="DM1689" s="252"/>
    </row>
    <row r="1690" spans="1:117">
      <c r="A1690" s="453"/>
      <c r="B1690" s="1454">
        <f t="shared" si="245"/>
        <v>353610</v>
      </c>
      <c r="C1690" s="2554" t="s">
        <v>2327</v>
      </c>
      <c r="D1690" s="3383" t="s">
        <v>1122</v>
      </c>
      <c r="E1690" s="2882" t="s">
        <v>2329</v>
      </c>
      <c r="F1690" s="3369">
        <f>ROUND(((K2777*K2970*(1/K3163-1/K3356)*K3549)/1000)*$K$3651,2)</f>
        <v>567.5</v>
      </c>
      <c r="G1690" s="3384" t="s">
        <v>2138</v>
      </c>
      <c r="H1690" s="2213">
        <f>VLOOKUP(G1690,'CP FACTORS'!$A$3:$B$38, 2, FALSE)</f>
        <v>9.4741810000000004E-4</v>
      </c>
      <c r="I1690" s="3404">
        <f t="shared" si="251"/>
        <v>0.53766000000000003</v>
      </c>
      <c r="J1690" s="2449">
        <f t="shared" si="249"/>
        <v>12</v>
      </c>
      <c r="K1690" s="2894">
        <f t="shared" si="246"/>
        <v>0</v>
      </c>
      <c r="L1690" s="2649"/>
      <c r="M1690" s="3386"/>
      <c r="N1690" s="3387"/>
      <c r="O1690" s="2702"/>
      <c r="P1690" s="635"/>
      <c r="Q1690" s="635"/>
      <c r="R1690" s="2966"/>
      <c r="S1690" s="635"/>
      <c r="T1690" s="635"/>
      <c r="U1690" s="3388"/>
      <c r="V1690" s="2962" t="s">
        <v>45</v>
      </c>
      <c r="W1690" s="3389"/>
      <c r="X1690" s="3390"/>
      <c r="Y1690" s="3369"/>
      <c r="Z1690" s="3373"/>
      <c r="AA1690" s="3373"/>
      <c r="AB1690" s="3400"/>
      <c r="AC1690" s="3369">
        <v>615.75</v>
      </c>
      <c r="AD1690" s="3373">
        <v>615.75</v>
      </c>
      <c r="AE1690" s="3369">
        <v>500.3</v>
      </c>
      <c r="AF1690" s="2236">
        <f t="shared" si="247"/>
        <v>567.5</v>
      </c>
      <c r="AG1690" s="3389"/>
      <c r="AH1690" s="2728"/>
      <c r="AI1690" s="2237"/>
      <c r="AJ1690" s="2237"/>
      <c r="AK1690" s="3392"/>
      <c r="AL1690" s="2237"/>
      <c r="AM1690" s="2237"/>
      <c r="AN1690" s="2237"/>
      <c r="AO1690" s="2237"/>
      <c r="AP1690" s="2237"/>
      <c r="AQ1690" s="2237"/>
      <c r="AR1690" s="2237"/>
      <c r="AS1690" s="2237"/>
      <c r="AT1690" s="2237"/>
      <c r="AU1690" s="2237"/>
      <c r="AV1690" s="2237"/>
      <c r="AW1690" s="2237"/>
      <c r="AX1690" s="2237"/>
      <c r="AY1690" s="2237"/>
      <c r="AZ1690" s="2237"/>
      <c r="BA1690" s="2237"/>
      <c r="BB1690" s="2237"/>
      <c r="BC1690" s="2237"/>
      <c r="BD1690" s="2237"/>
      <c r="BE1690" s="2237"/>
      <c r="BF1690" s="2237"/>
      <c r="BG1690" s="2237"/>
      <c r="BH1690" s="2237"/>
      <c r="BI1690" s="2237"/>
      <c r="BJ1690" s="2237"/>
      <c r="BK1690" s="2237"/>
      <c r="BL1690" s="2237"/>
      <c r="BM1690" s="2237"/>
      <c r="BN1690" s="2237"/>
      <c r="BO1690" s="2237"/>
      <c r="BP1690" s="2237"/>
      <c r="BQ1690" s="2237"/>
      <c r="BR1690" s="2237"/>
      <c r="BS1690" s="2237"/>
      <c r="BT1690" s="2237"/>
      <c r="BU1690" s="2237"/>
      <c r="BV1690" s="2237"/>
      <c r="BW1690" s="2237"/>
      <c r="BX1690" s="2237"/>
      <c r="BY1690" s="2237"/>
      <c r="BZ1690" s="2237"/>
      <c r="CA1690" s="2237"/>
      <c r="CB1690" s="2237"/>
      <c r="CC1690" s="2237"/>
      <c r="CD1690" s="2237"/>
      <c r="CE1690" s="2237"/>
      <c r="CF1690" s="2237"/>
      <c r="CG1690" s="2237"/>
      <c r="CH1690" s="2237"/>
      <c r="CI1690" s="2237"/>
      <c r="CJ1690" s="2237"/>
      <c r="CK1690" s="2237"/>
      <c r="CL1690" s="2237"/>
      <c r="CM1690" s="2237"/>
      <c r="CN1690" s="2237"/>
      <c r="CO1690" s="2237"/>
      <c r="CP1690" s="2237"/>
      <c r="CQ1690" s="2237"/>
      <c r="CR1690" s="2237"/>
      <c r="CS1690" s="2237"/>
      <c r="CT1690" s="2237"/>
      <c r="CU1690" s="2237"/>
      <c r="CV1690" s="2237"/>
      <c r="CW1690" s="2237"/>
      <c r="CX1690" s="2237"/>
      <c r="CY1690" s="2237"/>
      <c r="CZ1690" s="2237"/>
      <c r="DA1690" s="2237"/>
      <c r="DB1690" s="2237"/>
      <c r="DC1690" s="2237"/>
      <c r="DD1690" s="2237"/>
      <c r="DE1690" s="2237"/>
      <c r="DF1690" s="3393" t="str">
        <f t="shared" si="248"/>
        <v>ASHP-SEER21-Replace_CAC_NonElectricHeat_ER2_MF</v>
      </c>
      <c r="DG1690" s="3332"/>
      <c r="DH1690" s="2882" t="str">
        <f t="shared" si="252"/>
        <v>Cooling Res ER2 12 Year EUL</v>
      </c>
      <c r="DI1690" s="3260">
        <f>(INDEX('Avoided Cost Benefits'!$B$4:$B$866,MATCH(DH1690,'Avoided Cost Benefits'!$A$4:$A$866,0)))*F1690</f>
        <v>734.30005531472739</v>
      </c>
      <c r="DJ1690" s="2507">
        <f t="shared" si="254"/>
        <v>0</v>
      </c>
      <c r="DM1690" s="252"/>
    </row>
    <row r="1691" spans="1:117">
      <c r="A1691" s="453"/>
      <c r="B1691" s="1454">
        <f t="shared" si="245"/>
        <v>353610</v>
      </c>
      <c r="C1691" s="2554" t="s">
        <v>2327</v>
      </c>
      <c r="D1691" s="3383" t="s">
        <v>1122</v>
      </c>
      <c r="E1691" s="2522" t="s">
        <v>2329</v>
      </c>
      <c r="F1691" s="3373">
        <v>0</v>
      </c>
      <c r="G1691" s="3384" t="s">
        <v>2173</v>
      </c>
      <c r="H1691" s="2213">
        <f>VLOOKUP(G1691,'CP FACTORS'!$A$3:$B$38, 2, FALSE)</f>
        <v>0</v>
      </c>
      <c r="I1691" s="3405">
        <f t="shared" si="251"/>
        <v>0</v>
      </c>
      <c r="J1691" s="2449">
        <f t="shared" si="249"/>
        <v>12</v>
      </c>
      <c r="K1691" s="2894">
        <f t="shared" si="246"/>
        <v>0</v>
      </c>
      <c r="L1691" s="2649"/>
      <c r="M1691" s="3386"/>
      <c r="N1691" s="3387"/>
      <c r="O1691" s="2702"/>
      <c r="P1691" s="635"/>
      <c r="Q1691" s="635"/>
      <c r="R1691" s="2966"/>
      <c r="S1691" s="635"/>
      <c r="T1691" s="635"/>
      <c r="U1691" s="3388"/>
      <c r="V1691" s="2962" t="s">
        <v>45</v>
      </c>
      <c r="W1691" s="3389"/>
      <c r="X1691" s="3390"/>
      <c r="Y1691" s="3369"/>
      <c r="Z1691" s="3373"/>
      <c r="AA1691" s="3373"/>
      <c r="AB1691" s="3400"/>
      <c r="AC1691" s="3369">
        <v>0</v>
      </c>
      <c r="AD1691" s="3373">
        <v>0</v>
      </c>
      <c r="AE1691" s="3373">
        <v>0</v>
      </c>
      <c r="AF1691" s="2236">
        <f t="shared" si="247"/>
        <v>0</v>
      </c>
      <c r="AG1691" s="3389"/>
      <c r="AH1691" s="2728"/>
      <c r="AI1691" s="2237"/>
      <c r="AJ1691" s="2237"/>
      <c r="AK1691" s="3392"/>
      <c r="AL1691" s="2237"/>
      <c r="AM1691" s="2237"/>
      <c r="AN1691" s="2237"/>
      <c r="AO1691" s="2237"/>
      <c r="AP1691" s="2237"/>
      <c r="AQ1691" s="2237"/>
      <c r="AR1691" s="2237"/>
      <c r="AS1691" s="2237"/>
      <c r="AT1691" s="2237"/>
      <c r="AU1691" s="2237"/>
      <c r="AV1691" s="2237"/>
      <c r="AW1691" s="2237"/>
      <c r="AX1691" s="2237"/>
      <c r="AY1691" s="2237"/>
      <c r="AZ1691" s="2237"/>
      <c r="BA1691" s="2237"/>
      <c r="BB1691" s="2237"/>
      <c r="BC1691" s="2237"/>
      <c r="BD1691" s="2237"/>
      <c r="BE1691" s="2237"/>
      <c r="BF1691" s="2237"/>
      <c r="BG1691" s="2237"/>
      <c r="BH1691" s="2237"/>
      <c r="BI1691" s="2237"/>
      <c r="BJ1691" s="2237"/>
      <c r="BK1691" s="2237"/>
      <c r="BL1691" s="2237"/>
      <c r="BM1691" s="2237"/>
      <c r="BN1691" s="2237"/>
      <c r="BO1691" s="2237"/>
      <c r="BP1691" s="2237"/>
      <c r="BQ1691" s="2237"/>
      <c r="BR1691" s="2237"/>
      <c r="BS1691" s="2237"/>
      <c r="BT1691" s="2237"/>
      <c r="BU1691" s="2237"/>
      <c r="BV1691" s="2237"/>
      <c r="BW1691" s="2237"/>
      <c r="BX1691" s="2237"/>
      <c r="BY1691" s="2237"/>
      <c r="BZ1691" s="2237"/>
      <c r="CA1691" s="2237"/>
      <c r="CB1691" s="2237"/>
      <c r="CC1691" s="2237"/>
      <c r="CD1691" s="2237"/>
      <c r="CE1691" s="2237"/>
      <c r="CF1691" s="2237"/>
      <c r="CG1691" s="2237"/>
      <c r="CH1691" s="2237"/>
      <c r="CI1691" s="2237"/>
      <c r="CJ1691" s="2237"/>
      <c r="CK1691" s="2237"/>
      <c r="CL1691" s="2237"/>
      <c r="CM1691" s="2237"/>
      <c r="CN1691" s="2237"/>
      <c r="CO1691" s="2237"/>
      <c r="CP1691" s="2237"/>
      <c r="CQ1691" s="2237"/>
      <c r="CR1691" s="2237"/>
      <c r="CS1691" s="2237"/>
      <c r="CT1691" s="2237"/>
      <c r="CU1691" s="2237"/>
      <c r="CV1691" s="2237"/>
      <c r="CW1691" s="2237"/>
      <c r="CX1691" s="2237"/>
      <c r="CY1691" s="2237"/>
      <c r="CZ1691" s="2237"/>
      <c r="DA1691" s="2237"/>
      <c r="DB1691" s="2237"/>
      <c r="DC1691" s="2237"/>
      <c r="DD1691" s="2237"/>
      <c r="DE1691" s="2237"/>
      <c r="DF1691" s="3393" t="str">
        <f t="shared" si="248"/>
        <v>ASHP-SEER21-Replace_CAC_NonElectricHeat_ER2_MF</v>
      </c>
      <c r="DG1691" s="3332"/>
      <c r="DH1691" s="2522" t="str">
        <f t="shared" si="252"/>
        <v>Heating Res ER2 12 Year EUL</v>
      </c>
      <c r="DI1691" s="3260">
        <f>(INDEX('Avoided Cost Benefits'!$B$4:$B$866,MATCH(DH1691,'Avoided Cost Benefits'!$A$4:$A$866,0)))*F1691</f>
        <v>0</v>
      </c>
      <c r="DJ1691" s="2507">
        <f t="shared" si="254"/>
        <v>0</v>
      </c>
      <c r="DM1691" s="252"/>
    </row>
    <row r="1692" spans="1:117">
      <c r="A1692" s="453"/>
      <c r="B1692" s="1454">
        <f t="shared" si="245"/>
        <v>353611</v>
      </c>
      <c r="C1692" s="2554" t="s">
        <v>2330</v>
      </c>
      <c r="D1692" s="3383" t="s">
        <v>1118</v>
      </c>
      <c r="E1692" s="2882" t="s">
        <v>2331</v>
      </c>
      <c r="F1692" s="3373">
        <f>ROUND(((K2778*K2971*(1/K3164-1/K3357)*K3550)/1000)*$K$3651,2)</f>
        <v>1106.8399999999999</v>
      </c>
      <c r="G1692" s="3384" t="s">
        <v>2077</v>
      </c>
      <c r="H1692" s="2213">
        <f>VLOOKUP(G1692,'CP FACTORS'!$A$3:$B$38, 2, FALSE)</f>
        <v>9.4741810000000004E-4</v>
      </c>
      <c r="I1692" s="3405">
        <f t="shared" si="251"/>
        <v>1.04864</v>
      </c>
      <c r="J1692" s="2449">
        <f t="shared" si="249"/>
        <v>6</v>
      </c>
      <c r="K1692" s="2467">
        <f t="shared" si="246"/>
        <v>954.04879087450979</v>
      </c>
      <c r="L1692" s="2649">
        <f>L2006</f>
        <v>3.1</v>
      </c>
      <c r="M1692" s="3386"/>
      <c r="N1692" s="3387"/>
      <c r="O1692" s="2702"/>
      <c r="P1692" s="635"/>
      <c r="Q1692" s="635"/>
      <c r="R1692" s="2966"/>
      <c r="S1692" s="635"/>
      <c r="T1692" s="635"/>
      <c r="U1692" s="3388"/>
      <c r="V1692" s="2962" t="s">
        <v>45</v>
      </c>
      <c r="W1692" s="3389"/>
      <c r="X1692" s="3390"/>
      <c r="Y1692" s="3369"/>
      <c r="Z1692" s="3373"/>
      <c r="AA1692" s="3373"/>
      <c r="AB1692" s="3400"/>
      <c r="AC1692" s="3369">
        <v>1106.8399999999999</v>
      </c>
      <c r="AD1692" s="3373">
        <v>1106.8399999999999</v>
      </c>
      <c r="AE1692" s="3373">
        <v>1106.8399999999999</v>
      </c>
      <c r="AF1692" s="2236">
        <f t="shared" si="247"/>
        <v>1106.8399999999999</v>
      </c>
      <c r="AG1692" s="3389"/>
      <c r="AH1692" s="2728"/>
      <c r="AI1692" s="2237"/>
      <c r="AJ1692" s="2237"/>
      <c r="AK1692" s="3392"/>
      <c r="AL1692" s="2237"/>
      <c r="AM1692" s="2237"/>
      <c r="AN1692" s="2237"/>
      <c r="AO1692" s="2237"/>
      <c r="AP1692" s="2237"/>
      <c r="AQ1692" s="2237"/>
      <c r="AR1692" s="2237"/>
      <c r="AS1692" s="2237"/>
      <c r="AT1692" s="2237"/>
      <c r="AU1692" s="2237"/>
      <c r="AV1692" s="2237"/>
      <c r="AW1692" s="2237"/>
      <c r="AX1692" s="2237"/>
      <c r="AY1692" s="2237"/>
      <c r="AZ1692" s="2237"/>
      <c r="BA1692" s="2237"/>
      <c r="BB1692" s="2237"/>
      <c r="BC1692" s="2237"/>
      <c r="BD1692" s="2237"/>
      <c r="BE1692" s="2237"/>
      <c r="BF1692" s="2237"/>
      <c r="BG1692" s="2237"/>
      <c r="BH1692" s="2237"/>
      <c r="BI1692" s="2237"/>
      <c r="BJ1692" s="2237"/>
      <c r="BK1692" s="2237"/>
      <c r="BL1692" s="2237"/>
      <c r="BM1692" s="2237"/>
      <c r="BN1692" s="2237"/>
      <c r="BO1692" s="2237"/>
      <c r="BP1692" s="2237"/>
      <c r="BQ1692" s="2237"/>
      <c r="BR1692" s="2237"/>
      <c r="BS1692" s="2237"/>
      <c r="BT1692" s="2237"/>
      <c r="BU1692" s="2237"/>
      <c r="BV1692" s="2237"/>
      <c r="BW1692" s="2237"/>
      <c r="BX1692" s="2237"/>
      <c r="BY1692" s="2237"/>
      <c r="BZ1692" s="2237"/>
      <c r="CA1692" s="2237"/>
      <c r="CB1692" s="2237"/>
      <c r="CC1692" s="2237"/>
      <c r="CD1692" s="2237"/>
      <c r="CE1692" s="2237"/>
      <c r="CF1692" s="2237"/>
      <c r="CG1692" s="2237"/>
      <c r="CH1692" s="2237"/>
      <c r="CI1692" s="2237"/>
      <c r="CJ1692" s="2237"/>
      <c r="CK1692" s="2237"/>
      <c r="CL1692" s="2237"/>
      <c r="CM1692" s="2237"/>
      <c r="CN1692" s="2237"/>
      <c r="CO1692" s="2237"/>
      <c r="CP1692" s="2237"/>
      <c r="CQ1692" s="2237"/>
      <c r="CR1692" s="2237"/>
      <c r="CS1692" s="2237"/>
      <c r="CT1692" s="2237"/>
      <c r="CU1692" s="2237"/>
      <c r="CV1692" s="2237"/>
      <c r="CW1692" s="2237"/>
      <c r="CX1692" s="2237"/>
      <c r="CY1692" s="2237"/>
      <c r="CZ1692" s="2237"/>
      <c r="DA1692" s="2237"/>
      <c r="DB1692" s="2237"/>
      <c r="DC1692" s="2237"/>
      <c r="DD1692" s="2237"/>
      <c r="DE1692" s="2237"/>
      <c r="DF1692" s="3393" t="str">
        <f t="shared" si="248"/>
        <v>ASHP-SEER21-Replace_CAC_NonElectricHeat_ER1_MF_CompE</v>
      </c>
      <c r="DG1692" s="3259">
        <f>(DI1692+DI1693+DI1694+DI1695)/(DJ1692+DJ1693+DJ1694+DJ1695)</f>
        <v>1.7150951360490703</v>
      </c>
      <c r="DH1692" s="2882" t="str">
        <f t="shared" si="252"/>
        <v>Cooling Res 6 Year EUL</v>
      </c>
      <c r="DI1692" s="3260">
        <f>(INDEX('Avoided Cost Benefits'!$B$4:$B$866,MATCH(DH1692,'Avoided Cost Benefits'!$A$4:$A$866,0)))*F1692</f>
        <v>1102.2445080421967</v>
      </c>
      <c r="DJ1692" s="2507">
        <f t="shared" si="254"/>
        <v>954.04879087450979</v>
      </c>
      <c r="DM1692" s="252"/>
    </row>
    <row r="1693" spans="1:117">
      <c r="A1693" s="453"/>
      <c r="B1693" s="1454">
        <f t="shared" si="245"/>
        <v>353611</v>
      </c>
      <c r="C1693" s="2554" t="s">
        <v>2330</v>
      </c>
      <c r="D1693" s="3383" t="s">
        <v>1118</v>
      </c>
      <c r="E1693" s="2882" t="s">
        <v>2331</v>
      </c>
      <c r="F1693" s="3373">
        <v>0</v>
      </c>
      <c r="G1693" s="3384" t="s">
        <v>2078</v>
      </c>
      <c r="H1693" s="2213">
        <f>VLOOKUP(G1693,'CP FACTORS'!$A$3:$B$38, 2, FALSE)</f>
        <v>0</v>
      </c>
      <c r="I1693" s="3405">
        <f t="shared" si="251"/>
        <v>0</v>
      </c>
      <c r="J1693" s="2449">
        <f t="shared" si="249"/>
        <v>6</v>
      </c>
      <c r="K1693" s="2894">
        <f t="shared" si="246"/>
        <v>0</v>
      </c>
      <c r="L1693" s="2649"/>
      <c r="M1693" s="3386"/>
      <c r="N1693" s="3387"/>
      <c r="O1693" s="2702"/>
      <c r="P1693" s="635"/>
      <c r="Q1693" s="635"/>
      <c r="R1693" s="2966"/>
      <c r="S1693" s="635"/>
      <c r="T1693" s="635"/>
      <c r="U1693" s="3388"/>
      <c r="V1693" s="2962" t="s">
        <v>45</v>
      </c>
      <c r="W1693" s="3389"/>
      <c r="X1693" s="3390"/>
      <c r="Y1693" s="3369"/>
      <c r="Z1693" s="3373"/>
      <c r="AA1693" s="3373"/>
      <c r="AB1693" s="3400"/>
      <c r="AC1693" s="3369">
        <v>0</v>
      </c>
      <c r="AD1693" s="3373">
        <v>0</v>
      </c>
      <c r="AE1693" s="3373">
        <v>0</v>
      </c>
      <c r="AF1693" s="2236">
        <f t="shared" si="247"/>
        <v>0</v>
      </c>
      <c r="AG1693" s="3389"/>
      <c r="AH1693" s="2728"/>
      <c r="AI1693" s="2237"/>
      <c r="AJ1693" s="2237"/>
      <c r="AK1693" s="3392"/>
      <c r="AL1693" s="2237"/>
      <c r="AM1693" s="2237"/>
      <c r="AN1693" s="2237"/>
      <c r="AO1693" s="2237"/>
      <c r="AP1693" s="2237"/>
      <c r="AQ1693" s="2237"/>
      <c r="AR1693" s="2237"/>
      <c r="AS1693" s="2237"/>
      <c r="AT1693" s="2237"/>
      <c r="AU1693" s="2237"/>
      <c r="AV1693" s="2237"/>
      <c r="AW1693" s="2237"/>
      <c r="AX1693" s="2237"/>
      <c r="AY1693" s="2237"/>
      <c r="AZ1693" s="2237"/>
      <c r="BA1693" s="2237"/>
      <c r="BB1693" s="2237"/>
      <c r="BC1693" s="2237"/>
      <c r="BD1693" s="2237"/>
      <c r="BE1693" s="2237"/>
      <c r="BF1693" s="2237"/>
      <c r="BG1693" s="2237"/>
      <c r="BH1693" s="2237"/>
      <c r="BI1693" s="2237"/>
      <c r="BJ1693" s="2237"/>
      <c r="BK1693" s="2237"/>
      <c r="BL1693" s="2237"/>
      <c r="BM1693" s="2237"/>
      <c r="BN1693" s="2237"/>
      <c r="BO1693" s="2237"/>
      <c r="BP1693" s="2237"/>
      <c r="BQ1693" s="2237"/>
      <c r="BR1693" s="2237"/>
      <c r="BS1693" s="2237"/>
      <c r="BT1693" s="2237"/>
      <c r="BU1693" s="2237"/>
      <c r="BV1693" s="2237"/>
      <c r="BW1693" s="2237"/>
      <c r="BX1693" s="2237"/>
      <c r="BY1693" s="2237"/>
      <c r="BZ1693" s="2237"/>
      <c r="CA1693" s="2237"/>
      <c r="CB1693" s="2237"/>
      <c r="CC1693" s="2237"/>
      <c r="CD1693" s="2237"/>
      <c r="CE1693" s="2237"/>
      <c r="CF1693" s="2237"/>
      <c r="CG1693" s="2237"/>
      <c r="CH1693" s="2237"/>
      <c r="CI1693" s="2237"/>
      <c r="CJ1693" s="2237"/>
      <c r="CK1693" s="2237"/>
      <c r="CL1693" s="2237"/>
      <c r="CM1693" s="2237"/>
      <c r="CN1693" s="2237"/>
      <c r="CO1693" s="2237"/>
      <c r="CP1693" s="2237"/>
      <c r="CQ1693" s="2237"/>
      <c r="CR1693" s="2237"/>
      <c r="CS1693" s="2237"/>
      <c r="CT1693" s="2237"/>
      <c r="CU1693" s="2237"/>
      <c r="CV1693" s="2237"/>
      <c r="CW1693" s="2237"/>
      <c r="CX1693" s="2237"/>
      <c r="CY1693" s="2237"/>
      <c r="CZ1693" s="2237"/>
      <c r="DA1693" s="2237"/>
      <c r="DB1693" s="2237"/>
      <c r="DC1693" s="2237"/>
      <c r="DD1693" s="2237"/>
      <c r="DE1693" s="2237"/>
      <c r="DF1693" s="3393" t="str">
        <f t="shared" si="248"/>
        <v>ASHP-SEER21-Replace_CAC_NonElectricHeat_ER1_MF_CompE</v>
      </c>
      <c r="DG1693" s="3332"/>
      <c r="DH1693" s="2882" t="str">
        <f t="shared" si="252"/>
        <v>Heating Res 6 Year EUL</v>
      </c>
      <c r="DI1693" s="3260">
        <f>(INDEX('Avoided Cost Benefits'!$B$4:$B$866,MATCH(DH1693,'Avoided Cost Benefits'!$A$4:$A$866,0)))*F1693</f>
        <v>0</v>
      </c>
      <c r="DJ1693" s="2507">
        <f t="shared" si="254"/>
        <v>0</v>
      </c>
      <c r="DM1693" s="252"/>
    </row>
    <row r="1694" spans="1:117">
      <c r="A1694" s="453"/>
      <c r="B1694" s="1454">
        <f t="shared" si="245"/>
        <v>353611</v>
      </c>
      <c r="C1694" s="2554" t="s">
        <v>2330</v>
      </c>
      <c r="D1694" s="3383" t="s">
        <v>1118</v>
      </c>
      <c r="E1694" s="2882" t="s">
        <v>2332</v>
      </c>
      <c r="F1694" s="3369">
        <f>ROUND(((K2779*K2972*(1/K3165-1/K3358)*K3551)/1000)*$K$3651,2)</f>
        <v>412.73</v>
      </c>
      <c r="G1694" s="3384" t="s">
        <v>2138</v>
      </c>
      <c r="H1694" s="2213">
        <f>VLOOKUP(G1694,'CP FACTORS'!$A$3:$B$38, 2, FALSE)</f>
        <v>9.4741810000000004E-4</v>
      </c>
      <c r="I1694" s="3404">
        <f t="shared" si="251"/>
        <v>0.39102799999999999</v>
      </c>
      <c r="J1694" s="2449">
        <f t="shared" si="249"/>
        <v>12</v>
      </c>
      <c r="K1694" s="2894">
        <f t="shared" si="246"/>
        <v>0</v>
      </c>
      <c r="L1694" s="2649"/>
      <c r="M1694" s="3386"/>
      <c r="N1694" s="3387"/>
      <c r="O1694" s="2702"/>
      <c r="P1694" s="635"/>
      <c r="Q1694" s="635"/>
      <c r="R1694" s="2966"/>
      <c r="S1694" s="635"/>
      <c r="T1694" s="635"/>
      <c r="U1694" s="3388"/>
      <c r="V1694" s="2962" t="s">
        <v>45</v>
      </c>
      <c r="W1694" s="3389"/>
      <c r="X1694" s="3390"/>
      <c r="Y1694" s="3369"/>
      <c r="Z1694" s="3373"/>
      <c r="AA1694" s="3373"/>
      <c r="AB1694" s="3400"/>
      <c r="AC1694" s="3369">
        <v>447.82</v>
      </c>
      <c r="AD1694" s="3373">
        <v>447.82</v>
      </c>
      <c r="AE1694" s="3369">
        <v>363.85</v>
      </c>
      <c r="AF1694" s="2236">
        <f t="shared" si="247"/>
        <v>412.73</v>
      </c>
      <c r="AG1694" s="3389"/>
      <c r="AH1694" s="2728"/>
      <c r="AI1694" s="2237"/>
      <c r="AJ1694" s="2237"/>
      <c r="AK1694" s="3392"/>
      <c r="AL1694" s="2237"/>
      <c r="AM1694" s="2237"/>
      <c r="AN1694" s="2237"/>
      <c r="AO1694" s="2237"/>
      <c r="AP1694" s="2237"/>
      <c r="AQ1694" s="2237"/>
      <c r="AR1694" s="2237"/>
      <c r="AS1694" s="2237"/>
      <c r="AT1694" s="2237"/>
      <c r="AU1694" s="2237"/>
      <c r="AV1694" s="2237"/>
      <c r="AW1694" s="2237"/>
      <c r="AX1694" s="2237"/>
      <c r="AY1694" s="2237"/>
      <c r="AZ1694" s="2237"/>
      <c r="BA1694" s="2237"/>
      <c r="BB1694" s="2237"/>
      <c r="BC1694" s="2237"/>
      <c r="BD1694" s="2237"/>
      <c r="BE1694" s="2237"/>
      <c r="BF1694" s="2237"/>
      <c r="BG1694" s="2237"/>
      <c r="BH1694" s="2237"/>
      <c r="BI1694" s="2237"/>
      <c r="BJ1694" s="2237"/>
      <c r="BK1694" s="2237"/>
      <c r="BL1694" s="2237"/>
      <c r="BM1694" s="2237"/>
      <c r="BN1694" s="2237"/>
      <c r="BO1694" s="2237"/>
      <c r="BP1694" s="2237"/>
      <c r="BQ1694" s="2237"/>
      <c r="BR1694" s="2237"/>
      <c r="BS1694" s="2237"/>
      <c r="BT1694" s="2237"/>
      <c r="BU1694" s="2237"/>
      <c r="BV1694" s="2237"/>
      <c r="BW1694" s="2237"/>
      <c r="BX1694" s="2237"/>
      <c r="BY1694" s="2237"/>
      <c r="BZ1694" s="2237"/>
      <c r="CA1694" s="2237"/>
      <c r="CB1694" s="2237"/>
      <c r="CC1694" s="2237"/>
      <c r="CD1694" s="2237"/>
      <c r="CE1694" s="2237"/>
      <c r="CF1694" s="2237"/>
      <c r="CG1694" s="2237"/>
      <c r="CH1694" s="2237"/>
      <c r="CI1694" s="2237"/>
      <c r="CJ1694" s="2237"/>
      <c r="CK1694" s="2237"/>
      <c r="CL1694" s="2237"/>
      <c r="CM1694" s="2237"/>
      <c r="CN1694" s="2237"/>
      <c r="CO1694" s="2237"/>
      <c r="CP1694" s="2237"/>
      <c r="CQ1694" s="2237"/>
      <c r="CR1694" s="2237"/>
      <c r="CS1694" s="2237"/>
      <c r="CT1694" s="2237"/>
      <c r="CU1694" s="2237"/>
      <c r="CV1694" s="2237"/>
      <c r="CW1694" s="2237"/>
      <c r="CX1694" s="2237"/>
      <c r="CY1694" s="2237"/>
      <c r="CZ1694" s="2237"/>
      <c r="DA1694" s="2237"/>
      <c r="DB1694" s="2237"/>
      <c r="DC1694" s="2237"/>
      <c r="DD1694" s="2237"/>
      <c r="DE1694" s="2237"/>
      <c r="DF1694" s="3393" t="str">
        <f t="shared" si="248"/>
        <v>ASHP-SEER21-Replace_CAC_NonElectricHeat_ER2_MF_CompE</v>
      </c>
      <c r="DG1694" s="3332"/>
      <c r="DH1694" s="2882" t="str">
        <f t="shared" si="252"/>
        <v>Cooling Res ER2 12 Year EUL</v>
      </c>
      <c r="DI1694" s="3260">
        <f>(INDEX('Avoided Cost Benefits'!$B$4:$B$866,MATCH(DH1694,'Avoided Cost Benefits'!$A$4:$A$866,0)))*F1694</f>
        <v>534.03993274017171</v>
      </c>
      <c r="DJ1694" s="2507">
        <f t="shared" si="254"/>
        <v>0</v>
      </c>
      <c r="DM1694" s="252"/>
    </row>
    <row r="1695" spans="1:117">
      <c r="A1695" s="453"/>
      <c r="B1695" s="1454">
        <f t="shared" si="245"/>
        <v>353611</v>
      </c>
      <c r="C1695" s="2554" t="s">
        <v>2330</v>
      </c>
      <c r="D1695" s="3383" t="s">
        <v>1118</v>
      </c>
      <c r="E1695" s="2882" t="s">
        <v>2332</v>
      </c>
      <c r="F1695" s="3373">
        <f>0</f>
        <v>0</v>
      </c>
      <c r="G1695" s="3384" t="s">
        <v>2173</v>
      </c>
      <c r="H1695" s="2213">
        <f>VLOOKUP(G1695,'CP FACTORS'!$A$3:$B$38, 2, FALSE)</f>
        <v>0</v>
      </c>
      <c r="I1695" s="3405">
        <f t="shared" si="251"/>
        <v>0</v>
      </c>
      <c r="J1695" s="2449">
        <f t="shared" si="249"/>
        <v>12</v>
      </c>
      <c r="K1695" s="2894">
        <f t="shared" si="246"/>
        <v>0</v>
      </c>
      <c r="L1695" s="2649"/>
      <c r="M1695" s="3386"/>
      <c r="N1695" s="3387"/>
      <c r="O1695" s="2702"/>
      <c r="P1695" s="635"/>
      <c r="Q1695" s="635"/>
      <c r="R1695" s="2966"/>
      <c r="S1695" s="635"/>
      <c r="T1695" s="635"/>
      <c r="U1695" s="3388"/>
      <c r="V1695" s="2962" t="s">
        <v>45</v>
      </c>
      <c r="W1695" s="3389"/>
      <c r="X1695" s="3390"/>
      <c r="Y1695" s="3369"/>
      <c r="Z1695" s="3373"/>
      <c r="AA1695" s="3373"/>
      <c r="AB1695" s="3400"/>
      <c r="AC1695" s="3369">
        <v>0</v>
      </c>
      <c r="AD1695" s="3373">
        <v>0</v>
      </c>
      <c r="AE1695" s="3373">
        <v>0</v>
      </c>
      <c r="AF1695" s="2236">
        <f t="shared" si="247"/>
        <v>0</v>
      </c>
      <c r="AG1695" s="3389"/>
      <c r="AH1695" s="2728"/>
      <c r="AI1695" s="2237"/>
      <c r="AJ1695" s="2237"/>
      <c r="AK1695" s="3392"/>
      <c r="AL1695" s="2237"/>
      <c r="AM1695" s="2237"/>
      <c r="AN1695" s="2237"/>
      <c r="AO1695" s="2237"/>
      <c r="AP1695" s="2237"/>
      <c r="AQ1695" s="2237"/>
      <c r="AR1695" s="2237"/>
      <c r="AS1695" s="2237"/>
      <c r="AT1695" s="2237"/>
      <c r="AU1695" s="2237"/>
      <c r="AV1695" s="2237"/>
      <c r="AW1695" s="2237"/>
      <c r="AX1695" s="2237"/>
      <c r="AY1695" s="2237"/>
      <c r="AZ1695" s="2237"/>
      <c r="BA1695" s="2237"/>
      <c r="BB1695" s="2237"/>
      <c r="BC1695" s="2237"/>
      <c r="BD1695" s="2237"/>
      <c r="BE1695" s="2237"/>
      <c r="BF1695" s="2237"/>
      <c r="BG1695" s="2237"/>
      <c r="BH1695" s="2237"/>
      <c r="BI1695" s="2237"/>
      <c r="BJ1695" s="2237"/>
      <c r="BK1695" s="2237"/>
      <c r="BL1695" s="2237"/>
      <c r="BM1695" s="2237"/>
      <c r="BN1695" s="2237"/>
      <c r="BO1695" s="2237"/>
      <c r="BP1695" s="2237"/>
      <c r="BQ1695" s="2237"/>
      <c r="BR1695" s="2237"/>
      <c r="BS1695" s="2237"/>
      <c r="BT1695" s="2237"/>
      <c r="BU1695" s="2237"/>
      <c r="BV1695" s="2237"/>
      <c r="BW1695" s="2237"/>
      <c r="BX1695" s="2237"/>
      <c r="BY1695" s="2237"/>
      <c r="BZ1695" s="2237"/>
      <c r="CA1695" s="2237"/>
      <c r="CB1695" s="2237"/>
      <c r="CC1695" s="2237"/>
      <c r="CD1695" s="2237"/>
      <c r="CE1695" s="2237"/>
      <c r="CF1695" s="2237"/>
      <c r="CG1695" s="2237"/>
      <c r="CH1695" s="2237"/>
      <c r="CI1695" s="2237"/>
      <c r="CJ1695" s="2237"/>
      <c r="CK1695" s="2237"/>
      <c r="CL1695" s="2237"/>
      <c r="CM1695" s="2237"/>
      <c r="CN1695" s="2237"/>
      <c r="CO1695" s="2237"/>
      <c r="CP1695" s="2237"/>
      <c r="CQ1695" s="2237"/>
      <c r="CR1695" s="2237"/>
      <c r="CS1695" s="2237"/>
      <c r="CT1695" s="2237"/>
      <c r="CU1695" s="2237"/>
      <c r="CV1695" s="2237"/>
      <c r="CW1695" s="2237"/>
      <c r="CX1695" s="2237"/>
      <c r="CY1695" s="2237"/>
      <c r="CZ1695" s="2237"/>
      <c r="DA1695" s="2237"/>
      <c r="DB1695" s="2237"/>
      <c r="DC1695" s="2237"/>
      <c r="DD1695" s="2237"/>
      <c r="DE1695" s="2237"/>
      <c r="DF1695" s="3393" t="str">
        <f t="shared" si="248"/>
        <v>ASHP-SEER21-Replace_CAC_NonElectricHeat_ER2_MF_CompE</v>
      </c>
      <c r="DG1695" s="3332"/>
      <c r="DH1695" s="2882" t="str">
        <f t="shared" si="252"/>
        <v>Heating Res ER2 12 Year EUL</v>
      </c>
      <c r="DI1695" s="3260">
        <f>(INDEX('Avoided Cost Benefits'!$B$4:$B$866,MATCH(DH1695,'Avoided Cost Benefits'!$A$4:$A$866,0)))*F1695</f>
        <v>0</v>
      </c>
      <c r="DJ1695" s="2507">
        <f t="shared" si="254"/>
        <v>0</v>
      </c>
      <c r="DM1695" s="252"/>
    </row>
    <row r="1696" spans="1:117">
      <c r="A1696" s="453"/>
      <c r="B1696" s="1454">
        <f t="shared" si="245"/>
        <v>353650</v>
      </c>
      <c r="C1696" s="682" t="s">
        <v>2333</v>
      </c>
      <c r="D1696" s="3470" t="s">
        <v>1043</v>
      </c>
      <c r="E1696" s="215" t="s">
        <v>2334</v>
      </c>
      <c r="F1696" s="227">
        <f>ROUND(((K2780*K2973*(1/K3166-1/K3359)*K3552)/1000)*$K$3651,2)</f>
        <v>981.12</v>
      </c>
      <c r="G1696" s="570" t="s">
        <v>2077</v>
      </c>
      <c r="H1696" s="69">
        <f>VLOOKUP(G1696,'CP FACTORS'!$A$3:$B$38, 2, FALSE)</f>
        <v>9.4741810000000004E-4</v>
      </c>
      <c r="I1696" s="1477">
        <f t="shared" si="251"/>
        <v>0.929531</v>
      </c>
      <c r="J1696" s="59">
        <f t="shared" si="249"/>
        <v>18</v>
      </c>
      <c r="K1696" s="166">
        <f t="shared" si="246"/>
        <v>4678.9696970312507</v>
      </c>
      <c r="L1696" s="1107">
        <f>L2008</f>
        <v>3.4699494950520831</v>
      </c>
      <c r="M1696" s="560"/>
      <c r="N1696" s="572"/>
      <c r="O1696" s="417"/>
      <c r="R1696" s="532"/>
      <c r="S1696" s="52"/>
      <c r="T1696" s="52"/>
      <c r="U1696" s="574"/>
      <c r="V1696" s="1442" t="s">
        <v>45</v>
      </c>
      <c r="W1696" s="962">
        <v>977.86373626373654</v>
      </c>
      <c r="X1696" s="254">
        <v>977.86373626373654</v>
      </c>
      <c r="Y1696" s="225">
        <v>977.86</v>
      </c>
      <c r="Z1696" s="225">
        <v>977.86</v>
      </c>
      <c r="AA1696" s="225">
        <v>977.86</v>
      </c>
      <c r="AB1696" s="1027">
        <v>977.86</v>
      </c>
      <c r="AC1696" s="227">
        <v>1109.96</v>
      </c>
      <c r="AD1696" s="227">
        <v>1127.3</v>
      </c>
      <c r="AE1696" s="227">
        <v>999.42</v>
      </c>
      <c r="AF1696" s="271">
        <f t="shared" si="247"/>
        <v>981.12</v>
      </c>
      <c r="AG1696" s="962"/>
      <c r="AH1696" s="121"/>
      <c r="AK1696" s="963"/>
      <c r="DF1696" s="1650" t="str">
        <f t="shared" si="248"/>
        <v>ASHP-SEER21-Replace_CAC_ElectricHeat_ROF_SF</v>
      </c>
      <c r="DG1696" s="1090">
        <f>(DI1696+DI1697)/(DJ1696+DJ1697)</f>
        <v>2.0858086929149433</v>
      </c>
      <c r="DH1696" s="215" t="str">
        <f t="shared" si="252"/>
        <v>Cooling Res 18 Year EUL</v>
      </c>
      <c r="DI1696" s="1091">
        <f>(INDEX('Avoided Cost Benefits'!$B$4:$B$866,MATCH(DH1696,'Avoided Cost Benefits'!$A$4:$A$866,0)))*F1696</f>
        <v>2246.5380628155731</v>
      </c>
      <c r="DJ1696" s="1176">
        <f>IFERROR(K1696/(1.0686^(2025-2025)),10000000)</f>
        <v>4678.9696970312507</v>
      </c>
      <c r="DM1696" s="252"/>
    </row>
    <row r="1697" spans="1:117">
      <c r="A1697" s="453"/>
      <c r="B1697" s="1454">
        <f t="shared" si="245"/>
        <v>353650</v>
      </c>
      <c r="C1697" s="682" t="s">
        <v>2333</v>
      </c>
      <c r="D1697" s="3470" t="s">
        <v>1043</v>
      </c>
      <c r="E1697" s="253" t="s">
        <v>2334</v>
      </c>
      <c r="F1697" s="225">
        <f>ROUND(((K2008*K2201*(1/K2394-1/K2587)*K3552)/1000)*$K$3651,2)</f>
        <v>12395.99</v>
      </c>
      <c r="G1697" s="570" t="s">
        <v>2078</v>
      </c>
      <c r="H1697" s="69">
        <f>VLOOKUP(G1697,'CP FACTORS'!$A$3:$B$38, 2, FALSE)</f>
        <v>0</v>
      </c>
      <c r="I1697" s="1167">
        <f t="shared" si="251"/>
        <v>0</v>
      </c>
      <c r="J1697" s="59">
        <f t="shared" si="249"/>
        <v>18</v>
      </c>
      <c r="K1697" s="163">
        <f t="shared" si="246"/>
        <v>0</v>
      </c>
      <c r="L1697" s="255"/>
      <c r="M1697" s="560"/>
      <c r="N1697" s="572"/>
      <c r="O1697" s="417"/>
      <c r="R1697" s="532"/>
      <c r="S1697" s="52"/>
      <c r="T1697" s="52"/>
      <c r="U1697" s="574"/>
      <c r="V1697" s="1442" t="s">
        <v>45</v>
      </c>
      <c r="W1697" s="962">
        <v>14670.188469329136</v>
      </c>
      <c r="X1697" s="251">
        <v>10924.142334552707</v>
      </c>
      <c r="Y1697" s="225">
        <v>10924.14</v>
      </c>
      <c r="Z1697" s="225">
        <v>10924.14</v>
      </c>
      <c r="AA1697" s="225">
        <v>10924.14</v>
      </c>
      <c r="AB1697" s="1027">
        <v>10924.14</v>
      </c>
      <c r="AC1697" s="227">
        <v>12441.81</v>
      </c>
      <c r="AD1697" s="227">
        <v>12604.65</v>
      </c>
      <c r="AE1697" s="227">
        <v>12395.99</v>
      </c>
      <c r="AF1697" s="271">
        <f t="shared" si="247"/>
        <v>12395.99</v>
      </c>
      <c r="AG1697" s="962"/>
      <c r="AH1697" s="121"/>
      <c r="AK1697" s="963"/>
      <c r="DF1697" s="1650" t="str">
        <f t="shared" si="248"/>
        <v>ASHP-SEER21-Replace_CAC_ElectricHeat_ROF_SF</v>
      </c>
      <c r="DG1697" s="1092"/>
      <c r="DH1697" s="253" t="str">
        <f t="shared" si="252"/>
        <v>Heating Res 18 Year EUL</v>
      </c>
      <c r="DI1697" s="1091">
        <f>(INDEX('Avoided Cost Benefits'!$B$4:$B$866,MATCH(DH1697,'Avoided Cost Benefits'!$A$4:$A$866,0)))*F1697</f>
        <v>7512.8976051378086</v>
      </c>
      <c r="DJ1697" s="1176">
        <f>K1697/(1.0686^(2025-2025))</f>
        <v>0</v>
      </c>
      <c r="DM1697" s="252"/>
    </row>
    <row r="1698" spans="1:117">
      <c r="A1698" s="453"/>
      <c r="B1698" s="1454">
        <f t="shared" si="245"/>
        <v>353660</v>
      </c>
      <c r="C1698" s="682" t="s">
        <v>2335</v>
      </c>
      <c r="D1698" s="3470" t="s">
        <v>1800</v>
      </c>
      <c r="E1698" s="215" t="s">
        <v>2336</v>
      </c>
      <c r="F1698" s="227">
        <f>ROUND(((K2781*K2974*(1/K3167-1/K3360)*K3553)/1000)*$K$3651,2)</f>
        <v>981.12</v>
      </c>
      <c r="G1698" s="570" t="s">
        <v>2077</v>
      </c>
      <c r="H1698" s="69">
        <f>VLOOKUP(G1698,'CP FACTORS'!$A$3:$B$38, 2, FALSE)</f>
        <v>9.4741810000000004E-4</v>
      </c>
      <c r="I1698" s="1477">
        <f>ROUND(F1698*H1698,6)</f>
        <v>0.929531</v>
      </c>
      <c r="J1698" s="59">
        <f>K3842</f>
        <v>18</v>
      </c>
      <c r="K1698" s="166">
        <f t="shared" si="246"/>
        <v>343.17059134232289</v>
      </c>
      <c r="L1698" s="1107">
        <f>L2009</f>
        <v>3.4699494950520831</v>
      </c>
      <c r="M1698" s="560"/>
      <c r="N1698" s="572"/>
      <c r="O1698" s="417"/>
      <c r="R1698" s="532"/>
      <c r="S1698" s="52"/>
      <c r="T1698" s="52"/>
      <c r="U1698" s="574"/>
      <c r="V1698" s="1442" t="s">
        <v>45</v>
      </c>
      <c r="W1698" s="962"/>
      <c r="X1698" s="251"/>
      <c r="Y1698" s="227"/>
      <c r="Z1698" s="225"/>
      <c r="AA1698" s="225"/>
      <c r="AB1698" s="1026"/>
      <c r="AC1698" s="227"/>
      <c r="AD1698" s="227">
        <v>1127.3</v>
      </c>
      <c r="AE1698" s="227">
        <v>999.42</v>
      </c>
      <c r="AF1698" s="271">
        <f t="shared" si="247"/>
        <v>981.12</v>
      </c>
      <c r="AG1698" s="962"/>
      <c r="AH1698" s="121"/>
      <c r="AK1698" s="963"/>
      <c r="DF1698" s="1650" t="str">
        <f t="shared" si="248"/>
        <v>ASHP-SEER21-Replace_CAC_NonElectricHeat_ROF_SF</v>
      </c>
      <c r="DG1698" s="1090">
        <f>(DI1698+DI1699)/(DJ1698+DJ1699)</f>
        <v>6.5464177860584343</v>
      </c>
      <c r="DH1698" s="215" t="str">
        <f>CONCATENATE(G1698," ",J1698," Year EUL")</f>
        <v>Cooling Res 18 Year EUL</v>
      </c>
      <c r="DI1698" s="1091">
        <f>(INDEX('Avoided Cost Benefits'!$B$4:$B$866,MATCH(DH1698,'Avoided Cost Benefits'!$A$4:$A$866,0)))*F1698</f>
        <v>2246.5380628155731</v>
      </c>
      <c r="DJ1698" s="1176">
        <f>IFERROR(K1698/(1.0686^(2025-2025)),10000000)</f>
        <v>343.17059134232289</v>
      </c>
      <c r="DM1698" s="252"/>
    </row>
    <row r="1699" spans="1:117">
      <c r="A1699" s="453"/>
      <c r="B1699" s="1454">
        <f t="shared" si="245"/>
        <v>353660</v>
      </c>
      <c r="C1699" s="682" t="s">
        <v>2335</v>
      </c>
      <c r="D1699" s="3470" t="s">
        <v>1800</v>
      </c>
      <c r="E1699" s="253" t="s">
        <v>2336</v>
      </c>
      <c r="F1699" s="225">
        <f>0</f>
        <v>0</v>
      </c>
      <c r="G1699" s="570" t="s">
        <v>2078</v>
      </c>
      <c r="H1699" s="69">
        <f>VLOOKUP(G1699,'CP FACTORS'!$A$3:$B$38, 2, FALSE)</f>
        <v>0</v>
      </c>
      <c r="I1699" s="1167">
        <f>ROUND(F1699*H1699,6)</f>
        <v>0</v>
      </c>
      <c r="J1699" s="59">
        <f>K3843</f>
        <v>18</v>
      </c>
      <c r="K1699" s="163">
        <f t="shared" si="246"/>
        <v>0</v>
      </c>
      <c r="L1699" s="255"/>
      <c r="M1699" s="560"/>
      <c r="N1699" s="572"/>
      <c r="O1699" s="417"/>
      <c r="R1699" s="532"/>
      <c r="S1699" s="52"/>
      <c r="T1699" s="52"/>
      <c r="U1699" s="574"/>
      <c r="V1699" s="1442" t="s">
        <v>45</v>
      </c>
      <c r="W1699" s="962"/>
      <c r="X1699" s="251"/>
      <c r="Y1699" s="227"/>
      <c r="Z1699" s="225"/>
      <c r="AA1699" s="225"/>
      <c r="AB1699" s="1026"/>
      <c r="AC1699" s="227"/>
      <c r="AD1699" s="227">
        <v>0</v>
      </c>
      <c r="AE1699" s="225">
        <v>0</v>
      </c>
      <c r="AF1699" s="271">
        <f t="shared" si="247"/>
        <v>0</v>
      </c>
      <c r="AG1699" s="962"/>
      <c r="AH1699" s="121"/>
      <c r="AK1699" s="963"/>
      <c r="DF1699" s="1650" t="str">
        <f t="shared" si="248"/>
        <v>ASHP-SEER21-Replace_CAC_NonElectricHeat_ROF_SF</v>
      </c>
      <c r="DG1699" s="1092"/>
      <c r="DH1699" s="253" t="str">
        <f>CONCATENATE(G1699," ",J1699," Year EUL")</f>
        <v>Heating Res 18 Year EUL</v>
      </c>
      <c r="DI1699" s="1091">
        <f>(INDEX('Avoided Cost Benefits'!$B$4:$B$866,MATCH(DH1699,'Avoided Cost Benefits'!$A$4:$A$866,0)))*F1699</f>
        <v>0</v>
      </c>
      <c r="DJ1699" s="1176">
        <f>K1699/(1.0686^(2025-2025))</f>
        <v>0</v>
      </c>
      <c r="DM1699" s="252"/>
    </row>
    <row r="1700" spans="1:117">
      <c r="A1700" s="453"/>
      <c r="B1700" s="1454">
        <f t="shared" ref="B1700:B1763" si="255">VALUE(LEFT(C1700,6))</f>
        <v>353700</v>
      </c>
      <c r="C1700" s="2554" t="s">
        <v>2337</v>
      </c>
      <c r="D1700" s="3383" t="s">
        <v>1122</v>
      </c>
      <c r="E1700" s="3398" t="s">
        <v>2338</v>
      </c>
      <c r="F1700" s="3369">
        <f>ROUND(((K2782*K2975*(1/K3168-1/K3361)*K3554)/1000)*$K$3651,2)</f>
        <v>585.80999999999995</v>
      </c>
      <c r="G1700" s="3384" t="s">
        <v>2077</v>
      </c>
      <c r="H1700" s="2213">
        <f>VLOOKUP(G1700,'CP FACTORS'!$A$3:$B$38, 2, FALSE)</f>
        <v>9.4741810000000004E-4</v>
      </c>
      <c r="I1700" s="3404">
        <f t="shared" si="251"/>
        <v>0.55500700000000003</v>
      </c>
      <c r="J1700" s="2449">
        <f>K3844</f>
        <v>18</v>
      </c>
      <c r="K1700" s="2467">
        <f t="shared" ref="K1700:K1763" si="256">IF(C1700&lt;&gt;C1699,VLOOKUP(C1700,$J$4038:$K$4469,2,FALSE),0)</f>
        <v>3845</v>
      </c>
      <c r="L1700" s="2649">
        <f>L2010</f>
        <v>3.2</v>
      </c>
      <c r="M1700" s="3386"/>
      <c r="N1700" s="3387"/>
      <c r="O1700" s="2702"/>
      <c r="P1700" s="635"/>
      <c r="Q1700" s="635"/>
      <c r="R1700" s="2966"/>
      <c r="S1700" s="635"/>
      <c r="T1700" s="635"/>
      <c r="U1700" s="3388"/>
      <c r="V1700" s="2962" t="s">
        <v>45</v>
      </c>
      <c r="W1700" s="3389">
        <v>635.61142857142875</v>
      </c>
      <c r="X1700" s="3397">
        <v>635.61142857142875</v>
      </c>
      <c r="Y1700" s="3373">
        <v>635.61</v>
      </c>
      <c r="Z1700" s="3373">
        <v>635.61</v>
      </c>
      <c r="AA1700" s="3373">
        <v>635.61</v>
      </c>
      <c r="AB1700" s="3400">
        <v>635.61</v>
      </c>
      <c r="AC1700" s="3401">
        <v>635.61</v>
      </c>
      <c r="AD1700" s="3373">
        <v>635.61</v>
      </c>
      <c r="AE1700" s="3369">
        <v>516.42999999999995</v>
      </c>
      <c r="AF1700" s="2236">
        <f t="shared" ref="AF1700:AF1763" si="257">IF(F1700&lt;&gt;"",F1700,"")</f>
        <v>585.80999999999995</v>
      </c>
      <c r="AG1700" s="3389"/>
      <c r="AH1700" s="2728"/>
      <c r="AI1700" s="2237"/>
      <c r="AJ1700" s="2237"/>
      <c r="AK1700" s="3392"/>
      <c r="AL1700" s="2237"/>
      <c r="AM1700" s="2237"/>
      <c r="AN1700" s="2237"/>
      <c r="AO1700" s="2237"/>
      <c r="AP1700" s="2237"/>
      <c r="AQ1700" s="2237"/>
      <c r="AR1700" s="2237"/>
      <c r="AS1700" s="2237"/>
      <c r="AT1700" s="2237"/>
      <c r="AU1700" s="2237"/>
      <c r="AV1700" s="2237"/>
      <c r="AW1700" s="2237"/>
      <c r="AX1700" s="2237"/>
      <c r="AY1700" s="2237"/>
      <c r="AZ1700" s="2237"/>
      <c r="BA1700" s="2237"/>
      <c r="BB1700" s="2237"/>
      <c r="BC1700" s="2237"/>
      <c r="BD1700" s="2237"/>
      <c r="BE1700" s="2237"/>
      <c r="BF1700" s="2237"/>
      <c r="BG1700" s="2237"/>
      <c r="BH1700" s="2237"/>
      <c r="BI1700" s="2237"/>
      <c r="BJ1700" s="2237"/>
      <c r="BK1700" s="2237"/>
      <c r="BL1700" s="2237"/>
      <c r="BM1700" s="2237"/>
      <c r="BN1700" s="2237"/>
      <c r="BO1700" s="2237"/>
      <c r="BP1700" s="2237"/>
      <c r="BQ1700" s="2237"/>
      <c r="BR1700" s="2237"/>
      <c r="BS1700" s="2237"/>
      <c r="BT1700" s="2237"/>
      <c r="BU1700" s="2237"/>
      <c r="BV1700" s="2237"/>
      <c r="BW1700" s="2237"/>
      <c r="BX1700" s="2237"/>
      <c r="BY1700" s="2237"/>
      <c r="BZ1700" s="2237"/>
      <c r="CA1700" s="2237"/>
      <c r="CB1700" s="2237"/>
      <c r="CC1700" s="2237"/>
      <c r="CD1700" s="2237"/>
      <c r="CE1700" s="2237"/>
      <c r="CF1700" s="2237"/>
      <c r="CG1700" s="2237"/>
      <c r="CH1700" s="2237"/>
      <c r="CI1700" s="2237"/>
      <c r="CJ1700" s="2237"/>
      <c r="CK1700" s="2237"/>
      <c r="CL1700" s="2237"/>
      <c r="CM1700" s="2237"/>
      <c r="CN1700" s="2237"/>
      <c r="CO1700" s="2237"/>
      <c r="CP1700" s="2237"/>
      <c r="CQ1700" s="2237"/>
      <c r="CR1700" s="2237"/>
      <c r="CS1700" s="2237"/>
      <c r="CT1700" s="2237"/>
      <c r="CU1700" s="2237"/>
      <c r="CV1700" s="2237"/>
      <c r="CW1700" s="2237"/>
      <c r="CX1700" s="2237"/>
      <c r="CY1700" s="2237"/>
      <c r="CZ1700" s="2237"/>
      <c r="DA1700" s="2237"/>
      <c r="DB1700" s="2237"/>
      <c r="DC1700" s="2237"/>
      <c r="DD1700" s="2237"/>
      <c r="DE1700" s="2237"/>
      <c r="DF1700" s="3393" t="str">
        <f t="shared" si="248"/>
        <v>ASHP-SEER21+-Replace_CAC_ElectricHeat_ROF_MF</v>
      </c>
      <c r="DG1700" s="3259">
        <f>(DI1700+DI1701)/(DJ1700+DJ1701)</f>
        <v>1.4681193876892866</v>
      </c>
      <c r="DH1700" s="3398" t="str">
        <f t="shared" si="252"/>
        <v>Cooling Res 18 Year EUL</v>
      </c>
      <c r="DI1700" s="3260">
        <f>(INDEX('Avoided Cost Benefits'!$B$4:$B$866,MATCH(DH1700,'Avoided Cost Benefits'!$A$4:$A$866,0)))*F1700</f>
        <v>1341.3695190985718</v>
      </c>
      <c r="DJ1700" s="2507">
        <f>IFERROR(K1700/(1.0686^(2025-2025)),10000000)</f>
        <v>3845</v>
      </c>
      <c r="DM1700" s="252"/>
    </row>
    <row r="1701" spans="1:117">
      <c r="A1701" s="453"/>
      <c r="B1701" s="1454">
        <f t="shared" si="255"/>
        <v>353700</v>
      </c>
      <c r="C1701" s="2554" t="s">
        <v>2337</v>
      </c>
      <c r="D1701" s="3383" t="s">
        <v>1122</v>
      </c>
      <c r="E1701" s="3402" t="s">
        <v>2338</v>
      </c>
      <c r="F1701" s="3373">
        <f>ROUND(((K2010*K2203*(1/K2396-1/K2589)*K3554)/1000)*$K$3651,2)</f>
        <v>7100.69</v>
      </c>
      <c r="G1701" s="3384" t="s">
        <v>2078</v>
      </c>
      <c r="H1701" s="2213">
        <f>VLOOKUP(G1701,'CP FACTORS'!$A$3:$B$38, 2, FALSE)</f>
        <v>0</v>
      </c>
      <c r="I1701" s="3405">
        <f t="shared" si="251"/>
        <v>0</v>
      </c>
      <c r="J1701" s="2449">
        <f t="shared" ref="J1701:J1764" si="258">K3845</f>
        <v>18</v>
      </c>
      <c r="K1701" s="2894">
        <f t="shared" si="256"/>
        <v>0</v>
      </c>
      <c r="L1701" s="2649"/>
      <c r="M1701" s="3386"/>
      <c r="N1701" s="3387"/>
      <c r="O1701" s="2702"/>
      <c r="P1701" s="635"/>
      <c r="Q1701" s="635"/>
      <c r="R1701" s="2966"/>
      <c r="S1701" s="635"/>
      <c r="T1701" s="635"/>
      <c r="U1701" s="3388"/>
      <c r="V1701" s="2962" t="s">
        <v>45</v>
      </c>
      <c r="W1701" s="3389">
        <v>9535.6225050639387</v>
      </c>
      <c r="X1701" s="3390">
        <v>7100.6925174592607</v>
      </c>
      <c r="Y1701" s="3373">
        <v>7100.69</v>
      </c>
      <c r="Z1701" s="3373">
        <v>7100.69</v>
      </c>
      <c r="AA1701" s="3373">
        <v>7100.69</v>
      </c>
      <c r="AB1701" s="3400">
        <v>7100.69</v>
      </c>
      <c r="AC1701" s="3401">
        <v>7100.69</v>
      </c>
      <c r="AD1701" s="3373">
        <v>7100.69</v>
      </c>
      <c r="AE1701" s="3373">
        <v>7100.69</v>
      </c>
      <c r="AF1701" s="2236">
        <f t="shared" si="257"/>
        <v>7100.69</v>
      </c>
      <c r="AG1701" s="3389"/>
      <c r="AH1701" s="2728"/>
      <c r="AI1701" s="2237"/>
      <c r="AJ1701" s="2237"/>
      <c r="AK1701" s="3392"/>
      <c r="AL1701" s="2237"/>
      <c r="AM1701" s="2237"/>
      <c r="AN1701" s="2237"/>
      <c r="AO1701" s="2237"/>
      <c r="AP1701" s="2237"/>
      <c r="AQ1701" s="2237"/>
      <c r="AR1701" s="2237"/>
      <c r="AS1701" s="2237"/>
      <c r="AT1701" s="2237"/>
      <c r="AU1701" s="2237"/>
      <c r="AV1701" s="2237"/>
      <c r="AW1701" s="2237"/>
      <c r="AX1701" s="2237"/>
      <c r="AY1701" s="2237"/>
      <c r="AZ1701" s="2237"/>
      <c r="BA1701" s="2237"/>
      <c r="BB1701" s="2237"/>
      <c r="BC1701" s="2237"/>
      <c r="BD1701" s="2237"/>
      <c r="BE1701" s="2237"/>
      <c r="BF1701" s="2237"/>
      <c r="BG1701" s="2237"/>
      <c r="BH1701" s="2237"/>
      <c r="BI1701" s="2237"/>
      <c r="BJ1701" s="2237"/>
      <c r="BK1701" s="2237"/>
      <c r="BL1701" s="2237"/>
      <c r="BM1701" s="2237"/>
      <c r="BN1701" s="2237"/>
      <c r="BO1701" s="2237"/>
      <c r="BP1701" s="2237"/>
      <c r="BQ1701" s="2237"/>
      <c r="BR1701" s="2237"/>
      <c r="BS1701" s="2237"/>
      <c r="BT1701" s="2237"/>
      <c r="BU1701" s="2237"/>
      <c r="BV1701" s="2237"/>
      <c r="BW1701" s="2237"/>
      <c r="BX1701" s="2237"/>
      <c r="BY1701" s="2237"/>
      <c r="BZ1701" s="2237"/>
      <c r="CA1701" s="2237"/>
      <c r="CB1701" s="2237"/>
      <c r="CC1701" s="2237"/>
      <c r="CD1701" s="2237"/>
      <c r="CE1701" s="2237"/>
      <c r="CF1701" s="2237"/>
      <c r="CG1701" s="2237"/>
      <c r="CH1701" s="2237"/>
      <c r="CI1701" s="2237"/>
      <c r="CJ1701" s="2237"/>
      <c r="CK1701" s="2237"/>
      <c r="CL1701" s="2237"/>
      <c r="CM1701" s="2237"/>
      <c r="CN1701" s="2237"/>
      <c r="CO1701" s="2237"/>
      <c r="CP1701" s="2237"/>
      <c r="CQ1701" s="2237"/>
      <c r="CR1701" s="2237"/>
      <c r="CS1701" s="2237"/>
      <c r="CT1701" s="2237"/>
      <c r="CU1701" s="2237"/>
      <c r="CV1701" s="2237"/>
      <c r="CW1701" s="2237"/>
      <c r="CX1701" s="2237"/>
      <c r="CY1701" s="2237"/>
      <c r="CZ1701" s="2237"/>
      <c r="DA1701" s="2237"/>
      <c r="DB1701" s="2237"/>
      <c r="DC1701" s="2237"/>
      <c r="DD1701" s="2237"/>
      <c r="DE1701" s="2237"/>
      <c r="DF1701" s="3393" t="str">
        <f t="shared" ref="DF1701:DF1764" si="259">E1701</f>
        <v>ASHP-SEER21+-Replace_CAC_ElectricHeat_ROF_MF</v>
      </c>
      <c r="DG1701" s="3261"/>
      <c r="DH1701" s="3402" t="str">
        <f t="shared" si="252"/>
        <v>Heating Res 18 Year EUL</v>
      </c>
      <c r="DI1701" s="3260">
        <f>(INDEX('Avoided Cost Benefits'!$B$4:$B$866,MATCH(DH1701,'Avoided Cost Benefits'!$A$4:$A$866,0)))*F1701</f>
        <v>4303.549526566735</v>
      </c>
      <c r="DJ1701" s="2507">
        <f>K1701/(1.0686^(2025-2025))</f>
        <v>0</v>
      </c>
      <c r="DM1701" s="252"/>
    </row>
    <row r="1702" spans="1:117">
      <c r="A1702" s="453"/>
      <c r="B1702" s="1454">
        <f t="shared" si="255"/>
        <v>353701</v>
      </c>
      <c r="C1702" s="2554" t="s">
        <v>2339</v>
      </c>
      <c r="D1702" s="3383" t="s">
        <v>1118</v>
      </c>
      <c r="E1702" s="2521" t="s">
        <v>2340</v>
      </c>
      <c r="F1702" s="3369">
        <f>ROUND(((K2783*K2976*(1/K3169-1/K3362)*K3555)/1000)*$K$3651,2)</f>
        <v>426.04</v>
      </c>
      <c r="G1702" s="3384" t="s">
        <v>2077</v>
      </c>
      <c r="H1702" s="2213">
        <f>VLOOKUP(G1702,'CP FACTORS'!$A$3:$B$38, 2, FALSE)</f>
        <v>9.4741810000000004E-4</v>
      </c>
      <c r="I1702" s="3404">
        <f t="shared" si="251"/>
        <v>0.403638</v>
      </c>
      <c r="J1702" s="2449">
        <f t="shared" si="258"/>
        <v>18</v>
      </c>
      <c r="K1702" s="2467">
        <f t="shared" si="256"/>
        <v>3845</v>
      </c>
      <c r="L1702" s="2649">
        <f>L2011</f>
        <v>3.2</v>
      </c>
      <c r="M1702" s="3386"/>
      <c r="N1702" s="3387"/>
      <c r="O1702" s="2702"/>
      <c r="P1702" s="635"/>
      <c r="Q1702" s="635"/>
      <c r="R1702" s="2966"/>
      <c r="S1702" s="635"/>
      <c r="T1702" s="635"/>
      <c r="U1702" s="3388"/>
      <c r="V1702" s="2962" t="s">
        <v>45</v>
      </c>
      <c r="W1702" s="3389"/>
      <c r="X1702" s="3390"/>
      <c r="Y1702" s="3369">
        <v>462.26</v>
      </c>
      <c r="Z1702" s="3373">
        <v>462.26</v>
      </c>
      <c r="AA1702" s="3373">
        <v>462.26</v>
      </c>
      <c r="AB1702" s="3400">
        <v>462.26</v>
      </c>
      <c r="AC1702" s="3401">
        <v>462.26</v>
      </c>
      <c r="AD1702" s="3373">
        <v>462.26</v>
      </c>
      <c r="AE1702" s="3369">
        <v>375.59</v>
      </c>
      <c r="AF1702" s="2236">
        <f t="shared" si="257"/>
        <v>426.04</v>
      </c>
      <c r="AG1702" s="3389"/>
      <c r="AH1702" s="2728"/>
      <c r="AI1702" s="2237"/>
      <c r="AJ1702" s="2237"/>
      <c r="AK1702" s="3392"/>
      <c r="AL1702" s="2237"/>
      <c r="AM1702" s="2237"/>
      <c r="AN1702" s="2237"/>
      <c r="AO1702" s="2237"/>
      <c r="AP1702" s="2237"/>
      <c r="AQ1702" s="2237"/>
      <c r="AR1702" s="2237"/>
      <c r="AS1702" s="2237"/>
      <c r="AT1702" s="2237"/>
      <c r="AU1702" s="2237"/>
      <c r="AV1702" s="2237"/>
      <c r="AW1702" s="2237"/>
      <c r="AX1702" s="2237"/>
      <c r="AY1702" s="2237"/>
      <c r="AZ1702" s="2237"/>
      <c r="BA1702" s="2237"/>
      <c r="BB1702" s="2237"/>
      <c r="BC1702" s="2237"/>
      <c r="BD1702" s="2237"/>
      <c r="BE1702" s="2237"/>
      <c r="BF1702" s="2237"/>
      <c r="BG1702" s="2237"/>
      <c r="BH1702" s="2237"/>
      <c r="BI1702" s="2237"/>
      <c r="BJ1702" s="2237"/>
      <c r="BK1702" s="2237"/>
      <c r="BL1702" s="2237"/>
      <c r="BM1702" s="2237"/>
      <c r="BN1702" s="2237"/>
      <c r="BO1702" s="2237"/>
      <c r="BP1702" s="2237"/>
      <c r="BQ1702" s="2237"/>
      <c r="BR1702" s="2237"/>
      <c r="BS1702" s="2237"/>
      <c r="BT1702" s="2237"/>
      <c r="BU1702" s="2237"/>
      <c r="BV1702" s="2237"/>
      <c r="BW1702" s="2237"/>
      <c r="BX1702" s="2237"/>
      <c r="BY1702" s="2237"/>
      <c r="BZ1702" s="2237"/>
      <c r="CA1702" s="2237"/>
      <c r="CB1702" s="2237"/>
      <c r="CC1702" s="2237"/>
      <c r="CD1702" s="2237"/>
      <c r="CE1702" s="2237"/>
      <c r="CF1702" s="2237"/>
      <c r="CG1702" s="2237"/>
      <c r="CH1702" s="2237"/>
      <c r="CI1702" s="2237"/>
      <c r="CJ1702" s="2237"/>
      <c r="CK1702" s="2237"/>
      <c r="CL1702" s="2237"/>
      <c r="CM1702" s="2237"/>
      <c r="CN1702" s="2237"/>
      <c r="CO1702" s="2237"/>
      <c r="CP1702" s="2237"/>
      <c r="CQ1702" s="2237"/>
      <c r="CR1702" s="2237"/>
      <c r="CS1702" s="2237"/>
      <c r="CT1702" s="2237"/>
      <c r="CU1702" s="2237"/>
      <c r="CV1702" s="2237"/>
      <c r="CW1702" s="2237"/>
      <c r="CX1702" s="2237"/>
      <c r="CY1702" s="2237"/>
      <c r="CZ1702" s="2237"/>
      <c r="DA1702" s="2237"/>
      <c r="DB1702" s="2237"/>
      <c r="DC1702" s="2237"/>
      <c r="DD1702" s="2237"/>
      <c r="DE1702" s="2237"/>
      <c r="DF1702" s="3393" t="str">
        <f t="shared" si="259"/>
        <v>ASHP-SEER21+-Replace_CAC_ElectricHeat_ROF_MF_CompE</v>
      </c>
      <c r="DG1702" s="3259">
        <f>(DI1702+DI1703)/(DJ1702+DJ1703)</f>
        <v>0.63528021756342212</v>
      </c>
      <c r="DH1702" s="3398" t="str">
        <f t="shared" si="252"/>
        <v>Cooling Res 18 Year EUL</v>
      </c>
      <c r="DI1702" s="3260">
        <f>(INDEX('Avoided Cost Benefits'!$B$4:$B$866,MATCH(DH1702,'Avoided Cost Benefits'!$A$4:$A$866,0)))*F1702</f>
        <v>975.53314200296279</v>
      </c>
      <c r="DJ1702" s="2507">
        <f>IFERROR(K1702/(1.0686^(2025-2025)),10000000)</f>
        <v>3845</v>
      </c>
      <c r="DM1702" s="252"/>
    </row>
    <row r="1703" spans="1:117">
      <c r="A1703" s="453"/>
      <c r="B1703" s="1454">
        <f t="shared" si="255"/>
        <v>353701</v>
      </c>
      <c r="C1703" s="2554" t="s">
        <v>2339</v>
      </c>
      <c r="D1703" s="3383" t="s">
        <v>1118</v>
      </c>
      <c r="E1703" s="2522" t="s">
        <v>2340</v>
      </c>
      <c r="F1703" s="3373">
        <f>ROUND(((K2011*K2204*(1/K2397-1/K2590)*K3555)/1000)*$K$3651,2)</f>
        <v>2420.69</v>
      </c>
      <c r="G1703" s="3384" t="s">
        <v>2078</v>
      </c>
      <c r="H1703" s="2213">
        <f>VLOOKUP(G1703,'CP FACTORS'!$A$3:$B$38, 2, FALSE)</f>
        <v>0</v>
      </c>
      <c r="I1703" s="3405">
        <f t="shared" si="251"/>
        <v>0</v>
      </c>
      <c r="J1703" s="2449">
        <f t="shared" si="258"/>
        <v>18</v>
      </c>
      <c r="K1703" s="2894">
        <f t="shared" si="256"/>
        <v>0</v>
      </c>
      <c r="L1703" s="2649"/>
      <c r="M1703" s="3386"/>
      <c r="N1703" s="3387"/>
      <c r="O1703" s="2702"/>
      <c r="P1703" s="635"/>
      <c r="Q1703" s="635"/>
      <c r="R1703" s="2966"/>
      <c r="S1703" s="635"/>
      <c r="T1703" s="635"/>
      <c r="U1703" s="3388"/>
      <c r="V1703" s="2962" t="s">
        <v>45</v>
      </c>
      <c r="W1703" s="3389"/>
      <c r="X1703" s="3390"/>
      <c r="Y1703" s="3369">
        <v>2420.69</v>
      </c>
      <c r="Z1703" s="3373">
        <v>2420.69</v>
      </c>
      <c r="AA1703" s="3373">
        <v>2420.69</v>
      </c>
      <c r="AB1703" s="3400">
        <v>2420.69</v>
      </c>
      <c r="AC1703" s="3401">
        <v>2420.69</v>
      </c>
      <c r="AD1703" s="3373">
        <v>2420.69</v>
      </c>
      <c r="AE1703" s="3373">
        <v>2420.69</v>
      </c>
      <c r="AF1703" s="2236">
        <f t="shared" si="257"/>
        <v>2420.69</v>
      </c>
      <c r="AG1703" s="3389"/>
      <c r="AH1703" s="2728"/>
      <c r="AI1703" s="2237"/>
      <c r="AJ1703" s="2237"/>
      <c r="AK1703" s="3392"/>
      <c r="AL1703" s="2237"/>
      <c r="AM1703" s="2237"/>
      <c r="AN1703" s="2237"/>
      <c r="AO1703" s="2237"/>
      <c r="AP1703" s="2237"/>
      <c r="AQ1703" s="2237"/>
      <c r="AR1703" s="2237"/>
      <c r="AS1703" s="2237"/>
      <c r="AT1703" s="2237"/>
      <c r="AU1703" s="2237"/>
      <c r="AV1703" s="2237"/>
      <c r="AW1703" s="2237"/>
      <c r="AX1703" s="2237"/>
      <c r="AY1703" s="2237"/>
      <c r="AZ1703" s="2237"/>
      <c r="BA1703" s="2237"/>
      <c r="BB1703" s="2237"/>
      <c r="BC1703" s="2237"/>
      <c r="BD1703" s="2237"/>
      <c r="BE1703" s="2237"/>
      <c r="BF1703" s="2237"/>
      <c r="BG1703" s="2237"/>
      <c r="BH1703" s="2237"/>
      <c r="BI1703" s="2237"/>
      <c r="BJ1703" s="2237"/>
      <c r="BK1703" s="2237"/>
      <c r="BL1703" s="2237"/>
      <c r="BM1703" s="2237"/>
      <c r="BN1703" s="2237"/>
      <c r="BO1703" s="2237"/>
      <c r="BP1703" s="2237"/>
      <c r="BQ1703" s="2237"/>
      <c r="BR1703" s="2237"/>
      <c r="BS1703" s="2237"/>
      <c r="BT1703" s="2237"/>
      <c r="BU1703" s="2237"/>
      <c r="BV1703" s="2237"/>
      <c r="BW1703" s="2237"/>
      <c r="BX1703" s="2237"/>
      <c r="BY1703" s="2237"/>
      <c r="BZ1703" s="2237"/>
      <c r="CA1703" s="2237"/>
      <c r="CB1703" s="2237"/>
      <c r="CC1703" s="2237"/>
      <c r="CD1703" s="2237"/>
      <c r="CE1703" s="2237"/>
      <c r="CF1703" s="2237"/>
      <c r="CG1703" s="2237"/>
      <c r="CH1703" s="2237"/>
      <c r="CI1703" s="2237"/>
      <c r="CJ1703" s="2237"/>
      <c r="CK1703" s="2237"/>
      <c r="CL1703" s="2237"/>
      <c r="CM1703" s="2237"/>
      <c r="CN1703" s="2237"/>
      <c r="CO1703" s="2237"/>
      <c r="CP1703" s="2237"/>
      <c r="CQ1703" s="2237"/>
      <c r="CR1703" s="2237"/>
      <c r="CS1703" s="2237"/>
      <c r="CT1703" s="2237"/>
      <c r="CU1703" s="2237"/>
      <c r="CV1703" s="2237"/>
      <c r="CW1703" s="2237"/>
      <c r="CX1703" s="2237"/>
      <c r="CY1703" s="2237"/>
      <c r="CZ1703" s="2237"/>
      <c r="DA1703" s="2237"/>
      <c r="DB1703" s="2237"/>
      <c r="DC1703" s="2237"/>
      <c r="DD1703" s="2237"/>
      <c r="DE1703" s="2237"/>
      <c r="DF1703" s="3393" t="str">
        <f t="shared" si="259"/>
        <v>ASHP-SEER21+-Replace_CAC_ElectricHeat_ROF_MF_CompE</v>
      </c>
      <c r="DG1703" s="3261"/>
      <c r="DH1703" s="3402" t="str">
        <f t="shared" si="252"/>
        <v>Heating Res 18 Year EUL</v>
      </c>
      <c r="DI1703" s="3260">
        <f>(INDEX('Avoided Cost Benefits'!$B$4:$B$866,MATCH(DH1703,'Avoided Cost Benefits'!$A$4:$A$866,0)))*F1703</f>
        <v>1467.1192945283954</v>
      </c>
      <c r="DJ1703" s="2507">
        <f>K1703/(1.0686^(2025-2025))</f>
        <v>0</v>
      </c>
      <c r="DM1703" s="252"/>
    </row>
    <row r="1704" spans="1:117">
      <c r="A1704" s="453"/>
      <c r="B1704" s="1454">
        <f t="shared" si="255"/>
        <v>353710</v>
      </c>
      <c r="C1704" s="2554" t="s">
        <v>2341</v>
      </c>
      <c r="D1704" s="3383" t="s">
        <v>1122</v>
      </c>
      <c r="E1704" s="2882" t="s">
        <v>2342</v>
      </c>
      <c r="F1704" s="3369">
        <f>ROUND(((K2784*K2977*(1/K3170-1/K3363)*K3556)/1000)*$K$3651,2)</f>
        <v>585.80999999999995</v>
      </c>
      <c r="G1704" s="3384" t="s">
        <v>2077</v>
      </c>
      <c r="H1704" s="2213">
        <f>VLOOKUP(G1704,'CP FACTORS'!$A$3:$B$38, 2, FALSE)</f>
        <v>9.4741810000000004E-4</v>
      </c>
      <c r="I1704" s="3404">
        <f t="shared" si="251"/>
        <v>0.55500700000000003</v>
      </c>
      <c r="J1704" s="2449">
        <f t="shared" si="258"/>
        <v>18</v>
      </c>
      <c r="K1704" s="2467">
        <f t="shared" si="256"/>
        <v>293.03837247121572</v>
      </c>
      <c r="L1704" s="2649">
        <f>L2012</f>
        <v>3.2</v>
      </c>
      <c r="M1704" s="3386"/>
      <c r="N1704" s="3387"/>
      <c r="O1704" s="2702"/>
      <c r="P1704" s="635"/>
      <c r="Q1704" s="635"/>
      <c r="R1704" s="2966"/>
      <c r="S1704" s="635"/>
      <c r="T1704" s="635"/>
      <c r="U1704" s="3388"/>
      <c r="V1704" s="2962" t="s">
        <v>45</v>
      </c>
      <c r="W1704" s="3389"/>
      <c r="X1704" s="3390"/>
      <c r="Y1704" s="3369"/>
      <c r="Z1704" s="3373"/>
      <c r="AA1704" s="3373"/>
      <c r="AB1704" s="3400"/>
      <c r="AC1704" s="3369">
        <v>635.61</v>
      </c>
      <c r="AD1704" s="3373">
        <v>635.61</v>
      </c>
      <c r="AE1704" s="3369">
        <v>516.42999999999995</v>
      </c>
      <c r="AF1704" s="2236">
        <f t="shared" si="257"/>
        <v>585.80999999999995</v>
      </c>
      <c r="AG1704" s="3389"/>
      <c r="AH1704" s="2728"/>
      <c r="AI1704" s="2237"/>
      <c r="AJ1704" s="2237"/>
      <c r="AK1704" s="3392"/>
      <c r="AL1704" s="2237"/>
      <c r="AM1704" s="2237"/>
      <c r="AN1704" s="2237"/>
      <c r="AO1704" s="2237"/>
      <c r="AP1704" s="2237"/>
      <c r="AQ1704" s="2237"/>
      <c r="AR1704" s="2237"/>
      <c r="AS1704" s="2237"/>
      <c r="AT1704" s="2237"/>
      <c r="AU1704" s="2237"/>
      <c r="AV1704" s="2237"/>
      <c r="AW1704" s="2237"/>
      <c r="AX1704" s="2237"/>
      <c r="AY1704" s="2237"/>
      <c r="AZ1704" s="2237"/>
      <c r="BA1704" s="2237"/>
      <c r="BB1704" s="2237"/>
      <c r="BC1704" s="2237"/>
      <c r="BD1704" s="2237"/>
      <c r="BE1704" s="2237"/>
      <c r="BF1704" s="2237"/>
      <c r="BG1704" s="2237"/>
      <c r="BH1704" s="2237"/>
      <c r="BI1704" s="2237"/>
      <c r="BJ1704" s="2237"/>
      <c r="BK1704" s="2237"/>
      <c r="BL1704" s="2237"/>
      <c r="BM1704" s="2237"/>
      <c r="BN1704" s="2237"/>
      <c r="BO1704" s="2237"/>
      <c r="BP1704" s="2237"/>
      <c r="BQ1704" s="2237"/>
      <c r="BR1704" s="2237"/>
      <c r="BS1704" s="2237"/>
      <c r="BT1704" s="2237"/>
      <c r="BU1704" s="2237"/>
      <c r="BV1704" s="2237"/>
      <c r="BW1704" s="2237"/>
      <c r="BX1704" s="2237"/>
      <c r="BY1704" s="2237"/>
      <c r="BZ1704" s="2237"/>
      <c r="CA1704" s="2237"/>
      <c r="CB1704" s="2237"/>
      <c r="CC1704" s="2237"/>
      <c r="CD1704" s="2237"/>
      <c r="CE1704" s="2237"/>
      <c r="CF1704" s="2237"/>
      <c r="CG1704" s="2237"/>
      <c r="CH1704" s="2237"/>
      <c r="CI1704" s="2237"/>
      <c r="CJ1704" s="2237"/>
      <c r="CK1704" s="2237"/>
      <c r="CL1704" s="2237"/>
      <c r="CM1704" s="2237"/>
      <c r="CN1704" s="2237"/>
      <c r="CO1704" s="2237"/>
      <c r="CP1704" s="2237"/>
      <c r="CQ1704" s="2237"/>
      <c r="CR1704" s="2237"/>
      <c r="CS1704" s="2237"/>
      <c r="CT1704" s="2237"/>
      <c r="CU1704" s="2237"/>
      <c r="CV1704" s="2237"/>
      <c r="CW1704" s="2237"/>
      <c r="CX1704" s="2237"/>
      <c r="CY1704" s="2237"/>
      <c r="CZ1704" s="2237"/>
      <c r="DA1704" s="2237"/>
      <c r="DB1704" s="2237"/>
      <c r="DC1704" s="2237"/>
      <c r="DD1704" s="2237"/>
      <c r="DE1704" s="2237"/>
      <c r="DF1704" s="3393" t="str">
        <f t="shared" si="259"/>
        <v>ASHP-SEER21+-Replace_CAC_NonElectricHeat_ROF_MF</v>
      </c>
      <c r="DG1704" s="3259">
        <f>(DI1704+DI1705)/(DJ1704+DJ1705)</f>
        <v>4.5774534842884114</v>
      </c>
      <c r="DH1704" s="3403" t="str">
        <f t="shared" si="252"/>
        <v>Cooling Res 18 Year EUL</v>
      </c>
      <c r="DI1704" s="3260">
        <f>(INDEX('Avoided Cost Benefits'!$B$4:$B$866,MATCH(DH1704,'Avoided Cost Benefits'!$A$4:$A$866,0)))*F1704</f>
        <v>1341.3695190985718</v>
      </c>
      <c r="DJ1704" s="2507">
        <f>IFERROR(K1704/(1.0686^(2025-2025)),10000000)</f>
        <v>293.03837247121572</v>
      </c>
      <c r="DM1704" s="252"/>
    </row>
    <row r="1705" spans="1:117">
      <c r="A1705" s="453"/>
      <c r="B1705" s="1454">
        <f t="shared" si="255"/>
        <v>353710</v>
      </c>
      <c r="C1705" s="2554" t="s">
        <v>2341</v>
      </c>
      <c r="D1705" s="3383" t="s">
        <v>1122</v>
      </c>
      <c r="E1705" s="2522" t="s">
        <v>2342</v>
      </c>
      <c r="F1705" s="3373">
        <v>0</v>
      </c>
      <c r="G1705" s="3384" t="s">
        <v>2078</v>
      </c>
      <c r="H1705" s="2213">
        <f>VLOOKUP(G1705,'CP FACTORS'!$A$3:$B$38, 2, FALSE)</f>
        <v>0</v>
      </c>
      <c r="I1705" s="3405">
        <f t="shared" si="251"/>
        <v>0</v>
      </c>
      <c r="J1705" s="2449">
        <f t="shared" si="258"/>
        <v>18</v>
      </c>
      <c r="K1705" s="2894">
        <f t="shared" si="256"/>
        <v>0</v>
      </c>
      <c r="L1705" s="2649"/>
      <c r="M1705" s="3386"/>
      <c r="N1705" s="3387"/>
      <c r="O1705" s="2702"/>
      <c r="P1705" s="635"/>
      <c r="Q1705" s="635"/>
      <c r="R1705" s="2966"/>
      <c r="S1705" s="635"/>
      <c r="T1705" s="635"/>
      <c r="U1705" s="3388"/>
      <c r="V1705" s="2962" t="s">
        <v>45</v>
      </c>
      <c r="W1705" s="3389"/>
      <c r="X1705" s="3390"/>
      <c r="Y1705" s="3369"/>
      <c r="Z1705" s="3373"/>
      <c r="AA1705" s="3373"/>
      <c r="AB1705" s="3400"/>
      <c r="AC1705" s="3369">
        <v>0</v>
      </c>
      <c r="AD1705" s="3373">
        <v>0</v>
      </c>
      <c r="AE1705" s="3373">
        <v>0</v>
      </c>
      <c r="AF1705" s="2236">
        <f t="shared" si="257"/>
        <v>0</v>
      </c>
      <c r="AG1705" s="3389"/>
      <c r="AH1705" s="2728"/>
      <c r="AI1705" s="2237"/>
      <c r="AJ1705" s="2237"/>
      <c r="AK1705" s="3392"/>
      <c r="AL1705" s="2237"/>
      <c r="AM1705" s="2237"/>
      <c r="AN1705" s="2237"/>
      <c r="AO1705" s="2237"/>
      <c r="AP1705" s="2237"/>
      <c r="AQ1705" s="2237"/>
      <c r="AR1705" s="2237"/>
      <c r="AS1705" s="2237"/>
      <c r="AT1705" s="2237"/>
      <c r="AU1705" s="2237"/>
      <c r="AV1705" s="2237"/>
      <c r="AW1705" s="2237"/>
      <c r="AX1705" s="2237"/>
      <c r="AY1705" s="2237"/>
      <c r="AZ1705" s="2237"/>
      <c r="BA1705" s="2237"/>
      <c r="BB1705" s="2237"/>
      <c r="BC1705" s="2237"/>
      <c r="BD1705" s="2237"/>
      <c r="BE1705" s="2237"/>
      <c r="BF1705" s="2237"/>
      <c r="BG1705" s="2237"/>
      <c r="BH1705" s="2237"/>
      <c r="BI1705" s="2237"/>
      <c r="BJ1705" s="2237"/>
      <c r="BK1705" s="2237"/>
      <c r="BL1705" s="2237"/>
      <c r="BM1705" s="2237"/>
      <c r="BN1705" s="2237"/>
      <c r="BO1705" s="2237"/>
      <c r="BP1705" s="2237"/>
      <c r="BQ1705" s="2237"/>
      <c r="BR1705" s="2237"/>
      <c r="BS1705" s="2237"/>
      <c r="BT1705" s="2237"/>
      <c r="BU1705" s="2237"/>
      <c r="BV1705" s="2237"/>
      <c r="BW1705" s="2237"/>
      <c r="BX1705" s="2237"/>
      <c r="BY1705" s="2237"/>
      <c r="BZ1705" s="2237"/>
      <c r="CA1705" s="2237"/>
      <c r="CB1705" s="2237"/>
      <c r="CC1705" s="2237"/>
      <c r="CD1705" s="2237"/>
      <c r="CE1705" s="2237"/>
      <c r="CF1705" s="2237"/>
      <c r="CG1705" s="2237"/>
      <c r="CH1705" s="2237"/>
      <c r="CI1705" s="2237"/>
      <c r="CJ1705" s="2237"/>
      <c r="CK1705" s="2237"/>
      <c r="CL1705" s="2237"/>
      <c r="CM1705" s="2237"/>
      <c r="CN1705" s="2237"/>
      <c r="CO1705" s="2237"/>
      <c r="CP1705" s="2237"/>
      <c r="CQ1705" s="2237"/>
      <c r="CR1705" s="2237"/>
      <c r="CS1705" s="2237"/>
      <c r="CT1705" s="2237"/>
      <c r="CU1705" s="2237"/>
      <c r="CV1705" s="2237"/>
      <c r="CW1705" s="2237"/>
      <c r="CX1705" s="2237"/>
      <c r="CY1705" s="2237"/>
      <c r="CZ1705" s="2237"/>
      <c r="DA1705" s="2237"/>
      <c r="DB1705" s="2237"/>
      <c r="DC1705" s="2237"/>
      <c r="DD1705" s="2237"/>
      <c r="DE1705" s="2237"/>
      <c r="DF1705" s="3393" t="str">
        <f t="shared" si="259"/>
        <v>ASHP-SEER21+-Replace_CAC_NonElectricHeat_ROF_MF</v>
      </c>
      <c r="DG1705" s="3261"/>
      <c r="DH1705" s="3402" t="str">
        <f t="shared" si="252"/>
        <v>Heating Res 18 Year EUL</v>
      </c>
      <c r="DI1705" s="3260">
        <f>(INDEX('Avoided Cost Benefits'!$B$4:$B$866,MATCH(DH1705,'Avoided Cost Benefits'!$A$4:$A$866,0)))*F1705</f>
        <v>0</v>
      </c>
      <c r="DJ1705" s="2507">
        <f>K1705/(1.0686^(2025-2025))</f>
        <v>0</v>
      </c>
      <c r="DM1705" s="252"/>
    </row>
    <row r="1706" spans="1:117">
      <c r="A1706" s="453"/>
      <c r="B1706" s="1454">
        <f t="shared" si="255"/>
        <v>353711</v>
      </c>
      <c r="C1706" s="2554" t="s">
        <v>2343</v>
      </c>
      <c r="D1706" s="3383" t="s">
        <v>1118</v>
      </c>
      <c r="E1706" s="2882" t="s">
        <v>2344</v>
      </c>
      <c r="F1706" s="3369">
        <f>ROUND(((K2785*K2978*(1/K3171-1/K3364)*K3557)/1000)*$K$3651,2)</f>
        <v>426.04</v>
      </c>
      <c r="G1706" s="3384" t="s">
        <v>2077</v>
      </c>
      <c r="H1706" s="2213">
        <f>VLOOKUP(G1706,'CP FACTORS'!$A$3:$B$38, 2, FALSE)</f>
        <v>9.4741810000000004E-4</v>
      </c>
      <c r="I1706" s="3404">
        <f t="shared" si="251"/>
        <v>0.403638</v>
      </c>
      <c r="J1706" s="2449">
        <f t="shared" si="258"/>
        <v>18</v>
      </c>
      <c r="K1706" s="2467">
        <f t="shared" si="256"/>
        <v>575.44052298602253</v>
      </c>
      <c r="L1706" s="2649">
        <f>L2013</f>
        <v>3.2</v>
      </c>
      <c r="M1706" s="3386"/>
      <c r="N1706" s="3387"/>
      <c r="O1706" s="2702"/>
      <c r="P1706" s="635"/>
      <c r="Q1706" s="635"/>
      <c r="R1706" s="2966"/>
      <c r="S1706" s="635"/>
      <c r="T1706" s="635"/>
      <c r="U1706" s="3388"/>
      <c r="V1706" s="2962" t="s">
        <v>45</v>
      </c>
      <c r="W1706" s="3389"/>
      <c r="X1706" s="3390"/>
      <c r="Y1706" s="3369"/>
      <c r="Z1706" s="3373"/>
      <c r="AA1706" s="3373"/>
      <c r="AB1706" s="3400"/>
      <c r="AC1706" s="3369">
        <v>462.26</v>
      </c>
      <c r="AD1706" s="3373">
        <v>462.26</v>
      </c>
      <c r="AE1706" s="3369">
        <v>375.59</v>
      </c>
      <c r="AF1706" s="2236">
        <f t="shared" si="257"/>
        <v>426.04</v>
      </c>
      <c r="AG1706" s="3389"/>
      <c r="AH1706" s="2728"/>
      <c r="AI1706" s="2237"/>
      <c r="AJ1706" s="2237"/>
      <c r="AK1706" s="3392"/>
      <c r="AL1706" s="2237"/>
      <c r="AM1706" s="2237"/>
      <c r="AN1706" s="2237"/>
      <c r="AO1706" s="2237"/>
      <c r="AP1706" s="2237"/>
      <c r="AQ1706" s="2237"/>
      <c r="AR1706" s="2237"/>
      <c r="AS1706" s="2237"/>
      <c r="AT1706" s="2237"/>
      <c r="AU1706" s="2237"/>
      <c r="AV1706" s="2237"/>
      <c r="AW1706" s="2237"/>
      <c r="AX1706" s="2237"/>
      <c r="AY1706" s="2237"/>
      <c r="AZ1706" s="2237"/>
      <c r="BA1706" s="2237"/>
      <c r="BB1706" s="2237"/>
      <c r="BC1706" s="2237"/>
      <c r="BD1706" s="2237"/>
      <c r="BE1706" s="2237"/>
      <c r="BF1706" s="2237"/>
      <c r="BG1706" s="2237"/>
      <c r="BH1706" s="2237"/>
      <c r="BI1706" s="2237"/>
      <c r="BJ1706" s="2237"/>
      <c r="BK1706" s="2237"/>
      <c r="BL1706" s="2237"/>
      <c r="BM1706" s="2237"/>
      <c r="BN1706" s="2237"/>
      <c r="BO1706" s="2237"/>
      <c r="BP1706" s="2237"/>
      <c r="BQ1706" s="2237"/>
      <c r="BR1706" s="2237"/>
      <c r="BS1706" s="2237"/>
      <c r="BT1706" s="2237"/>
      <c r="BU1706" s="2237"/>
      <c r="BV1706" s="2237"/>
      <c r="BW1706" s="2237"/>
      <c r="BX1706" s="2237"/>
      <c r="BY1706" s="2237"/>
      <c r="BZ1706" s="2237"/>
      <c r="CA1706" s="2237"/>
      <c r="CB1706" s="2237"/>
      <c r="CC1706" s="2237"/>
      <c r="CD1706" s="2237"/>
      <c r="CE1706" s="2237"/>
      <c r="CF1706" s="2237"/>
      <c r="CG1706" s="2237"/>
      <c r="CH1706" s="2237"/>
      <c r="CI1706" s="2237"/>
      <c r="CJ1706" s="2237"/>
      <c r="CK1706" s="2237"/>
      <c r="CL1706" s="2237"/>
      <c r="CM1706" s="2237"/>
      <c r="CN1706" s="2237"/>
      <c r="CO1706" s="2237"/>
      <c r="CP1706" s="2237"/>
      <c r="CQ1706" s="2237"/>
      <c r="CR1706" s="2237"/>
      <c r="CS1706" s="2237"/>
      <c r="CT1706" s="2237"/>
      <c r="CU1706" s="2237"/>
      <c r="CV1706" s="2237"/>
      <c r="CW1706" s="2237"/>
      <c r="CX1706" s="2237"/>
      <c r="CY1706" s="2237"/>
      <c r="CZ1706" s="2237"/>
      <c r="DA1706" s="2237"/>
      <c r="DB1706" s="2237"/>
      <c r="DC1706" s="2237"/>
      <c r="DD1706" s="2237"/>
      <c r="DE1706" s="2237"/>
      <c r="DF1706" s="3393" t="str">
        <f t="shared" si="259"/>
        <v>ASHP-SEER21+-Replace_CAC_NonElectricHeat_ROF_MF_CompE</v>
      </c>
      <c r="DG1706" s="3259">
        <f>(DI1706+DI1707)/(DJ1706+DJ1707)</f>
        <v>1.6952805772885384</v>
      </c>
      <c r="DH1706" s="3403" t="str">
        <f t="shared" si="252"/>
        <v>Cooling Res 18 Year EUL</v>
      </c>
      <c r="DI1706" s="3260">
        <f>(INDEX('Avoided Cost Benefits'!$B$4:$B$866,MATCH(DH1706,'Avoided Cost Benefits'!$A$4:$A$866,0)))*F1706</f>
        <v>975.53314200296279</v>
      </c>
      <c r="DJ1706" s="2507">
        <f>IFERROR(K1706/(1.0686^(2025-2025)),10000000)</f>
        <v>575.44052298602253</v>
      </c>
      <c r="DM1706" s="252"/>
    </row>
    <row r="1707" spans="1:117">
      <c r="A1707" s="453"/>
      <c r="B1707" s="1454">
        <f t="shared" si="255"/>
        <v>353711</v>
      </c>
      <c r="C1707" s="2554" t="s">
        <v>2343</v>
      </c>
      <c r="D1707" s="3383" t="s">
        <v>1118</v>
      </c>
      <c r="E1707" s="2882" t="s">
        <v>2344</v>
      </c>
      <c r="F1707" s="3373">
        <f>0</f>
        <v>0</v>
      </c>
      <c r="G1707" s="3384" t="s">
        <v>2078</v>
      </c>
      <c r="H1707" s="2213">
        <f>VLOOKUP(G1707,'CP FACTORS'!$A$3:$B$38, 2, FALSE)</f>
        <v>0</v>
      </c>
      <c r="I1707" s="3405">
        <f t="shared" si="251"/>
        <v>0</v>
      </c>
      <c r="J1707" s="2449">
        <f t="shared" si="258"/>
        <v>18</v>
      </c>
      <c r="K1707" s="2894">
        <f t="shared" si="256"/>
        <v>0</v>
      </c>
      <c r="L1707" s="2649"/>
      <c r="M1707" s="3386"/>
      <c r="N1707" s="3387"/>
      <c r="O1707" s="2702"/>
      <c r="P1707" s="635"/>
      <c r="Q1707" s="635"/>
      <c r="R1707" s="2966"/>
      <c r="S1707" s="635"/>
      <c r="T1707" s="635"/>
      <c r="U1707" s="3388"/>
      <c r="V1707" s="2962" t="s">
        <v>45</v>
      </c>
      <c r="W1707" s="3389"/>
      <c r="X1707" s="3390"/>
      <c r="Y1707" s="3369"/>
      <c r="Z1707" s="3373"/>
      <c r="AA1707" s="3373"/>
      <c r="AB1707" s="3400"/>
      <c r="AC1707" s="3369">
        <v>0</v>
      </c>
      <c r="AD1707" s="3373">
        <v>0</v>
      </c>
      <c r="AE1707" s="3373">
        <v>0</v>
      </c>
      <c r="AF1707" s="2236">
        <f t="shared" si="257"/>
        <v>0</v>
      </c>
      <c r="AG1707" s="3389"/>
      <c r="AH1707" s="2728"/>
      <c r="AI1707" s="2237"/>
      <c r="AJ1707" s="2237"/>
      <c r="AK1707" s="3392"/>
      <c r="AL1707" s="2237"/>
      <c r="AM1707" s="2237"/>
      <c r="AN1707" s="2237"/>
      <c r="AO1707" s="2237"/>
      <c r="AP1707" s="2237"/>
      <c r="AQ1707" s="2237"/>
      <c r="AR1707" s="2237"/>
      <c r="AS1707" s="2237"/>
      <c r="AT1707" s="2237"/>
      <c r="AU1707" s="2237"/>
      <c r="AV1707" s="2237"/>
      <c r="AW1707" s="2237"/>
      <c r="AX1707" s="2237"/>
      <c r="AY1707" s="2237"/>
      <c r="AZ1707" s="2237"/>
      <c r="BA1707" s="2237"/>
      <c r="BB1707" s="2237"/>
      <c r="BC1707" s="2237"/>
      <c r="BD1707" s="2237"/>
      <c r="BE1707" s="2237"/>
      <c r="BF1707" s="2237"/>
      <c r="BG1707" s="2237"/>
      <c r="BH1707" s="2237"/>
      <c r="BI1707" s="2237"/>
      <c r="BJ1707" s="2237"/>
      <c r="BK1707" s="2237"/>
      <c r="BL1707" s="2237"/>
      <c r="BM1707" s="2237"/>
      <c r="BN1707" s="2237"/>
      <c r="BO1707" s="2237"/>
      <c r="BP1707" s="2237"/>
      <c r="BQ1707" s="2237"/>
      <c r="BR1707" s="2237"/>
      <c r="BS1707" s="2237"/>
      <c r="BT1707" s="2237"/>
      <c r="BU1707" s="2237"/>
      <c r="BV1707" s="2237"/>
      <c r="BW1707" s="2237"/>
      <c r="BX1707" s="2237"/>
      <c r="BY1707" s="2237"/>
      <c r="BZ1707" s="2237"/>
      <c r="CA1707" s="2237"/>
      <c r="CB1707" s="2237"/>
      <c r="CC1707" s="2237"/>
      <c r="CD1707" s="2237"/>
      <c r="CE1707" s="2237"/>
      <c r="CF1707" s="2237"/>
      <c r="CG1707" s="2237"/>
      <c r="CH1707" s="2237"/>
      <c r="CI1707" s="2237"/>
      <c r="CJ1707" s="2237"/>
      <c r="CK1707" s="2237"/>
      <c r="CL1707" s="2237"/>
      <c r="CM1707" s="2237"/>
      <c r="CN1707" s="2237"/>
      <c r="CO1707" s="2237"/>
      <c r="CP1707" s="2237"/>
      <c r="CQ1707" s="2237"/>
      <c r="CR1707" s="2237"/>
      <c r="CS1707" s="2237"/>
      <c r="CT1707" s="2237"/>
      <c r="CU1707" s="2237"/>
      <c r="CV1707" s="2237"/>
      <c r="CW1707" s="2237"/>
      <c r="CX1707" s="2237"/>
      <c r="CY1707" s="2237"/>
      <c r="CZ1707" s="2237"/>
      <c r="DA1707" s="2237"/>
      <c r="DB1707" s="2237"/>
      <c r="DC1707" s="2237"/>
      <c r="DD1707" s="2237"/>
      <c r="DE1707" s="2237"/>
      <c r="DF1707" s="3393" t="str">
        <f t="shared" si="259"/>
        <v>ASHP-SEER21+-Replace_CAC_NonElectricHeat_ROF_MF_CompE</v>
      </c>
      <c r="DG1707" s="3261"/>
      <c r="DH1707" s="3403" t="str">
        <f t="shared" si="252"/>
        <v>Heating Res 18 Year EUL</v>
      </c>
      <c r="DI1707" s="3260">
        <f>(INDEX('Avoided Cost Benefits'!$B$4:$B$866,MATCH(DH1707,'Avoided Cost Benefits'!$A$4:$A$866,0)))*F1707</f>
        <v>0</v>
      </c>
      <c r="DJ1707" s="2507">
        <f>K1707/(1.0686^(2025-2025))</f>
        <v>0</v>
      </c>
      <c r="DM1707" s="252"/>
    </row>
    <row r="1708" spans="1:117">
      <c r="A1708" s="453"/>
      <c r="B1708" s="1454">
        <f t="shared" si="255"/>
        <v>353750</v>
      </c>
      <c r="C1708" s="682" t="s">
        <v>2345</v>
      </c>
      <c r="D1708" s="3470" t="s">
        <v>1043</v>
      </c>
      <c r="E1708" s="215" t="s">
        <v>2346</v>
      </c>
      <c r="F1708" s="227">
        <f>ROUND(((K2786*K2979*(1/K3172-1/K3365)*K3558)/1000)*$K$3651,2)</f>
        <v>2226.27</v>
      </c>
      <c r="G1708" s="570" t="s">
        <v>2077</v>
      </c>
      <c r="H1708" s="69">
        <f>VLOOKUP(G1708,'CP FACTORS'!$A$3:$B$38, 2, FALSE)</f>
        <v>9.4741810000000004E-4</v>
      </c>
      <c r="I1708" s="1477">
        <f t="shared" si="251"/>
        <v>2.1092080000000002</v>
      </c>
      <c r="J1708" s="59">
        <f t="shared" si="258"/>
        <v>6</v>
      </c>
      <c r="K1708" s="166">
        <f t="shared" si="256"/>
        <v>626.73442183390762</v>
      </c>
      <c r="L1708" s="1107">
        <f>L2014</f>
        <v>2.6603692243864097</v>
      </c>
      <c r="M1708" s="560"/>
      <c r="N1708" s="572"/>
      <c r="O1708" s="417"/>
      <c r="R1708" s="532"/>
      <c r="S1708" s="52"/>
      <c r="T1708" s="52"/>
      <c r="U1708" s="574"/>
      <c r="V1708" s="1442" t="s">
        <v>45</v>
      </c>
      <c r="W1708" s="962">
        <v>2755.2411764705885</v>
      </c>
      <c r="X1708" s="251">
        <v>2106.8816326530614</v>
      </c>
      <c r="Y1708" s="225">
        <v>2106.88</v>
      </c>
      <c r="Z1708" s="225">
        <v>2106.88</v>
      </c>
      <c r="AA1708" s="225">
        <v>2106.88</v>
      </c>
      <c r="AB1708" s="1027">
        <v>2106.88</v>
      </c>
      <c r="AC1708" s="227">
        <v>1716.58</v>
      </c>
      <c r="AD1708" s="227">
        <v>2219.17</v>
      </c>
      <c r="AE1708" s="227">
        <v>2277.0100000000002</v>
      </c>
      <c r="AF1708" s="271">
        <f t="shared" si="257"/>
        <v>2226.27</v>
      </c>
      <c r="AG1708" s="962"/>
      <c r="AH1708" s="121"/>
      <c r="AK1708" s="963"/>
      <c r="DF1708" s="1650" t="str">
        <f t="shared" si="259"/>
        <v>ASHP-SEER17_ER1_SF</v>
      </c>
      <c r="DG1708" s="1090">
        <f>(DI1708+DI1709+DI1710+DI1711)/(DJ1708+DJ1709+DJ1710+DJ1711)</f>
        <v>5.9568386924353147</v>
      </c>
      <c r="DH1708" s="215" t="str">
        <f t="shared" si="252"/>
        <v>Cooling Res 6 Year EUL</v>
      </c>
      <c r="DI1708" s="1091">
        <f>(INDEX('Avoided Cost Benefits'!$B$4:$B$866,MATCH(DH1708,'Avoided Cost Benefits'!$A$4:$A$866,0)))*F1708</f>
        <v>2217.026743629704</v>
      </c>
      <c r="DJ1708" s="1176">
        <f>IFERROR(K1708/(1.0686^(2025-2025)),10000000)</f>
        <v>626.73442183390762</v>
      </c>
      <c r="DM1708" s="252"/>
    </row>
    <row r="1709" spans="1:117">
      <c r="A1709" s="453"/>
      <c r="B1709" s="1454">
        <f t="shared" si="255"/>
        <v>353750</v>
      </c>
      <c r="C1709" s="682" t="s">
        <v>2345</v>
      </c>
      <c r="D1709" s="3470" t="s">
        <v>1043</v>
      </c>
      <c r="E1709" s="1393" t="s">
        <v>2346</v>
      </c>
      <c r="F1709" s="225">
        <f>ROUND(((K2014*K2207*(1/K2400-1/K2593)*K3558)/1000)*$K$3651,2)</f>
        <v>2214.4</v>
      </c>
      <c r="G1709" s="570" t="s">
        <v>2078</v>
      </c>
      <c r="H1709" s="69">
        <f>VLOOKUP(G1709,'CP FACTORS'!$A$3:$B$38, 2, FALSE)</f>
        <v>0</v>
      </c>
      <c r="I1709" s="1167">
        <f t="shared" si="251"/>
        <v>0</v>
      </c>
      <c r="J1709" s="59">
        <f t="shared" si="258"/>
        <v>6</v>
      </c>
      <c r="K1709" s="163">
        <f t="shared" si="256"/>
        <v>0</v>
      </c>
      <c r="L1709" s="255"/>
      <c r="M1709" s="560"/>
      <c r="N1709" s="572"/>
      <c r="O1709" s="417"/>
      <c r="R1709" s="532"/>
      <c r="S1709" s="52"/>
      <c r="T1709" s="52"/>
      <c r="U1709" s="574"/>
      <c r="V1709" s="1442" t="s">
        <v>45</v>
      </c>
      <c r="W1709" s="962">
        <v>6249.9803405572748</v>
      </c>
      <c r="X1709" s="251">
        <v>2767.3247800351946</v>
      </c>
      <c r="Y1709" s="225">
        <v>2767.32</v>
      </c>
      <c r="Z1709" s="225">
        <v>2767.32</v>
      </c>
      <c r="AA1709" s="225">
        <v>2767.32</v>
      </c>
      <c r="AB1709" s="1027">
        <v>2767.32</v>
      </c>
      <c r="AC1709" s="227">
        <v>2388.46</v>
      </c>
      <c r="AD1709" s="227">
        <v>2439.54</v>
      </c>
      <c r="AE1709" s="227">
        <v>2214.4</v>
      </c>
      <c r="AF1709" s="271">
        <f t="shared" si="257"/>
        <v>2214.4</v>
      </c>
      <c r="AG1709" s="962"/>
      <c r="AH1709" s="121"/>
      <c r="AK1709" s="963"/>
      <c r="DF1709" s="1650" t="str">
        <f t="shared" si="259"/>
        <v>ASHP-SEER17_ER1_SF</v>
      </c>
      <c r="DG1709" s="1094"/>
      <c r="DH1709" s="1393" t="str">
        <f t="shared" si="252"/>
        <v>Heating Res 6 Year EUL</v>
      </c>
      <c r="DI1709" s="1091">
        <f>(INDEX('Avoided Cost Benefits'!$B$4:$B$866,MATCH(DH1709,'Avoided Cost Benefits'!$A$4:$A$866,0)))*F1709</f>
        <v>593.85515827702955</v>
      </c>
      <c r="DJ1709" s="1176">
        <f>K1709/(1.0686^(2025-2025))</f>
        <v>0</v>
      </c>
      <c r="DM1709" s="252"/>
    </row>
    <row r="1710" spans="1:117">
      <c r="A1710" s="453"/>
      <c r="B1710" s="1454">
        <f t="shared" si="255"/>
        <v>353750</v>
      </c>
      <c r="C1710" s="682" t="s">
        <v>2345</v>
      </c>
      <c r="D1710" s="3470" t="s">
        <v>1043</v>
      </c>
      <c r="E1710" s="1393" t="s">
        <v>2347</v>
      </c>
      <c r="F1710" s="227">
        <f>ROUND(((K2787*K2980*(1/K3173-1/K3366)*K3559)/1000)*$K$3651,2)</f>
        <v>367.16</v>
      </c>
      <c r="G1710" s="570" t="s">
        <v>2138</v>
      </c>
      <c r="H1710" s="69">
        <f>VLOOKUP(G1710,'CP FACTORS'!$A$3:$B$38, 2, FALSE)</f>
        <v>9.4741810000000004E-4</v>
      </c>
      <c r="I1710" s="1477">
        <f t="shared" si="251"/>
        <v>0.347854</v>
      </c>
      <c r="J1710" s="59">
        <f t="shared" si="258"/>
        <v>12</v>
      </c>
      <c r="K1710" s="163">
        <f t="shared" si="256"/>
        <v>0</v>
      </c>
      <c r="L1710" s="255"/>
      <c r="M1710" s="560"/>
      <c r="N1710" s="572"/>
      <c r="O1710" s="417"/>
      <c r="R1710" s="532"/>
      <c r="S1710" s="52"/>
      <c r="T1710" s="52"/>
      <c r="U1710" s="574"/>
      <c r="V1710" s="1442" t="s">
        <v>45</v>
      </c>
      <c r="W1710" s="962">
        <v>433.76974789915954</v>
      </c>
      <c r="X1710" s="254">
        <v>433.76974789915954</v>
      </c>
      <c r="Y1710" s="225">
        <v>433.77</v>
      </c>
      <c r="Z1710" s="225">
        <v>433.77</v>
      </c>
      <c r="AA1710" s="225">
        <v>433.77</v>
      </c>
      <c r="AB1710" s="1027">
        <v>433.77</v>
      </c>
      <c r="AC1710" s="227">
        <v>399.92</v>
      </c>
      <c r="AD1710" s="227">
        <v>427.89</v>
      </c>
      <c r="AE1710" s="227">
        <v>283.33999999999997</v>
      </c>
      <c r="AF1710" s="271">
        <f t="shared" si="257"/>
        <v>367.16</v>
      </c>
      <c r="AG1710" s="962"/>
      <c r="AH1710" s="121"/>
      <c r="AK1710" s="963"/>
      <c r="DF1710" s="1650" t="str">
        <f t="shared" si="259"/>
        <v>ASHP-SEER17_ER2_SF</v>
      </c>
      <c r="DG1710" s="1094"/>
      <c r="DH1710" s="1393" t="str">
        <f t="shared" si="252"/>
        <v>Cooling Res ER2 12 Year EUL</v>
      </c>
      <c r="DI1710" s="1091">
        <f>(INDEX('Avoided Cost Benefits'!$B$4:$B$866,MATCH(DH1710,'Avoided Cost Benefits'!$A$4:$A$866,0)))*F1710</f>
        <v>475.07596177859966</v>
      </c>
      <c r="DJ1710" s="1176">
        <f>K1710/(1.0686^(2025-2025))</f>
        <v>0</v>
      </c>
      <c r="DM1710" s="252"/>
    </row>
    <row r="1711" spans="1:117">
      <c r="A1711" s="453"/>
      <c r="B1711" s="1454">
        <f t="shared" si="255"/>
        <v>353750</v>
      </c>
      <c r="C1711" s="682" t="s">
        <v>2345</v>
      </c>
      <c r="D1711" s="3470" t="s">
        <v>1043</v>
      </c>
      <c r="E1711" s="1370" t="s">
        <v>2347</v>
      </c>
      <c r="F1711" s="227">
        <f>ROUND(((K2015*K2208*(1/K2401-1/K2594)*K3559)/1000)*$K$3651,2)</f>
        <v>1324.07</v>
      </c>
      <c r="G1711" s="570" t="s">
        <v>2173</v>
      </c>
      <c r="H1711" s="69">
        <f>VLOOKUP(G1711,'CP FACTORS'!$A$3:$B$38, 2, FALSE)</f>
        <v>0</v>
      </c>
      <c r="I1711" s="1167">
        <f t="shared" si="251"/>
        <v>0</v>
      </c>
      <c r="J1711" s="59">
        <f t="shared" si="258"/>
        <v>12</v>
      </c>
      <c r="K1711" s="163">
        <f t="shared" si="256"/>
        <v>0</v>
      </c>
      <c r="L1711" s="255"/>
      <c r="M1711" s="560"/>
      <c r="N1711" s="572"/>
      <c r="O1711" s="417"/>
      <c r="R1711" s="532"/>
      <c r="S1711" s="52"/>
      <c r="T1711" s="52"/>
      <c r="U1711" s="574"/>
      <c r="V1711" s="1442" t="s">
        <v>45</v>
      </c>
      <c r="W1711" s="962">
        <v>1327.6421052631592</v>
      </c>
      <c r="X1711" s="251">
        <v>988.62747111681745</v>
      </c>
      <c r="Y1711" s="225">
        <v>988.63</v>
      </c>
      <c r="Z1711" s="225">
        <v>988.63</v>
      </c>
      <c r="AA1711" s="225">
        <v>988.63</v>
      </c>
      <c r="AB1711" s="1027">
        <v>988.63</v>
      </c>
      <c r="AC1711" s="227">
        <v>809.97</v>
      </c>
      <c r="AD1711" s="227">
        <v>857.63</v>
      </c>
      <c r="AE1711" s="227">
        <v>509.57</v>
      </c>
      <c r="AF1711" s="271">
        <f t="shared" si="257"/>
        <v>1324.07</v>
      </c>
      <c r="AG1711" s="962"/>
      <c r="AH1711" s="121"/>
      <c r="AK1711" s="963"/>
      <c r="DF1711" s="1650" t="str">
        <f t="shared" si="259"/>
        <v>ASHP-SEER17_ER2_SF</v>
      </c>
      <c r="DG1711" s="1094"/>
      <c r="DH1711" s="1370" t="str">
        <f t="shared" si="252"/>
        <v>Heating Res ER2 12 Year EUL</v>
      </c>
      <c r="DI1711" s="1091">
        <f>(INDEX('Avoided Cost Benefits'!$B$4:$B$866,MATCH(DH1711,'Avoided Cost Benefits'!$A$4:$A$866,0)))*F1711</f>
        <v>447.39799017596357</v>
      </c>
      <c r="DJ1711" s="1176">
        <f>K1711/(1.0686^(2025-2025))</f>
        <v>0</v>
      </c>
      <c r="DM1711" s="252"/>
    </row>
    <row r="1712" spans="1:117">
      <c r="A1712" s="453"/>
      <c r="B1712" s="1454">
        <f t="shared" si="255"/>
        <v>353800</v>
      </c>
      <c r="C1712" s="682" t="s">
        <v>2348</v>
      </c>
      <c r="D1712" s="3470" t="s">
        <v>1043</v>
      </c>
      <c r="E1712" s="215" t="s">
        <v>2349</v>
      </c>
      <c r="F1712" s="227">
        <f>ROUND(((K2788*K2981*(1/K3174-1/K3367)*K3560)/1000)*$K$3651,2)</f>
        <v>363.52</v>
      </c>
      <c r="G1712" s="570" t="s">
        <v>2077</v>
      </c>
      <c r="H1712" s="69">
        <f>VLOOKUP(G1712,'CP FACTORS'!$A$3:$B$38, 2, FALSE)</f>
        <v>9.4741810000000004E-4</v>
      </c>
      <c r="I1712" s="1477">
        <f t="shared" si="251"/>
        <v>0.34440500000000002</v>
      </c>
      <c r="J1712" s="59">
        <f t="shared" si="258"/>
        <v>18</v>
      </c>
      <c r="K1712" s="166">
        <f t="shared" si="256"/>
        <v>630</v>
      </c>
      <c r="L1712" s="1107">
        <f>L2016</f>
        <v>3.2119969039215692</v>
      </c>
      <c r="M1712" s="560"/>
      <c r="N1712" s="572"/>
      <c r="O1712" s="417"/>
      <c r="R1712" s="532"/>
      <c r="S1712" s="52"/>
      <c r="T1712" s="52"/>
      <c r="U1712" s="574"/>
      <c r="V1712" s="1442" t="s">
        <v>45</v>
      </c>
      <c r="W1712" s="962">
        <v>433.76974789915954</v>
      </c>
      <c r="X1712" s="254">
        <v>433.76974789915954</v>
      </c>
      <c r="Y1712" s="225">
        <v>433.77</v>
      </c>
      <c r="Z1712" s="225">
        <v>433.77</v>
      </c>
      <c r="AA1712" s="225">
        <v>433.77</v>
      </c>
      <c r="AB1712" s="1027">
        <v>433.77</v>
      </c>
      <c r="AC1712" s="227">
        <v>612.74</v>
      </c>
      <c r="AD1712" s="227">
        <v>429.65</v>
      </c>
      <c r="AE1712" s="227">
        <v>270.14</v>
      </c>
      <c r="AF1712" s="271">
        <f t="shared" si="257"/>
        <v>363.52</v>
      </c>
      <c r="AG1712" s="962"/>
      <c r="AH1712" s="121"/>
      <c r="AK1712" s="963"/>
      <c r="DF1712" s="1650" t="str">
        <f t="shared" si="259"/>
        <v>ASHP-SEER17_ROF_SF</v>
      </c>
      <c r="DG1712" s="1090">
        <f>(DI1712+DI1713)/(DJ1712+DJ1713)</f>
        <v>2.8347654098905193</v>
      </c>
      <c r="DH1712" s="215" t="str">
        <f t="shared" si="252"/>
        <v>Cooling Res 18 Year EUL</v>
      </c>
      <c r="DI1712" s="1091">
        <f>(INDEX('Avoided Cost Benefits'!$B$4:$B$866,MATCH(DH1712,'Avoided Cost Benefits'!$A$4:$A$866,0)))*F1712</f>
        <v>832.37679039742034</v>
      </c>
      <c r="DJ1712" s="1176">
        <f>IFERROR(K1712/(1.0686^(2025-2025)),10000000)</f>
        <v>630</v>
      </c>
      <c r="DM1712" s="252"/>
    </row>
    <row r="1713" spans="1:117">
      <c r="A1713" s="453"/>
      <c r="B1713" s="1454">
        <f t="shared" si="255"/>
        <v>353800</v>
      </c>
      <c r="C1713" s="682" t="s">
        <v>2348</v>
      </c>
      <c r="D1713" s="3470" t="s">
        <v>1043</v>
      </c>
      <c r="E1713" s="253" t="s">
        <v>2349</v>
      </c>
      <c r="F1713" s="227">
        <f>ROUND(((K2016*K2209*(1/K2402-1/K2595)*K3560)/1000)*$K$3651,2)</f>
        <v>1573.28</v>
      </c>
      <c r="G1713" s="570" t="s">
        <v>2078</v>
      </c>
      <c r="H1713" s="69">
        <f>VLOOKUP(G1713,'CP FACTORS'!$A$3:$B$38, 2, FALSE)</f>
        <v>0</v>
      </c>
      <c r="I1713" s="1167">
        <f t="shared" si="251"/>
        <v>0</v>
      </c>
      <c r="J1713" s="59">
        <f t="shared" si="258"/>
        <v>18</v>
      </c>
      <c r="K1713" s="163">
        <f t="shared" si="256"/>
        <v>0</v>
      </c>
      <c r="L1713" s="255"/>
      <c r="M1713" s="560"/>
      <c r="N1713" s="572"/>
      <c r="O1713" s="417"/>
      <c r="R1713" s="532"/>
      <c r="S1713" s="52"/>
      <c r="T1713" s="52"/>
      <c r="U1713" s="574"/>
      <c r="V1713" s="1442" t="s">
        <v>45</v>
      </c>
      <c r="W1713" s="962">
        <v>1584.0000000000018</v>
      </c>
      <c r="X1713" s="251">
        <v>1179.5241413638641</v>
      </c>
      <c r="Y1713" s="225">
        <v>1179.52</v>
      </c>
      <c r="Z1713" s="225">
        <v>1179.52</v>
      </c>
      <c r="AA1713" s="225">
        <v>1179.52</v>
      </c>
      <c r="AB1713" s="1027">
        <v>1179.52</v>
      </c>
      <c r="AC1713" s="227">
        <v>1235.04</v>
      </c>
      <c r="AD1713" s="227">
        <v>835.36</v>
      </c>
      <c r="AE1713" s="227">
        <v>589.9</v>
      </c>
      <c r="AF1713" s="271">
        <f t="shared" si="257"/>
        <v>1573.28</v>
      </c>
      <c r="AG1713" s="962"/>
      <c r="AH1713" s="121"/>
      <c r="AK1713" s="963"/>
      <c r="DF1713" s="1650" t="str">
        <f t="shared" si="259"/>
        <v>ASHP-SEER17_ROF_SF</v>
      </c>
      <c r="DG1713" s="1092"/>
      <c r="DH1713" s="253" t="str">
        <f t="shared" si="252"/>
        <v>Heating Res 18 Year EUL</v>
      </c>
      <c r="DI1713" s="1091">
        <f>(INDEX('Avoided Cost Benefits'!$B$4:$B$866,MATCH(DH1713,'Avoided Cost Benefits'!$A$4:$A$866,0)))*F1713</f>
        <v>953.52541783360687</v>
      </c>
      <c r="DJ1713" s="1176">
        <f>K1713/(1.0686^(2025-2025))</f>
        <v>0</v>
      </c>
      <c r="DM1713" s="252"/>
    </row>
    <row r="1714" spans="1:117">
      <c r="A1714" s="453"/>
      <c r="B1714" s="1454">
        <f t="shared" si="255"/>
        <v>353850</v>
      </c>
      <c r="C1714" s="682" t="s">
        <v>2350</v>
      </c>
      <c r="D1714" s="3470" t="s">
        <v>1043</v>
      </c>
      <c r="E1714" s="1369" t="s">
        <v>2351</v>
      </c>
      <c r="F1714" s="227">
        <f>ROUND(((K2789*K2982*(1/K3175-1/K3368)*K3561)/1000)*$K$3651,2)</f>
        <v>2592.9299999999998</v>
      </c>
      <c r="G1714" s="570" t="s">
        <v>2077</v>
      </c>
      <c r="H1714" s="69">
        <f>VLOOKUP(G1714,'CP FACTORS'!$A$3:$B$38, 2, FALSE)</f>
        <v>9.4741810000000004E-4</v>
      </c>
      <c r="I1714" s="1477">
        <f t="shared" si="251"/>
        <v>2.4565890000000001</v>
      </c>
      <c r="J1714" s="59">
        <f t="shared" si="258"/>
        <v>6</v>
      </c>
      <c r="K1714" s="166">
        <f t="shared" si="256"/>
        <v>851.83158083659146</v>
      </c>
      <c r="L1714" s="1107">
        <f>L2017</f>
        <v>2.8921256722608026</v>
      </c>
      <c r="M1714" s="560"/>
      <c r="N1714" s="572"/>
      <c r="O1714" s="417"/>
      <c r="R1714" s="532"/>
      <c r="S1714" s="52"/>
      <c r="T1714" s="52"/>
      <c r="U1714" s="574"/>
      <c r="V1714" s="1442" t="s">
        <v>45</v>
      </c>
      <c r="W1714" s="962">
        <v>2867.7000000000003</v>
      </c>
      <c r="X1714" s="251">
        <v>2219.3404561824727</v>
      </c>
      <c r="Y1714" s="225">
        <v>2219.34</v>
      </c>
      <c r="Z1714" s="225">
        <v>2219.34</v>
      </c>
      <c r="AA1714" s="225">
        <v>2219.34</v>
      </c>
      <c r="AB1714" s="1026">
        <v>2735.03</v>
      </c>
      <c r="AC1714" s="227">
        <v>2063.94</v>
      </c>
      <c r="AD1714" s="227">
        <v>2369.3000000000002</v>
      </c>
      <c r="AE1714" s="227">
        <v>2358.35</v>
      </c>
      <c r="AF1714" s="271">
        <f t="shared" si="257"/>
        <v>2592.9299999999998</v>
      </c>
      <c r="AG1714" s="962"/>
      <c r="AH1714" s="121"/>
      <c r="AK1714" s="963"/>
      <c r="DF1714" s="1650" t="str">
        <f t="shared" si="259"/>
        <v>ASHP-SEER18_ER1_SF</v>
      </c>
      <c r="DG1714" s="1090">
        <f>(DI1714+DI1715+DI1716+DI1717)/(DJ1714+DJ1715+DJ1716+DJ1717)</f>
        <v>5.344669872886727</v>
      </c>
      <c r="DH1714" s="1369" t="str">
        <f t="shared" si="252"/>
        <v>Cooling Res 6 Year EUL</v>
      </c>
      <c r="DI1714" s="1091">
        <f>(INDEX('Avoided Cost Benefits'!$B$4:$B$866,MATCH(DH1714,'Avoided Cost Benefits'!$A$4:$A$866,0)))*F1714</f>
        <v>2582.1644069945551</v>
      </c>
      <c r="DJ1714" s="1176">
        <f>IFERROR(K1714/(1.0686^(2025-2025)),10000000)</f>
        <v>851.83158083659146</v>
      </c>
      <c r="DM1714" s="252"/>
    </row>
    <row r="1715" spans="1:117">
      <c r="A1715" s="453"/>
      <c r="B1715" s="1454">
        <f t="shared" si="255"/>
        <v>353850</v>
      </c>
      <c r="C1715" s="682" t="s">
        <v>2350</v>
      </c>
      <c r="D1715" s="3470" t="s">
        <v>1043</v>
      </c>
      <c r="E1715" s="1393" t="s">
        <v>2351</v>
      </c>
      <c r="F1715" s="225">
        <f>ROUND(((K2017*K2210*(1/K2403-1/K2596)*K3561)/1000)*$K$3651,2)</f>
        <v>2716.07</v>
      </c>
      <c r="G1715" s="570" t="s">
        <v>2078</v>
      </c>
      <c r="H1715" s="69">
        <f>VLOOKUP(G1715,'CP FACTORS'!$A$3:$B$38, 2, FALSE)</f>
        <v>0</v>
      </c>
      <c r="I1715" s="1167">
        <f t="shared" si="251"/>
        <v>0</v>
      </c>
      <c r="J1715" s="59">
        <f t="shared" si="258"/>
        <v>6</v>
      </c>
      <c r="K1715" s="163">
        <f t="shared" si="256"/>
        <v>0</v>
      </c>
      <c r="L1715" s="255"/>
      <c r="M1715" s="560"/>
      <c r="N1715" s="572"/>
      <c r="O1715" s="417"/>
      <c r="R1715" s="532"/>
      <c r="S1715" s="52"/>
      <c r="T1715" s="52"/>
      <c r="U1715" s="574"/>
      <c r="V1715" s="1442" t="s">
        <v>45</v>
      </c>
      <c r="W1715" s="962">
        <v>6249.9803405572748</v>
      </c>
      <c r="X1715" s="251">
        <v>2767.3247800351946</v>
      </c>
      <c r="Y1715" s="225">
        <v>2767.32</v>
      </c>
      <c r="Z1715" s="225">
        <v>2767.32</v>
      </c>
      <c r="AA1715" s="225">
        <v>2767.32</v>
      </c>
      <c r="AB1715" s="1026">
        <v>3103.81</v>
      </c>
      <c r="AC1715" s="227">
        <v>2980.4</v>
      </c>
      <c r="AD1715" s="227">
        <v>2872.62</v>
      </c>
      <c r="AE1715" s="227">
        <v>2716.07</v>
      </c>
      <c r="AF1715" s="271">
        <f t="shared" si="257"/>
        <v>2716.07</v>
      </c>
      <c r="AG1715" s="962"/>
      <c r="AH1715" s="121"/>
      <c r="AK1715" s="963"/>
      <c r="DF1715" s="1650" t="str">
        <f t="shared" si="259"/>
        <v>ASHP-SEER18_ER1_SF</v>
      </c>
      <c r="DG1715" s="1094"/>
      <c r="DH1715" s="1393" t="str">
        <f t="shared" si="252"/>
        <v>Heating Res 6 Year EUL</v>
      </c>
      <c r="DI1715" s="1091">
        <f>(INDEX('Avoided Cost Benefits'!$B$4:$B$866,MATCH(DH1715,'Avoided Cost Benefits'!$A$4:$A$866,0)))*F1715</f>
        <v>728.39242220985</v>
      </c>
      <c r="DJ1715" s="1176">
        <f>K1715/(1.0686^(2025-2025))</f>
        <v>0</v>
      </c>
      <c r="DM1715" s="252"/>
    </row>
    <row r="1716" spans="1:117">
      <c r="A1716" s="453"/>
      <c r="B1716" s="1454">
        <f t="shared" si="255"/>
        <v>353850</v>
      </c>
      <c r="C1716" s="682" t="s">
        <v>2350</v>
      </c>
      <c r="D1716" s="3470" t="s">
        <v>1043</v>
      </c>
      <c r="E1716" s="1393" t="s">
        <v>2352</v>
      </c>
      <c r="F1716" s="944">
        <f>ROUND(((K2790*K2983*(1/K3176-1/K3369)*K3562)/1000)*$K$3651,2)</f>
        <v>503.51</v>
      </c>
      <c r="G1716" s="570" t="s">
        <v>2138</v>
      </c>
      <c r="H1716" s="69">
        <f>VLOOKUP(G1716,'CP FACTORS'!$A$3:$B$38, 2, FALSE)</f>
        <v>9.4741810000000004E-4</v>
      </c>
      <c r="I1716" s="1478">
        <f t="shared" si="251"/>
        <v>0.47703400000000001</v>
      </c>
      <c r="J1716" s="59">
        <f t="shared" si="258"/>
        <v>12</v>
      </c>
      <c r="K1716" s="163">
        <f t="shared" si="256"/>
        <v>0</v>
      </c>
      <c r="L1716" s="255"/>
      <c r="M1716" s="560"/>
      <c r="N1716" s="572"/>
      <c r="O1716" s="417"/>
      <c r="R1716" s="532"/>
      <c r="S1716" s="52"/>
      <c r="T1716" s="52"/>
      <c r="U1716" s="574"/>
      <c r="V1716" s="1442" t="s">
        <v>45</v>
      </c>
      <c r="W1716" s="962">
        <v>546.2285714285714</v>
      </c>
      <c r="X1716" s="254">
        <v>546.2285714285714</v>
      </c>
      <c r="Y1716" s="225">
        <v>546.23</v>
      </c>
      <c r="Z1716" s="225">
        <v>546.23</v>
      </c>
      <c r="AA1716" s="225">
        <v>546.23</v>
      </c>
      <c r="AB1716" s="1026">
        <v>695.03</v>
      </c>
      <c r="AC1716" s="227">
        <v>523.08000000000004</v>
      </c>
      <c r="AD1716" s="227">
        <v>526.57000000000005</v>
      </c>
      <c r="AE1716" s="944">
        <v>373.05</v>
      </c>
      <c r="AF1716" s="271">
        <f t="shared" si="257"/>
        <v>503.51</v>
      </c>
      <c r="AG1716" s="962"/>
      <c r="AH1716" s="121"/>
      <c r="AK1716" s="963"/>
      <c r="DF1716" s="1650" t="str">
        <f t="shared" si="259"/>
        <v>ASHP-SEER18_ER2_SF</v>
      </c>
      <c r="DG1716" s="1094"/>
      <c r="DH1716" s="1393" t="str">
        <f t="shared" si="252"/>
        <v>Cooling Res ER2 12 Year EUL</v>
      </c>
      <c r="DI1716" s="1091">
        <f>(INDEX('Avoided Cost Benefits'!$B$4:$B$866,MATCH(DH1716,'Avoided Cost Benefits'!$A$4:$A$866,0)))*F1716</f>
        <v>651.50206317448169</v>
      </c>
      <c r="DJ1716" s="1176">
        <f>K1716/(1.0686^(2025-2025))</f>
        <v>0</v>
      </c>
      <c r="DM1716" s="252"/>
    </row>
    <row r="1717" spans="1:117">
      <c r="A1717" s="453"/>
      <c r="B1717" s="1454">
        <f t="shared" si="255"/>
        <v>353850</v>
      </c>
      <c r="C1717" s="682" t="s">
        <v>2350</v>
      </c>
      <c r="D1717" s="3470" t="s">
        <v>1043</v>
      </c>
      <c r="E1717" s="1370" t="s">
        <v>2352</v>
      </c>
      <c r="F1717" s="944">
        <f xml:space="preserve"> ROUND(((K2018*K2211*(1/K2404-1/K2597)*K3562)/1000)*$K$3651,2)</f>
        <v>1748.17</v>
      </c>
      <c r="G1717" s="570" t="s">
        <v>2173</v>
      </c>
      <c r="H1717" s="69">
        <f>VLOOKUP(G1717,'CP FACTORS'!$A$3:$B$38, 2, FALSE)</f>
        <v>0</v>
      </c>
      <c r="I1717" s="1265">
        <f t="shared" si="251"/>
        <v>0</v>
      </c>
      <c r="J1717" s="59">
        <f t="shared" si="258"/>
        <v>12</v>
      </c>
      <c r="K1717" s="163">
        <f t="shared" si="256"/>
        <v>0</v>
      </c>
      <c r="L1717" s="255"/>
      <c r="M1717" s="560"/>
      <c r="N1717" s="572"/>
      <c r="O1717" s="417"/>
      <c r="R1717" s="532"/>
      <c r="S1717" s="52"/>
      <c r="T1717" s="52"/>
      <c r="U1717" s="574"/>
      <c r="V1717" s="1442" t="s">
        <v>45</v>
      </c>
      <c r="W1717" s="962">
        <v>1327.6421052631592</v>
      </c>
      <c r="X1717" s="251">
        <v>988.62747111681745</v>
      </c>
      <c r="Y1717" s="225">
        <v>988.63</v>
      </c>
      <c r="Z1717" s="225">
        <v>988.63</v>
      </c>
      <c r="AA1717" s="225">
        <v>988.63</v>
      </c>
      <c r="AB1717" s="1026">
        <v>1190.3599999999999</v>
      </c>
      <c r="AC1717" s="227">
        <v>1250.1300000000001</v>
      </c>
      <c r="AD1717" s="227">
        <v>1251.58</v>
      </c>
      <c r="AE1717" s="944">
        <v>862.73</v>
      </c>
      <c r="AF1717" s="271">
        <f t="shared" si="257"/>
        <v>1748.17</v>
      </c>
      <c r="AG1717" s="962"/>
      <c r="AH1717" s="121"/>
      <c r="AK1717" s="963"/>
      <c r="DF1717" s="1650" t="str">
        <f t="shared" si="259"/>
        <v>ASHP-SEER18_ER2_SF</v>
      </c>
      <c r="DG1717" s="1094"/>
      <c r="DH1717" s="1370" t="str">
        <f t="shared" si="252"/>
        <v>Heating Res ER2 12 Year EUL</v>
      </c>
      <c r="DI1717" s="1091">
        <f>(INDEX('Avoided Cost Benefits'!$B$4:$B$866,MATCH(DH1717,'Avoided Cost Benefits'!$A$4:$A$866,0)))*F1717</f>
        <v>590.69969449191831</v>
      </c>
      <c r="DJ1717" s="1176">
        <f>K1717/(1.0686^(2025-2025))</f>
        <v>0</v>
      </c>
      <c r="DM1717" s="252"/>
    </row>
    <row r="1718" spans="1:117">
      <c r="A1718" s="453"/>
      <c r="B1718" s="1454">
        <f t="shared" si="255"/>
        <v>353950</v>
      </c>
      <c r="C1718" s="682" t="s">
        <v>2353</v>
      </c>
      <c r="D1718" s="3470" t="s">
        <v>1043</v>
      </c>
      <c r="E1718" s="215" t="s">
        <v>2354</v>
      </c>
      <c r="F1718" s="227">
        <f>ROUND(((K2791*K2984*(1/K3177-1/K3370)*K3563)/1000)*$K$3651,2)</f>
        <v>528.75</v>
      </c>
      <c r="G1718" s="570" t="s">
        <v>2077</v>
      </c>
      <c r="H1718" s="69">
        <f>VLOOKUP(G1718,'CP FACTORS'!$A$3:$B$38, 2, FALSE)</f>
        <v>9.4741810000000004E-4</v>
      </c>
      <c r="I1718" s="1477">
        <f t="shared" si="251"/>
        <v>0.50094700000000003</v>
      </c>
      <c r="J1718" s="59">
        <f t="shared" si="258"/>
        <v>18</v>
      </c>
      <c r="K1718" s="166">
        <f t="shared" si="256"/>
        <v>855</v>
      </c>
      <c r="L1718" s="1107">
        <f>L2019</f>
        <v>3.0020370366666667</v>
      </c>
      <c r="M1718" s="560"/>
      <c r="N1718" s="572"/>
      <c r="O1718" s="417"/>
      <c r="R1718" s="532"/>
      <c r="S1718" s="52"/>
      <c r="T1718" s="52"/>
      <c r="U1718" s="574"/>
      <c r="V1718" s="1442" t="s">
        <v>45</v>
      </c>
      <c r="W1718" s="962">
        <v>546.2285714285714</v>
      </c>
      <c r="X1718" s="254">
        <v>546.2285714285714</v>
      </c>
      <c r="Y1718" s="225">
        <v>546.23</v>
      </c>
      <c r="Z1718" s="225">
        <v>546.23</v>
      </c>
      <c r="AA1718" s="225">
        <v>546.23</v>
      </c>
      <c r="AB1718" s="1027">
        <v>546.23</v>
      </c>
      <c r="AC1718" s="227">
        <v>591.21</v>
      </c>
      <c r="AD1718" s="227">
        <v>521.92999999999995</v>
      </c>
      <c r="AE1718" s="227">
        <v>348.14</v>
      </c>
      <c r="AF1718" s="271">
        <f t="shared" si="257"/>
        <v>528.75</v>
      </c>
      <c r="AG1718" s="962"/>
      <c r="AH1718" s="121"/>
      <c r="AK1718" s="963"/>
      <c r="DF1718" s="1650" t="str">
        <f t="shared" si="259"/>
        <v>ASHP-SEER18_ROF_SF</v>
      </c>
      <c r="DG1718" s="1090">
        <f>(DI1718+DI1719)/(DJ1718+DJ1719)</f>
        <v>2.6491873821324181</v>
      </c>
      <c r="DH1718" s="215" t="str">
        <f t="shared" si="252"/>
        <v>Cooling Res 18 Year EUL</v>
      </c>
      <c r="DI1718" s="1091">
        <f>(INDEX('Avoided Cost Benefits'!$B$4:$B$866,MATCH(DH1718,'Avoided Cost Benefits'!$A$4:$A$866,0)))*F1718</f>
        <v>1210.7153056850684</v>
      </c>
      <c r="DJ1718" s="1176">
        <f>IFERROR(K1718/(1.0686^(2025-2025)),10000000)</f>
        <v>855</v>
      </c>
      <c r="DM1718" s="252"/>
    </row>
    <row r="1719" spans="1:117">
      <c r="A1719" s="453"/>
      <c r="B1719" s="1454">
        <f t="shared" si="255"/>
        <v>353950</v>
      </c>
      <c r="C1719" s="682" t="s">
        <v>2353</v>
      </c>
      <c r="D1719" s="3470" t="s">
        <v>1043</v>
      </c>
      <c r="E1719" s="253" t="s">
        <v>2354</v>
      </c>
      <c r="F1719" s="227">
        <f>ROUND(((K2019*K2212*(1/K2405-1/K2598)*K3563)/1000)*$K$3651,2)</f>
        <v>1739.62</v>
      </c>
      <c r="G1719" s="570" t="s">
        <v>2078</v>
      </c>
      <c r="H1719" s="69">
        <f>VLOOKUP(G1719,'CP FACTORS'!$A$3:$B$38, 2, FALSE)</f>
        <v>0</v>
      </c>
      <c r="I1719" s="1167">
        <f t="shared" si="251"/>
        <v>0</v>
      </c>
      <c r="J1719" s="59">
        <f t="shared" si="258"/>
        <v>18</v>
      </c>
      <c r="K1719" s="163">
        <f t="shared" si="256"/>
        <v>0</v>
      </c>
      <c r="L1719" s="255"/>
      <c r="M1719" s="560"/>
      <c r="N1719" s="572"/>
      <c r="O1719" s="417"/>
      <c r="R1719" s="532"/>
      <c r="S1719" s="52"/>
      <c r="T1719" s="52"/>
      <c r="U1719" s="574"/>
      <c r="V1719" s="1442" t="s">
        <v>45</v>
      </c>
      <c r="W1719" s="962">
        <v>1584.0000000000018</v>
      </c>
      <c r="X1719" s="251">
        <v>1179.5241413638641</v>
      </c>
      <c r="Y1719" s="225">
        <v>1179.52</v>
      </c>
      <c r="Z1719" s="225">
        <v>1179.52</v>
      </c>
      <c r="AA1719" s="225">
        <v>1179.52</v>
      </c>
      <c r="AB1719" s="1027">
        <v>1179.52</v>
      </c>
      <c r="AC1719" s="227">
        <v>1676.32</v>
      </c>
      <c r="AD1719" s="227">
        <v>1313.04</v>
      </c>
      <c r="AE1719" s="227">
        <v>820.53</v>
      </c>
      <c r="AF1719" s="271">
        <f t="shared" si="257"/>
        <v>1739.62</v>
      </c>
      <c r="AG1719" s="962"/>
      <c r="AH1719" s="121"/>
      <c r="AK1719" s="963"/>
      <c r="DF1719" s="1650" t="str">
        <f t="shared" si="259"/>
        <v>ASHP-SEER18_ROF_SF</v>
      </c>
      <c r="DG1719" s="1092"/>
      <c r="DH1719" s="253" t="str">
        <f t="shared" si="252"/>
        <v>Heating Res 18 Year EUL</v>
      </c>
      <c r="DI1719" s="1091">
        <f>(INDEX('Avoided Cost Benefits'!$B$4:$B$866,MATCH(DH1719,'Avoided Cost Benefits'!$A$4:$A$866,0)))*F1719</f>
        <v>1054.3399060381489</v>
      </c>
      <c r="DJ1719" s="1176">
        <f>K1719/(1.0686^(2025-2025))</f>
        <v>0</v>
      </c>
      <c r="DM1719" s="252"/>
    </row>
    <row r="1720" spans="1:117">
      <c r="A1720" s="453"/>
      <c r="B1720" s="1454">
        <f t="shared" si="255"/>
        <v>354000</v>
      </c>
      <c r="C1720" s="682" t="s">
        <v>2355</v>
      </c>
      <c r="D1720" s="3470" t="s">
        <v>1043</v>
      </c>
      <c r="E1720" s="1369" t="s">
        <v>2356</v>
      </c>
      <c r="F1720" s="227">
        <f>ROUND(((K2792*K2985*(1/K3178-1/K3371)*K3564)/1000)*$K$3651,2)</f>
        <v>2563.17</v>
      </c>
      <c r="G1720" s="570" t="s">
        <v>2077</v>
      </c>
      <c r="H1720" s="69">
        <f>VLOOKUP(G1720,'CP FACTORS'!$A$3:$B$38, 2, FALSE)</f>
        <v>9.4741810000000004E-4</v>
      </c>
      <c r="I1720" s="1477">
        <f t="shared" si="251"/>
        <v>2.4283939999999999</v>
      </c>
      <c r="J1720" s="59">
        <f t="shared" si="258"/>
        <v>6</v>
      </c>
      <c r="K1720" s="166">
        <f t="shared" si="256"/>
        <v>1078.2009195105929</v>
      </c>
      <c r="L1720" s="1107">
        <f>L2020</f>
        <v>3.7731209149509803</v>
      </c>
      <c r="M1720" s="560"/>
      <c r="N1720" s="572"/>
      <c r="O1720" s="417"/>
      <c r="R1720" s="532"/>
      <c r="S1720" s="52"/>
      <c r="T1720" s="52"/>
      <c r="U1720" s="574"/>
      <c r="V1720" s="1442" t="s">
        <v>45</v>
      </c>
      <c r="W1720" s="962">
        <v>2968.3210526315793</v>
      </c>
      <c r="X1720" s="251">
        <v>2319.9615088140517</v>
      </c>
      <c r="Y1720" s="225">
        <v>2319.96</v>
      </c>
      <c r="Z1720" s="225">
        <v>2319.96</v>
      </c>
      <c r="AA1720" s="225">
        <v>2319.96</v>
      </c>
      <c r="AB1720" s="1027">
        <v>2319.96</v>
      </c>
      <c r="AC1720" s="227">
        <v>2424.9299999999998</v>
      </c>
      <c r="AD1720" s="227">
        <v>3279.13</v>
      </c>
      <c r="AE1720" s="227">
        <v>2673.03</v>
      </c>
      <c r="AF1720" s="271">
        <f t="shared" si="257"/>
        <v>2563.17</v>
      </c>
      <c r="AG1720" s="962"/>
      <c r="AH1720" s="121"/>
      <c r="AK1720" s="963"/>
      <c r="DF1720" s="1650" t="str">
        <f t="shared" si="259"/>
        <v>ASHP-SEER19_ER1_SF</v>
      </c>
      <c r="DG1720" s="1090">
        <f>(DI1720+DI1721+DI1722+DI1723)/(DJ1720+DJ1721+DJ1722+DJ1723)</f>
        <v>4.7822089628938134</v>
      </c>
      <c r="DH1720" s="1369" t="str">
        <f t="shared" si="252"/>
        <v>Cooling Res 6 Year EUL</v>
      </c>
      <c r="DI1720" s="1091">
        <f>(INDEX('Avoided Cost Benefits'!$B$4:$B$866,MATCH(DH1720,'Avoided Cost Benefits'!$A$4:$A$866,0)))*F1720</f>
        <v>2552.5279676181904</v>
      </c>
      <c r="DJ1720" s="1176">
        <f>IFERROR(K1720/(1.0686^(2025-2025)),10000000)</f>
        <v>1078.2009195105929</v>
      </c>
      <c r="DM1720" s="252"/>
    </row>
    <row r="1721" spans="1:117">
      <c r="A1721" s="453"/>
      <c r="B1721" s="1454">
        <f t="shared" si="255"/>
        <v>354000</v>
      </c>
      <c r="C1721" s="682" t="s">
        <v>2355</v>
      </c>
      <c r="D1721" s="3470" t="s">
        <v>1043</v>
      </c>
      <c r="E1721" s="1393" t="s">
        <v>2356</v>
      </c>
      <c r="F1721" s="225">
        <f>ROUND(((K2020*K2213*(1/K2406-1/K2599)*K3564)/1000)*$K$3651,2)</f>
        <v>3575.55</v>
      </c>
      <c r="G1721" s="570" t="s">
        <v>2078</v>
      </c>
      <c r="H1721" s="69">
        <f>VLOOKUP(G1721,'CP FACTORS'!$A$3:$B$38, 2, FALSE)</f>
        <v>0</v>
      </c>
      <c r="I1721" s="1167">
        <f t="shared" si="251"/>
        <v>0</v>
      </c>
      <c r="J1721" s="59">
        <f t="shared" si="258"/>
        <v>6</v>
      </c>
      <c r="K1721" s="163">
        <f t="shared" si="256"/>
        <v>0</v>
      </c>
      <c r="L1721" s="255"/>
      <c r="M1721" s="560"/>
      <c r="N1721" s="572"/>
      <c r="O1721" s="417"/>
      <c r="R1721" s="532"/>
      <c r="S1721" s="52"/>
      <c r="T1721" s="52"/>
      <c r="U1721" s="574"/>
      <c r="V1721" s="1442" t="s">
        <v>45</v>
      </c>
      <c r="W1721" s="962">
        <v>6249.9803405572748</v>
      </c>
      <c r="X1721" s="251">
        <v>2767.3247800351946</v>
      </c>
      <c r="Y1721" s="225">
        <v>2767.32</v>
      </c>
      <c r="Z1721" s="225">
        <v>2767.32</v>
      </c>
      <c r="AA1721" s="225">
        <v>2767.32</v>
      </c>
      <c r="AB1721" s="1027">
        <v>2767.32</v>
      </c>
      <c r="AC1721" s="227">
        <v>3760.88</v>
      </c>
      <c r="AD1721" s="227">
        <v>3393.01</v>
      </c>
      <c r="AE1721" s="227">
        <v>3575.55</v>
      </c>
      <c r="AF1721" s="271">
        <f t="shared" si="257"/>
        <v>3575.55</v>
      </c>
      <c r="AG1721" s="962"/>
      <c r="AH1721" s="121"/>
      <c r="AK1721" s="963"/>
      <c r="DF1721" s="1650" t="str">
        <f t="shared" si="259"/>
        <v>ASHP-SEER19_ER1_SF</v>
      </c>
      <c r="DG1721" s="1094"/>
      <c r="DH1721" s="1393" t="str">
        <f t="shared" si="252"/>
        <v>Heating Res 6 Year EUL</v>
      </c>
      <c r="DI1721" s="1091">
        <f>(INDEX('Avoided Cost Benefits'!$B$4:$B$866,MATCH(DH1721,'Avoided Cost Benefits'!$A$4:$A$866,0)))*F1721</f>
        <v>958.88674637709232</v>
      </c>
      <c r="DJ1721" s="1176">
        <f>K1721/(1.0686^(2025-2025))</f>
        <v>0</v>
      </c>
      <c r="DM1721" s="252"/>
    </row>
    <row r="1722" spans="1:117">
      <c r="A1722" s="453"/>
      <c r="B1722" s="1454">
        <f t="shared" si="255"/>
        <v>354000</v>
      </c>
      <c r="C1722" s="682" t="s">
        <v>2355</v>
      </c>
      <c r="D1722" s="3470" t="s">
        <v>1043</v>
      </c>
      <c r="E1722" s="1393" t="s">
        <v>2357</v>
      </c>
      <c r="F1722" s="227">
        <f>ROUND(((K2793*K2986*(1/K3179-1/K3372)*K3565)/1000)*$K$3651,2)</f>
        <v>667.18</v>
      </c>
      <c r="G1722" s="570" t="s">
        <v>2138</v>
      </c>
      <c r="H1722" s="69">
        <f>VLOOKUP(G1722,'CP FACTORS'!$A$3:$B$38, 2, FALSE)</f>
        <v>9.4741810000000004E-4</v>
      </c>
      <c r="I1722" s="1477">
        <f t="shared" si="251"/>
        <v>0.63209800000000005</v>
      </c>
      <c r="J1722" s="59">
        <f t="shared" si="258"/>
        <v>12</v>
      </c>
      <c r="K1722" s="163">
        <f t="shared" si="256"/>
        <v>0</v>
      </c>
      <c r="L1722" s="255"/>
      <c r="M1722" s="560"/>
      <c r="N1722" s="572"/>
      <c r="O1722" s="417"/>
      <c r="R1722" s="532"/>
      <c r="S1722" s="52"/>
      <c r="T1722" s="52"/>
      <c r="U1722" s="574"/>
      <c r="V1722" s="1442" t="s">
        <v>45</v>
      </c>
      <c r="W1722" s="962">
        <v>646.8496240601504</v>
      </c>
      <c r="X1722" s="254">
        <v>646.8496240601504</v>
      </c>
      <c r="Y1722" s="225">
        <v>646.85</v>
      </c>
      <c r="Z1722" s="225">
        <v>646.85</v>
      </c>
      <c r="AA1722" s="225">
        <v>646.85</v>
      </c>
      <c r="AB1722" s="1027">
        <v>646.85</v>
      </c>
      <c r="AC1722" s="227">
        <v>795.55</v>
      </c>
      <c r="AD1722" s="227">
        <v>816.88</v>
      </c>
      <c r="AE1722" s="227">
        <v>548.35</v>
      </c>
      <c r="AF1722" s="271">
        <f t="shared" si="257"/>
        <v>667.18</v>
      </c>
      <c r="AG1722" s="962"/>
      <c r="AH1722" s="121"/>
      <c r="AK1722" s="963"/>
      <c r="DF1722" s="1650" t="str">
        <f t="shared" si="259"/>
        <v>ASHP-SEER19_ER2_SF</v>
      </c>
      <c r="DG1722" s="1094"/>
      <c r="DH1722" s="1393" t="str">
        <f t="shared" si="252"/>
        <v>Cooling Res ER2 12 Year EUL</v>
      </c>
      <c r="DI1722" s="1091">
        <f>(INDEX('Avoided Cost Benefits'!$B$4:$B$866,MATCH(DH1722,'Avoided Cost Benefits'!$A$4:$A$866,0)))*F1722</f>
        <v>863.27808088965594</v>
      </c>
      <c r="DJ1722" s="1176">
        <f>K1722/(1.0686^(2025-2025))</f>
        <v>0</v>
      </c>
      <c r="DM1722" s="252"/>
    </row>
    <row r="1723" spans="1:117">
      <c r="A1723" s="453"/>
      <c r="B1723" s="1454">
        <f t="shared" si="255"/>
        <v>354000</v>
      </c>
      <c r="C1723" s="682" t="s">
        <v>2355</v>
      </c>
      <c r="D1723" s="3470" t="s">
        <v>1043</v>
      </c>
      <c r="E1723" s="1370" t="s">
        <v>2357</v>
      </c>
      <c r="F1723" s="227">
        <f>ROUND(((K2021*K2214*(1/K2407-1/K2600)*K3565)/1000)*$K$3651,2)</f>
        <v>2312.81</v>
      </c>
      <c r="G1723" s="570" t="s">
        <v>2173</v>
      </c>
      <c r="H1723" s="69">
        <f>VLOOKUP(G1723,'CP FACTORS'!$A$3:$B$38, 2, FALSE)</f>
        <v>0</v>
      </c>
      <c r="I1723" s="1167">
        <f t="shared" si="251"/>
        <v>0</v>
      </c>
      <c r="J1723" s="59">
        <f t="shared" si="258"/>
        <v>12</v>
      </c>
      <c r="K1723" s="163">
        <f t="shared" si="256"/>
        <v>0</v>
      </c>
      <c r="L1723" s="255"/>
      <c r="M1723" s="560"/>
      <c r="N1723" s="572"/>
      <c r="O1723" s="417"/>
      <c r="R1723" s="532"/>
      <c r="S1723" s="52"/>
      <c r="T1723" s="52"/>
      <c r="U1723" s="574"/>
      <c r="V1723" s="1442" t="s">
        <v>45</v>
      </c>
      <c r="W1723" s="962">
        <v>1327.6421052631592</v>
      </c>
      <c r="X1723" s="251">
        <v>988.62747111681745</v>
      </c>
      <c r="Y1723" s="225">
        <v>988.63</v>
      </c>
      <c r="Z1723" s="225">
        <v>988.63</v>
      </c>
      <c r="AA1723" s="225">
        <v>988.63</v>
      </c>
      <c r="AB1723" s="1027">
        <v>988.63</v>
      </c>
      <c r="AC1723" s="227">
        <v>1604.88</v>
      </c>
      <c r="AD1723" s="227">
        <v>1359.3</v>
      </c>
      <c r="AE1723" s="227">
        <v>1157.6300000000001</v>
      </c>
      <c r="AF1723" s="271">
        <f t="shared" si="257"/>
        <v>2312.81</v>
      </c>
      <c r="AG1723" s="962"/>
      <c r="AH1723" s="121"/>
      <c r="AK1723" s="963"/>
      <c r="DF1723" s="1650" t="str">
        <f t="shared" si="259"/>
        <v>ASHP-SEER19_ER2_SF</v>
      </c>
      <c r="DG1723" s="1094"/>
      <c r="DH1723" s="1370" t="str">
        <f t="shared" si="252"/>
        <v>Heating Res ER2 12 Year EUL</v>
      </c>
      <c r="DI1723" s="1091">
        <f>(INDEX('Avoided Cost Benefits'!$B$4:$B$866,MATCH(DH1723,'Avoided Cost Benefits'!$A$4:$A$866,0)))*F1723</f>
        <v>781.4893061989701</v>
      </c>
      <c r="DJ1723" s="1176">
        <f>K1723/(1.0686^(2025-2025))</f>
        <v>0</v>
      </c>
      <c r="DM1723" s="252"/>
    </row>
    <row r="1724" spans="1:117">
      <c r="A1724" s="453"/>
      <c r="B1724" s="1454">
        <f t="shared" si="255"/>
        <v>354050</v>
      </c>
      <c r="C1724" s="682" t="s">
        <v>2358</v>
      </c>
      <c r="D1724" s="3470" t="s">
        <v>1043</v>
      </c>
      <c r="E1724" s="215" t="s">
        <v>2359</v>
      </c>
      <c r="F1724" s="227">
        <f>ROUND(((K2794*K2987*(1/K3180-1/K3373)*K3566)/1000)*$K$3651,2)</f>
        <v>665.33</v>
      </c>
      <c r="G1724" s="570" t="s">
        <v>2077</v>
      </c>
      <c r="H1724" s="69">
        <f>VLOOKUP(G1724,'CP FACTORS'!$A$3:$B$38, 2, FALSE)</f>
        <v>9.4741810000000004E-4</v>
      </c>
      <c r="I1724" s="1477">
        <f t="shared" si="251"/>
        <v>0.63034599999999996</v>
      </c>
      <c r="J1724" s="59">
        <f t="shared" si="258"/>
        <v>18</v>
      </c>
      <c r="K1724" s="166">
        <f t="shared" si="256"/>
        <v>1081</v>
      </c>
      <c r="L1724" s="1107">
        <f>L2022</f>
        <v>2.9920329673076922</v>
      </c>
      <c r="M1724" s="560"/>
      <c r="N1724" s="572"/>
      <c r="O1724" s="417"/>
      <c r="R1724" s="532"/>
      <c r="S1724" s="52"/>
      <c r="T1724" s="52"/>
      <c r="U1724" s="574"/>
      <c r="V1724" s="1442" t="s">
        <v>45</v>
      </c>
      <c r="W1724" s="962">
        <v>646.8496240601504</v>
      </c>
      <c r="X1724" s="254">
        <v>646.8496240601504</v>
      </c>
      <c r="Y1724" s="225">
        <v>646.85</v>
      </c>
      <c r="Z1724" s="225">
        <v>646.85</v>
      </c>
      <c r="AA1724" s="225">
        <v>646.85</v>
      </c>
      <c r="AB1724" s="1027">
        <v>646.85</v>
      </c>
      <c r="AC1724" s="227">
        <v>428.97</v>
      </c>
      <c r="AD1724" s="227">
        <v>699.07</v>
      </c>
      <c r="AE1724" s="227">
        <v>529.09</v>
      </c>
      <c r="AF1724" s="271">
        <f t="shared" si="257"/>
        <v>665.33</v>
      </c>
      <c r="AG1724" s="962"/>
      <c r="AH1724" s="121"/>
      <c r="AK1724" s="963"/>
      <c r="DF1724" s="1650" t="str">
        <f t="shared" si="259"/>
        <v>ASHP-SEER19_ROF_SF</v>
      </c>
      <c r="DG1724" s="1090">
        <f>(DI1724+DI1725)/(DJ1724+DJ1725)</f>
        <v>2.4474752226128209</v>
      </c>
      <c r="DH1724" s="215" t="str">
        <f t="shared" si="252"/>
        <v>Cooling Res 18 Year EUL</v>
      </c>
      <c r="DI1724" s="1091">
        <f>(INDEX('Avoided Cost Benefits'!$B$4:$B$866,MATCH(DH1724,'Avoided Cost Benefits'!$A$4:$A$866,0)))*F1724</f>
        <v>1523.4519419980077</v>
      </c>
      <c r="DJ1724" s="1176">
        <f>IFERROR(K1724/(1.0686^(2025-2025)),10000000)</f>
        <v>1081</v>
      </c>
      <c r="DM1724" s="252"/>
    </row>
    <row r="1725" spans="1:117">
      <c r="A1725" s="453"/>
      <c r="B1725" s="1454">
        <f t="shared" si="255"/>
        <v>354050</v>
      </c>
      <c r="C1725" s="682" t="s">
        <v>2358</v>
      </c>
      <c r="D1725" s="3470" t="s">
        <v>1043</v>
      </c>
      <c r="E1725" s="253" t="s">
        <v>2359</v>
      </c>
      <c r="F1725" s="227">
        <f>ROUND(((K2022*K2215*(1/K2408-1/K2601)*K3566)/1000)*$K$3651,2)</f>
        <v>1851.7</v>
      </c>
      <c r="G1725" s="570" t="s">
        <v>2078</v>
      </c>
      <c r="H1725" s="69">
        <f>VLOOKUP(G1725,'CP FACTORS'!$A$3:$B$38, 2, FALSE)</f>
        <v>0</v>
      </c>
      <c r="I1725" s="1167">
        <f t="shared" si="251"/>
        <v>0</v>
      </c>
      <c r="J1725" s="59">
        <f t="shared" si="258"/>
        <v>18</v>
      </c>
      <c r="K1725" s="163">
        <f t="shared" si="256"/>
        <v>0</v>
      </c>
      <c r="L1725" s="255"/>
      <c r="M1725" s="560"/>
      <c r="N1725" s="572"/>
      <c r="O1725" s="417"/>
      <c r="R1725" s="532"/>
      <c r="S1725" s="52"/>
      <c r="T1725" s="52"/>
      <c r="U1725" s="574"/>
      <c r="V1725" s="1442" t="s">
        <v>45</v>
      </c>
      <c r="W1725" s="962">
        <v>1584.0000000000018</v>
      </c>
      <c r="X1725" s="251">
        <v>1179.5241413638641</v>
      </c>
      <c r="Y1725" s="225">
        <v>1179.52</v>
      </c>
      <c r="Z1725" s="225">
        <v>1179.52</v>
      </c>
      <c r="AA1725" s="225">
        <v>1179.52</v>
      </c>
      <c r="AB1725" s="1027">
        <v>1179.52</v>
      </c>
      <c r="AC1725" s="227">
        <v>1045.1500000000001</v>
      </c>
      <c r="AD1725" s="227">
        <v>1240.33</v>
      </c>
      <c r="AE1725" s="227">
        <v>935.67</v>
      </c>
      <c r="AF1725" s="271">
        <f t="shared" si="257"/>
        <v>1851.7</v>
      </c>
      <c r="AG1725" s="962"/>
      <c r="AH1725" s="121"/>
      <c r="AK1725" s="963"/>
      <c r="DF1725" s="1650" t="str">
        <f t="shared" si="259"/>
        <v>ASHP-SEER19_ROF_SF</v>
      </c>
      <c r="DG1725" s="1092"/>
      <c r="DH1725" s="253" t="str">
        <f t="shared" si="252"/>
        <v>Heating Res 18 Year EUL</v>
      </c>
      <c r="DI1725" s="1091">
        <f>(INDEX('Avoided Cost Benefits'!$B$4:$B$866,MATCH(DH1725,'Avoided Cost Benefits'!$A$4:$A$866,0)))*F1725</f>
        <v>1122.2687736464518</v>
      </c>
      <c r="DJ1725" s="1176">
        <f>K1725/(1.0686^(2025-2025))</f>
        <v>0</v>
      </c>
      <c r="DM1725" s="252"/>
    </row>
    <row r="1726" spans="1:117">
      <c r="A1726" s="453"/>
      <c r="B1726" s="1454">
        <f t="shared" si="255"/>
        <v>354100</v>
      </c>
      <c r="C1726" s="682" t="s">
        <v>2360</v>
      </c>
      <c r="D1726" s="3470" t="s">
        <v>1043</v>
      </c>
      <c r="E1726" s="1369" t="s">
        <v>2361</v>
      </c>
      <c r="F1726" s="227">
        <f>ROUND(((K2795*K2988*(1/K3181-1/K3374)*K3567)/1000)*$K$3651,2)</f>
        <v>2226.27</v>
      </c>
      <c r="G1726" s="570" t="s">
        <v>2077</v>
      </c>
      <c r="H1726" s="69">
        <f>VLOOKUP(G1726,'CP FACTORS'!$A$3:$B$38, 2, FALSE)</f>
        <v>9.4741810000000004E-4</v>
      </c>
      <c r="I1726" s="1477">
        <f t="shared" si="251"/>
        <v>2.1092080000000002</v>
      </c>
      <c r="J1726" s="59">
        <f t="shared" si="258"/>
        <v>6</v>
      </c>
      <c r="K1726" s="166">
        <f t="shared" si="256"/>
        <v>3783.9531661870506</v>
      </c>
      <c r="L1726" s="1107">
        <f>L2023</f>
        <v>2.6603692243864097</v>
      </c>
      <c r="M1726" s="560"/>
      <c r="N1726" s="572"/>
      <c r="O1726" s="417"/>
      <c r="R1726" s="532"/>
      <c r="S1726" s="52"/>
      <c r="T1726" s="52"/>
      <c r="U1726" s="574"/>
      <c r="V1726" s="1442" t="s">
        <v>45</v>
      </c>
      <c r="W1726" s="962">
        <v>2852.3647058823531</v>
      </c>
      <c r="X1726" s="251">
        <v>1979.1918367346937</v>
      </c>
      <c r="Y1726" s="225">
        <v>1979.19</v>
      </c>
      <c r="Z1726" s="225">
        <v>1979.19</v>
      </c>
      <c r="AA1726" s="225">
        <v>1979.19</v>
      </c>
      <c r="AB1726" s="1027">
        <v>1979.19</v>
      </c>
      <c r="AC1726" s="227">
        <v>1948.61</v>
      </c>
      <c r="AD1726" s="227">
        <v>2219.17</v>
      </c>
      <c r="AE1726" s="227">
        <v>2277.0100000000002</v>
      </c>
      <c r="AF1726" s="271">
        <f t="shared" si="257"/>
        <v>2226.27</v>
      </c>
      <c r="AG1726" s="962"/>
      <c r="AH1726" s="121"/>
      <c r="AK1726" s="963"/>
      <c r="DF1726" s="1650" t="str">
        <f t="shared" si="259"/>
        <v>ASHP-SEER17-Replace_CAC_ElectricHeat_ER1_SF</v>
      </c>
      <c r="DG1726" s="1090">
        <f>(DI1726+DI1727+DI1728+DI1729)/(DJ1726+DJ1727+DJ1728+DJ1729)</f>
        <v>2.1960823510691041</v>
      </c>
      <c r="DH1726" s="1369" t="str">
        <f t="shared" si="252"/>
        <v>Cooling Res 6 Year EUL</v>
      </c>
      <c r="DI1726" s="1091">
        <f>(INDEX('Avoided Cost Benefits'!$B$4:$B$866,MATCH(DH1726,'Avoided Cost Benefits'!$A$4:$A$866,0)))*F1726</f>
        <v>2217.026743629704</v>
      </c>
      <c r="DJ1726" s="1176">
        <f>IFERROR(K1726/(1.0686^(2025-2025)),10000000)</f>
        <v>3783.9531661870506</v>
      </c>
      <c r="DM1726" s="252"/>
    </row>
    <row r="1727" spans="1:117">
      <c r="A1727" s="453"/>
      <c r="B1727" s="1454">
        <f t="shared" si="255"/>
        <v>354100</v>
      </c>
      <c r="C1727" s="682" t="s">
        <v>2360</v>
      </c>
      <c r="D1727" s="3470" t="s">
        <v>1043</v>
      </c>
      <c r="E1727" s="1393" t="s">
        <v>2361</v>
      </c>
      <c r="F1727" s="225">
        <f>ROUND(((K2023*K2216*(1/K2409-1/K2602)*K3567)/1000)*$K$3651,2)</f>
        <v>8961.76</v>
      </c>
      <c r="G1727" s="570" t="s">
        <v>2078</v>
      </c>
      <c r="H1727" s="69">
        <f>VLOOKUP(G1727,'CP FACTORS'!$A$3:$B$38, 2, FALSE)</f>
        <v>0</v>
      </c>
      <c r="I1727" s="1167">
        <f t="shared" si="251"/>
        <v>0</v>
      </c>
      <c r="J1727" s="59">
        <f t="shared" si="258"/>
        <v>6</v>
      </c>
      <c r="K1727" s="163">
        <f t="shared" si="256"/>
        <v>0</v>
      </c>
      <c r="L1727" s="255"/>
      <c r="M1727" s="560"/>
      <c r="N1727" s="572"/>
      <c r="O1727" s="417"/>
      <c r="R1727" s="532"/>
      <c r="S1727" s="52"/>
      <c r="T1727" s="52"/>
      <c r="U1727" s="574"/>
      <c r="V1727" s="1442" t="s">
        <v>45</v>
      </c>
      <c r="W1727" s="962">
        <v>13965.852998065762</v>
      </c>
      <c r="X1727" s="251">
        <v>10399.659574468084</v>
      </c>
      <c r="Y1727" s="225">
        <v>10399.66</v>
      </c>
      <c r="Z1727" s="225">
        <v>10399.66</v>
      </c>
      <c r="AA1727" s="225">
        <v>10399.66</v>
      </c>
      <c r="AB1727" s="1027">
        <v>10399.66</v>
      </c>
      <c r="AC1727" s="227">
        <v>9594</v>
      </c>
      <c r="AD1727" s="227">
        <v>9883.16</v>
      </c>
      <c r="AE1727" s="227">
        <v>8961.76</v>
      </c>
      <c r="AF1727" s="271">
        <f t="shared" si="257"/>
        <v>8961.76</v>
      </c>
      <c r="AG1727" s="962"/>
      <c r="AH1727" s="121"/>
      <c r="AK1727" s="963"/>
      <c r="DF1727" s="1650" t="str">
        <f t="shared" si="259"/>
        <v>ASHP-SEER17-Replace_CAC_ElectricHeat_ER1_SF</v>
      </c>
      <c r="DG1727" s="1094"/>
      <c r="DH1727" s="1393" t="str">
        <f t="shared" si="252"/>
        <v>Heating Res 6 Year EUL</v>
      </c>
      <c r="DI1727" s="1091">
        <f>(INDEX('Avoided Cost Benefits'!$B$4:$B$866,MATCH(DH1727,'Avoided Cost Benefits'!$A$4:$A$866,0)))*F1727</f>
        <v>2403.3541380241836</v>
      </c>
      <c r="DJ1727" s="1176">
        <f t="shared" ref="DJ1727:DJ1733" si="260">K1727/(1.0686^(2025-2025))</f>
        <v>0</v>
      </c>
      <c r="DM1727" s="252"/>
    </row>
    <row r="1728" spans="1:117">
      <c r="A1728" s="453"/>
      <c r="B1728" s="1454">
        <f t="shared" si="255"/>
        <v>354100</v>
      </c>
      <c r="C1728" s="682" t="s">
        <v>2360</v>
      </c>
      <c r="D1728" s="3470" t="s">
        <v>1043</v>
      </c>
      <c r="E1728" s="1393" t="s">
        <v>2362</v>
      </c>
      <c r="F1728" s="227">
        <f>ROUND(((K2796*K2989*(1/K3182-1/K3375)*K3568)/1000)*$K$3651,2)</f>
        <v>511.12</v>
      </c>
      <c r="G1728" s="570" t="s">
        <v>2138</v>
      </c>
      <c r="H1728" s="69">
        <f>VLOOKUP(G1728,'CP FACTORS'!$A$3:$B$38, 2, FALSE)</f>
        <v>9.4741810000000004E-4</v>
      </c>
      <c r="I1728" s="1477">
        <f t="shared" si="251"/>
        <v>0.48424400000000001</v>
      </c>
      <c r="J1728" s="59">
        <f t="shared" si="258"/>
        <v>12</v>
      </c>
      <c r="K1728" s="163">
        <f t="shared" si="256"/>
        <v>0</v>
      </c>
      <c r="L1728" s="255"/>
      <c r="M1728" s="560"/>
      <c r="N1728" s="572"/>
      <c r="O1728" s="417"/>
      <c r="R1728" s="532"/>
      <c r="S1728" s="52"/>
      <c r="T1728" s="52"/>
      <c r="U1728" s="574"/>
      <c r="V1728" s="1442" t="s">
        <v>45</v>
      </c>
      <c r="W1728" s="962">
        <v>585.10045248868789</v>
      </c>
      <c r="X1728" s="254">
        <v>585.10045248868789</v>
      </c>
      <c r="Y1728" s="225">
        <v>585.1</v>
      </c>
      <c r="Z1728" s="225">
        <v>585.1</v>
      </c>
      <c r="AA1728" s="225">
        <v>585.1</v>
      </c>
      <c r="AB1728" s="1027">
        <v>585.1</v>
      </c>
      <c r="AC1728" s="227">
        <v>550.07000000000005</v>
      </c>
      <c r="AD1728" s="227">
        <v>605.03</v>
      </c>
      <c r="AE1728" s="227">
        <v>438.15</v>
      </c>
      <c r="AF1728" s="271">
        <f t="shared" si="257"/>
        <v>511.12</v>
      </c>
      <c r="AG1728" s="962"/>
      <c r="AH1728" s="121"/>
      <c r="AK1728" s="963"/>
      <c r="DF1728" s="1650" t="str">
        <f t="shared" si="259"/>
        <v>ASHP-SEER17-Replace_CAC_ElectricHeat_ER2_SF</v>
      </c>
      <c r="DG1728" s="1094"/>
      <c r="DH1728" s="1393" t="str">
        <f t="shared" si="252"/>
        <v>Cooling Res ER2 12 Year EUL</v>
      </c>
      <c r="DI1728" s="1091">
        <f>(INDEX('Avoided Cost Benefits'!$B$4:$B$866,MATCH(DH1728,'Avoided Cost Benefits'!$A$4:$A$866,0)))*F1728</f>
        <v>661.34880048011178</v>
      </c>
      <c r="DJ1728" s="1176">
        <f t="shared" si="260"/>
        <v>0</v>
      </c>
      <c r="DM1728" s="252"/>
    </row>
    <row r="1729" spans="1:117">
      <c r="A1729" s="453"/>
      <c r="B1729" s="1454">
        <f t="shared" si="255"/>
        <v>354100</v>
      </c>
      <c r="C1729" s="682" t="s">
        <v>2360</v>
      </c>
      <c r="D1729" s="3470" t="s">
        <v>1043</v>
      </c>
      <c r="E1729" s="1370" t="s">
        <v>2362</v>
      </c>
      <c r="F1729" s="225">
        <f>ROUND(((K2024*K2217*(1/K2410-1/K2603)*K3568)/1000)*$K$3651,2)</f>
        <v>8961.76</v>
      </c>
      <c r="G1729" s="570" t="s">
        <v>2173</v>
      </c>
      <c r="H1729" s="69">
        <f>VLOOKUP(G1729,'CP FACTORS'!$A$3:$B$38, 2, FALSE)</f>
        <v>0</v>
      </c>
      <c r="I1729" s="1167">
        <f t="shared" si="251"/>
        <v>0</v>
      </c>
      <c r="J1729" s="59">
        <f t="shared" si="258"/>
        <v>12</v>
      </c>
      <c r="K1729" s="163">
        <f t="shared" si="256"/>
        <v>0</v>
      </c>
      <c r="L1729" s="255"/>
      <c r="M1729" s="560"/>
      <c r="N1729" s="572"/>
      <c r="O1729" s="417"/>
      <c r="R1729" s="532"/>
      <c r="S1729" s="52"/>
      <c r="T1729" s="52"/>
      <c r="U1729" s="574"/>
      <c r="V1729" s="1442" t="s">
        <v>45</v>
      </c>
      <c r="W1729" s="962">
        <v>13965.852998065762</v>
      </c>
      <c r="X1729" s="251">
        <v>10399.659574468084</v>
      </c>
      <c r="Y1729" s="225">
        <v>10399.66</v>
      </c>
      <c r="Z1729" s="225">
        <v>10399.66</v>
      </c>
      <c r="AA1729" s="225">
        <v>10399.66</v>
      </c>
      <c r="AB1729" s="1027">
        <v>10399.66</v>
      </c>
      <c r="AC1729" s="227">
        <v>9594</v>
      </c>
      <c r="AD1729" s="227">
        <v>9883.16</v>
      </c>
      <c r="AE1729" s="227">
        <v>8961.76</v>
      </c>
      <c r="AF1729" s="271">
        <f t="shared" si="257"/>
        <v>8961.76</v>
      </c>
      <c r="AG1729" s="962"/>
      <c r="AH1729" s="121"/>
      <c r="AK1729" s="963"/>
      <c r="DF1729" s="1650" t="str">
        <f t="shared" si="259"/>
        <v>ASHP-SEER17-Replace_CAC_ElectricHeat_ER2_SF</v>
      </c>
      <c r="DG1729" s="1094"/>
      <c r="DH1729" s="1370" t="str">
        <f t="shared" si="252"/>
        <v>Heating Res ER2 12 Year EUL</v>
      </c>
      <c r="DI1729" s="1091">
        <f>(INDEX('Avoided Cost Benefits'!$B$4:$B$866,MATCH(DH1729,'Avoided Cost Benefits'!$A$4:$A$866,0)))*F1729</f>
        <v>3028.1430834014391</v>
      </c>
      <c r="DJ1729" s="1176">
        <f t="shared" si="260"/>
        <v>0</v>
      </c>
      <c r="DM1729" s="252"/>
    </row>
    <row r="1730" spans="1:117">
      <c r="A1730" s="453"/>
      <c r="B1730" s="1454">
        <f t="shared" si="255"/>
        <v>354110</v>
      </c>
      <c r="C1730" s="682" t="s">
        <v>2363</v>
      </c>
      <c r="D1730" s="3470" t="s">
        <v>1800</v>
      </c>
      <c r="E1730" s="1393" t="s">
        <v>2364</v>
      </c>
      <c r="F1730" s="227">
        <f>ROUND(((K2797*K2990*(1/K3183-1/K3376)*K3569)/1000)*$K$3651,2)</f>
        <v>2226.27</v>
      </c>
      <c r="G1730" s="570" t="s">
        <v>2077</v>
      </c>
      <c r="H1730" s="69">
        <f>VLOOKUP(G1730,'CP FACTORS'!$A$3:$B$38, 2, FALSE)</f>
        <v>9.4741810000000004E-4</v>
      </c>
      <c r="I1730" s="1477">
        <f t="shared" si="251"/>
        <v>2.1092080000000002</v>
      </c>
      <c r="J1730" s="59">
        <f t="shared" si="258"/>
        <v>6</v>
      </c>
      <c r="K1730" s="166">
        <f t="shared" si="256"/>
        <v>501.3407230169808</v>
      </c>
      <c r="L1730" s="1107">
        <f>L2025</f>
        <v>2.6603692243864097</v>
      </c>
      <c r="M1730" s="560"/>
      <c r="N1730" s="572"/>
      <c r="O1730" s="417"/>
      <c r="R1730" s="532"/>
      <c r="S1730" s="52"/>
      <c r="T1730" s="52"/>
      <c r="U1730" s="574"/>
      <c r="V1730" s="1442" t="s">
        <v>45</v>
      </c>
      <c r="W1730" s="962"/>
      <c r="X1730" s="251"/>
      <c r="Y1730" s="225"/>
      <c r="Z1730" s="225"/>
      <c r="AA1730" s="225"/>
      <c r="AB1730" s="1027"/>
      <c r="AC1730" s="227">
        <v>1948.61</v>
      </c>
      <c r="AD1730" s="227">
        <v>2219.17</v>
      </c>
      <c r="AE1730" s="227">
        <v>2277.0100000000002</v>
      </c>
      <c r="AF1730" s="271">
        <f t="shared" si="257"/>
        <v>2226.27</v>
      </c>
      <c r="AG1730" s="962"/>
      <c r="AH1730" s="121"/>
      <c r="AK1730" s="963"/>
      <c r="DF1730" s="1650" t="str">
        <f t="shared" si="259"/>
        <v>ASHP-SEER17-Replace_CAC_NonElectricHeat_ER1_SF</v>
      </c>
      <c r="DG1730" s="1090">
        <f>(DI1730+DI1731+DI1732+DI1733)/(DJ1730+DJ1731+DJ1732+DJ1733)</f>
        <v>5.7413559520723849</v>
      </c>
      <c r="DH1730" s="1393" t="str">
        <f t="shared" si="252"/>
        <v>Cooling Res 6 Year EUL</v>
      </c>
      <c r="DI1730" s="1091">
        <f>(INDEX('Avoided Cost Benefits'!$B$4:$B$866,MATCH(DH1730,'Avoided Cost Benefits'!$A$4:$A$866,0)))*F1730</f>
        <v>2217.026743629704</v>
      </c>
      <c r="DJ1730" s="1176">
        <f t="shared" si="260"/>
        <v>501.3407230169808</v>
      </c>
      <c r="DM1730" s="252"/>
    </row>
    <row r="1731" spans="1:117">
      <c r="A1731" s="453"/>
      <c r="B1731" s="1454">
        <f t="shared" si="255"/>
        <v>354110</v>
      </c>
      <c r="C1731" s="682" t="s">
        <v>2363</v>
      </c>
      <c r="D1731" s="3470" t="s">
        <v>1800</v>
      </c>
      <c r="E1731" s="1393" t="s">
        <v>2364</v>
      </c>
      <c r="F1731" s="225">
        <v>0</v>
      </c>
      <c r="G1731" s="570" t="s">
        <v>2078</v>
      </c>
      <c r="H1731" s="69">
        <f>VLOOKUP(G1731,'CP FACTORS'!$A$3:$B$38, 2, FALSE)</f>
        <v>0</v>
      </c>
      <c r="I1731" s="1167">
        <f t="shared" si="251"/>
        <v>0</v>
      </c>
      <c r="J1731" s="59">
        <f t="shared" si="258"/>
        <v>6</v>
      </c>
      <c r="K1731" s="163">
        <f t="shared" si="256"/>
        <v>0</v>
      </c>
      <c r="L1731" s="255"/>
      <c r="M1731" s="560"/>
      <c r="N1731" s="572"/>
      <c r="O1731" s="417"/>
      <c r="R1731" s="532"/>
      <c r="S1731" s="52"/>
      <c r="T1731" s="52"/>
      <c r="U1731" s="574"/>
      <c r="V1731" s="1442" t="s">
        <v>45</v>
      </c>
      <c r="W1731" s="962"/>
      <c r="X1731" s="251"/>
      <c r="Y1731" s="225"/>
      <c r="Z1731" s="225"/>
      <c r="AA1731" s="225"/>
      <c r="AB1731" s="1027"/>
      <c r="AC1731" s="227">
        <v>0</v>
      </c>
      <c r="AD1731" s="225">
        <v>0</v>
      </c>
      <c r="AE1731" s="225">
        <v>0</v>
      </c>
      <c r="AF1731" s="271">
        <f t="shared" si="257"/>
        <v>0</v>
      </c>
      <c r="AG1731" s="962"/>
      <c r="AH1731" s="121"/>
      <c r="AK1731" s="963"/>
      <c r="DF1731" s="1650" t="str">
        <f t="shared" si="259"/>
        <v>ASHP-SEER17-Replace_CAC_NonElectricHeat_ER1_SF</v>
      </c>
      <c r="DG1731" s="1094"/>
      <c r="DH1731" s="1393" t="str">
        <f t="shared" si="252"/>
        <v>Heating Res 6 Year EUL</v>
      </c>
      <c r="DI1731" s="1091">
        <f>(INDEX('Avoided Cost Benefits'!$B$4:$B$866,MATCH(DH1731,'Avoided Cost Benefits'!$A$4:$A$866,0)))*F1731</f>
        <v>0</v>
      </c>
      <c r="DJ1731" s="1176">
        <f t="shared" si="260"/>
        <v>0</v>
      </c>
      <c r="DM1731" s="252"/>
    </row>
    <row r="1732" spans="1:117">
      <c r="A1732" s="453"/>
      <c r="B1732" s="1454">
        <f t="shared" si="255"/>
        <v>354110</v>
      </c>
      <c r="C1732" s="682" t="s">
        <v>2363</v>
      </c>
      <c r="D1732" s="3470" t="s">
        <v>1800</v>
      </c>
      <c r="E1732" s="1393" t="s">
        <v>2365</v>
      </c>
      <c r="F1732" s="227">
        <f>ROUND(((K2798*K2991*(1/K3184-1/K3377)*K3570)/1000)*$K$3651,2)</f>
        <v>511.12</v>
      </c>
      <c r="G1732" s="570" t="s">
        <v>2138</v>
      </c>
      <c r="H1732" s="69">
        <f>VLOOKUP(G1732,'CP FACTORS'!$A$3:$B$38, 2, FALSE)</f>
        <v>9.4741810000000004E-4</v>
      </c>
      <c r="I1732" s="1477">
        <f t="shared" si="251"/>
        <v>0.48424400000000001</v>
      </c>
      <c r="J1732" s="59">
        <f t="shared" si="258"/>
        <v>12</v>
      </c>
      <c r="K1732" s="163">
        <f t="shared" si="256"/>
        <v>0</v>
      </c>
      <c r="L1732" s="255"/>
      <c r="M1732" s="560"/>
      <c r="N1732" s="572"/>
      <c r="O1732" s="417"/>
      <c r="R1732" s="532"/>
      <c r="S1732" s="52"/>
      <c r="T1732" s="52"/>
      <c r="U1732" s="574"/>
      <c r="V1732" s="1442" t="s">
        <v>45</v>
      </c>
      <c r="W1732" s="962"/>
      <c r="X1732" s="251"/>
      <c r="Y1732" s="225"/>
      <c r="Z1732" s="225"/>
      <c r="AA1732" s="225"/>
      <c r="AB1732" s="1027"/>
      <c r="AC1732" s="227">
        <v>550.07000000000005</v>
      </c>
      <c r="AD1732" s="227">
        <v>605.03</v>
      </c>
      <c r="AE1732" s="227">
        <v>438.15</v>
      </c>
      <c r="AF1732" s="271">
        <f t="shared" si="257"/>
        <v>511.12</v>
      </c>
      <c r="AG1732" s="962"/>
      <c r="AH1732" s="121"/>
      <c r="AK1732" s="963"/>
      <c r="DF1732" s="1650" t="str">
        <f t="shared" si="259"/>
        <v>ASHP-SEER17-Replace_CAC_NonElectricHeat_ER2_SF</v>
      </c>
      <c r="DG1732" s="1094"/>
      <c r="DH1732" s="1393" t="str">
        <f t="shared" si="252"/>
        <v>Cooling Res ER2 12 Year EUL</v>
      </c>
      <c r="DI1732" s="1091">
        <f>(INDEX('Avoided Cost Benefits'!$B$4:$B$866,MATCH(DH1732,'Avoided Cost Benefits'!$A$4:$A$866,0)))*F1732</f>
        <v>661.34880048011178</v>
      </c>
      <c r="DJ1732" s="1176">
        <f t="shared" si="260"/>
        <v>0</v>
      </c>
      <c r="DM1732" s="252"/>
    </row>
    <row r="1733" spans="1:117">
      <c r="A1733" s="453"/>
      <c r="B1733" s="1454">
        <f t="shared" si="255"/>
        <v>354110</v>
      </c>
      <c r="C1733" s="682" t="s">
        <v>2363</v>
      </c>
      <c r="D1733" s="3470" t="s">
        <v>1800</v>
      </c>
      <c r="E1733" s="1393" t="s">
        <v>2365</v>
      </c>
      <c r="F1733" s="225">
        <f>0</f>
        <v>0</v>
      </c>
      <c r="G1733" s="570" t="s">
        <v>2173</v>
      </c>
      <c r="H1733" s="69">
        <f>VLOOKUP(G1733,'CP FACTORS'!$A$3:$B$38, 2, FALSE)</f>
        <v>0</v>
      </c>
      <c r="I1733" s="1167">
        <f t="shared" si="251"/>
        <v>0</v>
      </c>
      <c r="J1733" s="59">
        <f t="shared" si="258"/>
        <v>12</v>
      </c>
      <c r="K1733" s="163">
        <f t="shared" si="256"/>
        <v>0</v>
      </c>
      <c r="L1733" s="255"/>
      <c r="M1733" s="560"/>
      <c r="N1733" s="572"/>
      <c r="O1733" s="417"/>
      <c r="R1733" s="532"/>
      <c r="S1733" s="52"/>
      <c r="T1733" s="52"/>
      <c r="U1733" s="574"/>
      <c r="V1733" s="1442" t="s">
        <v>45</v>
      </c>
      <c r="W1733" s="962"/>
      <c r="X1733" s="251"/>
      <c r="Y1733" s="225"/>
      <c r="Z1733" s="225"/>
      <c r="AA1733" s="225"/>
      <c r="AB1733" s="1027"/>
      <c r="AC1733" s="227">
        <v>0</v>
      </c>
      <c r="AD1733" s="225">
        <v>0</v>
      </c>
      <c r="AE1733" s="225">
        <v>0</v>
      </c>
      <c r="AF1733" s="271">
        <f t="shared" si="257"/>
        <v>0</v>
      </c>
      <c r="AG1733" s="962"/>
      <c r="AH1733" s="121"/>
      <c r="AK1733" s="963"/>
      <c r="DF1733" s="1650" t="str">
        <f t="shared" si="259"/>
        <v>ASHP-SEER17-Replace_CAC_NonElectricHeat_ER2_SF</v>
      </c>
      <c r="DG1733" s="1094"/>
      <c r="DH1733" s="1393" t="str">
        <f t="shared" si="252"/>
        <v>Heating Res ER2 12 Year EUL</v>
      </c>
      <c r="DI1733" s="1091">
        <f>(INDEX('Avoided Cost Benefits'!$B$4:$B$866,MATCH(DH1733,'Avoided Cost Benefits'!$A$4:$A$866,0)))*F1733</f>
        <v>0</v>
      </c>
      <c r="DJ1733" s="1176">
        <f t="shared" si="260"/>
        <v>0</v>
      </c>
      <c r="DM1733" s="252"/>
    </row>
    <row r="1734" spans="1:117">
      <c r="A1734" s="453"/>
      <c r="B1734" s="1454">
        <f t="shared" si="255"/>
        <v>354150</v>
      </c>
      <c r="C1734" s="682" t="s">
        <v>2366</v>
      </c>
      <c r="D1734" s="3470" t="s">
        <v>959</v>
      </c>
      <c r="E1734" s="1369" t="s">
        <v>2367</v>
      </c>
      <c r="F1734" s="225">
        <f>ROUND((($K$2799*$K$2992*(1/$K$3185-1/$K$3378)*$K$3571)/1000)*$K$3651,2)</f>
        <v>1286.47</v>
      </c>
      <c r="G1734" s="570" t="s">
        <v>2077</v>
      </c>
      <c r="H1734" s="69">
        <f>VLOOKUP(G1734,'CP FACTORS'!$A$3:$B$38, 2, FALSE)</f>
        <v>9.4741810000000004E-4</v>
      </c>
      <c r="I1734" s="1167">
        <f t="shared" si="251"/>
        <v>1.218825</v>
      </c>
      <c r="J1734" s="59">
        <f t="shared" si="258"/>
        <v>6</v>
      </c>
      <c r="K1734" s="166">
        <f t="shared" si="256"/>
        <v>3396.7316315552043</v>
      </c>
      <c r="L1734" s="255">
        <f>L2027</f>
        <v>3.1</v>
      </c>
      <c r="M1734" s="560"/>
      <c r="N1734" s="572"/>
      <c r="O1734" s="417"/>
      <c r="R1734" s="532"/>
      <c r="S1734" s="52"/>
      <c r="T1734" s="52"/>
      <c r="U1734" s="574"/>
      <c r="V1734" s="1442" t="s">
        <v>45</v>
      </c>
      <c r="W1734" s="962">
        <v>1854.0370588235296</v>
      </c>
      <c r="X1734" s="251">
        <v>1286.4746938775511</v>
      </c>
      <c r="Y1734" s="225">
        <v>1286.47</v>
      </c>
      <c r="Z1734" s="225">
        <v>1286.47</v>
      </c>
      <c r="AA1734" s="225">
        <v>1286.47</v>
      </c>
      <c r="AB1734" s="1027">
        <v>1286.47</v>
      </c>
      <c r="AC1734" s="960">
        <v>1286.47</v>
      </c>
      <c r="AD1734" s="225">
        <v>1286.47</v>
      </c>
      <c r="AE1734" s="225">
        <v>1286.47</v>
      </c>
      <c r="AF1734" s="271">
        <f t="shared" si="257"/>
        <v>1286.47</v>
      </c>
      <c r="AG1734" s="962"/>
      <c r="AH1734" s="121"/>
      <c r="AK1734" s="963"/>
      <c r="DF1734" s="1650" t="str">
        <f t="shared" si="259"/>
        <v>ASHP-SEER17-Replace_CAC_ElectricHeat_ER1_MF</v>
      </c>
      <c r="DG1734" s="1090">
        <f>(DI1734+DI1735+DI1736+DI1737)/(DJ1734+DJ1735+DJ1736+DJ1737)</f>
        <v>1.709800527923629</v>
      </c>
      <c r="DH1734" s="1369" t="str">
        <f t="shared" si="252"/>
        <v>Cooling Res 6 Year EUL</v>
      </c>
      <c r="DI1734" s="1091">
        <f>(INDEX('Avoided Cost Benefits'!$B$4:$B$866,MATCH(DH1734,'Avoided Cost Benefits'!$A$4:$A$866,0)))*F1734</f>
        <v>1281.1287017645234</v>
      </c>
      <c r="DJ1734" s="1176">
        <f>IFERROR(K1734/(1.0686^(2025-2025)),10000000)</f>
        <v>3396.7316315552043</v>
      </c>
      <c r="DM1734" s="252"/>
    </row>
    <row r="1735" spans="1:117">
      <c r="A1735" s="453"/>
      <c r="B1735" s="1454">
        <f t="shared" si="255"/>
        <v>354150</v>
      </c>
      <c r="C1735" s="682" t="s">
        <v>2366</v>
      </c>
      <c r="D1735" s="3470" t="s">
        <v>959</v>
      </c>
      <c r="E1735" s="1393" t="s">
        <v>2367</v>
      </c>
      <c r="F1735" s="225">
        <f>ROUND((($K$2027*$K$2220*(1/$K$2413-1/$K$2606)*$K$3571)/1000)*$K$3651,2)</f>
        <v>6759.78</v>
      </c>
      <c r="G1735" s="570" t="s">
        <v>2078</v>
      </c>
      <c r="H1735" s="69">
        <f>VLOOKUP(G1735,'CP FACTORS'!$A$3:$B$38, 2, FALSE)</f>
        <v>0</v>
      </c>
      <c r="I1735" s="1167">
        <f t="shared" si="251"/>
        <v>0</v>
      </c>
      <c r="J1735" s="59">
        <f t="shared" si="258"/>
        <v>6</v>
      </c>
      <c r="K1735" s="163">
        <f t="shared" si="256"/>
        <v>0</v>
      </c>
      <c r="L1735" s="255"/>
      <c r="M1735" s="560"/>
      <c r="N1735" s="572"/>
      <c r="O1735" s="417"/>
      <c r="R1735" s="532"/>
      <c r="S1735" s="52"/>
      <c r="T1735" s="52"/>
      <c r="U1735" s="574"/>
      <c r="V1735" s="1442" t="s">
        <v>45</v>
      </c>
      <c r="W1735" s="962">
        <v>9077.8044487427451</v>
      </c>
      <c r="X1735" s="251">
        <v>6759.7787234042544</v>
      </c>
      <c r="Y1735" s="225">
        <v>6759.78</v>
      </c>
      <c r="Z1735" s="225">
        <v>6759.78</v>
      </c>
      <c r="AA1735" s="225">
        <v>6759.78</v>
      </c>
      <c r="AB1735" s="1027">
        <v>6759.78</v>
      </c>
      <c r="AC1735" s="960">
        <v>6759.78</v>
      </c>
      <c r="AD1735" s="225">
        <v>6759.78</v>
      </c>
      <c r="AE1735" s="225">
        <v>6759.78</v>
      </c>
      <c r="AF1735" s="271">
        <f t="shared" si="257"/>
        <v>6759.78</v>
      </c>
      <c r="AG1735" s="962"/>
      <c r="AH1735" s="121"/>
      <c r="AK1735" s="963"/>
      <c r="DF1735" s="1650" t="str">
        <f t="shared" si="259"/>
        <v>ASHP-SEER17-Replace_CAC_ElectricHeat_ER1_MF</v>
      </c>
      <c r="DG1735" s="1094"/>
      <c r="DH1735" s="1393" t="str">
        <f t="shared" si="252"/>
        <v>Heating Res 6 Year EUL</v>
      </c>
      <c r="DI1735" s="1091">
        <f>(INDEX('Avoided Cost Benefits'!$B$4:$B$866,MATCH(DH1735,'Avoided Cost Benefits'!$A$4:$A$866,0)))*F1735</f>
        <v>1812.8297605752794</v>
      </c>
      <c r="DJ1735" s="1176">
        <f>K1735/(1.0686^(2025-2025))</f>
        <v>0</v>
      </c>
      <c r="DM1735" s="252"/>
    </row>
    <row r="1736" spans="1:117">
      <c r="A1736" s="453"/>
      <c r="B1736" s="1454">
        <f t="shared" si="255"/>
        <v>354150</v>
      </c>
      <c r="C1736" s="682" t="s">
        <v>2366</v>
      </c>
      <c r="D1736" s="3470" t="s">
        <v>959</v>
      </c>
      <c r="E1736" s="1393" t="s">
        <v>2368</v>
      </c>
      <c r="F1736" s="227">
        <f>ROUND((($K$2800*$K$2993*(1/$K$3186-1/$K$3379)*$K$3572)/1000)*$K$3651,2)</f>
        <v>332.07</v>
      </c>
      <c r="G1736" s="570" t="s">
        <v>2138</v>
      </c>
      <c r="H1736" s="69">
        <f>VLOOKUP(G1736,'CP FACTORS'!$A$3:$B$38, 2, FALSE)</f>
        <v>9.4741810000000004E-4</v>
      </c>
      <c r="I1736" s="1477">
        <f t="shared" si="251"/>
        <v>0.31460900000000003</v>
      </c>
      <c r="J1736" s="59">
        <f t="shared" si="258"/>
        <v>12</v>
      </c>
      <c r="K1736" s="163">
        <f t="shared" si="256"/>
        <v>0</v>
      </c>
      <c r="L1736" s="255"/>
      <c r="M1736" s="560"/>
      <c r="N1736" s="572"/>
      <c r="O1736" s="417"/>
      <c r="R1736" s="532"/>
      <c r="S1736" s="52"/>
      <c r="T1736" s="52"/>
      <c r="U1736" s="574"/>
      <c r="V1736" s="1442" t="s">
        <v>45</v>
      </c>
      <c r="W1736" s="962">
        <v>380.31529411764717</v>
      </c>
      <c r="X1736" s="254">
        <v>380.31529411764717</v>
      </c>
      <c r="Y1736" s="225">
        <v>380.32</v>
      </c>
      <c r="Z1736" s="225">
        <v>380.32</v>
      </c>
      <c r="AA1736" s="225">
        <v>380.32</v>
      </c>
      <c r="AB1736" s="1027">
        <v>380.32</v>
      </c>
      <c r="AC1736" s="960">
        <v>380.32</v>
      </c>
      <c r="AD1736" s="225">
        <v>380.32</v>
      </c>
      <c r="AE1736" s="227">
        <v>264.86</v>
      </c>
      <c r="AF1736" s="271">
        <f t="shared" si="257"/>
        <v>332.07</v>
      </c>
      <c r="AG1736" s="962"/>
      <c r="AH1736" s="121"/>
      <c r="AK1736" s="963"/>
      <c r="DF1736" s="1650" t="str">
        <f t="shared" si="259"/>
        <v>ASHP-SEER17-Replace_CAC_ElectricHeat_ER2_MF</v>
      </c>
      <c r="DG1736" s="1094"/>
      <c r="DH1736" s="1393" t="str">
        <f t="shared" si="252"/>
        <v>Cooling Res ER2 12 Year EUL</v>
      </c>
      <c r="DI1736" s="1091">
        <f>(INDEX('Avoided Cost Benefits'!$B$4:$B$866,MATCH(DH1736,'Avoided Cost Benefits'!$A$4:$A$866,0)))*F1736</f>
        <v>429.67228082530659</v>
      </c>
      <c r="DJ1736" s="1176">
        <f>K1736/(1.0686^(2025-2025))</f>
        <v>0</v>
      </c>
      <c r="DM1736" s="252"/>
    </row>
    <row r="1737" spans="1:117">
      <c r="A1737" s="453"/>
      <c r="B1737" s="1454">
        <f t="shared" si="255"/>
        <v>354150</v>
      </c>
      <c r="C1737" s="682" t="s">
        <v>2366</v>
      </c>
      <c r="D1737" s="3470" t="s">
        <v>959</v>
      </c>
      <c r="E1737" s="1370" t="s">
        <v>2368</v>
      </c>
      <c r="F1737" s="225">
        <f>ROUND((($K$2028*$K$2221*(1/$K$2414-1/$K$2607)*$K$3572)/1000)*$K$3651,2)</f>
        <v>6759.78</v>
      </c>
      <c r="G1737" s="570" t="s">
        <v>2173</v>
      </c>
      <c r="H1737" s="69">
        <f>VLOOKUP(G1737,'CP FACTORS'!$A$3:$B$38, 2, FALSE)</f>
        <v>0</v>
      </c>
      <c r="I1737" s="1167">
        <f t="shared" si="251"/>
        <v>0</v>
      </c>
      <c r="J1737" s="59">
        <f t="shared" si="258"/>
        <v>12</v>
      </c>
      <c r="K1737" s="163">
        <f t="shared" si="256"/>
        <v>0</v>
      </c>
      <c r="L1737" s="255"/>
      <c r="M1737" s="560"/>
      <c r="N1737" s="572"/>
      <c r="O1737" s="417"/>
      <c r="R1737" s="532"/>
      <c r="S1737" s="52"/>
      <c r="T1737" s="52"/>
      <c r="U1737" s="574"/>
      <c r="V1737" s="1442" t="s">
        <v>45</v>
      </c>
      <c r="W1737" s="962">
        <v>9077.8044487427451</v>
      </c>
      <c r="X1737" s="251">
        <v>6759.7787234042544</v>
      </c>
      <c r="Y1737" s="225">
        <v>6759.78</v>
      </c>
      <c r="Z1737" s="225">
        <v>6759.78</v>
      </c>
      <c r="AA1737" s="225">
        <v>6759.78</v>
      </c>
      <c r="AB1737" s="1027">
        <v>6759.78</v>
      </c>
      <c r="AC1737" s="960">
        <v>6759.78</v>
      </c>
      <c r="AD1737" s="225">
        <v>6759.78</v>
      </c>
      <c r="AE1737" s="225">
        <v>6759.78</v>
      </c>
      <c r="AF1737" s="271">
        <f t="shared" si="257"/>
        <v>6759.78</v>
      </c>
      <c r="AG1737" s="962"/>
      <c r="AH1737" s="121"/>
      <c r="AK1737" s="963"/>
      <c r="DF1737" s="1650" t="str">
        <f t="shared" si="259"/>
        <v>ASHP-SEER17-Replace_CAC_ElectricHeat_ER2_MF</v>
      </c>
      <c r="DG1737" s="1094"/>
      <c r="DH1737" s="1370" t="str">
        <f t="shared" si="252"/>
        <v>Heating Res ER2 12 Year EUL</v>
      </c>
      <c r="DI1737" s="1091">
        <f>(INDEX('Avoided Cost Benefits'!$B$4:$B$866,MATCH(DH1737,'Avoided Cost Benefits'!$A$4:$A$866,0)))*F1737</f>
        <v>2284.1027936828682</v>
      </c>
      <c r="DJ1737" s="1176">
        <f>K1737/(1.0686^(2025-2025))</f>
        <v>0</v>
      </c>
      <c r="DM1737" s="252"/>
    </row>
    <row r="1738" spans="1:117">
      <c r="A1738" s="453"/>
      <c r="B1738" s="1454">
        <f t="shared" si="255"/>
        <v>354151</v>
      </c>
      <c r="C1738" s="2554" t="s">
        <v>2369</v>
      </c>
      <c r="D1738" s="3383" t="s">
        <v>1118</v>
      </c>
      <c r="E1738" s="2521" t="s">
        <v>2370</v>
      </c>
      <c r="F1738" s="3373">
        <f>ROUND((($K$2801*$K$2994*(1/$K$3187-1/$K$3380)*$K$3573)/1000)*$K$3651,2)</f>
        <v>935.62</v>
      </c>
      <c r="G1738" s="3384" t="str">
        <f>G1734</f>
        <v>Cooling Res</v>
      </c>
      <c r="H1738" s="2213">
        <f>VLOOKUP(G1738,'CP FACTORS'!$A$3:$B$38, 2, FALSE)</f>
        <v>9.4741810000000004E-4</v>
      </c>
      <c r="I1738" s="3405">
        <f t="shared" ref="I1738:I1801" si="261">ROUND(F1738*H1738,6)</f>
        <v>0.88642299999999996</v>
      </c>
      <c r="J1738" s="2449">
        <f t="shared" si="258"/>
        <v>6</v>
      </c>
      <c r="K1738" s="2467">
        <f t="shared" si="256"/>
        <v>3396.7316315552043</v>
      </c>
      <c r="L1738" s="2649">
        <f>L2029</f>
        <v>3.1</v>
      </c>
      <c r="M1738" s="3386"/>
      <c r="N1738" s="3387"/>
      <c r="O1738" s="2702"/>
      <c r="P1738" s="635"/>
      <c r="Q1738" s="635"/>
      <c r="R1738" s="2966"/>
      <c r="S1738" s="635"/>
      <c r="T1738" s="635"/>
      <c r="U1738" s="3388"/>
      <c r="V1738" s="2962" t="s">
        <v>45</v>
      </c>
      <c r="W1738" s="3389"/>
      <c r="X1738" s="3390"/>
      <c r="Y1738" s="3369">
        <v>935.62</v>
      </c>
      <c r="Z1738" s="3373">
        <v>935.62</v>
      </c>
      <c r="AA1738" s="3373">
        <v>935.62</v>
      </c>
      <c r="AB1738" s="3400">
        <v>935.62</v>
      </c>
      <c r="AC1738" s="3401">
        <v>935.62</v>
      </c>
      <c r="AD1738" s="3373">
        <v>935.62</v>
      </c>
      <c r="AE1738" s="3373">
        <v>935.62</v>
      </c>
      <c r="AF1738" s="2236">
        <f t="shared" si="257"/>
        <v>935.62</v>
      </c>
      <c r="AG1738" s="3389"/>
      <c r="AH1738" s="2728"/>
      <c r="AI1738" s="2237"/>
      <c r="AJ1738" s="2237"/>
      <c r="AK1738" s="3392"/>
      <c r="AL1738" s="2237"/>
      <c r="AM1738" s="2237"/>
      <c r="AN1738" s="2237"/>
      <c r="AO1738" s="2237"/>
      <c r="AP1738" s="2237"/>
      <c r="AQ1738" s="2237"/>
      <c r="AR1738" s="2237"/>
      <c r="AS1738" s="2237"/>
      <c r="AT1738" s="2237"/>
      <c r="AU1738" s="2237"/>
      <c r="AV1738" s="2237"/>
      <c r="AW1738" s="2237"/>
      <c r="AX1738" s="2237"/>
      <c r="AY1738" s="2237"/>
      <c r="AZ1738" s="2237"/>
      <c r="BA1738" s="2237"/>
      <c r="BB1738" s="2237"/>
      <c r="BC1738" s="2237"/>
      <c r="BD1738" s="2237"/>
      <c r="BE1738" s="2237"/>
      <c r="BF1738" s="2237"/>
      <c r="BG1738" s="2237"/>
      <c r="BH1738" s="2237"/>
      <c r="BI1738" s="2237"/>
      <c r="BJ1738" s="2237"/>
      <c r="BK1738" s="2237"/>
      <c r="BL1738" s="2237"/>
      <c r="BM1738" s="2237"/>
      <c r="BN1738" s="2237"/>
      <c r="BO1738" s="2237"/>
      <c r="BP1738" s="2237"/>
      <c r="BQ1738" s="2237"/>
      <c r="BR1738" s="2237"/>
      <c r="BS1738" s="2237"/>
      <c r="BT1738" s="2237"/>
      <c r="BU1738" s="2237"/>
      <c r="BV1738" s="2237"/>
      <c r="BW1738" s="2237"/>
      <c r="BX1738" s="2237"/>
      <c r="BY1738" s="2237"/>
      <c r="BZ1738" s="2237"/>
      <c r="CA1738" s="2237"/>
      <c r="CB1738" s="2237"/>
      <c r="CC1738" s="2237"/>
      <c r="CD1738" s="2237"/>
      <c r="CE1738" s="2237"/>
      <c r="CF1738" s="2237"/>
      <c r="CG1738" s="2237"/>
      <c r="CH1738" s="2237"/>
      <c r="CI1738" s="2237"/>
      <c r="CJ1738" s="2237"/>
      <c r="CK1738" s="2237"/>
      <c r="CL1738" s="2237"/>
      <c r="CM1738" s="2237"/>
      <c r="CN1738" s="2237"/>
      <c r="CO1738" s="2237"/>
      <c r="CP1738" s="2237"/>
      <c r="CQ1738" s="2237"/>
      <c r="CR1738" s="2237"/>
      <c r="CS1738" s="2237"/>
      <c r="CT1738" s="2237"/>
      <c r="CU1738" s="2237"/>
      <c r="CV1738" s="2237"/>
      <c r="CW1738" s="2237"/>
      <c r="CX1738" s="2237"/>
      <c r="CY1738" s="2237"/>
      <c r="CZ1738" s="2237"/>
      <c r="DA1738" s="2237"/>
      <c r="DB1738" s="2237"/>
      <c r="DC1738" s="2237"/>
      <c r="DD1738" s="2237"/>
      <c r="DE1738" s="2237"/>
      <c r="DF1738" s="3393" t="str">
        <f t="shared" si="259"/>
        <v>ASHP-SEER17-Replace_CAC_ElectricHeat_ER1_MF_CompE</v>
      </c>
      <c r="DG1738" s="3259">
        <f>(DI1738+DI1739+DI1740+DI1741)/(DJ1738+DJ1739+DJ1740+DJ1741)</f>
        <v>0.77748224886054595</v>
      </c>
      <c r="DH1738" s="2521" t="str">
        <f t="shared" ref="DH1738:DH1801" si="262">CONCATENATE(G1738," ",J1738," Year EUL")</f>
        <v>Cooling Res 6 Year EUL</v>
      </c>
      <c r="DI1738" s="3260">
        <f>(INDEX('Avoided Cost Benefits'!$B$4:$B$866,MATCH(DH1738,'Avoided Cost Benefits'!$A$4:$A$866,0)))*F1738</f>
        <v>931.73539681836598</v>
      </c>
      <c r="DJ1738" s="2507">
        <f>IFERROR(K1738/(1.0686^(2025-2025)),10000000)</f>
        <v>3396.7316315552043</v>
      </c>
      <c r="DM1738" s="252"/>
    </row>
    <row r="1739" spans="1:117">
      <c r="A1739" s="453"/>
      <c r="B1739" s="1454">
        <f t="shared" si="255"/>
        <v>354151</v>
      </c>
      <c r="C1739" s="2554" t="str">
        <f>C1738</f>
        <v>354151_2024_12_</v>
      </c>
      <c r="D1739" s="3383" t="s">
        <v>1118</v>
      </c>
      <c r="E1739" s="2882" t="s">
        <v>2370</v>
      </c>
      <c r="F1739" s="3373">
        <f>ROUND((($K$2029*$K$2222*(1/$K$2415-1/$K$2608)*$K$3573)/1000)*$K$3651,2)</f>
        <v>2304.4699999999998</v>
      </c>
      <c r="G1739" s="3384" t="str">
        <f>G1735</f>
        <v>Heating Res</v>
      </c>
      <c r="H1739" s="2213">
        <f>VLOOKUP(G1739,'CP FACTORS'!$A$3:$B$38, 2, FALSE)</f>
        <v>0</v>
      </c>
      <c r="I1739" s="3405">
        <f t="shared" si="261"/>
        <v>0</v>
      </c>
      <c r="J1739" s="2449">
        <f t="shared" si="258"/>
        <v>6</v>
      </c>
      <c r="K1739" s="2894">
        <f t="shared" si="256"/>
        <v>0</v>
      </c>
      <c r="L1739" s="2649"/>
      <c r="M1739" s="3386"/>
      <c r="N1739" s="3387"/>
      <c r="O1739" s="2702"/>
      <c r="P1739" s="635"/>
      <c r="Q1739" s="635"/>
      <c r="R1739" s="2966"/>
      <c r="S1739" s="635"/>
      <c r="T1739" s="635"/>
      <c r="U1739" s="3388"/>
      <c r="V1739" s="2962" t="s">
        <v>45</v>
      </c>
      <c r="W1739" s="3389"/>
      <c r="X1739" s="3390"/>
      <c r="Y1739" s="3369">
        <v>2304.4699999999998</v>
      </c>
      <c r="Z1739" s="3373">
        <v>2304.4699999999998</v>
      </c>
      <c r="AA1739" s="3373">
        <v>2304.4699999999998</v>
      </c>
      <c r="AB1739" s="3400">
        <v>2304.4699999999998</v>
      </c>
      <c r="AC1739" s="3401">
        <v>2304.4699999999998</v>
      </c>
      <c r="AD1739" s="3373">
        <v>2304.4699999999998</v>
      </c>
      <c r="AE1739" s="3373">
        <v>2304.4699999999998</v>
      </c>
      <c r="AF1739" s="2236">
        <f t="shared" si="257"/>
        <v>2304.4699999999998</v>
      </c>
      <c r="AG1739" s="3389"/>
      <c r="AH1739" s="2728"/>
      <c r="AI1739" s="2237"/>
      <c r="AJ1739" s="2237"/>
      <c r="AK1739" s="3392"/>
      <c r="AL1739" s="2237"/>
      <c r="AM1739" s="2237"/>
      <c r="AN1739" s="2237"/>
      <c r="AO1739" s="2237"/>
      <c r="AP1739" s="2237"/>
      <c r="AQ1739" s="2237"/>
      <c r="AR1739" s="2237"/>
      <c r="AS1739" s="2237"/>
      <c r="AT1739" s="2237"/>
      <c r="AU1739" s="2237"/>
      <c r="AV1739" s="2237"/>
      <c r="AW1739" s="2237"/>
      <c r="AX1739" s="2237"/>
      <c r="AY1739" s="2237"/>
      <c r="AZ1739" s="2237"/>
      <c r="BA1739" s="2237"/>
      <c r="BB1739" s="2237"/>
      <c r="BC1739" s="2237"/>
      <c r="BD1739" s="2237"/>
      <c r="BE1739" s="2237"/>
      <c r="BF1739" s="2237"/>
      <c r="BG1739" s="2237"/>
      <c r="BH1739" s="2237"/>
      <c r="BI1739" s="2237"/>
      <c r="BJ1739" s="2237"/>
      <c r="BK1739" s="2237"/>
      <c r="BL1739" s="2237"/>
      <c r="BM1739" s="2237"/>
      <c r="BN1739" s="2237"/>
      <c r="BO1739" s="2237"/>
      <c r="BP1739" s="2237"/>
      <c r="BQ1739" s="2237"/>
      <c r="BR1739" s="2237"/>
      <c r="BS1739" s="2237"/>
      <c r="BT1739" s="2237"/>
      <c r="BU1739" s="2237"/>
      <c r="BV1739" s="2237"/>
      <c r="BW1739" s="2237"/>
      <c r="BX1739" s="2237"/>
      <c r="BY1739" s="2237"/>
      <c r="BZ1739" s="2237"/>
      <c r="CA1739" s="2237"/>
      <c r="CB1739" s="2237"/>
      <c r="CC1739" s="2237"/>
      <c r="CD1739" s="2237"/>
      <c r="CE1739" s="2237"/>
      <c r="CF1739" s="2237"/>
      <c r="CG1739" s="2237"/>
      <c r="CH1739" s="2237"/>
      <c r="CI1739" s="2237"/>
      <c r="CJ1739" s="2237"/>
      <c r="CK1739" s="2237"/>
      <c r="CL1739" s="2237"/>
      <c r="CM1739" s="2237"/>
      <c r="CN1739" s="2237"/>
      <c r="CO1739" s="2237"/>
      <c r="CP1739" s="2237"/>
      <c r="CQ1739" s="2237"/>
      <c r="CR1739" s="2237"/>
      <c r="CS1739" s="2237"/>
      <c r="CT1739" s="2237"/>
      <c r="CU1739" s="2237"/>
      <c r="CV1739" s="2237"/>
      <c r="CW1739" s="2237"/>
      <c r="CX1739" s="2237"/>
      <c r="CY1739" s="2237"/>
      <c r="CZ1739" s="2237"/>
      <c r="DA1739" s="2237"/>
      <c r="DB1739" s="2237"/>
      <c r="DC1739" s="2237"/>
      <c r="DD1739" s="2237"/>
      <c r="DE1739" s="2237"/>
      <c r="DF1739" s="3393" t="str">
        <f t="shared" si="259"/>
        <v>ASHP-SEER17-Replace_CAC_ElectricHeat_ER1_MF_CompE</v>
      </c>
      <c r="DG1739" s="3332"/>
      <c r="DH1739" s="2882" t="str">
        <f t="shared" si="262"/>
        <v>Heating Res 6 Year EUL</v>
      </c>
      <c r="DI1739" s="3260">
        <f>(INDEX('Avoided Cost Benefits'!$B$4:$B$866,MATCH(DH1739,'Avoided Cost Benefits'!$A$4:$A$866,0)))*F1739</f>
        <v>618.01002375120402</v>
      </c>
      <c r="DJ1739" s="2507">
        <f t="shared" ref="DJ1739:DJ1749" si="263">K1739/(1.0686^(2025-2025))</f>
        <v>0</v>
      </c>
      <c r="DM1739" s="252"/>
    </row>
    <row r="1740" spans="1:117">
      <c r="A1740" s="453"/>
      <c r="B1740" s="1454">
        <f t="shared" si="255"/>
        <v>354151</v>
      </c>
      <c r="C1740" s="2554" t="str">
        <f>C1739</f>
        <v>354151_2024_12_</v>
      </c>
      <c r="D1740" s="3383" t="s">
        <v>1118</v>
      </c>
      <c r="E1740" s="2882" t="s">
        <v>2371</v>
      </c>
      <c r="F1740" s="3369">
        <f>ROUND((($K$2802*$K$2995*(1/$K$3188-1/$K$3381)*$K$3574)/1000)*$K$3651,2)</f>
        <v>241.5</v>
      </c>
      <c r="G1740" s="3384" t="str">
        <f>G1736</f>
        <v>Cooling Res ER2</v>
      </c>
      <c r="H1740" s="2213">
        <f>VLOOKUP(G1740,'CP FACTORS'!$A$3:$B$38, 2, FALSE)</f>
        <v>9.4741810000000004E-4</v>
      </c>
      <c r="I1740" s="3404">
        <f t="shared" si="261"/>
        <v>0.228801</v>
      </c>
      <c r="J1740" s="2449">
        <f t="shared" si="258"/>
        <v>12</v>
      </c>
      <c r="K1740" s="2894">
        <f t="shared" si="256"/>
        <v>0</v>
      </c>
      <c r="L1740" s="2649"/>
      <c r="M1740" s="3386"/>
      <c r="N1740" s="3387"/>
      <c r="O1740" s="2702"/>
      <c r="P1740" s="635"/>
      <c r="Q1740" s="635"/>
      <c r="R1740" s="2966"/>
      <c r="S1740" s="635"/>
      <c r="T1740" s="635"/>
      <c r="U1740" s="3388"/>
      <c r="V1740" s="2962" t="s">
        <v>45</v>
      </c>
      <c r="W1740" s="3389"/>
      <c r="X1740" s="3390"/>
      <c r="Y1740" s="3369">
        <v>276.58999999999997</v>
      </c>
      <c r="Z1740" s="3373">
        <v>276.58999999999997</v>
      </c>
      <c r="AA1740" s="3373">
        <v>276.58999999999997</v>
      </c>
      <c r="AB1740" s="3400">
        <v>276.58999999999997</v>
      </c>
      <c r="AC1740" s="3401">
        <v>276.58999999999997</v>
      </c>
      <c r="AD1740" s="3373">
        <v>276.58999999999997</v>
      </c>
      <c r="AE1740" s="3369">
        <v>192.63</v>
      </c>
      <c r="AF1740" s="2236">
        <f t="shared" si="257"/>
        <v>241.5</v>
      </c>
      <c r="AG1740" s="3389"/>
      <c r="AH1740" s="2728"/>
      <c r="AI1740" s="2237"/>
      <c r="AJ1740" s="2237"/>
      <c r="AK1740" s="3392"/>
      <c r="AL1740" s="2237"/>
      <c r="AM1740" s="2237"/>
      <c r="AN1740" s="2237"/>
      <c r="AO1740" s="2237"/>
      <c r="AP1740" s="2237"/>
      <c r="AQ1740" s="2237"/>
      <c r="AR1740" s="2237"/>
      <c r="AS1740" s="2237"/>
      <c r="AT1740" s="2237"/>
      <c r="AU1740" s="2237"/>
      <c r="AV1740" s="2237"/>
      <c r="AW1740" s="2237"/>
      <c r="AX1740" s="2237"/>
      <c r="AY1740" s="2237"/>
      <c r="AZ1740" s="2237"/>
      <c r="BA1740" s="2237"/>
      <c r="BB1740" s="2237"/>
      <c r="BC1740" s="2237"/>
      <c r="BD1740" s="2237"/>
      <c r="BE1740" s="2237"/>
      <c r="BF1740" s="2237"/>
      <c r="BG1740" s="2237"/>
      <c r="BH1740" s="2237"/>
      <c r="BI1740" s="2237"/>
      <c r="BJ1740" s="2237"/>
      <c r="BK1740" s="2237"/>
      <c r="BL1740" s="2237"/>
      <c r="BM1740" s="2237"/>
      <c r="BN1740" s="2237"/>
      <c r="BO1740" s="2237"/>
      <c r="BP1740" s="2237"/>
      <c r="BQ1740" s="2237"/>
      <c r="BR1740" s="2237"/>
      <c r="BS1740" s="2237"/>
      <c r="BT1740" s="2237"/>
      <c r="BU1740" s="2237"/>
      <c r="BV1740" s="2237"/>
      <c r="BW1740" s="2237"/>
      <c r="BX1740" s="2237"/>
      <c r="BY1740" s="2237"/>
      <c r="BZ1740" s="2237"/>
      <c r="CA1740" s="2237"/>
      <c r="CB1740" s="2237"/>
      <c r="CC1740" s="2237"/>
      <c r="CD1740" s="2237"/>
      <c r="CE1740" s="2237"/>
      <c r="CF1740" s="2237"/>
      <c r="CG1740" s="2237"/>
      <c r="CH1740" s="2237"/>
      <c r="CI1740" s="2237"/>
      <c r="CJ1740" s="2237"/>
      <c r="CK1740" s="2237"/>
      <c r="CL1740" s="2237"/>
      <c r="CM1740" s="2237"/>
      <c r="CN1740" s="2237"/>
      <c r="CO1740" s="2237"/>
      <c r="CP1740" s="2237"/>
      <c r="CQ1740" s="2237"/>
      <c r="CR1740" s="2237"/>
      <c r="CS1740" s="2237"/>
      <c r="CT1740" s="2237"/>
      <c r="CU1740" s="2237"/>
      <c r="CV1740" s="2237"/>
      <c r="CW1740" s="2237"/>
      <c r="CX1740" s="2237"/>
      <c r="CY1740" s="2237"/>
      <c r="CZ1740" s="2237"/>
      <c r="DA1740" s="2237"/>
      <c r="DB1740" s="2237"/>
      <c r="DC1740" s="2237"/>
      <c r="DD1740" s="2237"/>
      <c r="DE1740" s="2237"/>
      <c r="DF1740" s="3393" t="str">
        <f t="shared" si="259"/>
        <v>ASHP-SEER17-Replace_CAC_ElectricHeat_ER2_MF_CompE</v>
      </c>
      <c r="DG1740" s="3332"/>
      <c r="DH1740" s="2882" t="str">
        <f t="shared" si="262"/>
        <v>Cooling Res ER2 12 Year EUL</v>
      </c>
      <c r="DI1740" s="3260">
        <f>(INDEX('Avoided Cost Benefits'!$B$4:$B$866,MATCH(DH1740,'Avoided Cost Benefits'!$A$4:$A$866,0)))*F1740</f>
        <v>312.48187375948311</v>
      </c>
      <c r="DJ1740" s="2507">
        <f t="shared" si="263"/>
        <v>0</v>
      </c>
      <c r="DM1740" s="252"/>
    </row>
    <row r="1741" spans="1:117">
      <c r="A1741" s="453"/>
      <c r="B1741" s="1454">
        <f t="shared" si="255"/>
        <v>354151</v>
      </c>
      <c r="C1741" s="2554" t="str">
        <f>C1740</f>
        <v>354151_2024_12_</v>
      </c>
      <c r="D1741" s="3383" t="s">
        <v>1118</v>
      </c>
      <c r="E1741" s="2522" t="s">
        <v>2371</v>
      </c>
      <c r="F1741" s="3373">
        <f>ROUND((($K$2030*$K$2223*(1/$K$2416-1/$K$2609)*$K$3574)/1000)*$K$3651,2)</f>
        <v>2304.4699999999998</v>
      </c>
      <c r="G1741" s="3384" t="str">
        <f>G1737</f>
        <v>Heating Res ER2</v>
      </c>
      <c r="H1741" s="2213">
        <f>VLOOKUP(G1741,'CP FACTORS'!$A$3:$B$38, 2, FALSE)</f>
        <v>0</v>
      </c>
      <c r="I1741" s="3405">
        <f t="shared" si="261"/>
        <v>0</v>
      </c>
      <c r="J1741" s="2449">
        <f t="shared" si="258"/>
        <v>12</v>
      </c>
      <c r="K1741" s="2894">
        <f t="shared" si="256"/>
        <v>0</v>
      </c>
      <c r="L1741" s="2649"/>
      <c r="M1741" s="3386"/>
      <c r="N1741" s="3387"/>
      <c r="O1741" s="2702"/>
      <c r="P1741" s="635"/>
      <c r="Q1741" s="635"/>
      <c r="R1741" s="2966"/>
      <c r="S1741" s="635"/>
      <c r="T1741" s="635"/>
      <c r="U1741" s="3388"/>
      <c r="V1741" s="2962" t="s">
        <v>45</v>
      </c>
      <c r="W1741" s="3389"/>
      <c r="X1741" s="3390"/>
      <c r="Y1741" s="3369">
        <v>2304.4699999999998</v>
      </c>
      <c r="Z1741" s="3373">
        <v>2304.4699999999998</v>
      </c>
      <c r="AA1741" s="3373">
        <v>2304.4699999999998</v>
      </c>
      <c r="AB1741" s="3400">
        <v>2304.4699999999998</v>
      </c>
      <c r="AC1741" s="3401">
        <v>2304.4699999999998</v>
      </c>
      <c r="AD1741" s="3373">
        <v>2304.4699999999998</v>
      </c>
      <c r="AE1741" s="3373">
        <v>2304.4699999999998</v>
      </c>
      <c r="AF1741" s="2236">
        <f t="shared" si="257"/>
        <v>2304.4699999999998</v>
      </c>
      <c r="AG1741" s="3389"/>
      <c r="AH1741" s="2728"/>
      <c r="AI1741" s="2237"/>
      <c r="AJ1741" s="2237"/>
      <c r="AK1741" s="3392"/>
      <c r="AL1741" s="2237"/>
      <c r="AM1741" s="2237"/>
      <c r="AN1741" s="2237"/>
      <c r="AO1741" s="2237"/>
      <c r="AP1741" s="2237"/>
      <c r="AQ1741" s="2237"/>
      <c r="AR1741" s="2237"/>
      <c r="AS1741" s="2237"/>
      <c r="AT1741" s="2237"/>
      <c r="AU1741" s="2237"/>
      <c r="AV1741" s="2237"/>
      <c r="AW1741" s="2237"/>
      <c r="AX1741" s="2237"/>
      <c r="AY1741" s="2237"/>
      <c r="AZ1741" s="2237"/>
      <c r="BA1741" s="2237"/>
      <c r="BB1741" s="2237"/>
      <c r="BC1741" s="2237"/>
      <c r="BD1741" s="2237"/>
      <c r="BE1741" s="2237"/>
      <c r="BF1741" s="2237"/>
      <c r="BG1741" s="2237"/>
      <c r="BH1741" s="2237"/>
      <c r="BI1741" s="2237"/>
      <c r="BJ1741" s="2237"/>
      <c r="BK1741" s="2237"/>
      <c r="BL1741" s="2237"/>
      <c r="BM1741" s="2237"/>
      <c r="BN1741" s="2237"/>
      <c r="BO1741" s="2237"/>
      <c r="BP1741" s="2237"/>
      <c r="BQ1741" s="2237"/>
      <c r="BR1741" s="2237"/>
      <c r="BS1741" s="2237"/>
      <c r="BT1741" s="2237"/>
      <c r="BU1741" s="2237"/>
      <c r="BV1741" s="2237"/>
      <c r="BW1741" s="2237"/>
      <c r="BX1741" s="2237"/>
      <c r="BY1741" s="2237"/>
      <c r="BZ1741" s="2237"/>
      <c r="CA1741" s="2237"/>
      <c r="CB1741" s="2237"/>
      <c r="CC1741" s="2237"/>
      <c r="CD1741" s="2237"/>
      <c r="CE1741" s="2237"/>
      <c r="CF1741" s="2237"/>
      <c r="CG1741" s="2237"/>
      <c r="CH1741" s="2237"/>
      <c r="CI1741" s="2237"/>
      <c r="CJ1741" s="2237"/>
      <c r="CK1741" s="2237"/>
      <c r="CL1741" s="2237"/>
      <c r="CM1741" s="2237"/>
      <c r="CN1741" s="2237"/>
      <c r="CO1741" s="2237"/>
      <c r="CP1741" s="2237"/>
      <c r="CQ1741" s="2237"/>
      <c r="CR1741" s="2237"/>
      <c r="CS1741" s="2237"/>
      <c r="CT1741" s="2237"/>
      <c r="CU1741" s="2237"/>
      <c r="CV1741" s="2237"/>
      <c r="CW1741" s="2237"/>
      <c r="CX1741" s="2237"/>
      <c r="CY1741" s="2237"/>
      <c r="CZ1741" s="2237"/>
      <c r="DA1741" s="2237"/>
      <c r="DB1741" s="2237"/>
      <c r="DC1741" s="2237"/>
      <c r="DD1741" s="2237"/>
      <c r="DE1741" s="2237"/>
      <c r="DF1741" s="3393" t="str">
        <f t="shared" si="259"/>
        <v>ASHP-SEER17-Replace_CAC_ElectricHeat_ER2_MF_CompE</v>
      </c>
      <c r="DG1741" s="3332"/>
      <c r="DH1741" s="2522" t="str">
        <f t="shared" si="262"/>
        <v>Heating Res ER2 12 Year EUL</v>
      </c>
      <c r="DI1741" s="3260">
        <f>(INDEX('Avoided Cost Benefits'!$B$4:$B$866,MATCH(DH1741,'Avoided Cost Benefits'!$A$4:$A$866,0)))*F1741</f>
        <v>778.67125334823891</v>
      </c>
      <c r="DJ1741" s="2507">
        <f t="shared" si="263"/>
        <v>0</v>
      </c>
      <c r="DM1741" s="252"/>
    </row>
    <row r="1742" spans="1:117">
      <c r="A1742" s="453"/>
      <c r="B1742" s="1454">
        <f t="shared" si="255"/>
        <v>354160</v>
      </c>
      <c r="C1742" s="2554" t="s">
        <v>2372</v>
      </c>
      <c r="D1742" s="3383" t="s">
        <v>1122</v>
      </c>
      <c r="E1742" s="2882" t="s">
        <v>2373</v>
      </c>
      <c r="F1742" s="3373">
        <f>ROUND((($K2803*$K2996*(1/$K3189-1/$K3382)*$K3575)/1000)*$K$3651,2)</f>
        <v>1286.47</v>
      </c>
      <c r="G1742" s="3384" t="s">
        <v>2077</v>
      </c>
      <c r="H1742" s="2213">
        <f>VLOOKUP(G1742,'CP FACTORS'!$A$3:$B$38, 2, FALSE)</f>
        <v>9.4741810000000004E-4</v>
      </c>
      <c r="I1742" s="3385">
        <f t="shared" si="261"/>
        <v>1.218825</v>
      </c>
      <c r="J1742" s="2449">
        <f t="shared" si="258"/>
        <v>6</v>
      </c>
      <c r="K1742" s="2467">
        <f t="shared" si="256"/>
        <v>363.17279017428615</v>
      </c>
      <c r="L1742" s="2649">
        <f>L2031</f>
        <v>3.1</v>
      </c>
      <c r="M1742" s="3386"/>
      <c r="N1742" s="3387"/>
      <c r="O1742" s="2702"/>
      <c r="P1742" s="635"/>
      <c r="Q1742" s="635"/>
      <c r="R1742" s="2966"/>
      <c r="S1742" s="635"/>
      <c r="T1742" s="635"/>
      <c r="U1742" s="3388"/>
      <c r="V1742" s="2962" t="s">
        <v>45</v>
      </c>
      <c r="W1742" s="3389"/>
      <c r="X1742" s="3390"/>
      <c r="Y1742" s="3369"/>
      <c r="Z1742" s="3373"/>
      <c r="AA1742" s="3373"/>
      <c r="AB1742" s="3400"/>
      <c r="AC1742" s="3369">
        <v>1286.47</v>
      </c>
      <c r="AD1742" s="3373">
        <v>1286.47</v>
      </c>
      <c r="AE1742" s="3373">
        <v>1286.47</v>
      </c>
      <c r="AF1742" s="2236">
        <f t="shared" si="257"/>
        <v>1286.47</v>
      </c>
      <c r="AG1742" s="3389"/>
      <c r="AH1742" s="2728"/>
      <c r="AI1742" s="2237"/>
      <c r="AJ1742" s="2237"/>
      <c r="AK1742" s="3392"/>
      <c r="AL1742" s="2237"/>
      <c r="AM1742" s="2237"/>
      <c r="AN1742" s="2237"/>
      <c r="AO1742" s="2237"/>
      <c r="AP1742" s="2237"/>
      <c r="AQ1742" s="2237"/>
      <c r="AR1742" s="2237"/>
      <c r="AS1742" s="2237"/>
      <c r="AT1742" s="2237"/>
      <c r="AU1742" s="2237"/>
      <c r="AV1742" s="2237"/>
      <c r="AW1742" s="2237"/>
      <c r="AX1742" s="2237"/>
      <c r="AY1742" s="2237"/>
      <c r="AZ1742" s="2237"/>
      <c r="BA1742" s="2237"/>
      <c r="BB1742" s="2237"/>
      <c r="BC1742" s="2237"/>
      <c r="BD1742" s="2237"/>
      <c r="BE1742" s="2237"/>
      <c r="BF1742" s="2237"/>
      <c r="BG1742" s="2237"/>
      <c r="BH1742" s="2237"/>
      <c r="BI1742" s="2237"/>
      <c r="BJ1742" s="2237"/>
      <c r="BK1742" s="2237"/>
      <c r="BL1742" s="2237"/>
      <c r="BM1742" s="2237"/>
      <c r="BN1742" s="2237"/>
      <c r="BO1742" s="2237"/>
      <c r="BP1742" s="2237"/>
      <c r="BQ1742" s="2237"/>
      <c r="BR1742" s="2237"/>
      <c r="BS1742" s="2237"/>
      <c r="BT1742" s="2237"/>
      <c r="BU1742" s="2237"/>
      <c r="BV1742" s="2237"/>
      <c r="BW1742" s="2237"/>
      <c r="BX1742" s="2237"/>
      <c r="BY1742" s="2237"/>
      <c r="BZ1742" s="2237"/>
      <c r="CA1742" s="2237"/>
      <c r="CB1742" s="2237"/>
      <c r="CC1742" s="2237"/>
      <c r="CD1742" s="2237"/>
      <c r="CE1742" s="2237"/>
      <c r="CF1742" s="2237"/>
      <c r="CG1742" s="2237"/>
      <c r="CH1742" s="2237"/>
      <c r="CI1742" s="2237"/>
      <c r="CJ1742" s="2237"/>
      <c r="CK1742" s="2237"/>
      <c r="CL1742" s="2237"/>
      <c r="CM1742" s="2237"/>
      <c r="CN1742" s="2237"/>
      <c r="CO1742" s="2237"/>
      <c r="CP1742" s="2237"/>
      <c r="CQ1742" s="2237"/>
      <c r="CR1742" s="2237"/>
      <c r="CS1742" s="2237"/>
      <c r="CT1742" s="2237"/>
      <c r="CU1742" s="2237"/>
      <c r="CV1742" s="2237"/>
      <c r="CW1742" s="2237"/>
      <c r="CX1742" s="2237"/>
      <c r="CY1742" s="2237"/>
      <c r="CZ1742" s="2237"/>
      <c r="DA1742" s="2237"/>
      <c r="DB1742" s="2237"/>
      <c r="DC1742" s="2237"/>
      <c r="DD1742" s="2237"/>
      <c r="DE1742" s="2237"/>
      <c r="DF1742" s="3393" t="str">
        <f t="shared" si="259"/>
        <v>ASHP-SEER17-Replace_CAC_NonElectricHeat_ER1_MF</v>
      </c>
      <c r="DG1742" s="3259">
        <f>(DI1742+DI1743+DI1744+DI1745)/(DJ1742+DJ1743+DJ1744+DJ1745)</f>
        <v>4.7107080400181385</v>
      </c>
      <c r="DH1742" s="2882" t="str">
        <f t="shared" si="262"/>
        <v>Cooling Res 6 Year EUL</v>
      </c>
      <c r="DI1742" s="3260">
        <f>(INDEX('Avoided Cost Benefits'!$B$4:$B$866,MATCH(DH1742,'Avoided Cost Benefits'!$A$4:$A$866,0)))*F1742</f>
        <v>1281.1287017645234</v>
      </c>
      <c r="DJ1742" s="2507">
        <f t="shared" si="263"/>
        <v>363.17279017428615</v>
      </c>
      <c r="DM1742" s="252"/>
    </row>
    <row r="1743" spans="1:117">
      <c r="A1743" s="453"/>
      <c r="B1743" s="1454">
        <f t="shared" si="255"/>
        <v>354160</v>
      </c>
      <c r="C1743" s="2554" t="s">
        <v>2372</v>
      </c>
      <c r="D1743" s="3383" t="s">
        <v>1122</v>
      </c>
      <c r="E1743" s="2882" t="s">
        <v>2373</v>
      </c>
      <c r="F1743" s="3373">
        <v>0</v>
      </c>
      <c r="G1743" s="3384" t="s">
        <v>2078</v>
      </c>
      <c r="H1743" s="2213">
        <f>VLOOKUP(G1743,'CP FACTORS'!$A$3:$B$38, 2, FALSE)</f>
        <v>0</v>
      </c>
      <c r="I1743" s="3385">
        <f t="shared" si="261"/>
        <v>0</v>
      </c>
      <c r="J1743" s="2449">
        <f t="shared" si="258"/>
        <v>6</v>
      </c>
      <c r="K1743" s="2894">
        <f t="shared" si="256"/>
        <v>0</v>
      </c>
      <c r="L1743" s="2649"/>
      <c r="M1743" s="3386"/>
      <c r="N1743" s="3387"/>
      <c r="O1743" s="2702"/>
      <c r="P1743" s="635"/>
      <c r="Q1743" s="635"/>
      <c r="R1743" s="2966"/>
      <c r="S1743" s="635"/>
      <c r="T1743" s="635"/>
      <c r="U1743" s="3388"/>
      <c r="V1743" s="2962" t="s">
        <v>45</v>
      </c>
      <c r="W1743" s="3389"/>
      <c r="X1743" s="3390"/>
      <c r="Y1743" s="3369"/>
      <c r="Z1743" s="3373"/>
      <c r="AA1743" s="3373"/>
      <c r="AB1743" s="3400"/>
      <c r="AC1743" s="3369">
        <v>0</v>
      </c>
      <c r="AD1743" s="3373">
        <v>0</v>
      </c>
      <c r="AE1743" s="3373">
        <v>0</v>
      </c>
      <c r="AF1743" s="2236">
        <f t="shared" si="257"/>
        <v>0</v>
      </c>
      <c r="AG1743" s="3389"/>
      <c r="AH1743" s="2728"/>
      <c r="AI1743" s="2237"/>
      <c r="AJ1743" s="2237"/>
      <c r="AK1743" s="3392"/>
      <c r="AL1743" s="2237"/>
      <c r="AM1743" s="2237"/>
      <c r="AN1743" s="2237"/>
      <c r="AO1743" s="2237"/>
      <c r="AP1743" s="2237"/>
      <c r="AQ1743" s="2237"/>
      <c r="AR1743" s="2237"/>
      <c r="AS1743" s="2237"/>
      <c r="AT1743" s="2237"/>
      <c r="AU1743" s="2237"/>
      <c r="AV1743" s="2237"/>
      <c r="AW1743" s="2237"/>
      <c r="AX1743" s="2237"/>
      <c r="AY1743" s="2237"/>
      <c r="AZ1743" s="2237"/>
      <c r="BA1743" s="2237"/>
      <c r="BB1743" s="2237"/>
      <c r="BC1743" s="2237"/>
      <c r="BD1743" s="2237"/>
      <c r="BE1743" s="2237"/>
      <c r="BF1743" s="2237"/>
      <c r="BG1743" s="2237"/>
      <c r="BH1743" s="2237"/>
      <c r="BI1743" s="2237"/>
      <c r="BJ1743" s="2237"/>
      <c r="BK1743" s="2237"/>
      <c r="BL1743" s="2237"/>
      <c r="BM1743" s="2237"/>
      <c r="BN1743" s="2237"/>
      <c r="BO1743" s="2237"/>
      <c r="BP1743" s="2237"/>
      <c r="BQ1743" s="2237"/>
      <c r="BR1743" s="2237"/>
      <c r="BS1743" s="2237"/>
      <c r="BT1743" s="2237"/>
      <c r="BU1743" s="2237"/>
      <c r="BV1743" s="2237"/>
      <c r="BW1743" s="2237"/>
      <c r="BX1743" s="2237"/>
      <c r="BY1743" s="2237"/>
      <c r="BZ1743" s="2237"/>
      <c r="CA1743" s="2237"/>
      <c r="CB1743" s="2237"/>
      <c r="CC1743" s="2237"/>
      <c r="CD1743" s="2237"/>
      <c r="CE1743" s="2237"/>
      <c r="CF1743" s="2237"/>
      <c r="CG1743" s="2237"/>
      <c r="CH1743" s="2237"/>
      <c r="CI1743" s="2237"/>
      <c r="CJ1743" s="2237"/>
      <c r="CK1743" s="2237"/>
      <c r="CL1743" s="2237"/>
      <c r="CM1743" s="2237"/>
      <c r="CN1743" s="2237"/>
      <c r="CO1743" s="2237"/>
      <c r="CP1743" s="2237"/>
      <c r="CQ1743" s="2237"/>
      <c r="CR1743" s="2237"/>
      <c r="CS1743" s="2237"/>
      <c r="CT1743" s="2237"/>
      <c r="CU1743" s="2237"/>
      <c r="CV1743" s="2237"/>
      <c r="CW1743" s="2237"/>
      <c r="CX1743" s="2237"/>
      <c r="CY1743" s="2237"/>
      <c r="CZ1743" s="2237"/>
      <c r="DA1743" s="2237"/>
      <c r="DB1743" s="2237"/>
      <c r="DC1743" s="2237"/>
      <c r="DD1743" s="2237"/>
      <c r="DE1743" s="2237"/>
      <c r="DF1743" s="3393" t="str">
        <f t="shared" si="259"/>
        <v>ASHP-SEER17-Replace_CAC_NonElectricHeat_ER1_MF</v>
      </c>
      <c r="DG1743" s="3332"/>
      <c r="DH1743" s="2882" t="str">
        <f t="shared" si="262"/>
        <v>Heating Res 6 Year EUL</v>
      </c>
      <c r="DI1743" s="3260">
        <f>(INDEX('Avoided Cost Benefits'!$B$4:$B$866,MATCH(DH1743,'Avoided Cost Benefits'!$A$4:$A$866,0)))*F1743</f>
        <v>0</v>
      </c>
      <c r="DJ1743" s="2507">
        <f t="shared" si="263"/>
        <v>0</v>
      </c>
      <c r="DM1743" s="252"/>
    </row>
    <row r="1744" spans="1:117">
      <c r="A1744" s="453"/>
      <c r="B1744" s="1454">
        <f t="shared" si="255"/>
        <v>354160</v>
      </c>
      <c r="C1744" s="2554" t="s">
        <v>2372</v>
      </c>
      <c r="D1744" s="3383" t="s">
        <v>1122</v>
      </c>
      <c r="E1744" s="2882" t="s">
        <v>2374</v>
      </c>
      <c r="F1744" s="3369">
        <f>ROUND((($K2804*$K2997*(1/$K3190-1/$K3383)*$K3576)/1000)*$K$3651,2)</f>
        <v>332.07</v>
      </c>
      <c r="G1744" s="3384" t="s">
        <v>2138</v>
      </c>
      <c r="H1744" s="2213">
        <f>VLOOKUP(G1744,'CP FACTORS'!$A$3:$B$38, 2, FALSE)</f>
        <v>9.4741810000000004E-4</v>
      </c>
      <c r="I1744" s="3394">
        <f t="shared" si="261"/>
        <v>0.31460900000000003</v>
      </c>
      <c r="J1744" s="2449">
        <f t="shared" si="258"/>
        <v>12</v>
      </c>
      <c r="K1744" s="2894">
        <f t="shared" si="256"/>
        <v>0</v>
      </c>
      <c r="L1744" s="2649"/>
      <c r="M1744" s="3386"/>
      <c r="N1744" s="3387"/>
      <c r="O1744" s="2702"/>
      <c r="P1744" s="635"/>
      <c r="Q1744" s="635"/>
      <c r="R1744" s="2966"/>
      <c r="S1744" s="635"/>
      <c r="T1744" s="635"/>
      <c r="U1744" s="3388"/>
      <c r="V1744" s="2962" t="s">
        <v>45</v>
      </c>
      <c r="W1744" s="3389"/>
      <c r="X1744" s="3390"/>
      <c r="Y1744" s="3369"/>
      <c r="Z1744" s="3373"/>
      <c r="AA1744" s="3373"/>
      <c r="AB1744" s="3400"/>
      <c r="AC1744" s="3369">
        <v>380.32</v>
      </c>
      <c r="AD1744" s="3373">
        <v>380.32</v>
      </c>
      <c r="AE1744" s="3369">
        <v>264.86</v>
      </c>
      <c r="AF1744" s="2236">
        <f t="shared" si="257"/>
        <v>332.07</v>
      </c>
      <c r="AG1744" s="3389"/>
      <c r="AH1744" s="2728"/>
      <c r="AI1744" s="2237"/>
      <c r="AJ1744" s="2237"/>
      <c r="AK1744" s="3392"/>
      <c r="AL1744" s="2237"/>
      <c r="AM1744" s="2237"/>
      <c r="AN1744" s="2237"/>
      <c r="AO1744" s="2237"/>
      <c r="AP1744" s="2237"/>
      <c r="AQ1744" s="2237"/>
      <c r="AR1744" s="2237"/>
      <c r="AS1744" s="2237"/>
      <c r="AT1744" s="2237"/>
      <c r="AU1744" s="2237"/>
      <c r="AV1744" s="2237"/>
      <c r="AW1744" s="2237"/>
      <c r="AX1744" s="2237"/>
      <c r="AY1744" s="2237"/>
      <c r="AZ1744" s="2237"/>
      <c r="BA1744" s="2237"/>
      <c r="BB1744" s="2237"/>
      <c r="BC1744" s="2237"/>
      <c r="BD1744" s="2237"/>
      <c r="BE1744" s="2237"/>
      <c r="BF1744" s="2237"/>
      <c r="BG1744" s="2237"/>
      <c r="BH1744" s="2237"/>
      <c r="BI1744" s="2237"/>
      <c r="BJ1744" s="2237"/>
      <c r="BK1744" s="2237"/>
      <c r="BL1744" s="2237"/>
      <c r="BM1744" s="2237"/>
      <c r="BN1744" s="2237"/>
      <c r="BO1744" s="2237"/>
      <c r="BP1744" s="2237"/>
      <c r="BQ1744" s="2237"/>
      <c r="BR1744" s="2237"/>
      <c r="BS1744" s="2237"/>
      <c r="BT1744" s="2237"/>
      <c r="BU1744" s="2237"/>
      <c r="BV1744" s="2237"/>
      <c r="BW1744" s="2237"/>
      <c r="BX1744" s="2237"/>
      <c r="BY1744" s="2237"/>
      <c r="BZ1744" s="2237"/>
      <c r="CA1744" s="2237"/>
      <c r="CB1744" s="2237"/>
      <c r="CC1744" s="2237"/>
      <c r="CD1744" s="2237"/>
      <c r="CE1744" s="2237"/>
      <c r="CF1744" s="2237"/>
      <c r="CG1744" s="2237"/>
      <c r="CH1744" s="2237"/>
      <c r="CI1744" s="2237"/>
      <c r="CJ1744" s="2237"/>
      <c r="CK1744" s="2237"/>
      <c r="CL1744" s="2237"/>
      <c r="CM1744" s="2237"/>
      <c r="CN1744" s="2237"/>
      <c r="CO1744" s="2237"/>
      <c r="CP1744" s="2237"/>
      <c r="CQ1744" s="2237"/>
      <c r="CR1744" s="2237"/>
      <c r="CS1744" s="2237"/>
      <c r="CT1744" s="2237"/>
      <c r="CU1744" s="2237"/>
      <c r="CV1744" s="2237"/>
      <c r="CW1744" s="2237"/>
      <c r="CX1744" s="2237"/>
      <c r="CY1744" s="2237"/>
      <c r="CZ1744" s="2237"/>
      <c r="DA1744" s="2237"/>
      <c r="DB1744" s="2237"/>
      <c r="DC1744" s="2237"/>
      <c r="DD1744" s="2237"/>
      <c r="DE1744" s="2237"/>
      <c r="DF1744" s="3393" t="str">
        <f t="shared" si="259"/>
        <v>ASHP-SEER17-Replace_CAC_NonElectricHeat_ER2_MF</v>
      </c>
      <c r="DG1744" s="3332"/>
      <c r="DH1744" s="2882" t="str">
        <f t="shared" si="262"/>
        <v>Cooling Res ER2 12 Year EUL</v>
      </c>
      <c r="DI1744" s="3260">
        <f>(INDEX('Avoided Cost Benefits'!$B$4:$B$866,MATCH(DH1744,'Avoided Cost Benefits'!$A$4:$A$866,0)))*F1744</f>
        <v>429.67228082530659</v>
      </c>
      <c r="DJ1744" s="2507">
        <f t="shared" si="263"/>
        <v>0</v>
      </c>
      <c r="DM1744" s="252"/>
    </row>
    <row r="1745" spans="1:117">
      <c r="A1745" s="453"/>
      <c r="B1745" s="1454">
        <f t="shared" si="255"/>
        <v>354160</v>
      </c>
      <c r="C1745" s="2554" t="s">
        <v>2372</v>
      </c>
      <c r="D1745" s="3383" t="s">
        <v>1122</v>
      </c>
      <c r="E1745" s="2522" t="s">
        <v>2374</v>
      </c>
      <c r="F1745" s="3373">
        <v>0</v>
      </c>
      <c r="G1745" s="3384" t="s">
        <v>2173</v>
      </c>
      <c r="H1745" s="2213">
        <f>VLOOKUP(G1745,'CP FACTORS'!$A$3:$B$38, 2, FALSE)</f>
        <v>0</v>
      </c>
      <c r="I1745" s="3385">
        <f t="shared" si="261"/>
        <v>0</v>
      </c>
      <c r="J1745" s="2449">
        <f t="shared" si="258"/>
        <v>12</v>
      </c>
      <c r="K1745" s="2894">
        <f t="shared" si="256"/>
        <v>0</v>
      </c>
      <c r="L1745" s="2649"/>
      <c r="M1745" s="3386"/>
      <c r="N1745" s="3387"/>
      <c r="O1745" s="2702"/>
      <c r="P1745" s="635"/>
      <c r="Q1745" s="635"/>
      <c r="R1745" s="2966"/>
      <c r="S1745" s="635"/>
      <c r="T1745" s="635"/>
      <c r="U1745" s="3388"/>
      <c r="V1745" s="2962" t="s">
        <v>45</v>
      </c>
      <c r="W1745" s="3389"/>
      <c r="X1745" s="3390"/>
      <c r="Y1745" s="3369"/>
      <c r="Z1745" s="3373"/>
      <c r="AA1745" s="3373"/>
      <c r="AB1745" s="3400"/>
      <c r="AC1745" s="3369">
        <v>0</v>
      </c>
      <c r="AD1745" s="3373">
        <v>0</v>
      </c>
      <c r="AE1745" s="3373">
        <v>0</v>
      </c>
      <c r="AF1745" s="2236">
        <f t="shared" si="257"/>
        <v>0</v>
      </c>
      <c r="AG1745" s="3389"/>
      <c r="AH1745" s="2728"/>
      <c r="AI1745" s="2237"/>
      <c r="AJ1745" s="2237"/>
      <c r="AK1745" s="3392"/>
      <c r="AL1745" s="2237"/>
      <c r="AM1745" s="2237"/>
      <c r="AN1745" s="2237"/>
      <c r="AO1745" s="2237"/>
      <c r="AP1745" s="2237"/>
      <c r="AQ1745" s="2237"/>
      <c r="AR1745" s="2237"/>
      <c r="AS1745" s="2237"/>
      <c r="AT1745" s="2237"/>
      <c r="AU1745" s="2237"/>
      <c r="AV1745" s="2237"/>
      <c r="AW1745" s="2237"/>
      <c r="AX1745" s="2237"/>
      <c r="AY1745" s="2237"/>
      <c r="AZ1745" s="2237"/>
      <c r="BA1745" s="2237"/>
      <c r="BB1745" s="2237"/>
      <c r="BC1745" s="2237"/>
      <c r="BD1745" s="2237"/>
      <c r="BE1745" s="2237"/>
      <c r="BF1745" s="2237"/>
      <c r="BG1745" s="2237"/>
      <c r="BH1745" s="2237"/>
      <c r="BI1745" s="2237"/>
      <c r="BJ1745" s="2237"/>
      <c r="BK1745" s="2237"/>
      <c r="BL1745" s="2237"/>
      <c r="BM1745" s="2237"/>
      <c r="BN1745" s="2237"/>
      <c r="BO1745" s="2237"/>
      <c r="BP1745" s="2237"/>
      <c r="BQ1745" s="2237"/>
      <c r="BR1745" s="2237"/>
      <c r="BS1745" s="2237"/>
      <c r="BT1745" s="2237"/>
      <c r="BU1745" s="2237"/>
      <c r="BV1745" s="2237"/>
      <c r="BW1745" s="2237"/>
      <c r="BX1745" s="2237"/>
      <c r="BY1745" s="2237"/>
      <c r="BZ1745" s="2237"/>
      <c r="CA1745" s="2237"/>
      <c r="CB1745" s="2237"/>
      <c r="CC1745" s="2237"/>
      <c r="CD1745" s="2237"/>
      <c r="CE1745" s="2237"/>
      <c r="CF1745" s="2237"/>
      <c r="CG1745" s="2237"/>
      <c r="CH1745" s="2237"/>
      <c r="CI1745" s="2237"/>
      <c r="CJ1745" s="2237"/>
      <c r="CK1745" s="2237"/>
      <c r="CL1745" s="2237"/>
      <c r="CM1745" s="2237"/>
      <c r="CN1745" s="2237"/>
      <c r="CO1745" s="2237"/>
      <c r="CP1745" s="2237"/>
      <c r="CQ1745" s="2237"/>
      <c r="CR1745" s="2237"/>
      <c r="CS1745" s="2237"/>
      <c r="CT1745" s="2237"/>
      <c r="CU1745" s="2237"/>
      <c r="CV1745" s="2237"/>
      <c r="CW1745" s="2237"/>
      <c r="CX1745" s="2237"/>
      <c r="CY1745" s="2237"/>
      <c r="CZ1745" s="2237"/>
      <c r="DA1745" s="2237"/>
      <c r="DB1745" s="2237"/>
      <c r="DC1745" s="2237"/>
      <c r="DD1745" s="2237"/>
      <c r="DE1745" s="2237"/>
      <c r="DF1745" s="3393" t="str">
        <f t="shared" si="259"/>
        <v>ASHP-SEER17-Replace_CAC_NonElectricHeat_ER2_MF</v>
      </c>
      <c r="DG1745" s="3332"/>
      <c r="DH1745" s="2522" t="str">
        <f t="shared" si="262"/>
        <v>Heating Res ER2 12 Year EUL</v>
      </c>
      <c r="DI1745" s="3260">
        <f>(INDEX('Avoided Cost Benefits'!$B$4:$B$866,MATCH(DH1745,'Avoided Cost Benefits'!$A$4:$A$866,0)))*F1745</f>
        <v>0</v>
      </c>
      <c r="DJ1745" s="2507">
        <f t="shared" si="263"/>
        <v>0</v>
      </c>
      <c r="DM1745" s="252"/>
    </row>
    <row r="1746" spans="1:117">
      <c r="A1746" s="453"/>
      <c r="B1746" s="1454">
        <f t="shared" si="255"/>
        <v>354161</v>
      </c>
      <c r="C1746" s="2554" t="s">
        <v>2375</v>
      </c>
      <c r="D1746" s="3383" t="s">
        <v>1118</v>
      </c>
      <c r="E1746" s="2882" t="s">
        <v>2376</v>
      </c>
      <c r="F1746" s="3373">
        <f>ROUND((($K2805*$K2998*(1/$K3191-1/$K3384)*$K3577)/1000)*$K$3651,2)</f>
        <v>935.62</v>
      </c>
      <c r="G1746" s="3384" t="s">
        <v>2077</v>
      </c>
      <c r="H1746" s="2213">
        <f>VLOOKUP(G1746,'CP FACTORS'!$A$3:$B$38, 2, FALSE)</f>
        <v>9.4741810000000004E-4</v>
      </c>
      <c r="I1746" s="3385">
        <f t="shared" si="261"/>
        <v>0.88642299999999996</v>
      </c>
      <c r="J1746" s="2449">
        <f t="shared" si="258"/>
        <v>6</v>
      </c>
      <c r="K1746" s="2467">
        <f t="shared" si="256"/>
        <v>691.03340410162741</v>
      </c>
      <c r="L1746" s="2649">
        <f>L2033</f>
        <v>3.1</v>
      </c>
      <c r="M1746" s="3386"/>
      <c r="N1746" s="3387"/>
      <c r="O1746" s="2702"/>
      <c r="P1746" s="635"/>
      <c r="Q1746" s="635"/>
      <c r="R1746" s="2966"/>
      <c r="S1746" s="635"/>
      <c r="T1746" s="635"/>
      <c r="U1746" s="3388"/>
      <c r="V1746" s="2962" t="s">
        <v>45</v>
      </c>
      <c r="W1746" s="3389"/>
      <c r="X1746" s="3390"/>
      <c r="Y1746" s="3369"/>
      <c r="Z1746" s="3373"/>
      <c r="AA1746" s="3373"/>
      <c r="AB1746" s="3400"/>
      <c r="AC1746" s="3369">
        <v>935.62</v>
      </c>
      <c r="AD1746" s="3373">
        <v>935.62</v>
      </c>
      <c r="AE1746" s="3373">
        <v>935.62</v>
      </c>
      <c r="AF1746" s="2236">
        <f t="shared" si="257"/>
        <v>935.62</v>
      </c>
      <c r="AG1746" s="3389"/>
      <c r="AH1746" s="2728"/>
      <c r="AI1746" s="2237"/>
      <c r="AJ1746" s="2237"/>
      <c r="AK1746" s="3392"/>
      <c r="AL1746" s="2237"/>
      <c r="AM1746" s="2237"/>
      <c r="AN1746" s="2237"/>
      <c r="AO1746" s="2237"/>
      <c r="AP1746" s="2237"/>
      <c r="AQ1746" s="2237"/>
      <c r="AR1746" s="2237"/>
      <c r="AS1746" s="2237"/>
      <c r="AT1746" s="2237"/>
      <c r="AU1746" s="2237"/>
      <c r="AV1746" s="2237"/>
      <c r="AW1746" s="2237"/>
      <c r="AX1746" s="2237"/>
      <c r="AY1746" s="2237"/>
      <c r="AZ1746" s="2237"/>
      <c r="BA1746" s="2237"/>
      <c r="BB1746" s="2237"/>
      <c r="BC1746" s="2237"/>
      <c r="BD1746" s="2237"/>
      <c r="BE1746" s="2237"/>
      <c r="BF1746" s="2237"/>
      <c r="BG1746" s="2237"/>
      <c r="BH1746" s="2237"/>
      <c r="BI1746" s="2237"/>
      <c r="BJ1746" s="2237"/>
      <c r="BK1746" s="2237"/>
      <c r="BL1746" s="2237"/>
      <c r="BM1746" s="2237"/>
      <c r="BN1746" s="2237"/>
      <c r="BO1746" s="2237"/>
      <c r="BP1746" s="2237"/>
      <c r="BQ1746" s="2237"/>
      <c r="BR1746" s="2237"/>
      <c r="BS1746" s="2237"/>
      <c r="BT1746" s="2237"/>
      <c r="BU1746" s="2237"/>
      <c r="BV1746" s="2237"/>
      <c r="BW1746" s="2237"/>
      <c r="BX1746" s="2237"/>
      <c r="BY1746" s="2237"/>
      <c r="BZ1746" s="2237"/>
      <c r="CA1746" s="2237"/>
      <c r="CB1746" s="2237"/>
      <c r="CC1746" s="2237"/>
      <c r="CD1746" s="2237"/>
      <c r="CE1746" s="2237"/>
      <c r="CF1746" s="2237"/>
      <c r="CG1746" s="2237"/>
      <c r="CH1746" s="2237"/>
      <c r="CI1746" s="2237"/>
      <c r="CJ1746" s="2237"/>
      <c r="CK1746" s="2237"/>
      <c r="CL1746" s="2237"/>
      <c r="CM1746" s="2237"/>
      <c r="CN1746" s="2237"/>
      <c r="CO1746" s="2237"/>
      <c r="CP1746" s="2237"/>
      <c r="CQ1746" s="2237"/>
      <c r="CR1746" s="2237"/>
      <c r="CS1746" s="2237"/>
      <c r="CT1746" s="2237"/>
      <c r="CU1746" s="2237"/>
      <c r="CV1746" s="2237"/>
      <c r="CW1746" s="2237"/>
      <c r="CX1746" s="2237"/>
      <c r="CY1746" s="2237"/>
      <c r="CZ1746" s="2237"/>
      <c r="DA1746" s="2237"/>
      <c r="DB1746" s="2237"/>
      <c r="DC1746" s="2237"/>
      <c r="DD1746" s="2237"/>
      <c r="DE1746" s="2237"/>
      <c r="DF1746" s="3393" t="str">
        <f t="shared" si="259"/>
        <v>ASHP-SEER17-Replace_CAC_NonElectricHeat_ER1_MF_CompE</v>
      </c>
      <c r="DG1746" s="3259">
        <f>(DI1746+DI1747+DI1748+DI1749)/(DJ1746+DJ1747+DJ1748+DJ1749)</f>
        <v>1.8005168247913921</v>
      </c>
      <c r="DH1746" s="2882" t="str">
        <f t="shared" si="262"/>
        <v>Cooling Res 6 Year EUL</v>
      </c>
      <c r="DI1746" s="3260">
        <f>(INDEX('Avoided Cost Benefits'!$B$4:$B$866,MATCH(DH1746,'Avoided Cost Benefits'!$A$4:$A$866,0)))*F1746</f>
        <v>931.73539681836598</v>
      </c>
      <c r="DJ1746" s="2507">
        <f t="shared" si="263"/>
        <v>691.03340410162741</v>
      </c>
      <c r="DM1746" s="252"/>
    </row>
    <row r="1747" spans="1:117">
      <c r="A1747" s="453"/>
      <c r="B1747" s="1454">
        <f t="shared" si="255"/>
        <v>354161</v>
      </c>
      <c r="C1747" s="2554" t="s">
        <v>2375</v>
      </c>
      <c r="D1747" s="3383" t="s">
        <v>1118</v>
      </c>
      <c r="E1747" s="2882" t="s">
        <v>2376</v>
      </c>
      <c r="F1747" s="3373">
        <v>0</v>
      </c>
      <c r="G1747" s="3384" t="s">
        <v>2078</v>
      </c>
      <c r="H1747" s="2213">
        <f>VLOOKUP(G1747,'CP FACTORS'!$A$3:$B$38, 2, FALSE)</f>
        <v>0</v>
      </c>
      <c r="I1747" s="3385">
        <f t="shared" si="261"/>
        <v>0</v>
      </c>
      <c r="J1747" s="2449">
        <f t="shared" si="258"/>
        <v>6</v>
      </c>
      <c r="K1747" s="2894">
        <f t="shared" si="256"/>
        <v>0</v>
      </c>
      <c r="L1747" s="2649"/>
      <c r="M1747" s="3386"/>
      <c r="N1747" s="3387"/>
      <c r="O1747" s="2702"/>
      <c r="P1747" s="635"/>
      <c r="Q1747" s="635"/>
      <c r="R1747" s="2966"/>
      <c r="S1747" s="635"/>
      <c r="T1747" s="635"/>
      <c r="U1747" s="3388"/>
      <c r="V1747" s="2962" t="s">
        <v>45</v>
      </c>
      <c r="W1747" s="3389"/>
      <c r="X1747" s="3390"/>
      <c r="Y1747" s="3369"/>
      <c r="Z1747" s="3373"/>
      <c r="AA1747" s="3373"/>
      <c r="AB1747" s="3400"/>
      <c r="AC1747" s="3369">
        <v>0</v>
      </c>
      <c r="AD1747" s="3373">
        <v>0</v>
      </c>
      <c r="AE1747" s="3373">
        <v>0</v>
      </c>
      <c r="AF1747" s="2236">
        <f t="shared" si="257"/>
        <v>0</v>
      </c>
      <c r="AG1747" s="3389"/>
      <c r="AH1747" s="2728"/>
      <c r="AI1747" s="2237"/>
      <c r="AJ1747" s="2237"/>
      <c r="AK1747" s="3392"/>
      <c r="AL1747" s="2237"/>
      <c r="AM1747" s="2237"/>
      <c r="AN1747" s="2237"/>
      <c r="AO1747" s="2237"/>
      <c r="AP1747" s="2237"/>
      <c r="AQ1747" s="2237"/>
      <c r="AR1747" s="2237"/>
      <c r="AS1747" s="2237"/>
      <c r="AT1747" s="2237"/>
      <c r="AU1747" s="2237"/>
      <c r="AV1747" s="2237"/>
      <c r="AW1747" s="2237"/>
      <c r="AX1747" s="2237"/>
      <c r="AY1747" s="2237"/>
      <c r="AZ1747" s="2237"/>
      <c r="BA1747" s="2237"/>
      <c r="BB1747" s="2237"/>
      <c r="BC1747" s="2237"/>
      <c r="BD1747" s="2237"/>
      <c r="BE1747" s="2237"/>
      <c r="BF1747" s="2237"/>
      <c r="BG1747" s="2237"/>
      <c r="BH1747" s="2237"/>
      <c r="BI1747" s="2237"/>
      <c r="BJ1747" s="2237"/>
      <c r="BK1747" s="2237"/>
      <c r="BL1747" s="2237"/>
      <c r="BM1747" s="2237"/>
      <c r="BN1747" s="2237"/>
      <c r="BO1747" s="2237"/>
      <c r="BP1747" s="2237"/>
      <c r="BQ1747" s="2237"/>
      <c r="BR1747" s="2237"/>
      <c r="BS1747" s="2237"/>
      <c r="BT1747" s="2237"/>
      <c r="BU1747" s="2237"/>
      <c r="BV1747" s="2237"/>
      <c r="BW1747" s="2237"/>
      <c r="BX1747" s="2237"/>
      <c r="BY1747" s="2237"/>
      <c r="BZ1747" s="2237"/>
      <c r="CA1747" s="2237"/>
      <c r="CB1747" s="2237"/>
      <c r="CC1747" s="2237"/>
      <c r="CD1747" s="2237"/>
      <c r="CE1747" s="2237"/>
      <c r="CF1747" s="2237"/>
      <c r="CG1747" s="2237"/>
      <c r="CH1747" s="2237"/>
      <c r="CI1747" s="2237"/>
      <c r="CJ1747" s="2237"/>
      <c r="CK1747" s="2237"/>
      <c r="CL1747" s="2237"/>
      <c r="CM1747" s="2237"/>
      <c r="CN1747" s="2237"/>
      <c r="CO1747" s="2237"/>
      <c r="CP1747" s="2237"/>
      <c r="CQ1747" s="2237"/>
      <c r="CR1747" s="2237"/>
      <c r="CS1747" s="2237"/>
      <c r="CT1747" s="2237"/>
      <c r="CU1747" s="2237"/>
      <c r="CV1747" s="2237"/>
      <c r="CW1747" s="2237"/>
      <c r="CX1747" s="2237"/>
      <c r="CY1747" s="2237"/>
      <c r="CZ1747" s="2237"/>
      <c r="DA1747" s="2237"/>
      <c r="DB1747" s="2237"/>
      <c r="DC1747" s="2237"/>
      <c r="DD1747" s="2237"/>
      <c r="DE1747" s="2237"/>
      <c r="DF1747" s="3393" t="str">
        <f t="shared" si="259"/>
        <v>ASHP-SEER17-Replace_CAC_NonElectricHeat_ER1_MF_CompE</v>
      </c>
      <c r="DG1747" s="3332"/>
      <c r="DH1747" s="2882" t="str">
        <f t="shared" si="262"/>
        <v>Heating Res 6 Year EUL</v>
      </c>
      <c r="DI1747" s="3260">
        <f>(INDEX('Avoided Cost Benefits'!$B$4:$B$866,MATCH(DH1747,'Avoided Cost Benefits'!$A$4:$A$866,0)))*F1747</f>
        <v>0</v>
      </c>
      <c r="DJ1747" s="2507">
        <f t="shared" si="263"/>
        <v>0</v>
      </c>
      <c r="DM1747" s="252"/>
    </row>
    <row r="1748" spans="1:117">
      <c r="A1748" s="453"/>
      <c r="B1748" s="1454">
        <f t="shared" si="255"/>
        <v>354161</v>
      </c>
      <c r="C1748" s="2554" t="s">
        <v>2375</v>
      </c>
      <c r="D1748" s="3383" t="s">
        <v>1118</v>
      </c>
      <c r="E1748" s="2882" t="s">
        <v>2377</v>
      </c>
      <c r="F1748" s="3369">
        <f>ROUND((($K2806*$K2999*(1/$K3192-1/$K3385)*$K3578)/1000)*$K$3651,2)</f>
        <v>241.5</v>
      </c>
      <c r="G1748" s="3384" t="s">
        <v>2138</v>
      </c>
      <c r="H1748" s="2213">
        <f>VLOOKUP(G1748,'CP FACTORS'!$A$3:$B$38, 2, FALSE)</f>
        <v>9.4741810000000004E-4</v>
      </c>
      <c r="I1748" s="3394">
        <f t="shared" si="261"/>
        <v>0.228801</v>
      </c>
      <c r="J1748" s="2449">
        <f t="shared" si="258"/>
        <v>12</v>
      </c>
      <c r="K1748" s="2894">
        <f t="shared" si="256"/>
        <v>0</v>
      </c>
      <c r="L1748" s="2649"/>
      <c r="M1748" s="3386"/>
      <c r="N1748" s="3387"/>
      <c r="O1748" s="2702"/>
      <c r="P1748" s="635"/>
      <c r="Q1748" s="635"/>
      <c r="R1748" s="2966"/>
      <c r="S1748" s="635"/>
      <c r="T1748" s="635"/>
      <c r="U1748" s="3388"/>
      <c r="V1748" s="2962" t="s">
        <v>45</v>
      </c>
      <c r="W1748" s="3389"/>
      <c r="X1748" s="3390"/>
      <c r="Y1748" s="3369"/>
      <c r="Z1748" s="3373"/>
      <c r="AA1748" s="3373"/>
      <c r="AB1748" s="3400"/>
      <c r="AC1748" s="3369">
        <v>276.58999999999997</v>
      </c>
      <c r="AD1748" s="3373">
        <v>276.58999999999997</v>
      </c>
      <c r="AE1748" s="3369">
        <v>192.63</v>
      </c>
      <c r="AF1748" s="2236">
        <f t="shared" si="257"/>
        <v>241.5</v>
      </c>
      <c r="AG1748" s="3389"/>
      <c r="AH1748" s="2728"/>
      <c r="AI1748" s="2237"/>
      <c r="AJ1748" s="2237"/>
      <c r="AK1748" s="3392"/>
      <c r="AL1748" s="2237"/>
      <c r="AM1748" s="2237"/>
      <c r="AN1748" s="2237"/>
      <c r="AO1748" s="2237"/>
      <c r="AP1748" s="2237"/>
      <c r="AQ1748" s="2237"/>
      <c r="AR1748" s="2237"/>
      <c r="AS1748" s="2237"/>
      <c r="AT1748" s="2237"/>
      <c r="AU1748" s="2237"/>
      <c r="AV1748" s="2237"/>
      <c r="AW1748" s="2237"/>
      <c r="AX1748" s="2237"/>
      <c r="AY1748" s="2237"/>
      <c r="AZ1748" s="2237"/>
      <c r="BA1748" s="2237"/>
      <c r="BB1748" s="2237"/>
      <c r="BC1748" s="2237"/>
      <c r="BD1748" s="2237"/>
      <c r="BE1748" s="2237"/>
      <c r="BF1748" s="2237"/>
      <c r="BG1748" s="2237"/>
      <c r="BH1748" s="2237"/>
      <c r="BI1748" s="2237"/>
      <c r="BJ1748" s="2237"/>
      <c r="BK1748" s="2237"/>
      <c r="BL1748" s="2237"/>
      <c r="BM1748" s="2237"/>
      <c r="BN1748" s="2237"/>
      <c r="BO1748" s="2237"/>
      <c r="BP1748" s="2237"/>
      <c r="BQ1748" s="2237"/>
      <c r="BR1748" s="2237"/>
      <c r="BS1748" s="2237"/>
      <c r="BT1748" s="2237"/>
      <c r="BU1748" s="2237"/>
      <c r="BV1748" s="2237"/>
      <c r="BW1748" s="2237"/>
      <c r="BX1748" s="2237"/>
      <c r="BY1748" s="2237"/>
      <c r="BZ1748" s="2237"/>
      <c r="CA1748" s="2237"/>
      <c r="CB1748" s="2237"/>
      <c r="CC1748" s="2237"/>
      <c r="CD1748" s="2237"/>
      <c r="CE1748" s="2237"/>
      <c r="CF1748" s="2237"/>
      <c r="CG1748" s="2237"/>
      <c r="CH1748" s="2237"/>
      <c r="CI1748" s="2237"/>
      <c r="CJ1748" s="2237"/>
      <c r="CK1748" s="2237"/>
      <c r="CL1748" s="2237"/>
      <c r="CM1748" s="2237"/>
      <c r="CN1748" s="2237"/>
      <c r="CO1748" s="2237"/>
      <c r="CP1748" s="2237"/>
      <c r="CQ1748" s="2237"/>
      <c r="CR1748" s="2237"/>
      <c r="CS1748" s="2237"/>
      <c r="CT1748" s="2237"/>
      <c r="CU1748" s="2237"/>
      <c r="CV1748" s="2237"/>
      <c r="CW1748" s="2237"/>
      <c r="CX1748" s="2237"/>
      <c r="CY1748" s="2237"/>
      <c r="CZ1748" s="2237"/>
      <c r="DA1748" s="2237"/>
      <c r="DB1748" s="2237"/>
      <c r="DC1748" s="2237"/>
      <c r="DD1748" s="2237"/>
      <c r="DE1748" s="2237"/>
      <c r="DF1748" s="3393" t="str">
        <f t="shared" si="259"/>
        <v>ASHP-SEER17-Replace_CAC_NonElectricHeat_ER2_MF_CompE</v>
      </c>
      <c r="DG1748" s="3332"/>
      <c r="DH1748" s="2882" t="str">
        <f t="shared" si="262"/>
        <v>Cooling Res ER2 12 Year EUL</v>
      </c>
      <c r="DI1748" s="3260">
        <f>(INDEX('Avoided Cost Benefits'!$B$4:$B$866,MATCH(DH1748,'Avoided Cost Benefits'!$A$4:$A$866,0)))*F1748</f>
        <v>312.48187375948311</v>
      </c>
      <c r="DJ1748" s="2507">
        <f t="shared" si="263"/>
        <v>0</v>
      </c>
      <c r="DM1748" s="252"/>
    </row>
    <row r="1749" spans="1:117">
      <c r="A1749" s="453"/>
      <c r="B1749" s="1454">
        <f t="shared" si="255"/>
        <v>354161</v>
      </c>
      <c r="C1749" s="2554" t="s">
        <v>2375</v>
      </c>
      <c r="D1749" s="3383" t="s">
        <v>1118</v>
      </c>
      <c r="E1749" s="2882" t="s">
        <v>2377</v>
      </c>
      <c r="F1749" s="3373">
        <f>0</f>
        <v>0</v>
      </c>
      <c r="G1749" s="3384" t="s">
        <v>2173</v>
      </c>
      <c r="H1749" s="2213">
        <f>VLOOKUP(G1749,'CP FACTORS'!$A$3:$B$38, 2, FALSE)</f>
        <v>0</v>
      </c>
      <c r="I1749" s="3385">
        <f t="shared" si="261"/>
        <v>0</v>
      </c>
      <c r="J1749" s="2449">
        <f t="shared" si="258"/>
        <v>12</v>
      </c>
      <c r="K1749" s="2894">
        <f t="shared" si="256"/>
        <v>0</v>
      </c>
      <c r="L1749" s="2649"/>
      <c r="M1749" s="3386"/>
      <c r="N1749" s="3387"/>
      <c r="O1749" s="2702"/>
      <c r="P1749" s="635"/>
      <c r="Q1749" s="635"/>
      <c r="R1749" s="2966"/>
      <c r="S1749" s="635"/>
      <c r="T1749" s="635"/>
      <c r="U1749" s="3388"/>
      <c r="V1749" s="2962" t="s">
        <v>45</v>
      </c>
      <c r="W1749" s="3389"/>
      <c r="X1749" s="3390"/>
      <c r="Y1749" s="3369"/>
      <c r="Z1749" s="3373"/>
      <c r="AA1749" s="3373"/>
      <c r="AB1749" s="3400"/>
      <c r="AC1749" s="3369">
        <v>0</v>
      </c>
      <c r="AD1749" s="3373">
        <v>0</v>
      </c>
      <c r="AE1749" s="3373">
        <v>0</v>
      </c>
      <c r="AF1749" s="2236">
        <f t="shared" si="257"/>
        <v>0</v>
      </c>
      <c r="AG1749" s="3389"/>
      <c r="AH1749" s="2728"/>
      <c r="AI1749" s="2237"/>
      <c r="AJ1749" s="2237"/>
      <c r="AK1749" s="3392"/>
      <c r="AL1749" s="2237"/>
      <c r="AM1749" s="2237"/>
      <c r="AN1749" s="2237"/>
      <c r="AO1749" s="2237"/>
      <c r="AP1749" s="2237"/>
      <c r="AQ1749" s="2237"/>
      <c r="AR1749" s="2237"/>
      <c r="AS1749" s="2237"/>
      <c r="AT1749" s="2237"/>
      <c r="AU1749" s="2237"/>
      <c r="AV1749" s="2237"/>
      <c r="AW1749" s="2237"/>
      <c r="AX1749" s="2237"/>
      <c r="AY1749" s="2237"/>
      <c r="AZ1749" s="2237"/>
      <c r="BA1749" s="2237"/>
      <c r="BB1749" s="2237"/>
      <c r="BC1749" s="2237"/>
      <c r="BD1749" s="2237"/>
      <c r="BE1749" s="2237"/>
      <c r="BF1749" s="2237"/>
      <c r="BG1749" s="2237"/>
      <c r="BH1749" s="2237"/>
      <c r="BI1749" s="2237"/>
      <c r="BJ1749" s="2237"/>
      <c r="BK1749" s="2237"/>
      <c r="BL1749" s="2237"/>
      <c r="BM1749" s="2237"/>
      <c r="BN1749" s="2237"/>
      <c r="BO1749" s="2237"/>
      <c r="BP1749" s="2237"/>
      <c r="BQ1749" s="2237"/>
      <c r="BR1749" s="2237"/>
      <c r="BS1749" s="2237"/>
      <c r="BT1749" s="2237"/>
      <c r="BU1749" s="2237"/>
      <c r="BV1749" s="2237"/>
      <c r="BW1749" s="2237"/>
      <c r="BX1749" s="2237"/>
      <c r="BY1749" s="2237"/>
      <c r="BZ1749" s="2237"/>
      <c r="CA1749" s="2237"/>
      <c r="CB1749" s="2237"/>
      <c r="CC1749" s="2237"/>
      <c r="CD1749" s="2237"/>
      <c r="CE1749" s="2237"/>
      <c r="CF1749" s="2237"/>
      <c r="CG1749" s="2237"/>
      <c r="CH1749" s="2237"/>
      <c r="CI1749" s="2237"/>
      <c r="CJ1749" s="2237"/>
      <c r="CK1749" s="2237"/>
      <c r="CL1749" s="2237"/>
      <c r="CM1749" s="2237"/>
      <c r="CN1749" s="2237"/>
      <c r="CO1749" s="2237"/>
      <c r="CP1749" s="2237"/>
      <c r="CQ1749" s="2237"/>
      <c r="CR1749" s="2237"/>
      <c r="CS1749" s="2237"/>
      <c r="CT1749" s="2237"/>
      <c r="CU1749" s="2237"/>
      <c r="CV1749" s="2237"/>
      <c r="CW1749" s="2237"/>
      <c r="CX1749" s="2237"/>
      <c r="CY1749" s="2237"/>
      <c r="CZ1749" s="2237"/>
      <c r="DA1749" s="2237"/>
      <c r="DB1749" s="2237"/>
      <c r="DC1749" s="2237"/>
      <c r="DD1749" s="2237"/>
      <c r="DE1749" s="2237"/>
      <c r="DF1749" s="3393" t="str">
        <f t="shared" si="259"/>
        <v>ASHP-SEER17-Replace_CAC_NonElectricHeat_ER2_MF_CompE</v>
      </c>
      <c r="DG1749" s="3332"/>
      <c r="DH1749" s="2882" t="str">
        <f t="shared" si="262"/>
        <v>Heating Res ER2 12 Year EUL</v>
      </c>
      <c r="DI1749" s="3260">
        <f>(INDEX('Avoided Cost Benefits'!$B$4:$B$866,MATCH(DH1749,'Avoided Cost Benefits'!$A$4:$A$866,0)))*F1749</f>
        <v>0</v>
      </c>
      <c r="DJ1749" s="2507">
        <f t="shared" si="263"/>
        <v>0</v>
      </c>
      <c r="DM1749" s="252"/>
    </row>
    <row r="1750" spans="1:117">
      <c r="A1750" s="453"/>
      <c r="B1750" s="1454">
        <f t="shared" si="255"/>
        <v>354200</v>
      </c>
      <c r="C1750" s="682" t="s">
        <v>2378</v>
      </c>
      <c r="D1750" s="3470" t="s">
        <v>959</v>
      </c>
      <c r="E1750" s="1369" t="s">
        <v>2379</v>
      </c>
      <c r="F1750" s="225">
        <f>ROUND(((K2807*K3000*(1/K3193-1/K3386)*K3579)/1000)*$K$3651,2)</f>
        <v>1369.47</v>
      </c>
      <c r="G1750" s="570" t="s">
        <v>2077</v>
      </c>
      <c r="H1750" s="69">
        <f>VLOOKUP(G1750,'CP FACTORS'!$A$3:$B$38, 2, FALSE)</f>
        <v>9.4741810000000004E-4</v>
      </c>
      <c r="I1750" s="1028">
        <f t="shared" si="261"/>
        <v>1.297461</v>
      </c>
      <c r="J1750" s="59">
        <f t="shared" si="258"/>
        <v>6</v>
      </c>
      <c r="K1750" s="166">
        <f t="shared" si="256"/>
        <v>626.51836415648631</v>
      </c>
      <c r="L1750" s="255">
        <f>L2035</f>
        <v>3.3</v>
      </c>
      <c r="M1750" s="560"/>
      <c r="N1750" s="572"/>
      <c r="O1750" s="417"/>
      <c r="R1750" s="532"/>
      <c r="S1750" s="52"/>
      <c r="T1750" s="52"/>
      <c r="U1750" s="574"/>
      <c r="V1750" s="1442" t="s">
        <v>45</v>
      </c>
      <c r="W1750" s="962">
        <v>1790.9067647058826</v>
      </c>
      <c r="X1750" s="251">
        <v>1369.47306122449</v>
      </c>
      <c r="Y1750" s="225">
        <v>1369.47</v>
      </c>
      <c r="Z1750" s="225">
        <v>1369.47</v>
      </c>
      <c r="AA1750" s="225">
        <v>1369.47</v>
      </c>
      <c r="AB1750" s="1027">
        <v>1369.47</v>
      </c>
      <c r="AC1750" s="960">
        <v>1369.47</v>
      </c>
      <c r="AD1750" s="225">
        <v>1369.47</v>
      </c>
      <c r="AE1750" s="225">
        <v>1369.47</v>
      </c>
      <c r="AF1750" s="271">
        <f t="shared" si="257"/>
        <v>1369.47</v>
      </c>
      <c r="AG1750" s="962"/>
      <c r="AH1750" s="121"/>
      <c r="AK1750" s="963"/>
      <c r="DF1750" s="1650" t="str">
        <f t="shared" si="259"/>
        <v>ASHP-SEER17_ER1_MF</v>
      </c>
      <c r="DG1750" s="1090">
        <f>(DI1750+DI1751+DI1752+DI1753)/(DJ1750+DJ1751+DJ1752+DJ1753)</f>
        <v>4.0427449773274207</v>
      </c>
      <c r="DH1750" s="1369" t="str">
        <f t="shared" si="262"/>
        <v>Cooling Res 6 Year EUL</v>
      </c>
      <c r="DI1750" s="1091">
        <f>(INDEX('Avoided Cost Benefits'!$B$4:$B$866,MATCH(DH1750,'Avoided Cost Benefits'!$A$4:$A$866,0)))*F1750</f>
        <v>1363.7840938424229</v>
      </c>
      <c r="DJ1750" s="1176">
        <f>IFERROR(K1750/(1.0686^(2025-2025)),10000000)</f>
        <v>626.51836415648631</v>
      </c>
      <c r="DM1750" s="252"/>
    </row>
    <row r="1751" spans="1:117">
      <c r="A1751" s="453"/>
      <c r="B1751" s="1454">
        <f t="shared" si="255"/>
        <v>354200</v>
      </c>
      <c r="C1751" s="682" t="s">
        <v>2378</v>
      </c>
      <c r="D1751" s="3470" t="s">
        <v>959</v>
      </c>
      <c r="E1751" s="1393" t="s">
        <v>2379</v>
      </c>
      <c r="F1751" s="225">
        <f>ROUND(((K2035*K2228*(1/K2421-1/K2614)*K3579)/1000)*$K$3651,2)</f>
        <v>1798.76</v>
      </c>
      <c r="G1751" s="570" t="s">
        <v>2078</v>
      </c>
      <c r="H1751" s="69">
        <f>VLOOKUP(G1751,'CP FACTORS'!$A$3:$B$38, 2, FALSE)</f>
        <v>0</v>
      </c>
      <c r="I1751" s="1028">
        <f t="shared" si="261"/>
        <v>0</v>
      </c>
      <c r="J1751" s="59">
        <f t="shared" si="258"/>
        <v>6</v>
      </c>
      <c r="K1751" s="163">
        <f t="shared" si="256"/>
        <v>0</v>
      </c>
      <c r="L1751" s="255"/>
      <c r="M1751" s="560"/>
      <c r="N1751" s="572"/>
      <c r="O1751" s="417"/>
      <c r="R1751" s="532"/>
      <c r="S1751" s="52"/>
      <c r="T1751" s="52"/>
      <c r="U1751" s="574"/>
      <c r="V1751" s="1442" t="s">
        <v>45</v>
      </c>
      <c r="W1751" s="962">
        <v>4062.4872213622284</v>
      </c>
      <c r="X1751" s="251">
        <v>1798.7611070228763</v>
      </c>
      <c r="Y1751" s="225">
        <v>1798.76</v>
      </c>
      <c r="Z1751" s="225">
        <v>1798.76</v>
      </c>
      <c r="AA1751" s="225">
        <v>1798.76</v>
      </c>
      <c r="AB1751" s="1027">
        <v>1798.76</v>
      </c>
      <c r="AC1751" s="960">
        <v>1798.76</v>
      </c>
      <c r="AD1751" s="225">
        <v>1798.76</v>
      </c>
      <c r="AE1751" s="225">
        <v>1798.76</v>
      </c>
      <c r="AF1751" s="271">
        <f t="shared" si="257"/>
        <v>1798.76</v>
      </c>
      <c r="AG1751" s="962"/>
      <c r="AH1751" s="121"/>
      <c r="AK1751" s="963"/>
      <c r="DF1751" s="1650" t="str">
        <f t="shared" si="259"/>
        <v>ASHP-SEER17_ER1_MF</v>
      </c>
      <c r="DG1751" s="1094"/>
      <c r="DH1751" s="1393" t="str">
        <f t="shared" si="262"/>
        <v>Heating Res 6 Year EUL</v>
      </c>
      <c r="DI1751" s="1091">
        <f>(INDEX('Avoided Cost Benefits'!$B$4:$B$866,MATCH(DH1751,'Avoided Cost Benefits'!$A$4:$A$866,0)))*F1751</f>
        <v>482.38931742340571</v>
      </c>
      <c r="DJ1751" s="1176">
        <f>K1751/(1.0686^(2025-2025))</f>
        <v>0</v>
      </c>
      <c r="DM1751" s="252"/>
    </row>
    <row r="1752" spans="1:117">
      <c r="A1752" s="453"/>
      <c r="B1752" s="1454">
        <f t="shared" si="255"/>
        <v>354200</v>
      </c>
      <c r="C1752" s="682" t="s">
        <v>2378</v>
      </c>
      <c r="D1752" s="3470" t="s">
        <v>959</v>
      </c>
      <c r="E1752" s="1393" t="s">
        <v>2380</v>
      </c>
      <c r="F1752" s="227">
        <f>ROUND(((K2808*K3001*(1/K3194-1/K3387)*K3580)/1000)*$K$3651,2)</f>
        <v>248.43</v>
      </c>
      <c r="G1752" s="570" t="s">
        <v>2138</v>
      </c>
      <c r="H1752" s="69">
        <f>VLOOKUP(G1752,'CP FACTORS'!$A$3:$B$38, 2, FALSE)</f>
        <v>9.4741810000000004E-4</v>
      </c>
      <c r="I1752" s="1476">
        <f t="shared" si="261"/>
        <v>0.23536699999999999</v>
      </c>
      <c r="J1752" s="59">
        <f t="shared" si="258"/>
        <v>12</v>
      </c>
      <c r="K1752" s="163">
        <f t="shared" si="256"/>
        <v>0</v>
      </c>
      <c r="L1752" s="255"/>
      <c r="M1752" s="560"/>
      <c r="N1752" s="572"/>
      <c r="O1752" s="417"/>
      <c r="R1752" s="532"/>
      <c r="S1752" s="52"/>
      <c r="T1752" s="52"/>
      <c r="U1752" s="574"/>
      <c r="V1752" s="1442" t="s">
        <v>45</v>
      </c>
      <c r="W1752" s="962">
        <v>281.95033613445372</v>
      </c>
      <c r="X1752" s="254">
        <v>281.95033613445372</v>
      </c>
      <c r="Y1752" s="225">
        <v>281.95</v>
      </c>
      <c r="Z1752" s="225">
        <v>281.95</v>
      </c>
      <c r="AA1752" s="225">
        <v>281.95</v>
      </c>
      <c r="AB1752" s="1027">
        <v>281.95</v>
      </c>
      <c r="AC1752" s="960">
        <v>281.95</v>
      </c>
      <c r="AD1752" s="225">
        <v>281.95</v>
      </c>
      <c r="AE1752" s="227">
        <v>175.44</v>
      </c>
      <c r="AF1752" s="271">
        <f t="shared" si="257"/>
        <v>248.43</v>
      </c>
      <c r="AG1752" s="962"/>
      <c r="AH1752" s="121"/>
      <c r="AK1752" s="963"/>
      <c r="DF1752" s="1650" t="str">
        <f t="shared" si="259"/>
        <v>ASHP-SEER17_ER2_MF</v>
      </c>
      <c r="DG1752" s="1094"/>
      <c r="DH1752" s="1393" t="str">
        <f t="shared" si="262"/>
        <v>Cooling Res ER2 12 Year EUL</v>
      </c>
      <c r="DI1752" s="1091">
        <f>(INDEX('Avoided Cost Benefits'!$B$4:$B$866,MATCH(DH1752,'Avoided Cost Benefits'!$A$4:$A$866,0)))*F1752</f>
        <v>321.44874491953783</v>
      </c>
      <c r="DJ1752" s="1176">
        <f>K1752/(1.0686^(2025-2025))</f>
        <v>0</v>
      </c>
      <c r="DM1752" s="252"/>
    </row>
    <row r="1753" spans="1:117">
      <c r="A1753" s="453"/>
      <c r="B1753" s="1454">
        <f t="shared" si="255"/>
        <v>354200</v>
      </c>
      <c r="C1753" s="682" t="s">
        <v>2378</v>
      </c>
      <c r="D1753" s="3470" t="s">
        <v>959</v>
      </c>
      <c r="E1753" s="1370" t="s">
        <v>2380</v>
      </c>
      <c r="F1753" s="227">
        <f xml:space="preserve"> ROUND(((K2036*K2229*(1/K2422-1/K2615)*K3580)/1000)*$K$3651,2)</f>
        <v>1080.9000000000001</v>
      </c>
      <c r="G1753" s="570" t="s">
        <v>2173</v>
      </c>
      <c r="H1753" s="69">
        <f>VLOOKUP(G1753,'CP FACTORS'!$A$3:$B$38, 2, FALSE)</f>
        <v>0</v>
      </c>
      <c r="I1753" s="1028">
        <f t="shared" si="261"/>
        <v>0</v>
      </c>
      <c r="J1753" s="59">
        <f t="shared" si="258"/>
        <v>12</v>
      </c>
      <c r="K1753" s="163">
        <f t="shared" si="256"/>
        <v>0</v>
      </c>
      <c r="L1753" s="255"/>
      <c r="M1753" s="560"/>
      <c r="N1753" s="572"/>
      <c r="O1753" s="417"/>
      <c r="R1753" s="532"/>
      <c r="S1753" s="52"/>
      <c r="T1753" s="52"/>
      <c r="U1753" s="574"/>
      <c r="V1753" s="1442" t="s">
        <v>45</v>
      </c>
      <c r="W1753" s="962">
        <v>862.96736842105349</v>
      </c>
      <c r="X1753" s="251">
        <v>642.6078562259313</v>
      </c>
      <c r="Y1753" s="225">
        <v>642.61</v>
      </c>
      <c r="Z1753" s="225">
        <v>642.61</v>
      </c>
      <c r="AA1753" s="225">
        <v>642.61</v>
      </c>
      <c r="AB1753" s="1027">
        <v>642.61</v>
      </c>
      <c r="AC1753" s="960">
        <v>642.61</v>
      </c>
      <c r="AD1753" s="225">
        <v>642.61</v>
      </c>
      <c r="AE1753" s="227">
        <v>424.19</v>
      </c>
      <c r="AF1753" s="271">
        <f t="shared" si="257"/>
        <v>1080.9000000000001</v>
      </c>
      <c r="AG1753" s="962"/>
      <c r="AH1753" s="121"/>
      <c r="AK1753" s="963"/>
      <c r="DF1753" s="1650" t="str">
        <f t="shared" si="259"/>
        <v>ASHP-SEER17_ER2_MF</v>
      </c>
      <c r="DG1753" s="1094"/>
      <c r="DH1753" s="1370" t="str">
        <f t="shared" si="262"/>
        <v>Heating Res ER2 12 Year EUL</v>
      </c>
      <c r="DI1753" s="1091">
        <f>(INDEX('Avoided Cost Benefits'!$B$4:$B$866,MATCH(DH1753,'Avoided Cost Benefits'!$A$4:$A$866,0)))*F1753</f>
        <v>365.23181371166106</v>
      </c>
      <c r="DJ1753" s="1176">
        <f>K1753/(1.0686^(2025-2025))</f>
        <v>0</v>
      </c>
      <c r="DM1753" s="252"/>
    </row>
    <row r="1754" spans="1:117">
      <c r="A1754" s="453"/>
      <c r="B1754" s="1454">
        <f t="shared" si="255"/>
        <v>354201</v>
      </c>
      <c r="C1754" s="2554" t="s">
        <v>2381</v>
      </c>
      <c r="D1754" s="3383" t="s">
        <v>1118</v>
      </c>
      <c r="E1754" s="2521" t="s">
        <v>2382</v>
      </c>
      <c r="F1754" s="3373">
        <f>ROUND((($K$2809*$K$3002*(1/$K$3195-1/$K$3388)*$K$3581)/1000)*$K$3651,2)</f>
        <v>995.98</v>
      </c>
      <c r="G1754" s="3384" t="str">
        <f>G1750</f>
        <v>Cooling Res</v>
      </c>
      <c r="H1754" s="2213">
        <f>VLOOKUP(G1754,'CP FACTORS'!$A$3:$B$38, 2, FALSE)</f>
        <v>9.4741810000000004E-4</v>
      </c>
      <c r="I1754" s="3385">
        <f t="shared" si="261"/>
        <v>0.94360900000000003</v>
      </c>
      <c r="J1754" s="2449">
        <f t="shared" si="258"/>
        <v>6</v>
      </c>
      <c r="K1754" s="2467">
        <f t="shared" si="256"/>
        <v>626.51836415648631</v>
      </c>
      <c r="L1754" s="2649">
        <f>L2037</f>
        <v>3.3</v>
      </c>
      <c r="M1754" s="3386"/>
      <c r="N1754" s="3387"/>
      <c r="O1754" s="2702"/>
      <c r="P1754" s="635"/>
      <c r="Q1754" s="635"/>
      <c r="R1754" s="2966"/>
      <c r="S1754" s="635"/>
      <c r="T1754" s="635"/>
      <c r="U1754" s="3388"/>
      <c r="V1754" s="2962" t="s">
        <v>45</v>
      </c>
      <c r="W1754" s="3389"/>
      <c r="X1754" s="3390"/>
      <c r="Y1754" s="3369">
        <v>995.98</v>
      </c>
      <c r="Z1754" s="3373">
        <v>995.98</v>
      </c>
      <c r="AA1754" s="3373">
        <v>995.98</v>
      </c>
      <c r="AB1754" s="3400">
        <v>995.98</v>
      </c>
      <c r="AC1754" s="3401">
        <v>995.98</v>
      </c>
      <c r="AD1754" s="3373">
        <v>995.98</v>
      </c>
      <c r="AE1754" s="3373">
        <v>995.98</v>
      </c>
      <c r="AF1754" s="2236">
        <f t="shared" si="257"/>
        <v>995.98</v>
      </c>
      <c r="AG1754" s="3389"/>
      <c r="AH1754" s="2728"/>
      <c r="AI1754" s="2237"/>
      <c r="AJ1754" s="2237"/>
      <c r="AK1754" s="3392"/>
      <c r="AL1754" s="2237"/>
      <c r="AM1754" s="2237"/>
      <c r="AN1754" s="2237"/>
      <c r="AO1754" s="2237"/>
      <c r="AP1754" s="2237"/>
      <c r="AQ1754" s="2237"/>
      <c r="AR1754" s="2237"/>
      <c r="AS1754" s="2237"/>
      <c r="AT1754" s="2237"/>
      <c r="AU1754" s="2237"/>
      <c r="AV1754" s="2237"/>
      <c r="AW1754" s="2237"/>
      <c r="AX1754" s="2237"/>
      <c r="AY1754" s="2237"/>
      <c r="AZ1754" s="2237"/>
      <c r="BA1754" s="2237"/>
      <c r="BB1754" s="2237"/>
      <c r="BC1754" s="2237"/>
      <c r="BD1754" s="2237"/>
      <c r="BE1754" s="2237"/>
      <c r="BF1754" s="2237"/>
      <c r="BG1754" s="2237"/>
      <c r="BH1754" s="2237"/>
      <c r="BI1754" s="2237"/>
      <c r="BJ1754" s="2237"/>
      <c r="BK1754" s="2237"/>
      <c r="BL1754" s="2237"/>
      <c r="BM1754" s="2237"/>
      <c r="BN1754" s="2237"/>
      <c r="BO1754" s="2237"/>
      <c r="BP1754" s="2237"/>
      <c r="BQ1754" s="2237"/>
      <c r="BR1754" s="2237"/>
      <c r="BS1754" s="2237"/>
      <c r="BT1754" s="2237"/>
      <c r="BU1754" s="2237"/>
      <c r="BV1754" s="2237"/>
      <c r="BW1754" s="2237"/>
      <c r="BX1754" s="2237"/>
      <c r="BY1754" s="2237"/>
      <c r="BZ1754" s="2237"/>
      <c r="CA1754" s="2237"/>
      <c r="CB1754" s="2237"/>
      <c r="CC1754" s="2237"/>
      <c r="CD1754" s="2237"/>
      <c r="CE1754" s="2237"/>
      <c r="CF1754" s="2237"/>
      <c r="CG1754" s="2237"/>
      <c r="CH1754" s="2237"/>
      <c r="CI1754" s="2237"/>
      <c r="CJ1754" s="2237"/>
      <c r="CK1754" s="2237"/>
      <c r="CL1754" s="2237"/>
      <c r="CM1754" s="2237"/>
      <c r="CN1754" s="2237"/>
      <c r="CO1754" s="2237"/>
      <c r="CP1754" s="2237"/>
      <c r="CQ1754" s="2237"/>
      <c r="CR1754" s="2237"/>
      <c r="CS1754" s="2237"/>
      <c r="CT1754" s="2237"/>
      <c r="CU1754" s="2237"/>
      <c r="CV1754" s="2237"/>
      <c r="CW1754" s="2237"/>
      <c r="CX1754" s="2237"/>
      <c r="CY1754" s="2237"/>
      <c r="CZ1754" s="2237"/>
      <c r="DA1754" s="2237"/>
      <c r="DB1754" s="2237"/>
      <c r="DC1754" s="2237"/>
      <c r="DD1754" s="2237"/>
      <c r="DE1754" s="2237"/>
      <c r="DF1754" s="3393" t="str">
        <f t="shared" si="259"/>
        <v>ASHP-SEER17_ER1_MF_CompE</v>
      </c>
      <c r="DG1754" s="3259">
        <f>(DI1754+DI1755+DI1756+DI1757)/(DJ1754+DJ1755+DJ1756+DJ1757)</f>
        <v>2.4174736448417189</v>
      </c>
      <c r="DH1754" s="2521" t="str">
        <f t="shared" si="262"/>
        <v>Cooling Res 6 Year EUL</v>
      </c>
      <c r="DI1754" s="3260">
        <f>(INDEX('Avoided Cost Benefits'!$B$4:$B$866,MATCH(DH1754,'Avoided Cost Benefits'!$A$4:$A$866,0)))*F1754</f>
        <v>991.84478797284817</v>
      </c>
      <c r="DJ1754" s="2507">
        <f>IFERROR(K1754/(1.0686^(2025-2025)),10000000)</f>
        <v>626.51836415648631</v>
      </c>
      <c r="DM1754" s="252"/>
    </row>
    <row r="1755" spans="1:117">
      <c r="A1755" s="453"/>
      <c r="B1755" s="1454">
        <f t="shared" si="255"/>
        <v>354201</v>
      </c>
      <c r="C1755" s="2554" t="str">
        <f>C1754</f>
        <v>354201_2024_12_</v>
      </c>
      <c r="D1755" s="3383" t="s">
        <v>1118</v>
      </c>
      <c r="E1755" s="2882" t="s">
        <v>2382</v>
      </c>
      <c r="F1755" s="3373">
        <f>ROUND((($K$2037*$K$2230*(1/$K$2423-1/$K$2616)*$K$3581)/1000)*$K$3651,2)</f>
        <v>613.21</v>
      </c>
      <c r="G1755" s="3384" t="str">
        <f>G1751</f>
        <v>Heating Res</v>
      </c>
      <c r="H1755" s="2213">
        <f>VLOOKUP(G1755,'CP FACTORS'!$A$3:$B$38, 2, FALSE)</f>
        <v>0</v>
      </c>
      <c r="I1755" s="3385">
        <f t="shared" si="261"/>
        <v>0</v>
      </c>
      <c r="J1755" s="2449">
        <f t="shared" si="258"/>
        <v>6</v>
      </c>
      <c r="K1755" s="2894">
        <f t="shared" si="256"/>
        <v>0</v>
      </c>
      <c r="L1755" s="2649"/>
      <c r="M1755" s="3386"/>
      <c r="N1755" s="3387"/>
      <c r="O1755" s="2702"/>
      <c r="P1755" s="635"/>
      <c r="Q1755" s="635"/>
      <c r="R1755" s="2966"/>
      <c r="S1755" s="635"/>
      <c r="T1755" s="635"/>
      <c r="U1755" s="3388"/>
      <c r="V1755" s="2962" t="s">
        <v>45</v>
      </c>
      <c r="W1755" s="3389"/>
      <c r="X1755" s="3390"/>
      <c r="Y1755" s="3369">
        <v>613.21</v>
      </c>
      <c r="Z1755" s="3373">
        <v>613.21</v>
      </c>
      <c r="AA1755" s="3373">
        <v>613.21</v>
      </c>
      <c r="AB1755" s="3400">
        <v>613.21</v>
      </c>
      <c r="AC1755" s="3401">
        <v>613.21</v>
      </c>
      <c r="AD1755" s="3373">
        <v>613.21</v>
      </c>
      <c r="AE1755" s="3373">
        <v>613.21</v>
      </c>
      <c r="AF1755" s="2236">
        <f t="shared" si="257"/>
        <v>613.21</v>
      </c>
      <c r="AG1755" s="3389"/>
      <c r="AH1755" s="2728"/>
      <c r="AI1755" s="2237"/>
      <c r="AJ1755" s="2237"/>
      <c r="AK1755" s="3392"/>
      <c r="AL1755" s="2237"/>
      <c r="AM1755" s="2237"/>
      <c r="AN1755" s="2237"/>
      <c r="AO1755" s="2237"/>
      <c r="AP1755" s="2237"/>
      <c r="AQ1755" s="2237"/>
      <c r="AR1755" s="2237"/>
      <c r="AS1755" s="2237"/>
      <c r="AT1755" s="2237"/>
      <c r="AU1755" s="2237"/>
      <c r="AV1755" s="2237"/>
      <c r="AW1755" s="2237"/>
      <c r="AX1755" s="2237"/>
      <c r="AY1755" s="2237"/>
      <c r="AZ1755" s="2237"/>
      <c r="BA1755" s="2237"/>
      <c r="BB1755" s="2237"/>
      <c r="BC1755" s="2237"/>
      <c r="BD1755" s="2237"/>
      <c r="BE1755" s="2237"/>
      <c r="BF1755" s="2237"/>
      <c r="BG1755" s="2237"/>
      <c r="BH1755" s="2237"/>
      <c r="BI1755" s="2237"/>
      <c r="BJ1755" s="2237"/>
      <c r="BK1755" s="2237"/>
      <c r="BL1755" s="2237"/>
      <c r="BM1755" s="2237"/>
      <c r="BN1755" s="2237"/>
      <c r="BO1755" s="2237"/>
      <c r="BP1755" s="2237"/>
      <c r="BQ1755" s="2237"/>
      <c r="BR1755" s="2237"/>
      <c r="BS1755" s="2237"/>
      <c r="BT1755" s="2237"/>
      <c r="BU1755" s="2237"/>
      <c r="BV1755" s="2237"/>
      <c r="BW1755" s="2237"/>
      <c r="BX1755" s="2237"/>
      <c r="BY1755" s="2237"/>
      <c r="BZ1755" s="2237"/>
      <c r="CA1755" s="2237"/>
      <c r="CB1755" s="2237"/>
      <c r="CC1755" s="2237"/>
      <c r="CD1755" s="2237"/>
      <c r="CE1755" s="2237"/>
      <c r="CF1755" s="2237"/>
      <c r="CG1755" s="2237"/>
      <c r="CH1755" s="2237"/>
      <c r="CI1755" s="2237"/>
      <c r="CJ1755" s="2237"/>
      <c r="CK1755" s="2237"/>
      <c r="CL1755" s="2237"/>
      <c r="CM1755" s="2237"/>
      <c r="CN1755" s="2237"/>
      <c r="CO1755" s="2237"/>
      <c r="CP1755" s="2237"/>
      <c r="CQ1755" s="2237"/>
      <c r="CR1755" s="2237"/>
      <c r="CS1755" s="2237"/>
      <c r="CT1755" s="2237"/>
      <c r="CU1755" s="2237"/>
      <c r="CV1755" s="2237"/>
      <c r="CW1755" s="2237"/>
      <c r="CX1755" s="2237"/>
      <c r="CY1755" s="2237"/>
      <c r="CZ1755" s="2237"/>
      <c r="DA1755" s="2237"/>
      <c r="DB1755" s="2237"/>
      <c r="DC1755" s="2237"/>
      <c r="DD1755" s="2237"/>
      <c r="DE1755" s="2237"/>
      <c r="DF1755" s="3393" t="str">
        <f t="shared" si="259"/>
        <v>ASHP-SEER17_ER1_MF_CompE</v>
      </c>
      <c r="DG1755" s="3332"/>
      <c r="DH1755" s="2882" t="str">
        <f t="shared" si="262"/>
        <v>Heating Res 6 Year EUL</v>
      </c>
      <c r="DI1755" s="3260">
        <f>(INDEX('Avoided Cost Benefits'!$B$4:$B$866,MATCH(DH1755,'Avoided Cost Benefits'!$A$4:$A$866,0)))*F1755</f>
        <v>164.44992847139511</v>
      </c>
      <c r="DJ1755" s="2507">
        <f>K1755/(1.0686^(2025-2025))</f>
        <v>0</v>
      </c>
      <c r="DM1755" s="252"/>
    </row>
    <row r="1756" spans="1:117">
      <c r="A1756" s="453"/>
      <c r="B1756" s="1454">
        <f t="shared" si="255"/>
        <v>354201</v>
      </c>
      <c r="C1756" s="2554" t="str">
        <f>C1755</f>
        <v>354201_2024_12_</v>
      </c>
      <c r="D1756" s="3383" t="s">
        <v>1118</v>
      </c>
      <c r="E1756" s="2882" t="s">
        <v>2383</v>
      </c>
      <c r="F1756" s="3369">
        <f>ROUND((($K$2810*$K$3003*(1/$K$3196-1/$K$3389)*$K$3582)/1000)*$K$3651,2)</f>
        <v>180.68</v>
      </c>
      <c r="G1756" s="3384" t="str">
        <f>G1752</f>
        <v>Cooling Res ER2</v>
      </c>
      <c r="H1756" s="2213">
        <f>VLOOKUP(G1756,'CP FACTORS'!$A$3:$B$38, 2, FALSE)</f>
        <v>9.4741810000000004E-4</v>
      </c>
      <c r="I1756" s="3394">
        <f t="shared" si="261"/>
        <v>0.17118</v>
      </c>
      <c r="J1756" s="2449">
        <f t="shared" si="258"/>
        <v>12</v>
      </c>
      <c r="K1756" s="2894">
        <f t="shared" si="256"/>
        <v>0</v>
      </c>
      <c r="L1756" s="2649"/>
      <c r="M1756" s="3386"/>
      <c r="N1756" s="3387"/>
      <c r="O1756" s="2702"/>
      <c r="P1756" s="635"/>
      <c r="Q1756" s="635"/>
      <c r="R1756" s="2966"/>
      <c r="S1756" s="635"/>
      <c r="T1756" s="635"/>
      <c r="U1756" s="3388"/>
      <c r="V1756" s="2962" t="s">
        <v>45</v>
      </c>
      <c r="W1756" s="3389"/>
      <c r="X1756" s="3390"/>
      <c r="Y1756" s="3369">
        <v>205.05</v>
      </c>
      <c r="Z1756" s="3373">
        <v>205.05</v>
      </c>
      <c r="AA1756" s="3373">
        <v>205.05</v>
      </c>
      <c r="AB1756" s="3400">
        <v>205.05</v>
      </c>
      <c r="AC1756" s="3401">
        <v>205.05</v>
      </c>
      <c r="AD1756" s="3373">
        <v>205.05</v>
      </c>
      <c r="AE1756" s="3369">
        <v>127.59</v>
      </c>
      <c r="AF1756" s="2236">
        <f t="shared" si="257"/>
        <v>180.68</v>
      </c>
      <c r="AG1756" s="3389"/>
      <c r="AH1756" s="2728"/>
      <c r="AI1756" s="2237"/>
      <c r="AJ1756" s="2237"/>
      <c r="AK1756" s="3392"/>
      <c r="AL1756" s="2237"/>
      <c r="AM1756" s="2237"/>
      <c r="AN1756" s="2237"/>
      <c r="AO1756" s="2237"/>
      <c r="AP1756" s="2237"/>
      <c r="AQ1756" s="2237"/>
      <c r="AR1756" s="2237"/>
      <c r="AS1756" s="2237"/>
      <c r="AT1756" s="2237"/>
      <c r="AU1756" s="2237"/>
      <c r="AV1756" s="2237"/>
      <c r="AW1756" s="2237"/>
      <c r="AX1756" s="2237"/>
      <c r="AY1756" s="2237"/>
      <c r="AZ1756" s="2237"/>
      <c r="BA1756" s="2237"/>
      <c r="BB1756" s="2237"/>
      <c r="BC1756" s="2237"/>
      <c r="BD1756" s="2237"/>
      <c r="BE1756" s="2237"/>
      <c r="BF1756" s="2237"/>
      <c r="BG1756" s="2237"/>
      <c r="BH1756" s="2237"/>
      <c r="BI1756" s="2237"/>
      <c r="BJ1756" s="2237"/>
      <c r="BK1756" s="2237"/>
      <c r="BL1756" s="2237"/>
      <c r="BM1756" s="2237"/>
      <c r="BN1756" s="2237"/>
      <c r="BO1756" s="2237"/>
      <c r="BP1756" s="2237"/>
      <c r="BQ1756" s="2237"/>
      <c r="BR1756" s="2237"/>
      <c r="BS1756" s="2237"/>
      <c r="BT1756" s="2237"/>
      <c r="BU1756" s="2237"/>
      <c r="BV1756" s="2237"/>
      <c r="BW1756" s="2237"/>
      <c r="BX1756" s="2237"/>
      <c r="BY1756" s="2237"/>
      <c r="BZ1756" s="2237"/>
      <c r="CA1756" s="2237"/>
      <c r="CB1756" s="2237"/>
      <c r="CC1756" s="2237"/>
      <c r="CD1756" s="2237"/>
      <c r="CE1756" s="2237"/>
      <c r="CF1756" s="2237"/>
      <c r="CG1756" s="2237"/>
      <c r="CH1756" s="2237"/>
      <c r="CI1756" s="2237"/>
      <c r="CJ1756" s="2237"/>
      <c r="CK1756" s="2237"/>
      <c r="CL1756" s="2237"/>
      <c r="CM1756" s="2237"/>
      <c r="CN1756" s="2237"/>
      <c r="CO1756" s="2237"/>
      <c r="CP1756" s="2237"/>
      <c r="CQ1756" s="2237"/>
      <c r="CR1756" s="2237"/>
      <c r="CS1756" s="2237"/>
      <c r="CT1756" s="2237"/>
      <c r="CU1756" s="2237"/>
      <c r="CV1756" s="2237"/>
      <c r="CW1756" s="2237"/>
      <c r="CX1756" s="2237"/>
      <c r="CY1756" s="2237"/>
      <c r="CZ1756" s="2237"/>
      <c r="DA1756" s="2237"/>
      <c r="DB1756" s="2237"/>
      <c r="DC1756" s="2237"/>
      <c r="DD1756" s="2237"/>
      <c r="DE1756" s="2237"/>
      <c r="DF1756" s="3393" t="str">
        <f t="shared" si="259"/>
        <v>ASHP-SEER17_ER2_MF_CompE</v>
      </c>
      <c r="DG1756" s="3332"/>
      <c r="DH1756" s="2882" t="str">
        <f t="shared" si="262"/>
        <v>Cooling Res ER2 12 Year EUL</v>
      </c>
      <c r="DI1756" s="3260">
        <f>(INDEX('Avoided Cost Benefits'!$B$4:$B$866,MATCH(DH1756,'Avoided Cost Benefits'!$A$4:$A$866,0)))*F1756</f>
        <v>233.78561056258138</v>
      </c>
      <c r="DJ1756" s="2507">
        <f>K1756/(1.0686^(2025-2025))</f>
        <v>0</v>
      </c>
      <c r="DM1756" s="252"/>
    </row>
    <row r="1757" spans="1:117">
      <c r="A1757" s="453"/>
      <c r="B1757" s="1454">
        <f t="shared" si="255"/>
        <v>354201</v>
      </c>
      <c r="C1757" s="2554" t="str">
        <f>C1756</f>
        <v>354201_2024_12_</v>
      </c>
      <c r="D1757" s="3383" t="s">
        <v>1118</v>
      </c>
      <c r="E1757" s="2522" t="s">
        <v>2383</v>
      </c>
      <c r="F1757" s="3369">
        <f>ROUND((($K$2038*$K$2231*(1/$K$2424-1/$K$2617)*$K$3582)/1000)*$K$3651,2)</f>
        <v>368.49</v>
      </c>
      <c r="G1757" s="3384" t="str">
        <f>G1753</f>
        <v>Heating Res ER2</v>
      </c>
      <c r="H1757" s="2213">
        <f>VLOOKUP(G1757,'CP FACTORS'!$A$3:$B$38, 2, FALSE)</f>
        <v>0</v>
      </c>
      <c r="I1757" s="3385">
        <f t="shared" si="261"/>
        <v>0</v>
      </c>
      <c r="J1757" s="2449">
        <f t="shared" si="258"/>
        <v>12</v>
      </c>
      <c r="K1757" s="2894">
        <f t="shared" si="256"/>
        <v>0</v>
      </c>
      <c r="L1757" s="2649"/>
      <c r="M1757" s="3386"/>
      <c r="N1757" s="3387"/>
      <c r="O1757" s="2702"/>
      <c r="P1757" s="635"/>
      <c r="Q1757" s="635"/>
      <c r="R1757" s="2966"/>
      <c r="S1757" s="635"/>
      <c r="T1757" s="635"/>
      <c r="U1757" s="3388"/>
      <c r="V1757" s="2962" t="s">
        <v>45</v>
      </c>
      <c r="W1757" s="3389"/>
      <c r="X1757" s="3390"/>
      <c r="Y1757" s="3369">
        <v>219.07</v>
      </c>
      <c r="Z1757" s="3373">
        <v>219.07</v>
      </c>
      <c r="AA1757" s="3373">
        <v>219.07</v>
      </c>
      <c r="AB1757" s="3400">
        <v>219.07</v>
      </c>
      <c r="AC1757" s="3401">
        <v>219.07</v>
      </c>
      <c r="AD1757" s="3373">
        <v>219.07</v>
      </c>
      <c r="AE1757" s="3369">
        <v>144.61000000000001</v>
      </c>
      <c r="AF1757" s="2236">
        <f t="shared" si="257"/>
        <v>368.49</v>
      </c>
      <c r="AG1757" s="3389"/>
      <c r="AH1757" s="2728"/>
      <c r="AI1757" s="2237"/>
      <c r="AJ1757" s="2237"/>
      <c r="AK1757" s="3392"/>
      <c r="AL1757" s="2237"/>
      <c r="AM1757" s="2237"/>
      <c r="AN1757" s="2237"/>
      <c r="AO1757" s="2237"/>
      <c r="AP1757" s="2237"/>
      <c r="AQ1757" s="2237"/>
      <c r="AR1757" s="2237"/>
      <c r="AS1757" s="2237"/>
      <c r="AT1757" s="2237"/>
      <c r="AU1757" s="2237"/>
      <c r="AV1757" s="2237"/>
      <c r="AW1757" s="2237"/>
      <c r="AX1757" s="2237"/>
      <c r="AY1757" s="2237"/>
      <c r="AZ1757" s="2237"/>
      <c r="BA1757" s="2237"/>
      <c r="BB1757" s="2237"/>
      <c r="BC1757" s="2237"/>
      <c r="BD1757" s="2237"/>
      <c r="BE1757" s="2237"/>
      <c r="BF1757" s="2237"/>
      <c r="BG1757" s="2237"/>
      <c r="BH1757" s="2237"/>
      <c r="BI1757" s="2237"/>
      <c r="BJ1757" s="2237"/>
      <c r="BK1757" s="2237"/>
      <c r="BL1757" s="2237"/>
      <c r="BM1757" s="2237"/>
      <c r="BN1757" s="2237"/>
      <c r="BO1757" s="2237"/>
      <c r="BP1757" s="2237"/>
      <c r="BQ1757" s="2237"/>
      <c r="BR1757" s="2237"/>
      <c r="BS1757" s="2237"/>
      <c r="BT1757" s="2237"/>
      <c r="BU1757" s="2237"/>
      <c r="BV1757" s="2237"/>
      <c r="BW1757" s="2237"/>
      <c r="BX1757" s="2237"/>
      <c r="BY1757" s="2237"/>
      <c r="BZ1757" s="2237"/>
      <c r="CA1757" s="2237"/>
      <c r="CB1757" s="2237"/>
      <c r="CC1757" s="2237"/>
      <c r="CD1757" s="2237"/>
      <c r="CE1757" s="2237"/>
      <c r="CF1757" s="2237"/>
      <c r="CG1757" s="2237"/>
      <c r="CH1757" s="2237"/>
      <c r="CI1757" s="2237"/>
      <c r="CJ1757" s="2237"/>
      <c r="CK1757" s="2237"/>
      <c r="CL1757" s="2237"/>
      <c r="CM1757" s="2237"/>
      <c r="CN1757" s="2237"/>
      <c r="CO1757" s="2237"/>
      <c r="CP1757" s="2237"/>
      <c r="CQ1757" s="2237"/>
      <c r="CR1757" s="2237"/>
      <c r="CS1757" s="2237"/>
      <c r="CT1757" s="2237"/>
      <c r="CU1757" s="2237"/>
      <c r="CV1757" s="2237"/>
      <c r="CW1757" s="2237"/>
      <c r="CX1757" s="2237"/>
      <c r="CY1757" s="2237"/>
      <c r="CZ1757" s="2237"/>
      <c r="DA1757" s="2237"/>
      <c r="DB1757" s="2237"/>
      <c r="DC1757" s="2237"/>
      <c r="DD1757" s="2237"/>
      <c r="DE1757" s="2237"/>
      <c r="DF1757" s="3393" t="str">
        <f t="shared" si="259"/>
        <v>ASHP-SEER17_ER2_MF_CompE</v>
      </c>
      <c r="DG1757" s="3332"/>
      <c r="DH1757" s="2522" t="str">
        <f t="shared" si="262"/>
        <v>Heating Res ER2 12 Year EUL</v>
      </c>
      <c r="DI1757" s="3260">
        <f>(INDEX('Avoided Cost Benefits'!$B$4:$B$866,MATCH(DH1757,'Avoided Cost Benefits'!$A$4:$A$866,0)))*F1757</f>
        <v>124.51130635082799</v>
      </c>
      <c r="DJ1757" s="2507">
        <f>K1757/(1.0686^(2025-2025))</f>
        <v>0</v>
      </c>
      <c r="DM1757" s="252"/>
    </row>
    <row r="1758" spans="1:117">
      <c r="A1758" s="453"/>
      <c r="B1758" s="1454">
        <f t="shared" si="255"/>
        <v>354250</v>
      </c>
      <c r="C1758" s="682" t="s">
        <v>2384</v>
      </c>
      <c r="D1758" s="3470" t="s">
        <v>1043</v>
      </c>
      <c r="E1758" s="1369" t="s">
        <v>2385</v>
      </c>
      <c r="F1758" s="227">
        <f>ROUND(((K2811*K3004*(1/K3197-1/K3390)*K3583)/1000)*$K$3651,2)</f>
        <v>2592.9299999999998</v>
      </c>
      <c r="G1758" s="570" t="s">
        <v>2077</v>
      </c>
      <c r="H1758" s="69">
        <f>VLOOKUP(G1758,'CP FACTORS'!$A$3:$B$38, 2, FALSE)</f>
        <v>9.4741810000000004E-4</v>
      </c>
      <c r="I1758" s="1476">
        <f t="shared" si="261"/>
        <v>2.4565890000000001</v>
      </c>
      <c r="J1758" s="59">
        <f t="shared" si="258"/>
        <v>6</v>
      </c>
      <c r="K1758" s="166">
        <f t="shared" si="256"/>
        <v>4148.0070349116859</v>
      </c>
      <c r="L1758" s="1107">
        <f>L2039</f>
        <v>2.8921256722608026</v>
      </c>
      <c r="M1758" s="560"/>
      <c r="N1758" s="572"/>
      <c r="O1758" s="417"/>
      <c r="R1758" s="532"/>
      <c r="S1758" s="52"/>
      <c r="T1758" s="52"/>
      <c r="U1758" s="574"/>
      <c r="V1758" s="1442" t="s">
        <v>45</v>
      </c>
      <c r="W1758" s="962">
        <v>2958.0078431372549</v>
      </c>
      <c r="X1758" s="251">
        <v>2084.8349739895957</v>
      </c>
      <c r="Y1758" s="225">
        <v>2084.83</v>
      </c>
      <c r="Z1758" s="225">
        <v>2084.83</v>
      </c>
      <c r="AA1758" s="225">
        <v>2084.83</v>
      </c>
      <c r="AB1758" s="1026">
        <v>2709.13</v>
      </c>
      <c r="AC1758" s="227">
        <v>2068.02</v>
      </c>
      <c r="AD1758" s="227">
        <v>2369.3000000000002</v>
      </c>
      <c r="AE1758" s="227">
        <v>2358.35</v>
      </c>
      <c r="AF1758" s="271">
        <f t="shared" si="257"/>
        <v>2592.9299999999998</v>
      </c>
      <c r="AG1758" s="962"/>
      <c r="AH1758" s="121"/>
      <c r="AK1758" s="963"/>
      <c r="DF1758" s="1650" t="str">
        <f t="shared" si="259"/>
        <v>ASHP-SEER18-Replace_CAC_ElectricHeat_ER1_SF</v>
      </c>
      <c r="DG1758" s="1090">
        <f>(DI1758+DI1759+DI1760+DI1761)/(DJ1758+DJ1759+DJ1760+DJ1761)</f>
        <v>2.2990051264589821</v>
      </c>
      <c r="DH1758" s="1369" t="str">
        <f t="shared" si="262"/>
        <v>Cooling Res 6 Year EUL</v>
      </c>
      <c r="DI1758" s="1091">
        <f>(INDEX('Avoided Cost Benefits'!$B$4:$B$866,MATCH(DH1758,'Avoided Cost Benefits'!$A$4:$A$866,0)))*F1758</f>
        <v>2582.1644069945551</v>
      </c>
      <c r="DJ1758" s="1176">
        <f>IFERROR(K1758/(1.0686^(2025-2025)),10000000)</f>
        <v>4148.0070349116859</v>
      </c>
      <c r="DM1758" s="252"/>
    </row>
    <row r="1759" spans="1:117">
      <c r="A1759" s="453"/>
      <c r="B1759" s="1454">
        <f t="shared" si="255"/>
        <v>354250</v>
      </c>
      <c r="C1759" s="682" t="s">
        <v>2384</v>
      </c>
      <c r="D1759" s="3470" t="s">
        <v>1043</v>
      </c>
      <c r="E1759" s="1393" t="s">
        <v>2385</v>
      </c>
      <c r="F1759" s="225">
        <f>ROUND(((K2039*K2232*(1/K2425-1/K2618)*K3583)/1000)*$K$3651,2)</f>
        <v>10051.219999999999</v>
      </c>
      <c r="G1759" s="570" t="s">
        <v>2078</v>
      </c>
      <c r="H1759" s="69">
        <f>VLOOKUP(G1759,'CP FACTORS'!$A$3:$B$38, 2, FALSE)</f>
        <v>0</v>
      </c>
      <c r="I1759" s="1028">
        <f t="shared" si="261"/>
        <v>0</v>
      </c>
      <c r="J1759" s="59">
        <f t="shared" si="258"/>
        <v>6</v>
      </c>
      <c r="K1759" s="163">
        <f t="shared" si="256"/>
        <v>0</v>
      </c>
      <c r="L1759" s="255"/>
      <c r="M1759" s="560"/>
      <c r="N1759" s="572"/>
      <c r="O1759" s="417"/>
      <c r="R1759" s="532"/>
      <c r="S1759" s="52"/>
      <c r="T1759" s="52"/>
      <c r="U1759" s="574"/>
      <c r="V1759" s="1442" t="s">
        <v>45</v>
      </c>
      <c r="W1759" s="962">
        <v>13965.852998065762</v>
      </c>
      <c r="X1759" s="251">
        <v>10399.659574468084</v>
      </c>
      <c r="Y1759" s="225">
        <v>10399.66</v>
      </c>
      <c r="Z1759" s="225">
        <v>10399.66</v>
      </c>
      <c r="AA1759" s="225">
        <v>10399.66</v>
      </c>
      <c r="AB1759" s="1026">
        <v>11774.43</v>
      </c>
      <c r="AC1759" s="227">
        <v>10952.77</v>
      </c>
      <c r="AD1759" s="227">
        <v>10500.37</v>
      </c>
      <c r="AE1759" s="227">
        <v>10051.219999999999</v>
      </c>
      <c r="AF1759" s="271">
        <f t="shared" si="257"/>
        <v>10051.219999999999</v>
      </c>
      <c r="AG1759" s="962"/>
      <c r="AH1759" s="121"/>
      <c r="AK1759" s="963"/>
      <c r="DF1759" s="1650" t="str">
        <f t="shared" si="259"/>
        <v>ASHP-SEER18-Replace_CAC_ElectricHeat_ER1_SF</v>
      </c>
      <c r="DG1759" s="1094"/>
      <c r="DH1759" s="1393" t="str">
        <f t="shared" si="262"/>
        <v>Heating Res 6 Year EUL</v>
      </c>
      <c r="DI1759" s="1091">
        <f>(INDEX('Avoided Cost Benefits'!$B$4:$B$866,MATCH(DH1759,'Avoided Cost Benefits'!$A$4:$A$866,0)))*F1759</f>
        <v>2695.5242250619781</v>
      </c>
      <c r="DJ1759" s="1176">
        <f t="shared" ref="DJ1759:DJ1765" si="264">K1759/(1.0686^(2025-2025))</f>
        <v>0</v>
      </c>
      <c r="DM1759" s="252"/>
    </row>
    <row r="1760" spans="1:117">
      <c r="A1760" s="453"/>
      <c r="B1760" s="1454">
        <f t="shared" si="255"/>
        <v>354250</v>
      </c>
      <c r="C1760" s="682" t="s">
        <v>2384</v>
      </c>
      <c r="D1760" s="3470" t="s">
        <v>1043</v>
      </c>
      <c r="E1760" s="1393" t="s">
        <v>2386</v>
      </c>
      <c r="F1760" s="227">
        <f>ROUND(((K2812*K3005*(1/K3198-1/K3391)*K3584)/1000)*$K$3651,2)</f>
        <v>666.45</v>
      </c>
      <c r="G1760" s="570" t="s">
        <v>2138</v>
      </c>
      <c r="H1760" s="69">
        <f>VLOOKUP(G1760,'CP FACTORS'!$A$3:$B$38, 2, FALSE)</f>
        <v>9.4741810000000004E-4</v>
      </c>
      <c r="I1760" s="1476">
        <f t="shared" si="261"/>
        <v>0.63140700000000005</v>
      </c>
      <c r="J1760" s="59">
        <f t="shared" si="258"/>
        <v>12</v>
      </c>
      <c r="K1760" s="163">
        <f t="shared" si="256"/>
        <v>0</v>
      </c>
      <c r="L1760" s="255"/>
      <c r="M1760" s="560"/>
      <c r="N1760" s="572"/>
      <c r="O1760" s="417"/>
      <c r="R1760" s="532"/>
      <c r="S1760" s="52"/>
      <c r="T1760" s="52"/>
      <c r="U1760" s="574"/>
      <c r="V1760" s="1442" t="s">
        <v>45</v>
      </c>
      <c r="W1760" s="962">
        <v>690.74358974358995</v>
      </c>
      <c r="X1760" s="254">
        <v>690.74358974358995</v>
      </c>
      <c r="Y1760" s="225">
        <v>690.74</v>
      </c>
      <c r="Z1760" s="225">
        <v>690.74</v>
      </c>
      <c r="AA1760" s="225">
        <v>690.74</v>
      </c>
      <c r="AB1760" s="1026">
        <v>822.66</v>
      </c>
      <c r="AC1760" s="227">
        <v>697.15</v>
      </c>
      <c r="AD1760" s="227">
        <v>708.01</v>
      </c>
      <c r="AE1760" s="227">
        <v>530.95000000000005</v>
      </c>
      <c r="AF1760" s="271">
        <f t="shared" si="257"/>
        <v>666.45</v>
      </c>
      <c r="AG1760" s="962"/>
      <c r="AH1760" s="121"/>
      <c r="AK1760" s="963"/>
      <c r="DF1760" s="1650" t="str">
        <f t="shared" si="259"/>
        <v>ASHP-SEER18-Replace_CAC_ElectricHeat_ER2_SF</v>
      </c>
      <c r="DG1760" s="1094"/>
      <c r="DH1760" s="1393" t="str">
        <f t="shared" si="262"/>
        <v>Cooling Res ER2 12 Year EUL</v>
      </c>
      <c r="DI1760" s="1091">
        <f>(INDEX('Avoided Cost Benefits'!$B$4:$B$866,MATCH(DH1760,'Avoided Cost Benefits'!$A$4:$A$866,0)))*F1760</f>
        <v>862.33351870396484</v>
      </c>
      <c r="DJ1760" s="1176">
        <f t="shared" si="264"/>
        <v>0</v>
      </c>
      <c r="DM1760" s="252"/>
    </row>
    <row r="1761" spans="1:117">
      <c r="A1761" s="453"/>
      <c r="B1761" s="1454">
        <f t="shared" si="255"/>
        <v>354250</v>
      </c>
      <c r="C1761" s="682" t="s">
        <v>2384</v>
      </c>
      <c r="D1761" s="3470" t="s">
        <v>1043</v>
      </c>
      <c r="E1761" s="1370" t="s">
        <v>2386</v>
      </c>
      <c r="F1761" s="225">
        <f>ROUND(((K2040*K2233*(1/K2426-1/K2619)*K3584)/1000)*$K$3651,2)</f>
        <v>10051.219999999999</v>
      </c>
      <c r="G1761" s="570" t="s">
        <v>2173</v>
      </c>
      <c r="H1761" s="69">
        <f>VLOOKUP(G1761,'CP FACTORS'!$A$3:$B$38, 2, FALSE)</f>
        <v>0</v>
      </c>
      <c r="I1761" s="1028">
        <f t="shared" si="261"/>
        <v>0</v>
      </c>
      <c r="J1761" s="59">
        <f t="shared" si="258"/>
        <v>12</v>
      </c>
      <c r="K1761" s="163">
        <f t="shared" si="256"/>
        <v>0</v>
      </c>
      <c r="L1761" s="255"/>
      <c r="M1761" s="560"/>
      <c r="N1761" s="572"/>
      <c r="O1761" s="417"/>
      <c r="R1761" s="532"/>
      <c r="S1761" s="52"/>
      <c r="T1761" s="52"/>
      <c r="U1761" s="574"/>
      <c r="V1761" s="1442" t="s">
        <v>45</v>
      </c>
      <c r="W1761" s="962">
        <v>13965.852998065762</v>
      </c>
      <c r="X1761" s="251">
        <v>10399.659574468084</v>
      </c>
      <c r="Y1761" s="225">
        <v>10399.66</v>
      </c>
      <c r="Z1761" s="225">
        <v>10399.66</v>
      </c>
      <c r="AA1761" s="225">
        <v>10399.66</v>
      </c>
      <c r="AB1761" s="1026">
        <v>11774.43</v>
      </c>
      <c r="AC1761" s="227">
        <v>10952.77</v>
      </c>
      <c r="AD1761" s="227">
        <v>10500.37</v>
      </c>
      <c r="AE1761" s="227">
        <v>10051.219999999999</v>
      </c>
      <c r="AF1761" s="271">
        <f t="shared" si="257"/>
        <v>10051.219999999999</v>
      </c>
      <c r="AG1761" s="962"/>
      <c r="AH1761" s="121"/>
      <c r="AK1761" s="963"/>
      <c r="DF1761" s="1650" t="str">
        <f t="shared" si="259"/>
        <v>ASHP-SEER18-Replace_CAC_ElectricHeat_ER2_SF</v>
      </c>
      <c r="DG1761" s="1094"/>
      <c r="DH1761" s="1370" t="str">
        <f t="shared" si="262"/>
        <v>Heating Res ER2 12 Year EUL</v>
      </c>
      <c r="DI1761" s="1091">
        <f>(INDEX('Avoided Cost Benefits'!$B$4:$B$866,MATCH(DH1761,'Avoided Cost Benefits'!$A$4:$A$866,0)))*F1761</f>
        <v>3396.2672870893898</v>
      </c>
      <c r="DJ1761" s="1176">
        <f t="shared" si="264"/>
        <v>0</v>
      </c>
      <c r="DM1761" s="252"/>
    </row>
    <row r="1762" spans="1:117">
      <c r="A1762" s="453"/>
      <c r="B1762" s="1454">
        <f t="shared" si="255"/>
        <v>354260</v>
      </c>
      <c r="C1762" s="682" t="s">
        <v>2387</v>
      </c>
      <c r="D1762" s="3470" t="s">
        <v>1800</v>
      </c>
      <c r="E1762" s="1393" t="s">
        <v>2388</v>
      </c>
      <c r="F1762" s="227">
        <f>ROUND(((K2813*K3006*(1/K3199-1/K3392)*K3585)/1000)*$K$3651,2)</f>
        <v>2592.9299999999998</v>
      </c>
      <c r="G1762" s="570" t="s">
        <v>2077</v>
      </c>
      <c r="H1762" s="69">
        <f>VLOOKUP(G1762,'CP FACTORS'!$A$3:$B$38, 2, FALSE)</f>
        <v>9.4741810000000004E-4</v>
      </c>
      <c r="I1762" s="1476">
        <f t="shared" si="261"/>
        <v>2.4565890000000001</v>
      </c>
      <c r="J1762" s="59">
        <f t="shared" si="258"/>
        <v>6</v>
      </c>
      <c r="K1762" s="166">
        <f t="shared" si="256"/>
        <v>578.71908821532099</v>
      </c>
      <c r="L1762" s="1107">
        <f>L2041</f>
        <v>2.8921256722608026</v>
      </c>
      <c r="M1762" s="560"/>
      <c r="N1762" s="572"/>
      <c r="O1762" s="417"/>
      <c r="R1762" s="532"/>
      <c r="S1762" s="52"/>
      <c r="T1762" s="52"/>
      <c r="U1762" s="574"/>
      <c r="V1762" s="1442" t="s">
        <v>45</v>
      </c>
      <c r="W1762" s="962"/>
      <c r="X1762" s="251"/>
      <c r="Y1762" s="225"/>
      <c r="Z1762" s="225"/>
      <c r="AA1762" s="225"/>
      <c r="AB1762" s="1026"/>
      <c r="AC1762" s="227">
        <v>2068.02</v>
      </c>
      <c r="AD1762" s="227">
        <v>2369.3000000000002</v>
      </c>
      <c r="AE1762" s="227">
        <v>2358.35</v>
      </c>
      <c r="AF1762" s="271">
        <f t="shared" si="257"/>
        <v>2592.9299999999998</v>
      </c>
      <c r="AG1762" s="962"/>
      <c r="AH1762" s="121"/>
      <c r="AK1762" s="963"/>
      <c r="DF1762" s="1650" t="str">
        <f t="shared" si="259"/>
        <v>ASHP-SEER18-Replace_CAC_NonElectricHeat_ER1_SF</v>
      </c>
      <c r="DG1762" s="1090">
        <f>(DI1762+DI1763+DI1764+DI1765)/(DJ1762+DJ1763+DJ1764+DJ1765)</f>
        <v>5.9519341867931326</v>
      </c>
      <c r="DH1762" s="1393" t="str">
        <f t="shared" si="262"/>
        <v>Cooling Res 6 Year EUL</v>
      </c>
      <c r="DI1762" s="1091">
        <f>(INDEX('Avoided Cost Benefits'!$B$4:$B$866,MATCH(DH1762,'Avoided Cost Benefits'!$A$4:$A$866,0)))*F1762</f>
        <v>2582.1644069945551</v>
      </c>
      <c r="DJ1762" s="1176">
        <f t="shared" si="264"/>
        <v>578.71908821532099</v>
      </c>
      <c r="DM1762" s="252"/>
    </row>
    <row r="1763" spans="1:117">
      <c r="A1763" s="453"/>
      <c r="B1763" s="1454">
        <f t="shared" si="255"/>
        <v>354260</v>
      </c>
      <c r="C1763" s="682" t="s">
        <v>2387</v>
      </c>
      <c r="D1763" s="3470" t="s">
        <v>1800</v>
      </c>
      <c r="E1763" s="1393" t="s">
        <v>2388</v>
      </c>
      <c r="F1763" s="225">
        <v>0</v>
      </c>
      <c r="G1763" s="570" t="s">
        <v>2078</v>
      </c>
      <c r="H1763" s="69">
        <f>VLOOKUP(G1763,'CP FACTORS'!$A$3:$B$38, 2, FALSE)</f>
        <v>0</v>
      </c>
      <c r="I1763" s="1028">
        <f t="shared" si="261"/>
        <v>0</v>
      </c>
      <c r="J1763" s="59">
        <f t="shared" si="258"/>
        <v>6</v>
      </c>
      <c r="K1763" s="163">
        <f t="shared" si="256"/>
        <v>0</v>
      </c>
      <c r="L1763" s="255"/>
      <c r="M1763" s="560"/>
      <c r="N1763" s="572"/>
      <c r="O1763" s="417"/>
      <c r="R1763" s="532"/>
      <c r="S1763" s="52"/>
      <c r="T1763" s="52"/>
      <c r="U1763" s="574"/>
      <c r="V1763" s="1442" t="s">
        <v>45</v>
      </c>
      <c r="W1763" s="962"/>
      <c r="X1763" s="251"/>
      <c r="Y1763" s="225"/>
      <c r="Z1763" s="225"/>
      <c r="AA1763" s="225"/>
      <c r="AB1763" s="1026"/>
      <c r="AC1763" s="227">
        <v>0</v>
      </c>
      <c r="AD1763" s="225">
        <v>0</v>
      </c>
      <c r="AE1763" s="225">
        <v>0</v>
      </c>
      <c r="AF1763" s="271">
        <f t="shared" si="257"/>
        <v>0</v>
      </c>
      <c r="AG1763" s="962"/>
      <c r="AH1763" s="121"/>
      <c r="AK1763" s="963"/>
      <c r="DF1763" s="1650" t="str">
        <f t="shared" si="259"/>
        <v>ASHP-SEER18-Replace_CAC_NonElectricHeat_ER1_SF</v>
      </c>
      <c r="DG1763" s="1094"/>
      <c r="DH1763" s="1393" t="str">
        <f t="shared" si="262"/>
        <v>Heating Res 6 Year EUL</v>
      </c>
      <c r="DI1763" s="1091">
        <f>(INDEX('Avoided Cost Benefits'!$B$4:$B$866,MATCH(DH1763,'Avoided Cost Benefits'!$A$4:$A$866,0)))*F1763</f>
        <v>0</v>
      </c>
      <c r="DJ1763" s="1176">
        <f t="shared" si="264"/>
        <v>0</v>
      </c>
      <c r="DM1763" s="252"/>
    </row>
    <row r="1764" spans="1:117">
      <c r="A1764" s="453"/>
      <c r="B1764" s="1454">
        <f t="shared" ref="B1764:B1827" si="265">VALUE(LEFT(C1764,6))</f>
        <v>354260</v>
      </c>
      <c r="C1764" s="682" t="s">
        <v>2387</v>
      </c>
      <c r="D1764" s="3470" t="s">
        <v>1800</v>
      </c>
      <c r="E1764" s="1393" t="s">
        <v>2389</v>
      </c>
      <c r="F1764" s="227">
        <f>ROUND(((K2814*K3007*(1/K3200-1/K3393)*K3586)/1000)*$K$3651,2)</f>
        <v>666.45</v>
      </c>
      <c r="G1764" s="570" t="s">
        <v>2138</v>
      </c>
      <c r="H1764" s="69">
        <f>VLOOKUP(G1764,'CP FACTORS'!$A$3:$B$38, 2, FALSE)</f>
        <v>9.4741810000000004E-4</v>
      </c>
      <c r="I1764" s="1476">
        <f t="shared" si="261"/>
        <v>0.63140700000000005</v>
      </c>
      <c r="J1764" s="59">
        <f t="shared" si="258"/>
        <v>12</v>
      </c>
      <c r="K1764" s="163">
        <f t="shared" ref="K1764:K1827" si="266">IF(C1764&lt;&gt;C1763,VLOOKUP(C1764,$J$4038:$K$4469,2,FALSE),0)</f>
        <v>0</v>
      </c>
      <c r="L1764" s="255"/>
      <c r="M1764" s="560"/>
      <c r="N1764" s="572"/>
      <c r="O1764" s="417"/>
      <c r="R1764" s="532"/>
      <c r="S1764" s="52"/>
      <c r="T1764" s="52"/>
      <c r="U1764" s="574"/>
      <c r="V1764" s="1442" t="s">
        <v>45</v>
      </c>
      <c r="W1764" s="962"/>
      <c r="X1764" s="251"/>
      <c r="Y1764" s="225"/>
      <c r="Z1764" s="225"/>
      <c r="AA1764" s="225"/>
      <c r="AB1764" s="1026"/>
      <c r="AC1764" s="227">
        <v>697.15</v>
      </c>
      <c r="AD1764" s="227">
        <v>708.01</v>
      </c>
      <c r="AE1764" s="227">
        <v>530.95000000000005</v>
      </c>
      <c r="AF1764" s="271">
        <f t="shared" ref="AF1764:AF1827" si="267">IF(F1764&lt;&gt;"",F1764,"")</f>
        <v>666.45</v>
      </c>
      <c r="AG1764" s="962"/>
      <c r="AH1764" s="121"/>
      <c r="AK1764" s="963"/>
      <c r="DF1764" s="1650" t="str">
        <f t="shared" si="259"/>
        <v>ASHP-SEER18-Replace_CAC_NonElectricHeat_ER2_SF</v>
      </c>
      <c r="DG1764" s="1094"/>
      <c r="DH1764" s="1393" t="str">
        <f t="shared" si="262"/>
        <v>Cooling Res ER2 12 Year EUL</v>
      </c>
      <c r="DI1764" s="1091">
        <f>(INDEX('Avoided Cost Benefits'!$B$4:$B$866,MATCH(DH1764,'Avoided Cost Benefits'!$A$4:$A$866,0)))*F1764</f>
        <v>862.33351870396484</v>
      </c>
      <c r="DJ1764" s="1176">
        <f t="shared" si="264"/>
        <v>0</v>
      </c>
      <c r="DM1764" s="252"/>
    </row>
    <row r="1765" spans="1:117">
      <c r="A1765" s="453"/>
      <c r="B1765" s="1454">
        <f t="shared" si="265"/>
        <v>354260</v>
      </c>
      <c r="C1765" s="682" t="s">
        <v>2387</v>
      </c>
      <c r="D1765" s="3470" t="s">
        <v>1800</v>
      </c>
      <c r="E1765" s="1393" t="s">
        <v>2389</v>
      </c>
      <c r="F1765" s="225">
        <f>0</f>
        <v>0</v>
      </c>
      <c r="G1765" s="570" t="s">
        <v>2173</v>
      </c>
      <c r="H1765" s="69">
        <f>VLOOKUP(G1765,'CP FACTORS'!$A$3:$B$38, 2, FALSE)</f>
        <v>0</v>
      </c>
      <c r="I1765" s="1028">
        <f t="shared" si="261"/>
        <v>0</v>
      </c>
      <c r="J1765" s="59">
        <f t="shared" ref="J1765:J1828" si="268">K3909</f>
        <v>12</v>
      </c>
      <c r="K1765" s="163">
        <f t="shared" si="266"/>
        <v>0</v>
      </c>
      <c r="L1765" s="255"/>
      <c r="M1765" s="560"/>
      <c r="N1765" s="572"/>
      <c r="O1765" s="417"/>
      <c r="R1765" s="532"/>
      <c r="S1765" s="52"/>
      <c r="T1765" s="52"/>
      <c r="U1765" s="574"/>
      <c r="V1765" s="1442" t="s">
        <v>45</v>
      </c>
      <c r="W1765" s="962"/>
      <c r="X1765" s="251"/>
      <c r="Y1765" s="225"/>
      <c r="Z1765" s="225"/>
      <c r="AA1765" s="225"/>
      <c r="AB1765" s="1026"/>
      <c r="AC1765" s="227">
        <v>0</v>
      </c>
      <c r="AD1765" s="225">
        <v>0</v>
      </c>
      <c r="AE1765" s="225">
        <v>0</v>
      </c>
      <c r="AF1765" s="271">
        <f t="shared" si="267"/>
        <v>0</v>
      </c>
      <c r="AG1765" s="962"/>
      <c r="AH1765" s="121"/>
      <c r="AK1765" s="963"/>
      <c r="DF1765" s="1650" t="str">
        <f t="shared" ref="DF1765:DF1828" si="269">E1765</f>
        <v>ASHP-SEER18-Replace_CAC_NonElectricHeat_ER2_SF</v>
      </c>
      <c r="DG1765" s="1094"/>
      <c r="DH1765" s="1393" t="str">
        <f t="shared" si="262"/>
        <v>Heating Res ER2 12 Year EUL</v>
      </c>
      <c r="DI1765" s="1091">
        <f>(INDEX('Avoided Cost Benefits'!$B$4:$B$866,MATCH(DH1765,'Avoided Cost Benefits'!$A$4:$A$866,0)))*F1765</f>
        <v>0</v>
      </c>
      <c r="DJ1765" s="1176">
        <f t="shared" si="264"/>
        <v>0</v>
      </c>
      <c r="DM1765" s="252"/>
    </row>
    <row r="1766" spans="1:117">
      <c r="A1766" s="453"/>
      <c r="B1766" s="1454">
        <f t="shared" si="265"/>
        <v>354300</v>
      </c>
      <c r="C1766" s="682" t="s">
        <v>2390</v>
      </c>
      <c r="D1766" s="3470" t="s">
        <v>959</v>
      </c>
      <c r="E1766" s="1369" t="s">
        <v>2391</v>
      </c>
      <c r="F1766" s="225">
        <f>ROUND(((K2815*K3008*(1/K3201-1/K3394)*K3587)/1000)*$K$3651,2)</f>
        <v>2018.52</v>
      </c>
      <c r="G1766" s="570" t="s">
        <v>2077</v>
      </c>
      <c r="H1766" s="69">
        <f>VLOOKUP(G1766,'CP FACTORS'!$A$3:$B$38, 2, FALSE)</f>
        <v>9.4741810000000004E-4</v>
      </c>
      <c r="I1766" s="1028">
        <f t="shared" si="261"/>
        <v>1.912382</v>
      </c>
      <c r="J1766" s="59">
        <f t="shared" si="268"/>
        <v>6</v>
      </c>
      <c r="K1766" s="166">
        <f t="shared" si="266"/>
        <v>3312.7316315552043</v>
      </c>
      <c r="L1766" s="255">
        <f>L2043</f>
        <v>1.5</v>
      </c>
      <c r="M1766" s="560"/>
      <c r="N1766" s="572"/>
      <c r="O1766" s="417"/>
      <c r="R1766" s="532"/>
      <c r="S1766" s="52"/>
      <c r="T1766" s="52"/>
      <c r="U1766" s="574"/>
      <c r="V1766" s="1442" t="s">
        <v>45</v>
      </c>
      <c r="W1766" s="962">
        <v>1922.7050980392157</v>
      </c>
      <c r="X1766" s="251">
        <v>1355.1427330932372</v>
      </c>
      <c r="Y1766" s="225">
        <v>1355.14</v>
      </c>
      <c r="Z1766" s="225">
        <v>1355.14</v>
      </c>
      <c r="AA1766" s="225">
        <v>1355.14</v>
      </c>
      <c r="AB1766" s="1026">
        <v>2638.66</v>
      </c>
      <c r="AC1766" s="227">
        <v>1312.04</v>
      </c>
      <c r="AD1766" s="227">
        <v>2018.52</v>
      </c>
      <c r="AE1766" s="225">
        <v>2018.52</v>
      </c>
      <c r="AF1766" s="271">
        <f t="shared" si="267"/>
        <v>2018.52</v>
      </c>
      <c r="AG1766" s="962"/>
      <c r="AH1766" s="121"/>
      <c r="AK1766" s="963"/>
      <c r="DF1766" s="1650" t="str">
        <f t="shared" si="269"/>
        <v>ASHP-SEER18-Replace_CAC_ElectricHeat_ER1_MF</v>
      </c>
      <c r="DG1766" s="1090">
        <f>(DI1766+DI1767+DI1768+DI1769)/(DJ1766+DJ1767+DJ1768+DJ1769)</f>
        <v>1.6753920018422845</v>
      </c>
      <c r="DH1766" s="1369" t="str">
        <f t="shared" si="262"/>
        <v>Cooling Res 6 Year EUL</v>
      </c>
      <c r="DI1766" s="1091">
        <f>(INDEX('Avoided Cost Benefits'!$B$4:$B$866,MATCH(DH1766,'Avoided Cost Benefits'!$A$4:$A$866,0)))*F1766</f>
        <v>2010.1393014106241</v>
      </c>
      <c r="DJ1766" s="1176">
        <f>IFERROR(K1766/(1.0686^(2025-2025)),10000000)</f>
        <v>3312.7316315552043</v>
      </c>
      <c r="DM1766" s="252"/>
    </row>
    <row r="1767" spans="1:117">
      <c r="A1767" s="453"/>
      <c r="B1767" s="1454">
        <f t="shared" si="265"/>
        <v>354300</v>
      </c>
      <c r="C1767" s="682" t="s">
        <v>2390</v>
      </c>
      <c r="D1767" s="3470" t="s">
        <v>959</v>
      </c>
      <c r="E1767" s="1393" t="s">
        <v>2391</v>
      </c>
      <c r="F1767" s="225">
        <f>ROUND(((K2043*K2236*(1/K2429-1/K2622)*K3587)/1000)*$K$3651,2)</f>
        <v>5203.97</v>
      </c>
      <c r="G1767" s="570" t="s">
        <v>2078</v>
      </c>
      <c r="H1767" s="69">
        <f>VLOOKUP(G1767,'CP FACTORS'!$A$3:$B$38, 2, FALSE)</f>
        <v>0</v>
      </c>
      <c r="I1767" s="1028">
        <f t="shared" si="261"/>
        <v>0</v>
      </c>
      <c r="J1767" s="59">
        <f t="shared" si="268"/>
        <v>6</v>
      </c>
      <c r="K1767" s="163">
        <f t="shared" si="266"/>
        <v>0</v>
      </c>
      <c r="L1767" s="255"/>
      <c r="M1767" s="560"/>
      <c r="N1767" s="572"/>
      <c r="O1767" s="417"/>
      <c r="R1767" s="532"/>
      <c r="S1767" s="52"/>
      <c r="T1767" s="52"/>
      <c r="U1767" s="574"/>
      <c r="V1767" s="1442" t="s">
        <v>45</v>
      </c>
      <c r="W1767" s="962">
        <v>9077.8044487427451</v>
      </c>
      <c r="X1767" s="251">
        <v>6759.7787234042544</v>
      </c>
      <c r="Y1767" s="225">
        <v>6759.78</v>
      </c>
      <c r="Z1767" s="225">
        <v>6759.78</v>
      </c>
      <c r="AA1767" s="225">
        <v>6759.78</v>
      </c>
      <c r="AB1767" s="1026">
        <v>9020.2199999999993</v>
      </c>
      <c r="AC1767" s="227">
        <v>3382.58</v>
      </c>
      <c r="AD1767" s="227">
        <v>5203.97</v>
      </c>
      <c r="AE1767" s="225">
        <v>5203.97</v>
      </c>
      <c r="AF1767" s="271">
        <f t="shared" si="267"/>
        <v>5203.97</v>
      </c>
      <c r="AG1767" s="962"/>
      <c r="AH1767" s="121"/>
      <c r="AK1767" s="963"/>
      <c r="DF1767" s="1650" t="str">
        <f t="shared" si="269"/>
        <v>ASHP-SEER18-Replace_CAC_ElectricHeat_ER1_MF</v>
      </c>
      <c r="DG1767" s="1094"/>
      <c r="DH1767" s="1393" t="str">
        <f t="shared" si="262"/>
        <v>Heating Res 6 Year EUL</v>
      </c>
      <c r="DI1767" s="1091">
        <f>(INDEX('Avoided Cost Benefits'!$B$4:$B$866,MATCH(DH1767,'Avoided Cost Benefits'!$A$4:$A$866,0)))*F1767</f>
        <v>1395.5944851964025</v>
      </c>
      <c r="DJ1767" s="1176">
        <f>K1767/(1.0686^(2025-2025))</f>
        <v>0</v>
      </c>
      <c r="DM1767" s="252"/>
    </row>
    <row r="1768" spans="1:117">
      <c r="A1768" s="453"/>
      <c r="B1768" s="1454">
        <f t="shared" si="265"/>
        <v>354300</v>
      </c>
      <c r="C1768" s="682" t="s">
        <v>2390</v>
      </c>
      <c r="D1768" s="3470" t="s">
        <v>959</v>
      </c>
      <c r="E1768" s="1393" t="s">
        <v>2392</v>
      </c>
      <c r="F1768" s="227">
        <f>ROUND(((K2816*K3009*(1/K3202-1/K3395)*K3588)/1000)*$K$3651,2)</f>
        <v>298.31</v>
      </c>
      <c r="G1768" s="570" t="s">
        <v>2138</v>
      </c>
      <c r="H1768" s="69">
        <f>VLOOKUP(G1768,'CP FACTORS'!$A$3:$B$38, 2, FALSE)</f>
        <v>9.4741810000000004E-4</v>
      </c>
      <c r="I1768" s="1476">
        <f t="shared" si="261"/>
        <v>0.28262399999999999</v>
      </c>
      <c r="J1768" s="59">
        <f t="shared" si="268"/>
        <v>12</v>
      </c>
      <c r="K1768" s="163">
        <f t="shared" si="266"/>
        <v>0</v>
      </c>
      <c r="L1768" s="255"/>
      <c r="M1768" s="560"/>
      <c r="N1768" s="572"/>
      <c r="O1768" s="417"/>
      <c r="R1768" s="532"/>
      <c r="S1768" s="52"/>
      <c r="T1768" s="52"/>
      <c r="U1768" s="574"/>
      <c r="V1768" s="1442" t="s">
        <v>45</v>
      </c>
      <c r="W1768" s="962">
        <v>448.98333333333346</v>
      </c>
      <c r="X1768" s="254">
        <v>448.98333333333346</v>
      </c>
      <c r="Y1768" s="225">
        <v>448.98</v>
      </c>
      <c r="Z1768" s="225">
        <v>448.98</v>
      </c>
      <c r="AA1768" s="225">
        <v>448.98</v>
      </c>
      <c r="AB1768" s="1026">
        <v>579.33000000000004</v>
      </c>
      <c r="AC1768" s="227">
        <v>217.25</v>
      </c>
      <c r="AD1768" s="227">
        <v>334.23</v>
      </c>
      <c r="AE1768" s="227">
        <v>248.29</v>
      </c>
      <c r="AF1768" s="271">
        <f t="shared" si="267"/>
        <v>298.31</v>
      </c>
      <c r="AG1768" s="962"/>
      <c r="AH1768" s="121"/>
      <c r="AK1768" s="963"/>
      <c r="DF1768" s="1650" t="str">
        <f t="shared" si="269"/>
        <v>ASHP-SEER18-Replace_CAC_ElectricHeat_ER2_MF</v>
      </c>
      <c r="DG1768" s="1094"/>
      <c r="DH1768" s="1393" t="str">
        <f t="shared" si="262"/>
        <v>Cooling Res ER2 12 Year EUL</v>
      </c>
      <c r="DI1768" s="1091">
        <f>(INDEX('Avoided Cost Benefits'!$B$4:$B$866,MATCH(DH1768,'Avoided Cost Benefits'!$A$4:$A$866,0)))*F1768</f>
        <v>385.98951453909484</v>
      </c>
      <c r="DJ1768" s="1176">
        <f>K1768/(1.0686^(2025-2025))</f>
        <v>0</v>
      </c>
      <c r="DM1768" s="252"/>
    </row>
    <row r="1769" spans="1:117">
      <c r="A1769" s="453"/>
      <c r="B1769" s="1454">
        <f t="shared" si="265"/>
        <v>354300</v>
      </c>
      <c r="C1769" s="682" t="s">
        <v>2390</v>
      </c>
      <c r="D1769" s="3470" t="s">
        <v>959</v>
      </c>
      <c r="E1769" s="1370" t="s">
        <v>2392</v>
      </c>
      <c r="F1769" s="225">
        <f>ROUND(((K2044*K2237*(1/K2430-1/K2623)*K3588)/1000)*$K$3651,2)</f>
        <v>5203.97</v>
      </c>
      <c r="G1769" s="570" t="s">
        <v>2173</v>
      </c>
      <c r="H1769" s="69">
        <f>VLOOKUP(G1769,'CP FACTORS'!$A$3:$B$38, 2, FALSE)</f>
        <v>0</v>
      </c>
      <c r="I1769" s="1028">
        <f t="shared" si="261"/>
        <v>0</v>
      </c>
      <c r="J1769" s="59">
        <f t="shared" si="268"/>
        <v>12</v>
      </c>
      <c r="K1769" s="163">
        <f t="shared" si="266"/>
        <v>0</v>
      </c>
      <c r="L1769" s="255"/>
      <c r="M1769" s="560"/>
      <c r="N1769" s="572"/>
      <c r="O1769" s="417"/>
      <c r="R1769" s="532"/>
      <c r="S1769" s="52"/>
      <c r="T1769" s="52"/>
      <c r="U1769" s="574"/>
      <c r="V1769" s="1442" t="s">
        <v>45</v>
      </c>
      <c r="W1769" s="962">
        <v>9077.8044487427451</v>
      </c>
      <c r="X1769" s="251">
        <v>6759.7787234042544</v>
      </c>
      <c r="Y1769" s="225">
        <v>6759.78</v>
      </c>
      <c r="Z1769" s="225">
        <v>6759.78</v>
      </c>
      <c r="AA1769" s="225">
        <v>6759.78</v>
      </c>
      <c r="AB1769" s="1026">
        <v>9020.2199999999993</v>
      </c>
      <c r="AC1769" s="227">
        <v>3382.58</v>
      </c>
      <c r="AD1769" s="227">
        <v>5203.97</v>
      </c>
      <c r="AE1769" s="225">
        <v>5203.97</v>
      </c>
      <c r="AF1769" s="271">
        <f t="shared" si="267"/>
        <v>5203.97</v>
      </c>
      <c r="AG1769" s="962"/>
      <c r="AH1769" s="121"/>
      <c r="AK1769" s="963"/>
      <c r="DF1769" s="1650" t="str">
        <f t="shared" si="269"/>
        <v>ASHP-SEER18-Replace_CAC_ElectricHeat_ER2_MF</v>
      </c>
      <c r="DG1769" s="1094"/>
      <c r="DH1769" s="1370" t="str">
        <f t="shared" si="262"/>
        <v>Heating Res ER2 12 Year EUL</v>
      </c>
      <c r="DI1769" s="1091">
        <f>(INDEX('Avoided Cost Benefits'!$B$4:$B$866,MATCH(DH1769,'Avoided Cost Benefits'!$A$4:$A$866,0)))*F1769</f>
        <v>1758.4007786114098</v>
      </c>
      <c r="DJ1769" s="1176">
        <f>K1769/(1.0686^(2025-2025))</f>
        <v>0</v>
      </c>
      <c r="DM1769" s="252"/>
    </row>
    <row r="1770" spans="1:117">
      <c r="A1770" s="453"/>
      <c r="B1770" s="1454">
        <f t="shared" si="265"/>
        <v>354301</v>
      </c>
      <c r="C1770" s="2554" t="s">
        <v>2393</v>
      </c>
      <c r="D1770" s="3383" t="s">
        <v>1118</v>
      </c>
      <c r="E1770" s="2521" t="s">
        <v>2394</v>
      </c>
      <c r="F1770" s="3373">
        <f>ROUND((($K$2817*$K$3010*(1/$K$3203-1/$K$3396)*$K$3589)/1000)*$K$3651,2)</f>
        <v>733.67</v>
      </c>
      <c r="G1770" s="3384" t="str">
        <f>G1766</f>
        <v>Cooling Res</v>
      </c>
      <c r="H1770" s="2213">
        <f>VLOOKUP(G1770,'CP FACTORS'!$A$3:$B$38, 2, FALSE)</f>
        <v>9.4741810000000004E-4</v>
      </c>
      <c r="I1770" s="3385">
        <f t="shared" si="261"/>
        <v>0.69509200000000004</v>
      </c>
      <c r="J1770" s="2449">
        <f t="shared" si="268"/>
        <v>6</v>
      </c>
      <c r="K1770" s="2467">
        <f t="shared" si="266"/>
        <v>3312.7316315552043</v>
      </c>
      <c r="L1770" s="2649">
        <f>L2045</f>
        <v>1.5</v>
      </c>
      <c r="M1770" s="3386"/>
      <c r="N1770" s="3387"/>
      <c r="O1770" s="2702"/>
      <c r="P1770" s="635"/>
      <c r="Q1770" s="635"/>
      <c r="R1770" s="2966"/>
      <c r="S1770" s="635"/>
      <c r="T1770" s="635"/>
      <c r="U1770" s="3388"/>
      <c r="V1770" s="2962" t="s">
        <v>45</v>
      </c>
      <c r="W1770" s="3389"/>
      <c r="X1770" s="3390"/>
      <c r="Y1770" s="3369">
        <v>985.56</v>
      </c>
      <c r="Z1770" s="3373">
        <v>985.56</v>
      </c>
      <c r="AA1770" s="3373">
        <v>985.56</v>
      </c>
      <c r="AB1770" s="3391">
        <v>1271.69</v>
      </c>
      <c r="AC1770" s="3369">
        <v>476.88</v>
      </c>
      <c r="AD1770" s="3373">
        <v>476.88</v>
      </c>
      <c r="AE1770" s="3369">
        <v>733.67</v>
      </c>
      <c r="AF1770" s="2236">
        <f t="shared" si="267"/>
        <v>733.67</v>
      </c>
      <c r="AG1770" s="3389"/>
      <c r="AH1770" s="2728"/>
      <c r="AI1770" s="2237"/>
      <c r="AJ1770" s="2237"/>
      <c r="AK1770" s="3392"/>
      <c r="AL1770" s="2237"/>
      <c r="AM1770" s="2237"/>
      <c r="AN1770" s="2237"/>
      <c r="AO1770" s="2237"/>
      <c r="AP1770" s="2237"/>
      <c r="AQ1770" s="2237"/>
      <c r="AR1770" s="2237"/>
      <c r="AS1770" s="2237"/>
      <c r="AT1770" s="2237"/>
      <c r="AU1770" s="2237"/>
      <c r="AV1770" s="2237"/>
      <c r="AW1770" s="2237"/>
      <c r="AX1770" s="2237"/>
      <c r="AY1770" s="2237"/>
      <c r="AZ1770" s="2237"/>
      <c r="BA1770" s="2237"/>
      <c r="BB1770" s="2237"/>
      <c r="BC1770" s="2237"/>
      <c r="BD1770" s="2237"/>
      <c r="BE1770" s="2237"/>
      <c r="BF1770" s="2237"/>
      <c r="BG1770" s="2237"/>
      <c r="BH1770" s="2237"/>
      <c r="BI1770" s="2237"/>
      <c r="BJ1770" s="2237"/>
      <c r="BK1770" s="2237"/>
      <c r="BL1770" s="2237"/>
      <c r="BM1770" s="2237"/>
      <c r="BN1770" s="2237"/>
      <c r="BO1770" s="2237"/>
      <c r="BP1770" s="2237"/>
      <c r="BQ1770" s="2237"/>
      <c r="BR1770" s="2237"/>
      <c r="BS1770" s="2237"/>
      <c r="BT1770" s="2237"/>
      <c r="BU1770" s="2237"/>
      <c r="BV1770" s="2237"/>
      <c r="BW1770" s="2237"/>
      <c r="BX1770" s="2237"/>
      <c r="BY1770" s="2237"/>
      <c r="BZ1770" s="2237"/>
      <c r="CA1770" s="2237"/>
      <c r="CB1770" s="2237"/>
      <c r="CC1770" s="2237"/>
      <c r="CD1770" s="2237"/>
      <c r="CE1770" s="2237"/>
      <c r="CF1770" s="2237"/>
      <c r="CG1770" s="2237"/>
      <c r="CH1770" s="2237"/>
      <c r="CI1770" s="2237"/>
      <c r="CJ1770" s="2237"/>
      <c r="CK1770" s="2237"/>
      <c r="CL1770" s="2237"/>
      <c r="CM1770" s="2237"/>
      <c r="CN1770" s="2237"/>
      <c r="CO1770" s="2237"/>
      <c r="CP1770" s="2237"/>
      <c r="CQ1770" s="2237"/>
      <c r="CR1770" s="2237"/>
      <c r="CS1770" s="2237"/>
      <c r="CT1770" s="2237"/>
      <c r="CU1770" s="2237"/>
      <c r="CV1770" s="2237"/>
      <c r="CW1770" s="2237"/>
      <c r="CX1770" s="2237"/>
      <c r="CY1770" s="2237"/>
      <c r="CZ1770" s="2237"/>
      <c r="DA1770" s="2237"/>
      <c r="DB1770" s="2237"/>
      <c r="DC1770" s="2237"/>
      <c r="DD1770" s="2237"/>
      <c r="DE1770" s="2237"/>
      <c r="DF1770" s="3393" t="str">
        <f t="shared" si="269"/>
        <v>ASHP-SEER18-Replace_CAC_ElectricHeat_ER1_MF_CompE</v>
      </c>
      <c r="DG1770" s="3259">
        <f>(DI1770+DI1771+DI1772+DI1773)/(DJ1770+DJ1771+DJ1772+DJ1773)</f>
        <v>0.62986634831578037</v>
      </c>
      <c r="DH1770" s="2521" t="str">
        <f t="shared" si="262"/>
        <v>Cooling Res 6 Year EUL</v>
      </c>
      <c r="DI1770" s="3260">
        <f>(INDEX('Avoided Cost Benefits'!$B$4:$B$866,MATCH(DH1770,'Avoided Cost Benefits'!$A$4:$A$866,0)))*F1770</f>
        <v>730.62387356376576</v>
      </c>
      <c r="DJ1770" s="2507">
        <f>IFERROR(K1770/(1.0686^(2025-2025)),10000000)</f>
        <v>3312.7316315552043</v>
      </c>
      <c r="DM1770" s="252"/>
    </row>
    <row r="1771" spans="1:117">
      <c r="A1771" s="453"/>
      <c r="B1771" s="1454">
        <f t="shared" si="265"/>
        <v>354301</v>
      </c>
      <c r="C1771" s="2554" t="str">
        <f>C1770</f>
        <v>354301_2024_12_</v>
      </c>
      <c r="D1771" s="3383" t="s">
        <v>1118</v>
      </c>
      <c r="E1771" s="2882" t="s">
        <v>2394</v>
      </c>
      <c r="F1771" s="3373">
        <f>ROUND((($K$2045*$K$2238*(1/$K$2431-1/$K$2624)*$K$3589)/1000)*$K$3651,2)</f>
        <v>1774.08</v>
      </c>
      <c r="G1771" s="3384" t="str">
        <f>G1767</f>
        <v>Heating Res</v>
      </c>
      <c r="H1771" s="2213">
        <f>VLOOKUP(G1771,'CP FACTORS'!$A$3:$B$38, 2, FALSE)</f>
        <v>0</v>
      </c>
      <c r="I1771" s="3385">
        <f t="shared" si="261"/>
        <v>0</v>
      </c>
      <c r="J1771" s="2449">
        <f t="shared" si="268"/>
        <v>6</v>
      </c>
      <c r="K1771" s="2894">
        <f t="shared" si="266"/>
        <v>0</v>
      </c>
      <c r="L1771" s="2649"/>
      <c r="M1771" s="3386"/>
      <c r="N1771" s="3387"/>
      <c r="O1771" s="2702"/>
      <c r="P1771" s="635"/>
      <c r="Q1771" s="635"/>
      <c r="R1771" s="2966"/>
      <c r="S1771" s="635"/>
      <c r="T1771" s="635"/>
      <c r="U1771" s="3388"/>
      <c r="V1771" s="2962" t="s">
        <v>45</v>
      </c>
      <c r="W1771" s="3389"/>
      <c r="X1771" s="3390"/>
      <c r="Y1771" s="3369">
        <v>2304.4699999999998</v>
      </c>
      <c r="Z1771" s="3373">
        <v>2304.4699999999998</v>
      </c>
      <c r="AA1771" s="3373">
        <v>2304.4699999999998</v>
      </c>
      <c r="AB1771" s="3391">
        <v>3075.08</v>
      </c>
      <c r="AC1771" s="3369">
        <v>1153.1500000000001</v>
      </c>
      <c r="AD1771" s="3373">
        <v>1153.1500000000001</v>
      </c>
      <c r="AE1771" s="3369">
        <v>1774.08</v>
      </c>
      <c r="AF1771" s="2236">
        <f t="shared" si="267"/>
        <v>1774.08</v>
      </c>
      <c r="AG1771" s="3389"/>
      <c r="AH1771" s="2728"/>
      <c r="AI1771" s="2237"/>
      <c r="AJ1771" s="2237"/>
      <c r="AK1771" s="3392"/>
      <c r="AL1771" s="2237"/>
      <c r="AM1771" s="2237"/>
      <c r="AN1771" s="2237"/>
      <c r="AO1771" s="2237"/>
      <c r="AP1771" s="2237"/>
      <c r="AQ1771" s="2237"/>
      <c r="AR1771" s="2237"/>
      <c r="AS1771" s="2237"/>
      <c r="AT1771" s="2237"/>
      <c r="AU1771" s="2237"/>
      <c r="AV1771" s="2237"/>
      <c r="AW1771" s="2237"/>
      <c r="AX1771" s="2237"/>
      <c r="AY1771" s="2237"/>
      <c r="AZ1771" s="2237"/>
      <c r="BA1771" s="2237"/>
      <c r="BB1771" s="2237"/>
      <c r="BC1771" s="2237"/>
      <c r="BD1771" s="2237"/>
      <c r="BE1771" s="2237"/>
      <c r="BF1771" s="2237"/>
      <c r="BG1771" s="2237"/>
      <c r="BH1771" s="2237"/>
      <c r="BI1771" s="2237"/>
      <c r="BJ1771" s="2237"/>
      <c r="BK1771" s="2237"/>
      <c r="BL1771" s="2237"/>
      <c r="BM1771" s="2237"/>
      <c r="BN1771" s="2237"/>
      <c r="BO1771" s="2237"/>
      <c r="BP1771" s="2237"/>
      <c r="BQ1771" s="2237"/>
      <c r="BR1771" s="2237"/>
      <c r="BS1771" s="2237"/>
      <c r="BT1771" s="2237"/>
      <c r="BU1771" s="2237"/>
      <c r="BV1771" s="2237"/>
      <c r="BW1771" s="2237"/>
      <c r="BX1771" s="2237"/>
      <c r="BY1771" s="2237"/>
      <c r="BZ1771" s="2237"/>
      <c r="CA1771" s="2237"/>
      <c r="CB1771" s="2237"/>
      <c r="CC1771" s="2237"/>
      <c r="CD1771" s="2237"/>
      <c r="CE1771" s="2237"/>
      <c r="CF1771" s="2237"/>
      <c r="CG1771" s="2237"/>
      <c r="CH1771" s="2237"/>
      <c r="CI1771" s="2237"/>
      <c r="CJ1771" s="2237"/>
      <c r="CK1771" s="2237"/>
      <c r="CL1771" s="2237"/>
      <c r="CM1771" s="2237"/>
      <c r="CN1771" s="2237"/>
      <c r="CO1771" s="2237"/>
      <c r="CP1771" s="2237"/>
      <c r="CQ1771" s="2237"/>
      <c r="CR1771" s="2237"/>
      <c r="CS1771" s="2237"/>
      <c r="CT1771" s="2237"/>
      <c r="CU1771" s="2237"/>
      <c r="CV1771" s="2237"/>
      <c r="CW1771" s="2237"/>
      <c r="CX1771" s="2237"/>
      <c r="CY1771" s="2237"/>
      <c r="CZ1771" s="2237"/>
      <c r="DA1771" s="2237"/>
      <c r="DB1771" s="2237"/>
      <c r="DC1771" s="2237"/>
      <c r="DD1771" s="2237"/>
      <c r="DE1771" s="2237"/>
      <c r="DF1771" s="3393" t="str">
        <f t="shared" si="269"/>
        <v>ASHP-SEER18-Replace_CAC_ElectricHeat_ER1_MF_CompE</v>
      </c>
      <c r="DG1771" s="3332"/>
      <c r="DH1771" s="2882" t="str">
        <f t="shared" si="262"/>
        <v>Heating Res 6 Year EUL</v>
      </c>
      <c r="DI1771" s="3260">
        <f>(INDEX('Avoided Cost Benefits'!$B$4:$B$866,MATCH(DH1771,'Avoided Cost Benefits'!$A$4:$A$866,0)))*F1771</f>
        <v>475.77066437685716</v>
      </c>
      <c r="DJ1771" s="2507">
        <f t="shared" ref="DJ1771:DJ1781" si="270">K1771/(1.0686^(2025-2025))</f>
        <v>0</v>
      </c>
      <c r="DM1771" s="252"/>
    </row>
    <row r="1772" spans="1:117">
      <c r="A1772" s="453"/>
      <c r="B1772" s="1454">
        <f t="shared" si="265"/>
        <v>354301</v>
      </c>
      <c r="C1772" s="2554" t="str">
        <f>C1771</f>
        <v>354301_2024_12_</v>
      </c>
      <c r="D1772" s="3383" t="s">
        <v>1118</v>
      </c>
      <c r="E1772" s="2882" t="s">
        <v>2395</v>
      </c>
      <c r="F1772" s="3369">
        <f>ROUND((($K$2818*$K$3011*(1/$K$3204-1/$K$3397)*$K$3590)/1000)*$K$3651,2)</f>
        <v>216.96</v>
      </c>
      <c r="G1772" s="3384" t="str">
        <f>G1768</f>
        <v>Cooling Res ER2</v>
      </c>
      <c r="H1772" s="2213">
        <f>VLOOKUP(G1772,'CP FACTORS'!$A$3:$B$38, 2, FALSE)</f>
        <v>9.4741810000000004E-4</v>
      </c>
      <c r="I1772" s="3394">
        <f t="shared" si="261"/>
        <v>0.20555200000000001</v>
      </c>
      <c r="J1772" s="2449">
        <f t="shared" si="268"/>
        <v>12</v>
      </c>
      <c r="K1772" s="2894">
        <f t="shared" si="266"/>
        <v>0</v>
      </c>
      <c r="L1772" s="2649"/>
      <c r="M1772" s="3386"/>
      <c r="N1772" s="3387"/>
      <c r="O1772" s="2702"/>
      <c r="P1772" s="635"/>
      <c r="Q1772" s="635"/>
      <c r="R1772" s="2966"/>
      <c r="S1772" s="635"/>
      <c r="T1772" s="635"/>
      <c r="U1772" s="3388"/>
      <c r="V1772" s="2962" t="s">
        <v>45</v>
      </c>
      <c r="W1772" s="3389"/>
      <c r="X1772" s="3390"/>
      <c r="Y1772" s="3369">
        <v>326.52999999999997</v>
      </c>
      <c r="Z1772" s="3373">
        <v>326.52999999999997</v>
      </c>
      <c r="AA1772" s="3373">
        <v>326.52999999999997</v>
      </c>
      <c r="AB1772" s="3391">
        <v>421.33</v>
      </c>
      <c r="AC1772" s="3369">
        <v>158</v>
      </c>
      <c r="AD1772" s="3373">
        <v>158</v>
      </c>
      <c r="AE1772" s="3369">
        <v>180.57</v>
      </c>
      <c r="AF1772" s="2236">
        <f t="shared" si="267"/>
        <v>216.96</v>
      </c>
      <c r="AG1772" s="3389"/>
      <c r="AH1772" s="2728"/>
      <c r="AI1772" s="2237"/>
      <c r="AJ1772" s="2237"/>
      <c r="AK1772" s="3392"/>
      <c r="AL1772" s="2237"/>
      <c r="AM1772" s="2237"/>
      <c r="AN1772" s="2237"/>
      <c r="AO1772" s="2237"/>
      <c r="AP1772" s="2237"/>
      <c r="AQ1772" s="2237"/>
      <c r="AR1772" s="2237"/>
      <c r="AS1772" s="2237"/>
      <c r="AT1772" s="2237"/>
      <c r="AU1772" s="2237"/>
      <c r="AV1772" s="2237"/>
      <c r="AW1772" s="2237"/>
      <c r="AX1772" s="2237"/>
      <c r="AY1772" s="2237"/>
      <c r="AZ1772" s="2237"/>
      <c r="BA1772" s="2237"/>
      <c r="BB1772" s="2237"/>
      <c r="BC1772" s="2237"/>
      <c r="BD1772" s="2237"/>
      <c r="BE1772" s="2237"/>
      <c r="BF1772" s="2237"/>
      <c r="BG1772" s="2237"/>
      <c r="BH1772" s="2237"/>
      <c r="BI1772" s="2237"/>
      <c r="BJ1772" s="2237"/>
      <c r="BK1772" s="2237"/>
      <c r="BL1772" s="2237"/>
      <c r="BM1772" s="2237"/>
      <c r="BN1772" s="2237"/>
      <c r="BO1772" s="2237"/>
      <c r="BP1772" s="2237"/>
      <c r="BQ1772" s="2237"/>
      <c r="BR1772" s="2237"/>
      <c r="BS1772" s="2237"/>
      <c r="BT1772" s="2237"/>
      <c r="BU1772" s="2237"/>
      <c r="BV1772" s="2237"/>
      <c r="BW1772" s="2237"/>
      <c r="BX1772" s="2237"/>
      <c r="BY1772" s="2237"/>
      <c r="BZ1772" s="2237"/>
      <c r="CA1772" s="2237"/>
      <c r="CB1772" s="2237"/>
      <c r="CC1772" s="2237"/>
      <c r="CD1772" s="2237"/>
      <c r="CE1772" s="2237"/>
      <c r="CF1772" s="2237"/>
      <c r="CG1772" s="2237"/>
      <c r="CH1772" s="2237"/>
      <c r="CI1772" s="2237"/>
      <c r="CJ1772" s="2237"/>
      <c r="CK1772" s="2237"/>
      <c r="CL1772" s="2237"/>
      <c r="CM1772" s="2237"/>
      <c r="CN1772" s="2237"/>
      <c r="CO1772" s="2237"/>
      <c r="CP1772" s="2237"/>
      <c r="CQ1772" s="2237"/>
      <c r="CR1772" s="2237"/>
      <c r="CS1772" s="2237"/>
      <c r="CT1772" s="2237"/>
      <c r="CU1772" s="2237"/>
      <c r="CV1772" s="2237"/>
      <c r="CW1772" s="2237"/>
      <c r="CX1772" s="2237"/>
      <c r="CY1772" s="2237"/>
      <c r="CZ1772" s="2237"/>
      <c r="DA1772" s="2237"/>
      <c r="DB1772" s="2237"/>
      <c r="DC1772" s="2237"/>
      <c r="DD1772" s="2237"/>
      <c r="DE1772" s="2237"/>
      <c r="DF1772" s="3393" t="str">
        <f t="shared" si="269"/>
        <v>ASHP-SEER18-Replace_CAC_ElectricHeat_ER2_MF_CompE</v>
      </c>
      <c r="DG1772" s="3332"/>
      <c r="DH1772" s="2882" t="str">
        <f t="shared" si="262"/>
        <v>Cooling Res ER2 12 Year EUL</v>
      </c>
      <c r="DI1772" s="3260">
        <f>(INDEX('Avoided Cost Benefits'!$B$4:$B$866,MATCH(DH1772,'Avoided Cost Benefits'!$A$4:$A$866,0)))*F1772</f>
        <v>280.7290572706313</v>
      </c>
      <c r="DJ1772" s="2507">
        <f t="shared" si="270"/>
        <v>0</v>
      </c>
      <c r="DM1772" s="252"/>
    </row>
    <row r="1773" spans="1:117">
      <c r="A1773" s="453"/>
      <c r="B1773" s="1454">
        <f t="shared" si="265"/>
        <v>354301</v>
      </c>
      <c r="C1773" s="2554" t="str">
        <f>C1772</f>
        <v>354301_2024_12_</v>
      </c>
      <c r="D1773" s="3383" t="s">
        <v>1118</v>
      </c>
      <c r="E1773" s="2522" t="s">
        <v>2395</v>
      </c>
      <c r="F1773" s="3373">
        <f>ROUND((($K$2046*$K$2239*(1/$K$2432-1/$K$2625)*$K$3590)/1000)*$K$3651,2)</f>
        <v>1774.08</v>
      </c>
      <c r="G1773" s="3384" t="str">
        <f>G1769</f>
        <v>Heating Res ER2</v>
      </c>
      <c r="H1773" s="2213">
        <f>VLOOKUP(G1773,'CP FACTORS'!$A$3:$B$38, 2, FALSE)</f>
        <v>0</v>
      </c>
      <c r="I1773" s="3385">
        <f t="shared" si="261"/>
        <v>0</v>
      </c>
      <c r="J1773" s="2449">
        <f t="shared" si="268"/>
        <v>12</v>
      </c>
      <c r="K1773" s="2894">
        <f t="shared" si="266"/>
        <v>0</v>
      </c>
      <c r="L1773" s="2649"/>
      <c r="M1773" s="3386"/>
      <c r="N1773" s="3387"/>
      <c r="O1773" s="2702"/>
      <c r="P1773" s="635"/>
      <c r="Q1773" s="635"/>
      <c r="R1773" s="2966"/>
      <c r="S1773" s="635"/>
      <c r="T1773" s="635"/>
      <c r="U1773" s="3388"/>
      <c r="V1773" s="2962" t="s">
        <v>45</v>
      </c>
      <c r="W1773" s="3389"/>
      <c r="X1773" s="3390"/>
      <c r="Y1773" s="3369">
        <v>2304.4699999999998</v>
      </c>
      <c r="Z1773" s="3373">
        <v>2304.4699999999998</v>
      </c>
      <c r="AA1773" s="3373">
        <v>2304.4699999999998</v>
      </c>
      <c r="AB1773" s="3391">
        <v>3075.08</v>
      </c>
      <c r="AC1773" s="3369">
        <v>1153.1500000000001</v>
      </c>
      <c r="AD1773" s="3373">
        <v>1153.1500000000001</v>
      </c>
      <c r="AE1773" s="3369">
        <v>1774.08</v>
      </c>
      <c r="AF1773" s="2236">
        <f t="shared" si="267"/>
        <v>1774.08</v>
      </c>
      <c r="AG1773" s="3389"/>
      <c r="AH1773" s="2728"/>
      <c r="AI1773" s="2237"/>
      <c r="AJ1773" s="2237"/>
      <c r="AK1773" s="3392"/>
      <c r="AL1773" s="2237"/>
      <c r="AM1773" s="2237"/>
      <c r="AN1773" s="2237"/>
      <c r="AO1773" s="2237"/>
      <c r="AP1773" s="2237"/>
      <c r="AQ1773" s="2237"/>
      <c r="AR1773" s="2237"/>
      <c r="AS1773" s="2237"/>
      <c r="AT1773" s="2237"/>
      <c r="AU1773" s="2237"/>
      <c r="AV1773" s="2237"/>
      <c r="AW1773" s="2237"/>
      <c r="AX1773" s="2237"/>
      <c r="AY1773" s="2237"/>
      <c r="AZ1773" s="2237"/>
      <c r="BA1773" s="2237"/>
      <c r="BB1773" s="2237"/>
      <c r="BC1773" s="2237"/>
      <c r="BD1773" s="2237"/>
      <c r="BE1773" s="2237"/>
      <c r="BF1773" s="2237"/>
      <c r="BG1773" s="2237"/>
      <c r="BH1773" s="2237"/>
      <c r="BI1773" s="2237"/>
      <c r="BJ1773" s="2237"/>
      <c r="BK1773" s="2237"/>
      <c r="BL1773" s="2237"/>
      <c r="BM1773" s="2237"/>
      <c r="BN1773" s="2237"/>
      <c r="BO1773" s="2237"/>
      <c r="BP1773" s="2237"/>
      <c r="BQ1773" s="2237"/>
      <c r="BR1773" s="2237"/>
      <c r="BS1773" s="2237"/>
      <c r="BT1773" s="2237"/>
      <c r="BU1773" s="2237"/>
      <c r="BV1773" s="2237"/>
      <c r="BW1773" s="2237"/>
      <c r="BX1773" s="2237"/>
      <c r="BY1773" s="2237"/>
      <c r="BZ1773" s="2237"/>
      <c r="CA1773" s="2237"/>
      <c r="CB1773" s="2237"/>
      <c r="CC1773" s="2237"/>
      <c r="CD1773" s="2237"/>
      <c r="CE1773" s="2237"/>
      <c r="CF1773" s="2237"/>
      <c r="CG1773" s="2237"/>
      <c r="CH1773" s="2237"/>
      <c r="CI1773" s="2237"/>
      <c r="CJ1773" s="2237"/>
      <c r="CK1773" s="2237"/>
      <c r="CL1773" s="2237"/>
      <c r="CM1773" s="2237"/>
      <c r="CN1773" s="2237"/>
      <c r="CO1773" s="2237"/>
      <c r="CP1773" s="2237"/>
      <c r="CQ1773" s="2237"/>
      <c r="CR1773" s="2237"/>
      <c r="CS1773" s="2237"/>
      <c r="CT1773" s="2237"/>
      <c r="CU1773" s="2237"/>
      <c r="CV1773" s="2237"/>
      <c r="CW1773" s="2237"/>
      <c r="CX1773" s="2237"/>
      <c r="CY1773" s="2237"/>
      <c r="CZ1773" s="2237"/>
      <c r="DA1773" s="2237"/>
      <c r="DB1773" s="2237"/>
      <c r="DC1773" s="2237"/>
      <c r="DD1773" s="2237"/>
      <c r="DE1773" s="2237"/>
      <c r="DF1773" s="3393" t="str">
        <f t="shared" si="269"/>
        <v>ASHP-SEER18-Replace_CAC_ElectricHeat_ER2_MF_CompE</v>
      </c>
      <c r="DG1773" s="3332"/>
      <c r="DH1773" s="2522" t="str">
        <f t="shared" si="262"/>
        <v>Heating Res ER2 12 Year EUL</v>
      </c>
      <c r="DI1773" s="3260">
        <f>(INDEX('Avoided Cost Benefits'!$B$4:$B$866,MATCH(DH1773,'Avoided Cost Benefits'!$A$4:$A$866,0)))*F1773</f>
        <v>599.45458050659965</v>
      </c>
      <c r="DJ1773" s="2507">
        <f t="shared" si="270"/>
        <v>0</v>
      </c>
      <c r="DM1773" s="252"/>
    </row>
    <row r="1774" spans="1:117">
      <c r="A1774" s="453"/>
      <c r="B1774" s="1454">
        <f t="shared" si="265"/>
        <v>354310</v>
      </c>
      <c r="C1774" s="2554" t="s">
        <v>2396</v>
      </c>
      <c r="D1774" s="3383" t="s">
        <v>1122</v>
      </c>
      <c r="E1774" s="2882" t="s">
        <v>2397</v>
      </c>
      <c r="F1774" s="3373">
        <f>ROUND(((K2819*K3012*(1/K3205-1/K3398)*K3591)/1000)*$K$3651,2)</f>
        <v>2018.52</v>
      </c>
      <c r="G1774" s="3384" t="s">
        <v>2077</v>
      </c>
      <c r="H1774" s="2213">
        <f>VLOOKUP(G1774,'CP FACTORS'!$A$3:$B$38, 2, FALSE)</f>
        <v>9.4741810000000004E-4</v>
      </c>
      <c r="I1774" s="3385">
        <f t="shared" si="261"/>
        <v>1.912382</v>
      </c>
      <c r="J1774" s="2449">
        <f t="shared" si="268"/>
        <v>6</v>
      </c>
      <c r="K1774" s="2467">
        <f t="shared" si="266"/>
        <v>603.15715144054036</v>
      </c>
      <c r="L1774" s="2649">
        <f>L2047</f>
        <v>1.5</v>
      </c>
      <c r="M1774" s="3386"/>
      <c r="N1774" s="3387"/>
      <c r="O1774" s="2702"/>
      <c r="P1774" s="635"/>
      <c r="Q1774" s="635"/>
      <c r="R1774" s="2966"/>
      <c r="S1774" s="635"/>
      <c r="T1774" s="635"/>
      <c r="U1774" s="3388"/>
      <c r="V1774" s="2962" t="s">
        <v>45</v>
      </c>
      <c r="W1774" s="3389"/>
      <c r="X1774" s="3390"/>
      <c r="Y1774" s="3369"/>
      <c r="Z1774" s="3373"/>
      <c r="AA1774" s="3373"/>
      <c r="AB1774" s="3391"/>
      <c r="AC1774" s="3369">
        <v>1312.04</v>
      </c>
      <c r="AD1774" s="3373">
        <v>1312.04</v>
      </c>
      <c r="AE1774" s="3369">
        <v>2018.52</v>
      </c>
      <c r="AF1774" s="2236">
        <f t="shared" si="267"/>
        <v>2018.52</v>
      </c>
      <c r="AG1774" s="3389"/>
      <c r="AH1774" s="2728"/>
      <c r="AI1774" s="2237"/>
      <c r="AJ1774" s="2237"/>
      <c r="AK1774" s="3392"/>
      <c r="AL1774" s="2237"/>
      <c r="AM1774" s="2237"/>
      <c r="AN1774" s="2237"/>
      <c r="AO1774" s="2237"/>
      <c r="AP1774" s="2237"/>
      <c r="AQ1774" s="2237"/>
      <c r="AR1774" s="2237"/>
      <c r="AS1774" s="2237"/>
      <c r="AT1774" s="2237"/>
      <c r="AU1774" s="2237"/>
      <c r="AV1774" s="2237"/>
      <c r="AW1774" s="2237"/>
      <c r="AX1774" s="2237"/>
      <c r="AY1774" s="2237"/>
      <c r="AZ1774" s="2237"/>
      <c r="BA1774" s="2237"/>
      <c r="BB1774" s="2237"/>
      <c r="BC1774" s="2237"/>
      <c r="BD1774" s="2237"/>
      <c r="BE1774" s="2237"/>
      <c r="BF1774" s="2237"/>
      <c r="BG1774" s="2237"/>
      <c r="BH1774" s="2237"/>
      <c r="BI1774" s="2237"/>
      <c r="BJ1774" s="2237"/>
      <c r="BK1774" s="2237"/>
      <c r="BL1774" s="2237"/>
      <c r="BM1774" s="2237"/>
      <c r="BN1774" s="2237"/>
      <c r="BO1774" s="2237"/>
      <c r="BP1774" s="2237"/>
      <c r="BQ1774" s="2237"/>
      <c r="BR1774" s="2237"/>
      <c r="BS1774" s="2237"/>
      <c r="BT1774" s="2237"/>
      <c r="BU1774" s="2237"/>
      <c r="BV1774" s="2237"/>
      <c r="BW1774" s="2237"/>
      <c r="BX1774" s="2237"/>
      <c r="BY1774" s="2237"/>
      <c r="BZ1774" s="2237"/>
      <c r="CA1774" s="2237"/>
      <c r="CB1774" s="2237"/>
      <c r="CC1774" s="2237"/>
      <c r="CD1774" s="2237"/>
      <c r="CE1774" s="2237"/>
      <c r="CF1774" s="2237"/>
      <c r="CG1774" s="2237"/>
      <c r="CH1774" s="2237"/>
      <c r="CI1774" s="2237"/>
      <c r="CJ1774" s="2237"/>
      <c r="CK1774" s="2237"/>
      <c r="CL1774" s="2237"/>
      <c r="CM1774" s="2237"/>
      <c r="CN1774" s="2237"/>
      <c r="CO1774" s="2237"/>
      <c r="CP1774" s="2237"/>
      <c r="CQ1774" s="2237"/>
      <c r="CR1774" s="2237"/>
      <c r="CS1774" s="2237"/>
      <c r="CT1774" s="2237"/>
      <c r="CU1774" s="2237"/>
      <c r="CV1774" s="2237"/>
      <c r="CW1774" s="2237"/>
      <c r="CX1774" s="2237"/>
      <c r="CY1774" s="2237"/>
      <c r="CZ1774" s="2237"/>
      <c r="DA1774" s="2237"/>
      <c r="DB1774" s="2237"/>
      <c r="DC1774" s="2237"/>
      <c r="DD1774" s="2237"/>
      <c r="DE1774" s="2237"/>
      <c r="DF1774" s="3393" t="str">
        <f t="shared" si="269"/>
        <v>ASHP-SEER18-Replace_CAC_NonElectricHeat_ER1_MF</v>
      </c>
      <c r="DG1774" s="3259">
        <f>(DI1774+DI1775+DI1776+DI1777)/(DJ1774+DJ1775+DJ1776+DJ1777)</f>
        <v>3.9726442938245272</v>
      </c>
      <c r="DH1774" s="2882" t="str">
        <f t="shared" si="262"/>
        <v>Cooling Res 6 Year EUL</v>
      </c>
      <c r="DI1774" s="3260">
        <f>(INDEX('Avoided Cost Benefits'!$B$4:$B$866,MATCH(DH1774,'Avoided Cost Benefits'!$A$4:$A$866,0)))*F1774</f>
        <v>2010.1393014106241</v>
      </c>
      <c r="DJ1774" s="2507">
        <f t="shared" si="270"/>
        <v>603.15715144054036</v>
      </c>
      <c r="DM1774" s="252"/>
    </row>
    <row r="1775" spans="1:117">
      <c r="A1775" s="453"/>
      <c r="B1775" s="1454">
        <f t="shared" si="265"/>
        <v>354310</v>
      </c>
      <c r="C1775" s="2554" t="s">
        <v>2396</v>
      </c>
      <c r="D1775" s="3383" t="s">
        <v>1122</v>
      </c>
      <c r="E1775" s="2882" t="s">
        <v>2397</v>
      </c>
      <c r="F1775" s="3373">
        <v>0</v>
      </c>
      <c r="G1775" s="3384" t="s">
        <v>2078</v>
      </c>
      <c r="H1775" s="2213">
        <f>VLOOKUP(G1775,'CP FACTORS'!$A$3:$B$38, 2, FALSE)</f>
        <v>0</v>
      </c>
      <c r="I1775" s="3385">
        <f t="shared" si="261"/>
        <v>0</v>
      </c>
      <c r="J1775" s="2449">
        <f t="shared" si="268"/>
        <v>6</v>
      </c>
      <c r="K1775" s="2894">
        <f t="shared" si="266"/>
        <v>0</v>
      </c>
      <c r="L1775" s="2649"/>
      <c r="M1775" s="3386"/>
      <c r="N1775" s="3387"/>
      <c r="O1775" s="2702"/>
      <c r="P1775" s="635"/>
      <c r="Q1775" s="635"/>
      <c r="R1775" s="2966"/>
      <c r="S1775" s="635"/>
      <c r="T1775" s="635"/>
      <c r="U1775" s="3388"/>
      <c r="V1775" s="2962" t="s">
        <v>45</v>
      </c>
      <c r="W1775" s="3389"/>
      <c r="X1775" s="3390"/>
      <c r="Y1775" s="3369"/>
      <c r="Z1775" s="3373"/>
      <c r="AA1775" s="3373"/>
      <c r="AB1775" s="3391"/>
      <c r="AC1775" s="3369">
        <v>0</v>
      </c>
      <c r="AD1775" s="3373">
        <v>0</v>
      </c>
      <c r="AE1775" s="3373">
        <v>0</v>
      </c>
      <c r="AF1775" s="2236">
        <f t="shared" si="267"/>
        <v>0</v>
      </c>
      <c r="AG1775" s="3389"/>
      <c r="AH1775" s="2728"/>
      <c r="AI1775" s="2237"/>
      <c r="AJ1775" s="2237"/>
      <c r="AK1775" s="3392"/>
      <c r="AL1775" s="2237"/>
      <c r="AM1775" s="2237"/>
      <c r="AN1775" s="2237"/>
      <c r="AO1775" s="2237"/>
      <c r="AP1775" s="2237"/>
      <c r="AQ1775" s="2237"/>
      <c r="AR1775" s="2237"/>
      <c r="AS1775" s="2237"/>
      <c r="AT1775" s="2237"/>
      <c r="AU1775" s="2237"/>
      <c r="AV1775" s="2237"/>
      <c r="AW1775" s="2237"/>
      <c r="AX1775" s="2237"/>
      <c r="AY1775" s="2237"/>
      <c r="AZ1775" s="2237"/>
      <c r="BA1775" s="2237"/>
      <c r="BB1775" s="2237"/>
      <c r="BC1775" s="2237"/>
      <c r="BD1775" s="2237"/>
      <c r="BE1775" s="2237"/>
      <c r="BF1775" s="2237"/>
      <c r="BG1775" s="2237"/>
      <c r="BH1775" s="2237"/>
      <c r="BI1775" s="2237"/>
      <c r="BJ1775" s="2237"/>
      <c r="BK1775" s="2237"/>
      <c r="BL1775" s="2237"/>
      <c r="BM1775" s="2237"/>
      <c r="BN1775" s="2237"/>
      <c r="BO1775" s="2237"/>
      <c r="BP1775" s="2237"/>
      <c r="BQ1775" s="2237"/>
      <c r="BR1775" s="2237"/>
      <c r="BS1775" s="2237"/>
      <c r="BT1775" s="2237"/>
      <c r="BU1775" s="2237"/>
      <c r="BV1775" s="2237"/>
      <c r="BW1775" s="2237"/>
      <c r="BX1775" s="2237"/>
      <c r="BY1775" s="2237"/>
      <c r="BZ1775" s="2237"/>
      <c r="CA1775" s="2237"/>
      <c r="CB1775" s="2237"/>
      <c r="CC1775" s="2237"/>
      <c r="CD1775" s="2237"/>
      <c r="CE1775" s="2237"/>
      <c r="CF1775" s="2237"/>
      <c r="CG1775" s="2237"/>
      <c r="CH1775" s="2237"/>
      <c r="CI1775" s="2237"/>
      <c r="CJ1775" s="2237"/>
      <c r="CK1775" s="2237"/>
      <c r="CL1775" s="2237"/>
      <c r="CM1775" s="2237"/>
      <c r="CN1775" s="2237"/>
      <c r="CO1775" s="2237"/>
      <c r="CP1775" s="2237"/>
      <c r="CQ1775" s="2237"/>
      <c r="CR1775" s="2237"/>
      <c r="CS1775" s="2237"/>
      <c r="CT1775" s="2237"/>
      <c r="CU1775" s="2237"/>
      <c r="CV1775" s="2237"/>
      <c r="CW1775" s="2237"/>
      <c r="CX1775" s="2237"/>
      <c r="CY1775" s="2237"/>
      <c r="CZ1775" s="2237"/>
      <c r="DA1775" s="2237"/>
      <c r="DB1775" s="2237"/>
      <c r="DC1775" s="2237"/>
      <c r="DD1775" s="2237"/>
      <c r="DE1775" s="2237"/>
      <c r="DF1775" s="3393" t="str">
        <f t="shared" si="269"/>
        <v>ASHP-SEER18-Replace_CAC_NonElectricHeat_ER1_MF</v>
      </c>
      <c r="DG1775" s="3332"/>
      <c r="DH1775" s="2882" t="str">
        <f t="shared" si="262"/>
        <v>Heating Res 6 Year EUL</v>
      </c>
      <c r="DI1775" s="3260">
        <f>(INDEX('Avoided Cost Benefits'!$B$4:$B$866,MATCH(DH1775,'Avoided Cost Benefits'!$A$4:$A$866,0)))*F1775</f>
        <v>0</v>
      </c>
      <c r="DJ1775" s="2507">
        <f t="shared" si="270"/>
        <v>0</v>
      </c>
      <c r="DM1775" s="252"/>
    </row>
    <row r="1776" spans="1:117">
      <c r="A1776" s="453"/>
      <c r="B1776" s="1454">
        <f t="shared" si="265"/>
        <v>354310</v>
      </c>
      <c r="C1776" s="2554" t="s">
        <v>2396</v>
      </c>
      <c r="D1776" s="3383" t="s">
        <v>1122</v>
      </c>
      <c r="E1776" s="2882" t="s">
        <v>2398</v>
      </c>
      <c r="F1776" s="3369">
        <f>ROUND(((K2820*K3013*(1/K3206-1/K3399)*K3592)/1000)*$K$3651,2)</f>
        <v>298.31</v>
      </c>
      <c r="G1776" s="3384" t="s">
        <v>2138</v>
      </c>
      <c r="H1776" s="2213">
        <f>VLOOKUP(G1776,'CP FACTORS'!$A$3:$B$38, 2, FALSE)</f>
        <v>9.4741810000000004E-4</v>
      </c>
      <c r="I1776" s="3394">
        <f t="shared" si="261"/>
        <v>0.28262399999999999</v>
      </c>
      <c r="J1776" s="2449">
        <f t="shared" si="268"/>
        <v>12</v>
      </c>
      <c r="K1776" s="2894">
        <f t="shared" si="266"/>
        <v>0</v>
      </c>
      <c r="L1776" s="2649"/>
      <c r="M1776" s="3386"/>
      <c r="N1776" s="3387"/>
      <c r="O1776" s="2702"/>
      <c r="P1776" s="635"/>
      <c r="Q1776" s="635"/>
      <c r="R1776" s="2966"/>
      <c r="S1776" s="635"/>
      <c r="T1776" s="635"/>
      <c r="U1776" s="3388"/>
      <c r="V1776" s="2962" t="s">
        <v>45</v>
      </c>
      <c r="W1776" s="3389"/>
      <c r="X1776" s="3390"/>
      <c r="Y1776" s="3369"/>
      <c r="Z1776" s="3373"/>
      <c r="AA1776" s="3373"/>
      <c r="AB1776" s="3391"/>
      <c r="AC1776" s="3369">
        <v>217.25</v>
      </c>
      <c r="AD1776" s="3373">
        <v>217.25</v>
      </c>
      <c r="AE1776" s="3369">
        <v>248.29</v>
      </c>
      <c r="AF1776" s="2236">
        <f t="shared" si="267"/>
        <v>298.31</v>
      </c>
      <c r="AG1776" s="3389"/>
      <c r="AH1776" s="2728"/>
      <c r="AI1776" s="2237"/>
      <c r="AJ1776" s="2237"/>
      <c r="AK1776" s="3392"/>
      <c r="AL1776" s="2237"/>
      <c r="AM1776" s="2237"/>
      <c r="AN1776" s="2237"/>
      <c r="AO1776" s="2237"/>
      <c r="AP1776" s="2237"/>
      <c r="AQ1776" s="2237"/>
      <c r="AR1776" s="2237"/>
      <c r="AS1776" s="2237"/>
      <c r="AT1776" s="2237"/>
      <c r="AU1776" s="2237"/>
      <c r="AV1776" s="2237"/>
      <c r="AW1776" s="2237"/>
      <c r="AX1776" s="2237"/>
      <c r="AY1776" s="2237"/>
      <c r="AZ1776" s="2237"/>
      <c r="BA1776" s="2237"/>
      <c r="BB1776" s="2237"/>
      <c r="BC1776" s="2237"/>
      <c r="BD1776" s="2237"/>
      <c r="BE1776" s="2237"/>
      <c r="BF1776" s="2237"/>
      <c r="BG1776" s="2237"/>
      <c r="BH1776" s="2237"/>
      <c r="BI1776" s="2237"/>
      <c r="BJ1776" s="2237"/>
      <c r="BK1776" s="2237"/>
      <c r="BL1776" s="2237"/>
      <c r="BM1776" s="2237"/>
      <c r="BN1776" s="2237"/>
      <c r="BO1776" s="2237"/>
      <c r="BP1776" s="2237"/>
      <c r="BQ1776" s="2237"/>
      <c r="BR1776" s="2237"/>
      <c r="BS1776" s="2237"/>
      <c r="BT1776" s="2237"/>
      <c r="BU1776" s="2237"/>
      <c r="BV1776" s="2237"/>
      <c r="BW1776" s="2237"/>
      <c r="BX1776" s="2237"/>
      <c r="BY1776" s="2237"/>
      <c r="BZ1776" s="2237"/>
      <c r="CA1776" s="2237"/>
      <c r="CB1776" s="2237"/>
      <c r="CC1776" s="2237"/>
      <c r="CD1776" s="2237"/>
      <c r="CE1776" s="2237"/>
      <c r="CF1776" s="2237"/>
      <c r="CG1776" s="2237"/>
      <c r="CH1776" s="2237"/>
      <c r="CI1776" s="2237"/>
      <c r="CJ1776" s="2237"/>
      <c r="CK1776" s="2237"/>
      <c r="CL1776" s="2237"/>
      <c r="CM1776" s="2237"/>
      <c r="CN1776" s="2237"/>
      <c r="CO1776" s="2237"/>
      <c r="CP1776" s="2237"/>
      <c r="CQ1776" s="2237"/>
      <c r="CR1776" s="2237"/>
      <c r="CS1776" s="2237"/>
      <c r="CT1776" s="2237"/>
      <c r="CU1776" s="2237"/>
      <c r="CV1776" s="2237"/>
      <c r="CW1776" s="2237"/>
      <c r="CX1776" s="2237"/>
      <c r="CY1776" s="2237"/>
      <c r="CZ1776" s="2237"/>
      <c r="DA1776" s="2237"/>
      <c r="DB1776" s="2237"/>
      <c r="DC1776" s="2237"/>
      <c r="DD1776" s="2237"/>
      <c r="DE1776" s="2237"/>
      <c r="DF1776" s="3393" t="str">
        <f t="shared" si="269"/>
        <v>ASHP-SEER18-Replace_CAC_NonElectricHeat_ER2_MF</v>
      </c>
      <c r="DG1776" s="3332"/>
      <c r="DH1776" s="2882" t="str">
        <f t="shared" si="262"/>
        <v>Cooling Res ER2 12 Year EUL</v>
      </c>
      <c r="DI1776" s="3260">
        <f>(INDEX('Avoided Cost Benefits'!$B$4:$B$866,MATCH(DH1776,'Avoided Cost Benefits'!$A$4:$A$866,0)))*F1776</f>
        <v>385.98951453909484</v>
      </c>
      <c r="DJ1776" s="2507">
        <f t="shared" si="270"/>
        <v>0</v>
      </c>
      <c r="DM1776" s="252"/>
    </row>
    <row r="1777" spans="1:117">
      <c r="A1777" s="453"/>
      <c r="B1777" s="1454">
        <f t="shared" si="265"/>
        <v>354310</v>
      </c>
      <c r="C1777" s="2554" t="s">
        <v>2396</v>
      </c>
      <c r="D1777" s="3383" t="s">
        <v>1122</v>
      </c>
      <c r="E1777" s="2522" t="s">
        <v>2398</v>
      </c>
      <c r="F1777" s="3373">
        <v>0</v>
      </c>
      <c r="G1777" s="3384" t="s">
        <v>2173</v>
      </c>
      <c r="H1777" s="2213">
        <f>VLOOKUP(G1777,'CP FACTORS'!$A$3:$B$38, 2, FALSE)</f>
        <v>0</v>
      </c>
      <c r="I1777" s="3385">
        <f t="shared" si="261"/>
        <v>0</v>
      </c>
      <c r="J1777" s="2449">
        <f t="shared" si="268"/>
        <v>12</v>
      </c>
      <c r="K1777" s="2894">
        <f t="shared" si="266"/>
        <v>0</v>
      </c>
      <c r="L1777" s="2649"/>
      <c r="M1777" s="3386"/>
      <c r="N1777" s="3387"/>
      <c r="O1777" s="2702"/>
      <c r="P1777" s="635"/>
      <c r="Q1777" s="635"/>
      <c r="R1777" s="2966"/>
      <c r="S1777" s="635"/>
      <c r="T1777" s="635"/>
      <c r="U1777" s="3388"/>
      <c r="V1777" s="2962" t="s">
        <v>45</v>
      </c>
      <c r="W1777" s="3389"/>
      <c r="X1777" s="3390"/>
      <c r="Y1777" s="3369"/>
      <c r="Z1777" s="3373"/>
      <c r="AA1777" s="3373"/>
      <c r="AB1777" s="3391"/>
      <c r="AC1777" s="3369">
        <v>0</v>
      </c>
      <c r="AD1777" s="3373">
        <v>0</v>
      </c>
      <c r="AE1777" s="3373">
        <v>0</v>
      </c>
      <c r="AF1777" s="2236">
        <f t="shared" si="267"/>
        <v>0</v>
      </c>
      <c r="AG1777" s="3389"/>
      <c r="AH1777" s="2728"/>
      <c r="AI1777" s="2237"/>
      <c r="AJ1777" s="2237"/>
      <c r="AK1777" s="3392"/>
      <c r="AL1777" s="2237"/>
      <c r="AM1777" s="2237"/>
      <c r="AN1777" s="2237"/>
      <c r="AO1777" s="2237"/>
      <c r="AP1777" s="2237"/>
      <c r="AQ1777" s="2237"/>
      <c r="AR1777" s="2237"/>
      <c r="AS1777" s="2237"/>
      <c r="AT1777" s="2237"/>
      <c r="AU1777" s="2237"/>
      <c r="AV1777" s="2237"/>
      <c r="AW1777" s="2237"/>
      <c r="AX1777" s="2237"/>
      <c r="AY1777" s="2237"/>
      <c r="AZ1777" s="2237"/>
      <c r="BA1777" s="2237"/>
      <c r="BB1777" s="2237"/>
      <c r="BC1777" s="2237"/>
      <c r="BD1777" s="2237"/>
      <c r="BE1777" s="2237"/>
      <c r="BF1777" s="2237"/>
      <c r="BG1777" s="2237"/>
      <c r="BH1777" s="2237"/>
      <c r="BI1777" s="2237"/>
      <c r="BJ1777" s="2237"/>
      <c r="BK1777" s="2237"/>
      <c r="BL1777" s="2237"/>
      <c r="BM1777" s="2237"/>
      <c r="BN1777" s="2237"/>
      <c r="BO1777" s="2237"/>
      <c r="BP1777" s="2237"/>
      <c r="BQ1777" s="2237"/>
      <c r="BR1777" s="2237"/>
      <c r="BS1777" s="2237"/>
      <c r="BT1777" s="2237"/>
      <c r="BU1777" s="2237"/>
      <c r="BV1777" s="2237"/>
      <c r="BW1777" s="2237"/>
      <c r="BX1777" s="2237"/>
      <c r="BY1777" s="2237"/>
      <c r="BZ1777" s="2237"/>
      <c r="CA1777" s="2237"/>
      <c r="CB1777" s="2237"/>
      <c r="CC1777" s="2237"/>
      <c r="CD1777" s="2237"/>
      <c r="CE1777" s="2237"/>
      <c r="CF1777" s="2237"/>
      <c r="CG1777" s="2237"/>
      <c r="CH1777" s="2237"/>
      <c r="CI1777" s="2237"/>
      <c r="CJ1777" s="2237"/>
      <c r="CK1777" s="2237"/>
      <c r="CL1777" s="2237"/>
      <c r="CM1777" s="2237"/>
      <c r="CN1777" s="2237"/>
      <c r="CO1777" s="2237"/>
      <c r="CP1777" s="2237"/>
      <c r="CQ1777" s="2237"/>
      <c r="CR1777" s="2237"/>
      <c r="CS1777" s="2237"/>
      <c r="CT1777" s="2237"/>
      <c r="CU1777" s="2237"/>
      <c r="CV1777" s="2237"/>
      <c r="CW1777" s="2237"/>
      <c r="CX1777" s="2237"/>
      <c r="CY1777" s="2237"/>
      <c r="CZ1777" s="2237"/>
      <c r="DA1777" s="2237"/>
      <c r="DB1777" s="2237"/>
      <c r="DC1777" s="2237"/>
      <c r="DD1777" s="2237"/>
      <c r="DE1777" s="2237"/>
      <c r="DF1777" s="3393" t="str">
        <f t="shared" si="269"/>
        <v>ASHP-SEER18-Replace_CAC_NonElectricHeat_ER2_MF</v>
      </c>
      <c r="DG1777" s="3332"/>
      <c r="DH1777" s="2522" t="str">
        <f t="shared" si="262"/>
        <v>Heating Res ER2 12 Year EUL</v>
      </c>
      <c r="DI1777" s="3260">
        <f>(INDEX('Avoided Cost Benefits'!$B$4:$B$866,MATCH(DH1777,'Avoided Cost Benefits'!$A$4:$A$866,0)))*F1777</f>
        <v>0</v>
      </c>
      <c r="DJ1777" s="2507">
        <f t="shared" si="270"/>
        <v>0</v>
      </c>
      <c r="DM1777" s="252"/>
    </row>
    <row r="1778" spans="1:117">
      <c r="A1778" s="453"/>
      <c r="B1778" s="1454">
        <f t="shared" si="265"/>
        <v>354311</v>
      </c>
      <c r="C1778" s="2554" t="s">
        <v>2399</v>
      </c>
      <c r="D1778" s="3383" t="s">
        <v>1118</v>
      </c>
      <c r="E1778" s="2882" t="s">
        <v>2400</v>
      </c>
      <c r="F1778" s="3373">
        <f>ROUND(((K2821*K3014*(1/K3207-1/K3400)*K3593)/1000)*$K$3651,2)</f>
        <v>733.67</v>
      </c>
      <c r="G1778" s="3384" t="s">
        <v>2077</v>
      </c>
      <c r="H1778" s="2213">
        <f>VLOOKUP(G1778,'CP FACTORS'!$A$3:$B$38, 2, FALSE)</f>
        <v>9.4741810000000004E-4</v>
      </c>
      <c r="I1778" s="3385">
        <f t="shared" si="261"/>
        <v>0.69509200000000004</v>
      </c>
      <c r="J1778" s="2449">
        <f t="shared" si="268"/>
        <v>6</v>
      </c>
      <c r="K1778" s="2467">
        <f t="shared" si="266"/>
        <v>700.0064619387266</v>
      </c>
      <c r="L1778" s="2649">
        <f>L2049</f>
        <v>1.5</v>
      </c>
      <c r="M1778" s="3386"/>
      <c r="N1778" s="3387"/>
      <c r="O1778" s="2702"/>
      <c r="P1778" s="635"/>
      <c r="Q1778" s="635"/>
      <c r="R1778" s="2966"/>
      <c r="S1778" s="635"/>
      <c r="T1778" s="635"/>
      <c r="U1778" s="3388"/>
      <c r="V1778" s="2962" t="s">
        <v>45</v>
      </c>
      <c r="W1778" s="3389"/>
      <c r="X1778" s="3390"/>
      <c r="Y1778" s="3369"/>
      <c r="Z1778" s="3373"/>
      <c r="AA1778" s="3373"/>
      <c r="AB1778" s="3391"/>
      <c r="AC1778" s="3369">
        <v>476.88</v>
      </c>
      <c r="AD1778" s="3373">
        <v>476.88</v>
      </c>
      <c r="AE1778" s="3369">
        <v>733.67</v>
      </c>
      <c r="AF1778" s="2236">
        <f t="shared" si="267"/>
        <v>733.67</v>
      </c>
      <c r="AG1778" s="3389"/>
      <c r="AH1778" s="2728"/>
      <c r="AI1778" s="2237"/>
      <c r="AJ1778" s="2237"/>
      <c r="AK1778" s="3392"/>
      <c r="AL1778" s="2237"/>
      <c r="AM1778" s="2237"/>
      <c r="AN1778" s="2237"/>
      <c r="AO1778" s="2237"/>
      <c r="AP1778" s="2237"/>
      <c r="AQ1778" s="2237"/>
      <c r="AR1778" s="2237"/>
      <c r="AS1778" s="2237"/>
      <c r="AT1778" s="2237"/>
      <c r="AU1778" s="2237"/>
      <c r="AV1778" s="2237"/>
      <c r="AW1778" s="2237"/>
      <c r="AX1778" s="2237"/>
      <c r="AY1778" s="2237"/>
      <c r="AZ1778" s="2237"/>
      <c r="BA1778" s="2237"/>
      <c r="BB1778" s="2237"/>
      <c r="BC1778" s="2237"/>
      <c r="BD1778" s="2237"/>
      <c r="BE1778" s="2237"/>
      <c r="BF1778" s="2237"/>
      <c r="BG1778" s="2237"/>
      <c r="BH1778" s="2237"/>
      <c r="BI1778" s="2237"/>
      <c r="BJ1778" s="2237"/>
      <c r="BK1778" s="2237"/>
      <c r="BL1778" s="2237"/>
      <c r="BM1778" s="2237"/>
      <c r="BN1778" s="2237"/>
      <c r="BO1778" s="2237"/>
      <c r="BP1778" s="2237"/>
      <c r="BQ1778" s="2237"/>
      <c r="BR1778" s="2237"/>
      <c r="BS1778" s="2237"/>
      <c r="BT1778" s="2237"/>
      <c r="BU1778" s="2237"/>
      <c r="BV1778" s="2237"/>
      <c r="BW1778" s="2237"/>
      <c r="BX1778" s="2237"/>
      <c r="BY1778" s="2237"/>
      <c r="BZ1778" s="2237"/>
      <c r="CA1778" s="2237"/>
      <c r="CB1778" s="2237"/>
      <c r="CC1778" s="2237"/>
      <c r="CD1778" s="2237"/>
      <c r="CE1778" s="2237"/>
      <c r="CF1778" s="2237"/>
      <c r="CG1778" s="2237"/>
      <c r="CH1778" s="2237"/>
      <c r="CI1778" s="2237"/>
      <c r="CJ1778" s="2237"/>
      <c r="CK1778" s="2237"/>
      <c r="CL1778" s="2237"/>
      <c r="CM1778" s="2237"/>
      <c r="CN1778" s="2237"/>
      <c r="CO1778" s="2237"/>
      <c r="CP1778" s="2237"/>
      <c r="CQ1778" s="2237"/>
      <c r="CR1778" s="2237"/>
      <c r="CS1778" s="2237"/>
      <c r="CT1778" s="2237"/>
      <c r="CU1778" s="2237"/>
      <c r="CV1778" s="2237"/>
      <c r="CW1778" s="2237"/>
      <c r="CX1778" s="2237"/>
      <c r="CY1778" s="2237"/>
      <c r="CZ1778" s="2237"/>
      <c r="DA1778" s="2237"/>
      <c r="DB1778" s="2237"/>
      <c r="DC1778" s="2237"/>
      <c r="DD1778" s="2237"/>
      <c r="DE1778" s="2237"/>
      <c r="DF1778" s="3393" t="str">
        <f t="shared" si="269"/>
        <v>ASHP-SEER18-Replace_CAC_NonElectricHeat_ER1_MF_CompE</v>
      </c>
      <c r="DG1778" s="3259">
        <f>(DI1778+DI1779+DI1780+DI1781)/(DJ1778+DJ1779+DJ1780+DJ1781)</f>
        <v>1.4447765639668102</v>
      </c>
      <c r="DH1778" s="2882" t="str">
        <f t="shared" si="262"/>
        <v>Cooling Res 6 Year EUL</v>
      </c>
      <c r="DI1778" s="3260">
        <f>(INDEX('Avoided Cost Benefits'!$B$4:$B$866,MATCH(DH1778,'Avoided Cost Benefits'!$A$4:$A$866,0)))*F1778</f>
        <v>730.62387356376576</v>
      </c>
      <c r="DJ1778" s="2507">
        <f t="shared" si="270"/>
        <v>700.0064619387266</v>
      </c>
      <c r="DM1778" s="252"/>
    </row>
    <row r="1779" spans="1:117">
      <c r="A1779" s="453"/>
      <c r="B1779" s="1454">
        <f t="shared" si="265"/>
        <v>354311</v>
      </c>
      <c r="C1779" s="2554" t="s">
        <v>2399</v>
      </c>
      <c r="D1779" s="3383" t="s">
        <v>1118</v>
      </c>
      <c r="E1779" s="2882" t="s">
        <v>2400</v>
      </c>
      <c r="F1779" s="3373">
        <v>0</v>
      </c>
      <c r="G1779" s="3384" t="s">
        <v>2078</v>
      </c>
      <c r="H1779" s="2213">
        <f>VLOOKUP(G1779,'CP FACTORS'!$A$3:$B$38, 2, FALSE)</f>
        <v>0</v>
      </c>
      <c r="I1779" s="3385">
        <f t="shared" si="261"/>
        <v>0</v>
      </c>
      <c r="J1779" s="2449">
        <f t="shared" si="268"/>
        <v>6</v>
      </c>
      <c r="K1779" s="2894">
        <f t="shared" si="266"/>
        <v>0</v>
      </c>
      <c r="L1779" s="2649"/>
      <c r="M1779" s="3386"/>
      <c r="N1779" s="3387"/>
      <c r="O1779" s="2702"/>
      <c r="P1779" s="635"/>
      <c r="Q1779" s="635"/>
      <c r="R1779" s="2966"/>
      <c r="S1779" s="635"/>
      <c r="T1779" s="635"/>
      <c r="U1779" s="3388"/>
      <c r="V1779" s="2962" t="s">
        <v>45</v>
      </c>
      <c r="W1779" s="3389"/>
      <c r="X1779" s="3390"/>
      <c r="Y1779" s="3369"/>
      <c r="Z1779" s="3373"/>
      <c r="AA1779" s="3373"/>
      <c r="AB1779" s="3391"/>
      <c r="AC1779" s="3369">
        <v>0</v>
      </c>
      <c r="AD1779" s="3373">
        <v>0</v>
      </c>
      <c r="AE1779" s="3373">
        <v>0</v>
      </c>
      <c r="AF1779" s="2236">
        <f t="shared" si="267"/>
        <v>0</v>
      </c>
      <c r="AG1779" s="3389"/>
      <c r="AH1779" s="2728"/>
      <c r="AI1779" s="2237"/>
      <c r="AJ1779" s="2237"/>
      <c r="AK1779" s="3392"/>
      <c r="AL1779" s="2237"/>
      <c r="AM1779" s="2237"/>
      <c r="AN1779" s="2237"/>
      <c r="AO1779" s="2237"/>
      <c r="AP1779" s="2237"/>
      <c r="AQ1779" s="2237"/>
      <c r="AR1779" s="2237"/>
      <c r="AS1779" s="2237"/>
      <c r="AT1779" s="2237"/>
      <c r="AU1779" s="2237"/>
      <c r="AV1779" s="2237"/>
      <c r="AW1779" s="2237"/>
      <c r="AX1779" s="2237"/>
      <c r="AY1779" s="2237"/>
      <c r="AZ1779" s="2237"/>
      <c r="BA1779" s="2237"/>
      <c r="BB1779" s="2237"/>
      <c r="BC1779" s="2237"/>
      <c r="BD1779" s="2237"/>
      <c r="BE1779" s="2237"/>
      <c r="BF1779" s="2237"/>
      <c r="BG1779" s="2237"/>
      <c r="BH1779" s="2237"/>
      <c r="BI1779" s="2237"/>
      <c r="BJ1779" s="2237"/>
      <c r="BK1779" s="2237"/>
      <c r="BL1779" s="2237"/>
      <c r="BM1779" s="2237"/>
      <c r="BN1779" s="2237"/>
      <c r="BO1779" s="2237"/>
      <c r="BP1779" s="2237"/>
      <c r="BQ1779" s="2237"/>
      <c r="BR1779" s="2237"/>
      <c r="BS1779" s="2237"/>
      <c r="BT1779" s="2237"/>
      <c r="BU1779" s="2237"/>
      <c r="BV1779" s="2237"/>
      <c r="BW1779" s="2237"/>
      <c r="BX1779" s="2237"/>
      <c r="BY1779" s="2237"/>
      <c r="BZ1779" s="2237"/>
      <c r="CA1779" s="2237"/>
      <c r="CB1779" s="2237"/>
      <c r="CC1779" s="2237"/>
      <c r="CD1779" s="2237"/>
      <c r="CE1779" s="2237"/>
      <c r="CF1779" s="2237"/>
      <c r="CG1779" s="2237"/>
      <c r="CH1779" s="2237"/>
      <c r="CI1779" s="2237"/>
      <c r="CJ1779" s="2237"/>
      <c r="CK1779" s="2237"/>
      <c r="CL1779" s="2237"/>
      <c r="CM1779" s="2237"/>
      <c r="CN1779" s="2237"/>
      <c r="CO1779" s="2237"/>
      <c r="CP1779" s="2237"/>
      <c r="CQ1779" s="2237"/>
      <c r="CR1779" s="2237"/>
      <c r="CS1779" s="2237"/>
      <c r="CT1779" s="2237"/>
      <c r="CU1779" s="2237"/>
      <c r="CV1779" s="2237"/>
      <c r="CW1779" s="2237"/>
      <c r="CX1779" s="2237"/>
      <c r="CY1779" s="2237"/>
      <c r="CZ1779" s="2237"/>
      <c r="DA1779" s="2237"/>
      <c r="DB1779" s="2237"/>
      <c r="DC1779" s="2237"/>
      <c r="DD1779" s="2237"/>
      <c r="DE1779" s="2237"/>
      <c r="DF1779" s="3393" t="str">
        <f t="shared" si="269"/>
        <v>ASHP-SEER18-Replace_CAC_NonElectricHeat_ER1_MF_CompE</v>
      </c>
      <c r="DG1779" s="3332"/>
      <c r="DH1779" s="2882" t="str">
        <f t="shared" si="262"/>
        <v>Heating Res 6 Year EUL</v>
      </c>
      <c r="DI1779" s="3260">
        <f>(INDEX('Avoided Cost Benefits'!$B$4:$B$866,MATCH(DH1779,'Avoided Cost Benefits'!$A$4:$A$866,0)))*F1779</f>
        <v>0</v>
      </c>
      <c r="DJ1779" s="2507">
        <f t="shared" si="270"/>
        <v>0</v>
      </c>
      <c r="DM1779" s="252"/>
    </row>
    <row r="1780" spans="1:117">
      <c r="A1780" s="453"/>
      <c r="B1780" s="1454">
        <f t="shared" si="265"/>
        <v>354311</v>
      </c>
      <c r="C1780" s="2554" t="s">
        <v>2399</v>
      </c>
      <c r="D1780" s="3383" t="s">
        <v>1118</v>
      </c>
      <c r="E1780" s="2882" t="s">
        <v>2401</v>
      </c>
      <c r="F1780" s="3369">
        <f>ROUND(((K2822*K3015*(1/K3208-1/K3401)*K3594)/1000)*$K$3651,2)</f>
        <v>216.96</v>
      </c>
      <c r="G1780" s="3384" t="s">
        <v>2138</v>
      </c>
      <c r="H1780" s="2213">
        <f>VLOOKUP(G1780,'CP FACTORS'!$A$3:$B$38, 2, FALSE)</f>
        <v>9.4741810000000004E-4</v>
      </c>
      <c r="I1780" s="3394">
        <f t="shared" si="261"/>
        <v>0.20555200000000001</v>
      </c>
      <c r="J1780" s="2449">
        <f t="shared" si="268"/>
        <v>12</v>
      </c>
      <c r="K1780" s="2894">
        <f t="shared" si="266"/>
        <v>0</v>
      </c>
      <c r="L1780" s="2649"/>
      <c r="M1780" s="3386"/>
      <c r="N1780" s="3387"/>
      <c r="O1780" s="2702"/>
      <c r="P1780" s="635"/>
      <c r="Q1780" s="635"/>
      <c r="R1780" s="2966"/>
      <c r="S1780" s="635"/>
      <c r="T1780" s="635"/>
      <c r="U1780" s="3388"/>
      <c r="V1780" s="2962" t="s">
        <v>45</v>
      </c>
      <c r="W1780" s="3389"/>
      <c r="X1780" s="3390"/>
      <c r="Y1780" s="3369"/>
      <c r="Z1780" s="3373"/>
      <c r="AA1780" s="3373"/>
      <c r="AB1780" s="3391"/>
      <c r="AC1780" s="3369">
        <v>158</v>
      </c>
      <c r="AD1780" s="3373">
        <v>158</v>
      </c>
      <c r="AE1780" s="3369">
        <v>180.57</v>
      </c>
      <c r="AF1780" s="2236">
        <f t="shared" si="267"/>
        <v>216.96</v>
      </c>
      <c r="AG1780" s="3389"/>
      <c r="AH1780" s="2728"/>
      <c r="AI1780" s="2237"/>
      <c r="AJ1780" s="2237"/>
      <c r="AK1780" s="3392"/>
      <c r="AL1780" s="2237"/>
      <c r="AM1780" s="2237"/>
      <c r="AN1780" s="2237"/>
      <c r="AO1780" s="2237"/>
      <c r="AP1780" s="2237"/>
      <c r="AQ1780" s="2237"/>
      <c r="AR1780" s="2237"/>
      <c r="AS1780" s="2237"/>
      <c r="AT1780" s="2237"/>
      <c r="AU1780" s="2237"/>
      <c r="AV1780" s="2237"/>
      <c r="AW1780" s="2237"/>
      <c r="AX1780" s="2237"/>
      <c r="AY1780" s="2237"/>
      <c r="AZ1780" s="2237"/>
      <c r="BA1780" s="2237"/>
      <c r="BB1780" s="2237"/>
      <c r="BC1780" s="2237"/>
      <c r="BD1780" s="2237"/>
      <c r="BE1780" s="2237"/>
      <c r="BF1780" s="2237"/>
      <c r="BG1780" s="2237"/>
      <c r="BH1780" s="2237"/>
      <c r="BI1780" s="2237"/>
      <c r="BJ1780" s="2237"/>
      <c r="BK1780" s="2237"/>
      <c r="BL1780" s="2237"/>
      <c r="BM1780" s="2237"/>
      <c r="BN1780" s="2237"/>
      <c r="BO1780" s="2237"/>
      <c r="BP1780" s="2237"/>
      <c r="BQ1780" s="2237"/>
      <c r="BR1780" s="2237"/>
      <c r="BS1780" s="2237"/>
      <c r="BT1780" s="2237"/>
      <c r="BU1780" s="2237"/>
      <c r="BV1780" s="2237"/>
      <c r="BW1780" s="2237"/>
      <c r="BX1780" s="2237"/>
      <c r="BY1780" s="2237"/>
      <c r="BZ1780" s="2237"/>
      <c r="CA1780" s="2237"/>
      <c r="CB1780" s="2237"/>
      <c r="CC1780" s="2237"/>
      <c r="CD1780" s="2237"/>
      <c r="CE1780" s="2237"/>
      <c r="CF1780" s="2237"/>
      <c r="CG1780" s="2237"/>
      <c r="CH1780" s="2237"/>
      <c r="CI1780" s="2237"/>
      <c r="CJ1780" s="2237"/>
      <c r="CK1780" s="2237"/>
      <c r="CL1780" s="2237"/>
      <c r="CM1780" s="2237"/>
      <c r="CN1780" s="2237"/>
      <c r="CO1780" s="2237"/>
      <c r="CP1780" s="2237"/>
      <c r="CQ1780" s="2237"/>
      <c r="CR1780" s="2237"/>
      <c r="CS1780" s="2237"/>
      <c r="CT1780" s="2237"/>
      <c r="CU1780" s="2237"/>
      <c r="CV1780" s="2237"/>
      <c r="CW1780" s="2237"/>
      <c r="CX1780" s="2237"/>
      <c r="CY1780" s="2237"/>
      <c r="CZ1780" s="2237"/>
      <c r="DA1780" s="2237"/>
      <c r="DB1780" s="2237"/>
      <c r="DC1780" s="2237"/>
      <c r="DD1780" s="2237"/>
      <c r="DE1780" s="2237"/>
      <c r="DF1780" s="3393" t="str">
        <f t="shared" si="269"/>
        <v>ASHP-SEER18-Replace_CAC_NonElectricHeat_ER2_MF_CompE</v>
      </c>
      <c r="DG1780" s="3332"/>
      <c r="DH1780" s="2882" t="str">
        <f t="shared" si="262"/>
        <v>Cooling Res ER2 12 Year EUL</v>
      </c>
      <c r="DI1780" s="3260">
        <f>(INDEX('Avoided Cost Benefits'!$B$4:$B$866,MATCH(DH1780,'Avoided Cost Benefits'!$A$4:$A$866,0)))*F1780</f>
        <v>280.7290572706313</v>
      </c>
      <c r="DJ1780" s="2507">
        <f t="shared" si="270"/>
        <v>0</v>
      </c>
      <c r="DM1780" s="252"/>
    </row>
    <row r="1781" spans="1:117">
      <c r="A1781" s="453"/>
      <c r="B1781" s="1454">
        <f t="shared" si="265"/>
        <v>354311</v>
      </c>
      <c r="C1781" s="2554" t="s">
        <v>2399</v>
      </c>
      <c r="D1781" s="3383" t="s">
        <v>1118</v>
      </c>
      <c r="E1781" s="2882" t="s">
        <v>2401</v>
      </c>
      <c r="F1781" s="3373">
        <f>0</f>
        <v>0</v>
      </c>
      <c r="G1781" s="3384" t="s">
        <v>2173</v>
      </c>
      <c r="H1781" s="2213">
        <f>VLOOKUP(G1781,'CP FACTORS'!$A$3:$B$38, 2, FALSE)</f>
        <v>0</v>
      </c>
      <c r="I1781" s="3385">
        <f t="shared" si="261"/>
        <v>0</v>
      </c>
      <c r="J1781" s="2449">
        <f t="shared" si="268"/>
        <v>12</v>
      </c>
      <c r="K1781" s="2894">
        <f t="shared" si="266"/>
        <v>0</v>
      </c>
      <c r="L1781" s="2649"/>
      <c r="M1781" s="3386"/>
      <c r="N1781" s="3387"/>
      <c r="O1781" s="2702"/>
      <c r="P1781" s="635"/>
      <c r="Q1781" s="635"/>
      <c r="R1781" s="2966"/>
      <c r="S1781" s="635"/>
      <c r="T1781" s="635"/>
      <c r="U1781" s="3388"/>
      <c r="V1781" s="2962" t="s">
        <v>45</v>
      </c>
      <c r="W1781" s="3389"/>
      <c r="X1781" s="3390"/>
      <c r="Y1781" s="3369"/>
      <c r="Z1781" s="3373"/>
      <c r="AA1781" s="3373"/>
      <c r="AB1781" s="3391"/>
      <c r="AC1781" s="3369">
        <v>0</v>
      </c>
      <c r="AD1781" s="3373">
        <v>0</v>
      </c>
      <c r="AE1781" s="3373">
        <v>0</v>
      </c>
      <c r="AF1781" s="2236">
        <f t="shared" si="267"/>
        <v>0</v>
      </c>
      <c r="AG1781" s="3389"/>
      <c r="AH1781" s="2728"/>
      <c r="AI1781" s="2237"/>
      <c r="AJ1781" s="2237"/>
      <c r="AK1781" s="3392"/>
      <c r="AL1781" s="2237"/>
      <c r="AM1781" s="2237"/>
      <c r="AN1781" s="2237"/>
      <c r="AO1781" s="2237"/>
      <c r="AP1781" s="2237"/>
      <c r="AQ1781" s="2237"/>
      <c r="AR1781" s="2237"/>
      <c r="AS1781" s="2237"/>
      <c r="AT1781" s="2237"/>
      <c r="AU1781" s="2237"/>
      <c r="AV1781" s="2237"/>
      <c r="AW1781" s="2237"/>
      <c r="AX1781" s="2237"/>
      <c r="AY1781" s="2237"/>
      <c r="AZ1781" s="2237"/>
      <c r="BA1781" s="2237"/>
      <c r="BB1781" s="2237"/>
      <c r="BC1781" s="2237"/>
      <c r="BD1781" s="2237"/>
      <c r="BE1781" s="2237"/>
      <c r="BF1781" s="2237"/>
      <c r="BG1781" s="2237"/>
      <c r="BH1781" s="2237"/>
      <c r="BI1781" s="2237"/>
      <c r="BJ1781" s="2237"/>
      <c r="BK1781" s="2237"/>
      <c r="BL1781" s="2237"/>
      <c r="BM1781" s="2237"/>
      <c r="BN1781" s="2237"/>
      <c r="BO1781" s="2237"/>
      <c r="BP1781" s="2237"/>
      <c r="BQ1781" s="2237"/>
      <c r="BR1781" s="2237"/>
      <c r="BS1781" s="2237"/>
      <c r="BT1781" s="2237"/>
      <c r="BU1781" s="2237"/>
      <c r="BV1781" s="2237"/>
      <c r="BW1781" s="2237"/>
      <c r="BX1781" s="2237"/>
      <c r="BY1781" s="2237"/>
      <c r="BZ1781" s="2237"/>
      <c r="CA1781" s="2237"/>
      <c r="CB1781" s="2237"/>
      <c r="CC1781" s="2237"/>
      <c r="CD1781" s="2237"/>
      <c r="CE1781" s="2237"/>
      <c r="CF1781" s="2237"/>
      <c r="CG1781" s="2237"/>
      <c r="CH1781" s="2237"/>
      <c r="CI1781" s="2237"/>
      <c r="CJ1781" s="2237"/>
      <c r="CK1781" s="2237"/>
      <c r="CL1781" s="2237"/>
      <c r="CM1781" s="2237"/>
      <c r="CN1781" s="2237"/>
      <c r="CO1781" s="2237"/>
      <c r="CP1781" s="2237"/>
      <c r="CQ1781" s="2237"/>
      <c r="CR1781" s="2237"/>
      <c r="CS1781" s="2237"/>
      <c r="CT1781" s="2237"/>
      <c r="CU1781" s="2237"/>
      <c r="CV1781" s="2237"/>
      <c r="CW1781" s="2237"/>
      <c r="CX1781" s="2237"/>
      <c r="CY1781" s="2237"/>
      <c r="CZ1781" s="2237"/>
      <c r="DA1781" s="2237"/>
      <c r="DB1781" s="2237"/>
      <c r="DC1781" s="2237"/>
      <c r="DD1781" s="2237"/>
      <c r="DE1781" s="2237"/>
      <c r="DF1781" s="3393" t="str">
        <f t="shared" si="269"/>
        <v>ASHP-SEER18-Replace_CAC_NonElectricHeat_ER2_MF_CompE</v>
      </c>
      <c r="DG1781" s="3332"/>
      <c r="DH1781" s="2882" t="str">
        <f t="shared" si="262"/>
        <v>Heating Res ER2 12 Year EUL</v>
      </c>
      <c r="DI1781" s="3260">
        <f>(INDEX('Avoided Cost Benefits'!$B$4:$B$866,MATCH(DH1781,'Avoided Cost Benefits'!$A$4:$A$866,0)))*F1781</f>
        <v>0</v>
      </c>
      <c r="DJ1781" s="2507">
        <f t="shared" si="270"/>
        <v>0</v>
      </c>
      <c r="DM1781" s="252"/>
    </row>
    <row r="1782" spans="1:117">
      <c r="A1782" s="453"/>
      <c r="B1782" s="1454">
        <f t="shared" si="265"/>
        <v>354350</v>
      </c>
      <c r="C1782" s="682" t="s">
        <v>2402</v>
      </c>
      <c r="D1782" s="3470" t="s">
        <v>959</v>
      </c>
      <c r="E1782" s="1369" t="s">
        <v>2403</v>
      </c>
      <c r="F1782" s="225">
        <f>ROUND(((K2823*K3016*(1/K3209-1/K3402)*K3595)/1000)*$K$3651,2)</f>
        <v>2464.77</v>
      </c>
      <c r="G1782" s="570" t="s">
        <v>2077</v>
      </c>
      <c r="H1782" s="69">
        <f>VLOOKUP(G1782,'CP FACTORS'!$A$3:$B$38, 2, FALSE)</f>
        <v>9.4741810000000004E-4</v>
      </c>
      <c r="I1782" s="1028">
        <f t="shared" si="261"/>
        <v>2.3351679999999999</v>
      </c>
      <c r="J1782" s="59">
        <f t="shared" si="268"/>
        <v>6</v>
      </c>
      <c r="K1782" s="166">
        <f t="shared" si="266"/>
        <v>851.66719041900797</v>
      </c>
      <c r="L1782" s="255">
        <f>L2051</f>
        <v>2.5</v>
      </c>
      <c r="M1782" s="560"/>
      <c r="N1782" s="572"/>
      <c r="O1782" s="417"/>
      <c r="R1782" s="532"/>
      <c r="S1782" s="52"/>
      <c r="T1782" s="52"/>
      <c r="U1782" s="574"/>
      <c r="V1782" s="1442" t="s">
        <v>45</v>
      </c>
      <c r="W1782" s="962">
        <v>1864.0050000000006</v>
      </c>
      <c r="X1782" s="251">
        <v>1442.5712965186076</v>
      </c>
      <c r="Y1782" s="225">
        <v>1442.57</v>
      </c>
      <c r="Z1782" s="225">
        <v>1442.57</v>
      </c>
      <c r="AA1782" s="225">
        <v>1442.57</v>
      </c>
      <c r="AB1782" s="1027">
        <v>1442.57</v>
      </c>
      <c r="AC1782" s="227">
        <v>2201.5</v>
      </c>
      <c r="AD1782" s="227">
        <v>2464.77</v>
      </c>
      <c r="AE1782" s="225">
        <v>2464.77</v>
      </c>
      <c r="AF1782" s="271">
        <f t="shared" si="267"/>
        <v>2464.77</v>
      </c>
      <c r="AG1782" s="962"/>
      <c r="AH1782" s="121"/>
      <c r="AK1782" s="963"/>
      <c r="DF1782" s="1650" t="str">
        <f t="shared" si="269"/>
        <v>ASHP-SEER18_ER1_MF</v>
      </c>
      <c r="DG1782" s="1090">
        <f>(DI1782+DI1783+DI1784+DI1785)/(DJ1782+DJ1783+DJ1784+DJ1785)</f>
        <v>4.7794321092849037</v>
      </c>
      <c r="DH1782" s="1369" t="str">
        <f t="shared" si="262"/>
        <v>Cooling Res 6 Year EUL</v>
      </c>
      <c r="DI1782" s="1091">
        <f>(INDEX('Avoided Cost Benefits'!$B$4:$B$866,MATCH(DH1782,'Avoided Cost Benefits'!$A$4:$A$866,0)))*F1782</f>
        <v>2454.5365148414999</v>
      </c>
      <c r="DJ1782" s="1176">
        <f>IFERROR(K1782/(1.0686^(2025-2025)),10000000)</f>
        <v>851.66719041900797</v>
      </c>
      <c r="DM1782" s="252"/>
    </row>
    <row r="1783" spans="1:117">
      <c r="A1783" s="453"/>
      <c r="B1783" s="1454">
        <f t="shared" si="265"/>
        <v>354350</v>
      </c>
      <c r="C1783" s="682" t="s">
        <v>2402</v>
      </c>
      <c r="D1783" s="3470" t="s">
        <v>959</v>
      </c>
      <c r="E1783" s="1393" t="s">
        <v>2403</v>
      </c>
      <c r="F1783" s="225">
        <f>ROUND(((K2051*K2244*(1/K2437-1/K2630)*K3595)/1000)*$K$3651,2)</f>
        <v>2332.67</v>
      </c>
      <c r="G1783" s="570" t="s">
        <v>2078</v>
      </c>
      <c r="H1783" s="69">
        <f>VLOOKUP(G1783,'CP FACTORS'!$A$3:$B$38, 2, FALSE)</f>
        <v>0</v>
      </c>
      <c r="I1783" s="1028">
        <f t="shared" si="261"/>
        <v>0</v>
      </c>
      <c r="J1783" s="59">
        <f t="shared" si="268"/>
        <v>6</v>
      </c>
      <c r="K1783" s="163">
        <f t="shared" si="266"/>
        <v>0</v>
      </c>
      <c r="L1783" s="255"/>
      <c r="M1783" s="560"/>
      <c r="N1783" s="572"/>
      <c r="O1783" s="417"/>
      <c r="R1783" s="532"/>
      <c r="S1783" s="52"/>
      <c r="T1783" s="52"/>
      <c r="U1783" s="574"/>
      <c r="V1783" s="1442" t="s">
        <v>45</v>
      </c>
      <c r="W1783" s="962">
        <v>4062.4872213622284</v>
      </c>
      <c r="X1783" s="251">
        <v>1798.7611070228763</v>
      </c>
      <c r="Y1783" s="225">
        <v>1798.76</v>
      </c>
      <c r="Z1783" s="225">
        <v>1798.76</v>
      </c>
      <c r="AA1783" s="225">
        <v>1798.76</v>
      </c>
      <c r="AB1783" s="1027">
        <v>1798.76</v>
      </c>
      <c r="AC1783" s="227">
        <v>2725.4</v>
      </c>
      <c r="AD1783" s="227">
        <v>2332.67</v>
      </c>
      <c r="AE1783" s="225">
        <v>2332.67</v>
      </c>
      <c r="AF1783" s="271">
        <f t="shared" si="267"/>
        <v>2332.67</v>
      </c>
      <c r="AG1783" s="962"/>
      <c r="AH1783" s="121"/>
      <c r="AK1783" s="963"/>
      <c r="DF1783" s="1650" t="str">
        <f t="shared" si="269"/>
        <v>ASHP-SEER18_ER1_MF</v>
      </c>
      <c r="DG1783" s="1094"/>
      <c r="DH1783" s="1393" t="str">
        <f t="shared" si="262"/>
        <v>Heating Res 6 Year EUL</v>
      </c>
      <c r="DI1783" s="1091">
        <f>(INDEX('Avoided Cost Benefits'!$B$4:$B$866,MATCH(DH1783,'Avoided Cost Benefits'!$A$4:$A$866,0)))*F1783</f>
        <v>625.57266621119879</v>
      </c>
      <c r="DJ1783" s="1176">
        <f>K1783/(1.0686^(2025-2025))</f>
        <v>0</v>
      </c>
      <c r="DM1783" s="252"/>
    </row>
    <row r="1784" spans="1:117">
      <c r="A1784" s="453"/>
      <c r="B1784" s="1454">
        <f t="shared" si="265"/>
        <v>354350</v>
      </c>
      <c r="C1784" s="682" t="s">
        <v>2402</v>
      </c>
      <c r="D1784" s="3470" t="s">
        <v>959</v>
      </c>
      <c r="E1784" s="1393" t="s">
        <v>2404</v>
      </c>
      <c r="F1784" s="227">
        <f>ROUND(((K2824*K3017*(1/K3210-1/K3403)*K3596)/1000)*$K$3651,2)</f>
        <v>374.74</v>
      </c>
      <c r="G1784" s="570" t="s">
        <v>2138</v>
      </c>
      <c r="H1784" s="69">
        <f>VLOOKUP(G1784,'CP FACTORS'!$A$3:$B$38, 2, FALSE)</f>
        <v>9.4741810000000004E-4</v>
      </c>
      <c r="I1784" s="1476">
        <f t="shared" si="261"/>
        <v>0.35503499999999999</v>
      </c>
      <c r="J1784" s="59">
        <f t="shared" si="268"/>
        <v>12</v>
      </c>
      <c r="K1784" s="163">
        <f t="shared" si="266"/>
        <v>0</v>
      </c>
      <c r="L1784" s="255"/>
      <c r="M1784" s="560"/>
      <c r="N1784" s="572"/>
      <c r="O1784" s="417"/>
      <c r="R1784" s="532"/>
      <c r="S1784" s="52"/>
      <c r="T1784" s="52"/>
      <c r="U1784" s="574"/>
      <c r="V1784" s="1442" t="s">
        <v>45</v>
      </c>
      <c r="W1784" s="962">
        <v>355.04857142857139</v>
      </c>
      <c r="X1784" s="254">
        <v>355.04857142857139</v>
      </c>
      <c r="Y1784" s="225">
        <v>355.05</v>
      </c>
      <c r="Z1784" s="225">
        <v>355.05</v>
      </c>
      <c r="AA1784" s="225">
        <v>355.05</v>
      </c>
      <c r="AB1784" s="1027">
        <v>355.05</v>
      </c>
      <c r="AC1784" s="227">
        <v>588.84</v>
      </c>
      <c r="AD1784" s="227">
        <v>413.81</v>
      </c>
      <c r="AE1784" s="227">
        <v>289.67</v>
      </c>
      <c r="AF1784" s="271">
        <f t="shared" si="267"/>
        <v>374.74</v>
      </c>
      <c r="AG1784" s="962"/>
      <c r="AH1784" s="121"/>
      <c r="AK1784" s="963"/>
      <c r="DF1784" s="1650" t="str">
        <f t="shared" si="269"/>
        <v>ASHP-SEER18_ER2_MF</v>
      </c>
      <c r="DG1784" s="1094"/>
      <c r="DH1784" s="1393" t="str">
        <f t="shared" si="262"/>
        <v>Cooling Res ER2 12 Year EUL</v>
      </c>
      <c r="DI1784" s="1091">
        <f>(INDEX('Avoided Cost Benefits'!$B$4:$B$866,MATCH(DH1784,'Avoided Cost Benefits'!$A$4:$A$866,0)))*F1784</f>
        <v>484.88388146016024</v>
      </c>
      <c r="DJ1784" s="1176">
        <f>K1784/(1.0686^(2025-2025))</f>
        <v>0</v>
      </c>
      <c r="DM1784" s="252"/>
    </row>
    <row r="1785" spans="1:117">
      <c r="A1785" s="453"/>
      <c r="B1785" s="1454">
        <f t="shared" si="265"/>
        <v>354350</v>
      </c>
      <c r="C1785" s="682" t="s">
        <v>2402</v>
      </c>
      <c r="D1785" s="3470" t="s">
        <v>959</v>
      </c>
      <c r="E1785" s="1370" t="s">
        <v>2404</v>
      </c>
      <c r="F1785" s="227">
        <f>ROUND(((K2052*K2245*(1/K2438-1/K2631)*K3596)/1000)*$K$3651,2)</f>
        <v>1496</v>
      </c>
      <c r="G1785" s="570" t="s">
        <v>2173</v>
      </c>
      <c r="H1785" s="69">
        <f>VLOOKUP(G1785,'CP FACTORS'!$A$3:$B$38, 2, FALSE)</f>
        <v>0</v>
      </c>
      <c r="I1785" s="1028">
        <f t="shared" si="261"/>
        <v>0</v>
      </c>
      <c r="J1785" s="59">
        <f t="shared" si="268"/>
        <v>12</v>
      </c>
      <c r="K1785" s="163">
        <f t="shared" si="266"/>
        <v>0</v>
      </c>
      <c r="L1785" s="255"/>
      <c r="M1785" s="560"/>
      <c r="N1785" s="572"/>
      <c r="O1785" s="417"/>
      <c r="R1785" s="532"/>
      <c r="S1785" s="52"/>
      <c r="T1785" s="52"/>
      <c r="U1785" s="574"/>
      <c r="V1785" s="1442" t="s">
        <v>45</v>
      </c>
      <c r="W1785" s="962">
        <v>862.96736842105349</v>
      </c>
      <c r="X1785" s="251">
        <v>642.6078562259313</v>
      </c>
      <c r="Y1785" s="225">
        <v>642.61</v>
      </c>
      <c r="Z1785" s="225">
        <v>642.61</v>
      </c>
      <c r="AA1785" s="225">
        <v>642.61</v>
      </c>
      <c r="AB1785" s="1027">
        <v>642.61</v>
      </c>
      <c r="AC1785" s="227">
        <v>973.65</v>
      </c>
      <c r="AD1785" s="227">
        <v>985.17</v>
      </c>
      <c r="AE1785" s="227">
        <v>730.6</v>
      </c>
      <c r="AF1785" s="271">
        <f t="shared" si="267"/>
        <v>1496</v>
      </c>
      <c r="AG1785" s="962"/>
      <c r="AH1785" s="121"/>
      <c r="AK1785" s="963"/>
      <c r="DF1785" s="1650" t="str">
        <f t="shared" si="269"/>
        <v>ASHP-SEER18_ER2_MF</v>
      </c>
      <c r="DG1785" s="1094"/>
      <c r="DH1785" s="1370" t="str">
        <f t="shared" si="262"/>
        <v>Heating Res ER2 12 Year EUL</v>
      </c>
      <c r="DI1785" s="1091">
        <f>(INDEX('Avoided Cost Benefits'!$B$4:$B$866,MATCH(DH1785,'Avoided Cost Benefits'!$A$4:$A$866,0)))*F1785</f>
        <v>505.49245380020807</v>
      </c>
      <c r="DJ1785" s="1176">
        <f>K1785/(1.0686^(2025-2025))</f>
        <v>0</v>
      </c>
      <c r="DM1785" s="252"/>
    </row>
    <row r="1786" spans="1:117">
      <c r="A1786" s="453"/>
      <c r="B1786" s="1454">
        <f t="shared" si="265"/>
        <v>354351</v>
      </c>
      <c r="C1786" s="2554" t="s">
        <v>2405</v>
      </c>
      <c r="D1786" s="3383" t="s">
        <v>1118</v>
      </c>
      <c r="E1786" s="2521" t="s">
        <v>2406</v>
      </c>
      <c r="F1786" s="3373">
        <f>ROUND((($K$2825*$K$3018*(1/$K$3211-1/$K$3404)*$K$3597)/1000)*$K$3651,2)</f>
        <v>1792.56</v>
      </c>
      <c r="G1786" s="3384" t="str">
        <f>G1782</f>
        <v>Cooling Res</v>
      </c>
      <c r="H1786" s="2213">
        <f>VLOOKUP(G1786,'CP FACTORS'!$A$3:$B$38, 2, FALSE)</f>
        <v>9.4741810000000004E-4</v>
      </c>
      <c r="I1786" s="3385">
        <f t="shared" si="261"/>
        <v>1.698304</v>
      </c>
      <c r="J1786" s="2449">
        <f t="shared" si="268"/>
        <v>6</v>
      </c>
      <c r="K1786" s="2467">
        <f t="shared" si="266"/>
        <v>851.66719041900797</v>
      </c>
      <c r="L1786" s="2649">
        <f>L2053</f>
        <v>2.5</v>
      </c>
      <c r="M1786" s="3386"/>
      <c r="N1786" s="3387"/>
      <c r="O1786" s="2702"/>
      <c r="P1786" s="635"/>
      <c r="Q1786" s="635"/>
      <c r="R1786" s="2966"/>
      <c r="S1786" s="635"/>
      <c r="T1786" s="635"/>
      <c r="U1786" s="3388"/>
      <c r="V1786" s="2962" t="s">
        <v>45</v>
      </c>
      <c r="W1786" s="3389"/>
      <c r="X1786" s="3390"/>
      <c r="Y1786" s="3369">
        <v>1049.1400000000001</v>
      </c>
      <c r="Z1786" s="3373">
        <v>1049.1400000000001</v>
      </c>
      <c r="AA1786" s="3373">
        <v>1049.1400000000001</v>
      </c>
      <c r="AB1786" s="3400">
        <v>1049.1400000000001</v>
      </c>
      <c r="AC1786" s="3369">
        <v>1589.61</v>
      </c>
      <c r="AD1786" s="3369">
        <v>1792.56</v>
      </c>
      <c r="AE1786" s="3373">
        <v>1792.56</v>
      </c>
      <c r="AF1786" s="2236">
        <f t="shared" si="267"/>
        <v>1792.56</v>
      </c>
      <c r="AG1786" s="3389"/>
      <c r="AH1786" s="2728"/>
      <c r="AI1786" s="2237"/>
      <c r="AJ1786" s="2237"/>
      <c r="AK1786" s="3392"/>
      <c r="AL1786" s="2237"/>
      <c r="AM1786" s="2237"/>
      <c r="AN1786" s="2237"/>
      <c r="AO1786" s="2237"/>
      <c r="AP1786" s="2237"/>
      <c r="AQ1786" s="2237"/>
      <c r="AR1786" s="2237"/>
      <c r="AS1786" s="2237"/>
      <c r="AT1786" s="2237"/>
      <c r="AU1786" s="2237"/>
      <c r="AV1786" s="2237"/>
      <c r="AW1786" s="2237"/>
      <c r="AX1786" s="2237"/>
      <c r="AY1786" s="2237"/>
      <c r="AZ1786" s="2237"/>
      <c r="BA1786" s="2237"/>
      <c r="BB1786" s="2237"/>
      <c r="BC1786" s="2237"/>
      <c r="BD1786" s="2237"/>
      <c r="BE1786" s="2237"/>
      <c r="BF1786" s="2237"/>
      <c r="BG1786" s="2237"/>
      <c r="BH1786" s="2237"/>
      <c r="BI1786" s="2237"/>
      <c r="BJ1786" s="2237"/>
      <c r="BK1786" s="2237"/>
      <c r="BL1786" s="2237"/>
      <c r="BM1786" s="2237"/>
      <c r="BN1786" s="2237"/>
      <c r="BO1786" s="2237"/>
      <c r="BP1786" s="2237"/>
      <c r="BQ1786" s="2237"/>
      <c r="BR1786" s="2237"/>
      <c r="BS1786" s="2237"/>
      <c r="BT1786" s="2237"/>
      <c r="BU1786" s="2237"/>
      <c r="BV1786" s="2237"/>
      <c r="BW1786" s="2237"/>
      <c r="BX1786" s="2237"/>
      <c r="BY1786" s="2237"/>
      <c r="BZ1786" s="2237"/>
      <c r="CA1786" s="2237"/>
      <c r="CB1786" s="2237"/>
      <c r="CC1786" s="2237"/>
      <c r="CD1786" s="2237"/>
      <c r="CE1786" s="2237"/>
      <c r="CF1786" s="2237"/>
      <c r="CG1786" s="2237"/>
      <c r="CH1786" s="2237"/>
      <c r="CI1786" s="2237"/>
      <c r="CJ1786" s="2237"/>
      <c r="CK1786" s="2237"/>
      <c r="CL1786" s="2237"/>
      <c r="CM1786" s="2237"/>
      <c r="CN1786" s="2237"/>
      <c r="CO1786" s="2237"/>
      <c r="CP1786" s="2237"/>
      <c r="CQ1786" s="2237"/>
      <c r="CR1786" s="2237"/>
      <c r="CS1786" s="2237"/>
      <c r="CT1786" s="2237"/>
      <c r="CU1786" s="2237"/>
      <c r="CV1786" s="2237"/>
      <c r="CW1786" s="2237"/>
      <c r="CX1786" s="2237"/>
      <c r="CY1786" s="2237"/>
      <c r="CZ1786" s="2237"/>
      <c r="DA1786" s="2237"/>
      <c r="DB1786" s="2237"/>
      <c r="DC1786" s="2237"/>
      <c r="DD1786" s="2237"/>
      <c r="DE1786" s="2237"/>
      <c r="DF1786" s="3393" t="str">
        <f t="shared" si="269"/>
        <v>ASHP-SEER18_ER1_MF_CompE</v>
      </c>
      <c r="DG1786" s="3259">
        <f>(DI1786+DI1787+DI1788+DI1789)/(DJ1786+DJ1787+DJ1788+DJ1789)</f>
        <v>2.9628398013446908</v>
      </c>
      <c r="DH1786" s="2521" t="str">
        <f t="shared" si="262"/>
        <v>Cooling Res 6 Year EUL</v>
      </c>
      <c r="DI1786" s="3260">
        <f>(INDEX('Avoided Cost Benefits'!$B$4:$B$866,MATCH(DH1786,'Avoided Cost Benefits'!$A$4:$A$866,0)))*F1786</f>
        <v>1785.1174653392725</v>
      </c>
      <c r="DJ1786" s="2507">
        <f>IFERROR(K1786/(1.0686^(2025-2025)),10000000)</f>
        <v>851.66719041900797</v>
      </c>
      <c r="DM1786" s="252"/>
    </row>
    <row r="1787" spans="1:117">
      <c r="A1787" s="453"/>
      <c r="B1787" s="1454">
        <f t="shared" si="265"/>
        <v>354351</v>
      </c>
      <c r="C1787" s="2554" t="str">
        <f>C1786</f>
        <v>354351_2024_12_</v>
      </c>
      <c r="D1787" s="3383" t="s">
        <v>1118</v>
      </c>
      <c r="E1787" s="2882" t="s">
        <v>2406</v>
      </c>
      <c r="F1787" s="3373">
        <f>ROUND((($K$2053*$K$2246*(1/$K$2439-1/$K$2632)*$K$3597)/1000)*$K$3651,2)</f>
        <v>795.23</v>
      </c>
      <c r="G1787" s="3384" t="str">
        <f>G1783</f>
        <v>Heating Res</v>
      </c>
      <c r="H1787" s="2213">
        <f>VLOOKUP(G1787,'CP FACTORS'!$A$3:$B$38, 2, FALSE)</f>
        <v>0</v>
      </c>
      <c r="I1787" s="3385">
        <f t="shared" si="261"/>
        <v>0</v>
      </c>
      <c r="J1787" s="2449">
        <f t="shared" si="268"/>
        <v>6</v>
      </c>
      <c r="K1787" s="2894">
        <f t="shared" si="266"/>
        <v>0</v>
      </c>
      <c r="L1787" s="2649"/>
      <c r="M1787" s="3386"/>
      <c r="N1787" s="3387"/>
      <c r="O1787" s="2702"/>
      <c r="P1787" s="635"/>
      <c r="Q1787" s="635"/>
      <c r="R1787" s="2966"/>
      <c r="S1787" s="635"/>
      <c r="T1787" s="635"/>
      <c r="U1787" s="3388"/>
      <c r="V1787" s="2962" t="s">
        <v>45</v>
      </c>
      <c r="W1787" s="3389"/>
      <c r="X1787" s="3390"/>
      <c r="Y1787" s="3369">
        <v>613.21</v>
      </c>
      <c r="Z1787" s="3373">
        <v>613.21</v>
      </c>
      <c r="AA1787" s="3373">
        <v>613.21</v>
      </c>
      <c r="AB1787" s="3400">
        <v>613.21</v>
      </c>
      <c r="AC1787" s="3369">
        <v>929.11</v>
      </c>
      <c r="AD1787" s="3369">
        <v>795.23</v>
      </c>
      <c r="AE1787" s="3373">
        <v>795.23</v>
      </c>
      <c r="AF1787" s="2236">
        <f t="shared" si="267"/>
        <v>795.23</v>
      </c>
      <c r="AG1787" s="3389"/>
      <c r="AH1787" s="2728"/>
      <c r="AI1787" s="2237"/>
      <c r="AJ1787" s="2237"/>
      <c r="AK1787" s="3392"/>
      <c r="AL1787" s="2237"/>
      <c r="AM1787" s="2237"/>
      <c r="AN1787" s="2237"/>
      <c r="AO1787" s="2237"/>
      <c r="AP1787" s="2237"/>
      <c r="AQ1787" s="2237"/>
      <c r="AR1787" s="2237"/>
      <c r="AS1787" s="2237"/>
      <c r="AT1787" s="2237"/>
      <c r="AU1787" s="2237"/>
      <c r="AV1787" s="2237"/>
      <c r="AW1787" s="2237"/>
      <c r="AX1787" s="2237"/>
      <c r="AY1787" s="2237"/>
      <c r="AZ1787" s="2237"/>
      <c r="BA1787" s="2237"/>
      <c r="BB1787" s="2237"/>
      <c r="BC1787" s="2237"/>
      <c r="BD1787" s="2237"/>
      <c r="BE1787" s="2237"/>
      <c r="BF1787" s="2237"/>
      <c r="BG1787" s="2237"/>
      <c r="BH1787" s="2237"/>
      <c r="BI1787" s="2237"/>
      <c r="BJ1787" s="2237"/>
      <c r="BK1787" s="2237"/>
      <c r="BL1787" s="2237"/>
      <c r="BM1787" s="2237"/>
      <c r="BN1787" s="2237"/>
      <c r="BO1787" s="2237"/>
      <c r="BP1787" s="2237"/>
      <c r="BQ1787" s="2237"/>
      <c r="BR1787" s="2237"/>
      <c r="BS1787" s="2237"/>
      <c r="BT1787" s="2237"/>
      <c r="BU1787" s="2237"/>
      <c r="BV1787" s="2237"/>
      <c r="BW1787" s="2237"/>
      <c r="BX1787" s="2237"/>
      <c r="BY1787" s="2237"/>
      <c r="BZ1787" s="2237"/>
      <c r="CA1787" s="2237"/>
      <c r="CB1787" s="2237"/>
      <c r="CC1787" s="2237"/>
      <c r="CD1787" s="2237"/>
      <c r="CE1787" s="2237"/>
      <c r="CF1787" s="2237"/>
      <c r="CG1787" s="2237"/>
      <c r="CH1787" s="2237"/>
      <c r="CI1787" s="2237"/>
      <c r="CJ1787" s="2237"/>
      <c r="CK1787" s="2237"/>
      <c r="CL1787" s="2237"/>
      <c r="CM1787" s="2237"/>
      <c r="CN1787" s="2237"/>
      <c r="CO1787" s="2237"/>
      <c r="CP1787" s="2237"/>
      <c r="CQ1787" s="2237"/>
      <c r="CR1787" s="2237"/>
      <c r="CS1787" s="2237"/>
      <c r="CT1787" s="2237"/>
      <c r="CU1787" s="2237"/>
      <c r="CV1787" s="2237"/>
      <c r="CW1787" s="2237"/>
      <c r="CX1787" s="2237"/>
      <c r="CY1787" s="2237"/>
      <c r="CZ1787" s="2237"/>
      <c r="DA1787" s="2237"/>
      <c r="DB1787" s="2237"/>
      <c r="DC1787" s="2237"/>
      <c r="DD1787" s="2237"/>
      <c r="DE1787" s="2237"/>
      <c r="DF1787" s="3393" t="str">
        <f t="shared" si="269"/>
        <v>ASHP-SEER18_ER1_MF_CompE</v>
      </c>
      <c r="DG1787" s="3332"/>
      <c r="DH1787" s="2882" t="str">
        <f t="shared" si="262"/>
        <v>Heating Res 6 Year EUL</v>
      </c>
      <c r="DI1787" s="3260">
        <f>(INDEX('Avoided Cost Benefits'!$B$4:$B$866,MATCH(DH1787,'Avoided Cost Benefits'!$A$4:$A$866,0)))*F1787</f>
        <v>213.26383558374377</v>
      </c>
      <c r="DJ1787" s="2507">
        <f>K1787/(1.0686^(2025-2025))</f>
        <v>0</v>
      </c>
      <c r="DM1787" s="252"/>
    </row>
    <row r="1788" spans="1:117">
      <c r="A1788" s="453"/>
      <c r="B1788" s="1454">
        <f t="shared" si="265"/>
        <v>354351</v>
      </c>
      <c r="C1788" s="2554" t="str">
        <f>C1787</f>
        <v>354351_2024_12_</v>
      </c>
      <c r="D1788" s="3383" t="s">
        <v>1118</v>
      </c>
      <c r="E1788" s="2882" t="s">
        <v>2407</v>
      </c>
      <c r="F1788" s="3369">
        <f>ROUND((($K$2826*$K$3019*(1/$K$3212-1/$K$3405)*$K$3598)/1000)*$K$3651,2)</f>
        <v>272.54000000000002</v>
      </c>
      <c r="G1788" s="3384" t="str">
        <f>G1784</f>
        <v>Cooling Res ER2</v>
      </c>
      <c r="H1788" s="2213">
        <f>VLOOKUP(G1788,'CP FACTORS'!$A$3:$B$38, 2, FALSE)</f>
        <v>9.4741810000000004E-4</v>
      </c>
      <c r="I1788" s="3394">
        <f t="shared" si="261"/>
        <v>0.25820900000000002</v>
      </c>
      <c r="J1788" s="2449">
        <f t="shared" si="268"/>
        <v>12</v>
      </c>
      <c r="K1788" s="2894">
        <f t="shared" si="266"/>
        <v>0</v>
      </c>
      <c r="L1788" s="2649"/>
      <c r="M1788" s="3386"/>
      <c r="N1788" s="3387"/>
      <c r="O1788" s="2702"/>
      <c r="P1788" s="635"/>
      <c r="Q1788" s="635"/>
      <c r="R1788" s="2966"/>
      <c r="S1788" s="635"/>
      <c r="T1788" s="635"/>
      <c r="U1788" s="3388"/>
      <c r="V1788" s="2962" t="s">
        <v>45</v>
      </c>
      <c r="W1788" s="3389"/>
      <c r="X1788" s="3390"/>
      <c r="Y1788" s="3369">
        <v>258.22000000000003</v>
      </c>
      <c r="Z1788" s="3373">
        <v>258.22000000000003</v>
      </c>
      <c r="AA1788" s="3373">
        <v>258.22000000000003</v>
      </c>
      <c r="AB1788" s="3400">
        <v>258.22000000000003</v>
      </c>
      <c r="AC1788" s="3369">
        <v>391.24</v>
      </c>
      <c r="AD1788" s="3369">
        <v>300.95</v>
      </c>
      <c r="AE1788" s="3369">
        <v>210.67</v>
      </c>
      <c r="AF1788" s="2236">
        <f t="shared" si="267"/>
        <v>272.54000000000002</v>
      </c>
      <c r="AG1788" s="3389"/>
      <c r="AH1788" s="2728"/>
      <c r="AI1788" s="2237"/>
      <c r="AJ1788" s="2237"/>
      <c r="AK1788" s="3392"/>
      <c r="AL1788" s="2237"/>
      <c r="AM1788" s="2237"/>
      <c r="AN1788" s="2237"/>
      <c r="AO1788" s="2237"/>
      <c r="AP1788" s="2237"/>
      <c r="AQ1788" s="2237"/>
      <c r="AR1788" s="2237"/>
      <c r="AS1788" s="2237"/>
      <c r="AT1788" s="2237"/>
      <c r="AU1788" s="2237"/>
      <c r="AV1788" s="2237"/>
      <c r="AW1788" s="2237"/>
      <c r="AX1788" s="2237"/>
      <c r="AY1788" s="2237"/>
      <c r="AZ1788" s="2237"/>
      <c r="BA1788" s="2237"/>
      <c r="BB1788" s="2237"/>
      <c r="BC1788" s="2237"/>
      <c r="BD1788" s="2237"/>
      <c r="BE1788" s="2237"/>
      <c r="BF1788" s="2237"/>
      <c r="BG1788" s="2237"/>
      <c r="BH1788" s="2237"/>
      <c r="BI1788" s="2237"/>
      <c r="BJ1788" s="2237"/>
      <c r="BK1788" s="2237"/>
      <c r="BL1788" s="2237"/>
      <c r="BM1788" s="2237"/>
      <c r="BN1788" s="2237"/>
      <c r="BO1788" s="2237"/>
      <c r="BP1788" s="2237"/>
      <c r="BQ1788" s="2237"/>
      <c r="BR1788" s="2237"/>
      <c r="BS1788" s="2237"/>
      <c r="BT1788" s="2237"/>
      <c r="BU1788" s="2237"/>
      <c r="BV1788" s="2237"/>
      <c r="BW1788" s="2237"/>
      <c r="BX1788" s="2237"/>
      <c r="BY1788" s="2237"/>
      <c r="BZ1788" s="2237"/>
      <c r="CA1788" s="2237"/>
      <c r="CB1788" s="2237"/>
      <c r="CC1788" s="2237"/>
      <c r="CD1788" s="2237"/>
      <c r="CE1788" s="2237"/>
      <c r="CF1788" s="2237"/>
      <c r="CG1788" s="2237"/>
      <c r="CH1788" s="2237"/>
      <c r="CI1788" s="2237"/>
      <c r="CJ1788" s="2237"/>
      <c r="CK1788" s="2237"/>
      <c r="CL1788" s="2237"/>
      <c r="CM1788" s="2237"/>
      <c r="CN1788" s="2237"/>
      <c r="CO1788" s="2237"/>
      <c r="CP1788" s="2237"/>
      <c r="CQ1788" s="2237"/>
      <c r="CR1788" s="2237"/>
      <c r="CS1788" s="2237"/>
      <c r="CT1788" s="2237"/>
      <c r="CU1788" s="2237"/>
      <c r="CV1788" s="2237"/>
      <c r="CW1788" s="2237"/>
      <c r="CX1788" s="2237"/>
      <c r="CY1788" s="2237"/>
      <c r="CZ1788" s="2237"/>
      <c r="DA1788" s="2237"/>
      <c r="DB1788" s="2237"/>
      <c r="DC1788" s="2237"/>
      <c r="DD1788" s="2237"/>
      <c r="DE1788" s="2237"/>
      <c r="DF1788" s="3393" t="str">
        <f t="shared" si="269"/>
        <v>ASHP-SEER18_ER2_MF_CompE</v>
      </c>
      <c r="DG1788" s="3332"/>
      <c r="DH1788" s="2882" t="str">
        <f t="shared" si="262"/>
        <v>Cooling Res ER2 12 Year EUL</v>
      </c>
      <c r="DI1788" s="3260">
        <f>(INDEX('Avoided Cost Benefits'!$B$4:$B$866,MATCH(DH1788,'Avoided Cost Benefits'!$A$4:$A$866,0)))*F1788</f>
        <v>352.64517546339346</v>
      </c>
      <c r="DJ1788" s="2507">
        <f>K1788/(1.0686^(2025-2025))</f>
        <v>0</v>
      </c>
      <c r="DM1788" s="252"/>
    </row>
    <row r="1789" spans="1:117">
      <c r="A1789" s="453"/>
      <c r="B1789" s="1454">
        <f t="shared" si="265"/>
        <v>354351</v>
      </c>
      <c r="C1789" s="2554" t="str">
        <f>C1788</f>
        <v>354351_2024_12_</v>
      </c>
      <c r="D1789" s="3383" t="s">
        <v>1118</v>
      </c>
      <c r="E1789" s="2522" t="s">
        <v>2407</v>
      </c>
      <c r="F1789" s="3369">
        <f>ROUND((($K$2054*$K$2247*(1/$K$2440-1/$K$2633)*$K$3598)/1000)*$K$3651,2)</f>
        <v>510</v>
      </c>
      <c r="G1789" s="3384" t="str">
        <f>G1785</f>
        <v>Heating Res ER2</v>
      </c>
      <c r="H1789" s="2213">
        <f>VLOOKUP(G1789,'CP FACTORS'!$A$3:$B$38, 2, FALSE)</f>
        <v>0</v>
      </c>
      <c r="I1789" s="3385">
        <f t="shared" si="261"/>
        <v>0</v>
      </c>
      <c r="J1789" s="2449">
        <f t="shared" si="268"/>
        <v>12</v>
      </c>
      <c r="K1789" s="2894">
        <f t="shared" si="266"/>
        <v>0</v>
      </c>
      <c r="L1789" s="2649"/>
      <c r="M1789" s="3386"/>
      <c r="N1789" s="3387"/>
      <c r="O1789" s="2702"/>
      <c r="P1789" s="635"/>
      <c r="Q1789" s="635"/>
      <c r="R1789" s="2966"/>
      <c r="S1789" s="635"/>
      <c r="T1789" s="635"/>
      <c r="U1789" s="3388"/>
      <c r="V1789" s="2962" t="s">
        <v>45</v>
      </c>
      <c r="W1789" s="3389"/>
      <c r="X1789" s="3390"/>
      <c r="Y1789" s="3369">
        <v>219.07</v>
      </c>
      <c r="Z1789" s="3373">
        <v>219.07</v>
      </c>
      <c r="AA1789" s="3373">
        <v>219.07</v>
      </c>
      <c r="AB1789" s="3400">
        <v>219.07</v>
      </c>
      <c r="AC1789" s="3369">
        <v>331.93</v>
      </c>
      <c r="AD1789" s="3369">
        <v>335.85</v>
      </c>
      <c r="AE1789" s="3369">
        <v>249.07</v>
      </c>
      <c r="AF1789" s="2236">
        <f t="shared" si="267"/>
        <v>510</v>
      </c>
      <c r="AG1789" s="3389"/>
      <c r="AH1789" s="2728"/>
      <c r="AI1789" s="2237"/>
      <c r="AJ1789" s="2237"/>
      <c r="AK1789" s="3392"/>
      <c r="AL1789" s="2237"/>
      <c r="AM1789" s="2237"/>
      <c r="AN1789" s="2237"/>
      <c r="AO1789" s="2237"/>
      <c r="AP1789" s="2237"/>
      <c r="AQ1789" s="2237"/>
      <c r="AR1789" s="2237"/>
      <c r="AS1789" s="2237"/>
      <c r="AT1789" s="2237"/>
      <c r="AU1789" s="2237"/>
      <c r="AV1789" s="2237"/>
      <c r="AW1789" s="2237"/>
      <c r="AX1789" s="2237"/>
      <c r="AY1789" s="2237"/>
      <c r="AZ1789" s="2237"/>
      <c r="BA1789" s="2237"/>
      <c r="BB1789" s="2237"/>
      <c r="BC1789" s="2237"/>
      <c r="BD1789" s="2237"/>
      <c r="BE1789" s="2237"/>
      <c r="BF1789" s="2237"/>
      <c r="BG1789" s="2237"/>
      <c r="BH1789" s="2237"/>
      <c r="BI1789" s="2237"/>
      <c r="BJ1789" s="2237"/>
      <c r="BK1789" s="2237"/>
      <c r="BL1789" s="2237"/>
      <c r="BM1789" s="2237"/>
      <c r="BN1789" s="2237"/>
      <c r="BO1789" s="2237"/>
      <c r="BP1789" s="2237"/>
      <c r="BQ1789" s="2237"/>
      <c r="BR1789" s="2237"/>
      <c r="BS1789" s="2237"/>
      <c r="BT1789" s="2237"/>
      <c r="BU1789" s="2237"/>
      <c r="BV1789" s="2237"/>
      <c r="BW1789" s="2237"/>
      <c r="BX1789" s="2237"/>
      <c r="BY1789" s="2237"/>
      <c r="BZ1789" s="2237"/>
      <c r="CA1789" s="2237"/>
      <c r="CB1789" s="2237"/>
      <c r="CC1789" s="2237"/>
      <c r="CD1789" s="2237"/>
      <c r="CE1789" s="2237"/>
      <c r="CF1789" s="2237"/>
      <c r="CG1789" s="2237"/>
      <c r="CH1789" s="2237"/>
      <c r="CI1789" s="2237"/>
      <c r="CJ1789" s="2237"/>
      <c r="CK1789" s="2237"/>
      <c r="CL1789" s="2237"/>
      <c r="CM1789" s="2237"/>
      <c r="CN1789" s="2237"/>
      <c r="CO1789" s="2237"/>
      <c r="CP1789" s="2237"/>
      <c r="CQ1789" s="2237"/>
      <c r="CR1789" s="2237"/>
      <c r="CS1789" s="2237"/>
      <c r="CT1789" s="2237"/>
      <c r="CU1789" s="2237"/>
      <c r="CV1789" s="2237"/>
      <c r="CW1789" s="2237"/>
      <c r="CX1789" s="2237"/>
      <c r="CY1789" s="2237"/>
      <c r="CZ1789" s="2237"/>
      <c r="DA1789" s="2237"/>
      <c r="DB1789" s="2237"/>
      <c r="DC1789" s="2237"/>
      <c r="DD1789" s="2237"/>
      <c r="DE1789" s="2237"/>
      <c r="DF1789" s="3393" t="str">
        <f t="shared" si="269"/>
        <v>ASHP-SEER18_ER2_MF_CompE</v>
      </c>
      <c r="DG1789" s="3332"/>
      <c r="DH1789" s="2522" t="str">
        <f t="shared" si="262"/>
        <v>Heating Res ER2 12 Year EUL</v>
      </c>
      <c r="DI1789" s="3260">
        <f>(INDEX('Avoided Cost Benefits'!$B$4:$B$866,MATCH(DH1789,'Avoided Cost Benefits'!$A$4:$A$866,0)))*F1789</f>
        <v>172.32697288643456</v>
      </c>
      <c r="DJ1789" s="2507">
        <f>K1789/(1.0686^(2025-2025))</f>
        <v>0</v>
      </c>
      <c r="DM1789" s="252"/>
    </row>
    <row r="1790" spans="1:117">
      <c r="A1790" s="453"/>
      <c r="B1790" s="1454">
        <f t="shared" si="265"/>
        <v>354400</v>
      </c>
      <c r="C1790" s="682" t="s">
        <v>2408</v>
      </c>
      <c r="D1790" s="3470" t="s">
        <v>1043</v>
      </c>
      <c r="E1790" s="1369" t="s">
        <v>2409</v>
      </c>
      <c r="F1790" s="227">
        <f>ROUND(((K2827*K3020*(1/K3213-1/K3406)*K3599)/1000)*$K$3651,2)</f>
        <v>2563.17</v>
      </c>
      <c r="G1790" s="570" t="s">
        <v>2077</v>
      </c>
      <c r="H1790" s="69">
        <f>VLOOKUP(G1790,'CP FACTORS'!$A$3:$B$38, 2, FALSE)</f>
        <v>9.4741810000000004E-4</v>
      </c>
      <c r="I1790" s="1476">
        <f t="shared" si="261"/>
        <v>2.4283939999999999</v>
      </c>
      <c r="J1790" s="59">
        <f t="shared" si="268"/>
        <v>6</v>
      </c>
      <c r="K1790" s="166">
        <f t="shared" si="266"/>
        <v>4902.6041805257928</v>
      </c>
      <c r="L1790" s="1107">
        <f>L2055</f>
        <v>3.7731209149509803</v>
      </c>
      <c r="M1790" s="560"/>
      <c r="N1790" s="572"/>
      <c r="O1790" s="417"/>
      <c r="R1790" s="532"/>
      <c r="S1790" s="52"/>
      <c r="T1790" s="52"/>
      <c r="U1790" s="574"/>
      <c r="V1790" s="1442" t="s">
        <v>45</v>
      </c>
      <c r="W1790" s="962">
        <v>3052.5306501547993</v>
      </c>
      <c r="X1790" s="251">
        <v>2179.3577810071401</v>
      </c>
      <c r="Y1790" s="225">
        <v>2179.36</v>
      </c>
      <c r="Z1790" s="225">
        <v>2179.36</v>
      </c>
      <c r="AA1790" s="225">
        <v>2179.36</v>
      </c>
      <c r="AB1790" s="1027">
        <v>2179.36</v>
      </c>
      <c r="AC1790" s="227">
        <v>2436.71</v>
      </c>
      <c r="AD1790" s="227">
        <v>3279.14</v>
      </c>
      <c r="AE1790" s="227">
        <v>2673.03</v>
      </c>
      <c r="AF1790" s="271">
        <f t="shared" si="267"/>
        <v>2563.17</v>
      </c>
      <c r="AG1790" s="962"/>
      <c r="AH1790" s="121"/>
      <c r="AK1790" s="963"/>
      <c r="DF1790" s="1650" t="str">
        <f t="shared" si="269"/>
        <v>ASHP-SEER19-Replace_CAC_ElectricHeat_ER1_SF</v>
      </c>
      <c r="DG1790" s="1090">
        <f>(DI1790+DI1791+DI1792+DI1793)/(DJ1790+DJ1791+DJ1792+DJ1793)</f>
        <v>2.3681443479676405</v>
      </c>
      <c r="DH1790" s="1369" t="str">
        <f t="shared" si="262"/>
        <v>Cooling Res 6 Year EUL</v>
      </c>
      <c r="DI1790" s="1091">
        <f>(INDEX('Avoided Cost Benefits'!$B$4:$B$866,MATCH(DH1790,'Avoided Cost Benefits'!$A$4:$A$866,0)))*F1790</f>
        <v>2552.5279676181904</v>
      </c>
      <c r="DJ1790" s="1176">
        <f>IFERROR(K1790/(1.0686^(2025-2025)),10000000)</f>
        <v>4902.6041805257928</v>
      </c>
      <c r="DM1790" s="252"/>
    </row>
    <row r="1791" spans="1:117">
      <c r="A1791" s="453"/>
      <c r="B1791" s="1454">
        <f t="shared" si="265"/>
        <v>354400</v>
      </c>
      <c r="C1791" s="682" t="s">
        <v>2408</v>
      </c>
      <c r="D1791" s="3470" t="s">
        <v>1043</v>
      </c>
      <c r="E1791" s="1393" t="s">
        <v>2409</v>
      </c>
      <c r="F1791" s="225">
        <f>ROUND(((K2055*K2248*(1/K2441-1/K2634)*K3599)/1000)*$K$3651,2)</f>
        <v>13145.12</v>
      </c>
      <c r="G1791" s="570" t="s">
        <v>2078</v>
      </c>
      <c r="H1791" s="69">
        <f>VLOOKUP(G1791,'CP FACTORS'!$A$3:$B$38, 2, FALSE)</f>
        <v>0</v>
      </c>
      <c r="I1791" s="1028">
        <f t="shared" si="261"/>
        <v>0</v>
      </c>
      <c r="J1791" s="59">
        <f t="shared" si="268"/>
        <v>6</v>
      </c>
      <c r="K1791" s="163">
        <f t="shared" si="266"/>
        <v>0</v>
      </c>
      <c r="L1791" s="255"/>
      <c r="M1791" s="560"/>
      <c r="N1791" s="572"/>
      <c r="O1791" s="417"/>
      <c r="R1791" s="532"/>
      <c r="S1791" s="52"/>
      <c r="T1791" s="52"/>
      <c r="U1791" s="574"/>
      <c r="V1791" s="1442" t="s">
        <v>45</v>
      </c>
      <c r="W1791" s="962">
        <v>13965.852998065762</v>
      </c>
      <c r="X1791" s="251">
        <v>10399.659574468084</v>
      </c>
      <c r="Y1791" s="225">
        <v>10399.66</v>
      </c>
      <c r="Z1791" s="225">
        <v>10399.66</v>
      </c>
      <c r="AA1791" s="225">
        <v>10399.66</v>
      </c>
      <c r="AB1791" s="1027">
        <v>10399.66</v>
      </c>
      <c r="AC1791" s="227">
        <v>12553.53</v>
      </c>
      <c r="AD1791" s="227">
        <v>12962.58</v>
      </c>
      <c r="AE1791" s="227">
        <v>13145.12</v>
      </c>
      <c r="AF1791" s="271">
        <f t="shared" si="267"/>
        <v>13145.12</v>
      </c>
      <c r="AG1791" s="962"/>
      <c r="AH1791" s="121"/>
      <c r="AK1791" s="963"/>
      <c r="DF1791" s="1650" t="str">
        <f t="shared" si="269"/>
        <v>ASHP-SEER19-Replace_CAC_ElectricHeat_ER1_SF</v>
      </c>
      <c r="DG1791" s="1094"/>
      <c r="DH1791" s="1393" t="str">
        <f t="shared" si="262"/>
        <v>Heating Res 6 Year EUL</v>
      </c>
      <c r="DI1791" s="1091">
        <f>(INDEX('Avoided Cost Benefits'!$B$4:$B$866,MATCH(DH1791,'Avoided Cost Benefits'!$A$4:$A$866,0)))*F1791</f>
        <v>3525.2426472952257</v>
      </c>
      <c r="DJ1791" s="1176">
        <f t="shared" ref="DJ1791:DJ1797" si="271">K1791/(1.0686^(2025-2025))</f>
        <v>0</v>
      </c>
      <c r="DM1791" s="252"/>
    </row>
    <row r="1792" spans="1:117">
      <c r="A1792" s="453"/>
      <c r="B1792" s="1454">
        <f t="shared" si="265"/>
        <v>354400</v>
      </c>
      <c r="C1792" s="682" t="s">
        <v>2408</v>
      </c>
      <c r="D1792" s="3470" t="s">
        <v>1043</v>
      </c>
      <c r="E1792" s="1393" t="s">
        <v>2410</v>
      </c>
      <c r="F1792" s="227">
        <f>ROUND(((K2828*K3021*(1/K3214-1/K3407)*K3600)/1000)*$K$3651,2)</f>
        <v>842.88</v>
      </c>
      <c r="G1792" s="570" t="s">
        <v>2138</v>
      </c>
      <c r="H1792" s="69">
        <f>VLOOKUP(G1792,'CP FACTORS'!$A$3:$B$38, 2, FALSE)</f>
        <v>9.4741810000000004E-4</v>
      </c>
      <c r="I1792" s="1476">
        <f t="shared" si="261"/>
        <v>0.79856000000000005</v>
      </c>
      <c r="J1792" s="59">
        <f t="shared" si="268"/>
        <v>12</v>
      </c>
      <c r="K1792" s="163">
        <f t="shared" si="266"/>
        <v>0</v>
      </c>
      <c r="L1792" s="255"/>
      <c r="M1792" s="560"/>
      <c r="N1792" s="572"/>
      <c r="O1792" s="417"/>
      <c r="R1792" s="532"/>
      <c r="S1792" s="52"/>
      <c r="T1792" s="52"/>
      <c r="U1792" s="574"/>
      <c r="V1792" s="1442" t="s">
        <v>45</v>
      </c>
      <c r="W1792" s="962">
        <v>785.26639676113382</v>
      </c>
      <c r="X1792" s="254">
        <v>785.26639676113382</v>
      </c>
      <c r="Y1792" s="225">
        <v>785.27</v>
      </c>
      <c r="Z1792" s="225">
        <v>785.27</v>
      </c>
      <c r="AA1792" s="225">
        <v>785.27</v>
      </c>
      <c r="AB1792" s="1027">
        <v>785.27</v>
      </c>
      <c r="AC1792" s="227">
        <v>924.84</v>
      </c>
      <c r="AD1792" s="227">
        <v>1051.1199999999999</v>
      </c>
      <c r="AE1792" s="227">
        <v>727.55</v>
      </c>
      <c r="AF1792" s="271">
        <f t="shared" si="267"/>
        <v>842.88</v>
      </c>
      <c r="AG1792" s="962"/>
      <c r="AH1792" s="121"/>
      <c r="AK1792" s="963"/>
      <c r="DF1792" s="1650" t="str">
        <f t="shared" si="269"/>
        <v>ASHP-SEER19-Replace_CAC_ElectricHeat_ER2_SF</v>
      </c>
      <c r="DG1792" s="1094"/>
      <c r="DH1792" s="1393" t="str">
        <f t="shared" si="262"/>
        <v>Cooling Res ER2 12 Year EUL</v>
      </c>
      <c r="DI1792" s="1091">
        <f>(INDEX('Avoided Cost Benefits'!$B$4:$B$866,MATCH(DH1792,'Avoided Cost Benefits'!$A$4:$A$866,0)))*F1792</f>
        <v>1090.6199658567002</v>
      </c>
      <c r="DJ1792" s="1176">
        <f t="shared" si="271"/>
        <v>0</v>
      </c>
      <c r="DM1792" s="252"/>
    </row>
    <row r="1793" spans="1:117">
      <c r="A1793" s="453"/>
      <c r="B1793" s="1454">
        <f t="shared" si="265"/>
        <v>354400</v>
      </c>
      <c r="C1793" s="682" t="s">
        <v>2408</v>
      </c>
      <c r="D1793" s="3470" t="s">
        <v>1043</v>
      </c>
      <c r="E1793" s="1403" t="s">
        <v>2410</v>
      </c>
      <c r="F1793" s="225">
        <f>ROUND(((K2056*K2249*(1/K2442-1/K2635)*K3600)/1000)*$K$3651,2)</f>
        <v>13145.12</v>
      </c>
      <c r="G1793" s="570" t="s">
        <v>2173</v>
      </c>
      <c r="H1793" s="69">
        <f>VLOOKUP(G1793,'CP FACTORS'!$A$3:$B$38, 2, FALSE)</f>
        <v>0</v>
      </c>
      <c r="I1793" s="1028">
        <f t="shared" si="261"/>
        <v>0</v>
      </c>
      <c r="J1793" s="59">
        <f t="shared" si="268"/>
        <v>12</v>
      </c>
      <c r="K1793" s="163">
        <f t="shared" si="266"/>
        <v>0</v>
      </c>
      <c r="L1793" s="255"/>
      <c r="M1793" s="560"/>
      <c r="N1793" s="572"/>
      <c r="O1793" s="417"/>
      <c r="R1793" s="532"/>
      <c r="S1793" s="52"/>
      <c r="T1793" s="52"/>
      <c r="U1793" s="574"/>
      <c r="V1793" s="1442" t="s">
        <v>45</v>
      </c>
      <c r="W1793" s="962">
        <v>13965.852998065762</v>
      </c>
      <c r="X1793" s="251">
        <v>10399.659574468084</v>
      </c>
      <c r="Y1793" s="225">
        <v>10399.66</v>
      </c>
      <c r="Z1793" s="225">
        <v>10399.66</v>
      </c>
      <c r="AA1793" s="225">
        <v>10399.66</v>
      </c>
      <c r="AB1793" s="1027">
        <v>10399.66</v>
      </c>
      <c r="AC1793" s="227">
        <v>12553.53</v>
      </c>
      <c r="AD1793" s="227">
        <v>12962.58</v>
      </c>
      <c r="AE1793" s="227">
        <v>13145.12</v>
      </c>
      <c r="AF1793" s="271">
        <f t="shared" si="267"/>
        <v>13145.12</v>
      </c>
      <c r="AG1793" s="962"/>
      <c r="AH1793" s="121"/>
      <c r="AK1793" s="963"/>
      <c r="DF1793" s="1650" t="str">
        <f t="shared" si="269"/>
        <v>ASHP-SEER19-Replace_CAC_ElectricHeat_ER2_SF</v>
      </c>
      <c r="DG1793" s="1094"/>
      <c r="DH1793" s="1403" t="str">
        <f t="shared" si="262"/>
        <v>Heating Res ER2 12 Year EUL</v>
      </c>
      <c r="DI1793" s="1091">
        <f>(INDEX('Avoided Cost Benefits'!$B$4:$B$866,MATCH(DH1793,'Avoided Cost Benefits'!$A$4:$A$866,0)))*F1793</f>
        <v>4441.6837996645663</v>
      </c>
      <c r="DJ1793" s="1176">
        <f t="shared" si="271"/>
        <v>0</v>
      </c>
      <c r="DM1793" s="252"/>
    </row>
    <row r="1794" spans="1:117">
      <c r="A1794" s="453"/>
      <c r="B1794" s="1454">
        <f t="shared" si="265"/>
        <v>354410</v>
      </c>
      <c r="C1794" s="682" t="s">
        <v>2411</v>
      </c>
      <c r="D1794" s="3470" t="s">
        <v>1800</v>
      </c>
      <c r="E1794" s="210" t="s">
        <v>2412</v>
      </c>
      <c r="F1794" s="227">
        <f>ROUND(((K2829*K3022*(1/K3215-1/K3408)*K3601)/1000)*$K$3651,2)</f>
        <v>2563.17</v>
      </c>
      <c r="G1794" s="570" t="s">
        <v>2077</v>
      </c>
      <c r="H1794" s="69">
        <f>VLOOKUP(G1794,'CP FACTORS'!$A$3:$B$38, 2, FALSE)</f>
        <v>9.4741810000000004E-4</v>
      </c>
      <c r="I1794" s="1476">
        <f t="shared" si="261"/>
        <v>2.4283939999999999</v>
      </c>
      <c r="J1794" s="59">
        <f t="shared" si="268"/>
        <v>6</v>
      </c>
      <c r="K1794" s="166">
        <f t="shared" si="266"/>
        <v>550.39602164642804</v>
      </c>
      <c r="L1794" s="1107">
        <f>L2057</f>
        <v>3.6</v>
      </c>
      <c r="M1794" s="560"/>
      <c r="N1794" s="572"/>
      <c r="O1794" s="417"/>
      <c r="R1794" s="532"/>
      <c r="S1794" s="52"/>
      <c r="T1794" s="52"/>
      <c r="U1794" s="574"/>
      <c r="V1794" s="1442" t="s">
        <v>45</v>
      </c>
      <c r="W1794" s="962"/>
      <c r="X1794" s="251"/>
      <c r="Y1794" s="225"/>
      <c r="Z1794" s="225"/>
      <c r="AA1794" s="225"/>
      <c r="AB1794" s="1027"/>
      <c r="AC1794" s="227">
        <v>2436.71</v>
      </c>
      <c r="AD1794" s="225">
        <v>2436.71</v>
      </c>
      <c r="AE1794" s="227">
        <v>2673.03</v>
      </c>
      <c r="AF1794" s="271">
        <f t="shared" si="267"/>
        <v>2563.17</v>
      </c>
      <c r="AG1794" s="962"/>
      <c r="AH1794" s="121"/>
      <c r="AK1794" s="963"/>
      <c r="DF1794" s="1650" t="str">
        <f t="shared" si="269"/>
        <v>ASHP-SEER19-Replace_CAC_NonElectricHeat_ER1_SF</v>
      </c>
      <c r="DG1794" s="1090">
        <f>(DI1794+DI1795+DI1796+DI1797)/(DJ1794+DJ1795+DJ1796+DJ1797)</f>
        <v>6.6191392927894972</v>
      </c>
      <c r="DH1794" s="210" t="str">
        <f t="shared" si="262"/>
        <v>Cooling Res 6 Year EUL</v>
      </c>
      <c r="DI1794" s="1091">
        <f>(INDEX('Avoided Cost Benefits'!$B$4:$B$866,MATCH(DH1794,'Avoided Cost Benefits'!$A$4:$A$866,0)))*F1794</f>
        <v>2552.5279676181904</v>
      </c>
      <c r="DJ1794" s="1176">
        <f t="shared" si="271"/>
        <v>550.39602164642804</v>
      </c>
      <c r="DM1794" s="252"/>
    </row>
    <row r="1795" spans="1:117">
      <c r="A1795" s="453"/>
      <c r="B1795" s="1454">
        <f t="shared" si="265"/>
        <v>354410</v>
      </c>
      <c r="C1795" s="682" t="s">
        <v>2411</v>
      </c>
      <c r="D1795" s="3470" t="s">
        <v>1800</v>
      </c>
      <c r="E1795" s="210" t="s">
        <v>2412</v>
      </c>
      <c r="F1795" s="225">
        <v>0</v>
      </c>
      <c r="G1795" s="570" t="s">
        <v>2078</v>
      </c>
      <c r="H1795" s="69">
        <f>VLOOKUP(G1795,'CP FACTORS'!$A$3:$B$38, 2, FALSE)</f>
        <v>0</v>
      </c>
      <c r="I1795" s="1028">
        <f t="shared" si="261"/>
        <v>0</v>
      </c>
      <c r="J1795" s="59">
        <f t="shared" si="268"/>
        <v>6</v>
      </c>
      <c r="K1795" s="163">
        <f t="shared" si="266"/>
        <v>0</v>
      </c>
      <c r="L1795" s="255"/>
      <c r="M1795" s="560"/>
      <c r="N1795" s="572"/>
      <c r="O1795" s="417"/>
      <c r="R1795" s="532"/>
      <c r="S1795" s="52"/>
      <c r="T1795" s="52"/>
      <c r="U1795" s="574"/>
      <c r="V1795" s="1442" t="s">
        <v>45</v>
      </c>
      <c r="W1795" s="962"/>
      <c r="X1795" s="251"/>
      <c r="Y1795" s="225"/>
      <c r="Z1795" s="225"/>
      <c r="AA1795" s="225"/>
      <c r="AB1795" s="1027"/>
      <c r="AC1795" s="227">
        <v>0</v>
      </c>
      <c r="AD1795" s="225">
        <v>0</v>
      </c>
      <c r="AE1795" s="225">
        <v>0</v>
      </c>
      <c r="AF1795" s="271">
        <f t="shared" si="267"/>
        <v>0</v>
      </c>
      <c r="AG1795" s="962"/>
      <c r="AH1795" s="121"/>
      <c r="AK1795" s="963"/>
      <c r="DF1795" s="1650" t="str">
        <f t="shared" si="269"/>
        <v>ASHP-SEER19-Replace_CAC_NonElectricHeat_ER1_SF</v>
      </c>
      <c r="DG1795" s="1094"/>
      <c r="DH1795" s="210" t="str">
        <f t="shared" si="262"/>
        <v>Heating Res 6 Year EUL</v>
      </c>
      <c r="DI1795" s="1091">
        <f>(INDEX('Avoided Cost Benefits'!$B$4:$B$866,MATCH(DH1795,'Avoided Cost Benefits'!$A$4:$A$866,0)))*F1795</f>
        <v>0</v>
      </c>
      <c r="DJ1795" s="1176">
        <f t="shared" si="271"/>
        <v>0</v>
      </c>
      <c r="DM1795" s="252"/>
    </row>
    <row r="1796" spans="1:117">
      <c r="A1796" s="453"/>
      <c r="B1796" s="1454">
        <f t="shared" si="265"/>
        <v>354410</v>
      </c>
      <c r="C1796" s="682" t="s">
        <v>2411</v>
      </c>
      <c r="D1796" s="3470" t="s">
        <v>1800</v>
      </c>
      <c r="E1796" s="210" t="s">
        <v>2413</v>
      </c>
      <c r="F1796" s="227">
        <f>ROUND(((K2830*K3023*(1/K3216-1/K3409)*K3602)/1000)*$K$3651,2)</f>
        <v>842.88</v>
      </c>
      <c r="G1796" s="570" t="s">
        <v>2138</v>
      </c>
      <c r="H1796" s="69">
        <f>VLOOKUP(G1796,'CP FACTORS'!$A$3:$B$38, 2, FALSE)</f>
        <v>9.4741810000000004E-4</v>
      </c>
      <c r="I1796" s="1476">
        <f t="shared" si="261"/>
        <v>0.79856000000000005</v>
      </c>
      <c r="J1796" s="59">
        <f t="shared" si="268"/>
        <v>12</v>
      </c>
      <c r="K1796" s="163">
        <f t="shared" si="266"/>
        <v>0</v>
      </c>
      <c r="L1796" s="255"/>
      <c r="M1796" s="560"/>
      <c r="N1796" s="572"/>
      <c r="O1796" s="417"/>
      <c r="R1796" s="532"/>
      <c r="S1796" s="52"/>
      <c r="T1796" s="52"/>
      <c r="U1796" s="574"/>
      <c r="V1796" s="1442" t="s">
        <v>45</v>
      </c>
      <c r="W1796" s="962"/>
      <c r="X1796" s="251"/>
      <c r="Y1796" s="225"/>
      <c r="Z1796" s="225"/>
      <c r="AA1796" s="225"/>
      <c r="AB1796" s="1027"/>
      <c r="AC1796" s="227">
        <v>924.84</v>
      </c>
      <c r="AD1796" s="225">
        <v>924.84</v>
      </c>
      <c r="AE1796" s="227">
        <v>727.55</v>
      </c>
      <c r="AF1796" s="271">
        <f t="shared" si="267"/>
        <v>842.88</v>
      </c>
      <c r="AG1796" s="962"/>
      <c r="AH1796" s="121"/>
      <c r="AK1796" s="963"/>
      <c r="DF1796" s="1650" t="str">
        <f t="shared" si="269"/>
        <v>ASHP-SEER19-Replace_CAC_NonElectricHeat_ER2_SF</v>
      </c>
      <c r="DG1796" s="1094"/>
      <c r="DH1796" s="210" t="str">
        <f t="shared" si="262"/>
        <v>Cooling Res ER2 12 Year EUL</v>
      </c>
      <c r="DI1796" s="1091">
        <f>(INDEX('Avoided Cost Benefits'!$B$4:$B$866,MATCH(DH1796,'Avoided Cost Benefits'!$A$4:$A$866,0)))*F1796</f>
        <v>1090.6199658567002</v>
      </c>
      <c r="DJ1796" s="1176">
        <f t="shared" si="271"/>
        <v>0</v>
      </c>
      <c r="DM1796" s="252"/>
    </row>
    <row r="1797" spans="1:117">
      <c r="A1797" s="453"/>
      <c r="B1797" s="1454">
        <f t="shared" si="265"/>
        <v>354410</v>
      </c>
      <c r="C1797" s="682" t="s">
        <v>2411</v>
      </c>
      <c r="D1797" s="3470" t="s">
        <v>1800</v>
      </c>
      <c r="E1797" s="210" t="s">
        <v>2413</v>
      </c>
      <c r="F1797" s="225">
        <f>0</f>
        <v>0</v>
      </c>
      <c r="G1797" s="570" t="s">
        <v>2173</v>
      </c>
      <c r="H1797" s="69">
        <f>VLOOKUP(G1797,'CP FACTORS'!$A$3:$B$38, 2, FALSE)</f>
        <v>0</v>
      </c>
      <c r="I1797" s="1028">
        <f t="shared" si="261"/>
        <v>0</v>
      </c>
      <c r="J1797" s="59">
        <f t="shared" si="268"/>
        <v>12</v>
      </c>
      <c r="K1797" s="163">
        <f t="shared" si="266"/>
        <v>0</v>
      </c>
      <c r="L1797" s="255"/>
      <c r="M1797" s="560"/>
      <c r="N1797" s="572"/>
      <c r="O1797" s="417"/>
      <c r="R1797" s="532"/>
      <c r="S1797" s="52"/>
      <c r="T1797" s="52"/>
      <c r="U1797" s="574"/>
      <c r="V1797" s="1442" t="s">
        <v>45</v>
      </c>
      <c r="W1797" s="962"/>
      <c r="X1797" s="251"/>
      <c r="Y1797" s="225"/>
      <c r="Z1797" s="225"/>
      <c r="AA1797" s="225"/>
      <c r="AB1797" s="1027"/>
      <c r="AC1797" s="227">
        <v>0</v>
      </c>
      <c r="AD1797" s="225">
        <v>0</v>
      </c>
      <c r="AE1797" s="225">
        <v>0</v>
      </c>
      <c r="AF1797" s="271">
        <f t="shared" si="267"/>
        <v>0</v>
      </c>
      <c r="AG1797" s="962"/>
      <c r="AH1797" s="121"/>
      <c r="AK1797" s="963"/>
      <c r="DF1797" s="1650" t="str">
        <f t="shared" si="269"/>
        <v>ASHP-SEER19-Replace_CAC_NonElectricHeat_ER2_SF</v>
      </c>
      <c r="DG1797" s="1094"/>
      <c r="DH1797" s="210" t="str">
        <f t="shared" si="262"/>
        <v>Heating Res ER2 12 Year EUL</v>
      </c>
      <c r="DI1797" s="1091">
        <f>(INDEX('Avoided Cost Benefits'!$B$4:$B$866,MATCH(DH1797,'Avoided Cost Benefits'!$A$4:$A$866,0)))*F1797</f>
        <v>0</v>
      </c>
      <c r="DJ1797" s="1176">
        <f t="shared" si="271"/>
        <v>0</v>
      </c>
      <c r="DM1797" s="252"/>
    </row>
    <row r="1798" spans="1:117">
      <c r="A1798" s="453"/>
      <c r="B1798" s="1454">
        <f t="shared" si="265"/>
        <v>354450</v>
      </c>
      <c r="C1798" s="682" t="s">
        <v>2414</v>
      </c>
      <c r="D1798" s="3470" t="s">
        <v>959</v>
      </c>
      <c r="E1798" s="1369" t="s">
        <v>2415</v>
      </c>
      <c r="F1798" s="225">
        <f>ROUND(((K2831*K3024*(1/K3217-1/K3410)*K3603)/1000)*$K$3651,2)</f>
        <v>1416.58</v>
      </c>
      <c r="G1798" s="570" t="s">
        <v>2077</v>
      </c>
      <c r="H1798" s="69">
        <f>VLOOKUP(G1798,'CP FACTORS'!$A$3:$B$38, 2, FALSE)</f>
        <v>9.4741810000000004E-4</v>
      </c>
      <c r="I1798" s="1028">
        <f t="shared" si="261"/>
        <v>1.3420939999999999</v>
      </c>
      <c r="J1798" s="59">
        <f t="shared" si="268"/>
        <v>6</v>
      </c>
      <c r="K1798" s="166">
        <f t="shared" si="266"/>
        <v>3847.7316315552043</v>
      </c>
      <c r="L1798" s="255">
        <f>L2059</f>
        <v>3.1</v>
      </c>
      <c r="M1798" s="560"/>
      <c r="N1798" s="572"/>
      <c r="O1798" s="417"/>
      <c r="R1798" s="532"/>
      <c r="S1798" s="52"/>
      <c r="T1798" s="52"/>
      <c r="U1798" s="574"/>
      <c r="V1798" s="1442" t="s">
        <v>45</v>
      </c>
      <c r="W1798" s="962">
        <v>1984.1449226006196</v>
      </c>
      <c r="X1798" s="251">
        <v>1416.5825576546411</v>
      </c>
      <c r="Y1798" s="225">
        <v>1416.58</v>
      </c>
      <c r="Z1798" s="225">
        <v>1416.58</v>
      </c>
      <c r="AA1798" s="225">
        <v>1416.58</v>
      </c>
      <c r="AB1798" s="1027">
        <v>1416.58</v>
      </c>
      <c r="AC1798" s="960">
        <v>1416.58</v>
      </c>
      <c r="AD1798" s="225">
        <v>1416.58</v>
      </c>
      <c r="AE1798" s="225">
        <v>1416.58</v>
      </c>
      <c r="AF1798" s="271">
        <f t="shared" si="267"/>
        <v>1416.58</v>
      </c>
      <c r="AG1798" s="962"/>
      <c r="AH1798" s="121"/>
      <c r="AK1798" s="963"/>
      <c r="DF1798" s="1650" t="str">
        <f t="shared" si="269"/>
        <v>ASHP-SEER19-Replace_CAC_ElectricHeat_ER1_MF</v>
      </c>
      <c r="DG1798" s="1090">
        <f>(DI1798+DI1799+DI1800+DI1801)/(DJ1798+DJ1799+DJ1800+DJ1801)</f>
        <v>1.5868160812204033</v>
      </c>
      <c r="DH1798" s="1369" t="str">
        <f t="shared" si="262"/>
        <v>Cooling Res 6 Year EUL</v>
      </c>
      <c r="DI1798" s="1091">
        <f>(INDEX('Avoided Cost Benefits'!$B$4:$B$866,MATCH(DH1798,'Avoided Cost Benefits'!$A$4:$A$866,0)))*F1798</f>
        <v>1410.6984977073607</v>
      </c>
      <c r="DJ1798" s="1176">
        <f>IFERROR(K1798/(1.0686^(2025-2025)),10000000)</f>
        <v>3847.7316315552043</v>
      </c>
      <c r="DM1798" s="252"/>
    </row>
    <row r="1799" spans="1:117">
      <c r="A1799" s="453"/>
      <c r="B1799" s="1454">
        <f t="shared" si="265"/>
        <v>354450</v>
      </c>
      <c r="C1799" s="682" t="s">
        <v>2414</v>
      </c>
      <c r="D1799" s="3470" t="s">
        <v>959</v>
      </c>
      <c r="E1799" s="1393" t="s">
        <v>2415</v>
      </c>
      <c r="F1799" s="225">
        <f>ROUND(((K2059*K2252*(1/K2445-1/K2638)*K3603)/1000)*$K$3651,2)</f>
        <v>6759.78</v>
      </c>
      <c r="G1799" s="570" t="s">
        <v>2078</v>
      </c>
      <c r="H1799" s="69">
        <f>VLOOKUP(G1799,'CP FACTORS'!$A$3:$B$38, 2, FALSE)</f>
        <v>0</v>
      </c>
      <c r="I1799" s="1028">
        <f t="shared" si="261"/>
        <v>0</v>
      </c>
      <c r="J1799" s="59">
        <f t="shared" si="268"/>
        <v>6</v>
      </c>
      <c r="K1799" s="163">
        <f t="shared" si="266"/>
        <v>0</v>
      </c>
      <c r="L1799" s="255"/>
      <c r="M1799" s="560"/>
      <c r="N1799" s="572"/>
      <c r="O1799" s="417"/>
      <c r="R1799" s="532"/>
      <c r="S1799" s="52"/>
      <c r="T1799" s="52"/>
      <c r="U1799" s="574"/>
      <c r="V1799" s="1442" t="s">
        <v>45</v>
      </c>
      <c r="W1799" s="962">
        <v>9077.8044487427451</v>
      </c>
      <c r="X1799" s="251">
        <v>6759.7787234042544</v>
      </c>
      <c r="Y1799" s="225">
        <v>6759.78</v>
      </c>
      <c r="Z1799" s="225">
        <v>6759.78</v>
      </c>
      <c r="AA1799" s="225">
        <v>6759.78</v>
      </c>
      <c r="AB1799" s="1027">
        <v>6759.78</v>
      </c>
      <c r="AC1799" s="960">
        <v>6759.78</v>
      </c>
      <c r="AD1799" s="225">
        <v>6759.78</v>
      </c>
      <c r="AE1799" s="225">
        <v>6759.78</v>
      </c>
      <c r="AF1799" s="271">
        <f t="shared" si="267"/>
        <v>6759.78</v>
      </c>
      <c r="AG1799" s="962"/>
      <c r="AH1799" s="121"/>
      <c r="AK1799" s="963"/>
      <c r="DF1799" s="1650" t="str">
        <f t="shared" si="269"/>
        <v>ASHP-SEER19-Replace_CAC_ElectricHeat_ER1_MF</v>
      </c>
      <c r="DG1799" s="1094"/>
      <c r="DH1799" s="1393" t="str">
        <f t="shared" si="262"/>
        <v>Heating Res 6 Year EUL</v>
      </c>
      <c r="DI1799" s="1091">
        <f>(INDEX('Avoided Cost Benefits'!$B$4:$B$866,MATCH(DH1799,'Avoided Cost Benefits'!$A$4:$A$866,0)))*F1799</f>
        <v>1812.8297605752794</v>
      </c>
      <c r="DJ1799" s="1176">
        <f>K1799/(1.0686^(2025-2025))</f>
        <v>0</v>
      </c>
      <c r="DM1799" s="252"/>
    </row>
    <row r="1800" spans="1:117">
      <c r="A1800" s="453"/>
      <c r="B1800" s="1454">
        <f t="shared" si="265"/>
        <v>354450</v>
      </c>
      <c r="C1800" s="682" t="s">
        <v>2414</v>
      </c>
      <c r="D1800" s="3470" t="s">
        <v>959</v>
      </c>
      <c r="E1800" s="1393" t="s">
        <v>2416</v>
      </c>
      <c r="F1800" s="227">
        <f>ROUND(((K2832*K3025*(1/K3218-1/K3411)*K3604)/1000)*$K$3651,2)</f>
        <v>462.17</v>
      </c>
      <c r="G1800" s="570" t="s">
        <v>2138</v>
      </c>
      <c r="H1800" s="69">
        <f>VLOOKUP(G1800,'CP FACTORS'!$A$3:$B$38, 2, FALSE)</f>
        <v>9.4741810000000004E-4</v>
      </c>
      <c r="I1800" s="1476">
        <f t="shared" si="261"/>
        <v>0.43786799999999998</v>
      </c>
      <c r="J1800" s="59">
        <f t="shared" si="268"/>
        <v>12</v>
      </c>
      <c r="K1800" s="163">
        <f t="shared" si="266"/>
        <v>0</v>
      </c>
      <c r="L1800" s="255"/>
      <c r="M1800" s="560"/>
      <c r="N1800" s="572"/>
      <c r="O1800" s="417"/>
      <c r="R1800" s="532"/>
      <c r="S1800" s="52"/>
      <c r="T1800" s="52"/>
      <c r="U1800" s="574"/>
      <c r="V1800" s="1442" t="s">
        <v>45</v>
      </c>
      <c r="W1800" s="962">
        <v>510.42315789473696</v>
      </c>
      <c r="X1800" s="254">
        <v>510.42315789473696</v>
      </c>
      <c r="Y1800" s="225">
        <v>510.42</v>
      </c>
      <c r="Z1800" s="225">
        <v>510.42</v>
      </c>
      <c r="AA1800" s="225">
        <v>510.42</v>
      </c>
      <c r="AB1800" s="1027">
        <v>510.42</v>
      </c>
      <c r="AC1800" s="960">
        <v>510.42</v>
      </c>
      <c r="AD1800" s="225">
        <v>510.42</v>
      </c>
      <c r="AE1800" s="227">
        <v>394.97</v>
      </c>
      <c r="AF1800" s="271">
        <f t="shared" si="267"/>
        <v>462.17</v>
      </c>
      <c r="AG1800" s="962"/>
      <c r="AH1800" s="121"/>
      <c r="AK1800" s="963"/>
      <c r="DF1800" s="1650" t="str">
        <f t="shared" si="269"/>
        <v>ASHP-SEER19-Replace_CAC_ElectricHeat_ER2_MF</v>
      </c>
      <c r="DG1800" s="1094"/>
      <c r="DH1800" s="1393" t="str">
        <f t="shared" si="262"/>
        <v>Cooling Res ER2 12 Year EUL</v>
      </c>
      <c r="DI1800" s="1091">
        <f>(INDEX('Avoided Cost Benefits'!$B$4:$B$866,MATCH(DH1800,'Avoided Cost Benefits'!$A$4:$A$866,0)))*F1800</f>
        <v>598.01137720670931</v>
      </c>
      <c r="DJ1800" s="1176">
        <f>K1800/(1.0686^(2025-2025))</f>
        <v>0</v>
      </c>
      <c r="DM1800" s="252"/>
    </row>
    <row r="1801" spans="1:117">
      <c r="A1801" s="453"/>
      <c r="B1801" s="1454">
        <f t="shared" si="265"/>
        <v>354450</v>
      </c>
      <c r="C1801" s="682" t="s">
        <v>2414</v>
      </c>
      <c r="D1801" s="3470" t="s">
        <v>959</v>
      </c>
      <c r="E1801" s="1370" t="s">
        <v>2416</v>
      </c>
      <c r="F1801" s="225">
        <f>ROUND(((K2060*K2253*(1/K2446-1/K2639)*K3604)/1000)*$K$3651,2)</f>
        <v>6759.78</v>
      </c>
      <c r="G1801" s="570" t="s">
        <v>2173</v>
      </c>
      <c r="H1801" s="69">
        <f>VLOOKUP(G1801,'CP FACTORS'!$A$3:$B$38, 2, FALSE)</f>
        <v>0</v>
      </c>
      <c r="I1801" s="1028">
        <f t="shared" si="261"/>
        <v>0</v>
      </c>
      <c r="J1801" s="59">
        <f t="shared" si="268"/>
        <v>12</v>
      </c>
      <c r="K1801" s="163">
        <f t="shared" si="266"/>
        <v>0</v>
      </c>
      <c r="L1801" s="255"/>
      <c r="M1801" s="560"/>
      <c r="N1801" s="572"/>
      <c r="O1801" s="417"/>
      <c r="R1801" s="532"/>
      <c r="S1801" s="52"/>
      <c r="T1801" s="52"/>
      <c r="U1801" s="574"/>
      <c r="V1801" s="1442" t="s">
        <v>45</v>
      </c>
      <c r="W1801" s="962">
        <v>9077.8044487427451</v>
      </c>
      <c r="X1801" s="251">
        <v>6759.7787234042544</v>
      </c>
      <c r="Y1801" s="225">
        <v>6759.78</v>
      </c>
      <c r="Z1801" s="225">
        <v>6759.78</v>
      </c>
      <c r="AA1801" s="225">
        <v>6759.78</v>
      </c>
      <c r="AB1801" s="1027">
        <v>6759.78</v>
      </c>
      <c r="AC1801" s="960">
        <v>6759.78</v>
      </c>
      <c r="AD1801" s="225">
        <v>6759.78</v>
      </c>
      <c r="AE1801" s="225">
        <v>6759.78</v>
      </c>
      <c r="AF1801" s="271">
        <f t="shared" si="267"/>
        <v>6759.78</v>
      </c>
      <c r="AG1801" s="962"/>
      <c r="AH1801" s="121"/>
      <c r="AK1801" s="963"/>
      <c r="DF1801" s="1650" t="str">
        <f t="shared" si="269"/>
        <v>ASHP-SEER19-Replace_CAC_ElectricHeat_ER2_MF</v>
      </c>
      <c r="DG1801" s="1094"/>
      <c r="DH1801" s="1370" t="str">
        <f t="shared" si="262"/>
        <v>Heating Res ER2 12 Year EUL</v>
      </c>
      <c r="DI1801" s="1091">
        <f>(INDEX('Avoided Cost Benefits'!$B$4:$B$866,MATCH(DH1801,'Avoided Cost Benefits'!$A$4:$A$866,0)))*F1801</f>
        <v>2284.1027936828682</v>
      </c>
      <c r="DJ1801" s="1176">
        <f>K1801/(1.0686^(2025-2025))</f>
        <v>0</v>
      </c>
      <c r="DM1801" s="252"/>
    </row>
    <row r="1802" spans="1:117">
      <c r="A1802" s="453"/>
      <c r="B1802" s="1454">
        <f t="shared" si="265"/>
        <v>354451</v>
      </c>
      <c r="C1802" s="2554" t="s">
        <v>2417</v>
      </c>
      <c r="D1802" s="3383" t="s">
        <v>1118</v>
      </c>
      <c r="E1802" s="2521" t="s">
        <v>2418</v>
      </c>
      <c r="F1802" s="3373">
        <f>ROUND((($K$2833*$K$3026*(1/$K$3219-1/$K$3412)*$K$3605)/1000)*$K$3651,2)</f>
        <v>1030.24</v>
      </c>
      <c r="G1802" s="3384" t="str">
        <f>G1798</f>
        <v>Cooling Res</v>
      </c>
      <c r="H1802" s="2213">
        <f>VLOOKUP(G1802,'CP FACTORS'!$A$3:$B$38, 2, FALSE)</f>
        <v>9.4741810000000004E-4</v>
      </c>
      <c r="I1802" s="3385">
        <f t="shared" ref="I1802:I1865" si="272">ROUND(F1802*H1802,6)</f>
        <v>0.97606800000000005</v>
      </c>
      <c r="J1802" s="2449">
        <f t="shared" si="268"/>
        <v>6</v>
      </c>
      <c r="K1802" s="2467">
        <f t="shared" si="266"/>
        <v>3847.7316315552043</v>
      </c>
      <c r="L1802" s="2649">
        <f>L2061</f>
        <v>3.1</v>
      </c>
      <c r="M1802" s="3386"/>
      <c r="N1802" s="3387"/>
      <c r="O1802" s="2702"/>
      <c r="P1802" s="635"/>
      <c r="Q1802" s="635"/>
      <c r="R1802" s="2966"/>
      <c r="S1802" s="635"/>
      <c r="T1802" s="635"/>
      <c r="U1802" s="3388"/>
      <c r="V1802" s="2962" t="s">
        <v>45</v>
      </c>
      <c r="W1802" s="3389"/>
      <c r="X1802" s="3390"/>
      <c r="Y1802" s="3369">
        <v>1030.24</v>
      </c>
      <c r="Z1802" s="3373">
        <v>1030.24</v>
      </c>
      <c r="AA1802" s="3373">
        <v>1030.24</v>
      </c>
      <c r="AB1802" s="3400">
        <v>1030.24</v>
      </c>
      <c r="AC1802" s="3401">
        <v>1030.24</v>
      </c>
      <c r="AD1802" s="3373">
        <v>1030.24</v>
      </c>
      <c r="AE1802" s="3373">
        <v>1030.24</v>
      </c>
      <c r="AF1802" s="2236">
        <f t="shared" si="267"/>
        <v>1030.24</v>
      </c>
      <c r="AG1802" s="3389"/>
      <c r="AH1802" s="2728"/>
      <c r="AI1802" s="2237"/>
      <c r="AJ1802" s="2237"/>
      <c r="AK1802" s="3392"/>
      <c r="AL1802" s="2237"/>
      <c r="AM1802" s="2237"/>
      <c r="AN1802" s="2237"/>
      <c r="AO1802" s="2237"/>
      <c r="AP1802" s="2237"/>
      <c r="AQ1802" s="2237"/>
      <c r="AR1802" s="2237"/>
      <c r="AS1802" s="2237"/>
      <c r="AT1802" s="2237"/>
      <c r="AU1802" s="2237"/>
      <c r="AV1802" s="2237"/>
      <c r="AW1802" s="2237"/>
      <c r="AX1802" s="2237"/>
      <c r="AY1802" s="2237"/>
      <c r="AZ1802" s="2237"/>
      <c r="BA1802" s="2237"/>
      <c r="BB1802" s="2237"/>
      <c r="BC1802" s="2237"/>
      <c r="BD1802" s="2237"/>
      <c r="BE1802" s="2237"/>
      <c r="BF1802" s="2237"/>
      <c r="BG1802" s="2237"/>
      <c r="BH1802" s="2237"/>
      <c r="BI1802" s="2237"/>
      <c r="BJ1802" s="2237"/>
      <c r="BK1802" s="2237"/>
      <c r="BL1802" s="2237"/>
      <c r="BM1802" s="2237"/>
      <c r="BN1802" s="2237"/>
      <c r="BO1802" s="2237"/>
      <c r="BP1802" s="2237"/>
      <c r="BQ1802" s="2237"/>
      <c r="BR1802" s="2237"/>
      <c r="BS1802" s="2237"/>
      <c r="BT1802" s="2237"/>
      <c r="BU1802" s="2237"/>
      <c r="BV1802" s="2237"/>
      <c r="BW1802" s="2237"/>
      <c r="BX1802" s="2237"/>
      <c r="BY1802" s="2237"/>
      <c r="BZ1802" s="2237"/>
      <c r="CA1802" s="2237"/>
      <c r="CB1802" s="2237"/>
      <c r="CC1802" s="2237"/>
      <c r="CD1802" s="2237"/>
      <c r="CE1802" s="2237"/>
      <c r="CF1802" s="2237"/>
      <c r="CG1802" s="2237"/>
      <c r="CH1802" s="2237"/>
      <c r="CI1802" s="2237"/>
      <c r="CJ1802" s="2237"/>
      <c r="CK1802" s="2237"/>
      <c r="CL1802" s="2237"/>
      <c r="CM1802" s="2237"/>
      <c r="CN1802" s="2237"/>
      <c r="CO1802" s="2237"/>
      <c r="CP1802" s="2237"/>
      <c r="CQ1802" s="2237"/>
      <c r="CR1802" s="2237"/>
      <c r="CS1802" s="2237"/>
      <c r="CT1802" s="2237"/>
      <c r="CU1802" s="2237"/>
      <c r="CV1802" s="2237"/>
      <c r="CW1802" s="2237"/>
      <c r="CX1802" s="2237"/>
      <c r="CY1802" s="2237"/>
      <c r="CZ1802" s="2237"/>
      <c r="DA1802" s="2237"/>
      <c r="DB1802" s="2237"/>
      <c r="DC1802" s="2237"/>
      <c r="DD1802" s="2237"/>
      <c r="DE1802" s="2237"/>
      <c r="DF1802" s="3393" t="str">
        <f t="shared" si="269"/>
        <v>ASHP-SEER19-Replace_CAC_ElectricHeat_ER1_MF_CompE</v>
      </c>
      <c r="DG1802" s="3259">
        <f>(DI1802+DI1803+DI1804+DI1805)/(DJ1802+DJ1803+DJ1804+DJ1805)</f>
        <v>0.74266339074545418</v>
      </c>
      <c r="DH1802" s="2521" t="str">
        <f t="shared" ref="DH1802:DH1865" si="273">CONCATENATE(G1802," ",J1802," Year EUL")</f>
        <v>Cooling Res 6 Year EUL</v>
      </c>
      <c r="DI1802" s="3260">
        <f>(INDEX('Avoided Cost Benefits'!$B$4:$B$866,MATCH(DH1802,'Avoided Cost Benefits'!$A$4:$A$866,0)))*F1802</f>
        <v>1025.9625437871714</v>
      </c>
      <c r="DJ1802" s="2507">
        <f>IFERROR(K1802/(1.0686^(2025-2025)),10000000)</f>
        <v>3847.7316315552043</v>
      </c>
      <c r="DM1802" s="252"/>
    </row>
    <row r="1803" spans="1:117">
      <c r="A1803" s="453"/>
      <c r="B1803" s="1454">
        <f t="shared" si="265"/>
        <v>354451</v>
      </c>
      <c r="C1803" s="2554" t="str">
        <f>C1802</f>
        <v>354451_2024_12_</v>
      </c>
      <c r="D1803" s="3383" t="s">
        <v>1118</v>
      </c>
      <c r="E1803" s="2882" t="s">
        <v>2418</v>
      </c>
      <c r="F1803" s="3373">
        <f>ROUND((($K$2061*$K$2254*(1/$K$2447-1/$K$2640)*$K$3605)/1000)*$K$3651,2)</f>
        <v>2304.4699999999998</v>
      </c>
      <c r="G1803" s="3384" t="str">
        <f>G1799</f>
        <v>Heating Res</v>
      </c>
      <c r="H1803" s="2213">
        <f>VLOOKUP(G1803,'CP FACTORS'!$A$3:$B$38, 2, FALSE)</f>
        <v>0</v>
      </c>
      <c r="I1803" s="3385">
        <f t="shared" si="272"/>
        <v>0</v>
      </c>
      <c r="J1803" s="2449">
        <f t="shared" si="268"/>
        <v>6</v>
      </c>
      <c r="K1803" s="2894">
        <f t="shared" si="266"/>
        <v>0</v>
      </c>
      <c r="L1803" s="2649"/>
      <c r="M1803" s="3386"/>
      <c r="N1803" s="3387"/>
      <c r="O1803" s="2702"/>
      <c r="P1803" s="635"/>
      <c r="Q1803" s="635"/>
      <c r="R1803" s="2966"/>
      <c r="S1803" s="635"/>
      <c r="T1803" s="635"/>
      <c r="U1803" s="3388"/>
      <c r="V1803" s="2962" t="s">
        <v>45</v>
      </c>
      <c r="W1803" s="3389"/>
      <c r="X1803" s="3390"/>
      <c r="Y1803" s="3369">
        <v>2304.4699999999998</v>
      </c>
      <c r="Z1803" s="3373">
        <v>2304.4699999999998</v>
      </c>
      <c r="AA1803" s="3373">
        <v>2304.4699999999998</v>
      </c>
      <c r="AB1803" s="3400">
        <v>2304.4699999999998</v>
      </c>
      <c r="AC1803" s="3401">
        <v>2304.4699999999998</v>
      </c>
      <c r="AD1803" s="3373">
        <v>2304.4699999999998</v>
      </c>
      <c r="AE1803" s="3373">
        <v>2304.4699999999998</v>
      </c>
      <c r="AF1803" s="2236">
        <f t="shared" si="267"/>
        <v>2304.4699999999998</v>
      </c>
      <c r="AG1803" s="3389"/>
      <c r="AH1803" s="2728"/>
      <c r="AI1803" s="2237"/>
      <c r="AJ1803" s="2237"/>
      <c r="AK1803" s="3392"/>
      <c r="AL1803" s="2237"/>
      <c r="AM1803" s="2237"/>
      <c r="AN1803" s="2237"/>
      <c r="AO1803" s="2237"/>
      <c r="AP1803" s="2237"/>
      <c r="AQ1803" s="2237"/>
      <c r="AR1803" s="2237"/>
      <c r="AS1803" s="2237"/>
      <c r="AT1803" s="2237"/>
      <c r="AU1803" s="2237"/>
      <c r="AV1803" s="2237"/>
      <c r="AW1803" s="2237"/>
      <c r="AX1803" s="2237"/>
      <c r="AY1803" s="2237"/>
      <c r="AZ1803" s="2237"/>
      <c r="BA1803" s="2237"/>
      <c r="BB1803" s="2237"/>
      <c r="BC1803" s="2237"/>
      <c r="BD1803" s="2237"/>
      <c r="BE1803" s="2237"/>
      <c r="BF1803" s="2237"/>
      <c r="BG1803" s="2237"/>
      <c r="BH1803" s="2237"/>
      <c r="BI1803" s="2237"/>
      <c r="BJ1803" s="2237"/>
      <c r="BK1803" s="2237"/>
      <c r="BL1803" s="2237"/>
      <c r="BM1803" s="2237"/>
      <c r="BN1803" s="2237"/>
      <c r="BO1803" s="2237"/>
      <c r="BP1803" s="2237"/>
      <c r="BQ1803" s="2237"/>
      <c r="BR1803" s="2237"/>
      <c r="BS1803" s="2237"/>
      <c r="BT1803" s="2237"/>
      <c r="BU1803" s="2237"/>
      <c r="BV1803" s="2237"/>
      <c r="BW1803" s="2237"/>
      <c r="BX1803" s="2237"/>
      <c r="BY1803" s="2237"/>
      <c r="BZ1803" s="2237"/>
      <c r="CA1803" s="2237"/>
      <c r="CB1803" s="2237"/>
      <c r="CC1803" s="2237"/>
      <c r="CD1803" s="2237"/>
      <c r="CE1803" s="2237"/>
      <c r="CF1803" s="2237"/>
      <c r="CG1803" s="2237"/>
      <c r="CH1803" s="2237"/>
      <c r="CI1803" s="2237"/>
      <c r="CJ1803" s="2237"/>
      <c r="CK1803" s="2237"/>
      <c r="CL1803" s="2237"/>
      <c r="CM1803" s="2237"/>
      <c r="CN1803" s="2237"/>
      <c r="CO1803" s="2237"/>
      <c r="CP1803" s="2237"/>
      <c r="CQ1803" s="2237"/>
      <c r="CR1803" s="2237"/>
      <c r="CS1803" s="2237"/>
      <c r="CT1803" s="2237"/>
      <c r="CU1803" s="2237"/>
      <c r="CV1803" s="2237"/>
      <c r="CW1803" s="2237"/>
      <c r="CX1803" s="2237"/>
      <c r="CY1803" s="2237"/>
      <c r="CZ1803" s="2237"/>
      <c r="DA1803" s="2237"/>
      <c r="DB1803" s="2237"/>
      <c r="DC1803" s="2237"/>
      <c r="DD1803" s="2237"/>
      <c r="DE1803" s="2237"/>
      <c r="DF1803" s="3393" t="str">
        <f t="shared" si="269"/>
        <v>ASHP-SEER19-Replace_CAC_ElectricHeat_ER1_MF_CompE</v>
      </c>
      <c r="DG1803" s="3332"/>
      <c r="DH1803" s="2882" t="str">
        <f t="shared" si="273"/>
        <v>Heating Res 6 Year EUL</v>
      </c>
      <c r="DI1803" s="3260">
        <f>(INDEX('Avoided Cost Benefits'!$B$4:$B$866,MATCH(DH1803,'Avoided Cost Benefits'!$A$4:$A$866,0)))*F1803</f>
        <v>618.01002375120402</v>
      </c>
      <c r="DJ1803" s="2507">
        <f t="shared" ref="DJ1803:DJ1813" si="274">K1803/(1.0686^(2025-2025))</f>
        <v>0</v>
      </c>
      <c r="DM1803" s="252"/>
    </row>
    <row r="1804" spans="1:117">
      <c r="A1804" s="453"/>
      <c r="B1804" s="1454">
        <f t="shared" si="265"/>
        <v>354451</v>
      </c>
      <c r="C1804" s="2554" t="str">
        <f>C1803</f>
        <v>354451_2024_12_</v>
      </c>
      <c r="D1804" s="3383" t="s">
        <v>1118</v>
      </c>
      <c r="E1804" s="2882" t="s">
        <v>2419</v>
      </c>
      <c r="F1804" s="3369">
        <f>ROUND((($K$2834*$K$3027*(1/$K$3220-1/$K$3413)*$K$3606)/1000)*$K$3651,2)</f>
        <v>336.13</v>
      </c>
      <c r="G1804" s="3384" t="str">
        <f>G1800</f>
        <v>Cooling Res ER2</v>
      </c>
      <c r="H1804" s="2213">
        <f>VLOOKUP(G1804,'CP FACTORS'!$A$3:$B$38, 2, FALSE)</f>
        <v>9.4741810000000004E-4</v>
      </c>
      <c r="I1804" s="3394">
        <f t="shared" si="272"/>
        <v>0.31845600000000002</v>
      </c>
      <c r="J1804" s="2449">
        <f t="shared" si="268"/>
        <v>12</v>
      </c>
      <c r="K1804" s="2894">
        <f t="shared" si="266"/>
        <v>0</v>
      </c>
      <c r="L1804" s="2649"/>
      <c r="M1804" s="3386"/>
      <c r="N1804" s="3387"/>
      <c r="O1804" s="2702"/>
      <c r="P1804" s="635"/>
      <c r="Q1804" s="635"/>
      <c r="R1804" s="2966"/>
      <c r="S1804" s="635"/>
      <c r="T1804" s="635"/>
      <c r="U1804" s="3388"/>
      <c r="V1804" s="2962" t="s">
        <v>45</v>
      </c>
      <c r="W1804" s="3389"/>
      <c r="X1804" s="3390"/>
      <c r="Y1804" s="3369">
        <v>371.22</v>
      </c>
      <c r="Z1804" s="3373">
        <v>371.22</v>
      </c>
      <c r="AA1804" s="3373">
        <v>371.22</v>
      </c>
      <c r="AB1804" s="3400">
        <v>371.22</v>
      </c>
      <c r="AC1804" s="3401">
        <v>371.22</v>
      </c>
      <c r="AD1804" s="3373">
        <v>371.22</v>
      </c>
      <c r="AE1804" s="3369">
        <v>287.25</v>
      </c>
      <c r="AF1804" s="2236">
        <f t="shared" si="267"/>
        <v>336.13</v>
      </c>
      <c r="AG1804" s="3389"/>
      <c r="AH1804" s="2728"/>
      <c r="AI1804" s="2237"/>
      <c r="AJ1804" s="2237"/>
      <c r="AK1804" s="3392"/>
      <c r="AL1804" s="2237"/>
      <c r="AM1804" s="2237"/>
      <c r="AN1804" s="2237"/>
      <c r="AO1804" s="2237"/>
      <c r="AP1804" s="2237"/>
      <c r="AQ1804" s="2237"/>
      <c r="AR1804" s="2237"/>
      <c r="AS1804" s="2237"/>
      <c r="AT1804" s="2237"/>
      <c r="AU1804" s="2237"/>
      <c r="AV1804" s="2237"/>
      <c r="AW1804" s="2237"/>
      <c r="AX1804" s="2237"/>
      <c r="AY1804" s="2237"/>
      <c r="AZ1804" s="2237"/>
      <c r="BA1804" s="2237"/>
      <c r="BB1804" s="2237"/>
      <c r="BC1804" s="2237"/>
      <c r="BD1804" s="2237"/>
      <c r="BE1804" s="2237"/>
      <c r="BF1804" s="2237"/>
      <c r="BG1804" s="2237"/>
      <c r="BH1804" s="2237"/>
      <c r="BI1804" s="2237"/>
      <c r="BJ1804" s="2237"/>
      <c r="BK1804" s="2237"/>
      <c r="BL1804" s="2237"/>
      <c r="BM1804" s="2237"/>
      <c r="BN1804" s="2237"/>
      <c r="BO1804" s="2237"/>
      <c r="BP1804" s="2237"/>
      <c r="BQ1804" s="2237"/>
      <c r="BR1804" s="2237"/>
      <c r="BS1804" s="2237"/>
      <c r="BT1804" s="2237"/>
      <c r="BU1804" s="2237"/>
      <c r="BV1804" s="2237"/>
      <c r="BW1804" s="2237"/>
      <c r="BX1804" s="2237"/>
      <c r="BY1804" s="2237"/>
      <c r="BZ1804" s="2237"/>
      <c r="CA1804" s="2237"/>
      <c r="CB1804" s="2237"/>
      <c r="CC1804" s="2237"/>
      <c r="CD1804" s="2237"/>
      <c r="CE1804" s="2237"/>
      <c r="CF1804" s="2237"/>
      <c r="CG1804" s="2237"/>
      <c r="CH1804" s="2237"/>
      <c r="CI1804" s="2237"/>
      <c r="CJ1804" s="2237"/>
      <c r="CK1804" s="2237"/>
      <c r="CL1804" s="2237"/>
      <c r="CM1804" s="2237"/>
      <c r="CN1804" s="2237"/>
      <c r="CO1804" s="2237"/>
      <c r="CP1804" s="2237"/>
      <c r="CQ1804" s="2237"/>
      <c r="CR1804" s="2237"/>
      <c r="CS1804" s="2237"/>
      <c r="CT1804" s="2237"/>
      <c r="CU1804" s="2237"/>
      <c r="CV1804" s="2237"/>
      <c r="CW1804" s="2237"/>
      <c r="CX1804" s="2237"/>
      <c r="CY1804" s="2237"/>
      <c r="CZ1804" s="2237"/>
      <c r="DA1804" s="2237"/>
      <c r="DB1804" s="2237"/>
      <c r="DC1804" s="2237"/>
      <c r="DD1804" s="2237"/>
      <c r="DE1804" s="2237"/>
      <c r="DF1804" s="3393" t="str">
        <f t="shared" si="269"/>
        <v>ASHP-SEER19-Replace_CAC_ElectricHeat_ER2_MF_CompE</v>
      </c>
      <c r="DG1804" s="3332"/>
      <c r="DH1804" s="2882" t="str">
        <f t="shared" si="273"/>
        <v>Cooling Res ER2 12 Year EUL</v>
      </c>
      <c r="DI1804" s="3260">
        <f>(INDEX('Avoided Cost Benefits'!$B$4:$B$866,MATCH(DH1804,'Avoided Cost Benefits'!$A$4:$A$866,0)))*F1804</f>
        <v>434.92559928271243</v>
      </c>
      <c r="DJ1804" s="2507">
        <f t="shared" si="274"/>
        <v>0</v>
      </c>
      <c r="DM1804" s="252"/>
    </row>
    <row r="1805" spans="1:117">
      <c r="A1805" s="453"/>
      <c r="B1805" s="1454">
        <f t="shared" si="265"/>
        <v>354451</v>
      </c>
      <c r="C1805" s="2554" t="str">
        <f>C1804</f>
        <v>354451_2024_12_</v>
      </c>
      <c r="D1805" s="3383" t="s">
        <v>1118</v>
      </c>
      <c r="E1805" s="2522" t="s">
        <v>2419</v>
      </c>
      <c r="F1805" s="3373">
        <f>ROUND((($K$2062*$K$2255*(1/$K$2448-1/$K$2641)*$K$3606)/1000)*$K$3651,2)</f>
        <v>2304.4699999999998</v>
      </c>
      <c r="G1805" s="3384" t="str">
        <f>G1801</f>
        <v>Heating Res ER2</v>
      </c>
      <c r="H1805" s="2213">
        <f>VLOOKUP(G1805,'CP FACTORS'!$A$3:$B$38, 2, FALSE)</f>
        <v>0</v>
      </c>
      <c r="I1805" s="3385">
        <f t="shared" si="272"/>
        <v>0</v>
      </c>
      <c r="J1805" s="2449">
        <f t="shared" si="268"/>
        <v>12</v>
      </c>
      <c r="K1805" s="2894">
        <f t="shared" si="266"/>
        <v>0</v>
      </c>
      <c r="L1805" s="2649"/>
      <c r="M1805" s="3386"/>
      <c r="N1805" s="3387"/>
      <c r="O1805" s="2702"/>
      <c r="P1805" s="635"/>
      <c r="Q1805" s="635"/>
      <c r="R1805" s="2966"/>
      <c r="S1805" s="635"/>
      <c r="T1805" s="635"/>
      <c r="U1805" s="3388"/>
      <c r="V1805" s="2962" t="s">
        <v>45</v>
      </c>
      <c r="W1805" s="3389"/>
      <c r="X1805" s="3390"/>
      <c r="Y1805" s="3369">
        <v>2304.4699999999998</v>
      </c>
      <c r="Z1805" s="3373">
        <v>2304.4699999999998</v>
      </c>
      <c r="AA1805" s="3373">
        <v>2304.4699999999998</v>
      </c>
      <c r="AB1805" s="3400">
        <v>2304.4699999999998</v>
      </c>
      <c r="AC1805" s="3401">
        <v>2304.4699999999998</v>
      </c>
      <c r="AD1805" s="3373">
        <v>2304.4699999999998</v>
      </c>
      <c r="AE1805" s="3373">
        <v>2304.4699999999998</v>
      </c>
      <c r="AF1805" s="2236">
        <f t="shared" si="267"/>
        <v>2304.4699999999998</v>
      </c>
      <c r="AG1805" s="3389"/>
      <c r="AH1805" s="2728"/>
      <c r="AI1805" s="2237"/>
      <c r="AJ1805" s="2237"/>
      <c r="AK1805" s="3392"/>
      <c r="AL1805" s="2237"/>
      <c r="AM1805" s="2237"/>
      <c r="AN1805" s="2237"/>
      <c r="AO1805" s="2237"/>
      <c r="AP1805" s="2237"/>
      <c r="AQ1805" s="2237"/>
      <c r="AR1805" s="2237"/>
      <c r="AS1805" s="2237"/>
      <c r="AT1805" s="2237"/>
      <c r="AU1805" s="2237"/>
      <c r="AV1805" s="2237"/>
      <c r="AW1805" s="2237"/>
      <c r="AX1805" s="2237"/>
      <c r="AY1805" s="2237"/>
      <c r="AZ1805" s="2237"/>
      <c r="BA1805" s="2237"/>
      <c r="BB1805" s="2237"/>
      <c r="BC1805" s="2237"/>
      <c r="BD1805" s="2237"/>
      <c r="BE1805" s="2237"/>
      <c r="BF1805" s="2237"/>
      <c r="BG1805" s="2237"/>
      <c r="BH1805" s="2237"/>
      <c r="BI1805" s="2237"/>
      <c r="BJ1805" s="2237"/>
      <c r="BK1805" s="2237"/>
      <c r="BL1805" s="2237"/>
      <c r="BM1805" s="2237"/>
      <c r="BN1805" s="2237"/>
      <c r="BO1805" s="2237"/>
      <c r="BP1805" s="2237"/>
      <c r="BQ1805" s="2237"/>
      <c r="BR1805" s="2237"/>
      <c r="BS1805" s="2237"/>
      <c r="BT1805" s="2237"/>
      <c r="BU1805" s="2237"/>
      <c r="BV1805" s="2237"/>
      <c r="BW1805" s="2237"/>
      <c r="BX1805" s="2237"/>
      <c r="BY1805" s="2237"/>
      <c r="BZ1805" s="2237"/>
      <c r="CA1805" s="2237"/>
      <c r="CB1805" s="2237"/>
      <c r="CC1805" s="2237"/>
      <c r="CD1805" s="2237"/>
      <c r="CE1805" s="2237"/>
      <c r="CF1805" s="2237"/>
      <c r="CG1805" s="2237"/>
      <c r="CH1805" s="2237"/>
      <c r="CI1805" s="2237"/>
      <c r="CJ1805" s="2237"/>
      <c r="CK1805" s="2237"/>
      <c r="CL1805" s="2237"/>
      <c r="CM1805" s="2237"/>
      <c r="CN1805" s="2237"/>
      <c r="CO1805" s="2237"/>
      <c r="CP1805" s="2237"/>
      <c r="CQ1805" s="2237"/>
      <c r="CR1805" s="2237"/>
      <c r="CS1805" s="2237"/>
      <c r="CT1805" s="2237"/>
      <c r="CU1805" s="2237"/>
      <c r="CV1805" s="2237"/>
      <c r="CW1805" s="2237"/>
      <c r="CX1805" s="2237"/>
      <c r="CY1805" s="2237"/>
      <c r="CZ1805" s="2237"/>
      <c r="DA1805" s="2237"/>
      <c r="DB1805" s="2237"/>
      <c r="DC1805" s="2237"/>
      <c r="DD1805" s="2237"/>
      <c r="DE1805" s="2237"/>
      <c r="DF1805" s="3393" t="str">
        <f t="shared" si="269"/>
        <v>ASHP-SEER19-Replace_CAC_ElectricHeat_ER2_MF_CompE</v>
      </c>
      <c r="DG1805" s="3332"/>
      <c r="DH1805" s="2522" t="str">
        <f t="shared" si="273"/>
        <v>Heating Res ER2 12 Year EUL</v>
      </c>
      <c r="DI1805" s="3260">
        <f>(INDEX('Avoided Cost Benefits'!$B$4:$B$866,MATCH(DH1805,'Avoided Cost Benefits'!$A$4:$A$866,0)))*F1805</f>
        <v>778.67125334823891</v>
      </c>
      <c r="DJ1805" s="2507">
        <f t="shared" si="274"/>
        <v>0</v>
      </c>
      <c r="DM1805" s="252"/>
    </row>
    <row r="1806" spans="1:117">
      <c r="A1806" s="453"/>
      <c r="B1806" s="1454">
        <f t="shared" si="265"/>
        <v>354460</v>
      </c>
      <c r="C1806" s="2554" t="s">
        <v>2420</v>
      </c>
      <c r="D1806" s="3383" t="s">
        <v>1122</v>
      </c>
      <c r="E1806" s="2882" t="s">
        <v>2421</v>
      </c>
      <c r="F1806" s="3373">
        <f>ROUND(((K2835*K3028*(1/K3221-1/K3414)*K3607)/1000)*$K$3651,2)</f>
        <v>1416.58</v>
      </c>
      <c r="G1806" s="3384" t="s">
        <v>2077</v>
      </c>
      <c r="H1806" s="2213">
        <f>VLOOKUP(G1806,'CP FACTORS'!$A$3:$B$38, 2, FALSE)</f>
        <v>9.4741810000000004E-4</v>
      </c>
      <c r="I1806" s="3405">
        <f t="shared" si="272"/>
        <v>1.3420939999999999</v>
      </c>
      <c r="J1806" s="2449">
        <f t="shared" si="268"/>
        <v>6</v>
      </c>
      <c r="K1806" s="2467">
        <f t="shared" si="266"/>
        <v>469.46228532769771</v>
      </c>
      <c r="L1806" s="2649">
        <f>L2063</f>
        <v>3.1</v>
      </c>
      <c r="M1806" s="3386"/>
      <c r="N1806" s="3387"/>
      <c r="O1806" s="2702"/>
      <c r="P1806" s="635"/>
      <c r="Q1806" s="635"/>
      <c r="R1806" s="2966"/>
      <c r="S1806" s="635"/>
      <c r="T1806" s="635"/>
      <c r="U1806" s="3388"/>
      <c r="V1806" s="2962" t="s">
        <v>45</v>
      </c>
      <c r="W1806" s="3389"/>
      <c r="X1806" s="3390"/>
      <c r="Y1806" s="3369"/>
      <c r="Z1806" s="3373"/>
      <c r="AA1806" s="3373"/>
      <c r="AB1806" s="3400"/>
      <c r="AC1806" s="3369">
        <v>1416.58</v>
      </c>
      <c r="AD1806" s="3373">
        <v>1416.58</v>
      </c>
      <c r="AE1806" s="3373">
        <v>1416.58</v>
      </c>
      <c r="AF1806" s="2236">
        <f t="shared" si="267"/>
        <v>1416.58</v>
      </c>
      <c r="AG1806" s="3389"/>
      <c r="AH1806" s="2728"/>
      <c r="AI1806" s="2237"/>
      <c r="AJ1806" s="2237"/>
      <c r="AK1806" s="3392"/>
      <c r="AL1806" s="2237"/>
      <c r="AM1806" s="2237"/>
      <c r="AN1806" s="2237"/>
      <c r="AO1806" s="2237"/>
      <c r="AP1806" s="2237"/>
      <c r="AQ1806" s="2237"/>
      <c r="AR1806" s="2237"/>
      <c r="AS1806" s="2237"/>
      <c r="AT1806" s="2237"/>
      <c r="AU1806" s="2237"/>
      <c r="AV1806" s="2237"/>
      <c r="AW1806" s="2237"/>
      <c r="AX1806" s="2237"/>
      <c r="AY1806" s="2237"/>
      <c r="AZ1806" s="2237"/>
      <c r="BA1806" s="2237"/>
      <c r="BB1806" s="2237"/>
      <c r="BC1806" s="2237"/>
      <c r="BD1806" s="2237"/>
      <c r="BE1806" s="2237"/>
      <c r="BF1806" s="2237"/>
      <c r="BG1806" s="2237"/>
      <c r="BH1806" s="2237"/>
      <c r="BI1806" s="2237"/>
      <c r="BJ1806" s="2237"/>
      <c r="BK1806" s="2237"/>
      <c r="BL1806" s="2237"/>
      <c r="BM1806" s="2237"/>
      <c r="BN1806" s="2237"/>
      <c r="BO1806" s="2237"/>
      <c r="BP1806" s="2237"/>
      <c r="BQ1806" s="2237"/>
      <c r="BR1806" s="2237"/>
      <c r="BS1806" s="2237"/>
      <c r="BT1806" s="2237"/>
      <c r="BU1806" s="2237"/>
      <c r="BV1806" s="2237"/>
      <c r="BW1806" s="2237"/>
      <c r="BX1806" s="2237"/>
      <c r="BY1806" s="2237"/>
      <c r="BZ1806" s="2237"/>
      <c r="CA1806" s="2237"/>
      <c r="CB1806" s="2237"/>
      <c r="CC1806" s="2237"/>
      <c r="CD1806" s="2237"/>
      <c r="CE1806" s="2237"/>
      <c r="CF1806" s="2237"/>
      <c r="CG1806" s="2237"/>
      <c r="CH1806" s="2237"/>
      <c r="CI1806" s="2237"/>
      <c r="CJ1806" s="2237"/>
      <c r="CK1806" s="2237"/>
      <c r="CL1806" s="2237"/>
      <c r="CM1806" s="2237"/>
      <c r="CN1806" s="2237"/>
      <c r="CO1806" s="2237"/>
      <c r="CP1806" s="2237"/>
      <c r="CQ1806" s="2237"/>
      <c r="CR1806" s="2237"/>
      <c r="CS1806" s="2237"/>
      <c r="CT1806" s="2237"/>
      <c r="CU1806" s="2237"/>
      <c r="CV1806" s="2237"/>
      <c r="CW1806" s="2237"/>
      <c r="CX1806" s="2237"/>
      <c r="CY1806" s="2237"/>
      <c r="CZ1806" s="2237"/>
      <c r="DA1806" s="2237"/>
      <c r="DB1806" s="2237"/>
      <c r="DC1806" s="2237"/>
      <c r="DD1806" s="2237"/>
      <c r="DE1806" s="2237"/>
      <c r="DF1806" s="3393" t="str">
        <f t="shared" si="269"/>
        <v>ASHP-SEER19-Replace_CAC_NonElectricHeat_ER1_MF</v>
      </c>
      <c r="DG1806" s="3259">
        <f>(DI1806+DI1807+DI1808+DI1809)/(DJ1806+DJ1807+DJ1808+DJ1809)</f>
        <v>4.2787459987588452</v>
      </c>
      <c r="DH1806" s="2882" t="str">
        <f t="shared" si="273"/>
        <v>Cooling Res 6 Year EUL</v>
      </c>
      <c r="DI1806" s="3260">
        <f>(INDEX('Avoided Cost Benefits'!$B$4:$B$866,MATCH(DH1806,'Avoided Cost Benefits'!$A$4:$A$866,0)))*F1806</f>
        <v>1410.6984977073607</v>
      </c>
      <c r="DJ1806" s="2507">
        <f t="shared" si="274"/>
        <v>469.46228532769771</v>
      </c>
      <c r="DM1806" s="252"/>
    </row>
    <row r="1807" spans="1:117">
      <c r="A1807" s="453"/>
      <c r="B1807" s="1454">
        <f t="shared" si="265"/>
        <v>354460</v>
      </c>
      <c r="C1807" s="2554" t="s">
        <v>2420</v>
      </c>
      <c r="D1807" s="3383" t="s">
        <v>1122</v>
      </c>
      <c r="E1807" s="2882" t="s">
        <v>2421</v>
      </c>
      <c r="F1807" s="3373">
        <v>0</v>
      </c>
      <c r="G1807" s="3384" t="s">
        <v>2078</v>
      </c>
      <c r="H1807" s="2213">
        <f>VLOOKUP(G1807,'CP FACTORS'!$A$3:$B$38, 2, FALSE)</f>
        <v>0</v>
      </c>
      <c r="I1807" s="3405">
        <f t="shared" si="272"/>
        <v>0</v>
      </c>
      <c r="J1807" s="2449">
        <f t="shared" si="268"/>
        <v>6</v>
      </c>
      <c r="K1807" s="2894">
        <f t="shared" si="266"/>
        <v>0</v>
      </c>
      <c r="L1807" s="2649"/>
      <c r="M1807" s="3386"/>
      <c r="N1807" s="3387"/>
      <c r="O1807" s="2702"/>
      <c r="P1807" s="635"/>
      <c r="Q1807" s="635"/>
      <c r="R1807" s="2966"/>
      <c r="S1807" s="635"/>
      <c r="T1807" s="635"/>
      <c r="U1807" s="3388"/>
      <c r="V1807" s="2962" t="s">
        <v>45</v>
      </c>
      <c r="W1807" s="3389"/>
      <c r="X1807" s="3390"/>
      <c r="Y1807" s="3369"/>
      <c r="Z1807" s="3373"/>
      <c r="AA1807" s="3373"/>
      <c r="AB1807" s="3400"/>
      <c r="AC1807" s="3369">
        <v>0</v>
      </c>
      <c r="AD1807" s="3373">
        <v>0</v>
      </c>
      <c r="AE1807" s="3373">
        <v>0</v>
      </c>
      <c r="AF1807" s="2236">
        <f t="shared" si="267"/>
        <v>0</v>
      </c>
      <c r="AG1807" s="3389"/>
      <c r="AH1807" s="2728"/>
      <c r="AI1807" s="2237"/>
      <c r="AJ1807" s="2237"/>
      <c r="AK1807" s="3392"/>
      <c r="AL1807" s="2237"/>
      <c r="AM1807" s="2237"/>
      <c r="AN1807" s="2237"/>
      <c r="AO1807" s="2237"/>
      <c r="AP1807" s="2237"/>
      <c r="AQ1807" s="2237"/>
      <c r="AR1807" s="2237"/>
      <c r="AS1807" s="2237"/>
      <c r="AT1807" s="2237"/>
      <c r="AU1807" s="2237"/>
      <c r="AV1807" s="2237"/>
      <c r="AW1807" s="2237"/>
      <c r="AX1807" s="2237"/>
      <c r="AY1807" s="2237"/>
      <c r="AZ1807" s="2237"/>
      <c r="BA1807" s="2237"/>
      <c r="BB1807" s="2237"/>
      <c r="BC1807" s="2237"/>
      <c r="BD1807" s="2237"/>
      <c r="BE1807" s="2237"/>
      <c r="BF1807" s="2237"/>
      <c r="BG1807" s="2237"/>
      <c r="BH1807" s="2237"/>
      <c r="BI1807" s="2237"/>
      <c r="BJ1807" s="2237"/>
      <c r="BK1807" s="2237"/>
      <c r="BL1807" s="2237"/>
      <c r="BM1807" s="2237"/>
      <c r="BN1807" s="2237"/>
      <c r="BO1807" s="2237"/>
      <c r="BP1807" s="2237"/>
      <c r="BQ1807" s="2237"/>
      <c r="BR1807" s="2237"/>
      <c r="BS1807" s="2237"/>
      <c r="BT1807" s="2237"/>
      <c r="BU1807" s="2237"/>
      <c r="BV1807" s="2237"/>
      <c r="BW1807" s="2237"/>
      <c r="BX1807" s="2237"/>
      <c r="BY1807" s="2237"/>
      <c r="BZ1807" s="2237"/>
      <c r="CA1807" s="2237"/>
      <c r="CB1807" s="2237"/>
      <c r="CC1807" s="2237"/>
      <c r="CD1807" s="2237"/>
      <c r="CE1807" s="2237"/>
      <c r="CF1807" s="2237"/>
      <c r="CG1807" s="2237"/>
      <c r="CH1807" s="2237"/>
      <c r="CI1807" s="2237"/>
      <c r="CJ1807" s="2237"/>
      <c r="CK1807" s="2237"/>
      <c r="CL1807" s="2237"/>
      <c r="CM1807" s="2237"/>
      <c r="CN1807" s="2237"/>
      <c r="CO1807" s="2237"/>
      <c r="CP1807" s="2237"/>
      <c r="CQ1807" s="2237"/>
      <c r="CR1807" s="2237"/>
      <c r="CS1807" s="2237"/>
      <c r="CT1807" s="2237"/>
      <c r="CU1807" s="2237"/>
      <c r="CV1807" s="2237"/>
      <c r="CW1807" s="2237"/>
      <c r="CX1807" s="2237"/>
      <c r="CY1807" s="2237"/>
      <c r="CZ1807" s="2237"/>
      <c r="DA1807" s="2237"/>
      <c r="DB1807" s="2237"/>
      <c r="DC1807" s="2237"/>
      <c r="DD1807" s="2237"/>
      <c r="DE1807" s="2237"/>
      <c r="DF1807" s="3393" t="str">
        <f t="shared" si="269"/>
        <v>ASHP-SEER19-Replace_CAC_NonElectricHeat_ER1_MF</v>
      </c>
      <c r="DG1807" s="3332"/>
      <c r="DH1807" s="2882" t="str">
        <f t="shared" si="273"/>
        <v>Heating Res 6 Year EUL</v>
      </c>
      <c r="DI1807" s="3260">
        <f>(INDEX('Avoided Cost Benefits'!$B$4:$B$866,MATCH(DH1807,'Avoided Cost Benefits'!$A$4:$A$866,0)))*F1807</f>
        <v>0</v>
      </c>
      <c r="DJ1807" s="2507">
        <f t="shared" si="274"/>
        <v>0</v>
      </c>
      <c r="DM1807" s="252"/>
    </row>
    <row r="1808" spans="1:117">
      <c r="A1808" s="453"/>
      <c r="B1808" s="1454">
        <f t="shared" si="265"/>
        <v>354460</v>
      </c>
      <c r="C1808" s="2554" t="s">
        <v>2420</v>
      </c>
      <c r="D1808" s="3383" t="s">
        <v>1122</v>
      </c>
      <c r="E1808" s="2882" t="s">
        <v>2422</v>
      </c>
      <c r="F1808" s="3369">
        <f>ROUND(((K2836*K3029*(1/K3222-1/K3415)*K3608)/1000)*$K$3651,2)</f>
        <v>462.17</v>
      </c>
      <c r="G1808" s="3384" t="s">
        <v>2138</v>
      </c>
      <c r="H1808" s="2213">
        <f>VLOOKUP(G1808,'CP FACTORS'!$A$3:$B$38, 2, FALSE)</f>
        <v>9.4741810000000004E-4</v>
      </c>
      <c r="I1808" s="3404">
        <f t="shared" si="272"/>
        <v>0.43786799999999998</v>
      </c>
      <c r="J1808" s="2449">
        <f t="shared" si="268"/>
        <v>12</v>
      </c>
      <c r="K1808" s="2894">
        <f t="shared" si="266"/>
        <v>0</v>
      </c>
      <c r="L1808" s="2649"/>
      <c r="M1808" s="3386"/>
      <c r="N1808" s="3387"/>
      <c r="O1808" s="2702"/>
      <c r="P1808" s="635"/>
      <c r="Q1808" s="635"/>
      <c r="R1808" s="2966"/>
      <c r="S1808" s="635"/>
      <c r="T1808" s="635"/>
      <c r="U1808" s="3388"/>
      <c r="V1808" s="2962" t="s">
        <v>45</v>
      </c>
      <c r="W1808" s="3389"/>
      <c r="X1808" s="3390"/>
      <c r="Y1808" s="3369"/>
      <c r="Z1808" s="3373"/>
      <c r="AA1808" s="3373"/>
      <c r="AB1808" s="3400"/>
      <c r="AC1808" s="3369">
        <v>510.42</v>
      </c>
      <c r="AD1808" s="3373">
        <v>510.42</v>
      </c>
      <c r="AE1808" s="3369">
        <v>394.97</v>
      </c>
      <c r="AF1808" s="2236">
        <f t="shared" si="267"/>
        <v>462.17</v>
      </c>
      <c r="AG1808" s="3389"/>
      <c r="AH1808" s="2728"/>
      <c r="AI1808" s="2237"/>
      <c r="AJ1808" s="2237"/>
      <c r="AK1808" s="3392"/>
      <c r="AL1808" s="2237"/>
      <c r="AM1808" s="2237"/>
      <c r="AN1808" s="2237"/>
      <c r="AO1808" s="2237"/>
      <c r="AP1808" s="2237"/>
      <c r="AQ1808" s="2237"/>
      <c r="AR1808" s="2237"/>
      <c r="AS1808" s="2237"/>
      <c r="AT1808" s="2237"/>
      <c r="AU1808" s="2237"/>
      <c r="AV1808" s="2237"/>
      <c r="AW1808" s="2237"/>
      <c r="AX1808" s="2237"/>
      <c r="AY1808" s="2237"/>
      <c r="AZ1808" s="2237"/>
      <c r="BA1808" s="2237"/>
      <c r="BB1808" s="2237"/>
      <c r="BC1808" s="2237"/>
      <c r="BD1808" s="2237"/>
      <c r="BE1808" s="2237"/>
      <c r="BF1808" s="2237"/>
      <c r="BG1808" s="2237"/>
      <c r="BH1808" s="2237"/>
      <c r="BI1808" s="2237"/>
      <c r="BJ1808" s="2237"/>
      <c r="BK1808" s="2237"/>
      <c r="BL1808" s="2237"/>
      <c r="BM1808" s="2237"/>
      <c r="BN1808" s="2237"/>
      <c r="BO1808" s="2237"/>
      <c r="BP1808" s="2237"/>
      <c r="BQ1808" s="2237"/>
      <c r="BR1808" s="2237"/>
      <c r="BS1808" s="2237"/>
      <c r="BT1808" s="2237"/>
      <c r="BU1808" s="2237"/>
      <c r="BV1808" s="2237"/>
      <c r="BW1808" s="2237"/>
      <c r="BX1808" s="2237"/>
      <c r="BY1808" s="2237"/>
      <c r="BZ1808" s="2237"/>
      <c r="CA1808" s="2237"/>
      <c r="CB1808" s="2237"/>
      <c r="CC1808" s="2237"/>
      <c r="CD1808" s="2237"/>
      <c r="CE1808" s="2237"/>
      <c r="CF1808" s="2237"/>
      <c r="CG1808" s="2237"/>
      <c r="CH1808" s="2237"/>
      <c r="CI1808" s="2237"/>
      <c r="CJ1808" s="2237"/>
      <c r="CK1808" s="2237"/>
      <c r="CL1808" s="2237"/>
      <c r="CM1808" s="2237"/>
      <c r="CN1808" s="2237"/>
      <c r="CO1808" s="2237"/>
      <c r="CP1808" s="2237"/>
      <c r="CQ1808" s="2237"/>
      <c r="CR1808" s="2237"/>
      <c r="CS1808" s="2237"/>
      <c r="CT1808" s="2237"/>
      <c r="CU1808" s="2237"/>
      <c r="CV1808" s="2237"/>
      <c r="CW1808" s="2237"/>
      <c r="CX1808" s="2237"/>
      <c r="CY1808" s="2237"/>
      <c r="CZ1808" s="2237"/>
      <c r="DA1808" s="2237"/>
      <c r="DB1808" s="2237"/>
      <c r="DC1808" s="2237"/>
      <c r="DD1808" s="2237"/>
      <c r="DE1808" s="2237"/>
      <c r="DF1808" s="3393" t="str">
        <f t="shared" si="269"/>
        <v>ASHP-SEER19-Replace_CAC_NonElectricHeat_ER2_MF</v>
      </c>
      <c r="DG1808" s="3332"/>
      <c r="DH1808" s="2882" t="str">
        <f t="shared" si="273"/>
        <v>Cooling Res ER2 12 Year EUL</v>
      </c>
      <c r="DI1808" s="3260">
        <f>(INDEX('Avoided Cost Benefits'!$B$4:$B$866,MATCH(DH1808,'Avoided Cost Benefits'!$A$4:$A$866,0)))*F1808</f>
        <v>598.01137720670931</v>
      </c>
      <c r="DJ1808" s="2507">
        <f t="shared" si="274"/>
        <v>0</v>
      </c>
      <c r="DM1808" s="252"/>
    </row>
    <row r="1809" spans="1:117">
      <c r="A1809" s="453"/>
      <c r="B1809" s="1454">
        <f t="shared" si="265"/>
        <v>354460</v>
      </c>
      <c r="C1809" s="2554" t="s">
        <v>2420</v>
      </c>
      <c r="D1809" s="3383" t="s">
        <v>1122</v>
      </c>
      <c r="E1809" s="2522" t="s">
        <v>2422</v>
      </c>
      <c r="F1809" s="3373">
        <v>0</v>
      </c>
      <c r="G1809" s="3384" t="s">
        <v>2173</v>
      </c>
      <c r="H1809" s="2213">
        <f>VLOOKUP(G1809,'CP FACTORS'!$A$3:$B$38, 2, FALSE)</f>
        <v>0</v>
      </c>
      <c r="I1809" s="3405">
        <f t="shared" si="272"/>
        <v>0</v>
      </c>
      <c r="J1809" s="2449">
        <f t="shared" si="268"/>
        <v>12</v>
      </c>
      <c r="K1809" s="2894">
        <f t="shared" si="266"/>
        <v>0</v>
      </c>
      <c r="L1809" s="2649"/>
      <c r="M1809" s="3386"/>
      <c r="N1809" s="3387"/>
      <c r="O1809" s="2702"/>
      <c r="P1809" s="635"/>
      <c r="Q1809" s="635"/>
      <c r="R1809" s="2966"/>
      <c r="S1809" s="635"/>
      <c r="T1809" s="635"/>
      <c r="U1809" s="3388"/>
      <c r="V1809" s="2962" t="s">
        <v>45</v>
      </c>
      <c r="W1809" s="3389"/>
      <c r="X1809" s="3390"/>
      <c r="Y1809" s="3369"/>
      <c r="Z1809" s="3373"/>
      <c r="AA1809" s="3373"/>
      <c r="AB1809" s="3400"/>
      <c r="AC1809" s="3369">
        <v>0</v>
      </c>
      <c r="AD1809" s="3373">
        <v>0</v>
      </c>
      <c r="AE1809" s="3373">
        <v>0</v>
      </c>
      <c r="AF1809" s="2236">
        <f t="shared" si="267"/>
        <v>0</v>
      </c>
      <c r="AG1809" s="3389"/>
      <c r="AH1809" s="2728"/>
      <c r="AI1809" s="2237"/>
      <c r="AJ1809" s="2237"/>
      <c r="AK1809" s="3392"/>
      <c r="AL1809" s="2237"/>
      <c r="AM1809" s="2237"/>
      <c r="AN1809" s="2237"/>
      <c r="AO1809" s="2237"/>
      <c r="AP1809" s="2237"/>
      <c r="AQ1809" s="2237"/>
      <c r="AR1809" s="2237"/>
      <c r="AS1809" s="2237"/>
      <c r="AT1809" s="2237"/>
      <c r="AU1809" s="2237"/>
      <c r="AV1809" s="2237"/>
      <c r="AW1809" s="2237"/>
      <c r="AX1809" s="2237"/>
      <c r="AY1809" s="2237"/>
      <c r="AZ1809" s="2237"/>
      <c r="BA1809" s="2237"/>
      <c r="BB1809" s="2237"/>
      <c r="BC1809" s="2237"/>
      <c r="BD1809" s="2237"/>
      <c r="BE1809" s="2237"/>
      <c r="BF1809" s="2237"/>
      <c r="BG1809" s="2237"/>
      <c r="BH1809" s="2237"/>
      <c r="BI1809" s="2237"/>
      <c r="BJ1809" s="2237"/>
      <c r="BK1809" s="2237"/>
      <c r="BL1809" s="2237"/>
      <c r="BM1809" s="2237"/>
      <c r="BN1809" s="2237"/>
      <c r="BO1809" s="2237"/>
      <c r="BP1809" s="2237"/>
      <c r="BQ1809" s="2237"/>
      <c r="BR1809" s="2237"/>
      <c r="BS1809" s="2237"/>
      <c r="BT1809" s="2237"/>
      <c r="BU1809" s="2237"/>
      <c r="BV1809" s="2237"/>
      <c r="BW1809" s="2237"/>
      <c r="BX1809" s="2237"/>
      <c r="BY1809" s="2237"/>
      <c r="BZ1809" s="2237"/>
      <c r="CA1809" s="2237"/>
      <c r="CB1809" s="2237"/>
      <c r="CC1809" s="2237"/>
      <c r="CD1809" s="2237"/>
      <c r="CE1809" s="2237"/>
      <c r="CF1809" s="2237"/>
      <c r="CG1809" s="2237"/>
      <c r="CH1809" s="2237"/>
      <c r="CI1809" s="2237"/>
      <c r="CJ1809" s="2237"/>
      <c r="CK1809" s="2237"/>
      <c r="CL1809" s="2237"/>
      <c r="CM1809" s="2237"/>
      <c r="CN1809" s="2237"/>
      <c r="CO1809" s="2237"/>
      <c r="CP1809" s="2237"/>
      <c r="CQ1809" s="2237"/>
      <c r="CR1809" s="2237"/>
      <c r="CS1809" s="2237"/>
      <c r="CT1809" s="2237"/>
      <c r="CU1809" s="2237"/>
      <c r="CV1809" s="2237"/>
      <c r="CW1809" s="2237"/>
      <c r="CX1809" s="2237"/>
      <c r="CY1809" s="2237"/>
      <c r="CZ1809" s="2237"/>
      <c r="DA1809" s="2237"/>
      <c r="DB1809" s="2237"/>
      <c r="DC1809" s="2237"/>
      <c r="DD1809" s="2237"/>
      <c r="DE1809" s="2237"/>
      <c r="DF1809" s="3393" t="str">
        <f t="shared" si="269"/>
        <v>ASHP-SEER19-Replace_CAC_NonElectricHeat_ER2_MF</v>
      </c>
      <c r="DG1809" s="3332"/>
      <c r="DH1809" s="2522" t="str">
        <f t="shared" si="273"/>
        <v>Heating Res ER2 12 Year EUL</v>
      </c>
      <c r="DI1809" s="3260">
        <f>(INDEX('Avoided Cost Benefits'!$B$4:$B$866,MATCH(DH1809,'Avoided Cost Benefits'!$A$4:$A$866,0)))*F1809</f>
        <v>0</v>
      </c>
      <c r="DJ1809" s="2507">
        <f t="shared" si="274"/>
        <v>0</v>
      </c>
      <c r="DM1809" s="252"/>
    </row>
    <row r="1810" spans="1:117">
      <c r="A1810" s="453"/>
      <c r="B1810" s="1454">
        <f t="shared" si="265"/>
        <v>354461</v>
      </c>
      <c r="C1810" s="2554" t="s">
        <v>2423</v>
      </c>
      <c r="D1810" s="3383" t="s">
        <v>1118</v>
      </c>
      <c r="E1810" s="2882" t="s">
        <v>2424</v>
      </c>
      <c r="F1810" s="3373">
        <f>ROUND(((K2837*K3030*(1/K3223-1/K3416)*K3609)/1000)*$K$3651,2)</f>
        <v>1030.24</v>
      </c>
      <c r="G1810" s="3384" t="s">
        <v>2077</v>
      </c>
      <c r="H1810" s="2213">
        <f>VLOOKUP(G1810,'CP FACTORS'!$A$3:$B$38, 2, FALSE)</f>
        <v>9.4741810000000004E-4</v>
      </c>
      <c r="I1810" s="3405">
        <f t="shared" si="272"/>
        <v>0.97606800000000005</v>
      </c>
      <c r="J1810" s="2449">
        <f t="shared" si="268"/>
        <v>6</v>
      </c>
      <c r="K1810" s="2467">
        <f t="shared" si="266"/>
        <v>879.85812776376201</v>
      </c>
      <c r="L1810" s="2649">
        <f>L2065</f>
        <v>3.1</v>
      </c>
      <c r="M1810" s="3386"/>
      <c r="N1810" s="3387"/>
      <c r="O1810" s="2702"/>
      <c r="P1810" s="635"/>
      <c r="Q1810" s="635"/>
      <c r="R1810" s="2966"/>
      <c r="S1810" s="635"/>
      <c r="T1810" s="635"/>
      <c r="U1810" s="3388"/>
      <c r="V1810" s="2962" t="s">
        <v>45</v>
      </c>
      <c r="W1810" s="3389"/>
      <c r="X1810" s="3390"/>
      <c r="Y1810" s="3369"/>
      <c r="Z1810" s="3373"/>
      <c r="AA1810" s="3373"/>
      <c r="AB1810" s="3400"/>
      <c r="AC1810" s="3369">
        <v>1030.24</v>
      </c>
      <c r="AD1810" s="3373">
        <v>1030.24</v>
      </c>
      <c r="AE1810" s="3373">
        <v>1030.24</v>
      </c>
      <c r="AF1810" s="2236">
        <f t="shared" si="267"/>
        <v>1030.24</v>
      </c>
      <c r="AG1810" s="3389"/>
      <c r="AH1810" s="2728"/>
      <c r="AI1810" s="2237"/>
      <c r="AJ1810" s="2237"/>
      <c r="AK1810" s="3392"/>
      <c r="AL1810" s="2237"/>
      <c r="AM1810" s="2237"/>
      <c r="AN1810" s="2237"/>
      <c r="AO1810" s="2237"/>
      <c r="AP1810" s="2237"/>
      <c r="AQ1810" s="2237"/>
      <c r="AR1810" s="2237"/>
      <c r="AS1810" s="2237"/>
      <c r="AT1810" s="2237"/>
      <c r="AU1810" s="2237"/>
      <c r="AV1810" s="2237"/>
      <c r="AW1810" s="2237"/>
      <c r="AX1810" s="2237"/>
      <c r="AY1810" s="2237"/>
      <c r="AZ1810" s="2237"/>
      <c r="BA1810" s="2237"/>
      <c r="BB1810" s="2237"/>
      <c r="BC1810" s="2237"/>
      <c r="BD1810" s="2237"/>
      <c r="BE1810" s="2237"/>
      <c r="BF1810" s="2237"/>
      <c r="BG1810" s="2237"/>
      <c r="BH1810" s="2237"/>
      <c r="BI1810" s="2237"/>
      <c r="BJ1810" s="2237"/>
      <c r="BK1810" s="2237"/>
      <c r="BL1810" s="2237"/>
      <c r="BM1810" s="2237"/>
      <c r="BN1810" s="2237"/>
      <c r="BO1810" s="2237"/>
      <c r="BP1810" s="2237"/>
      <c r="BQ1810" s="2237"/>
      <c r="BR1810" s="2237"/>
      <c r="BS1810" s="2237"/>
      <c r="BT1810" s="2237"/>
      <c r="BU1810" s="2237"/>
      <c r="BV1810" s="2237"/>
      <c r="BW1810" s="2237"/>
      <c r="BX1810" s="2237"/>
      <c r="BY1810" s="2237"/>
      <c r="BZ1810" s="2237"/>
      <c r="CA1810" s="2237"/>
      <c r="CB1810" s="2237"/>
      <c r="CC1810" s="2237"/>
      <c r="CD1810" s="2237"/>
      <c r="CE1810" s="2237"/>
      <c r="CF1810" s="2237"/>
      <c r="CG1810" s="2237"/>
      <c r="CH1810" s="2237"/>
      <c r="CI1810" s="2237"/>
      <c r="CJ1810" s="2237"/>
      <c r="CK1810" s="2237"/>
      <c r="CL1810" s="2237"/>
      <c r="CM1810" s="2237"/>
      <c r="CN1810" s="2237"/>
      <c r="CO1810" s="2237"/>
      <c r="CP1810" s="2237"/>
      <c r="CQ1810" s="2237"/>
      <c r="CR1810" s="2237"/>
      <c r="CS1810" s="2237"/>
      <c r="CT1810" s="2237"/>
      <c r="CU1810" s="2237"/>
      <c r="CV1810" s="2237"/>
      <c r="CW1810" s="2237"/>
      <c r="CX1810" s="2237"/>
      <c r="CY1810" s="2237"/>
      <c r="CZ1810" s="2237"/>
      <c r="DA1810" s="2237"/>
      <c r="DB1810" s="2237"/>
      <c r="DC1810" s="2237"/>
      <c r="DD1810" s="2237"/>
      <c r="DE1810" s="2237"/>
      <c r="DF1810" s="3393" t="str">
        <f t="shared" si="269"/>
        <v>ASHP-SEER19-Replace_CAC_NonElectricHeat_ER1_MF_CompE</v>
      </c>
      <c r="DG1810" s="3259">
        <f>(DI1810+DI1811+DI1812+DI1813)/(DJ1810+DJ1811+DJ1812+DJ1813)</f>
        <v>1.6603678445101844</v>
      </c>
      <c r="DH1810" s="2882" t="str">
        <f t="shared" si="273"/>
        <v>Cooling Res 6 Year EUL</v>
      </c>
      <c r="DI1810" s="3260">
        <f>(INDEX('Avoided Cost Benefits'!$B$4:$B$866,MATCH(DH1810,'Avoided Cost Benefits'!$A$4:$A$866,0)))*F1810</f>
        <v>1025.9625437871714</v>
      </c>
      <c r="DJ1810" s="2507">
        <f t="shared" si="274"/>
        <v>879.85812776376201</v>
      </c>
      <c r="DM1810" s="252"/>
    </row>
    <row r="1811" spans="1:117">
      <c r="A1811" s="453"/>
      <c r="B1811" s="1454">
        <f t="shared" si="265"/>
        <v>354461</v>
      </c>
      <c r="C1811" s="2554" t="s">
        <v>2423</v>
      </c>
      <c r="D1811" s="3383" t="s">
        <v>1118</v>
      </c>
      <c r="E1811" s="2882" t="s">
        <v>2424</v>
      </c>
      <c r="F1811" s="3373">
        <v>0</v>
      </c>
      <c r="G1811" s="3384" t="s">
        <v>2078</v>
      </c>
      <c r="H1811" s="2213">
        <f>VLOOKUP(G1811,'CP FACTORS'!$A$3:$B$38, 2, FALSE)</f>
        <v>0</v>
      </c>
      <c r="I1811" s="3405">
        <f t="shared" si="272"/>
        <v>0</v>
      </c>
      <c r="J1811" s="2449">
        <f t="shared" si="268"/>
        <v>6</v>
      </c>
      <c r="K1811" s="2894">
        <f t="shared" si="266"/>
        <v>0</v>
      </c>
      <c r="L1811" s="2649"/>
      <c r="M1811" s="3386"/>
      <c r="N1811" s="3387"/>
      <c r="O1811" s="2702"/>
      <c r="P1811" s="635"/>
      <c r="Q1811" s="635"/>
      <c r="R1811" s="2966"/>
      <c r="S1811" s="635"/>
      <c r="T1811" s="635"/>
      <c r="U1811" s="3388"/>
      <c r="V1811" s="2962" t="s">
        <v>45</v>
      </c>
      <c r="W1811" s="3389"/>
      <c r="X1811" s="3390"/>
      <c r="Y1811" s="3369"/>
      <c r="Z1811" s="3373"/>
      <c r="AA1811" s="3373"/>
      <c r="AB1811" s="3400"/>
      <c r="AC1811" s="3369">
        <v>0</v>
      </c>
      <c r="AD1811" s="3373">
        <v>0</v>
      </c>
      <c r="AE1811" s="3373">
        <v>0</v>
      </c>
      <c r="AF1811" s="2236">
        <f t="shared" si="267"/>
        <v>0</v>
      </c>
      <c r="AG1811" s="3389"/>
      <c r="AH1811" s="2728"/>
      <c r="AI1811" s="2237"/>
      <c r="AJ1811" s="2237"/>
      <c r="AK1811" s="3392"/>
      <c r="AL1811" s="2237"/>
      <c r="AM1811" s="2237"/>
      <c r="AN1811" s="2237"/>
      <c r="AO1811" s="2237"/>
      <c r="AP1811" s="2237"/>
      <c r="AQ1811" s="2237"/>
      <c r="AR1811" s="2237"/>
      <c r="AS1811" s="2237"/>
      <c r="AT1811" s="2237"/>
      <c r="AU1811" s="2237"/>
      <c r="AV1811" s="2237"/>
      <c r="AW1811" s="2237"/>
      <c r="AX1811" s="2237"/>
      <c r="AY1811" s="2237"/>
      <c r="AZ1811" s="2237"/>
      <c r="BA1811" s="2237"/>
      <c r="BB1811" s="2237"/>
      <c r="BC1811" s="2237"/>
      <c r="BD1811" s="2237"/>
      <c r="BE1811" s="2237"/>
      <c r="BF1811" s="2237"/>
      <c r="BG1811" s="2237"/>
      <c r="BH1811" s="2237"/>
      <c r="BI1811" s="2237"/>
      <c r="BJ1811" s="2237"/>
      <c r="BK1811" s="2237"/>
      <c r="BL1811" s="2237"/>
      <c r="BM1811" s="2237"/>
      <c r="BN1811" s="2237"/>
      <c r="BO1811" s="2237"/>
      <c r="BP1811" s="2237"/>
      <c r="BQ1811" s="2237"/>
      <c r="BR1811" s="2237"/>
      <c r="BS1811" s="2237"/>
      <c r="BT1811" s="2237"/>
      <c r="BU1811" s="2237"/>
      <c r="BV1811" s="2237"/>
      <c r="BW1811" s="2237"/>
      <c r="BX1811" s="2237"/>
      <c r="BY1811" s="2237"/>
      <c r="BZ1811" s="2237"/>
      <c r="CA1811" s="2237"/>
      <c r="CB1811" s="2237"/>
      <c r="CC1811" s="2237"/>
      <c r="CD1811" s="2237"/>
      <c r="CE1811" s="2237"/>
      <c r="CF1811" s="2237"/>
      <c r="CG1811" s="2237"/>
      <c r="CH1811" s="2237"/>
      <c r="CI1811" s="2237"/>
      <c r="CJ1811" s="2237"/>
      <c r="CK1811" s="2237"/>
      <c r="CL1811" s="2237"/>
      <c r="CM1811" s="2237"/>
      <c r="CN1811" s="2237"/>
      <c r="CO1811" s="2237"/>
      <c r="CP1811" s="2237"/>
      <c r="CQ1811" s="2237"/>
      <c r="CR1811" s="2237"/>
      <c r="CS1811" s="2237"/>
      <c r="CT1811" s="2237"/>
      <c r="CU1811" s="2237"/>
      <c r="CV1811" s="2237"/>
      <c r="CW1811" s="2237"/>
      <c r="CX1811" s="2237"/>
      <c r="CY1811" s="2237"/>
      <c r="CZ1811" s="2237"/>
      <c r="DA1811" s="2237"/>
      <c r="DB1811" s="2237"/>
      <c r="DC1811" s="2237"/>
      <c r="DD1811" s="2237"/>
      <c r="DE1811" s="2237"/>
      <c r="DF1811" s="3393" t="str">
        <f t="shared" si="269"/>
        <v>ASHP-SEER19-Replace_CAC_NonElectricHeat_ER1_MF_CompE</v>
      </c>
      <c r="DG1811" s="3332"/>
      <c r="DH1811" s="2882" t="str">
        <f t="shared" si="273"/>
        <v>Heating Res 6 Year EUL</v>
      </c>
      <c r="DI1811" s="3260">
        <f>(INDEX('Avoided Cost Benefits'!$B$4:$B$866,MATCH(DH1811,'Avoided Cost Benefits'!$A$4:$A$866,0)))*F1811</f>
        <v>0</v>
      </c>
      <c r="DJ1811" s="2507">
        <f t="shared" si="274"/>
        <v>0</v>
      </c>
      <c r="DM1811" s="252"/>
    </row>
    <row r="1812" spans="1:117">
      <c r="A1812" s="453"/>
      <c r="B1812" s="1454">
        <f t="shared" si="265"/>
        <v>354461</v>
      </c>
      <c r="C1812" s="2554" t="s">
        <v>2423</v>
      </c>
      <c r="D1812" s="3383" t="s">
        <v>1118</v>
      </c>
      <c r="E1812" s="2882" t="s">
        <v>2425</v>
      </c>
      <c r="F1812" s="3369">
        <f>ROUND(((K2838*K3031*(1/K3224-1/K3417)*K3610)/1000)*$K$3651,2)</f>
        <v>336.13</v>
      </c>
      <c r="G1812" s="3384" t="s">
        <v>2138</v>
      </c>
      <c r="H1812" s="2213">
        <f>VLOOKUP(G1812,'CP FACTORS'!$A$3:$B$38, 2, FALSE)</f>
        <v>9.4741810000000004E-4</v>
      </c>
      <c r="I1812" s="3404">
        <f t="shared" si="272"/>
        <v>0.31845600000000002</v>
      </c>
      <c r="J1812" s="2449">
        <f t="shared" si="268"/>
        <v>12</v>
      </c>
      <c r="K1812" s="2894">
        <f t="shared" si="266"/>
        <v>0</v>
      </c>
      <c r="L1812" s="2649"/>
      <c r="M1812" s="3386"/>
      <c r="N1812" s="3387"/>
      <c r="O1812" s="2702"/>
      <c r="P1812" s="635"/>
      <c r="Q1812" s="635"/>
      <c r="R1812" s="2966"/>
      <c r="S1812" s="635"/>
      <c r="T1812" s="635"/>
      <c r="U1812" s="3388"/>
      <c r="V1812" s="2962" t="s">
        <v>45</v>
      </c>
      <c r="W1812" s="3389"/>
      <c r="X1812" s="3390"/>
      <c r="Y1812" s="3369"/>
      <c r="Z1812" s="3373"/>
      <c r="AA1812" s="3373"/>
      <c r="AB1812" s="3400"/>
      <c r="AC1812" s="3369">
        <v>371.22</v>
      </c>
      <c r="AD1812" s="3373">
        <v>371.22</v>
      </c>
      <c r="AE1812" s="3369">
        <v>287.25</v>
      </c>
      <c r="AF1812" s="2236">
        <f t="shared" si="267"/>
        <v>336.13</v>
      </c>
      <c r="AG1812" s="3389"/>
      <c r="AH1812" s="2728"/>
      <c r="AI1812" s="2237"/>
      <c r="AJ1812" s="2237"/>
      <c r="AK1812" s="3392"/>
      <c r="AL1812" s="2237"/>
      <c r="AM1812" s="2237"/>
      <c r="AN1812" s="2237"/>
      <c r="AO1812" s="2237"/>
      <c r="AP1812" s="2237"/>
      <c r="AQ1812" s="2237"/>
      <c r="AR1812" s="2237"/>
      <c r="AS1812" s="2237"/>
      <c r="AT1812" s="2237"/>
      <c r="AU1812" s="2237"/>
      <c r="AV1812" s="2237"/>
      <c r="AW1812" s="2237"/>
      <c r="AX1812" s="2237"/>
      <c r="AY1812" s="2237"/>
      <c r="AZ1812" s="2237"/>
      <c r="BA1812" s="2237"/>
      <c r="BB1812" s="2237"/>
      <c r="BC1812" s="2237"/>
      <c r="BD1812" s="2237"/>
      <c r="BE1812" s="2237"/>
      <c r="BF1812" s="2237"/>
      <c r="BG1812" s="2237"/>
      <c r="BH1812" s="2237"/>
      <c r="BI1812" s="2237"/>
      <c r="BJ1812" s="2237"/>
      <c r="BK1812" s="2237"/>
      <c r="BL1812" s="2237"/>
      <c r="BM1812" s="2237"/>
      <c r="BN1812" s="2237"/>
      <c r="BO1812" s="2237"/>
      <c r="BP1812" s="2237"/>
      <c r="BQ1812" s="2237"/>
      <c r="BR1812" s="2237"/>
      <c r="BS1812" s="2237"/>
      <c r="BT1812" s="2237"/>
      <c r="BU1812" s="2237"/>
      <c r="BV1812" s="2237"/>
      <c r="BW1812" s="2237"/>
      <c r="BX1812" s="2237"/>
      <c r="BY1812" s="2237"/>
      <c r="BZ1812" s="2237"/>
      <c r="CA1812" s="2237"/>
      <c r="CB1812" s="2237"/>
      <c r="CC1812" s="2237"/>
      <c r="CD1812" s="2237"/>
      <c r="CE1812" s="2237"/>
      <c r="CF1812" s="2237"/>
      <c r="CG1812" s="2237"/>
      <c r="CH1812" s="2237"/>
      <c r="CI1812" s="2237"/>
      <c r="CJ1812" s="2237"/>
      <c r="CK1812" s="2237"/>
      <c r="CL1812" s="2237"/>
      <c r="CM1812" s="2237"/>
      <c r="CN1812" s="2237"/>
      <c r="CO1812" s="2237"/>
      <c r="CP1812" s="2237"/>
      <c r="CQ1812" s="2237"/>
      <c r="CR1812" s="2237"/>
      <c r="CS1812" s="2237"/>
      <c r="CT1812" s="2237"/>
      <c r="CU1812" s="2237"/>
      <c r="CV1812" s="2237"/>
      <c r="CW1812" s="2237"/>
      <c r="CX1812" s="2237"/>
      <c r="CY1812" s="2237"/>
      <c r="CZ1812" s="2237"/>
      <c r="DA1812" s="2237"/>
      <c r="DB1812" s="2237"/>
      <c r="DC1812" s="2237"/>
      <c r="DD1812" s="2237"/>
      <c r="DE1812" s="2237"/>
      <c r="DF1812" s="3393" t="str">
        <f t="shared" si="269"/>
        <v>ASHP-SEER19-Replace_CAC_NonElectricHeat_ER2_MF_CompE</v>
      </c>
      <c r="DG1812" s="3332"/>
      <c r="DH1812" s="2882" t="str">
        <f t="shared" si="273"/>
        <v>Cooling Res ER2 12 Year EUL</v>
      </c>
      <c r="DI1812" s="3260">
        <f>(INDEX('Avoided Cost Benefits'!$B$4:$B$866,MATCH(DH1812,'Avoided Cost Benefits'!$A$4:$A$866,0)))*F1812</f>
        <v>434.92559928271243</v>
      </c>
      <c r="DJ1812" s="2507">
        <f t="shared" si="274"/>
        <v>0</v>
      </c>
      <c r="DM1812" s="252"/>
    </row>
    <row r="1813" spans="1:117">
      <c r="A1813" s="453"/>
      <c r="B1813" s="1454">
        <f t="shared" si="265"/>
        <v>354461</v>
      </c>
      <c r="C1813" s="2554" t="s">
        <v>2423</v>
      </c>
      <c r="D1813" s="3383" t="s">
        <v>1118</v>
      </c>
      <c r="E1813" s="2882" t="s">
        <v>2425</v>
      </c>
      <c r="F1813" s="3373">
        <f>0</f>
        <v>0</v>
      </c>
      <c r="G1813" s="3384" t="s">
        <v>2173</v>
      </c>
      <c r="H1813" s="2213">
        <f>VLOOKUP(G1813,'CP FACTORS'!$A$3:$B$38, 2, FALSE)</f>
        <v>0</v>
      </c>
      <c r="I1813" s="3405">
        <f t="shared" si="272"/>
        <v>0</v>
      </c>
      <c r="J1813" s="2449">
        <f t="shared" si="268"/>
        <v>12</v>
      </c>
      <c r="K1813" s="2894">
        <f t="shared" si="266"/>
        <v>0</v>
      </c>
      <c r="L1813" s="2649"/>
      <c r="M1813" s="3386"/>
      <c r="N1813" s="3387"/>
      <c r="O1813" s="2702"/>
      <c r="P1813" s="635"/>
      <c r="Q1813" s="635"/>
      <c r="R1813" s="2966"/>
      <c r="S1813" s="635"/>
      <c r="T1813" s="635"/>
      <c r="U1813" s="3388"/>
      <c r="V1813" s="2962" t="s">
        <v>45</v>
      </c>
      <c r="W1813" s="3389"/>
      <c r="X1813" s="3390"/>
      <c r="Y1813" s="3369"/>
      <c r="Z1813" s="3373"/>
      <c r="AA1813" s="3373"/>
      <c r="AB1813" s="3400"/>
      <c r="AC1813" s="3369">
        <v>0</v>
      </c>
      <c r="AD1813" s="3373">
        <v>0</v>
      </c>
      <c r="AE1813" s="3373">
        <v>0</v>
      </c>
      <c r="AF1813" s="2236">
        <f t="shared" si="267"/>
        <v>0</v>
      </c>
      <c r="AG1813" s="3389"/>
      <c r="AH1813" s="2728"/>
      <c r="AI1813" s="2237"/>
      <c r="AJ1813" s="2237"/>
      <c r="AK1813" s="3392"/>
      <c r="AL1813" s="2237"/>
      <c r="AM1813" s="2237"/>
      <c r="AN1813" s="2237"/>
      <c r="AO1813" s="2237"/>
      <c r="AP1813" s="2237"/>
      <c r="AQ1813" s="2237"/>
      <c r="AR1813" s="2237"/>
      <c r="AS1813" s="2237"/>
      <c r="AT1813" s="2237"/>
      <c r="AU1813" s="2237"/>
      <c r="AV1813" s="2237"/>
      <c r="AW1813" s="2237"/>
      <c r="AX1813" s="2237"/>
      <c r="AY1813" s="2237"/>
      <c r="AZ1813" s="2237"/>
      <c r="BA1813" s="2237"/>
      <c r="BB1813" s="2237"/>
      <c r="BC1813" s="2237"/>
      <c r="BD1813" s="2237"/>
      <c r="BE1813" s="2237"/>
      <c r="BF1813" s="2237"/>
      <c r="BG1813" s="2237"/>
      <c r="BH1813" s="2237"/>
      <c r="BI1813" s="2237"/>
      <c r="BJ1813" s="2237"/>
      <c r="BK1813" s="2237"/>
      <c r="BL1813" s="2237"/>
      <c r="BM1813" s="2237"/>
      <c r="BN1813" s="2237"/>
      <c r="BO1813" s="2237"/>
      <c r="BP1813" s="2237"/>
      <c r="BQ1813" s="2237"/>
      <c r="BR1813" s="2237"/>
      <c r="BS1813" s="2237"/>
      <c r="BT1813" s="2237"/>
      <c r="BU1813" s="2237"/>
      <c r="BV1813" s="2237"/>
      <c r="BW1813" s="2237"/>
      <c r="BX1813" s="2237"/>
      <c r="BY1813" s="2237"/>
      <c r="BZ1813" s="2237"/>
      <c r="CA1813" s="2237"/>
      <c r="CB1813" s="2237"/>
      <c r="CC1813" s="2237"/>
      <c r="CD1813" s="2237"/>
      <c r="CE1813" s="2237"/>
      <c r="CF1813" s="2237"/>
      <c r="CG1813" s="2237"/>
      <c r="CH1813" s="2237"/>
      <c r="CI1813" s="2237"/>
      <c r="CJ1813" s="2237"/>
      <c r="CK1813" s="2237"/>
      <c r="CL1813" s="2237"/>
      <c r="CM1813" s="2237"/>
      <c r="CN1813" s="2237"/>
      <c r="CO1813" s="2237"/>
      <c r="CP1813" s="2237"/>
      <c r="CQ1813" s="2237"/>
      <c r="CR1813" s="2237"/>
      <c r="CS1813" s="2237"/>
      <c r="CT1813" s="2237"/>
      <c r="CU1813" s="2237"/>
      <c r="CV1813" s="2237"/>
      <c r="CW1813" s="2237"/>
      <c r="CX1813" s="2237"/>
      <c r="CY1813" s="2237"/>
      <c r="CZ1813" s="2237"/>
      <c r="DA1813" s="2237"/>
      <c r="DB1813" s="2237"/>
      <c r="DC1813" s="2237"/>
      <c r="DD1813" s="2237"/>
      <c r="DE1813" s="2237"/>
      <c r="DF1813" s="3393" t="str">
        <f t="shared" si="269"/>
        <v>ASHP-SEER19-Replace_CAC_NonElectricHeat_ER2_MF_CompE</v>
      </c>
      <c r="DG1813" s="3332"/>
      <c r="DH1813" s="2882" t="str">
        <f t="shared" si="273"/>
        <v>Heating Res ER2 12 Year EUL</v>
      </c>
      <c r="DI1813" s="3260">
        <f>(INDEX('Avoided Cost Benefits'!$B$4:$B$866,MATCH(DH1813,'Avoided Cost Benefits'!$A$4:$A$866,0)))*F1813</f>
        <v>0</v>
      </c>
      <c r="DJ1813" s="2507">
        <f t="shared" si="274"/>
        <v>0</v>
      </c>
      <c r="DM1813" s="252"/>
    </row>
    <row r="1814" spans="1:117">
      <c r="A1814" s="453"/>
      <c r="B1814" s="1454">
        <f t="shared" si="265"/>
        <v>354500</v>
      </c>
      <c r="C1814" s="682" t="s">
        <v>2426</v>
      </c>
      <c r="D1814" s="3470" t="s">
        <v>959</v>
      </c>
      <c r="E1814" s="1369" t="s">
        <v>2427</v>
      </c>
      <c r="F1814" s="225">
        <f>ROUND(((K2839*K3032*(1/K3225-1/K3418)*K3611)/1000)*$K$3651,2)</f>
        <v>1507.97</v>
      </c>
      <c r="G1814" s="570" t="s">
        <v>2077</v>
      </c>
      <c r="H1814" s="69">
        <f>VLOOKUP(G1814,'CP FACTORS'!$A$3:$B$38, 2, FALSE)</f>
        <v>9.4741810000000004E-4</v>
      </c>
      <c r="I1814" s="1167">
        <f t="shared" si="272"/>
        <v>1.4286779999999999</v>
      </c>
      <c r="J1814" s="59">
        <f t="shared" si="268"/>
        <v>6</v>
      </c>
      <c r="K1814" s="166">
        <f t="shared" si="266"/>
        <v>1077.5183641564863</v>
      </c>
      <c r="L1814" s="255">
        <f>L2067</f>
        <v>3.3</v>
      </c>
      <c r="M1814" s="560"/>
      <c r="N1814" s="572"/>
      <c r="O1814" s="417"/>
      <c r="R1814" s="532"/>
      <c r="S1814" s="52"/>
      <c r="T1814" s="52"/>
      <c r="U1814" s="574"/>
      <c r="V1814" s="1442" t="s">
        <v>45</v>
      </c>
      <c r="W1814" s="962">
        <v>1929.4086842105264</v>
      </c>
      <c r="X1814" s="251">
        <v>1507.9749807291337</v>
      </c>
      <c r="Y1814" s="225">
        <v>1507.97</v>
      </c>
      <c r="Z1814" s="225">
        <v>1507.97</v>
      </c>
      <c r="AA1814" s="225">
        <v>1507.97</v>
      </c>
      <c r="AB1814" s="1027">
        <v>1507.97</v>
      </c>
      <c r="AC1814" s="960">
        <v>1507.97</v>
      </c>
      <c r="AD1814" s="225">
        <v>1507.97</v>
      </c>
      <c r="AE1814" s="225">
        <v>1507.97</v>
      </c>
      <c r="AF1814" s="271">
        <f t="shared" si="267"/>
        <v>1507.97</v>
      </c>
      <c r="AG1814" s="962"/>
      <c r="AH1814" s="121"/>
      <c r="AK1814" s="963"/>
      <c r="DF1814" s="1650" t="str">
        <f t="shared" si="269"/>
        <v>ASHP-SEER19_ER1_MF</v>
      </c>
      <c r="DG1814" s="1090">
        <f>(DI1814+DI1815+DI1816+DI1817)/(DJ1814+DJ1815+DJ1816+DJ1817)</f>
        <v>2.6449544224040511</v>
      </c>
      <c r="DH1814" s="1369" t="str">
        <f t="shared" si="273"/>
        <v>Cooling Res 6 Year EUL</v>
      </c>
      <c r="DI1814" s="1091">
        <f>(INDEX('Avoided Cost Benefits'!$B$4:$B$866,MATCH(DH1814,'Avoided Cost Benefits'!$A$4:$A$866,0)))*F1814</f>
        <v>1501.7090553218095</v>
      </c>
      <c r="DJ1814" s="1176">
        <f>IFERROR(K1814/(1.0686^(2025-2025)),10000000)</f>
        <v>1077.5183641564863</v>
      </c>
      <c r="DM1814" s="252"/>
    </row>
    <row r="1815" spans="1:117">
      <c r="A1815" s="453"/>
      <c r="B1815" s="1454">
        <f t="shared" si="265"/>
        <v>354500</v>
      </c>
      <c r="C1815" s="682" t="s">
        <v>2426</v>
      </c>
      <c r="D1815" s="3470" t="s">
        <v>959</v>
      </c>
      <c r="E1815" s="1393" t="s">
        <v>2427</v>
      </c>
      <c r="F1815" s="225">
        <f>ROUND(((K2067*K2260*(1/K2453-1/K2646)*K3611)/1000)*$K$3651,2)</f>
        <v>1798.76</v>
      </c>
      <c r="G1815" s="570" t="s">
        <v>2078</v>
      </c>
      <c r="H1815" s="69">
        <f>VLOOKUP(G1815,'CP FACTORS'!$A$3:$B$38, 2, FALSE)</f>
        <v>0</v>
      </c>
      <c r="I1815" s="1167">
        <f t="shared" si="272"/>
        <v>0</v>
      </c>
      <c r="J1815" s="59">
        <f t="shared" si="268"/>
        <v>6</v>
      </c>
      <c r="K1815" s="163">
        <f t="shared" si="266"/>
        <v>0</v>
      </c>
      <c r="L1815" s="255"/>
      <c r="M1815" s="560"/>
      <c r="N1815" s="572"/>
      <c r="O1815" s="417"/>
      <c r="R1815" s="532"/>
      <c r="S1815" s="52"/>
      <c r="T1815" s="52"/>
      <c r="U1815" s="574"/>
      <c r="V1815" s="1442" t="s">
        <v>45</v>
      </c>
      <c r="W1815" s="962">
        <v>4062.4872213622284</v>
      </c>
      <c r="X1815" s="251">
        <v>1798.7611070228763</v>
      </c>
      <c r="Y1815" s="225">
        <v>1798.76</v>
      </c>
      <c r="Z1815" s="225">
        <v>1798.76</v>
      </c>
      <c r="AA1815" s="225">
        <v>1798.76</v>
      </c>
      <c r="AB1815" s="1027">
        <v>1798.76</v>
      </c>
      <c r="AC1815" s="960">
        <v>1798.76</v>
      </c>
      <c r="AD1815" s="225">
        <v>1798.76</v>
      </c>
      <c r="AE1815" s="225">
        <v>1798.76</v>
      </c>
      <c r="AF1815" s="271">
        <f t="shared" si="267"/>
        <v>1798.76</v>
      </c>
      <c r="AG1815" s="962"/>
      <c r="AH1815" s="121"/>
      <c r="AK1815" s="963"/>
      <c r="DF1815" s="1650" t="str">
        <f t="shared" si="269"/>
        <v>ASHP-SEER19_ER1_MF</v>
      </c>
      <c r="DG1815" s="1094"/>
      <c r="DH1815" s="1393" t="str">
        <f t="shared" si="273"/>
        <v>Heating Res 6 Year EUL</v>
      </c>
      <c r="DI1815" s="1091">
        <f>(INDEX('Avoided Cost Benefits'!$B$4:$B$866,MATCH(DH1815,'Avoided Cost Benefits'!$A$4:$A$866,0)))*F1815</f>
        <v>482.38931742340571</v>
      </c>
      <c r="DJ1815" s="1176">
        <f>K1815/(1.0686^(2025-2025))</f>
        <v>0</v>
      </c>
      <c r="DM1815" s="252"/>
    </row>
    <row r="1816" spans="1:117">
      <c r="A1816" s="453"/>
      <c r="B1816" s="1454">
        <f t="shared" si="265"/>
        <v>354500</v>
      </c>
      <c r="C1816" s="682" t="s">
        <v>2426</v>
      </c>
      <c r="D1816" s="3470" t="s">
        <v>959</v>
      </c>
      <c r="E1816" s="1393" t="s">
        <v>2428</v>
      </c>
      <c r="F1816" s="227">
        <f>ROUND(((K2840*K3033*(1/K3226-1/K3419)*K3612)/1000)*$K$3651,2)</f>
        <v>386.93</v>
      </c>
      <c r="G1816" s="570" t="s">
        <v>2138</v>
      </c>
      <c r="H1816" s="69">
        <f>VLOOKUP(G1816,'CP FACTORS'!$A$3:$B$38, 2, FALSE)</f>
        <v>9.4741810000000004E-4</v>
      </c>
      <c r="I1816" s="1477">
        <f t="shared" si="272"/>
        <v>0.36658400000000002</v>
      </c>
      <c r="J1816" s="59">
        <f t="shared" si="268"/>
        <v>12</v>
      </c>
      <c r="K1816" s="163">
        <f t="shared" si="266"/>
        <v>0</v>
      </c>
      <c r="L1816" s="255"/>
      <c r="M1816" s="560"/>
      <c r="N1816" s="572"/>
      <c r="O1816" s="417"/>
      <c r="R1816" s="532"/>
      <c r="S1816" s="52"/>
      <c r="T1816" s="52"/>
      <c r="U1816" s="574"/>
      <c r="V1816" s="1442" t="s">
        <v>45</v>
      </c>
      <c r="W1816" s="962">
        <v>420.45225563909776</v>
      </c>
      <c r="X1816" s="254">
        <v>420.45225563909776</v>
      </c>
      <c r="Y1816" s="225">
        <v>420.45</v>
      </c>
      <c r="Z1816" s="225">
        <v>420.45</v>
      </c>
      <c r="AA1816" s="225">
        <v>420.45</v>
      </c>
      <c r="AB1816" s="1027">
        <v>420.45</v>
      </c>
      <c r="AC1816" s="960">
        <v>420.45</v>
      </c>
      <c r="AD1816" s="225">
        <v>420.45</v>
      </c>
      <c r="AE1816" s="227">
        <v>313.94</v>
      </c>
      <c r="AF1816" s="271">
        <f t="shared" si="267"/>
        <v>386.93</v>
      </c>
      <c r="AG1816" s="962"/>
      <c r="AH1816" s="121"/>
      <c r="AK1816" s="963"/>
      <c r="DF1816" s="1650" t="str">
        <f t="shared" si="269"/>
        <v>ASHP-SEER19_ER2_MF</v>
      </c>
      <c r="DG1816" s="1094"/>
      <c r="DH1816" s="1393" t="str">
        <f t="shared" si="273"/>
        <v>Cooling Res ER2 12 Year EUL</v>
      </c>
      <c r="DI1816" s="1091">
        <f>(INDEX('Avoided Cost Benefits'!$B$4:$B$866,MATCH(DH1816,'Avoided Cost Benefits'!$A$4:$A$866,0)))*F1816</f>
        <v>500.65677604040081</v>
      </c>
      <c r="DJ1816" s="1176">
        <f>K1816/(1.0686^(2025-2025))</f>
        <v>0</v>
      </c>
      <c r="DM1816" s="252"/>
    </row>
    <row r="1817" spans="1:117">
      <c r="A1817" s="453"/>
      <c r="B1817" s="1454">
        <f t="shared" si="265"/>
        <v>354500</v>
      </c>
      <c r="C1817" s="682" t="s">
        <v>2426</v>
      </c>
      <c r="D1817" s="3470" t="s">
        <v>959</v>
      </c>
      <c r="E1817" s="1370" t="s">
        <v>2428</v>
      </c>
      <c r="F1817" s="227">
        <f>ROUND(((K2068*K2261*(1/K2454-1/K2647)*K3612)/1000)*$K$3651,2)</f>
        <v>1080.9000000000001</v>
      </c>
      <c r="G1817" s="570" t="s">
        <v>2173</v>
      </c>
      <c r="H1817" s="69">
        <f>VLOOKUP(G1817,'CP FACTORS'!$A$3:$B$38, 2, FALSE)</f>
        <v>0</v>
      </c>
      <c r="I1817" s="1167">
        <f t="shared" si="272"/>
        <v>0</v>
      </c>
      <c r="J1817" s="59">
        <f t="shared" si="268"/>
        <v>12</v>
      </c>
      <c r="K1817" s="163">
        <f t="shared" si="266"/>
        <v>0</v>
      </c>
      <c r="L1817" s="255"/>
      <c r="M1817" s="560"/>
      <c r="N1817" s="572"/>
      <c r="O1817" s="417"/>
      <c r="R1817" s="532"/>
      <c r="S1817" s="52"/>
      <c r="T1817" s="52"/>
      <c r="U1817" s="574"/>
      <c r="V1817" s="1442" t="s">
        <v>45</v>
      </c>
      <c r="W1817" s="962">
        <v>862.96736842105349</v>
      </c>
      <c r="X1817" s="251">
        <v>642.6078562259313</v>
      </c>
      <c r="Y1817" s="225">
        <v>642.61</v>
      </c>
      <c r="Z1817" s="225">
        <v>642.61</v>
      </c>
      <c r="AA1817" s="225">
        <v>642.61</v>
      </c>
      <c r="AB1817" s="1027">
        <v>642.61</v>
      </c>
      <c r="AC1817" s="960">
        <v>642.61</v>
      </c>
      <c r="AD1817" s="225">
        <v>642.61</v>
      </c>
      <c r="AE1817" s="227">
        <v>424.19</v>
      </c>
      <c r="AF1817" s="271">
        <f t="shared" si="267"/>
        <v>1080.9000000000001</v>
      </c>
      <c r="AG1817" s="962"/>
      <c r="AH1817" s="121"/>
      <c r="AK1817" s="963"/>
      <c r="DF1817" s="1650" t="str">
        <f t="shared" si="269"/>
        <v>ASHP-SEER19_ER2_MF</v>
      </c>
      <c r="DG1817" s="1094"/>
      <c r="DH1817" s="1370" t="str">
        <f t="shared" si="273"/>
        <v>Heating Res ER2 12 Year EUL</v>
      </c>
      <c r="DI1817" s="1091">
        <f>(INDEX('Avoided Cost Benefits'!$B$4:$B$866,MATCH(DH1817,'Avoided Cost Benefits'!$A$4:$A$866,0)))*F1817</f>
        <v>365.23181371166106</v>
      </c>
      <c r="DJ1817" s="1176">
        <f>K1817/(1.0686^(2025-2025))</f>
        <v>0</v>
      </c>
      <c r="DM1817" s="252"/>
    </row>
    <row r="1818" spans="1:117">
      <c r="A1818" s="453"/>
      <c r="B1818" s="1454">
        <f t="shared" si="265"/>
        <v>354501</v>
      </c>
      <c r="C1818" s="2554" t="s">
        <v>2429</v>
      </c>
      <c r="D1818" s="3383" t="s">
        <v>1118</v>
      </c>
      <c r="E1818" s="2521" t="s">
        <v>2430</v>
      </c>
      <c r="F1818" s="3373">
        <f>ROUND((($K$2841*$K$3034*(1/$K$3227-1/$K$3420)*$K$3613)/1000)*$K$3651,2)</f>
        <v>1096.71</v>
      </c>
      <c r="G1818" s="3384" t="str">
        <f>G1814</f>
        <v>Cooling Res</v>
      </c>
      <c r="H1818" s="2213">
        <f>VLOOKUP(G1818,'CP FACTORS'!$A$3:$B$38, 2, FALSE)</f>
        <v>9.4741810000000004E-4</v>
      </c>
      <c r="I1818" s="3405">
        <f t="shared" si="272"/>
        <v>1.0390429999999999</v>
      </c>
      <c r="J1818" s="2449">
        <f t="shared" si="268"/>
        <v>6</v>
      </c>
      <c r="K1818" s="2467">
        <f t="shared" si="266"/>
        <v>1077.5183641564863</v>
      </c>
      <c r="L1818" s="2649">
        <f>L2069</f>
        <v>3.3</v>
      </c>
      <c r="M1818" s="3386"/>
      <c r="N1818" s="3387"/>
      <c r="O1818" s="2702"/>
      <c r="P1818" s="635"/>
      <c r="Q1818" s="635"/>
      <c r="R1818" s="2966"/>
      <c r="S1818" s="635"/>
      <c r="T1818" s="635"/>
      <c r="U1818" s="3388"/>
      <c r="V1818" s="2962" t="s">
        <v>45</v>
      </c>
      <c r="W1818" s="3389"/>
      <c r="X1818" s="3390"/>
      <c r="Y1818" s="3369">
        <v>1096.71</v>
      </c>
      <c r="Z1818" s="3373">
        <v>1096.71</v>
      </c>
      <c r="AA1818" s="3373">
        <v>1096.71</v>
      </c>
      <c r="AB1818" s="3400">
        <v>1096.71</v>
      </c>
      <c r="AC1818" s="3401">
        <v>1096.71</v>
      </c>
      <c r="AD1818" s="3373">
        <v>1096.71</v>
      </c>
      <c r="AE1818" s="3373">
        <v>1096.71</v>
      </c>
      <c r="AF1818" s="2236">
        <f t="shared" si="267"/>
        <v>1096.71</v>
      </c>
      <c r="AG1818" s="3389"/>
      <c r="AH1818" s="2728"/>
      <c r="AI1818" s="2237"/>
      <c r="AJ1818" s="2237"/>
      <c r="AK1818" s="3392"/>
      <c r="AL1818" s="2237"/>
      <c r="AM1818" s="2237"/>
      <c r="AN1818" s="2237"/>
      <c r="AO1818" s="2237"/>
      <c r="AP1818" s="2237"/>
      <c r="AQ1818" s="2237"/>
      <c r="AR1818" s="2237"/>
      <c r="AS1818" s="2237"/>
      <c r="AT1818" s="2237"/>
      <c r="AU1818" s="2237"/>
      <c r="AV1818" s="2237"/>
      <c r="AW1818" s="2237"/>
      <c r="AX1818" s="2237"/>
      <c r="AY1818" s="2237"/>
      <c r="AZ1818" s="2237"/>
      <c r="BA1818" s="2237"/>
      <c r="BB1818" s="2237"/>
      <c r="BC1818" s="2237"/>
      <c r="BD1818" s="2237"/>
      <c r="BE1818" s="2237"/>
      <c r="BF1818" s="2237"/>
      <c r="BG1818" s="2237"/>
      <c r="BH1818" s="2237"/>
      <c r="BI1818" s="2237"/>
      <c r="BJ1818" s="2237"/>
      <c r="BK1818" s="2237"/>
      <c r="BL1818" s="2237"/>
      <c r="BM1818" s="2237"/>
      <c r="BN1818" s="2237"/>
      <c r="BO1818" s="2237"/>
      <c r="BP1818" s="2237"/>
      <c r="BQ1818" s="2237"/>
      <c r="BR1818" s="2237"/>
      <c r="BS1818" s="2237"/>
      <c r="BT1818" s="2237"/>
      <c r="BU1818" s="2237"/>
      <c r="BV1818" s="2237"/>
      <c r="BW1818" s="2237"/>
      <c r="BX1818" s="2237"/>
      <c r="BY1818" s="2237"/>
      <c r="BZ1818" s="2237"/>
      <c r="CA1818" s="2237"/>
      <c r="CB1818" s="2237"/>
      <c r="CC1818" s="2237"/>
      <c r="CD1818" s="2237"/>
      <c r="CE1818" s="2237"/>
      <c r="CF1818" s="2237"/>
      <c r="CG1818" s="2237"/>
      <c r="CH1818" s="2237"/>
      <c r="CI1818" s="2237"/>
      <c r="CJ1818" s="2237"/>
      <c r="CK1818" s="2237"/>
      <c r="CL1818" s="2237"/>
      <c r="CM1818" s="2237"/>
      <c r="CN1818" s="2237"/>
      <c r="CO1818" s="2237"/>
      <c r="CP1818" s="2237"/>
      <c r="CQ1818" s="2237"/>
      <c r="CR1818" s="2237"/>
      <c r="CS1818" s="2237"/>
      <c r="CT1818" s="2237"/>
      <c r="CU1818" s="2237"/>
      <c r="CV1818" s="2237"/>
      <c r="CW1818" s="2237"/>
      <c r="CX1818" s="2237"/>
      <c r="CY1818" s="2237"/>
      <c r="CZ1818" s="2237"/>
      <c r="DA1818" s="2237"/>
      <c r="DB1818" s="2237"/>
      <c r="DC1818" s="2237"/>
      <c r="DD1818" s="2237"/>
      <c r="DE1818" s="2237"/>
      <c r="DF1818" s="3393" t="str">
        <f t="shared" si="269"/>
        <v>ASHP-SEER19_ER1_MF_CompE</v>
      </c>
      <c r="DG1818" s="3259">
        <f>(DI1818+DI1819+DI1820+DI1821)/(DJ1818+DJ1819+DJ1820+DJ1821)</f>
        <v>1.6196847428996684</v>
      </c>
      <c r="DH1818" s="2521" t="str">
        <f t="shared" si="273"/>
        <v>Cooling Res 6 Year EUL</v>
      </c>
      <c r="DI1818" s="3260">
        <f>(INDEX('Avoided Cost Benefits'!$B$4:$B$866,MATCH(DH1818,'Avoided Cost Benefits'!$A$4:$A$866,0)))*F1818</f>
        <v>1092.1565668163039</v>
      </c>
      <c r="DJ1818" s="2507">
        <f>IFERROR(K1818/(1.0686^(2025-2025)),10000000)</f>
        <v>1077.5183641564863</v>
      </c>
      <c r="DM1818" s="252"/>
    </row>
    <row r="1819" spans="1:117">
      <c r="A1819" s="453"/>
      <c r="B1819" s="1454">
        <f t="shared" si="265"/>
        <v>354501</v>
      </c>
      <c r="C1819" s="2554" t="str">
        <f>C1818</f>
        <v>354501_2024_12_</v>
      </c>
      <c r="D1819" s="3383" t="s">
        <v>1118</v>
      </c>
      <c r="E1819" s="2882" t="s">
        <v>2430</v>
      </c>
      <c r="F1819" s="3373">
        <f>ROUND((($K$2069*$K$2262*(1/$K$2455-1/$K$2648)*$K$3613)/1000)*$K$3651,2)</f>
        <v>613.21</v>
      </c>
      <c r="G1819" s="3384" t="str">
        <f>G1815</f>
        <v>Heating Res</v>
      </c>
      <c r="H1819" s="2213">
        <f>VLOOKUP(G1819,'CP FACTORS'!$A$3:$B$38, 2, FALSE)</f>
        <v>0</v>
      </c>
      <c r="I1819" s="3405">
        <f t="shared" si="272"/>
        <v>0</v>
      </c>
      <c r="J1819" s="2449">
        <f t="shared" si="268"/>
        <v>6</v>
      </c>
      <c r="K1819" s="2894">
        <f t="shared" si="266"/>
        <v>0</v>
      </c>
      <c r="L1819" s="2649"/>
      <c r="M1819" s="3386"/>
      <c r="N1819" s="3387"/>
      <c r="O1819" s="2702"/>
      <c r="P1819" s="635"/>
      <c r="Q1819" s="635"/>
      <c r="R1819" s="2966"/>
      <c r="S1819" s="635"/>
      <c r="T1819" s="635"/>
      <c r="U1819" s="3388"/>
      <c r="V1819" s="2962" t="s">
        <v>45</v>
      </c>
      <c r="W1819" s="3389"/>
      <c r="X1819" s="3390"/>
      <c r="Y1819" s="3369">
        <v>613.21</v>
      </c>
      <c r="Z1819" s="3373">
        <v>613.21</v>
      </c>
      <c r="AA1819" s="3373">
        <v>613.21</v>
      </c>
      <c r="AB1819" s="3400">
        <v>613.21</v>
      </c>
      <c r="AC1819" s="3401">
        <v>613.21</v>
      </c>
      <c r="AD1819" s="3373">
        <v>613.21</v>
      </c>
      <c r="AE1819" s="3373">
        <v>613.21</v>
      </c>
      <c r="AF1819" s="2236">
        <f t="shared" si="267"/>
        <v>613.21</v>
      </c>
      <c r="AG1819" s="3389"/>
      <c r="AH1819" s="2728"/>
      <c r="AI1819" s="2237"/>
      <c r="AJ1819" s="2237"/>
      <c r="AK1819" s="3392"/>
      <c r="AL1819" s="2237"/>
      <c r="AM1819" s="2237"/>
      <c r="AN1819" s="2237"/>
      <c r="AO1819" s="2237"/>
      <c r="AP1819" s="2237"/>
      <c r="AQ1819" s="2237"/>
      <c r="AR1819" s="2237"/>
      <c r="AS1819" s="2237"/>
      <c r="AT1819" s="2237"/>
      <c r="AU1819" s="2237"/>
      <c r="AV1819" s="2237"/>
      <c r="AW1819" s="2237"/>
      <c r="AX1819" s="2237"/>
      <c r="AY1819" s="2237"/>
      <c r="AZ1819" s="2237"/>
      <c r="BA1819" s="2237"/>
      <c r="BB1819" s="2237"/>
      <c r="BC1819" s="2237"/>
      <c r="BD1819" s="2237"/>
      <c r="BE1819" s="2237"/>
      <c r="BF1819" s="2237"/>
      <c r="BG1819" s="2237"/>
      <c r="BH1819" s="2237"/>
      <c r="BI1819" s="2237"/>
      <c r="BJ1819" s="2237"/>
      <c r="BK1819" s="2237"/>
      <c r="BL1819" s="2237"/>
      <c r="BM1819" s="2237"/>
      <c r="BN1819" s="2237"/>
      <c r="BO1819" s="2237"/>
      <c r="BP1819" s="2237"/>
      <c r="BQ1819" s="2237"/>
      <c r="BR1819" s="2237"/>
      <c r="BS1819" s="2237"/>
      <c r="BT1819" s="2237"/>
      <c r="BU1819" s="2237"/>
      <c r="BV1819" s="2237"/>
      <c r="BW1819" s="2237"/>
      <c r="BX1819" s="2237"/>
      <c r="BY1819" s="2237"/>
      <c r="BZ1819" s="2237"/>
      <c r="CA1819" s="2237"/>
      <c r="CB1819" s="2237"/>
      <c r="CC1819" s="2237"/>
      <c r="CD1819" s="2237"/>
      <c r="CE1819" s="2237"/>
      <c r="CF1819" s="2237"/>
      <c r="CG1819" s="2237"/>
      <c r="CH1819" s="2237"/>
      <c r="CI1819" s="2237"/>
      <c r="CJ1819" s="2237"/>
      <c r="CK1819" s="2237"/>
      <c r="CL1819" s="2237"/>
      <c r="CM1819" s="2237"/>
      <c r="CN1819" s="2237"/>
      <c r="CO1819" s="2237"/>
      <c r="CP1819" s="2237"/>
      <c r="CQ1819" s="2237"/>
      <c r="CR1819" s="2237"/>
      <c r="CS1819" s="2237"/>
      <c r="CT1819" s="2237"/>
      <c r="CU1819" s="2237"/>
      <c r="CV1819" s="2237"/>
      <c r="CW1819" s="2237"/>
      <c r="CX1819" s="2237"/>
      <c r="CY1819" s="2237"/>
      <c r="CZ1819" s="2237"/>
      <c r="DA1819" s="2237"/>
      <c r="DB1819" s="2237"/>
      <c r="DC1819" s="2237"/>
      <c r="DD1819" s="2237"/>
      <c r="DE1819" s="2237"/>
      <c r="DF1819" s="3393" t="str">
        <f t="shared" si="269"/>
        <v>ASHP-SEER19_ER1_MF_CompE</v>
      </c>
      <c r="DG1819" s="3332"/>
      <c r="DH1819" s="2882" t="str">
        <f t="shared" si="273"/>
        <v>Heating Res 6 Year EUL</v>
      </c>
      <c r="DI1819" s="3260">
        <f>(INDEX('Avoided Cost Benefits'!$B$4:$B$866,MATCH(DH1819,'Avoided Cost Benefits'!$A$4:$A$866,0)))*F1819</f>
        <v>164.44992847139511</v>
      </c>
      <c r="DJ1819" s="2507">
        <f>K1819/(1.0686^(2025-2025))</f>
        <v>0</v>
      </c>
      <c r="DM1819" s="252"/>
    </row>
    <row r="1820" spans="1:117">
      <c r="A1820" s="453"/>
      <c r="B1820" s="1454">
        <f t="shared" si="265"/>
        <v>354501</v>
      </c>
      <c r="C1820" s="2554" t="str">
        <f>C1819</f>
        <v>354501_2024_12_</v>
      </c>
      <c r="D1820" s="3383" t="s">
        <v>1118</v>
      </c>
      <c r="E1820" s="2882" t="s">
        <v>2431</v>
      </c>
      <c r="F1820" s="3369">
        <f>ROUND((($K$2842*$K$3035*(1/$K$3228-1/$K$3421)*$K$3614)/1000)*$K$3651,2)</f>
        <v>281.41000000000003</v>
      </c>
      <c r="G1820" s="3384" t="str">
        <f>G1816</f>
        <v>Cooling Res ER2</v>
      </c>
      <c r="H1820" s="2213">
        <f>VLOOKUP(G1820,'CP FACTORS'!$A$3:$B$38, 2, FALSE)</f>
        <v>9.4741810000000004E-4</v>
      </c>
      <c r="I1820" s="3404">
        <f t="shared" si="272"/>
        <v>0.26661299999999999</v>
      </c>
      <c r="J1820" s="2449">
        <f t="shared" si="268"/>
        <v>12</v>
      </c>
      <c r="K1820" s="2894">
        <f t="shared" si="266"/>
        <v>0</v>
      </c>
      <c r="L1820" s="2649"/>
      <c r="M1820" s="3386"/>
      <c r="N1820" s="3387"/>
      <c r="O1820" s="2702"/>
      <c r="P1820" s="635"/>
      <c r="Q1820" s="635"/>
      <c r="R1820" s="2966"/>
      <c r="S1820" s="635"/>
      <c r="T1820" s="635"/>
      <c r="U1820" s="3388"/>
      <c r="V1820" s="2962" t="s">
        <v>45</v>
      </c>
      <c r="W1820" s="3389"/>
      <c r="X1820" s="3390"/>
      <c r="Y1820" s="3369">
        <v>305.77999999999997</v>
      </c>
      <c r="Z1820" s="3373">
        <v>305.77999999999997</v>
      </c>
      <c r="AA1820" s="3373">
        <v>305.77999999999997</v>
      </c>
      <c r="AB1820" s="3400">
        <v>305.77999999999997</v>
      </c>
      <c r="AC1820" s="3401">
        <v>305.77999999999997</v>
      </c>
      <c r="AD1820" s="3373">
        <v>305.77999999999997</v>
      </c>
      <c r="AE1820" s="3369">
        <v>228.32</v>
      </c>
      <c r="AF1820" s="2236">
        <f t="shared" si="267"/>
        <v>281.41000000000003</v>
      </c>
      <c r="AG1820" s="3389"/>
      <c r="AH1820" s="2728"/>
      <c r="AI1820" s="2237"/>
      <c r="AJ1820" s="2237"/>
      <c r="AK1820" s="3392"/>
      <c r="AL1820" s="2237"/>
      <c r="AM1820" s="2237"/>
      <c r="AN1820" s="2237"/>
      <c r="AO1820" s="2237"/>
      <c r="AP1820" s="2237"/>
      <c r="AQ1820" s="2237"/>
      <c r="AR1820" s="2237"/>
      <c r="AS1820" s="2237"/>
      <c r="AT1820" s="2237"/>
      <c r="AU1820" s="2237"/>
      <c r="AV1820" s="2237"/>
      <c r="AW1820" s="2237"/>
      <c r="AX1820" s="2237"/>
      <c r="AY1820" s="2237"/>
      <c r="AZ1820" s="2237"/>
      <c r="BA1820" s="2237"/>
      <c r="BB1820" s="2237"/>
      <c r="BC1820" s="2237"/>
      <c r="BD1820" s="2237"/>
      <c r="BE1820" s="2237"/>
      <c r="BF1820" s="2237"/>
      <c r="BG1820" s="2237"/>
      <c r="BH1820" s="2237"/>
      <c r="BI1820" s="2237"/>
      <c r="BJ1820" s="2237"/>
      <c r="BK1820" s="2237"/>
      <c r="BL1820" s="2237"/>
      <c r="BM1820" s="2237"/>
      <c r="BN1820" s="2237"/>
      <c r="BO1820" s="2237"/>
      <c r="BP1820" s="2237"/>
      <c r="BQ1820" s="2237"/>
      <c r="BR1820" s="2237"/>
      <c r="BS1820" s="2237"/>
      <c r="BT1820" s="2237"/>
      <c r="BU1820" s="2237"/>
      <c r="BV1820" s="2237"/>
      <c r="BW1820" s="2237"/>
      <c r="BX1820" s="2237"/>
      <c r="BY1820" s="2237"/>
      <c r="BZ1820" s="2237"/>
      <c r="CA1820" s="2237"/>
      <c r="CB1820" s="2237"/>
      <c r="CC1820" s="2237"/>
      <c r="CD1820" s="2237"/>
      <c r="CE1820" s="2237"/>
      <c r="CF1820" s="2237"/>
      <c r="CG1820" s="2237"/>
      <c r="CH1820" s="2237"/>
      <c r="CI1820" s="2237"/>
      <c r="CJ1820" s="2237"/>
      <c r="CK1820" s="2237"/>
      <c r="CL1820" s="2237"/>
      <c r="CM1820" s="2237"/>
      <c r="CN1820" s="2237"/>
      <c r="CO1820" s="2237"/>
      <c r="CP1820" s="2237"/>
      <c r="CQ1820" s="2237"/>
      <c r="CR1820" s="2237"/>
      <c r="CS1820" s="2237"/>
      <c r="CT1820" s="2237"/>
      <c r="CU1820" s="2237"/>
      <c r="CV1820" s="2237"/>
      <c r="CW1820" s="2237"/>
      <c r="CX1820" s="2237"/>
      <c r="CY1820" s="2237"/>
      <c r="CZ1820" s="2237"/>
      <c r="DA1820" s="2237"/>
      <c r="DB1820" s="2237"/>
      <c r="DC1820" s="2237"/>
      <c r="DD1820" s="2237"/>
      <c r="DE1820" s="2237"/>
      <c r="DF1820" s="3393" t="str">
        <f t="shared" si="269"/>
        <v>ASHP-SEER19_ER2_MF_CompE</v>
      </c>
      <c r="DG1820" s="3332"/>
      <c r="DH1820" s="2882" t="str">
        <f t="shared" si="273"/>
        <v>Cooling Res ER2 12 Year EUL</v>
      </c>
      <c r="DI1820" s="3260">
        <f>(INDEX('Avoided Cost Benefits'!$B$4:$B$866,MATCH(DH1820,'Avoided Cost Benefits'!$A$4:$A$866,0)))*F1820</f>
        <v>364.12225297994263</v>
      </c>
      <c r="DJ1820" s="2507">
        <f>K1820/(1.0686^(2025-2025))</f>
        <v>0</v>
      </c>
      <c r="DM1820" s="252"/>
    </row>
    <row r="1821" spans="1:117">
      <c r="A1821" s="453"/>
      <c r="B1821" s="1454">
        <f t="shared" si="265"/>
        <v>354501</v>
      </c>
      <c r="C1821" s="2554" t="str">
        <f>C1820</f>
        <v>354501_2024_12_</v>
      </c>
      <c r="D1821" s="3383" t="s">
        <v>1118</v>
      </c>
      <c r="E1821" s="2522" t="s">
        <v>2431</v>
      </c>
      <c r="F1821" s="3369">
        <f>ROUND((($K$2070*$K$2263*(1/$K$2456-1/$K$2649)*$K$3614)/1000)*$K$3651,2)</f>
        <v>368.49</v>
      </c>
      <c r="G1821" s="3384" t="str">
        <f>G1817</f>
        <v>Heating Res ER2</v>
      </c>
      <c r="H1821" s="2213">
        <f>VLOOKUP(G1821,'CP FACTORS'!$A$3:$B$38, 2, FALSE)</f>
        <v>0</v>
      </c>
      <c r="I1821" s="3405">
        <f t="shared" si="272"/>
        <v>0</v>
      </c>
      <c r="J1821" s="2449">
        <f t="shared" si="268"/>
        <v>12</v>
      </c>
      <c r="K1821" s="2894">
        <f t="shared" si="266"/>
        <v>0</v>
      </c>
      <c r="L1821" s="2649"/>
      <c r="M1821" s="3386"/>
      <c r="N1821" s="3387"/>
      <c r="O1821" s="2702"/>
      <c r="P1821" s="635"/>
      <c r="Q1821" s="635"/>
      <c r="R1821" s="2966"/>
      <c r="S1821" s="635"/>
      <c r="T1821" s="635"/>
      <c r="U1821" s="3388"/>
      <c r="V1821" s="2962" t="s">
        <v>45</v>
      </c>
      <c r="W1821" s="3389"/>
      <c r="X1821" s="3390"/>
      <c r="Y1821" s="3369">
        <v>219.07</v>
      </c>
      <c r="Z1821" s="3373">
        <v>219.07</v>
      </c>
      <c r="AA1821" s="3373">
        <v>219.07</v>
      </c>
      <c r="AB1821" s="3400">
        <v>219.07</v>
      </c>
      <c r="AC1821" s="3401">
        <v>219.07</v>
      </c>
      <c r="AD1821" s="3373">
        <v>219.07</v>
      </c>
      <c r="AE1821" s="3369">
        <v>144.61000000000001</v>
      </c>
      <c r="AF1821" s="2236">
        <f t="shared" si="267"/>
        <v>368.49</v>
      </c>
      <c r="AG1821" s="3389"/>
      <c r="AH1821" s="2728"/>
      <c r="AI1821" s="2237"/>
      <c r="AJ1821" s="2237"/>
      <c r="AK1821" s="3392"/>
      <c r="AL1821" s="2237"/>
      <c r="AM1821" s="2237"/>
      <c r="AN1821" s="2237"/>
      <c r="AO1821" s="2237"/>
      <c r="AP1821" s="2237"/>
      <c r="AQ1821" s="2237"/>
      <c r="AR1821" s="2237"/>
      <c r="AS1821" s="2237"/>
      <c r="AT1821" s="2237"/>
      <c r="AU1821" s="2237"/>
      <c r="AV1821" s="2237"/>
      <c r="AW1821" s="2237"/>
      <c r="AX1821" s="2237"/>
      <c r="AY1821" s="2237"/>
      <c r="AZ1821" s="2237"/>
      <c r="BA1821" s="2237"/>
      <c r="BB1821" s="2237"/>
      <c r="BC1821" s="2237"/>
      <c r="BD1821" s="2237"/>
      <c r="BE1821" s="2237"/>
      <c r="BF1821" s="2237"/>
      <c r="BG1821" s="2237"/>
      <c r="BH1821" s="2237"/>
      <c r="BI1821" s="2237"/>
      <c r="BJ1821" s="2237"/>
      <c r="BK1821" s="2237"/>
      <c r="BL1821" s="2237"/>
      <c r="BM1821" s="2237"/>
      <c r="BN1821" s="2237"/>
      <c r="BO1821" s="2237"/>
      <c r="BP1821" s="2237"/>
      <c r="BQ1821" s="2237"/>
      <c r="BR1821" s="2237"/>
      <c r="BS1821" s="2237"/>
      <c r="BT1821" s="2237"/>
      <c r="BU1821" s="2237"/>
      <c r="BV1821" s="2237"/>
      <c r="BW1821" s="2237"/>
      <c r="BX1821" s="2237"/>
      <c r="BY1821" s="2237"/>
      <c r="BZ1821" s="2237"/>
      <c r="CA1821" s="2237"/>
      <c r="CB1821" s="2237"/>
      <c r="CC1821" s="2237"/>
      <c r="CD1821" s="2237"/>
      <c r="CE1821" s="2237"/>
      <c r="CF1821" s="2237"/>
      <c r="CG1821" s="2237"/>
      <c r="CH1821" s="2237"/>
      <c r="CI1821" s="2237"/>
      <c r="CJ1821" s="2237"/>
      <c r="CK1821" s="2237"/>
      <c r="CL1821" s="2237"/>
      <c r="CM1821" s="2237"/>
      <c r="CN1821" s="2237"/>
      <c r="CO1821" s="2237"/>
      <c r="CP1821" s="2237"/>
      <c r="CQ1821" s="2237"/>
      <c r="CR1821" s="2237"/>
      <c r="CS1821" s="2237"/>
      <c r="CT1821" s="2237"/>
      <c r="CU1821" s="2237"/>
      <c r="CV1821" s="2237"/>
      <c r="CW1821" s="2237"/>
      <c r="CX1821" s="2237"/>
      <c r="CY1821" s="2237"/>
      <c r="CZ1821" s="2237"/>
      <c r="DA1821" s="2237"/>
      <c r="DB1821" s="2237"/>
      <c r="DC1821" s="2237"/>
      <c r="DD1821" s="2237"/>
      <c r="DE1821" s="2237"/>
      <c r="DF1821" s="3393" t="str">
        <f t="shared" si="269"/>
        <v>ASHP-SEER19_ER2_MF_CompE</v>
      </c>
      <c r="DG1821" s="3332"/>
      <c r="DH1821" s="2522" t="str">
        <f t="shared" si="273"/>
        <v>Heating Res ER2 12 Year EUL</v>
      </c>
      <c r="DI1821" s="3260">
        <f>(INDEX('Avoided Cost Benefits'!$B$4:$B$866,MATCH(DH1821,'Avoided Cost Benefits'!$A$4:$A$866,0)))*F1821</f>
        <v>124.51130635082799</v>
      </c>
      <c r="DJ1821" s="2507">
        <f>K1821/(1.0686^(2025-2025))</f>
        <v>0</v>
      </c>
      <c r="DM1821" s="252"/>
    </row>
    <row r="1822" spans="1:117">
      <c r="A1822" s="453"/>
      <c r="B1822" s="1454">
        <f t="shared" si="265"/>
        <v>354550</v>
      </c>
      <c r="C1822" s="682" t="s">
        <v>2432</v>
      </c>
      <c r="D1822" s="3470" t="s">
        <v>1043</v>
      </c>
      <c r="E1822" s="1369" t="s">
        <v>2433</v>
      </c>
      <c r="F1822" s="227">
        <f>ROUND(((K2843*K3036*(1/K3229-1/K3422)*K3615)/1000)*$K$3651,2)</f>
        <v>2257.71</v>
      </c>
      <c r="G1822" s="570" t="s">
        <v>2077</v>
      </c>
      <c r="H1822" s="69">
        <f>VLOOKUP(G1822,'CP FACTORS'!$A$3:$B$38, 2, FALSE)</f>
        <v>9.4741810000000004E-4</v>
      </c>
      <c r="I1822" s="1477">
        <f t="shared" si="272"/>
        <v>2.138995</v>
      </c>
      <c r="J1822" s="59">
        <f t="shared" si="268"/>
        <v>6</v>
      </c>
      <c r="K1822" s="166">
        <f t="shared" si="266"/>
        <v>1077.7021397098724</v>
      </c>
      <c r="L1822" s="1107">
        <f>L2071</f>
        <v>2.5833656509695291</v>
      </c>
      <c r="M1822" s="560"/>
      <c r="N1822" s="572"/>
      <c r="O1822" s="417"/>
      <c r="R1822" s="532"/>
      <c r="S1822" s="52"/>
      <c r="T1822" s="52"/>
      <c r="U1822" s="574"/>
      <c r="V1822" s="1442" t="s">
        <v>45</v>
      </c>
      <c r="W1822" s="962">
        <v>3058.88</v>
      </c>
      <c r="X1822" s="251">
        <v>2410.520456182473</v>
      </c>
      <c r="Y1822" s="225">
        <v>2410.52</v>
      </c>
      <c r="Z1822" s="225">
        <v>2410.52</v>
      </c>
      <c r="AA1822" s="225">
        <v>2410.52</v>
      </c>
      <c r="AB1822" s="1027">
        <v>2410.52</v>
      </c>
      <c r="AC1822" s="227">
        <v>3652.3</v>
      </c>
      <c r="AD1822" s="227">
        <v>2594.98</v>
      </c>
      <c r="AE1822" s="227">
        <v>2567.77</v>
      </c>
      <c r="AF1822" s="271">
        <f t="shared" si="267"/>
        <v>2257.71</v>
      </c>
      <c r="AG1822" s="962"/>
      <c r="AH1822" s="121"/>
      <c r="AK1822" s="963"/>
      <c r="DF1822" s="1650" t="str">
        <f t="shared" si="269"/>
        <v>ASHP-SEER20_ER1_SF</v>
      </c>
      <c r="DG1822" s="1090">
        <f>(DI1822+DI1823+DI1824+DI1825)/(DJ1822+DJ1823+DJ1824+DJ1825)</f>
        <v>3.9998675502126111</v>
      </c>
      <c r="DH1822" s="1369" t="str">
        <f t="shared" si="273"/>
        <v>Cooling Res 6 Year EUL</v>
      </c>
      <c r="DI1822" s="1091">
        <f>(INDEX('Avoided Cost Benefits'!$B$4:$B$866,MATCH(DH1822,'Avoided Cost Benefits'!$A$4:$A$866,0)))*F1822</f>
        <v>2248.3362078095734</v>
      </c>
      <c r="DJ1822" s="1176">
        <f>IFERROR(K1822/(1.0686^(2025-2025)),10000000)</f>
        <v>1077.7021397098724</v>
      </c>
      <c r="DM1822" s="252"/>
    </row>
    <row r="1823" spans="1:117">
      <c r="A1823" s="453"/>
      <c r="B1823" s="1454">
        <f t="shared" si="265"/>
        <v>354550</v>
      </c>
      <c r="C1823" s="682" t="s">
        <v>2432</v>
      </c>
      <c r="D1823" s="3470" t="s">
        <v>1043</v>
      </c>
      <c r="E1823" s="1393" t="s">
        <v>2433</v>
      </c>
      <c r="F1823" s="225">
        <f>ROUND(((K2071*K2264*(1/K2457-1/K2650)*K3615)/1000)*$K$3651,2)</f>
        <v>2572.52</v>
      </c>
      <c r="G1823" s="570" t="s">
        <v>2078</v>
      </c>
      <c r="H1823" s="69">
        <f>VLOOKUP(G1823,'CP FACTORS'!$A$3:$B$38, 2, FALSE)</f>
        <v>0</v>
      </c>
      <c r="I1823" s="1167">
        <f t="shared" si="272"/>
        <v>0</v>
      </c>
      <c r="J1823" s="59">
        <f t="shared" si="268"/>
        <v>6</v>
      </c>
      <c r="K1823" s="163">
        <f t="shared" si="266"/>
        <v>0</v>
      </c>
      <c r="L1823" s="255"/>
      <c r="M1823" s="560"/>
      <c r="N1823" s="572"/>
      <c r="O1823" s="417"/>
      <c r="R1823" s="532"/>
      <c r="S1823" s="52"/>
      <c r="T1823" s="52"/>
      <c r="U1823" s="574"/>
      <c r="V1823" s="1442" t="s">
        <v>45</v>
      </c>
      <c r="W1823" s="962">
        <v>6249.9803405572748</v>
      </c>
      <c r="X1823" s="251">
        <v>2767.3247800351946</v>
      </c>
      <c r="Y1823" s="225">
        <v>2767.32</v>
      </c>
      <c r="Z1823" s="225">
        <v>2767.32</v>
      </c>
      <c r="AA1823" s="225">
        <v>2767.32</v>
      </c>
      <c r="AB1823" s="1027">
        <v>2767.32</v>
      </c>
      <c r="AC1823" s="227">
        <v>5092.7700000000004</v>
      </c>
      <c r="AD1823" s="227">
        <v>2662.45</v>
      </c>
      <c r="AE1823" s="227">
        <v>2572.52</v>
      </c>
      <c r="AF1823" s="271">
        <f t="shared" si="267"/>
        <v>2572.52</v>
      </c>
      <c r="AG1823" s="962"/>
      <c r="AH1823" s="121"/>
      <c r="AK1823" s="963"/>
      <c r="DF1823" s="1650" t="str">
        <f t="shared" si="269"/>
        <v>ASHP-SEER20_ER1_SF</v>
      </c>
      <c r="DG1823" s="1094"/>
      <c r="DH1823" s="1393" t="str">
        <f t="shared" si="273"/>
        <v>Heating Res 6 Year EUL</v>
      </c>
      <c r="DI1823" s="1091">
        <f>(INDEX('Avoided Cost Benefits'!$B$4:$B$866,MATCH(DH1823,'Avoided Cost Benefits'!$A$4:$A$866,0)))*F1823</f>
        <v>689.89535394274935</v>
      </c>
      <c r="DJ1823" s="1176">
        <f>K1823/(1.0686^(2025-2025))</f>
        <v>0</v>
      </c>
      <c r="DM1823" s="252"/>
    </row>
    <row r="1824" spans="1:117">
      <c r="A1824" s="453"/>
      <c r="B1824" s="1454">
        <f t="shared" si="265"/>
        <v>354550</v>
      </c>
      <c r="C1824" s="682" t="s">
        <v>2432</v>
      </c>
      <c r="D1824" s="3470" t="s">
        <v>1043</v>
      </c>
      <c r="E1824" s="1393" t="s">
        <v>2434</v>
      </c>
      <c r="F1824" s="227">
        <f>ROUND(((K2844*K3037*(1/K3230-1/K3423)*K3616)/1000)*$K$3651,2)</f>
        <v>614.66</v>
      </c>
      <c r="G1824" s="570" t="s">
        <v>2138</v>
      </c>
      <c r="H1824" s="69">
        <f>VLOOKUP(G1824,'CP FACTORS'!$A$3:$B$38, 2, FALSE)</f>
        <v>9.4741810000000004E-4</v>
      </c>
      <c r="I1824" s="1477">
        <f t="shared" si="272"/>
        <v>0.58233999999999997</v>
      </c>
      <c r="J1824" s="59">
        <f t="shared" si="268"/>
        <v>12</v>
      </c>
      <c r="K1824" s="163">
        <f t="shared" si="266"/>
        <v>0</v>
      </c>
      <c r="L1824" s="255"/>
      <c r="M1824" s="560"/>
      <c r="N1824" s="572"/>
      <c r="O1824" s="417"/>
      <c r="R1824" s="532"/>
      <c r="S1824" s="52"/>
      <c r="T1824" s="52"/>
      <c r="U1824" s="574"/>
      <c r="V1824" s="1442" t="s">
        <v>45</v>
      </c>
      <c r="W1824" s="962">
        <v>737.40857142857124</v>
      </c>
      <c r="X1824" s="254">
        <v>737.40857142857124</v>
      </c>
      <c r="Y1824" s="225">
        <v>737.41</v>
      </c>
      <c r="Z1824" s="225">
        <v>737.41</v>
      </c>
      <c r="AA1824" s="225">
        <v>737.41</v>
      </c>
      <c r="AB1824" s="1027">
        <v>737.41</v>
      </c>
      <c r="AC1824" s="227">
        <v>1117.29</v>
      </c>
      <c r="AD1824" s="227">
        <v>687.08</v>
      </c>
      <c r="AE1824" s="227">
        <v>559.23</v>
      </c>
      <c r="AF1824" s="271">
        <f t="shared" si="267"/>
        <v>614.66</v>
      </c>
      <c r="AG1824" s="962"/>
      <c r="AH1824" s="121"/>
      <c r="AK1824" s="963"/>
      <c r="DF1824" s="1650" t="str">
        <f t="shared" si="269"/>
        <v>ASHP-SEER20_ER2_SF</v>
      </c>
      <c r="DG1824" s="1094"/>
      <c r="DH1824" s="1393" t="str">
        <f t="shared" si="273"/>
        <v>Cooling Res ER2 12 Year EUL</v>
      </c>
      <c r="DI1824" s="1091">
        <f>(INDEX('Avoided Cost Benefits'!$B$4:$B$866,MATCH(DH1824,'Avoided Cost Benefits'!$A$4:$A$866,0)))*F1824</f>
        <v>795.32136035198289</v>
      </c>
      <c r="DJ1824" s="1176">
        <f>K1824/(1.0686^(2025-2025))</f>
        <v>0</v>
      </c>
      <c r="DM1824" s="252"/>
    </row>
    <row r="1825" spans="1:117">
      <c r="A1825" s="453"/>
      <c r="B1825" s="1454">
        <f t="shared" si="265"/>
        <v>354550</v>
      </c>
      <c r="C1825" s="682" t="s">
        <v>2432</v>
      </c>
      <c r="D1825" s="3470" t="s">
        <v>1043</v>
      </c>
      <c r="E1825" s="1370" t="s">
        <v>2434</v>
      </c>
      <c r="F1825" s="227">
        <f>ROUND(((K2072*K2265*(1/K2458-1/K2651)*K3616)/1000)*$K$3651,2)</f>
        <v>1707.96</v>
      </c>
      <c r="G1825" s="570" t="s">
        <v>2173</v>
      </c>
      <c r="H1825" s="69">
        <f>VLOOKUP(G1825,'CP FACTORS'!$A$3:$B$38, 2, FALSE)</f>
        <v>0</v>
      </c>
      <c r="I1825" s="1167">
        <f t="shared" si="272"/>
        <v>0</v>
      </c>
      <c r="J1825" s="59">
        <f t="shared" si="268"/>
        <v>12</v>
      </c>
      <c r="K1825" s="163">
        <f t="shared" si="266"/>
        <v>0</v>
      </c>
      <c r="L1825" s="255"/>
      <c r="M1825" s="560"/>
      <c r="N1825" s="572"/>
      <c r="O1825" s="417"/>
      <c r="R1825" s="532"/>
      <c r="S1825" s="52"/>
      <c r="T1825" s="52"/>
      <c r="U1825" s="574"/>
      <c r="V1825" s="1442" t="s">
        <v>45</v>
      </c>
      <c r="W1825" s="962">
        <v>1327.6421052631592</v>
      </c>
      <c r="X1825" s="251">
        <v>988.62747111681745</v>
      </c>
      <c r="Y1825" s="225">
        <v>988.63</v>
      </c>
      <c r="Z1825" s="225">
        <v>988.63</v>
      </c>
      <c r="AA1825" s="225">
        <v>988.63</v>
      </c>
      <c r="AB1825" s="1027">
        <v>988.63</v>
      </c>
      <c r="AC1825" s="227">
        <v>2397.77</v>
      </c>
      <c r="AD1825" s="227">
        <v>1163.03</v>
      </c>
      <c r="AE1825" s="227">
        <v>917.04</v>
      </c>
      <c r="AF1825" s="271">
        <f t="shared" si="267"/>
        <v>1707.96</v>
      </c>
      <c r="AG1825" s="962"/>
      <c r="AH1825" s="121"/>
      <c r="AK1825" s="963"/>
      <c r="DF1825" s="1650" t="str">
        <f t="shared" si="269"/>
        <v>ASHP-SEER20_ER2_SF</v>
      </c>
      <c r="DG1825" s="1094"/>
      <c r="DH1825" s="1370" t="str">
        <f t="shared" si="273"/>
        <v>Heating Res ER2 12 Year EUL</v>
      </c>
      <c r="DI1825" s="1091">
        <f>(INDEX('Avoided Cost Benefits'!$B$4:$B$866,MATCH(DH1825,'Avoided Cost Benefits'!$A$4:$A$866,0)))*F1825</f>
        <v>577.11289531591137</v>
      </c>
      <c r="DJ1825" s="1176">
        <f>K1825/(1.0686^(2025-2025))</f>
        <v>0</v>
      </c>
      <c r="DM1825" s="252"/>
    </row>
    <row r="1826" spans="1:117">
      <c r="A1826" s="453"/>
      <c r="B1826" s="1454">
        <f t="shared" si="265"/>
        <v>354600</v>
      </c>
      <c r="C1826" s="682" t="s">
        <v>2435</v>
      </c>
      <c r="D1826" s="3470" t="s">
        <v>1043</v>
      </c>
      <c r="E1826" s="215" t="s">
        <v>2436</v>
      </c>
      <c r="F1826" s="227">
        <f>ROUND(((K2845*K3038*(1/K3231-1/K3424)*K3617)/1000)*$K$3651,2)</f>
        <v>667.97</v>
      </c>
      <c r="G1826" s="570" t="s">
        <v>2077</v>
      </c>
      <c r="H1826" s="69">
        <f>VLOOKUP(G1826,'CP FACTORS'!$A$3:$B$38, 2, FALSE)</f>
        <v>9.4741810000000004E-4</v>
      </c>
      <c r="I1826" s="1477">
        <f t="shared" si="272"/>
        <v>0.63284700000000005</v>
      </c>
      <c r="J1826" s="59">
        <f t="shared" si="268"/>
        <v>18</v>
      </c>
      <c r="K1826" s="166">
        <f t="shared" si="266"/>
        <v>1081</v>
      </c>
      <c r="L1826" s="255">
        <f>L2073</f>
        <v>2.8870833333333334</v>
      </c>
      <c r="M1826" s="560"/>
      <c r="N1826" s="572"/>
      <c r="O1826" s="417"/>
      <c r="R1826" s="532"/>
      <c r="S1826" s="52"/>
      <c r="T1826" s="52"/>
      <c r="U1826" s="574"/>
      <c r="V1826" s="1442" t="s">
        <v>45</v>
      </c>
      <c r="W1826" s="962">
        <v>737.40857142857124</v>
      </c>
      <c r="X1826" s="254">
        <v>737.40857142857124</v>
      </c>
      <c r="Y1826" s="225">
        <v>737.41</v>
      </c>
      <c r="Z1826" s="225">
        <v>737.41</v>
      </c>
      <c r="AA1826" s="225">
        <v>737.41</v>
      </c>
      <c r="AB1826" s="1027">
        <v>737.41</v>
      </c>
      <c r="AC1826" s="227">
        <v>675.57</v>
      </c>
      <c r="AD1826" s="227">
        <v>717.64</v>
      </c>
      <c r="AE1826" s="227">
        <v>559.79999999999995</v>
      </c>
      <c r="AF1826" s="271">
        <f t="shared" si="267"/>
        <v>667.97</v>
      </c>
      <c r="AG1826" s="962"/>
      <c r="AH1826" s="121"/>
      <c r="AK1826" s="963"/>
      <c r="DF1826" s="1650" t="str">
        <f t="shared" si="269"/>
        <v>ASHP-SEER20_ROF_SF</v>
      </c>
      <c r="DG1826" s="1090">
        <f>(DI1826+DI1827)/(DJ1826+DJ1827)</f>
        <v>2.4962269624491458</v>
      </c>
      <c r="DH1826" s="215" t="str">
        <f t="shared" si="273"/>
        <v>Cooling Res 18 Year EUL</v>
      </c>
      <c r="DI1826" s="1091">
        <f>(INDEX('Avoided Cost Benefits'!$B$4:$B$866,MATCH(DH1826,'Avoided Cost Benefits'!$A$4:$A$866,0)))*F1826</f>
        <v>1529.4969318930594</v>
      </c>
      <c r="DJ1826" s="1176">
        <f>IFERROR(K1826/(1.0686^(2025-2025)),10000000)</f>
        <v>1081</v>
      </c>
      <c r="DM1826" s="252"/>
    </row>
    <row r="1827" spans="1:117">
      <c r="A1827" s="453"/>
      <c r="B1827" s="1454">
        <f t="shared" si="265"/>
        <v>354600</v>
      </c>
      <c r="C1827" s="682" t="s">
        <v>2435</v>
      </c>
      <c r="D1827" s="3470" t="s">
        <v>1043</v>
      </c>
      <c r="E1827" s="253" t="s">
        <v>2436</v>
      </c>
      <c r="F1827" s="227">
        <f>ROUND(((K2073*K2266*(1/K2459-1/K2652)*K3617)/1000)*$K$3651,2)</f>
        <v>1928.68</v>
      </c>
      <c r="G1827" s="570" t="s">
        <v>2078</v>
      </c>
      <c r="H1827" s="69">
        <f>VLOOKUP(G1827,'CP FACTORS'!$A$3:$B$38, 2, FALSE)</f>
        <v>0</v>
      </c>
      <c r="I1827" s="1167">
        <f t="shared" si="272"/>
        <v>0</v>
      </c>
      <c r="J1827" s="59">
        <f t="shared" si="268"/>
        <v>18</v>
      </c>
      <c r="K1827" s="163">
        <f t="shared" si="266"/>
        <v>0</v>
      </c>
      <c r="L1827" s="255"/>
      <c r="M1827" s="560"/>
      <c r="N1827" s="572"/>
      <c r="O1827" s="417"/>
      <c r="R1827" s="532"/>
      <c r="S1827" s="52"/>
      <c r="T1827" s="52"/>
      <c r="U1827" s="574"/>
      <c r="V1827" s="1442" t="s">
        <v>45</v>
      </c>
      <c r="W1827" s="962">
        <v>1584.0000000000018</v>
      </c>
      <c r="X1827" s="251">
        <v>1179.5241413638641</v>
      </c>
      <c r="Y1827" s="225">
        <v>1179.52</v>
      </c>
      <c r="Z1827" s="225">
        <v>1179.52</v>
      </c>
      <c r="AA1827" s="225">
        <v>1179.52</v>
      </c>
      <c r="AB1827" s="1027">
        <v>1179.52</v>
      </c>
      <c r="AC1827" s="227">
        <v>1611.73</v>
      </c>
      <c r="AD1827" s="227">
        <v>1338.76</v>
      </c>
      <c r="AE1827" s="227">
        <v>1044.78</v>
      </c>
      <c r="AF1827" s="271">
        <f t="shared" si="267"/>
        <v>1928.68</v>
      </c>
      <c r="AG1827" s="962"/>
      <c r="AH1827" s="121"/>
      <c r="AK1827" s="963"/>
      <c r="DF1827" s="1650" t="str">
        <f t="shared" si="269"/>
        <v>ASHP-SEER20_ROF_SF</v>
      </c>
      <c r="DG1827" s="1092"/>
      <c r="DH1827" s="253" t="str">
        <f t="shared" si="273"/>
        <v>Heating Res 18 Year EUL</v>
      </c>
      <c r="DI1827" s="1091">
        <f>(INDEX('Avoided Cost Benefits'!$B$4:$B$866,MATCH(DH1827,'Avoided Cost Benefits'!$A$4:$A$866,0)))*F1827</f>
        <v>1168.9244145144671</v>
      </c>
      <c r="DJ1827" s="1176">
        <f>K1827/(1.0686^(2025-2025))</f>
        <v>0</v>
      </c>
      <c r="DM1827" s="252"/>
    </row>
    <row r="1828" spans="1:117">
      <c r="A1828" s="453"/>
      <c r="B1828" s="1454">
        <f t="shared" ref="B1828:B1891" si="275">VALUE(LEFT(C1828,6))</f>
        <v>354650</v>
      </c>
      <c r="C1828" s="682" t="s">
        <v>2437</v>
      </c>
      <c r="D1828" s="3470" t="s">
        <v>959</v>
      </c>
      <c r="E1828" s="1369" t="s">
        <v>2438</v>
      </c>
      <c r="F1828" s="225">
        <f>ROUND(((K2846*K3039*(1/K3232-1/K3425)*K3618)/1000)*$K$3651,2)</f>
        <v>1471.88</v>
      </c>
      <c r="G1828" s="570" t="s">
        <v>2077</v>
      </c>
      <c r="H1828" s="69">
        <f>VLOOKUP(G1828,'CP FACTORS'!$A$3:$B$38, 2, FALSE)</f>
        <v>9.4741810000000004E-4</v>
      </c>
      <c r="I1828" s="1167">
        <f t="shared" si="272"/>
        <v>1.3944859999999999</v>
      </c>
      <c r="J1828" s="59">
        <f t="shared" si="268"/>
        <v>6</v>
      </c>
      <c r="K1828" s="166">
        <f t="shared" ref="K1828:K1893" si="276">IF(C1828&lt;&gt;C1827,VLOOKUP(C1828,$J$4038:$K$4469,2,FALSE),0)</f>
        <v>3847.7316315552043</v>
      </c>
      <c r="L1828" s="255">
        <f>L2074</f>
        <v>3.1</v>
      </c>
      <c r="M1828" s="560"/>
      <c r="N1828" s="572"/>
      <c r="O1828" s="417"/>
      <c r="R1828" s="532"/>
      <c r="S1828" s="52"/>
      <c r="T1828" s="52"/>
      <c r="U1828" s="574"/>
      <c r="V1828" s="1442" t="s">
        <v>45</v>
      </c>
      <c r="W1828" s="962">
        <v>2039.4407647058827</v>
      </c>
      <c r="X1828" s="251">
        <v>1471.8783997599039</v>
      </c>
      <c r="Y1828" s="225">
        <v>1471.88</v>
      </c>
      <c r="Z1828" s="225">
        <v>1471.88</v>
      </c>
      <c r="AA1828" s="225">
        <v>1471.88</v>
      </c>
      <c r="AB1828" s="1027">
        <v>1471.88</v>
      </c>
      <c r="AC1828" s="960">
        <v>1471.88</v>
      </c>
      <c r="AD1828" s="225">
        <v>1471.88</v>
      </c>
      <c r="AE1828" s="225">
        <v>1471.88</v>
      </c>
      <c r="AF1828" s="271">
        <f t="shared" ref="AF1828:AF1893" si="277">IF(F1828&lt;&gt;"",F1828,"")</f>
        <v>1471.88</v>
      </c>
      <c r="AG1828" s="962"/>
      <c r="AH1828" s="121"/>
      <c r="AK1828" s="963"/>
      <c r="DF1828" s="1650" t="str">
        <f t="shared" si="269"/>
        <v>ASHP-SEER20-Replace_CAC_ElectricHeat_ER1_MF</v>
      </c>
      <c r="DG1828" s="1090">
        <f>(DI1828+DI1829+DI1830+DI1831)/(DJ1828+DJ1829+DJ1830+DJ1831)</f>
        <v>1.6197248784742688</v>
      </c>
      <c r="DH1828" s="1369" t="str">
        <f t="shared" si="273"/>
        <v>Cooling Res 6 Year EUL</v>
      </c>
      <c r="DI1828" s="1091">
        <f>(INDEX('Avoided Cost Benefits'!$B$4:$B$866,MATCH(DH1828,'Avoided Cost Benefits'!$A$4:$A$866,0)))*F1828</f>
        <v>1465.7688974893831</v>
      </c>
      <c r="DJ1828" s="1176">
        <f>IFERROR(K1828/(1.0686^(2025-2025)),10000000)</f>
        <v>3847.7316315552043</v>
      </c>
      <c r="DM1828" s="252"/>
    </row>
    <row r="1829" spans="1:117">
      <c r="A1829" s="453"/>
      <c r="B1829" s="1454">
        <f t="shared" si="275"/>
        <v>354650</v>
      </c>
      <c r="C1829" s="682" t="s">
        <v>2437</v>
      </c>
      <c r="D1829" s="3470" t="s">
        <v>959</v>
      </c>
      <c r="E1829" s="1393" t="s">
        <v>2438</v>
      </c>
      <c r="F1829" s="225">
        <f>ROUND(((K2074*K2267*(1/K2460-1/K2653)*K3618)/1000)*$K$3651,2)</f>
        <v>6759.78</v>
      </c>
      <c r="G1829" s="570" t="s">
        <v>2078</v>
      </c>
      <c r="H1829" s="69">
        <f>VLOOKUP(G1829,'CP FACTORS'!$A$3:$B$38, 2, FALSE)</f>
        <v>0</v>
      </c>
      <c r="I1829" s="1167">
        <f t="shared" si="272"/>
        <v>0</v>
      </c>
      <c r="J1829" s="59">
        <f t="shared" ref="J1829:J1869" si="278">K3973</f>
        <v>6</v>
      </c>
      <c r="K1829" s="163">
        <f t="shared" si="276"/>
        <v>0</v>
      </c>
      <c r="L1829" s="255"/>
      <c r="M1829" s="560"/>
      <c r="N1829" s="572"/>
      <c r="O1829" s="417"/>
      <c r="R1829" s="532"/>
      <c r="S1829" s="52"/>
      <c r="T1829" s="52"/>
      <c r="U1829" s="574"/>
      <c r="V1829" s="1442" t="s">
        <v>45</v>
      </c>
      <c r="W1829" s="962">
        <v>9077.8044487427451</v>
      </c>
      <c r="X1829" s="251">
        <v>6759.7787234042544</v>
      </c>
      <c r="Y1829" s="225">
        <v>6759.78</v>
      </c>
      <c r="Z1829" s="225">
        <v>6759.78</v>
      </c>
      <c r="AA1829" s="225">
        <v>6759.78</v>
      </c>
      <c r="AB1829" s="1027">
        <v>6759.78</v>
      </c>
      <c r="AC1829" s="960">
        <v>6759.78</v>
      </c>
      <c r="AD1829" s="225">
        <v>6759.78</v>
      </c>
      <c r="AE1829" s="225">
        <v>6759.78</v>
      </c>
      <c r="AF1829" s="271">
        <f t="shared" si="277"/>
        <v>6759.78</v>
      </c>
      <c r="AG1829" s="962"/>
      <c r="AH1829" s="121"/>
      <c r="AK1829" s="963"/>
      <c r="DF1829" s="1650" t="str">
        <f t="shared" ref="DF1829:DF1892" si="279">E1829</f>
        <v>ASHP-SEER20-Replace_CAC_ElectricHeat_ER1_MF</v>
      </c>
      <c r="DG1829" s="1094"/>
      <c r="DH1829" s="1393" t="str">
        <f t="shared" si="273"/>
        <v>Heating Res 6 Year EUL</v>
      </c>
      <c r="DI1829" s="1091">
        <f>(INDEX('Avoided Cost Benefits'!$B$4:$B$866,MATCH(DH1829,'Avoided Cost Benefits'!$A$4:$A$866,0)))*F1829</f>
        <v>1812.8297605752794</v>
      </c>
      <c r="DJ1829" s="1176">
        <f>K1829/(1.0686^(2025-2025))</f>
        <v>0</v>
      </c>
      <c r="DM1829" s="252"/>
    </row>
    <row r="1830" spans="1:117">
      <c r="A1830" s="453"/>
      <c r="B1830" s="1454">
        <f t="shared" si="275"/>
        <v>354650</v>
      </c>
      <c r="C1830" s="682" t="s">
        <v>2437</v>
      </c>
      <c r="D1830" s="3470" t="s">
        <v>959</v>
      </c>
      <c r="E1830" s="1393" t="s">
        <v>2439</v>
      </c>
      <c r="F1830" s="227">
        <f>ROUND(((K2847*K3040*(1/K3233-1/K3426)*K3619)/1000)*$K$3651,2)</f>
        <v>517.47</v>
      </c>
      <c r="G1830" s="570" t="s">
        <v>2138</v>
      </c>
      <c r="H1830" s="69">
        <f>VLOOKUP(G1830,'CP FACTORS'!$A$3:$B$38, 2, FALSE)</f>
        <v>9.4741810000000004E-4</v>
      </c>
      <c r="I1830" s="1477">
        <f t="shared" si="272"/>
        <v>0.49025999999999997</v>
      </c>
      <c r="J1830" s="59">
        <f t="shared" si="278"/>
        <v>12</v>
      </c>
      <c r="K1830" s="163">
        <f t="shared" si="276"/>
        <v>0</v>
      </c>
      <c r="L1830" s="255"/>
      <c r="M1830" s="560"/>
      <c r="N1830" s="572"/>
      <c r="O1830" s="417"/>
      <c r="R1830" s="532"/>
      <c r="S1830" s="52"/>
      <c r="T1830" s="52"/>
      <c r="U1830" s="574"/>
      <c r="V1830" s="1442" t="s">
        <v>45</v>
      </c>
      <c r="W1830" s="962">
        <v>565.71900000000005</v>
      </c>
      <c r="X1830" s="254">
        <v>565.71900000000005</v>
      </c>
      <c r="Y1830" s="225">
        <v>565.72</v>
      </c>
      <c r="Z1830" s="225">
        <v>565.72</v>
      </c>
      <c r="AA1830" s="225">
        <v>565.72</v>
      </c>
      <c r="AB1830" s="1027">
        <v>565.72</v>
      </c>
      <c r="AC1830" s="960">
        <v>565.72</v>
      </c>
      <c r="AD1830" s="225">
        <v>565.72</v>
      </c>
      <c r="AE1830" s="227">
        <v>450.27</v>
      </c>
      <c r="AF1830" s="271">
        <f t="shared" si="277"/>
        <v>517.47</v>
      </c>
      <c r="AG1830" s="962"/>
      <c r="AH1830" s="121"/>
      <c r="AK1830" s="963"/>
      <c r="DF1830" s="1650" t="str">
        <f t="shared" si="279"/>
        <v>ASHP-SEER20-Replace_CAC_ElectricHeat_ER2_MF</v>
      </c>
      <c r="DG1830" s="1094"/>
      <c r="DH1830" s="1393" t="str">
        <f t="shared" si="273"/>
        <v>Cooling Res ER2 12 Year EUL</v>
      </c>
      <c r="DI1830" s="1091">
        <f>(INDEX('Avoided Cost Benefits'!$B$4:$B$866,MATCH(DH1830,'Avoided Cost Benefits'!$A$4:$A$866,0)))*F1830</f>
        <v>669.56519757482283</v>
      </c>
      <c r="DJ1830" s="1176">
        <f>K1830/(1.0686^(2025-2025))</f>
        <v>0</v>
      </c>
      <c r="DM1830" s="252"/>
    </row>
    <row r="1831" spans="1:117">
      <c r="A1831" s="453"/>
      <c r="B1831" s="1454">
        <f t="shared" si="275"/>
        <v>354650</v>
      </c>
      <c r="C1831" s="682" t="s">
        <v>2437</v>
      </c>
      <c r="D1831" s="3470" t="s">
        <v>959</v>
      </c>
      <c r="E1831" s="1370" t="s">
        <v>2439</v>
      </c>
      <c r="F1831" s="225">
        <f>ROUND(((K2075*K2268*(1/K2461-1/K2654)*K3619)/1000)*$K$3651,2)</f>
        <v>6759.78</v>
      </c>
      <c r="G1831" s="570" t="s">
        <v>2173</v>
      </c>
      <c r="H1831" s="69">
        <f>VLOOKUP(G1831,'CP FACTORS'!$A$3:$B$38, 2, FALSE)</f>
        <v>0</v>
      </c>
      <c r="I1831" s="1167">
        <f t="shared" si="272"/>
        <v>0</v>
      </c>
      <c r="J1831" s="59">
        <f t="shared" si="278"/>
        <v>12</v>
      </c>
      <c r="K1831" s="163">
        <f t="shared" si="276"/>
        <v>0</v>
      </c>
      <c r="L1831" s="255"/>
      <c r="M1831" s="560"/>
      <c r="N1831" s="572"/>
      <c r="O1831" s="417"/>
      <c r="R1831" s="532"/>
      <c r="S1831" s="52"/>
      <c r="T1831" s="52"/>
      <c r="U1831" s="574"/>
      <c r="V1831" s="1442" t="s">
        <v>45</v>
      </c>
      <c r="W1831" s="962">
        <v>9077.8044487427451</v>
      </c>
      <c r="X1831" s="251">
        <v>6759.7787234042544</v>
      </c>
      <c r="Y1831" s="225">
        <v>6759.78</v>
      </c>
      <c r="Z1831" s="225">
        <v>6759.78</v>
      </c>
      <c r="AA1831" s="225">
        <v>6759.78</v>
      </c>
      <c r="AB1831" s="1027">
        <v>6759.78</v>
      </c>
      <c r="AC1831" s="960">
        <v>6759.78</v>
      </c>
      <c r="AD1831" s="225">
        <v>6759.78</v>
      </c>
      <c r="AE1831" s="225">
        <v>6759.78</v>
      </c>
      <c r="AF1831" s="271">
        <f t="shared" si="277"/>
        <v>6759.78</v>
      </c>
      <c r="AG1831" s="962"/>
      <c r="AH1831" s="121"/>
      <c r="AK1831" s="963"/>
      <c r="DF1831" s="1650" t="str">
        <f t="shared" si="279"/>
        <v>ASHP-SEER20-Replace_CAC_ElectricHeat_ER2_MF</v>
      </c>
      <c r="DG1831" s="1094"/>
      <c r="DH1831" s="1370" t="str">
        <f t="shared" si="273"/>
        <v>Heating Res ER2 12 Year EUL</v>
      </c>
      <c r="DI1831" s="1091">
        <f>(INDEX('Avoided Cost Benefits'!$B$4:$B$866,MATCH(DH1831,'Avoided Cost Benefits'!$A$4:$A$866,0)))*F1831</f>
        <v>2284.1027936828682</v>
      </c>
      <c r="DJ1831" s="1176">
        <f>K1831/(1.0686^(2025-2025))</f>
        <v>0</v>
      </c>
      <c r="DM1831" s="252"/>
    </row>
    <row r="1832" spans="1:117">
      <c r="A1832" s="453"/>
      <c r="B1832" s="1454">
        <f t="shared" si="275"/>
        <v>354651</v>
      </c>
      <c r="C1832" s="2554" t="s">
        <v>2440</v>
      </c>
      <c r="D1832" s="3383" t="s">
        <v>1118</v>
      </c>
      <c r="E1832" s="2521" t="s">
        <v>2441</v>
      </c>
      <c r="F1832" s="3373">
        <f>ROUND((($K$2848*$K$3041*(1/$K$3234-1/$K$3427)*$K$3620)/1000)*$K$3651,2)</f>
        <v>1070.46</v>
      </c>
      <c r="G1832" s="3384" t="str">
        <f>G1828</f>
        <v>Cooling Res</v>
      </c>
      <c r="H1832" s="2213">
        <f>VLOOKUP(G1832,'CP FACTORS'!$A$3:$B$38, 2, FALSE)</f>
        <v>9.4741810000000004E-4</v>
      </c>
      <c r="I1832" s="3405">
        <f t="shared" si="272"/>
        <v>1.014173</v>
      </c>
      <c r="J1832" s="2449">
        <f t="shared" si="278"/>
        <v>6</v>
      </c>
      <c r="K1832" s="2467">
        <f t="shared" si="276"/>
        <v>3847.7316315552043</v>
      </c>
      <c r="L1832" s="2649">
        <f>L2076</f>
        <v>3.1</v>
      </c>
      <c r="M1832" s="3386"/>
      <c r="N1832" s="3387"/>
      <c r="O1832" s="2702"/>
      <c r="P1832" s="635"/>
      <c r="Q1832" s="635"/>
      <c r="R1832" s="2966"/>
      <c r="S1832" s="635"/>
      <c r="T1832" s="635"/>
      <c r="U1832" s="3388"/>
      <c r="V1832" s="2962" t="s">
        <v>45</v>
      </c>
      <c r="W1832" s="3389"/>
      <c r="X1832" s="3390"/>
      <c r="Y1832" s="3369">
        <v>1070.46</v>
      </c>
      <c r="Z1832" s="3373">
        <v>1070.46</v>
      </c>
      <c r="AA1832" s="3373">
        <v>1070.46</v>
      </c>
      <c r="AB1832" s="3400">
        <v>1070.46</v>
      </c>
      <c r="AC1832" s="3401">
        <v>1070.46</v>
      </c>
      <c r="AD1832" s="3373">
        <v>1070.46</v>
      </c>
      <c r="AE1832" s="3373">
        <v>1070.46</v>
      </c>
      <c r="AF1832" s="2236">
        <f t="shared" si="277"/>
        <v>1070.46</v>
      </c>
      <c r="AG1832" s="3389"/>
      <c r="AH1832" s="2728"/>
      <c r="AI1832" s="2237"/>
      <c r="AJ1832" s="2237"/>
      <c r="AK1832" s="3392"/>
      <c r="AL1832" s="2237"/>
      <c r="AM1832" s="2237"/>
      <c r="AN1832" s="2237"/>
      <c r="AO1832" s="2237"/>
      <c r="AP1832" s="2237"/>
      <c r="AQ1832" s="2237"/>
      <c r="AR1832" s="2237"/>
      <c r="AS1832" s="2237"/>
      <c r="AT1832" s="2237"/>
      <c r="AU1832" s="2237"/>
      <c r="AV1832" s="2237"/>
      <c r="AW1832" s="2237"/>
      <c r="AX1832" s="2237"/>
      <c r="AY1832" s="2237"/>
      <c r="AZ1832" s="2237"/>
      <c r="BA1832" s="2237"/>
      <c r="BB1832" s="2237"/>
      <c r="BC1832" s="2237"/>
      <c r="BD1832" s="2237"/>
      <c r="BE1832" s="2237"/>
      <c r="BF1832" s="2237"/>
      <c r="BG1832" s="2237"/>
      <c r="BH1832" s="2237"/>
      <c r="BI1832" s="2237"/>
      <c r="BJ1832" s="2237"/>
      <c r="BK1832" s="2237"/>
      <c r="BL1832" s="2237"/>
      <c r="BM1832" s="2237"/>
      <c r="BN1832" s="2237"/>
      <c r="BO1832" s="2237"/>
      <c r="BP1832" s="2237"/>
      <c r="BQ1832" s="2237"/>
      <c r="BR1832" s="2237"/>
      <c r="BS1832" s="2237"/>
      <c r="BT1832" s="2237"/>
      <c r="BU1832" s="2237"/>
      <c r="BV1832" s="2237"/>
      <c r="BW1832" s="2237"/>
      <c r="BX1832" s="2237"/>
      <c r="BY1832" s="2237"/>
      <c r="BZ1832" s="2237"/>
      <c r="CA1832" s="2237"/>
      <c r="CB1832" s="2237"/>
      <c r="CC1832" s="2237"/>
      <c r="CD1832" s="2237"/>
      <c r="CE1832" s="2237"/>
      <c r="CF1832" s="2237"/>
      <c r="CG1832" s="2237"/>
      <c r="CH1832" s="2237"/>
      <c r="CI1832" s="2237"/>
      <c r="CJ1832" s="2237"/>
      <c r="CK1832" s="2237"/>
      <c r="CL1832" s="2237"/>
      <c r="CM1832" s="2237"/>
      <c r="CN1832" s="2237"/>
      <c r="CO1832" s="2237"/>
      <c r="CP1832" s="2237"/>
      <c r="CQ1832" s="2237"/>
      <c r="CR1832" s="2237"/>
      <c r="CS1832" s="2237"/>
      <c r="CT1832" s="2237"/>
      <c r="CU1832" s="2237"/>
      <c r="CV1832" s="2237"/>
      <c r="CW1832" s="2237"/>
      <c r="CX1832" s="2237"/>
      <c r="CY1832" s="2237"/>
      <c r="CZ1832" s="2237"/>
      <c r="DA1832" s="2237"/>
      <c r="DB1832" s="2237"/>
      <c r="DC1832" s="2237"/>
      <c r="DD1832" s="2237"/>
      <c r="DE1832" s="2237"/>
      <c r="DF1832" s="3393" t="str">
        <f t="shared" si="279"/>
        <v>ASHP-SEER20-Replace_CAC_ElectricHeat_ER1_MF_CompE</v>
      </c>
      <c r="DG1832" s="3259">
        <f>(DI1832+DI1833+DI1834+DI1835)/(DJ1832+DJ1833+DJ1834+DJ1835)</f>
        <v>0.76659478065330788</v>
      </c>
      <c r="DH1832" s="2521" t="str">
        <f t="shared" si="273"/>
        <v>Cooling Res 6 Year EUL</v>
      </c>
      <c r="DI1832" s="3260">
        <f>(INDEX('Avoided Cost Benefits'!$B$4:$B$866,MATCH(DH1832,'Avoided Cost Benefits'!$A$4:$A$866,0)))*F1832</f>
        <v>1066.0155542615464</v>
      </c>
      <c r="DJ1832" s="2507">
        <f>IFERROR(K1832/(1.0686^(2025-2025)),10000000)</f>
        <v>3847.7316315552043</v>
      </c>
      <c r="DM1832" s="252"/>
    </row>
    <row r="1833" spans="1:117">
      <c r="A1833" s="453"/>
      <c r="B1833" s="1454">
        <f t="shared" si="275"/>
        <v>354651</v>
      </c>
      <c r="C1833" s="2554" t="str">
        <f>C1832</f>
        <v>354651_2024_12_</v>
      </c>
      <c r="D1833" s="3383" t="s">
        <v>1118</v>
      </c>
      <c r="E1833" s="2882" t="s">
        <v>2441</v>
      </c>
      <c r="F1833" s="3373">
        <f>ROUND((($K$2076*$K$2269*(1/$K$2462-1/$K$2655)*$K$3620)/1000)*$K$3651,2)</f>
        <v>2304.4699999999998</v>
      </c>
      <c r="G1833" s="3384" t="str">
        <f>G1829</f>
        <v>Heating Res</v>
      </c>
      <c r="H1833" s="2213">
        <f>VLOOKUP(G1833,'CP FACTORS'!$A$3:$B$38, 2, FALSE)</f>
        <v>0</v>
      </c>
      <c r="I1833" s="3405">
        <f t="shared" si="272"/>
        <v>0</v>
      </c>
      <c r="J1833" s="2449">
        <f t="shared" si="278"/>
        <v>6</v>
      </c>
      <c r="K1833" s="2894">
        <f t="shared" si="276"/>
        <v>0</v>
      </c>
      <c r="L1833" s="2649"/>
      <c r="M1833" s="3386"/>
      <c r="N1833" s="3387"/>
      <c r="O1833" s="2702"/>
      <c r="P1833" s="635"/>
      <c r="Q1833" s="635"/>
      <c r="R1833" s="2966"/>
      <c r="S1833" s="635"/>
      <c r="T1833" s="635"/>
      <c r="U1833" s="3388"/>
      <c r="V1833" s="2962" t="s">
        <v>45</v>
      </c>
      <c r="W1833" s="3389"/>
      <c r="X1833" s="3390"/>
      <c r="Y1833" s="3369">
        <v>2304.4699999999998</v>
      </c>
      <c r="Z1833" s="3373">
        <v>2304.4699999999998</v>
      </c>
      <c r="AA1833" s="3373">
        <v>2304.4699999999998</v>
      </c>
      <c r="AB1833" s="3400">
        <v>2304.4699999999998</v>
      </c>
      <c r="AC1833" s="3401">
        <v>2304.4699999999998</v>
      </c>
      <c r="AD1833" s="3373">
        <v>2304.4699999999998</v>
      </c>
      <c r="AE1833" s="3373">
        <v>2304.4699999999998</v>
      </c>
      <c r="AF1833" s="2236">
        <f t="shared" si="277"/>
        <v>2304.4699999999998</v>
      </c>
      <c r="AG1833" s="3389"/>
      <c r="AH1833" s="2728"/>
      <c r="AI1833" s="2237"/>
      <c r="AJ1833" s="2237"/>
      <c r="AK1833" s="3392"/>
      <c r="AL1833" s="2237"/>
      <c r="AM1833" s="2237"/>
      <c r="AN1833" s="2237"/>
      <c r="AO1833" s="2237"/>
      <c r="AP1833" s="2237"/>
      <c r="AQ1833" s="2237"/>
      <c r="AR1833" s="2237"/>
      <c r="AS1833" s="2237"/>
      <c r="AT1833" s="2237"/>
      <c r="AU1833" s="2237"/>
      <c r="AV1833" s="2237"/>
      <c r="AW1833" s="2237"/>
      <c r="AX1833" s="2237"/>
      <c r="AY1833" s="2237"/>
      <c r="AZ1833" s="2237"/>
      <c r="BA1833" s="2237"/>
      <c r="BB1833" s="2237"/>
      <c r="BC1833" s="2237"/>
      <c r="BD1833" s="2237"/>
      <c r="BE1833" s="2237"/>
      <c r="BF1833" s="2237"/>
      <c r="BG1833" s="2237"/>
      <c r="BH1833" s="2237"/>
      <c r="BI1833" s="2237"/>
      <c r="BJ1833" s="2237"/>
      <c r="BK1833" s="2237"/>
      <c r="BL1833" s="2237"/>
      <c r="BM1833" s="2237"/>
      <c r="BN1833" s="2237"/>
      <c r="BO1833" s="2237"/>
      <c r="BP1833" s="2237"/>
      <c r="BQ1833" s="2237"/>
      <c r="BR1833" s="2237"/>
      <c r="BS1833" s="2237"/>
      <c r="BT1833" s="2237"/>
      <c r="BU1833" s="2237"/>
      <c r="BV1833" s="2237"/>
      <c r="BW1833" s="2237"/>
      <c r="BX1833" s="2237"/>
      <c r="BY1833" s="2237"/>
      <c r="BZ1833" s="2237"/>
      <c r="CA1833" s="2237"/>
      <c r="CB1833" s="2237"/>
      <c r="CC1833" s="2237"/>
      <c r="CD1833" s="2237"/>
      <c r="CE1833" s="2237"/>
      <c r="CF1833" s="2237"/>
      <c r="CG1833" s="2237"/>
      <c r="CH1833" s="2237"/>
      <c r="CI1833" s="2237"/>
      <c r="CJ1833" s="2237"/>
      <c r="CK1833" s="2237"/>
      <c r="CL1833" s="2237"/>
      <c r="CM1833" s="2237"/>
      <c r="CN1833" s="2237"/>
      <c r="CO1833" s="2237"/>
      <c r="CP1833" s="2237"/>
      <c r="CQ1833" s="2237"/>
      <c r="CR1833" s="2237"/>
      <c r="CS1833" s="2237"/>
      <c r="CT1833" s="2237"/>
      <c r="CU1833" s="2237"/>
      <c r="CV1833" s="2237"/>
      <c r="CW1833" s="2237"/>
      <c r="CX1833" s="2237"/>
      <c r="CY1833" s="2237"/>
      <c r="CZ1833" s="2237"/>
      <c r="DA1833" s="2237"/>
      <c r="DB1833" s="2237"/>
      <c r="DC1833" s="2237"/>
      <c r="DD1833" s="2237"/>
      <c r="DE1833" s="2237"/>
      <c r="DF1833" s="3393" t="str">
        <f t="shared" si="279"/>
        <v>ASHP-SEER20-Replace_CAC_ElectricHeat_ER1_MF_CompE</v>
      </c>
      <c r="DG1833" s="3332"/>
      <c r="DH1833" s="2882" t="str">
        <f t="shared" si="273"/>
        <v>Heating Res 6 Year EUL</v>
      </c>
      <c r="DI1833" s="3260">
        <f>(INDEX('Avoided Cost Benefits'!$B$4:$B$866,MATCH(DH1833,'Avoided Cost Benefits'!$A$4:$A$866,0)))*F1833</f>
        <v>618.01002375120402</v>
      </c>
      <c r="DJ1833" s="2507">
        <f t="shared" ref="DJ1833:DJ1843" si="280">K1833/(1.0686^(2025-2025))</f>
        <v>0</v>
      </c>
      <c r="DM1833" s="252"/>
    </row>
    <row r="1834" spans="1:117">
      <c r="A1834" s="453"/>
      <c r="B1834" s="1454">
        <f t="shared" si="275"/>
        <v>354651</v>
      </c>
      <c r="C1834" s="2554" t="str">
        <f>C1833</f>
        <v>354651_2024_12_</v>
      </c>
      <c r="D1834" s="3383" t="s">
        <v>1118</v>
      </c>
      <c r="E1834" s="2882" t="s">
        <v>2442</v>
      </c>
      <c r="F1834" s="3369">
        <f>ROUND((($K$2849*$K$3042*(1/$K$3235-1/$K$3428)*$K$3621)/1000)*$K$3651,2)</f>
        <v>376.34</v>
      </c>
      <c r="G1834" s="3384" t="str">
        <f>G1830</f>
        <v>Cooling Res ER2</v>
      </c>
      <c r="H1834" s="2213">
        <f>VLOOKUP(G1834,'CP FACTORS'!$A$3:$B$38, 2, FALSE)</f>
        <v>9.4741810000000004E-4</v>
      </c>
      <c r="I1834" s="3404">
        <f t="shared" si="272"/>
        <v>0.35655100000000001</v>
      </c>
      <c r="J1834" s="2449">
        <f t="shared" si="278"/>
        <v>12</v>
      </c>
      <c r="K1834" s="2894">
        <f t="shared" si="276"/>
        <v>0</v>
      </c>
      <c r="L1834" s="2649"/>
      <c r="M1834" s="3386"/>
      <c r="N1834" s="3387"/>
      <c r="O1834" s="2702"/>
      <c r="P1834" s="635"/>
      <c r="Q1834" s="635"/>
      <c r="R1834" s="2966"/>
      <c r="S1834" s="635"/>
      <c r="T1834" s="635"/>
      <c r="U1834" s="3388"/>
      <c r="V1834" s="2962" t="s">
        <v>45</v>
      </c>
      <c r="W1834" s="3389"/>
      <c r="X1834" s="3390"/>
      <c r="Y1834" s="3369">
        <v>411.43</v>
      </c>
      <c r="Z1834" s="3373">
        <v>411.43</v>
      </c>
      <c r="AA1834" s="3373">
        <v>411.43</v>
      </c>
      <c r="AB1834" s="3400">
        <v>411.43</v>
      </c>
      <c r="AC1834" s="3401">
        <v>411.43</v>
      </c>
      <c r="AD1834" s="3373">
        <v>411.43</v>
      </c>
      <c r="AE1834" s="3369">
        <v>327.47000000000003</v>
      </c>
      <c r="AF1834" s="2236">
        <f t="shared" si="277"/>
        <v>376.34</v>
      </c>
      <c r="AG1834" s="3389"/>
      <c r="AH1834" s="2728"/>
      <c r="AI1834" s="2237"/>
      <c r="AJ1834" s="2237"/>
      <c r="AK1834" s="3392"/>
      <c r="AL1834" s="2237"/>
      <c r="AM1834" s="2237"/>
      <c r="AN1834" s="2237"/>
      <c r="AO1834" s="2237"/>
      <c r="AP1834" s="2237"/>
      <c r="AQ1834" s="2237"/>
      <c r="AR1834" s="2237"/>
      <c r="AS1834" s="2237"/>
      <c r="AT1834" s="2237"/>
      <c r="AU1834" s="2237"/>
      <c r="AV1834" s="2237"/>
      <c r="AW1834" s="2237"/>
      <c r="AX1834" s="2237"/>
      <c r="AY1834" s="2237"/>
      <c r="AZ1834" s="2237"/>
      <c r="BA1834" s="2237"/>
      <c r="BB1834" s="2237"/>
      <c r="BC1834" s="2237"/>
      <c r="BD1834" s="2237"/>
      <c r="BE1834" s="2237"/>
      <c r="BF1834" s="2237"/>
      <c r="BG1834" s="2237"/>
      <c r="BH1834" s="2237"/>
      <c r="BI1834" s="2237"/>
      <c r="BJ1834" s="2237"/>
      <c r="BK1834" s="2237"/>
      <c r="BL1834" s="2237"/>
      <c r="BM1834" s="2237"/>
      <c r="BN1834" s="2237"/>
      <c r="BO1834" s="2237"/>
      <c r="BP1834" s="2237"/>
      <c r="BQ1834" s="2237"/>
      <c r="BR1834" s="2237"/>
      <c r="BS1834" s="2237"/>
      <c r="BT1834" s="2237"/>
      <c r="BU1834" s="2237"/>
      <c r="BV1834" s="2237"/>
      <c r="BW1834" s="2237"/>
      <c r="BX1834" s="2237"/>
      <c r="BY1834" s="2237"/>
      <c r="BZ1834" s="2237"/>
      <c r="CA1834" s="2237"/>
      <c r="CB1834" s="2237"/>
      <c r="CC1834" s="2237"/>
      <c r="CD1834" s="2237"/>
      <c r="CE1834" s="2237"/>
      <c r="CF1834" s="2237"/>
      <c r="CG1834" s="2237"/>
      <c r="CH1834" s="2237"/>
      <c r="CI1834" s="2237"/>
      <c r="CJ1834" s="2237"/>
      <c r="CK1834" s="2237"/>
      <c r="CL1834" s="2237"/>
      <c r="CM1834" s="2237"/>
      <c r="CN1834" s="2237"/>
      <c r="CO1834" s="2237"/>
      <c r="CP1834" s="2237"/>
      <c r="CQ1834" s="2237"/>
      <c r="CR1834" s="2237"/>
      <c r="CS1834" s="2237"/>
      <c r="CT1834" s="2237"/>
      <c r="CU1834" s="2237"/>
      <c r="CV1834" s="2237"/>
      <c r="CW1834" s="2237"/>
      <c r="CX1834" s="2237"/>
      <c r="CY1834" s="2237"/>
      <c r="CZ1834" s="2237"/>
      <c r="DA1834" s="2237"/>
      <c r="DB1834" s="2237"/>
      <c r="DC1834" s="2237"/>
      <c r="DD1834" s="2237"/>
      <c r="DE1834" s="2237"/>
      <c r="DF1834" s="3393" t="str">
        <f t="shared" si="279"/>
        <v>ASHP-SEER20-Replace_CAC_ElectricHeat_ER2_MF_CompE</v>
      </c>
      <c r="DG1834" s="3332"/>
      <c r="DH1834" s="2882" t="str">
        <f t="shared" si="273"/>
        <v>Cooling Res ER2 12 Year EUL</v>
      </c>
      <c r="DI1834" s="3260">
        <f>(INDEX('Avoided Cost Benefits'!$B$4:$B$866,MATCH(DH1834,'Avoided Cost Benefits'!$A$4:$A$866,0)))*F1834</f>
        <v>486.95415474386692</v>
      </c>
      <c r="DJ1834" s="2507">
        <f t="shared" si="280"/>
        <v>0</v>
      </c>
      <c r="DM1834" s="252"/>
    </row>
    <row r="1835" spans="1:117">
      <c r="A1835" s="453"/>
      <c r="B1835" s="1454">
        <f t="shared" si="275"/>
        <v>354651</v>
      </c>
      <c r="C1835" s="2554" t="str">
        <f>C1834</f>
        <v>354651_2024_12_</v>
      </c>
      <c r="D1835" s="3383" t="s">
        <v>1118</v>
      </c>
      <c r="E1835" s="2522" t="s">
        <v>2442</v>
      </c>
      <c r="F1835" s="3373">
        <f>ROUND((($K$2077*$K$2270*(1/$K$2463-1/$K$2656)*$K$3621)/1000)*$K$3651,2)</f>
        <v>2304.4699999999998</v>
      </c>
      <c r="G1835" s="3384" t="str">
        <f>G1831</f>
        <v>Heating Res ER2</v>
      </c>
      <c r="H1835" s="2213">
        <f>VLOOKUP(G1835,'CP FACTORS'!$A$3:$B$38, 2, FALSE)</f>
        <v>0</v>
      </c>
      <c r="I1835" s="3405">
        <f t="shared" si="272"/>
        <v>0</v>
      </c>
      <c r="J1835" s="2449">
        <f t="shared" si="278"/>
        <v>12</v>
      </c>
      <c r="K1835" s="2894">
        <f t="shared" si="276"/>
        <v>0</v>
      </c>
      <c r="L1835" s="2649"/>
      <c r="M1835" s="3386"/>
      <c r="N1835" s="3387"/>
      <c r="O1835" s="2702"/>
      <c r="P1835" s="635"/>
      <c r="Q1835" s="635"/>
      <c r="R1835" s="2966"/>
      <c r="S1835" s="635"/>
      <c r="T1835" s="635"/>
      <c r="U1835" s="3388"/>
      <c r="V1835" s="2962" t="s">
        <v>45</v>
      </c>
      <c r="W1835" s="3389"/>
      <c r="X1835" s="3390"/>
      <c r="Y1835" s="3369">
        <v>2304.4699999999998</v>
      </c>
      <c r="Z1835" s="3373">
        <v>2304.4699999999998</v>
      </c>
      <c r="AA1835" s="3373">
        <v>2304.4699999999998</v>
      </c>
      <c r="AB1835" s="3400">
        <v>2304.4699999999998</v>
      </c>
      <c r="AC1835" s="3401">
        <v>2304.4699999999998</v>
      </c>
      <c r="AD1835" s="3373">
        <v>2304.4699999999998</v>
      </c>
      <c r="AE1835" s="3373">
        <v>2304.4699999999998</v>
      </c>
      <c r="AF1835" s="2236">
        <f t="shared" si="277"/>
        <v>2304.4699999999998</v>
      </c>
      <c r="AG1835" s="3389"/>
      <c r="AH1835" s="2728"/>
      <c r="AI1835" s="2237"/>
      <c r="AJ1835" s="2237"/>
      <c r="AK1835" s="3392"/>
      <c r="AL1835" s="2237"/>
      <c r="AM1835" s="2237"/>
      <c r="AN1835" s="2237"/>
      <c r="AO1835" s="2237"/>
      <c r="AP1835" s="2237"/>
      <c r="AQ1835" s="2237"/>
      <c r="AR1835" s="2237"/>
      <c r="AS1835" s="2237"/>
      <c r="AT1835" s="2237"/>
      <c r="AU1835" s="2237"/>
      <c r="AV1835" s="2237"/>
      <c r="AW1835" s="2237"/>
      <c r="AX1835" s="2237"/>
      <c r="AY1835" s="2237"/>
      <c r="AZ1835" s="2237"/>
      <c r="BA1835" s="2237"/>
      <c r="BB1835" s="2237"/>
      <c r="BC1835" s="2237"/>
      <c r="BD1835" s="2237"/>
      <c r="BE1835" s="2237"/>
      <c r="BF1835" s="2237"/>
      <c r="BG1835" s="2237"/>
      <c r="BH1835" s="2237"/>
      <c r="BI1835" s="2237"/>
      <c r="BJ1835" s="2237"/>
      <c r="BK1835" s="2237"/>
      <c r="BL1835" s="2237"/>
      <c r="BM1835" s="2237"/>
      <c r="BN1835" s="2237"/>
      <c r="BO1835" s="2237"/>
      <c r="BP1835" s="2237"/>
      <c r="BQ1835" s="2237"/>
      <c r="BR1835" s="2237"/>
      <c r="BS1835" s="2237"/>
      <c r="BT1835" s="2237"/>
      <c r="BU1835" s="2237"/>
      <c r="BV1835" s="2237"/>
      <c r="BW1835" s="2237"/>
      <c r="BX1835" s="2237"/>
      <c r="BY1835" s="2237"/>
      <c r="BZ1835" s="2237"/>
      <c r="CA1835" s="2237"/>
      <c r="CB1835" s="2237"/>
      <c r="CC1835" s="2237"/>
      <c r="CD1835" s="2237"/>
      <c r="CE1835" s="2237"/>
      <c r="CF1835" s="2237"/>
      <c r="CG1835" s="2237"/>
      <c r="CH1835" s="2237"/>
      <c r="CI1835" s="2237"/>
      <c r="CJ1835" s="2237"/>
      <c r="CK1835" s="2237"/>
      <c r="CL1835" s="2237"/>
      <c r="CM1835" s="2237"/>
      <c r="CN1835" s="2237"/>
      <c r="CO1835" s="2237"/>
      <c r="CP1835" s="2237"/>
      <c r="CQ1835" s="2237"/>
      <c r="CR1835" s="2237"/>
      <c r="CS1835" s="2237"/>
      <c r="CT1835" s="2237"/>
      <c r="CU1835" s="2237"/>
      <c r="CV1835" s="2237"/>
      <c r="CW1835" s="2237"/>
      <c r="CX1835" s="2237"/>
      <c r="CY1835" s="2237"/>
      <c r="CZ1835" s="2237"/>
      <c r="DA1835" s="2237"/>
      <c r="DB1835" s="2237"/>
      <c r="DC1835" s="2237"/>
      <c r="DD1835" s="2237"/>
      <c r="DE1835" s="2237"/>
      <c r="DF1835" s="3393" t="str">
        <f t="shared" si="279"/>
        <v>ASHP-SEER20-Replace_CAC_ElectricHeat_ER2_MF_CompE</v>
      </c>
      <c r="DG1835" s="3332"/>
      <c r="DH1835" s="2522" t="str">
        <f t="shared" si="273"/>
        <v>Heating Res ER2 12 Year EUL</v>
      </c>
      <c r="DI1835" s="3260">
        <f>(INDEX('Avoided Cost Benefits'!$B$4:$B$866,MATCH(DH1835,'Avoided Cost Benefits'!$A$4:$A$866,0)))*F1835</f>
        <v>778.67125334823891</v>
      </c>
      <c r="DJ1835" s="2507">
        <f t="shared" si="280"/>
        <v>0</v>
      </c>
      <c r="DM1835" s="252"/>
    </row>
    <row r="1836" spans="1:117">
      <c r="A1836" s="453"/>
      <c r="B1836" s="1454">
        <f t="shared" si="275"/>
        <v>354660</v>
      </c>
      <c r="C1836" s="2554" t="s">
        <v>2443</v>
      </c>
      <c r="D1836" s="3383" t="s">
        <v>1122</v>
      </c>
      <c r="E1836" s="2882" t="s">
        <v>2444</v>
      </c>
      <c r="F1836" s="3373">
        <f>ROUND(((K2850*K3043*(1/K3236-1/K3429)*K3622)/1000)*$K$3651,2)</f>
        <v>1471.88</v>
      </c>
      <c r="G1836" s="3384" t="s">
        <v>2077</v>
      </c>
      <c r="H1836" s="2213">
        <f>VLOOKUP(G1836,'CP FACTORS'!$A$3:$B$38, 2, FALSE)</f>
        <v>9.4741810000000004E-4</v>
      </c>
      <c r="I1836" s="3405">
        <f t="shared" si="272"/>
        <v>1.3944859999999999</v>
      </c>
      <c r="J1836" s="2449">
        <f t="shared" si="278"/>
        <v>6</v>
      </c>
      <c r="K1836" s="2467">
        <f t="shared" si="276"/>
        <v>493.55402289615103</v>
      </c>
      <c r="L1836" s="2649">
        <f>L2078</f>
        <v>3.1</v>
      </c>
      <c r="M1836" s="3386"/>
      <c r="N1836" s="3387"/>
      <c r="O1836" s="2702"/>
      <c r="P1836" s="635"/>
      <c r="Q1836" s="635"/>
      <c r="R1836" s="2966"/>
      <c r="S1836" s="635"/>
      <c r="T1836" s="635"/>
      <c r="U1836" s="3388"/>
      <c r="V1836" s="2962" t="s">
        <v>45</v>
      </c>
      <c r="W1836" s="3389"/>
      <c r="X1836" s="3390"/>
      <c r="Y1836" s="3369"/>
      <c r="Z1836" s="3373"/>
      <c r="AA1836" s="3373"/>
      <c r="AB1836" s="3400"/>
      <c r="AC1836" s="3369">
        <v>1471.88</v>
      </c>
      <c r="AD1836" s="3373">
        <v>1471.88</v>
      </c>
      <c r="AE1836" s="3373">
        <v>1471.88</v>
      </c>
      <c r="AF1836" s="2236">
        <f t="shared" si="277"/>
        <v>1471.88</v>
      </c>
      <c r="AG1836" s="3389"/>
      <c r="AH1836" s="2728"/>
      <c r="AI1836" s="2237"/>
      <c r="AJ1836" s="2237"/>
      <c r="AK1836" s="3392"/>
      <c r="AL1836" s="2237"/>
      <c r="AM1836" s="2237"/>
      <c r="AN1836" s="2237"/>
      <c r="AO1836" s="2237"/>
      <c r="AP1836" s="2237"/>
      <c r="AQ1836" s="2237"/>
      <c r="AR1836" s="2237"/>
      <c r="AS1836" s="2237"/>
      <c r="AT1836" s="2237"/>
      <c r="AU1836" s="2237"/>
      <c r="AV1836" s="2237"/>
      <c r="AW1836" s="2237"/>
      <c r="AX1836" s="2237"/>
      <c r="AY1836" s="2237"/>
      <c r="AZ1836" s="2237"/>
      <c r="BA1836" s="2237"/>
      <c r="BB1836" s="2237"/>
      <c r="BC1836" s="2237"/>
      <c r="BD1836" s="2237"/>
      <c r="BE1836" s="2237"/>
      <c r="BF1836" s="2237"/>
      <c r="BG1836" s="2237"/>
      <c r="BH1836" s="2237"/>
      <c r="BI1836" s="2237"/>
      <c r="BJ1836" s="2237"/>
      <c r="BK1836" s="2237"/>
      <c r="BL1836" s="2237"/>
      <c r="BM1836" s="2237"/>
      <c r="BN1836" s="2237"/>
      <c r="BO1836" s="2237"/>
      <c r="BP1836" s="2237"/>
      <c r="BQ1836" s="2237"/>
      <c r="BR1836" s="2237"/>
      <c r="BS1836" s="2237"/>
      <c r="BT1836" s="2237"/>
      <c r="BU1836" s="2237"/>
      <c r="BV1836" s="2237"/>
      <c r="BW1836" s="2237"/>
      <c r="BX1836" s="2237"/>
      <c r="BY1836" s="2237"/>
      <c r="BZ1836" s="2237"/>
      <c r="CA1836" s="2237"/>
      <c r="CB1836" s="2237"/>
      <c r="CC1836" s="2237"/>
      <c r="CD1836" s="2237"/>
      <c r="CE1836" s="2237"/>
      <c r="CF1836" s="2237"/>
      <c r="CG1836" s="2237"/>
      <c r="CH1836" s="2237"/>
      <c r="CI1836" s="2237"/>
      <c r="CJ1836" s="2237"/>
      <c r="CK1836" s="2237"/>
      <c r="CL1836" s="2237"/>
      <c r="CM1836" s="2237"/>
      <c r="CN1836" s="2237"/>
      <c r="CO1836" s="2237"/>
      <c r="CP1836" s="2237"/>
      <c r="CQ1836" s="2237"/>
      <c r="CR1836" s="2237"/>
      <c r="CS1836" s="2237"/>
      <c r="CT1836" s="2237"/>
      <c r="CU1836" s="2237"/>
      <c r="CV1836" s="2237"/>
      <c r="CW1836" s="2237"/>
      <c r="CX1836" s="2237"/>
      <c r="CY1836" s="2237"/>
      <c r="CZ1836" s="2237"/>
      <c r="DA1836" s="2237"/>
      <c r="DB1836" s="2237"/>
      <c r="DC1836" s="2237"/>
      <c r="DD1836" s="2237"/>
      <c r="DE1836" s="2237"/>
      <c r="DF1836" s="3393" t="str">
        <f t="shared" si="279"/>
        <v>ASHP-SEER20-Replace_CAC_NonElectricHeat_ER1_MF</v>
      </c>
      <c r="DG1836" s="3259">
        <f>(DI1836+DI1837+DI1838+DI1839)/(DJ1836+DJ1837+DJ1838+DJ1839)</f>
        <v>4.3264445146939927</v>
      </c>
      <c r="DH1836" s="2882" t="str">
        <f t="shared" si="273"/>
        <v>Cooling Res 6 Year EUL</v>
      </c>
      <c r="DI1836" s="3260">
        <f>(INDEX('Avoided Cost Benefits'!$B$4:$B$866,MATCH(DH1836,'Avoided Cost Benefits'!$A$4:$A$866,0)))*F1836</f>
        <v>1465.7688974893831</v>
      </c>
      <c r="DJ1836" s="2507">
        <f t="shared" si="280"/>
        <v>493.55402289615103</v>
      </c>
      <c r="DM1836" s="252"/>
    </row>
    <row r="1837" spans="1:117">
      <c r="A1837" s="453"/>
      <c r="B1837" s="1454">
        <f t="shared" si="275"/>
        <v>354660</v>
      </c>
      <c r="C1837" s="2554" t="s">
        <v>2443</v>
      </c>
      <c r="D1837" s="3383" t="s">
        <v>1122</v>
      </c>
      <c r="E1837" s="2882" t="s">
        <v>2444</v>
      </c>
      <c r="F1837" s="3373">
        <v>0</v>
      </c>
      <c r="G1837" s="3384" t="s">
        <v>2078</v>
      </c>
      <c r="H1837" s="2213">
        <f>VLOOKUP(G1837,'CP FACTORS'!$A$3:$B$38, 2, FALSE)</f>
        <v>0</v>
      </c>
      <c r="I1837" s="3405">
        <f t="shared" si="272"/>
        <v>0</v>
      </c>
      <c r="J1837" s="2449">
        <f t="shared" si="278"/>
        <v>6</v>
      </c>
      <c r="K1837" s="2894">
        <f t="shared" si="276"/>
        <v>0</v>
      </c>
      <c r="L1837" s="2649"/>
      <c r="M1837" s="3386"/>
      <c r="N1837" s="3387"/>
      <c r="O1837" s="2702"/>
      <c r="P1837" s="635"/>
      <c r="Q1837" s="635"/>
      <c r="R1837" s="2966"/>
      <c r="S1837" s="635"/>
      <c r="T1837" s="635"/>
      <c r="U1837" s="3388"/>
      <c r="V1837" s="2962" t="s">
        <v>45</v>
      </c>
      <c r="W1837" s="3389"/>
      <c r="X1837" s="3390"/>
      <c r="Y1837" s="3369"/>
      <c r="Z1837" s="3373"/>
      <c r="AA1837" s="3373"/>
      <c r="AB1837" s="3400"/>
      <c r="AC1837" s="3369">
        <v>0</v>
      </c>
      <c r="AD1837" s="3373">
        <v>0</v>
      </c>
      <c r="AE1837" s="3373">
        <v>0</v>
      </c>
      <c r="AF1837" s="2236">
        <f t="shared" si="277"/>
        <v>0</v>
      </c>
      <c r="AG1837" s="3389"/>
      <c r="AH1837" s="2728"/>
      <c r="AI1837" s="2237"/>
      <c r="AJ1837" s="2237"/>
      <c r="AK1837" s="3392"/>
      <c r="AL1837" s="2237"/>
      <c r="AM1837" s="2237"/>
      <c r="AN1837" s="2237"/>
      <c r="AO1837" s="2237"/>
      <c r="AP1837" s="2237"/>
      <c r="AQ1837" s="2237"/>
      <c r="AR1837" s="2237"/>
      <c r="AS1837" s="2237"/>
      <c r="AT1837" s="2237"/>
      <c r="AU1837" s="2237"/>
      <c r="AV1837" s="2237"/>
      <c r="AW1837" s="2237"/>
      <c r="AX1837" s="2237"/>
      <c r="AY1837" s="2237"/>
      <c r="AZ1837" s="2237"/>
      <c r="BA1837" s="2237"/>
      <c r="BB1837" s="2237"/>
      <c r="BC1837" s="2237"/>
      <c r="BD1837" s="2237"/>
      <c r="BE1837" s="2237"/>
      <c r="BF1837" s="2237"/>
      <c r="BG1837" s="2237"/>
      <c r="BH1837" s="2237"/>
      <c r="BI1837" s="2237"/>
      <c r="BJ1837" s="2237"/>
      <c r="BK1837" s="2237"/>
      <c r="BL1837" s="2237"/>
      <c r="BM1837" s="2237"/>
      <c r="BN1837" s="2237"/>
      <c r="BO1837" s="2237"/>
      <c r="BP1837" s="2237"/>
      <c r="BQ1837" s="2237"/>
      <c r="BR1837" s="2237"/>
      <c r="BS1837" s="2237"/>
      <c r="BT1837" s="2237"/>
      <c r="BU1837" s="2237"/>
      <c r="BV1837" s="2237"/>
      <c r="BW1837" s="2237"/>
      <c r="BX1837" s="2237"/>
      <c r="BY1837" s="2237"/>
      <c r="BZ1837" s="2237"/>
      <c r="CA1837" s="2237"/>
      <c r="CB1837" s="2237"/>
      <c r="CC1837" s="2237"/>
      <c r="CD1837" s="2237"/>
      <c r="CE1837" s="2237"/>
      <c r="CF1837" s="2237"/>
      <c r="CG1837" s="2237"/>
      <c r="CH1837" s="2237"/>
      <c r="CI1837" s="2237"/>
      <c r="CJ1837" s="2237"/>
      <c r="CK1837" s="2237"/>
      <c r="CL1837" s="2237"/>
      <c r="CM1837" s="2237"/>
      <c r="CN1837" s="2237"/>
      <c r="CO1837" s="2237"/>
      <c r="CP1837" s="2237"/>
      <c r="CQ1837" s="2237"/>
      <c r="CR1837" s="2237"/>
      <c r="CS1837" s="2237"/>
      <c r="CT1837" s="2237"/>
      <c r="CU1837" s="2237"/>
      <c r="CV1837" s="2237"/>
      <c r="CW1837" s="2237"/>
      <c r="CX1837" s="2237"/>
      <c r="CY1837" s="2237"/>
      <c r="CZ1837" s="2237"/>
      <c r="DA1837" s="2237"/>
      <c r="DB1837" s="2237"/>
      <c r="DC1837" s="2237"/>
      <c r="DD1837" s="2237"/>
      <c r="DE1837" s="2237"/>
      <c r="DF1837" s="3393" t="str">
        <f t="shared" si="279"/>
        <v>ASHP-SEER20-Replace_CAC_NonElectricHeat_ER1_MF</v>
      </c>
      <c r="DG1837" s="3332"/>
      <c r="DH1837" s="2882" t="str">
        <f t="shared" si="273"/>
        <v>Heating Res 6 Year EUL</v>
      </c>
      <c r="DI1837" s="3260">
        <f>(INDEX('Avoided Cost Benefits'!$B$4:$B$866,MATCH(DH1837,'Avoided Cost Benefits'!$A$4:$A$866,0)))*F1837</f>
        <v>0</v>
      </c>
      <c r="DJ1837" s="2507">
        <f t="shared" si="280"/>
        <v>0</v>
      </c>
      <c r="DM1837" s="252"/>
    </row>
    <row r="1838" spans="1:117">
      <c r="A1838" s="453"/>
      <c r="B1838" s="1454">
        <f t="shared" si="275"/>
        <v>354660</v>
      </c>
      <c r="C1838" s="2554" t="s">
        <v>2443</v>
      </c>
      <c r="D1838" s="3383" t="s">
        <v>1122</v>
      </c>
      <c r="E1838" s="2882" t="s">
        <v>2445</v>
      </c>
      <c r="F1838" s="3369">
        <f>ROUND(((K2851*K3044*(1/K3237-1/K3430)*K3623)/1000)*$K$3651,2)</f>
        <v>517.47</v>
      </c>
      <c r="G1838" s="3384" t="s">
        <v>2138</v>
      </c>
      <c r="H1838" s="2213">
        <f>VLOOKUP(G1838,'CP FACTORS'!$A$3:$B$38, 2, FALSE)</f>
        <v>9.4741810000000004E-4</v>
      </c>
      <c r="I1838" s="3404">
        <f t="shared" si="272"/>
        <v>0.49025999999999997</v>
      </c>
      <c r="J1838" s="2449">
        <f t="shared" si="278"/>
        <v>12</v>
      </c>
      <c r="K1838" s="2894">
        <f t="shared" si="276"/>
        <v>0</v>
      </c>
      <c r="L1838" s="2649"/>
      <c r="M1838" s="3386"/>
      <c r="N1838" s="3387"/>
      <c r="O1838" s="2702"/>
      <c r="P1838" s="635"/>
      <c r="Q1838" s="635"/>
      <c r="R1838" s="2966"/>
      <c r="S1838" s="635"/>
      <c r="T1838" s="635"/>
      <c r="U1838" s="3388"/>
      <c r="V1838" s="2962" t="s">
        <v>45</v>
      </c>
      <c r="W1838" s="3389"/>
      <c r="X1838" s="3390"/>
      <c r="Y1838" s="3369"/>
      <c r="Z1838" s="3373"/>
      <c r="AA1838" s="3373"/>
      <c r="AB1838" s="3400"/>
      <c r="AC1838" s="3369">
        <v>565.72</v>
      </c>
      <c r="AD1838" s="3373">
        <v>565.72</v>
      </c>
      <c r="AE1838" s="3369">
        <v>450.27</v>
      </c>
      <c r="AF1838" s="2236">
        <f t="shared" si="277"/>
        <v>517.47</v>
      </c>
      <c r="AG1838" s="3389"/>
      <c r="AH1838" s="2728"/>
      <c r="AI1838" s="2237"/>
      <c r="AJ1838" s="2237"/>
      <c r="AK1838" s="3392"/>
      <c r="AL1838" s="2237"/>
      <c r="AM1838" s="2237"/>
      <c r="AN1838" s="2237"/>
      <c r="AO1838" s="2237"/>
      <c r="AP1838" s="2237"/>
      <c r="AQ1838" s="2237"/>
      <c r="AR1838" s="2237"/>
      <c r="AS1838" s="2237"/>
      <c r="AT1838" s="2237"/>
      <c r="AU1838" s="2237"/>
      <c r="AV1838" s="2237"/>
      <c r="AW1838" s="2237"/>
      <c r="AX1838" s="2237"/>
      <c r="AY1838" s="2237"/>
      <c r="AZ1838" s="2237"/>
      <c r="BA1838" s="2237"/>
      <c r="BB1838" s="2237"/>
      <c r="BC1838" s="2237"/>
      <c r="BD1838" s="2237"/>
      <c r="BE1838" s="2237"/>
      <c r="BF1838" s="2237"/>
      <c r="BG1838" s="2237"/>
      <c r="BH1838" s="2237"/>
      <c r="BI1838" s="2237"/>
      <c r="BJ1838" s="2237"/>
      <c r="BK1838" s="2237"/>
      <c r="BL1838" s="2237"/>
      <c r="BM1838" s="2237"/>
      <c r="BN1838" s="2237"/>
      <c r="BO1838" s="2237"/>
      <c r="BP1838" s="2237"/>
      <c r="BQ1838" s="2237"/>
      <c r="BR1838" s="2237"/>
      <c r="BS1838" s="2237"/>
      <c r="BT1838" s="2237"/>
      <c r="BU1838" s="2237"/>
      <c r="BV1838" s="2237"/>
      <c r="BW1838" s="2237"/>
      <c r="BX1838" s="2237"/>
      <c r="BY1838" s="2237"/>
      <c r="BZ1838" s="2237"/>
      <c r="CA1838" s="2237"/>
      <c r="CB1838" s="2237"/>
      <c r="CC1838" s="2237"/>
      <c r="CD1838" s="2237"/>
      <c r="CE1838" s="2237"/>
      <c r="CF1838" s="2237"/>
      <c r="CG1838" s="2237"/>
      <c r="CH1838" s="2237"/>
      <c r="CI1838" s="2237"/>
      <c r="CJ1838" s="2237"/>
      <c r="CK1838" s="2237"/>
      <c r="CL1838" s="2237"/>
      <c r="CM1838" s="2237"/>
      <c r="CN1838" s="2237"/>
      <c r="CO1838" s="2237"/>
      <c r="CP1838" s="2237"/>
      <c r="CQ1838" s="2237"/>
      <c r="CR1838" s="2237"/>
      <c r="CS1838" s="2237"/>
      <c r="CT1838" s="2237"/>
      <c r="CU1838" s="2237"/>
      <c r="CV1838" s="2237"/>
      <c r="CW1838" s="2237"/>
      <c r="CX1838" s="2237"/>
      <c r="CY1838" s="2237"/>
      <c r="CZ1838" s="2237"/>
      <c r="DA1838" s="2237"/>
      <c r="DB1838" s="2237"/>
      <c r="DC1838" s="2237"/>
      <c r="DD1838" s="2237"/>
      <c r="DE1838" s="2237"/>
      <c r="DF1838" s="3393" t="str">
        <f t="shared" si="279"/>
        <v>ASHP-SEER20-Replace_CAC_NonElectricHeat_ER2_MF</v>
      </c>
      <c r="DG1838" s="3332"/>
      <c r="DH1838" s="2882" t="str">
        <f t="shared" si="273"/>
        <v>Cooling Res ER2 12 Year EUL</v>
      </c>
      <c r="DI1838" s="3260">
        <f>(INDEX('Avoided Cost Benefits'!$B$4:$B$866,MATCH(DH1838,'Avoided Cost Benefits'!$A$4:$A$866,0)))*F1838</f>
        <v>669.56519757482283</v>
      </c>
      <c r="DJ1838" s="2507">
        <f t="shared" si="280"/>
        <v>0</v>
      </c>
      <c r="DM1838" s="252"/>
    </row>
    <row r="1839" spans="1:117">
      <c r="A1839" s="453"/>
      <c r="B1839" s="1454">
        <f t="shared" si="275"/>
        <v>354660</v>
      </c>
      <c r="C1839" s="2554" t="s">
        <v>2443</v>
      </c>
      <c r="D1839" s="3383" t="s">
        <v>1122</v>
      </c>
      <c r="E1839" s="2522" t="s">
        <v>2445</v>
      </c>
      <c r="F1839" s="3373">
        <v>0</v>
      </c>
      <c r="G1839" s="3384" t="s">
        <v>2173</v>
      </c>
      <c r="H1839" s="2213">
        <f>VLOOKUP(G1839,'CP FACTORS'!$A$3:$B$38, 2, FALSE)</f>
        <v>0</v>
      </c>
      <c r="I1839" s="3405">
        <f t="shared" si="272"/>
        <v>0</v>
      </c>
      <c r="J1839" s="2449">
        <f t="shared" si="278"/>
        <v>12</v>
      </c>
      <c r="K1839" s="2894">
        <f t="shared" si="276"/>
        <v>0</v>
      </c>
      <c r="L1839" s="2649"/>
      <c r="M1839" s="3386"/>
      <c r="N1839" s="3387"/>
      <c r="O1839" s="2702"/>
      <c r="P1839" s="635"/>
      <c r="Q1839" s="635"/>
      <c r="R1839" s="2966"/>
      <c r="S1839" s="635"/>
      <c r="T1839" s="635"/>
      <c r="U1839" s="3388"/>
      <c r="V1839" s="2962" t="s">
        <v>45</v>
      </c>
      <c r="W1839" s="3389"/>
      <c r="X1839" s="3390"/>
      <c r="Y1839" s="3369"/>
      <c r="Z1839" s="3373"/>
      <c r="AA1839" s="3373"/>
      <c r="AB1839" s="3400"/>
      <c r="AC1839" s="3369">
        <v>0</v>
      </c>
      <c r="AD1839" s="3373">
        <v>0</v>
      </c>
      <c r="AE1839" s="3373">
        <v>0</v>
      </c>
      <c r="AF1839" s="2236">
        <f t="shared" si="277"/>
        <v>0</v>
      </c>
      <c r="AG1839" s="3389"/>
      <c r="AH1839" s="2728"/>
      <c r="AI1839" s="2237"/>
      <c r="AJ1839" s="2237"/>
      <c r="AK1839" s="3392"/>
      <c r="AL1839" s="2237"/>
      <c r="AM1839" s="2237"/>
      <c r="AN1839" s="2237"/>
      <c r="AO1839" s="2237"/>
      <c r="AP1839" s="2237"/>
      <c r="AQ1839" s="2237"/>
      <c r="AR1839" s="2237"/>
      <c r="AS1839" s="2237"/>
      <c r="AT1839" s="2237"/>
      <c r="AU1839" s="2237"/>
      <c r="AV1839" s="2237"/>
      <c r="AW1839" s="2237"/>
      <c r="AX1839" s="2237"/>
      <c r="AY1839" s="2237"/>
      <c r="AZ1839" s="2237"/>
      <c r="BA1839" s="2237"/>
      <c r="BB1839" s="2237"/>
      <c r="BC1839" s="2237"/>
      <c r="BD1839" s="2237"/>
      <c r="BE1839" s="2237"/>
      <c r="BF1839" s="2237"/>
      <c r="BG1839" s="2237"/>
      <c r="BH1839" s="2237"/>
      <c r="BI1839" s="2237"/>
      <c r="BJ1839" s="2237"/>
      <c r="BK1839" s="2237"/>
      <c r="BL1839" s="2237"/>
      <c r="BM1839" s="2237"/>
      <c r="BN1839" s="2237"/>
      <c r="BO1839" s="2237"/>
      <c r="BP1839" s="2237"/>
      <c r="BQ1839" s="2237"/>
      <c r="BR1839" s="2237"/>
      <c r="BS1839" s="2237"/>
      <c r="BT1839" s="2237"/>
      <c r="BU1839" s="2237"/>
      <c r="BV1839" s="2237"/>
      <c r="BW1839" s="2237"/>
      <c r="BX1839" s="2237"/>
      <c r="BY1839" s="2237"/>
      <c r="BZ1839" s="2237"/>
      <c r="CA1839" s="2237"/>
      <c r="CB1839" s="2237"/>
      <c r="CC1839" s="2237"/>
      <c r="CD1839" s="2237"/>
      <c r="CE1839" s="2237"/>
      <c r="CF1839" s="2237"/>
      <c r="CG1839" s="2237"/>
      <c r="CH1839" s="2237"/>
      <c r="CI1839" s="2237"/>
      <c r="CJ1839" s="2237"/>
      <c r="CK1839" s="2237"/>
      <c r="CL1839" s="2237"/>
      <c r="CM1839" s="2237"/>
      <c r="CN1839" s="2237"/>
      <c r="CO1839" s="2237"/>
      <c r="CP1839" s="2237"/>
      <c r="CQ1839" s="2237"/>
      <c r="CR1839" s="2237"/>
      <c r="CS1839" s="2237"/>
      <c r="CT1839" s="2237"/>
      <c r="CU1839" s="2237"/>
      <c r="CV1839" s="2237"/>
      <c r="CW1839" s="2237"/>
      <c r="CX1839" s="2237"/>
      <c r="CY1839" s="2237"/>
      <c r="CZ1839" s="2237"/>
      <c r="DA1839" s="2237"/>
      <c r="DB1839" s="2237"/>
      <c r="DC1839" s="2237"/>
      <c r="DD1839" s="2237"/>
      <c r="DE1839" s="2237"/>
      <c r="DF1839" s="3393" t="str">
        <f t="shared" si="279"/>
        <v>ASHP-SEER20-Replace_CAC_NonElectricHeat_ER2_MF</v>
      </c>
      <c r="DG1839" s="3332"/>
      <c r="DH1839" s="2522" t="str">
        <f t="shared" si="273"/>
        <v>Heating Res ER2 12 Year EUL</v>
      </c>
      <c r="DI1839" s="3260">
        <f>(INDEX('Avoided Cost Benefits'!$B$4:$B$866,MATCH(DH1839,'Avoided Cost Benefits'!$A$4:$A$866,0)))*F1839</f>
        <v>0</v>
      </c>
      <c r="DJ1839" s="2507">
        <f t="shared" si="280"/>
        <v>0</v>
      </c>
      <c r="DM1839" s="252"/>
    </row>
    <row r="1840" spans="1:117">
      <c r="A1840" s="453"/>
      <c r="B1840" s="1454">
        <f t="shared" si="275"/>
        <v>354661</v>
      </c>
      <c r="C1840" s="2554" t="s">
        <v>2446</v>
      </c>
      <c r="D1840" s="3383" t="s">
        <v>1118</v>
      </c>
      <c r="E1840" s="2882" t="s">
        <v>2447</v>
      </c>
      <c r="F1840" s="3373">
        <f>ROUND(((K2852*K3045*(1/K3238-1/K3431)*K3624)/1000)*$K$3651,2)</f>
        <v>1070.46</v>
      </c>
      <c r="G1840" s="3384" t="s">
        <v>2077</v>
      </c>
      <c r="H1840" s="2213">
        <f>VLOOKUP(G1840,'CP FACTORS'!$A$3:$B$38, 2, FALSE)</f>
        <v>9.4741810000000004E-4</v>
      </c>
      <c r="I1840" s="3405">
        <f t="shared" si="272"/>
        <v>1.014173</v>
      </c>
      <c r="J1840" s="2449">
        <f t="shared" si="278"/>
        <v>6</v>
      </c>
      <c r="K1840" s="2467">
        <f t="shared" si="276"/>
        <v>919.27627747130316</v>
      </c>
      <c r="L1840" s="2649">
        <f>L2080</f>
        <v>3.1</v>
      </c>
      <c r="M1840" s="3386"/>
      <c r="N1840" s="3387"/>
      <c r="O1840" s="2702"/>
      <c r="P1840" s="635"/>
      <c r="Q1840" s="635"/>
      <c r="R1840" s="2966"/>
      <c r="S1840" s="635"/>
      <c r="T1840" s="635"/>
      <c r="U1840" s="3388"/>
      <c r="V1840" s="2962" t="s">
        <v>45</v>
      </c>
      <c r="W1840" s="3389"/>
      <c r="X1840" s="3390"/>
      <c r="Y1840" s="3369"/>
      <c r="Z1840" s="3373"/>
      <c r="AA1840" s="3373"/>
      <c r="AB1840" s="3400"/>
      <c r="AC1840" s="3369">
        <v>1070.46</v>
      </c>
      <c r="AD1840" s="3373">
        <v>1070.46</v>
      </c>
      <c r="AE1840" s="3373">
        <v>1070.46</v>
      </c>
      <c r="AF1840" s="2236">
        <f t="shared" si="277"/>
        <v>1070.46</v>
      </c>
      <c r="AG1840" s="3389"/>
      <c r="AH1840" s="2728"/>
      <c r="AI1840" s="2237"/>
      <c r="AJ1840" s="2237"/>
      <c r="AK1840" s="3392"/>
      <c r="AL1840" s="2237"/>
      <c r="AM1840" s="2237"/>
      <c r="AN1840" s="2237"/>
      <c r="AO1840" s="2237"/>
      <c r="AP1840" s="2237"/>
      <c r="AQ1840" s="2237"/>
      <c r="AR1840" s="2237"/>
      <c r="AS1840" s="2237"/>
      <c r="AT1840" s="2237"/>
      <c r="AU1840" s="2237"/>
      <c r="AV1840" s="2237"/>
      <c r="AW1840" s="2237"/>
      <c r="AX1840" s="2237"/>
      <c r="AY1840" s="2237"/>
      <c r="AZ1840" s="2237"/>
      <c r="BA1840" s="2237"/>
      <c r="BB1840" s="2237"/>
      <c r="BC1840" s="2237"/>
      <c r="BD1840" s="2237"/>
      <c r="BE1840" s="2237"/>
      <c r="BF1840" s="2237"/>
      <c r="BG1840" s="2237"/>
      <c r="BH1840" s="2237"/>
      <c r="BI1840" s="2237"/>
      <c r="BJ1840" s="2237"/>
      <c r="BK1840" s="2237"/>
      <c r="BL1840" s="2237"/>
      <c r="BM1840" s="2237"/>
      <c r="BN1840" s="2237"/>
      <c r="BO1840" s="2237"/>
      <c r="BP1840" s="2237"/>
      <c r="BQ1840" s="2237"/>
      <c r="BR1840" s="2237"/>
      <c r="BS1840" s="2237"/>
      <c r="BT1840" s="2237"/>
      <c r="BU1840" s="2237"/>
      <c r="BV1840" s="2237"/>
      <c r="BW1840" s="2237"/>
      <c r="BX1840" s="2237"/>
      <c r="BY1840" s="2237"/>
      <c r="BZ1840" s="2237"/>
      <c r="CA1840" s="2237"/>
      <c r="CB1840" s="2237"/>
      <c r="CC1840" s="2237"/>
      <c r="CD1840" s="2237"/>
      <c r="CE1840" s="2237"/>
      <c r="CF1840" s="2237"/>
      <c r="CG1840" s="2237"/>
      <c r="CH1840" s="2237"/>
      <c r="CI1840" s="2237"/>
      <c r="CJ1840" s="2237"/>
      <c r="CK1840" s="2237"/>
      <c r="CL1840" s="2237"/>
      <c r="CM1840" s="2237"/>
      <c r="CN1840" s="2237"/>
      <c r="CO1840" s="2237"/>
      <c r="CP1840" s="2237"/>
      <c r="CQ1840" s="2237"/>
      <c r="CR1840" s="2237"/>
      <c r="CS1840" s="2237"/>
      <c r="CT1840" s="2237"/>
      <c r="CU1840" s="2237"/>
      <c r="CV1840" s="2237"/>
      <c r="CW1840" s="2237"/>
      <c r="CX1840" s="2237"/>
      <c r="CY1840" s="2237"/>
      <c r="CZ1840" s="2237"/>
      <c r="DA1840" s="2237"/>
      <c r="DB1840" s="2237"/>
      <c r="DC1840" s="2237"/>
      <c r="DD1840" s="2237"/>
      <c r="DE1840" s="2237"/>
      <c r="DF1840" s="3393" t="str">
        <f t="shared" si="279"/>
        <v>ASHP-SEER20-Replace_CAC_NonElectricHeat_ER1_MF_CompE</v>
      </c>
      <c r="DG1840" s="3259">
        <f>(DI1840+DI1841+DI1842+DI1843)/(DJ1840+DJ1841+DJ1842+DJ1843)</f>
        <v>1.6893394804848447</v>
      </c>
      <c r="DH1840" s="2882" t="str">
        <f t="shared" si="273"/>
        <v>Cooling Res 6 Year EUL</v>
      </c>
      <c r="DI1840" s="3260">
        <f>(INDEX('Avoided Cost Benefits'!$B$4:$B$866,MATCH(DH1840,'Avoided Cost Benefits'!$A$4:$A$866,0)))*F1840</f>
        <v>1066.0155542615464</v>
      </c>
      <c r="DJ1840" s="2507">
        <f t="shared" si="280"/>
        <v>919.27627747130316</v>
      </c>
      <c r="DM1840" s="252"/>
    </row>
    <row r="1841" spans="1:117">
      <c r="A1841" s="453"/>
      <c r="B1841" s="1454">
        <f t="shared" si="275"/>
        <v>354661</v>
      </c>
      <c r="C1841" s="2554" t="s">
        <v>2446</v>
      </c>
      <c r="D1841" s="3383" t="s">
        <v>1118</v>
      </c>
      <c r="E1841" s="2882" t="s">
        <v>2447</v>
      </c>
      <c r="F1841" s="3373">
        <v>0</v>
      </c>
      <c r="G1841" s="3384" t="s">
        <v>2078</v>
      </c>
      <c r="H1841" s="2213">
        <f>VLOOKUP(G1841,'CP FACTORS'!$A$3:$B$38, 2, FALSE)</f>
        <v>0</v>
      </c>
      <c r="I1841" s="3405">
        <f t="shared" si="272"/>
        <v>0</v>
      </c>
      <c r="J1841" s="2449">
        <f t="shared" si="278"/>
        <v>6</v>
      </c>
      <c r="K1841" s="2894">
        <f t="shared" si="276"/>
        <v>0</v>
      </c>
      <c r="L1841" s="2649"/>
      <c r="M1841" s="3386"/>
      <c r="N1841" s="3387"/>
      <c r="O1841" s="2702"/>
      <c r="P1841" s="635"/>
      <c r="Q1841" s="635"/>
      <c r="R1841" s="2966"/>
      <c r="S1841" s="635"/>
      <c r="T1841" s="635"/>
      <c r="U1841" s="3388"/>
      <c r="V1841" s="2962" t="s">
        <v>45</v>
      </c>
      <c r="W1841" s="3389"/>
      <c r="X1841" s="3390"/>
      <c r="Y1841" s="3369"/>
      <c r="Z1841" s="3373"/>
      <c r="AA1841" s="3373"/>
      <c r="AB1841" s="3400"/>
      <c r="AC1841" s="3369">
        <v>0</v>
      </c>
      <c r="AD1841" s="3373">
        <v>0</v>
      </c>
      <c r="AE1841" s="3373">
        <v>0</v>
      </c>
      <c r="AF1841" s="2236">
        <f t="shared" si="277"/>
        <v>0</v>
      </c>
      <c r="AG1841" s="3389"/>
      <c r="AH1841" s="2728"/>
      <c r="AI1841" s="2237"/>
      <c r="AJ1841" s="2237"/>
      <c r="AK1841" s="3392"/>
      <c r="AL1841" s="2237"/>
      <c r="AM1841" s="2237"/>
      <c r="AN1841" s="2237"/>
      <c r="AO1841" s="2237"/>
      <c r="AP1841" s="2237"/>
      <c r="AQ1841" s="2237"/>
      <c r="AR1841" s="2237"/>
      <c r="AS1841" s="2237"/>
      <c r="AT1841" s="2237"/>
      <c r="AU1841" s="2237"/>
      <c r="AV1841" s="2237"/>
      <c r="AW1841" s="2237"/>
      <c r="AX1841" s="2237"/>
      <c r="AY1841" s="2237"/>
      <c r="AZ1841" s="2237"/>
      <c r="BA1841" s="2237"/>
      <c r="BB1841" s="2237"/>
      <c r="BC1841" s="2237"/>
      <c r="BD1841" s="2237"/>
      <c r="BE1841" s="2237"/>
      <c r="BF1841" s="2237"/>
      <c r="BG1841" s="2237"/>
      <c r="BH1841" s="2237"/>
      <c r="BI1841" s="2237"/>
      <c r="BJ1841" s="2237"/>
      <c r="BK1841" s="2237"/>
      <c r="BL1841" s="2237"/>
      <c r="BM1841" s="2237"/>
      <c r="BN1841" s="2237"/>
      <c r="BO1841" s="2237"/>
      <c r="BP1841" s="2237"/>
      <c r="BQ1841" s="2237"/>
      <c r="BR1841" s="2237"/>
      <c r="BS1841" s="2237"/>
      <c r="BT1841" s="2237"/>
      <c r="BU1841" s="2237"/>
      <c r="BV1841" s="2237"/>
      <c r="BW1841" s="2237"/>
      <c r="BX1841" s="2237"/>
      <c r="BY1841" s="2237"/>
      <c r="BZ1841" s="2237"/>
      <c r="CA1841" s="2237"/>
      <c r="CB1841" s="2237"/>
      <c r="CC1841" s="2237"/>
      <c r="CD1841" s="2237"/>
      <c r="CE1841" s="2237"/>
      <c r="CF1841" s="2237"/>
      <c r="CG1841" s="2237"/>
      <c r="CH1841" s="2237"/>
      <c r="CI1841" s="2237"/>
      <c r="CJ1841" s="2237"/>
      <c r="CK1841" s="2237"/>
      <c r="CL1841" s="2237"/>
      <c r="CM1841" s="2237"/>
      <c r="CN1841" s="2237"/>
      <c r="CO1841" s="2237"/>
      <c r="CP1841" s="2237"/>
      <c r="CQ1841" s="2237"/>
      <c r="CR1841" s="2237"/>
      <c r="CS1841" s="2237"/>
      <c r="CT1841" s="2237"/>
      <c r="CU1841" s="2237"/>
      <c r="CV1841" s="2237"/>
      <c r="CW1841" s="2237"/>
      <c r="CX1841" s="2237"/>
      <c r="CY1841" s="2237"/>
      <c r="CZ1841" s="2237"/>
      <c r="DA1841" s="2237"/>
      <c r="DB1841" s="2237"/>
      <c r="DC1841" s="2237"/>
      <c r="DD1841" s="2237"/>
      <c r="DE1841" s="2237"/>
      <c r="DF1841" s="3393" t="str">
        <f t="shared" si="279"/>
        <v>ASHP-SEER20-Replace_CAC_NonElectricHeat_ER1_MF_CompE</v>
      </c>
      <c r="DG1841" s="3332"/>
      <c r="DH1841" s="2882" t="str">
        <f t="shared" si="273"/>
        <v>Heating Res 6 Year EUL</v>
      </c>
      <c r="DI1841" s="3260">
        <f>(INDEX('Avoided Cost Benefits'!$B$4:$B$866,MATCH(DH1841,'Avoided Cost Benefits'!$A$4:$A$866,0)))*F1841</f>
        <v>0</v>
      </c>
      <c r="DJ1841" s="2507">
        <f t="shared" si="280"/>
        <v>0</v>
      </c>
      <c r="DM1841" s="252"/>
    </row>
    <row r="1842" spans="1:117">
      <c r="A1842" s="453"/>
      <c r="B1842" s="1454">
        <f t="shared" si="275"/>
        <v>354661</v>
      </c>
      <c r="C1842" s="2554" t="s">
        <v>2446</v>
      </c>
      <c r="D1842" s="3383" t="s">
        <v>1118</v>
      </c>
      <c r="E1842" s="2882" t="s">
        <v>2448</v>
      </c>
      <c r="F1842" s="3369">
        <f>ROUND(((K2853*K3046*(1/K3239-1/K3432)*K3625)/1000)*$K$3651,2)</f>
        <v>376.34</v>
      </c>
      <c r="G1842" s="3384" t="s">
        <v>2138</v>
      </c>
      <c r="H1842" s="2213">
        <f>VLOOKUP(G1842,'CP FACTORS'!$A$3:$B$38, 2, FALSE)</f>
        <v>9.4741810000000004E-4</v>
      </c>
      <c r="I1842" s="3404">
        <f t="shared" si="272"/>
        <v>0.35655100000000001</v>
      </c>
      <c r="J1842" s="2449">
        <f t="shared" si="278"/>
        <v>12</v>
      </c>
      <c r="K1842" s="2894">
        <f t="shared" si="276"/>
        <v>0</v>
      </c>
      <c r="L1842" s="2649"/>
      <c r="M1842" s="3386"/>
      <c r="N1842" s="3387"/>
      <c r="O1842" s="2702"/>
      <c r="P1842" s="635"/>
      <c r="Q1842" s="635"/>
      <c r="R1842" s="2966"/>
      <c r="S1842" s="635"/>
      <c r="T1842" s="635"/>
      <c r="U1842" s="3388"/>
      <c r="V1842" s="2962" t="s">
        <v>45</v>
      </c>
      <c r="W1842" s="3389"/>
      <c r="X1842" s="3390"/>
      <c r="Y1842" s="3369"/>
      <c r="Z1842" s="3373"/>
      <c r="AA1842" s="3373"/>
      <c r="AB1842" s="3400"/>
      <c r="AC1842" s="3369">
        <v>411.43</v>
      </c>
      <c r="AD1842" s="3373">
        <v>411.43</v>
      </c>
      <c r="AE1842" s="3369">
        <v>327.47000000000003</v>
      </c>
      <c r="AF1842" s="2236">
        <f t="shared" si="277"/>
        <v>376.34</v>
      </c>
      <c r="AG1842" s="3389"/>
      <c r="AH1842" s="2728"/>
      <c r="AI1842" s="2237"/>
      <c r="AJ1842" s="2237"/>
      <c r="AK1842" s="3392"/>
      <c r="AL1842" s="2237"/>
      <c r="AM1842" s="2237"/>
      <c r="AN1842" s="2237"/>
      <c r="AO1842" s="2237"/>
      <c r="AP1842" s="2237"/>
      <c r="AQ1842" s="2237"/>
      <c r="AR1842" s="2237"/>
      <c r="AS1842" s="2237"/>
      <c r="AT1842" s="2237"/>
      <c r="AU1842" s="2237"/>
      <c r="AV1842" s="2237"/>
      <c r="AW1842" s="2237"/>
      <c r="AX1842" s="2237"/>
      <c r="AY1842" s="2237"/>
      <c r="AZ1842" s="2237"/>
      <c r="BA1842" s="2237"/>
      <c r="BB1842" s="2237"/>
      <c r="BC1842" s="2237"/>
      <c r="BD1842" s="2237"/>
      <c r="BE1842" s="2237"/>
      <c r="BF1842" s="2237"/>
      <c r="BG1842" s="2237"/>
      <c r="BH1842" s="2237"/>
      <c r="BI1842" s="2237"/>
      <c r="BJ1842" s="2237"/>
      <c r="BK1842" s="2237"/>
      <c r="BL1842" s="2237"/>
      <c r="BM1842" s="2237"/>
      <c r="BN1842" s="2237"/>
      <c r="BO1842" s="2237"/>
      <c r="BP1842" s="2237"/>
      <c r="BQ1842" s="2237"/>
      <c r="BR1842" s="2237"/>
      <c r="BS1842" s="2237"/>
      <c r="BT1842" s="2237"/>
      <c r="BU1842" s="2237"/>
      <c r="BV1842" s="2237"/>
      <c r="BW1842" s="2237"/>
      <c r="BX1842" s="2237"/>
      <c r="BY1842" s="2237"/>
      <c r="BZ1842" s="2237"/>
      <c r="CA1842" s="2237"/>
      <c r="CB1842" s="2237"/>
      <c r="CC1842" s="2237"/>
      <c r="CD1842" s="2237"/>
      <c r="CE1842" s="2237"/>
      <c r="CF1842" s="2237"/>
      <c r="CG1842" s="2237"/>
      <c r="CH1842" s="2237"/>
      <c r="CI1842" s="2237"/>
      <c r="CJ1842" s="2237"/>
      <c r="CK1842" s="2237"/>
      <c r="CL1842" s="2237"/>
      <c r="CM1842" s="2237"/>
      <c r="CN1842" s="2237"/>
      <c r="CO1842" s="2237"/>
      <c r="CP1842" s="2237"/>
      <c r="CQ1842" s="2237"/>
      <c r="CR1842" s="2237"/>
      <c r="CS1842" s="2237"/>
      <c r="CT1842" s="2237"/>
      <c r="CU1842" s="2237"/>
      <c r="CV1842" s="2237"/>
      <c r="CW1842" s="2237"/>
      <c r="CX1842" s="2237"/>
      <c r="CY1842" s="2237"/>
      <c r="CZ1842" s="2237"/>
      <c r="DA1842" s="2237"/>
      <c r="DB1842" s="2237"/>
      <c r="DC1842" s="2237"/>
      <c r="DD1842" s="2237"/>
      <c r="DE1842" s="2237"/>
      <c r="DF1842" s="3393" t="str">
        <f t="shared" si="279"/>
        <v>ASHP-SEER20-Replace_CAC_NonElectricHeat_ER2_MF_CompE</v>
      </c>
      <c r="DG1842" s="3332"/>
      <c r="DH1842" s="2882" t="str">
        <f t="shared" si="273"/>
        <v>Cooling Res ER2 12 Year EUL</v>
      </c>
      <c r="DI1842" s="3260">
        <f>(INDEX('Avoided Cost Benefits'!$B$4:$B$866,MATCH(DH1842,'Avoided Cost Benefits'!$A$4:$A$866,0)))*F1842</f>
        <v>486.95415474386692</v>
      </c>
      <c r="DJ1842" s="2507">
        <f t="shared" si="280"/>
        <v>0</v>
      </c>
      <c r="DM1842" s="252"/>
    </row>
    <row r="1843" spans="1:117">
      <c r="A1843" s="453"/>
      <c r="B1843" s="1454">
        <f t="shared" si="275"/>
        <v>354661</v>
      </c>
      <c r="C1843" s="2554" t="s">
        <v>2446</v>
      </c>
      <c r="D1843" s="3383" t="s">
        <v>1118</v>
      </c>
      <c r="E1843" s="2882" t="s">
        <v>2448</v>
      </c>
      <c r="F1843" s="3373">
        <f>0</f>
        <v>0</v>
      </c>
      <c r="G1843" s="3384" t="s">
        <v>2173</v>
      </c>
      <c r="H1843" s="2213">
        <f>VLOOKUP(G1843,'CP FACTORS'!$A$3:$B$38, 2, FALSE)</f>
        <v>0</v>
      </c>
      <c r="I1843" s="3405">
        <f t="shared" si="272"/>
        <v>0</v>
      </c>
      <c r="J1843" s="2449">
        <f t="shared" si="278"/>
        <v>12</v>
      </c>
      <c r="K1843" s="2894">
        <f t="shared" si="276"/>
        <v>0</v>
      </c>
      <c r="L1843" s="2649"/>
      <c r="M1843" s="3386"/>
      <c r="N1843" s="3387"/>
      <c r="O1843" s="2702"/>
      <c r="P1843" s="635"/>
      <c r="Q1843" s="635"/>
      <c r="R1843" s="2966"/>
      <c r="S1843" s="635"/>
      <c r="T1843" s="635"/>
      <c r="U1843" s="3388"/>
      <c r="V1843" s="2962" t="s">
        <v>45</v>
      </c>
      <c r="W1843" s="3389"/>
      <c r="X1843" s="3390"/>
      <c r="Y1843" s="3369"/>
      <c r="Z1843" s="3373"/>
      <c r="AA1843" s="3373"/>
      <c r="AB1843" s="3400"/>
      <c r="AC1843" s="3369">
        <v>0</v>
      </c>
      <c r="AD1843" s="3373">
        <v>0</v>
      </c>
      <c r="AE1843" s="3373">
        <v>0</v>
      </c>
      <c r="AF1843" s="2236">
        <f t="shared" si="277"/>
        <v>0</v>
      </c>
      <c r="AG1843" s="3389"/>
      <c r="AH1843" s="2728"/>
      <c r="AI1843" s="2237"/>
      <c r="AJ1843" s="2237"/>
      <c r="AK1843" s="3392"/>
      <c r="AL1843" s="2237"/>
      <c r="AM1843" s="2237"/>
      <c r="AN1843" s="2237"/>
      <c r="AO1843" s="2237"/>
      <c r="AP1843" s="2237"/>
      <c r="AQ1843" s="2237"/>
      <c r="AR1843" s="2237"/>
      <c r="AS1843" s="2237"/>
      <c r="AT1843" s="2237"/>
      <c r="AU1843" s="2237"/>
      <c r="AV1843" s="2237"/>
      <c r="AW1843" s="2237"/>
      <c r="AX1843" s="2237"/>
      <c r="AY1843" s="2237"/>
      <c r="AZ1843" s="2237"/>
      <c r="BA1843" s="2237"/>
      <c r="BB1843" s="2237"/>
      <c r="BC1843" s="2237"/>
      <c r="BD1843" s="2237"/>
      <c r="BE1843" s="2237"/>
      <c r="BF1843" s="2237"/>
      <c r="BG1843" s="2237"/>
      <c r="BH1843" s="2237"/>
      <c r="BI1843" s="2237"/>
      <c r="BJ1843" s="2237"/>
      <c r="BK1843" s="2237"/>
      <c r="BL1843" s="2237"/>
      <c r="BM1843" s="2237"/>
      <c r="BN1843" s="2237"/>
      <c r="BO1843" s="2237"/>
      <c r="BP1843" s="2237"/>
      <c r="BQ1843" s="2237"/>
      <c r="BR1843" s="2237"/>
      <c r="BS1843" s="2237"/>
      <c r="BT1843" s="2237"/>
      <c r="BU1843" s="2237"/>
      <c r="BV1843" s="2237"/>
      <c r="BW1843" s="2237"/>
      <c r="BX1843" s="2237"/>
      <c r="BY1843" s="2237"/>
      <c r="BZ1843" s="2237"/>
      <c r="CA1843" s="2237"/>
      <c r="CB1843" s="2237"/>
      <c r="CC1843" s="2237"/>
      <c r="CD1843" s="2237"/>
      <c r="CE1843" s="2237"/>
      <c r="CF1843" s="2237"/>
      <c r="CG1843" s="2237"/>
      <c r="CH1843" s="2237"/>
      <c r="CI1843" s="2237"/>
      <c r="CJ1843" s="2237"/>
      <c r="CK1843" s="2237"/>
      <c r="CL1843" s="2237"/>
      <c r="CM1843" s="2237"/>
      <c r="CN1843" s="2237"/>
      <c r="CO1843" s="2237"/>
      <c r="CP1843" s="2237"/>
      <c r="CQ1843" s="2237"/>
      <c r="CR1843" s="2237"/>
      <c r="CS1843" s="2237"/>
      <c r="CT1843" s="2237"/>
      <c r="CU1843" s="2237"/>
      <c r="CV1843" s="2237"/>
      <c r="CW1843" s="2237"/>
      <c r="CX1843" s="2237"/>
      <c r="CY1843" s="2237"/>
      <c r="CZ1843" s="2237"/>
      <c r="DA1843" s="2237"/>
      <c r="DB1843" s="2237"/>
      <c r="DC1843" s="2237"/>
      <c r="DD1843" s="2237"/>
      <c r="DE1843" s="2237"/>
      <c r="DF1843" s="3393" t="str">
        <f t="shared" si="279"/>
        <v>ASHP-SEER20-Replace_CAC_NonElectricHeat_ER2_MF_CompE</v>
      </c>
      <c r="DG1843" s="3332"/>
      <c r="DH1843" s="2882" t="str">
        <f t="shared" si="273"/>
        <v>Heating Res ER2 12 Year EUL</v>
      </c>
      <c r="DI1843" s="3260">
        <f>(INDEX('Avoided Cost Benefits'!$B$4:$B$866,MATCH(DH1843,'Avoided Cost Benefits'!$A$4:$A$866,0)))*F1843</f>
        <v>0</v>
      </c>
      <c r="DJ1843" s="2507">
        <f t="shared" si="280"/>
        <v>0</v>
      </c>
      <c r="DM1843" s="252"/>
    </row>
    <row r="1844" spans="1:117">
      <c r="A1844" s="453"/>
      <c r="B1844" s="1454">
        <f t="shared" si="275"/>
        <v>354700</v>
      </c>
      <c r="C1844" s="682" t="s">
        <v>2449</v>
      </c>
      <c r="D1844" s="3470" t="s">
        <v>959</v>
      </c>
      <c r="E1844" s="1369" t="s">
        <v>2450</v>
      </c>
      <c r="F1844" s="225">
        <f>ROUND(((K2854*K3047*(1/K3240-1/K3433)*K3626)/1000)*$K$3651,2)</f>
        <v>1566.84</v>
      </c>
      <c r="G1844" s="570" t="s">
        <v>2077</v>
      </c>
      <c r="H1844" s="69">
        <f>VLOOKUP(G1844,'CP FACTORS'!$A$3:$B$38, 2, FALSE)</f>
        <v>9.4741810000000004E-4</v>
      </c>
      <c r="I1844" s="1167">
        <f t="shared" si="272"/>
        <v>1.484453</v>
      </c>
      <c r="J1844" s="59">
        <f t="shared" si="278"/>
        <v>6</v>
      </c>
      <c r="K1844" s="166">
        <f t="shared" si="276"/>
        <v>1077.5183641564863</v>
      </c>
      <c r="L1844" s="255">
        <f>L2082</f>
        <v>3.3</v>
      </c>
      <c r="M1844" s="560"/>
      <c r="N1844" s="572"/>
      <c r="O1844" s="417"/>
      <c r="R1844" s="532"/>
      <c r="S1844" s="52"/>
      <c r="T1844" s="52"/>
      <c r="U1844" s="574"/>
      <c r="V1844" s="1442" t="s">
        <v>45</v>
      </c>
      <c r="W1844" s="962">
        <v>1988.2719999999999</v>
      </c>
      <c r="X1844" s="251">
        <v>1566.8382965186074</v>
      </c>
      <c r="Y1844" s="225">
        <v>1566.84</v>
      </c>
      <c r="Z1844" s="225">
        <v>1566.84</v>
      </c>
      <c r="AA1844" s="225">
        <v>1566.84</v>
      </c>
      <c r="AB1844" s="1027">
        <v>1566.84</v>
      </c>
      <c r="AC1844" s="960">
        <v>1566.84</v>
      </c>
      <c r="AD1844" s="225">
        <v>1566.84</v>
      </c>
      <c r="AE1844" s="225">
        <v>1566.84</v>
      </c>
      <c r="AF1844" s="271">
        <f t="shared" si="277"/>
        <v>1566.84</v>
      </c>
      <c r="AG1844" s="962"/>
      <c r="AH1844" s="121"/>
      <c r="AK1844" s="963"/>
      <c r="DF1844" s="1650" t="str">
        <f t="shared" si="279"/>
        <v>ASHP-SEER20_ER1_MF</v>
      </c>
      <c r="DG1844" s="1090">
        <f>(DI1844+DI1845+DI1846+DI1847)/(DJ1844+DJ1845+DJ1846+DJ1847)</f>
        <v>2.7700554875978467</v>
      </c>
      <c r="DH1844" s="1369" t="str">
        <f t="shared" si="273"/>
        <v>Cooling Res 6 Year EUL</v>
      </c>
      <c r="DI1844" s="1091">
        <f>(INDEX('Avoided Cost Benefits'!$B$4:$B$866,MATCH(DH1844,'Avoided Cost Benefits'!$A$4:$A$866,0)))*F1844</f>
        <v>1560.3346328112787</v>
      </c>
      <c r="DJ1844" s="1176">
        <f>IFERROR(K1844/(1.0686^(2025-2025)),10000000)</f>
        <v>1077.5183641564863</v>
      </c>
      <c r="DM1844" s="252"/>
    </row>
    <row r="1845" spans="1:117">
      <c r="A1845" s="453"/>
      <c r="B1845" s="1454">
        <f t="shared" si="275"/>
        <v>354700</v>
      </c>
      <c r="C1845" s="682" t="s">
        <v>2449</v>
      </c>
      <c r="D1845" s="3470" t="s">
        <v>959</v>
      </c>
      <c r="E1845" s="1393" t="s">
        <v>2450</v>
      </c>
      <c r="F1845" s="225">
        <f>ROUND(((K2082*K2275*(1/K2468-1/K2661)*K3626)/1000)*$K$3651,2)</f>
        <v>1798.76</v>
      </c>
      <c r="G1845" s="570" t="s">
        <v>2078</v>
      </c>
      <c r="H1845" s="69">
        <f>VLOOKUP(G1845,'CP FACTORS'!$A$3:$B$38, 2, FALSE)</f>
        <v>0</v>
      </c>
      <c r="I1845" s="1167">
        <f t="shared" si="272"/>
        <v>0</v>
      </c>
      <c r="J1845" s="59">
        <f t="shared" si="278"/>
        <v>6</v>
      </c>
      <c r="K1845" s="163">
        <f t="shared" si="276"/>
        <v>0</v>
      </c>
      <c r="L1845" s="255"/>
      <c r="M1845" s="560"/>
      <c r="N1845" s="572"/>
      <c r="O1845" s="417"/>
      <c r="R1845" s="532"/>
      <c r="S1845" s="52"/>
      <c r="T1845" s="52"/>
      <c r="U1845" s="574"/>
      <c r="V1845" s="1442" t="s">
        <v>45</v>
      </c>
      <c r="W1845" s="962">
        <v>4062.4872213622284</v>
      </c>
      <c r="X1845" s="251">
        <v>1798.7611070228763</v>
      </c>
      <c r="Y1845" s="225">
        <v>1798.76</v>
      </c>
      <c r="Z1845" s="225">
        <v>1798.76</v>
      </c>
      <c r="AA1845" s="225">
        <v>1798.76</v>
      </c>
      <c r="AB1845" s="1027">
        <v>1798.76</v>
      </c>
      <c r="AC1845" s="960">
        <v>1798.76</v>
      </c>
      <c r="AD1845" s="225">
        <v>1798.76</v>
      </c>
      <c r="AE1845" s="225">
        <v>1798.76</v>
      </c>
      <c r="AF1845" s="271">
        <f t="shared" si="277"/>
        <v>1798.76</v>
      </c>
      <c r="AG1845" s="962"/>
      <c r="AH1845" s="121"/>
      <c r="AK1845" s="963"/>
      <c r="DF1845" s="1650" t="str">
        <f t="shared" si="279"/>
        <v>ASHP-SEER20_ER1_MF</v>
      </c>
      <c r="DG1845" s="1094"/>
      <c r="DH1845" s="1393" t="str">
        <f t="shared" si="273"/>
        <v>Heating Res 6 Year EUL</v>
      </c>
      <c r="DI1845" s="1091">
        <f>(INDEX('Avoided Cost Benefits'!$B$4:$B$866,MATCH(DH1845,'Avoided Cost Benefits'!$A$4:$A$866,0)))*F1845</f>
        <v>482.38931742340571</v>
      </c>
      <c r="DJ1845" s="1176">
        <f>K1845/(1.0686^(2025-2025))</f>
        <v>0</v>
      </c>
      <c r="DM1845" s="252"/>
    </row>
    <row r="1846" spans="1:117">
      <c r="A1846" s="453"/>
      <c r="B1846" s="1454">
        <f t="shared" si="275"/>
        <v>354700</v>
      </c>
      <c r="C1846" s="682" t="s">
        <v>2449</v>
      </c>
      <c r="D1846" s="3470" t="s">
        <v>959</v>
      </c>
      <c r="E1846" s="1393" t="s">
        <v>2451</v>
      </c>
      <c r="F1846" s="227">
        <f>ROUND(((K2855*K3048*(1/K3241-1/K3434)*K3627)/1000)*$K$3651,2)</f>
        <v>445.8</v>
      </c>
      <c r="G1846" s="570" t="s">
        <v>2138</v>
      </c>
      <c r="H1846" s="69">
        <f>VLOOKUP(G1846,'CP FACTORS'!$A$3:$B$38, 2, FALSE)</f>
        <v>9.4741810000000004E-4</v>
      </c>
      <c r="I1846" s="1477">
        <f t="shared" si="272"/>
        <v>0.42235899999999998</v>
      </c>
      <c r="J1846" s="59">
        <f t="shared" si="278"/>
        <v>12</v>
      </c>
      <c r="K1846" s="163">
        <f t="shared" si="276"/>
        <v>0</v>
      </c>
      <c r="L1846" s="255"/>
      <c r="M1846" s="560"/>
      <c r="N1846" s="572"/>
      <c r="O1846" s="417"/>
      <c r="R1846" s="532"/>
      <c r="S1846" s="52"/>
      <c r="T1846" s="52"/>
      <c r="U1846" s="574"/>
      <c r="V1846" s="1442" t="s">
        <v>45</v>
      </c>
      <c r="W1846" s="962">
        <v>479.31557142857133</v>
      </c>
      <c r="X1846" s="254">
        <v>479.31557142857133</v>
      </c>
      <c r="Y1846" s="225">
        <v>479.32</v>
      </c>
      <c r="Z1846" s="225">
        <v>479.32</v>
      </c>
      <c r="AA1846" s="225">
        <v>479.32</v>
      </c>
      <c r="AB1846" s="1027">
        <v>479.32</v>
      </c>
      <c r="AC1846" s="960">
        <v>479.32</v>
      </c>
      <c r="AD1846" s="225">
        <v>479.32</v>
      </c>
      <c r="AE1846" s="227">
        <v>372.8</v>
      </c>
      <c r="AF1846" s="271">
        <f t="shared" si="277"/>
        <v>445.8</v>
      </c>
      <c r="AG1846" s="962"/>
      <c r="AH1846" s="121"/>
      <c r="AK1846" s="963"/>
      <c r="DF1846" s="1650" t="str">
        <f t="shared" si="279"/>
        <v>ASHP-SEER20_ER2_MF</v>
      </c>
      <c r="DG1846" s="1094"/>
      <c r="DH1846" s="1393" t="str">
        <f t="shared" si="273"/>
        <v>Cooling Res ER2 12 Year EUL</v>
      </c>
      <c r="DI1846" s="1091">
        <f>(INDEX('Avoided Cost Benefits'!$B$4:$B$866,MATCH(DH1846,'Avoided Cost Benefits'!$A$4:$A$866,0)))*F1846</f>
        <v>576.82989367278492</v>
      </c>
      <c r="DJ1846" s="1176">
        <f>K1846/(1.0686^(2025-2025))</f>
        <v>0</v>
      </c>
      <c r="DM1846" s="252"/>
    </row>
    <row r="1847" spans="1:117">
      <c r="A1847" s="453"/>
      <c r="B1847" s="1454">
        <f t="shared" si="275"/>
        <v>354700</v>
      </c>
      <c r="C1847" s="682" t="s">
        <v>2449</v>
      </c>
      <c r="D1847" s="3470" t="s">
        <v>959</v>
      </c>
      <c r="E1847" s="1370" t="s">
        <v>2451</v>
      </c>
      <c r="F1847" s="227">
        <f>ROUND(((K2083*K2276*(1/K2469-1/K2662)*K3627)/1000)*$K$3651,2)</f>
        <v>1080.9000000000001</v>
      </c>
      <c r="G1847" s="570" t="s">
        <v>2173</v>
      </c>
      <c r="H1847" s="69">
        <f>VLOOKUP(G1847,'CP FACTORS'!$A$3:$B$38, 2, FALSE)</f>
        <v>0</v>
      </c>
      <c r="I1847" s="1167">
        <f t="shared" si="272"/>
        <v>0</v>
      </c>
      <c r="J1847" s="59">
        <f t="shared" si="278"/>
        <v>12</v>
      </c>
      <c r="K1847" s="163">
        <f t="shared" si="276"/>
        <v>0</v>
      </c>
      <c r="L1847" s="255"/>
      <c r="M1847" s="560"/>
      <c r="N1847" s="572"/>
      <c r="O1847" s="417"/>
      <c r="R1847" s="532"/>
      <c r="S1847" s="52"/>
      <c r="T1847" s="52"/>
      <c r="U1847" s="574"/>
      <c r="V1847" s="1442" t="s">
        <v>45</v>
      </c>
      <c r="W1847" s="962">
        <v>862.96736842105349</v>
      </c>
      <c r="X1847" s="251">
        <v>642.6078562259313</v>
      </c>
      <c r="Y1847" s="225">
        <v>642.61</v>
      </c>
      <c r="Z1847" s="225">
        <v>642.61</v>
      </c>
      <c r="AA1847" s="225">
        <v>642.61</v>
      </c>
      <c r="AB1847" s="1027">
        <v>642.61</v>
      </c>
      <c r="AC1847" s="960">
        <v>642.61</v>
      </c>
      <c r="AD1847" s="225">
        <v>642.61</v>
      </c>
      <c r="AE1847" s="227">
        <v>424.19</v>
      </c>
      <c r="AF1847" s="271">
        <f t="shared" si="277"/>
        <v>1080.9000000000001</v>
      </c>
      <c r="AG1847" s="962"/>
      <c r="AH1847" s="121"/>
      <c r="AK1847" s="963"/>
      <c r="DF1847" s="1650" t="str">
        <f t="shared" si="279"/>
        <v>ASHP-SEER20_ER2_MF</v>
      </c>
      <c r="DG1847" s="1094"/>
      <c r="DH1847" s="1370" t="str">
        <f t="shared" si="273"/>
        <v>Heating Res ER2 12 Year EUL</v>
      </c>
      <c r="DI1847" s="1091">
        <f>(INDEX('Avoided Cost Benefits'!$B$4:$B$866,MATCH(DH1847,'Avoided Cost Benefits'!$A$4:$A$866,0)))*F1847</f>
        <v>365.23181371166106</v>
      </c>
      <c r="DJ1847" s="1176">
        <f>K1847/(1.0686^(2025-2025))</f>
        <v>0</v>
      </c>
      <c r="DM1847" s="252"/>
    </row>
    <row r="1848" spans="1:117">
      <c r="A1848" s="453"/>
      <c r="B1848" s="1454">
        <f t="shared" si="275"/>
        <v>354701</v>
      </c>
      <c r="C1848" s="2554" t="s">
        <v>2452</v>
      </c>
      <c r="D1848" s="3383" t="s">
        <v>1118</v>
      </c>
      <c r="E1848" s="2521" t="s">
        <v>2453</v>
      </c>
      <c r="F1848" s="3373">
        <f>ROUND((($K$2856*$K$3049*(1/$K$3242-1/$K$3435)*$K$3628)/1000)*$K$3651,2)</f>
        <v>1139.52</v>
      </c>
      <c r="G1848" s="3384" t="str">
        <f>G1844</f>
        <v>Cooling Res</v>
      </c>
      <c r="H1848" s="2213">
        <f>VLOOKUP(G1848,'CP FACTORS'!$A$3:$B$38, 2, FALSE)</f>
        <v>9.4741810000000004E-4</v>
      </c>
      <c r="I1848" s="3405">
        <f t="shared" si="272"/>
        <v>1.079602</v>
      </c>
      <c r="J1848" s="2449">
        <f t="shared" si="278"/>
        <v>6</v>
      </c>
      <c r="K1848" s="2467">
        <f t="shared" si="276"/>
        <v>1077.5183641564863</v>
      </c>
      <c r="L1848" s="2649">
        <f>L2084</f>
        <v>3.3</v>
      </c>
      <c r="M1848" s="3386"/>
      <c r="N1848" s="3387"/>
      <c r="O1848" s="2702"/>
      <c r="P1848" s="635"/>
      <c r="Q1848" s="635"/>
      <c r="R1848" s="2966"/>
      <c r="S1848" s="635"/>
      <c r="T1848" s="635"/>
      <c r="U1848" s="3388"/>
      <c r="V1848" s="2962" t="s">
        <v>45</v>
      </c>
      <c r="W1848" s="3389"/>
      <c r="X1848" s="3390"/>
      <c r="Y1848" s="3369">
        <v>1139.52</v>
      </c>
      <c r="Z1848" s="3373">
        <v>1139.52</v>
      </c>
      <c r="AA1848" s="3373">
        <v>1139.52</v>
      </c>
      <c r="AB1848" s="3400">
        <v>1139.52</v>
      </c>
      <c r="AC1848" s="3401">
        <v>1139.52</v>
      </c>
      <c r="AD1848" s="3373">
        <v>1139.52</v>
      </c>
      <c r="AE1848" s="3373">
        <v>1139.52</v>
      </c>
      <c r="AF1848" s="2236">
        <f t="shared" si="277"/>
        <v>1139.52</v>
      </c>
      <c r="AG1848" s="3389"/>
      <c r="AH1848" s="2728"/>
      <c r="AI1848" s="2237"/>
      <c r="AJ1848" s="2237"/>
      <c r="AK1848" s="3392"/>
      <c r="AL1848" s="2237"/>
      <c r="AM1848" s="2237"/>
      <c r="AN1848" s="2237"/>
      <c r="AO1848" s="2237"/>
      <c r="AP1848" s="2237"/>
      <c r="AQ1848" s="2237"/>
      <c r="AR1848" s="2237"/>
      <c r="AS1848" s="2237"/>
      <c r="AT1848" s="2237"/>
      <c r="AU1848" s="2237"/>
      <c r="AV1848" s="2237"/>
      <c r="AW1848" s="2237"/>
      <c r="AX1848" s="2237"/>
      <c r="AY1848" s="2237"/>
      <c r="AZ1848" s="2237"/>
      <c r="BA1848" s="2237"/>
      <c r="BB1848" s="2237"/>
      <c r="BC1848" s="2237"/>
      <c r="BD1848" s="2237"/>
      <c r="BE1848" s="2237"/>
      <c r="BF1848" s="2237"/>
      <c r="BG1848" s="2237"/>
      <c r="BH1848" s="2237"/>
      <c r="BI1848" s="2237"/>
      <c r="BJ1848" s="2237"/>
      <c r="BK1848" s="2237"/>
      <c r="BL1848" s="2237"/>
      <c r="BM1848" s="2237"/>
      <c r="BN1848" s="2237"/>
      <c r="BO1848" s="2237"/>
      <c r="BP1848" s="2237"/>
      <c r="BQ1848" s="2237"/>
      <c r="BR1848" s="2237"/>
      <c r="BS1848" s="2237"/>
      <c r="BT1848" s="2237"/>
      <c r="BU1848" s="2237"/>
      <c r="BV1848" s="2237"/>
      <c r="BW1848" s="2237"/>
      <c r="BX1848" s="2237"/>
      <c r="BY1848" s="2237"/>
      <c r="BZ1848" s="2237"/>
      <c r="CA1848" s="2237"/>
      <c r="CB1848" s="2237"/>
      <c r="CC1848" s="2237"/>
      <c r="CD1848" s="2237"/>
      <c r="CE1848" s="2237"/>
      <c r="CF1848" s="2237"/>
      <c r="CG1848" s="2237"/>
      <c r="CH1848" s="2237"/>
      <c r="CI1848" s="2237"/>
      <c r="CJ1848" s="2237"/>
      <c r="CK1848" s="2237"/>
      <c r="CL1848" s="2237"/>
      <c r="CM1848" s="2237"/>
      <c r="CN1848" s="2237"/>
      <c r="CO1848" s="2237"/>
      <c r="CP1848" s="2237"/>
      <c r="CQ1848" s="2237"/>
      <c r="CR1848" s="2237"/>
      <c r="CS1848" s="2237"/>
      <c r="CT1848" s="2237"/>
      <c r="CU1848" s="2237"/>
      <c r="CV1848" s="2237"/>
      <c r="CW1848" s="2237"/>
      <c r="CX1848" s="2237"/>
      <c r="CY1848" s="2237"/>
      <c r="CZ1848" s="2237"/>
      <c r="DA1848" s="2237"/>
      <c r="DB1848" s="2237"/>
      <c r="DC1848" s="2237"/>
      <c r="DD1848" s="2237"/>
      <c r="DE1848" s="2237"/>
      <c r="DF1848" s="3393" t="str">
        <f t="shared" si="279"/>
        <v>ASHP-SEER20_ER1_MF_CompE</v>
      </c>
      <c r="DG1848" s="3259">
        <f>(DI1848+DI1849+DI1850+DI1851)/(DJ1848+DJ1849+DJ1850+DJ1851)</f>
        <v>1.7106576764982144</v>
      </c>
      <c r="DH1848" s="2521" t="str">
        <f t="shared" si="273"/>
        <v>Cooling Res 6 Year EUL</v>
      </c>
      <c r="DI1848" s="3260">
        <f>(INDEX('Avoided Cost Benefits'!$B$4:$B$866,MATCH(DH1848,'Avoided Cost Benefits'!$A$4:$A$866,0)))*F1848</f>
        <v>1134.7888238627481</v>
      </c>
      <c r="DJ1848" s="2507">
        <f>IFERROR(K1848/(1.0686^(2025-2025)),10000000)</f>
        <v>1077.5183641564863</v>
      </c>
      <c r="DM1848" s="252"/>
    </row>
    <row r="1849" spans="1:117">
      <c r="A1849" s="453"/>
      <c r="B1849" s="1454">
        <f t="shared" si="275"/>
        <v>354701</v>
      </c>
      <c r="C1849" s="2554" t="str">
        <f>C1848</f>
        <v>354701_2024_12_</v>
      </c>
      <c r="D1849" s="3383" t="s">
        <v>1118</v>
      </c>
      <c r="E1849" s="2882" t="s">
        <v>2453</v>
      </c>
      <c r="F1849" s="3373">
        <f>ROUND((($K$2084*$K$2277*(1/$K$2470-1/$K$2663)*$K$3628)/1000)*$K$3651,2)</f>
        <v>613.21</v>
      </c>
      <c r="G1849" s="3384" t="str">
        <f>G1845</f>
        <v>Heating Res</v>
      </c>
      <c r="H1849" s="2213">
        <f>VLOOKUP(G1849,'CP FACTORS'!$A$3:$B$38, 2, FALSE)</f>
        <v>0</v>
      </c>
      <c r="I1849" s="3405">
        <f t="shared" si="272"/>
        <v>0</v>
      </c>
      <c r="J1849" s="2449">
        <f t="shared" si="278"/>
        <v>6</v>
      </c>
      <c r="K1849" s="2894">
        <f t="shared" si="276"/>
        <v>0</v>
      </c>
      <c r="L1849" s="2649"/>
      <c r="M1849" s="3386"/>
      <c r="N1849" s="3387"/>
      <c r="O1849" s="2702"/>
      <c r="P1849" s="635"/>
      <c r="Q1849" s="635"/>
      <c r="R1849" s="2966"/>
      <c r="S1849" s="635"/>
      <c r="T1849" s="635"/>
      <c r="U1849" s="3388"/>
      <c r="V1849" s="2962" t="s">
        <v>45</v>
      </c>
      <c r="W1849" s="3389"/>
      <c r="X1849" s="3390"/>
      <c r="Y1849" s="3369">
        <v>613.21</v>
      </c>
      <c r="Z1849" s="3373">
        <v>613.21</v>
      </c>
      <c r="AA1849" s="3373">
        <v>613.21</v>
      </c>
      <c r="AB1849" s="3400">
        <v>613.21</v>
      </c>
      <c r="AC1849" s="3401">
        <v>613.21</v>
      </c>
      <c r="AD1849" s="3373">
        <v>613.21</v>
      </c>
      <c r="AE1849" s="3373">
        <v>613.21</v>
      </c>
      <c r="AF1849" s="2236">
        <f t="shared" si="277"/>
        <v>613.21</v>
      </c>
      <c r="AG1849" s="3389"/>
      <c r="AH1849" s="2728"/>
      <c r="AI1849" s="2237"/>
      <c r="AJ1849" s="2237"/>
      <c r="AK1849" s="3392"/>
      <c r="AL1849" s="2237"/>
      <c r="AM1849" s="2237"/>
      <c r="AN1849" s="2237"/>
      <c r="AO1849" s="2237"/>
      <c r="AP1849" s="2237"/>
      <c r="AQ1849" s="2237"/>
      <c r="AR1849" s="2237"/>
      <c r="AS1849" s="2237"/>
      <c r="AT1849" s="2237"/>
      <c r="AU1849" s="2237"/>
      <c r="AV1849" s="2237"/>
      <c r="AW1849" s="2237"/>
      <c r="AX1849" s="2237"/>
      <c r="AY1849" s="2237"/>
      <c r="AZ1849" s="2237"/>
      <c r="BA1849" s="2237"/>
      <c r="BB1849" s="2237"/>
      <c r="BC1849" s="2237"/>
      <c r="BD1849" s="2237"/>
      <c r="BE1849" s="2237"/>
      <c r="BF1849" s="2237"/>
      <c r="BG1849" s="2237"/>
      <c r="BH1849" s="2237"/>
      <c r="BI1849" s="2237"/>
      <c r="BJ1849" s="2237"/>
      <c r="BK1849" s="2237"/>
      <c r="BL1849" s="2237"/>
      <c r="BM1849" s="2237"/>
      <c r="BN1849" s="2237"/>
      <c r="BO1849" s="2237"/>
      <c r="BP1849" s="2237"/>
      <c r="BQ1849" s="2237"/>
      <c r="BR1849" s="2237"/>
      <c r="BS1849" s="2237"/>
      <c r="BT1849" s="2237"/>
      <c r="BU1849" s="2237"/>
      <c r="BV1849" s="2237"/>
      <c r="BW1849" s="2237"/>
      <c r="BX1849" s="2237"/>
      <c r="BY1849" s="2237"/>
      <c r="BZ1849" s="2237"/>
      <c r="CA1849" s="2237"/>
      <c r="CB1849" s="2237"/>
      <c r="CC1849" s="2237"/>
      <c r="CD1849" s="2237"/>
      <c r="CE1849" s="2237"/>
      <c r="CF1849" s="2237"/>
      <c r="CG1849" s="2237"/>
      <c r="CH1849" s="2237"/>
      <c r="CI1849" s="2237"/>
      <c r="CJ1849" s="2237"/>
      <c r="CK1849" s="2237"/>
      <c r="CL1849" s="2237"/>
      <c r="CM1849" s="2237"/>
      <c r="CN1849" s="2237"/>
      <c r="CO1849" s="2237"/>
      <c r="CP1849" s="2237"/>
      <c r="CQ1849" s="2237"/>
      <c r="CR1849" s="2237"/>
      <c r="CS1849" s="2237"/>
      <c r="CT1849" s="2237"/>
      <c r="CU1849" s="2237"/>
      <c r="CV1849" s="2237"/>
      <c r="CW1849" s="2237"/>
      <c r="CX1849" s="2237"/>
      <c r="CY1849" s="2237"/>
      <c r="CZ1849" s="2237"/>
      <c r="DA1849" s="2237"/>
      <c r="DB1849" s="2237"/>
      <c r="DC1849" s="2237"/>
      <c r="DD1849" s="2237"/>
      <c r="DE1849" s="2237"/>
      <c r="DF1849" s="3393" t="str">
        <f t="shared" si="279"/>
        <v>ASHP-SEER20_ER1_MF_CompE</v>
      </c>
      <c r="DG1849" s="3332"/>
      <c r="DH1849" s="2882" t="str">
        <f t="shared" si="273"/>
        <v>Heating Res 6 Year EUL</v>
      </c>
      <c r="DI1849" s="3260">
        <f>(INDEX('Avoided Cost Benefits'!$B$4:$B$866,MATCH(DH1849,'Avoided Cost Benefits'!$A$4:$A$866,0)))*F1849</f>
        <v>164.44992847139511</v>
      </c>
      <c r="DJ1849" s="2507">
        <f>K1849/(1.0686^(2025-2025))</f>
        <v>0</v>
      </c>
      <c r="DM1849" s="252"/>
    </row>
    <row r="1850" spans="1:117">
      <c r="A1850" s="453"/>
      <c r="B1850" s="1454">
        <f t="shared" si="275"/>
        <v>354701</v>
      </c>
      <c r="C1850" s="2554" t="str">
        <f>C1849</f>
        <v>354701_2024_12_</v>
      </c>
      <c r="D1850" s="3383" t="s">
        <v>1118</v>
      </c>
      <c r="E1850" s="2882" t="s">
        <v>2454</v>
      </c>
      <c r="F1850" s="3369">
        <f>ROUND((($K$2857*$K$3050*(1/$K$3243-1/$K$3436)*$K$3629)/1000)*$K$3651,2)</f>
        <v>324.22000000000003</v>
      </c>
      <c r="G1850" s="3384" t="str">
        <f>G1846</f>
        <v>Cooling Res ER2</v>
      </c>
      <c r="H1850" s="2213">
        <f>VLOOKUP(G1850,'CP FACTORS'!$A$3:$B$38, 2, FALSE)</f>
        <v>9.4741810000000004E-4</v>
      </c>
      <c r="I1850" s="3404">
        <f t="shared" si="272"/>
        <v>0.307172</v>
      </c>
      <c r="J1850" s="2449">
        <f t="shared" si="278"/>
        <v>12</v>
      </c>
      <c r="K1850" s="2894">
        <f t="shared" si="276"/>
        <v>0</v>
      </c>
      <c r="L1850" s="2649"/>
      <c r="M1850" s="3386"/>
      <c r="N1850" s="3387"/>
      <c r="O1850" s="2702"/>
      <c r="P1850" s="635"/>
      <c r="Q1850" s="635"/>
      <c r="R1850" s="2966"/>
      <c r="S1850" s="635"/>
      <c r="T1850" s="635"/>
      <c r="U1850" s="3388"/>
      <c r="V1850" s="2962" t="s">
        <v>45</v>
      </c>
      <c r="W1850" s="3389"/>
      <c r="X1850" s="3390"/>
      <c r="Y1850" s="3369">
        <v>348.59</v>
      </c>
      <c r="Z1850" s="3373">
        <v>348.59</v>
      </c>
      <c r="AA1850" s="3373">
        <v>348.59</v>
      </c>
      <c r="AB1850" s="3400">
        <v>348.59</v>
      </c>
      <c r="AC1850" s="3401">
        <v>348.59</v>
      </c>
      <c r="AD1850" s="3373">
        <v>348.59</v>
      </c>
      <c r="AE1850" s="3369">
        <v>271.13</v>
      </c>
      <c r="AF1850" s="2236">
        <f t="shared" si="277"/>
        <v>324.22000000000003</v>
      </c>
      <c r="AG1850" s="3389"/>
      <c r="AH1850" s="2728"/>
      <c r="AI1850" s="2237"/>
      <c r="AJ1850" s="2237"/>
      <c r="AK1850" s="3392"/>
      <c r="AL1850" s="2237"/>
      <c r="AM1850" s="2237"/>
      <c r="AN1850" s="2237"/>
      <c r="AO1850" s="2237"/>
      <c r="AP1850" s="2237"/>
      <c r="AQ1850" s="2237"/>
      <c r="AR1850" s="2237"/>
      <c r="AS1850" s="2237"/>
      <c r="AT1850" s="2237"/>
      <c r="AU1850" s="2237"/>
      <c r="AV1850" s="2237"/>
      <c r="AW1850" s="2237"/>
      <c r="AX1850" s="2237"/>
      <c r="AY1850" s="2237"/>
      <c r="AZ1850" s="2237"/>
      <c r="BA1850" s="2237"/>
      <c r="BB1850" s="2237"/>
      <c r="BC1850" s="2237"/>
      <c r="BD1850" s="2237"/>
      <c r="BE1850" s="2237"/>
      <c r="BF1850" s="2237"/>
      <c r="BG1850" s="2237"/>
      <c r="BH1850" s="2237"/>
      <c r="BI1850" s="2237"/>
      <c r="BJ1850" s="2237"/>
      <c r="BK1850" s="2237"/>
      <c r="BL1850" s="2237"/>
      <c r="BM1850" s="2237"/>
      <c r="BN1850" s="2237"/>
      <c r="BO1850" s="2237"/>
      <c r="BP1850" s="2237"/>
      <c r="BQ1850" s="2237"/>
      <c r="BR1850" s="2237"/>
      <c r="BS1850" s="2237"/>
      <c r="BT1850" s="2237"/>
      <c r="BU1850" s="2237"/>
      <c r="BV1850" s="2237"/>
      <c r="BW1850" s="2237"/>
      <c r="BX1850" s="2237"/>
      <c r="BY1850" s="2237"/>
      <c r="BZ1850" s="2237"/>
      <c r="CA1850" s="2237"/>
      <c r="CB1850" s="2237"/>
      <c r="CC1850" s="2237"/>
      <c r="CD1850" s="2237"/>
      <c r="CE1850" s="2237"/>
      <c r="CF1850" s="2237"/>
      <c r="CG1850" s="2237"/>
      <c r="CH1850" s="2237"/>
      <c r="CI1850" s="2237"/>
      <c r="CJ1850" s="2237"/>
      <c r="CK1850" s="2237"/>
      <c r="CL1850" s="2237"/>
      <c r="CM1850" s="2237"/>
      <c r="CN1850" s="2237"/>
      <c r="CO1850" s="2237"/>
      <c r="CP1850" s="2237"/>
      <c r="CQ1850" s="2237"/>
      <c r="CR1850" s="2237"/>
      <c r="CS1850" s="2237"/>
      <c r="CT1850" s="2237"/>
      <c r="CU1850" s="2237"/>
      <c r="CV1850" s="2237"/>
      <c r="CW1850" s="2237"/>
      <c r="CX1850" s="2237"/>
      <c r="CY1850" s="2237"/>
      <c r="CZ1850" s="2237"/>
      <c r="DA1850" s="2237"/>
      <c r="DB1850" s="2237"/>
      <c r="DC1850" s="2237"/>
      <c r="DD1850" s="2237"/>
      <c r="DE1850" s="2237"/>
      <c r="DF1850" s="3393" t="str">
        <f t="shared" si="279"/>
        <v>ASHP-SEER20_ER2_MF_CompE</v>
      </c>
      <c r="DG1850" s="3332"/>
      <c r="DH1850" s="2882" t="str">
        <f t="shared" si="273"/>
        <v>Cooling Res ER2 12 Year EUL</v>
      </c>
      <c r="DI1850" s="3260">
        <f>(INDEX('Avoided Cost Benefits'!$B$4:$B$866,MATCH(DH1850,'Avoided Cost Benefits'!$A$4:$A$866,0)))*F1850</f>
        <v>419.51500252712054</v>
      </c>
      <c r="DJ1850" s="2507">
        <f>K1850/(1.0686^(2025-2025))</f>
        <v>0</v>
      </c>
      <c r="DM1850" s="252"/>
    </row>
    <row r="1851" spans="1:117">
      <c r="A1851" s="453"/>
      <c r="B1851" s="1454">
        <f t="shared" si="275"/>
        <v>354701</v>
      </c>
      <c r="C1851" s="2554" t="str">
        <f>C1850</f>
        <v>354701_2024_12_</v>
      </c>
      <c r="D1851" s="3383" t="s">
        <v>1118</v>
      </c>
      <c r="E1851" s="2522" t="s">
        <v>2454</v>
      </c>
      <c r="F1851" s="3369">
        <f>ROUND((($K$2085*$K$2278*(1/$K$2471-1/$K$2664)*$K$3629)/1000)*$K$3651,2)</f>
        <v>368.49</v>
      </c>
      <c r="G1851" s="3384" t="str">
        <f>G1847</f>
        <v>Heating Res ER2</v>
      </c>
      <c r="H1851" s="2213">
        <f>VLOOKUP(G1851,'CP FACTORS'!$A$3:$B$38, 2, FALSE)</f>
        <v>0</v>
      </c>
      <c r="I1851" s="3405">
        <f t="shared" si="272"/>
        <v>0</v>
      </c>
      <c r="J1851" s="2449">
        <f t="shared" si="278"/>
        <v>12</v>
      </c>
      <c r="K1851" s="2894">
        <f t="shared" si="276"/>
        <v>0</v>
      </c>
      <c r="L1851" s="2649"/>
      <c r="M1851" s="3386"/>
      <c r="N1851" s="3387"/>
      <c r="O1851" s="2702"/>
      <c r="P1851" s="635"/>
      <c r="Q1851" s="635"/>
      <c r="R1851" s="2966"/>
      <c r="S1851" s="635"/>
      <c r="T1851" s="635"/>
      <c r="U1851" s="3388"/>
      <c r="V1851" s="2962" t="s">
        <v>45</v>
      </c>
      <c r="W1851" s="3389"/>
      <c r="X1851" s="3390"/>
      <c r="Y1851" s="3369">
        <v>219.07</v>
      </c>
      <c r="Z1851" s="3373">
        <v>219.07</v>
      </c>
      <c r="AA1851" s="3373">
        <v>219.07</v>
      </c>
      <c r="AB1851" s="3400">
        <v>219.07</v>
      </c>
      <c r="AC1851" s="3401">
        <v>219.07</v>
      </c>
      <c r="AD1851" s="3373">
        <v>219.07</v>
      </c>
      <c r="AE1851" s="3369">
        <v>144.61000000000001</v>
      </c>
      <c r="AF1851" s="2236">
        <f t="shared" si="277"/>
        <v>368.49</v>
      </c>
      <c r="AG1851" s="3389"/>
      <c r="AH1851" s="2728"/>
      <c r="AI1851" s="2237"/>
      <c r="AJ1851" s="2237"/>
      <c r="AK1851" s="3392"/>
      <c r="AL1851" s="2237"/>
      <c r="AM1851" s="2237"/>
      <c r="AN1851" s="2237"/>
      <c r="AO1851" s="2237"/>
      <c r="AP1851" s="2237"/>
      <c r="AQ1851" s="2237"/>
      <c r="AR1851" s="2237"/>
      <c r="AS1851" s="2237"/>
      <c r="AT1851" s="2237"/>
      <c r="AU1851" s="2237"/>
      <c r="AV1851" s="2237"/>
      <c r="AW1851" s="2237"/>
      <c r="AX1851" s="2237"/>
      <c r="AY1851" s="2237"/>
      <c r="AZ1851" s="2237"/>
      <c r="BA1851" s="2237"/>
      <c r="BB1851" s="2237"/>
      <c r="BC1851" s="2237"/>
      <c r="BD1851" s="2237"/>
      <c r="BE1851" s="2237"/>
      <c r="BF1851" s="2237"/>
      <c r="BG1851" s="2237"/>
      <c r="BH1851" s="2237"/>
      <c r="BI1851" s="2237"/>
      <c r="BJ1851" s="2237"/>
      <c r="BK1851" s="2237"/>
      <c r="BL1851" s="2237"/>
      <c r="BM1851" s="2237"/>
      <c r="BN1851" s="2237"/>
      <c r="BO1851" s="2237"/>
      <c r="BP1851" s="2237"/>
      <c r="BQ1851" s="2237"/>
      <c r="BR1851" s="2237"/>
      <c r="BS1851" s="2237"/>
      <c r="BT1851" s="2237"/>
      <c r="BU1851" s="2237"/>
      <c r="BV1851" s="2237"/>
      <c r="BW1851" s="2237"/>
      <c r="BX1851" s="2237"/>
      <c r="BY1851" s="2237"/>
      <c r="BZ1851" s="2237"/>
      <c r="CA1851" s="2237"/>
      <c r="CB1851" s="2237"/>
      <c r="CC1851" s="2237"/>
      <c r="CD1851" s="2237"/>
      <c r="CE1851" s="2237"/>
      <c r="CF1851" s="2237"/>
      <c r="CG1851" s="2237"/>
      <c r="CH1851" s="2237"/>
      <c r="CI1851" s="2237"/>
      <c r="CJ1851" s="2237"/>
      <c r="CK1851" s="2237"/>
      <c r="CL1851" s="2237"/>
      <c r="CM1851" s="2237"/>
      <c r="CN1851" s="2237"/>
      <c r="CO1851" s="2237"/>
      <c r="CP1851" s="2237"/>
      <c r="CQ1851" s="2237"/>
      <c r="CR1851" s="2237"/>
      <c r="CS1851" s="2237"/>
      <c r="CT1851" s="2237"/>
      <c r="CU1851" s="2237"/>
      <c r="CV1851" s="2237"/>
      <c r="CW1851" s="2237"/>
      <c r="CX1851" s="2237"/>
      <c r="CY1851" s="2237"/>
      <c r="CZ1851" s="2237"/>
      <c r="DA1851" s="2237"/>
      <c r="DB1851" s="2237"/>
      <c r="DC1851" s="2237"/>
      <c r="DD1851" s="2237"/>
      <c r="DE1851" s="2237"/>
      <c r="DF1851" s="3393" t="str">
        <f t="shared" si="279"/>
        <v>ASHP-SEER20_ER2_MF_CompE</v>
      </c>
      <c r="DG1851" s="3332"/>
      <c r="DH1851" s="2522" t="str">
        <f t="shared" si="273"/>
        <v>Heating Res ER2 12 Year EUL</v>
      </c>
      <c r="DI1851" s="3260">
        <f>(INDEX('Avoided Cost Benefits'!$B$4:$B$866,MATCH(DH1851,'Avoided Cost Benefits'!$A$4:$A$866,0)))*F1851</f>
        <v>124.51130635082799</v>
      </c>
      <c r="DJ1851" s="2507">
        <f>K1851/(1.0686^(2025-2025))</f>
        <v>0</v>
      </c>
      <c r="DM1851" s="252"/>
    </row>
    <row r="1852" spans="1:117">
      <c r="A1852" s="453"/>
      <c r="B1852" s="1454">
        <f t="shared" si="275"/>
        <v>354750</v>
      </c>
      <c r="C1852" s="682" t="s">
        <v>2455</v>
      </c>
      <c r="D1852" s="3470" t="s">
        <v>1043</v>
      </c>
      <c r="E1852" s="1369" t="s">
        <v>2456</v>
      </c>
      <c r="F1852" s="227">
        <f>ROUND(((K2858*K3051*(1/K3244-1/K3437)*K3630)/1000)*$K$3651,2)</f>
        <v>2498.89</v>
      </c>
      <c r="G1852" s="570" t="s">
        <v>2077</v>
      </c>
      <c r="H1852" s="69">
        <f>VLOOKUP(G1852,'CP FACTORS'!$A$3:$B$38, 2, FALSE)</f>
        <v>9.4741810000000004E-4</v>
      </c>
      <c r="I1852" s="1477">
        <f t="shared" si="272"/>
        <v>2.3674940000000002</v>
      </c>
      <c r="J1852" s="59">
        <f t="shared" si="278"/>
        <v>6</v>
      </c>
      <c r="K1852" s="166">
        <f t="shared" si="276"/>
        <v>1078.0210431568885</v>
      </c>
      <c r="L1852" s="1107">
        <f>L2086</f>
        <v>3.3440561485431846</v>
      </c>
      <c r="M1852" s="560"/>
      <c r="N1852" s="572"/>
      <c r="O1852" s="417"/>
      <c r="R1852" s="532"/>
      <c r="S1852" s="52"/>
      <c r="T1852" s="52"/>
      <c r="U1852" s="574"/>
      <c r="V1852" s="1442" t="s">
        <v>45</v>
      </c>
      <c r="W1852" s="962">
        <v>3140.8142857142857</v>
      </c>
      <c r="X1852" s="251">
        <v>2492.4547418967586</v>
      </c>
      <c r="Y1852" s="225">
        <v>2492.4499999999998</v>
      </c>
      <c r="Z1852" s="225">
        <v>2492.4499999999998</v>
      </c>
      <c r="AA1852" s="225">
        <v>2492.4499999999998</v>
      </c>
      <c r="AB1852" s="1027">
        <v>2492.4499999999998</v>
      </c>
      <c r="AC1852" s="227">
        <v>2550</v>
      </c>
      <c r="AD1852" s="227">
        <v>2958.13</v>
      </c>
      <c r="AE1852" s="227">
        <v>2702.24</v>
      </c>
      <c r="AF1852" s="271">
        <f t="shared" si="277"/>
        <v>2498.89</v>
      </c>
      <c r="AG1852" s="962"/>
      <c r="AH1852" s="121"/>
      <c r="AK1852" s="963"/>
      <c r="DF1852" s="1650" t="str">
        <f t="shared" si="279"/>
        <v>ASHP-SEER21_ER1_SF</v>
      </c>
      <c r="DG1852" s="1090">
        <f>(DI1852+DI1853+DI1854+DI1855)/(DJ1852+DJ1853+DJ1854+DJ1855)</f>
        <v>4.9132558915014366</v>
      </c>
      <c r="DH1852" s="1369" t="str">
        <f t="shared" si="273"/>
        <v>Cooling Res 6 Year EUL</v>
      </c>
      <c r="DI1852" s="1091">
        <f>(INDEX('Avoided Cost Benefits'!$B$4:$B$866,MATCH(DH1852,'Avoided Cost Benefits'!$A$4:$A$866,0)))*F1852</f>
        <v>2488.5148519221975</v>
      </c>
      <c r="DJ1852" s="1176">
        <f>IFERROR(K1852/(1.0686^(2025-2025)),10000000)</f>
        <v>1078.0210431568885</v>
      </c>
      <c r="DM1852" s="252"/>
    </row>
    <row r="1853" spans="1:117">
      <c r="A1853" s="453"/>
      <c r="B1853" s="1454">
        <f t="shared" si="275"/>
        <v>354750</v>
      </c>
      <c r="C1853" s="682" t="s">
        <v>2455</v>
      </c>
      <c r="D1853" s="3470" t="s">
        <v>1043</v>
      </c>
      <c r="E1853" s="1393" t="s">
        <v>2456</v>
      </c>
      <c r="F1853" s="225">
        <f>ROUND(((K2086*K2279*(1/K2472-1/K2665)*K3630)/1000)*$K$3651,2)</f>
        <v>3540.79</v>
      </c>
      <c r="G1853" s="570" t="s">
        <v>2078</v>
      </c>
      <c r="H1853" s="69">
        <f>VLOOKUP(G1853,'CP FACTORS'!$A$3:$B$38, 2, FALSE)</f>
        <v>0</v>
      </c>
      <c r="I1853" s="1167">
        <f t="shared" si="272"/>
        <v>0</v>
      </c>
      <c r="J1853" s="59">
        <f t="shared" si="278"/>
        <v>6</v>
      </c>
      <c r="K1853" s="163">
        <f t="shared" si="276"/>
        <v>0</v>
      </c>
      <c r="L1853" s="255"/>
      <c r="M1853" s="560"/>
      <c r="N1853" s="572"/>
      <c r="O1853" s="417"/>
      <c r="R1853" s="532"/>
      <c r="S1853" s="52"/>
      <c r="T1853" s="52"/>
      <c r="U1853" s="574"/>
      <c r="V1853" s="1442" t="s">
        <v>45</v>
      </c>
      <c r="W1853" s="962">
        <v>6249.9803405572748</v>
      </c>
      <c r="X1853" s="251">
        <v>2767.3247800351946</v>
      </c>
      <c r="Y1853" s="225">
        <v>2767.32</v>
      </c>
      <c r="Z1853" s="225">
        <v>2767.32</v>
      </c>
      <c r="AA1853" s="225">
        <v>2767.32</v>
      </c>
      <c r="AB1853" s="1027">
        <v>2767.32</v>
      </c>
      <c r="AC1853" s="227">
        <v>3612.16</v>
      </c>
      <c r="AD1853" s="227">
        <v>3535.71</v>
      </c>
      <c r="AE1853" s="227">
        <v>3540.79</v>
      </c>
      <c r="AF1853" s="271">
        <f t="shared" si="277"/>
        <v>3540.79</v>
      </c>
      <c r="AG1853" s="962"/>
      <c r="AH1853" s="121"/>
      <c r="AK1853" s="963"/>
      <c r="DF1853" s="1650" t="str">
        <f t="shared" si="279"/>
        <v>ASHP-SEER21_ER1_SF</v>
      </c>
      <c r="DG1853" s="1094"/>
      <c r="DH1853" s="1393" t="str">
        <f t="shared" si="273"/>
        <v>Heating Res 6 Year EUL</v>
      </c>
      <c r="DI1853" s="1091">
        <f>(INDEX('Avoided Cost Benefits'!$B$4:$B$866,MATCH(DH1853,'Avoided Cost Benefits'!$A$4:$A$866,0)))*F1853</f>
        <v>949.56485091931154</v>
      </c>
      <c r="DJ1853" s="1176">
        <f>K1853/(1.0686^(2025-2025))</f>
        <v>0</v>
      </c>
      <c r="DM1853" s="252"/>
    </row>
    <row r="1854" spans="1:117">
      <c r="A1854" s="453"/>
      <c r="B1854" s="1454">
        <f t="shared" si="275"/>
        <v>354750</v>
      </c>
      <c r="C1854" s="682" t="s">
        <v>2455</v>
      </c>
      <c r="D1854" s="3470" t="s">
        <v>1043</v>
      </c>
      <c r="E1854" s="1393" t="s">
        <v>2457</v>
      </c>
      <c r="F1854" s="227">
        <f>ROUND(((K2859*K3052*(1/K3245-1/K3438)*K3631)/1000)*$K$3651,2)</f>
        <v>803.95</v>
      </c>
      <c r="G1854" s="570" t="s">
        <v>2138</v>
      </c>
      <c r="H1854" s="69">
        <f>VLOOKUP(G1854,'CP FACTORS'!$A$3:$B$38, 2, FALSE)</f>
        <v>9.4741810000000004E-4</v>
      </c>
      <c r="I1854" s="1477">
        <f t="shared" si="272"/>
        <v>0.76167700000000005</v>
      </c>
      <c r="J1854" s="59">
        <f t="shared" si="278"/>
        <v>12</v>
      </c>
      <c r="K1854" s="163">
        <f t="shared" si="276"/>
        <v>0</v>
      </c>
      <c r="L1854" s="255"/>
      <c r="M1854" s="560"/>
      <c r="N1854" s="572"/>
      <c r="O1854" s="417"/>
      <c r="R1854" s="532"/>
      <c r="S1854" s="52"/>
      <c r="T1854" s="52"/>
      <c r="U1854" s="574"/>
      <c r="V1854" s="1442" t="s">
        <v>45</v>
      </c>
      <c r="W1854" s="962">
        <v>819.34285714285704</v>
      </c>
      <c r="X1854" s="254">
        <v>819.34285714285704</v>
      </c>
      <c r="Y1854" s="225">
        <v>819.34</v>
      </c>
      <c r="Z1854" s="225">
        <v>819.34</v>
      </c>
      <c r="AA1854" s="225">
        <v>819.34</v>
      </c>
      <c r="AB1854" s="1027">
        <v>819.34</v>
      </c>
      <c r="AC1854" s="227">
        <v>905.45</v>
      </c>
      <c r="AD1854" s="227">
        <v>877.41</v>
      </c>
      <c r="AE1854" s="227">
        <v>723.75</v>
      </c>
      <c r="AF1854" s="271">
        <f t="shared" si="277"/>
        <v>803.95</v>
      </c>
      <c r="AG1854" s="962"/>
      <c r="AH1854" s="121"/>
      <c r="AK1854" s="963"/>
      <c r="DF1854" s="1650" t="str">
        <f t="shared" si="279"/>
        <v>ASHP-SEER21_ER2_SF</v>
      </c>
      <c r="DG1854" s="1094"/>
      <c r="DH1854" s="1393" t="str">
        <f t="shared" si="273"/>
        <v>Cooling Res ER2 12 Year EUL</v>
      </c>
      <c r="DI1854" s="1091">
        <f>(INDEX('Avoided Cost Benefits'!$B$4:$B$866,MATCH(DH1854,'Avoided Cost Benefits'!$A$4:$A$866,0)))*F1854</f>
        <v>1040.2476290225111</v>
      </c>
      <c r="DJ1854" s="1176">
        <f>K1854/(1.0686^(2025-2025))</f>
        <v>0</v>
      </c>
      <c r="DM1854" s="252"/>
    </row>
    <row r="1855" spans="1:117">
      <c r="A1855" s="453"/>
      <c r="B1855" s="1454">
        <f t="shared" si="275"/>
        <v>354750</v>
      </c>
      <c r="C1855" s="682" t="s">
        <v>2455</v>
      </c>
      <c r="D1855" s="3470" t="s">
        <v>1043</v>
      </c>
      <c r="E1855" s="1370" t="s">
        <v>2457</v>
      </c>
      <c r="F1855" s="227">
        <f>ROUND(((K2087*K2280*(1/K2473-1/K2666)*K3631)/1000)*$K$3651,2)</f>
        <v>2421.65</v>
      </c>
      <c r="G1855" s="570" t="s">
        <v>2173</v>
      </c>
      <c r="H1855" s="69">
        <f>VLOOKUP(G1855,'CP FACTORS'!$A$3:$B$38, 2, FALSE)</f>
        <v>0</v>
      </c>
      <c r="I1855" s="1167">
        <f t="shared" si="272"/>
        <v>0</v>
      </c>
      <c r="J1855" s="59">
        <f t="shared" si="278"/>
        <v>12</v>
      </c>
      <c r="K1855" s="163">
        <f t="shared" si="276"/>
        <v>0</v>
      </c>
      <c r="L1855" s="255"/>
      <c r="M1855" s="560"/>
      <c r="N1855" s="572"/>
      <c r="O1855" s="417"/>
      <c r="R1855" s="532"/>
      <c r="S1855" s="52"/>
      <c r="T1855" s="52"/>
      <c r="U1855" s="574"/>
      <c r="V1855" s="1442" t="s">
        <v>45</v>
      </c>
      <c r="W1855" s="962">
        <v>1327.6421052631592</v>
      </c>
      <c r="X1855" s="251">
        <v>988.62747111681745</v>
      </c>
      <c r="Y1855" s="225">
        <v>988.63</v>
      </c>
      <c r="Z1855" s="225">
        <v>988.63</v>
      </c>
      <c r="AA1855" s="225">
        <v>988.63</v>
      </c>
      <c r="AB1855" s="1027">
        <v>988.63</v>
      </c>
      <c r="AC1855" s="227">
        <v>1787.85</v>
      </c>
      <c r="AD1855" s="227">
        <v>1728.93</v>
      </c>
      <c r="AE1855" s="227">
        <v>1397.84</v>
      </c>
      <c r="AF1855" s="271">
        <f t="shared" si="277"/>
        <v>2421.65</v>
      </c>
      <c r="AG1855" s="962"/>
      <c r="AH1855" s="121"/>
      <c r="AK1855" s="963"/>
      <c r="DF1855" s="1650" t="str">
        <f t="shared" si="279"/>
        <v>ASHP-SEER21_ER2_SF</v>
      </c>
      <c r="DG1855" s="1094"/>
      <c r="DH1855" s="1370" t="str">
        <f t="shared" si="273"/>
        <v>Heating Res ER2 12 Year EUL</v>
      </c>
      <c r="DI1855" s="1091">
        <f>(INDEX('Avoided Cost Benefits'!$B$4:$B$866,MATCH(DH1855,'Avoided Cost Benefits'!$A$4:$A$866,0)))*F1855</f>
        <v>818.26590958908685</v>
      </c>
      <c r="DJ1855" s="1176">
        <f>K1855/(1.0686^(2025-2025))</f>
        <v>0</v>
      </c>
      <c r="DM1855" s="252"/>
    </row>
    <row r="1856" spans="1:117">
      <c r="A1856" s="453"/>
      <c r="B1856" s="1454">
        <f t="shared" si="275"/>
        <v>354800</v>
      </c>
      <c r="C1856" s="682" t="s">
        <v>2458</v>
      </c>
      <c r="D1856" s="3470" t="s">
        <v>1043</v>
      </c>
      <c r="E1856" s="215" t="s">
        <v>2459</v>
      </c>
      <c r="F1856" s="227">
        <f>ROUND(((K2860*K3053*(1/K3246-1/K3439)*K3632)/1000)*$K$3651,2)</f>
        <v>820</v>
      </c>
      <c r="G1856" s="570" t="s">
        <v>2077</v>
      </c>
      <c r="H1856" s="69">
        <f>VLOOKUP(G1856,'CP FACTORS'!$A$3:$B$38, 2, FALSE)</f>
        <v>9.4741810000000004E-4</v>
      </c>
      <c r="I1856" s="1477">
        <f t="shared" si="272"/>
        <v>0.77688299999999999</v>
      </c>
      <c r="J1856" s="59">
        <f t="shared" si="278"/>
        <v>18</v>
      </c>
      <c r="K1856" s="166">
        <f t="shared" si="276"/>
        <v>1081</v>
      </c>
      <c r="L1856" s="255"/>
      <c r="M1856" s="560"/>
      <c r="N1856" s="572"/>
      <c r="O1856" s="417"/>
      <c r="R1856" s="532"/>
      <c r="S1856" s="52"/>
      <c r="T1856" s="52"/>
      <c r="U1856" s="574"/>
      <c r="V1856" s="1442" t="s">
        <v>45</v>
      </c>
      <c r="W1856" s="962">
        <v>819.34285714285704</v>
      </c>
      <c r="X1856" s="254">
        <v>819.34285714285704</v>
      </c>
      <c r="Y1856" s="225">
        <v>819.34</v>
      </c>
      <c r="Z1856" s="225">
        <v>819.34</v>
      </c>
      <c r="AA1856" s="225">
        <v>819.34</v>
      </c>
      <c r="AB1856" s="1027">
        <v>819.34</v>
      </c>
      <c r="AC1856" s="227">
        <v>995.87</v>
      </c>
      <c r="AD1856" s="227">
        <v>924.97</v>
      </c>
      <c r="AE1856" s="227">
        <v>812.08</v>
      </c>
      <c r="AF1856" s="271">
        <f t="shared" si="277"/>
        <v>820</v>
      </c>
      <c r="AG1856" s="962"/>
      <c r="AH1856" s="121"/>
      <c r="AK1856" s="963"/>
      <c r="DF1856" s="1650" t="str">
        <f t="shared" si="279"/>
        <v>ASHP-SEER21_ROF_SF</v>
      </c>
      <c r="DG1856" s="1090">
        <f>(DI1856+DI1857)/(DJ1856+DJ1857)</f>
        <v>3.1015975504547115</v>
      </c>
      <c r="DH1856" s="215" t="str">
        <f t="shared" si="273"/>
        <v>Cooling Res 18 Year EUL</v>
      </c>
      <c r="DI1856" s="1091">
        <f>(INDEX('Avoided Cost Benefits'!$B$4:$B$866,MATCH(DH1856,'Avoided Cost Benefits'!$A$4:$A$866,0)))*F1856</f>
        <v>1877.6104977054488</v>
      </c>
      <c r="DJ1856" s="1176">
        <f>IFERROR(K1856/(1.0686^(2025-2025)),10000000)</f>
        <v>1081</v>
      </c>
      <c r="DM1856" s="252"/>
    </row>
    <row r="1857" spans="1:117">
      <c r="A1857" s="453"/>
      <c r="B1857" s="1454">
        <f t="shared" si="275"/>
        <v>354800</v>
      </c>
      <c r="C1857" s="682" t="s">
        <v>2458</v>
      </c>
      <c r="D1857" s="3470" t="s">
        <v>1043</v>
      </c>
      <c r="E1857" s="253" t="s">
        <v>2459</v>
      </c>
      <c r="F1857" s="227">
        <f>ROUND(((K2088*K2281*(1/K2474-1/K2667)*K3632)/1000)*$K$3651,2)</f>
        <v>2434.0500000000002</v>
      </c>
      <c r="G1857" s="570" t="s">
        <v>2078</v>
      </c>
      <c r="H1857" s="69">
        <f>VLOOKUP(G1857,'CP FACTORS'!$A$3:$B$38, 2, FALSE)</f>
        <v>0</v>
      </c>
      <c r="I1857" s="1167">
        <f t="shared" si="272"/>
        <v>0</v>
      </c>
      <c r="J1857" s="59">
        <f t="shared" si="278"/>
        <v>18</v>
      </c>
      <c r="K1857" s="163">
        <f t="shared" si="276"/>
        <v>0</v>
      </c>
      <c r="L1857" s="255"/>
      <c r="M1857" s="560"/>
      <c r="N1857" s="572"/>
      <c r="O1857" s="417"/>
      <c r="R1857" s="532"/>
      <c r="S1857" s="52"/>
      <c r="T1857" s="52"/>
      <c r="U1857" s="574"/>
      <c r="V1857" s="1442" t="s">
        <v>45</v>
      </c>
      <c r="W1857" s="962">
        <v>1584.0000000000018</v>
      </c>
      <c r="X1857" s="251">
        <v>1179.5241413638641</v>
      </c>
      <c r="Y1857" s="225">
        <v>1179.52</v>
      </c>
      <c r="Z1857" s="225">
        <v>1179.52</v>
      </c>
      <c r="AA1857" s="225">
        <v>1179.52</v>
      </c>
      <c r="AB1857" s="1027">
        <v>1179.52</v>
      </c>
      <c r="AC1857" s="227">
        <v>2086.7199999999998</v>
      </c>
      <c r="AD1857" s="227">
        <v>1933.69</v>
      </c>
      <c r="AE1857" s="227">
        <v>1371.7</v>
      </c>
      <c r="AF1857" s="271">
        <f t="shared" si="277"/>
        <v>2434.0500000000002</v>
      </c>
      <c r="AG1857" s="962"/>
      <c r="AH1857" s="121"/>
      <c r="AK1857" s="963"/>
      <c r="DF1857" s="1650" t="str">
        <f t="shared" si="279"/>
        <v>ASHP-SEER21_ROF_SF</v>
      </c>
      <c r="DG1857" s="1092"/>
      <c r="DH1857" s="253" t="str">
        <f t="shared" si="273"/>
        <v>Heating Res 18 Year EUL</v>
      </c>
      <c r="DI1857" s="1091">
        <f>(INDEX('Avoided Cost Benefits'!$B$4:$B$866,MATCH(DH1857,'Avoided Cost Benefits'!$A$4:$A$866,0)))*F1857</f>
        <v>1475.2164543360946</v>
      </c>
      <c r="DJ1857" s="1176">
        <f>K1857/(1.0686^(2025-2025))</f>
        <v>0</v>
      </c>
      <c r="DM1857" s="252"/>
    </row>
    <row r="1858" spans="1:117">
      <c r="A1858" s="453"/>
      <c r="B1858" s="1454">
        <f t="shared" si="275"/>
        <v>354850</v>
      </c>
      <c r="C1858" s="682" t="s">
        <v>2460</v>
      </c>
      <c r="D1858" s="3470" t="s">
        <v>959</v>
      </c>
      <c r="E1858" s="215" t="s">
        <v>2461</v>
      </c>
      <c r="F1858" s="227">
        <f>ROUND((($K$2861*$K$3054*(1/$K$3247-1/$K$3440)*$K$3633)/1000)*$K$3651,2)</f>
        <v>512.58000000000004</v>
      </c>
      <c r="G1858" s="570" t="s">
        <v>2077</v>
      </c>
      <c r="H1858" s="69">
        <f>VLOOKUP(G1858,'CP FACTORS'!$A$3:$B$38, 2, FALSE)</f>
        <v>9.4741810000000004E-4</v>
      </c>
      <c r="I1858" s="1477">
        <f t="shared" si="272"/>
        <v>0.485628</v>
      </c>
      <c r="J1858" s="59">
        <f t="shared" si="278"/>
        <v>18</v>
      </c>
      <c r="K1858" s="166">
        <f t="shared" si="276"/>
        <v>3689</v>
      </c>
      <c r="L1858" s="255">
        <f>L2089</f>
        <v>2.8</v>
      </c>
      <c r="M1858" s="560"/>
      <c r="N1858" s="572"/>
      <c r="O1858" s="417"/>
      <c r="R1858" s="532"/>
      <c r="S1858" s="52"/>
      <c r="T1858" s="52"/>
      <c r="U1858" s="574"/>
      <c r="V1858" s="1442" t="s">
        <v>45</v>
      </c>
      <c r="W1858" s="962">
        <v>556.1600000000002</v>
      </c>
      <c r="X1858" s="254">
        <v>556.1600000000002</v>
      </c>
      <c r="Y1858" s="225">
        <v>556.16</v>
      </c>
      <c r="Z1858" s="225">
        <v>556.16</v>
      </c>
      <c r="AA1858" s="225">
        <v>556.16</v>
      </c>
      <c r="AB1858" s="1027">
        <v>556.16</v>
      </c>
      <c r="AC1858" s="960">
        <v>556.16</v>
      </c>
      <c r="AD1858" s="225">
        <v>556.16</v>
      </c>
      <c r="AE1858" s="227">
        <v>451.88</v>
      </c>
      <c r="AF1858" s="271">
        <f t="shared" si="277"/>
        <v>512.58000000000004</v>
      </c>
      <c r="AG1858" s="962"/>
      <c r="AH1858" s="121"/>
      <c r="AK1858" s="963"/>
      <c r="DF1858" s="1650" t="str">
        <f t="shared" si="279"/>
        <v>ASHP-SEER21-Replace_CAC_ElectricHeat_ROF_MF</v>
      </c>
      <c r="DG1858" s="1090">
        <f>(DI1858+DI1859)/(DJ1858+DJ1859)</f>
        <v>1.3389263665740025</v>
      </c>
      <c r="DH1858" s="215" t="str">
        <f t="shared" si="273"/>
        <v>Cooling Res 18 Year EUL</v>
      </c>
      <c r="DI1858" s="1091">
        <f>(INDEX('Avoided Cost Benefits'!$B$4:$B$866,MATCH(DH1858,'Avoided Cost Benefits'!$A$4:$A$866,0)))*F1858</f>
        <v>1173.6897425778768</v>
      </c>
      <c r="DJ1858" s="1176">
        <f>IFERROR(K1858/(1.0686^(2025-2025)),10000000)</f>
        <v>3689</v>
      </c>
      <c r="DM1858" s="252"/>
    </row>
    <row r="1859" spans="1:117">
      <c r="A1859" s="453"/>
      <c r="B1859" s="1454">
        <f t="shared" si="275"/>
        <v>354850</v>
      </c>
      <c r="C1859" s="682" t="s">
        <v>2460</v>
      </c>
      <c r="D1859" s="3470" t="s">
        <v>959</v>
      </c>
      <c r="E1859" s="253" t="s">
        <v>2461</v>
      </c>
      <c r="F1859" s="225">
        <f>ROUND((($K$2089*$K$2282*(1/$K$2475-1/$K$2668)*$K$3633)/1000)*$K$3651,2)</f>
        <v>6213.11</v>
      </c>
      <c r="G1859" s="570" t="s">
        <v>2078</v>
      </c>
      <c r="H1859" s="69">
        <f>VLOOKUP(G1859,'CP FACTORS'!$A$3:$B$38, 2, FALSE)</f>
        <v>0</v>
      </c>
      <c r="I1859" s="1167">
        <f t="shared" si="272"/>
        <v>0</v>
      </c>
      <c r="J1859" s="59">
        <f t="shared" si="278"/>
        <v>18</v>
      </c>
      <c r="K1859" s="163">
        <f t="shared" si="276"/>
        <v>0</v>
      </c>
      <c r="L1859" s="255"/>
      <c r="M1859" s="560"/>
      <c r="N1859" s="572"/>
      <c r="O1859" s="417"/>
      <c r="R1859" s="532"/>
      <c r="S1859" s="52"/>
      <c r="T1859" s="52"/>
      <c r="U1859" s="574"/>
      <c r="V1859" s="1442" t="s">
        <v>45</v>
      </c>
      <c r="W1859" s="962">
        <v>8343.6696919309452</v>
      </c>
      <c r="X1859" s="251">
        <v>6213.105952776853</v>
      </c>
      <c r="Y1859" s="225">
        <v>6213.11</v>
      </c>
      <c r="Z1859" s="225">
        <v>6213.11</v>
      </c>
      <c r="AA1859" s="225">
        <v>6213.11</v>
      </c>
      <c r="AB1859" s="1027">
        <v>6213.11</v>
      </c>
      <c r="AC1859" s="960">
        <v>6213.11</v>
      </c>
      <c r="AD1859" s="225">
        <v>6213.11</v>
      </c>
      <c r="AE1859" s="225">
        <v>6213.11</v>
      </c>
      <c r="AF1859" s="271">
        <f t="shared" si="277"/>
        <v>6213.11</v>
      </c>
      <c r="AG1859" s="962"/>
      <c r="AH1859" s="121"/>
      <c r="AK1859" s="963"/>
      <c r="DF1859" s="1650" t="str">
        <f t="shared" si="279"/>
        <v>ASHP-SEER21-Replace_CAC_ElectricHeat_ROF_MF</v>
      </c>
      <c r="DG1859" s="1092"/>
      <c r="DH1859" s="253" t="str">
        <f t="shared" si="273"/>
        <v>Heating Res 18 Year EUL</v>
      </c>
      <c r="DI1859" s="1091">
        <f>(INDEX('Avoided Cost Benefits'!$B$4:$B$866,MATCH(DH1859,'Avoided Cost Benefits'!$A$4:$A$866,0)))*F1859</f>
        <v>3765.609623713618</v>
      </c>
      <c r="DJ1859" s="1176">
        <f>K1859/(1.0686^(2025-2025))</f>
        <v>0</v>
      </c>
      <c r="DM1859" s="252"/>
    </row>
    <row r="1860" spans="1:117">
      <c r="A1860" s="453"/>
      <c r="B1860" s="1454">
        <f t="shared" si="275"/>
        <v>354851</v>
      </c>
      <c r="C1860" s="2554" t="s">
        <v>2462</v>
      </c>
      <c r="D1860" s="3383" t="s">
        <v>1118</v>
      </c>
      <c r="E1860" s="2521" t="s">
        <v>2463</v>
      </c>
      <c r="F1860" s="3369">
        <f>ROUND((($K$2862*$K$3055*(1/$K$3248-1/$K$3441)*$K$3634)/1000)*$K$3651,2)</f>
        <v>372.79</v>
      </c>
      <c r="G1860" s="3384" t="str">
        <f>G1858</f>
        <v>Cooling Res</v>
      </c>
      <c r="H1860" s="2213">
        <f>VLOOKUP(G1860,'CP FACTORS'!$A$3:$B$38, 2, FALSE)</f>
        <v>9.4741810000000004E-4</v>
      </c>
      <c r="I1860" s="3404">
        <f t="shared" si="272"/>
        <v>0.353188</v>
      </c>
      <c r="J1860" s="2449">
        <f t="shared" si="278"/>
        <v>18</v>
      </c>
      <c r="K1860" s="2467">
        <f t="shared" si="276"/>
        <v>3689</v>
      </c>
      <c r="L1860" s="2649">
        <f>L2090</f>
        <v>2.8</v>
      </c>
      <c r="M1860" s="3386"/>
      <c r="N1860" s="3387"/>
      <c r="O1860" s="2702"/>
      <c r="P1860" s="635"/>
      <c r="Q1860" s="635"/>
      <c r="R1860" s="2966"/>
      <c r="S1860" s="635"/>
      <c r="T1860" s="635"/>
      <c r="U1860" s="3388"/>
      <c r="V1860" s="2962" t="s">
        <v>45</v>
      </c>
      <c r="W1860" s="3389"/>
      <c r="X1860" s="3390"/>
      <c r="Y1860" s="3369">
        <v>404.48</v>
      </c>
      <c r="Z1860" s="3373">
        <v>404.48</v>
      </c>
      <c r="AA1860" s="3373">
        <v>404.48</v>
      </c>
      <c r="AB1860" s="3400">
        <v>404.48</v>
      </c>
      <c r="AC1860" s="3401">
        <v>404.48</v>
      </c>
      <c r="AD1860" s="3373">
        <v>404.48</v>
      </c>
      <c r="AE1860" s="3369">
        <v>328.64</v>
      </c>
      <c r="AF1860" s="2236">
        <f t="shared" si="277"/>
        <v>372.79</v>
      </c>
      <c r="AG1860" s="3389"/>
      <c r="AH1860" s="2728"/>
      <c r="AI1860" s="2237"/>
      <c r="AJ1860" s="2237"/>
      <c r="AK1860" s="3392"/>
      <c r="AL1860" s="2237"/>
      <c r="AM1860" s="2237"/>
      <c r="AN1860" s="2237"/>
      <c r="AO1860" s="2237"/>
      <c r="AP1860" s="2237"/>
      <c r="AQ1860" s="2237"/>
      <c r="AR1860" s="2237"/>
      <c r="AS1860" s="2237"/>
      <c r="AT1860" s="2237"/>
      <c r="AU1860" s="2237"/>
      <c r="AV1860" s="2237"/>
      <c r="AW1860" s="2237"/>
      <c r="AX1860" s="2237"/>
      <c r="AY1860" s="2237"/>
      <c r="AZ1860" s="2237"/>
      <c r="BA1860" s="2237"/>
      <c r="BB1860" s="2237"/>
      <c r="BC1860" s="2237"/>
      <c r="BD1860" s="2237"/>
      <c r="BE1860" s="2237"/>
      <c r="BF1860" s="2237"/>
      <c r="BG1860" s="2237"/>
      <c r="BH1860" s="2237"/>
      <c r="BI1860" s="2237"/>
      <c r="BJ1860" s="2237"/>
      <c r="BK1860" s="2237"/>
      <c r="BL1860" s="2237"/>
      <c r="BM1860" s="2237"/>
      <c r="BN1860" s="2237"/>
      <c r="BO1860" s="2237"/>
      <c r="BP1860" s="2237"/>
      <c r="BQ1860" s="2237"/>
      <c r="BR1860" s="2237"/>
      <c r="BS1860" s="2237"/>
      <c r="BT1860" s="2237"/>
      <c r="BU1860" s="2237"/>
      <c r="BV1860" s="2237"/>
      <c r="BW1860" s="2237"/>
      <c r="BX1860" s="2237"/>
      <c r="BY1860" s="2237"/>
      <c r="BZ1860" s="2237"/>
      <c r="CA1860" s="2237"/>
      <c r="CB1860" s="2237"/>
      <c r="CC1860" s="2237"/>
      <c r="CD1860" s="2237"/>
      <c r="CE1860" s="2237"/>
      <c r="CF1860" s="2237"/>
      <c r="CG1860" s="2237"/>
      <c r="CH1860" s="2237"/>
      <c r="CI1860" s="2237"/>
      <c r="CJ1860" s="2237"/>
      <c r="CK1860" s="2237"/>
      <c r="CL1860" s="2237"/>
      <c r="CM1860" s="2237"/>
      <c r="CN1860" s="2237"/>
      <c r="CO1860" s="2237"/>
      <c r="CP1860" s="2237"/>
      <c r="CQ1860" s="2237"/>
      <c r="CR1860" s="2237"/>
      <c r="CS1860" s="2237"/>
      <c r="CT1860" s="2237"/>
      <c r="CU1860" s="2237"/>
      <c r="CV1860" s="2237"/>
      <c r="CW1860" s="2237"/>
      <c r="CX1860" s="2237"/>
      <c r="CY1860" s="2237"/>
      <c r="CZ1860" s="2237"/>
      <c r="DA1860" s="2237"/>
      <c r="DB1860" s="2237"/>
      <c r="DC1860" s="2237"/>
      <c r="DD1860" s="2237"/>
      <c r="DE1860" s="2237"/>
      <c r="DF1860" s="3393" t="str">
        <f t="shared" si="279"/>
        <v>ASHP-SEER21-Replace_CAC_ElectricHeat_ROF_MF_CompE</v>
      </c>
      <c r="DG1860" s="3259">
        <f>(DI1860+DI1861)/(DJ1860+DJ1861)</f>
        <v>0.57937925129541923</v>
      </c>
      <c r="DH1860" s="3398" t="str">
        <f t="shared" si="273"/>
        <v>Cooling Res 18 Year EUL</v>
      </c>
      <c r="DI1860" s="3260">
        <f>(INDEX('Avoided Cost Benefits'!$B$4:$B$866,MATCH(DH1860,'Avoided Cost Benefits'!$A$4:$A$866,0)))*F1860</f>
        <v>853.60294809709058</v>
      </c>
      <c r="DJ1860" s="2507">
        <f>IFERROR(K1860/(1.0686^(2025-2025)),10000000)</f>
        <v>3689</v>
      </c>
      <c r="DM1860" s="252"/>
    </row>
    <row r="1861" spans="1:117">
      <c r="A1861" s="453"/>
      <c r="B1861" s="1454">
        <f t="shared" si="275"/>
        <v>354851</v>
      </c>
      <c r="C1861" s="2554" t="str">
        <f>C1860</f>
        <v>354851_2024_12_</v>
      </c>
      <c r="D1861" s="3383" t="s">
        <v>1118</v>
      </c>
      <c r="E1861" s="2522" t="s">
        <v>2463</v>
      </c>
      <c r="F1861" s="3373">
        <f>ROUND((($K$2090*$K$2283*(1/$K$2476-1/$K$2669)*$K$3634)/1000)*$K$3651,2)</f>
        <v>2118.1</v>
      </c>
      <c r="G1861" s="3384" t="str">
        <f>G1859</f>
        <v>Heating Res</v>
      </c>
      <c r="H1861" s="2213">
        <f>VLOOKUP(G1861,'CP FACTORS'!$A$3:$B$38, 2, FALSE)</f>
        <v>0</v>
      </c>
      <c r="I1861" s="3405">
        <f t="shared" si="272"/>
        <v>0</v>
      </c>
      <c r="J1861" s="2449">
        <f t="shared" si="278"/>
        <v>18</v>
      </c>
      <c r="K1861" s="2894">
        <f t="shared" si="276"/>
        <v>0</v>
      </c>
      <c r="L1861" s="2649"/>
      <c r="M1861" s="3386"/>
      <c r="N1861" s="3387"/>
      <c r="O1861" s="2702"/>
      <c r="P1861" s="635"/>
      <c r="Q1861" s="635"/>
      <c r="R1861" s="2966"/>
      <c r="S1861" s="635"/>
      <c r="T1861" s="635"/>
      <c r="U1861" s="3388"/>
      <c r="V1861" s="2962" t="s">
        <v>45</v>
      </c>
      <c r="W1861" s="3389"/>
      <c r="X1861" s="3390"/>
      <c r="Y1861" s="3369">
        <v>2118.1</v>
      </c>
      <c r="Z1861" s="3373">
        <v>2118.1</v>
      </c>
      <c r="AA1861" s="3373">
        <v>2118.1</v>
      </c>
      <c r="AB1861" s="3400">
        <v>2118.1</v>
      </c>
      <c r="AC1861" s="3401">
        <v>2118.1</v>
      </c>
      <c r="AD1861" s="3373">
        <v>2118.1</v>
      </c>
      <c r="AE1861" s="3373">
        <v>2118.1</v>
      </c>
      <c r="AF1861" s="2236">
        <f t="shared" si="277"/>
        <v>2118.1</v>
      </c>
      <c r="AG1861" s="3389"/>
      <c r="AH1861" s="2728"/>
      <c r="AI1861" s="2237"/>
      <c r="AJ1861" s="2237"/>
      <c r="AK1861" s="3392"/>
      <c r="AL1861" s="2237"/>
      <c r="AM1861" s="2237"/>
      <c r="AN1861" s="2237"/>
      <c r="AO1861" s="2237"/>
      <c r="AP1861" s="2237"/>
      <c r="AQ1861" s="2237"/>
      <c r="AR1861" s="2237"/>
      <c r="AS1861" s="2237"/>
      <c r="AT1861" s="2237"/>
      <c r="AU1861" s="2237"/>
      <c r="AV1861" s="2237"/>
      <c r="AW1861" s="2237"/>
      <c r="AX1861" s="2237"/>
      <c r="AY1861" s="2237"/>
      <c r="AZ1861" s="2237"/>
      <c r="BA1861" s="2237"/>
      <c r="BB1861" s="2237"/>
      <c r="BC1861" s="2237"/>
      <c r="BD1861" s="2237"/>
      <c r="BE1861" s="2237"/>
      <c r="BF1861" s="2237"/>
      <c r="BG1861" s="2237"/>
      <c r="BH1861" s="2237"/>
      <c r="BI1861" s="2237"/>
      <c r="BJ1861" s="2237"/>
      <c r="BK1861" s="2237"/>
      <c r="BL1861" s="2237"/>
      <c r="BM1861" s="2237"/>
      <c r="BN1861" s="2237"/>
      <c r="BO1861" s="2237"/>
      <c r="BP1861" s="2237"/>
      <c r="BQ1861" s="2237"/>
      <c r="BR1861" s="2237"/>
      <c r="BS1861" s="2237"/>
      <c r="BT1861" s="2237"/>
      <c r="BU1861" s="2237"/>
      <c r="BV1861" s="2237"/>
      <c r="BW1861" s="2237"/>
      <c r="BX1861" s="2237"/>
      <c r="BY1861" s="2237"/>
      <c r="BZ1861" s="2237"/>
      <c r="CA1861" s="2237"/>
      <c r="CB1861" s="2237"/>
      <c r="CC1861" s="2237"/>
      <c r="CD1861" s="2237"/>
      <c r="CE1861" s="2237"/>
      <c r="CF1861" s="2237"/>
      <c r="CG1861" s="2237"/>
      <c r="CH1861" s="2237"/>
      <c r="CI1861" s="2237"/>
      <c r="CJ1861" s="2237"/>
      <c r="CK1861" s="2237"/>
      <c r="CL1861" s="2237"/>
      <c r="CM1861" s="2237"/>
      <c r="CN1861" s="2237"/>
      <c r="CO1861" s="2237"/>
      <c r="CP1861" s="2237"/>
      <c r="CQ1861" s="2237"/>
      <c r="CR1861" s="2237"/>
      <c r="CS1861" s="2237"/>
      <c r="CT1861" s="2237"/>
      <c r="CU1861" s="2237"/>
      <c r="CV1861" s="2237"/>
      <c r="CW1861" s="2237"/>
      <c r="CX1861" s="2237"/>
      <c r="CY1861" s="2237"/>
      <c r="CZ1861" s="2237"/>
      <c r="DA1861" s="2237"/>
      <c r="DB1861" s="2237"/>
      <c r="DC1861" s="2237"/>
      <c r="DD1861" s="2237"/>
      <c r="DE1861" s="2237"/>
      <c r="DF1861" s="3393" t="str">
        <f t="shared" si="279"/>
        <v>ASHP-SEER21-Replace_CAC_ElectricHeat_ROF_MF_CompE</v>
      </c>
      <c r="DG1861" s="3261"/>
      <c r="DH1861" s="3402" t="str">
        <f t="shared" si="273"/>
        <v>Heating Res 18 Year EUL</v>
      </c>
      <c r="DI1861" s="3260">
        <f>(INDEX('Avoided Cost Benefits'!$B$4:$B$866,MATCH(DH1861,'Avoided Cost Benefits'!$A$4:$A$866,0)))*F1861</f>
        <v>1283.7271099317111</v>
      </c>
      <c r="DJ1861" s="2507">
        <f>K1861/(1.0686^(2025-2025))</f>
        <v>0</v>
      </c>
      <c r="DM1861" s="252"/>
    </row>
    <row r="1862" spans="1:117">
      <c r="A1862" s="453"/>
      <c r="B1862" s="1454">
        <f t="shared" si="275"/>
        <v>354860</v>
      </c>
      <c r="C1862" s="2554" t="s">
        <v>2464</v>
      </c>
      <c r="D1862" s="3383" t="s">
        <v>1122</v>
      </c>
      <c r="E1862" s="2882" t="s">
        <v>2465</v>
      </c>
      <c r="F1862" s="3369">
        <f>ROUND(((K2863*K3056*(1/K3249-1/K3442)*K3635)/1000)*$K$3651,2)</f>
        <v>512.58000000000004</v>
      </c>
      <c r="G1862" s="3384" t="s">
        <v>2077</v>
      </c>
      <c r="H1862" s="2213">
        <f>VLOOKUP(G1862,'CP FACTORS'!$A$3:$B$38, 2, FALSE)</f>
        <v>9.4741810000000004E-4</v>
      </c>
      <c r="I1862" s="3404">
        <f t="shared" si="272"/>
        <v>0.485628</v>
      </c>
      <c r="J1862" s="2449">
        <f t="shared" si="278"/>
        <v>18</v>
      </c>
      <c r="K1862" s="2467">
        <f t="shared" si="276"/>
        <v>281.14700796498209</v>
      </c>
      <c r="L1862" s="2649">
        <f>L2091</f>
        <v>2.8</v>
      </c>
      <c r="M1862" s="3386"/>
      <c r="N1862" s="3387"/>
      <c r="O1862" s="2702"/>
      <c r="P1862" s="635"/>
      <c r="Q1862" s="635"/>
      <c r="R1862" s="2966"/>
      <c r="S1862" s="635"/>
      <c r="T1862" s="635"/>
      <c r="U1862" s="3388"/>
      <c r="V1862" s="2962" t="s">
        <v>45</v>
      </c>
      <c r="W1862" s="3389"/>
      <c r="X1862" s="3390"/>
      <c r="Y1862" s="3369"/>
      <c r="Z1862" s="3373"/>
      <c r="AA1862" s="3373"/>
      <c r="AB1862" s="3400"/>
      <c r="AC1862" s="3369">
        <v>556.16</v>
      </c>
      <c r="AD1862" s="3373">
        <v>556.16</v>
      </c>
      <c r="AE1862" s="3369">
        <v>451.88</v>
      </c>
      <c r="AF1862" s="2236">
        <f t="shared" si="277"/>
        <v>512.58000000000004</v>
      </c>
      <c r="AG1862" s="3389"/>
      <c r="AH1862" s="2728"/>
      <c r="AI1862" s="2237"/>
      <c r="AJ1862" s="2237"/>
      <c r="AK1862" s="3392"/>
      <c r="AL1862" s="2237"/>
      <c r="AM1862" s="2237"/>
      <c r="AN1862" s="2237"/>
      <c r="AO1862" s="2237"/>
      <c r="AP1862" s="2237"/>
      <c r="AQ1862" s="2237"/>
      <c r="AR1862" s="2237"/>
      <c r="AS1862" s="2237"/>
      <c r="AT1862" s="2237"/>
      <c r="AU1862" s="2237"/>
      <c r="AV1862" s="2237"/>
      <c r="AW1862" s="2237"/>
      <c r="AX1862" s="2237"/>
      <c r="AY1862" s="2237"/>
      <c r="AZ1862" s="2237"/>
      <c r="BA1862" s="2237"/>
      <c r="BB1862" s="2237"/>
      <c r="BC1862" s="2237"/>
      <c r="BD1862" s="2237"/>
      <c r="BE1862" s="2237"/>
      <c r="BF1862" s="2237"/>
      <c r="BG1862" s="2237"/>
      <c r="BH1862" s="2237"/>
      <c r="BI1862" s="2237"/>
      <c r="BJ1862" s="2237"/>
      <c r="BK1862" s="2237"/>
      <c r="BL1862" s="2237"/>
      <c r="BM1862" s="2237"/>
      <c r="BN1862" s="2237"/>
      <c r="BO1862" s="2237"/>
      <c r="BP1862" s="2237"/>
      <c r="BQ1862" s="2237"/>
      <c r="BR1862" s="2237"/>
      <c r="BS1862" s="2237"/>
      <c r="BT1862" s="2237"/>
      <c r="BU1862" s="2237"/>
      <c r="BV1862" s="2237"/>
      <c r="BW1862" s="2237"/>
      <c r="BX1862" s="2237"/>
      <c r="BY1862" s="2237"/>
      <c r="BZ1862" s="2237"/>
      <c r="CA1862" s="2237"/>
      <c r="CB1862" s="2237"/>
      <c r="CC1862" s="2237"/>
      <c r="CD1862" s="2237"/>
      <c r="CE1862" s="2237"/>
      <c r="CF1862" s="2237"/>
      <c r="CG1862" s="2237"/>
      <c r="CH1862" s="2237"/>
      <c r="CI1862" s="2237"/>
      <c r="CJ1862" s="2237"/>
      <c r="CK1862" s="2237"/>
      <c r="CL1862" s="2237"/>
      <c r="CM1862" s="2237"/>
      <c r="CN1862" s="2237"/>
      <c r="CO1862" s="2237"/>
      <c r="CP1862" s="2237"/>
      <c r="CQ1862" s="2237"/>
      <c r="CR1862" s="2237"/>
      <c r="CS1862" s="2237"/>
      <c r="CT1862" s="2237"/>
      <c r="CU1862" s="2237"/>
      <c r="CV1862" s="2237"/>
      <c r="CW1862" s="2237"/>
      <c r="CX1862" s="2237"/>
      <c r="CY1862" s="2237"/>
      <c r="CZ1862" s="2237"/>
      <c r="DA1862" s="2237"/>
      <c r="DB1862" s="2237"/>
      <c r="DC1862" s="2237"/>
      <c r="DD1862" s="2237"/>
      <c r="DE1862" s="2237"/>
      <c r="DF1862" s="3393" t="str">
        <f t="shared" si="279"/>
        <v>ASHP-SEER21-Replace_CAC_NonElectricHeat_ROF_MF</v>
      </c>
      <c r="DG1862" s="3259">
        <f>(DI1862+DI1863)/(DJ1862+DJ1863)</f>
        <v>4.1746478152954918</v>
      </c>
      <c r="DH1862" s="3403" t="str">
        <f t="shared" si="273"/>
        <v>Cooling Res 18 Year EUL</v>
      </c>
      <c r="DI1862" s="3260">
        <f>(INDEX('Avoided Cost Benefits'!$B$4:$B$866,MATCH(DH1862,'Avoided Cost Benefits'!$A$4:$A$866,0)))*F1862</f>
        <v>1173.6897425778768</v>
      </c>
      <c r="DJ1862" s="2507">
        <f>IFERROR(K1862/(1.0686^(2025-2025)),10000000)</f>
        <v>281.14700796498209</v>
      </c>
      <c r="DM1862" s="252"/>
    </row>
    <row r="1863" spans="1:117">
      <c r="A1863" s="453"/>
      <c r="B1863" s="1454">
        <f t="shared" si="275"/>
        <v>354860</v>
      </c>
      <c r="C1863" s="2554" t="s">
        <v>2464</v>
      </c>
      <c r="D1863" s="3383" t="s">
        <v>1122</v>
      </c>
      <c r="E1863" s="2522" t="s">
        <v>2465</v>
      </c>
      <c r="F1863" s="3373">
        <v>0</v>
      </c>
      <c r="G1863" s="3384" t="s">
        <v>2078</v>
      </c>
      <c r="H1863" s="2213">
        <f>VLOOKUP(G1863,'CP FACTORS'!$A$3:$B$38, 2, FALSE)</f>
        <v>0</v>
      </c>
      <c r="I1863" s="3405">
        <f t="shared" si="272"/>
        <v>0</v>
      </c>
      <c r="J1863" s="2449">
        <f t="shared" si="278"/>
        <v>18</v>
      </c>
      <c r="K1863" s="2894">
        <f t="shared" si="276"/>
        <v>0</v>
      </c>
      <c r="L1863" s="2649"/>
      <c r="M1863" s="3386"/>
      <c r="N1863" s="3387"/>
      <c r="O1863" s="2702"/>
      <c r="P1863" s="635"/>
      <c r="Q1863" s="635"/>
      <c r="R1863" s="2966"/>
      <c r="S1863" s="635"/>
      <c r="T1863" s="635"/>
      <c r="U1863" s="3388"/>
      <c r="V1863" s="2962" t="s">
        <v>45</v>
      </c>
      <c r="W1863" s="3389"/>
      <c r="X1863" s="3390"/>
      <c r="Y1863" s="3369"/>
      <c r="Z1863" s="3373"/>
      <c r="AA1863" s="3373"/>
      <c r="AB1863" s="3400"/>
      <c r="AC1863" s="3369">
        <v>0</v>
      </c>
      <c r="AD1863" s="3373">
        <v>0</v>
      </c>
      <c r="AE1863" s="3373">
        <v>0</v>
      </c>
      <c r="AF1863" s="2236">
        <f t="shared" si="277"/>
        <v>0</v>
      </c>
      <c r="AG1863" s="3389"/>
      <c r="AH1863" s="2728"/>
      <c r="AI1863" s="2237"/>
      <c r="AJ1863" s="2237"/>
      <c r="AK1863" s="3392"/>
      <c r="AL1863" s="2237"/>
      <c r="AM1863" s="2237"/>
      <c r="AN1863" s="2237"/>
      <c r="AO1863" s="2237"/>
      <c r="AP1863" s="2237"/>
      <c r="AQ1863" s="2237"/>
      <c r="AR1863" s="2237"/>
      <c r="AS1863" s="2237"/>
      <c r="AT1863" s="2237"/>
      <c r="AU1863" s="2237"/>
      <c r="AV1863" s="2237"/>
      <c r="AW1863" s="2237"/>
      <c r="AX1863" s="2237"/>
      <c r="AY1863" s="2237"/>
      <c r="AZ1863" s="2237"/>
      <c r="BA1863" s="2237"/>
      <c r="BB1863" s="2237"/>
      <c r="BC1863" s="2237"/>
      <c r="BD1863" s="2237"/>
      <c r="BE1863" s="2237"/>
      <c r="BF1863" s="2237"/>
      <c r="BG1863" s="2237"/>
      <c r="BH1863" s="2237"/>
      <c r="BI1863" s="2237"/>
      <c r="BJ1863" s="2237"/>
      <c r="BK1863" s="2237"/>
      <c r="BL1863" s="2237"/>
      <c r="BM1863" s="2237"/>
      <c r="BN1863" s="2237"/>
      <c r="BO1863" s="2237"/>
      <c r="BP1863" s="2237"/>
      <c r="BQ1863" s="2237"/>
      <c r="BR1863" s="2237"/>
      <c r="BS1863" s="2237"/>
      <c r="BT1863" s="2237"/>
      <c r="BU1863" s="2237"/>
      <c r="BV1863" s="2237"/>
      <c r="BW1863" s="2237"/>
      <c r="BX1863" s="2237"/>
      <c r="BY1863" s="2237"/>
      <c r="BZ1863" s="2237"/>
      <c r="CA1863" s="2237"/>
      <c r="CB1863" s="2237"/>
      <c r="CC1863" s="2237"/>
      <c r="CD1863" s="2237"/>
      <c r="CE1863" s="2237"/>
      <c r="CF1863" s="2237"/>
      <c r="CG1863" s="2237"/>
      <c r="CH1863" s="2237"/>
      <c r="CI1863" s="2237"/>
      <c r="CJ1863" s="2237"/>
      <c r="CK1863" s="2237"/>
      <c r="CL1863" s="2237"/>
      <c r="CM1863" s="2237"/>
      <c r="CN1863" s="2237"/>
      <c r="CO1863" s="2237"/>
      <c r="CP1863" s="2237"/>
      <c r="CQ1863" s="2237"/>
      <c r="CR1863" s="2237"/>
      <c r="CS1863" s="2237"/>
      <c r="CT1863" s="2237"/>
      <c r="CU1863" s="2237"/>
      <c r="CV1863" s="2237"/>
      <c r="CW1863" s="2237"/>
      <c r="CX1863" s="2237"/>
      <c r="CY1863" s="2237"/>
      <c r="CZ1863" s="2237"/>
      <c r="DA1863" s="2237"/>
      <c r="DB1863" s="2237"/>
      <c r="DC1863" s="2237"/>
      <c r="DD1863" s="2237"/>
      <c r="DE1863" s="2237"/>
      <c r="DF1863" s="3393" t="str">
        <f t="shared" si="279"/>
        <v>ASHP-SEER21-Replace_CAC_NonElectricHeat_ROF_MF</v>
      </c>
      <c r="DG1863" s="3261"/>
      <c r="DH1863" s="3402" t="str">
        <f t="shared" si="273"/>
        <v>Heating Res 18 Year EUL</v>
      </c>
      <c r="DI1863" s="3260">
        <f>(INDEX('Avoided Cost Benefits'!$B$4:$B$866,MATCH(DH1863,'Avoided Cost Benefits'!$A$4:$A$866,0)))*F1863</f>
        <v>0</v>
      </c>
      <c r="DJ1863" s="2507">
        <f>K1863/(1.0686^(2025-2025))</f>
        <v>0</v>
      </c>
      <c r="DM1863" s="252"/>
    </row>
    <row r="1864" spans="1:117">
      <c r="A1864" s="453"/>
      <c r="B1864" s="1454">
        <f t="shared" si="275"/>
        <v>354861</v>
      </c>
      <c r="C1864" s="2554" t="s">
        <v>2466</v>
      </c>
      <c r="D1864" s="3383" t="s">
        <v>1118</v>
      </c>
      <c r="E1864" s="2882" t="s">
        <v>2467</v>
      </c>
      <c r="F1864" s="3369">
        <f>ROUND(((K2864*K3057*(1/K3250-1/K3443)*K3636)/1000)*$K$3651,2)</f>
        <v>372.79</v>
      </c>
      <c r="G1864" s="3384" t="s">
        <v>2077</v>
      </c>
      <c r="H1864" s="2213">
        <f>VLOOKUP(G1864,'CP FACTORS'!$A$3:$B$38, 2, FALSE)</f>
        <v>9.4741810000000004E-4</v>
      </c>
      <c r="I1864" s="3404">
        <f t="shared" si="272"/>
        <v>0.353188</v>
      </c>
      <c r="J1864" s="2449">
        <f t="shared" si="278"/>
        <v>18</v>
      </c>
      <c r="K1864" s="2467">
        <f t="shared" si="276"/>
        <v>552.10077923954907</v>
      </c>
      <c r="L1864" s="2649">
        <f>L2092</f>
        <v>2.8</v>
      </c>
      <c r="M1864" s="3386"/>
      <c r="N1864" s="3387"/>
      <c r="O1864" s="2702"/>
      <c r="P1864" s="635"/>
      <c r="Q1864" s="635"/>
      <c r="R1864" s="2966"/>
      <c r="S1864" s="635"/>
      <c r="T1864" s="635"/>
      <c r="U1864" s="3388"/>
      <c r="V1864" s="2962" t="s">
        <v>45</v>
      </c>
      <c r="W1864" s="3389"/>
      <c r="X1864" s="3390"/>
      <c r="Y1864" s="3369"/>
      <c r="Z1864" s="3373"/>
      <c r="AA1864" s="3373"/>
      <c r="AB1864" s="3400"/>
      <c r="AC1864" s="3369">
        <v>404.48</v>
      </c>
      <c r="AD1864" s="3373">
        <v>404.48</v>
      </c>
      <c r="AE1864" s="3369">
        <v>328.64</v>
      </c>
      <c r="AF1864" s="2236">
        <f t="shared" si="277"/>
        <v>372.79</v>
      </c>
      <c r="AG1864" s="3389"/>
      <c r="AH1864" s="2728"/>
      <c r="AI1864" s="2237"/>
      <c r="AJ1864" s="2237"/>
      <c r="AK1864" s="3392"/>
      <c r="AL1864" s="2237"/>
      <c r="AM1864" s="2237"/>
      <c r="AN1864" s="2237"/>
      <c r="AO1864" s="2237"/>
      <c r="AP1864" s="2237"/>
      <c r="AQ1864" s="2237"/>
      <c r="AR1864" s="2237"/>
      <c r="AS1864" s="2237"/>
      <c r="AT1864" s="2237"/>
      <c r="AU1864" s="2237"/>
      <c r="AV1864" s="2237"/>
      <c r="AW1864" s="2237"/>
      <c r="AX1864" s="2237"/>
      <c r="AY1864" s="2237"/>
      <c r="AZ1864" s="2237"/>
      <c r="BA1864" s="2237"/>
      <c r="BB1864" s="2237"/>
      <c r="BC1864" s="2237"/>
      <c r="BD1864" s="2237"/>
      <c r="BE1864" s="2237"/>
      <c r="BF1864" s="2237"/>
      <c r="BG1864" s="2237"/>
      <c r="BH1864" s="2237"/>
      <c r="BI1864" s="2237"/>
      <c r="BJ1864" s="2237"/>
      <c r="BK1864" s="2237"/>
      <c r="BL1864" s="2237"/>
      <c r="BM1864" s="2237"/>
      <c r="BN1864" s="2237"/>
      <c r="BO1864" s="2237"/>
      <c r="BP1864" s="2237"/>
      <c r="BQ1864" s="2237"/>
      <c r="BR1864" s="2237"/>
      <c r="BS1864" s="2237"/>
      <c r="BT1864" s="2237"/>
      <c r="BU1864" s="2237"/>
      <c r="BV1864" s="2237"/>
      <c r="BW1864" s="2237"/>
      <c r="BX1864" s="2237"/>
      <c r="BY1864" s="2237"/>
      <c r="BZ1864" s="2237"/>
      <c r="CA1864" s="2237"/>
      <c r="CB1864" s="2237"/>
      <c r="CC1864" s="2237"/>
      <c r="CD1864" s="2237"/>
      <c r="CE1864" s="2237"/>
      <c r="CF1864" s="2237"/>
      <c r="CG1864" s="2237"/>
      <c r="CH1864" s="2237"/>
      <c r="CI1864" s="2237"/>
      <c r="CJ1864" s="2237"/>
      <c r="CK1864" s="2237"/>
      <c r="CL1864" s="2237"/>
      <c r="CM1864" s="2237"/>
      <c r="CN1864" s="2237"/>
      <c r="CO1864" s="2237"/>
      <c r="CP1864" s="2237"/>
      <c r="CQ1864" s="2237"/>
      <c r="CR1864" s="2237"/>
      <c r="CS1864" s="2237"/>
      <c r="CT1864" s="2237"/>
      <c r="CU1864" s="2237"/>
      <c r="CV1864" s="2237"/>
      <c r="CW1864" s="2237"/>
      <c r="CX1864" s="2237"/>
      <c r="CY1864" s="2237"/>
      <c r="CZ1864" s="2237"/>
      <c r="DA1864" s="2237"/>
      <c r="DB1864" s="2237"/>
      <c r="DC1864" s="2237"/>
      <c r="DD1864" s="2237"/>
      <c r="DE1864" s="2237"/>
      <c r="DF1864" s="3393" t="str">
        <f t="shared" si="279"/>
        <v>ASHP-SEER21-Replace_CAC_NonElectricHeat_ROF_MF_CompE</v>
      </c>
      <c r="DG1864" s="3259">
        <f>(DI1864+DI1865)/(DJ1864+DJ1865)</f>
        <v>1.5460998792155731</v>
      </c>
      <c r="DH1864" s="3403" t="str">
        <f t="shared" si="273"/>
        <v>Cooling Res 18 Year EUL</v>
      </c>
      <c r="DI1864" s="3260">
        <f>(INDEX('Avoided Cost Benefits'!$B$4:$B$866,MATCH(DH1864,'Avoided Cost Benefits'!$A$4:$A$866,0)))*F1864</f>
        <v>853.60294809709058</v>
      </c>
      <c r="DJ1864" s="2507">
        <f>IFERROR(K1864/(1.0686^(2025-2025)),10000000)</f>
        <v>552.10077923954907</v>
      </c>
      <c r="DM1864" s="252"/>
    </row>
    <row r="1865" spans="1:117">
      <c r="A1865" s="453"/>
      <c r="B1865" s="1454">
        <f t="shared" si="275"/>
        <v>354861</v>
      </c>
      <c r="C1865" s="2554" t="s">
        <v>2466</v>
      </c>
      <c r="D1865" s="3383" t="s">
        <v>1118</v>
      </c>
      <c r="E1865" s="2882" t="s">
        <v>2467</v>
      </c>
      <c r="F1865" s="3373">
        <f>0</f>
        <v>0</v>
      </c>
      <c r="G1865" s="3384" t="s">
        <v>2078</v>
      </c>
      <c r="H1865" s="2213">
        <f>VLOOKUP(G1865,'CP FACTORS'!$A$3:$B$38, 2, FALSE)</f>
        <v>0</v>
      </c>
      <c r="I1865" s="3405">
        <f t="shared" si="272"/>
        <v>0</v>
      </c>
      <c r="J1865" s="2449">
        <f t="shared" si="278"/>
        <v>18</v>
      </c>
      <c r="K1865" s="2894">
        <f t="shared" si="276"/>
        <v>0</v>
      </c>
      <c r="L1865" s="2649"/>
      <c r="M1865" s="3386"/>
      <c r="N1865" s="3387"/>
      <c r="O1865" s="2702"/>
      <c r="P1865" s="635"/>
      <c r="Q1865" s="635"/>
      <c r="R1865" s="2966"/>
      <c r="S1865" s="635"/>
      <c r="T1865" s="635"/>
      <c r="U1865" s="3388"/>
      <c r="V1865" s="2962" t="s">
        <v>45</v>
      </c>
      <c r="W1865" s="3389"/>
      <c r="X1865" s="3390"/>
      <c r="Y1865" s="3369"/>
      <c r="Z1865" s="3373"/>
      <c r="AA1865" s="3373"/>
      <c r="AB1865" s="3400"/>
      <c r="AC1865" s="3369">
        <v>0</v>
      </c>
      <c r="AD1865" s="3373">
        <v>0</v>
      </c>
      <c r="AE1865" s="3373">
        <v>0</v>
      </c>
      <c r="AF1865" s="2236">
        <f t="shared" si="277"/>
        <v>0</v>
      </c>
      <c r="AG1865" s="3389"/>
      <c r="AH1865" s="2728"/>
      <c r="AI1865" s="2237"/>
      <c r="AJ1865" s="2237"/>
      <c r="AK1865" s="3392"/>
      <c r="AL1865" s="2237"/>
      <c r="AM1865" s="2237"/>
      <c r="AN1865" s="2237"/>
      <c r="AO1865" s="2237"/>
      <c r="AP1865" s="2237"/>
      <c r="AQ1865" s="2237"/>
      <c r="AR1865" s="2237"/>
      <c r="AS1865" s="2237"/>
      <c r="AT1865" s="2237"/>
      <c r="AU1865" s="2237"/>
      <c r="AV1865" s="2237"/>
      <c r="AW1865" s="2237"/>
      <c r="AX1865" s="2237"/>
      <c r="AY1865" s="2237"/>
      <c r="AZ1865" s="2237"/>
      <c r="BA1865" s="2237"/>
      <c r="BB1865" s="2237"/>
      <c r="BC1865" s="2237"/>
      <c r="BD1865" s="2237"/>
      <c r="BE1865" s="2237"/>
      <c r="BF1865" s="2237"/>
      <c r="BG1865" s="2237"/>
      <c r="BH1865" s="2237"/>
      <c r="BI1865" s="2237"/>
      <c r="BJ1865" s="2237"/>
      <c r="BK1865" s="2237"/>
      <c r="BL1865" s="2237"/>
      <c r="BM1865" s="2237"/>
      <c r="BN1865" s="2237"/>
      <c r="BO1865" s="2237"/>
      <c r="BP1865" s="2237"/>
      <c r="BQ1865" s="2237"/>
      <c r="BR1865" s="2237"/>
      <c r="BS1865" s="2237"/>
      <c r="BT1865" s="2237"/>
      <c r="BU1865" s="2237"/>
      <c r="BV1865" s="2237"/>
      <c r="BW1865" s="2237"/>
      <c r="BX1865" s="2237"/>
      <c r="BY1865" s="2237"/>
      <c r="BZ1865" s="2237"/>
      <c r="CA1865" s="2237"/>
      <c r="CB1865" s="2237"/>
      <c r="CC1865" s="2237"/>
      <c r="CD1865" s="2237"/>
      <c r="CE1865" s="2237"/>
      <c r="CF1865" s="2237"/>
      <c r="CG1865" s="2237"/>
      <c r="CH1865" s="2237"/>
      <c r="CI1865" s="2237"/>
      <c r="CJ1865" s="2237"/>
      <c r="CK1865" s="2237"/>
      <c r="CL1865" s="2237"/>
      <c r="CM1865" s="2237"/>
      <c r="CN1865" s="2237"/>
      <c r="CO1865" s="2237"/>
      <c r="CP1865" s="2237"/>
      <c r="CQ1865" s="2237"/>
      <c r="CR1865" s="2237"/>
      <c r="CS1865" s="2237"/>
      <c r="CT1865" s="2237"/>
      <c r="CU1865" s="2237"/>
      <c r="CV1865" s="2237"/>
      <c r="CW1865" s="2237"/>
      <c r="CX1865" s="2237"/>
      <c r="CY1865" s="2237"/>
      <c r="CZ1865" s="2237"/>
      <c r="DA1865" s="2237"/>
      <c r="DB1865" s="2237"/>
      <c r="DC1865" s="2237"/>
      <c r="DD1865" s="2237"/>
      <c r="DE1865" s="2237"/>
      <c r="DF1865" s="3393" t="str">
        <f t="shared" si="279"/>
        <v>ASHP-SEER21-Replace_CAC_NonElectricHeat_ROF_MF_CompE</v>
      </c>
      <c r="DG1865" s="3261"/>
      <c r="DH1865" s="3403" t="str">
        <f t="shared" si="273"/>
        <v>Heating Res 18 Year EUL</v>
      </c>
      <c r="DI1865" s="3260">
        <f>(INDEX('Avoided Cost Benefits'!$B$4:$B$866,MATCH(DH1865,'Avoided Cost Benefits'!$A$4:$A$866,0)))*F1865</f>
        <v>0</v>
      </c>
      <c r="DJ1865" s="2507">
        <f>K1865/(1.0686^(2025-2025))</f>
        <v>0</v>
      </c>
      <c r="DM1865" s="252"/>
    </row>
    <row r="1866" spans="1:117">
      <c r="A1866" s="453"/>
      <c r="B1866" s="1454">
        <f t="shared" si="275"/>
        <v>354900</v>
      </c>
      <c r="C1866" s="682" t="s">
        <v>2468</v>
      </c>
      <c r="D1866" s="3470" t="s">
        <v>959</v>
      </c>
      <c r="E1866" s="1369" t="s">
        <v>2469</v>
      </c>
      <c r="F1866" s="182">
        <f>ROUND(((K2865*K3058*(1/K3251-1/K3444)*K3637)/1000)*$K$3651,2)</f>
        <v>1620.1</v>
      </c>
      <c r="G1866" s="570" t="s">
        <v>2077</v>
      </c>
      <c r="H1866" s="69">
        <f>VLOOKUP(G1866,'CP FACTORS'!$A$3:$B$38, 2, FALSE)</f>
        <v>9.4741810000000004E-4</v>
      </c>
      <c r="I1866" s="1167">
        <f t="shared" ref="I1866:I1893" si="281">ROUND(F1866*H1866,6)</f>
        <v>1.5349120000000001</v>
      </c>
      <c r="J1866" s="59">
        <f t="shared" si="278"/>
        <v>6</v>
      </c>
      <c r="K1866" s="166">
        <f t="shared" si="276"/>
        <v>1077.5183641564863</v>
      </c>
      <c r="L1866" s="255">
        <f>L2093</f>
        <v>3.3</v>
      </c>
      <c r="M1866" s="560"/>
      <c r="N1866" s="572"/>
      <c r="O1866" s="417"/>
      <c r="R1866" s="532"/>
      <c r="S1866" s="52"/>
      <c r="T1866" s="52"/>
      <c r="U1866" s="574"/>
      <c r="V1866" s="1442" t="s">
        <v>45</v>
      </c>
      <c r="W1866" s="962">
        <v>2041.5292857142858</v>
      </c>
      <c r="X1866" s="251">
        <v>1620.0955822328933</v>
      </c>
      <c r="Y1866" s="225">
        <v>1620.1</v>
      </c>
      <c r="Z1866" s="225">
        <v>1620.1</v>
      </c>
      <c r="AA1866" s="225">
        <v>1620.1</v>
      </c>
      <c r="AB1866" s="1027">
        <v>1620.1</v>
      </c>
      <c r="AC1866" s="960">
        <v>1620.1</v>
      </c>
      <c r="AD1866" s="225">
        <v>1620.1</v>
      </c>
      <c r="AE1866" s="225">
        <v>1620.1</v>
      </c>
      <c r="AF1866" s="271">
        <f t="shared" si="277"/>
        <v>1620.1</v>
      </c>
      <c r="AG1866" s="962"/>
      <c r="AH1866" s="121"/>
      <c r="AK1866" s="963"/>
      <c r="DF1866" s="1650" t="str">
        <f t="shared" si="279"/>
        <v>ASHP-SEER21_ER1_MF</v>
      </c>
      <c r="DG1866" s="1090">
        <f>(DI1866+DI1867+DI1868+DI1869)/(DJ1866+DJ1867+DJ1868+DJ1869)</f>
        <v>2.8832230738248383</v>
      </c>
      <c r="DH1866" s="1369" t="str">
        <f t="shared" ref="DH1866:DH1871" si="282">CONCATENATE(G1866," ",J1866," Year EUL")</f>
        <v>Cooling Res 6 Year EUL</v>
      </c>
      <c r="DI1866" s="1091">
        <f>(INDEX('Avoided Cost Benefits'!$B$4:$B$866,MATCH(DH1866,'Avoided Cost Benefits'!$A$4:$A$866,0)))*F1866</f>
        <v>1613.3735024747598</v>
      </c>
      <c r="DJ1866" s="1176">
        <f>IFERROR(K1866/(1.0686^(2025-2025)),10000000)</f>
        <v>1077.5183641564863</v>
      </c>
      <c r="DM1866" s="252"/>
    </row>
    <row r="1867" spans="1:117">
      <c r="A1867" s="453"/>
      <c r="B1867" s="1454">
        <f t="shared" si="275"/>
        <v>354900</v>
      </c>
      <c r="C1867" s="682" t="s">
        <v>2468</v>
      </c>
      <c r="D1867" s="3470" t="s">
        <v>959</v>
      </c>
      <c r="E1867" s="1393" t="s">
        <v>2469</v>
      </c>
      <c r="F1867" s="225">
        <f>ROUND(((K2093*K2286*(1/K2479-1/K2672)*K3637)/1000)*$K$3651,2)</f>
        <v>1798.76</v>
      </c>
      <c r="G1867" s="570" t="s">
        <v>2078</v>
      </c>
      <c r="H1867" s="69">
        <f>VLOOKUP(G1867,'CP FACTORS'!$A$3:$B$38, 2, FALSE)</f>
        <v>0</v>
      </c>
      <c r="I1867" s="1167">
        <f t="shared" si="281"/>
        <v>0</v>
      </c>
      <c r="J1867" s="59">
        <f t="shared" si="278"/>
        <v>6</v>
      </c>
      <c r="K1867" s="163">
        <f t="shared" si="276"/>
        <v>0</v>
      </c>
      <c r="L1867" s="255"/>
      <c r="M1867" s="560"/>
      <c r="N1867" s="572"/>
      <c r="O1867" s="417"/>
      <c r="R1867" s="532"/>
      <c r="S1867" s="52"/>
      <c r="T1867" s="52"/>
      <c r="U1867" s="574"/>
      <c r="V1867" s="1442" t="s">
        <v>45</v>
      </c>
      <c r="W1867" s="962">
        <v>4062.4872213622284</v>
      </c>
      <c r="X1867" s="251">
        <v>1798.7611070228763</v>
      </c>
      <c r="Y1867" s="225">
        <v>1798.76</v>
      </c>
      <c r="Z1867" s="225">
        <v>1798.76</v>
      </c>
      <c r="AA1867" s="225">
        <v>1798.76</v>
      </c>
      <c r="AB1867" s="1027">
        <v>1798.76</v>
      </c>
      <c r="AC1867" s="960">
        <v>1798.76</v>
      </c>
      <c r="AD1867" s="225">
        <v>1798.76</v>
      </c>
      <c r="AE1867" s="225">
        <v>1798.76</v>
      </c>
      <c r="AF1867" s="271">
        <f t="shared" si="277"/>
        <v>1798.76</v>
      </c>
      <c r="AG1867" s="962"/>
      <c r="AH1867" s="121"/>
      <c r="AK1867" s="963"/>
      <c r="DF1867" s="1650" t="str">
        <f t="shared" si="279"/>
        <v>ASHP-SEER21_ER1_MF</v>
      </c>
      <c r="DG1867" s="1094"/>
      <c r="DH1867" s="1393" t="str">
        <f t="shared" si="282"/>
        <v>Heating Res 6 Year EUL</v>
      </c>
      <c r="DI1867" s="1091">
        <f>(INDEX('Avoided Cost Benefits'!$B$4:$B$866,MATCH(DH1867,'Avoided Cost Benefits'!$A$4:$A$866,0)))*F1867</f>
        <v>482.38931742340571</v>
      </c>
      <c r="DJ1867" s="1176">
        <f>K1867/(1.0686^(2025-2025))</f>
        <v>0</v>
      </c>
      <c r="DM1867" s="252"/>
    </row>
    <row r="1868" spans="1:117">
      <c r="A1868" s="453"/>
      <c r="B1868" s="1454">
        <f t="shared" si="275"/>
        <v>354900</v>
      </c>
      <c r="C1868" s="682" t="s">
        <v>2468</v>
      </c>
      <c r="D1868" s="3470" t="s">
        <v>959</v>
      </c>
      <c r="E1868" s="1393" t="s">
        <v>2470</v>
      </c>
      <c r="F1868" s="184">
        <f>ROUND(((K2866*K3059*(1/K3252-1/K3445)*K3638)/1000)*$K$3651,2)</f>
        <v>499.05</v>
      </c>
      <c r="G1868" s="570" t="s">
        <v>2138</v>
      </c>
      <c r="H1868" s="69">
        <f>VLOOKUP(G1868,'CP FACTORS'!$A$3:$B$38, 2, FALSE)</f>
        <v>9.4741810000000004E-4</v>
      </c>
      <c r="I1868" s="1477">
        <f t="shared" si="281"/>
        <v>0.47280899999999998</v>
      </c>
      <c r="J1868" s="59">
        <f t="shared" si="278"/>
        <v>12</v>
      </c>
      <c r="K1868" s="163">
        <f t="shared" si="276"/>
        <v>0</v>
      </c>
      <c r="L1868" s="255"/>
      <c r="M1868" s="560"/>
      <c r="N1868" s="572"/>
      <c r="O1868" s="417"/>
      <c r="R1868" s="532"/>
      <c r="S1868" s="52"/>
      <c r="T1868" s="52"/>
      <c r="U1868" s="574"/>
      <c r="V1868" s="1442" t="s">
        <v>45</v>
      </c>
      <c r="W1868" s="962">
        <v>532.57285714285706</v>
      </c>
      <c r="X1868" s="254">
        <v>532.57285714285706</v>
      </c>
      <c r="Y1868" s="225">
        <v>532.57000000000005</v>
      </c>
      <c r="Z1868" s="225">
        <v>532.57000000000005</v>
      </c>
      <c r="AA1868" s="225">
        <v>532.57000000000005</v>
      </c>
      <c r="AB1868" s="1027">
        <v>532.57000000000005</v>
      </c>
      <c r="AC1868" s="960">
        <v>532.57000000000005</v>
      </c>
      <c r="AD1868" s="225">
        <v>532.57000000000005</v>
      </c>
      <c r="AE1868" s="227">
        <v>426.06</v>
      </c>
      <c r="AF1868" s="271">
        <f t="shared" si="277"/>
        <v>499.05</v>
      </c>
      <c r="AG1868" s="962"/>
      <c r="AH1868" s="121"/>
      <c r="AK1868" s="963"/>
      <c r="DF1868" s="1650" t="str">
        <f t="shared" si="279"/>
        <v>ASHP-SEER21_ER2_MF</v>
      </c>
      <c r="DG1868" s="1094"/>
      <c r="DH1868" s="1393" t="str">
        <f t="shared" si="282"/>
        <v>Cooling Res ER2 12 Year EUL</v>
      </c>
      <c r="DI1868" s="1091">
        <f>(INDEX('Avoided Cost Benefits'!$B$4:$B$866,MATCH(DH1868,'Avoided Cost Benefits'!$A$4:$A$866,0)))*F1868</f>
        <v>645.73117639614918</v>
      </c>
      <c r="DJ1868" s="1176">
        <f>K1868/(1.0686^(2025-2025))</f>
        <v>0</v>
      </c>
      <c r="DM1868" s="252"/>
    </row>
    <row r="1869" spans="1:117">
      <c r="A1869" s="453"/>
      <c r="B1869" s="1454">
        <f t="shared" si="275"/>
        <v>354900</v>
      </c>
      <c r="C1869" s="682" t="s">
        <v>2468</v>
      </c>
      <c r="D1869" s="3470" t="s">
        <v>959</v>
      </c>
      <c r="E1869" s="1370" t="s">
        <v>2470</v>
      </c>
      <c r="F1869" s="227">
        <f>ROUND(((K2094*K2287*(1/K2480-1/K2673)*K3638)/1000)*$K$3651,2)</f>
        <v>1080.9000000000001</v>
      </c>
      <c r="G1869" s="570" t="s">
        <v>2173</v>
      </c>
      <c r="H1869" s="69">
        <f>VLOOKUP(G1869,'CP FACTORS'!$A$3:$B$38, 2, FALSE)</f>
        <v>0</v>
      </c>
      <c r="I1869" s="1167">
        <f t="shared" si="281"/>
        <v>0</v>
      </c>
      <c r="J1869" s="59">
        <f t="shared" si="278"/>
        <v>12</v>
      </c>
      <c r="K1869" s="163">
        <f t="shared" si="276"/>
        <v>0</v>
      </c>
      <c r="L1869" s="255"/>
      <c r="M1869" s="560"/>
      <c r="N1869" s="572"/>
      <c r="O1869" s="417"/>
      <c r="R1869" s="532"/>
      <c r="S1869" s="52"/>
      <c r="T1869" s="52"/>
      <c r="U1869" s="574"/>
      <c r="V1869" s="1442" t="s">
        <v>45</v>
      </c>
      <c r="W1869" s="962">
        <v>862.96736842105349</v>
      </c>
      <c r="X1869" s="251">
        <v>642.6078562259313</v>
      </c>
      <c r="Y1869" s="225">
        <v>642.61</v>
      </c>
      <c r="Z1869" s="225">
        <v>642.61</v>
      </c>
      <c r="AA1869" s="225">
        <v>642.61</v>
      </c>
      <c r="AB1869" s="1027">
        <v>642.61</v>
      </c>
      <c r="AC1869" s="960">
        <v>642.61</v>
      </c>
      <c r="AD1869" s="225">
        <v>642.61</v>
      </c>
      <c r="AE1869" s="227">
        <v>424.19</v>
      </c>
      <c r="AF1869" s="271">
        <f t="shared" si="277"/>
        <v>1080.9000000000001</v>
      </c>
      <c r="AG1869" s="962"/>
      <c r="AH1869" s="121"/>
      <c r="AK1869" s="963"/>
      <c r="DF1869" s="1650" t="str">
        <f t="shared" si="279"/>
        <v>ASHP-SEER21_ER2_MF</v>
      </c>
      <c r="DG1869" s="1094"/>
      <c r="DH1869" s="1370" t="str">
        <f t="shared" si="282"/>
        <v>Heating Res ER2 12 Year EUL</v>
      </c>
      <c r="DI1869" s="1091">
        <f>(INDEX('Avoided Cost Benefits'!$B$4:$B$866,MATCH(DH1869,'Avoided Cost Benefits'!$A$4:$A$866,0)))*F1869</f>
        <v>365.23181371166106</v>
      </c>
      <c r="DJ1869" s="1176">
        <f>K1869/(1.0686^(2025-2025))</f>
        <v>0</v>
      </c>
      <c r="DM1869" s="252"/>
    </row>
    <row r="1870" spans="1:117">
      <c r="A1870" s="453"/>
      <c r="B1870" s="1454">
        <f t="shared" si="275"/>
        <v>354901</v>
      </c>
      <c r="C1870" s="2554" t="s">
        <v>2471</v>
      </c>
      <c r="D1870" s="3383" t="s">
        <v>1118</v>
      </c>
      <c r="E1870" s="2521" t="s">
        <v>2472</v>
      </c>
      <c r="F1870" s="2945">
        <f>ROUND((($K$2867*$K$3060*(1/$K$3253-1/$K$3446)*$K$3639)/1000)*$K$3651,2)</f>
        <v>1178.25</v>
      </c>
      <c r="G1870" s="3384" t="str">
        <f>G1866</f>
        <v>Cooling Res</v>
      </c>
      <c r="H1870" s="2213">
        <f>VLOOKUP(G1870,'CP FACTORS'!$A$3:$B$38, 2, FALSE)</f>
        <v>9.4741810000000004E-4</v>
      </c>
      <c r="I1870" s="3385">
        <f t="shared" si="281"/>
        <v>1.116295</v>
      </c>
      <c r="J1870" s="2449">
        <f>K4014</f>
        <v>6</v>
      </c>
      <c r="K1870" s="2467">
        <f t="shared" si="276"/>
        <v>1077.5183641564863</v>
      </c>
      <c r="L1870" s="2649">
        <f>L2095</f>
        <v>3.3</v>
      </c>
      <c r="M1870" s="3386"/>
      <c r="N1870" s="3387"/>
      <c r="O1870" s="2702"/>
      <c r="P1870" s="635"/>
      <c r="Q1870" s="635"/>
      <c r="R1870" s="2966"/>
      <c r="S1870" s="635"/>
      <c r="T1870" s="635"/>
      <c r="U1870" s="3388"/>
      <c r="V1870" s="2962" t="s">
        <v>45</v>
      </c>
      <c r="W1870" s="3389"/>
      <c r="X1870" s="3390"/>
      <c r="Y1870" s="3369">
        <v>1178.25</v>
      </c>
      <c r="Z1870" s="3373">
        <v>1178.25</v>
      </c>
      <c r="AA1870" s="3373">
        <v>1178.25</v>
      </c>
      <c r="AB1870" s="3400">
        <v>1178.25</v>
      </c>
      <c r="AC1870" s="3401">
        <v>1178.25</v>
      </c>
      <c r="AD1870" s="3373">
        <v>1178.25</v>
      </c>
      <c r="AE1870" s="3373">
        <v>1178.25</v>
      </c>
      <c r="AF1870" s="2236">
        <f t="shared" si="277"/>
        <v>1178.25</v>
      </c>
      <c r="AG1870" s="3389"/>
      <c r="AH1870" s="2728"/>
      <c r="AI1870" s="2237"/>
      <c r="AJ1870" s="2237"/>
      <c r="AK1870" s="3392"/>
      <c r="AL1870" s="2237"/>
      <c r="AM1870" s="2237"/>
      <c r="AN1870" s="2237"/>
      <c r="AO1870" s="2237"/>
      <c r="AP1870" s="2237"/>
      <c r="AQ1870" s="2237"/>
      <c r="AR1870" s="2237"/>
      <c r="AS1870" s="2237"/>
      <c r="AT1870" s="2237"/>
      <c r="AU1870" s="2237"/>
      <c r="AV1870" s="2237"/>
      <c r="AW1870" s="2237"/>
      <c r="AX1870" s="2237"/>
      <c r="AY1870" s="2237"/>
      <c r="AZ1870" s="2237"/>
      <c r="BA1870" s="2237"/>
      <c r="BB1870" s="2237"/>
      <c r="BC1870" s="2237"/>
      <c r="BD1870" s="2237"/>
      <c r="BE1870" s="2237"/>
      <c r="BF1870" s="2237"/>
      <c r="BG1870" s="2237"/>
      <c r="BH1870" s="2237"/>
      <c r="BI1870" s="2237"/>
      <c r="BJ1870" s="2237"/>
      <c r="BK1870" s="2237"/>
      <c r="BL1870" s="2237"/>
      <c r="BM1870" s="2237"/>
      <c r="BN1870" s="2237"/>
      <c r="BO1870" s="2237"/>
      <c r="BP1870" s="2237"/>
      <c r="BQ1870" s="2237"/>
      <c r="BR1870" s="2237"/>
      <c r="BS1870" s="2237"/>
      <c r="BT1870" s="2237"/>
      <c r="BU1870" s="2237"/>
      <c r="BV1870" s="2237"/>
      <c r="BW1870" s="2237"/>
      <c r="BX1870" s="2237"/>
      <c r="BY1870" s="2237"/>
      <c r="BZ1870" s="2237"/>
      <c r="CA1870" s="2237"/>
      <c r="CB1870" s="2237"/>
      <c r="CC1870" s="2237"/>
      <c r="CD1870" s="2237"/>
      <c r="CE1870" s="2237"/>
      <c r="CF1870" s="2237"/>
      <c r="CG1870" s="2237"/>
      <c r="CH1870" s="2237"/>
      <c r="CI1870" s="2237"/>
      <c r="CJ1870" s="2237"/>
      <c r="CK1870" s="2237"/>
      <c r="CL1870" s="2237"/>
      <c r="CM1870" s="2237"/>
      <c r="CN1870" s="2237"/>
      <c r="CO1870" s="2237"/>
      <c r="CP1870" s="2237"/>
      <c r="CQ1870" s="2237"/>
      <c r="CR1870" s="2237"/>
      <c r="CS1870" s="2237"/>
      <c r="CT1870" s="2237"/>
      <c r="CU1870" s="2237"/>
      <c r="CV1870" s="2237"/>
      <c r="CW1870" s="2237"/>
      <c r="CX1870" s="2237"/>
      <c r="CY1870" s="2237"/>
      <c r="CZ1870" s="2237"/>
      <c r="DA1870" s="2237"/>
      <c r="DB1870" s="2237"/>
      <c r="DC1870" s="2237"/>
      <c r="DD1870" s="2237"/>
      <c r="DE1870" s="2237"/>
      <c r="DF1870" s="3393" t="str">
        <f t="shared" si="279"/>
        <v>ASHP-SEER21_ER1_MF_CompE</v>
      </c>
      <c r="DG1870" s="3259">
        <f>(DI1870+DI1871+DI1872+DI1873)/(DJ1870+DJ1871+DJ1872+DJ1873)</f>
        <v>1.7929604496416784</v>
      </c>
      <c r="DH1870" s="2521" t="str">
        <f t="shared" si="282"/>
        <v>Cooling Res 6 Year EUL</v>
      </c>
      <c r="DI1870" s="3260">
        <f>(INDEX('Avoided Cost Benefits'!$B$4:$B$866,MATCH(DH1870,'Avoided Cost Benefits'!$A$4:$A$866,0)))*F1870</f>
        <v>1173.3580206721101</v>
      </c>
      <c r="DJ1870" s="2507">
        <f>IFERROR(K1870/(1.0686^(2025-2025)),10000000)</f>
        <v>1077.5183641564863</v>
      </c>
      <c r="DM1870" s="252"/>
    </row>
    <row r="1871" spans="1:117">
      <c r="A1871" s="453"/>
      <c r="B1871" s="1454">
        <f t="shared" si="275"/>
        <v>354901</v>
      </c>
      <c r="C1871" s="2554" t="str">
        <f>C1870</f>
        <v>354901_2024_12_</v>
      </c>
      <c r="D1871" s="3383" t="s">
        <v>1118</v>
      </c>
      <c r="E1871" s="2882" t="s">
        <v>2472</v>
      </c>
      <c r="F1871" s="3373">
        <f>ROUND((($K$2095*$K$2288*(1/$K$2481-1/$K$2674)*$K$3639)/1000)*$K$3651,2)</f>
        <v>613.21</v>
      </c>
      <c r="G1871" s="3384" t="str">
        <f>G1867</f>
        <v>Heating Res</v>
      </c>
      <c r="H1871" s="2213">
        <f>VLOOKUP(G1871,'CP FACTORS'!$A$3:$B$38, 2, FALSE)</f>
        <v>0</v>
      </c>
      <c r="I1871" s="3385">
        <f t="shared" si="281"/>
        <v>0</v>
      </c>
      <c r="J1871" s="2449">
        <f>K4015</f>
        <v>6</v>
      </c>
      <c r="K1871" s="2894">
        <f t="shared" si="276"/>
        <v>0</v>
      </c>
      <c r="L1871" s="2649"/>
      <c r="M1871" s="3386"/>
      <c r="N1871" s="3387"/>
      <c r="O1871" s="2702"/>
      <c r="P1871" s="635"/>
      <c r="Q1871" s="635"/>
      <c r="R1871" s="2966"/>
      <c r="S1871" s="635"/>
      <c r="T1871" s="635"/>
      <c r="U1871" s="3388"/>
      <c r="V1871" s="2962" t="s">
        <v>45</v>
      </c>
      <c r="W1871" s="3389"/>
      <c r="X1871" s="3390"/>
      <c r="Y1871" s="3369">
        <v>613.21</v>
      </c>
      <c r="Z1871" s="3373">
        <v>613.21</v>
      </c>
      <c r="AA1871" s="3373">
        <v>613.21</v>
      </c>
      <c r="AB1871" s="3400">
        <v>613.21</v>
      </c>
      <c r="AC1871" s="3401">
        <v>613.21</v>
      </c>
      <c r="AD1871" s="3373">
        <v>613.21</v>
      </c>
      <c r="AE1871" s="3373">
        <v>613.21</v>
      </c>
      <c r="AF1871" s="2236">
        <f t="shared" si="277"/>
        <v>613.21</v>
      </c>
      <c r="AG1871" s="3389"/>
      <c r="AH1871" s="2728"/>
      <c r="AI1871" s="2237"/>
      <c r="AJ1871" s="2237"/>
      <c r="AK1871" s="3392"/>
      <c r="AL1871" s="2237"/>
      <c r="AM1871" s="2237"/>
      <c r="AN1871" s="2237"/>
      <c r="AO1871" s="2237"/>
      <c r="AP1871" s="2237"/>
      <c r="AQ1871" s="2237"/>
      <c r="AR1871" s="2237"/>
      <c r="AS1871" s="2237"/>
      <c r="AT1871" s="2237"/>
      <c r="AU1871" s="2237"/>
      <c r="AV1871" s="2237"/>
      <c r="AW1871" s="2237"/>
      <c r="AX1871" s="2237"/>
      <c r="AY1871" s="2237"/>
      <c r="AZ1871" s="2237"/>
      <c r="BA1871" s="2237"/>
      <c r="BB1871" s="2237"/>
      <c r="BC1871" s="2237"/>
      <c r="BD1871" s="2237"/>
      <c r="BE1871" s="2237"/>
      <c r="BF1871" s="2237"/>
      <c r="BG1871" s="2237"/>
      <c r="BH1871" s="2237"/>
      <c r="BI1871" s="2237"/>
      <c r="BJ1871" s="2237"/>
      <c r="BK1871" s="2237"/>
      <c r="BL1871" s="2237"/>
      <c r="BM1871" s="2237"/>
      <c r="BN1871" s="2237"/>
      <c r="BO1871" s="2237"/>
      <c r="BP1871" s="2237"/>
      <c r="BQ1871" s="2237"/>
      <c r="BR1871" s="2237"/>
      <c r="BS1871" s="2237"/>
      <c r="BT1871" s="2237"/>
      <c r="BU1871" s="2237"/>
      <c r="BV1871" s="2237"/>
      <c r="BW1871" s="2237"/>
      <c r="BX1871" s="2237"/>
      <c r="BY1871" s="2237"/>
      <c r="BZ1871" s="2237"/>
      <c r="CA1871" s="2237"/>
      <c r="CB1871" s="2237"/>
      <c r="CC1871" s="2237"/>
      <c r="CD1871" s="2237"/>
      <c r="CE1871" s="2237"/>
      <c r="CF1871" s="2237"/>
      <c r="CG1871" s="2237"/>
      <c r="CH1871" s="2237"/>
      <c r="CI1871" s="2237"/>
      <c r="CJ1871" s="2237"/>
      <c r="CK1871" s="2237"/>
      <c r="CL1871" s="2237"/>
      <c r="CM1871" s="2237"/>
      <c r="CN1871" s="2237"/>
      <c r="CO1871" s="2237"/>
      <c r="CP1871" s="2237"/>
      <c r="CQ1871" s="2237"/>
      <c r="CR1871" s="2237"/>
      <c r="CS1871" s="2237"/>
      <c r="CT1871" s="2237"/>
      <c r="CU1871" s="2237"/>
      <c r="CV1871" s="2237"/>
      <c r="CW1871" s="2237"/>
      <c r="CX1871" s="2237"/>
      <c r="CY1871" s="2237"/>
      <c r="CZ1871" s="2237"/>
      <c r="DA1871" s="2237"/>
      <c r="DB1871" s="2237"/>
      <c r="DC1871" s="2237"/>
      <c r="DD1871" s="2237"/>
      <c r="DE1871" s="2237"/>
      <c r="DF1871" s="3393" t="str">
        <f t="shared" si="279"/>
        <v>ASHP-SEER21_ER1_MF_CompE</v>
      </c>
      <c r="DG1871" s="3332"/>
      <c r="DH1871" s="2882" t="str">
        <f t="shared" si="282"/>
        <v>Heating Res 6 Year EUL</v>
      </c>
      <c r="DI1871" s="3260">
        <f>(INDEX('Avoided Cost Benefits'!$B$4:$B$866,MATCH(DH1871,'Avoided Cost Benefits'!$A$4:$A$866,0)))*F1871</f>
        <v>164.44992847139511</v>
      </c>
      <c r="DJ1871" s="2507">
        <f>K1871/(1.0686^(2025-2025))</f>
        <v>0</v>
      </c>
      <c r="DM1871" s="252"/>
    </row>
    <row r="1872" spans="1:117">
      <c r="A1872" s="453"/>
      <c r="B1872" s="1454">
        <f t="shared" si="275"/>
        <v>354901</v>
      </c>
      <c r="C1872" s="2554" t="str">
        <f>C1871</f>
        <v>354901_2024_12_</v>
      </c>
      <c r="D1872" s="3383" t="s">
        <v>1118</v>
      </c>
      <c r="E1872" s="2882" t="s">
        <v>2473</v>
      </c>
      <c r="F1872" s="3369">
        <f>ROUND((($K$2868*$K$3061*(1/$K$3254-1/$K$3447)*$K$3640)/1000)*$K$3651,2)</f>
        <v>362.95</v>
      </c>
      <c r="G1872" s="3384" t="str">
        <f>G1868</f>
        <v>Cooling Res ER2</v>
      </c>
      <c r="H1872" s="2213">
        <f>VLOOKUP(G1872,'CP FACTORS'!$A$3:$B$38, 2, FALSE)</f>
        <v>9.4741810000000004E-4</v>
      </c>
      <c r="I1872" s="3394">
        <f t="shared" si="281"/>
        <v>0.34386499999999998</v>
      </c>
      <c r="J1872" s="2449">
        <f>K4016</f>
        <v>12</v>
      </c>
      <c r="K1872" s="2894">
        <f t="shared" si="276"/>
        <v>0</v>
      </c>
      <c r="L1872" s="2649"/>
      <c r="M1872" s="3386"/>
      <c r="N1872" s="3387"/>
      <c r="O1872" s="2702"/>
      <c r="P1872" s="635"/>
      <c r="Q1872" s="635"/>
      <c r="R1872" s="2966"/>
      <c r="S1872" s="635"/>
      <c r="T1872" s="635"/>
      <c r="U1872" s="3388"/>
      <c r="V1872" s="2962" t="s">
        <v>45</v>
      </c>
      <c r="W1872" s="3389"/>
      <c r="X1872" s="3390"/>
      <c r="Y1872" s="3369">
        <v>387.33</v>
      </c>
      <c r="Z1872" s="3373">
        <v>387.33</v>
      </c>
      <c r="AA1872" s="3373">
        <v>387.33</v>
      </c>
      <c r="AB1872" s="3400">
        <v>387.33</v>
      </c>
      <c r="AC1872" s="3401">
        <v>387.33</v>
      </c>
      <c r="AD1872" s="3373">
        <v>387.33</v>
      </c>
      <c r="AE1872" s="3369">
        <v>309.86</v>
      </c>
      <c r="AF1872" s="2236">
        <f t="shared" si="277"/>
        <v>362.95</v>
      </c>
      <c r="AG1872" s="3389"/>
      <c r="AH1872" s="2728"/>
      <c r="AI1872" s="2237"/>
      <c r="AJ1872" s="2237"/>
      <c r="AK1872" s="3392"/>
      <c r="AL1872" s="2237"/>
      <c r="AM1872" s="2237"/>
      <c r="AN1872" s="2237"/>
      <c r="AO1872" s="2237"/>
      <c r="AP1872" s="2237"/>
      <c r="AQ1872" s="2237"/>
      <c r="AR1872" s="2237"/>
      <c r="AS1872" s="2237"/>
      <c r="AT1872" s="2237"/>
      <c r="AU1872" s="2237"/>
      <c r="AV1872" s="2237"/>
      <c r="AW1872" s="2237"/>
      <c r="AX1872" s="2237"/>
      <c r="AY1872" s="2237"/>
      <c r="AZ1872" s="2237"/>
      <c r="BA1872" s="2237"/>
      <c r="BB1872" s="2237"/>
      <c r="BC1872" s="2237"/>
      <c r="BD1872" s="2237"/>
      <c r="BE1872" s="2237"/>
      <c r="BF1872" s="2237"/>
      <c r="BG1872" s="2237"/>
      <c r="BH1872" s="2237"/>
      <c r="BI1872" s="2237"/>
      <c r="BJ1872" s="2237"/>
      <c r="BK1872" s="2237"/>
      <c r="BL1872" s="2237"/>
      <c r="BM1872" s="2237"/>
      <c r="BN1872" s="2237"/>
      <c r="BO1872" s="2237"/>
      <c r="BP1872" s="2237"/>
      <c r="BQ1872" s="2237"/>
      <c r="BR1872" s="2237"/>
      <c r="BS1872" s="2237"/>
      <c r="BT1872" s="2237"/>
      <c r="BU1872" s="2237"/>
      <c r="BV1872" s="2237"/>
      <c r="BW1872" s="2237"/>
      <c r="BX1872" s="2237"/>
      <c r="BY1872" s="2237"/>
      <c r="BZ1872" s="2237"/>
      <c r="CA1872" s="2237"/>
      <c r="CB1872" s="2237"/>
      <c r="CC1872" s="2237"/>
      <c r="CD1872" s="2237"/>
      <c r="CE1872" s="2237"/>
      <c r="CF1872" s="2237"/>
      <c r="CG1872" s="2237"/>
      <c r="CH1872" s="2237"/>
      <c r="CI1872" s="2237"/>
      <c r="CJ1872" s="2237"/>
      <c r="CK1872" s="2237"/>
      <c r="CL1872" s="2237"/>
      <c r="CM1872" s="2237"/>
      <c r="CN1872" s="2237"/>
      <c r="CO1872" s="2237"/>
      <c r="CP1872" s="2237"/>
      <c r="CQ1872" s="2237"/>
      <c r="CR1872" s="2237"/>
      <c r="CS1872" s="2237"/>
      <c r="CT1872" s="2237"/>
      <c r="CU1872" s="2237"/>
      <c r="CV1872" s="2237"/>
      <c r="CW1872" s="2237"/>
      <c r="CX1872" s="2237"/>
      <c r="CY1872" s="2237"/>
      <c r="CZ1872" s="2237"/>
      <c r="DA1872" s="2237"/>
      <c r="DB1872" s="2237"/>
      <c r="DC1872" s="2237"/>
      <c r="DD1872" s="2237"/>
      <c r="DE1872" s="2237"/>
      <c r="DF1872" s="3393" t="str">
        <f t="shared" si="279"/>
        <v>ASHP-SEER21_ER2_MF_CompE</v>
      </c>
      <c r="DG1872" s="3332"/>
      <c r="DH1872" s="2882" t="str">
        <f t="shared" ref="DH1872:DH1893" si="283">CONCATENATE(G1872," ",J1872," Year EUL")</f>
        <v>Cooling Res ER2 12 Year EUL</v>
      </c>
      <c r="DI1872" s="3260">
        <f>(INDEX('Avoided Cost Benefits'!$B$4:$B$866,MATCH(DH1872,'Avoided Cost Benefits'!$A$4:$A$866,0)))*F1872</f>
        <v>469.62855520084628</v>
      </c>
      <c r="DJ1872" s="2507">
        <f>K1872/(1.0686^(2025-2025))</f>
        <v>0</v>
      </c>
      <c r="DM1872" s="252"/>
    </row>
    <row r="1873" spans="1:117">
      <c r="A1873" s="453"/>
      <c r="B1873" s="1454">
        <f t="shared" si="275"/>
        <v>354901</v>
      </c>
      <c r="C1873" s="2554" t="str">
        <f>C1872</f>
        <v>354901_2024_12_</v>
      </c>
      <c r="D1873" s="3383" t="s">
        <v>1118</v>
      </c>
      <c r="E1873" s="2522" t="s">
        <v>2473</v>
      </c>
      <c r="F1873" s="3369">
        <f>ROUND((($K$2096*$K$2289*(1/$K$2482-1/$K$2675)*$K$3640)/1000)*$K$3651,2)</f>
        <v>368.49</v>
      </c>
      <c r="G1873" s="3384" t="str">
        <f>G1869</f>
        <v>Heating Res ER2</v>
      </c>
      <c r="H1873" s="2213">
        <f>VLOOKUP(G1873,'CP FACTORS'!$A$3:$B$38, 2, FALSE)</f>
        <v>0</v>
      </c>
      <c r="I1873" s="3385">
        <f t="shared" si="281"/>
        <v>0</v>
      </c>
      <c r="J1873" s="2449">
        <f>K4017</f>
        <v>12</v>
      </c>
      <c r="K1873" s="2894">
        <f t="shared" si="276"/>
        <v>0</v>
      </c>
      <c r="L1873" s="2649"/>
      <c r="M1873" s="3386"/>
      <c r="N1873" s="3387"/>
      <c r="O1873" s="2702"/>
      <c r="P1873" s="635"/>
      <c r="Q1873" s="635"/>
      <c r="R1873" s="2966"/>
      <c r="S1873" s="635"/>
      <c r="T1873" s="635"/>
      <c r="U1873" s="3388"/>
      <c r="V1873" s="2962" t="s">
        <v>45</v>
      </c>
      <c r="W1873" s="3389"/>
      <c r="X1873" s="3390"/>
      <c r="Y1873" s="3369">
        <v>219.07</v>
      </c>
      <c r="Z1873" s="3373">
        <v>219.07</v>
      </c>
      <c r="AA1873" s="3373">
        <v>219.07</v>
      </c>
      <c r="AB1873" s="3400">
        <v>219.07</v>
      </c>
      <c r="AC1873" s="3401">
        <v>219.07</v>
      </c>
      <c r="AD1873" s="3373">
        <v>219.07</v>
      </c>
      <c r="AE1873" s="3369">
        <v>144.61000000000001</v>
      </c>
      <c r="AF1873" s="2236">
        <f t="shared" si="277"/>
        <v>368.49</v>
      </c>
      <c r="AG1873" s="3389"/>
      <c r="AH1873" s="2728"/>
      <c r="AI1873" s="2237"/>
      <c r="AJ1873" s="2237"/>
      <c r="AK1873" s="3392"/>
      <c r="AL1873" s="2237"/>
      <c r="AM1873" s="2237"/>
      <c r="AN1873" s="2237"/>
      <c r="AO1873" s="2237"/>
      <c r="AP1873" s="2237"/>
      <c r="AQ1873" s="2237"/>
      <c r="AR1873" s="2237"/>
      <c r="AS1873" s="2237"/>
      <c r="AT1873" s="2237"/>
      <c r="AU1873" s="2237"/>
      <c r="AV1873" s="2237"/>
      <c r="AW1873" s="2237"/>
      <c r="AX1873" s="2237"/>
      <c r="AY1873" s="2237"/>
      <c r="AZ1873" s="2237"/>
      <c r="BA1873" s="2237"/>
      <c r="BB1873" s="2237"/>
      <c r="BC1873" s="2237"/>
      <c r="BD1873" s="2237"/>
      <c r="BE1873" s="2237"/>
      <c r="BF1873" s="2237"/>
      <c r="BG1873" s="2237"/>
      <c r="BH1873" s="2237"/>
      <c r="BI1873" s="2237"/>
      <c r="BJ1873" s="2237"/>
      <c r="BK1873" s="2237"/>
      <c r="BL1873" s="2237"/>
      <c r="BM1873" s="2237"/>
      <c r="BN1873" s="2237"/>
      <c r="BO1873" s="2237"/>
      <c r="BP1873" s="2237"/>
      <c r="BQ1873" s="2237"/>
      <c r="BR1873" s="2237"/>
      <c r="BS1873" s="2237"/>
      <c r="BT1873" s="2237"/>
      <c r="BU1873" s="2237"/>
      <c r="BV1873" s="2237"/>
      <c r="BW1873" s="2237"/>
      <c r="BX1873" s="2237"/>
      <c r="BY1873" s="2237"/>
      <c r="BZ1873" s="2237"/>
      <c r="CA1873" s="2237"/>
      <c r="CB1873" s="2237"/>
      <c r="CC1873" s="2237"/>
      <c r="CD1873" s="2237"/>
      <c r="CE1873" s="2237"/>
      <c r="CF1873" s="2237"/>
      <c r="CG1873" s="2237"/>
      <c r="CH1873" s="2237"/>
      <c r="CI1873" s="2237"/>
      <c r="CJ1873" s="2237"/>
      <c r="CK1873" s="2237"/>
      <c r="CL1873" s="2237"/>
      <c r="CM1873" s="2237"/>
      <c r="CN1873" s="2237"/>
      <c r="CO1873" s="2237"/>
      <c r="CP1873" s="2237"/>
      <c r="CQ1873" s="2237"/>
      <c r="CR1873" s="2237"/>
      <c r="CS1873" s="2237"/>
      <c r="CT1873" s="2237"/>
      <c r="CU1873" s="2237"/>
      <c r="CV1873" s="2237"/>
      <c r="CW1873" s="2237"/>
      <c r="CX1873" s="2237"/>
      <c r="CY1873" s="2237"/>
      <c r="CZ1873" s="2237"/>
      <c r="DA1873" s="2237"/>
      <c r="DB1873" s="2237"/>
      <c r="DC1873" s="2237"/>
      <c r="DD1873" s="2237"/>
      <c r="DE1873" s="2237"/>
      <c r="DF1873" s="3393" t="str">
        <f t="shared" si="279"/>
        <v>ASHP-SEER21_ER2_MF_CompE</v>
      </c>
      <c r="DG1873" s="3332"/>
      <c r="DH1873" s="2522" t="str">
        <f t="shared" si="283"/>
        <v>Heating Res ER2 12 Year EUL</v>
      </c>
      <c r="DI1873" s="3260">
        <f>(INDEX('Avoided Cost Benefits'!$B$4:$B$866,MATCH(DH1873,'Avoided Cost Benefits'!$A$4:$A$866,0)))*F1873</f>
        <v>124.51130635082799</v>
      </c>
      <c r="DJ1873" s="2507">
        <f>K1873/(1.0686^(2025-2025))</f>
        <v>0</v>
      </c>
      <c r="DM1873" s="252"/>
    </row>
    <row r="1874" spans="1:117">
      <c r="A1874" s="453"/>
      <c r="B1874" s="1454">
        <f t="shared" si="275"/>
        <v>354950</v>
      </c>
      <c r="C1874" s="682" t="s">
        <v>2474</v>
      </c>
      <c r="D1874" s="3470" t="s">
        <v>959</v>
      </c>
      <c r="E1874" s="215" t="s">
        <v>2475</v>
      </c>
      <c r="F1874" s="227">
        <f>ROUND(((K2869*K3062*(1/K3255-1/K3448)*K3641)/1000)*$K$3651,2)</f>
        <v>248.43</v>
      </c>
      <c r="G1874" s="570" t="s">
        <v>2077</v>
      </c>
      <c r="H1874" s="69">
        <f>VLOOKUP(G1874,'CP FACTORS'!$A$3:$B$38, 2, FALSE)</f>
        <v>9.4741810000000004E-4</v>
      </c>
      <c r="I1874" s="1476">
        <f t="shared" si="281"/>
        <v>0.23536699999999999</v>
      </c>
      <c r="J1874" s="59">
        <f t="shared" ref="J1874:J1893" si="284">K4018</f>
        <v>18</v>
      </c>
      <c r="K1874" s="166">
        <f t="shared" si="276"/>
        <v>630</v>
      </c>
      <c r="L1874" s="255">
        <f>L2097</f>
        <v>3.3</v>
      </c>
      <c r="M1874" s="560"/>
      <c r="N1874" s="572"/>
      <c r="O1874" s="417"/>
      <c r="R1874" s="532"/>
      <c r="S1874" s="52"/>
      <c r="T1874" s="52"/>
      <c r="U1874" s="574"/>
      <c r="V1874" s="1442" t="s">
        <v>45</v>
      </c>
      <c r="W1874" s="962">
        <v>281.95033613445372</v>
      </c>
      <c r="X1874" s="254">
        <v>281.95033613445372</v>
      </c>
      <c r="Y1874" s="225">
        <v>281.95</v>
      </c>
      <c r="Z1874" s="225">
        <v>281.95</v>
      </c>
      <c r="AA1874" s="225">
        <v>281.95</v>
      </c>
      <c r="AB1874" s="1027">
        <v>281.95</v>
      </c>
      <c r="AC1874" s="960">
        <v>281.95</v>
      </c>
      <c r="AD1874" s="225">
        <v>281.95</v>
      </c>
      <c r="AE1874" s="227">
        <v>175.44</v>
      </c>
      <c r="AF1874" s="271">
        <f t="shared" si="277"/>
        <v>248.43</v>
      </c>
      <c r="AG1874" s="962"/>
      <c r="AH1874" s="121"/>
      <c r="AK1874" s="963"/>
      <c r="DF1874" s="1650" t="str">
        <f t="shared" si="279"/>
        <v>ASHP-SEER17_ROF_MF</v>
      </c>
      <c r="DG1874" s="1090">
        <f>(DI1874+DI1875)/(DJ1874+DJ1875)</f>
        <v>2.0621513389005171</v>
      </c>
      <c r="DH1874" s="215" t="str">
        <f t="shared" si="283"/>
        <v>Cooling Res 18 Year EUL</v>
      </c>
      <c r="DI1874" s="1091">
        <f>(INDEX('Avoided Cost Benefits'!$B$4:$B$866,MATCH(DH1874,'Avoided Cost Benefits'!$A$4:$A$866,0)))*F1874</f>
        <v>568.8472877377618</v>
      </c>
      <c r="DJ1874" s="1176">
        <f>IFERROR(K1874/(1.0686^(2025-2025)),10000000)</f>
        <v>630</v>
      </c>
      <c r="DM1874" s="252"/>
    </row>
    <row r="1875" spans="1:117">
      <c r="A1875" s="453"/>
      <c r="B1875" s="1454">
        <f t="shared" si="275"/>
        <v>354950</v>
      </c>
      <c r="C1875" s="682" t="s">
        <v>2474</v>
      </c>
      <c r="D1875" s="3470" t="s">
        <v>959</v>
      </c>
      <c r="E1875" s="253" t="s">
        <v>2475</v>
      </c>
      <c r="F1875" s="227">
        <f>ROUND(((K2097*K2290*(1/K2483-1/K2676)*K3641)/1000)*$K$3651,2)</f>
        <v>1204.98</v>
      </c>
      <c r="G1875" s="570" t="s">
        <v>2078</v>
      </c>
      <c r="H1875" s="69">
        <f>VLOOKUP(G1875,'CP FACTORS'!$A$3:$B$38, 2, FALSE)</f>
        <v>0</v>
      </c>
      <c r="I1875" s="1028">
        <f t="shared" si="281"/>
        <v>0</v>
      </c>
      <c r="J1875" s="59">
        <f t="shared" si="284"/>
        <v>18</v>
      </c>
      <c r="K1875" s="163">
        <f t="shared" si="276"/>
        <v>0</v>
      </c>
      <c r="L1875" s="255"/>
      <c r="M1875" s="560"/>
      <c r="N1875" s="572"/>
      <c r="O1875" s="417"/>
      <c r="R1875" s="532"/>
      <c r="S1875" s="52"/>
      <c r="T1875" s="52"/>
      <c r="U1875" s="574"/>
      <c r="V1875" s="1442" t="s">
        <v>45</v>
      </c>
      <c r="W1875" s="962">
        <v>1029.6000000000013</v>
      </c>
      <c r="X1875" s="251">
        <v>766.69069188651167</v>
      </c>
      <c r="Y1875" s="225">
        <v>766.69</v>
      </c>
      <c r="Z1875" s="225">
        <v>766.69</v>
      </c>
      <c r="AA1875" s="225">
        <v>766.69</v>
      </c>
      <c r="AB1875" s="1027">
        <v>766.69</v>
      </c>
      <c r="AC1875" s="960">
        <v>766.69</v>
      </c>
      <c r="AD1875" s="225">
        <v>766.69</v>
      </c>
      <c r="AE1875" s="227">
        <v>548.27</v>
      </c>
      <c r="AF1875" s="271">
        <f t="shared" si="277"/>
        <v>1204.98</v>
      </c>
      <c r="AG1875" s="962"/>
      <c r="AH1875" s="121"/>
      <c r="AK1875" s="963"/>
      <c r="DF1875" s="1650" t="str">
        <f t="shared" si="279"/>
        <v>ASHP-SEER17_ROF_MF</v>
      </c>
      <c r="DG1875" s="1092"/>
      <c r="DH1875" s="253" t="str">
        <f t="shared" si="283"/>
        <v>Heating Res 18 Year EUL</v>
      </c>
      <c r="DI1875" s="1091">
        <f>(INDEX('Avoided Cost Benefits'!$B$4:$B$866,MATCH(DH1875,'Avoided Cost Benefits'!$A$4:$A$866,0)))*F1875</f>
        <v>730.30805576956402</v>
      </c>
      <c r="DJ1875" s="1176">
        <f>K1875/(1.0686^(2025-2025))</f>
        <v>0</v>
      </c>
      <c r="DM1875" s="252"/>
    </row>
    <row r="1876" spans="1:117">
      <c r="A1876" s="453"/>
      <c r="B1876" s="1454">
        <f t="shared" si="275"/>
        <v>354951</v>
      </c>
      <c r="C1876" s="2554" t="s">
        <v>2476</v>
      </c>
      <c r="D1876" s="3383" t="s">
        <v>1118</v>
      </c>
      <c r="E1876" s="2521" t="s">
        <v>2477</v>
      </c>
      <c r="F1876" s="3369">
        <f>ROUND((($K$2870*$K$3063*(1/$K$3256-1/$K$3449)*$K$3642)/1000)*$K$3651,2)</f>
        <v>180.68</v>
      </c>
      <c r="G1876" s="3384" t="str">
        <f>G1874</f>
        <v>Cooling Res</v>
      </c>
      <c r="H1876" s="2213">
        <f>VLOOKUP(G1876,'CP FACTORS'!$A$3:$B$38, 2, FALSE)</f>
        <v>9.4741810000000004E-4</v>
      </c>
      <c r="I1876" s="3394">
        <f t="shared" si="281"/>
        <v>0.17118</v>
      </c>
      <c r="J1876" s="2449">
        <f t="shared" si="284"/>
        <v>18</v>
      </c>
      <c r="K1876" s="2467">
        <f t="shared" si="276"/>
        <v>630</v>
      </c>
      <c r="L1876" s="2649">
        <f>L2098</f>
        <v>3.3</v>
      </c>
      <c r="M1876" s="3386"/>
      <c r="N1876" s="3387"/>
      <c r="O1876" s="2702"/>
      <c r="P1876" s="635"/>
      <c r="Q1876" s="635"/>
      <c r="R1876" s="2966"/>
      <c r="S1876" s="635"/>
      <c r="T1876" s="635"/>
      <c r="U1876" s="3388"/>
      <c r="V1876" s="2962" t="s">
        <v>45</v>
      </c>
      <c r="W1876" s="3389"/>
      <c r="X1876" s="3390"/>
      <c r="Y1876" s="3369">
        <v>205.05</v>
      </c>
      <c r="Z1876" s="3373">
        <v>205.05</v>
      </c>
      <c r="AA1876" s="3373">
        <v>205.05</v>
      </c>
      <c r="AB1876" s="3400">
        <v>205.05</v>
      </c>
      <c r="AC1876" s="3401">
        <v>205.05</v>
      </c>
      <c r="AD1876" s="3373">
        <v>205.05</v>
      </c>
      <c r="AE1876" s="3369">
        <v>127.59</v>
      </c>
      <c r="AF1876" s="2236">
        <f t="shared" si="277"/>
        <v>180.68</v>
      </c>
      <c r="AG1876" s="3389"/>
      <c r="AH1876" s="2728"/>
      <c r="AI1876" s="2237"/>
      <c r="AJ1876" s="2237"/>
      <c r="AK1876" s="3392"/>
      <c r="AL1876" s="2237"/>
      <c r="AM1876" s="2237"/>
      <c r="AN1876" s="2237"/>
      <c r="AO1876" s="2237"/>
      <c r="AP1876" s="2237"/>
      <c r="AQ1876" s="2237"/>
      <c r="AR1876" s="2237"/>
      <c r="AS1876" s="2237"/>
      <c r="AT1876" s="2237"/>
      <c r="AU1876" s="2237"/>
      <c r="AV1876" s="2237"/>
      <c r="AW1876" s="2237"/>
      <c r="AX1876" s="2237"/>
      <c r="AY1876" s="2237"/>
      <c r="AZ1876" s="2237"/>
      <c r="BA1876" s="2237"/>
      <c r="BB1876" s="2237"/>
      <c r="BC1876" s="2237"/>
      <c r="BD1876" s="2237"/>
      <c r="BE1876" s="2237"/>
      <c r="BF1876" s="2237"/>
      <c r="BG1876" s="2237"/>
      <c r="BH1876" s="2237"/>
      <c r="BI1876" s="2237"/>
      <c r="BJ1876" s="2237"/>
      <c r="BK1876" s="2237"/>
      <c r="BL1876" s="2237"/>
      <c r="BM1876" s="2237"/>
      <c r="BN1876" s="2237"/>
      <c r="BO1876" s="2237"/>
      <c r="BP1876" s="2237"/>
      <c r="BQ1876" s="2237"/>
      <c r="BR1876" s="2237"/>
      <c r="BS1876" s="2237"/>
      <c r="BT1876" s="2237"/>
      <c r="BU1876" s="2237"/>
      <c r="BV1876" s="2237"/>
      <c r="BW1876" s="2237"/>
      <c r="BX1876" s="2237"/>
      <c r="BY1876" s="2237"/>
      <c r="BZ1876" s="2237"/>
      <c r="CA1876" s="2237"/>
      <c r="CB1876" s="2237"/>
      <c r="CC1876" s="2237"/>
      <c r="CD1876" s="2237"/>
      <c r="CE1876" s="2237"/>
      <c r="CF1876" s="2237"/>
      <c r="CG1876" s="2237"/>
      <c r="CH1876" s="2237"/>
      <c r="CI1876" s="2237"/>
      <c r="CJ1876" s="2237"/>
      <c r="CK1876" s="2237"/>
      <c r="CL1876" s="2237"/>
      <c r="CM1876" s="2237"/>
      <c r="CN1876" s="2237"/>
      <c r="CO1876" s="2237"/>
      <c r="CP1876" s="2237"/>
      <c r="CQ1876" s="2237"/>
      <c r="CR1876" s="2237"/>
      <c r="CS1876" s="2237"/>
      <c r="CT1876" s="2237"/>
      <c r="CU1876" s="2237"/>
      <c r="CV1876" s="2237"/>
      <c r="CW1876" s="2237"/>
      <c r="CX1876" s="2237"/>
      <c r="CY1876" s="2237"/>
      <c r="CZ1876" s="2237"/>
      <c r="DA1876" s="2237"/>
      <c r="DB1876" s="2237"/>
      <c r="DC1876" s="2237"/>
      <c r="DD1876" s="2237"/>
      <c r="DE1876" s="2237"/>
      <c r="DF1876" s="3393" t="str">
        <f t="shared" si="279"/>
        <v>ASHP-SEER17_ROF_MF_CompE</v>
      </c>
      <c r="DG1876" s="3259">
        <f>(DI1876+DI1877)/(DJ1876+DJ1877)</f>
        <v>1.0518808359186844</v>
      </c>
      <c r="DH1876" s="3398" t="str">
        <f t="shared" si="283"/>
        <v>Cooling Res 18 Year EUL</v>
      </c>
      <c r="DI1876" s="3260">
        <f>(INDEX('Avoided Cost Benefits'!$B$4:$B$866,MATCH(DH1876,'Avoided Cost Benefits'!$A$4:$A$866,0)))*F1876</f>
        <v>413.71544478709819</v>
      </c>
      <c r="DJ1876" s="2507">
        <f>IFERROR(K1876/(1.0686^(2025-2025)),10000000)</f>
        <v>630</v>
      </c>
      <c r="DM1876" s="252"/>
    </row>
    <row r="1877" spans="1:117">
      <c r="A1877" s="453"/>
      <c r="B1877" s="1454">
        <f t="shared" si="275"/>
        <v>354951</v>
      </c>
      <c r="C1877" s="2554" t="str">
        <f>C1876</f>
        <v>354951_2024_12_</v>
      </c>
      <c r="D1877" s="3383" t="s">
        <v>1118</v>
      </c>
      <c r="E1877" s="2522" t="s">
        <v>2477</v>
      </c>
      <c r="F1877" s="3369">
        <f>ROUND((($K$2098*$K$2291*(1/$K$2484-1/$K$2677)*$K$3642)/1000)*$K$3651,2)</f>
        <v>410.79</v>
      </c>
      <c r="G1877" s="3384" t="str">
        <f>G1875</f>
        <v>Heating Res</v>
      </c>
      <c r="H1877" s="2213">
        <f>VLOOKUP(G1877,'CP FACTORS'!$A$3:$B$38, 2, FALSE)</f>
        <v>0</v>
      </c>
      <c r="I1877" s="3385">
        <f t="shared" si="281"/>
        <v>0</v>
      </c>
      <c r="J1877" s="2449">
        <f t="shared" si="284"/>
        <v>18</v>
      </c>
      <c r="K1877" s="2894">
        <f t="shared" si="276"/>
        <v>0</v>
      </c>
      <c r="L1877" s="2649"/>
      <c r="M1877" s="3386"/>
      <c r="N1877" s="3387"/>
      <c r="O1877" s="2702"/>
      <c r="P1877" s="635"/>
      <c r="Q1877" s="635"/>
      <c r="R1877" s="2966"/>
      <c r="S1877" s="635"/>
      <c r="T1877" s="635"/>
      <c r="U1877" s="3388"/>
      <c r="V1877" s="2962" t="s">
        <v>45</v>
      </c>
      <c r="W1877" s="3389"/>
      <c r="X1877" s="3390"/>
      <c r="Y1877" s="3369">
        <v>261.37</v>
      </c>
      <c r="Z1877" s="3373">
        <v>261.37</v>
      </c>
      <c r="AA1877" s="3373">
        <v>261.37</v>
      </c>
      <c r="AB1877" s="3400">
        <v>261.37</v>
      </c>
      <c r="AC1877" s="3401">
        <v>261.37</v>
      </c>
      <c r="AD1877" s="3373">
        <v>261.37</v>
      </c>
      <c r="AE1877" s="3369">
        <v>186.91</v>
      </c>
      <c r="AF1877" s="2236">
        <f t="shared" si="277"/>
        <v>410.79</v>
      </c>
      <c r="AG1877" s="3389"/>
      <c r="AH1877" s="2728"/>
      <c r="AI1877" s="2237"/>
      <c r="AJ1877" s="2237"/>
      <c r="AK1877" s="3392"/>
      <c r="AL1877" s="2237"/>
      <c r="AM1877" s="2237"/>
      <c r="AN1877" s="2237"/>
      <c r="AO1877" s="2237"/>
      <c r="AP1877" s="2237"/>
      <c r="AQ1877" s="2237"/>
      <c r="AR1877" s="2237"/>
      <c r="AS1877" s="2237"/>
      <c r="AT1877" s="2237"/>
      <c r="AU1877" s="2237"/>
      <c r="AV1877" s="2237"/>
      <c r="AW1877" s="2237"/>
      <c r="AX1877" s="2237"/>
      <c r="AY1877" s="2237"/>
      <c r="AZ1877" s="2237"/>
      <c r="BA1877" s="2237"/>
      <c r="BB1877" s="2237"/>
      <c r="BC1877" s="2237"/>
      <c r="BD1877" s="2237"/>
      <c r="BE1877" s="2237"/>
      <c r="BF1877" s="2237"/>
      <c r="BG1877" s="2237"/>
      <c r="BH1877" s="2237"/>
      <c r="BI1877" s="2237"/>
      <c r="BJ1877" s="2237"/>
      <c r="BK1877" s="2237"/>
      <c r="BL1877" s="2237"/>
      <c r="BM1877" s="2237"/>
      <c r="BN1877" s="2237"/>
      <c r="BO1877" s="2237"/>
      <c r="BP1877" s="2237"/>
      <c r="BQ1877" s="2237"/>
      <c r="BR1877" s="2237"/>
      <c r="BS1877" s="2237"/>
      <c r="BT1877" s="2237"/>
      <c r="BU1877" s="2237"/>
      <c r="BV1877" s="2237"/>
      <c r="BW1877" s="2237"/>
      <c r="BX1877" s="2237"/>
      <c r="BY1877" s="2237"/>
      <c r="BZ1877" s="2237"/>
      <c r="CA1877" s="2237"/>
      <c r="CB1877" s="2237"/>
      <c r="CC1877" s="2237"/>
      <c r="CD1877" s="2237"/>
      <c r="CE1877" s="2237"/>
      <c r="CF1877" s="2237"/>
      <c r="CG1877" s="2237"/>
      <c r="CH1877" s="2237"/>
      <c r="CI1877" s="2237"/>
      <c r="CJ1877" s="2237"/>
      <c r="CK1877" s="2237"/>
      <c r="CL1877" s="2237"/>
      <c r="CM1877" s="2237"/>
      <c r="CN1877" s="2237"/>
      <c r="CO1877" s="2237"/>
      <c r="CP1877" s="2237"/>
      <c r="CQ1877" s="2237"/>
      <c r="CR1877" s="2237"/>
      <c r="CS1877" s="2237"/>
      <c r="CT1877" s="2237"/>
      <c r="CU1877" s="2237"/>
      <c r="CV1877" s="2237"/>
      <c r="CW1877" s="2237"/>
      <c r="CX1877" s="2237"/>
      <c r="CY1877" s="2237"/>
      <c r="CZ1877" s="2237"/>
      <c r="DA1877" s="2237"/>
      <c r="DB1877" s="2237"/>
      <c r="DC1877" s="2237"/>
      <c r="DD1877" s="2237"/>
      <c r="DE1877" s="2237"/>
      <c r="DF1877" s="3393" t="str">
        <f t="shared" si="279"/>
        <v>ASHP-SEER17_ROF_MF_CompE</v>
      </c>
      <c r="DG1877" s="3261"/>
      <c r="DH1877" s="3402" t="str">
        <f t="shared" si="283"/>
        <v>Heating Res 18 Year EUL</v>
      </c>
      <c r="DI1877" s="3260">
        <f>(INDEX('Avoided Cost Benefits'!$B$4:$B$866,MATCH(DH1877,'Avoided Cost Benefits'!$A$4:$A$866,0)))*F1877</f>
        <v>248.96948184167306</v>
      </c>
      <c r="DJ1877" s="2507">
        <f>K1877/(1.0686^(2025-2025))</f>
        <v>0</v>
      </c>
      <c r="DM1877" s="252"/>
    </row>
    <row r="1878" spans="1:117">
      <c r="A1878" s="453"/>
      <c r="B1878" s="1454">
        <f t="shared" si="275"/>
        <v>355000</v>
      </c>
      <c r="C1878" s="682" t="s">
        <v>2478</v>
      </c>
      <c r="D1878" s="3470" t="s">
        <v>959</v>
      </c>
      <c r="E1878" s="215" t="s">
        <v>2479</v>
      </c>
      <c r="F1878" s="227">
        <f>ROUND(((K2871*K3064*(1/K3257-1/K3450)*K3643)/1000)*$K$3651,2)</f>
        <v>321.52999999999997</v>
      </c>
      <c r="G1878" s="570" t="s">
        <v>2077</v>
      </c>
      <c r="H1878" s="69">
        <f>VLOOKUP(G1878,'CP FACTORS'!$A$3:$B$38, 2, FALSE)</f>
        <v>9.4741810000000004E-4</v>
      </c>
      <c r="I1878" s="1476">
        <f t="shared" si="281"/>
        <v>0.30462299999999998</v>
      </c>
      <c r="J1878" s="59">
        <f t="shared" si="284"/>
        <v>18</v>
      </c>
      <c r="K1878" s="166">
        <f t="shared" si="276"/>
        <v>855</v>
      </c>
      <c r="L1878" s="255">
        <f>L2099</f>
        <v>3.3</v>
      </c>
      <c r="M1878" s="560"/>
      <c r="N1878" s="572"/>
      <c r="O1878" s="417"/>
      <c r="R1878" s="532"/>
      <c r="S1878" s="52"/>
      <c r="T1878" s="52"/>
      <c r="U1878" s="574"/>
      <c r="V1878" s="1442" t="s">
        <v>45</v>
      </c>
      <c r="W1878" s="962">
        <v>355.04857142857139</v>
      </c>
      <c r="X1878" s="254">
        <v>355.04857142857139</v>
      </c>
      <c r="Y1878" s="225">
        <v>355.05</v>
      </c>
      <c r="Z1878" s="225">
        <v>355.05</v>
      </c>
      <c r="AA1878" s="225">
        <v>355.05</v>
      </c>
      <c r="AB1878" s="1027">
        <v>355.05</v>
      </c>
      <c r="AC1878" s="960">
        <v>355.05</v>
      </c>
      <c r="AD1878" s="225">
        <v>355.05</v>
      </c>
      <c r="AE1878" s="227">
        <v>248.53</v>
      </c>
      <c r="AF1878" s="271">
        <f t="shared" si="277"/>
        <v>321.52999999999997</v>
      </c>
      <c r="AG1878" s="962"/>
      <c r="AH1878" s="121"/>
      <c r="AK1878" s="963"/>
      <c r="DF1878" s="1650" t="str">
        <f t="shared" si="279"/>
        <v>ASHP-SEER18_ROF_MF</v>
      </c>
      <c r="DG1878" s="1090">
        <f>(DI1878+DI1879)/(DJ1878+DJ1879)</f>
        <v>1.7152484796152838</v>
      </c>
      <c r="DH1878" s="215" t="str">
        <f t="shared" si="283"/>
        <v>Cooling Res 18 Year EUL</v>
      </c>
      <c r="DI1878" s="1091">
        <f>(INDEX('Avoided Cost Benefits'!$B$4:$B$866,MATCH(DH1878,'Avoided Cost Benefits'!$A$4:$A$866,0)))*F1878</f>
        <v>736.22939430150359</v>
      </c>
      <c r="DJ1878" s="1176">
        <f>IFERROR(K1878/(1.0686^(2025-2025)),10000000)</f>
        <v>855</v>
      </c>
      <c r="DM1878" s="252"/>
    </row>
    <row r="1879" spans="1:117">
      <c r="A1879" s="453"/>
      <c r="B1879" s="1454">
        <f t="shared" si="275"/>
        <v>355000</v>
      </c>
      <c r="C1879" s="682" t="s">
        <v>2478</v>
      </c>
      <c r="D1879" s="3470" t="s">
        <v>959</v>
      </c>
      <c r="E1879" s="253" t="s">
        <v>2479</v>
      </c>
      <c r="F1879" s="227">
        <f>ROUND(((K2099*K2292*(1/K2485-1/K2678)*K3643)/1000)*$K$3651,2)</f>
        <v>1204.98</v>
      </c>
      <c r="G1879" s="570" t="s">
        <v>2078</v>
      </c>
      <c r="H1879" s="69">
        <f>VLOOKUP(G1879,'CP FACTORS'!$A$3:$B$38, 2, FALSE)</f>
        <v>0</v>
      </c>
      <c r="I1879" s="1028">
        <f t="shared" si="281"/>
        <v>0</v>
      </c>
      <c r="J1879" s="59">
        <f t="shared" si="284"/>
        <v>18</v>
      </c>
      <c r="K1879" s="163">
        <f t="shared" si="276"/>
        <v>0</v>
      </c>
      <c r="L1879" s="255"/>
      <c r="M1879" s="560"/>
      <c r="N1879" s="572"/>
      <c r="O1879" s="417"/>
      <c r="R1879" s="532"/>
      <c r="S1879" s="52"/>
      <c r="T1879" s="52"/>
      <c r="U1879" s="574"/>
      <c r="V1879" s="1442" t="s">
        <v>45</v>
      </c>
      <c r="W1879" s="962">
        <v>1029.6000000000013</v>
      </c>
      <c r="X1879" s="251">
        <v>766.69069188651167</v>
      </c>
      <c r="Y1879" s="225">
        <v>766.69</v>
      </c>
      <c r="Z1879" s="225">
        <v>766.69</v>
      </c>
      <c r="AA1879" s="225">
        <v>766.69</v>
      </c>
      <c r="AB1879" s="1027">
        <v>766.69</v>
      </c>
      <c r="AC1879" s="960">
        <v>766.69</v>
      </c>
      <c r="AD1879" s="225">
        <v>766.69</v>
      </c>
      <c r="AE1879" s="227">
        <v>548.27</v>
      </c>
      <c r="AF1879" s="271">
        <f t="shared" si="277"/>
        <v>1204.98</v>
      </c>
      <c r="AG1879" s="962"/>
      <c r="AH1879" s="121"/>
      <c r="AK1879" s="963"/>
      <c r="DF1879" s="1650" t="str">
        <f t="shared" si="279"/>
        <v>ASHP-SEER18_ROF_MF</v>
      </c>
      <c r="DG1879" s="1092"/>
      <c r="DH1879" s="253" t="str">
        <f t="shared" si="283"/>
        <v>Heating Res 18 Year EUL</v>
      </c>
      <c r="DI1879" s="1091">
        <f>(INDEX('Avoided Cost Benefits'!$B$4:$B$866,MATCH(DH1879,'Avoided Cost Benefits'!$A$4:$A$866,0)))*F1879</f>
        <v>730.30805576956402</v>
      </c>
      <c r="DJ1879" s="1176">
        <f>K1879/(1.0686^(2025-2025))</f>
        <v>0</v>
      </c>
      <c r="DM1879" s="252"/>
    </row>
    <row r="1880" spans="1:117">
      <c r="A1880" s="453"/>
      <c r="B1880" s="1454">
        <f t="shared" si="275"/>
        <v>355001</v>
      </c>
      <c r="C1880" s="2554" t="s">
        <v>2480</v>
      </c>
      <c r="D1880" s="3383" t="s">
        <v>1118</v>
      </c>
      <c r="E1880" s="2521" t="s">
        <v>2481</v>
      </c>
      <c r="F1880" s="3369">
        <f>ROUND((($K$2872*$K$3065*(1/$K$3258-1/$K$3451)*$K$3644)/1000)*$K$3651,2)</f>
        <v>233.84</v>
      </c>
      <c r="G1880" s="3384" t="str">
        <f>G1878</f>
        <v>Cooling Res</v>
      </c>
      <c r="H1880" s="2213">
        <f>VLOOKUP(G1880,'CP FACTORS'!$A$3:$B$38, 2, FALSE)</f>
        <v>9.4741810000000004E-4</v>
      </c>
      <c r="I1880" s="3394">
        <f t="shared" si="281"/>
        <v>0.22154399999999999</v>
      </c>
      <c r="J1880" s="2449">
        <f t="shared" si="284"/>
        <v>18</v>
      </c>
      <c r="K1880" s="2467">
        <f t="shared" si="276"/>
        <v>855</v>
      </c>
      <c r="L1880" s="2649">
        <f>L2100</f>
        <v>3.3</v>
      </c>
      <c r="M1880" s="3386"/>
      <c r="N1880" s="3387"/>
      <c r="O1880" s="2702"/>
      <c r="P1880" s="635"/>
      <c r="Q1880" s="635"/>
      <c r="R1880" s="2966"/>
      <c r="S1880" s="635"/>
      <c r="T1880" s="635"/>
      <c r="U1880" s="3388"/>
      <c r="V1880" s="2962" t="s">
        <v>45</v>
      </c>
      <c r="W1880" s="3389"/>
      <c r="X1880" s="3390"/>
      <c r="Y1880" s="3369">
        <v>397.26</v>
      </c>
      <c r="Z1880" s="3373">
        <v>397.26</v>
      </c>
      <c r="AA1880" s="3373">
        <v>397.26</v>
      </c>
      <c r="AB1880" s="3400">
        <v>397.26</v>
      </c>
      <c r="AC1880" s="3369">
        <v>258.22000000000003</v>
      </c>
      <c r="AD1880" s="3373">
        <v>258.22000000000003</v>
      </c>
      <c r="AE1880" s="3369">
        <v>180.75</v>
      </c>
      <c r="AF1880" s="2236">
        <f t="shared" si="277"/>
        <v>233.84</v>
      </c>
      <c r="AG1880" s="3389"/>
      <c r="AH1880" s="2728"/>
      <c r="AI1880" s="2237"/>
      <c r="AJ1880" s="2237"/>
      <c r="AK1880" s="3392"/>
      <c r="AL1880" s="2237"/>
      <c r="AM1880" s="2237"/>
      <c r="AN1880" s="2237"/>
      <c r="AO1880" s="2237"/>
      <c r="AP1880" s="2237"/>
      <c r="AQ1880" s="2237"/>
      <c r="AR1880" s="2237"/>
      <c r="AS1880" s="2237"/>
      <c r="AT1880" s="2237"/>
      <c r="AU1880" s="2237"/>
      <c r="AV1880" s="2237"/>
      <c r="AW1880" s="2237"/>
      <c r="AX1880" s="2237"/>
      <c r="AY1880" s="2237"/>
      <c r="AZ1880" s="2237"/>
      <c r="BA1880" s="2237"/>
      <c r="BB1880" s="2237"/>
      <c r="BC1880" s="2237"/>
      <c r="BD1880" s="2237"/>
      <c r="BE1880" s="2237"/>
      <c r="BF1880" s="2237"/>
      <c r="BG1880" s="2237"/>
      <c r="BH1880" s="2237"/>
      <c r="BI1880" s="2237"/>
      <c r="BJ1880" s="2237"/>
      <c r="BK1880" s="2237"/>
      <c r="BL1880" s="2237"/>
      <c r="BM1880" s="2237"/>
      <c r="BN1880" s="2237"/>
      <c r="BO1880" s="2237"/>
      <c r="BP1880" s="2237"/>
      <c r="BQ1880" s="2237"/>
      <c r="BR1880" s="2237"/>
      <c r="BS1880" s="2237"/>
      <c r="BT1880" s="2237"/>
      <c r="BU1880" s="2237"/>
      <c r="BV1880" s="2237"/>
      <c r="BW1880" s="2237"/>
      <c r="BX1880" s="2237"/>
      <c r="BY1880" s="2237"/>
      <c r="BZ1880" s="2237"/>
      <c r="CA1880" s="2237"/>
      <c r="CB1880" s="2237"/>
      <c r="CC1880" s="2237"/>
      <c r="CD1880" s="2237"/>
      <c r="CE1880" s="2237"/>
      <c r="CF1880" s="2237"/>
      <c r="CG1880" s="2237"/>
      <c r="CH1880" s="2237"/>
      <c r="CI1880" s="2237"/>
      <c r="CJ1880" s="2237"/>
      <c r="CK1880" s="2237"/>
      <c r="CL1880" s="2237"/>
      <c r="CM1880" s="2237"/>
      <c r="CN1880" s="2237"/>
      <c r="CO1880" s="2237"/>
      <c r="CP1880" s="2237"/>
      <c r="CQ1880" s="2237"/>
      <c r="CR1880" s="2237"/>
      <c r="CS1880" s="2237"/>
      <c r="CT1880" s="2237"/>
      <c r="CU1880" s="2237"/>
      <c r="CV1880" s="2237"/>
      <c r="CW1880" s="2237"/>
      <c r="CX1880" s="2237"/>
      <c r="CY1880" s="2237"/>
      <c r="CZ1880" s="2237"/>
      <c r="DA1880" s="2237"/>
      <c r="DB1880" s="2237"/>
      <c r="DC1880" s="2237"/>
      <c r="DD1880" s="2237"/>
      <c r="DE1880" s="2237"/>
      <c r="DF1880" s="3393" t="str">
        <f t="shared" si="279"/>
        <v>ASHP-SEER18_ROF_MF_CompE</v>
      </c>
      <c r="DG1880" s="3259">
        <f>(DI1880+DI1881)/(DJ1880+DJ1881)</f>
        <v>0.91743747524406527</v>
      </c>
      <c r="DH1880" s="3398" t="str">
        <f t="shared" si="283"/>
        <v>Cooling Res 18 Year EUL</v>
      </c>
      <c r="DI1880" s="3260">
        <f>(INDEX('Avoided Cost Benefits'!$B$4:$B$866,MATCH(DH1880,'Avoided Cost Benefits'!$A$4:$A$866,0)))*F1880</f>
        <v>535.43955949200267</v>
      </c>
      <c r="DJ1880" s="2507">
        <f>IFERROR(K1880/(1.0686^(2025-2025)),10000000)</f>
        <v>855</v>
      </c>
      <c r="DM1880" s="252"/>
    </row>
    <row r="1881" spans="1:117">
      <c r="A1881" s="453"/>
      <c r="B1881" s="1454">
        <f t="shared" si="275"/>
        <v>355001</v>
      </c>
      <c r="C1881" s="2554" t="str">
        <f>C1880</f>
        <v>355001_2024_12_</v>
      </c>
      <c r="D1881" s="3383" t="s">
        <v>1118</v>
      </c>
      <c r="E1881" s="2522" t="s">
        <v>2481</v>
      </c>
      <c r="F1881" s="3369">
        <f>ROUND((($K$2100*$K$2293*(1/$K$2486-1/$K$2679)*$K$3644)/1000)*$K$3651,2)</f>
        <v>410.79</v>
      </c>
      <c r="G1881" s="3384" t="str">
        <f>G1879</f>
        <v>Heating Res</v>
      </c>
      <c r="H1881" s="2213">
        <f>VLOOKUP(G1881,'CP FACTORS'!$A$3:$B$38, 2, FALSE)</f>
        <v>0</v>
      </c>
      <c r="I1881" s="3385">
        <f t="shared" si="281"/>
        <v>0</v>
      </c>
      <c r="J1881" s="2449">
        <f t="shared" si="284"/>
        <v>18</v>
      </c>
      <c r="K1881" s="2894">
        <f t="shared" si="276"/>
        <v>0</v>
      </c>
      <c r="L1881" s="2649"/>
      <c r="M1881" s="3386"/>
      <c r="N1881" s="3387"/>
      <c r="O1881" s="2702"/>
      <c r="P1881" s="635"/>
      <c r="Q1881" s="635"/>
      <c r="R1881" s="2966"/>
      <c r="S1881" s="635"/>
      <c r="T1881" s="635"/>
      <c r="U1881" s="3388"/>
      <c r="V1881" s="2962" t="s">
        <v>45</v>
      </c>
      <c r="W1881" s="3389"/>
      <c r="X1881" s="3390"/>
      <c r="Y1881" s="3369">
        <v>402.11</v>
      </c>
      <c r="Z1881" s="3373">
        <v>402.11</v>
      </c>
      <c r="AA1881" s="3373">
        <v>402.11</v>
      </c>
      <c r="AB1881" s="3400">
        <v>402.11</v>
      </c>
      <c r="AC1881" s="3369">
        <v>261.37</v>
      </c>
      <c r="AD1881" s="3373">
        <v>261.37</v>
      </c>
      <c r="AE1881" s="3369">
        <v>186.91</v>
      </c>
      <c r="AF1881" s="2236">
        <f t="shared" si="277"/>
        <v>410.79</v>
      </c>
      <c r="AG1881" s="3389"/>
      <c r="AH1881" s="2728"/>
      <c r="AI1881" s="2237"/>
      <c r="AJ1881" s="2237"/>
      <c r="AK1881" s="3392"/>
      <c r="AL1881" s="2237"/>
      <c r="AM1881" s="2237"/>
      <c r="AN1881" s="2237"/>
      <c r="AO1881" s="2237"/>
      <c r="AP1881" s="2237"/>
      <c r="AQ1881" s="2237"/>
      <c r="AR1881" s="2237"/>
      <c r="AS1881" s="2237"/>
      <c r="AT1881" s="2237"/>
      <c r="AU1881" s="2237"/>
      <c r="AV1881" s="2237"/>
      <c r="AW1881" s="2237"/>
      <c r="AX1881" s="2237"/>
      <c r="AY1881" s="2237"/>
      <c r="AZ1881" s="2237"/>
      <c r="BA1881" s="2237"/>
      <c r="BB1881" s="2237"/>
      <c r="BC1881" s="2237"/>
      <c r="BD1881" s="2237"/>
      <c r="BE1881" s="2237"/>
      <c r="BF1881" s="2237"/>
      <c r="BG1881" s="2237"/>
      <c r="BH1881" s="2237"/>
      <c r="BI1881" s="2237"/>
      <c r="BJ1881" s="2237"/>
      <c r="BK1881" s="2237"/>
      <c r="BL1881" s="2237"/>
      <c r="BM1881" s="2237"/>
      <c r="BN1881" s="2237"/>
      <c r="BO1881" s="2237"/>
      <c r="BP1881" s="2237"/>
      <c r="BQ1881" s="2237"/>
      <c r="BR1881" s="2237"/>
      <c r="BS1881" s="2237"/>
      <c r="BT1881" s="2237"/>
      <c r="BU1881" s="2237"/>
      <c r="BV1881" s="2237"/>
      <c r="BW1881" s="2237"/>
      <c r="BX1881" s="2237"/>
      <c r="BY1881" s="2237"/>
      <c r="BZ1881" s="2237"/>
      <c r="CA1881" s="2237"/>
      <c r="CB1881" s="2237"/>
      <c r="CC1881" s="2237"/>
      <c r="CD1881" s="2237"/>
      <c r="CE1881" s="2237"/>
      <c r="CF1881" s="2237"/>
      <c r="CG1881" s="2237"/>
      <c r="CH1881" s="2237"/>
      <c r="CI1881" s="2237"/>
      <c r="CJ1881" s="2237"/>
      <c r="CK1881" s="2237"/>
      <c r="CL1881" s="2237"/>
      <c r="CM1881" s="2237"/>
      <c r="CN1881" s="2237"/>
      <c r="CO1881" s="2237"/>
      <c r="CP1881" s="2237"/>
      <c r="CQ1881" s="2237"/>
      <c r="CR1881" s="2237"/>
      <c r="CS1881" s="2237"/>
      <c r="CT1881" s="2237"/>
      <c r="CU1881" s="2237"/>
      <c r="CV1881" s="2237"/>
      <c r="CW1881" s="2237"/>
      <c r="CX1881" s="2237"/>
      <c r="CY1881" s="2237"/>
      <c r="CZ1881" s="2237"/>
      <c r="DA1881" s="2237"/>
      <c r="DB1881" s="2237"/>
      <c r="DC1881" s="2237"/>
      <c r="DD1881" s="2237"/>
      <c r="DE1881" s="2237"/>
      <c r="DF1881" s="3393" t="str">
        <f t="shared" si="279"/>
        <v>ASHP-SEER18_ROF_MF_CompE</v>
      </c>
      <c r="DG1881" s="3261"/>
      <c r="DH1881" s="3402" t="str">
        <f t="shared" si="283"/>
        <v>Heating Res 18 Year EUL</v>
      </c>
      <c r="DI1881" s="3260">
        <f>(INDEX('Avoided Cost Benefits'!$B$4:$B$866,MATCH(DH1881,'Avoided Cost Benefits'!$A$4:$A$866,0)))*F1881</f>
        <v>248.96948184167306</v>
      </c>
      <c r="DJ1881" s="2507">
        <f>K1881/(1.0686^(2025-2025))</f>
        <v>0</v>
      </c>
      <c r="DM1881" s="252"/>
    </row>
    <row r="1882" spans="1:117">
      <c r="A1882" s="453"/>
      <c r="B1882" s="1454">
        <f t="shared" si="275"/>
        <v>355050</v>
      </c>
      <c r="C1882" s="682" t="s">
        <v>2482</v>
      </c>
      <c r="D1882" s="3470" t="s">
        <v>959</v>
      </c>
      <c r="E1882" s="215" t="s">
        <v>2483</v>
      </c>
      <c r="F1882" s="227">
        <f>ROUND(((K2873*K3066*(1/K3259-1/K3452)*K3645)/1000)*$K$3651,2)</f>
        <v>386.93</v>
      </c>
      <c r="G1882" s="570" t="s">
        <v>2077</v>
      </c>
      <c r="H1882" s="69">
        <f>VLOOKUP(G1882,'CP FACTORS'!$A$3:$B$38, 2, FALSE)</f>
        <v>9.4741810000000004E-4</v>
      </c>
      <c r="I1882" s="1476">
        <f t="shared" si="281"/>
        <v>0.36658400000000002</v>
      </c>
      <c r="J1882" s="59">
        <f t="shared" si="284"/>
        <v>18</v>
      </c>
      <c r="K1882" s="166">
        <f t="shared" si="276"/>
        <v>1081</v>
      </c>
      <c r="L1882" s="255">
        <f>L2101</f>
        <v>3.3</v>
      </c>
      <c r="M1882" s="560"/>
      <c r="N1882" s="572"/>
      <c r="O1882" s="417"/>
      <c r="R1882" s="532"/>
      <c r="S1882" s="52"/>
      <c r="T1882" s="52"/>
      <c r="U1882" s="574"/>
      <c r="V1882" s="1442" t="s">
        <v>45</v>
      </c>
      <c r="W1882" s="962">
        <v>420.45225563909776</v>
      </c>
      <c r="X1882" s="254">
        <v>420.45225563909776</v>
      </c>
      <c r="Y1882" s="225">
        <v>420.45</v>
      </c>
      <c r="Z1882" s="225">
        <v>420.45</v>
      </c>
      <c r="AA1882" s="225">
        <v>420.45</v>
      </c>
      <c r="AB1882" s="1027">
        <v>420.45</v>
      </c>
      <c r="AC1882" s="960">
        <v>420.45</v>
      </c>
      <c r="AD1882" s="225">
        <v>420.45</v>
      </c>
      <c r="AE1882" s="227">
        <v>313.94</v>
      </c>
      <c r="AF1882" s="271">
        <f t="shared" si="277"/>
        <v>386.93</v>
      </c>
      <c r="AG1882" s="962"/>
      <c r="AH1882" s="121"/>
      <c r="AK1882" s="963"/>
      <c r="DF1882" s="1650" t="str">
        <f t="shared" si="279"/>
        <v>ASHP-SEER19_ROF_MF</v>
      </c>
      <c r="DG1882" s="1090">
        <f>(DI1882+DI1883)/(DJ1882+DJ1883)</f>
        <v>1.4951788493132057</v>
      </c>
      <c r="DH1882" s="215" t="str">
        <f t="shared" si="283"/>
        <v>Cooling Res 18 Year EUL</v>
      </c>
      <c r="DI1882" s="1091">
        <f>(INDEX('Avoided Cost Benefits'!$B$4:$B$866,MATCH(DH1882,'Avoided Cost Benefits'!$A$4:$A$866,0)))*F1882</f>
        <v>885.98028033801131</v>
      </c>
      <c r="DJ1882" s="1176">
        <f>IFERROR(K1882/(1.0686^(2025-2025)),10000000)</f>
        <v>1081</v>
      </c>
      <c r="DM1882" s="252"/>
    </row>
    <row r="1883" spans="1:117">
      <c r="A1883" s="453"/>
      <c r="B1883" s="1454">
        <f t="shared" si="275"/>
        <v>355050</v>
      </c>
      <c r="C1883" s="682" t="s">
        <v>2482</v>
      </c>
      <c r="D1883" s="3470" t="s">
        <v>959</v>
      </c>
      <c r="E1883" s="253" t="s">
        <v>2483</v>
      </c>
      <c r="F1883" s="227">
        <f>ROUND(((K2101*K2294*(1/K2487-1/K2680)*K3645)/1000)*$K$3651,2)</f>
        <v>1204.98</v>
      </c>
      <c r="G1883" s="570" t="s">
        <v>2078</v>
      </c>
      <c r="H1883" s="69">
        <f>VLOOKUP(G1883,'CP FACTORS'!$A$3:$B$38, 2, FALSE)</f>
        <v>0</v>
      </c>
      <c r="I1883" s="1028">
        <f t="shared" si="281"/>
        <v>0</v>
      </c>
      <c r="J1883" s="59">
        <f t="shared" si="284"/>
        <v>18</v>
      </c>
      <c r="K1883" s="163">
        <f t="shared" si="276"/>
        <v>0</v>
      </c>
      <c r="L1883" s="255"/>
      <c r="M1883" s="560"/>
      <c r="N1883" s="572"/>
      <c r="O1883" s="417"/>
      <c r="R1883" s="532"/>
      <c r="S1883" s="52"/>
      <c r="T1883" s="52"/>
      <c r="U1883" s="574"/>
      <c r="V1883" s="1442" t="s">
        <v>45</v>
      </c>
      <c r="W1883" s="962">
        <v>1029.6000000000013</v>
      </c>
      <c r="X1883" s="251">
        <v>766.69069188651167</v>
      </c>
      <c r="Y1883" s="225">
        <v>766.69</v>
      </c>
      <c r="Z1883" s="225">
        <v>766.69</v>
      </c>
      <c r="AA1883" s="225">
        <v>766.69</v>
      </c>
      <c r="AB1883" s="1027">
        <v>766.69</v>
      </c>
      <c r="AC1883" s="960">
        <v>766.69</v>
      </c>
      <c r="AD1883" s="225">
        <v>766.69</v>
      </c>
      <c r="AE1883" s="227">
        <v>548.27</v>
      </c>
      <c r="AF1883" s="271">
        <f t="shared" si="277"/>
        <v>1204.98</v>
      </c>
      <c r="AG1883" s="962"/>
      <c r="AH1883" s="121"/>
      <c r="AK1883" s="963"/>
      <c r="DF1883" s="1650" t="str">
        <f t="shared" si="279"/>
        <v>ASHP-SEER19_ROF_MF</v>
      </c>
      <c r="DG1883" s="1092"/>
      <c r="DH1883" s="253" t="str">
        <f t="shared" si="283"/>
        <v>Heating Res 18 Year EUL</v>
      </c>
      <c r="DI1883" s="1091">
        <f>(INDEX('Avoided Cost Benefits'!$B$4:$B$866,MATCH(DH1883,'Avoided Cost Benefits'!$A$4:$A$866,0)))*F1883</f>
        <v>730.30805576956402</v>
      </c>
      <c r="DJ1883" s="1176">
        <f>K1883/(1.0686^(2025-2025))</f>
        <v>0</v>
      </c>
      <c r="DM1883" s="252"/>
    </row>
    <row r="1884" spans="1:117">
      <c r="A1884" s="453"/>
      <c r="B1884" s="1454">
        <f t="shared" si="275"/>
        <v>355051</v>
      </c>
      <c r="C1884" s="2554" t="s">
        <v>2484</v>
      </c>
      <c r="D1884" s="3383" t="s">
        <v>1118</v>
      </c>
      <c r="E1884" s="2521" t="s">
        <v>2485</v>
      </c>
      <c r="F1884" s="3369">
        <f>ROUND((($K$2874*$K$3067*(1/$K$3260-1/$K$3453)*$K$3646)/1000)*$K$3651,2)</f>
        <v>281.41000000000003</v>
      </c>
      <c r="G1884" s="3384" t="str">
        <f>G1882</f>
        <v>Cooling Res</v>
      </c>
      <c r="H1884" s="2213">
        <f>VLOOKUP(G1884,'CP FACTORS'!$A$3:$B$38, 2, FALSE)</f>
        <v>9.4741810000000004E-4</v>
      </c>
      <c r="I1884" s="3394">
        <f t="shared" si="281"/>
        <v>0.26661299999999999</v>
      </c>
      <c r="J1884" s="2449">
        <f t="shared" si="284"/>
        <v>18</v>
      </c>
      <c r="K1884" s="2467">
        <f t="shared" si="276"/>
        <v>1081</v>
      </c>
      <c r="L1884" s="2649">
        <f>L2102</f>
        <v>3.3</v>
      </c>
      <c r="M1884" s="3386"/>
      <c r="N1884" s="3387"/>
      <c r="O1884" s="2702"/>
      <c r="P1884" s="635"/>
      <c r="Q1884" s="635"/>
      <c r="R1884" s="2966"/>
      <c r="S1884" s="635"/>
      <c r="T1884" s="635"/>
      <c r="U1884" s="3388"/>
      <c r="V1884" s="2962" t="s">
        <v>45</v>
      </c>
      <c r="W1884" s="3389"/>
      <c r="X1884" s="3390"/>
      <c r="Y1884" s="3369">
        <v>305.77999999999997</v>
      </c>
      <c r="Z1884" s="3373">
        <v>305.77999999999997</v>
      </c>
      <c r="AA1884" s="3373">
        <v>305.77999999999997</v>
      </c>
      <c r="AB1884" s="3400">
        <v>305.77999999999997</v>
      </c>
      <c r="AC1884" s="3401">
        <v>305.77999999999997</v>
      </c>
      <c r="AD1884" s="3373">
        <v>305.77999999999997</v>
      </c>
      <c r="AE1884" s="3369">
        <v>228.32</v>
      </c>
      <c r="AF1884" s="2236">
        <f t="shared" si="277"/>
        <v>281.41000000000003</v>
      </c>
      <c r="AG1884" s="3389"/>
      <c r="AH1884" s="2728"/>
      <c r="AI1884" s="2237"/>
      <c r="AJ1884" s="2237"/>
      <c r="AK1884" s="3392"/>
      <c r="AL1884" s="2237"/>
      <c r="AM1884" s="2237"/>
      <c r="AN1884" s="2237"/>
      <c r="AO1884" s="2237"/>
      <c r="AP1884" s="2237"/>
      <c r="AQ1884" s="2237"/>
      <c r="AR1884" s="2237"/>
      <c r="AS1884" s="2237"/>
      <c r="AT1884" s="2237"/>
      <c r="AU1884" s="2237"/>
      <c r="AV1884" s="2237"/>
      <c r="AW1884" s="2237"/>
      <c r="AX1884" s="2237"/>
      <c r="AY1884" s="2237"/>
      <c r="AZ1884" s="2237"/>
      <c r="BA1884" s="2237"/>
      <c r="BB1884" s="2237"/>
      <c r="BC1884" s="2237"/>
      <c r="BD1884" s="2237"/>
      <c r="BE1884" s="2237"/>
      <c r="BF1884" s="2237"/>
      <c r="BG1884" s="2237"/>
      <c r="BH1884" s="2237"/>
      <c r="BI1884" s="2237"/>
      <c r="BJ1884" s="2237"/>
      <c r="BK1884" s="2237"/>
      <c r="BL1884" s="2237"/>
      <c r="BM1884" s="2237"/>
      <c r="BN1884" s="2237"/>
      <c r="BO1884" s="2237"/>
      <c r="BP1884" s="2237"/>
      <c r="BQ1884" s="2237"/>
      <c r="BR1884" s="2237"/>
      <c r="BS1884" s="2237"/>
      <c r="BT1884" s="2237"/>
      <c r="BU1884" s="2237"/>
      <c r="BV1884" s="2237"/>
      <c r="BW1884" s="2237"/>
      <c r="BX1884" s="2237"/>
      <c r="BY1884" s="2237"/>
      <c r="BZ1884" s="2237"/>
      <c r="CA1884" s="2237"/>
      <c r="CB1884" s="2237"/>
      <c r="CC1884" s="2237"/>
      <c r="CD1884" s="2237"/>
      <c r="CE1884" s="2237"/>
      <c r="CF1884" s="2237"/>
      <c r="CG1884" s="2237"/>
      <c r="CH1884" s="2237"/>
      <c r="CI1884" s="2237"/>
      <c r="CJ1884" s="2237"/>
      <c r="CK1884" s="2237"/>
      <c r="CL1884" s="2237"/>
      <c r="CM1884" s="2237"/>
      <c r="CN1884" s="2237"/>
      <c r="CO1884" s="2237"/>
      <c r="CP1884" s="2237"/>
      <c r="CQ1884" s="2237"/>
      <c r="CR1884" s="2237"/>
      <c r="CS1884" s="2237"/>
      <c r="CT1884" s="2237"/>
      <c r="CU1884" s="2237"/>
      <c r="CV1884" s="2237"/>
      <c r="CW1884" s="2237"/>
      <c r="CX1884" s="2237"/>
      <c r="CY1884" s="2237"/>
      <c r="CZ1884" s="2237"/>
      <c r="DA1884" s="2237"/>
      <c r="DB1884" s="2237"/>
      <c r="DC1884" s="2237"/>
      <c r="DD1884" s="2237"/>
      <c r="DE1884" s="2237"/>
      <c r="DF1884" s="3393" t="str">
        <f t="shared" si="279"/>
        <v>ASHP-SEER19_ROF_MF_CompE</v>
      </c>
      <c r="DG1884" s="3259">
        <f>(DI1884+DI1885)/(DJ1884+DJ1885)</f>
        <v>0.8263953264473527</v>
      </c>
      <c r="DH1884" s="3398" t="str">
        <f t="shared" si="283"/>
        <v>Cooling Res 18 Year EUL</v>
      </c>
      <c r="DI1884" s="3260">
        <f>(INDEX('Avoided Cost Benefits'!$B$4:$B$866,MATCH(DH1884,'Avoided Cost Benefits'!$A$4:$A$866,0)))*F1884</f>
        <v>644.36386604791517</v>
      </c>
      <c r="DJ1884" s="2507">
        <f>IFERROR(K1884/(1.0686^(2025-2025)),10000000)</f>
        <v>1081</v>
      </c>
      <c r="DM1884" s="252"/>
    </row>
    <row r="1885" spans="1:117">
      <c r="A1885" s="453"/>
      <c r="B1885" s="1454">
        <f t="shared" si="275"/>
        <v>355051</v>
      </c>
      <c r="C1885" s="2554" t="str">
        <f>C1884</f>
        <v>355051_2024_12_</v>
      </c>
      <c r="D1885" s="3383" t="s">
        <v>1118</v>
      </c>
      <c r="E1885" s="2522" t="s">
        <v>2485</v>
      </c>
      <c r="F1885" s="3369">
        <f>ROUND((($K$2102*$K$2295*(1/$K$2488-1/$K$2681)*$K$3646)/1000)*$K$3651,2)</f>
        <v>410.79</v>
      </c>
      <c r="G1885" s="3384" t="str">
        <f>G1883</f>
        <v>Heating Res</v>
      </c>
      <c r="H1885" s="2213">
        <f>VLOOKUP(G1885,'CP FACTORS'!$A$3:$B$38, 2, FALSE)</f>
        <v>0</v>
      </c>
      <c r="I1885" s="3385">
        <f t="shared" si="281"/>
        <v>0</v>
      </c>
      <c r="J1885" s="2449">
        <f t="shared" si="284"/>
        <v>18</v>
      </c>
      <c r="K1885" s="2894">
        <f t="shared" si="276"/>
        <v>0</v>
      </c>
      <c r="L1885" s="2649"/>
      <c r="M1885" s="3386"/>
      <c r="N1885" s="3387"/>
      <c r="O1885" s="2702"/>
      <c r="P1885" s="635"/>
      <c r="Q1885" s="635"/>
      <c r="R1885" s="2966"/>
      <c r="S1885" s="635"/>
      <c r="T1885" s="635"/>
      <c r="U1885" s="3388"/>
      <c r="V1885" s="2962" t="s">
        <v>45</v>
      </c>
      <c r="W1885" s="3389"/>
      <c r="X1885" s="3390"/>
      <c r="Y1885" s="3369">
        <v>261.37</v>
      </c>
      <c r="Z1885" s="3373">
        <v>261.37</v>
      </c>
      <c r="AA1885" s="3373">
        <v>261.37</v>
      </c>
      <c r="AB1885" s="3400">
        <v>261.37</v>
      </c>
      <c r="AC1885" s="3401">
        <v>261.37</v>
      </c>
      <c r="AD1885" s="3373">
        <v>261.37</v>
      </c>
      <c r="AE1885" s="3369">
        <v>186.91</v>
      </c>
      <c r="AF1885" s="2236">
        <f t="shared" si="277"/>
        <v>410.79</v>
      </c>
      <c r="AG1885" s="3389"/>
      <c r="AH1885" s="2728"/>
      <c r="AI1885" s="2237"/>
      <c r="AJ1885" s="2237"/>
      <c r="AK1885" s="3392"/>
      <c r="AL1885" s="2237"/>
      <c r="AM1885" s="2237"/>
      <c r="AN1885" s="2237"/>
      <c r="AO1885" s="2237"/>
      <c r="AP1885" s="2237"/>
      <c r="AQ1885" s="2237"/>
      <c r="AR1885" s="2237"/>
      <c r="AS1885" s="2237"/>
      <c r="AT1885" s="2237"/>
      <c r="AU1885" s="2237"/>
      <c r="AV1885" s="2237"/>
      <c r="AW1885" s="2237"/>
      <c r="AX1885" s="2237"/>
      <c r="AY1885" s="2237"/>
      <c r="AZ1885" s="2237"/>
      <c r="BA1885" s="2237"/>
      <c r="BB1885" s="2237"/>
      <c r="BC1885" s="2237"/>
      <c r="BD1885" s="2237"/>
      <c r="BE1885" s="2237"/>
      <c r="BF1885" s="2237"/>
      <c r="BG1885" s="2237"/>
      <c r="BH1885" s="2237"/>
      <c r="BI1885" s="2237"/>
      <c r="BJ1885" s="2237"/>
      <c r="BK1885" s="2237"/>
      <c r="BL1885" s="2237"/>
      <c r="BM1885" s="2237"/>
      <c r="BN1885" s="2237"/>
      <c r="BO1885" s="2237"/>
      <c r="BP1885" s="2237"/>
      <c r="BQ1885" s="2237"/>
      <c r="BR1885" s="2237"/>
      <c r="BS1885" s="2237"/>
      <c r="BT1885" s="2237"/>
      <c r="BU1885" s="2237"/>
      <c r="BV1885" s="2237"/>
      <c r="BW1885" s="2237"/>
      <c r="BX1885" s="2237"/>
      <c r="BY1885" s="2237"/>
      <c r="BZ1885" s="2237"/>
      <c r="CA1885" s="2237"/>
      <c r="CB1885" s="2237"/>
      <c r="CC1885" s="2237"/>
      <c r="CD1885" s="2237"/>
      <c r="CE1885" s="2237"/>
      <c r="CF1885" s="2237"/>
      <c r="CG1885" s="2237"/>
      <c r="CH1885" s="2237"/>
      <c r="CI1885" s="2237"/>
      <c r="CJ1885" s="2237"/>
      <c r="CK1885" s="2237"/>
      <c r="CL1885" s="2237"/>
      <c r="CM1885" s="2237"/>
      <c r="CN1885" s="2237"/>
      <c r="CO1885" s="2237"/>
      <c r="CP1885" s="2237"/>
      <c r="CQ1885" s="2237"/>
      <c r="CR1885" s="2237"/>
      <c r="CS1885" s="2237"/>
      <c r="CT1885" s="2237"/>
      <c r="CU1885" s="2237"/>
      <c r="CV1885" s="2237"/>
      <c r="CW1885" s="2237"/>
      <c r="CX1885" s="2237"/>
      <c r="CY1885" s="2237"/>
      <c r="CZ1885" s="2237"/>
      <c r="DA1885" s="2237"/>
      <c r="DB1885" s="2237"/>
      <c r="DC1885" s="2237"/>
      <c r="DD1885" s="2237"/>
      <c r="DE1885" s="2237"/>
      <c r="DF1885" s="3393" t="str">
        <f t="shared" si="279"/>
        <v>ASHP-SEER19_ROF_MF_CompE</v>
      </c>
      <c r="DG1885" s="3261"/>
      <c r="DH1885" s="3402" t="str">
        <f t="shared" si="283"/>
        <v>Heating Res 18 Year EUL</v>
      </c>
      <c r="DI1885" s="3260">
        <f>(INDEX('Avoided Cost Benefits'!$B$4:$B$866,MATCH(DH1885,'Avoided Cost Benefits'!$A$4:$A$866,0)))*F1885</f>
        <v>248.96948184167306</v>
      </c>
      <c r="DJ1885" s="2507">
        <f>K1885/(1.0686^(2025-2025))</f>
        <v>0</v>
      </c>
      <c r="DM1885" s="252"/>
    </row>
    <row r="1886" spans="1:117">
      <c r="A1886" s="453"/>
      <c r="B1886" s="1454">
        <f t="shared" si="275"/>
        <v>355100</v>
      </c>
      <c r="C1886" s="682" t="s">
        <v>2486</v>
      </c>
      <c r="D1886" s="3470" t="s">
        <v>959</v>
      </c>
      <c r="E1886" s="215" t="s">
        <v>2487</v>
      </c>
      <c r="F1886" s="227">
        <f>ROUND(((K2875*K3068*(1/K3261-1/K3454)*K3647)/1000)*$K$3651,2)</f>
        <v>445.8</v>
      </c>
      <c r="G1886" s="570" t="s">
        <v>2077</v>
      </c>
      <c r="H1886" s="69">
        <f>VLOOKUP(G1886,'CP FACTORS'!$A$3:$B$38, 2, FALSE)</f>
        <v>9.4741810000000004E-4</v>
      </c>
      <c r="I1886" s="1476">
        <f t="shared" si="281"/>
        <v>0.42235899999999998</v>
      </c>
      <c r="J1886" s="59">
        <f t="shared" si="284"/>
        <v>18</v>
      </c>
      <c r="K1886" s="166">
        <f t="shared" si="276"/>
        <v>1081</v>
      </c>
      <c r="L1886" s="255">
        <f>L2103</f>
        <v>3.3</v>
      </c>
      <c r="M1886" s="560"/>
      <c r="N1886" s="572"/>
      <c r="O1886" s="417"/>
      <c r="R1886" s="532"/>
      <c r="S1886" s="52"/>
      <c r="T1886" s="52"/>
      <c r="U1886" s="574"/>
      <c r="V1886" s="1442" t="s">
        <v>45</v>
      </c>
      <c r="W1886" s="962">
        <v>479.31557142857133</v>
      </c>
      <c r="X1886" s="254">
        <v>479.31557142857133</v>
      </c>
      <c r="Y1886" s="225">
        <v>479.32</v>
      </c>
      <c r="Z1886" s="225">
        <v>479.32</v>
      </c>
      <c r="AA1886" s="225">
        <v>479.32</v>
      </c>
      <c r="AB1886" s="1027">
        <v>479.32</v>
      </c>
      <c r="AC1886" s="960">
        <v>479.32</v>
      </c>
      <c r="AD1886" s="225">
        <v>479.32</v>
      </c>
      <c r="AE1886" s="227">
        <v>372.8</v>
      </c>
      <c r="AF1886" s="271">
        <f t="shared" si="277"/>
        <v>445.8</v>
      </c>
      <c r="AG1886" s="962"/>
      <c r="AH1886" s="121"/>
      <c r="AK1886" s="963"/>
      <c r="DF1886" s="1650" t="str">
        <f t="shared" si="279"/>
        <v>ASHP-SEER20_ROF_MF</v>
      </c>
      <c r="DG1886" s="1090">
        <f>(DI1886+DI1887)/(DJ1886+DJ1887)</f>
        <v>1.6198769946618212</v>
      </c>
      <c r="DH1886" s="215" t="str">
        <f t="shared" si="283"/>
        <v>Cooling Res 18 Year EUL</v>
      </c>
      <c r="DI1886" s="1091">
        <f>(INDEX('Avoided Cost Benefits'!$B$4:$B$866,MATCH(DH1886,'Avoided Cost Benefits'!$A$4:$A$866,0)))*F1886</f>
        <v>1020.7789754598648</v>
      </c>
      <c r="DJ1886" s="1176">
        <f>IFERROR(K1886/(1.0686^(2025-2025)),10000000)</f>
        <v>1081</v>
      </c>
      <c r="DM1886" s="252"/>
    </row>
    <row r="1887" spans="1:117">
      <c r="A1887" s="453"/>
      <c r="B1887" s="1454">
        <f t="shared" si="275"/>
        <v>355100</v>
      </c>
      <c r="C1887" s="682" t="s">
        <v>2486</v>
      </c>
      <c r="D1887" s="3470" t="s">
        <v>959</v>
      </c>
      <c r="E1887" s="253" t="s">
        <v>2487</v>
      </c>
      <c r="F1887" s="227">
        <f>ROUND(((K2103*K2296*(1/K2489-1/K2682)*K3647)/1000)*$K$3651,2)</f>
        <v>1204.98</v>
      </c>
      <c r="G1887" s="570" t="s">
        <v>2078</v>
      </c>
      <c r="H1887" s="69">
        <f>VLOOKUP(G1887,'CP FACTORS'!$A$3:$B$38, 2, FALSE)</f>
        <v>0</v>
      </c>
      <c r="I1887" s="1028">
        <f t="shared" si="281"/>
        <v>0</v>
      </c>
      <c r="J1887" s="59">
        <f t="shared" si="284"/>
        <v>18</v>
      </c>
      <c r="K1887" s="163">
        <f t="shared" si="276"/>
        <v>0</v>
      </c>
      <c r="L1887" s="255"/>
      <c r="M1887" s="560"/>
      <c r="N1887" s="572"/>
      <c r="O1887" s="417"/>
      <c r="R1887" s="532"/>
      <c r="S1887" s="52"/>
      <c r="T1887" s="52"/>
      <c r="U1887" s="574"/>
      <c r="V1887" s="1442" t="s">
        <v>45</v>
      </c>
      <c r="W1887" s="962">
        <v>1029.6000000000013</v>
      </c>
      <c r="X1887" s="251">
        <v>766.69069188651167</v>
      </c>
      <c r="Y1887" s="225">
        <v>766.69</v>
      </c>
      <c r="Z1887" s="225">
        <v>766.69</v>
      </c>
      <c r="AA1887" s="225">
        <v>766.69</v>
      </c>
      <c r="AB1887" s="1027">
        <v>766.69</v>
      </c>
      <c r="AC1887" s="960">
        <v>766.69</v>
      </c>
      <c r="AD1887" s="225">
        <v>766.69</v>
      </c>
      <c r="AE1887" s="227">
        <v>548.27</v>
      </c>
      <c r="AF1887" s="271">
        <f t="shared" si="277"/>
        <v>1204.98</v>
      </c>
      <c r="AG1887" s="962"/>
      <c r="AH1887" s="121"/>
      <c r="AK1887" s="963"/>
      <c r="DF1887" s="1650" t="str">
        <f t="shared" si="279"/>
        <v>ASHP-SEER20_ROF_MF</v>
      </c>
      <c r="DG1887" s="1092"/>
      <c r="DH1887" s="253" t="str">
        <f t="shared" si="283"/>
        <v>Heating Res 18 Year EUL</v>
      </c>
      <c r="DI1887" s="1091">
        <f>(INDEX('Avoided Cost Benefits'!$B$4:$B$866,MATCH(DH1887,'Avoided Cost Benefits'!$A$4:$A$866,0)))*F1887</f>
        <v>730.30805576956402</v>
      </c>
      <c r="DJ1887" s="1176">
        <f>K1887/(1.0686^(2025-2025))</f>
        <v>0</v>
      </c>
      <c r="DM1887" s="252"/>
    </row>
    <row r="1888" spans="1:117">
      <c r="A1888" s="453"/>
      <c r="B1888" s="1454">
        <f t="shared" si="275"/>
        <v>355101</v>
      </c>
      <c r="C1888" s="2554" t="s">
        <v>2488</v>
      </c>
      <c r="D1888" s="3383" t="s">
        <v>1118</v>
      </c>
      <c r="E1888" s="2521" t="s">
        <v>2489</v>
      </c>
      <c r="F1888" s="3369">
        <f>ROUND((($K$2876*$K$3069*(1/$K$3262-1/$K$3455)*$K$3648)/1000)*$K$3651,2)</f>
        <v>324.22000000000003</v>
      </c>
      <c r="G1888" s="3384" t="str">
        <f>G1886</f>
        <v>Cooling Res</v>
      </c>
      <c r="H1888" s="2213">
        <f>VLOOKUP(G1888,'CP FACTORS'!$A$3:$B$38, 2, FALSE)</f>
        <v>9.4741810000000004E-4</v>
      </c>
      <c r="I1888" s="3394">
        <f t="shared" si="281"/>
        <v>0.307172</v>
      </c>
      <c r="J1888" s="2449">
        <f t="shared" si="284"/>
        <v>18</v>
      </c>
      <c r="K1888" s="2467">
        <f t="shared" si="276"/>
        <v>1081</v>
      </c>
      <c r="L1888" s="2649">
        <f>L2104</f>
        <v>3.3</v>
      </c>
      <c r="M1888" s="3386"/>
      <c r="N1888" s="3387"/>
      <c r="O1888" s="2702"/>
      <c r="P1888" s="635"/>
      <c r="Q1888" s="635"/>
      <c r="R1888" s="2966"/>
      <c r="S1888" s="635"/>
      <c r="T1888" s="635"/>
      <c r="U1888" s="3388"/>
      <c r="V1888" s="2962" t="s">
        <v>45</v>
      </c>
      <c r="W1888" s="3389"/>
      <c r="X1888" s="3390"/>
      <c r="Y1888" s="3369">
        <v>348.59</v>
      </c>
      <c r="Z1888" s="3373">
        <v>348.59</v>
      </c>
      <c r="AA1888" s="3373">
        <v>348.59</v>
      </c>
      <c r="AB1888" s="3400">
        <v>348.59</v>
      </c>
      <c r="AC1888" s="3401">
        <v>348.59</v>
      </c>
      <c r="AD1888" s="3373">
        <v>348.59</v>
      </c>
      <c r="AE1888" s="3369">
        <v>271.13</v>
      </c>
      <c r="AF1888" s="2236">
        <f t="shared" si="277"/>
        <v>324.22000000000003</v>
      </c>
      <c r="AG1888" s="3389"/>
      <c r="AH1888" s="2728"/>
      <c r="AI1888" s="2237"/>
      <c r="AJ1888" s="2237"/>
      <c r="AK1888" s="3392"/>
      <c r="AL1888" s="2237"/>
      <c r="AM1888" s="2237"/>
      <c r="AN1888" s="2237"/>
      <c r="AO1888" s="2237"/>
      <c r="AP1888" s="2237"/>
      <c r="AQ1888" s="2237"/>
      <c r="AR1888" s="2237"/>
      <c r="AS1888" s="2237"/>
      <c r="AT1888" s="2237"/>
      <c r="AU1888" s="2237"/>
      <c r="AV1888" s="2237"/>
      <c r="AW1888" s="2237"/>
      <c r="AX1888" s="2237"/>
      <c r="AY1888" s="2237"/>
      <c r="AZ1888" s="2237"/>
      <c r="BA1888" s="2237"/>
      <c r="BB1888" s="2237"/>
      <c r="BC1888" s="2237"/>
      <c r="BD1888" s="2237"/>
      <c r="BE1888" s="2237"/>
      <c r="BF1888" s="2237"/>
      <c r="BG1888" s="2237"/>
      <c r="BH1888" s="2237"/>
      <c r="BI1888" s="2237"/>
      <c r="BJ1888" s="2237"/>
      <c r="BK1888" s="2237"/>
      <c r="BL1888" s="2237"/>
      <c r="BM1888" s="2237"/>
      <c r="BN1888" s="2237"/>
      <c r="BO1888" s="2237"/>
      <c r="BP1888" s="2237"/>
      <c r="BQ1888" s="2237"/>
      <c r="BR1888" s="2237"/>
      <c r="BS1888" s="2237"/>
      <c r="BT1888" s="2237"/>
      <c r="BU1888" s="2237"/>
      <c r="BV1888" s="2237"/>
      <c r="BW1888" s="2237"/>
      <c r="BX1888" s="2237"/>
      <c r="BY1888" s="2237"/>
      <c r="BZ1888" s="2237"/>
      <c r="CA1888" s="2237"/>
      <c r="CB1888" s="2237"/>
      <c r="CC1888" s="2237"/>
      <c r="CD1888" s="2237"/>
      <c r="CE1888" s="2237"/>
      <c r="CF1888" s="2237"/>
      <c r="CG1888" s="2237"/>
      <c r="CH1888" s="2237"/>
      <c r="CI1888" s="2237"/>
      <c r="CJ1888" s="2237"/>
      <c r="CK1888" s="2237"/>
      <c r="CL1888" s="2237"/>
      <c r="CM1888" s="2237"/>
      <c r="CN1888" s="2237"/>
      <c r="CO1888" s="2237"/>
      <c r="CP1888" s="2237"/>
      <c r="CQ1888" s="2237"/>
      <c r="CR1888" s="2237"/>
      <c r="CS1888" s="2237"/>
      <c r="CT1888" s="2237"/>
      <c r="CU1888" s="2237"/>
      <c r="CV1888" s="2237"/>
      <c r="CW1888" s="2237"/>
      <c r="CX1888" s="2237"/>
      <c r="CY1888" s="2237"/>
      <c r="CZ1888" s="2237"/>
      <c r="DA1888" s="2237"/>
      <c r="DB1888" s="2237"/>
      <c r="DC1888" s="2237"/>
      <c r="DD1888" s="2237"/>
      <c r="DE1888" s="2237"/>
      <c r="DF1888" s="3393" t="str">
        <f t="shared" si="279"/>
        <v>ASHP-SEER20_ROF_MF_CompE</v>
      </c>
      <c r="DG1888" s="3259">
        <f>(DI1888+DI1889)/(DJ1888+DJ1889)</f>
        <v>0.91707525854136029</v>
      </c>
      <c r="DH1888" s="3398" t="str">
        <f t="shared" si="283"/>
        <v>Cooling Res 18 Year EUL</v>
      </c>
      <c r="DI1888" s="3260">
        <f>(INDEX('Avoided Cost Benefits'!$B$4:$B$866,MATCH(DH1888,'Avoided Cost Benefits'!$A$4:$A$866,0)))*F1888</f>
        <v>742.38887264153743</v>
      </c>
      <c r="DJ1888" s="2507">
        <f>IFERROR(K1888/(1.0686^(2025-2025)),10000000)</f>
        <v>1081</v>
      </c>
      <c r="DM1888" s="252"/>
    </row>
    <row r="1889" spans="1:117">
      <c r="A1889" s="453"/>
      <c r="B1889" s="1454">
        <f t="shared" si="275"/>
        <v>355101</v>
      </c>
      <c r="C1889" s="2554" t="str">
        <f>C1888</f>
        <v>355101_2024_12_</v>
      </c>
      <c r="D1889" s="3383" t="s">
        <v>1118</v>
      </c>
      <c r="E1889" s="2522" t="s">
        <v>2489</v>
      </c>
      <c r="F1889" s="3369">
        <f>ROUND((($K$2104*$K$2297*(1/$K$2490-1/$K$2683)*$K$3648)/1000)*$K$3651,2)</f>
        <v>410.79</v>
      </c>
      <c r="G1889" s="3384" t="str">
        <f>G1887</f>
        <v>Heating Res</v>
      </c>
      <c r="H1889" s="2213">
        <f>VLOOKUP(G1889,'CP FACTORS'!$A$3:$B$38, 2, FALSE)</f>
        <v>0</v>
      </c>
      <c r="I1889" s="3385">
        <f t="shared" si="281"/>
        <v>0</v>
      </c>
      <c r="J1889" s="2449">
        <f t="shared" si="284"/>
        <v>18</v>
      </c>
      <c r="K1889" s="2894">
        <f t="shared" si="276"/>
        <v>0</v>
      </c>
      <c r="L1889" s="2649"/>
      <c r="M1889" s="3386"/>
      <c r="N1889" s="3387"/>
      <c r="O1889" s="2702"/>
      <c r="P1889" s="635"/>
      <c r="Q1889" s="635"/>
      <c r="R1889" s="2966"/>
      <c r="S1889" s="635"/>
      <c r="T1889" s="635"/>
      <c r="U1889" s="3388"/>
      <c r="V1889" s="2962" t="s">
        <v>45</v>
      </c>
      <c r="W1889" s="3389"/>
      <c r="X1889" s="3390"/>
      <c r="Y1889" s="3369">
        <v>261.37</v>
      </c>
      <c r="Z1889" s="3373">
        <v>261.37</v>
      </c>
      <c r="AA1889" s="3373">
        <v>261.37</v>
      </c>
      <c r="AB1889" s="3400">
        <v>261.37</v>
      </c>
      <c r="AC1889" s="3401">
        <v>261.37</v>
      </c>
      <c r="AD1889" s="3373">
        <v>261.37</v>
      </c>
      <c r="AE1889" s="3369">
        <v>186.91</v>
      </c>
      <c r="AF1889" s="2236">
        <f t="shared" si="277"/>
        <v>410.79</v>
      </c>
      <c r="AG1889" s="3389"/>
      <c r="AH1889" s="2728"/>
      <c r="AI1889" s="2237"/>
      <c r="AJ1889" s="2237"/>
      <c r="AK1889" s="3392"/>
      <c r="AL1889" s="2237"/>
      <c r="AM1889" s="2237"/>
      <c r="AN1889" s="2237"/>
      <c r="AO1889" s="2237"/>
      <c r="AP1889" s="2237"/>
      <c r="AQ1889" s="2237"/>
      <c r="AR1889" s="2237"/>
      <c r="AS1889" s="2237"/>
      <c r="AT1889" s="2237"/>
      <c r="AU1889" s="2237"/>
      <c r="AV1889" s="2237"/>
      <c r="AW1889" s="2237"/>
      <c r="AX1889" s="2237"/>
      <c r="AY1889" s="2237"/>
      <c r="AZ1889" s="2237"/>
      <c r="BA1889" s="2237"/>
      <c r="BB1889" s="2237"/>
      <c r="BC1889" s="2237"/>
      <c r="BD1889" s="2237"/>
      <c r="BE1889" s="2237"/>
      <c r="BF1889" s="2237"/>
      <c r="BG1889" s="2237"/>
      <c r="BH1889" s="2237"/>
      <c r="BI1889" s="2237"/>
      <c r="BJ1889" s="2237"/>
      <c r="BK1889" s="2237"/>
      <c r="BL1889" s="2237"/>
      <c r="BM1889" s="2237"/>
      <c r="BN1889" s="2237"/>
      <c r="BO1889" s="2237"/>
      <c r="BP1889" s="2237"/>
      <c r="BQ1889" s="2237"/>
      <c r="BR1889" s="2237"/>
      <c r="BS1889" s="2237"/>
      <c r="BT1889" s="2237"/>
      <c r="BU1889" s="2237"/>
      <c r="BV1889" s="2237"/>
      <c r="BW1889" s="2237"/>
      <c r="BX1889" s="2237"/>
      <c r="BY1889" s="2237"/>
      <c r="BZ1889" s="2237"/>
      <c r="CA1889" s="2237"/>
      <c r="CB1889" s="2237"/>
      <c r="CC1889" s="2237"/>
      <c r="CD1889" s="2237"/>
      <c r="CE1889" s="2237"/>
      <c r="CF1889" s="2237"/>
      <c r="CG1889" s="2237"/>
      <c r="CH1889" s="2237"/>
      <c r="CI1889" s="2237"/>
      <c r="CJ1889" s="2237"/>
      <c r="CK1889" s="2237"/>
      <c r="CL1889" s="2237"/>
      <c r="CM1889" s="2237"/>
      <c r="CN1889" s="2237"/>
      <c r="CO1889" s="2237"/>
      <c r="CP1889" s="2237"/>
      <c r="CQ1889" s="2237"/>
      <c r="CR1889" s="2237"/>
      <c r="CS1889" s="2237"/>
      <c r="CT1889" s="2237"/>
      <c r="CU1889" s="2237"/>
      <c r="CV1889" s="2237"/>
      <c r="CW1889" s="2237"/>
      <c r="CX1889" s="2237"/>
      <c r="CY1889" s="2237"/>
      <c r="CZ1889" s="2237"/>
      <c r="DA1889" s="2237"/>
      <c r="DB1889" s="2237"/>
      <c r="DC1889" s="2237"/>
      <c r="DD1889" s="2237"/>
      <c r="DE1889" s="2237"/>
      <c r="DF1889" s="3393" t="str">
        <f t="shared" si="279"/>
        <v>ASHP-SEER20_ROF_MF_CompE</v>
      </c>
      <c r="DG1889" s="3261"/>
      <c r="DH1889" s="3402" t="str">
        <f t="shared" si="283"/>
        <v>Heating Res 18 Year EUL</v>
      </c>
      <c r="DI1889" s="3260">
        <f>(INDEX('Avoided Cost Benefits'!$B$4:$B$866,MATCH(DH1889,'Avoided Cost Benefits'!$A$4:$A$866,0)))*F1889</f>
        <v>248.96948184167306</v>
      </c>
      <c r="DJ1889" s="2507">
        <f>K1889/(1.0686^(2025-2025))</f>
        <v>0</v>
      </c>
      <c r="DM1889" s="252"/>
    </row>
    <row r="1890" spans="1:117">
      <c r="A1890" s="453"/>
      <c r="B1890" s="1454">
        <f t="shared" si="275"/>
        <v>355150</v>
      </c>
      <c r="C1890" s="682" t="s">
        <v>2490</v>
      </c>
      <c r="D1890" s="3470" t="s">
        <v>959</v>
      </c>
      <c r="E1890" s="215" t="s">
        <v>2491</v>
      </c>
      <c r="F1890" s="227">
        <f>ROUND(((K2877*K3070*(1/K3263-1/K3456)*K3649)/1000)*$K$3651,2)</f>
        <v>499.05</v>
      </c>
      <c r="G1890" s="570" t="s">
        <v>2077</v>
      </c>
      <c r="H1890" s="69">
        <f>VLOOKUP(G1890,'CP FACTORS'!$A$3:$B$38, 2, FALSE)</f>
        <v>9.4741810000000004E-4</v>
      </c>
      <c r="I1890" s="1476">
        <f t="shared" si="281"/>
        <v>0.47280899999999998</v>
      </c>
      <c r="J1890" s="59">
        <f t="shared" si="284"/>
        <v>18</v>
      </c>
      <c r="K1890" s="166">
        <f t="shared" si="276"/>
        <v>1081</v>
      </c>
      <c r="L1890" s="255">
        <f>L2105</f>
        <v>3.3</v>
      </c>
      <c r="M1890" s="560"/>
      <c r="N1890" s="572"/>
      <c r="O1890" s="417"/>
      <c r="R1890" s="532"/>
      <c r="S1890" s="52"/>
      <c r="T1890" s="52"/>
      <c r="U1890" s="574"/>
      <c r="V1890" s="1442" t="s">
        <v>45</v>
      </c>
      <c r="W1890" s="962">
        <v>532.57285714285706</v>
      </c>
      <c r="X1890" s="254">
        <v>532.57285714285706</v>
      </c>
      <c r="Y1890" s="225">
        <v>532.57000000000005</v>
      </c>
      <c r="Z1890" s="225">
        <v>532.57000000000005</v>
      </c>
      <c r="AA1890" s="225">
        <v>532.57000000000005</v>
      </c>
      <c r="AB1890" s="1027">
        <v>532.57000000000005</v>
      </c>
      <c r="AC1890" s="960">
        <v>532.57000000000005</v>
      </c>
      <c r="AD1890" s="225">
        <v>532.57000000000005</v>
      </c>
      <c r="AE1890" s="227">
        <v>426.06</v>
      </c>
      <c r="AF1890" s="271">
        <f t="shared" si="277"/>
        <v>499.05</v>
      </c>
      <c r="AG1890" s="962"/>
      <c r="AH1890" s="121"/>
      <c r="AK1890" s="963"/>
      <c r="DF1890" s="1650" t="str">
        <f t="shared" si="279"/>
        <v>ASHP-SEER21_ROF_MF</v>
      </c>
      <c r="DG1890" s="1090">
        <f>(DI1890+DI1891)/(DJ1890+DJ1891)</f>
        <v>1.7326708835664208</v>
      </c>
      <c r="DH1890" s="215" t="str">
        <f t="shared" si="283"/>
        <v>Cooling Res 18 Year EUL</v>
      </c>
      <c r="DI1890" s="1091">
        <f>(INDEX('Avoided Cost Benefits'!$B$4:$B$866,MATCH(DH1890,'Avoided Cost Benefits'!$A$4:$A$866,0)))*F1890</f>
        <v>1142.7091693657369</v>
      </c>
      <c r="DJ1890" s="1176">
        <f>IFERROR(K1890/(1.0686^(2025-2025)),10000000)</f>
        <v>1081</v>
      </c>
      <c r="DM1890" s="252"/>
    </row>
    <row r="1891" spans="1:117">
      <c r="A1891" s="453"/>
      <c r="B1891" s="1454">
        <f t="shared" si="275"/>
        <v>355150</v>
      </c>
      <c r="C1891" s="682" t="s">
        <v>2490</v>
      </c>
      <c r="D1891" s="3470" t="s">
        <v>959</v>
      </c>
      <c r="E1891" s="253" t="s">
        <v>2491</v>
      </c>
      <c r="F1891" s="227">
        <f>ROUND(((K2105*K2298*(1/K2491-1/K2684)*K3649)/1000)*$K$3651,2)</f>
        <v>1204.98</v>
      </c>
      <c r="G1891" s="570" t="s">
        <v>2078</v>
      </c>
      <c r="H1891" s="69">
        <f>VLOOKUP(G1891,'CP FACTORS'!$A$3:$B$38, 2, FALSE)</f>
        <v>0</v>
      </c>
      <c r="I1891" s="1028">
        <f t="shared" si="281"/>
        <v>0</v>
      </c>
      <c r="J1891" s="59">
        <f t="shared" si="284"/>
        <v>18</v>
      </c>
      <c r="K1891" s="163">
        <f t="shared" si="276"/>
        <v>0</v>
      </c>
      <c r="L1891" s="255"/>
      <c r="M1891" s="560"/>
      <c r="N1891" s="572"/>
      <c r="O1891" s="417"/>
      <c r="R1891" s="532"/>
      <c r="S1891" s="52"/>
      <c r="T1891" s="52"/>
      <c r="U1891" s="574"/>
      <c r="V1891" s="1442" t="s">
        <v>45</v>
      </c>
      <c r="W1891" s="962">
        <v>1029.6000000000013</v>
      </c>
      <c r="X1891" s="251">
        <v>766.69069188651167</v>
      </c>
      <c r="Y1891" s="225">
        <v>766.69</v>
      </c>
      <c r="Z1891" s="225">
        <v>766.69</v>
      </c>
      <c r="AA1891" s="225">
        <v>766.69</v>
      </c>
      <c r="AB1891" s="1027">
        <v>766.69</v>
      </c>
      <c r="AC1891" s="960">
        <v>766.69</v>
      </c>
      <c r="AD1891" s="225">
        <v>766.69</v>
      </c>
      <c r="AE1891" s="227">
        <v>548.27</v>
      </c>
      <c r="AF1891" s="271">
        <f t="shared" si="277"/>
        <v>1204.98</v>
      </c>
      <c r="AG1891" s="962"/>
      <c r="AH1891" s="121"/>
      <c r="AK1891" s="963"/>
      <c r="DF1891" s="1650" t="str">
        <f t="shared" si="279"/>
        <v>ASHP-SEER21_ROF_MF</v>
      </c>
      <c r="DG1891" s="1092"/>
      <c r="DH1891" s="253" t="str">
        <f t="shared" si="283"/>
        <v>Heating Res 18 Year EUL</v>
      </c>
      <c r="DI1891" s="1091">
        <f>(INDEX('Avoided Cost Benefits'!$B$4:$B$866,MATCH(DH1891,'Avoided Cost Benefits'!$A$4:$A$866,0)))*F1891</f>
        <v>730.30805576956402</v>
      </c>
      <c r="DJ1891" s="1176">
        <f>K1891/(1.0686^(2025-2025))</f>
        <v>0</v>
      </c>
      <c r="DM1891" s="252"/>
    </row>
    <row r="1892" spans="1:117">
      <c r="A1892" s="453"/>
      <c r="B1892" s="1454">
        <f t="shared" ref="B1892:B1893" si="285">VALUE(LEFT(C1892,6))</f>
        <v>355151</v>
      </c>
      <c r="C1892" s="2554" t="s">
        <v>2492</v>
      </c>
      <c r="D1892" s="3383" t="s">
        <v>1118</v>
      </c>
      <c r="E1892" s="2521" t="s">
        <v>2493</v>
      </c>
      <c r="F1892" s="2453">
        <f>ROUND((($K$2878*$K$3071*(1/$K$3264-1/$K$3457)*$K$3650)/1000)*$K$3651,2)</f>
        <v>362.95</v>
      </c>
      <c r="G1892" s="3384" t="str">
        <f>G1890</f>
        <v>Cooling Res</v>
      </c>
      <c r="H1892" s="2213">
        <f>VLOOKUP(G1892,'CP FACTORS'!$A$3:$B$38, 2, FALSE)</f>
        <v>9.4741810000000004E-4</v>
      </c>
      <c r="I1892" s="3394">
        <f t="shared" si="281"/>
        <v>0.34386499999999998</v>
      </c>
      <c r="J1892" s="2449">
        <f t="shared" si="284"/>
        <v>18</v>
      </c>
      <c r="K1892" s="2467">
        <f t="shared" si="276"/>
        <v>1081</v>
      </c>
      <c r="L1892" s="2649">
        <f>L2106</f>
        <v>3.3</v>
      </c>
      <c r="M1892" s="3386"/>
      <c r="N1892" s="3387"/>
      <c r="O1892" s="2702"/>
      <c r="P1892" s="635"/>
      <c r="Q1892" s="635"/>
      <c r="R1892" s="2966"/>
      <c r="S1892" s="635"/>
      <c r="T1892" s="635"/>
      <c r="U1892" s="3388"/>
      <c r="V1892" s="2962" t="s">
        <v>45</v>
      </c>
      <c r="W1892" s="3389"/>
      <c r="X1892" s="3397"/>
      <c r="Y1892" s="3369">
        <v>387.33</v>
      </c>
      <c r="Z1892" s="3373">
        <v>387.33</v>
      </c>
      <c r="AA1892" s="3373">
        <v>387.33</v>
      </c>
      <c r="AB1892" s="3400">
        <v>387.33</v>
      </c>
      <c r="AC1892" s="3401">
        <v>387.33</v>
      </c>
      <c r="AD1892" s="3373">
        <v>387.33</v>
      </c>
      <c r="AE1892" s="3369">
        <v>309.86</v>
      </c>
      <c r="AF1892" s="2236">
        <f t="shared" si="277"/>
        <v>362.95</v>
      </c>
      <c r="AG1892" s="3389"/>
      <c r="AH1892" s="2728"/>
      <c r="AI1892" s="2237"/>
      <c r="AJ1892" s="2237"/>
      <c r="AK1892" s="3392"/>
      <c r="AL1892" s="2237"/>
      <c r="AM1892" s="2237"/>
      <c r="AN1892" s="2237"/>
      <c r="AO1892" s="2237"/>
      <c r="AP1892" s="2237"/>
      <c r="AQ1892" s="2237"/>
      <c r="AR1892" s="2237"/>
      <c r="AS1892" s="2237"/>
      <c r="AT1892" s="2237"/>
      <c r="AU1892" s="2237"/>
      <c r="AV1892" s="2237"/>
      <c r="AW1892" s="2237"/>
      <c r="AX1892" s="2237"/>
      <c r="AY1892" s="2237"/>
      <c r="AZ1892" s="2237"/>
      <c r="BA1892" s="2237"/>
      <c r="BB1892" s="2237"/>
      <c r="BC1892" s="2237"/>
      <c r="BD1892" s="2237"/>
      <c r="BE1892" s="2237"/>
      <c r="BF1892" s="2237"/>
      <c r="BG1892" s="2237"/>
      <c r="BH1892" s="2237"/>
      <c r="BI1892" s="2237"/>
      <c r="BJ1892" s="2237"/>
      <c r="BK1892" s="2237"/>
      <c r="BL1892" s="2237"/>
      <c r="BM1892" s="2237"/>
      <c r="BN1892" s="2237"/>
      <c r="BO1892" s="2237"/>
      <c r="BP1892" s="2237"/>
      <c r="BQ1892" s="2237"/>
      <c r="BR1892" s="2237"/>
      <c r="BS1892" s="2237"/>
      <c r="BT1892" s="2237"/>
      <c r="BU1892" s="2237"/>
      <c r="BV1892" s="2237"/>
      <c r="BW1892" s="2237"/>
      <c r="BX1892" s="2237"/>
      <c r="BY1892" s="2237"/>
      <c r="BZ1892" s="2237"/>
      <c r="CA1892" s="2237"/>
      <c r="CB1892" s="2237"/>
      <c r="CC1892" s="2237"/>
      <c r="CD1892" s="2237"/>
      <c r="CE1892" s="2237"/>
      <c r="CF1892" s="2237"/>
      <c r="CG1892" s="2237"/>
      <c r="CH1892" s="2237"/>
      <c r="CI1892" s="2237"/>
      <c r="CJ1892" s="2237"/>
      <c r="CK1892" s="2237"/>
      <c r="CL1892" s="2237"/>
      <c r="CM1892" s="2237"/>
      <c r="CN1892" s="2237"/>
      <c r="CO1892" s="2237"/>
      <c r="CP1892" s="2237"/>
      <c r="CQ1892" s="2237"/>
      <c r="CR1892" s="2237"/>
      <c r="CS1892" s="2237"/>
      <c r="CT1892" s="2237"/>
      <c r="CU1892" s="2237"/>
      <c r="CV1892" s="2237"/>
      <c r="CW1892" s="2237"/>
      <c r="CX1892" s="2237"/>
      <c r="CY1892" s="2237"/>
      <c r="CZ1892" s="2237"/>
      <c r="DA1892" s="2237"/>
      <c r="DB1892" s="2237"/>
      <c r="DC1892" s="2237"/>
      <c r="DD1892" s="2237"/>
      <c r="DE1892" s="2237"/>
      <c r="DF1892" s="3393" t="str">
        <f t="shared" si="279"/>
        <v>ASHP-SEER21_ROF_MF_CompE</v>
      </c>
      <c r="DG1892" s="3259">
        <f>(DI1892+DI1893)/(DJ1892+DJ1893)</f>
        <v>0.99911295464042382</v>
      </c>
      <c r="DH1892" s="3398" t="str">
        <f t="shared" si="283"/>
        <v>Cooling Res 18 Year EUL</v>
      </c>
      <c r="DI1892" s="3260">
        <f>(INDEX('Avoided Cost Benefits'!$B$4:$B$866,MATCH(DH1892,'Avoided Cost Benefits'!$A$4:$A$866,0)))*F1892</f>
        <v>831.07162212462515</v>
      </c>
      <c r="DJ1892" s="2507">
        <f>IFERROR(K1892/(1.0686^(2025-2025)),10000000)</f>
        <v>1081</v>
      </c>
      <c r="DM1892" s="252"/>
    </row>
    <row r="1893" spans="1:117">
      <c r="A1893" s="453"/>
      <c r="B1893" s="1454">
        <f t="shared" si="285"/>
        <v>355151</v>
      </c>
      <c r="C1893" s="2554" t="str">
        <f>C1892</f>
        <v>355151_2024_12_</v>
      </c>
      <c r="D1893" s="3383" t="s">
        <v>1118</v>
      </c>
      <c r="E1893" s="2522" t="s">
        <v>2493</v>
      </c>
      <c r="F1893" s="2453">
        <f>ROUND((($K$2106*$K$2299*(1/$K$2492-1/$K$2685)*$K$3650)/1000)*$K$3651,2)</f>
        <v>410.79</v>
      </c>
      <c r="G1893" s="3384" t="str">
        <f>G1891</f>
        <v>Heating Res</v>
      </c>
      <c r="H1893" s="2213">
        <f>VLOOKUP(G1893,'CP FACTORS'!$A$3:$B$38, 2, FALSE)</f>
        <v>0</v>
      </c>
      <c r="I1893" s="3385">
        <f t="shared" si="281"/>
        <v>0</v>
      </c>
      <c r="J1893" s="2449">
        <f t="shared" si="284"/>
        <v>18</v>
      </c>
      <c r="K1893" s="2894">
        <f t="shared" si="276"/>
        <v>0</v>
      </c>
      <c r="L1893" s="2649"/>
      <c r="M1893" s="3386"/>
      <c r="N1893" s="3387"/>
      <c r="O1893" s="2702"/>
      <c r="P1893" s="635"/>
      <c r="Q1893" s="635"/>
      <c r="R1893" s="2966"/>
      <c r="S1893" s="635"/>
      <c r="T1893" s="635"/>
      <c r="U1893" s="3388"/>
      <c r="V1893" s="2962" t="s">
        <v>45</v>
      </c>
      <c r="W1893" s="3389"/>
      <c r="X1893" s="3390"/>
      <c r="Y1893" s="3369">
        <v>261.37</v>
      </c>
      <c r="Z1893" s="3373">
        <v>261.37</v>
      </c>
      <c r="AA1893" s="3373">
        <v>261.37</v>
      </c>
      <c r="AB1893" s="3400">
        <v>261.37</v>
      </c>
      <c r="AC1893" s="3401">
        <v>261.37</v>
      </c>
      <c r="AD1893" s="3373">
        <v>261.37</v>
      </c>
      <c r="AE1893" s="3369">
        <v>186.91</v>
      </c>
      <c r="AF1893" s="2236">
        <f t="shared" si="277"/>
        <v>410.79</v>
      </c>
      <c r="AG1893" s="3389"/>
      <c r="AH1893" s="2728"/>
      <c r="AI1893" s="2237"/>
      <c r="AJ1893" s="2237"/>
      <c r="AK1893" s="3392"/>
      <c r="AL1893" s="2237"/>
      <c r="AM1893" s="2237"/>
      <c r="AN1893" s="2237"/>
      <c r="AO1893" s="2237"/>
      <c r="AP1893" s="2237"/>
      <c r="AQ1893" s="2237"/>
      <c r="AR1893" s="2237"/>
      <c r="AS1893" s="2237"/>
      <c r="AT1893" s="2237"/>
      <c r="AU1893" s="2237"/>
      <c r="AV1893" s="2237"/>
      <c r="AW1893" s="2237"/>
      <c r="AX1893" s="2237"/>
      <c r="AY1893" s="2237"/>
      <c r="AZ1893" s="2237"/>
      <c r="BA1893" s="2237"/>
      <c r="BB1893" s="2237"/>
      <c r="BC1893" s="2237"/>
      <c r="BD1893" s="2237"/>
      <c r="BE1893" s="2237"/>
      <c r="BF1893" s="2237"/>
      <c r="BG1893" s="2237"/>
      <c r="BH1893" s="2237"/>
      <c r="BI1893" s="2237"/>
      <c r="BJ1893" s="2237"/>
      <c r="BK1893" s="2237"/>
      <c r="BL1893" s="2237"/>
      <c r="BM1893" s="2237"/>
      <c r="BN1893" s="2237"/>
      <c r="BO1893" s="2237"/>
      <c r="BP1893" s="2237"/>
      <c r="BQ1893" s="2237"/>
      <c r="BR1893" s="2237"/>
      <c r="BS1893" s="2237"/>
      <c r="BT1893" s="2237"/>
      <c r="BU1893" s="2237"/>
      <c r="BV1893" s="2237"/>
      <c r="BW1893" s="2237"/>
      <c r="BX1893" s="2237"/>
      <c r="BY1893" s="2237"/>
      <c r="BZ1893" s="2237"/>
      <c r="CA1893" s="2237"/>
      <c r="CB1893" s="2237"/>
      <c r="CC1893" s="2237"/>
      <c r="CD1893" s="2237"/>
      <c r="CE1893" s="2237"/>
      <c r="CF1893" s="2237"/>
      <c r="CG1893" s="2237"/>
      <c r="CH1893" s="2237"/>
      <c r="CI1893" s="2237"/>
      <c r="CJ1893" s="2237"/>
      <c r="CK1893" s="2237"/>
      <c r="CL1893" s="2237"/>
      <c r="CM1893" s="2237"/>
      <c r="CN1893" s="2237"/>
      <c r="CO1893" s="2237"/>
      <c r="CP1893" s="2237"/>
      <c r="CQ1893" s="2237"/>
      <c r="CR1893" s="2237"/>
      <c r="CS1893" s="2237"/>
      <c r="CT1893" s="2237"/>
      <c r="CU1893" s="2237"/>
      <c r="CV1893" s="2237"/>
      <c r="CW1893" s="2237"/>
      <c r="CX1893" s="2237"/>
      <c r="CY1893" s="2237"/>
      <c r="CZ1893" s="2237"/>
      <c r="DA1893" s="2237"/>
      <c r="DB1893" s="2237"/>
      <c r="DC1893" s="2237"/>
      <c r="DD1893" s="2237"/>
      <c r="DE1893" s="2237"/>
      <c r="DF1893" s="3393" t="str">
        <f t="shared" ref="DF1893" si="286">E1893</f>
        <v>ASHP-SEER21_ROF_MF_CompE</v>
      </c>
      <c r="DG1893" s="2748"/>
      <c r="DH1893" s="3402" t="str">
        <f t="shared" si="283"/>
        <v>Heating Res 18 Year EUL</v>
      </c>
      <c r="DI1893" s="3254">
        <f>(INDEX('Avoided Cost Benefits'!$B$4:$B$866,MATCH(DH1893,'Avoided Cost Benefits'!$A$4:$A$866,0)))*F1893</f>
        <v>248.96948184167306</v>
      </c>
      <c r="DJ1893" s="2484">
        <f>K1893/(1.0686^(2025-2025))</f>
        <v>0</v>
      </c>
      <c r="DM1893" s="252"/>
    </row>
    <row r="1894" spans="1:117" hidden="1" outlineLevel="1">
      <c r="A1894" s="453"/>
      <c r="C1894" s="51"/>
      <c r="D1894" s="77" t="s">
        <v>118</v>
      </c>
      <c r="E1894" s="52" t="s">
        <v>2089</v>
      </c>
      <c r="F1894" s="104"/>
      <c r="G1894" s="568"/>
      <c r="H1894" s="104" t="s">
        <v>2068</v>
      </c>
      <c r="I1894" s="51"/>
      <c r="J1894" s="51"/>
      <c r="K1894" s="51"/>
      <c r="L1894" s="51"/>
      <c r="M1894" s="51"/>
      <c r="N1894" s="51"/>
      <c r="Q1894" s="104"/>
      <c r="S1894" s="52"/>
      <c r="T1894" s="52"/>
      <c r="U1894" s="52"/>
      <c r="V1894" s="52"/>
      <c r="DG1894" s="573"/>
      <c r="DH1894" s="256"/>
      <c r="DI1894" s="1091"/>
      <c r="DJ1894" s="1187"/>
    </row>
    <row r="1895" spans="1:117" hidden="1" outlineLevel="1">
      <c r="A1895" s="453"/>
      <c r="C1895" s="51"/>
      <c r="D1895" s="74" t="s">
        <v>963</v>
      </c>
      <c r="E1895" s="104" t="s">
        <v>2091</v>
      </c>
      <c r="F1895" s="104"/>
      <c r="G1895" s="568"/>
      <c r="H1895" s="104" t="s">
        <v>2494</v>
      </c>
      <c r="I1895" s="51"/>
      <c r="J1895" s="51"/>
      <c r="K1895" s="51"/>
      <c r="L1895" s="51"/>
      <c r="M1895" s="51"/>
      <c r="N1895" s="51"/>
      <c r="Q1895" s="104"/>
      <c r="S1895" s="52"/>
      <c r="T1895" s="52"/>
      <c r="U1895" s="52"/>
      <c r="V1895" s="52"/>
      <c r="DG1895" s="573"/>
      <c r="DH1895" s="159"/>
      <c r="DI1895" s="1091"/>
      <c r="DJ1895" s="1187"/>
    </row>
    <row r="1896" spans="1:117" hidden="1" outlineLevel="1">
      <c r="A1896" s="453"/>
      <c r="C1896" s="51"/>
      <c r="D1896" s="74"/>
      <c r="E1896" s="104" t="s">
        <v>2092</v>
      </c>
      <c r="G1896" s="104"/>
      <c r="S1896" s="52"/>
      <c r="T1896" s="52"/>
      <c r="U1896" s="52"/>
      <c r="V1896" s="52"/>
      <c r="DG1896" s="573"/>
      <c r="DH1896" s="159"/>
      <c r="DI1896" s="1091"/>
      <c r="DJ1896" s="1187"/>
    </row>
    <row r="1897" spans="1:117" hidden="1" outlineLevel="1">
      <c r="A1897" s="453"/>
      <c r="C1897" s="51"/>
      <c r="D1897" s="104"/>
      <c r="E1897" s="104" t="s">
        <v>2093</v>
      </c>
      <c r="G1897" s="104"/>
      <c r="H1897" s="51"/>
      <c r="S1897" s="52"/>
      <c r="T1897" s="52"/>
      <c r="U1897" s="52"/>
      <c r="V1897" s="52"/>
      <c r="DG1897" s="573"/>
      <c r="DH1897" s="159"/>
      <c r="DI1897" s="1091"/>
      <c r="DJ1897" s="1187"/>
    </row>
    <row r="1898" spans="1:117" hidden="1" outlineLevel="1">
      <c r="A1898" s="453"/>
      <c r="C1898" s="51"/>
      <c r="D1898" s="104"/>
      <c r="E1898" s="104" t="s">
        <v>2094</v>
      </c>
      <c r="G1898" s="104"/>
      <c r="H1898" s="51"/>
      <c r="S1898" s="52"/>
      <c r="T1898" s="52"/>
      <c r="U1898" s="52"/>
      <c r="V1898" s="52"/>
      <c r="DG1898" s="573"/>
      <c r="DH1898" s="159"/>
      <c r="DI1898" s="1091"/>
      <c r="DJ1898" s="1187"/>
    </row>
    <row r="1899" spans="1:117" hidden="1" outlineLevel="1">
      <c r="A1899" s="453"/>
      <c r="C1899" s="51"/>
      <c r="D1899" s="104"/>
      <c r="E1899" s="104"/>
      <c r="G1899" s="104"/>
      <c r="H1899" s="51"/>
      <c r="S1899" s="52"/>
      <c r="T1899" s="52"/>
      <c r="U1899" s="52"/>
      <c r="V1899" s="52"/>
      <c r="DG1899" s="573"/>
      <c r="DH1899" s="159"/>
      <c r="DI1899" s="1091"/>
      <c r="DJ1899" s="1187"/>
    </row>
    <row r="1900" spans="1:117" hidden="1" outlineLevel="1">
      <c r="A1900" s="453"/>
      <c r="C1900" s="51"/>
      <c r="D1900" s="104"/>
      <c r="E1900" s="104" t="s">
        <v>2095</v>
      </c>
      <c r="G1900" s="104"/>
      <c r="H1900" s="51"/>
      <c r="S1900" s="52"/>
      <c r="T1900" s="52"/>
      <c r="U1900" s="52"/>
      <c r="V1900" s="52"/>
      <c r="DG1900" s="573"/>
      <c r="DH1900" s="159"/>
      <c r="DI1900" s="1091"/>
      <c r="DJ1900" s="1187"/>
    </row>
    <row r="1901" spans="1:117" hidden="1" outlineLevel="1">
      <c r="A1901" s="453"/>
      <c r="C1901" s="51"/>
      <c r="D1901" s="104"/>
      <c r="E1901" s="104" t="s">
        <v>2096</v>
      </c>
      <c r="G1901" s="104"/>
      <c r="H1901" s="51"/>
      <c r="S1901" s="52"/>
      <c r="T1901" s="52"/>
      <c r="U1901" s="52"/>
      <c r="V1901" s="52"/>
      <c r="DG1901" s="573"/>
      <c r="DH1901" s="159"/>
      <c r="DI1901" s="1091"/>
      <c r="DJ1901" s="1187"/>
    </row>
    <row r="1902" spans="1:117" hidden="1" outlineLevel="1">
      <c r="A1902" s="453"/>
      <c r="C1902" s="51"/>
      <c r="D1902" s="104"/>
      <c r="E1902" s="104" t="s">
        <v>2097</v>
      </c>
      <c r="G1902" s="104"/>
      <c r="H1902" s="51"/>
      <c r="S1902" s="52"/>
      <c r="T1902" s="52"/>
      <c r="U1902" s="52"/>
      <c r="V1902" s="52"/>
      <c r="DG1902" s="573"/>
      <c r="DH1902" s="159"/>
      <c r="DI1902" s="1091"/>
      <c r="DJ1902" s="1187"/>
    </row>
    <row r="1903" spans="1:117" hidden="1" outlineLevel="1">
      <c r="A1903" s="453"/>
      <c r="C1903" s="51"/>
      <c r="D1903" s="104"/>
      <c r="E1903" s="104" t="s">
        <v>2093</v>
      </c>
      <c r="G1903" s="104"/>
      <c r="H1903" s="51"/>
      <c r="S1903" s="52"/>
      <c r="T1903" s="52"/>
      <c r="U1903" s="52"/>
      <c r="V1903" s="52"/>
      <c r="DG1903" s="573"/>
      <c r="DH1903" s="159"/>
      <c r="DI1903" s="1091"/>
      <c r="DJ1903" s="1187"/>
    </row>
    <row r="1904" spans="1:117" hidden="1" outlineLevel="1">
      <c r="A1904" s="453"/>
      <c r="C1904" s="51"/>
      <c r="D1904" s="104"/>
      <c r="E1904" s="104" t="s">
        <v>2098</v>
      </c>
      <c r="G1904" s="104"/>
      <c r="H1904" s="51"/>
      <c r="S1904" s="52"/>
      <c r="T1904" s="52"/>
      <c r="U1904" s="52"/>
      <c r="V1904" s="52"/>
      <c r="DG1904" s="573"/>
      <c r="DH1904" s="159"/>
      <c r="DI1904" s="1091"/>
      <c r="DJ1904" s="1187"/>
    </row>
    <row r="1905" spans="1:114" hidden="1" outlineLevel="1">
      <c r="A1905" s="453"/>
      <c r="C1905" s="51"/>
      <c r="D1905" s="104"/>
      <c r="E1905" s="104" t="s">
        <v>2099</v>
      </c>
      <c r="G1905" s="104"/>
      <c r="H1905" s="51"/>
      <c r="S1905" s="52"/>
      <c r="T1905" s="52"/>
      <c r="U1905" s="52"/>
      <c r="V1905" s="52"/>
      <c r="DG1905" s="573"/>
      <c r="DH1905" s="159"/>
      <c r="DI1905" s="1091"/>
      <c r="DJ1905" s="1187"/>
    </row>
    <row r="1906" spans="1:114" hidden="1" outlineLevel="1">
      <c r="A1906" s="453"/>
      <c r="C1906" s="51"/>
      <c r="D1906" s="104"/>
      <c r="E1906" s="104" t="s">
        <v>2100</v>
      </c>
      <c r="G1906" s="104"/>
      <c r="H1906" s="51"/>
      <c r="S1906" s="52"/>
      <c r="T1906" s="52"/>
      <c r="U1906" s="52"/>
      <c r="V1906" s="52"/>
      <c r="DG1906" s="573"/>
      <c r="DH1906" s="159"/>
      <c r="DI1906" s="1091"/>
      <c r="DJ1906" s="1187"/>
    </row>
    <row r="1907" spans="1:114" hidden="1" outlineLevel="1">
      <c r="A1907" s="453"/>
      <c r="C1907" s="51"/>
      <c r="D1907" s="104"/>
      <c r="E1907" s="104" t="s">
        <v>2093</v>
      </c>
      <c r="G1907" s="104"/>
      <c r="J1907" s="104"/>
      <c r="S1907" s="52"/>
      <c r="T1907" s="52"/>
      <c r="U1907" s="52"/>
      <c r="V1907" s="804"/>
      <c r="DG1907" s="573"/>
      <c r="DH1907" s="159"/>
      <c r="DI1907" s="1091"/>
      <c r="DJ1907" s="1187"/>
    </row>
    <row r="1908" spans="1:114" hidden="1" outlineLevel="1">
      <c r="A1908" s="453"/>
      <c r="C1908" s="51"/>
      <c r="D1908" s="104"/>
      <c r="E1908" s="104" t="s">
        <v>2094</v>
      </c>
      <c r="G1908" s="104"/>
      <c r="S1908" s="52"/>
      <c r="T1908" s="52"/>
      <c r="U1908" s="52"/>
      <c r="V1908" s="52"/>
      <c r="DG1908" s="573"/>
      <c r="DH1908" s="159"/>
      <c r="DI1908" s="1091"/>
      <c r="DJ1908" s="1187"/>
    </row>
    <row r="1909" spans="1:114" hidden="1" outlineLevel="1">
      <c r="A1909" s="453"/>
      <c r="C1909" s="51"/>
      <c r="D1909" s="104"/>
      <c r="E1909" s="104"/>
      <c r="G1909" s="104"/>
      <c r="H1909" s="51"/>
      <c r="S1909" s="52"/>
      <c r="T1909" s="52"/>
      <c r="U1909" s="52"/>
      <c r="V1909" s="52"/>
      <c r="W1909" s="964"/>
      <c r="DG1909" s="573"/>
      <c r="DH1909" s="159"/>
      <c r="DI1909" s="1091"/>
      <c r="DJ1909" s="1187"/>
    </row>
    <row r="1910" spans="1:114" hidden="1" outlineLevel="1">
      <c r="A1910" s="453"/>
      <c r="C1910" s="51"/>
      <c r="D1910" s="104"/>
      <c r="E1910" s="52" t="s">
        <v>1075</v>
      </c>
      <c r="S1910" s="52"/>
      <c r="T1910" s="52"/>
      <c r="U1910" s="52"/>
      <c r="V1910" s="52"/>
      <c r="DG1910" s="573"/>
      <c r="DH1910" s="159"/>
      <c r="DI1910" s="1091"/>
      <c r="DJ1910" s="1187"/>
    </row>
    <row r="1911" spans="1:114" hidden="1" outlineLevel="1">
      <c r="A1911" s="453"/>
      <c r="C1911" s="51"/>
      <c r="D1911" s="104"/>
      <c r="E1911" s="104"/>
      <c r="Q1911" s="1858" t="str">
        <f>B1504</f>
        <v>Air Source Heat Pumps</v>
      </c>
      <c r="S1911" s="52"/>
      <c r="T1911" s="52"/>
      <c r="U1911" s="52"/>
      <c r="V1911" s="52"/>
      <c r="DG1911" s="573"/>
      <c r="DH1911" s="159"/>
      <c r="DI1911" s="1091"/>
      <c r="DJ1911" s="1187"/>
    </row>
    <row r="1912" spans="1:114" hidden="1" outlineLevel="1">
      <c r="A1912" s="453"/>
      <c r="C1912" s="51"/>
      <c r="D1912" s="104"/>
      <c r="E1912" s="104"/>
      <c r="K1912" s="51"/>
      <c r="L1912" s="51"/>
      <c r="M1912" s="51"/>
      <c r="Q1912" s="209"/>
      <c r="S1912" s="52"/>
      <c r="T1912" s="52"/>
      <c r="U1912" s="52"/>
      <c r="V1912" s="52"/>
      <c r="DG1912" s="573"/>
      <c r="DH1912" s="159"/>
      <c r="DI1912" s="1091"/>
      <c r="DJ1912" s="1187"/>
    </row>
    <row r="1913" spans="1:114" ht="30" hidden="1" customHeight="1" outlineLevel="1">
      <c r="A1913" s="453"/>
      <c r="C1913" s="51"/>
      <c r="D1913" s="1443" t="s">
        <v>1078</v>
      </c>
      <c r="E1913" s="1443" t="s">
        <v>967</v>
      </c>
      <c r="F1913" s="4377" t="s">
        <v>968</v>
      </c>
      <c r="G1913" s="4377"/>
      <c r="H1913" s="4377"/>
      <c r="I1913" s="4377"/>
      <c r="J1913" s="1371" t="s">
        <v>42</v>
      </c>
      <c r="K1913" s="1371" t="s">
        <v>969</v>
      </c>
      <c r="L1913" s="1371" t="s">
        <v>1912</v>
      </c>
      <c r="M1913" s="1443" t="s">
        <v>1184</v>
      </c>
      <c r="R1913"/>
      <c r="S1913" s="4287" t="s">
        <v>2101</v>
      </c>
      <c r="T1913" s="4287"/>
      <c r="U1913" s="52"/>
      <c r="V1913" s="797" t="s">
        <v>52</v>
      </c>
      <c r="W1913" s="1842">
        <v>43252</v>
      </c>
      <c r="X1913" s="1842">
        <f>$X$6</f>
        <v>43465</v>
      </c>
      <c r="Y1913" s="1842">
        <f>$Y$6</f>
        <v>43800</v>
      </c>
      <c r="Z1913" s="1842">
        <f>$Z$6</f>
        <v>43862</v>
      </c>
      <c r="AA1913" s="1842">
        <f>$AA$6</f>
        <v>44013</v>
      </c>
      <c r="AB1913" s="1842">
        <f>$AB$6</f>
        <v>44166</v>
      </c>
      <c r="AC1913" s="1842">
        <f>$AC$6</f>
        <v>44531</v>
      </c>
      <c r="AD1913" s="1842">
        <f>$AD$6</f>
        <v>44774</v>
      </c>
      <c r="AE1913" s="1842">
        <f>$AE$6</f>
        <v>45142</v>
      </c>
      <c r="AF1913" s="1842">
        <f>$AF$6</f>
        <v>45672</v>
      </c>
      <c r="AG1913" s="1842" t="str">
        <f>$AG$6</f>
        <v>-</v>
      </c>
      <c r="DG1913" s="573"/>
      <c r="DH1913" s="159"/>
      <c r="DI1913" s="1091"/>
      <c r="DJ1913" s="1187"/>
    </row>
    <row r="1914" spans="1:114" ht="15" hidden="1" customHeight="1" outlineLevel="1">
      <c r="A1914" s="453"/>
      <c r="C1914" s="51"/>
      <c r="D1914" s="4295" t="s">
        <v>2102</v>
      </c>
      <c r="E1914" s="4295" t="s">
        <v>2103</v>
      </c>
      <c r="F1914" s="4297" t="str">
        <f>$E$1508</f>
        <v>ASHP-SEER15-Replace_CAC_ElectricHeat_ER1_SF</v>
      </c>
      <c r="G1914" s="4298"/>
      <c r="H1914" s="4298"/>
      <c r="I1914" s="4299"/>
      <c r="J1914" s="1029" t="str">
        <f>$C$1508</f>
        <v>352300_2024_12_</v>
      </c>
      <c r="K1914" s="1753">
        <v>30871.809203867651</v>
      </c>
      <c r="L1914" s="1031">
        <f t="shared" ref="L1914:L1980" si="287">K1914/12000</f>
        <v>2.5726507669889709</v>
      </c>
      <c r="M1914" s="914" t="s">
        <v>1934</v>
      </c>
      <c r="R1914" s="1643" t="s">
        <v>1917</v>
      </c>
      <c r="S1914" s="1643" t="s">
        <v>2040</v>
      </c>
      <c r="T1914" s="1643" t="s">
        <v>2041</v>
      </c>
      <c r="U1914" s="52"/>
      <c r="V1914" s="4295" t="s">
        <v>2102</v>
      </c>
      <c r="W1914" s="1396">
        <v>33600</v>
      </c>
      <c r="X1914" s="833">
        <f>3.06*12000</f>
        <v>36720</v>
      </c>
      <c r="Y1914" s="833">
        <v>34800</v>
      </c>
      <c r="Z1914" s="1396">
        <v>34800</v>
      </c>
      <c r="AA1914" s="1396">
        <v>34800</v>
      </c>
      <c r="AB1914" s="825">
        <v>34457.142857142855</v>
      </c>
      <c r="AC1914" s="825">
        <v>34555.932203389835</v>
      </c>
      <c r="AD1914" s="825">
        <v>32616.186021300451</v>
      </c>
      <c r="AE1914" s="967">
        <v>30871.809203867651</v>
      </c>
      <c r="AF1914" s="271">
        <f t="shared" ref="AF1914:AF1977" si="288">IF(K1914&lt;&gt;"",K1914,"")</f>
        <v>30871.809203867651</v>
      </c>
      <c r="AG1914" s="1396"/>
      <c r="DG1914" s="573"/>
      <c r="DH1914" s="159"/>
      <c r="DI1914" s="1091"/>
      <c r="DJ1914" s="1187"/>
    </row>
    <row r="1915" spans="1:114" ht="15" hidden="1" customHeight="1" outlineLevel="1">
      <c r="A1915" s="453"/>
      <c r="C1915" s="51"/>
      <c r="D1915" s="4295"/>
      <c r="E1915" s="4295"/>
      <c r="F1915" s="4297" t="str">
        <f>$E$1510</f>
        <v>ASHP-SEER15-Replace_CAC_ElectricHeat_ER2_SF</v>
      </c>
      <c r="G1915" s="4298"/>
      <c r="H1915" s="4298"/>
      <c r="I1915" s="4299"/>
      <c r="J1915" s="1029" t="str">
        <f>$C$1510</f>
        <v>352300_2024_12_</v>
      </c>
      <c r="K1915" s="1753">
        <v>30871.809203867651</v>
      </c>
      <c r="L1915" s="1031">
        <f t="shared" si="287"/>
        <v>2.5726507669889709</v>
      </c>
      <c r="M1915" s="914" t="s">
        <v>1934</v>
      </c>
      <c r="R1915" s="1644">
        <v>15.2</v>
      </c>
      <c r="S1915" s="1644">
        <v>7000</v>
      </c>
      <c r="T1915" s="71">
        <v>600</v>
      </c>
      <c r="U1915" s="159"/>
      <c r="V1915" s="4295"/>
      <c r="W1915" s="1396">
        <v>33600</v>
      </c>
      <c r="X1915" s="833">
        <f t="shared" ref="X1915:X1931" si="289">3.06*12000</f>
        <v>36720</v>
      </c>
      <c r="Y1915" s="833">
        <v>34800</v>
      </c>
      <c r="Z1915" s="1396">
        <v>34800</v>
      </c>
      <c r="AA1915" s="1396">
        <v>34800</v>
      </c>
      <c r="AB1915" s="825">
        <v>34457.142857142855</v>
      </c>
      <c r="AC1915" s="825">
        <f>AC1914</f>
        <v>34555.932203389835</v>
      </c>
      <c r="AD1915" s="825">
        <v>32616.186021300451</v>
      </c>
      <c r="AE1915" s="967">
        <v>30871.809203867651</v>
      </c>
      <c r="AF1915" s="271">
        <f t="shared" si="288"/>
        <v>30871.809203867651</v>
      </c>
      <c r="AG1915" s="1396"/>
      <c r="DG1915" s="573"/>
      <c r="DH1915" s="159"/>
      <c r="DI1915" s="1091"/>
      <c r="DJ1915" s="1187"/>
    </row>
    <row r="1916" spans="1:114" ht="15" hidden="1" customHeight="1" outlineLevel="1">
      <c r="A1916" s="453"/>
      <c r="C1916" s="51"/>
      <c r="D1916" s="4295"/>
      <c r="E1916" s="4295"/>
      <c r="F1916" s="4297" t="str">
        <f>$E$1512</f>
        <v>ASHP-SEER15-Replace_CAC_NonElectricHeat_ER1_SF</v>
      </c>
      <c r="G1916" s="4298"/>
      <c r="H1916" s="4298"/>
      <c r="I1916" s="4299"/>
      <c r="J1916" s="1029" t="str">
        <f>$C$1512</f>
        <v>352310_2024_12_</v>
      </c>
      <c r="K1916" s="1753">
        <v>30871.809203867651</v>
      </c>
      <c r="L1916" s="1031">
        <f t="shared" si="287"/>
        <v>2.5726507669889709</v>
      </c>
      <c r="M1916" s="914" t="s">
        <v>1934</v>
      </c>
      <c r="R1916" s="1644">
        <v>16.2</v>
      </c>
      <c r="S1916" s="1644">
        <v>7286</v>
      </c>
      <c r="T1916" s="71">
        <v>600</v>
      </c>
      <c r="U1916" s="159"/>
      <c r="V1916" s="4295"/>
      <c r="W1916" s="1396"/>
      <c r="X1916" s="833"/>
      <c r="Y1916" s="833"/>
      <c r="Z1916" s="1396"/>
      <c r="AA1916" s="1396"/>
      <c r="AB1916" s="825"/>
      <c r="AC1916" s="825">
        <v>34555.932203389835</v>
      </c>
      <c r="AD1916" s="967">
        <v>32616.186021300451</v>
      </c>
      <c r="AE1916" s="967">
        <v>30871.809203867651</v>
      </c>
      <c r="AF1916" s="271">
        <f t="shared" si="288"/>
        <v>30871.809203867651</v>
      </c>
      <c r="AG1916" s="1396"/>
      <c r="DG1916" s="573"/>
      <c r="DH1916" s="159"/>
      <c r="DI1916" s="1091"/>
      <c r="DJ1916" s="1187"/>
    </row>
    <row r="1917" spans="1:114" ht="15" hidden="1" customHeight="1" outlineLevel="1">
      <c r="A1917" s="453"/>
      <c r="C1917" s="51"/>
      <c r="D1917" s="4295"/>
      <c r="E1917" s="4295"/>
      <c r="F1917" s="4297" t="str">
        <f>$E$1514</f>
        <v>ASHP-SEER15-Replace_CAC_NonElectricHeat_ER2_SF</v>
      </c>
      <c r="G1917" s="4298"/>
      <c r="H1917" s="4298"/>
      <c r="I1917" s="4299"/>
      <c r="J1917" s="1029" t="str">
        <f>$C$1514</f>
        <v>352310_2024_12_</v>
      </c>
      <c r="K1917" s="1753">
        <v>30871.809203867651</v>
      </c>
      <c r="L1917" s="1031">
        <f t="shared" si="287"/>
        <v>2.5726507669889709</v>
      </c>
      <c r="M1917" s="914" t="s">
        <v>1934</v>
      </c>
      <c r="R1917" s="1644">
        <v>17.100000000000001</v>
      </c>
      <c r="S1917" s="1644">
        <v>7495</v>
      </c>
      <c r="T1917" s="71">
        <v>600</v>
      </c>
      <c r="U1917" s="159"/>
      <c r="V1917" s="4295"/>
      <c r="W1917" s="1396"/>
      <c r="X1917" s="833"/>
      <c r="Y1917" s="833"/>
      <c r="Z1917" s="1396"/>
      <c r="AA1917" s="1396"/>
      <c r="AB1917" s="825"/>
      <c r="AC1917" s="825">
        <f>AC1916</f>
        <v>34555.932203389835</v>
      </c>
      <c r="AD1917" s="967">
        <v>32616.186021300451</v>
      </c>
      <c r="AE1917" s="967">
        <v>30871.809203867651</v>
      </c>
      <c r="AF1917" s="271">
        <f t="shared" si="288"/>
        <v>30871.809203867651</v>
      </c>
      <c r="AG1917" s="1396"/>
      <c r="DG1917" s="573"/>
      <c r="DH1917" s="159"/>
      <c r="DI1917" s="1091"/>
      <c r="DJ1917" s="1187"/>
    </row>
    <row r="1918" spans="1:114" ht="15" hidden="1" customHeight="1" outlineLevel="1">
      <c r="A1918" s="453"/>
      <c r="C1918" s="51"/>
      <c r="D1918" s="4295"/>
      <c r="E1918" s="4295"/>
      <c r="F1918" s="4297" t="str">
        <f>$E$1516</f>
        <v>ASHP-SEER15_ER1_SF</v>
      </c>
      <c r="G1918" s="4298"/>
      <c r="H1918" s="4298"/>
      <c r="I1918" s="4299"/>
      <c r="J1918" s="1029" t="str">
        <f>$C$1516</f>
        <v>352350_2024_12_</v>
      </c>
      <c r="K1918" s="1753">
        <v>30871.809203867651</v>
      </c>
      <c r="L1918" s="1031">
        <f t="shared" si="287"/>
        <v>2.5726507669889709</v>
      </c>
      <c r="M1918" s="914" t="s">
        <v>1934</v>
      </c>
      <c r="R1918" s="1644">
        <v>18.100000000000001</v>
      </c>
      <c r="S1918" s="1644">
        <v>7720</v>
      </c>
      <c r="T1918" s="71">
        <v>600</v>
      </c>
      <c r="U1918" s="159"/>
      <c r="V1918" s="4295"/>
      <c r="W1918" s="1396">
        <v>37200</v>
      </c>
      <c r="X1918" s="833">
        <f t="shared" si="289"/>
        <v>36720</v>
      </c>
      <c r="Y1918" s="833">
        <v>35160</v>
      </c>
      <c r="Z1918" s="1396">
        <v>35160</v>
      </c>
      <c r="AA1918" s="1396">
        <v>35160</v>
      </c>
      <c r="AB1918" s="825">
        <v>37222.222222222219</v>
      </c>
      <c r="AC1918" s="825">
        <v>37480.519480519484</v>
      </c>
      <c r="AD1918" s="967">
        <v>32616.186021300451</v>
      </c>
      <c r="AE1918" s="967">
        <v>30871.809203867651</v>
      </c>
      <c r="AF1918" s="271">
        <f t="shared" si="288"/>
        <v>30871.809203867651</v>
      </c>
      <c r="AG1918" s="1396"/>
      <c r="DG1918" s="573"/>
      <c r="DH1918" s="159"/>
      <c r="DI1918" s="1091"/>
      <c r="DJ1918" s="1187"/>
    </row>
    <row r="1919" spans="1:114" ht="15" hidden="1" customHeight="1" outlineLevel="1">
      <c r="A1919" s="453"/>
      <c r="C1919" s="51"/>
      <c r="D1919" s="4295"/>
      <c r="E1919" s="4295"/>
      <c r="F1919" s="4297" t="str">
        <f>$E$1518</f>
        <v>ASHP-SEER15_ER2_SF</v>
      </c>
      <c r="G1919" s="4298"/>
      <c r="H1919" s="4298"/>
      <c r="I1919" s="4299"/>
      <c r="J1919" s="1029" t="str">
        <f>$C$1518</f>
        <v>352350_2024_12_</v>
      </c>
      <c r="K1919" s="1753">
        <v>30871.809203867651</v>
      </c>
      <c r="L1919" s="1031">
        <f t="shared" si="287"/>
        <v>2.5726507669889709</v>
      </c>
      <c r="M1919" s="914" t="s">
        <v>1934</v>
      </c>
      <c r="R1919" s="1644">
        <v>19</v>
      </c>
      <c r="S1919" s="1644">
        <v>7946</v>
      </c>
      <c r="T1919" s="71">
        <v>600</v>
      </c>
      <c r="U1919" s="159"/>
      <c r="V1919" s="4295"/>
      <c r="W1919" s="1396">
        <v>37200</v>
      </c>
      <c r="X1919" s="833">
        <f t="shared" si="289"/>
        <v>36720</v>
      </c>
      <c r="Y1919" s="833">
        <v>35160</v>
      </c>
      <c r="Z1919" s="1396">
        <v>35160</v>
      </c>
      <c r="AA1919" s="1396">
        <v>35160</v>
      </c>
      <c r="AB1919" s="825">
        <v>37222.222222222219</v>
      </c>
      <c r="AC1919" s="825">
        <f>AC1918</f>
        <v>37480.519480519484</v>
      </c>
      <c r="AD1919" s="967">
        <v>32616.186021300451</v>
      </c>
      <c r="AE1919" s="967">
        <v>30871.809203867651</v>
      </c>
      <c r="AF1919" s="271">
        <f t="shared" si="288"/>
        <v>30871.809203867651</v>
      </c>
      <c r="AG1919" s="1396"/>
      <c r="DG1919" s="573"/>
      <c r="DH1919" s="159"/>
      <c r="DI1919" s="1091"/>
      <c r="DJ1919" s="1187"/>
    </row>
    <row r="1920" spans="1:114" ht="15" hidden="1" customHeight="1" outlineLevel="1">
      <c r="A1920" s="453"/>
      <c r="C1920" s="51"/>
      <c r="D1920" s="4295"/>
      <c r="E1920" s="4295"/>
      <c r="F1920" s="4297" t="str">
        <f>$E$1520</f>
        <v>ASHP-SEER15-Replace_CAC_ElectricHeat_ROF_SF</v>
      </c>
      <c r="G1920" s="4298"/>
      <c r="H1920" s="4298"/>
      <c r="I1920" s="4299"/>
      <c r="J1920" s="1029" t="str">
        <f>$C$1520</f>
        <v>352400_2024_12_</v>
      </c>
      <c r="K1920" s="1753">
        <v>33671.908441765758</v>
      </c>
      <c r="L1920" s="1031">
        <f t="shared" si="287"/>
        <v>2.8059923701471465</v>
      </c>
      <c r="M1920" s="914" t="s">
        <v>1934</v>
      </c>
      <c r="S1920" s="52"/>
      <c r="T1920" s="209"/>
      <c r="U1920" s="159"/>
      <c r="V1920" s="4295"/>
      <c r="W1920" s="1396">
        <v>31200</v>
      </c>
      <c r="X1920" s="833">
        <f t="shared" si="289"/>
        <v>36720</v>
      </c>
      <c r="Y1920" s="833">
        <v>34320</v>
      </c>
      <c r="Z1920" s="1396">
        <v>34320</v>
      </c>
      <c r="AA1920" s="1396">
        <v>34320</v>
      </c>
      <c r="AB1920" s="825">
        <v>35872.340425531918</v>
      </c>
      <c r="AC1920" s="825">
        <v>37047.619047619046</v>
      </c>
      <c r="AD1920" s="967">
        <v>33764.105504587154</v>
      </c>
      <c r="AE1920" s="967">
        <v>33671.908441765758</v>
      </c>
      <c r="AF1920" s="271">
        <f t="shared" si="288"/>
        <v>33671.908441765758</v>
      </c>
      <c r="AG1920" s="1396"/>
      <c r="DG1920" s="573"/>
      <c r="DH1920" s="159"/>
      <c r="DI1920" s="1091"/>
      <c r="DJ1920" s="1187"/>
    </row>
    <row r="1921" spans="1:114" ht="15" hidden="1" customHeight="1" outlineLevel="1">
      <c r="A1921" s="453"/>
      <c r="C1921" s="51"/>
      <c r="D1921" s="4295"/>
      <c r="E1921" s="4295"/>
      <c r="F1921" s="4297" t="str">
        <f>$E$1522</f>
        <v>ASHP-SEER15-Replace_CAC_NonElectricHeat_ROF_SF</v>
      </c>
      <c r="G1921" s="4298"/>
      <c r="H1921" s="4298"/>
      <c r="I1921" s="4299"/>
      <c r="J1921" s="1029" t="str">
        <f>$C$1522</f>
        <v>352410_2024_12_</v>
      </c>
      <c r="K1921" s="1753">
        <v>33671.908441765758</v>
      </c>
      <c r="L1921" s="1031">
        <f t="shared" si="287"/>
        <v>2.8059923701471465</v>
      </c>
      <c r="M1921" s="914" t="s">
        <v>1934</v>
      </c>
      <c r="R1921"/>
      <c r="S1921" s="4287" t="s">
        <v>2037</v>
      </c>
      <c r="T1921" s="4287"/>
      <c r="U1921" s="159"/>
      <c r="V1921" s="4295"/>
      <c r="W1921" s="1396"/>
      <c r="X1921" s="833"/>
      <c r="Y1921" s="833"/>
      <c r="Z1921" s="1396"/>
      <c r="AA1921" s="1396"/>
      <c r="AB1921" s="825"/>
      <c r="AC1921" s="825">
        <v>37047.619047619046</v>
      </c>
      <c r="AD1921" s="967">
        <v>33764.105504587154</v>
      </c>
      <c r="AE1921" s="967">
        <v>33671.908441765758</v>
      </c>
      <c r="AF1921" s="271">
        <f t="shared" si="288"/>
        <v>33671.908441765758</v>
      </c>
      <c r="AG1921" s="1396"/>
      <c r="DG1921" s="573"/>
      <c r="DH1921" s="159"/>
      <c r="DI1921" s="1091"/>
      <c r="DJ1921" s="1187"/>
    </row>
    <row r="1922" spans="1:114" ht="15" hidden="1" customHeight="1" outlineLevel="1">
      <c r="A1922" s="453"/>
      <c r="C1922" s="51"/>
      <c r="D1922" s="4295"/>
      <c r="E1922" s="4295"/>
      <c r="F1922" s="4300" t="str">
        <f>$E$1524</f>
        <v>ASHP-SEER15_ROF_SF</v>
      </c>
      <c r="G1922" s="4301"/>
      <c r="H1922" s="4301"/>
      <c r="I1922" s="4302"/>
      <c r="J1922" s="3471" t="str">
        <f>$C$1524</f>
        <v>352450_2024_12_</v>
      </c>
      <c r="K1922" s="3339">
        <v>33671.908441765758</v>
      </c>
      <c r="L1922" s="3472">
        <f t="shared" si="287"/>
        <v>2.8059923701471465</v>
      </c>
      <c r="M1922" s="3280" t="s">
        <v>1934</v>
      </c>
      <c r="Q1922" s="1643" t="s">
        <v>2038</v>
      </c>
      <c r="R1922" s="1643" t="s">
        <v>2039</v>
      </c>
      <c r="S1922" s="1643" t="s">
        <v>2040</v>
      </c>
      <c r="T1922" s="1643" t="s">
        <v>2041</v>
      </c>
      <c r="U1922" s="159"/>
      <c r="V1922" s="4295"/>
      <c r="W1922" s="1396">
        <v>37200</v>
      </c>
      <c r="X1922" s="833">
        <f t="shared" si="289"/>
        <v>36720</v>
      </c>
      <c r="Y1922" s="833">
        <v>34680</v>
      </c>
      <c r="Z1922" s="1396">
        <v>34680</v>
      </c>
      <c r="AA1922" s="1396">
        <v>34680</v>
      </c>
      <c r="AB1922" s="1396">
        <v>34680</v>
      </c>
      <c r="AC1922" s="825">
        <v>35892.857142857138</v>
      </c>
      <c r="AD1922" s="967">
        <v>33764.105504587154</v>
      </c>
      <c r="AE1922" s="967">
        <v>33671.908441765758</v>
      </c>
      <c r="AF1922" s="271">
        <f t="shared" si="288"/>
        <v>33671.908441765758</v>
      </c>
      <c r="AG1922" s="1396"/>
      <c r="DG1922" s="573"/>
      <c r="DH1922" s="159"/>
      <c r="DI1922" s="1091"/>
      <c r="DJ1922" s="1187"/>
    </row>
    <row r="1923" spans="1:114" ht="15" hidden="1" customHeight="1" outlineLevel="1">
      <c r="A1923" s="453"/>
      <c r="C1923" s="51"/>
      <c r="D1923" s="4295"/>
      <c r="E1923" s="4295"/>
      <c r="F1923" s="4297" t="str">
        <f>$E$1526</f>
        <v>ASHP-SEER16-Replace_CAC_ElectricHeat_ER1_SF</v>
      </c>
      <c r="G1923" s="4298"/>
      <c r="H1923" s="4298"/>
      <c r="I1923" s="4299"/>
      <c r="J1923" s="1029" t="str">
        <f>$C$1526</f>
        <v>352500_2024_12_</v>
      </c>
      <c r="K1923" s="1753">
        <v>30372.354967100247</v>
      </c>
      <c r="L1923" s="1031">
        <f t="shared" si="287"/>
        <v>2.5310295805916874</v>
      </c>
      <c r="M1923" s="914" t="s">
        <v>1934</v>
      </c>
      <c r="Q1923" s="71" t="s">
        <v>2109</v>
      </c>
      <c r="R1923" s="71" t="s">
        <v>2109</v>
      </c>
      <c r="S1923" s="71">
        <v>6865</v>
      </c>
      <c r="T1923" s="71">
        <v>600</v>
      </c>
      <c r="U1923" s="159"/>
      <c r="V1923" s="4295"/>
      <c r="W1923" s="1396">
        <v>37200</v>
      </c>
      <c r="X1923" s="833">
        <f t="shared" si="289"/>
        <v>36720</v>
      </c>
      <c r="Y1923" s="833">
        <v>38160</v>
      </c>
      <c r="Z1923" s="1396">
        <v>38160</v>
      </c>
      <c r="AA1923" s="1396">
        <v>38160</v>
      </c>
      <c r="AB1923" s="825">
        <v>35375.776397515532</v>
      </c>
      <c r="AC1923" s="825">
        <v>35069.908814589668</v>
      </c>
      <c r="AD1923" s="967">
        <v>33051.122544058344</v>
      </c>
      <c r="AE1923" s="967">
        <v>30372.354967100247</v>
      </c>
      <c r="AF1923" s="271">
        <f t="shared" si="288"/>
        <v>30372.354967100247</v>
      </c>
      <c r="AG1923" s="1396"/>
      <c r="DG1923" s="573"/>
      <c r="DH1923" s="159"/>
      <c r="DI1923" s="1091"/>
      <c r="DJ1923" s="1187"/>
    </row>
    <row r="1924" spans="1:114" ht="15" hidden="1" customHeight="1" outlineLevel="1">
      <c r="A1924" s="453"/>
      <c r="C1924" s="51"/>
      <c r="D1924" s="4295"/>
      <c r="E1924" s="4295"/>
      <c r="F1924" s="4297" t="str">
        <f>$E$1528</f>
        <v>ASHP-SEER16-Replace_CAC_ElectricHeat_ER2_SF</v>
      </c>
      <c r="G1924" s="4298"/>
      <c r="H1924" s="4298"/>
      <c r="I1924" s="4299"/>
      <c r="J1924" s="1029" t="str">
        <f>$C$1528</f>
        <v>352500_2024_12_</v>
      </c>
      <c r="K1924" s="1753">
        <v>30372.354967100247</v>
      </c>
      <c r="L1924" s="1031">
        <f t="shared" si="287"/>
        <v>2.5310295805916874</v>
      </c>
      <c r="M1924" s="914" t="s">
        <v>1934</v>
      </c>
      <c r="Q1924" s="71" t="s">
        <v>2042</v>
      </c>
      <c r="R1924" s="71" t="s">
        <v>2042</v>
      </c>
      <c r="S1924" s="71">
        <f>2011+3338</f>
        <v>5349</v>
      </c>
      <c r="T1924" s="71"/>
      <c r="U1924" s="159"/>
      <c r="V1924" s="4295"/>
      <c r="W1924" s="1396">
        <v>37200</v>
      </c>
      <c r="X1924" s="833">
        <f t="shared" si="289"/>
        <v>36720</v>
      </c>
      <c r="Y1924" s="833">
        <v>38160</v>
      </c>
      <c r="Z1924" s="1396">
        <v>38160</v>
      </c>
      <c r="AA1924" s="1396">
        <v>38160</v>
      </c>
      <c r="AB1924" s="825">
        <v>35375.776397515532</v>
      </c>
      <c r="AC1924" s="825">
        <f>AC1923</f>
        <v>35069.908814589668</v>
      </c>
      <c r="AD1924" s="967">
        <v>33051.122544058344</v>
      </c>
      <c r="AE1924" s="967">
        <v>30372.354967100247</v>
      </c>
      <c r="AF1924" s="271">
        <f t="shared" si="288"/>
        <v>30372.354967100247</v>
      </c>
      <c r="AG1924" s="1396"/>
      <c r="DG1924" s="573"/>
      <c r="DH1924" s="159"/>
      <c r="DI1924" s="1091"/>
      <c r="DJ1924" s="1187"/>
    </row>
    <row r="1925" spans="1:114" ht="15" hidden="1" customHeight="1" outlineLevel="1">
      <c r="A1925" s="453"/>
      <c r="C1925" s="51"/>
      <c r="D1925" s="4295"/>
      <c r="E1925" s="4295"/>
      <c r="F1925" s="4297" t="str">
        <f>$E$1530</f>
        <v>ASHP-SEER16-Replace_CAC_NonElectricHeat_ER1_SF</v>
      </c>
      <c r="G1925" s="4298"/>
      <c r="H1925" s="4298"/>
      <c r="I1925" s="4299"/>
      <c r="J1925" s="1029" t="str">
        <f>$C$1530</f>
        <v>352510_2024_12_</v>
      </c>
      <c r="K1925" s="1753">
        <v>30372.354967100247</v>
      </c>
      <c r="L1925" s="1031">
        <f t="shared" si="287"/>
        <v>2.5310295805916874</v>
      </c>
      <c r="M1925" s="914" t="s">
        <v>1934</v>
      </c>
      <c r="Q1925" s="71" t="s">
        <v>2110</v>
      </c>
      <c r="R1925" s="71" t="s">
        <v>2110</v>
      </c>
      <c r="S1925" s="71">
        <v>7722</v>
      </c>
      <c r="T1925" s="71">
        <v>674</v>
      </c>
      <c r="U1925" s="159"/>
      <c r="V1925" s="4295"/>
      <c r="W1925" s="1396"/>
      <c r="X1925" s="833"/>
      <c r="Y1925" s="833"/>
      <c r="Z1925" s="1396"/>
      <c r="AA1925" s="1396"/>
      <c r="AB1925" s="825"/>
      <c r="AC1925" s="825">
        <v>35069.908814589668</v>
      </c>
      <c r="AD1925" s="967">
        <v>33051.122544058344</v>
      </c>
      <c r="AE1925" s="967">
        <v>30372.354967100247</v>
      </c>
      <c r="AF1925" s="271">
        <f t="shared" si="288"/>
        <v>30372.354967100247</v>
      </c>
      <c r="AG1925" s="1396"/>
      <c r="DG1925" s="573"/>
      <c r="DH1925" s="159"/>
      <c r="DI1925" s="1091"/>
      <c r="DJ1925" s="1187"/>
    </row>
    <row r="1926" spans="1:114" ht="15" hidden="1" customHeight="1" outlineLevel="1">
      <c r="A1926" s="453"/>
      <c r="C1926" s="51"/>
      <c r="D1926" s="4295"/>
      <c r="E1926" s="4295"/>
      <c r="F1926" s="4297" t="str">
        <f>$E$1532</f>
        <v>ASHP-SEER16-Replace_CAC_NonElectricHeat_ER2_SF</v>
      </c>
      <c r="G1926" s="4298"/>
      <c r="H1926" s="4298"/>
      <c r="I1926" s="4299"/>
      <c r="J1926" s="1029" t="str">
        <f>$C$1532</f>
        <v>352510_2024_12_</v>
      </c>
      <c r="K1926" s="1753">
        <v>30372.354967100247</v>
      </c>
      <c r="L1926" s="1031">
        <f t="shared" si="287"/>
        <v>2.5310295805916874</v>
      </c>
      <c r="M1926" s="914" t="s">
        <v>1934</v>
      </c>
      <c r="Q1926" s="71" t="s">
        <v>2045</v>
      </c>
      <c r="R1926" s="71" t="s">
        <v>2045</v>
      </c>
      <c r="S1926" s="71">
        <f>2296+3670</f>
        <v>5966</v>
      </c>
      <c r="T1926" s="71"/>
      <c r="U1926" s="159"/>
      <c r="V1926" s="4295"/>
      <c r="W1926" s="1396"/>
      <c r="X1926" s="833"/>
      <c r="Y1926" s="833"/>
      <c r="Z1926" s="1396"/>
      <c r="AA1926" s="1396"/>
      <c r="AB1926" s="825"/>
      <c r="AC1926" s="825">
        <f>AC1925</f>
        <v>35069.908814589668</v>
      </c>
      <c r="AD1926" s="967">
        <v>33051.122544058344</v>
      </c>
      <c r="AE1926" s="967">
        <v>30372.354967100247</v>
      </c>
      <c r="AF1926" s="271">
        <f t="shared" si="288"/>
        <v>30372.354967100247</v>
      </c>
      <c r="AG1926" s="1396"/>
      <c r="DG1926" s="573"/>
      <c r="DH1926" s="159"/>
      <c r="DI1926" s="1091"/>
      <c r="DJ1926" s="1187"/>
    </row>
    <row r="1927" spans="1:114" ht="15" hidden="1" customHeight="1" outlineLevel="1">
      <c r="A1927" s="453"/>
      <c r="C1927" s="51"/>
      <c r="D1927" s="4295"/>
      <c r="E1927" s="4295"/>
      <c r="F1927" s="4297" t="str">
        <f>$E$1534</f>
        <v>ASHP-SEER16_ER1_SF</v>
      </c>
      <c r="G1927" s="4298"/>
      <c r="H1927" s="4298"/>
      <c r="I1927" s="4299"/>
      <c r="J1927" s="1029" t="str">
        <f>$C$1534</f>
        <v>352550_2024_12_</v>
      </c>
      <c r="K1927" s="1753">
        <v>30372.354967100247</v>
      </c>
      <c r="L1927" s="1031">
        <f t="shared" si="287"/>
        <v>2.5310295805916874</v>
      </c>
      <c r="M1927" s="914" t="s">
        <v>1934</v>
      </c>
      <c r="S1927" s="52"/>
      <c r="T1927" s="209"/>
      <c r="U1927" s="159"/>
      <c r="V1927" s="4295"/>
      <c r="W1927" s="1396">
        <v>39600</v>
      </c>
      <c r="X1927" s="833">
        <f t="shared" si="289"/>
        <v>36720</v>
      </c>
      <c r="Y1927" s="833">
        <v>37800</v>
      </c>
      <c r="Z1927" s="1396">
        <v>37800</v>
      </c>
      <c r="AA1927" s="1396">
        <v>37800</v>
      </c>
      <c r="AB1927" s="825">
        <v>37317.757009345798</v>
      </c>
      <c r="AC1927" s="825">
        <v>36536.170212765959</v>
      </c>
      <c r="AD1927" s="967">
        <v>33051.122544058344</v>
      </c>
      <c r="AE1927" s="967">
        <v>30372.354967100247</v>
      </c>
      <c r="AF1927" s="271">
        <f t="shared" si="288"/>
        <v>30372.354967100247</v>
      </c>
      <c r="AG1927" s="1396"/>
      <c r="DG1927" s="573"/>
      <c r="DH1927" s="159"/>
      <c r="DI1927" s="1091"/>
      <c r="DJ1927" s="1187"/>
    </row>
    <row r="1928" spans="1:114" ht="15" hidden="1" customHeight="1" outlineLevel="1">
      <c r="A1928" s="453"/>
      <c r="C1928" s="51"/>
      <c r="D1928" s="4295"/>
      <c r="E1928" s="4295"/>
      <c r="F1928" s="4297" t="str">
        <f>$E$1536</f>
        <v>ASHP-SEER16_ER2_SF</v>
      </c>
      <c r="G1928" s="4298"/>
      <c r="H1928" s="4298"/>
      <c r="I1928" s="4299"/>
      <c r="J1928" s="1029" t="str">
        <f>$C$1536</f>
        <v>352550_2024_12_</v>
      </c>
      <c r="K1928" s="1753">
        <v>30372.354967100247</v>
      </c>
      <c r="L1928" s="1031">
        <f t="shared" si="287"/>
        <v>2.5310295805916874</v>
      </c>
      <c r="M1928" s="914" t="s">
        <v>1934</v>
      </c>
      <c r="R1928" s="1643" t="s">
        <v>1922</v>
      </c>
      <c r="S1928" s="1643" t="s">
        <v>969</v>
      </c>
      <c r="T1928" s="1643" t="s">
        <v>970</v>
      </c>
      <c r="U1928" s="159"/>
      <c r="V1928" s="4295"/>
      <c r="W1928" s="1396">
        <v>39600</v>
      </c>
      <c r="X1928" s="833">
        <f t="shared" si="289"/>
        <v>36720</v>
      </c>
      <c r="Y1928" s="833">
        <v>37800</v>
      </c>
      <c r="Z1928" s="1396">
        <v>37800</v>
      </c>
      <c r="AA1928" s="1396">
        <v>37800</v>
      </c>
      <c r="AB1928" s="825">
        <v>37317.757009345798</v>
      </c>
      <c r="AC1928" s="825">
        <f>AC1927</f>
        <v>36536.170212765959</v>
      </c>
      <c r="AD1928" s="967">
        <v>33051.122544058344</v>
      </c>
      <c r="AE1928" s="967">
        <v>30372.354967100247</v>
      </c>
      <c r="AF1928" s="271">
        <f t="shared" si="288"/>
        <v>30372.354967100247</v>
      </c>
      <c r="AG1928" s="1396"/>
      <c r="DG1928" s="573"/>
      <c r="DH1928" s="159"/>
      <c r="DI1928" s="1091"/>
      <c r="DJ1928" s="1187"/>
    </row>
    <row r="1929" spans="1:114" ht="15" hidden="1" customHeight="1" outlineLevel="1">
      <c r="A1929" s="453"/>
      <c r="C1929" s="51"/>
      <c r="D1929" s="4295"/>
      <c r="E1929" s="4295"/>
      <c r="F1929" s="4297" t="str">
        <f>$E$1538</f>
        <v>ASHP-SEER16-Replace_CAC_ElectricHeat_ROF_SF</v>
      </c>
      <c r="G1929" s="4298"/>
      <c r="H1929" s="4298"/>
      <c r="I1929" s="4299"/>
      <c r="J1929" s="1029" t="str">
        <f>$C$1538</f>
        <v>352600_2024_12_</v>
      </c>
      <c r="K1929" s="1753">
        <v>33725.225943636367</v>
      </c>
      <c r="L1929" s="1031">
        <f t="shared" si="287"/>
        <v>2.8104354953030306</v>
      </c>
      <c r="M1929" s="914" t="s">
        <v>1934</v>
      </c>
      <c r="R1929" s="71" t="s">
        <v>1923</v>
      </c>
      <c r="S1929" s="260">
        <v>2.3128228708516586E-2</v>
      </c>
      <c r="T1929" s="1660" t="s">
        <v>1924</v>
      </c>
      <c r="U1929" s="52"/>
      <c r="V1929" s="4295"/>
      <c r="W1929" s="1396">
        <v>38400</v>
      </c>
      <c r="X1929" s="833">
        <f t="shared" si="289"/>
        <v>36720</v>
      </c>
      <c r="Y1929" s="833">
        <v>37320</v>
      </c>
      <c r="Z1929" s="1396">
        <v>37320</v>
      </c>
      <c r="AA1929" s="1396">
        <v>37320</v>
      </c>
      <c r="AB1929" s="825">
        <v>35428.571428571428</v>
      </c>
      <c r="AC1929" s="825">
        <v>35468.354430379746</v>
      </c>
      <c r="AD1929" s="967">
        <v>35642.967406424148</v>
      </c>
      <c r="AE1929" s="967">
        <v>33725.225943636367</v>
      </c>
      <c r="AF1929" s="271">
        <f t="shared" si="288"/>
        <v>33725.225943636367</v>
      </c>
      <c r="AG1929" s="1396"/>
      <c r="DG1929" s="573"/>
      <c r="DH1929" s="159"/>
      <c r="DI1929" s="1091"/>
      <c r="DJ1929" s="1187"/>
    </row>
    <row r="1930" spans="1:114" ht="15" hidden="1" customHeight="1" outlineLevel="1">
      <c r="A1930" s="453"/>
      <c r="C1930" s="51"/>
      <c r="D1930" s="4295"/>
      <c r="E1930" s="4295"/>
      <c r="F1930" s="4297" t="str">
        <f>$E$1540</f>
        <v>ASHP-SEER16-Replace_CAC_NonElectricHeat_ROF_SF</v>
      </c>
      <c r="G1930" s="4298"/>
      <c r="H1930" s="4298"/>
      <c r="I1930" s="4299"/>
      <c r="J1930" s="1029" t="str">
        <f>$C$1540</f>
        <v>352610_2024_12_</v>
      </c>
      <c r="K1930" s="1753">
        <v>33725.225943636367</v>
      </c>
      <c r="L1930" s="1031">
        <f>K1930/12000</f>
        <v>2.8104354953030306</v>
      </c>
      <c r="M1930" s="914" t="s">
        <v>1934</v>
      </c>
      <c r="R1930" s="71" t="s">
        <v>1925</v>
      </c>
      <c r="S1930" s="1378">
        <v>6</v>
      </c>
      <c r="T1930" s="71" t="s">
        <v>1926</v>
      </c>
      <c r="U1930" s="52"/>
      <c r="V1930" s="4295"/>
      <c r="W1930" s="1396"/>
      <c r="X1930" s="833"/>
      <c r="Y1930" s="833"/>
      <c r="Z1930" s="1396"/>
      <c r="AA1930" s="1396"/>
      <c r="AB1930" s="825"/>
      <c r="AC1930" s="825"/>
      <c r="AD1930" s="967">
        <v>35642.967406424148</v>
      </c>
      <c r="AE1930" s="967">
        <v>33725.225943636367</v>
      </c>
      <c r="AF1930" s="271">
        <f t="shared" si="288"/>
        <v>33725.225943636367</v>
      </c>
      <c r="AG1930" s="1396"/>
      <c r="DG1930" s="573"/>
      <c r="DH1930" s="159"/>
      <c r="DI1930" s="1091"/>
      <c r="DJ1930" s="1187"/>
    </row>
    <row r="1931" spans="1:114" ht="15" hidden="1" customHeight="1" outlineLevel="1">
      <c r="A1931" s="453"/>
      <c r="C1931" s="51"/>
      <c r="D1931" s="4295"/>
      <c r="E1931" s="4295"/>
      <c r="F1931" s="4297" t="str">
        <f>$E$1542</f>
        <v>ASHP-SEER16_ROF_SF</v>
      </c>
      <c r="G1931" s="4298"/>
      <c r="H1931" s="4298"/>
      <c r="I1931" s="4299"/>
      <c r="J1931" s="1029" t="str">
        <f>$C$1542</f>
        <v>352650_2024_12_</v>
      </c>
      <c r="K1931" s="1753">
        <v>33725.225943636367</v>
      </c>
      <c r="L1931" s="1031">
        <f t="shared" si="287"/>
        <v>2.8104354953030306</v>
      </c>
      <c r="M1931" s="914" t="s">
        <v>1934</v>
      </c>
      <c r="R1931" s="71" t="s">
        <v>1927</v>
      </c>
      <c r="S1931" s="202">
        <f>(1-S1929)^(S1930-1)</f>
        <v>0.88958571378558426</v>
      </c>
      <c r="T1931" s="71" t="s">
        <v>1928</v>
      </c>
      <c r="U1931" s="52"/>
      <c r="V1931" s="4295"/>
      <c r="W1931" s="1396">
        <v>39600</v>
      </c>
      <c r="X1931" s="833">
        <f t="shared" si="289"/>
        <v>36720</v>
      </c>
      <c r="Y1931" s="833">
        <v>39000</v>
      </c>
      <c r="Z1931" s="1396">
        <v>39000</v>
      </c>
      <c r="AA1931" s="1396">
        <v>39000</v>
      </c>
      <c r="AB1931" s="1396">
        <v>39000</v>
      </c>
      <c r="AC1931" s="825">
        <v>37105.263157894733</v>
      </c>
      <c r="AD1931" s="967">
        <v>35642.967406424148</v>
      </c>
      <c r="AE1931" s="967">
        <v>33725.225943636367</v>
      </c>
      <c r="AF1931" s="271">
        <f t="shared" si="288"/>
        <v>33725.225943636367</v>
      </c>
      <c r="AG1931" s="1396"/>
      <c r="DG1931" s="573"/>
      <c r="DH1931" s="159"/>
      <c r="DI1931" s="1091"/>
      <c r="DJ1931" s="1187"/>
    </row>
    <row r="1932" spans="1:114" ht="15" hidden="1" customHeight="1" outlineLevel="1">
      <c r="A1932" s="453"/>
      <c r="C1932" s="51"/>
      <c r="D1932" s="4295"/>
      <c r="E1932" s="4295"/>
      <c r="F1932" s="4300" t="str">
        <f>$E$1544</f>
        <v>ASHP-SEER15_ER1_MF</v>
      </c>
      <c r="G1932" s="4301"/>
      <c r="H1932" s="4301"/>
      <c r="I1932" s="4302"/>
      <c r="J1932" s="3471" t="str">
        <f>$C$1544</f>
        <v>352700_2024_12_</v>
      </c>
      <c r="K1932" s="3339">
        <v>35680</v>
      </c>
      <c r="L1932" s="3472">
        <f t="shared" si="287"/>
        <v>2.9733333333333332</v>
      </c>
      <c r="M1932" s="3280" t="s">
        <v>1937</v>
      </c>
      <c r="U1932" s="52"/>
      <c r="V1932" s="4295"/>
      <c r="W1932" s="3262">
        <v>37200</v>
      </c>
      <c r="X1932" s="3262">
        <v>37200</v>
      </c>
      <c r="Y1932" s="3262">
        <v>37200</v>
      </c>
      <c r="Z1932" s="3262">
        <v>37200</v>
      </c>
      <c r="AA1932" s="3262">
        <v>37200</v>
      </c>
      <c r="AB1932" s="3265">
        <v>34500</v>
      </c>
      <c r="AC1932" s="3279">
        <v>35000</v>
      </c>
      <c r="AD1932" s="3476">
        <v>35680</v>
      </c>
      <c r="AE1932" s="3477">
        <v>35680</v>
      </c>
      <c r="AF1932" s="2236">
        <f t="shared" si="288"/>
        <v>35680</v>
      </c>
      <c r="AG1932" s="1396"/>
      <c r="DG1932" s="573"/>
      <c r="DH1932" s="159"/>
      <c r="DI1932" s="1091"/>
      <c r="DJ1932" s="1187"/>
    </row>
    <row r="1933" spans="1:114" ht="15" hidden="1" customHeight="1" outlineLevel="1">
      <c r="A1933" s="453"/>
      <c r="C1933" s="51"/>
      <c r="D1933" s="4295"/>
      <c r="E1933" s="4295"/>
      <c r="F1933" s="4300" t="str">
        <f>$E$1546</f>
        <v>ASHP-SEER15_ER2_MF</v>
      </c>
      <c r="G1933" s="4301"/>
      <c r="H1933" s="4301"/>
      <c r="I1933" s="4302"/>
      <c r="J1933" s="3471" t="str">
        <f>$C$1546</f>
        <v>352700_2024_12_</v>
      </c>
      <c r="K1933" s="3339">
        <v>35680</v>
      </c>
      <c r="L1933" s="3472">
        <f t="shared" si="287"/>
        <v>2.9733333333333332</v>
      </c>
      <c r="M1933" s="3280" t="s">
        <v>1945</v>
      </c>
      <c r="Q1933" s="209"/>
      <c r="U1933" s="52"/>
      <c r="V1933" s="4295"/>
      <c r="W1933" s="3262">
        <v>37200</v>
      </c>
      <c r="X1933" s="3262">
        <v>37200</v>
      </c>
      <c r="Y1933" s="3262">
        <v>37200</v>
      </c>
      <c r="Z1933" s="3262">
        <v>37200</v>
      </c>
      <c r="AA1933" s="3262">
        <v>37200</v>
      </c>
      <c r="AB1933" s="3265">
        <v>34500</v>
      </c>
      <c r="AC1933" s="3279">
        <f>AC1932</f>
        <v>35000</v>
      </c>
      <c r="AD1933" s="3476">
        <v>35680</v>
      </c>
      <c r="AE1933" s="3477">
        <v>35680</v>
      </c>
      <c r="AF1933" s="2236">
        <f t="shared" si="288"/>
        <v>35680</v>
      </c>
      <c r="AG1933" s="1396"/>
      <c r="DG1933" s="573"/>
      <c r="DH1933" s="159"/>
      <c r="DI1933" s="1091"/>
      <c r="DJ1933" s="1187"/>
    </row>
    <row r="1934" spans="1:114" ht="15" hidden="1" customHeight="1" outlineLevel="1">
      <c r="A1934" s="453"/>
      <c r="C1934" s="51"/>
      <c r="D1934" s="4295"/>
      <c r="E1934" s="4295"/>
      <c r="F1934" s="4300" t="str">
        <f>$E$1548</f>
        <v>ASHP-SEER15_ER1_MF_CompE</v>
      </c>
      <c r="G1934" s="4301"/>
      <c r="H1934" s="4301"/>
      <c r="I1934" s="4302"/>
      <c r="J1934" s="3471" t="str">
        <f>$C$1548</f>
        <v>352701_2024_12_</v>
      </c>
      <c r="K1934" s="3339">
        <v>35680</v>
      </c>
      <c r="L1934" s="3472">
        <f t="shared" si="287"/>
        <v>2.9733333333333332</v>
      </c>
      <c r="M1934" s="3280" t="s">
        <v>1945</v>
      </c>
      <c r="Q1934" s="209"/>
      <c r="U1934" s="52"/>
      <c r="V1934" s="4295"/>
      <c r="W1934" s="3262"/>
      <c r="X1934" s="3262"/>
      <c r="Y1934" s="3265">
        <v>37200</v>
      </c>
      <c r="Z1934" s="3262">
        <v>37200</v>
      </c>
      <c r="AA1934" s="3262">
        <v>37200</v>
      </c>
      <c r="AB1934" s="3265">
        <v>34500</v>
      </c>
      <c r="AC1934" s="3279">
        <f>AC1932</f>
        <v>35000</v>
      </c>
      <c r="AD1934" s="3476">
        <v>35680</v>
      </c>
      <c r="AE1934" s="3477">
        <v>35680</v>
      </c>
      <c r="AF1934" s="2236">
        <f t="shared" si="288"/>
        <v>35680</v>
      </c>
      <c r="AG1934" s="1396"/>
      <c r="DG1934" s="573"/>
      <c r="DH1934" s="159"/>
      <c r="DI1934" s="1091"/>
      <c r="DJ1934" s="1187"/>
    </row>
    <row r="1935" spans="1:114" ht="15" hidden="1" customHeight="1" outlineLevel="1">
      <c r="A1935" s="453"/>
      <c r="C1935" s="51"/>
      <c r="D1935" s="4295"/>
      <c r="E1935" s="4295"/>
      <c r="F1935" s="4300" t="str">
        <f>$E$1550</f>
        <v>ASHP-SEER15_ER2_MF_CompE</v>
      </c>
      <c r="G1935" s="4301"/>
      <c r="H1935" s="4301"/>
      <c r="I1935" s="4302"/>
      <c r="J1935" s="3471" t="str">
        <f>$C$1550</f>
        <v>352701_2024_12_</v>
      </c>
      <c r="K1935" s="3339">
        <v>35680</v>
      </c>
      <c r="L1935" s="3472">
        <f t="shared" si="287"/>
        <v>2.9733333333333332</v>
      </c>
      <c r="M1935" s="3280" t="s">
        <v>1945</v>
      </c>
      <c r="Q1935" s="209"/>
      <c r="U1935" s="52"/>
      <c r="V1935" s="4295"/>
      <c r="W1935" s="3262"/>
      <c r="X1935" s="3262"/>
      <c r="Y1935" s="3265">
        <v>37200</v>
      </c>
      <c r="Z1935" s="3262">
        <v>37200</v>
      </c>
      <c r="AA1935" s="3262">
        <v>37200</v>
      </c>
      <c r="AB1935" s="3265">
        <v>34500</v>
      </c>
      <c r="AC1935" s="3279">
        <f>AC1933</f>
        <v>35000</v>
      </c>
      <c r="AD1935" s="3476">
        <v>35680</v>
      </c>
      <c r="AE1935" s="3477">
        <v>35680</v>
      </c>
      <c r="AF1935" s="2236">
        <f t="shared" si="288"/>
        <v>35680</v>
      </c>
      <c r="AG1935" s="1396"/>
      <c r="DG1935" s="573"/>
      <c r="DH1935" s="159"/>
      <c r="DI1935" s="1091"/>
      <c r="DJ1935" s="1187"/>
    </row>
    <row r="1936" spans="1:114" ht="15" hidden="1" customHeight="1" outlineLevel="1">
      <c r="A1936" s="453"/>
      <c r="C1936" s="51"/>
      <c r="D1936" s="4295"/>
      <c r="E1936" s="4295"/>
      <c r="F1936" s="4300" t="str">
        <f>$E$1552</f>
        <v>ASHP-SEER15-Replace_CAC_ElectricHeat_ER1_MF</v>
      </c>
      <c r="G1936" s="4301"/>
      <c r="H1936" s="4301"/>
      <c r="I1936" s="4302"/>
      <c r="J1936" s="3471" t="str">
        <f>$C$1552</f>
        <v>352750_2024_12_</v>
      </c>
      <c r="K1936" s="3339">
        <v>35680</v>
      </c>
      <c r="L1936" s="3472">
        <f t="shared" si="287"/>
        <v>2.9733333333333332</v>
      </c>
      <c r="M1936" s="3280" t="s">
        <v>1945</v>
      </c>
      <c r="Q1936" s="209"/>
      <c r="S1936" s="52"/>
      <c r="T1936" s="52"/>
      <c r="U1936" s="52"/>
      <c r="V1936" s="4295"/>
      <c r="W1936" s="3262">
        <v>33600</v>
      </c>
      <c r="X1936" s="3262">
        <v>33600</v>
      </c>
      <c r="Y1936" s="3262">
        <v>33600</v>
      </c>
      <c r="Z1936" s="3262">
        <v>33600</v>
      </c>
      <c r="AA1936" s="3262">
        <v>33600</v>
      </c>
      <c r="AB1936" s="3265">
        <v>33000</v>
      </c>
      <c r="AC1936" s="3279">
        <v>30000</v>
      </c>
      <c r="AD1936" s="3476">
        <v>35680</v>
      </c>
      <c r="AE1936" s="3477">
        <v>35680</v>
      </c>
      <c r="AF1936" s="2236">
        <f t="shared" si="288"/>
        <v>35680</v>
      </c>
      <c r="AG1936" s="1396"/>
      <c r="DG1936" s="573"/>
      <c r="DH1936" s="159"/>
      <c r="DI1936" s="1091"/>
      <c r="DJ1936" s="1187"/>
    </row>
    <row r="1937" spans="1:114" ht="15" hidden="1" customHeight="1" outlineLevel="1">
      <c r="A1937" s="453"/>
      <c r="C1937" s="51"/>
      <c r="D1937" s="4295"/>
      <c r="E1937" s="4295"/>
      <c r="F1937" s="4300" t="str">
        <f>$E$1554</f>
        <v>ASHP-SEER15-Replace_CAC_ElectricHeat_ER2_MF</v>
      </c>
      <c r="G1937" s="4301"/>
      <c r="H1937" s="4301"/>
      <c r="I1937" s="4302"/>
      <c r="J1937" s="3471" t="str">
        <f>$C$1554</f>
        <v>352750_2024_12_</v>
      </c>
      <c r="K1937" s="3339">
        <v>35680</v>
      </c>
      <c r="L1937" s="3472">
        <f t="shared" si="287"/>
        <v>2.9733333333333332</v>
      </c>
      <c r="M1937" s="3280" t="s">
        <v>1945</v>
      </c>
      <c r="Q1937" s="209"/>
      <c r="S1937" s="52"/>
      <c r="T1937" s="52"/>
      <c r="U1937" s="52"/>
      <c r="V1937" s="4295"/>
      <c r="W1937" s="3262">
        <v>33600</v>
      </c>
      <c r="X1937" s="3262">
        <v>33600</v>
      </c>
      <c r="Y1937" s="3262">
        <v>33600</v>
      </c>
      <c r="Z1937" s="3262">
        <v>33600</v>
      </c>
      <c r="AA1937" s="3262">
        <v>33600</v>
      </c>
      <c r="AB1937" s="3265">
        <v>33000</v>
      </c>
      <c r="AC1937" s="3279">
        <f>AC1936</f>
        <v>30000</v>
      </c>
      <c r="AD1937" s="3476">
        <v>35680</v>
      </c>
      <c r="AE1937" s="3477">
        <v>35680</v>
      </c>
      <c r="AF1937" s="2236">
        <f t="shared" si="288"/>
        <v>35680</v>
      </c>
      <c r="AG1937" s="1396"/>
      <c r="DG1937" s="573"/>
      <c r="DH1937" s="159"/>
      <c r="DI1937" s="1091"/>
      <c r="DJ1937" s="1187"/>
    </row>
    <row r="1938" spans="1:114" ht="15" hidden="1" customHeight="1" outlineLevel="1">
      <c r="A1938" s="453"/>
      <c r="C1938" s="51"/>
      <c r="D1938" s="4295"/>
      <c r="E1938" s="4295"/>
      <c r="F1938" s="4300" t="str">
        <f>$E$1556</f>
        <v>ASHP-SEER15-Replace_CAC_ElectricHeat_ER1_MF_CompE</v>
      </c>
      <c r="G1938" s="4301"/>
      <c r="H1938" s="4301"/>
      <c r="I1938" s="4302"/>
      <c r="J1938" s="3471" t="str">
        <f>$C$1556</f>
        <v>352751_2024_12_</v>
      </c>
      <c r="K1938" s="3339">
        <v>35680</v>
      </c>
      <c r="L1938" s="3472">
        <f t="shared" si="287"/>
        <v>2.9733333333333332</v>
      </c>
      <c r="M1938" s="3280" t="s">
        <v>1945</v>
      </c>
      <c r="Q1938" s="209"/>
      <c r="S1938" s="52"/>
      <c r="T1938" s="52"/>
      <c r="U1938" s="52"/>
      <c r="V1938" s="4295"/>
      <c r="W1938" s="3262"/>
      <c r="X1938" s="3262"/>
      <c r="Y1938" s="3265">
        <v>33600</v>
      </c>
      <c r="Z1938" s="3262">
        <v>33600</v>
      </c>
      <c r="AA1938" s="3262">
        <v>33600</v>
      </c>
      <c r="AB1938" s="3265">
        <v>33000</v>
      </c>
      <c r="AC1938" s="3279">
        <f>AC1936</f>
        <v>30000</v>
      </c>
      <c r="AD1938" s="3476">
        <v>35680</v>
      </c>
      <c r="AE1938" s="3477">
        <v>35680</v>
      </c>
      <c r="AF1938" s="2236">
        <f t="shared" si="288"/>
        <v>35680</v>
      </c>
      <c r="AG1938" s="1396"/>
      <c r="DG1938" s="573"/>
      <c r="DH1938" s="159"/>
      <c r="DI1938" s="1091"/>
      <c r="DJ1938" s="1187"/>
    </row>
    <row r="1939" spans="1:114" ht="15" hidden="1" customHeight="1" outlineLevel="1">
      <c r="A1939" s="453"/>
      <c r="C1939" s="51"/>
      <c r="D1939" s="4295"/>
      <c r="E1939" s="4295"/>
      <c r="F1939" s="4300" t="str">
        <f>$E$1558</f>
        <v>ASHP-SEER15-Replace_CAC_ElectricHeat_ER2_MF_CompE</v>
      </c>
      <c r="G1939" s="4301"/>
      <c r="H1939" s="4301"/>
      <c r="I1939" s="4302"/>
      <c r="J1939" s="3471" t="str">
        <f>$C$1558</f>
        <v>352751_2024_12_</v>
      </c>
      <c r="K1939" s="3339">
        <v>35680</v>
      </c>
      <c r="L1939" s="3472">
        <f t="shared" si="287"/>
        <v>2.9733333333333332</v>
      </c>
      <c r="M1939" s="3280" t="s">
        <v>1945</v>
      </c>
      <c r="Q1939" s="209"/>
      <c r="S1939" s="52"/>
      <c r="T1939" s="52"/>
      <c r="U1939" s="52"/>
      <c r="V1939" s="4295"/>
      <c r="W1939" s="3262"/>
      <c r="X1939" s="3262"/>
      <c r="Y1939" s="3265">
        <v>33600</v>
      </c>
      <c r="Z1939" s="3262">
        <v>33600</v>
      </c>
      <c r="AA1939" s="3262">
        <v>33600</v>
      </c>
      <c r="AB1939" s="3265">
        <v>33000</v>
      </c>
      <c r="AC1939" s="3279">
        <f>AC1937</f>
        <v>30000</v>
      </c>
      <c r="AD1939" s="3476">
        <v>35680</v>
      </c>
      <c r="AE1939" s="3477">
        <v>35680</v>
      </c>
      <c r="AF1939" s="2236">
        <f t="shared" si="288"/>
        <v>35680</v>
      </c>
      <c r="AG1939" s="1396"/>
      <c r="DG1939" s="573"/>
      <c r="DH1939" s="159"/>
      <c r="DI1939" s="1091"/>
      <c r="DJ1939" s="1187"/>
    </row>
    <row r="1940" spans="1:114" ht="15" hidden="1" customHeight="1" outlineLevel="1">
      <c r="A1940" s="453"/>
      <c r="C1940" s="51"/>
      <c r="D1940" s="4295"/>
      <c r="E1940" s="4295"/>
      <c r="F1940" s="4300" t="str">
        <f>$E$1560</f>
        <v>ASHP-SEER15-Replace_CAC_NonElectricHeat_ER1_MF</v>
      </c>
      <c r="G1940" s="4301"/>
      <c r="H1940" s="4301"/>
      <c r="I1940" s="4302"/>
      <c r="J1940" s="3471" t="str">
        <f>$C$1560</f>
        <v>352760_2024_12_</v>
      </c>
      <c r="K1940" s="3339">
        <v>35680</v>
      </c>
      <c r="L1940" s="3472">
        <f t="shared" si="287"/>
        <v>2.9733333333333332</v>
      </c>
      <c r="M1940" s="3280" t="s">
        <v>1945</v>
      </c>
      <c r="Q1940" s="209"/>
      <c r="S1940" s="52"/>
      <c r="T1940" s="52"/>
      <c r="U1940" s="52"/>
      <c r="V1940" s="4295"/>
      <c r="W1940" s="3262"/>
      <c r="X1940" s="3262"/>
      <c r="Y1940" s="3265"/>
      <c r="Z1940" s="3262"/>
      <c r="AA1940" s="3262"/>
      <c r="AB1940" s="3265"/>
      <c r="AC1940" s="3279">
        <v>30000</v>
      </c>
      <c r="AD1940" s="3476">
        <v>35680</v>
      </c>
      <c r="AE1940" s="3477">
        <v>35680</v>
      </c>
      <c r="AF1940" s="2236">
        <f t="shared" si="288"/>
        <v>35680</v>
      </c>
      <c r="AG1940" s="1396"/>
      <c r="DG1940" s="573"/>
      <c r="DH1940" s="159"/>
      <c r="DI1940" s="1091"/>
      <c r="DJ1940" s="1187"/>
    </row>
    <row r="1941" spans="1:114" ht="15" hidden="1" customHeight="1" outlineLevel="1">
      <c r="A1941" s="453"/>
      <c r="C1941" s="51"/>
      <c r="D1941" s="4295"/>
      <c r="E1941" s="4295"/>
      <c r="F1941" s="4300" t="str">
        <f>$E$1562</f>
        <v>ASHP-SEER15-Replace_CAC_NonElectricHeat_ER2_MF</v>
      </c>
      <c r="G1941" s="4301"/>
      <c r="H1941" s="4301"/>
      <c r="I1941" s="4302"/>
      <c r="J1941" s="3471" t="str">
        <f>$C$1562</f>
        <v>352760_2024_12_</v>
      </c>
      <c r="K1941" s="3339">
        <v>35680</v>
      </c>
      <c r="L1941" s="3472">
        <f t="shared" si="287"/>
        <v>2.9733333333333332</v>
      </c>
      <c r="M1941" s="3280" t="s">
        <v>1945</v>
      </c>
      <c r="Q1941" s="209"/>
      <c r="S1941" s="52"/>
      <c r="T1941" s="52"/>
      <c r="U1941" s="52"/>
      <c r="V1941" s="4295"/>
      <c r="W1941" s="3262"/>
      <c r="X1941" s="3262"/>
      <c r="Y1941" s="3265"/>
      <c r="Z1941" s="3262"/>
      <c r="AA1941" s="3262"/>
      <c r="AB1941" s="3265"/>
      <c r="AC1941" s="3279">
        <f>AC1940</f>
        <v>30000</v>
      </c>
      <c r="AD1941" s="3476">
        <v>35680</v>
      </c>
      <c r="AE1941" s="3477">
        <v>35680</v>
      </c>
      <c r="AF1941" s="2236">
        <f t="shared" si="288"/>
        <v>35680</v>
      </c>
      <c r="AG1941" s="1396"/>
      <c r="DG1941" s="573"/>
      <c r="DH1941" s="159"/>
      <c r="DI1941" s="1091"/>
      <c r="DJ1941" s="1187"/>
    </row>
    <row r="1942" spans="1:114" ht="15" hidden="1" customHeight="1" outlineLevel="1">
      <c r="A1942" s="453"/>
      <c r="C1942" s="51"/>
      <c r="D1942" s="4295"/>
      <c r="E1942" s="4295"/>
      <c r="F1942" s="4300" t="str">
        <f>$E$1564</f>
        <v>ASHP-SEER15-Replace_CAC_NonElectricHeat_ER1_MF_CompE</v>
      </c>
      <c r="G1942" s="4301"/>
      <c r="H1942" s="4301"/>
      <c r="I1942" s="4302"/>
      <c r="J1942" s="3471" t="str">
        <f>$C$1564</f>
        <v>352761_2024_12_</v>
      </c>
      <c r="K1942" s="3339">
        <v>35680</v>
      </c>
      <c r="L1942" s="3472">
        <f t="shared" si="287"/>
        <v>2.9733333333333332</v>
      </c>
      <c r="M1942" s="3280" t="s">
        <v>1945</v>
      </c>
      <c r="S1942" s="52"/>
      <c r="T1942" s="52"/>
      <c r="U1942" s="52"/>
      <c r="V1942" s="4295"/>
      <c r="W1942" s="3262"/>
      <c r="X1942" s="3262"/>
      <c r="Y1942" s="3265"/>
      <c r="Z1942" s="3262"/>
      <c r="AA1942" s="3262"/>
      <c r="AB1942" s="3265"/>
      <c r="AC1942" s="3279">
        <f>AC1940</f>
        <v>30000</v>
      </c>
      <c r="AD1942" s="3476">
        <v>35680</v>
      </c>
      <c r="AE1942" s="3477">
        <v>35680</v>
      </c>
      <c r="AF1942" s="2236">
        <f t="shared" si="288"/>
        <v>35680</v>
      </c>
      <c r="AG1942" s="1396"/>
      <c r="DG1942" s="573"/>
      <c r="DH1942" s="159"/>
      <c r="DI1942" s="1091"/>
      <c r="DJ1942" s="1187"/>
    </row>
    <row r="1943" spans="1:114" ht="15" hidden="1" customHeight="1" outlineLevel="1">
      <c r="A1943" s="453"/>
      <c r="C1943" s="51"/>
      <c r="D1943" s="4295"/>
      <c r="E1943" s="4295"/>
      <c r="F1943" s="4300" t="str">
        <f>$E$1566</f>
        <v>ASHP-SEER15-Replace_CAC_NonElectricHeat_ER2_MF_CompE</v>
      </c>
      <c r="G1943" s="4301"/>
      <c r="H1943" s="4301"/>
      <c r="I1943" s="4302"/>
      <c r="J1943" s="3471" t="str">
        <f>$C$1566</f>
        <v>352761_2024_12_</v>
      </c>
      <c r="K1943" s="3339">
        <v>35680</v>
      </c>
      <c r="L1943" s="3472">
        <f t="shared" si="287"/>
        <v>2.9733333333333332</v>
      </c>
      <c r="M1943" s="3280" t="s">
        <v>1945</v>
      </c>
      <c r="S1943" s="52"/>
      <c r="T1943" s="52"/>
      <c r="U1943" s="52"/>
      <c r="V1943" s="4295"/>
      <c r="W1943" s="3262"/>
      <c r="X1943" s="3262"/>
      <c r="Y1943" s="3265"/>
      <c r="Z1943" s="3262"/>
      <c r="AA1943" s="3262"/>
      <c r="AB1943" s="3265"/>
      <c r="AC1943" s="3279">
        <f>AC1941</f>
        <v>30000</v>
      </c>
      <c r="AD1943" s="3476">
        <v>35680</v>
      </c>
      <c r="AE1943" s="3477">
        <v>35680</v>
      </c>
      <c r="AF1943" s="2236">
        <f t="shared" si="288"/>
        <v>35680</v>
      </c>
      <c r="AG1943" s="1396"/>
      <c r="DG1943" s="573"/>
      <c r="DH1943" s="159"/>
      <c r="DI1943" s="1091"/>
      <c r="DJ1943" s="1187"/>
    </row>
    <row r="1944" spans="1:114" ht="15" hidden="1" customHeight="1" outlineLevel="1">
      <c r="A1944" s="453"/>
      <c r="C1944" s="51"/>
      <c r="D1944" s="4295"/>
      <c r="E1944" s="4295"/>
      <c r="F1944" s="4300" t="str">
        <f>$E$1568</f>
        <v>ASHP-SEER15-Replace_CAC_ElectricHeat_ROF_MF</v>
      </c>
      <c r="G1944" s="4301"/>
      <c r="H1944" s="4301"/>
      <c r="I1944" s="4302"/>
      <c r="J1944" s="3471" t="str">
        <f>$C$1568</f>
        <v>352800_2024_12_</v>
      </c>
      <c r="K1944" s="3339">
        <v>26200</v>
      </c>
      <c r="L1944" s="3472">
        <f>K1944/12000</f>
        <v>2.1833333333333331</v>
      </c>
      <c r="M1944" s="3280" t="s">
        <v>1937</v>
      </c>
      <c r="S1944" s="52"/>
      <c r="T1944" s="52"/>
      <c r="U1944" s="52"/>
      <c r="V1944" s="4295"/>
      <c r="W1944" s="3262">
        <v>31200</v>
      </c>
      <c r="X1944" s="3262">
        <v>31200</v>
      </c>
      <c r="Y1944" s="3262">
        <v>31200</v>
      </c>
      <c r="Z1944" s="3262">
        <v>31200</v>
      </c>
      <c r="AA1944" s="3262">
        <v>31200</v>
      </c>
      <c r="AB1944" s="3262">
        <v>31200</v>
      </c>
      <c r="AC1944" s="3267">
        <v>31200</v>
      </c>
      <c r="AD1944" s="3476">
        <v>26200</v>
      </c>
      <c r="AE1944" s="3477">
        <v>26200</v>
      </c>
      <c r="AF1944" s="2236">
        <f t="shared" si="288"/>
        <v>26200</v>
      </c>
      <c r="AG1944" s="1396"/>
      <c r="DG1944" s="573"/>
      <c r="DH1944" s="159"/>
      <c r="DI1944" s="1091"/>
      <c r="DJ1944" s="1187"/>
    </row>
    <row r="1945" spans="1:114" ht="15" hidden="1" customHeight="1" outlineLevel="1">
      <c r="A1945" s="453"/>
      <c r="C1945" s="51"/>
      <c r="D1945" s="4295"/>
      <c r="E1945" s="4295"/>
      <c r="F1945" s="4300" t="str">
        <f>$E$1570</f>
        <v>ASHP-SEER15-Replace_CAC_ElectricHeat_ROF_MF_CompE</v>
      </c>
      <c r="G1945" s="4301"/>
      <c r="H1945" s="4301"/>
      <c r="I1945" s="4302"/>
      <c r="J1945" s="3471" t="str">
        <f>$C$1570</f>
        <v>352801_2024_12_</v>
      </c>
      <c r="K1945" s="3339">
        <v>26200</v>
      </c>
      <c r="L1945" s="3472">
        <f t="shared" si="287"/>
        <v>2.1833333333333331</v>
      </c>
      <c r="M1945" s="3280" t="s">
        <v>1945</v>
      </c>
      <c r="S1945" s="52"/>
      <c r="T1945" s="52"/>
      <c r="U1945" s="52"/>
      <c r="V1945" s="4295"/>
      <c r="W1945" s="3262"/>
      <c r="X1945" s="3262"/>
      <c r="Y1945" s="3265">
        <v>31200</v>
      </c>
      <c r="Z1945" s="3262">
        <v>31200</v>
      </c>
      <c r="AA1945" s="3262">
        <v>31200</v>
      </c>
      <c r="AB1945" s="3262">
        <v>31200</v>
      </c>
      <c r="AC1945" s="3267">
        <f>AC1944</f>
        <v>31200</v>
      </c>
      <c r="AD1945" s="3476">
        <v>26200</v>
      </c>
      <c r="AE1945" s="3477">
        <v>26200</v>
      </c>
      <c r="AF1945" s="2236">
        <f t="shared" si="288"/>
        <v>26200</v>
      </c>
      <c r="AG1945" s="1396"/>
      <c r="DG1945" s="573"/>
      <c r="DH1945" s="159"/>
      <c r="DI1945" s="1091"/>
      <c r="DJ1945" s="1187"/>
    </row>
    <row r="1946" spans="1:114" ht="15" hidden="1" customHeight="1" outlineLevel="1">
      <c r="A1946" s="453"/>
      <c r="C1946" s="51"/>
      <c r="D1946" s="4295"/>
      <c r="E1946" s="4295"/>
      <c r="F1946" s="4300" t="str">
        <f>$E$1572</f>
        <v>ASHP-SEER15-Replace_CAC_NonElectricHeat_ROF_MF</v>
      </c>
      <c r="G1946" s="4301"/>
      <c r="H1946" s="4301"/>
      <c r="I1946" s="4302"/>
      <c r="J1946" s="3471" t="str">
        <f>$C$1572</f>
        <v>352810_2024_12_</v>
      </c>
      <c r="K1946" s="3339">
        <v>26200</v>
      </c>
      <c r="L1946" s="3472">
        <f t="shared" si="287"/>
        <v>2.1833333333333331</v>
      </c>
      <c r="M1946" s="3280" t="s">
        <v>1945</v>
      </c>
      <c r="S1946" s="52"/>
      <c r="T1946" s="52"/>
      <c r="U1946" s="52"/>
      <c r="V1946" s="4295"/>
      <c r="W1946" s="3262"/>
      <c r="X1946" s="3262"/>
      <c r="Y1946" s="3265"/>
      <c r="Z1946" s="3262"/>
      <c r="AA1946" s="3262"/>
      <c r="AB1946" s="3262"/>
      <c r="AC1946" s="3279">
        <v>31200</v>
      </c>
      <c r="AD1946" s="3476">
        <v>26200</v>
      </c>
      <c r="AE1946" s="3477">
        <v>26200</v>
      </c>
      <c r="AF1946" s="2236">
        <f t="shared" si="288"/>
        <v>26200</v>
      </c>
      <c r="AG1946" s="1396"/>
      <c r="DG1946" s="573"/>
      <c r="DH1946" s="159"/>
      <c r="DI1946" s="1091"/>
      <c r="DJ1946" s="1187"/>
    </row>
    <row r="1947" spans="1:114" ht="15" hidden="1" customHeight="1" outlineLevel="1">
      <c r="A1947" s="453"/>
      <c r="C1947" s="51"/>
      <c r="D1947" s="4295"/>
      <c r="E1947" s="4295"/>
      <c r="F1947" s="4300" t="str">
        <f>$E$1574</f>
        <v>ASHP-SEER15-Replace_CAC_NonElectricHeat_ROF_MF_CompE</v>
      </c>
      <c r="G1947" s="4301"/>
      <c r="H1947" s="4301"/>
      <c r="I1947" s="4302"/>
      <c r="J1947" s="3471" t="str">
        <f>$C$1574</f>
        <v>352811_2024_12_</v>
      </c>
      <c r="K1947" s="3339">
        <v>26200</v>
      </c>
      <c r="L1947" s="3472">
        <f t="shared" si="287"/>
        <v>2.1833333333333331</v>
      </c>
      <c r="M1947" s="3280" t="s">
        <v>1945</v>
      </c>
      <c r="S1947" s="52"/>
      <c r="T1947" s="52"/>
      <c r="U1947" s="52"/>
      <c r="V1947" s="4295"/>
      <c r="W1947" s="3262"/>
      <c r="X1947" s="3262"/>
      <c r="Y1947" s="3265"/>
      <c r="Z1947" s="3262"/>
      <c r="AA1947" s="3262"/>
      <c r="AB1947" s="3262"/>
      <c r="AC1947" s="3279">
        <f>AC1946</f>
        <v>31200</v>
      </c>
      <c r="AD1947" s="3476">
        <v>26200</v>
      </c>
      <c r="AE1947" s="3477">
        <v>26200</v>
      </c>
      <c r="AF1947" s="2236">
        <f t="shared" si="288"/>
        <v>26200</v>
      </c>
      <c r="AG1947" s="1396"/>
      <c r="DG1947" s="573"/>
      <c r="DH1947" s="159"/>
      <c r="DI1947" s="1091"/>
      <c r="DJ1947" s="1187"/>
    </row>
    <row r="1948" spans="1:114" ht="15" hidden="1" customHeight="1" outlineLevel="1">
      <c r="A1948" s="453"/>
      <c r="C1948" s="51"/>
      <c r="D1948" s="4295"/>
      <c r="E1948" s="4295"/>
      <c r="F1948" s="4300" t="str">
        <f>$E$1576</f>
        <v>ASHP-SEER16_ER1_MF</v>
      </c>
      <c r="G1948" s="4301"/>
      <c r="H1948" s="4301"/>
      <c r="I1948" s="4302"/>
      <c r="J1948" s="3471" t="str">
        <f>$C$1576</f>
        <v>352850_2024_12_</v>
      </c>
      <c r="K1948" s="3339">
        <v>34066.666666666664</v>
      </c>
      <c r="L1948" s="3472">
        <f t="shared" si="287"/>
        <v>2.8388888888888886</v>
      </c>
      <c r="M1948" s="3280" t="s">
        <v>1937</v>
      </c>
      <c r="P1948" s="261"/>
      <c r="Q1948" s="209"/>
      <c r="R1948" s="261"/>
      <c r="S1948" s="52"/>
      <c r="T1948" s="181"/>
      <c r="U1948" s="52"/>
      <c r="V1948" s="4295"/>
      <c r="W1948" s="3262">
        <v>39600</v>
      </c>
      <c r="X1948" s="3262">
        <v>39600</v>
      </c>
      <c r="Y1948" s="3262">
        <v>39600</v>
      </c>
      <c r="Z1948" s="3262">
        <v>39600</v>
      </c>
      <c r="AA1948" s="3262">
        <v>39600</v>
      </c>
      <c r="AB1948" s="3262">
        <v>39600</v>
      </c>
      <c r="AC1948" s="3279">
        <v>36000</v>
      </c>
      <c r="AD1948" s="3476">
        <v>34066.666666666664</v>
      </c>
      <c r="AE1948" s="3477">
        <v>34066.666666666664</v>
      </c>
      <c r="AF1948" s="2236">
        <f t="shared" si="288"/>
        <v>34066.666666666664</v>
      </c>
      <c r="AG1948" s="1396"/>
      <c r="DG1948" s="573"/>
      <c r="DH1948" s="159"/>
      <c r="DI1948" s="1091"/>
      <c r="DJ1948" s="1187"/>
    </row>
    <row r="1949" spans="1:114" ht="15" hidden="1" customHeight="1" outlineLevel="1">
      <c r="A1949" s="453"/>
      <c r="C1949" s="51"/>
      <c r="D1949" s="4295"/>
      <c r="E1949" s="4295"/>
      <c r="F1949" s="4300" t="str">
        <f>$E$1578</f>
        <v>ASHP-SEER16_ER2_MF</v>
      </c>
      <c r="G1949" s="4301"/>
      <c r="H1949" s="4301"/>
      <c r="I1949" s="4302"/>
      <c r="J1949" s="3471" t="str">
        <f>$C$1578</f>
        <v>352850_2024_12_</v>
      </c>
      <c r="K1949" s="3339">
        <v>34066.666666666664</v>
      </c>
      <c r="L1949" s="3472">
        <f t="shared" si="287"/>
        <v>2.8388888888888886</v>
      </c>
      <c r="M1949" s="3280" t="s">
        <v>1945</v>
      </c>
      <c r="P1949" s="261"/>
      <c r="Q1949" s="209"/>
      <c r="R1949" s="261"/>
      <c r="S1949" s="52"/>
      <c r="T1949" s="181"/>
      <c r="U1949" s="52"/>
      <c r="V1949" s="4295"/>
      <c r="W1949" s="3262">
        <v>39600</v>
      </c>
      <c r="X1949" s="3262">
        <v>39600</v>
      </c>
      <c r="Y1949" s="3262">
        <v>39600</v>
      </c>
      <c r="Z1949" s="3262">
        <v>39600</v>
      </c>
      <c r="AA1949" s="3262">
        <v>39600</v>
      </c>
      <c r="AB1949" s="3262">
        <v>39600</v>
      </c>
      <c r="AC1949" s="3279">
        <f>AC1948</f>
        <v>36000</v>
      </c>
      <c r="AD1949" s="3476">
        <v>34066.666666666664</v>
      </c>
      <c r="AE1949" s="3477">
        <v>34066.666666666664</v>
      </c>
      <c r="AF1949" s="2236">
        <f t="shared" si="288"/>
        <v>34066.666666666664</v>
      </c>
      <c r="AG1949" s="1396"/>
      <c r="DG1949" s="573"/>
      <c r="DH1949" s="159"/>
      <c r="DI1949" s="1091"/>
      <c r="DJ1949" s="1187"/>
    </row>
    <row r="1950" spans="1:114" ht="15" hidden="1" customHeight="1" outlineLevel="1">
      <c r="A1950" s="453"/>
      <c r="C1950" s="51"/>
      <c r="D1950" s="4295"/>
      <c r="E1950" s="4295"/>
      <c r="F1950" s="4300" t="str">
        <f>$E$1580</f>
        <v>ASHP-SEER16_ER1_MF_CompE</v>
      </c>
      <c r="G1950" s="4301"/>
      <c r="H1950" s="4301"/>
      <c r="I1950" s="4302"/>
      <c r="J1950" s="3471" t="str">
        <f>$C$1580</f>
        <v>352851_2024_12_</v>
      </c>
      <c r="K1950" s="3339">
        <v>34066.666666666664</v>
      </c>
      <c r="L1950" s="3472">
        <f t="shared" si="287"/>
        <v>2.8388888888888886</v>
      </c>
      <c r="M1950" s="3280" t="s">
        <v>1945</v>
      </c>
      <c r="P1950" s="261"/>
      <c r="Q1950" s="209"/>
      <c r="R1950" s="261"/>
      <c r="S1950" s="52"/>
      <c r="T1950" s="181"/>
      <c r="U1950" s="52"/>
      <c r="V1950" s="4295"/>
      <c r="W1950" s="3262"/>
      <c r="X1950" s="3262"/>
      <c r="Y1950" s="3265">
        <v>39600</v>
      </c>
      <c r="Z1950" s="3262">
        <v>39600</v>
      </c>
      <c r="AA1950" s="3262">
        <v>39600</v>
      </c>
      <c r="AB1950" s="3262">
        <v>39600</v>
      </c>
      <c r="AC1950" s="3279">
        <f>AC1948</f>
        <v>36000</v>
      </c>
      <c r="AD1950" s="3476">
        <v>34066.666666666664</v>
      </c>
      <c r="AE1950" s="3477">
        <v>34066.666666666664</v>
      </c>
      <c r="AF1950" s="2236">
        <f t="shared" si="288"/>
        <v>34066.666666666664</v>
      </c>
      <c r="AG1950" s="1396"/>
      <c r="DG1950" s="573"/>
      <c r="DH1950" s="159"/>
      <c r="DI1950" s="1091"/>
      <c r="DJ1950" s="1187"/>
    </row>
    <row r="1951" spans="1:114" ht="15" hidden="1" customHeight="1" outlineLevel="1">
      <c r="A1951" s="453"/>
      <c r="C1951" s="51"/>
      <c r="D1951" s="4295"/>
      <c r="E1951" s="4295"/>
      <c r="F1951" s="4300" t="str">
        <f>$E$1582</f>
        <v>ASHP-SEER16_ER2_MF_CompE</v>
      </c>
      <c r="G1951" s="4301"/>
      <c r="H1951" s="4301"/>
      <c r="I1951" s="4302"/>
      <c r="J1951" s="3471" t="str">
        <f>$C$1582</f>
        <v>352851_2024_12_</v>
      </c>
      <c r="K1951" s="3339">
        <v>34066.666666666664</v>
      </c>
      <c r="L1951" s="3472">
        <f t="shared" si="287"/>
        <v>2.8388888888888886</v>
      </c>
      <c r="M1951" s="3280" t="s">
        <v>1945</v>
      </c>
      <c r="P1951" s="261"/>
      <c r="Q1951" s="209"/>
      <c r="R1951" s="261"/>
      <c r="S1951" s="52"/>
      <c r="T1951" s="181"/>
      <c r="U1951" s="52"/>
      <c r="V1951" s="4295"/>
      <c r="W1951" s="3262"/>
      <c r="X1951" s="3262"/>
      <c r="Y1951" s="3265">
        <v>39600</v>
      </c>
      <c r="Z1951" s="3262">
        <v>39600</v>
      </c>
      <c r="AA1951" s="3262">
        <v>39600</v>
      </c>
      <c r="AB1951" s="3262">
        <v>39600</v>
      </c>
      <c r="AC1951" s="3279">
        <f>AC1949</f>
        <v>36000</v>
      </c>
      <c r="AD1951" s="3476">
        <v>34066.666666666664</v>
      </c>
      <c r="AE1951" s="3477">
        <v>34066.666666666664</v>
      </c>
      <c r="AF1951" s="2236">
        <f t="shared" si="288"/>
        <v>34066.666666666664</v>
      </c>
      <c r="AG1951" s="1396"/>
      <c r="DG1951" s="573"/>
      <c r="DH1951" s="159"/>
      <c r="DI1951" s="1091"/>
      <c r="DJ1951" s="1187"/>
    </row>
    <row r="1952" spans="1:114" ht="15" hidden="1" customHeight="1" outlineLevel="1">
      <c r="A1952" s="453"/>
      <c r="C1952" s="51"/>
      <c r="D1952" s="4295"/>
      <c r="E1952" s="4295"/>
      <c r="F1952" s="4300" t="str">
        <f>$E$1584</f>
        <v>ASHP-SEER16_ROF_MF</v>
      </c>
      <c r="G1952" s="4301"/>
      <c r="H1952" s="4301"/>
      <c r="I1952" s="4302"/>
      <c r="J1952" s="3471" t="str">
        <f>$C$1584</f>
        <v>352900_2024_12_</v>
      </c>
      <c r="K1952" s="3339">
        <v>26800</v>
      </c>
      <c r="L1952" s="3472">
        <f t="shared" si="287"/>
        <v>2.2333333333333334</v>
      </c>
      <c r="M1952" s="3280" t="s">
        <v>1938</v>
      </c>
      <c r="P1952" s="261"/>
      <c r="Q1952" s="209"/>
      <c r="R1952" s="261"/>
      <c r="S1952" s="52"/>
      <c r="T1952" s="181"/>
      <c r="U1952" s="52"/>
      <c r="V1952" s="4295"/>
      <c r="W1952" s="3262">
        <v>39600</v>
      </c>
      <c r="X1952" s="3262">
        <v>39600</v>
      </c>
      <c r="Y1952" s="3262">
        <v>39600</v>
      </c>
      <c r="Z1952" s="3262">
        <v>39600</v>
      </c>
      <c r="AA1952" s="3262">
        <v>39600</v>
      </c>
      <c r="AB1952" s="3262">
        <v>39600</v>
      </c>
      <c r="AC1952" s="3279">
        <v>36000</v>
      </c>
      <c r="AD1952" s="3476">
        <v>26800</v>
      </c>
      <c r="AE1952" s="3477">
        <v>26800</v>
      </c>
      <c r="AF1952" s="2236">
        <f t="shared" si="288"/>
        <v>26800</v>
      </c>
      <c r="AG1952" s="1396"/>
      <c r="DG1952" s="573"/>
      <c r="DH1952" s="159"/>
      <c r="DI1952" s="1091"/>
      <c r="DJ1952" s="1187"/>
    </row>
    <row r="1953" spans="1:114" ht="15" hidden="1" customHeight="1" outlineLevel="1">
      <c r="A1953" s="453"/>
      <c r="C1953" s="51"/>
      <c r="D1953" s="4295"/>
      <c r="E1953" s="4295"/>
      <c r="F1953" s="4300" t="str">
        <f>$E$1586</f>
        <v>ASHP-SEER16_ROF_MF_CompE</v>
      </c>
      <c r="G1953" s="4301"/>
      <c r="H1953" s="4301"/>
      <c r="I1953" s="4302"/>
      <c r="J1953" s="3471" t="str">
        <f>$C$1586</f>
        <v>352901_2024_12_</v>
      </c>
      <c r="K1953" s="3339">
        <v>26800</v>
      </c>
      <c r="L1953" s="3472">
        <f t="shared" si="287"/>
        <v>2.2333333333333334</v>
      </c>
      <c r="M1953" s="3280" t="s">
        <v>1945</v>
      </c>
      <c r="P1953" s="261"/>
      <c r="Q1953" s="209"/>
      <c r="R1953" s="261"/>
      <c r="S1953" s="52"/>
      <c r="T1953" s="181"/>
      <c r="U1953" s="52"/>
      <c r="V1953" s="4295"/>
      <c r="W1953" s="3262"/>
      <c r="X1953" s="3262"/>
      <c r="Y1953" s="3265">
        <v>39600</v>
      </c>
      <c r="Z1953" s="3262">
        <v>39600</v>
      </c>
      <c r="AA1953" s="3262">
        <v>39600</v>
      </c>
      <c r="AB1953" s="3262">
        <v>39600</v>
      </c>
      <c r="AC1953" s="3279">
        <f>AC1952</f>
        <v>36000</v>
      </c>
      <c r="AD1953" s="3476">
        <v>26800</v>
      </c>
      <c r="AE1953" s="3477">
        <v>26800</v>
      </c>
      <c r="AF1953" s="2236">
        <f t="shared" si="288"/>
        <v>26800</v>
      </c>
      <c r="AG1953" s="1396"/>
      <c r="DG1953" s="573"/>
      <c r="DH1953" s="159"/>
      <c r="DI1953" s="1091"/>
      <c r="DJ1953" s="1187"/>
    </row>
    <row r="1954" spans="1:114" ht="15" hidden="1" customHeight="1" outlineLevel="1">
      <c r="A1954" s="453"/>
      <c r="C1954" s="51"/>
      <c r="D1954" s="4295"/>
      <c r="E1954" s="4295"/>
      <c r="F1954" s="4300" t="str">
        <f>$E$1588</f>
        <v>ASHP-SEER16-Replace_CAC_ElectricHeat_ROF_MF</v>
      </c>
      <c r="G1954" s="4301"/>
      <c r="H1954" s="4301"/>
      <c r="I1954" s="4302"/>
      <c r="J1954" s="3471" t="str">
        <f>$C$1588</f>
        <v>352950_2024_12_</v>
      </c>
      <c r="K1954" s="3339">
        <v>26800</v>
      </c>
      <c r="L1954" s="3472">
        <f t="shared" si="287"/>
        <v>2.2333333333333334</v>
      </c>
      <c r="M1954" s="3280" t="s">
        <v>1937</v>
      </c>
      <c r="P1954" s="261"/>
      <c r="Q1954" s="209"/>
      <c r="R1954" s="261"/>
      <c r="S1954" s="52"/>
      <c r="T1954" s="181"/>
      <c r="U1954" s="52"/>
      <c r="V1954" s="4295"/>
      <c r="W1954" s="3262">
        <v>38400</v>
      </c>
      <c r="X1954" s="3262">
        <v>38400</v>
      </c>
      <c r="Y1954" s="3262">
        <v>38400</v>
      </c>
      <c r="Z1954" s="3262">
        <v>38400</v>
      </c>
      <c r="AA1954" s="3262">
        <v>38400</v>
      </c>
      <c r="AB1954" s="3265">
        <v>24000</v>
      </c>
      <c r="AC1954" s="3267">
        <v>24000</v>
      </c>
      <c r="AD1954" s="3476">
        <v>26800</v>
      </c>
      <c r="AE1954" s="3477">
        <v>26800</v>
      </c>
      <c r="AF1954" s="2236">
        <f t="shared" si="288"/>
        <v>26800</v>
      </c>
      <c r="AG1954" s="1396"/>
      <c r="DG1954" s="573"/>
      <c r="DH1954" s="159"/>
      <c r="DI1954" s="1091"/>
      <c r="DJ1954" s="1187"/>
    </row>
    <row r="1955" spans="1:114" ht="15" hidden="1" customHeight="1" outlineLevel="1">
      <c r="A1955" s="453"/>
      <c r="C1955" s="51"/>
      <c r="D1955" s="4295"/>
      <c r="E1955" s="4295"/>
      <c r="F1955" s="4300" t="str">
        <f>$E$1590</f>
        <v>ASHP-SEER16-Replace_CAC_ElectricHeat_ROF_MF_CompE</v>
      </c>
      <c r="G1955" s="4301"/>
      <c r="H1955" s="4301"/>
      <c r="I1955" s="4302"/>
      <c r="J1955" s="3471" t="str">
        <f>$C$1590</f>
        <v>352951_2024_12_</v>
      </c>
      <c r="K1955" s="3339">
        <v>26800</v>
      </c>
      <c r="L1955" s="3472">
        <f t="shared" si="287"/>
        <v>2.2333333333333334</v>
      </c>
      <c r="M1955" s="3280" t="s">
        <v>2495</v>
      </c>
      <c r="P1955" s="261"/>
      <c r="Q1955" s="209"/>
      <c r="R1955" s="261"/>
      <c r="S1955" s="52"/>
      <c r="T1955" s="181"/>
      <c r="U1955" s="52"/>
      <c r="V1955" s="4295"/>
      <c r="W1955" s="3262"/>
      <c r="X1955" s="3262"/>
      <c r="Y1955" s="3265">
        <v>38400</v>
      </c>
      <c r="Z1955" s="3262">
        <v>38400</v>
      </c>
      <c r="AA1955" s="3262">
        <v>38400</v>
      </c>
      <c r="AB1955" s="3265">
        <v>24000</v>
      </c>
      <c r="AC1955" s="3267">
        <f>AC1954</f>
        <v>24000</v>
      </c>
      <c r="AD1955" s="3476">
        <v>26800</v>
      </c>
      <c r="AE1955" s="3477">
        <v>26800</v>
      </c>
      <c r="AF1955" s="2236">
        <f t="shared" si="288"/>
        <v>26800</v>
      </c>
      <c r="AG1955" s="1396"/>
      <c r="DG1955" s="573"/>
      <c r="DH1955" s="159"/>
      <c r="DI1955" s="1091"/>
      <c r="DJ1955" s="1187"/>
    </row>
    <row r="1956" spans="1:114" ht="15" hidden="1" customHeight="1" outlineLevel="1">
      <c r="A1956" s="453"/>
      <c r="C1956" s="51"/>
      <c r="D1956" s="4295"/>
      <c r="E1956" s="4295"/>
      <c r="F1956" s="4300" t="str">
        <f>$E$1592</f>
        <v>ASHP-SEER16-Replace_CAC_NonElectricHeat_ROF_MF</v>
      </c>
      <c r="G1956" s="4301"/>
      <c r="H1956" s="4301"/>
      <c r="I1956" s="4302"/>
      <c r="J1956" s="3471" t="str">
        <f>$C$1592</f>
        <v>352960_2024_12_</v>
      </c>
      <c r="K1956" s="3339">
        <v>26800</v>
      </c>
      <c r="L1956" s="3472">
        <f t="shared" si="287"/>
        <v>2.2333333333333334</v>
      </c>
      <c r="M1956" s="3280" t="s">
        <v>1945</v>
      </c>
      <c r="P1956" s="261"/>
      <c r="Q1956" s="209"/>
      <c r="R1956" s="261"/>
      <c r="S1956" s="52"/>
      <c r="T1956" s="181"/>
      <c r="U1956" s="52"/>
      <c r="V1956" s="4295"/>
      <c r="W1956" s="3262"/>
      <c r="X1956" s="3262"/>
      <c r="Y1956" s="3265"/>
      <c r="Z1956" s="3262"/>
      <c r="AA1956" s="3262"/>
      <c r="AB1956" s="3265"/>
      <c r="AC1956" s="3279">
        <v>24000</v>
      </c>
      <c r="AD1956" s="3476">
        <v>26800</v>
      </c>
      <c r="AE1956" s="3477">
        <v>26800</v>
      </c>
      <c r="AF1956" s="2236">
        <f t="shared" si="288"/>
        <v>26800</v>
      </c>
      <c r="AG1956" s="1396"/>
      <c r="DG1956" s="573"/>
      <c r="DH1956" s="159"/>
      <c r="DI1956" s="1091"/>
      <c r="DJ1956" s="1187"/>
    </row>
    <row r="1957" spans="1:114" ht="15" hidden="1" customHeight="1" outlineLevel="1">
      <c r="A1957" s="453"/>
      <c r="C1957" s="51"/>
      <c r="D1957" s="4295"/>
      <c r="E1957" s="4295"/>
      <c r="F1957" s="4300" t="str">
        <f>$E$1594</f>
        <v>ASHP-SEER16-Replace_CAC_NonElectricHeat_ROF_MF_CompE</v>
      </c>
      <c r="G1957" s="4301"/>
      <c r="H1957" s="4301"/>
      <c r="I1957" s="4302"/>
      <c r="J1957" s="3471" t="str">
        <f>$C$1594</f>
        <v>352961_2024_12_</v>
      </c>
      <c r="K1957" s="3339">
        <v>26800</v>
      </c>
      <c r="L1957" s="3472">
        <f t="shared" si="287"/>
        <v>2.2333333333333334</v>
      </c>
      <c r="M1957" s="3280" t="s">
        <v>1945</v>
      </c>
      <c r="P1957" s="261"/>
      <c r="Q1957" s="209"/>
      <c r="R1957" s="261"/>
      <c r="S1957" s="52"/>
      <c r="T1957" s="181"/>
      <c r="U1957" s="52"/>
      <c r="V1957" s="4295"/>
      <c r="W1957" s="3262"/>
      <c r="X1957" s="3262"/>
      <c r="Y1957" s="3265"/>
      <c r="Z1957" s="3262"/>
      <c r="AA1957" s="3262"/>
      <c r="AB1957" s="3265"/>
      <c r="AC1957" s="3279">
        <f>AC1956</f>
        <v>24000</v>
      </c>
      <c r="AD1957" s="3476">
        <v>26800</v>
      </c>
      <c r="AE1957" s="3477">
        <v>26800</v>
      </c>
      <c r="AF1957" s="2236">
        <f t="shared" si="288"/>
        <v>26800</v>
      </c>
      <c r="AG1957" s="1396"/>
      <c r="DG1957" s="573"/>
      <c r="DH1957" s="159"/>
      <c r="DI1957" s="1091"/>
      <c r="DJ1957" s="1187"/>
    </row>
    <row r="1958" spans="1:114" ht="15" hidden="1" customHeight="1" outlineLevel="1">
      <c r="A1958" s="453"/>
      <c r="C1958" s="51"/>
      <c r="D1958" s="4295"/>
      <c r="E1958" s="4295"/>
      <c r="F1958" s="4297" t="str">
        <f>$E$1596</f>
        <v>ASHP-SEER16-Replace_CAC_ElectricHeat_ER1_MF</v>
      </c>
      <c r="G1958" s="4298"/>
      <c r="H1958" s="4298"/>
      <c r="I1958" s="4299"/>
      <c r="J1958" s="1029" t="str">
        <f>$C$1596</f>
        <v>353000_2024_12_</v>
      </c>
      <c r="K1958" s="1753">
        <v>34066.666666666664</v>
      </c>
      <c r="L1958" s="1031">
        <f t="shared" si="287"/>
        <v>2.8388888888888886</v>
      </c>
      <c r="M1958" s="914" t="s">
        <v>1937</v>
      </c>
      <c r="P1958" s="261"/>
      <c r="Q1958" s="209"/>
      <c r="R1958" s="261"/>
      <c r="S1958" s="52"/>
      <c r="T1958" s="181"/>
      <c r="U1958" s="52"/>
      <c r="V1958" s="4295"/>
      <c r="W1958" s="1396">
        <v>37200</v>
      </c>
      <c r="X1958" s="1396">
        <v>37200</v>
      </c>
      <c r="Y1958" s="1396">
        <v>37200</v>
      </c>
      <c r="Z1958" s="1396">
        <v>37200</v>
      </c>
      <c r="AA1958" s="1396">
        <v>37200</v>
      </c>
      <c r="AB1958" s="833">
        <v>39600</v>
      </c>
      <c r="AC1958" s="825">
        <v>24000</v>
      </c>
      <c r="AD1958" s="967">
        <v>34066.666666666664</v>
      </c>
      <c r="AE1958" s="1033">
        <v>34066.666666666664</v>
      </c>
      <c r="AF1958" s="271">
        <f t="shared" si="288"/>
        <v>34066.666666666664</v>
      </c>
      <c r="AG1958" s="1396"/>
      <c r="DG1958" s="573"/>
      <c r="DH1958" s="159"/>
      <c r="DI1958" s="1091"/>
      <c r="DJ1958" s="1187"/>
    </row>
    <row r="1959" spans="1:114" ht="15" hidden="1" customHeight="1" outlineLevel="1">
      <c r="A1959" s="453"/>
      <c r="C1959" s="51"/>
      <c r="D1959" s="4295"/>
      <c r="E1959" s="4295"/>
      <c r="F1959" s="4297" t="str">
        <f>$E$1598</f>
        <v>ASHP-SEER16-Replace_CAC_ElectricHeat_ER2_MF</v>
      </c>
      <c r="G1959" s="4298"/>
      <c r="H1959" s="4298"/>
      <c r="I1959" s="4299"/>
      <c r="J1959" s="1029" t="str">
        <f>$C$1598</f>
        <v>353000_2024_12_</v>
      </c>
      <c r="K1959" s="1753">
        <v>34066.666666666664</v>
      </c>
      <c r="L1959" s="1031">
        <f t="shared" si="287"/>
        <v>2.8388888888888886</v>
      </c>
      <c r="M1959" s="914" t="s">
        <v>1945</v>
      </c>
      <c r="P1959" s="261"/>
      <c r="Q1959" s="209"/>
      <c r="R1959" s="261"/>
      <c r="S1959" s="52"/>
      <c r="T1959" s="181"/>
      <c r="U1959" s="52"/>
      <c r="V1959" s="4295"/>
      <c r="W1959" s="1396">
        <v>37200</v>
      </c>
      <c r="X1959" s="1396">
        <v>37200</v>
      </c>
      <c r="Y1959" s="1396">
        <v>37200</v>
      </c>
      <c r="Z1959" s="1396">
        <v>37200</v>
      </c>
      <c r="AA1959" s="1396">
        <v>37200</v>
      </c>
      <c r="AB1959" s="833">
        <v>39600</v>
      </c>
      <c r="AC1959" s="825">
        <f>AC1958</f>
        <v>24000</v>
      </c>
      <c r="AD1959" s="967">
        <v>34066.666666666664</v>
      </c>
      <c r="AE1959" s="1033">
        <v>34066.666666666664</v>
      </c>
      <c r="AF1959" s="271">
        <f t="shared" si="288"/>
        <v>34066.666666666664</v>
      </c>
      <c r="AG1959" s="1396"/>
      <c r="DG1959" s="573"/>
      <c r="DH1959" s="159"/>
      <c r="DI1959" s="1091"/>
      <c r="DJ1959" s="1187"/>
    </row>
    <row r="1960" spans="1:114" ht="15" hidden="1" customHeight="1" outlineLevel="1">
      <c r="A1960" s="453"/>
      <c r="C1960" s="51"/>
      <c r="D1960" s="4295"/>
      <c r="E1960" s="4295"/>
      <c r="F1960" s="4300" t="str">
        <f>$E$1600</f>
        <v>ASHP-SEER16-Replace_CAC_ElectricHeat_ER1_MF_CompE</v>
      </c>
      <c r="G1960" s="4301"/>
      <c r="H1960" s="4301"/>
      <c r="I1960" s="4302"/>
      <c r="J1960" s="3471" t="str">
        <f>$C$1600</f>
        <v>353001_2024_12_</v>
      </c>
      <c r="K1960" s="3339">
        <v>34066.666666666664</v>
      </c>
      <c r="L1960" s="3472">
        <f t="shared" si="287"/>
        <v>2.8388888888888886</v>
      </c>
      <c r="M1960" s="3280" t="s">
        <v>1945</v>
      </c>
      <c r="P1960" s="261"/>
      <c r="Q1960" s="209"/>
      <c r="R1960" s="261"/>
      <c r="S1960" s="52"/>
      <c r="T1960" s="181"/>
      <c r="U1960" s="52"/>
      <c r="V1960" s="4295"/>
      <c r="W1960" s="1396"/>
      <c r="X1960" s="1396"/>
      <c r="Y1960" s="833">
        <v>37200</v>
      </c>
      <c r="Z1960" s="1396">
        <v>37200</v>
      </c>
      <c r="AA1960" s="1396">
        <v>37200</v>
      </c>
      <c r="AB1960" s="833">
        <v>39600</v>
      </c>
      <c r="AC1960" s="825">
        <f>AC1958</f>
        <v>24000</v>
      </c>
      <c r="AD1960" s="967">
        <v>34066.666666666664</v>
      </c>
      <c r="AE1960" s="1033">
        <v>34066.666666666664</v>
      </c>
      <c r="AF1960" s="271">
        <f t="shared" si="288"/>
        <v>34066.666666666664</v>
      </c>
      <c r="AG1960" s="1396"/>
      <c r="DG1960" s="573"/>
      <c r="DH1960" s="159"/>
      <c r="DI1960" s="1091"/>
      <c r="DJ1960" s="1187"/>
    </row>
    <row r="1961" spans="1:114" ht="15" hidden="1" customHeight="1" outlineLevel="1">
      <c r="A1961" s="453"/>
      <c r="C1961" s="51"/>
      <c r="D1961" s="4295"/>
      <c r="E1961" s="4295"/>
      <c r="F1961" s="4300" t="str">
        <f>$E$1602</f>
        <v>ASHP-SEER16-Replace_CAC_ElectricHeat_ER2_MF_CompE</v>
      </c>
      <c r="G1961" s="4301"/>
      <c r="H1961" s="4301"/>
      <c r="I1961" s="4302"/>
      <c r="J1961" s="3471" t="str">
        <f>$C$1602</f>
        <v>353001_2024_12_</v>
      </c>
      <c r="K1961" s="3339">
        <v>34066.666666666664</v>
      </c>
      <c r="L1961" s="3472">
        <f t="shared" si="287"/>
        <v>2.8388888888888886</v>
      </c>
      <c r="M1961" s="3280" t="s">
        <v>1945</v>
      </c>
      <c r="P1961" s="261"/>
      <c r="Q1961" s="209"/>
      <c r="R1961" s="261"/>
      <c r="S1961" s="52"/>
      <c r="T1961" s="181"/>
      <c r="U1961" s="52"/>
      <c r="V1961" s="4295"/>
      <c r="W1961" s="3262"/>
      <c r="X1961" s="3262"/>
      <c r="Y1961" s="3265">
        <v>37200</v>
      </c>
      <c r="Z1961" s="3262">
        <v>37200</v>
      </c>
      <c r="AA1961" s="3262">
        <v>37200</v>
      </c>
      <c r="AB1961" s="3265">
        <v>39600</v>
      </c>
      <c r="AC1961" s="3279">
        <f>AC1959</f>
        <v>24000</v>
      </c>
      <c r="AD1961" s="3476">
        <v>34066.666666666664</v>
      </c>
      <c r="AE1961" s="3477">
        <v>34066.666666666664</v>
      </c>
      <c r="AF1961" s="2236">
        <f t="shared" si="288"/>
        <v>34066.666666666664</v>
      </c>
      <c r="AG1961" s="1396"/>
      <c r="DG1961" s="573"/>
      <c r="DH1961" s="159"/>
      <c r="DI1961" s="1091"/>
      <c r="DJ1961" s="1187"/>
    </row>
    <row r="1962" spans="1:114" ht="15" hidden="1" customHeight="1" outlineLevel="1">
      <c r="A1962" s="453"/>
      <c r="C1962" s="51"/>
      <c r="D1962" s="4295"/>
      <c r="E1962" s="4295"/>
      <c r="F1962" s="4300" t="str">
        <f>$E$1604</f>
        <v>ASHP-SEER16-Replace_CAC_NonElectricHeat_ER1_MF</v>
      </c>
      <c r="G1962" s="4301"/>
      <c r="H1962" s="4301"/>
      <c r="I1962" s="4302"/>
      <c r="J1962" s="3471" t="str">
        <f>$C$1604</f>
        <v>353010_2024_12_</v>
      </c>
      <c r="K1962" s="3339">
        <v>34066.666666666664</v>
      </c>
      <c r="L1962" s="3472">
        <f t="shared" si="287"/>
        <v>2.8388888888888886</v>
      </c>
      <c r="M1962" s="3280" t="s">
        <v>1945</v>
      </c>
      <c r="P1962" s="261"/>
      <c r="Q1962" s="209"/>
      <c r="R1962" s="261"/>
      <c r="S1962" s="52"/>
      <c r="T1962" s="181"/>
      <c r="U1962" s="52"/>
      <c r="V1962" s="4295"/>
      <c r="W1962" s="3262"/>
      <c r="X1962" s="3262"/>
      <c r="Y1962" s="3265"/>
      <c r="Z1962" s="3262"/>
      <c r="AA1962" s="3262"/>
      <c r="AB1962" s="3265"/>
      <c r="AC1962" s="3279">
        <v>24000</v>
      </c>
      <c r="AD1962" s="3476">
        <v>34066.666666666664</v>
      </c>
      <c r="AE1962" s="3477">
        <v>34066.666666666664</v>
      </c>
      <c r="AF1962" s="2236">
        <f t="shared" si="288"/>
        <v>34066.666666666664</v>
      </c>
      <c r="AG1962" s="1396"/>
      <c r="DG1962" s="573"/>
      <c r="DH1962" s="159"/>
      <c r="DI1962" s="1091"/>
      <c r="DJ1962" s="1187"/>
    </row>
    <row r="1963" spans="1:114" ht="15" hidden="1" customHeight="1" outlineLevel="1">
      <c r="A1963" s="453"/>
      <c r="C1963" s="51"/>
      <c r="D1963" s="4295"/>
      <c r="E1963" s="4295"/>
      <c r="F1963" s="4300" t="str">
        <f>$E$1606</f>
        <v>ASHP-SEER16-Replace_CAC_NonElectricHeat_ER2_MF</v>
      </c>
      <c r="G1963" s="4301"/>
      <c r="H1963" s="4301"/>
      <c r="I1963" s="4302"/>
      <c r="J1963" s="3471" t="str">
        <f>$C$1606</f>
        <v>353010_2024_12_</v>
      </c>
      <c r="K1963" s="3339">
        <v>34066.666666666664</v>
      </c>
      <c r="L1963" s="3472">
        <f t="shared" si="287"/>
        <v>2.8388888888888886</v>
      </c>
      <c r="M1963" s="3280" t="s">
        <v>1945</v>
      </c>
      <c r="P1963" s="261"/>
      <c r="Q1963" s="209"/>
      <c r="R1963" s="261"/>
      <c r="S1963" s="52"/>
      <c r="T1963" s="181"/>
      <c r="U1963" s="52"/>
      <c r="V1963" s="4295"/>
      <c r="W1963" s="3262"/>
      <c r="X1963" s="3262"/>
      <c r="Y1963" s="3265"/>
      <c r="Z1963" s="3262"/>
      <c r="AA1963" s="3262"/>
      <c r="AB1963" s="3265"/>
      <c r="AC1963" s="3279">
        <f>AC1962</f>
        <v>24000</v>
      </c>
      <c r="AD1963" s="3476">
        <v>34066.666666666664</v>
      </c>
      <c r="AE1963" s="3477">
        <v>34066.666666666664</v>
      </c>
      <c r="AF1963" s="2236">
        <f t="shared" si="288"/>
        <v>34066.666666666664</v>
      </c>
      <c r="AG1963" s="1396"/>
      <c r="DG1963" s="573"/>
      <c r="DH1963" s="159"/>
      <c r="DI1963" s="1091"/>
      <c r="DJ1963" s="1187"/>
    </row>
    <row r="1964" spans="1:114" ht="15" hidden="1" customHeight="1" outlineLevel="1">
      <c r="A1964" s="453"/>
      <c r="C1964" s="51"/>
      <c r="D1964" s="4295"/>
      <c r="E1964" s="4295"/>
      <c r="F1964" s="4300" t="str">
        <f>$E$1608</f>
        <v>ASHP-SEER16-Replace_CAC_NonElectricHeat_ER1_MF_CompE</v>
      </c>
      <c r="G1964" s="4301"/>
      <c r="H1964" s="4301"/>
      <c r="I1964" s="4302"/>
      <c r="J1964" s="3471" t="str">
        <f>$C$1608</f>
        <v>353011_2024_12_</v>
      </c>
      <c r="K1964" s="3339">
        <v>34066.666666666664</v>
      </c>
      <c r="L1964" s="3472">
        <f t="shared" si="287"/>
        <v>2.8388888888888886</v>
      </c>
      <c r="M1964" s="3280" t="s">
        <v>1945</v>
      </c>
      <c r="P1964" s="261"/>
      <c r="Q1964" s="209"/>
      <c r="R1964" s="261"/>
      <c r="S1964" s="52"/>
      <c r="T1964" s="181"/>
      <c r="U1964" s="52"/>
      <c r="V1964" s="4295"/>
      <c r="W1964" s="3262"/>
      <c r="X1964" s="3262"/>
      <c r="Y1964" s="3265"/>
      <c r="Z1964" s="3262"/>
      <c r="AA1964" s="3262"/>
      <c r="AB1964" s="3265"/>
      <c r="AC1964" s="3279">
        <f>AC1962</f>
        <v>24000</v>
      </c>
      <c r="AD1964" s="3476">
        <v>34066.666666666664</v>
      </c>
      <c r="AE1964" s="3477">
        <v>34066.666666666664</v>
      </c>
      <c r="AF1964" s="2236">
        <f t="shared" si="288"/>
        <v>34066.666666666664</v>
      </c>
      <c r="AG1964" s="1396"/>
      <c r="DG1964" s="573"/>
      <c r="DH1964" s="159"/>
      <c r="DI1964" s="1091"/>
      <c r="DJ1964" s="1187"/>
    </row>
    <row r="1965" spans="1:114" ht="15" hidden="1" customHeight="1" outlineLevel="1">
      <c r="A1965" s="453"/>
      <c r="C1965" s="51"/>
      <c r="D1965" s="4295"/>
      <c r="E1965" s="4295"/>
      <c r="F1965" s="4300" t="str">
        <f>$E$1610</f>
        <v>ASHP-SEER16-Replace_CAC_NonElectricHeat_ER2_MF_CompE</v>
      </c>
      <c r="G1965" s="4301"/>
      <c r="H1965" s="4301"/>
      <c r="I1965" s="4302"/>
      <c r="J1965" s="3471" t="str">
        <f>$C$1610</f>
        <v>353011_2024_12_</v>
      </c>
      <c r="K1965" s="3339">
        <v>34066.666666666664</v>
      </c>
      <c r="L1965" s="3472">
        <f t="shared" si="287"/>
        <v>2.8388888888888886</v>
      </c>
      <c r="M1965" s="3280" t="s">
        <v>1945</v>
      </c>
      <c r="P1965" s="261"/>
      <c r="Q1965" s="209"/>
      <c r="R1965" s="261"/>
      <c r="S1965" s="52"/>
      <c r="T1965" s="181"/>
      <c r="U1965" s="52"/>
      <c r="V1965" s="4295"/>
      <c r="W1965" s="3262"/>
      <c r="X1965" s="3262"/>
      <c r="Y1965" s="3265"/>
      <c r="Z1965" s="3262"/>
      <c r="AA1965" s="3262"/>
      <c r="AB1965" s="3265"/>
      <c r="AC1965" s="3279">
        <f>AC1963</f>
        <v>24000</v>
      </c>
      <c r="AD1965" s="3476">
        <v>34066.666666666664</v>
      </c>
      <c r="AE1965" s="3477">
        <v>34066.666666666664</v>
      </c>
      <c r="AF1965" s="2236">
        <f t="shared" si="288"/>
        <v>34066.666666666664</v>
      </c>
      <c r="AG1965" s="1396"/>
      <c r="DG1965" s="573"/>
      <c r="DH1965" s="159"/>
      <c r="DI1965" s="1091"/>
      <c r="DJ1965" s="1187"/>
    </row>
    <row r="1966" spans="1:114" ht="15" hidden="1" customHeight="1" outlineLevel="1">
      <c r="A1966" s="453"/>
      <c r="C1966" s="51"/>
      <c r="D1966" s="4295"/>
      <c r="E1966" s="4295"/>
      <c r="F1966" s="4300" t="str">
        <f>$E$1612</f>
        <v>ASHP-SEER15_ROF_MF</v>
      </c>
      <c r="G1966" s="4301"/>
      <c r="H1966" s="4301"/>
      <c r="I1966" s="4302"/>
      <c r="J1966" s="3471" t="str">
        <f>$C$1612</f>
        <v>353050_2024_12_</v>
      </c>
      <c r="K1966" s="3339">
        <v>26200</v>
      </c>
      <c r="L1966" s="3472">
        <f t="shared" si="287"/>
        <v>2.1833333333333331</v>
      </c>
      <c r="M1966" s="3280" t="s">
        <v>1937</v>
      </c>
      <c r="P1966" s="261"/>
      <c r="Q1966" s="209"/>
      <c r="R1966" s="261"/>
      <c r="S1966" s="52"/>
      <c r="T1966" s="181"/>
      <c r="U1966" s="52"/>
      <c r="V1966" s="4295"/>
      <c r="W1966" s="3262">
        <v>37200</v>
      </c>
      <c r="X1966" s="3262">
        <v>37200</v>
      </c>
      <c r="Y1966" s="3262">
        <v>37200</v>
      </c>
      <c r="Z1966" s="3262">
        <v>37200</v>
      </c>
      <c r="AA1966" s="3262">
        <v>37200</v>
      </c>
      <c r="AB1966" s="3262">
        <v>37200</v>
      </c>
      <c r="AC1966" s="3279">
        <v>24157.894736842103</v>
      </c>
      <c r="AD1966" s="3476">
        <v>26200</v>
      </c>
      <c r="AE1966" s="3477">
        <v>26200</v>
      </c>
      <c r="AF1966" s="2236">
        <f t="shared" si="288"/>
        <v>26200</v>
      </c>
      <c r="AG1966" s="1396"/>
      <c r="DG1966" s="573"/>
      <c r="DH1966" s="159"/>
      <c r="DI1966" s="1091"/>
      <c r="DJ1966" s="1187"/>
    </row>
    <row r="1967" spans="1:114" ht="15" hidden="1" customHeight="1" outlineLevel="1">
      <c r="A1967" s="453"/>
      <c r="C1967" s="51"/>
      <c r="D1967" s="4295"/>
      <c r="E1967" s="4295"/>
      <c r="F1967" s="4300" t="str">
        <f>$E$1614</f>
        <v>ASHP-SEER15_ROF_MF_CompE</v>
      </c>
      <c r="G1967" s="4301"/>
      <c r="H1967" s="4301"/>
      <c r="I1967" s="4302"/>
      <c r="J1967" s="3471" t="str">
        <f>$C$1614</f>
        <v>353051_2024_12_</v>
      </c>
      <c r="K1967" s="3339">
        <v>26200</v>
      </c>
      <c r="L1967" s="3472">
        <f t="shared" si="287"/>
        <v>2.1833333333333331</v>
      </c>
      <c r="M1967" s="3280" t="s">
        <v>1945</v>
      </c>
      <c r="P1967" s="261"/>
      <c r="Q1967" s="209"/>
      <c r="R1967" s="261"/>
      <c r="S1967" s="52"/>
      <c r="T1967" s="181"/>
      <c r="U1967" s="52"/>
      <c r="V1967" s="4295"/>
      <c r="W1967" s="3262"/>
      <c r="X1967" s="3262"/>
      <c r="Y1967" s="3265">
        <v>37200</v>
      </c>
      <c r="Z1967" s="3262">
        <v>37200</v>
      </c>
      <c r="AA1967" s="3262">
        <v>37200</v>
      </c>
      <c r="AB1967" s="3262">
        <v>37200</v>
      </c>
      <c r="AC1967" s="3279">
        <f>AC1966</f>
        <v>24157.894736842103</v>
      </c>
      <c r="AD1967" s="3476">
        <v>26200</v>
      </c>
      <c r="AE1967" s="3477">
        <v>26200</v>
      </c>
      <c r="AF1967" s="2236">
        <f t="shared" si="288"/>
        <v>26200</v>
      </c>
      <c r="AG1967" s="1396"/>
      <c r="DG1967" s="573"/>
      <c r="DH1967" s="159"/>
      <c r="DI1967" s="1091"/>
      <c r="DJ1967" s="1187"/>
    </row>
    <row r="1968" spans="1:114" ht="15" hidden="1" customHeight="1" outlineLevel="1">
      <c r="A1968" s="453"/>
      <c r="C1968" s="51"/>
      <c r="D1968" s="4295"/>
      <c r="E1968" s="4295"/>
      <c r="F1968" s="4297" t="str">
        <f>$E$1616</f>
        <v>ASHP-SEER17-Replace_CAC_ElectricHeat_ROF_SF</v>
      </c>
      <c r="G1968" s="4298"/>
      <c r="H1968" s="4298"/>
      <c r="I1968" s="4299"/>
      <c r="J1968" s="1029" t="str">
        <f>$C$1616</f>
        <v>353100_2024_12_</v>
      </c>
      <c r="K1968" s="1753">
        <v>38543.962847058829</v>
      </c>
      <c r="L1968" s="1031">
        <f t="shared" si="287"/>
        <v>3.2119969039215692</v>
      </c>
      <c r="M1968" s="914" t="s">
        <v>1934</v>
      </c>
      <c r="P1968" s="261"/>
      <c r="Q1968" s="209"/>
      <c r="R1968" s="261"/>
      <c r="S1968" s="52"/>
      <c r="T1968" s="181"/>
      <c r="U1968" s="52"/>
      <c r="V1968" s="4295"/>
      <c r="W1968" s="1396">
        <v>33600</v>
      </c>
      <c r="X1968" s="1396">
        <v>33600</v>
      </c>
      <c r="Y1968" s="1396">
        <v>33600</v>
      </c>
      <c r="Z1968" s="1396">
        <v>33600</v>
      </c>
      <c r="AA1968" s="1396">
        <v>33600</v>
      </c>
      <c r="AB1968" s="1396">
        <v>33600</v>
      </c>
      <c r="AC1968" s="825">
        <v>32400.000000000004</v>
      </c>
      <c r="AD1968" s="967">
        <v>35402.476190000001</v>
      </c>
      <c r="AE1968" s="967">
        <v>38543.962847058829</v>
      </c>
      <c r="AF1968" s="271">
        <f t="shared" si="288"/>
        <v>38543.962847058829</v>
      </c>
      <c r="AG1968" s="1396"/>
      <c r="DG1968" s="573"/>
      <c r="DH1968" s="159"/>
      <c r="DI1968" s="1091"/>
      <c r="DJ1968" s="1187"/>
    </row>
    <row r="1969" spans="1:114" ht="15" hidden="1" customHeight="1" outlineLevel="1">
      <c r="A1969" s="453"/>
      <c r="C1969" s="51"/>
      <c r="D1969" s="4295"/>
      <c r="E1969" s="4295"/>
      <c r="F1969" s="4297" t="str">
        <f>$E$1618</f>
        <v>ASHP-SEER17-Replace_CAC_NonElectricHeat_ROF_SF</v>
      </c>
      <c r="G1969" s="4298"/>
      <c r="H1969" s="4298"/>
      <c r="I1969" s="4299"/>
      <c r="J1969" s="1029" t="str">
        <f>$C$1618</f>
        <v>353110_2024_12_</v>
      </c>
      <c r="K1969" s="1753">
        <v>38543.962847058829</v>
      </c>
      <c r="L1969" s="1031">
        <f t="shared" si="287"/>
        <v>3.2119969039215692</v>
      </c>
      <c r="M1969" s="914" t="s">
        <v>1934</v>
      </c>
      <c r="P1969" s="261"/>
      <c r="Q1969" s="209"/>
      <c r="R1969" s="261"/>
      <c r="S1969" s="52"/>
      <c r="T1969" s="181"/>
      <c r="U1969" s="52"/>
      <c r="V1969" s="4295"/>
      <c r="W1969" s="1396"/>
      <c r="X1969" s="833"/>
      <c r="Y1969" s="833"/>
      <c r="Z1969" s="1396"/>
      <c r="AA1969" s="1396"/>
      <c r="AB1969" s="825"/>
      <c r="AC1969" s="825"/>
      <c r="AD1969" s="967">
        <v>35402.476190000001</v>
      </c>
      <c r="AE1969" s="967">
        <v>38543.962847058829</v>
      </c>
      <c r="AF1969" s="271">
        <f t="shared" si="288"/>
        <v>38543.962847058829</v>
      </c>
      <c r="AG1969" s="1396"/>
      <c r="DG1969" s="573"/>
      <c r="DH1969" s="159"/>
      <c r="DI1969" s="1091"/>
      <c r="DJ1969" s="1187"/>
    </row>
    <row r="1970" spans="1:114" ht="15" hidden="1" customHeight="1" outlineLevel="1">
      <c r="A1970" s="453"/>
      <c r="C1970" s="51"/>
      <c r="D1970" s="4295"/>
      <c r="E1970" s="4295"/>
      <c r="F1970" s="4300" t="str">
        <f>$E$1620</f>
        <v>ASHP-SEER17-Replace_CAC_ElectricHeat_ROF_MF</v>
      </c>
      <c r="G1970" s="4301"/>
      <c r="H1970" s="4301"/>
      <c r="I1970" s="4302"/>
      <c r="J1970" s="3471" t="str">
        <f>$C$1620</f>
        <v>353150_2024_12_</v>
      </c>
      <c r="K1970" s="3375">
        <v>33600</v>
      </c>
      <c r="L1970" s="3472">
        <f t="shared" si="287"/>
        <v>2.8</v>
      </c>
      <c r="M1970" s="3280" t="s">
        <v>2496</v>
      </c>
      <c r="P1970" s="261"/>
      <c r="Q1970" s="209"/>
      <c r="R1970" s="261"/>
      <c r="S1970" s="52"/>
      <c r="T1970" s="181"/>
      <c r="U1970" s="52"/>
      <c r="V1970" s="4295"/>
      <c r="W1970" s="3262">
        <v>33600</v>
      </c>
      <c r="X1970" s="3262">
        <v>33600</v>
      </c>
      <c r="Y1970" s="3262">
        <v>33600</v>
      </c>
      <c r="Z1970" s="3262">
        <v>33600</v>
      </c>
      <c r="AA1970" s="3262">
        <v>33600</v>
      </c>
      <c r="AB1970" s="3262">
        <v>33600</v>
      </c>
      <c r="AC1970" s="3267">
        <v>33600</v>
      </c>
      <c r="AD1970" s="3477">
        <v>33600</v>
      </c>
      <c r="AE1970" s="3478">
        <v>33600</v>
      </c>
      <c r="AF1970" s="2236">
        <f t="shared" si="288"/>
        <v>33600</v>
      </c>
      <c r="AG1970" s="1396"/>
      <c r="DG1970" s="573"/>
      <c r="DH1970" s="159"/>
      <c r="DI1970" s="1091"/>
      <c r="DJ1970" s="1187"/>
    </row>
    <row r="1971" spans="1:114" ht="15" hidden="1" customHeight="1" outlineLevel="1">
      <c r="A1971" s="453"/>
      <c r="C1971" s="51"/>
      <c r="D1971" s="4295"/>
      <c r="E1971" s="4295"/>
      <c r="F1971" s="4300" t="str">
        <f>$E$1622</f>
        <v>ASHP-SEER17-Replace_CAC_ElectricHeat_ROF_MF_CompE</v>
      </c>
      <c r="G1971" s="4301"/>
      <c r="H1971" s="4301"/>
      <c r="I1971" s="4302"/>
      <c r="J1971" s="3471" t="str">
        <f>$C$1622</f>
        <v>353151_2024_12_</v>
      </c>
      <c r="K1971" s="3375">
        <v>33600</v>
      </c>
      <c r="L1971" s="3472">
        <f t="shared" si="287"/>
        <v>2.8</v>
      </c>
      <c r="M1971" s="3280" t="s">
        <v>2496</v>
      </c>
      <c r="P1971" s="261"/>
      <c r="Q1971" s="209"/>
      <c r="R1971" s="261"/>
      <c r="S1971" s="52"/>
      <c r="T1971" s="181"/>
      <c r="U1971" s="52"/>
      <c r="V1971" s="4295"/>
      <c r="W1971" s="3262"/>
      <c r="X1971" s="3262"/>
      <c r="Y1971" s="3265">
        <v>33600</v>
      </c>
      <c r="Z1971" s="3262">
        <v>33600</v>
      </c>
      <c r="AA1971" s="3262">
        <v>33600</v>
      </c>
      <c r="AB1971" s="3262">
        <v>33600</v>
      </c>
      <c r="AC1971" s="3267">
        <f>AC1970</f>
        <v>33600</v>
      </c>
      <c r="AD1971" s="3477">
        <v>33600</v>
      </c>
      <c r="AE1971" s="3478">
        <v>33600</v>
      </c>
      <c r="AF1971" s="2236">
        <f t="shared" si="288"/>
        <v>33600</v>
      </c>
      <c r="AG1971" s="1396"/>
      <c r="DG1971" s="573"/>
      <c r="DH1971" s="159"/>
      <c r="DI1971" s="1091"/>
      <c r="DJ1971" s="1187"/>
    </row>
    <row r="1972" spans="1:114" ht="15" hidden="1" customHeight="1" outlineLevel="1">
      <c r="A1972" s="453"/>
      <c r="C1972" s="51"/>
      <c r="D1972" s="4295"/>
      <c r="E1972" s="4295"/>
      <c r="F1972" s="4300" t="str">
        <f>$E$1624</f>
        <v>ASHP-SEER17-Replace_CAC_NonElectricHeat_ROF_MF</v>
      </c>
      <c r="G1972" s="4301"/>
      <c r="H1972" s="4301"/>
      <c r="I1972" s="4302"/>
      <c r="J1972" s="3471" t="str">
        <f>$C$1624</f>
        <v>353160_2024_12_</v>
      </c>
      <c r="K1972" s="3375">
        <v>33600</v>
      </c>
      <c r="L1972" s="3472">
        <f t="shared" si="287"/>
        <v>2.8</v>
      </c>
      <c r="M1972" s="3280" t="s">
        <v>1945</v>
      </c>
      <c r="P1972" s="261"/>
      <c r="Q1972" s="209"/>
      <c r="R1972" s="261"/>
      <c r="S1972" s="52"/>
      <c r="T1972" s="181"/>
      <c r="U1972" s="52"/>
      <c r="V1972" s="4295"/>
      <c r="W1972" s="3262"/>
      <c r="X1972" s="3262"/>
      <c r="Y1972" s="3265"/>
      <c r="Z1972" s="3262"/>
      <c r="AA1972" s="3262"/>
      <c r="AB1972" s="3262"/>
      <c r="AC1972" s="3279">
        <v>33600</v>
      </c>
      <c r="AD1972" s="3477">
        <v>33600</v>
      </c>
      <c r="AE1972" s="3478">
        <v>33600</v>
      </c>
      <c r="AF1972" s="2236">
        <f t="shared" si="288"/>
        <v>33600</v>
      </c>
      <c r="AG1972" s="1396"/>
      <c r="DG1972" s="573"/>
      <c r="DH1972" s="159"/>
      <c r="DI1972" s="1091"/>
      <c r="DJ1972" s="1187"/>
    </row>
    <row r="1973" spans="1:114" ht="15" hidden="1" customHeight="1" outlineLevel="1">
      <c r="A1973" s="453"/>
      <c r="C1973" s="51"/>
      <c r="D1973" s="4295"/>
      <c r="E1973" s="4295"/>
      <c r="F1973" s="4300" t="str">
        <f>$E$1626</f>
        <v>ASHP-SEER17-Replace_CAC_NonElectricHeat_ROF_MF_CompE</v>
      </c>
      <c r="G1973" s="4301"/>
      <c r="H1973" s="4301"/>
      <c r="I1973" s="4302"/>
      <c r="J1973" s="3471" t="str">
        <f>$C$1626</f>
        <v>353161_2024_12_</v>
      </c>
      <c r="K1973" s="3375">
        <v>33600</v>
      </c>
      <c r="L1973" s="3472">
        <f t="shared" si="287"/>
        <v>2.8</v>
      </c>
      <c r="M1973" s="3280" t="s">
        <v>1945</v>
      </c>
      <c r="P1973" s="261"/>
      <c r="Q1973" s="209"/>
      <c r="R1973" s="261"/>
      <c r="S1973" s="52"/>
      <c r="T1973" s="181"/>
      <c r="U1973" s="52"/>
      <c r="V1973" s="4295"/>
      <c r="W1973" s="3262"/>
      <c r="X1973" s="3262"/>
      <c r="Y1973" s="3265"/>
      <c r="Z1973" s="3262"/>
      <c r="AA1973" s="3262"/>
      <c r="AB1973" s="3262"/>
      <c r="AC1973" s="3279">
        <f>AC1972</f>
        <v>33600</v>
      </c>
      <c r="AD1973" s="3477">
        <v>33600</v>
      </c>
      <c r="AE1973" s="3478">
        <v>33600</v>
      </c>
      <c r="AF1973" s="2236">
        <f t="shared" si="288"/>
        <v>33600</v>
      </c>
      <c r="AG1973" s="1396"/>
      <c r="DG1973" s="573"/>
      <c r="DH1973" s="159"/>
      <c r="DI1973" s="1091"/>
      <c r="DJ1973" s="1187"/>
    </row>
    <row r="1974" spans="1:114" ht="15" hidden="1" customHeight="1" outlineLevel="1">
      <c r="A1974" s="453"/>
      <c r="C1974" s="51"/>
      <c r="D1974" s="4295"/>
      <c r="E1974" s="4295"/>
      <c r="F1974" s="4297" t="str">
        <f>$E$1628</f>
        <v>ASHP-SEER18-Replace_CAC_ElectricHeat_ROF_SF</v>
      </c>
      <c r="G1974" s="4298"/>
      <c r="H1974" s="4298"/>
      <c r="I1974" s="4299"/>
      <c r="J1974" s="1029" t="str">
        <f>$C$1628</f>
        <v>353200_2024_12_</v>
      </c>
      <c r="K1974" s="1753">
        <v>36024.444439999999</v>
      </c>
      <c r="L1974" s="1031">
        <f t="shared" si="287"/>
        <v>3.0020370366666667</v>
      </c>
      <c r="M1974" s="914" t="s">
        <v>1934</v>
      </c>
      <c r="P1974" s="261"/>
      <c r="Q1974" s="209"/>
      <c r="R1974" s="261"/>
      <c r="S1974" s="52"/>
      <c r="T1974" s="181"/>
      <c r="U1974" s="52"/>
      <c r="V1974" s="4295"/>
      <c r="W1974" s="1396">
        <v>33600</v>
      </c>
      <c r="X1974" s="1396">
        <v>33600</v>
      </c>
      <c r="Y1974" s="1396">
        <v>33600</v>
      </c>
      <c r="Z1974" s="1396">
        <v>33600</v>
      </c>
      <c r="AA1974" s="1396">
        <v>33600</v>
      </c>
      <c r="AB1974" s="833">
        <v>36000</v>
      </c>
      <c r="AC1974" s="825">
        <v>36486.486486486487</v>
      </c>
      <c r="AD1974" s="967">
        <v>37478.667573056096</v>
      </c>
      <c r="AE1974" s="967">
        <v>36024.444439999999</v>
      </c>
      <c r="AF1974" s="271">
        <f t="shared" si="288"/>
        <v>36024.444439999999</v>
      </c>
      <c r="AG1974" s="1396"/>
      <c r="DG1974" s="573"/>
      <c r="DH1974" s="159"/>
      <c r="DI1974" s="1091"/>
      <c r="DJ1974" s="1187"/>
    </row>
    <row r="1975" spans="1:114" ht="15" hidden="1" customHeight="1" outlineLevel="1">
      <c r="A1975" s="453"/>
      <c r="C1975" s="51"/>
      <c r="D1975" s="4295"/>
      <c r="E1975" s="4295"/>
      <c r="F1975" s="4297" t="str">
        <f>$E$1630</f>
        <v>ASHP-SEER18-Replace_CAC_NonElectricHeat_ROF_SF</v>
      </c>
      <c r="G1975" s="4298"/>
      <c r="H1975" s="4298"/>
      <c r="I1975" s="4299"/>
      <c r="J1975" s="1029" t="str">
        <f>$C$1630</f>
        <v>353210_2024_12_</v>
      </c>
      <c r="K1975" s="1753">
        <v>36024.444439999999</v>
      </c>
      <c r="L1975" s="1031">
        <f>K1975/12000</f>
        <v>3.0020370366666667</v>
      </c>
      <c r="M1975" s="914" t="s">
        <v>1934</v>
      </c>
      <c r="P1975" s="261"/>
      <c r="Q1975" s="209"/>
      <c r="R1975" s="261"/>
      <c r="S1975" s="52"/>
      <c r="T1975" s="181"/>
      <c r="U1975" s="52"/>
      <c r="V1975" s="4295"/>
      <c r="W1975" s="1396"/>
      <c r="X1975" s="833"/>
      <c r="Y1975" s="833"/>
      <c r="Z1975" s="1396"/>
      <c r="AA1975" s="1396"/>
      <c r="AB1975" s="825"/>
      <c r="AC1975" s="825"/>
      <c r="AD1975" s="967">
        <v>37478.667573056096</v>
      </c>
      <c r="AE1975" s="967">
        <v>36024.444439999999</v>
      </c>
      <c r="AF1975" s="271">
        <f t="shared" si="288"/>
        <v>36024.444439999999</v>
      </c>
      <c r="AG1975" s="1396"/>
      <c r="DG1975" s="573"/>
      <c r="DH1975" s="159"/>
      <c r="DI1975" s="1091"/>
      <c r="DJ1975" s="1187"/>
    </row>
    <row r="1976" spans="1:114" ht="15" hidden="1" customHeight="1" outlineLevel="1">
      <c r="A1976" s="453"/>
      <c r="C1976" s="51"/>
      <c r="D1976" s="4295"/>
      <c r="E1976" s="4295"/>
      <c r="F1976" s="4300" t="str">
        <f>$E$1632</f>
        <v>ASHP-SEER18-Replace_CAC_ElectricHeat_ROF_MF</v>
      </c>
      <c r="G1976" s="4301"/>
      <c r="H1976" s="4301"/>
      <c r="I1976" s="4302"/>
      <c r="J1976" s="3471" t="str">
        <f>$C$1632</f>
        <v>353250_2024_12_</v>
      </c>
      <c r="K1976" s="3375">
        <v>36000</v>
      </c>
      <c r="L1976" s="3472">
        <f t="shared" si="287"/>
        <v>3</v>
      </c>
      <c r="M1976" s="3280" t="s">
        <v>1938</v>
      </c>
      <c r="P1976" s="261"/>
      <c r="Q1976" s="209"/>
      <c r="R1976" s="261"/>
      <c r="S1976" s="52"/>
      <c r="T1976" s="181"/>
      <c r="U1976" s="52"/>
      <c r="V1976" s="4295"/>
      <c r="W1976" s="3262">
        <v>33600</v>
      </c>
      <c r="X1976" s="3262">
        <v>33600</v>
      </c>
      <c r="Y1976" s="3262">
        <v>33600</v>
      </c>
      <c r="Z1976" s="3262">
        <v>33600</v>
      </c>
      <c r="AA1976" s="3262">
        <v>33600</v>
      </c>
      <c r="AB1976" s="3265">
        <v>48000</v>
      </c>
      <c r="AC1976" s="3279">
        <v>36000</v>
      </c>
      <c r="AD1976" s="3477">
        <v>36000</v>
      </c>
      <c r="AE1976" s="3478">
        <v>36000</v>
      </c>
      <c r="AF1976" s="2236">
        <f t="shared" si="288"/>
        <v>36000</v>
      </c>
      <c r="AG1976" s="1396"/>
      <c r="DG1976" s="573"/>
      <c r="DH1976" s="159"/>
      <c r="DI1976" s="1091"/>
      <c r="DJ1976" s="1187"/>
    </row>
    <row r="1977" spans="1:114" ht="15" hidden="1" customHeight="1" outlineLevel="1">
      <c r="A1977" s="453"/>
      <c r="C1977" s="51"/>
      <c r="D1977" s="4295"/>
      <c r="E1977" s="4295"/>
      <c r="F1977" s="4300" t="str">
        <f>$E$1634</f>
        <v>ASHP-SEER18-Replace_CAC_ElectricHeat_ROF_MF_CompE</v>
      </c>
      <c r="G1977" s="4301"/>
      <c r="H1977" s="4301"/>
      <c r="I1977" s="4302"/>
      <c r="J1977" s="3471" t="str">
        <f>$C$1634</f>
        <v>353251_2024_12_</v>
      </c>
      <c r="K1977" s="3375">
        <v>36000</v>
      </c>
      <c r="L1977" s="3472">
        <f t="shared" si="287"/>
        <v>3</v>
      </c>
      <c r="M1977" s="3280" t="s">
        <v>1938</v>
      </c>
      <c r="P1977" s="261"/>
      <c r="Q1977" s="209"/>
      <c r="R1977" s="261"/>
      <c r="S1977" s="52"/>
      <c r="T1977" s="181"/>
      <c r="U1977" s="52"/>
      <c r="V1977" s="4295"/>
      <c r="W1977" s="3262"/>
      <c r="X1977" s="3262"/>
      <c r="Y1977" s="3265">
        <v>33600</v>
      </c>
      <c r="Z1977" s="3262">
        <v>33600</v>
      </c>
      <c r="AA1977" s="3262">
        <v>33600</v>
      </c>
      <c r="AB1977" s="3265">
        <v>48000</v>
      </c>
      <c r="AC1977" s="3279">
        <f>AC1976</f>
        <v>36000</v>
      </c>
      <c r="AD1977" s="3477">
        <v>36000</v>
      </c>
      <c r="AE1977" s="3478">
        <v>36000</v>
      </c>
      <c r="AF1977" s="2236">
        <f t="shared" si="288"/>
        <v>36000</v>
      </c>
      <c r="AG1977" s="1396"/>
      <c r="DG1977" s="573"/>
      <c r="DH1977" s="159"/>
      <c r="DI1977" s="1091"/>
      <c r="DJ1977" s="1187"/>
    </row>
    <row r="1978" spans="1:114" ht="15" hidden="1" customHeight="1" outlineLevel="1">
      <c r="A1978" s="453"/>
      <c r="C1978" s="51"/>
      <c r="D1978" s="4295"/>
      <c r="E1978" s="4295"/>
      <c r="F1978" s="4300" t="str">
        <f>$E$1636</f>
        <v>ASHP-SEER18-Replace_CAC_NonElectricHeat_ROF_MF</v>
      </c>
      <c r="G1978" s="4301"/>
      <c r="H1978" s="4301"/>
      <c r="I1978" s="4302"/>
      <c r="J1978" s="3471" t="str">
        <f>$C$1636</f>
        <v>353260_2024_12_</v>
      </c>
      <c r="K1978" s="3375">
        <v>36000</v>
      </c>
      <c r="L1978" s="3472">
        <f t="shared" si="287"/>
        <v>3</v>
      </c>
      <c r="M1978" s="3280" t="s">
        <v>1945</v>
      </c>
      <c r="P1978" s="261"/>
      <c r="Q1978" s="209"/>
      <c r="R1978" s="261"/>
      <c r="S1978" s="52"/>
      <c r="T1978" s="181"/>
      <c r="U1978" s="52"/>
      <c r="V1978" s="4295"/>
      <c r="W1978" s="3262"/>
      <c r="X1978" s="3262"/>
      <c r="Y1978" s="3265"/>
      <c r="Z1978" s="3262"/>
      <c r="AA1978" s="3262"/>
      <c r="AB1978" s="3265"/>
      <c r="AC1978" s="3279">
        <v>36000</v>
      </c>
      <c r="AD1978" s="3477">
        <v>36000</v>
      </c>
      <c r="AE1978" s="3478">
        <v>36000</v>
      </c>
      <c r="AF1978" s="2236">
        <f t="shared" ref="AF1978:AF2041" si="290">IF(K1978&lt;&gt;"",K1978,"")</f>
        <v>36000</v>
      </c>
      <c r="AG1978" s="1396"/>
      <c r="DG1978" s="573"/>
      <c r="DH1978" s="159"/>
      <c r="DI1978" s="1091"/>
      <c r="DJ1978" s="1187"/>
    </row>
    <row r="1979" spans="1:114" ht="15" hidden="1" customHeight="1" outlineLevel="1">
      <c r="A1979" s="453"/>
      <c r="C1979" s="51"/>
      <c r="D1979" s="4295"/>
      <c r="E1979" s="4295"/>
      <c r="F1979" s="4300" t="str">
        <f>$E$1638</f>
        <v>ASHP-SEER18-Replace_CAC_NonElectricHeat_ROF_MF_CompE</v>
      </c>
      <c r="G1979" s="4301"/>
      <c r="H1979" s="4301"/>
      <c r="I1979" s="4302"/>
      <c r="J1979" s="3471" t="str">
        <f>$C$1638</f>
        <v>353261_2024_12_</v>
      </c>
      <c r="K1979" s="3375">
        <v>36000</v>
      </c>
      <c r="L1979" s="3472">
        <f t="shared" si="287"/>
        <v>3</v>
      </c>
      <c r="M1979" s="3280" t="s">
        <v>1945</v>
      </c>
      <c r="P1979" s="261"/>
      <c r="Q1979" s="209"/>
      <c r="R1979" s="261"/>
      <c r="S1979" s="52"/>
      <c r="T1979" s="181"/>
      <c r="U1979" s="52"/>
      <c r="V1979" s="4295"/>
      <c r="W1979" s="3262"/>
      <c r="X1979" s="3262"/>
      <c r="Y1979" s="3265"/>
      <c r="Z1979" s="3262"/>
      <c r="AA1979" s="3262"/>
      <c r="AB1979" s="3265"/>
      <c r="AC1979" s="3279">
        <f>AC1978</f>
        <v>36000</v>
      </c>
      <c r="AD1979" s="3477">
        <v>36000</v>
      </c>
      <c r="AE1979" s="3478">
        <v>36000</v>
      </c>
      <c r="AF1979" s="2236">
        <f t="shared" si="290"/>
        <v>36000</v>
      </c>
      <c r="AG1979" s="1396"/>
      <c r="DG1979" s="573"/>
      <c r="DH1979" s="159"/>
      <c r="DI1979" s="1091"/>
      <c r="DJ1979" s="1187"/>
    </row>
    <row r="1980" spans="1:114" ht="15" hidden="1" customHeight="1" outlineLevel="1">
      <c r="A1980" s="453"/>
      <c r="C1980" s="51"/>
      <c r="D1980" s="4295"/>
      <c r="E1980" s="4295"/>
      <c r="F1980" s="4297" t="str">
        <f>$E$1640</f>
        <v>ASHP-SEER19-Replace_CAC_ElectricHeat_ROF_SF</v>
      </c>
      <c r="G1980" s="4298"/>
      <c r="H1980" s="4298"/>
      <c r="I1980" s="4299"/>
      <c r="J1980" s="1029" t="str">
        <f>$C$1640</f>
        <v>353300_2024_12_</v>
      </c>
      <c r="K1980" s="1753">
        <v>35904.395607692306</v>
      </c>
      <c r="L1980" s="1031">
        <f t="shared" si="287"/>
        <v>2.9920329673076922</v>
      </c>
      <c r="M1980" s="914" t="s">
        <v>1937</v>
      </c>
      <c r="P1980" s="261"/>
      <c r="Q1980" s="209"/>
      <c r="R1980" s="261"/>
      <c r="S1980" s="52"/>
      <c r="T1980" s="181"/>
      <c r="U1980" s="52"/>
      <c r="V1980" s="4295"/>
      <c r="W1980" s="1396">
        <v>33600</v>
      </c>
      <c r="X1980" s="1396">
        <v>33600</v>
      </c>
      <c r="Y1980" s="1396">
        <v>33600</v>
      </c>
      <c r="Z1980" s="1396">
        <v>33600</v>
      </c>
      <c r="AA1980" s="1396">
        <v>33600</v>
      </c>
      <c r="AB1980" s="1396">
        <v>33600</v>
      </c>
      <c r="AC1980" s="825">
        <v>48000</v>
      </c>
      <c r="AD1980" s="967">
        <v>35904.395607692306</v>
      </c>
      <c r="AE1980" s="1033">
        <v>35904.395607692306</v>
      </c>
      <c r="AF1980" s="271">
        <f t="shared" si="290"/>
        <v>35904.395607692306</v>
      </c>
      <c r="AG1980" s="1396"/>
      <c r="DG1980" s="573"/>
      <c r="DH1980" s="159"/>
      <c r="DI1980" s="1091"/>
      <c r="DJ1980" s="1187"/>
    </row>
    <row r="1981" spans="1:114" ht="15" hidden="1" customHeight="1" outlineLevel="1">
      <c r="A1981" s="453"/>
      <c r="C1981" s="51"/>
      <c r="D1981" s="4295"/>
      <c r="E1981" s="4295"/>
      <c r="F1981" s="4297" t="str">
        <f>$E$1642</f>
        <v>ASHP-SEER19-Replace_CAC_NonElectricHeat_ROF_SF</v>
      </c>
      <c r="G1981" s="4298"/>
      <c r="H1981" s="4298"/>
      <c r="I1981" s="4299"/>
      <c r="J1981" s="1029" t="str">
        <f>$C$1642</f>
        <v>353310_2024_12_</v>
      </c>
      <c r="K1981" s="1753">
        <v>35904.395607692306</v>
      </c>
      <c r="L1981" s="1031">
        <f>K1981/12000</f>
        <v>2.9920329673076922</v>
      </c>
      <c r="M1981" s="914" t="s">
        <v>1945</v>
      </c>
      <c r="P1981" s="261"/>
      <c r="Q1981" s="209"/>
      <c r="R1981" s="261"/>
      <c r="S1981" s="52"/>
      <c r="T1981" s="181"/>
      <c r="U1981" s="52"/>
      <c r="V1981" s="4295"/>
      <c r="W1981" s="1396"/>
      <c r="X1981" s="833"/>
      <c r="Y1981" s="833"/>
      <c r="Z1981" s="1396"/>
      <c r="AA1981" s="1396"/>
      <c r="AB1981" s="825"/>
      <c r="AC1981" s="825"/>
      <c r="AD1981" s="967">
        <v>35904.395607692306</v>
      </c>
      <c r="AE1981" s="1033">
        <v>35904.395607692306</v>
      </c>
      <c r="AF1981" s="271">
        <f t="shared" si="290"/>
        <v>35904.395607692306</v>
      </c>
      <c r="AG1981" s="1396"/>
      <c r="DG1981" s="573"/>
      <c r="DH1981" s="159"/>
      <c r="DI1981" s="1091"/>
      <c r="DJ1981" s="1187"/>
    </row>
    <row r="1982" spans="1:114" ht="15" hidden="1" customHeight="1" outlineLevel="1">
      <c r="A1982" s="453"/>
      <c r="C1982" s="51"/>
      <c r="D1982" s="4295"/>
      <c r="E1982" s="4295"/>
      <c r="F1982" s="4300" t="str">
        <f>$E$1644</f>
        <v>ASHP-SEER19-Replace_CAC_ElectricHeat_ROF_MF</v>
      </c>
      <c r="G1982" s="4301"/>
      <c r="H1982" s="4301"/>
      <c r="I1982" s="4302"/>
      <c r="J1982" s="3471" t="str">
        <f>$C$1644</f>
        <v>353350_2024_12_</v>
      </c>
      <c r="K1982" s="3375">
        <v>33600</v>
      </c>
      <c r="L1982" s="3472">
        <f t="shared" ref="L1982:L2047" si="291">K1982/12000</f>
        <v>2.8</v>
      </c>
      <c r="M1982" s="3280" t="s">
        <v>2496</v>
      </c>
      <c r="P1982" s="261"/>
      <c r="Q1982" s="209"/>
      <c r="R1982" s="261"/>
      <c r="S1982" s="52"/>
      <c r="T1982" s="181"/>
      <c r="U1982" s="52"/>
      <c r="V1982" s="4295"/>
      <c r="W1982" s="3262">
        <v>33600</v>
      </c>
      <c r="X1982" s="3262">
        <v>33600</v>
      </c>
      <c r="Y1982" s="3262">
        <v>33600</v>
      </c>
      <c r="Z1982" s="3262">
        <v>33600</v>
      </c>
      <c r="AA1982" s="3262">
        <v>33600</v>
      </c>
      <c r="AB1982" s="3262">
        <v>33600</v>
      </c>
      <c r="AC1982" s="3267">
        <v>33600</v>
      </c>
      <c r="AD1982" s="3477">
        <v>33600</v>
      </c>
      <c r="AE1982" s="3478">
        <v>33600</v>
      </c>
      <c r="AF1982" s="2236">
        <f t="shared" si="290"/>
        <v>33600</v>
      </c>
      <c r="AG1982" s="1396"/>
      <c r="DG1982" s="573"/>
      <c r="DH1982" s="159"/>
      <c r="DI1982" s="1091"/>
      <c r="DJ1982" s="1187"/>
    </row>
    <row r="1983" spans="1:114" ht="15" hidden="1" customHeight="1" outlineLevel="1">
      <c r="A1983" s="453"/>
      <c r="C1983" s="51"/>
      <c r="D1983" s="4295"/>
      <c r="E1983" s="4295"/>
      <c r="F1983" s="4300" t="str">
        <f>$E$1646</f>
        <v>ASHP-SEER19-Replace_CAC_ElectricHeat_ROF_MF_CompE</v>
      </c>
      <c r="G1983" s="4301"/>
      <c r="H1983" s="4301"/>
      <c r="I1983" s="4302"/>
      <c r="J1983" s="3471" t="str">
        <f>$C$1646</f>
        <v>353351_2024_12_</v>
      </c>
      <c r="K1983" s="3375">
        <v>33600</v>
      </c>
      <c r="L1983" s="3472">
        <f t="shared" si="291"/>
        <v>2.8</v>
      </c>
      <c r="M1983" s="3280" t="s">
        <v>2496</v>
      </c>
      <c r="P1983" s="261"/>
      <c r="Q1983" s="209"/>
      <c r="R1983" s="261"/>
      <c r="S1983" s="52"/>
      <c r="T1983" s="181"/>
      <c r="U1983" s="52"/>
      <c r="V1983" s="4295"/>
      <c r="W1983" s="3262"/>
      <c r="X1983" s="3262"/>
      <c r="Y1983" s="3265">
        <v>33600</v>
      </c>
      <c r="Z1983" s="3262">
        <v>33600</v>
      </c>
      <c r="AA1983" s="3262">
        <v>33600</v>
      </c>
      <c r="AB1983" s="3262">
        <v>33600</v>
      </c>
      <c r="AC1983" s="3267">
        <f>AC1982</f>
        <v>33600</v>
      </c>
      <c r="AD1983" s="3477">
        <v>33600</v>
      </c>
      <c r="AE1983" s="3478">
        <v>33600</v>
      </c>
      <c r="AF1983" s="2236">
        <f t="shared" si="290"/>
        <v>33600</v>
      </c>
      <c r="AG1983" s="1396"/>
      <c r="DG1983" s="573"/>
      <c r="DH1983" s="159"/>
      <c r="DI1983" s="1091"/>
      <c r="DJ1983" s="1187"/>
    </row>
    <row r="1984" spans="1:114" ht="15" hidden="1" customHeight="1" outlineLevel="1">
      <c r="A1984" s="453"/>
      <c r="C1984" s="51"/>
      <c r="D1984" s="4295"/>
      <c r="E1984" s="4295"/>
      <c r="F1984" s="4300" t="str">
        <f>$E$1648</f>
        <v>ASHP-SEER19-Replace_CAC_NonElectricHeat_ROF_MF</v>
      </c>
      <c r="G1984" s="4301"/>
      <c r="H1984" s="4301"/>
      <c r="I1984" s="4302"/>
      <c r="J1984" s="3471" t="str">
        <f>$C$1648</f>
        <v>353360_2024_12_</v>
      </c>
      <c r="K1984" s="3375">
        <v>33600</v>
      </c>
      <c r="L1984" s="3472">
        <f t="shared" si="291"/>
        <v>2.8</v>
      </c>
      <c r="M1984" s="3280" t="s">
        <v>1945</v>
      </c>
      <c r="P1984" s="261"/>
      <c r="Q1984" s="209"/>
      <c r="R1984" s="261"/>
      <c r="S1984" s="52"/>
      <c r="T1984" s="181"/>
      <c r="U1984" s="52"/>
      <c r="V1984" s="4295"/>
      <c r="W1984" s="3262"/>
      <c r="X1984" s="3262"/>
      <c r="Y1984" s="3265"/>
      <c r="Z1984" s="3262"/>
      <c r="AA1984" s="3262"/>
      <c r="AB1984" s="3262"/>
      <c r="AC1984" s="3279">
        <v>33600</v>
      </c>
      <c r="AD1984" s="3477">
        <v>33600</v>
      </c>
      <c r="AE1984" s="3478">
        <v>33600</v>
      </c>
      <c r="AF1984" s="2236">
        <f t="shared" si="290"/>
        <v>33600</v>
      </c>
      <c r="AG1984" s="1396"/>
      <c r="DG1984" s="573"/>
      <c r="DH1984" s="159"/>
      <c r="DI1984" s="1091"/>
      <c r="DJ1984" s="1187"/>
    </row>
    <row r="1985" spans="1:114" ht="15" hidden="1" customHeight="1" outlineLevel="1">
      <c r="A1985" s="453"/>
      <c r="C1985" s="51"/>
      <c r="D1985" s="4295"/>
      <c r="E1985" s="4295"/>
      <c r="F1985" s="4300" t="str">
        <f>$E$1650</f>
        <v>ASHP-SEER19-Replace_CAC_NonElectricHeat_ROF_MF_CompE</v>
      </c>
      <c r="G1985" s="4301"/>
      <c r="H1985" s="4301"/>
      <c r="I1985" s="4302"/>
      <c r="J1985" s="3471" t="str">
        <f>$C$1650</f>
        <v>353361_2024_12_</v>
      </c>
      <c r="K1985" s="3375">
        <v>33600</v>
      </c>
      <c r="L1985" s="3472">
        <f t="shared" si="291"/>
        <v>2.8</v>
      </c>
      <c r="M1985" s="3280" t="s">
        <v>1945</v>
      </c>
      <c r="P1985" s="261"/>
      <c r="Q1985" s="209"/>
      <c r="R1985" s="261"/>
      <c r="S1985" s="52"/>
      <c r="T1985" s="181"/>
      <c r="U1985" s="52"/>
      <c r="V1985" s="4295"/>
      <c r="W1985" s="3262"/>
      <c r="X1985" s="3262"/>
      <c r="Y1985" s="3265"/>
      <c r="Z1985" s="3262"/>
      <c r="AA1985" s="3262"/>
      <c r="AB1985" s="3262"/>
      <c r="AC1985" s="3279">
        <f>AC1984</f>
        <v>33600</v>
      </c>
      <c r="AD1985" s="3477">
        <v>33600</v>
      </c>
      <c r="AE1985" s="3478">
        <v>33600</v>
      </c>
      <c r="AF1985" s="2236">
        <f t="shared" si="290"/>
        <v>33600</v>
      </c>
      <c r="AG1985" s="1396"/>
      <c r="DG1985" s="573"/>
      <c r="DH1985" s="159"/>
      <c r="DI1985" s="1091"/>
      <c r="DJ1985" s="1187"/>
    </row>
    <row r="1986" spans="1:114" ht="15" hidden="1" customHeight="1" outlineLevel="1">
      <c r="A1986" s="453"/>
      <c r="C1986" s="51"/>
      <c r="D1986" s="4295"/>
      <c r="E1986" s="4295"/>
      <c r="F1986" s="4297" t="str">
        <f>$E$1652</f>
        <v>ASHP-SEER20-Replace_CAC_ElectricHeat_ER1_SF</v>
      </c>
      <c r="G1986" s="4298"/>
      <c r="H1986" s="4298"/>
      <c r="I1986" s="4299"/>
      <c r="J1986" s="1029" t="str">
        <f>$C$1652</f>
        <v>353400_2024_12_</v>
      </c>
      <c r="K1986" s="1753">
        <v>31000.387811634351</v>
      </c>
      <c r="L1986" s="1031">
        <f t="shared" si="291"/>
        <v>2.5833656509695291</v>
      </c>
      <c r="M1986" s="914" t="s">
        <v>1934</v>
      </c>
      <c r="P1986" s="261"/>
      <c r="Q1986" s="209"/>
      <c r="R1986" s="261"/>
      <c r="S1986" s="52"/>
      <c r="T1986" s="181"/>
      <c r="U1986" s="52"/>
      <c r="V1986" s="4295"/>
      <c r="W1986" s="1396">
        <v>37200</v>
      </c>
      <c r="X1986" s="1396">
        <v>37200</v>
      </c>
      <c r="Y1986" s="1396">
        <v>37200</v>
      </c>
      <c r="Z1986" s="1396">
        <v>37200</v>
      </c>
      <c r="AA1986" s="1396">
        <v>37200</v>
      </c>
      <c r="AB1986" s="1396">
        <v>37200</v>
      </c>
      <c r="AC1986" s="825">
        <v>36000</v>
      </c>
      <c r="AD1986" s="967">
        <v>33382.234755555553</v>
      </c>
      <c r="AE1986" s="967">
        <v>31000.387811634351</v>
      </c>
      <c r="AF1986" s="271">
        <f t="shared" si="290"/>
        <v>31000.387811634351</v>
      </c>
      <c r="AG1986" s="1396"/>
      <c r="DG1986" s="573"/>
      <c r="DH1986" s="159"/>
      <c r="DI1986" s="1091"/>
      <c r="DJ1986" s="1187"/>
    </row>
    <row r="1987" spans="1:114" ht="15" hidden="1" customHeight="1" outlineLevel="1">
      <c r="A1987" s="453"/>
      <c r="C1987" s="51"/>
      <c r="D1987" s="4295"/>
      <c r="E1987" s="4295"/>
      <c r="F1987" s="4297" t="str">
        <f>$E$1654</f>
        <v>ASHP-SEER20-Replace_CAC_ElectricHeat_ER2_SF</v>
      </c>
      <c r="G1987" s="4298"/>
      <c r="H1987" s="4298"/>
      <c r="I1987" s="4299"/>
      <c r="J1987" s="1029" t="str">
        <f>$C$1654</f>
        <v>353400_2024_12_</v>
      </c>
      <c r="K1987" s="1753">
        <v>31000.387811634351</v>
      </c>
      <c r="L1987" s="1031">
        <f t="shared" si="291"/>
        <v>2.5833656509695291</v>
      </c>
      <c r="M1987" s="914" t="s">
        <v>1934</v>
      </c>
      <c r="P1987" s="261"/>
      <c r="Q1987" s="209"/>
      <c r="R1987" s="261"/>
      <c r="S1987" s="52"/>
      <c r="T1987" s="181"/>
      <c r="U1987" s="52"/>
      <c r="V1987" s="4295"/>
      <c r="W1987" s="1396">
        <v>37200</v>
      </c>
      <c r="X1987" s="1396">
        <v>37200</v>
      </c>
      <c r="Y1987" s="1396">
        <v>37200</v>
      </c>
      <c r="Z1987" s="1396">
        <v>37200</v>
      </c>
      <c r="AA1987" s="1396">
        <v>37200</v>
      </c>
      <c r="AB1987" s="1396">
        <v>37200</v>
      </c>
      <c r="AC1987" s="825">
        <f>AC1986</f>
        <v>36000</v>
      </c>
      <c r="AD1987" s="967">
        <v>33382.234755555553</v>
      </c>
      <c r="AE1987" s="967">
        <v>31000.387811634351</v>
      </c>
      <c r="AF1987" s="271">
        <f t="shared" si="290"/>
        <v>31000.387811634351</v>
      </c>
      <c r="AG1987" s="1396"/>
      <c r="DG1987" s="573"/>
      <c r="DH1987" s="159"/>
      <c r="DI1987" s="1091"/>
      <c r="DJ1987" s="1187"/>
    </row>
    <row r="1988" spans="1:114" ht="15" hidden="1" customHeight="1" outlineLevel="1">
      <c r="A1988" s="453"/>
      <c r="C1988" s="51"/>
      <c r="D1988" s="4295"/>
      <c r="E1988" s="4295"/>
      <c r="F1988" s="4297" t="str">
        <f>$E$1656</f>
        <v>ASHP-SEER20-Replace_CAC_NonElectricHeat_ER1_SF</v>
      </c>
      <c r="G1988" s="4298"/>
      <c r="H1988" s="4298"/>
      <c r="I1988" s="4299"/>
      <c r="J1988" s="1029" t="str">
        <f>$C$1656</f>
        <v>353410_2024_12_</v>
      </c>
      <c r="K1988" s="1753">
        <v>31000.387811634351</v>
      </c>
      <c r="L1988" s="1031">
        <f t="shared" si="291"/>
        <v>2.5833656509695291</v>
      </c>
      <c r="M1988" s="914" t="s">
        <v>1934</v>
      </c>
      <c r="P1988" s="261"/>
      <c r="Q1988" s="209"/>
      <c r="R1988" s="261"/>
      <c r="S1988" s="52"/>
      <c r="T1988" s="181"/>
      <c r="U1988" s="52"/>
      <c r="V1988" s="4295"/>
      <c r="W1988" s="1396"/>
      <c r="X1988" s="1396"/>
      <c r="Y1988" s="1396"/>
      <c r="Z1988" s="1396"/>
      <c r="AA1988" s="1396"/>
      <c r="AB1988" s="1396"/>
      <c r="AC1988" s="825">
        <v>36000</v>
      </c>
      <c r="AD1988" s="967">
        <v>33382.234755555553</v>
      </c>
      <c r="AE1988" s="967">
        <v>31000.387811634351</v>
      </c>
      <c r="AF1988" s="271">
        <f t="shared" si="290"/>
        <v>31000.387811634351</v>
      </c>
      <c r="AG1988" s="1396"/>
      <c r="DG1988" s="573"/>
      <c r="DH1988" s="159"/>
      <c r="DI1988" s="1091"/>
      <c r="DJ1988" s="1187"/>
    </row>
    <row r="1989" spans="1:114" ht="15" hidden="1" customHeight="1" outlineLevel="1">
      <c r="A1989" s="453"/>
      <c r="C1989" s="51"/>
      <c r="D1989" s="4295"/>
      <c r="E1989" s="4295"/>
      <c r="F1989" s="4297" t="str">
        <f>$E$1658</f>
        <v>ASHP-SEER20-Replace_CAC_NonElectricHeat_ER2_SF</v>
      </c>
      <c r="G1989" s="4298"/>
      <c r="H1989" s="4298"/>
      <c r="I1989" s="4299"/>
      <c r="J1989" s="1029" t="str">
        <f>$C$1658</f>
        <v>353410_2024_12_</v>
      </c>
      <c r="K1989" s="1753">
        <v>31000.387811634351</v>
      </c>
      <c r="L1989" s="1031">
        <f t="shared" si="291"/>
        <v>2.5833656509695291</v>
      </c>
      <c r="M1989" s="914" t="s">
        <v>1934</v>
      </c>
      <c r="P1989" s="261"/>
      <c r="Q1989" s="209"/>
      <c r="R1989" s="261"/>
      <c r="S1989" s="52"/>
      <c r="T1989" s="181"/>
      <c r="U1989" s="52"/>
      <c r="V1989" s="4295"/>
      <c r="W1989" s="1396"/>
      <c r="X1989" s="1396"/>
      <c r="Y1989" s="1396"/>
      <c r="Z1989" s="1396"/>
      <c r="AA1989" s="1396"/>
      <c r="AB1989" s="1396"/>
      <c r="AC1989" s="825">
        <f>AC1988</f>
        <v>36000</v>
      </c>
      <c r="AD1989" s="967">
        <v>33382.234755555553</v>
      </c>
      <c r="AE1989" s="967">
        <v>31000.387811634351</v>
      </c>
      <c r="AF1989" s="271">
        <f t="shared" si="290"/>
        <v>31000.387811634351</v>
      </c>
      <c r="AG1989" s="1396"/>
      <c r="DG1989" s="573"/>
      <c r="DH1989" s="159"/>
      <c r="DI1989" s="1091"/>
      <c r="DJ1989" s="1187"/>
    </row>
    <row r="1990" spans="1:114" ht="15" hidden="1" customHeight="1" outlineLevel="1">
      <c r="A1990" s="453"/>
      <c r="C1990" s="51"/>
      <c r="D1990" s="4295"/>
      <c r="E1990" s="4295"/>
      <c r="F1990" s="4297" t="str">
        <f>$E$1660</f>
        <v>ASHP-SEER20-Replace_CAC_ElectricHeat_ROF_SF</v>
      </c>
      <c r="G1990" s="4298"/>
      <c r="H1990" s="4298"/>
      <c r="I1990" s="4299"/>
      <c r="J1990" s="1029" t="str">
        <f>$C$1660</f>
        <v>353450_2024_12_</v>
      </c>
      <c r="K1990" s="1753">
        <v>34645</v>
      </c>
      <c r="L1990" s="1031">
        <f t="shared" si="291"/>
        <v>2.8870833333333334</v>
      </c>
      <c r="M1990" s="914" t="s">
        <v>1937</v>
      </c>
      <c r="P1990" s="261"/>
      <c r="Q1990" s="209"/>
      <c r="R1990" s="261"/>
      <c r="S1990" s="52"/>
      <c r="T1990" s="181"/>
      <c r="U1990" s="52"/>
      <c r="V1990" s="4295"/>
      <c r="W1990" s="1396">
        <v>38400</v>
      </c>
      <c r="X1990" s="1396">
        <v>38400</v>
      </c>
      <c r="Y1990" s="1396">
        <v>38400</v>
      </c>
      <c r="Z1990" s="1396">
        <v>38400</v>
      </c>
      <c r="AA1990" s="1396">
        <v>38400</v>
      </c>
      <c r="AB1990" s="1396">
        <v>38400</v>
      </c>
      <c r="AC1990" s="825">
        <v>30000</v>
      </c>
      <c r="AD1990" s="967">
        <v>34645</v>
      </c>
      <c r="AE1990" s="1033">
        <v>34645</v>
      </c>
      <c r="AF1990" s="271">
        <f t="shared" si="290"/>
        <v>34645</v>
      </c>
      <c r="AG1990" s="1396"/>
      <c r="DG1990" s="573"/>
      <c r="DH1990" s="159"/>
      <c r="DI1990" s="1091"/>
      <c r="DJ1990" s="1187"/>
    </row>
    <row r="1991" spans="1:114" ht="15" hidden="1" customHeight="1" outlineLevel="1">
      <c r="A1991" s="453"/>
      <c r="C1991" s="51"/>
      <c r="D1991" s="4295"/>
      <c r="E1991" s="4295"/>
      <c r="F1991" s="4297" t="str">
        <f>$E$1662</f>
        <v>ASHP-SEER20-Replace_CAC_NonElectricHeat_ROF_SF</v>
      </c>
      <c r="G1991" s="4298"/>
      <c r="H1991" s="4298"/>
      <c r="I1991" s="4299"/>
      <c r="J1991" s="1029" t="str">
        <f>$C$1662</f>
        <v>353460_2024_12_</v>
      </c>
      <c r="K1991" s="1753">
        <v>34645</v>
      </c>
      <c r="L1991" s="1031">
        <f t="shared" si="291"/>
        <v>2.8870833333333334</v>
      </c>
      <c r="M1991" s="914" t="s">
        <v>1945</v>
      </c>
      <c r="P1991" s="261"/>
      <c r="Q1991" s="209"/>
      <c r="R1991" s="261"/>
      <c r="S1991" s="52"/>
      <c r="T1991" s="181"/>
      <c r="U1991" s="52"/>
      <c r="V1991" s="4295"/>
      <c r="W1991" s="1396"/>
      <c r="X1991" s="833"/>
      <c r="Y1991" s="833"/>
      <c r="Z1991" s="1396"/>
      <c r="AA1991" s="1396"/>
      <c r="AB1991" s="825"/>
      <c r="AC1991" s="825"/>
      <c r="AD1991" s="967">
        <v>34645</v>
      </c>
      <c r="AE1991" s="1033">
        <v>34645</v>
      </c>
      <c r="AF1991" s="271">
        <f t="shared" si="290"/>
        <v>34645</v>
      </c>
      <c r="AG1991" s="1396"/>
      <c r="DG1991" s="573"/>
      <c r="DH1991" s="159"/>
      <c r="DI1991" s="1091"/>
      <c r="DJ1991" s="1187"/>
    </row>
    <row r="1992" spans="1:114" ht="15" hidden="1" customHeight="1" outlineLevel="1">
      <c r="A1992" s="453"/>
      <c r="C1992" s="51"/>
      <c r="D1992" s="4295"/>
      <c r="E1992" s="4295"/>
      <c r="F1992" s="4300" t="str">
        <f>$E$1664</f>
        <v>ASHP-SEER20-Replace_CAC_ElectricHeat_ROF_MF</v>
      </c>
      <c r="G1992" s="4301"/>
      <c r="H1992" s="4301"/>
      <c r="I1992" s="4302"/>
      <c r="J1992" s="3471" t="str">
        <f>$C$1664</f>
        <v>353500_2024_12_</v>
      </c>
      <c r="K1992" s="3375">
        <v>38400</v>
      </c>
      <c r="L1992" s="3472">
        <f t="shared" si="291"/>
        <v>3.2</v>
      </c>
      <c r="M1992" s="3280" t="s">
        <v>2496</v>
      </c>
      <c r="P1992" s="261"/>
      <c r="Q1992" s="209"/>
      <c r="R1992" s="261"/>
      <c r="S1992" s="52"/>
      <c r="T1992" s="181"/>
      <c r="U1992" s="52"/>
      <c r="V1992" s="4295"/>
      <c r="W1992" s="3262">
        <v>38400</v>
      </c>
      <c r="X1992" s="3262">
        <v>38400</v>
      </c>
      <c r="Y1992" s="3262">
        <v>38400</v>
      </c>
      <c r="Z1992" s="3262">
        <v>38400</v>
      </c>
      <c r="AA1992" s="3262">
        <v>38400</v>
      </c>
      <c r="AB1992" s="3262">
        <v>38400</v>
      </c>
      <c r="AC1992" s="3267">
        <v>38400</v>
      </c>
      <c r="AD1992" s="3477">
        <v>38400</v>
      </c>
      <c r="AE1992" s="3478">
        <v>38400</v>
      </c>
      <c r="AF1992" s="2236">
        <f t="shared" si="290"/>
        <v>38400</v>
      </c>
      <c r="AG1992" s="1396"/>
      <c r="DG1992" s="573"/>
      <c r="DH1992" s="159"/>
      <c r="DI1992" s="1091"/>
      <c r="DJ1992" s="1187"/>
    </row>
    <row r="1993" spans="1:114" ht="15" hidden="1" customHeight="1" outlineLevel="1">
      <c r="A1993" s="453"/>
      <c r="C1993" s="51"/>
      <c r="D1993" s="4295"/>
      <c r="E1993" s="4295"/>
      <c r="F1993" s="4300" t="str">
        <f>$E$1666</f>
        <v>ASHP-SEER20-Replace_CAC_ElectricHeat_ROF_MF_CompE</v>
      </c>
      <c r="G1993" s="4301"/>
      <c r="H1993" s="4301"/>
      <c r="I1993" s="4302"/>
      <c r="J1993" s="3471" t="str">
        <f>$C$1666</f>
        <v>353501_2024_12_</v>
      </c>
      <c r="K1993" s="3375">
        <v>38400</v>
      </c>
      <c r="L1993" s="3472">
        <f t="shared" si="291"/>
        <v>3.2</v>
      </c>
      <c r="M1993" s="3280" t="s">
        <v>1945</v>
      </c>
      <c r="P1993" s="261"/>
      <c r="Q1993" s="209"/>
      <c r="R1993" s="261"/>
      <c r="S1993" s="52"/>
      <c r="T1993" s="181"/>
      <c r="U1993" s="52"/>
      <c r="V1993" s="4295"/>
      <c r="W1993" s="3262"/>
      <c r="X1993" s="3262"/>
      <c r="Y1993" s="3265">
        <v>38400</v>
      </c>
      <c r="Z1993" s="3262">
        <v>38400</v>
      </c>
      <c r="AA1993" s="3262">
        <v>38400</v>
      </c>
      <c r="AB1993" s="3262">
        <v>38400</v>
      </c>
      <c r="AC1993" s="3267">
        <f>AC1992</f>
        <v>38400</v>
      </c>
      <c r="AD1993" s="3477">
        <v>38400</v>
      </c>
      <c r="AE1993" s="3478">
        <v>38400</v>
      </c>
      <c r="AF1993" s="2236">
        <f t="shared" si="290"/>
        <v>38400</v>
      </c>
      <c r="AG1993" s="1396"/>
      <c r="DG1993" s="573"/>
      <c r="DH1993" s="159"/>
      <c r="DI1993" s="1091"/>
      <c r="DJ1993" s="1187"/>
    </row>
    <row r="1994" spans="1:114" ht="15" hidden="1" customHeight="1" outlineLevel="1">
      <c r="A1994" s="453"/>
      <c r="C1994" s="51"/>
      <c r="D1994" s="4295"/>
      <c r="E1994" s="4295"/>
      <c r="F1994" s="4300" t="str">
        <f>$E$1668</f>
        <v>ASHP-SEER20-Replace_CAC_NonElectricHeat_ROF_MF</v>
      </c>
      <c r="G1994" s="4301"/>
      <c r="H1994" s="4301"/>
      <c r="I1994" s="4302"/>
      <c r="J1994" s="3471" t="str">
        <f>$C$1668</f>
        <v>353510_2024_12_</v>
      </c>
      <c r="K1994" s="3375">
        <v>38400</v>
      </c>
      <c r="L1994" s="3472">
        <f t="shared" si="291"/>
        <v>3.2</v>
      </c>
      <c r="M1994" s="3280" t="s">
        <v>1945</v>
      </c>
      <c r="P1994" s="261"/>
      <c r="Q1994" s="209"/>
      <c r="R1994" s="261"/>
      <c r="S1994" s="52"/>
      <c r="T1994" s="181"/>
      <c r="U1994" s="52"/>
      <c r="V1994" s="4295"/>
      <c r="W1994" s="3262"/>
      <c r="X1994" s="3262"/>
      <c r="Y1994" s="3265"/>
      <c r="Z1994" s="3262"/>
      <c r="AA1994" s="3262"/>
      <c r="AB1994" s="3262"/>
      <c r="AC1994" s="3279">
        <v>38400</v>
      </c>
      <c r="AD1994" s="3477">
        <v>38400</v>
      </c>
      <c r="AE1994" s="3478">
        <v>38400</v>
      </c>
      <c r="AF1994" s="2236">
        <f t="shared" si="290"/>
        <v>38400</v>
      </c>
      <c r="AG1994" s="1396"/>
      <c r="DG1994" s="573"/>
      <c r="DH1994" s="159"/>
      <c r="DI1994" s="1091"/>
      <c r="DJ1994" s="1187"/>
    </row>
    <row r="1995" spans="1:114" ht="15" hidden="1" customHeight="1" outlineLevel="1">
      <c r="A1995" s="453"/>
      <c r="C1995" s="51"/>
      <c r="D1995" s="4295"/>
      <c r="E1995" s="4295"/>
      <c r="F1995" s="4300" t="str">
        <f>$E$1670</f>
        <v>ASHP-SEER20-Replace_CAC_NonElectricHeat_ROF_MF_CompE</v>
      </c>
      <c r="G1995" s="4301"/>
      <c r="H1995" s="4301"/>
      <c r="I1995" s="4302"/>
      <c r="J1995" s="3471" t="str">
        <f>$C$1670</f>
        <v>353511_2024_12_</v>
      </c>
      <c r="K1995" s="3375">
        <v>38400</v>
      </c>
      <c r="L1995" s="3472">
        <f t="shared" si="291"/>
        <v>3.2</v>
      </c>
      <c r="M1995" s="3280" t="s">
        <v>1945</v>
      </c>
      <c r="P1995" s="261"/>
      <c r="Q1995" s="209"/>
      <c r="R1995" s="261"/>
      <c r="S1995" s="52"/>
      <c r="T1995" s="181"/>
      <c r="U1995" s="52"/>
      <c r="V1995" s="4295"/>
      <c r="W1995" s="3262"/>
      <c r="X1995" s="3262"/>
      <c r="Y1995" s="3265"/>
      <c r="Z1995" s="3262"/>
      <c r="AA1995" s="3262"/>
      <c r="AB1995" s="3262"/>
      <c r="AC1995" s="3279">
        <f>AC1994</f>
        <v>38400</v>
      </c>
      <c r="AD1995" s="3477">
        <v>38400</v>
      </c>
      <c r="AE1995" s="3478">
        <v>38400</v>
      </c>
      <c r="AF1995" s="2236">
        <f t="shared" si="290"/>
        <v>38400</v>
      </c>
      <c r="AG1995" s="1396"/>
      <c r="DG1995" s="573"/>
      <c r="DH1995" s="159"/>
      <c r="DI1995" s="1091"/>
      <c r="DJ1995" s="1187"/>
    </row>
    <row r="1996" spans="1:114" ht="15" hidden="1" customHeight="1" outlineLevel="1">
      <c r="A1996" s="453"/>
      <c r="C1996" s="51"/>
      <c r="D1996" s="4295"/>
      <c r="E1996" s="4295"/>
      <c r="F1996" s="4297" t="str">
        <f>$E$1672</f>
        <v>ASHP-SEER21-Replace_CAC_ElectricHeat_ER1_SF</v>
      </c>
      <c r="G1996" s="4298"/>
      <c r="H1996" s="4298"/>
      <c r="I1996" s="4299"/>
      <c r="J1996" s="1029" t="str">
        <f>$C$1672</f>
        <v>353550_2024_12_</v>
      </c>
      <c r="K1996" s="1753">
        <v>40128.673782518214</v>
      </c>
      <c r="L1996" s="1031">
        <f t="shared" si="291"/>
        <v>3.3440561485431846</v>
      </c>
      <c r="M1996" s="914" t="s">
        <v>1934</v>
      </c>
      <c r="S1996" s="52"/>
      <c r="T1996" s="52"/>
      <c r="U1996" s="52"/>
      <c r="V1996" s="4295"/>
      <c r="W1996" s="1396">
        <v>37200</v>
      </c>
      <c r="X1996" s="1396">
        <v>37200</v>
      </c>
      <c r="Y1996" s="1396">
        <v>37200</v>
      </c>
      <c r="Z1996" s="1396">
        <v>37200</v>
      </c>
      <c r="AA1996" s="1396">
        <v>37200</v>
      </c>
      <c r="AB1996" s="1396">
        <v>37200</v>
      </c>
      <c r="AC1996" s="825">
        <v>43090.909090909088</v>
      </c>
      <c r="AD1996" s="967">
        <v>40225.166612626257</v>
      </c>
      <c r="AE1996" s="967">
        <v>40128.673782518214</v>
      </c>
      <c r="AF1996" s="271">
        <f t="shared" si="290"/>
        <v>40128.673782518214</v>
      </c>
      <c r="AG1996" s="1396"/>
      <c r="DG1996" s="573"/>
      <c r="DH1996" s="159"/>
      <c r="DI1996" s="1091"/>
      <c r="DJ1996" s="1187"/>
    </row>
    <row r="1997" spans="1:114" ht="15" hidden="1" customHeight="1" outlineLevel="1">
      <c r="A1997" s="453"/>
      <c r="C1997" s="51"/>
      <c r="D1997" s="4295"/>
      <c r="E1997" s="4295"/>
      <c r="F1997" s="4297" t="str">
        <f>$E$1674</f>
        <v>ASHP-SEER21-Replace_CAC_ElectricHeat_ER2_SF</v>
      </c>
      <c r="G1997" s="4298"/>
      <c r="H1997" s="4298"/>
      <c r="I1997" s="4299"/>
      <c r="J1997" s="1029" t="str">
        <f>$C$1674</f>
        <v>353550_2024_12_</v>
      </c>
      <c r="K1997" s="1753">
        <v>40128.673782518214</v>
      </c>
      <c r="L1997" s="1031">
        <f t="shared" si="291"/>
        <v>3.3440561485431846</v>
      </c>
      <c r="M1997" s="914" t="s">
        <v>1934</v>
      </c>
      <c r="S1997" s="52"/>
      <c r="T1997" s="52"/>
      <c r="U1997" s="52"/>
      <c r="V1997" s="4295"/>
      <c r="W1997" s="1396">
        <v>37200</v>
      </c>
      <c r="X1997" s="1396">
        <v>37200</v>
      </c>
      <c r="Y1997" s="1396">
        <v>37200</v>
      </c>
      <c r="Z1997" s="1396">
        <v>37200</v>
      </c>
      <c r="AA1997" s="1396">
        <v>37200</v>
      </c>
      <c r="AB1997" s="1396">
        <v>37200</v>
      </c>
      <c r="AC1997" s="825">
        <f>AC1996</f>
        <v>43090.909090909088</v>
      </c>
      <c r="AD1997" s="967">
        <v>40225.166612626257</v>
      </c>
      <c r="AE1997" s="967">
        <v>40128.673782518214</v>
      </c>
      <c r="AF1997" s="271">
        <f t="shared" si="290"/>
        <v>40128.673782518214</v>
      </c>
      <c r="AG1997" s="1396"/>
      <c r="DG1997" s="573"/>
      <c r="DH1997" s="159"/>
      <c r="DI1997" s="1091"/>
      <c r="DJ1997" s="1187"/>
    </row>
    <row r="1998" spans="1:114" ht="15" hidden="1" customHeight="1" outlineLevel="1">
      <c r="A1998" s="453"/>
      <c r="C1998" s="51"/>
      <c r="D1998" s="4295"/>
      <c r="E1998" s="4295"/>
      <c r="F1998" s="4297" t="str">
        <f>$E$1676</f>
        <v>ASHP-SEER21-Replace_CAC_NonElectricHeat_ER1_SF</v>
      </c>
      <c r="G1998" s="4298"/>
      <c r="H1998" s="4298"/>
      <c r="I1998" s="4299"/>
      <c r="J1998" s="1029" t="str">
        <f>$C$1676</f>
        <v>353560_2024_12_</v>
      </c>
      <c r="K1998" s="1753">
        <v>40128.673782518214</v>
      </c>
      <c r="L1998" s="1031">
        <f t="shared" si="291"/>
        <v>3.3440561485431846</v>
      </c>
      <c r="M1998" s="914" t="s">
        <v>1934</v>
      </c>
      <c r="S1998" s="52"/>
      <c r="T1998" s="52"/>
      <c r="U1998" s="52"/>
      <c r="V1998" s="4295"/>
      <c r="W1998" s="1396"/>
      <c r="X1998" s="1396"/>
      <c r="Y1998" s="1396"/>
      <c r="Z1998" s="1396"/>
      <c r="AA1998" s="1396"/>
      <c r="AB1998" s="1396"/>
      <c r="AC1998" s="825">
        <v>43090.909090909088</v>
      </c>
      <c r="AD1998" s="967">
        <v>40225.166612626257</v>
      </c>
      <c r="AE1998" s="967">
        <v>40128.673782518214</v>
      </c>
      <c r="AF1998" s="271">
        <f t="shared" si="290"/>
        <v>40128.673782518214</v>
      </c>
      <c r="AG1998" s="1396"/>
      <c r="DG1998" s="573"/>
      <c r="DH1998" s="159"/>
      <c r="DI1998" s="1091"/>
      <c r="DJ1998" s="1187"/>
    </row>
    <row r="1999" spans="1:114" ht="15" hidden="1" customHeight="1" outlineLevel="1">
      <c r="A1999" s="453"/>
      <c r="C1999" s="51"/>
      <c r="D1999" s="4295"/>
      <c r="E1999" s="4295"/>
      <c r="F1999" s="4297" t="str">
        <f>$E$1678</f>
        <v>ASHP-SEER21-Replace_CAC_NonElectricHeat_ER2_SF</v>
      </c>
      <c r="G1999" s="4298"/>
      <c r="H1999" s="4298"/>
      <c r="I1999" s="4299"/>
      <c r="J1999" s="1029" t="str">
        <f>$C$1678</f>
        <v>353560_2024_12_</v>
      </c>
      <c r="K1999" s="1753">
        <v>40128.673782518214</v>
      </c>
      <c r="L1999" s="1031">
        <f t="shared" si="291"/>
        <v>3.3440561485431846</v>
      </c>
      <c r="M1999" s="914" t="s">
        <v>1934</v>
      </c>
      <c r="S1999" s="52"/>
      <c r="T1999" s="52"/>
      <c r="U1999" s="52"/>
      <c r="V1999" s="4295"/>
      <c r="W1999" s="1396"/>
      <c r="X1999" s="1396"/>
      <c r="Y1999" s="1396"/>
      <c r="Z1999" s="1396"/>
      <c r="AA1999" s="1396"/>
      <c r="AB1999" s="1396"/>
      <c r="AC1999" s="825">
        <f>AC1998</f>
        <v>43090.909090909088</v>
      </c>
      <c r="AD1999" s="967">
        <v>40225.166612626257</v>
      </c>
      <c r="AE1999" s="967">
        <v>40128.673782518214</v>
      </c>
      <c r="AF1999" s="271">
        <f t="shared" si="290"/>
        <v>40128.673782518214</v>
      </c>
      <c r="AG1999" s="1396"/>
      <c r="DG1999" s="573"/>
      <c r="DH1999" s="159"/>
      <c r="DI1999" s="1091"/>
      <c r="DJ1999" s="1187"/>
    </row>
    <row r="2000" spans="1:114" ht="15" hidden="1" customHeight="1" outlineLevel="1">
      <c r="A2000" s="453"/>
      <c r="C2000" s="51"/>
      <c r="D2000" s="4295"/>
      <c r="E2000" s="4295"/>
      <c r="F2000" s="4297" t="str">
        <f>$E$1680</f>
        <v>ASHP-SEER21-Replace_CAC_ElectricHeat_ER1_MF</v>
      </c>
      <c r="G2000" s="4298"/>
      <c r="H2000" s="4298"/>
      <c r="I2000" s="4299"/>
      <c r="J2000" s="1029" t="str">
        <f>$C$1680</f>
        <v>353600_2024_12_</v>
      </c>
      <c r="K2000" s="1754">
        <v>37200</v>
      </c>
      <c r="L2000" s="1031">
        <f t="shared" si="291"/>
        <v>3.1</v>
      </c>
      <c r="M2000" s="914" t="s">
        <v>2496</v>
      </c>
      <c r="S2000" s="52"/>
      <c r="T2000" s="52"/>
      <c r="U2000" s="52"/>
      <c r="V2000" s="4295"/>
      <c r="W2000" s="1396">
        <v>37200</v>
      </c>
      <c r="X2000" s="1396">
        <v>37200</v>
      </c>
      <c r="Y2000" s="1396">
        <v>37200</v>
      </c>
      <c r="Z2000" s="1396">
        <v>37200</v>
      </c>
      <c r="AA2000" s="1396">
        <v>37200</v>
      </c>
      <c r="AB2000" s="1396">
        <v>37200</v>
      </c>
      <c r="AC2000" s="802">
        <v>37200</v>
      </c>
      <c r="AD2000" s="1033">
        <v>37200</v>
      </c>
      <c r="AE2000" s="968">
        <v>37200</v>
      </c>
      <c r="AF2000" s="271">
        <f t="shared" si="290"/>
        <v>37200</v>
      </c>
      <c r="AG2000" s="1396"/>
      <c r="DG2000" s="573"/>
      <c r="DH2000" s="159"/>
      <c r="DI2000" s="1091"/>
      <c r="DJ2000" s="1187"/>
    </row>
    <row r="2001" spans="1:114" ht="15" hidden="1" customHeight="1" outlineLevel="1">
      <c r="A2001" s="453"/>
      <c r="C2001" s="51"/>
      <c r="D2001" s="4295"/>
      <c r="E2001" s="4295"/>
      <c r="F2001" s="4297" t="str">
        <f>$E$1682</f>
        <v>ASHP-SEER21-Replace_CAC_ElectricHeat_ER2_MF</v>
      </c>
      <c r="G2001" s="4298"/>
      <c r="H2001" s="4298"/>
      <c r="I2001" s="4299"/>
      <c r="J2001" s="1029" t="str">
        <f>$C$1682</f>
        <v>353600_2024_12_</v>
      </c>
      <c r="K2001" s="1754">
        <v>37200</v>
      </c>
      <c r="L2001" s="1031">
        <f t="shared" si="291"/>
        <v>3.1</v>
      </c>
      <c r="M2001" s="914" t="s">
        <v>2496</v>
      </c>
      <c r="S2001" s="52"/>
      <c r="T2001" s="52"/>
      <c r="U2001" s="52"/>
      <c r="V2001" s="4295"/>
      <c r="W2001" s="1396">
        <v>37200</v>
      </c>
      <c r="X2001" s="1396">
        <v>37200</v>
      </c>
      <c r="Y2001" s="1396">
        <v>37200</v>
      </c>
      <c r="Z2001" s="1396">
        <v>37200</v>
      </c>
      <c r="AA2001" s="1396">
        <v>37200</v>
      </c>
      <c r="AB2001" s="1396">
        <v>37200</v>
      </c>
      <c r="AC2001" s="802">
        <v>37200</v>
      </c>
      <c r="AD2001" s="1033">
        <v>37200</v>
      </c>
      <c r="AE2001" s="968">
        <v>37200</v>
      </c>
      <c r="AF2001" s="271">
        <f t="shared" si="290"/>
        <v>37200</v>
      </c>
      <c r="AG2001" s="1396"/>
      <c r="DG2001" s="573"/>
      <c r="DH2001" s="159"/>
      <c r="DI2001" s="1091"/>
      <c r="DJ2001" s="1187"/>
    </row>
    <row r="2002" spans="1:114" ht="15" hidden="1" customHeight="1" outlineLevel="1">
      <c r="A2002" s="453"/>
      <c r="C2002" s="51"/>
      <c r="D2002" s="4295"/>
      <c r="E2002" s="4295"/>
      <c r="F2002" s="4300" t="str">
        <f>$E$1684</f>
        <v>ASHP-SEER21-Replace_CAC_ElectricHeat_ER1_MF_CompE</v>
      </c>
      <c r="G2002" s="4301"/>
      <c r="H2002" s="4301"/>
      <c r="I2002" s="4302"/>
      <c r="J2002" s="3471" t="str">
        <f>$C$1684</f>
        <v>353601_2024_12_</v>
      </c>
      <c r="K2002" s="3375">
        <v>37200</v>
      </c>
      <c r="L2002" s="3472">
        <f t="shared" si="291"/>
        <v>3.1</v>
      </c>
      <c r="M2002" s="3280" t="s">
        <v>1945</v>
      </c>
      <c r="S2002" s="52"/>
      <c r="T2002" s="52"/>
      <c r="U2002" s="52"/>
      <c r="V2002" s="4295"/>
      <c r="W2002" s="3262"/>
      <c r="X2002" s="3262"/>
      <c r="Y2002" s="3265">
        <v>37200</v>
      </c>
      <c r="Z2002" s="3262">
        <v>37200</v>
      </c>
      <c r="AA2002" s="3262">
        <v>37200</v>
      </c>
      <c r="AB2002" s="3262">
        <v>37200</v>
      </c>
      <c r="AC2002" s="3267">
        <f>AC2000</f>
        <v>37200</v>
      </c>
      <c r="AD2002" s="3477">
        <v>37200</v>
      </c>
      <c r="AE2002" s="3478">
        <v>37200</v>
      </c>
      <c r="AF2002" s="2236">
        <f t="shared" si="290"/>
        <v>37200</v>
      </c>
      <c r="AG2002" s="1396"/>
      <c r="DG2002" s="573"/>
      <c r="DH2002" s="159"/>
      <c r="DI2002" s="1091"/>
      <c r="DJ2002" s="1187"/>
    </row>
    <row r="2003" spans="1:114" ht="15" hidden="1" customHeight="1" outlineLevel="1">
      <c r="A2003" s="453"/>
      <c r="C2003" s="51"/>
      <c r="D2003" s="4295"/>
      <c r="E2003" s="4295"/>
      <c r="F2003" s="4300" t="str">
        <f>$E$1686</f>
        <v>ASHP-SEER21-Replace_CAC_ElectricHeat_ER2_MF_CompE</v>
      </c>
      <c r="G2003" s="4301"/>
      <c r="H2003" s="4301"/>
      <c r="I2003" s="4302"/>
      <c r="J2003" s="3471" t="str">
        <f>$C$1686</f>
        <v>353601_2024_12_</v>
      </c>
      <c r="K2003" s="3375">
        <v>37200</v>
      </c>
      <c r="L2003" s="3472">
        <f t="shared" si="291"/>
        <v>3.1</v>
      </c>
      <c r="M2003" s="3280" t="s">
        <v>1945</v>
      </c>
      <c r="S2003" s="52"/>
      <c r="T2003" s="52"/>
      <c r="U2003" s="52"/>
      <c r="V2003" s="4295"/>
      <c r="W2003" s="3262"/>
      <c r="X2003" s="3262"/>
      <c r="Y2003" s="3265">
        <v>37200</v>
      </c>
      <c r="Z2003" s="3262">
        <v>37200</v>
      </c>
      <c r="AA2003" s="3262">
        <v>37200</v>
      </c>
      <c r="AB2003" s="3262">
        <v>37200</v>
      </c>
      <c r="AC2003" s="3267">
        <f>AC2001</f>
        <v>37200</v>
      </c>
      <c r="AD2003" s="3477">
        <v>37200</v>
      </c>
      <c r="AE2003" s="3478">
        <v>37200</v>
      </c>
      <c r="AF2003" s="2236">
        <f t="shared" si="290"/>
        <v>37200</v>
      </c>
      <c r="AG2003" s="1396"/>
      <c r="DG2003" s="573"/>
      <c r="DH2003" s="159"/>
      <c r="DI2003" s="1091"/>
      <c r="DJ2003" s="1187"/>
    </row>
    <row r="2004" spans="1:114" ht="15" hidden="1" customHeight="1" outlineLevel="1">
      <c r="A2004" s="453"/>
      <c r="C2004" s="51"/>
      <c r="D2004" s="4295"/>
      <c r="E2004" s="4295"/>
      <c r="F2004" s="4300" t="str">
        <f>$E$1688</f>
        <v>ASHP-SEER21-Replace_CAC_NonElectricHeat_ER1_MF</v>
      </c>
      <c r="G2004" s="4301"/>
      <c r="H2004" s="4301"/>
      <c r="I2004" s="4302"/>
      <c r="J2004" s="3471" t="str">
        <f>$C$1688</f>
        <v>353610_2024_12_</v>
      </c>
      <c r="K2004" s="3375">
        <v>37200</v>
      </c>
      <c r="L2004" s="3472">
        <f t="shared" si="291"/>
        <v>3.1</v>
      </c>
      <c r="M2004" s="3280" t="s">
        <v>1945</v>
      </c>
      <c r="S2004" s="52"/>
      <c r="T2004" s="52"/>
      <c r="U2004" s="52"/>
      <c r="V2004" s="4295"/>
      <c r="W2004" s="3262"/>
      <c r="X2004" s="3262"/>
      <c r="Y2004" s="3265"/>
      <c r="Z2004" s="3262"/>
      <c r="AA2004" s="3262"/>
      <c r="AB2004" s="3262"/>
      <c r="AC2004" s="3279">
        <v>37200</v>
      </c>
      <c r="AD2004" s="3477">
        <v>37200</v>
      </c>
      <c r="AE2004" s="3478">
        <v>37200</v>
      </c>
      <c r="AF2004" s="2236">
        <f t="shared" si="290"/>
        <v>37200</v>
      </c>
      <c r="AG2004" s="1396"/>
      <c r="DG2004" s="573"/>
      <c r="DH2004" s="159"/>
      <c r="DI2004" s="1091"/>
      <c r="DJ2004" s="1187"/>
    </row>
    <row r="2005" spans="1:114" ht="15" hidden="1" customHeight="1" outlineLevel="1">
      <c r="A2005" s="453"/>
      <c r="C2005" s="51"/>
      <c r="D2005" s="4295"/>
      <c r="E2005" s="4295"/>
      <c r="F2005" s="4300" t="str">
        <f>$E$1690</f>
        <v>ASHP-SEER21-Replace_CAC_NonElectricHeat_ER2_MF</v>
      </c>
      <c r="G2005" s="4301"/>
      <c r="H2005" s="4301"/>
      <c r="I2005" s="4302"/>
      <c r="J2005" s="3471" t="str">
        <f>$C$1690</f>
        <v>353610_2024_12_</v>
      </c>
      <c r="K2005" s="3375">
        <v>37200</v>
      </c>
      <c r="L2005" s="3472">
        <f t="shared" si="291"/>
        <v>3.1</v>
      </c>
      <c r="M2005" s="3280" t="s">
        <v>1945</v>
      </c>
      <c r="S2005" s="52"/>
      <c r="T2005" s="52"/>
      <c r="U2005" s="52"/>
      <c r="V2005" s="4295"/>
      <c r="W2005" s="3262"/>
      <c r="X2005" s="3262"/>
      <c r="Y2005" s="3265"/>
      <c r="Z2005" s="3262"/>
      <c r="AA2005" s="3262"/>
      <c r="AB2005" s="3262"/>
      <c r="AC2005" s="3279">
        <v>37200</v>
      </c>
      <c r="AD2005" s="3477">
        <v>37200</v>
      </c>
      <c r="AE2005" s="3478">
        <v>37200</v>
      </c>
      <c r="AF2005" s="2236">
        <f t="shared" si="290"/>
        <v>37200</v>
      </c>
      <c r="AG2005" s="1396"/>
      <c r="DG2005" s="573"/>
      <c r="DH2005" s="159"/>
      <c r="DI2005" s="1091"/>
      <c r="DJ2005" s="1187"/>
    </row>
    <row r="2006" spans="1:114" ht="15" hidden="1" customHeight="1" outlineLevel="1">
      <c r="A2006" s="453"/>
      <c r="C2006" s="51"/>
      <c r="D2006" s="4295"/>
      <c r="E2006" s="4295"/>
      <c r="F2006" s="4300" t="str">
        <f>$E$1692</f>
        <v>ASHP-SEER21-Replace_CAC_NonElectricHeat_ER1_MF_CompE</v>
      </c>
      <c r="G2006" s="4301"/>
      <c r="H2006" s="4301"/>
      <c r="I2006" s="4302"/>
      <c r="J2006" s="3471" t="str">
        <f>$C$1692</f>
        <v>353611_2024_12_</v>
      </c>
      <c r="K2006" s="3375">
        <v>37200</v>
      </c>
      <c r="L2006" s="3472">
        <f t="shared" si="291"/>
        <v>3.1</v>
      </c>
      <c r="M2006" s="3280" t="s">
        <v>1945</v>
      </c>
      <c r="S2006" s="52"/>
      <c r="T2006" s="52"/>
      <c r="U2006" s="52"/>
      <c r="V2006" s="4295"/>
      <c r="W2006" s="3262"/>
      <c r="X2006" s="3262"/>
      <c r="Y2006" s="3265"/>
      <c r="Z2006" s="3262"/>
      <c r="AA2006" s="3262"/>
      <c r="AB2006" s="3262"/>
      <c r="AC2006" s="3279">
        <f>AC2004</f>
        <v>37200</v>
      </c>
      <c r="AD2006" s="3477">
        <v>37200</v>
      </c>
      <c r="AE2006" s="3478">
        <v>37200</v>
      </c>
      <c r="AF2006" s="2236">
        <f t="shared" si="290"/>
        <v>37200</v>
      </c>
      <c r="AG2006" s="1396"/>
      <c r="DG2006" s="573"/>
      <c r="DH2006" s="159"/>
      <c r="DI2006" s="1091"/>
      <c r="DJ2006" s="1187"/>
    </row>
    <row r="2007" spans="1:114" ht="15" hidden="1" customHeight="1" outlineLevel="1">
      <c r="A2007" s="453"/>
      <c r="C2007" s="51"/>
      <c r="D2007" s="4295"/>
      <c r="E2007" s="4295"/>
      <c r="F2007" s="4300" t="str">
        <f>$E$1694</f>
        <v>ASHP-SEER21-Replace_CAC_NonElectricHeat_ER2_MF_CompE</v>
      </c>
      <c r="G2007" s="4301"/>
      <c r="H2007" s="4301"/>
      <c r="I2007" s="4302"/>
      <c r="J2007" s="3471" t="str">
        <f>$C$1694</f>
        <v>353611_2024_12_</v>
      </c>
      <c r="K2007" s="3375">
        <v>37200</v>
      </c>
      <c r="L2007" s="3472">
        <f t="shared" si="291"/>
        <v>3.1</v>
      </c>
      <c r="M2007" s="3280" t="s">
        <v>1945</v>
      </c>
      <c r="S2007" s="52"/>
      <c r="T2007" s="52"/>
      <c r="U2007" s="52"/>
      <c r="V2007" s="4295"/>
      <c r="W2007" s="1396"/>
      <c r="X2007" s="1396"/>
      <c r="Y2007" s="833"/>
      <c r="Z2007" s="1396"/>
      <c r="AA2007" s="1396"/>
      <c r="AB2007" s="1396"/>
      <c r="AC2007" s="3279">
        <f>AC2005</f>
        <v>37200</v>
      </c>
      <c r="AD2007" s="3477">
        <v>37200</v>
      </c>
      <c r="AE2007" s="3478">
        <v>37200</v>
      </c>
      <c r="AF2007" s="2236">
        <f t="shared" si="290"/>
        <v>37200</v>
      </c>
      <c r="AG2007" s="1396"/>
      <c r="DG2007" s="573"/>
      <c r="DH2007" s="159"/>
      <c r="DI2007" s="1091"/>
      <c r="DJ2007" s="1187"/>
    </row>
    <row r="2008" spans="1:114" ht="15" hidden="1" customHeight="1" outlineLevel="1">
      <c r="A2008" s="453"/>
      <c r="C2008" s="51"/>
      <c r="D2008" s="4295"/>
      <c r="E2008" s="4295"/>
      <c r="F2008" s="4297" t="str">
        <f>$E$1696</f>
        <v>ASHP-SEER21-Replace_CAC_ElectricHeat_ROF_SF</v>
      </c>
      <c r="G2008" s="4298"/>
      <c r="H2008" s="4298"/>
      <c r="I2008" s="4299"/>
      <c r="J2008" s="1029" t="str">
        <f>$C$1696</f>
        <v>353650_2024_12_</v>
      </c>
      <c r="K2008" s="1753">
        <v>41639.393940624999</v>
      </c>
      <c r="L2008" s="1031">
        <f t="shared" si="291"/>
        <v>3.4699494950520831</v>
      </c>
      <c r="M2008" s="914" t="s">
        <v>1937</v>
      </c>
      <c r="S2008" s="52"/>
      <c r="T2008" s="52"/>
      <c r="U2008" s="52"/>
      <c r="V2008" s="4295"/>
      <c r="W2008" s="1396">
        <v>38400</v>
      </c>
      <c r="X2008" s="1396">
        <v>38400</v>
      </c>
      <c r="Y2008" s="1396">
        <v>38400</v>
      </c>
      <c r="Z2008" s="1396">
        <v>38400</v>
      </c>
      <c r="AA2008" s="1396">
        <v>38400</v>
      </c>
      <c r="AB2008" s="1396">
        <v>38400</v>
      </c>
      <c r="AC2008" s="825">
        <v>42000</v>
      </c>
      <c r="AD2008" s="967">
        <v>41639.393940624999</v>
      </c>
      <c r="AE2008" s="1033">
        <v>41639.393940624999</v>
      </c>
      <c r="AF2008" s="271">
        <f t="shared" si="290"/>
        <v>41639.393940624999</v>
      </c>
      <c r="AG2008" s="1396"/>
      <c r="DG2008" s="573"/>
      <c r="DH2008" s="159"/>
      <c r="DI2008" s="1091"/>
      <c r="DJ2008" s="1187"/>
    </row>
    <row r="2009" spans="1:114" ht="15" hidden="1" customHeight="1" outlineLevel="1">
      <c r="A2009" s="453"/>
      <c r="C2009" s="51"/>
      <c r="D2009" s="4295"/>
      <c r="E2009" s="4295"/>
      <c r="F2009" s="4297" t="str">
        <f>$E$1698</f>
        <v>ASHP-SEER21-Replace_CAC_NonElectricHeat_ROF_SF</v>
      </c>
      <c r="G2009" s="4298"/>
      <c r="H2009" s="4298"/>
      <c r="I2009" s="4299"/>
      <c r="J2009" s="1029" t="str">
        <f>$C$1698</f>
        <v>353660_2024_12_</v>
      </c>
      <c r="K2009" s="1753">
        <v>41639.393940624999</v>
      </c>
      <c r="L2009" s="1031">
        <f t="shared" si="291"/>
        <v>3.4699494950520831</v>
      </c>
      <c r="M2009" s="914" t="s">
        <v>1937</v>
      </c>
      <c r="S2009" s="52"/>
      <c r="T2009" s="52"/>
      <c r="U2009" s="52"/>
      <c r="V2009" s="4295"/>
      <c r="W2009" s="1396"/>
      <c r="X2009" s="833"/>
      <c r="Y2009" s="833"/>
      <c r="Z2009" s="1396"/>
      <c r="AA2009" s="1396"/>
      <c r="AB2009" s="825"/>
      <c r="AC2009" s="825"/>
      <c r="AD2009" s="967">
        <v>41639.393940624999</v>
      </c>
      <c r="AE2009" s="1033">
        <v>41639.393940624999</v>
      </c>
      <c r="AF2009" s="271">
        <f t="shared" si="290"/>
        <v>41639.393940624999</v>
      </c>
      <c r="AG2009" s="1396"/>
      <c r="DG2009" s="573"/>
      <c r="DH2009" s="159"/>
      <c r="DI2009" s="1091"/>
      <c r="DJ2009" s="1187"/>
    </row>
    <row r="2010" spans="1:114" ht="15" hidden="1" customHeight="1" outlineLevel="1">
      <c r="A2010" s="453"/>
      <c r="C2010" s="51"/>
      <c r="D2010" s="4295"/>
      <c r="E2010" s="4295"/>
      <c r="F2010" s="4300" t="str">
        <f>$E$1700</f>
        <v>ASHP-SEER21+-Replace_CAC_ElectricHeat_ROF_MF</v>
      </c>
      <c r="G2010" s="4301"/>
      <c r="H2010" s="4301"/>
      <c r="I2010" s="4302"/>
      <c r="J2010" s="3471" t="str">
        <f>$C$1700</f>
        <v>353700_2024_12_</v>
      </c>
      <c r="K2010" s="3375">
        <v>38400</v>
      </c>
      <c r="L2010" s="3472">
        <f t="shared" si="291"/>
        <v>3.2</v>
      </c>
      <c r="M2010" s="3280" t="s">
        <v>2496</v>
      </c>
      <c r="S2010" s="52"/>
      <c r="T2010" s="52"/>
      <c r="U2010" s="52"/>
      <c r="V2010" s="4295"/>
      <c r="W2010" s="3262">
        <v>38400</v>
      </c>
      <c r="X2010" s="3262">
        <v>38400</v>
      </c>
      <c r="Y2010" s="3262">
        <v>38400</v>
      </c>
      <c r="Z2010" s="3262">
        <v>38400</v>
      </c>
      <c r="AA2010" s="3262">
        <v>38400</v>
      </c>
      <c r="AB2010" s="3262">
        <v>38400</v>
      </c>
      <c r="AC2010" s="3267">
        <v>38400</v>
      </c>
      <c r="AD2010" s="3477">
        <v>38400</v>
      </c>
      <c r="AE2010" s="3478">
        <v>38400</v>
      </c>
      <c r="AF2010" s="2236">
        <f t="shared" si="290"/>
        <v>38400</v>
      </c>
      <c r="AG2010" s="1396"/>
      <c r="DG2010" s="573"/>
      <c r="DH2010" s="159"/>
      <c r="DI2010" s="1091"/>
      <c r="DJ2010" s="1187"/>
    </row>
    <row r="2011" spans="1:114" ht="15" hidden="1" customHeight="1" outlineLevel="1">
      <c r="A2011" s="453"/>
      <c r="C2011" s="51"/>
      <c r="D2011" s="4295"/>
      <c r="E2011" s="4295"/>
      <c r="F2011" s="4300" t="str">
        <f>$E$1702</f>
        <v>ASHP-SEER21+-Replace_CAC_ElectricHeat_ROF_MF_CompE</v>
      </c>
      <c r="G2011" s="4301"/>
      <c r="H2011" s="4301"/>
      <c r="I2011" s="4302"/>
      <c r="J2011" s="3471" t="str">
        <f>$C$1702</f>
        <v>353701_2024_12_</v>
      </c>
      <c r="K2011" s="3375">
        <v>38400</v>
      </c>
      <c r="L2011" s="3472">
        <f t="shared" si="291"/>
        <v>3.2</v>
      </c>
      <c r="M2011" s="3280" t="s">
        <v>1945</v>
      </c>
      <c r="S2011" s="52"/>
      <c r="T2011" s="52"/>
      <c r="U2011" s="52"/>
      <c r="V2011" s="4295"/>
      <c r="W2011" s="3262"/>
      <c r="X2011" s="3262"/>
      <c r="Y2011" s="3265">
        <v>38400</v>
      </c>
      <c r="Z2011" s="3262">
        <v>38400</v>
      </c>
      <c r="AA2011" s="3262">
        <v>38400</v>
      </c>
      <c r="AB2011" s="3262">
        <v>38400</v>
      </c>
      <c r="AC2011" s="3267">
        <v>38400</v>
      </c>
      <c r="AD2011" s="3477">
        <v>38400</v>
      </c>
      <c r="AE2011" s="3478">
        <v>38400</v>
      </c>
      <c r="AF2011" s="2236">
        <f t="shared" si="290"/>
        <v>38400</v>
      </c>
      <c r="AG2011" s="1396"/>
      <c r="DG2011" s="573"/>
      <c r="DH2011" s="159"/>
      <c r="DI2011" s="1091"/>
      <c r="DJ2011" s="1187"/>
    </row>
    <row r="2012" spans="1:114" ht="15" hidden="1" customHeight="1" outlineLevel="1">
      <c r="A2012" s="453"/>
      <c r="C2012" s="51"/>
      <c r="D2012" s="4295"/>
      <c r="E2012" s="4295"/>
      <c r="F2012" s="4300" t="str">
        <f>$E$1704</f>
        <v>ASHP-SEER21+-Replace_CAC_NonElectricHeat_ROF_MF</v>
      </c>
      <c r="G2012" s="4301"/>
      <c r="H2012" s="4301"/>
      <c r="I2012" s="4302"/>
      <c r="J2012" s="3471" t="str">
        <f>$C$1704</f>
        <v>353710_2024_12_</v>
      </c>
      <c r="K2012" s="3375">
        <v>38400</v>
      </c>
      <c r="L2012" s="3472">
        <f t="shared" si="291"/>
        <v>3.2</v>
      </c>
      <c r="M2012" s="3280" t="s">
        <v>1945</v>
      </c>
      <c r="S2012" s="52"/>
      <c r="T2012" s="52"/>
      <c r="U2012" s="52"/>
      <c r="V2012" s="4295"/>
      <c r="W2012" s="3262"/>
      <c r="X2012" s="3262"/>
      <c r="Y2012" s="3265"/>
      <c r="Z2012" s="3262"/>
      <c r="AA2012" s="3262"/>
      <c r="AB2012" s="3262"/>
      <c r="AC2012" s="3279">
        <v>38400</v>
      </c>
      <c r="AD2012" s="3477">
        <v>38400</v>
      </c>
      <c r="AE2012" s="3478">
        <v>38400</v>
      </c>
      <c r="AF2012" s="2236">
        <f t="shared" si="290"/>
        <v>38400</v>
      </c>
      <c r="AG2012" s="1396"/>
      <c r="DG2012" s="573"/>
      <c r="DH2012" s="159"/>
      <c r="DI2012" s="1091"/>
      <c r="DJ2012" s="1187"/>
    </row>
    <row r="2013" spans="1:114" ht="15" hidden="1" customHeight="1" outlineLevel="1">
      <c r="A2013" s="453"/>
      <c r="C2013" s="51"/>
      <c r="D2013" s="4295"/>
      <c r="E2013" s="4295"/>
      <c r="F2013" s="4300" t="str">
        <f>$E$1706</f>
        <v>ASHP-SEER21+-Replace_CAC_NonElectricHeat_ROF_MF_CompE</v>
      </c>
      <c r="G2013" s="4301"/>
      <c r="H2013" s="4301"/>
      <c r="I2013" s="4302"/>
      <c r="J2013" s="3471" t="str">
        <f>$C$1706</f>
        <v>353711_2024_12_</v>
      </c>
      <c r="K2013" s="3375">
        <v>38400</v>
      </c>
      <c r="L2013" s="3472">
        <f t="shared" si="291"/>
        <v>3.2</v>
      </c>
      <c r="M2013" s="3280" t="s">
        <v>1945</v>
      </c>
      <c r="S2013" s="52"/>
      <c r="T2013" s="52"/>
      <c r="U2013" s="52"/>
      <c r="V2013" s="4295"/>
      <c r="W2013" s="3262"/>
      <c r="X2013" s="3262"/>
      <c r="Y2013" s="3265"/>
      <c r="Z2013" s="3262"/>
      <c r="AA2013" s="3262"/>
      <c r="AB2013" s="3262"/>
      <c r="AC2013" s="3279">
        <v>38400</v>
      </c>
      <c r="AD2013" s="3477">
        <v>38400</v>
      </c>
      <c r="AE2013" s="3478">
        <v>38400</v>
      </c>
      <c r="AF2013" s="2236">
        <f t="shared" si="290"/>
        <v>38400</v>
      </c>
      <c r="AG2013" s="1396"/>
      <c r="DG2013" s="573"/>
      <c r="DH2013" s="159"/>
      <c r="DI2013" s="1091"/>
      <c r="DJ2013" s="1187"/>
    </row>
    <row r="2014" spans="1:114" ht="15" hidden="1" customHeight="1" outlineLevel="1">
      <c r="A2014" s="453"/>
      <c r="C2014" s="51"/>
      <c r="D2014" s="4295"/>
      <c r="E2014" s="4295"/>
      <c r="F2014" s="4297" t="str">
        <f>$E$1708</f>
        <v>ASHP-SEER17_ER1_SF</v>
      </c>
      <c r="G2014" s="4298"/>
      <c r="H2014" s="4298"/>
      <c r="I2014" s="4299"/>
      <c r="J2014" s="1029" t="str">
        <f>$C$1708</f>
        <v>353750_2024_12_</v>
      </c>
      <c r="K2014" s="1753">
        <v>31924.430692636917</v>
      </c>
      <c r="L2014" s="1031">
        <f t="shared" si="291"/>
        <v>2.6603692243864097</v>
      </c>
      <c r="M2014" s="914" t="s">
        <v>1934</v>
      </c>
      <c r="S2014" s="52"/>
      <c r="T2014" s="52"/>
      <c r="U2014" s="52"/>
      <c r="V2014" s="4295"/>
      <c r="W2014" s="1396">
        <v>39600</v>
      </c>
      <c r="X2014" s="1396">
        <v>39600</v>
      </c>
      <c r="Y2014" s="1396">
        <v>39600</v>
      </c>
      <c r="Z2014" s="1396">
        <v>39600</v>
      </c>
      <c r="AA2014" s="1396">
        <v>39600</v>
      </c>
      <c r="AB2014" s="1396">
        <v>39600</v>
      </c>
      <c r="AC2014" s="825">
        <v>35142.857142857138</v>
      </c>
      <c r="AD2014" s="967">
        <v>35218.736819625796</v>
      </c>
      <c r="AE2014" s="967">
        <v>31924.430692636917</v>
      </c>
      <c r="AF2014" s="271">
        <f t="shared" si="290"/>
        <v>31924.430692636917</v>
      </c>
      <c r="AG2014" s="1396"/>
      <c r="DG2014" s="573"/>
      <c r="DH2014" s="159"/>
      <c r="DI2014" s="1091"/>
      <c r="DJ2014" s="1187"/>
    </row>
    <row r="2015" spans="1:114" ht="15" hidden="1" customHeight="1" outlineLevel="1">
      <c r="A2015" s="453"/>
      <c r="C2015" s="51"/>
      <c r="D2015" s="4295"/>
      <c r="E2015" s="4295"/>
      <c r="F2015" s="4297" t="str">
        <f>$E$1710</f>
        <v>ASHP-SEER17_ER2_SF</v>
      </c>
      <c r="G2015" s="4298"/>
      <c r="H2015" s="4298"/>
      <c r="I2015" s="4299"/>
      <c r="J2015" s="1029" t="str">
        <f>$C$1710</f>
        <v>353750_2024_12_</v>
      </c>
      <c r="K2015" s="1753">
        <v>31924.430692636917</v>
      </c>
      <c r="L2015" s="1031">
        <f t="shared" si="291"/>
        <v>2.6603692243864097</v>
      </c>
      <c r="M2015" s="914" t="s">
        <v>1934</v>
      </c>
      <c r="S2015" s="52"/>
      <c r="T2015" s="52"/>
      <c r="U2015" s="52"/>
      <c r="V2015" s="4295"/>
      <c r="W2015" s="1396">
        <v>39600</v>
      </c>
      <c r="X2015" s="1396">
        <v>39600</v>
      </c>
      <c r="Y2015" s="1396">
        <v>39600</v>
      </c>
      <c r="Z2015" s="1396">
        <v>39600</v>
      </c>
      <c r="AA2015" s="1396">
        <v>39600</v>
      </c>
      <c r="AB2015" s="1396">
        <v>39600</v>
      </c>
      <c r="AC2015" s="825">
        <f>AC2014</f>
        <v>35142.857142857138</v>
      </c>
      <c r="AD2015" s="967">
        <v>35218.736819625796</v>
      </c>
      <c r="AE2015" s="967">
        <v>31924.430692636917</v>
      </c>
      <c r="AF2015" s="271">
        <f t="shared" si="290"/>
        <v>31924.430692636917</v>
      </c>
      <c r="AG2015" s="1396"/>
      <c r="DG2015" s="573"/>
      <c r="DH2015" s="159"/>
      <c r="DI2015" s="1091"/>
      <c r="DJ2015" s="1187"/>
    </row>
    <row r="2016" spans="1:114" ht="15" hidden="1" customHeight="1" outlineLevel="1">
      <c r="A2016" s="453"/>
      <c r="C2016" s="51"/>
      <c r="D2016" s="4295"/>
      <c r="E2016" s="4295"/>
      <c r="F2016" s="4297" t="str">
        <f>$E$1712</f>
        <v>ASHP-SEER17_ROF_SF</v>
      </c>
      <c r="G2016" s="4298"/>
      <c r="H2016" s="4298"/>
      <c r="I2016" s="4299"/>
      <c r="J2016" s="1029" t="str">
        <f>$C$1712</f>
        <v>353800_2024_12_</v>
      </c>
      <c r="K2016" s="1753">
        <v>38543.962847058829</v>
      </c>
      <c r="L2016" s="1031">
        <f>K2016/12000</f>
        <v>3.2119969039215692</v>
      </c>
      <c r="M2016" s="914" t="s">
        <v>1934</v>
      </c>
      <c r="S2016" s="52"/>
      <c r="T2016" s="52"/>
      <c r="U2016" s="52"/>
      <c r="V2016" s="4295"/>
      <c r="W2016" s="1396">
        <v>39600</v>
      </c>
      <c r="X2016" s="1396">
        <v>39600</v>
      </c>
      <c r="Y2016" s="1396">
        <v>39600</v>
      </c>
      <c r="Z2016" s="1396">
        <v>39600</v>
      </c>
      <c r="AA2016" s="1396">
        <v>39600</v>
      </c>
      <c r="AB2016" s="1396">
        <v>39600</v>
      </c>
      <c r="AC2016" s="825">
        <v>46285.71428571429</v>
      </c>
      <c r="AD2016" s="967">
        <v>35402.476190000001</v>
      </c>
      <c r="AE2016" s="967">
        <v>38543.962847058829</v>
      </c>
      <c r="AF2016" s="271">
        <f t="shared" si="290"/>
        <v>38543.962847058829</v>
      </c>
      <c r="AG2016" s="1396"/>
      <c r="DG2016" s="573"/>
      <c r="DH2016" s="159"/>
      <c r="DI2016" s="1091"/>
      <c r="DJ2016" s="1187"/>
    </row>
    <row r="2017" spans="1:114" ht="15" hidden="1" customHeight="1" outlineLevel="1">
      <c r="A2017" s="453"/>
      <c r="C2017" s="51"/>
      <c r="D2017" s="4295"/>
      <c r="E2017" s="4295"/>
      <c r="F2017" s="4297" t="str">
        <f>$E$1714</f>
        <v>ASHP-SEER18_ER1_SF</v>
      </c>
      <c r="G2017" s="4298"/>
      <c r="H2017" s="4298"/>
      <c r="I2017" s="4299"/>
      <c r="J2017" s="1029" t="str">
        <f>$C$1714</f>
        <v>353850_2024_12_</v>
      </c>
      <c r="K2017" s="1753">
        <v>34705.508067129631</v>
      </c>
      <c r="L2017" s="1031">
        <f t="shared" si="291"/>
        <v>2.8921256722608026</v>
      </c>
      <c r="M2017" s="914" t="s">
        <v>1934</v>
      </c>
      <c r="S2017" s="52"/>
      <c r="T2017" s="52"/>
      <c r="U2017" s="52"/>
      <c r="V2017" s="4295"/>
      <c r="W2017" s="1396">
        <v>39600</v>
      </c>
      <c r="X2017" s="1396">
        <v>39600</v>
      </c>
      <c r="Y2017" s="1396">
        <v>39600</v>
      </c>
      <c r="Z2017" s="1396">
        <v>39600</v>
      </c>
      <c r="AA2017" s="1396">
        <v>39600</v>
      </c>
      <c r="AB2017" s="833">
        <v>42600</v>
      </c>
      <c r="AC2017" s="825">
        <v>38521.739130434784</v>
      </c>
      <c r="AD2017" s="967">
        <v>36089.906153434065</v>
      </c>
      <c r="AE2017" s="967">
        <v>34705.508067129631</v>
      </c>
      <c r="AF2017" s="271">
        <f t="shared" si="290"/>
        <v>34705.508067129631</v>
      </c>
      <c r="AG2017" s="1396"/>
      <c r="DG2017" s="573"/>
      <c r="DH2017" s="159"/>
      <c r="DI2017" s="1091"/>
      <c r="DJ2017" s="1187"/>
    </row>
    <row r="2018" spans="1:114" ht="15" hidden="1" customHeight="1" outlineLevel="1">
      <c r="A2018" s="453"/>
      <c r="C2018" s="51"/>
      <c r="D2018" s="4295"/>
      <c r="E2018" s="4295"/>
      <c r="F2018" s="4297" t="str">
        <f>$E$1716</f>
        <v>ASHP-SEER18_ER2_SF</v>
      </c>
      <c r="G2018" s="4298"/>
      <c r="H2018" s="4298"/>
      <c r="I2018" s="4299"/>
      <c r="J2018" s="1029" t="str">
        <f>$C$1716</f>
        <v>353850_2024_12_</v>
      </c>
      <c r="K2018" s="1753">
        <v>34705.508067129631</v>
      </c>
      <c r="L2018" s="1031">
        <f t="shared" si="291"/>
        <v>2.8921256722608026</v>
      </c>
      <c r="M2018" s="914" t="s">
        <v>1934</v>
      </c>
      <c r="S2018" s="52"/>
      <c r="T2018" s="52"/>
      <c r="U2018" s="52"/>
      <c r="V2018" s="4295"/>
      <c r="W2018" s="1396">
        <v>39600</v>
      </c>
      <c r="X2018" s="1396">
        <v>39600</v>
      </c>
      <c r="Y2018" s="1396">
        <v>39600</v>
      </c>
      <c r="Z2018" s="1396">
        <v>39600</v>
      </c>
      <c r="AA2018" s="1396">
        <v>39600</v>
      </c>
      <c r="AB2018" s="833">
        <v>42600</v>
      </c>
      <c r="AC2018" s="825">
        <f>AC2017</f>
        <v>38521.739130434784</v>
      </c>
      <c r="AD2018" s="967">
        <v>36089.906153434065</v>
      </c>
      <c r="AE2018" s="967">
        <v>34705.508067129631</v>
      </c>
      <c r="AF2018" s="271">
        <f t="shared" si="290"/>
        <v>34705.508067129631</v>
      </c>
      <c r="AG2018" s="1396"/>
      <c r="DG2018" s="573"/>
      <c r="DH2018" s="159"/>
      <c r="DI2018" s="1091"/>
      <c r="DJ2018" s="1187"/>
    </row>
    <row r="2019" spans="1:114" ht="15" hidden="1" customHeight="1" outlineLevel="1">
      <c r="A2019" s="453"/>
      <c r="C2019" s="51"/>
      <c r="D2019" s="4295"/>
      <c r="E2019" s="4295"/>
      <c r="F2019" s="4297" t="str">
        <f>$E$1718</f>
        <v>ASHP-SEER18_ROF_SF</v>
      </c>
      <c r="G2019" s="4298"/>
      <c r="H2019" s="4298"/>
      <c r="I2019" s="4299"/>
      <c r="J2019" s="1029" t="str">
        <f>$C$1718</f>
        <v>353950_2024_12_</v>
      </c>
      <c r="K2019" s="1753">
        <v>36024.444439999999</v>
      </c>
      <c r="L2019" s="1031">
        <f t="shared" si="291"/>
        <v>3.0020370366666667</v>
      </c>
      <c r="M2019" s="914" t="s">
        <v>1934</v>
      </c>
      <c r="S2019" s="52"/>
      <c r="T2019" s="52"/>
      <c r="U2019" s="52"/>
      <c r="V2019" s="4295"/>
      <c r="W2019" s="1396">
        <v>39600</v>
      </c>
      <c r="X2019" s="1396">
        <v>39600</v>
      </c>
      <c r="Y2019" s="1396">
        <v>39600</v>
      </c>
      <c r="Z2019" s="1396">
        <v>39600</v>
      </c>
      <c r="AA2019" s="1396">
        <v>39600</v>
      </c>
      <c r="AB2019" s="1396">
        <v>39600</v>
      </c>
      <c r="AC2019" s="825">
        <v>41250</v>
      </c>
      <c r="AD2019" s="967">
        <v>37478.667573056096</v>
      </c>
      <c r="AE2019" s="967">
        <v>36024.444439999999</v>
      </c>
      <c r="AF2019" s="271">
        <f t="shared" si="290"/>
        <v>36024.444439999999</v>
      </c>
      <c r="AG2019" s="1396"/>
      <c r="DG2019" s="573"/>
      <c r="DH2019" s="159"/>
      <c r="DI2019" s="1091"/>
      <c r="DJ2019" s="1187"/>
    </row>
    <row r="2020" spans="1:114" ht="15" hidden="1" customHeight="1" outlineLevel="1">
      <c r="A2020" s="453"/>
      <c r="C2020" s="51"/>
      <c r="D2020" s="4295"/>
      <c r="E2020" s="4295"/>
      <c r="F2020" s="4297" t="str">
        <f>$E$1720</f>
        <v>ASHP-SEER19_ER1_SF</v>
      </c>
      <c r="G2020" s="4298"/>
      <c r="H2020" s="4298"/>
      <c r="I2020" s="4299"/>
      <c r="J2020" s="1029" t="str">
        <f>$C$1720</f>
        <v>354000_2024_12_</v>
      </c>
      <c r="K2020" s="1753">
        <v>45277.450979411762</v>
      </c>
      <c r="L2020" s="1031">
        <f t="shared" si="291"/>
        <v>3.7731209149509803</v>
      </c>
      <c r="M2020" s="914" t="s">
        <v>1934</v>
      </c>
      <c r="S2020" s="52"/>
      <c r="T2020" s="52"/>
      <c r="U2020" s="52"/>
      <c r="V2020" s="4295"/>
      <c r="W2020" s="1396">
        <v>39600</v>
      </c>
      <c r="X2020" s="1396">
        <v>39600</v>
      </c>
      <c r="Y2020" s="1396">
        <v>39600</v>
      </c>
      <c r="Z2020" s="1396">
        <v>39600</v>
      </c>
      <c r="AA2020" s="1396">
        <v>39600</v>
      </c>
      <c r="AB2020" s="1396">
        <v>39600</v>
      </c>
      <c r="AC2020" s="825">
        <v>48000</v>
      </c>
      <c r="AD2020" s="967">
        <v>45277.450979411769</v>
      </c>
      <c r="AE2020" s="1033">
        <v>45277.450979411762</v>
      </c>
      <c r="AF2020" s="271">
        <f t="shared" si="290"/>
        <v>45277.450979411762</v>
      </c>
      <c r="AG2020" s="1396"/>
      <c r="DG2020" s="573"/>
      <c r="DH2020" s="159"/>
      <c r="DI2020" s="1091"/>
      <c r="DJ2020" s="1187"/>
    </row>
    <row r="2021" spans="1:114" ht="15" hidden="1" customHeight="1" outlineLevel="1">
      <c r="A2021" s="453"/>
      <c r="C2021" s="51"/>
      <c r="D2021" s="4295"/>
      <c r="E2021" s="4295"/>
      <c r="F2021" s="4297" t="str">
        <f>$E$1722</f>
        <v>ASHP-SEER19_ER2_SF</v>
      </c>
      <c r="G2021" s="4298"/>
      <c r="H2021" s="4298"/>
      <c r="I2021" s="4299"/>
      <c r="J2021" s="1029" t="str">
        <f>$C$1722</f>
        <v>354000_2024_12_</v>
      </c>
      <c r="K2021" s="1753">
        <v>45277.450979411762</v>
      </c>
      <c r="L2021" s="1031">
        <f t="shared" si="291"/>
        <v>3.7731209149509803</v>
      </c>
      <c r="M2021" s="914" t="s">
        <v>1934</v>
      </c>
      <c r="S2021" s="52"/>
      <c r="T2021" s="52"/>
      <c r="U2021" s="52"/>
      <c r="V2021" s="4295"/>
      <c r="W2021" s="1396">
        <v>39600</v>
      </c>
      <c r="X2021" s="1396">
        <v>39600</v>
      </c>
      <c r="Y2021" s="1396">
        <v>39600</v>
      </c>
      <c r="Z2021" s="1396">
        <v>39600</v>
      </c>
      <c r="AA2021" s="1396">
        <v>39600</v>
      </c>
      <c r="AB2021" s="1396">
        <v>39600</v>
      </c>
      <c r="AC2021" s="825">
        <f>AC2020</f>
        <v>48000</v>
      </c>
      <c r="AD2021" s="967">
        <v>45277.450979411769</v>
      </c>
      <c r="AE2021" s="1033">
        <v>45277.450979411762</v>
      </c>
      <c r="AF2021" s="271">
        <f t="shared" si="290"/>
        <v>45277.450979411762</v>
      </c>
      <c r="AG2021" s="1396"/>
      <c r="DG2021" s="573"/>
      <c r="DH2021" s="159"/>
      <c r="DI2021" s="1091"/>
      <c r="DJ2021" s="1187"/>
    </row>
    <row r="2022" spans="1:114" ht="15" hidden="1" customHeight="1" outlineLevel="1">
      <c r="A2022" s="453"/>
      <c r="C2022" s="51"/>
      <c r="D2022" s="4295"/>
      <c r="E2022" s="4295"/>
      <c r="F2022" s="4297" t="str">
        <f>$E$1724</f>
        <v>ASHP-SEER19_ROF_SF</v>
      </c>
      <c r="G2022" s="4298"/>
      <c r="H2022" s="4298"/>
      <c r="I2022" s="4299"/>
      <c r="J2022" s="1029" t="str">
        <f>$C$1724</f>
        <v>354050_2024_12_</v>
      </c>
      <c r="K2022" s="1753">
        <v>35904.395607692306</v>
      </c>
      <c r="L2022" s="1031">
        <f t="shared" si="291"/>
        <v>2.9920329673076922</v>
      </c>
      <c r="M2022" s="914" t="s">
        <v>1937</v>
      </c>
      <c r="S2022" s="52"/>
      <c r="T2022" s="52"/>
      <c r="U2022" s="52"/>
      <c r="V2022" s="4295"/>
      <c r="W2022" s="1396">
        <v>39600</v>
      </c>
      <c r="X2022" s="1396">
        <v>39600</v>
      </c>
      <c r="Y2022" s="1396">
        <v>39600</v>
      </c>
      <c r="Z2022" s="1396">
        <v>39600</v>
      </c>
      <c r="AA2022" s="1396">
        <v>39600</v>
      </c>
      <c r="AB2022" s="1396">
        <v>39600</v>
      </c>
      <c r="AC2022" s="825">
        <v>26133.333333333332</v>
      </c>
      <c r="AD2022" s="967">
        <v>35904.395607692306</v>
      </c>
      <c r="AE2022" s="1033">
        <v>35904.395607692306</v>
      </c>
      <c r="AF2022" s="271">
        <f t="shared" si="290"/>
        <v>35904.395607692306</v>
      </c>
      <c r="AG2022" s="1396"/>
      <c r="DG2022" s="573"/>
      <c r="DH2022" s="159"/>
      <c r="DI2022" s="1091"/>
      <c r="DJ2022" s="1187"/>
    </row>
    <row r="2023" spans="1:114" ht="15" hidden="1" customHeight="1" outlineLevel="1">
      <c r="A2023" s="453"/>
      <c r="C2023" s="51"/>
      <c r="D2023" s="4295"/>
      <c r="E2023" s="4295"/>
      <c r="F2023" s="4297" t="str">
        <f>$E$1726</f>
        <v>ASHP-SEER17-Replace_CAC_ElectricHeat_ER1_SF</v>
      </c>
      <c r="G2023" s="4298"/>
      <c r="H2023" s="4298"/>
      <c r="I2023" s="4299"/>
      <c r="J2023" s="1029" t="str">
        <f>$C$1726</f>
        <v>354100_2024_12_</v>
      </c>
      <c r="K2023" s="1753">
        <v>31924.430692636917</v>
      </c>
      <c r="L2023" s="1031">
        <f t="shared" si="291"/>
        <v>2.6603692243864097</v>
      </c>
      <c r="M2023" s="914" t="s">
        <v>1934</v>
      </c>
      <c r="S2023" s="52"/>
      <c r="T2023" s="52"/>
      <c r="U2023" s="52"/>
      <c r="V2023" s="4295"/>
      <c r="W2023" s="1396">
        <v>37200</v>
      </c>
      <c r="X2023" s="1396">
        <v>37200</v>
      </c>
      <c r="Y2023" s="1396">
        <v>37200</v>
      </c>
      <c r="Z2023" s="1396">
        <v>37200</v>
      </c>
      <c r="AA2023" s="1396">
        <v>37200</v>
      </c>
      <c r="AB2023" s="1396">
        <v>37200</v>
      </c>
      <c r="AC2023" s="825">
        <v>34090.909090909088</v>
      </c>
      <c r="AD2023" s="967">
        <v>35218.736819625796</v>
      </c>
      <c r="AE2023" s="967">
        <v>31924.430692636917</v>
      </c>
      <c r="AF2023" s="271">
        <f t="shared" si="290"/>
        <v>31924.430692636917</v>
      </c>
      <c r="AG2023" s="1396"/>
      <c r="DG2023" s="573"/>
      <c r="DH2023" s="159"/>
      <c r="DI2023" s="1091"/>
      <c r="DJ2023" s="1187"/>
    </row>
    <row r="2024" spans="1:114" ht="15" hidden="1" customHeight="1" outlineLevel="1">
      <c r="A2024" s="453"/>
      <c r="C2024" s="51"/>
      <c r="D2024" s="4295"/>
      <c r="E2024" s="4295"/>
      <c r="F2024" s="4297" t="str">
        <f>$E$1728</f>
        <v>ASHP-SEER17-Replace_CAC_ElectricHeat_ER2_SF</v>
      </c>
      <c r="G2024" s="4298"/>
      <c r="H2024" s="4298"/>
      <c r="I2024" s="4299"/>
      <c r="J2024" s="1029" t="str">
        <f>$C$1728</f>
        <v>354100_2024_12_</v>
      </c>
      <c r="K2024" s="1753">
        <v>31924.430692636917</v>
      </c>
      <c r="L2024" s="1031">
        <f t="shared" si="291"/>
        <v>2.6603692243864097</v>
      </c>
      <c r="M2024" s="914" t="s">
        <v>1934</v>
      </c>
      <c r="S2024" s="52"/>
      <c r="T2024" s="52"/>
      <c r="U2024" s="52"/>
      <c r="V2024" s="4295"/>
      <c r="W2024" s="1396">
        <v>37200</v>
      </c>
      <c r="X2024" s="1396">
        <v>37200</v>
      </c>
      <c r="Y2024" s="1396">
        <v>37200</v>
      </c>
      <c r="Z2024" s="1396">
        <v>37200</v>
      </c>
      <c r="AA2024" s="1396">
        <v>37200</v>
      </c>
      <c r="AB2024" s="1396">
        <v>37200</v>
      </c>
      <c r="AC2024" s="825">
        <v>34090.909090909088</v>
      </c>
      <c r="AD2024" s="967">
        <v>35218.736819625796</v>
      </c>
      <c r="AE2024" s="967">
        <v>31924.430692636917</v>
      </c>
      <c r="AF2024" s="271">
        <f t="shared" si="290"/>
        <v>31924.430692636917</v>
      </c>
      <c r="AG2024" s="1396"/>
      <c r="DG2024" s="573"/>
      <c r="DH2024" s="159"/>
      <c r="DI2024" s="1091"/>
      <c r="DJ2024" s="1187"/>
    </row>
    <row r="2025" spans="1:114" ht="15" hidden="1" customHeight="1" outlineLevel="1">
      <c r="A2025" s="453"/>
      <c r="C2025" s="51"/>
      <c r="D2025" s="4295"/>
      <c r="E2025" s="4295"/>
      <c r="F2025" s="4297" t="str">
        <f>$E$1730</f>
        <v>ASHP-SEER17-Replace_CAC_NonElectricHeat_ER1_SF</v>
      </c>
      <c r="G2025" s="4298"/>
      <c r="H2025" s="4298"/>
      <c r="I2025" s="4299"/>
      <c r="J2025" s="1029" t="str">
        <f>$C$1730</f>
        <v>354110_2024_12_</v>
      </c>
      <c r="K2025" s="1753">
        <v>31924.430692636917</v>
      </c>
      <c r="L2025" s="1031">
        <f t="shared" si="291"/>
        <v>2.6603692243864097</v>
      </c>
      <c r="M2025" s="914" t="s">
        <v>1934</v>
      </c>
      <c r="S2025" s="52"/>
      <c r="T2025" s="52"/>
      <c r="U2025" s="52"/>
      <c r="V2025" s="4295"/>
      <c r="W2025" s="1396"/>
      <c r="X2025" s="1396"/>
      <c r="Y2025" s="1396"/>
      <c r="Z2025" s="1396"/>
      <c r="AA2025" s="1396"/>
      <c r="AB2025" s="1396"/>
      <c r="AC2025" s="825">
        <v>34090.909090909088</v>
      </c>
      <c r="AD2025" s="967">
        <v>35218.736819625796</v>
      </c>
      <c r="AE2025" s="967">
        <v>31924.430692636917</v>
      </c>
      <c r="AF2025" s="271">
        <f t="shared" si="290"/>
        <v>31924.430692636917</v>
      </c>
      <c r="AG2025" s="1396"/>
      <c r="DG2025" s="573"/>
      <c r="DH2025" s="159"/>
      <c r="DI2025" s="1091"/>
      <c r="DJ2025" s="1187"/>
    </row>
    <row r="2026" spans="1:114" ht="15" hidden="1" customHeight="1" outlineLevel="1">
      <c r="A2026" s="453"/>
      <c r="C2026" s="51"/>
      <c r="D2026" s="4295"/>
      <c r="E2026" s="4295"/>
      <c r="F2026" s="4297" t="str">
        <f>$E$1732</f>
        <v>ASHP-SEER17-Replace_CAC_NonElectricHeat_ER2_SF</v>
      </c>
      <c r="G2026" s="4298"/>
      <c r="H2026" s="4298"/>
      <c r="I2026" s="4299"/>
      <c r="J2026" s="1029" t="str">
        <f>$C$1732</f>
        <v>354110_2024_12_</v>
      </c>
      <c r="K2026" s="1753">
        <v>31924.430692636917</v>
      </c>
      <c r="L2026" s="1031">
        <f t="shared" si="291"/>
        <v>2.6603692243864097</v>
      </c>
      <c r="M2026" s="914" t="s">
        <v>1934</v>
      </c>
      <c r="S2026" s="52"/>
      <c r="T2026" s="52"/>
      <c r="U2026" s="52"/>
      <c r="V2026" s="4295"/>
      <c r="W2026" s="1396"/>
      <c r="X2026" s="1396"/>
      <c r="Y2026" s="1396"/>
      <c r="Z2026" s="1396"/>
      <c r="AA2026" s="1396"/>
      <c r="AB2026" s="1396"/>
      <c r="AC2026" s="825">
        <v>34090.909090909088</v>
      </c>
      <c r="AD2026" s="967">
        <v>35218.736819625796</v>
      </c>
      <c r="AE2026" s="967">
        <v>31924.430692636917</v>
      </c>
      <c r="AF2026" s="271">
        <f t="shared" si="290"/>
        <v>31924.430692636917</v>
      </c>
      <c r="AG2026" s="1396"/>
      <c r="DG2026" s="573"/>
      <c r="DH2026" s="159"/>
      <c r="DI2026" s="1091"/>
      <c r="DJ2026" s="1187"/>
    </row>
    <row r="2027" spans="1:114" ht="15" hidden="1" customHeight="1" outlineLevel="1">
      <c r="A2027" s="453"/>
      <c r="C2027" s="51"/>
      <c r="D2027" s="4295"/>
      <c r="E2027" s="4295"/>
      <c r="F2027" s="4297" t="str">
        <f>$E$1734</f>
        <v>ASHP-SEER17-Replace_CAC_ElectricHeat_ER1_MF</v>
      </c>
      <c r="G2027" s="4298"/>
      <c r="H2027" s="4298"/>
      <c r="I2027" s="4299"/>
      <c r="J2027" s="1029" t="str">
        <f>$C$1734</f>
        <v>354150_2024_12_</v>
      </c>
      <c r="K2027" s="1754">
        <v>37200</v>
      </c>
      <c r="L2027" s="1031">
        <f t="shared" si="291"/>
        <v>3.1</v>
      </c>
      <c r="M2027" s="914" t="s">
        <v>1945</v>
      </c>
      <c r="P2027" s="261"/>
      <c r="Q2027" s="209"/>
      <c r="R2027" s="261"/>
      <c r="S2027" s="52"/>
      <c r="T2027" s="181"/>
      <c r="U2027" s="52"/>
      <c r="V2027" s="4295"/>
      <c r="W2027" s="1396">
        <v>37200</v>
      </c>
      <c r="X2027" s="1396">
        <v>37200</v>
      </c>
      <c r="Y2027" s="1396">
        <v>37200</v>
      </c>
      <c r="Z2027" s="1396">
        <v>37200</v>
      </c>
      <c r="AA2027" s="1396">
        <v>37200</v>
      </c>
      <c r="AB2027" s="1396">
        <v>37200</v>
      </c>
      <c r="AC2027" s="802">
        <v>37200</v>
      </c>
      <c r="AD2027" s="1033">
        <v>37200</v>
      </c>
      <c r="AE2027" s="968">
        <v>37200</v>
      </c>
      <c r="AF2027" s="271">
        <f t="shared" si="290"/>
        <v>37200</v>
      </c>
      <c r="AG2027" s="1396"/>
      <c r="DG2027" s="573"/>
      <c r="DH2027" s="159"/>
      <c r="DI2027" s="1091"/>
      <c r="DJ2027" s="1187"/>
    </row>
    <row r="2028" spans="1:114" ht="15" hidden="1" customHeight="1" outlineLevel="1">
      <c r="A2028" s="453"/>
      <c r="C2028" s="51"/>
      <c r="D2028" s="4295"/>
      <c r="E2028" s="4295"/>
      <c r="F2028" s="4297" t="str">
        <f>$E$1736</f>
        <v>ASHP-SEER17-Replace_CAC_ElectricHeat_ER2_MF</v>
      </c>
      <c r="G2028" s="4298"/>
      <c r="H2028" s="4298"/>
      <c r="I2028" s="4299"/>
      <c r="J2028" s="1029" t="str">
        <f>$C$1736</f>
        <v>354150_2024_12_</v>
      </c>
      <c r="K2028" s="1754">
        <v>37200</v>
      </c>
      <c r="L2028" s="1031">
        <f t="shared" si="291"/>
        <v>3.1</v>
      </c>
      <c r="M2028" s="914" t="s">
        <v>1945</v>
      </c>
      <c r="S2028" s="52"/>
      <c r="T2028" s="52"/>
      <c r="U2028" s="52"/>
      <c r="V2028" s="4295"/>
      <c r="W2028" s="1396">
        <v>37200</v>
      </c>
      <c r="X2028" s="1396">
        <v>37200</v>
      </c>
      <c r="Y2028" s="1396">
        <v>37200</v>
      </c>
      <c r="Z2028" s="1396">
        <v>37200</v>
      </c>
      <c r="AA2028" s="1396">
        <v>37200</v>
      </c>
      <c r="AB2028" s="1396">
        <v>37200</v>
      </c>
      <c r="AC2028" s="802">
        <v>37200</v>
      </c>
      <c r="AD2028" s="1033">
        <v>37200</v>
      </c>
      <c r="AE2028" s="968">
        <v>37200</v>
      </c>
      <c r="AF2028" s="271">
        <f t="shared" si="290"/>
        <v>37200</v>
      </c>
      <c r="AG2028" s="1396"/>
      <c r="DG2028" s="573"/>
      <c r="DH2028" s="159"/>
      <c r="DI2028" s="1091"/>
      <c r="DJ2028" s="1187"/>
    </row>
    <row r="2029" spans="1:114" ht="15" hidden="1" customHeight="1" outlineLevel="1">
      <c r="A2029" s="453"/>
      <c r="C2029" s="51"/>
      <c r="D2029" s="4295"/>
      <c r="E2029" s="4295"/>
      <c r="F2029" s="4300" t="str">
        <f>$E$1738</f>
        <v>ASHP-SEER17-Replace_CAC_ElectricHeat_ER1_MF_CompE</v>
      </c>
      <c r="G2029" s="4301"/>
      <c r="H2029" s="4301"/>
      <c r="I2029" s="4302"/>
      <c r="J2029" s="3471" t="str">
        <f>$C$1738</f>
        <v>354151_2024_12_</v>
      </c>
      <c r="K2029" s="3375">
        <v>37200</v>
      </c>
      <c r="L2029" s="3472">
        <f t="shared" si="291"/>
        <v>3.1</v>
      </c>
      <c r="M2029" s="3280" t="s">
        <v>1945</v>
      </c>
      <c r="S2029" s="52"/>
      <c r="T2029" s="52"/>
      <c r="U2029" s="52"/>
      <c r="V2029" s="4295"/>
      <c r="W2029" s="3262"/>
      <c r="X2029" s="3262"/>
      <c r="Y2029" s="3265">
        <v>37200</v>
      </c>
      <c r="Z2029" s="3262">
        <v>37200</v>
      </c>
      <c r="AA2029" s="3262">
        <v>37200</v>
      </c>
      <c r="AB2029" s="3262">
        <v>37200</v>
      </c>
      <c r="AC2029" s="3267">
        <f>AC2027</f>
        <v>37200</v>
      </c>
      <c r="AD2029" s="3477">
        <v>37200</v>
      </c>
      <c r="AE2029" s="3478">
        <v>37200</v>
      </c>
      <c r="AF2029" s="2236">
        <f t="shared" si="290"/>
        <v>37200</v>
      </c>
      <c r="AG2029" s="1396"/>
      <c r="DG2029" s="573"/>
      <c r="DH2029" s="159"/>
      <c r="DI2029" s="1091"/>
      <c r="DJ2029" s="1187"/>
    </row>
    <row r="2030" spans="1:114" ht="15" hidden="1" customHeight="1" outlineLevel="1">
      <c r="A2030" s="453"/>
      <c r="C2030" s="51"/>
      <c r="D2030" s="4295"/>
      <c r="E2030" s="4295"/>
      <c r="F2030" s="4300" t="str">
        <f>$E$1740</f>
        <v>ASHP-SEER17-Replace_CAC_ElectricHeat_ER2_MF_CompE</v>
      </c>
      <c r="G2030" s="4301"/>
      <c r="H2030" s="4301"/>
      <c r="I2030" s="4302"/>
      <c r="J2030" s="3471" t="str">
        <f>$C$1740</f>
        <v>354151_2024_12_</v>
      </c>
      <c r="K2030" s="3375">
        <v>37200</v>
      </c>
      <c r="L2030" s="3472">
        <f t="shared" si="291"/>
        <v>3.1</v>
      </c>
      <c r="M2030" s="3280" t="s">
        <v>1945</v>
      </c>
      <c r="S2030" s="52"/>
      <c r="T2030" s="52"/>
      <c r="U2030" s="52"/>
      <c r="V2030" s="4295"/>
      <c r="W2030" s="3262"/>
      <c r="X2030" s="3262"/>
      <c r="Y2030" s="3265">
        <v>37200</v>
      </c>
      <c r="Z2030" s="3262">
        <v>37200</v>
      </c>
      <c r="AA2030" s="3262">
        <v>37200</v>
      </c>
      <c r="AB2030" s="3262">
        <v>37200</v>
      </c>
      <c r="AC2030" s="3267">
        <f>AC2028</f>
        <v>37200</v>
      </c>
      <c r="AD2030" s="3477">
        <v>37200</v>
      </c>
      <c r="AE2030" s="3478">
        <v>37200</v>
      </c>
      <c r="AF2030" s="2236">
        <f t="shared" si="290"/>
        <v>37200</v>
      </c>
      <c r="AG2030" s="1396"/>
      <c r="DG2030" s="573"/>
      <c r="DH2030" s="159"/>
      <c r="DI2030" s="1091"/>
      <c r="DJ2030" s="1187"/>
    </row>
    <row r="2031" spans="1:114" ht="15" hidden="1" customHeight="1" outlineLevel="1">
      <c r="A2031" s="453"/>
      <c r="C2031" s="51"/>
      <c r="D2031" s="4295"/>
      <c r="E2031" s="4295"/>
      <c r="F2031" s="4300" t="str">
        <f>$E$1742</f>
        <v>ASHP-SEER17-Replace_CAC_NonElectricHeat_ER1_MF</v>
      </c>
      <c r="G2031" s="4301"/>
      <c r="H2031" s="4301"/>
      <c r="I2031" s="4302"/>
      <c r="J2031" s="3471" t="str">
        <f>$C$1742</f>
        <v>354160_2024_12_</v>
      </c>
      <c r="K2031" s="3375">
        <v>37200</v>
      </c>
      <c r="L2031" s="3472">
        <f t="shared" si="291"/>
        <v>3.1</v>
      </c>
      <c r="M2031" s="3280" t="s">
        <v>1945</v>
      </c>
      <c r="S2031" s="52"/>
      <c r="T2031" s="52"/>
      <c r="U2031" s="52"/>
      <c r="V2031" s="4295"/>
      <c r="W2031" s="3262"/>
      <c r="X2031" s="3262"/>
      <c r="Y2031" s="3265"/>
      <c r="Z2031" s="3262"/>
      <c r="AA2031" s="3262"/>
      <c r="AB2031" s="3262"/>
      <c r="AC2031" s="3279">
        <v>37200</v>
      </c>
      <c r="AD2031" s="3477">
        <v>37200</v>
      </c>
      <c r="AE2031" s="3478">
        <v>37200</v>
      </c>
      <c r="AF2031" s="2236">
        <f t="shared" si="290"/>
        <v>37200</v>
      </c>
      <c r="AG2031" s="1396"/>
      <c r="DG2031" s="573"/>
      <c r="DH2031" s="159"/>
      <c r="DI2031" s="1091"/>
      <c r="DJ2031" s="1187"/>
    </row>
    <row r="2032" spans="1:114" ht="15" hidden="1" customHeight="1" outlineLevel="1">
      <c r="A2032" s="453"/>
      <c r="C2032" s="51"/>
      <c r="D2032" s="4295"/>
      <c r="E2032" s="4295"/>
      <c r="F2032" s="4300" t="str">
        <f>$E$1744</f>
        <v>ASHP-SEER17-Replace_CAC_NonElectricHeat_ER2_MF</v>
      </c>
      <c r="G2032" s="4301"/>
      <c r="H2032" s="4301"/>
      <c r="I2032" s="4302"/>
      <c r="J2032" s="3471" t="str">
        <f>$C$1744</f>
        <v>354160_2024_12_</v>
      </c>
      <c r="K2032" s="3375">
        <v>37200</v>
      </c>
      <c r="L2032" s="3472">
        <f t="shared" si="291"/>
        <v>3.1</v>
      </c>
      <c r="M2032" s="3280" t="s">
        <v>1945</v>
      </c>
      <c r="S2032" s="52"/>
      <c r="T2032" s="52"/>
      <c r="U2032" s="52"/>
      <c r="V2032" s="4295"/>
      <c r="W2032" s="3262"/>
      <c r="X2032" s="3262"/>
      <c r="Y2032" s="3265"/>
      <c r="Z2032" s="3262"/>
      <c r="AA2032" s="3262"/>
      <c r="AB2032" s="3262"/>
      <c r="AC2032" s="3279">
        <v>37200</v>
      </c>
      <c r="AD2032" s="3477">
        <v>37200</v>
      </c>
      <c r="AE2032" s="3478">
        <v>37200</v>
      </c>
      <c r="AF2032" s="2236">
        <f t="shared" si="290"/>
        <v>37200</v>
      </c>
      <c r="AG2032" s="1396"/>
      <c r="DG2032" s="573"/>
      <c r="DH2032" s="159"/>
      <c r="DI2032" s="1091"/>
      <c r="DJ2032" s="1187"/>
    </row>
    <row r="2033" spans="1:114" ht="15" hidden="1" customHeight="1" outlineLevel="1">
      <c r="A2033" s="453"/>
      <c r="C2033" s="51"/>
      <c r="D2033" s="4295"/>
      <c r="E2033" s="4295"/>
      <c r="F2033" s="4300" t="str">
        <f>$E$1746</f>
        <v>ASHP-SEER17-Replace_CAC_NonElectricHeat_ER1_MF_CompE</v>
      </c>
      <c r="G2033" s="4301"/>
      <c r="H2033" s="4301"/>
      <c r="I2033" s="4302"/>
      <c r="J2033" s="3471" t="str">
        <f>$C$1746</f>
        <v>354161_2024_12_</v>
      </c>
      <c r="K2033" s="3375">
        <v>37200</v>
      </c>
      <c r="L2033" s="3472">
        <f t="shared" si="291"/>
        <v>3.1</v>
      </c>
      <c r="M2033" s="3280" t="s">
        <v>1945</v>
      </c>
      <c r="S2033" s="52"/>
      <c r="T2033" s="52"/>
      <c r="U2033" s="52"/>
      <c r="V2033" s="4295"/>
      <c r="W2033" s="3262"/>
      <c r="X2033" s="3262"/>
      <c r="Y2033" s="3265"/>
      <c r="Z2033" s="3262"/>
      <c r="AA2033" s="3262"/>
      <c r="AB2033" s="3262"/>
      <c r="AC2033" s="3279">
        <f>AC2031</f>
        <v>37200</v>
      </c>
      <c r="AD2033" s="3477">
        <v>37200</v>
      </c>
      <c r="AE2033" s="3478">
        <v>37200</v>
      </c>
      <c r="AF2033" s="2236">
        <f t="shared" si="290"/>
        <v>37200</v>
      </c>
      <c r="AG2033" s="1396"/>
      <c r="DG2033" s="573"/>
      <c r="DH2033" s="159"/>
      <c r="DI2033" s="1091"/>
      <c r="DJ2033" s="1187"/>
    </row>
    <row r="2034" spans="1:114" ht="15" hidden="1" customHeight="1" outlineLevel="1">
      <c r="A2034" s="453"/>
      <c r="C2034" s="51"/>
      <c r="D2034" s="4295"/>
      <c r="E2034" s="4295"/>
      <c r="F2034" s="4300" t="str">
        <f>$E$1748</f>
        <v>ASHP-SEER17-Replace_CAC_NonElectricHeat_ER2_MF_CompE</v>
      </c>
      <c r="G2034" s="4301"/>
      <c r="H2034" s="4301"/>
      <c r="I2034" s="4302"/>
      <c r="J2034" s="3471" t="str">
        <f>$C$1748</f>
        <v>354161_2024_12_</v>
      </c>
      <c r="K2034" s="3375">
        <v>37200</v>
      </c>
      <c r="L2034" s="3472">
        <f t="shared" si="291"/>
        <v>3.1</v>
      </c>
      <c r="M2034" s="3280" t="s">
        <v>1945</v>
      </c>
      <c r="S2034" s="52"/>
      <c r="T2034" s="52"/>
      <c r="U2034" s="52"/>
      <c r="V2034" s="4295"/>
      <c r="W2034" s="3262"/>
      <c r="X2034" s="3262"/>
      <c r="Y2034" s="3265"/>
      <c r="Z2034" s="3262"/>
      <c r="AA2034" s="3262"/>
      <c r="AB2034" s="3262"/>
      <c r="AC2034" s="3279">
        <f>AC2032</f>
        <v>37200</v>
      </c>
      <c r="AD2034" s="3477">
        <v>37200</v>
      </c>
      <c r="AE2034" s="3478">
        <v>37200</v>
      </c>
      <c r="AF2034" s="2236">
        <f t="shared" si="290"/>
        <v>37200</v>
      </c>
      <c r="AG2034" s="1396"/>
      <c r="DG2034" s="573"/>
      <c r="DH2034" s="159"/>
      <c r="DI2034" s="1091"/>
      <c r="DJ2034" s="1187"/>
    </row>
    <row r="2035" spans="1:114" ht="15" hidden="1" customHeight="1" outlineLevel="1">
      <c r="A2035" s="453"/>
      <c r="C2035" s="51"/>
      <c r="D2035" s="4295"/>
      <c r="E2035" s="4295"/>
      <c r="F2035" s="4297" t="str">
        <f>$E$1750</f>
        <v>ASHP-SEER17_ER1_MF</v>
      </c>
      <c r="G2035" s="4298"/>
      <c r="H2035" s="4298"/>
      <c r="I2035" s="4299"/>
      <c r="J2035" s="1029" t="str">
        <f>$C$1750</f>
        <v>354200_2024_12_</v>
      </c>
      <c r="K2035" s="1754">
        <v>39600</v>
      </c>
      <c r="L2035" s="1031">
        <f t="shared" si="291"/>
        <v>3.3</v>
      </c>
      <c r="M2035" s="914" t="s">
        <v>1945</v>
      </c>
      <c r="S2035" s="52"/>
      <c r="T2035" s="52"/>
      <c r="U2035" s="52"/>
      <c r="V2035" s="4295"/>
      <c r="W2035" s="1396">
        <v>39600</v>
      </c>
      <c r="X2035" s="1396">
        <v>39600</v>
      </c>
      <c r="Y2035" s="1396">
        <v>39600</v>
      </c>
      <c r="Z2035" s="1396">
        <v>39600</v>
      </c>
      <c r="AA2035" s="1396">
        <v>39600</v>
      </c>
      <c r="AB2035" s="1396">
        <v>39600</v>
      </c>
      <c r="AC2035" s="802">
        <v>39600</v>
      </c>
      <c r="AD2035" s="1033">
        <v>39600</v>
      </c>
      <c r="AE2035" s="968">
        <v>39600</v>
      </c>
      <c r="AF2035" s="271">
        <f t="shared" si="290"/>
        <v>39600</v>
      </c>
      <c r="AG2035" s="1396"/>
      <c r="DG2035" s="573"/>
      <c r="DH2035" s="159"/>
      <c r="DI2035" s="1091"/>
      <c r="DJ2035" s="1187"/>
    </row>
    <row r="2036" spans="1:114" ht="15" hidden="1" customHeight="1" outlineLevel="1">
      <c r="A2036" s="453"/>
      <c r="C2036" s="51"/>
      <c r="D2036" s="4295"/>
      <c r="E2036" s="4295"/>
      <c r="F2036" s="4297" t="str">
        <f>$E$1752</f>
        <v>ASHP-SEER17_ER2_MF</v>
      </c>
      <c r="G2036" s="4298"/>
      <c r="H2036" s="4298"/>
      <c r="I2036" s="4299"/>
      <c r="J2036" s="1029" t="str">
        <f>$C$1752</f>
        <v>354200_2024_12_</v>
      </c>
      <c r="K2036" s="1754">
        <v>39600</v>
      </c>
      <c r="L2036" s="1031">
        <f t="shared" si="291"/>
        <v>3.3</v>
      </c>
      <c r="M2036" s="914" t="s">
        <v>1945</v>
      </c>
      <c r="S2036" s="52"/>
      <c r="T2036" s="52"/>
      <c r="U2036" s="52"/>
      <c r="V2036" s="4295"/>
      <c r="W2036" s="1396">
        <v>39600</v>
      </c>
      <c r="X2036" s="1396">
        <v>39600</v>
      </c>
      <c r="Y2036" s="1396">
        <v>39600</v>
      </c>
      <c r="Z2036" s="1396">
        <v>39600</v>
      </c>
      <c r="AA2036" s="1396">
        <v>39600</v>
      </c>
      <c r="AB2036" s="1396">
        <v>39600</v>
      </c>
      <c r="AC2036" s="802">
        <v>39600</v>
      </c>
      <c r="AD2036" s="1033">
        <v>39600</v>
      </c>
      <c r="AE2036" s="968">
        <v>39600</v>
      </c>
      <c r="AF2036" s="271">
        <f t="shared" si="290"/>
        <v>39600</v>
      </c>
      <c r="AG2036" s="1396"/>
      <c r="DG2036" s="573"/>
      <c r="DH2036" s="159"/>
      <c r="DI2036" s="1091"/>
      <c r="DJ2036" s="1187"/>
    </row>
    <row r="2037" spans="1:114" ht="15" hidden="1" customHeight="1" outlineLevel="1">
      <c r="A2037" s="453"/>
      <c r="C2037" s="51"/>
      <c r="D2037" s="4295"/>
      <c r="E2037" s="4295"/>
      <c r="F2037" s="4300" t="str">
        <f>$E$1754</f>
        <v>ASHP-SEER17_ER1_MF_CompE</v>
      </c>
      <c r="G2037" s="4301"/>
      <c r="H2037" s="4301"/>
      <c r="I2037" s="4302"/>
      <c r="J2037" s="3471" t="str">
        <f>$C$1754</f>
        <v>354201_2024_12_</v>
      </c>
      <c r="K2037" s="3375">
        <v>39600</v>
      </c>
      <c r="L2037" s="3472">
        <f t="shared" si="291"/>
        <v>3.3</v>
      </c>
      <c r="M2037" s="3280" t="s">
        <v>1945</v>
      </c>
      <c r="S2037" s="52"/>
      <c r="T2037" s="52"/>
      <c r="U2037" s="52"/>
      <c r="V2037" s="4295"/>
      <c r="W2037" s="3262"/>
      <c r="X2037" s="3262"/>
      <c r="Y2037" s="3265">
        <v>39600</v>
      </c>
      <c r="Z2037" s="3262">
        <v>39600</v>
      </c>
      <c r="AA2037" s="3262">
        <v>39600</v>
      </c>
      <c r="AB2037" s="3262">
        <v>39600</v>
      </c>
      <c r="AC2037" s="3267">
        <f>AC2035</f>
        <v>39600</v>
      </c>
      <c r="AD2037" s="3477">
        <v>39600</v>
      </c>
      <c r="AE2037" s="3478">
        <v>39600</v>
      </c>
      <c r="AF2037" s="2236">
        <f t="shared" si="290"/>
        <v>39600</v>
      </c>
      <c r="AG2037" s="1396"/>
      <c r="DG2037" s="573"/>
      <c r="DH2037" s="159"/>
      <c r="DI2037" s="1091"/>
      <c r="DJ2037" s="1187"/>
    </row>
    <row r="2038" spans="1:114" ht="15" hidden="1" customHeight="1" outlineLevel="1">
      <c r="A2038" s="453"/>
      <c r="C2038" s="51"/>
      <c r="D2038" s="4295"/>
      <c r="E2038" s="4295"/>
      <c r="F2038" s="4300" t="str">
        <f>$E$1756</f>
        <v>ASHP-SEER17_ER2_MF_CompE</v>
      </c>
      <c r="G2038" s="4301"/>
      <c r="H2038" s="4301"/>
      <c r="I2038" s="4302"/>
      <c r="J2038" s="3471" t="str">
        <f>$C$1756</f>
        <v>354201_2024_12_</v>
      </c>
      <c r="K2038" s="3375">
        <v>39600</v>
      </c>
      <c r="L2038" s="3472">
        <f t="shared" si="291"/>
        <v>3.3</v>
      </c>
      <c r="M2038" s="3280" t="s">
        <v>1945</v>
      </c>
      <c r="S2038" s="52"/>
      <c r="T2038" s="52"/>
      <c r="U2038" s="52"/>
      <c r="V2038" s="4295"/>
      <c r="W2038" s="3262"/>
      <c r="X2038" s="3262"/>
      <c r="Y2038" s="3265">
        <v>39600</v>
      </c>
      <c r="Z2038" s="3262">
        <v>39600</v>
      </c>
      <c r="AA2038" s="3262">
        <v>39600</v>
      </c>
      <c r="AB2038" s="3262">
        <v>39600</v>
      </c>
      <c r="AC2038" s="3267">
        <f>AC2036</f>
        <v>39600</v>
      </c>
      <c r="AD2038" s="3477">
        <v>39600</v>
      </c>
      <c r="AE2038" s="3478">
        <v>39600</v>
      </c>
      <c r="AF2038" s="2236">
        <f t="shared" si="290"/>
        <v>39600</v>
      </c>
      <c r="AG2038" s="1396"/>
      <c r="DG2038" s="573"/>
      <c r="DH2038" s="159"/>
      <c r="DI2038" s="1091"/>
      <c r="DJ2038" s="1187"/>
    </row>
    <row r="2039" spans="1:114" ht="15" hidden="1" customHeight="1" outlineLevel="1">
      <c r="A2039" s="453"/>
      <c r="C2039" s="51"/>
      <c r="D2039" s="4295"/>
      <c r="E2039" s="4295"/>
      <c r="F2039" s="4297" t="str">
        <f>$E$1758</f>
        <v>ASHP-SEER18-Replace_CAC_ElectricHeat_ER1_SF</v>
      </c>
      <c r="G2039" s="4298"/>
      <c r="H2039" s="4298"/>
      <c r="I2039" s="4299"/>
      <c r="J2039" s="1029" t="str">
        <f>$C$1758</f>
        <v>354250_2024_12_</v>
      </c>
      <c r="K2039" s="1753">
        <v>34705.508067129631</v>
      </c>
      <c r="L2039" s="1031">
        <f t="shared" si="291"/>
        <v>2.8921256722608026</v>
      </c>
      <c r="M2039" s="914" t="s">
        <v>1934</v>
      </c>
      <c r="S2039" s="52"/>
      <c r="T2039" s="52"/>
      <c r="U2039" s="52"/>
      <c r="V2039" s="4295"/>
      <c r="W2039" s="1396">
        <v>37200</v>
      </c>
      <c r="X2039" s="1396">
        <v>37200</v>
      </c>
      <c r="Y2039" s="1396">
        <v>37200</v>
      </c>
      <c r="Z2039" s="1396">
        <v>37200</v>
      </c>
      <c r="AA2039" s="1396">
        <v>37200</v>
      </c>
      <c r="AB2039" s="825">
        <v>40965.517241379312</v>
      </c>
      <c r="AC2039" s="825">
        <v>37721.739130434784</v>
      </c>
      <c r="AD2039" s="967">
        <v>36089.906153434065</v>
      </c>
      <c r="AE2039" s="967">
        <v>34705.508067129631</v>
      </c>
      <c r="AF2039" s="271">
        <f t="shared" si="290"/>
        <v>34705.508067129631</v>
      </c>
      <c r="AG2039" s="1396"/>
      <c r="DG2039" s="573"/>
      <c r="DH2039" s="159"/>
      <c r="DI2039" s="1091"/>
      <c r="DJ2039" s="1187"/>
    </row>
    <row r="2040" spans="1:114" ht="15" hidden="1" customHeight="1" outlineLevel="1">
      <c r="A2040" s="453"/>
      <c r="C2040" s="51"/>
      <c r="D2040" s="4295"/>
      <c r="E2040" s="4295"/>
      <c r="F2040" s="4297" t="str">
        <f>$E$1760</f>
        <v>ASHP-SEER18-Replace_CAC_ElectricHeat_ER2_SF</v>
      </c>
      <c r="G2040" s="4298"/>
      <c r="H2040" s="4298"/>
      <c r="I2040" s="4299"/>
      <c r="J2040" s="1029" t="str">
        <f>$C$1760</f>
        <v>354250_2024_12_</v>
      </c>
      <c r="K2040" s="1753">
        <v>34705.508067129631</v>
      </c>
      <c r="L2040" s="1031">
        <f t="shared" si="291"/>
        <v>2.8921256722608026</v>
      </c>
      <c r="M2040" s="914" t="s">
        <v>1934</v>
      </c>
      <c r="S2040" s="52"/>
      <c r="T2040" s="52"/>
      <c r="U2040" s="52"/>
      <c r="V2040" s="4295"/>
      <c r="W2040" s="1396">
        <v>37200</v>
      </c>
      <c r="X2040" s="1396">
        <v>37200</v>
      </c>
      <c r="Y2040" s="1396">
        <v>37200</v>
      </c>
      <c r="Z2040" s="1396">
        <v>37200</v>
      </c>
      <c r="AA2040" s="1396">
        <v>37200</v>
      </c>
      <c r="AB2040" s="825">
        <v>40965.517241379312</v>
      </c>
      <c r="AC2040" s="825">
        <f>AC2039</f>
        <v>37721.739130434784</v>
      </c>
      <c r="AD2040" s="967">
        <v>36089.906153434065</v>
      </c>
      <c r="AE2040" s="967">
        <v>34705.508067129631</v>
      </c>
      <c r="AF2040" s="271">
        <f t="shared" si="290"/>
        <v>34705.508067129631</v>
      </c>
      <c r="AG2040" s="1396"/>
      <c r="DG2040" s="573"/>
      <c r="DH2040" s="159"/>
      <c r="DI2040" s="1091"/>
      <c r="DJ2040" s="1187"/>
    </row>
    <row r="2041" spans="1:114" ht="15" hidden="1" customHeight="1" outlineLevel="1">
      <c r="A2041" s="453"/>
      <c r="C2041" s="51"/>
      <c r="D2041" s="4295"/>
      <c r="E2041" s="4295"/>
      <c r="F2041" s="4297" t="str">
        <f>$E$1762</f>
        <v>ASHP-SEER18-Replace_CAC_NonElectricHeat_ER1_SF</v>
      </c>
      <c r="G2041" s="4298"/>
      <c r="H2041" s="4298"/>
      <c r="I2041" s="4299"/>
      <c r="J2041" s="1029" t="str">
        <f>$C$1762</f>
        <v>354260_2024_12_</v>
      </c>
      <c r="K2041" s="1753">
        <v>34705.508067129631</v>
      </c>
      <c r="L2041" s="1031">
        <f t="shared" si="291"/>
        <v>2.8921256722608026</v>
      </c>
      <c r="M2041" s="914" t="s">
        <v>1934</v>
      </c>
      <c r="S2041" s="52"/>
      <c r="T2041" s="52"/>
      <c r="U2041" s="52"/>
      <c r="V2041" s="4295"/>
      <c r="W2041" s="1396"/>
      <c r="X2041" s="1396"/>
      <c r="Y2041" s="1396"/>
      <c r="Z2041" s="1396"/>
      <c r="AA2041" s="1396"/>
      <c r="AB2041" s="825"/>
      <c r="AC2041" s="825">
        <v>37721.739130434784</v>
      </c>
      <c r="AD2041" s="967">
        <v>36089.906153434065</v>
      </c>
      <c r="AE2041" s="967">
        <v>34705.508067129631</v>
      </c>
      <c r="AF2041" s="271">
        <f t="shared" si="290"/>
        <v>34705.508067129631</v>
      </c>
      <c r="AG2041" s="1396"/>
      <c r="DG2041" s="573"/>
      <c r="DH2041" s="159"/>
      <c r="DI2041" s="1091"/>
      <c r="DJ2041" s="1187"/>
    </row>
    <row r="2042" spans="1:114" ht="15" hidden="1" customHeight="1" outlineLevel="1">
      <c r="A2042" s="453"/>
      <c r="C2042" s="51"/>
      <c r="D2042" s="4295"/>
      <c r="E2042" s="4295"/>
      <c r="F2042" s="4297" t="str">
        <f>$E$1764</f>
        <v>ASHP-SEER18-Replace_CAC_NonElectricHeat_ER2_SF</v>
      </c>
      <c r="G2042" s="4298"/>
      <c r="H2042" s="4298"/>
      <c r="I2042" s="4299"/>
      <c r="J2042" s="1029" t="str">
        <f>$C$1764</f>
        <v>354260_2024_12_</v>
      </c>
      <c r="K2042" s="1753">
        <v>34705.508067129631</v>
      </c>
      <c r="L2042" s="1031">
        <f t="shared" si="291"/>
        <v>2.8921256722608026</v>
      </c>
      <c r="M2042" s="914" t="s">
        <v>1934</v>
      </c>
      <c r="S2042" s="52"/>
      <c r="T2042" s="52"/>
      <c r="U2042" s="52"/>
      <c r="V2042" s="4295"/>
      <c r="W2042" s="1396"/>
      <c r="X2042" s="1396"/>
      <c r="Y2042" s="1396"/>
      <c r="Z2042" s="1396"/>
      <c r="AA2042" s="1396"/>
      <c r="AB2042" s="825"/>
      <c r="AC2042" s="825">
        <f>AC2041</f>
        <v>37721.739130434784</v>
      </c>
      <c r="AD2042" s="967">
        <v>36089.906153434065</v>
      </c>
      <c r="AE2042" s="967">
        <v>34705.508067129631</v>
      </c>
      <c r="AF2042" s="271">
        <f t="shared" ref="AF2042:AF2105" si="292">IF(K2042&lt;&gt;"",K2042,"")</f>
        <v>34705.508067129631</v>
      </c>
      <c r="AG2042" s="1396"/>
      <c r="DG2042" s="573"/>
      <c r="DH2042" s="159"/>
      <c r="DI2042" s="1091"/>
      <c r="DJ2042" s="1187"/>
    </row>
    <row r="2043" spans="1:114" ht="15" hidden="1" customHeight="1" outlineLevel="1">
      <c r="A2043" s="453"/>
      <c r="C2043" s="51"/>
      <c r="D2043" s="4295"/>
      <c r="E2043" s="4295"/>
      <c r="F2043" s="4297" t="str">
        <f>$E$1766</f>
        <v>ASHP-SEER18-Replace_CAC_ElectricHeat_ER1_MF</v>
      </c>
      <c r="G2043" s="4298"/>
      <c r="H2043" s="4298"/>
      <c r="I2043" s="4299"/>
      <c r="J2043" s="1029" t="str">
        <f>$C$1766</f>
        <v>354300_2024_12_</v>
      </c>
      <c r="K2043" s="1754">
        <v>18000</v>
      </c>
      <c r="L2043" s="1031">
        <f t="shared" si="291"/>
        <v>1.5</v>
      </c>
      <c r="M2043" s="914" t="s">
        <v>1938</v>
      </c>
      <c r="S2043" s="52"/>
      <c r="T2043" s="52"/>
      <c r="U2043" s="52"/>
      <c r="V2043" s="4295"/>
      <c r="W2043" s="1396">
        <v>37200</v>
      </c>
      <c r="X2043" s="1396">
        <v>37200</v>
      </c>
      <c r="Y2043" s="1396">
        <v>37200</v>
      </c>
      <c r="Z2043" s="1396">
        <v>37200</v>
      </c>
      <c r="AA2043" s="1396">
        <v>37200</v>
      </c>
      <c r="AB2043" s="825">
        <v>48000</v>
      </c>
      <c r="AC2043" s="825">
        <v>18000</v>
      </c>
      <c r="AD2043" s="1033">
        <v>18000</v>
      </c>
      <c r="AE2043" s="968">
        <v>18000</v>
      </c>
      <c r="AF2043" s="271">
        <f t="shared" si="292"/>
        <v>18000</v>
      </c>
      <c r="AG2043" s="1396"/>
      <c r="DG2043" s="573"/>
      <c r="DH2043" s="159"/>
      <c r="DI2043" s="1091"/>
      <c r="DJ2043" s="1187"/>
    </row>
    <row r="2044" spans="1:114" ht="15" hidden="1" customHeight="1" outlineLevel="1">
      <c r="A2044" s="453"/>
      <c r="C2044" s="51"/>
      <c r="D2044" s="4295"/>
      <c r="E2044" s="4295"/>
      <c r="F2044" s="4297" t="str">
        <f>$E$1768</f>
        <v>ASHP-SEER18-Replace_CAC_ElectricHeat_ER2_MF</v>
      </c>
      <c r="G2044" s="4298"/>
      <c r="H2044" s="4298"/>
      <c r="I2044" s="4299"/>
      <c r="J2044" s="1029" t="str">
        <f>$C$1768</f>
        <v>354300_2024_12_</v>
      </c>
      <c r="K2044" s="1754">
        <v>18000</v>
      </c>
      <c r="L2044" s="1031">
        <f t="shared" si="291"/>
        <v>1.5</v>
      </c>
      <c r="M2044" s="914" t="s">
        <v>1938</v>
      </c>
      <c r="S2044" s="52"/>
      <c r="T2044" s="52"/>
      <c r="U2044" s="52"/>
      <c r="V2044" s="4295"/>
      <c r="W2044" s="1396">
        <v>37200</v>
      </c>
      <c r="X2044" s="1396">
        <v>37200</v>
      </c>
      <c r="Y2044" s="1396">
        <v>37200</v>
      </c>
      <c r="Z2044" s="1396">
        <v>37200</v>
      </c>
      <c r="AA2044" s="1396">
        <v>37200</v>
      </c>
      <c r="AB2044" s="825">
        <v>48000</v>
      </c>
      <c r="AC2044" s="825">
        <f>AC2043</f>
        <v>18000</v>
      </c>
      <c r="AD2044" s="1033">
        <v>18000</v>
      </c>
      <c r="AE2044" s="968">
        <v>18000</v>
      </c>
      <c r="AF2044" s="271">
        <f t="shared" si="292"/>
        <v>18000</v>
      </c>
      <c r="AG2044" s="1396"/>
      <c r="DG2044" s="573"/>
      <c r="DH2044" s="159"/>
      <c r="DI2044" s="1091"/>
      <c r="DJ2044" s="1187"/>
    </row>
    <row r="2045" spans="1:114" ht="15" hidden="1" customHeight="1" outlineLevel="1">
      <c r="A2045" s="453"/>
      <c r="C2045" s="51"/>
      <c r="D2045" s="4295"/>
      <c r="E2045" s="4295"/>
      <c r="F2045" s="4300" t="str">
        <f>$E$1770</f>
        <v>ASHP-SEER18-Replace_CAC_ElectricHeat_ER1_MF_CompE</v>
      </c>
      <c r="G2045" s="4301"/>
      <c r="H2045" s="4301"/>
      <c r="I2045" s="4302"/>
      <c r="J2045" s="3471" t="str">
        <f>$C$1770</f>
        <v>354301_2024_12_</v>
      </c>
      <c r="K2045" s="3375">
        <v>18000</v>
      </c>
      <c r="L2045" s="3472">
        <f t="shared" si="291"/>
        <v>1.5</v>
      </c>
      <c r="M2045" s="3280" t="s">
        <v>1945</v>
      </c>
      <c r="S2045" s="52"/>
      <c r="T2045" s="52"/>
      <c r="U2045" s="52"/>
      <c r="V2045" s="4295"/>
      <c r="W2045" s="3262"/>
      <c r="X2045" s="3262"/>
      <c r="Y2045" s="3265">
        <v>37200</v>
      </c>
      <c r="Z2045" s="3262">
        <v>37200</v>
      </c>
      <c r="AA2045" s="3262">
        <v>37200</v>
      </c>
      <c r="AB2045" s="3265">
        <v>48000</v>
      </c>
      <c r="AC2045" s="3279">
        <f>AC2043</f>
        <v>18000</v>
      </c>
      <c r="AD2045" s="3477">
        <v>18000</v>
      </c>
      <c r="AE2045" s="3478">
        <v>18000</v>
      </c>
      <c r="AF2045" s="2236">
        <f t="shared" si="292"/>
        <v>18000</v>
      </c>
      <c r="AG2045" s="1396"/>
      <c r="DG2045" s="573"/>
      <c r="DH2045" s="159"/>
      <c r="DI2045" s="1091"/>
      <c r="DJ2045" s="1187"/>
    </row>
    <row r="2046" spans="1:114" ht="15" hidden="1" customHeight="1" outlineLevel="1">
      <c r="A2046" s="453"/>
      <c r="C2046" s="51"/>
      <c r="D2046" s="4295"/>
      <c r="E2046" s="4295"/>
      <c r="F2046" s="4300" t="str">
        <f>$E$1772</f>
        <v>ASHP-SEER18-Replace_CAC_ElectricHeat_ER2_MF_CompE</v>
      </c>
      <c r="G2046" s="4301"/>
      <c r="H2046" s="4301"/>
      <c r="I2046" s="4302"/>
      <c r="J2046" s="3471" t="str">
        <f>$C$1772</f>
        <v>354301_2024_12_</v>
      </c>
      <c r="K2046" s="3375">
        <v>18000</v>
      </c>
      <c r="L2046" s="3472">
        <f t="shared" si="291"/>
        <v>1.5</v>
      </c>
      <c r="M2046" s="3280" t="s">
        <v>1945</v>
      </c>
      <c r="S2046" s="52"/>
      <c r="T2046" s="52"/>
      <c r="U2046" s="52"/>
      <c r="V2046" s="4295"/>
      <c r="W2046" s="3262"/>
      <c r="X2046" s="3262"/>
      <c r="Y2046" s="3265">
        <v>37200</v>
      </c>
      <c r="Z2046" s="3262">
        <v>37200</v>
      </c>
      <c r="AA2046" s="3262">
        <v>37200</v>
      </c>
      <c r="AB2046" s="3265">
        <v>48000</v>
      </c>
      <c r="AC2046" s="3279">
        <f>AC2044</f>
        <v>18000</v>
      </c>
      <c r="AD2046" s="3477">
        <v>18000</v>
      </c>
      <c r="AE2046" s="3478">
        <v>18000</v>
      </c>
      <c r="AF2046" s="2236">
        <f t="shared" si="292"/>
        <v>18000</v>
      </c>
      <c r="AG2046" s="1396"/>
      <c r="DG2046" s="573"/>
      <c r="DH2046" s="159"/>
      <c r="DI2046" s="1091"/>
      <c r="DJ2046" s="1187"/>
    </row>
    <row r="2047" spans="1:114" ht="15" hidden="1" customHeight="1" outlineLevel="1">
      <c r="A2047" s="453"/>
      <c r="C2047" s="51"/>
      <c r="D2047" s="4295"/>
      <c r="E2047" s="4295"/>
      <c r="F2047" s="4300" t="str">
        <f>$E$1774</f>
        <v>ASHP-SEER18-Replace_CAC_NonElectricHeat_ER1_MF</v>
      </c>
      <c r="G2047" s="4301"/>
      <c r="H2047" s="4301"/>
      <c r="I2047" s="4302"/>
      <c r="J2047" s="3471" t="str">
        <f>$C$1774</f>
        <v>354310_2024_12_</v>
      </c>
      <c r="K2047" s="3375">
        <v>18000</v>
      </c>
      <c r="L2047" s="3472">
        <f t="shared" si="291"/>
        <v>1.5</v>
      </c>
      <c r="M2047" s="3280" t="s">
        <v>1945</v>
      </c>
      <c r="S2047" s="52"/>
      <c r="T2047" s="52"/>
      <c r="U2047" s="52"/>
      <c r="V2047" s="4295"/>
      <c r="W2047" s="3262"/>
      <c r="X2047" s="3262"/>
      <c r="Y2047" s="3265"/>
      <c r="Z2047" s="3262"/>
      <c r="AA2047" s="3262"/>
      <c r="AB2047" s="3265"/>
      <c r="AC2047" s="3279">
        <v>18000</v>
      </c>
      <c r="AD2047" s="3477">
        <v>18000</v>
      </c>
      <c r="AE2047" s="3478">
        <v>18000</v>
      </c>
      <c r="AF2047" s="2236">
        <f t="shared" si="292"/>
        <v>18000</v>
      </c>
      <c r="AG2047" s="1396"/>
      <c r="DG2047" s="573"/>
      <c r="DH2047" s="159"/>
      <c r="DI2047" s="1091"/>
      <c r="DJ2047" s="1187"/>
    </row>
    <row r="2048" spans="1:114" ht="15" hidden="1" customHeight="1" outlineLevel="1">
      <c r="A2048" s="453"/>
      <c r="C2048" s="51"/>
      <c r="D2048" s="4295"/>
      <c r="E2048" s="4295"/>
      <c r="F2048" s="4300" t="str">
        <f>$E$1776</f>
        <v>ASHP-SEER18-Replace_CAC_NonElectricHeat_ER2_MF</v>
      </c>
      <c r="G2048" s="4301"/>
      <c r="H2048" s="4301"/>
      <c r="I2048" s="4302"/>
      <c r="J2048" s="3471" t="str">
        <f>$C$1776</f>
        <v>354310_2024_12_</v>
      </c>
      <c r="K2048" s="3375">
        <v>18000</v>
      </c>
      <c r="L2048" s="3472">
        <f t="shared" ref="L2048:L2106" si="293">K2048/12000</f>
        <v>1.5</v>
      </c>
      <c r="M2048" s="3280" t="s">
        <v>1945</v>
      </c>
      <c r="S2048" s="52"/>
      <c r="T2048" s="52"/>
      <c r="U2048" s="52"/>
      <c r="V2048" s="4295"/>
      <c r="W2048" s="3262"/>
      <c r="X2048" s="3262"/>
      <c r="Y2048" s="3265"/>
      <c r="Z2048" s="3262"/>
      <c r="AA2048" s="3262"/>
      <c r="AB2048" s="3265"/>
      <c r="AC2048" s="3279">
        <f>AC2047</f>
        <v>18000</v>
      </c>
      <c r="AD2048" s="3477">
        <v>18000</v>
      </c>
      <c r="AE2048" s="3478">
        <v>18000</v>
      </c>
      <c r="AF2048" s="2236">
        <f t="shared" si="292"/>
        <v>18000</v>
      </c>
      <c r="AG2048" s="1396"/>
      <c r="DG2048" s="573"/>
      <c r="DH2048" s="159"/>
      <c r="DI2048" s="1091"/>
      <c r="DJ2048" s="1187"/>
    </row>
    <row r="2049" spans="1:114" ht="15" hidden="1" customHeight="1" outlineLevel="1">
      <c r="A2049" s="453"/>
      <c r="C2049" s="51"/>
      <c r="D2049" s="4295"/>
      <c r="E2049" s="4295"/>
      <c r="F2049" s="4300" t="str">
        <f>$E$1778</f>
        <v>ASHP-SEER18-Replace_CAC_NonElectricHeat_ER1_MF_CompE</v>
      </c>
      <c r="G2049" s="4301"/>
      <c r="H2049" s="4301"/>
      <c r="I2049" s="4302"/>
      <c r="J2049" s="3471" t="str">
        <f>$C$1778</f>
        <v>354311_2024_12_</v>
      </c>
      <c r="K2049" s="3375">
        <v>18000</v>
      </c>
      <c r="L2049" s="3472">
        <f t="shared" si="293"/>
        <v>1.5</v>
      </c>
      <c r="M2049" s="3280" t="s">
        <v>1945</v>
      </c>
      <c r="S2049" s="52"/>
      <c r="T2049" s="52"/>
      <c r="U2049" s="52"/>
      <c r="V2049" s="4295"/>
      <c r="W2049" s="3262"/>
      <c r="X2049" s="3262"/>
      <c r="Y2049" s="3265"/>
      <c r="Z2049" s="3262"/>
      <c r="AA2049" s="3262"/>
      <c r="AB2049" s="3265"/>
      <c r="AC2049" s="3279">
        <f>AC2047</f>
        <v>18000</v>
      </c>
      <c r="AD2049" s="3477">
        <v>18000</v>
      </c>
      <c r="AE2049" s="3478">
        <v>18000</v>
      </c>
      <c r="AF2049" s="2236">
        <f t="shared" si="292"/>
        <v>18000</v>
      </c>
      <c r="AG2049" s="1396"/>
      <c r="DG2049" s="573"/>
      <c r="DH2049" s="159"/>
      <c r="DI2049" s="1091"/>
      <c r="DJ2049" s="1187"/>
    </row>
    <row r="2050" spans="1:114" ht="15" hidden="1" customHeight="1" outlineLevel="1">
      <c r="A2050" s="453"/>
      <c r="C2050" s="51"/>
      <c r="D2050" s="4295"/>
      <c r="E2050" s="4295"/>
      <c r="F2050" s="4300" t="str">
        <f>$E$1780</f>
        <v>ASHP-SEER18-Replace_CAC_NonElectricHeat_ER2_MF_CompE</v>
      </c>
      <c r="G2050" s="4301"/>
      <c r="H2050" s="4301"/>
      <c r="I2050" s="4302"/>
      <c r="J2050" s="3471" t="str">
        <f>$C$1780</f>
        <v>354311_2024_12_</v>
      </c>
      <c r="K2050" s="3375">
        <v>18000</v>
      </c>
      <c r="L2050" s="3472">
        <f t="shared" si="293"/>
        <v>1.5</v>
      </c>
      <c r="M2050" s="3280" t="s">
        <v>1945</v>
      </c>
      <c r="S2050" s="52"/>
      <c r="T2050" s="52"/>
      <c r="U2050" s="52"/>
      <c r="V2050" s="4295"/>
      <c r="W2050" s="3262"/>
      <c r="X2050" s="3262"/>
      <c r="Y2050" s="3265"/>
      <c r="Z2050" s="3262"/>
      <c r="AA2050" s="3262"/>
      <c r="AB2050" s="3265"/>
      <c r="AC2050" s="3279">
        <f>AC2048</f>
        <v>18000</v>
      </c>
      <c r="AD2050" s="3477">
        <v>18000</v>
      </c>
      <c r="AE2050" s="3478">
        <v>18000</v>
      </c>
      <c r="AF2050" s="2236">
        <f t="shared" si="292"/>
        <v>18000</v>
      </c>
      <c r="AG2050" s="1396"/>
      <c r="DG2050" s="573"/>
      <c r="DH2050" s="159"/>
      <c r="DI2050" s="1091"/>
      <c r="DJ2050" s="1187"/>
    </row>
    <row r="2051" spans="1:114" ht="15" hidden="1" customHeight="1" outlineLevel="1">
      <c r="A2051" s="453"/>
      <c r="C2051" s="51"/>
      <c r="D2051" s="4295"/>
      <c r="E2051" s="4295"/>
      <c r="F2051" s="4297" t="str">
        <f>$E$1782</f>
        <v>ASHP-SEER18_ER1_MF</v>
      </c>
      <c r="G2051" s="4298"/>
      <c r="H2051" s="4298"/>
      <c r="I2051" s="4299"/>
      <c r="J2051" s="1029" t="str">
        <f>$C$1782</f>
        <v>354350_2024_12_</v>
      </c>
      <c r="K2051" s="1753">
        <v>30000</v>
      </c>
      <c r="L2051" s="1031">
        <f>K2051/12000</f>
        <v>2.5</v>
      </c>
      <c r="M2051" s="914" t="s">
        <v>1937</v>
      </c>
      <c r="S2051" s="52"/>
      <c r="T2051" s="52"/>
      <c r="U2051" s="52"/>
      <c r="V2051" s="4295"/>
      <c r="W2051" s="1396">
        <v>39600</v>
      </c>
      <c r="X2051" s="1396">
        <v>39600</v>
      </c>
      <c r="Y2051" s="1396">
        <v>39600</v>
      </c>
      <c r="Z2051" s="1396">
        <v>39600</v>
      </c>
      <c r="AA2051" s="1396">
        <v>39600</v>
      </c>
      <c r="AB2051" s="1396">
        <v>39600</v>
      </c>
      <c r="AC2051" s="825">
        <v>60000</v>
      </c>
      <c r="AD2051" s="967">
        <v>30000</v>
      </c>
      <c r="AE2051" s="1033">
        <v>30000</v>
      </c>
      <c r="AF2051" s="271">
        <f t="shared" si="292"/>
        <v>30000</v>
      </c>
      <c r="AG2051" s="1396"/>
      <c r="DG2051" s="573"/>
      <c r="DH2051" s="159"/>
      <c r="DI2051" s="1091"/>
      <c r="DJ2051" s="1187"/>
    </row>
    <row r="2052" spans="1:114" ht="15" hidden="1" customHeight="1" outlineLevel="1">
      <c r="A2052" s="453"/>
      <c r="C2052" s="51"/>
      <c r="D2052" s="4295"/>
      <c r="E2052" s="4295"/>
      <c r="F2052" s="4297" t="str">
        <f>$E$1784</f>
        <v>ASHP-SEER18_ER2_MF</v>
      </c>
      <c r="G2052" s="4298"/>
      <c r="H2052" s="4298"/>
      <c r="I2052" s="4299"/>
      <c r="J2052" s="1029" t="str">
        <f>$C$1784</f>
        <v>354350_2024_12_</v>
      </c>
      <c r="K2052" s="1753">
        <v>30000</v>
      </c>
      <c r="L2052" s="1031">
        <f>K2052/12000</f>
        <v>2.5</v>
      </c>
      <c r="M2052" s="914" t="s">
        <v>1937</v>
      </c>
      <c r="S2052" s="52"/>
      <c r="T2052" s="52"/>
      <c r="U2052" s="52"/>
      <c r="V2052" s="4295"/>
      <c r="W2052" s="1396">
        <v>39600</v>
      </c>
      <c r="X2052" s="1396">
        <v>39600</v>
      </c>
      <c r="Y2052" s="1396">
        <v>39600</v>
      </c>
      <c r="Z2052" s="1396">
        <v>39600</v>
      </c>
      <c r="AA2052" s="1396">
        <v>39600</v>
      </c>
      <c r="AB2052" s="1396">
        <v>39600</v>
      </c>
      <c r="AC2052" s="825">
        <f>AC2051</f>
        <v>60000</v>
      </c>
      <c r="AD2052" s="967">
        <v>30000</v>
      </c>
      <c r="AE2052" s="1033">
        <v>30000</v>
      </c>
      <c r="AF2052" s="271">
        <f t="shared" si="292"/>
        <v>30000</v>
      </c>
      <c r="AG2052" s="1396"/>
      <c r="DG2052" s="573"/>
      <c r="DH2052" s="159"/>
      <c r="DI2052" s="1091"/>
      <c r="DJ2052" s="1187"/>
    </row>
    <row r="2053" spans="1:114" ht="15" hidden="1" customHeight="1" outlineLevel="1">
      <c r="A2053" s="453"/>
      <c r="C2053" s="51"/>
      <c r="D2053" s="4295"/>
      <c r="E2053" s="4295"/>
      <c r="F2053" s="4300" t="str">
        <f>$E$1786</f>
        <v>ASHP-SEER18_ER1_MF_CompE</v>
      </c>
      <c r="G2053" s="4301"/>
      <c r="H2053" s="4301"/>
      <c r="I2053" s="4302"/>
      <c r="J2053" s="3471" t="str">
        <f>$C$1786</f>
        <v>354351_2024_12_</v>
      </c>
      <c r="K2053" s="3339">
        <v>30000</v>
      </c>
      <c r="L2053" s="3472">
        <f>K2053/12000</f>
        <v>2.5</v>
      </c>
      <c r="M2053" s="3280" t="s">
        <v>1945</v>
      </c>
      <c r="S2053" s="52"/>
      <c r="T2053" s="52"/>
      <c r="U2053" s="52"/>
      <c r="V2053" s="4295"/>
      <c r="W2053" s="3262"/>
      <c r="X2053" s="3262"/>
      <c r="Y2053" s="3265">
        <v>39600</v>
      </c>
      <c r="Z2053" s="3262">
        <v>39600</v>
      </c>
      <c r="AA2053" s="3262">
        <v>39600</v>
      </c>
      <c r="AB2053" s="3262">
        <v>39600</v>
      </c>
      <c r="AC2053" s="3279">
        <f>AC2051</f>
        <v>60000</v>
      </c>
      <c r="AD2053" s="3476">
        <v>30000</v>
      </c>
      <c r="AE2053" s="3477">
        <v>30000</v>
      </c>
      <c r="AF2053" s="2236">
        <f t="shared" si="292"/>
        <v>30000</v>
      </c>
      <c r="AG2053" s="1396"/>
      <c r="DG2053" s="573"/>
      <c r="DH2053" s="159"/>
      <c r="DI2053" s="1091"/>
      <c r="DJ2053" s="1187"/>
    </row>
    <row r="2054" spans="1:114" ht="15" hidden="1" customHeight="1" outlineLevel="1">
      <c r="A2054" s="453"/>
      <c r="C2054" s="51"/>
      <c r="D2054" s="4295"/>
      <c r="E2054" s="4295"/>
      <c r="F2054" s="4300" t="str">
        <f>$E$1788</f>
        <v>ASHP-SEER18_ER2_MF_CompE</v>
      </c>
      <c r="G2054" s="4301"/>
      <c r="H2054" s="4301"/>
      <c r="I2054" s="4302"/>
      <c r="J2054" s="3471" t="str">
        <f>$C$1788</f>
        <v>354351_2024_12_</v>
      </c>
      <c r="K2054" s="3339">
        <v>30000</v>
      </c>
      <c r="L2054" s="3472">
        <f>K2054/12000</f>
        <v>2.5</v>
      </c>
      <c r="M2054" s="3280" t="s">
        <v>1945</v>
      </c>
      <c r="S2054" s="52"/>
      <c r="T2054" s="52"/>
      <c r="U2054" s="52"/>
      <c r="V2054" s="4295"/>
      <c r="W2054" s="3262"/>
      <c r="X2054" s="3262"/>
      <c r="Y2054" s="3265">
        <v>39600</v>
      </c>
      <c r="Z2054" s="3262">
        <v>39600</v>
      </c>
      <c r="AA2054" s="3262">
        <v>39600</v>
      </c>
      <c r="AB2054" s="3262">
        <v>39600</v>
      </c>
      <c r="AC2054" s="3279">
        <f>AC2052</f>
        <v>60000</v>
      </c>
      <c r="AD2054" s="3476">
        <v>30000</v>
      </c>
      <c r="AE2054" s="3477">
        <v>30000</v>
      </c>
      <c r="AF2054" s="2236">
        <f t="shared" si="292"/>
        <v>30000</v>
      </c>
      <c r="AG2054" s="1396"/>
      <c r="DG2054" s="573"/>
      <c r="DH2054" s="159"/>
      <c r="DI2054" s="1091"/>
      <c r="DJ2054" s="1187"/>
    </row>
    <row r="2055" spans="1:114" ht="15" hidden="1" customHeight="1" outlineLevel="1">
      <c r="A2055" s="453"/>
      <c r="C2055" s="51"/>
      <c r="D2055" s="4295"/>
      <c r="E2055" s="4295"/>
      <c r="F2055" s="4297" t="str">
        <f>$E$1790</f>
        <v>ASHP-SEER19-Replace_CAC_ElectricHeat_ER1_SF</v>
      </c>
      <c r="G2055" s="4298"/>
      <c r="H2055" s="4298"/>
      <c r="I2055" s="4299"/>
      <c r="J2055" s="1029" t="str">
        <f>$C$1790</f>
        <v>354400_2024_12_</v>
      </c>
      <c r="K2055" s="1753">
        <v>45277.450979411762</v>
      </c>
      <c r="L2055" s="1031">
        <f t="shared" si="293"/>
        <v>3.7731209149509803</v>
      </c>
      <c r="M2055" s="914" t="s">
        <v>1934</v>
      </c>
      <c r="S2055" s="52"/>
      <c r="T2055" s="52"/>
      <c r="U2055" s="52"/>
      <c r="V2055" s="4295"/>
      <c r="W2055" s="1396">
        <v>37200</v>
      </c>
      <c r="X2055" s="1396">
        <v>37200</v>
      </c>
      <c r="Y2055" s="1396">
        <v>37200</v>
      </c>
      <c r="Z2055" s="1396">
        <v>37200</v>
      </c>
      <c r="AA2055" s="1396">
        <v>37200</v>
      </c>
      <c r="AB2055" s="1396">
        <v>37200</v>
      </c>
      <c r="AC2055" s="825">
        <v>43200</v>
      </c>
      <c r="AD2055" s="967">
        <v>45277.450979411769</v>
      </c>
      <c r="AE2055" s="1033">
        <v>45277.450979411762</v>
      </c>
      <c r="AF2055" s="271">
        <f t="shared" si="292"/>
        <v>45277.450979411762</v>
      </c>
      <c r="AG2055" s="1396"/>
      <c r="DG2055" s="573"/>
      <c r="DH2055" s="159"/>
      <c r="DI2055" s="1091"/>
      <c r="DJ2055" s="1187"/>
    </row>
    <row r="2056" spans="1:114" ht="15" hidden="1" customHeight="1" outlineLevel="1">
      <c r="A2056" s="453"/>
      <c r="C2056" s="51"/>
      <c r="D2056" s="4295"/>
      <c r="E2056" s="4295"/>
      <c r="F2056" s="4297" t="str">
        <f>$E$1792</f>
        <v>ASHP-SEER19-Replace_CAC_ElectricHeat_ER2_SF</v>
      </c>
      <c r="G2056" s="4298"/>
      <c r="H2056" s="4298"/>
      <c r="I2056" s="4299"/>
      <c r="J2056" s="1029" t="str">
        <f>$C$1792</f>
        <v>354400_2024_12_</v>
      </c>
      <c r="K2056" s="1753">
        <v>45277.450979411762</v>
      </c>
      <c r="L2056" s="1031">
        <f t="shared" si="293"/>
        <v>3.7731209149509803</v>
      </c>
      <c r="M2056" s="914" t="s">
        <v>1934</v>
      </c>
      <c r="S2056" s="52"/>
      <c r="T2056" s="52"/>
      <c r="U2056" s="52"/>
      <c r="V2056" s="4295"/>
      <c r="W2056" s="1396">
        <v>37200</v>
      </c>
      <c r="X2056" s="1396">
        <v>37200</v>
      </c>
      <c r="Y2056" s="1396">
        <v>37200</v>
      </c>
      <c r="Z2056" s="1396">
        <v>37200</v>
      </c>
      <c r="AA2056" s="1396">
        <v>37200</v>
      </c>
      <c r="AB2056" s="1396">
        <v>37200</v>
      </c>
      <c r="AC2056" s="825">
        <f>AC2055</f>
        <v>43200</v>
      </c>
      <c r="AD2056" s="967">
        <v>45277.450979411769</v>
      </c>
      <c r="AE2056" s="1033">
        <v>45277.450979411762</v>
      </c>
      <c r="AF2056" s="271">
        <f t="shared" si="292"/>
        <v>45277.450979411762</v>
      </c>
      <c r="AG2056" s="1396"/>
      <c r="DG2056" s="573"/>
      <c r="DH2056" s="159"/>
      <c r="DI2056" s="1091"/>
      <c r="DJ2056" s="1187"/>
    </row>
    <row r="2057" spans="1:114" ht="15" hidden="1" customHeight="1" outlineLevel="1">
      <c r="A2057" s="453"/>
      <c r="C2057" s="51"/>
      <c r="D2057" s="4295"/>
      <c r="E2057" s="4295"/>
      <c r="F2057" s="4297" t="str">
        <f>$E$1794</f>
        <v>ASHP-SEER19-Replace_CAC_NonElectricHeat_ER1_SF</v>
      </c>
      <c r="G2057" s="4298"/>
      <c r="H2057" s="4298"/>
      <c r="I2057" s="4299"/>
      <c r="J2057" s="1029" t="str">
        <f>$C$1794</f>
        <v>354410_2024_12_</v>
      </c>
      <c r="K2057" s="1753">
        <v>43200</v>
      </c>
      <c r="L2057" s="1031">
        <f t="shared" si="293"/>
        <v>3.6</v>
      </c>
      <c r="M2057" s="914" t="s">
        <v>1934</v>
      </c>
      <c r="S2057" s="52"/>
      <c r="T2057" s="52"/>
      <c r="U2057" s="52"/>
      <c r="V2057" s="4295"/>
      <c r="W2057" s="1396"/>
      <c r="X2057" s="1396"/>
      <c r="Y2057" s="1396"/>
      <c r="Z2057" s="1396"/>
      <c r="AA2057" s="1396"/>
      <c r="AB2057" s="1396"/>
      <c r="AC2057" s="825">
        <v>43200</v>
      </c>
      <c r="AD2057" s="1033">
        <v>43200</v>
      </c>
      <c r="AE2057" s="1033">
        <v>43200</v>
      </c>
      <c r="AF2057" s="271">
        <f t="shared" si="292"/>
        <v>43200</v>
      </c>
      <c r="AG2057" s="1396"/>
      <c r="DG2057" s="573"/>
      <c r="DH2057" s="159"/>
      <c r="DI2057" s="1091"/>
      <c r="DJ2057" s="1187"/>
    </row>
    <row r="2058" spans="1:114" ht="15" hidden="1" customHeight="1" outlineLevel="1">
      <c r="A2058" s="453"/>
      <c r="C2058" s="51"/>
      <c r="D2058" s="4295"/>
      <c r="E2058" s="4295"/>
      <c r="F2058" s="4297" t="str">
        <f>$E$1796</f>
        <v>ASHP-SEER19-Replace_CAC_NonElectricHeat_ER2_SF</v>
      </c>
      <c r="G2058" s="4298"/>
      <c r="H2058" s="4298"/>
      <c r="I2058" s="4299"/>
      <c r="J2058" s="1029" t="str">
        <f>$C$1796</f>
        <v>354410_2024_12_</v>
      </c>
      <c r="K2058" s="1753">
        <v>43200</v>
      </c>
      <c r="L2058" s="1031">
        <f t="shared" si="293"/>
        <v>3.6</v>
      </c>
      <c r="M2058" s="914" t="s">
        <v>1934</v>
      </c>
      <c r="S2058" s="52"/>
      <c r="T2058" s="52"/>
      <c r="U2058" s="52"/>
      <c r="V2058" s="4295"/>
      <c r="W2058" s="1396"/>
      <c r="X2058" s="1396"/>
      <c r="Y2058" s="1396"/>
      <c r="Z2058" s="1396"/>
      <c r="AA2058" s="1396"/>
      <c r="AB2058" s="1396"/>
      <c r="AC2058" s="825">
        <f>AC2057</f>
        <v>43200</v>
      </c>
      <c r="AD2058" s="1033">
        <v>43200</v>
      </c>
      <c r="AE2058" s="1033">
        <v>43200</v>
      </c>
      <c r="AF2058" s="271">
        <f t="shared" si="292"/>
        <v>43200</v>
      </c>
      <c r="AG2058" s="1396"/>
      <c r="DG2058" s="573"/>
      <c r="DH2058" s="159"/>
      <c r="DI2058" s="1091"/>
      <c r="DJ2058" s="1187"/>
    </row>
    <row r="2059" spans="1:114" ht="15" hidden="1" customHeight="1" outlineLevel="1">
      <c r="A2059" s="453"/>
      <c r="C2059" s="51"/>
      <c r="D2059" s="4295"/>
      <c r="E2059" s="4295"/>
      <c r="F2059" s="4297" t="str">
        <f>$E$1798</f>
        <v>ASHP-SEER19-Replace_CAC_ElectricHeat_ER1_MF</v>
      </c>
      <c r="G2059" s="4298"/>
      <c r="H2059" s="4298"/>
      <c r="I2059" s="4299"/>
      <c r="J2059" s="1029" t="str">
        <f>$C$1798</f>
        <v>354450_2024_12_</v>
      </c>
      <c r="K2059" s="1754">
        <v>37200</v>
      </c>
      <c r="L2059" s="1031">
        <f t="shared" si="293"/>
        <v>3.1</v>
      </c>
      <c r="M2059" s="914" t="s">
        <v>1945</v>
      </c>
      <c r="S2059" s="52"/>
      <c r="T2059" s="52"/>
      <c r="U2059" s="52"/>
      <c r="V2059" s="4295"/>
      <c r="W2059" s="1396">
        <v>37200</v>
      </c>
      <c r="X2059" s="1396">
        <v>37200</v>
      </c>
      <c r="Y2059" s="1396">
        <v>37200</v>
      </c>
      <c r="Z2059" s="1396">
        <v>37200</v>
      </c>
      <c r="AA2059" s="1396">
        <v>37200</v>
      </c>
      <c r="AB2059" s="1396">
        <v>37200</v>
      </c>
      <c r="AC2059" s="802">
        <v>37200</v>
      </c>
      <c r="AD2059" s="1033">
        <v>37200</v>
      </c>
      <c r="AE2059" s="968">
        <v>37200</v>
      </c>
      <c r="AF2059" s="271">
        <f t="shared" si="292"/>
        <v>37200</v>
      </c>
      <c r="AG2059" s="1396"/>
      <c r="DG2059" s="573"/>
      <c r="DH2059" s="159"/>
      <c r="DI2059" s="1091"/>
      <c r="DJ2059" s="1187"/>
    </row>
    <row r="2060" spans="1:114" ht="15" hidden="1" customHeight="1" outlineLevel="1">
      <c r="A2060" s="453"/>
      <c r="C2060" s="51"/>
      <c r="D2060" s="4295"/>
      <c r="E2060" s="4295"/>
      <c r="F2060" s="4297" t="str">
        <f>$E$1800</f>
        <v>ASHP-SEER19-Replace_CAC_ElectricHeat_ER2_MF</v>
      </c>
      <c r="G2060" s="4298"/>
      <c r="H2060" s="4298"/>
      <c r="I2060" s="4299"/>
      <c r="J2060" s="1029" t="str">
        <f>$C$1800</f>
        <v>354450_2024_12_</v>
      </c>
      <c r="K2060" s="1754">
        <v>37200</v>
      </c>
      <c r="L2060" s="1031">
        <f t="shared" si="293"/>
        <v>3.1</v>
      </c>
      <c r="M2060" s="914" t="s">
        <v>1945</v>
      </c>
      <c r="S2060" s="52"/>
      <c r="T2060" s="52"/>
      <c r="U2060" s="52"/>
      <c r="V2060" s="4295"/>
      <c r="W2060" s="1396">
        <v>37200</v>
      </c>
      <c r="X2060" s="1396">
        <v>37200</v>
      </c>
      <c r="Y2060" s="1396">
        <v>37200</v>
      </c>
      <c r="Z2060" s="1396">
        <v>37200</v>
      </c>
      <c r="AA2060" s="1396">
        <v>37200</v>
      </c>
      <c r="AB2060" s="1396">
        <v>37200</v>
      </c>
      <c r="AC2060" s="802">
        <v>37200</v>
      </c>
      <c r="AD2060" s="1033">
        <v>37200</v>
      </c>
      <c r="AE2060" s="968">
        <v>37200</v>
      </c>
      <c r="AF2060" s="271">
        <f t="shared" si="292"/>
        <v>37200</v>
      </c>
      <c r="AG2060" s="1396"/>
      <c r="DG2060" s="573"/>
      <c r="DH2060" s="159"/>
      <c r="DI2060" s="1091"/>
      <c r="DJ2060" s="1187"/>
    </row>
    <row r="2061" spans="1:114" ht="15" hidden="1" customHeight="1" outlineLevel="1">
      <c r="A2061" s="453"/>
      <c r="C2061" s="51"/>
      <c r="D2061" s="4295"/>
      <c r="E2061" s="4295"/>
      <c r="F2061" s="4300" t="str">
        <f>$E$1802</f>
        <v>ASHP-SEER19-Replace_CAC_ElectricHeat_ER1_MF_CompE</v>
      </c>
      <c r="G2061" s="4301"/>
      <c r="H2061" s="4301"/>
      <c r="I2061" s="4302"/>
      <c r="J2061" s="3471" t="str">
        <f>$C$1802</f>
        <v>354451_2024_12_</v>
      </c>
      <c r="K2061" s="3375">
        <v>37200</v>
      </c>
      <c r="L2061" s="3472">
        <f t="shared" si="293"/>
        <v>3.1</v>
      </c>
      <c r="M2061" s="3280" t="s">
        <v>1945</v>
      </c>
      <c r="S2061" s="52"/>
      <c r="T2061" s="52"/>
      <c r="U2061" s="52"/>
      <c r="V2061" s="4295"/>
      <c r="W2061" s="3262"/>
      <c r="X2061" s="3262"/>
      <c r="Y2061" s="3265">
        <v>37200</v>
      </c>
      <c r="Z2061" s="3262">
        <v>37200</v>
      </c>
      <c r="AA2061" s="3262">
        <v>37200</v>
      </c>
      <c r="AB2061" s="3262">
        <v>37200</v>
      </c>
      <c r="AC2061" s="3267">
        <f>AC2059</f>
        <v>37200</v>
      </c>
      <c r="AD2061" s="3477">
        <v>37200</v>
      </c>
      <c r="AE2061" s="3478">
        <v>37200</v>
      </c>
      <c r="AF2061" s="2236">
        <f t="shared" si="292"/>
        <v>37200</v>
      </c>
      <c r="AG2061" s="1396"/>
      <c r="DG2061" s="573"/>
      <c r="DH2061" s="159"/>
      <c r="DI2061" s="1091"/>
      <c r="DJ2061" s="1187"/>
    </row>
    <row r="2062" spans="1:114" ht="15" hidden="1" customHeight="1" outlineLevel="1">
      <c r="A2062" s="453"/>
      <c r="C2062" s="51"/>
      <c r="D2062" s="4295"/>
      <c r="E2062" s="4295"/>
      <c r="F2062" s="4300" t="str">
        <f>$E$1804</f>
        <v>ASHP-SEER19-Replace_CAC_ElectricHeat_ER2_MF_CompE</v>
      </c>
      <c r="G2062" s="4301"/>
      <c r="H2062" s="4301"/>
      <c r="I2062" s="4302"/>
      <c r="J2062" s="3471" t="str">
        <f>$C$1804</f>
        <v>354451_2024_12_</v>
      </c>
      <c r="K2062" s="3375">
        <v>37200</v>
      </c>
      <c r="L2062" s="3472">
        <f t="shared" si="293"/>
        <v>3.1</v>
      </c>
      <c r="M2062" s="3280" t="s">
        <v>1945</v>
      </c>
      <c r="S2062" s="52"/>
      <c r="T2062" s="52"/>
      <c r="U2062" s="52"/>
      <c r="V2062" s="4295"/>
      <c r="W2062" s="3262"/>
      <c r="X2062" s="3262"/>
      <c r="Y2062" s="3265">
        <v>37200</v>
      </c>
      <c r="Z2062" s="3262">
        <v>37200</v>
      </c>
      <c r="AA2062" s="3262">
        <v>37200</v>
      </c>
      <c r="AB2062" s="3262">
        <v>37200</v>
      </c>
      <c r="AC2062" s="3267">
        <f>AC2060</f>
        <v>37200</v>
      </c>
      <c r="AD2062" s="3477">
        <v>37200</v>
      </c>
      <c r="AE2062" s="3478">
        <v>37200</v>
      </c>
      <c r="AF2062" s="2236">
        <f t="shared" si="292"/>
        <v>37200</v>
      </c>
      <c r="AG2062" s="1396"/>
      <c r="DG2062" s="573"/>
      <c r="DH2062" s="159"/>
      <c r="DI2062" s="1091"/>
      <c r="DJ2062" s="1187"/>
    </row>
    <row r="2063" spans="1:114" ht="15" hidden="1" customHeight="1" outlineLevel="1">
      <c r="A2063" s="453"/>
      <c r="C2063" s="51"/>
      <c r="D2063" s="4295"/>
      <c r="E2063" s="4295"/>
      <c r="F2063" s="4300" t="str">
        <f>$E$1806</f>
        <v>ASHP-SEER19-Replace_CAC_NonElectricHeat_ER1_MF</v>
      </c>
      <c r="G2063" s="4301"/>
      <c r="H2063" s="4301"/>
      <c r="I2063" s="4302"/>
      <c r="J2063" s="3471" t="str">
        <f>$C$1806</f>
        <v>354460_2024_12_</v>
      </c>
      <c r="K2063" s="3375">
        <v>37200</v>
      </c>
      <c r="L2063" s="3472">
        <f t="shared" si="293"/>
        <v>3.1</v>
      </c>
      <c r="M2063" s="3280" t="s">
        <v>1945</v>
      </c>
      <c r="S2063" s="52"/>
      <c r="T2063" s="52"/>
      <c r="U2063" s="52"/>
      <c r="V2063" s="4295"/>
      <c r="W2063" s="3262"/>
      <c r="X2063" s="3262"/>
      <c r="Y2063" s="3265"/>
      <c r="Z2063" s="3262"/>
      <c r="AA2063" s="3262"/>
      <c r="AB2063" s="3262"/>
      <c r="AC2063" s="3279">
        <v>37200</v>
      </c>
      <c r="AD2063" s="3477">
        <v>37200</v>
      </c>
      <c r="AE2063" s="3478">
        <v>37200</v>
      </c>
      <c r="AF2063" s="2236">
        <f t="shared" si="292"/>
        <v>37200</v>
      </c>
      <c r="AG2063" s="1396"/>
      <c r="DG2063" s="573"/>
      <c r="DH2063" s="159"/>
      <c r="DI2063" s="1091"/>
      <c r="DJ2063" s="1187"/>
    </row>
    <row r="2064" spans="1:114" ht="15" hidden="1" customHeight="1" outlineLevel="1">
      <c r="A2064" s="453"/>
      <c r="C2064" s="51"/>
      <c r="D2064" s="4295"/>
      <c r="E2064" s="4295"/>
      <c r="F2064" s="4300" t="str">
        <f>$E$1808</f>
        <v>ASHP-SEER19-Replace_CAC_NonElectricHeat_ER2_MF</v>
      </c>
      <c r="G2064" s="4301"/>
      <c r="H2064" s="4301"/>
      <c r="I2064" s="4302"/>
      <c r="J2064" s="3471" t="str">
        <f>$C$1808</f>
        <v>354460_2024_12_</v>
      </c>
      <c r="K2064" s="3375">
        <v>37200</v>
      </c>
      <c r="L2064" s="3472">
        <f t="shared" si="293"/>
        <v>3.1</v>
      </c>
      <c r="M2064" s="3280" t="s">
        <v>1945</v>
      </c>
      <c r="S2064" s="52"/>
      <c r="T2064" s="52"/>
      <c r="U2064" s="52"/>
      <c r="V2064" s="4295"/>
      <c r="W2064" s="3262"/>
      <c r="X2064" s="3262"/>
      <c r="Y2064" s="3265"/>
      <c r="Z2064" s="3262"/>
      <c r="AA2064" s="3262"/>
      <c r="AB2064" s="3262"/>
      <c r="AC2064" s="3279">
        <v>37200</v>
      </c>
      <c r="AD2064" s="3477">
        <v>37200</v>
      </c>
      <c r="AE2064" s="3478">
        <v>37200</v>
      </c>
      <c r="AF2064" s="2236">
        <f t="shared" si="292"/>
        <v>37200</v>
      </c>
      <c r="AG2064" s="1396"/>
      <c r="DG2064" s="573"/>
      <c r="DH2064" s="159"/>
      <c r="DI2064" s="1091"/>
      <c r="DJ2064" s="1187"/>
    </row>
    <row r="2065" spans="1:114" ht="15" hidden="1" customHeight="1" outlineLevel="1">
      <c r="A2065" s="453"/>
      <c r="C2065" s="51"/>
      <c r="D2065" s="4295"/>
      <c r="E2065" s="4295"/>
      <c r="F2065" s="4300" t="str">
        <f>$E$1810</f>
        <v>ASHP-SEER19-Replace_CAC_NonElectricHeat_ER1_MF_CompE</v>
      </c>
      <c r="G2065" s="4301"/>
      <c r="H2065" s="4301"/>
      <c r="I2065" s="4302"/>
      <c r="J2065" s="3471" t="str">
        <f>$C$1810</f>
        <v>354461_2024_12_</v>
      </c>
      <c r="K2065" s="3375">
        <v>37200</v>
      </c>
      <c r="L2065" s="3472">
        <f t="shared" si="293"/>
        <v>3.1</v>
      </c>
      <c r="M2065" s="3280" t="s">
        <v>1945</v>
      </c>
      <c r="S2065" s="52"/>
      <c r="T2065" s="52"/>
      <c r="U2065" s="52"/>
      <c r="V2065" s="4295"/>
      <c r="W2065" s="3262"/>
      <c r="X2065" s="3262"/>
      <c r="Y2065" s="3265"/>
      <c r="Z2065" s="3262"/>
      <c r="AA2065" s="3262"/>
      <c r="AB2065" s="3262"/>
      <c r="AC2065" s="3279">
        <f>AC2063</f>
        <v>37200</v>
      </c>
      <c r="AD2065" s="3477">
        <v>37200</v>
      </c>
      <c r="AE2065" s="3478">
        <v>37200</v>
      </c>
      <c r="AF2065" s="2236">
        <f t="shared" si="292"/>
        <v>37200</v>
      </c>
      <c r="AG2065" s="1396"/>
      <c r="DG2065" s="573"/>
      <c r="DH2065" s="159"/>
      <c r="DI2065" s="1091"/>
      <c r="DJ2065" s="1187"/>
    </row>
    <row r="2066" spans="1:114" ht="15" hidden="1" customHeight="1" outlineLevel="1">
      <c r="A2066" s="453"/>
      <c r="C2066" s="51"/>
      <c r="D2066" s="4295"/>
      <c r="E2066" s="4295"/>
      <c r="F2066" s="4300" t="str">
        <f>$E$1812</f>
        <v>ASHP-SEER19-Replace_CAC_NonElectricHeat_ER2_MF_CompE</v>
      </c>
      <c r="G2066" s="4301"/>
      <c r="H2066" s="4301"/>
      <c r="I2066" s="4302"/>
      <c r="J2066" s="3471" t="str">
        <f>$C$1812</f>
        <v>354461_2024_12_</v>
      </c>
      <c r="K2066" s="3375">
        <v>37200</v>
      </c>
      <c r="L2066" s="3472">
        <f t="shared" si="293"/>
        <v>3.1</v>
      </c>
      <c r="M2066" s="3280" t="s">
        <v>1945</v>
      </c>
      <c r="S2066" s="52"/>
      <c r="T2066" s="52"/>
      <c r="U2066" s="52"/>
      <c r="V2066" s="4295"/>
      <c r="W2066" s="1396"/>
      <c r="X2066" s="1396"/>
      <c r="Y2066" s="833"/>
      <c r="Z2066" s="1396"/>
      <c r="AA2066" s="1396"/>
      <c r="AB2066" s="1396"/>
      <c r="AC2066" s="3279">
        <f>AC2064</f>
        <v>37200</v>
      </c>
      <c r="AD2066" s="3477">
        <v>37200</v>
      </c>
      <c r="AE2066" s="3478">
        <v>37200</v>
      </c>
      <c r="AF2066" s="2236">
        <f t="shared" si="292"/>
        <v>37200</v>
      </c>
      <c r="AG2066" s="1396"/>
      <c r="DG2066" s="573"/>
      <c r="DH2066" s="159"/>
      <c r="DI2066" s="1091"/>
      <c r="DJ2066" s="1187"/>
    </row>
    <row r="2067" spans="1:114" ht="15" hidden="1" customHeight="1" outlineLevel="1">
      <c r="A2067" s="453"/>
      <c r="C2067" s="51"/>
      <c r="D2067" s="4295"/>
      <c r="E2067" s="4295"/>
      <c r="F2067" s="4297" t="str">
        <f>$E$1814</f>
        <v>ASHP-SEER19_ER1_MF</v>
      </c>
      <c r="G2067" s="4298"/>
      <c r="H2067" s="4298"/>
      <c r="I2067" s="4299"/>
      <c r="J2067" s="1029" t="str">
        <f>$C$1814</f>
        <v>354500_2024_12_</v>
      </c>
      <c r="K2067" s="1754">
        <v>39600</v>
      </c>
      <c r="L2067" s="1031">
        <f t="shared" si="293"/>
        <v>3.3</v>
      </c>
      <c r="M2067" s="914" t="s">
        <v>1945</v>
      </c>
      <c r="S2067" s="52"/>
      <c r="T2067" s="52"/>
      <c r="U2067" s="52"/>
      <c r="V2067" s="4295"/>
      <c r="W2067" s="1396">
        <v>39600</v>
      </c>
      <c r="X2067" s="1396">
        <v>39600</v>
      </c>
      <c r="Y2067" s="1396">
        <v>39600</v>
      </c>
      <c r="Z2067" s="1396">
        <v>39600</v>
      </c>
      <c r="AA2067" s="1396">
        <v>39600</v>
      </c>
      <c r="AB2067" s="1396">
        <v>39600</v>
      </c>
      <c r="AC2067" s="802">
        <v>39600</v>
      </c>
      <c r="AD2067" s="1033">
        <v>39600</v>
      </c>
      <c r="AE2067" s="968">
        <v>39600</v>
      </c>
      <c r="AF2067" s="271">
        <f t="shared" si="292"/>
        <v>39600</v>
      </c>
      <c r="AG2067" s="1396"/>
      <c r="DG2067" s="573"/>
      <c r="DH2067" s="159"/>
      <c r="DI2067" s="1091"/>
      <c r="DJ2067" s="1187"/>
    </row>
    <row r="2068" spans="1:114" ht="15" hidden="1" customHeight="1" outlineLevel="1">
      <c r="A2068" s="453"/>
      <c r="C2068" s="51"/>
      <c r="D2068" s="4295"/>
      <c r="E2068" s="4295"/>
      <c r="F2068" s="4297" t="str">
        <f>$E$1816</f>
        <v>ASHP-SEER19_ER2_MF</v>
      </c>
      <c r="G2068" s="4298"/>
      <c r="H2068" s="4298"/>
      <c r="I2068" s="4299"/>
      <c r="J2068" s="1029" t="str">
        <f>$C$1816</f>
        <v>354500_2024_12_</v>
      </c>
      <c r="K2068" s="1754">
        <v>39600</v>
      </c>
      <c r="L2068" s="1031">
        <f t="shared" si="293"/>
        <v>3.3</v>
      </c>
      <c r="M2068" s="914" t="s">
        <v>1945</v>
      </c>
      <c r="S2068" s="52"/>
      <c r="T2068" s="52"/>
      <c r="U2068" s="52"/>
      <c r="V2068" s="4295"/>
      <c r="W2068" s="1396">
        <v>39600</v>
      </c>
      <c r="X2068" s="1396">
        <v>39600</v>
      </c>
      <c r="Y2068" s="1396">
        <v>39600</v>
      </c>
      <c r="Z2068" s="1396">
        <v>39600</v>
      </c>
      <c r="AA2068" s="1396">
        <v>39600</v>
      </c>
      <c r="AB2068" s="1396">
        <v>39600</v>
      </c>
      <c r="AC2068" s="802">
        <v>39600</v>
      </c>
      <c r="AD2068" s="1033">
        <v>39600</v>
      </c>
      <c r="AE2068" s="968">
        <v>39600</v>
      </c>
      <c r="AF2068" s="271">
        <f t="shared" si="292"/>
        <v>39600</v>
      </c>
      <c r="AG2068" s="1396"/>
      <c r="DG2068" s="573"/>
      <c r="DH2068" s="159"/>
      <c r="DI2068" s="1091"/>
      <c r="DJ2068" s="1187"/>
    </row>
    <row r="2069" spans="1:114" ht="15" hidden="1" customHeight="1" outlineLevel="1">
      <c r="A2069" s="453"/>
      <c r="C2069" s="51"/>
      <c r="D2069" s="4295"/>
      <c r="E2069" s="4295"/>
      <c r="F2069" s="4300" t="str">
        <f>$E$1818</f>
        <v>ASHP-SEER19_ER1_MF_CompE</v>
      </c>
      <c r="G2069" s="4301"/>
      <c r="H2069" s="4301"/>
      <c r="I2069" s="4302"/>
      <c r="J2069" s="3471" t="str">
        <f>$C$1818</f>
        <v>354501_2024_12_</v>
      </c>
      <c r="K2069" s="3375">
        <v>39600</v>
      </c>
      <c r="L2069" s="3472">
        <f t="shared" si="293"/>
        <v>3.3</v>
      </c>
      <c r="M2069" s="3280" t="s">
        <v>1945</v>
      </c>
      <c r="S2069" s="52"/>
      <c r="T2069" s="52"/>
      <c r="U2069" s="52"/>
      <c r="V2069" s="4295"/>
      <c r="W2069" s="3262"/>
      <c r="X2069" s="3262"/>
      <c r="Y2069" s="3265">
        <v>39600</v>
      </c>
      <c r="Z2069" s="3262">
        <v>39600</v>
      </c>
      <c r="AA2069" s="3262">
        <v>39600</v>
      </c>
      <c r="AB2069" s="3262">
        <v>39600</v>
      </c>
      <c r="AC2069" s="3267">
        <f>AC2067</f>
        <v>39600</v>
      </c>
      <c r="AD2069" s="3477">
        <v>39600</v>
      </c>
      <c r="AE2069" s="3478">
        <v>39600</v>
      </c>
      <c r="AF2069" s="2236">
        <f t="shared" si="292"/>
        <v>39600</v>
      </c>
      <c r="AG2069" s="1396"/>
      <c r="DG2069" s="573"/>
      <c r="DH2069" s="159"/>
      <c r="DI2069" s="1091"/>
      <c r="DJ2069" s="1187"/>
    </row>
    <row r="2070" spans="1:114" ht="15" hidden="1" customHeight="1" outlineLevel="1">
      <c r="A2070" s="453"/>
      <c r="C2070" s="51"/>
      <c r="D2070" s="4295"/>
      <c r="E2070" s="4295"/>
      <c r="F2070" s="4300" t="str">
        <f>$E$1820</f>
        <v>ASHP-SEER19_ER2_MF_CompE</v>
      </c>
      <c r="G2070" s="4301"/>
      <c r="H2070" s="4301"/>
      <c r="I2070" s="4302"/>
      <c r="J2070" s="3471" t="str">
        <f>$C$1820</f>
        <v>354501_2024_12_</v>
      </c>
      <c r="K2070" s="3375">
        <v>39600</v>
      </c>
      <c r="L2070" s="3472">
        <f t="shared" si="293"/>
        <v>3.3</v>
      </c>
      <c r="M2070" s="3280" t="s">
        <v>1945</v>
      </c>
      <c r="S2070" s="52"/>
      <c r="T2070" s="52"/>
      <c r="U2070" s="52"/>
      <c r="V2070" s="4295"/>
      <c r="W2070" s="3262"/>
      <c r="X2070" s="3262"/>
      <c r="Y2070" s="3265">
        <v>39600</v>
      </c>
      <c r="Z2070" s="3262">
        <v>39600</v>
      </c>
      <c r="AA2070" s="3262">
        <v>39600</v>
      </c>
      <c r="AB2070" s="3262">
        <v>39600</v>
      </c>
      <c r="AC2070" s="3267">
        <f>AC2068</f>
        <v>39600</v>
      </c>
      <c r="AD2070" s="3477">
        <v>39600</v>
      </c>
      <c r="AE2070" s="3478">
        <v>39600</v>
      </c>
      <c r="AF2070" s="2236">
        <f t="shared" si="292"/>
        <v>39600</v>
      </c>
      <c r="AG2070" s="1396"/>
      <c r="DG2070" s="573"/>
      <c r="DH2070" s="159"/>
      <c r="DI2070" s="1091"/>
      <c r="DJ2070" s="1187"/>
    </row>
    <row r="2071" spans="1:114" ht="15" hidden="1" customHeight="1" outlineLevel="1">
      <c r="A2071" s="453"/>
      <c r="C2071" s="51"/>
      <c r="D2071" s="4295"/>
      <c r="E2071" s="4295"/>
      <c r="F2071" s="4297" t="str">
        <f>$E$1822</f>
        <v>ASHP-SEER20_ER1_SF</v>
      </c>
      <c r="G2071" s="4298"/>
      <c r="H2071" s="4298"/>
      <c r="I2071" s="4299"/>
      <c r="J2071" s="1029" t="str">
        <f>$C$1822</f>
        <v>354550_2024_12_</v>
      </c>
      <c r="K2071" s="1753">
        <v>31000.387811634351</v>
      </c>
      <c r="L2071" s="1031">
        <f t="shared" si="293"/>
        <v>2.5833656509695291</v>
      </c>
      <c r="M2071" s="914" t="s">
        <v>1934</v>
      </c>
      <c r="S2071" s="52"/>
      <c r="T2071" s="52"/>
      <c r="U2071" s="52"/>
      <c r="V2071" s="4295"/>
      <c r="W2071" s="1396">
        <v>39600</v>
      </c>
      <c r="X2071" s="1396">
        <v>39600</v>
      </c>
      <c r="Y2071" s="1396">
        <v>39600</v>
      </c>
      <c r="Z2071" s="1396">
        <v>39600</v>
      </c>
      <c r="AA2071" s="1396">
        <v>39600</v>
      </c>
      <c r="AB2071" s="1396">
        <v>39600</v>
      </c>
      <c r="AC2071" s="825">
        <v>60000</v>
      </c>
      <c r="AD2071" s="967">
        <v>33382.234755555553</v>
      </c>
      <c r="AE2071" s="967">
        <v>31000.387811634351</v>
      </c>
      <c r="AF2071" s="271">
        <f t="shared" si="292"/>
        <v>31000.387811634351</v>
      </c>
      <c r="AG2071" s="1396"/>
      <c r="DG2071" s="573"/>
      <c r="DH2071" s="159"/>
      <c r="DI2071" s="1091"/>
      <c r="DJ2071" s="1187"/>
    </row>
    <row r="2072" spans="1:114" ht="15" hidden="1" customHeight="1" outlineLevel="1">
      <c r="A2072" s="453"/>
      <c r="C2072" s="51"/>
      <c r="D2072" s="4295"/>
      <c r="E2072" s="4295"/>
      <c r="F2072" s="4297" t="str">
        <f>$E$1824</f>
        <v>ASHP-SEER20_ER2_SF</v>
      </c>
      <c r="G2072" s="4298"/>
      <c r="H2072" s="4298"/>
      <c r="I2072" s="4299"/>
      <c r="J2072" s="1029" t="str">
        <f>$C$1824</f>
        <v>354550_2024_12_</v>
      </c>
      <c r="K2072" s="1753">
        <v>31000.387811634351</v>
      </c>
      <c r="L2072" s="1031">
        <f t="shared" si="293"/>
        <v>2.5833656509695291</v>
      </c>
      <c r="M2072" s="914" t="s">
        <v>1934</v>
      </c>
      <c r="S2072" s="52"/>
      <c r="T2072" s="52"/>
      <c r="U2072" s="52"/>
      <c r="V2072" s="4295"/>
      <c r="W2072" s="1396">
        <v>39600</v>
      </c>
      <c r="X2072" s="1396">
        <v>39600</v>
      </c>
      <c r="Y2072" s="1396">
        <v>39600</v>
      </c>
      <c r="Z2072" s="1396">
        <v>39600</v>
      </c>
      <c r="AA2072" s="1396">
        <v>39600</v>
      </c>
      <c r="AB2072" s="1396">
        <v>39600</v>
      </c>
      <c r="AC2072" s="825">
        <f>AC2071</f>
        <v>60000</v>
      </c>
      <c r="AD2072" s="967">
        <v>33382.234755555553</v>
      </c>
      <c r="AE2072" s="967">
        <v>31000.387811634351</v>
      </c>
      <c r="AF2072" s="271">
        <f t="shared" si="292"/>
        <v>31000.387811634351</v>
      </c>
      <c r="AG2072" s="1396"/>
      <c r="DG2072" s="573"/>
      <c r="DH2072" s="159"/>
      <c r="DI2072" s="1091"/>
      <c r="DJ2072" s="1187"/>
    </row>
    <row r="2073" spans="1:114" ht="15" hidden="1" customHeight="1" outlineLevel="1">
      <c r="A2073" s="453"/>
      <c r="C2073" s="51"/>
      <c r="D2073" s="4295"/>
      <c r="E2073" s="4295"/>
      <c r="F2073" s="4297" t="str">
        <f>$E$1826</f>
        <v>ASHP-SEER20_ROF_SF</v>
      </c>
      <c r="G2073" s="4298"/>
      <c r="H2073" s="4298"/>
      <c r="I2073" s="4299"/>
      <c r="J2073" s="1029" t="str">
        <f>$C$1826</f>
        <v>354600_2024_12_</v>
      </c>
      <c r="K2073" s="1753">
        <v>34645</v>
      </c>
      <c r="L2073" s="1031">
        <f t="shared" si="293"/>
        <v>2.8870833333333334</v>
      </c>
      <c r="M2073" s="914" t="s">
        <v>1937</v>
      </c>
      <c r="S2073" s="52"/>
      <c r="T2073" s="52"/>
      <c r="U2073" s="52"/>
      <c r="V2073" s="4295"/>
      <c r="W2073" s="1396">
        <v>39600</v>
      </c>
      <c r="X2073" s="1396">
        <v>39600</v>
      </c>
      <c r="Y2073" s="1396">
        <v>39600</v>
      </c>
      <c r="Z2073" s="1396">
        <v>39600</v>
      </c>
      <c r="AA2073" s="1396">
        <v>39600</v>
      </c>
      <c r="AB2073" s="1396">
        <v>39600</v>
      </c>
      <c r="AC2073" s="825">
        <v>36000</v>
      </c>
      <c r="AD2073" s="967">
        <v>34645</v>
      </c>
      <c r="AE2073" s="1033">
        <v>34645</v>
      </c>
      <c r="AF2073" s="271">
        <f t="shared" si="292"/>
        <v>34645</v>
      </c>
      <c r="AG2073" s="1396"/>
      <c r="DG2073" s="573"/>
      <c r="DH2073" s="159"/>
      <c r="DI2073" s="1091"/>
      <c r="DJ2073" s="1187"/>
    </row>
    <row r="2074" spans="1:114" ht="15" hidden="1" customHeight="1" outlineLevel="1">
      <c r="A2074" s="453"/>
      <c r="C2074" s="51"/>
      <c r="D2074" s="4295"/>
      <c r="E2074" s="4295"/>
      <c r="F2074" s="4297" t="str">
        <f>$E$1828</f>
        <v>ASHP-SEER20-Replace_CAC_ElectricHeat_ER1_MF</v>
      </c>
      <c r="G2074" s="4298"/>
      <c r="H2074" s="4298"/>
      <c r="I2074" s="4299"/>
      <c r="J2074" s="1029" t="str">
        <f>$C$1828</f>
        <v>354650_2024_12_</v>
      </c>
      <c r="K2074" s="1754">
        <v>37200</v>
      </c>
      <c r="L2074" s="1031">
        <f t="shared" si="293"/>
        <v>3.1</v>
      </c>
      <c r="M2074" s="914" t="s">
        <v>1945</v>
      </c>
      <c r="S2074" s="52"/>
      <c r="T2074" s="52"/>
      <c r="U2074" s="52"/>
      <c r="V2074" s="4295"/>
      <c r="W2074" s="1396">
        <v>37200</v>
      </c>
      <c r="X2074" s="1396">
        <v>37200</v>
      </c>
      <c r="Y2074" s="1396">
        <v>37200</v>
      </c>
      <c r="Z2074" s="1396">
        <v>37200</v>
      </c>
      <c r="AA2074" s="1396">
        <v>37200</v>
      </c>
      <c r="AB2074" s="1396">
        <v>37200</v>
      </c>
      <c r="AC2074" s="802">
        <v>37200</v>
      </c>
      <c r="AD2074" s="1033">
        <v>37200</v>
      </c>
      <c r="AE2074" s="968">
        <v>37200</v>
      </c>
      <c r="AF2074" s="271">
        <f t="shared" si="292"/>
        <v>37200</v>
      </c>
      <c r="AG2074" s="1396"/>
      <c r="DG2074" s="573"/>
      <c r="DH2074" s="159"/>
      <c r="DI2074" s="1091"/>
      <c r="DJ2074" s="1187"/>
    </row>
    <row r="2075" spans="1:114" ht="15" hidden="1" customHeight="1" outlineLevel="1">
      <c r="A2075" s="453"/>
      <c r="C2075" s="51"/>
      <c r="D2075" s="4295"/>
      <c r="E2075" s="4295"/>
      <c r="F2075" s="4297" t="str">
        <f>$E$1830</f>
        <v>ASHP-SEER20-Replace_CAC_ElectricHeat_ER2_MF</v>
      </c>
      <c r="G2075" s="4298"/>
      <c r="H2075" s="4298"/>
      <c r="I2075" s="4299"/>
      <c r="J2075" s="1029" t="str">
        <f>$C$1830</f>
        <v>354650_2024_12_</v>
      </c>
      <c r="K2075" s="1754">
        <v>37200</v>
      </c>
      <c r="L2075" s="1031">
        <f t="shared" si="293"/>
        <v>3.1</v>
      </c>
      <c r="M2075" s="914" t="s">
        <v>1945</v>
      </c>
      <c r="S2075" s="52"/>
      <c r="T2075" s="52"/>
      <c r="U2075" s="52"/>
      <c r="V2075" s="4295"/>
      <c r="W2075" s="1396">
        <v>37200</v>
      </c>
      <c r="X2075" s="1396">
        <v>37200</v>
      </c>
      <c r="Y2075" s="1396">
        <v>37200</v>
      </c>
      <c r="Z2075" s="1396">
        <v>37200</v>
      </c>
      <c r="AA2075" s="1396">
        <v>37200</v>
      </c>
      <c r="AB2075" s="1396">
        <v>37200</v>
      </c>
      <c r="AC2075" s="802">
        <v>37200</v>
      </c>
      <c r="AD2075" s="1033">
        <v>37200</v>
      </c>
      <c r="AE2075" s="968">
        <v>37200</v>
      </c>
      <c r="AF2075" s="271">
        <f t="shared" si="292"/>
        <v>37200</v>
      </c>
      <c r="AG2075" s="1396"/>
      <c r="DG2075" s="573"/>
      <c r="DH2075" s="159"/>
      <c r="DI2075" s="1091"/>
      <c r="DJ2075" s="1187"/>
    </row>
    <row r="2076" spans="1:114" ht="15" hidden="1" customHeight="1" outlineLevel="1">
      <c r="A2076" s="453"/>
      <c r="C2076" s="51"/>
      <c r="D2076" s="4295"/>
      <c r="E2076" s="4295"/>
      <c r="F2076" s="4300" t="str">
        <f>$E$1832</f>
        <v>ASHP-SEER20-Replace_CAC_ElectricHeat_ER1_MF_CompE</v>
      </c>
      <c r="G2076" s="4301"/>
      <c r="H2076" s="4301"/>
      <c r="I2076" s="4302"/>
      <c r="J2076" s="3471" t="str">
        <f>$C$1832</f>
        <v>354651_2024_12_</v>
      </c>
      <c r="K2076" s="3375">
        <v>37200</v>
      </c>
      <c r="L2076" s="3472">
        <f t="shared" si="293"/>
        <v>3.1</v>
      </c>
      <c r="M2076" s="3280" t="s">
        <v>1945</v>
      </c>
      <c r="S2076" s="52"/>
      <c r="T2076" s="52"/>
      <c r="U2076" s="52"/>
      <c r="V2076" s="4295"/>
      <c r="W2076" s="3262"/>
      <c r="X2076" s="3262"/>
      <c r="Y2076" s="3265">
        <v>37200</v>
      </c>
      <c r="Z2076" s="3262">
        <v>37200</v>
      </c>
      <c r="AA2076" s="3262">
        <v>37200</v>
      </c>
      <c r="AB2076" s="3262">
        <v>37200</v>
      </c>
      <c r="AC2076" s="3267">
        <f>AC2074</f>
        <v>37200</v>
      </c>
      <c r="AD2076" s="3477">
        <v>37200</v>
      </c>
      <c r="AE2076" s="3478">
        <v>37200</v>
      </c>
      <c r="AF2076" s="2236">
        <f t="shared" si="292"/>
        <v>37200</v>
      </c>
      <c r="AG2076" s="1396"/>
      <c r="DG2076" s="573"/>
      <c r="DH2076" s="159"/>
      <c r="DI2076" s="1091"/>
      <c r="DJ2076" s="1187"/>
    </row>
    <row r="2077" spans="1:114" ht="15" hidden="1" customHeight="1" outlineLevel="1">
      <c r="A2077" s="453"/>
      <c r="C2077" s="51"/>
      <c r="D2077" s="4295"/>
      <c r="E2077" s="4295"/>
      <c r="F2077" s="4300" t="str">
        <f>$E$1834</f>
        <v>ASHP-SEER20-Replace_CAC_ElectricHeat_ER2_MF_CompE</v>
      </c>
      <c r="G2077" s="4301"/>
      <c r="H2077" s="4301"/>
      <c r="I2077" s="4302"/>
      <c r="J2077" s="3471" t="str">
        <f>$C$1834</f>
        <v>354651_2024_12_</v>
      </c>
      <c r="K2077" s="3375">
        <v>37200</v>
      </c>
      <c r="L2077" s="3472">
        <f t="shared" si="293"/>
        <v>3.1</v>
      </c>
      <c r="M2077" s="3280" t="s">
        <v>1945</v>
      </c>
      <c r="S2077" s="52"/>
      <c r="T2077" s="52"/>
      <c r="U2077" s="52"/>
      <c r="V2077" s="4295"/>
      <c r="W2077" s="3262"/>
      <c r="X2077" s="3262"/>
      <c r="Y2077" s="3265">
        <v>37200</v>
      </c>
      <c r="Z2077" s="3262">
        <v>37200</v>
      </c>
      <c r="AA2077" s="3262">
        <v>37200</v>
      </c>
      <c r="AB2077" s="3262">
        <v>37200</v>
      </c>
      <c r="AC2077" s="3267">
        <f>AC2075</f>
        <v>37200</v>
      </c>
      <c r="AD2077" s="3477">
        <v>37200</v>
      </c>
      <c r="AE2077" s="3478">
        <v>37200</v>
      </c>
      <c r="AF2077" s="2236">
        <f t="shared" si="292"/>
        <v>37200</v>
      </c>
      <c r="AG2077" s="1396"/>
      <c r="DG2077" s="573"/>
      <c r="DH2077" s="159"/>
      <c r="DI2077" s="1091"/>
      <c r="DJ2077" s="1187"/>
    </row>
    <row r="2078" spans="1:114" ht="15" hidden="1" customHeight="1" outlineLevel="1">
      <c r="A2078" s="453"/>
      <c r="C2078" s="51"/>
      <c r="D2078" s="4295"/>
      <c r="E2078" s="4295"/>
      <c r="F2078" s="4300" t="str">
        <f>$E$1836</f>
        <v>ASHP-SEER20-Replace_CAC_NonElectricHeat_ER1_MF</v>
      </c>
      <c r="G2078" s="4301"/>
      <c r="H2078" s="4301"/>
      <c r="I2078" s="4302"/>
      <c r="J2078" s="3471" t="str">
        <f>$C$1836</f>
        <v>354660_2024_12_</v>
      </c>
      <c r="K2078" s="3375">
        <v>37200</v>
      </c>
      <c r="L2078" s="3472">
        <f t="shared" si="293"/>
        <v>3.1</v>
      </c>
      <c r="M2078" s="3280" t="s">
        <v>1945</v>
      </c>
      <c r="S2078" s="52"/>
      <c r="T2078" s="52"/>
      <c r="U2078" s="52"/>
      <c r="V2078" s="4295"/>
      <c r="W2078" s="3262"/>
      <c r="X2078" s="3262"/>
      <c r="Y2078" s="3265"/>
      <c r="Z2078" s="3262"/>
      <c r="AA2078" s="3262"/>
      <c r="AB2078" s="3262"/>
      <c r="AC2078" s="3279">
        <v>37200</v>
      </c>
      <c r="AD2078" s="3477">
        <v>37200</v>
      </c>
      <c r="AE2078" s="3478">
        <v>37200</v>
      </c>
      <c r="AF2078" s="2236">
        <f t="shared" si="292"/>
        <v>37200</v>
      </c>
      <c r="AG2078" s="1396"/>
      <c r="DG2078" s="573"/>
      <c r="DH2078" s="159"/>
      <c r="DI2078" s="1091"/>
      <c r="DJ2078" s="1187"/>
    </row>
    <row r="2079" spans="1:114" ht="15" hidden="1" customHeight="1" outlineLevel="1">
      <c r="A2079" s="453"/>
      <c r="C2079" s="51"/>
      <c r="D2079" s="4295"/>
      <c r="E2079" s="4295"/>
      <c r="F2079" s="4300" t="str">
        <f>$E$1838</f>
        <v>ASHP-SEER20-Replace_CAC_NonElectricHeat_ER2_MF</v>
      </c>
      <c r="G2079" s="4301"/>
      <c r="H2079" s="4301"/>
      <c r="I2079" s="4302"/>
      <c r="J2079" s="3471" t="str">
        <f>$C$1838</f>
        <v>354660_2024_12_</v>
      </c>
      <c r="K2079" s="3375">
        <v>37200</v>
      </c>
      <c r="L2079" s="3472">
        <f t="shared" si="293"/>
        <v>3.1</v>
      </c>
      <c r="M2079" s="3280" t="s">
        <v>1945</v>
      </c>
      <c r="S2079" s="52"/>
      <c r="T2079" s="52"/>
      <c r="U2079" s="52"/>
      <c r="V2079" s="4295"/>
      <c r="W2079" s="3262"/>
      <c r="X2079" s="3262"/>
      <c r="Y2079" s="3265"/>
      <c r="Z2079" s="3262"/>
      <c r="AA2079" s="3262"/>
      <c r="AB2079" s="3262"/>
      <c r="AC2079" s="3279">
        <v>37200</v>
      </c>
      <c r="AD2079" s="3477">
        <v>37200</v>
      </c>
      <c r="AE2079" s="3478">
        <v>37200</v>
      </c>
      <c r="AF2079" s="2236">
        <f t="shared" si="292"/>
        <v>37200</v>
      </c>
      <c r="AG2079" s="1396"/>
      <c r="DG2079" s="573"/>
      <c r="DH2079" s="159"/>
      <c r="DI2079" s="1091"/>
      <c r="DJ2079" s="1187"/>
    </row>
    <row r="2080" spans="1:114" ht="15" hidden="1" customHeight="1" outlineLevel="1">
      <c r="A2080" s="453"/>
      <c r="C2080" s="51"/>
      <c r="D2080" s="4295"/>
      <c r="E2080" s="4295"/>
      <c r="F2080" s="4300" t="str">
        <f>$E$1840</f>
        <v>ASHP-SEER20-Replace_CAC_NonElectricHeat_ER1_MF_CompE</v>
      </c>
      <c r="G2080" s="4301"/>
      <c r="H2080" s="4301"/>
      <c r="I2080" s="4302"/>
      <c r="J2080" s="3471" t="str">
        <f>$C$1840</f>
        <v>354661_2024_12_</v>
      </c>
      <c r="K2080" s="3375">
        <v>37200</v>
      </c>
      <c r="L2080" s="3472">
        <f t="shared" si="293"/>
        <v>3.1</v>
      </c>
      <c r="M2080" s="3280" t="s">
        <v>1945</v>
      </c>
      <c r="S2080" s="52"/>
      <c r="T2080" s="52"/>
      <c r="U2080" s="52"/>
      <c r="V2080" s="4295"/>
      <c r="W2080" s="3262"/>
      <c r="X2080" s="3262"/>
      <c r="Y2080" s="3265"/>
      <c r="Z2080" s="3262"/>
      <c r="AA2080" s="3262"/>
      <c r="AB2080" s="3262"/>
      <c r="AC2080" s="3279">
        <f>AC2078</f>
        <v>37200</v>
      </c>
      <c r="AD2080" s="3477">
        <v>37200</v>
      </c>
      <c r="AE2080" s="3478">
        <v>37200</v>
      </c>
      <c r="AF2080" s="2236">
        <f t="shared" si="292"/>
        <v>37200</v>
      </c>
      <c r="AG2080" s="1396"/>
      <c r="DG2080" s="573"/>
      <c r="DH2080" s="159"/>
      <c r="DI2080" s="1091"/>
      <c r="DJ2080" s="1187"/>
    </row>
    <row r="2081" spans="1:114" ht="15" hidden="1" customHeight="1" outlineLevel="1">
      <c r="A2081" s="453"/>
      <c r="C2081" s="51"/>
      <c r="D2081" s="4295"/>
      <c r="E2081" s="4295"/>
      <c r="F2081" s="4300" t="str">
        <f>$E$1842</f>
        <v>ASHP-SEER20-Replace_CAC_NonElectricHeat_ER2_MF_CompE</v>
      </c>
      <c r="G2081" s="4301"/>
      <c r="H2081" s="4301"/>
      <c r="I2081" s="4302"/>
      <c r="J2081" s="3471" t="str">
        <f>$C$1842</f>
        <v>354661_2024_12_</v>
      </c>
      <c r="K2081" s="3375">
        <v>37200</v>
      </c>
      <c r="L2081" s="3472">
        <f t="shared" si="293"/>
        <v>3.1</v>
      </c>
      <c r="M2081" s="3280" t="s">
        <v>1945</v>
      </c>
      <c r="S2081" s="52"/>
      <c r="T2081" s="52"/>
      <c r="U2081" s="52"/>
      <c r="V2081" s="4295"/>
      <c r="W2081" s="3262"/>
      <c r="X2081" s="3262"/>
      <c r="Y2081" s="3265"/>
      <c r="Z2081" s="3262"/>
      <c r="AA2081" s="3262"/>
      <c r="AB2081" s="3262"/>
      <c r="AC2081" s="3279">
        <f>AC2079</f>
        <v>37200</v>
      </c>
      <c r="AD2081" s="3477">
        <v>37200</v>
      </c>
      <c r="AE2081" s="3478">
        <v>37200</v>
      </c>
      <c r="AF2081" s="2236">
        <f t="shared" si="292"/>
        <v>37200</v>
      </c>
      <c r="AG2081" s="1396"/>
      <c r="DG2081" s="573"/>
      <c r="DH2081" s="159"/>
      <c r="DI2081" s="1091"/>
      <c r="DJ2081" s="1187"/>
    </row>
    <row r="2082" spans="1:114" ht="15" hidden="1" customHeight="1" outlineLevel="1">
      <c r="A2082" s="453"/>
      <c r="C2082" s="51"/>
      <c r="D2082" s="4295"/>
      <c r="E2082" s="4295"/>
      <c r="F2082" s="4297" t="str">
        <f>$E$1844</f>
        <v>ASHP-SEER20_ER1_MF</v>
      </c>
      <c r="G2082" s="4298"/>
      <c r="H2082" s="4298"/>
      <c r="I2082" s="4299"/>
      <c r="J2082" s="1029" t="str">
        <f>$C$1844</f>
        <v>354700_2024_12_</v>
      </c>
      <c r="K2082" s="1754">
        <v>39600</v>
      </c>
      <c r="L2082" s="1031">
        <f t="shared" si="293"/>
        <v>3.3</v>
      </c>
      <c r="M2082" s="914" t="s">
        <v>1945</v>
      </c>
      <c r="S2082" s="52"/>
      <c r="T2082" s="52"/>
      <c r="U2082" s="52"/>
      <c r="V2082" s="4295"/>
      <c r="W2082" s="1396">
        <v>39600</v>
      </c>
      <c r="X2082" s="1396">
        <v>39600</v>
      </c>
      <c r="Y2082" s="1396">
        <v>39600</v>
      </c>
      <c r="Z2082" s="1396">
        <v>39600</v>
      </c>
      <c r="AA2082" s="1396">
        <v>39600</v>
      </c>
      <c r="AB2082" s="1396">
        <v>39600</v>
      </c>
      <c r="AC2082" s="802">
        <v>39600</v>
      </c>
      <c r="AD2082" s="1033">
        <v>39600</v>
      </c>
      <c r="AE2082" s="968">
        <v>39600</v>
      </c>
      <c r="AF2082" s="271">
        <f t="shared" si="292"/>
        <v>39600</v>
      </c>
      <c r="AG2082" s="1396"/>
      <c r="DG2082" s="573"/>
      <c r="DH2082" s="159"/>
      <c r="DI2082" s="1091"/>
      <c r="DJ2082" s="1187"/>
    </row>
    <row r="2083" spans="1:114" ht="15" hidden="1" customHeight="1" outlineLevel="1">
      <c r="A2083" s="453"/>
      <c r="C2083" s="51"/>
      <c r="D2083" s="4295"/>
      <c r="E2083" s="4295"/>
      <c r="F2083" s="4297" t="str">
        <f>$E$1846</f>
        <v>ASHP-SEER20_ER2_MF</v>
      </c>
      <c r="G2083" s="4298"/>
      <c r="H2083" s="4298"/>
      <c r="I2083" s="4299"/>
      <c r="J2083" s="1029" t="str">
        <f>$C$1846</f>
        <v>354700_2024_12_</v>
      </c>
      <c r="K2083" s="1754">
        <v>39600</v>
      </c>
      <c r="L2083" s="1031">
        <f t="shared" si="293"/>
        <v>3.3</v>
      </c>
      <c r="M2083" s="914" t="s">
        <v>1945</v>
      </c>
      <c r="S2083" s="52"/>
      <c r="T2083" s="52"/>
      <c r="U2083" s="52"/>
      <c r="V2083" s="4295"/>
      <c r="W2083" s="1396">
        <v>39600</v>
      </c>
      <c r="X2083" s="1396">
        <v>39600</v>
      </c>
      <c r="Y2083" s="1396">
        <v>39600</v>
      </c>
      <c r="Z2083" s="1396">
        <v>39600</v>
      </c>
      <c r="AA2083" s="1396">
        <v>39600</v>
      </c>
      <c r="AB2083" s="1396">
        <v>39600</v>
      </c>
      <c r="AC2083" s="802">
        <v>39600</v>
      </c>
      <c r="AD2083" s="1033">
        <v>39600</v>
      </c>
      <c r="AE2083" s="968">
        <v>39600</v>
      </c>
      <c r="AF2083" s="271">
        <f t="shared" si="292"/>
        <v>39600</v>
      </c>
      <c r="AG2083" s="1396"/>
      <c r="DG2083" s="573"/>
      <c r="DH2083" s="159"/>
      <c r="DI2083" s="1091"/>
      <c r="DJ2083" s="1187"/>
    </row>
    <row r="2084" spans="1:114" ht="15" hidden="1" customHeight="1" outlineLevel="1">
      <c r="A2084" s="453"/>
      <c r="C2084" s="51"/>
      <c r="D2084" s="4295"/>
      <c r="E2084" s="4295"/>
      <c r="F2084" s="4300" t="str">
        <f>$E$1848</f>
        <v>ASHP-SEER20_ER1_MF_CompE</v>
      </c>
      <c r="G2084" s="4301"/>
      <c r="H2084" s="4301"/>
      <c r="I2084" s="4302"/>
      <c r="J2084" s="3471" t="str">
        <f>$C$1848</f>
        <v>354701_2024_12_</v>
      </c>
      <c r="K2084" s="3375">
        <v>39600</v>
      </c>
      <c r="L2084" s="3472">
        <f t="shared" si="293"/>
        <v>3.3</v>
      </c>
      <c r="M2084" s="3280" t="s">
        <v>1945</v>
      </c>
      <c r="S2084" s="52"/>
      <c r="T2084" s="52"/>
      <c r="U2084" s="52"/>
      <c r="V2084" s="4295"/>
      <c r="W2084" s="3262"/>
      <c r="X2084" s="3262"/>
      <c r="Y2084" s="3265">
        <v>39600</v>
      </c>
      <c r="Z2084" s="3262">
        <v>39600</v>
      </c>
      <c r="AA2084" s="3262">
        <v>39600</v>
      </c>
      <c r="AB2084" s="3262">
        <v>39600</v>
      </c>
      <c r="AC2084" s="3267">
        <f>AC2082</f>
        <v>39600</v>
      </c>
      <c r="AD2084" s="3477">
        <v>39600</v>
      </c>
      <c r="AE2084" s="3478">
        <v>39600</v>
      </c>
      <c r="AF2084" s="2236">
        <f t="shared" si="292"/>
        <v>39600</v>
      </c>
      <c r="AG2084" s="1396"/>
      <c r="DG2084" s="573"/>
      <c r="DH2084" s="159"/>
      <c r="DI2084" s="1091"/>
      <c r="DJ2084" s="1187"/>
    </row>
    <row r="2085" spans="1:114" ht="15" hidden="1" customHeight="1" outlineLevel="1">
      <c r="A2085" s="453"/>
      <c r="C2085" s="51"/>
      <c r="D2085" s="4295"/>
      <c r="E2085" s="4295"/>
      <c r="F2085" s="4300" t="str">
        <f>$E$1850</f>
        <v>ASHP-SEER20_ER2_MF_CompE</v>
      </c>
      <c r="G2085" s="4301"/>
      <c r="H2085" s="4301"/>
      <c r="I2085" s="4302"/>
      <c r="J2085" s="3471" t="str">
        <f>$C$1850</f>
        <v>354701_2024_12_</v>
      </c>
      <c r="K2085" s="3375">
        <v>39600</v>
      </c>
      <c r="L2085" s="3472">
        <f t="shared" si="293"/>
        <v>3.3</v>
      </c>
      <c r="M2085" s="3280" t="s">
        <v>1945</v>
      </c>
      <c r="S2085" s="52"/>
      <c r="T2085" s="52"/>
      <c r="U2085" s="52"/>
      <c r="V2085" s="4295"/>
      <c r="W2085" s="3262"/>
      <c r="X2085" s="3262"/>
      <c r="Y2085" s="3265">
        <v>39600</v>
      </c>
      <c r="Z2085" s="3262">
        <v>39600</v>
      </c>
      <c r="AA2085" s="3262">
        <v>39600</v>
      </c>
      <c r="AB2085" s="3262">
        <v>39600</v>
      </c>
      <c r="AC2085" s="3267">
        <f>AC2083</f>
        <v>39600</v>
      </c>
      <c r="AD2085" s="3477">
        <v>39600</v>
      </c>
      <c r="AE2085" s="3478">
        <v>39600</v>
      </c>
      <c r="AF2085" s="2236">
        <f t="shared" si="292"/>
        <v>39600</v>
      </c>
      <c r="AG2085" s="1396"/>
      <c r="DG2085" s="573"/>
      <c r="DH2085" s="159"/>
      <c r="DI2085" s="1091"/>
      <c r="DJ2085" s="1187"/>
    </row>
    <row r="2086" spans="1:114" ht="15" hidden="1" customHeight="1" outlineLevel="1">
      <c r="A2086" s="453"/>
      <c r="C2086" s="51"/>
      <c r="D2086" s="4295"/>
      <c r="E2086" s="4295"/>
      <c r="F2086" s="4297" t="str">
        <f>$E$1852</f>
        <v>ASHP-SEER21_ER1_SF</v>
      </c>
      <c r="G2086" s="4298"/>
      <c r="H2086" s="4298"/>
      <c r="I2086" s="4299"/>
      <c r="J2086" s="1029" t="str">
        <f>$C$1852</f>
        <v>354750_2024_12_</v>
      </c>
      <c r="K2086" s="1753">
        <v>40128.673782518214</v>
      </c>
      <c r="L2086" s="1031">
        <f t="shared" si="293"/>
        <v>3.3440561485431846</v>
      </c>
      <c r="M2086" s="914" t="s">
        <v>1934</v>
      </c>
      <c r="S2086" s="52"/>
      <c r="T2086" s="52"/>
      <c r="U2086" s="52"/>
      <c r="V2086" s="4295"/>
      <c r="W2086" s="1396">
        <v>39600</v>
      </c>
      <c r="X2086" s="1396">
        <v>39600</v>
      </c>
      <c r="Y2086" s="1396">
        <v>39600</v>
      </c>
      <c r="Z2086" s="1396">
        <v>39600</v>
      </c>
      <c r="AA2086" s="1396">
        <v>39600</v>
      </c>
      <c r="AB2086" s="1396">
        <v>39600</v>
      </c>
      <c r="AC2086" s="825">
        <v>40615.384615384617</v>
      </c>
      <c r="AD2086" s="967">
        <v>40225.166612626257</v>
      </c>
      <c r="AE2086" s="967">
        <v>40128.673782518214</v>
      </c>
      <c r="AF2086" s="271">
        <f t="shared" si="292"/>
        <v>40128.673782518214</v>
      </c>
      <c r="AG2086" s="1396"/>
      <c r="DG2086" s="573"/>
      <c r="DH2086" s="159"/>
      <c r="DI2086" s="1091"/>
      <c r="DJ2086" s="1187"/>
    </row>
    <row r="2087" spans="1:114" ht="15" hidden="1" customHeight="1" outlineLevel="1">
      <c r="A2087" s="453"/>
      <c r="C2087" s="51"/>
      <c r="D2087" s="4295"/>
      <c r="E2087" s="4295"/>
      <c r="F2087" s="4297" t="str">
        <f>$E$1854</f>
        <v>ASHP-SEER21_ER2_SF</v>
      </c>
      <c r="G2087" s="4298"/>
      <c r="H2087" s="4298"/>
      <c r="I2087" s="4299"/>
      <c r="J2087" s="1029" t="str">
        <f>$C$1854</f>
        <v>354750_2024_12_</v>
      </c>
      <c r="K2087" s="1753">
        <v>40128.673782518214</v>
      </c>
      <c r="L2087" s="1031">
        <f t="shared" si="293"/>
        <v>3.3440561485431846</v>
      </c>
      <c r="M2087" s="914" t="s">
        <v>1934</v>
      </c>
      <c r="S2087" s="52"/>
      <c r="T2087" s="52"/>
      <c r="U2087" s="52"/>
      <c r="V2087" s="4295"/>
      <c r="W2087" s="1396">
        <v>39600</v>
      </c>
      <c r="X2087" s="1396">
        <v>39600</v>
      </c>
      <c r="Y2087" s="1396">
        <v>39600</v>
      </c>
      <c r="Z2087" s="1396">
        <v>39600</v>
      </c>
      <c r="AA2087" s="1396">
        <v>39600</v>
      </c>
      <c r="AB2087" s="1396">
        <v>39600</v>
      </c>
      <c r="AC2087" s="825">
        <f>AC2086</f>
        <v>40615.384615384617</v>
      </c>
      <c r="AD2087" s="967">
        <v>40225.166612626257</v>
      </c>
      <c r="AE2087" s="967">
        <v>40128.673782518214</v>
      </c>
      <c r="AF2087" s="271">
        <f t="shared" si="292"/>
        <v>40128.673782518214</v>
      </c>
      <c r="AG2087" s="1396"/>
      <c r="DG2087" s="573"/>
      <c r="DH2087" s="159"/>
      <c r="DI2087" s="1091"/>
      <c r="DJ2087" s="1187"/>
    </row>
    <row r="2088" spans="1:114" ht="15" hidden="1" customHeight="1" outlineLevel="1">
      <c r="A2088" s="453"/>
      <c r="C2088" s="51"/>
      <c r="D2088" s="4295"/>
      <c r="E2088" s="4295"/>
      <c r="F2088" s="4297" t="str">
        <f>$E$1856</f>
        <v>ASHP-SEER21_ROF_SF</v>
      </c>
      <c r="G2088" s="4298"/>
      <c r="H2088" s="4298"/>
      <c r="I2088" s="4299"/>
      <c r="J2088" s="1029" t="str">
        <f>$C$1856</f>
        <v>354800_2024_12_</v>
      </c>
      <c r="K2088" s="1753">
        <v>41639.393940624999</v>
      </c>
      <c r="L2088" s="1031">
        <f t="shared" si="293"/>
        <v>3.4699494950520831</v>
      </c>
      <c r="M2088" s="914" t="s">
        <v>1937</v>
      </c>
      <c r="S2088" s="52"/>
      <c r="T2088" s="52"/>
      <c r="U2088" s="52"/>
      <c r="V2088" s="4295"/>
      <c r="W2088" s="1396">
        <v>39600</v>
      </c>
      <c r="X2088" s="1396">
        <v>39600</v>
      </c>
      <c r="Y2088" s="1396">
        <v>39600</v>
      </c>
      <c r="Z2088" s="1396">
        <v>39600</v>
      </c>
      <c r="AA2088" s="1396">
        <v>39600</v>
      </c>
      <c r="AB2088" s="1396">
        <v>39600</v>
      </c>
      <c r="AC2088" s="825">
        <v>46500</v>
      </c>
      <c r="AD2088" s="967">
        <v>41639.393940624999</v>
      </c>
      <c r="AE2088" s="1033">
        <v>41639.393940624999</v>
      </c>
      <c r="AF2088" s="271">
        <f t="shared" si="292"/>
        <v>41639.393940624999</v>
      </c>
      <c r="AG2088" s="1396"/>
      <c r="DG2088" s="573"/>
      <c r="DH2088" s="159"/>
      <c r="DI2088" s="1091"/>
      <c r="DJ2088" s="1187"/>
    </row>
    <row r="2089" spans="1:114" ht="15" hidden="1" customHeight="1" outlineLevel="1">
      <c r="A2089" s="453"/>
      <c r="C2089" s="51"/>
      <c r="D2089" s="4295"/>
      <c r="E2089" s="4295"/>
      <c r="F2089" s="4297" t="str">
        <f>$E$1858</f>
        <v>ASHP-SEER21-Replace_CAC_ElectricHeat_ROF_MF</v>
      </c>
      <c r="G2089" s="4298"/>
      <c r="H2089" s="4298"/>
      <c r="I2089" s="4299"/>
      <c r="J2089" s="1029" t="str">
        <f>$C$1858</f>
        <v>354850_2024_12_</v>
      </c>
      <c r="K2089" s="1754">
        <v>33600</v>
      </c>
      <c r="L2089" s="1031">
        <f t="shared" si="293"/>
        <v>2.8</v>
      </c>
      <c r="M2089" s="914" t="s">
        <v>1945</v>
      </c>
      <c r="S2089" s="52"/>
      <c r="T2089" s="52"/>
      <c r="U2089" s="52"/>
      <c r="V2089" s="4295"/>
      <c r="W2089" s="1396">
        <v>33600</v>
      </c>
      <c r="X2089" s="1396">
        <v>33600</v>
      </c>
      <c r="Y2089" s="1396">
        <v>33600</v>
      </c>
      <c r="Z2089" s="1396">
        <v>33600</v>
      </c>
      <c r="AA2089" s="1396">
        <v>33600</v>
      </c>
      <c r="AB2089" s="1396">
        <v>33600</v>
      </c>
      <c r="AC2089" s="802">
        <v>33600</v>
      </c>
      <c r="AD2089" s="1033">
        <v>33600</v>
      </c>
      <c r="AE2089" s="968">
        <v>33600</v>
      </c>
      <c r="AF2089" s="271">
        <f t="shared" si="292"/>
        <v>33600</v>
      </c>
      <c r="AG2089" s="1396"/>
      <c r="DG2089" s="573"/>
      <c r="DH2089" s="159"/>
      <c r="DI2089" s="1091"/>
      <c r="DJ2089" s="1187"/>
    </row>
    <row r="2090" spans="1:114" ht="15" hidden="1" customHeight="1" outlineLevel="1">
      <c r="A2090" s="453"/>
      <c r="C2090" s="51"/>
      <c r="D2090" s="4295"/>
      <c r="E2090" s="4295"/>
      <c r="F2090" s="4300" t="str">
        <f>$E$1860</f>
        <v>ASHP-SEER21-Replace_CAC_ElectricHeat_ROF_MF_CompE</v>
      </c>
      <c r="G2090" s="4301"/>
      <c r="H2090" s="4301"/>
      <c r="I2090" s="4302"/>
      <c r="J2090" s="3471" t="str">
        <f>$C$1860</f>
        <v>354851_2024_12_</v>
      </c>
      <c r="K2090" s="3375">
        <v>33600</v>
      </c>
      <c r="L2090" s="3472">
        <f t="shared" si="293"/>
        <v>2.8</v>
      </c>
      <c r="M2090" s="3280" t="s">
        <v>1945</v>
      </c>
      <c r="S2090" s="52"/>
      <c r="T2090" s="52"/>
      <c r="U2090" s="52"/>
      <c r="V2090" s="4295"/>
      <c r="W2090" s="3262"/>
      <c r="X2090" s="3262"/>
      <c r="Y2090" s="3265">
        <v>33600</v>
      </c>
      <c r="Z2090" s="3262">
        <v>33600</v>
      </c>
      <c r="AA2090" s="3262">
        <v>33600</v>
      </c>
      <c r="AB2090" s="3262">
        <v>33600</v>
      </c>
      <c r="AC2090" s="3267">
        <f>AC2089</f>
        <v>33600</v>
      </c>
      <c r="AD2090" s="3477">
        <v>33600</v>
      </c>
      <c r="AE2090" s="3478">
        <v>33600</v>
      </c>
      <c r="AF2090" s="2236">
        <f t="shared" si="292"/>
        <v>33600</v>
      </c>
      <c r="AG2090" s="1396"/>
      <c r="DG2090" s="573"/>
      <c r="DH2090" s="159"/>
      <c r="DI2090" s="1091"/>
      <c r="DJ2090" s="1187"/>
    </row>
    <row r="2091" spans="1:114" ht="15" hidden="1" customHeight="1" outlineLevel="1">
      <c r="A2091" s="453"/>
      <c r="C2091" s="51"/>
      <c r="D2091" s="4295"/>
      <c r="E2091" s="4295"/>
      <c r="F2091" s="4300" t="str">
        <f>$E$1862</f>
        <v>ASHP-SEER21-Replace_CAC_NonElectricHeat_ROF_MF</v>
      </c>
      <c r="G2091" s="4301"/>
      <c r="H2091" s="4301"/>
      <c r="I2091" s="4302"/>
      <c r="J2091" s="3471" t="str">
        <f>$C$1862</f>
        <v>354860_2024_12_</v>
      </c>
      <c r="K2091" s="3375">
        <v>33600</v>
      </c>
      <c r="L2091" s="3472">
        <f t="shared" si="293"/>
        <v>2.8</v>
      </c>
      <c r="M2091" s="3280" t="s">
        <v>1945</v>
      </c>
      <c r="S2091" s="52"/>
      <c r="T2091" s="52"/>
      <c r="U2091" s="52"/>
      <c r="V2091" s="4295"/>
      <c r="W2091" s="3262"/>
      <c r="X2091" s="3262"/>
      <c r="Y2091" s="3265"/>
      <c r="Z2091" s="3262"/>
      <c r="AA2091" s="3262"/>
      <c r="AB2091" s="3262"/>
      <c r="AC2091" s="3279">
        <v>33600</v>
      </c>
      <c r="AD2091" s="3477">
        <v>33600</v>
      </c>
      <c r="AE2091" s="3478">
        <v>33600</v>
      </c>
      <c r="AF2091" s="2236">
        <f t="shared" si="292"/>
        <v>33600</v>
      </c>
      <c r="AG2091" s="1396"/>
      <c r="DG2091" s="573"/>
      <c r="DH2091" s="159"/>
      <c r="DI2091" s="1091"/>
      <c r="DJ2091" s="1187"/>
    </row>
    <row r="2092" spans="1:114" ht="15" hidden="1" customHeight="1" outlineLevel="1">
      <c r="A2092" s="453"/>
      <c r="C2092" s="51"/>
      <c r="D2092" s="4295"/>
      <c r="E2092" s="4295"/>
      <c r="F2092" s="4300" t="str">
        <f>$E$1864</f>
        <v>ASHP-SEER21-Replace_CAC_NonElectricHeat_ROF_MF_CompE</v>
      </c>
      <c r="G2092" s="4301"/>
      <c r="H2092" s="4301"/>
      <c r="I2092" s="4302"/>
      <c r="J2092" s="3471" t="str">
        <f>$C$1864</f>
        <v>354861_2024_12_</v>
      </c>
      <c r="K2092" s="3375">
        <v>33600</v>
      </c>
      <c r="L2092" s="3472">
        <f t="shared" si="293"/>
        <v>2.8</v>
      </c>
      <c r="M2092" s="3280" t="s">
        <v>1945</v>
      </c>
      <c r="S2092" s="52"/>
      <c r="T2092" s="52"/>
      <c r="U2092" s="52"/>
      <c r="V2092" s="4295"/>
      <c r="W2092" s="3262"/>
      <c r="X2092" s="3262"/>
      <c r="Y2092" s="3265"/>
      <c r="Z2092" s="3262"/>
      <c r="AA2092" s="3262"/>
      <c r="AB2092" s="3262"/>
      <c r="AC2092" s="3279">
        <f>AC2091</f>
        <v>33600</v>
      </c>
      <c r="AD2092" s="3477">
        <v>33600</v>
      </c>
      <c r="AE2092" s="3478">
        <v>33600</v>
      </c>
      <c r="AF2092" s="2236">
        <f t="shared" si="292"/>
        <v>33600</v>
      </c>
      <c r="AG2092" s="1396"/>
      <c r="DG2092" s="573"/>
      <c r="DH2092" s="159"/>
      <c r="DI2092" s="1091"/>
      <c r="DJ2092" s="1187"/>
    </row>
    <row r="2093" spans="1:114" ht="15" hidden="1" customHeight="1" outlineLevel="1">
      <c r="A2093" s="453"/>
      <c r="C2093" s="51"/>
      <c r="D2093" s="4295"/>
      <c r="E2093" s="4295"/>
      <c r="F2093" s="4297" t="str">
        <f>$E$1866</f>
        <v>ASHP-SEER21_ER1_MF</v>
      </c>
      <c r="G2093" s="4298"/>
      <c r="H2093" s="4298"/>
      <c r="I2093" s="4299"/>
      <c r="J2093" s="1029" t="str">
        <f>$C$1866</f>
        <v>354900_2024_12_</v>
      </c>
      <c r="K2093" s="1754">
        <v>39600</v>
      </c>
      <c r="L2093" s="1031">
        <f t="shared" si="293"/>
        <v>3.3</v>
      </c>
      <c r="M2093" s="914" t="s">
        <v>1945</v>
      </c>
      <c r="S2093" s="52"/>
      <c r="T2093" s="52"/>
      <c r="U2093" s="52"/>
      <c r="V2093" s="4295"/>
      <c r="W2093" s="1396">
        <v>39600</v>
      </c>
      <c r="X2093" s="1396">
        <v>39600</v>
      </c>
      <c r="Y2093" s="1396">
        <v>39600</v>
      </c>
      <c r="Z2093" s="1396">
        <v>39600</v>
      </c>
      <c r="AA2093" s="1396">
        <v>39600</v>
      </c>
      <c r="AB2093" s="1396">
        <v>39600</v>
      </c>
      <c r="AC2093" s="802">
        <v>39600</v>
      </c>
      <c r="AD2093" s="1033">
        <v>39600</v>
      </c>
      <c r="AE2093" s="968">
        <v>39600</v>
      </c>
      <c r="AF2093" s="271">
        <f t="shared" si="292"/>
        <v>39600</v>
      </c>
      <c r="AG2093" s="1396"/>
      <c r="DG2093" s="573"/>
      <c r="DH2093" s="159"/>
      <c r="DI2093" s="1091"/>
      <c r="DJ2093" s="1187"/>
    </row>
    <row r="2094" spans="1:114" ht="15" hidden="1" customHeight="1" outlineLevel="1">
      <c r="A2094" s="453"/>
      <c r="C2094" s="51"/>
      <c r="D2094" s="4295"/>
      <c r="E2094" s="4295"/>
      <c r="F2094" s="4297" t="str">
        <f>$E$1868</f>
        <v>ASHP-SEER21_ER2_MF</v>
      </c>
      <c r="G2094" s="4298"/>
      <c r="H2094" s="4298"/>
      <c r="I2094" s="4299"/>
      <c r="J2094" s="1029" t="str">
        <f>$C$1868</f>
        <v>354900_2024_12_</v>
      </c>
      <c r="K2094" s="1754">
        <v>39600</v>
      </c>
      <c r="L2094" s="1031">
        <f t="shared" si="293"/>
        <v>3.3</v>
      </c>
      <c r="M2094" s="914" t="s">
        <v>1945</v>
      </c>
      <c r="S2094" s="52"/>
      <c r="T2094" s="52"/>
      <c r="U2094" s="52"/>
      <c r="V2094" s="4295"/>
      <c r="W2094" s="1396">
        <v>39600</v>
      </c>
      <c r="X2094" s="1396">
        <v>39600</v>
      </c>
      <c r="Y2094" s="1396">
        <v>39600</v>
      </c>
      <c r="Z2094" s="1396">
        <v>39600</v>
      </c>
      <c r="AA2094" s="1396">
        <v>39600</v>
      </c>
      <c r="AB2094" s="1396">
        <v>39600</v>
      </c>
      <c r="AC2094" s="802">
        <v>39600</v>
      </c>
      <c r="AD2094" s="1033">
        <v>39600</v>
      </c>
      <c r="AE2094" s="968">
        <v>39600</v>
      </c>
      <c r="AF2094" s="271">
        <f t="shared" si="292"/>
        <v>39600</v>
      </c>
      <c r="AG2094" s="1396"/>
      <c r="DG2094" s="573"/>
      <c r="DH2094" s="159"/>
      <c r="DI2094" s="1091"/>
      <c r="DJ2094" s="1187"/>
    </row>
    <row r="2095" spans="1:114" ht="15" hidden="1" customHeight="1" outlineLevel="1">
      <c r="A2095" s="453"/>
      <c r="C2095" s="51"/>
      <c r="D2095" s="4295"/>
      <c r="E2095" s="4295"/>
      <c r="F2095" s="4300" t="str">
        <f>$E$1870</f>
        <v>ASHP-SEER21_ER1_MF_CompE</v>
      </c>
      <c r="G2095" s="4301"/>
      <c r="H2095" s="4301"/>
      <c r="I2095" s="4302"/>
      <c r="J2095" s="3471" t="str">
        <f>$C$1870</f>
        <v>354901_2024_12_</v>
      </c>
      <c r="K2095" s="3375">
        <v>39600</v>
      </c>
      <c r="L2095" s="3472">
        <f t="shared" si="293"/>
        <v>3.3</v>
      </c>
      <c r="M2095" s="3280" t="s">
        <v>1945</v>
      </c>
      <c r="S2095" s="52"/>
      <c r="T2095" s="52"/>
      <c r="U2095" s="52"/>
      <c r="V2095" s="4295"/>
      <c r="W2095" s="3262"/>
      <c r="X2095" s="3262"/>
      <c r="Y2095" s="3265">
        <v>39600</v>
      </c>
      <c r="Z2095" s="3262">
        <v>39600</v>
      </c>
      <c r="AA2095" s="3262">
        <v>39600</v>
      </c>
      <c r="AB2095" s="3262">
        <v>39600</v>
      </c>
      <c r="AC2095" s="3267">
        <f>AC2093</f>
        <v>39600</v>
      </c>
      <c r="AD2095" s="3477">
        <v>39600</v>
      </c>
      <c r="AE2095" s="3478">
        <v>39600</v>
      </c>
      <c r="AF2095" s="2236">
        <f t="shared" si="292"/>
        <v>39600</v>
      </c>
      <c r="AG2095" s="1396"/>
      <c r="DG2095" s="573"/>
      <c r="DH2095" s="159"/>
      <c r="DI2095" s="1091"/>
      <c r="DJ2095" s="1187"/>
    </row>
    <row r="2096" spans="1:114" ht="15" hidden="1" customHeight="1" outlineLevel="1">
      <c r="A2096" s="453"/>
      <c r="C2096" s="51"/>
      <c r="D2096" s="4295"/>
      <c r="E2096" s="4295"/>
      <c r="F2096" s="4300" t="str">
        <f>$E$1872</f>
        <v>ASHP-SEER21_ER2_MF_CompE</v>
      </c>
      <c r="G2096" s="4301"/>
      <c r="H2096" s="4301"/>
      <c r="I2096" s="4302"/>
      <c r="J2096" s="3471" t="str">
        <f>$C$1872</f>
        <v>354901_2024_12_</v>
      </c>
      <c r="K2096" s="3375">
        <v>39600</v>
      </c>
      <c r="L2096" s="3472">
        <f t="shared" si="293"/>
        <v>3.3</v>
      </c>
      <c r="M2096" s="3280" t="s">
        <v>1945</v>
      </c>
      <c r="S2096" s="52"/>
      <c r="T2096" s="52"/>
      <c r="U2096" s="52"/>
      <c r="V2096" s="4295"/>
      <c r="W2096" s="3262"/>
      <c r="X2096" s="3262"/>
      <c r="Y2096" s="3265">
        <v>39600</v>
      </c>
      <c r="Z2096" s="3262">
        <v>39600</v>
      </c>
      <c r="AA2096" s="3262">
        <v>39600</v>
      </c>
      <c r="AB2096" s="3262">
        <v>39600</v>
      </c>
      <c r="AC2096" s="3267">
        <f>AC2094</f>
        <v>39600</v>
      </c>
      <c r="AD2096" s="3477">
        <v>39600</v>
      </c>
      <c r="AE2096" s="3478">
        <v>39600</v>
      </c>
      <c r="AF2096" s="2236">
        <f t="shared" si="292"/>
        <v>39600</v>
      </c>
      <c r="AG2096" s="1396"/>
      <c r="DG2096" s="573"/>
      <c r="DH2096" s="159"/>
      <c r="DI2096" s="1091"/>
      <c r="DJ2096" s="1187"/>
    </row>
    <row r="2097" spans="1:114" ht="15" hidden="1" customHeight="1" outlineLevel="1">
      <c r="A2097" s="453"/>
      <c r="C2097" s="51"/>
      <c r="D2097" s="4295"/>
      <c r="E2097" s="4295"/>
      <c r="F2097" s="4297" t="str">
        <f>$E$1874</f>
        <v>ASHP-SEER17_ROF_MF</v>
      </c>
      <c r="G2097" s="4298"/>
      <c r="H2097" s="4298"/>
      <c r="I2097" s="4299"/>
      <c r="J2097" s="1029" t="str">
        <f>$C$1874</f>
        <v>354950_2024_12_</v>
      </c>
      <c r="K2097" s="1754">
        <v>39600</v>
      </c>
      <c r="L2097" s="1031">
        <f t="shared" si="293"/>
        <v>3.3</v>
      </c>
      <c r="M2097" s="914" t="s">
        <v>1945</v>
      </c>
      <c r="S2097" s="52"/>
      <c r="T2097" s="52"/>
      <c r="U2097" s="52"/>
      <c r="V2097" s="4295"/>
      <c r="W2097" s="1396">
        <v>39600</v>
      </c>
      <c r="X2097" s="1396">
        <v>39600</v>
      </c>
      <c r="Y2097" s="1396">
        <v>39600</v>
      </c>
      <c r="Z2097" s="1396">
        <v>39600</v>
      </c>
      <c r="AA2097" s="1396">
        <v>39600</v>
      </c>
      <c r="AB2097" s="1396">
        <v>39600</v>
      </c>
      <c r="AC2097" s="802">
        <v>39600</v>
      </c>
      <c r="AD2097" s="1033">
        <v>39600</v>
      </c>
      <c r="AE2097" s="968">
        <v>39600</v>
      </c>
      <c r="AF2097" s="271">
        <f t="shared" si="292"/>
        <v>39600</v>
      </c>
      <c r="AG2097" s="1396"/>
      <c r="DG2097" s="573"/>
      <c r="DH2097" s="159"/>
      <c r="DI2097" s="1091"/>
      <c r="DJ2097" s="1187"/>
    </row>
    <row r="2098" spans="1:114" ht="15" hidden="1" customHeight="1" outlineLevel="1">
      <c r="A2098" s="453"/>
      <c r="C2098" s="51"/>
      <c r="D2098" s="4295"/>
      <c r="E2098" s="4295"/>
      <c r="F2098" s="4300" t="str">
        <f>$E$1876</f>
        <v>ASHP-SEER17_ROF_MF_CompE</v>
      </c>
      <c r="G2098" s="4301"/>
      <c r="H2098" s="4301"/>
      <c r="I2098" s="4302"/>
      <c r="J2098" s="3471" t="str">
        <f>$C$1876</f>
        <v>354951_2024_12_</v>
      </c>
      <c r="K2098" s="3375">
        <v>39600</v>
      </c>
      <c r="L2098" s="3472">
        <f t="shared" si="293"/>
        <v>3.3</v>
      </c>
      <c r="M2098" s="3280" t="s">
        <v>1945</v>
      </c>
      <c r="S2098" s="52"/>
      <c r="T2098" s="52"/>
      <c r="U2098" s="52"/>
      <c r="V2098" s="4295"/>
      <c r="W2098" s="3262"/>
      <c r="X2098" s="3262"/>
      <c r="Y2098" s="3265">
        <v>39600</v>
      </c>
      <c r="Z2098" s="3262">
        <v>39600</v>
      </c>
      <c r="AA2098" s="3262">
        <v>39600</v>
      </c>
      <c r="AB2098" s="3262">
        <v>39600</v>
      </c>
      <c r="AC2098" s="3267">
        <f>AC2097</f>
        <v>39600</v>
      </c>
      <c r="AD2098" s="3477">
        <v>39600</v>
      </c>
      <c r="AE2098" s="3478">
        <v>39600</v>
      </c>
      <c r="AF2098" s="2236">
        <f t="shared" si="292"/>
        <v>39600</v>
      </c>
      <c r="AG2098" s="1396"/>
      <c r="DG2098" s="573"/>
      <c r="DH2098" s="159"/>
      <c r="DI2098" s="1091"/>
      <c r="DJ2098" s="1187"/>
    </row>
    <row r="2099" spans="1:114" ht="15" hidden="1" customHeight="1" outlineLevel="1">
      <c r="A2099" s="453"/>
      <c r="C2099" s="51"/>
      <c r="D2099" s="4295"/>
      <c r="E2099" s="4295"/>
      <c r="F2099" s="4297" t="str">
        <f>$E$1878</f>
        <v>ASHP-SEER18_ROF_MF</v>
      </c>
      <c r="G2099" s="4298"/>
      <c r="H2099" s="4298"/>
      <c r="I2099" s="4299"/>
      <c r="J2099" s="1029" t="str">
        <f>$C$1878</f>
        <v>355000_2024_12_</v>
      </c>
      <c r="K2099" s="1754">
        <v>39600</v>
      </c>
      <c r="L2099" s="1031">
        <f t="shared" si="293"/>
        <v>3.3</v>
      </c>
      <c r="M2099" s="914" t="s">
        <v>1945</v>
      </c>
      <c r="P2099" s="261"/>
      <c r="Q2099" s="209"/>
      <c r="R2099" s="261"/>
      <c r="S2099" s="52"/>
      <c r="T2099" s="181"/>
      <c r="U2099" s="52"/>
      <c r="V2099" s="4295"/>
      <c r="W2099" s="1396">
        <v>39600</v>
      </c>
      <c r="X2099" s="1396">
        <v>39600</v>
      </c>
      <c r="Y2099" s="1396">
        <v>39600</v>
      </c>
      <c r="Z2099" s="1396">
        <v>39600</v>
      </c>
      <c r="AA2099" s="1396">
        <v>39600</v>
      </c>
      <c r="AB2099" s="1396">
        <v>39600</v>
      </c>
      <c r="AC2099" s="802">
        <v>39600</v>
      </c>
      <c r="AD2099" s="1033">
        <v>39600</v>
      </c>
      <c r="AE2099" s="968">
        <v>39600</v>
      </c>
      <c r="AF2099" s="271">
        <f t="shared" si="292"/>
        <v>39600</v>
      </c>
      <c r="AG2099" s="1396"/>
      <c r="DG2099" s="573"/>
      <c r="DH2099" s="159"/>
      <c r="DI2099" s="1091"/>
      <c r="DJ2099" s="1187"/>
    </row>
    <row r="2100" spans="1:114" ht="15" hidden="1" customHeight="1" outlineLevel="1">
      <c r="A2100" s="453"/>
      <c r="C2100" s="51"/>
      <c r="D2100" s="4295"/>
      <c r="E2100" s="4295"/>
      <c r="F2100" s="4300" t="str">
        <f>$E$1880</f>
        <v>ASHP-SEER18_ROF_MF_CompE</v>
      </c>
      <c r="G2100" s="4301"/>
      <c r="H2100" s="4301"/>
      <c r="I2100" s="4302"/>
      <c r="J2100" s="3471" t="str">
        <f>$C$1880</f>
        <v>355001_2024_12_</v>
      </c>
      <c r="K2100" s="3375">
        <v>39600</v>
      </c>
      <c r="L2100" s="3472">
        <f t="shared" si="293"/>
        <v>3.3</v>
      </c>
      <c r="M2100" s="3280" t="s">
        <v>1945</v>
      </c>
      <c r="P2100" s="261"/>
      <c r="Q2100" s="209"/>
      <c r="R2100" s="261"/>
      <c r="S2100" s="52"/>
      <c r="T2100" s="181"/>
      <c r="U2100" s="52"/>
      <c r="V2100" s="4295"/>
      <c r="W2100" s="3262"/>
      <c r="X2100" s="3262"/>
      <c r="Y2100" s="3265">
        <v>39600</v>
      </c>
      <c r="Z2100" s="3262">
        <v>39600</v>
      </c>
      <c r="AA2100" s="3262">
        <v>39600</v>
      </c>
      <c r="AB2100" s="3262">
        <v>39600</v>
      </c>
      <c r="AC2100" s="3267">
        <f>AC2099</f>
        <v>39600</v>
      </c>
      <c r="AD2100" s="3477">
        <v>39600</v>
      </c>
      <c r="AE2100" s="3478">
        <v>39600</v>
      </c>
      <c r="AF2100" s="2236">
        <f t="shared" si="292"/>
        <v>39600</v>
      </c>
      <c r="AG2100" s="1396"/>
      <c r="DG2100" s="573"/>
      <c r="DH2100" s="159"/>
      <c r="DI2100" s="1091"/>
      <c r="DJ2100" s="1187"/>
    </row>
    <row r="2101" spans="1:114" ht="15" hidden="1" customHeight="1" outlineLevel="1">
      <c r="A2101" s="453"/>
      <c r="C2101" s="51"/>
      <c r="D2101" s="4295"/>
      <c r="E2101" s="4295"/>
      <c r="F2101" s="4297" t="str">
        <f>$E$1882</f>
        <v>ASHP-SEER19_ROF_MF</v>
      </c>
      <c r="G2101" s="4298"/>
      <c r="H2101" s="4298"/>
      <c r="I2101" s="4299"/>
      <c r="J2101" s="1029" t="str">
        <f>$C$1882</f>
        <v>355050_2024_12_</v>
      </c>
      <c r="K2101" s="1754">
        <v>39600</v>
      </c>
      <c r="L2101" s="1031">
        <f t="shared" si="293"/>
        <v>3.3</v>
      </c>
      <c r="M2101" s="914" t="s">
        <v>1945</v>
      </c>
      <c r="P2101" s="261"/>
      <c r="Q2101" s="209"/>
      <c r="R2101" s="261"/>
      <c r="S2101" s="52"/>
      <c r="T2101" s="181"/>
      <c r="U2101" s="52"/>
      <c r="V2101" s="4295"/>
      <c r="W2101" s="1396">
        <v>39600</v>
      </c>
      <c r="X2101" s="1396">
        <v>39600</v>
      </c>
      <c r="Y2101" s="1396">
        <v>39600</v>
      </c>
      <c r="Z2101" s="1396">
        <v>39600</v>
      </c>
      <c r="AA2101" s="1396">
        <v>39600</v>
      </c>
      <c r="AB2101" s="1396">
        <v>39600</v>
      </c>
      <c r="AC2101" s="802">
        <v>39600</v>
      </c>
      <c r="AD2101" s="1033">
        <v>39600</v>
      </c>
      <c r="AE2101" s="968">
        <v>39600</v>
      </c>
      <c r="AF2101" s="271">
        <f t="shared" si="292"/>
        <v>39600</v>
      </c>
      <c r="AG2101" s="1396"/>
      <c r="DG2101" s="573"/>
      <c r="DH2101" s="159"/>
      <c r="DI2101" s="1091"/>
      <c r="DJ2101" s="1187"/>
    </row>
    <row r="2102" spans="1:114" ht="15" hidden="1" customHeight="1" outlineLevel="1">
      <c r="A2102" s="453"/>
      <c r="C2102" s="51"/>
      <c r="D2102" s="4295"/>
      <c r="E2102" s="4295"/>
      <c r="F2102" s="4300" t="str">
        <f>$E$1884</f>
        <v>ASHP-SEER19_ROF_MF_CompE</v>
      </c>
      <c r="G2102" s="4301"/>
      <c r="H2102" s="4301"/>
      <c r="I2102" s="4302"/>
      <c r="J2102" s="3471" t="str">
        <f>$C$1884</f>
        <v>355051_2024_12_</v>
      </c>
      <c r="K2102" s="3375">
        <v>39600</v>
      </c>
      <c r="L2102" s="3472">
        <f t="shared" si="293"/>
        <v>3.3</v>
      </c>
      <c r="M2102" s="3280" t="s">
        <v>1945</v>
      </c>
      <c r="P2102" s="261"/>
      <c r="Q2102" s="209"/>
      <c r="R2102" s="261"/>
      <c r="S2102" s="52"/>
      <c r="T2102" s="181"/>
      <c r="U2102" s="52"/>
      <c r="V2102" s="4295"/>
      <c r="W2102" s="3262"/>
      <c r="X2102" s="3262"/>
      <c r="Y2102" s="3265">
        <v>39600</v>
      </c>
      <c r="Z2102" s="3262">
        <v>39600</v>
      </c>
      <c r="AA2102" s="3262">
        <v>39600</v>
      </c>
      <c r="AB2102" s="3262">
        <v>39600</v>
      </c>
      <c r="AC2102" s="3267">
        <f>AC2101</f>
        <v>39600</v>
      </c>
      <c r="AD2102" s="3477">
        <v>39600</v>
      </c>
      <c r="AE2102" s="3478">
        <v>39600</v>
      </c>
      <c r="AF2102" s="2236">
        <f t="shared" si="292"/>
        <v>39600</v>
      </c>
      <c r="AG2102" s="1396"/>
      <c r="DG2102" s="573"/>
      <c r="DH2102" s="159"/>
      <c r="DI2102" s="1091"/>
      <c r="DJ2102" s="1187"/>
    </row>
    <row r="2103" spans="1:114" ht="15" hidden="1" customHeight="1" outlineLevel="1">
      <c r="A2103" s="453"/>
      <c r="C2103" s="51"/>
      <c r="D2103" s="4295"/>
      <c r="E2103" s="4295"/>
      <c r="F2103" s="4297" t="str">
        <f>$E$1886</f>
        <v>ASHP-SEER20_ROF_MF</v>
      </c>
      <c r="G2103" s="4298"/>
      <c r="H2103" s="4298"/>
      <c r="I2103" s="4299"/>
      <c r="J2103" s="1029" t="str">
        <f>$C$1886</f>
        <v>355100_2024_12_</v>
      </c>
      <c r="K2103" s="1754">
        <v>39600</v>
      </c>
      <c r="L2103" s="1031">
        <f t="shared" si="293"/>
        <v>3.3</v>
      </c>
      <c r="M2103" s="914" t="s">
        <v>1945</v>
      </c>
      <c r="S2103" s="52"/>
      <c r="T2103" s="52"/>
      <c r="U2103" s="52"/>
      <c r="V2103" s="4295"/>
      <c r="W2103" s="1396">
        <v>39600</v>
      </c>
      <c r="X2103" s="1396">
        <v>39600</v>
      </c>
      <c r="Y2103" s="1396">
        <v>39600</v>
      </c>
      <c r="Z2103" s="1396">
        <v>39600</v>
      </c>
      <c r="AA2103" s="1396">
        <v>39600</v>
      </c>
      <c r="AB2103" s="1396">
        <v>39600</v>
      </c>
      <c r="AC2103" s="802">
        <v>39600</v>
      </c>
      <c r="AD2103" s="1033">
        <v>39600</v>
      </c>
      <c r="AE2103" s="968">
        <v>39600</v>
      </c>
      <c r="AF2103" s="271">
        <f t="shared" si="292"/>
        <v>39600</v>
      </c>
      <c r="AG2103" s="1396"/>
      <c r="DG2103" s="573"/>
      <c r="DH2103" s="159"/>
      <c r="DI2103" s="1091"/>
      <c r="DJ2103" s="1187"/>
    </row>
    <row r="2104" spans="1:114" ht="15" hidden="1" customHeight="1" outlineLevel="1">
      <c r="A2104" s="453"/>
      <c r="C2104" s="51"/>
      <c r="D2104" s="4295"/>
      <c r="E2104" s="4295"/>
      <c r="F2104" s="4300" t="str">
        <f>$E$1888</f>
        <v>ASHP-SEER20_ROF_MF_CompE</v>
      </c>
      <c r="G2104" s="4301"/>
      <c r="H2104" s="4301"/>
      <c r="I2104" s="4302"/>
      <c r="J2104" s="3471" t="str">
        <f>$C$1888</f>
        <v>355101_2024_12_</v>
      </c>
      <c r="K2104" s="3375">
        <v>39600</v>
      </c>
      <c r="L2104" s="3472">
        <f t="shared" si="293"/>
        <v>3.3</v>
      </c>
      <c r="M2104" s="3280" t="s">
        <v>1945</v>
      </c>
      <c r="S2104" s="52"/>
      <c r="T2104" s="52"/>
      <c r="U2104" s="52"/>
      <c r="V2104" s="4295"/>
      <c r="W2104" s="3262"/>
      <c r="X2104" s="3262"/>
      <c r="Y2104" s="3265">
        <v>39600</v>
      </c>
      <c r="Z2104" s="3262">
        <v>39600</v>
      </c>
      <c r="AA2104" s="3262">
        <v>39600</v>
      </c>
      <c r="AB2104" s="3262">
        <v>39600</v>
      </c>
      <c r="AC2104" s="3267">
        <f>AC2103</f>
        <v>39600</v>
      </c>
      <c r="AD2104" s="3477">
        <v>39600</v>
      </c>
      <c r="AE2104" s="3478">
        <v>39600</v>
      </c>
      <c r="AF2104" s="2236">
        <f t="shared" si="292"/>
        <v>39600</v>
      </c>
      <c r="AG2104" s="1396"/>
      <c r="DG2104" s="573"/>
      <c r="DH2104" s="159"/>
      <c r="DI2104" s="1091"/>
      <c r="DJ2104" s="1187"/>
    </row>
    <row r="2105" spans="1:114" ht="15.75" hidden="1" customHeight="1" outlineLevel="1">
      <c r="A2105" s="453"/>
      <c r="C2105" s="51"/>
      <c r="D2105" s="4295"/>
      <c r="E2105" s="4295"/>
      <c r="F2105" s="4297" t="str">
        <f>$E$1890</f>
        <v>ASHP-SEER21_ROF_MF</v>
      </c>
      <c r="G2105" s="4298"/>
      <c r="H2105" s="4298"/>
      <c r="I2105" s="4299"/>
      <c r="J2105" s="1029" t="str">
        <f>$C$1890</f>
        <v>355150_2024_12_</v>
      </c>
      <c r="K2105" s="1754">
        <v>39600</v>
      </c>
      <c r="L2105" s="1031">
        <f t="shared" si="293"/>
        <v>3.3</v>
      </c>
      <c r="M2105" s="914" t="s">
        <v>1945</v>
      </c>
      <c r="S2105" s="52"/>
      <c r="T2105" s="52"/>
      <c r="U2105" s="52"/>
      <c r="V2105" s="4295"/>
      <c r="W2105" s="1396">
        <v>39600</v>
      </c>
      <c r="X2105" s="1396">
        <v>39600</v>
      </c>
      <c r="Y2105" s="1396">
        <v>39600</v>
      </c>
      <c r="Z2105" s="1396">
        <v>39600</v>
      </c>
      <c r="AA2105" s="1396">
        <v>39600</v>
      </c>
      <c r="AB2105" s="1396">
        <v>39600</v>
      </c>
      <c r="AC2105" s="802">
        <v>39600</v>
      </c>
      <c r="AD2105" s="1033">
        <v>39600</v>
      </c>
      <c r="AE2105" s="968">
        <v>39600</v>
      </c>
      <c r="AF2105" s="271">
        <f t="shared" si="292"/>
        <v>39600</v>
      </c>
      <c r="AG2105" s="1396"/>
      <c r="DG2105" s="573"/>
      <c r="DH2105" s="159"/>
      <c r="DI2105" s="1091"/>
      <c r="DJ2105" s="1187"/>
    </row>
    <row r="2106" spans="1:114" ht="15.75" hidden="1" customHeight="1" outlineLevel="1">
      <c r="A2106" s="453"/>
      <c r="C2106" s="51"/>
      <c r="D2106" s="4295"/>
      <c r="E2106" s="4295"/>
      <c r="F2106" s="4300" t="str">
        <f>$E$1892</f>
        <v>ASHP-SEER21_ROF_MF_CompE</v>
      </c>
      <c r="G2106" s="4301"/>
      <c r="H2106" s="4301"/>
      <c r="I2106" s="4302"/>
      <c r="J2106" s="3471" t="str">
        <f>$C$1892</f>
        <v>355151_2024_12_</v>
      </c>
      <c r="K2106" s="3375">
        <v>39600</v>
      </c>
      <c r="L2106" s="3472">
        <f t="shared" si="293"/>
        <v>3.3</v>
      </c>
      <c r="M2106" s="3280" t="s">
        <v>1945</v>
      </c>
      <c r="S2106" s="52"/>
      <c r="T2106" s="52"/>
      <c r="U2106" s="52"/>
      <c r="V2106" s="4295"/>
      <c r="W2106" s="3262"/>
      <c r="X2106" s="3262"/>
      <c r="Y2106" s="3265">
        <v>39600</v>
      </c>
      <c r="Z2106" s="3262">
        <v>39600</v>
      </c>
      <c r="AA2106" s="3262">
        <v>39600</v>
      </c>
      <c r="AB2106" s="3262">
        <v>39600</v>
      </c>
      <c r="AC2106" s="3267">
        <f>AC2105</f>
        <v>39600</v>
      </c>
      <c r="AD2106" s="3477">
        <v>39600</v>
      </c>
      <c r="AE2106" s="3478">
        <v>39600</v>
      </c>
      <c r="AF2106" s="2236">
        <f t="shared" ref="AF2106:AF2169" si="294">IF(K2106&lt;&gt;"",K2106,"")</f>
        <v>39600</v>
      </c>
      <c r="AG2106" s="1396"/>
      <c r="DG2106" s="573"/>
      <c r="DH2106" s="159"/>
      <c r="DI2106" s="1091"/>
      <c r="DJ2106" s="1187"/>
    </row>
    <row r="2107" spans="1:114" ht="15" hidden="1" customHeight="1" outlineLevel="1">
      <c r="A2107" s="453"/>
      <c r="C2107" s="51"/>
      <c r="D2107" s="4295" t="s">
        <v>2105</v>
      </c>
      <c r="E2107" s="4295" t="s">
        <v>2106</v>
      </c>
      <c r="F2107" s="4297" t="str">
        <f>$E$1508</f>
        <v>ASHP-SEER15-Replace_CAC_ElectricHeat_ER1_SF</v>
      </c>
      <c r="G2107" s="4298"/>
      <c r="H2107" s="4298"/>
      <c r="I2107" s="4299"/>
      <c r="J2107" s="1029" t="str">
        <f>$C$1508</f>
        <v>352300_2024_12_</v>
      </c>
      <c r="K2107" s="1790">
        <v>1496</v>
      </c>
      <c r="L2107" s="13"/>
      <c r="M2107" s="4375" t="s">
        <v>2497</v>
      </c>
      <c r="S2107" s="52"/>
      <c r="T2107" s="52"/>
      <c r="U2107" s="52"/>
      <c r="V2107" s="4295" t="s">
        <v>2105</v>
      </c>
      <c r="W2107" s="1396">
        <v>2009</v>
      </c>
      <c r="X2107" s="833">
        <v>1496</v>
      </c>
      <c r="Y2107" s="1396">
        <v>1496</v>
      </c>
      <c r="Z2107" s="1396">
        <v>1496</v>
      </c>
      <c r="AA2107" s="1396">
        <v>1496</v>
      </c>
      <c r="AB2107" s="1396">
        <v>1496</v>
      </c>
      <c r="AC2107" s="1396">
        <v>1496</v>
      </c>
      <c r="AD2107" s="1396">
        <v>1496</v>
      </c>
      <c r="AE2107" s="1396">
        <v>1496</v>
      </c>
      <c r="AF2107" s="271">
        <f t="shared" si="294"/>
        <v>1496</v>
      </c>
      <c r="AG2107" s="1396"/>
      <c r="DG2107" s="573"/>
      <c r="DH2107" s="159"/>
      <c r="DI2107" s="1091"/>
      <c r="DJ2107" s="1187"/>
    </row>
    <row r="2108" spans="1:114" ht="15" hidden="1" customHeight="1" outlineLevel="1">
      <c r="A2108" s="453"/>
      <c r="C2108" s="51"/>
      <c r="D2108" s="4295"/>
      <c r="E2108" s="4295"/>
      <c r="F2108" s="4297" t="str">
        <f>$E$1510</f>
        <v>ASHP-SEER15-Replace_CAC_ElectricHeat_ER2_SF</v>
      </c>
      <c r="G2108" s="4298"/>
      <c r="H2108" s="4298"/>
      <c r="I2108" s="4299"/>
      <c r="J2108" s="1029" t="str">
        <f>$C$1510</f>
        <v>352300_2024_12_</v>
      </c>
      <c r="K2108" s="1790">
        <v>1496</v>
      </c>
      <c r="L2108" s="13"/>
      <c r="M2108" s="4376"/>
      <c r="S2108" s="52"/>
      <c r="T2108" s="52"/>
      <c r="U2108" s="52"/>
      <c r="V2108" s="4295"/>
      <c r="W2108" s="1396">
        <v>2009</v>
      </c>
      <c r="X2108" s="833">
        <v>1496</v>
      </c>
      <c r="Y2108" s="1396">
        <v>1496</v>
      </c>
      <c r="Z2108" s="1396">
        <v>1496</v>
      </c>
      <c r="AA2108" s="1396">
        <v>1496</v>
      </c>
      <c r="AB2108" s="1396">
        <v>1496</v>
      </c>
      <c r="AC2108" s="1396">
        <v>1496</v>
      </c>
      <c r="AD2108" s="1396">
        <v>1496</v>
      </c>
      <c r="AE2108" s="1396">
        <v>1496</v>
      </c>
      <c r="AF2108" s="271">
        <f t="shared" si="294"/>
        <v>1496</v>
      </c>
      <c r="AG2108" s="1396"/>
      <c r="DG2108" s="573"/>
      <c r="DH2108" s="159"/>
      <c r="DI2108" s="1091"/>
      <c r="DJ2108" s="1187"/>
    </row>
    <row r="2109" spans="1:114" ht="15" hidden="1" customHeight="1" outlineLevel="1">
      <c r="A2109" s="453"/>
      <c r="C2109" s="51"/>
      <c r="D2109" s="4295"/>
      <c r="E2109" s="4295"/>
      <c r="F2109" s="4297" t="str">
        <f>$E$1512</f>
        <v>ASHP-SEER15-Replace_CAC_NonElectricHeat_ER1_SF</v>
      </c>
      <c r="G2109" s="4298"/>
      <c r="H2109" s="4298"/>
      <c r="I2109" s="4299"/>
      <c r="J2109" s="1029" t="str">
        <f>$C$1512</f>
        <v>352310_2024_12_</v>
      </c>
      <c r="K2109" s="1793">
        <v>1496</v>
      </c>
      <c r="L2109" s="13"/>
      <c r="M2109" s="4376"/>
      <c r="S2109" s="52"/>
      <c r="T2109" s="52"/>
      <c r="U2109" s="52"/>
      <c r="V2109" s="4295"/>
      <c r="W2109" s="1396"/>
      <c r="X2109" s="833"/>
      <c r="Y2109" s="1396"/>
      <c r="Z2109" s="1396"/>
      <c r="AA2109" s="1396"/>
      <c r="AB2109" s="1396"/>
      <c r="AC2109" s="825">
        <v>1496</v>
      </c>
      <c r="AD2109" s="802">
        <v>1496</v>
      </c>
      <c r="AE2109" s="802">
        <v>1496</v>
      </c>
      <c r="AF2109" s="271">
        <f t="shared" si="294"/>
        <v>1496</v>
      </c>
      <c r="AG2109" s="1396"/>
      <c r="DG2109" s="573"/>
      <c r="DH2109" s="159"/>
      <c r="DI2109" s="1091"/>
      <c r="DJ2109" s="1187"/>
    </row>
    <row r="2110" spans="1:114" ht="15" hidden="1" customHeight="1" outlineLevel="1">
      <c r="A2110" s="453"/>
      <c r="C2110" s="51"/>
      <c r="D2110" s="4295"/>
      <c r="E2110" s="4295"/>
      <c r="F2110" s="4297" t="str">
        <f>$E$1514</f>
        <v>ASHP-SEER15-Replace_CAC_NonElectricHeat_ER2_SF</v>
      </c>
      <c r="G2110" s="4298"/>
      <c r="H2110" s="4298"/>
      <c r="I2110" s="4299"/>
      <c r="J2110" s="1029" t="str">
        <f>$C$1514</f>
        <v>352310_2024_12_</v>
      </c>
      <c r="K2110" s="1793">
        <v>1496</v>
      </c>
      <c r="L2110" s="13"/>
      <c r="M2110" s="4376"/>
      <c r="S2110" s="52"/>
      <c r="T2110" s="52"/>
      <c r="U2110" s="52"/>
      <c r="V2110" s="4295"/>
      <c r="W2110" s="1396"/>
      <c r="X2110" s="833"/>
      <c r="Y2110" s="1396"/>
      <c r="Z2110" s="1396"/>
      <c r="AA2110" s="1396"/>
      <c r="AB2110" s="1396"/>
      <c r="AC2110" s="825">
        <v>1496</v>
      </c>
      <c r="AD2110" s="802">
        <v>1496</v>
      </c>
      <c r="AE2110" s="802">
        <v>1496</v>
      </c>
      <c r="AF2110" s="271">
        <f t="shared" si="294"/>
        <v>1496</v>
      </c>
      <c r="AG2110" s="1396"/>
      <c r="DG2110" s="573"/>
      <c r="DH2110" s="159"/>
      <c r="DI2110" s="1091"/>
      <c r="DJ2110" s="1187"/>
    </row>
    <row r="2111" spans="1:114" ht="15" hidden="1" customHeight="1" outlineLevel="1">
      <c r="A2111" s="453"/>
      <c r="C2111" s="51"/>
      <c r="D2111" s="4295"/>
      <c r="E2111" s="4295"/>
      <c r="F2111" s="4297" t="str">
        <f>$E$1516</f>
        <v>ASHP-SEER15_ER1_SF</v>
      </c>
      <c r="G2111" s="4298"/>
      <c r="H2111" s="4298"/>
      <c r="I2111" s="4299"/>
      <c r="J2111" s="1029" t="str">
        <f>$C$1516</f>
        <v>352350_2024_12_</v>
      </c>
      <c r="K2111" s="1790">
        <v>1496</v>
      </c>
      <c r="L2111" s="13"/>
      <c r="M2111" s="4376"/>
      <c r="S2111" s="52"/>
      <c r="T2111" s="52"/>
      <c r="U2111" s="52"/>
      <c r="V2111" s="4295"/>
      <c r="W2111" s="1396">
        <v>2009</v>
      </c>
      <c r="X2111" s="833">
        <v>1496</v>
      </c>
      <c r="Y2111" s="1396">
        <v>1496</v>
      </c>
      <c r="Z2111" s="1396">
        <v>1496</v>
      </c>
      <c r="AA2111" s="1396">
        <v>1496</v>
      </c>
      <c r="AB2111" s="1396">
        <v>1496</v>
      </c>
      <c r="AC2111" s="1396">
        <v>1496</v>
      </c>
      <c r="AD2111" s="1396">
        <v>1496</v>
      </c>
      <c r="AE2111" s="1396">
        <v>1496</v>
      </c>
      <c r="AF2111" s="271">
        <f t="shared" si="294"/>
        <v>1496</v>
      </c>
      <c r="AG2111" s="1396"/>
      <c r="DG2111" s="573"/>
      <c r="DH2111" s="159"/>
      <c r="DI2111" s="1091"/>
      <c r="DJ2111" s="1187"/>
    </row>
    <row r="2112" spans="1:114" ht="15" hidden="1" customHeight="1" outlineLevel="1">
      <c r="A2112" s="453"/>
      <c r="C2112" s="51"/>
      <c r="D2112" s="4295"/>
      <c r="E2112" s="4295"/>
      <c r="F2112" s="4297" t="str">
        <f>$E$1518</f>
        <v>ASHP-SEER15_ER2_SF</v>
      </c>
      <c r="G2112" s="4298"/>
      <c r="H2112" s="4298"/>
      <c r="I2112" s="4299"/>
      <c r="J2112" s="1029" t="str">
        <f>$C$1518</f>
        <v>352350_2024_12_</v>
      </c>
      <c r="K2112" s="1790">
        <v>1496</v>
      </c>
      <c r="L2112" s="13"/>
      <c r="M2112" s="4376"/>
      <c r="P2112" s="261"/>
      <c r="Q2112" s="261"/>
      <c r="R2112" s="261"/>
      <c r="S2112" s="52"/>
      <c r="T2112" s="181"/>
      <c r="U2112" s="52"/>
      <c r="V2112" s="4295"/>
      <c r="W2112" s="1396">
        <v>2009</v>
      </c>
      <c r="X2112" s="833">
        <v>1496</v>
      </c>
      <c r="Y2112" s="1396">
        <v>1496</v>
      </c>
      <c r="Z2112" s="1396">
        <v>1496</v>
      </c>
      <c r="AA2112" s="1396">
        <v>1496</v>
      </c>
      <c r="AB2112" s="1396">
        <v>1496</v>
      </c>
      <c r="AC2112" s="1396">
        <v>1496</v>
      </c>
      <c r="AD2112" s="1396">
        <v>1496</v>
      </c>
      <c r="AE2112" s="1396">
        <v>1496</v>
      </c>
      <c r="AF2112" s="271">
        <f t="shared" si="294"/>
        <v>1496</v>
      </c>
      <c r="AG2112" s="1396"/>
      <c r="DG2112" s="573"/>
      <c r="DH2112" s="159"/>
      <c r="DI2112" s="1091"/>
      <c r="DJ2112" s="1187"/>
    </row>
    <row r="2113" spans="1:114" ht="15" hidden="1" customHeight="1" outlineLevel="1">
      <c r="A2113" s="453"/>
      <c r="C2113" s="51"/>
      <c r="D2113" s="4295"/>
      <c r="E2113" s="4295"/>
      <c r="F2113" s="4297" t="str">
        <f>$E$1520</f>
        <v>ASHP-SEER15-Replace_CAC_ElectricHeat_ROF_SF</v>
      </c>
      <c r="G2113" s="4298"/>
      <c r="H2113" s="4298"/>
      <c r="I2113" s="4299"/>
      <c r="J2113" s="1029" t="str">
        <f>$C$1520</f>
        <v>352400_2024_12_</v>
      </c>
      <c r="K2113" s="1790">
        <v>1496</v>
      </c>
      <c r="L2113" s="13"/>
      <c r="M2113" s="4376"/>
      <c r="P2113" s="261"/>
      <c r="Q2113" s="261"/>
      <c r="R2113" s="261"/>
      <c r="S2113" s="52"/>
      <c r="T2113" s="181"/>
      <c r="U2113" s="52"/>
      <c r="V2113" s="4295"/>
      <c r="W2113" s="1396">
        <v>2009</v>
      </c>
      <c r="X2113" s="833">
        <v>1496</v>
      </c>
      <c r="Y2113" s="1396">
        <v>1496</v>
      </c>
      <c r="Z2113" s="1396">
        <v>1496</v>
      </c>
      <c r="AA2113" s="1396">
        <v>1496</v>
      </c>
      <c r="AB2113" s="1396">
        <v>1496</v>
      </c>
      <c r="AC2113" s="1396">
        <v>1496</v>
      </c>
      <c r="AD2113" s="1396">
        <v>1496</v>
      </c>
      <c r="AE2113" s="1396">
        <v>1496</v>
      </c>
      <c r="AF2113" s="271">
        <f t="shared" si="294"/>
        <v>1496</v>
      </c>
      <c r="AG2113" s="1396"/>
      <c r="DG2113" s="573"/>
      <c r="DH2113" s="159"/>
      <c r="DI2113" s="1091"/>
      <c r="DJ2113" s="1187"/>
    </row>
    <row r="2114" spans="1:114" ht="15" hidden="1" customHeight="1" outlineLevel="1">
      <c r="A2114" s="453"/>
      <c r="C2114" s="51"/>
      <c r="D2114" s="4295"/>
      <c r="E2114" s="4295"/>
      <c r="F2114" s="4297" t="str">
        <f>$E$1522</f>
        <v>ASHP-SEER15-Replace_CAC_NonElectricHeat_ROF_SF</v>
      </c>
      <c r="G2114" s="4298"/>
      <c r="H2114" s="4298"/>
      <c r="I2114" s="4299"/>
      <c r="J2114" s="1029" t="str">
        <f>$C$1522</f>
        <v>352410_2024_12_</v>
      </c>
      <c r="K2114" s="1793">
        <v>1496</v>
      </c>
      <c r="L2114" s="13"/>
      <c r="M2114" s="4376"/>
      <c r="P2114" s="261"/>
      <c r="Q2114" s="261"/>
      <c r="R2114" s="261"/>
      <c r="S2114" s="52"/>
      <c r="T2114" s="181"/>
      <c r="U2114" s="52"/>
      <c r="V2114" s="4295"/>
      <c r="W2114" s="1396"/>
      <c r="X2114" s="833"/>
      <c r="Y2114" s="1396"/>
      <c r="Z2114" s="1396"/>
      <c r="AA2114" s="1396"/>
      <c r="AB2114" s="1396"/>
      <c r="AC2114" s="825">
        <v>1496</v>
      </c>
      <c r="AD2114" s="802">
        <v>1496</v>
      </c>
      <c r="AE2114" s="802">
        <v>1496</v>
      </c>
      <c r="AF2114" s="271">
        <f t="shared" si="294"/>
        <v>1496</v>
      </c>
      <c r="AG2114" s="1396"/>
      <c r="DG2114" s="573"/>
      <c r="DH2114" s="159"/>
      <c r="DI2114" s="1091"/>
      <c r="DJ2114" s="1187"/>
    </row>
    <row r="2115" spans="1:114" ht="15" hidden="1" customHeight="1" outlineLevel="1">
      <c r="A2115" s="453"/>
      <c r="C2115" s="51"/>
      <c r="D2115" s="4295"/>
      <c r="E2115" s="4295"/>
      <c r="F2115" s="4300" t="str">
        <f>$E$1524</f>
        <v>ASHP-SEER15_ROF_SF</v>
      </c>
      <c r="G2115" s="4301"/>
      <c r="H2115" s="4301"/>
      <c r="I2115" s="4302"/>
      <c r="J2115" s="3471" t="str">
        <f>$C$1524</f>
        <v>352450_2024_12_</v>
      </c>
      <c r="K2115" s="3263">
        <v>1496</v>
      </c>
      <c r="L2115" s="13"/>
      <c r="M2115" s="4376"/>
      <c r="P2115" s="261"/>
      <c r="Q2115" s="261"/>
      <c r="R2115" s="261"/>
      <c r="S2115" s="52"/>
      <c r="T2115" s="181"/>
      <c r="U2115" s="52"/>
      <c r="V2115" s="4295"/>
      <c r="W2115" s="3262">
        <v>2009</v>
      </c>
      <c r="X2115" s="3265">
        <v>1496</v>
      </c>
      <c r="Y2115" s="3262">
        <v>1496</v>
      </c>
      <c r="Z2115" s="3262">
        <v>1496</v>
      </c>
      <c r="AA2115" s="3262">
        <v>1496</v>
      </c>
      <c r="AB2115" s="3262">
        <v>1496</v>
      </c>
      <c r="AC2115" s="3262">
        <v>1496</v>
      </c>
      <c r="AD2115" s="3262">
        <v>1496</v>
      </c>
      <c r="AE2115" s="3262">
        <v>1496</v>
      </c>
      <c r="AF2115" s="2236">
        <f t="shared" si="294"/>
        <v>1496</v>
      </c>
      <c r="AG2115" s="1396"/>
      <c r="DG2115" s="573"/>
      <c r="DH2115" s="159"/>
      <c r="DI2115" s="1091"/>
      <c r="DJ2115" s="1187"/>
    </row>
    <row r="2116" spans="1:114" ht="15" hidden="1" customHeight="1" outlineLevel="1">
      <c r="A2116" s="453"/>
      <c r="C2116" s="51"/>
      <c r="D2116" s="4295"/>
      <c r="E2116" s="4295"/>
      <c r="F2116" s="4297" t="str">
        <f>$E$1526</f>
        <v>ASHP-SEER16-Replace_CAC_ElectricHeat_ER1_SF</v>
      </c>
      <c r="G2116" s="4298"/>
      <c r="H2116" s="4298"/>
      <c r="I2116" s="4299"/>
      <c r="J2116" s="1029" t="str">
        <f>$C$1526</f>
        <v>352500_2024_12_</v>
      </c>
      <c r="K2116" s="1790">
        <v>1496</v>
      </c>
      <c r="L2116" s="13"/>
      <c r="M2116" s="4376"/>
      <c r="P2116" s="261"/>
      <c r="Q2116" s="261"/>
      <c r="R2116" s="261"/>
      <c r="S2116" s="52"/>
      <c r="T2116" s="181"/>
      <c r="U2116" s="52"/>
      <c r="V2116" s="4295"/>
      <c r="W2116" s="1396">
        <v>2009</v>
      </c>
      <c r="X2116" s="833">
        <v>1496</v>
      </c>
      <c r="Y2116" s="1396">
        <v>1496</v>
      </c>
      <c r="Z2116" s="1396">
        <v>1496</v>
      </c>
      <c r="AA2116" s="1396">
        <v>1496</v>
      </c>
      <c r="AB2116" s="1396">
        <v>1496</v>
      </c>
      <c r="AC2116" s="1396">
        <v>1496</v>
      </c>
      <c r="AD2116" s="1396">
        <v>1496</v>
      </c>
      <c r="AE2116" s="1396">
        <v>1496</v>
      </c>
      <c r="AF2116" s="271">
        <f t="shared" si="294"/>
        <v>1496</v>
      </c>
      <c r="AG2116" s="1396"/>
      <c r="DG2116" s="573"/>
      <c r="DH2116" s="159"/>
      <c r="DI2116" s="1091"/>
      <c r="DJ2116" s="1187"/>
    </row>
    <row r="2117" spans="1:114" ht="15" hidden="1" customHeight="1" outlineLevel="1">
      <c r="A2117" s="453"/>
      <c r="C2117" s="51"/>
      <c r="D2117" s="4295"/>
      <c r="E2117" s="4295"/>
      <c r="F2117" s="4297" t="str">
        <f>$E$1528</f>
        <v>ASHP-SEER16-Replace_CAC_ElectricHeat_ER2_SF</v>
      </c>
      <c r="G2117" s="4298"/>
      <c r="H2117" s="4298"/>
      <c r="I2117" s="4299"/>
      <c r="J2117" s="1029" t="str">
        <f>$C$1528</f>
        <v>352500_2024_12_</v>
      </c>
      <c r="K2117" s="1790">
        <v>1496</v>
      </c>
      <c r="L2117" s="13"/>
      <c r="M2117" s="4376"/>
      <c r="S2117" s="52"/>
      <c r="T2117" s="52"/>
      <c r="U2117" s="52"/>
      <c r="V2117" s="4295"/>
      <c r="W2117" s="1396">
        <v>2009</v>
      </c>
      <c r="X2117" s="833">
        <v>1496</v>
      </c>
      <c r="Y2117" s="1396">
        <v>1496</v>
      </c>
      <c r="Z2117" s="1396">
        <v>1496</v>
      </c>
      <c r="AA2117" s="1396">
        <v>1496</v>
      </c>
      <c r="AB2117" s="1396">
        <v>1496</v>
      </c>
      <c r="AC2117" s="1396">
        <v>1496</v>
      </c>
      <c r="AD2117" s="1396">
        <v>1496</v>
      </c>
      <c r="AE2117" s="1396">
        <v>1496</v>
      </c>
      <c r="AF2117" s="271">
        <f t="shared" si="294"/>
        <v>1496</v>
      </c>
      <c r="AG2117" s="1396"/>
      <c r="DG2117" s="573"/>
      <c r="DH2117" s="159"/>
      <c r="DI2117" s="1091"/>
      <c r="DJ2117" s="1187"/>
    </row>
    <row r="2118" spans="1:114" ht="15" hidden="1" customHeight="1" outlineLevel="1">
      <c r="A2118" s="453"/>
      <c r="C2118" s="51"/>
      <c r="D2118" s="4295"/>
      <c r="E2118" s="4295"/>
      <c r="F2118" s="4297" t="str">
        <f>$E$1530</f>
        <v>ASHP-SEER16-Replace_CAC_NonElectricHeat_ER1_SF</v>
      </c>
      <c r="G2118" s="4298"/>
      <c r="H2118" s="4298"/>
      <c r="I2118" s="4299"/>
      <c r="J2118" s="1029" t="str">
        <f>$C$1530</f>
        <v>352510_2024_12_</v>
      </c>
      <c r="K2118" s="1793">
        <v>1496</v>
      </c>
      <c r="L2118" s="13"/>
      <c r="M2118" s="4376"/>
      <c r="S2118" s="52"/>
      <c r="T2118" s="52"/>
      <c r="U2118" s="52"/>
      <c r="V2118" s="4295"/>
      <c r="W2118" s="1396"/>
      <c r="X2118" s="833"/>
      <c r="Y2118" s="1396"/>
      <c r="Z2118" s="1396"/>
      <c r="AA2118" s="1396"/>
      <c r="AB2118" s="1396"/>
      <c r="AC2118" s="825">
        <v>1496</v>
      </c>
      <c r="AD2118" s="802">
        <v>1496</v>
      </c>
      <c r="AE2118" s="802">
        <v>1496</v>
      </c>
      <c r="AF2118" s="271">
        <f t="shared" si="294"/>
        <v>1496</v>
      </c>
      <c r="AG2118" s="1396"/>
      <c r="DG2118" s="573"/>
      <c r="DH2118" s="159"/>
      <c r="DI2118" s="1091"/>
      <c r="DJ2118" s="1187"/>
    </row>
    <row r="2119" spans="1:114" ht="15" hidden="1" customHeight="1" outlineLevel="1">
      <c r="A2119" s="453"/>
      <c r="C2119" s="51"/>
      <c r="D2119" s="4295"/>
      <c r="E2119" s="4295"/>
      <c r="F2119" s="4297" t="str">
        <f>$E$1532</f>
        <v>ASHP-SEER16-Replace_CAC_NonElectricHeat_ER2_SF</v>
      </c>
      <c r="G2119" s="4298"/>
      <c r="H2119" s="4298"/>
      <c r="I2119" s="4299"/>
      <c r="J2119" s="1029" t="str">
        <f>$C$1532</f>
        <v>352510_2024_12_</v>
      </c>
      <c r="K2119" s="1793">
        <v>1496</v>
      </c>
      <c r="L2119" s="13"/>
      <c r="M2119" s="4376"/>
      <c r="S2119" s="52"/>
      <c r="T2119" s="52"/>
      <c r="U2119" s="52"/>
      <c r="V2119" s="4295"/>
      <c r="W2119" s="1396"/>
      <c r="X2119" s="833"/>
      <c r="Y2119" s="1396"/>
      <c r="Z2119" s="1396"/>
      <c r="AA2119" s="1396"/>
      <c r="AB2119" s="1396"/>
      <c r="AC2119" s="825">
        <v>1496</v>
      </c>
      <c r="AD2119" s="802">
        <v>1496</v>
      </c>
      <c r="AE2119" s="802">
        <v>1496</v>
      </c>
      <c r="AF2119" s="271">
        <f t="shared" si="294"/>
        <v>1496</v>
      </c>
      <c r="AG2119" s="1396"/>
      <c r="DG2119" s="573"/>
      <c r="DH2119" s="159"/>
      <c r="DI2119" s="1091"/>
      <c r="DJ2119" s="1187"/>
    </row>
    <row r="2120" spans="1:114" ht="15" hidden="1" customHeight="1" outlineLevel="1">
      <c r="A2120" s="453"/>
      <c r="C2120" s="51"/>
      <c r="D2120" s="4295"/>
      <c r="E2120" s="4295"/>
      <c r="F2120" s="4297" t="str">
        <f>$E$1534</f>
        <v>ASHP-SEER16_ER1_SF</v>
      </c>
      <c r="G2120" s="4298"/>
      <c r="H2120" s="4298"/>
      <c r="I2120" s="4299"/>
      <c r="J2120" s="1029" t="str">
        <f>$C$1534</f>
        <v>352550_2024_12_</v>
      </c>
      <c r="K2120" s="1790">
        <v>1496</v>
      </c>
      <c r="L2120" s="13"/>
      <c r="M2120" s="4376"/>
      <c r="S2120" s="52"/>
      <c r="T2120" s="52"/>
      <c r="U2120" s="52"/>
      <c r="V2120" s="4295"/>
      <c r="W2120" s="1396">
        <v>2009</v>
      </c>
      <c r="X2120" s="833">
        <v>1496</v>
      </c>
      <c r="Y2120" s="1396">
        <v>1496</v>
      </c>
      <c r="Z2120" s="1396">
        <v>1496</v>
      </c>
      <c r="AA2120" s="1396">
        <v>1496</v>
      </c>
      <c r="AB2120" s="1396">
        <v>1496</v>
      </c>
      <c r="AC2120" s="1396">
        <v>1496</v>
      </c>
      <c r="AD2120" s="1396">
        <v>1496</v>
      </c>
      <c r="AE2120" s="1396">
        <v>1496</v>
      </c>
      <c r="AF2120" s="271">
        <f t="shared" si="294"/>
        <v>1496</v>
      </c>
      <c r="AG2120" s="1396"/>
      <c r="DG2120" s="573"/>
      <c r="DH2120" s="159"/>
      <c r="DI2120" s="1091"/>
      <c r="DJ2120" s="1187"/>
    </row>
    <row r="2121" spans="1:114" ht="15" hidden="1" customHeight="1" outlineLevel="1">
      <c r="A2121" s="453"/>
      <c r="C2121" s="51"/>
      <c r="D2121" s="4295"/>
      <c r="E2121" s="4295"/>
      <c r="F2121" s="4297" t="str">
        <f>$E$1536</f>
        <v>ASHP-SEER16_ER2_SF</v>
      </c>
      <c r="G2121" s="4298"/>
      <c r="H2121" s="4298"/>
      <c r="I2121" s="4299"/>
      <c r="J2121" s="1029" t="str">
        <f>$C$1536</f>
        <v>352550_2024_12_</v>
      </c>
      <c r="K2121" s="1790">
        <v>1496</v>
      </c>
      <c r="L2121" s="262"/>
      <c r="M2121" s="4376"/>
      <c r="S2121" s="52"/>
      <c r="T2121" s="52"/>
      <c r="U2121" s="52"/>
      <c r="V2121" s="4295"/>
      <c r="W2121" s="1396">
        <v>2009</v>
      </c>
      <c r="X2121" s="833">
        <v>1496</v>
      </c>
      <c r="Y2121" s="1396">
        <v>1496</v>
      </c>
      <c r="Z2121" s="1396">
        <v>1496</v>
      </c>
      <c r="AA2121" s="1396">
        <v>1496</v>
      </c>
      <c r="AB2121" s="1396">
        <v>1496</v>
      </c>
      <c r="AC2121" s="1396">
        <v>1496</v>
      </c>
      <c r="AD2121" s="1396">
        <v>1496</v>
      </c>
      <c r="AE2121" s="1396">
        <v>1496</v>
      </c>
      <c r="AF2121" s="271">
        <f t="shared" si="294"/>
        <v>1496</v>
      </c>
      <c r="AG2121" s="1396"/>
      <c r="DG2121" s="573"/>
      <c r="DH2121" s="159"/>
      <c r="DI2121" s="1091"/>
      <c r="DJ2121" s="1187"/>
    </row>
    <row r="2122" spans="1:114" ht="15" hidden="1" customHeight="1" outlineLevel="1">
      <c r="A2122" s="453"/>
      <c r="C2122" s="51"/>
      <c r="D2122" s="4295"/>
      <c r="E2122" s="4295"/>
      <c r="F2122" s="4297" t="str">
        <f>$E$1538</f>
        <v>ASHP-SEER16-Replace_CAC_ElectricHeat_ROF_SF</v>
      </c>
      <c r="G2122" s="4298"/>
      <c r="H2122" s="4298"/>
      <c r="I2122" s="4299"/>
      <c r="J2122" s="1029" t="str">
        <f>$C$1538</f>
        <v>352600_2024_12_</v>
      </c>
      <c r="K2122" s="1790">
        <v>1496</v>
      </c>
      <c r="L2122" s="262"/>
      <c r="M2122" s="4376"/>
      <c r="S2122" s="52"/>
      <c r="T2122" s="52"/>
      <c r="U2122" s="52"/>
      <c r="V2122" s="4295"/>
      <c r="W2122" s="1396">
        <v>2009</v>
      </c>
      <c r="X2122" s="833">
        <v>1496</v>
      </c>
      <c r="Y2122" s="1396">
        <v>1496</v>
      </c>
      <c r="Z2122" s="1396">
        <v>1496</v>
      </c>
      <c r="AA2122" s="1396">
        <v>1496</v>
      </c>
      <c r="AB2122" s="1396">
        <v>1496</v>
      </c>
      <c r="AC2122" s="1396">
        <v>1496</v>
      </c>
      <c r="AD2122" s="1396">
        <v>1496</v>
      </c>
      <c r="AE2122" s="1396">
        <v>1496</v>
      </c>
      <c r="AF2122" s="271">
        <f t="shared" si="294"/>
        <v>1496</v>
      </c>
      <c r="AG2122" s="1396"/>
      <c r="DG2122" s="573"/>
      <c r="DH2122" s="159"/>
      <c r="DI2122" s="1091"/>
      <c r="DJ2122" s="1187"/>
    </row>
    <row r="2123" spans="1:114" ht="15" hidden="1" customHeight="1" outlineLevel="1">
      <c r="A2123" s="453"/>
      <c r="C2123" s="51"/>
      <c r="D2123" s="4295"/>
      <c r="E2123" s="4295"/>
      <c r="F2123" s="4297" t="str">
        <f>$E$1540</f>
        <v>ASHP-SEER16-Replace_CAC_NonElectricHeat_ROF_SF</v>
      </c>
      <c r="G2123" s="4298"/>
      <c r="H2123" s="4298"/>
      <c r="I2123" s="4299"/>
      <c r="J2123" s="1029" t="str">
        <f>$C$1540</f>
        <v>352610_2024_12_</v>
      </c>
      <c r="K2123" s="1790">
        <v>1496</v>
      </c>
      <c r="L2123" s="262"/>
      <c r="M2123" s="4376"/>
      <c r="S2123" s="52"/>
      <c r="T2123" s="52"/>
      <c r="U2123" s="52"/>
      <c r="V2123" s="4295"/>
      <c r="W2123" s="1396"/>
      <c r="X2123" s="833"/>
      <c r="Y2123" s="1396"/>
      <c r="Z2123" s="1396"/>
      <c r="AA2123" s="1396"/>
      <c r="AB2123" s="1396"/>
      <c r="AC2123" s="1396"/>
      <c r="AD2123" s="833">
        <v>1496</v>
      </c>
      <c r="AE2123" s="1396">
        <v>1496</v>
      </c>
      <c r="AF2123" s="271">
        <f t="shared" si="294"/>
        <v>1496</v>
      </c>
      <c r="AG2123" s="1396"/>
      <c r="DG2123" s="573"/>
      <c r="DH2123" s="159"/>
      <c r="DI2123" s="1091"/>
      <c r="DJ2123" s="1187"/>
    </row>
    <row r="2124" spans="1:114" ht="15" hidden="1" customHeight="1" outlineLevel="1">
      <c r="A2124" s="453"/>
      <c r="C2124" s="51"/>
      <c r="D2124" s="4295"/>
      <c r="E2124" s="4295"/>
      <c r="F2124" s="4297" t="str">
        <f>$E$1542</f>
        <v>ASHP-SEER16_ROF_SF</v>
      </c>
      <c r="G2124" s="4298"/>
      <c r="H2124" s="4298"/>
      <c r="I2124" s="4299"/>
      <c r="J2124" s="1029" t="str">
        <f>$C$1542</f>
        <v>352650_2024_12_</v>
      </c>
      <c r="K2124" s="1790">
        <v>1496</v>
      </c>
      <c r="L2124" s="262"/>
      <c r="M2124" s="4376"/>
      <c r="S2124" s="52"/>
      <c r="T2124" s="52"/>
      <c r="U2124" s="52"/>
      <c r="V2124" s="4295"/>
      <c r="W2124" s="1396">
        <v>2009</v>
      </c>
      <c r="X2124" s="833">
        <v>1496</v>
      </c>
      <c r="Y2124" s="1396">
        <v>1496</v>
      </c>
      <c r="Z2124" s="1396">
        <v>1496</v>
      </c>
      <c r="AA2124" s="1396">
        <v>1496</v>
      </c>
      <c r="AB2124" s="1396">
        <v>1496</v>
      </c>
      <c r="AC2124" s="1396">
        <v>1496</v>
      </c>
      <c r="AD2124" s="1396">
        <v>1496</v>
      </c>
      <c r="AE2124" s="1396">
        <v>1496</v>
      </c>
      <c r="AF2124" s="271">
        <f t="shared" si="294"/>
        <v>1496</v>
      </c>
      <c r="AG2124" s="1396"/>
      <c r="DG2124" s="573"/>
      <c r="DH2124" s="159"/>
      <c r="DI2124" s="1091"/>
      <c r="DJ2124" s="1187"/>
    </row>
    <row r="2125" spans="1:114" ht="15" hidden="1" customHeight="1" outlineLevel="1">
      <c r="A2125" s="453"/>
      <c r="C2125" s="51"/>
      <c r="D2125" s="4295"/>
      <c r="E2125" s="4295"/>
      <c r="F2125" s="4300" t="str">
        <f>$E$1544</f>
        <v>ASHP-SEER15_ER1_MF</v>
      </c>
      <c r="G2125" s="4301"/>
      <c r="H2125" s="4301"/>
      <c r="I2125" s="4302"/>
      <c r="J2125" s="3471" t="str">
        <f>$C$1544</f>
        <v>352700_2024_12_</v>
      </c>
      <c r="K2125" s="3263">
        <v>1496</v>
      </c>
      <c r="L2125" s="262"/>
      <c r="M2125" s="4376"/>
      <c r="S2125" s="52"/>
      <c r="T2125" s="52"/>
      <c r="U2125" s="52"/>
      <c r="V2125" s="4295"/>
      <c r="W2125" s="1396">
        <v>2009</v>
      </c>
      <c r="X2125" s="833">
        <v>1496</v>
      </c>
      <c r="Y2125" s="1396">
        <v>1496</v>
      </c>
      <c r="Z2125" s="1396">
        <v>1496</v>
      </c>
      <c r="AA2125" s="1396">
        <v>1496</v>
      </c>
      <c r="AB2125" s="1396">
        <v>1496</v>
      </c>
      <c r="AC2125" s="1396">
        <v>1496</v>
      </c>
      <c r="AD2125" s="1396">
        <v>1496</v>
      </c>
      <c r="AE2125" s="1396">
        <v>1496</v>
      </c>
      <c r="AF2125" s="271">
        <f t="shared" si="294"/>
        <v>1496</v>
      </c>
      <c r="AG2125" s="1396"/>
      <c r="DG2125" s="573"/>
      <c r="DH2125" s="159"/>
      <c r="DI2125" s="1091"/>
      <c r="DJ2125" s="1187"/>
    </row>
    <row r="2126" spans="1:114" ht="15" hidden="1" customHeight="1" outlineLevel="1">
      <c r="A2126" s="453"/>
      <c r="C2126" s="51"/>
      <c r="D2126" s="4295"/>
      <c r="E2126" s="4295"/>
      <c r="F2126" s="4300" t="str">
        <f>$E$1546</f>
        <v>ASHP-SEER15_ER2_MF</v>
      </c>
      <c r="G2126" s="4301"/>
      <c r="H2126" s="4301"/>
      <c r="I2126" s="4302"/>
      <c r="J2126" s="3471" t="str">
        <f>$C$1546</f>
        <v>352700_2024_12_</v>
      </c>
      <c r="K2126" s="3263">
        <v>1496</v>
      </c>
      <c r="L2126" s="262"/>
      <c r="M2126" s="4364"/>
      <c r="P2126" s="261"/>
      <c r="Q2126" s="261"/>
      <c r="R2126" s="261"/>
      <c r="S2126" s="52"/>
      <c r="T2126" s="181"/>
      <c r="U2126" s="52"/>
      <c r="V2126" s="4295"/>
      <c r="W2126" s="1396">
        <v>2009</v>
      </c>
      <c r="X2126" s="833">
        <v>1496</v>
      </c>
      <c r="Y2126" s="1396">
        <v>1496</v>
      </c>
      <c r="Z2126" s="1396">
        <v>1496</v>
      </c>
      <c r="AA2126" s="1396">
        <v>1496</v>
      </c>
      <c r="AB2126" s="1396">
        <v>1496</v>
      </c>
      <c r="AC2126" s="1396">
        <v>1496</v>
      </c>
      <c r="AD2126" s="1396">
        <v>1496</v>
      </c>
      <c r="AE2126" s="1396">
        <v>1496</v>
      </c>
      <c r="AF2126" s="271">
        <f t="shared" si="294"/>
        <v>1496</v>
      </c>
      <c r="AG2126" s="1396"/>
      <c r="DG2126" s="573"/>
      <c r="DH2126" s="159"/>
      <c r="DI2126" s="1091"/>
      <c r="DJ2126" s="1187"/>
    </row>
    <row r="2127" spans="1:114" ht="15" hidden="1" customHeight="1" outlineLevel="1">
      <c r="A2127" s="453"/>
      <c r="C2127" s="51"/>
      <c r="D2127" s="4295"/>
      <c r="E2127" s="4295"/>
      <c r="F2127" s="4300" t="str">
        <f>$E$1548</f>
        <v>ASHP-SEER15_ER1_MF_CompE</v>
      </c>
      <c r="G2127" s="4301"/>
      <c r="H2127" s="4301"/>
      <c r="I2127" s="4302"/>
      <c r="J2127" s="3471" t="str">
        <f>$C$1548</f>
        <v>352701_2024_12_</v>
      </c>
      <c r="K2127" s="3263">
        <v>510</v>
      </c>
      <c r="L2127" s="262"/>
      <c r="M2127" s="1841" t="s">
        <v>2498</v>
      </c>
      <c r="P2127" s="261"/>
      <c r="Q2127" s="261"/>
      <c r="R2127" s="261"/>
      <c r="S2127" s="52"/>
      <c r="T2127" s="181"/>
      <c r="U2127" s="52"/>
      <c r="V2127" s="4295"/>
      <c r="W2127" s="3262"/>
      <c r="X2127" s="3265"/>
      <c r="Y2127" s="3265">
        <v>510</v>
      </c>
      <c r="Z2127" s="3262">
        <v>510</v>
      </c>
      <c r="AA2127" s="3262">
        <v>510</v>
      </c>
      <c r="AB2127" s="3262">
        <v>510</v>
      </c>
      <c r="AC2127" s="3262">
        <v>510</v>
      </c>
      <c r="AD2127" s="3262">
        <v>510</v>
      </c>
      <c r="AE2127" s="3262">
        <v>510</v>
      </c>
      <c r="AF2127" s="2236">
        <f t="shared" si="294"/>
        <v>510</v>
      </c>
      <c r="AG2127" s="1396"/>
      <c r="DG2127" s="573"/>
      <c r="DH2127" s="159"/>
      <c r="DI2127" s="1091"/>
      <c r="DJ2127" s="1187"/>
    </row>
    <row r="2128" spans="1:114" ht="15" hidden="1" customHeight="1" outlineLevel="1">
      <c r="A2128" s="453"/>
      <c r="C2128" s="51"/>
      <c r="D2128" s="4295"/>
      <c r="E2128" s="4295"/>
      <c r="F2128" s="4300" t="str">
        <f>$E$1550</f>
        <v>ASHP-SEER15_ER2_MF_CompE</v>
      </c>
      <c r="G2128" s="4301"/>
      <c r="H2128" s="4301"/>
      <c r="I2128" s="4302"/>
      <c r="J2128" s="3471" t="str">
        <f>$C$1550</f>
        <v>352701_2024_12_</v>
      </c>
      <c r="K2128" s="3263">
        <v>510</v>
      </c>
      <c r="L2128" s="262"/>
      <c r="M2128" s="1841" t="s">
        <v>2498</v>
      </c>
      <c r="P2128" s="261"/>
      <c r="Q2128" s="261"/>
      <c r="R2128" s="261"/>
      <c r="S2128" s="52"/>
      <c r="T2128" s="181"/>
      <c r="U2128" s="52"/>
      <c r="V2128" s="4295"/>
      <c r="W2128" s="3262"/>
      <c r="X2128" s="3265"/>
      <c r="Y2128" s="3265">
        <v>510</v>
      </c>
      <c r="Z2128" s="3262">
        <v>510</v>
      </c>
      <c r="AA2128" s="3262">
        <v>510</v>
      </c>
      <c r="AB2128" s="3262">
        <v>510</v>
      </c>
      <c r="AC2128" s="3262">
        <v>510</v>
      </c>
      <c r="AD2128" s="3262">
        <v>510</v>
      </c>
      <c r="AE2128" s="3262">
        <v>510</v>
      </c>
      <c r="AF2128" s="2236">
        <f t="shared" si="294"/>
        <v>510</v>
      </c>
      <c r="AG2128" s="1396"/>
      <c r="DG2128" s="573"/>
      <c r="DH2128" s="159"/>
      <c r="DI2128" s="1091"/>
      <c r="DJ2128" s="1187"/>
    </row>
    <row r="2129" spans="1:114" ht="15" hidden="1" customHeight="1" outlineLevel="1">
      <c r="A2129" s="453"/>
      <c r="C2129" s="51"/>
      <c r="D2129" s="4295"/>
      <c r="E2129" s="4295"/>
      <c r="F2129" s="4300" t="str">
        <f>$E$1552</f>
        <v>ASHP-SEER15-Replace_CAC_ElectricHeat_ER1_MF</v>
      </c>
      <c r="G2129" s="4301"/>
      <c r="H2129" s="4301"/>
      <c r="I2129" s="4302"/>
      <c r="J2129" s="3471" t="str">
        <f>$C$1552</f>
        <v>352750_2024_12_</v>
      </c>
      <c r="K2129" s="3263">
        <v>1496</v>
      </c>
      <c r="L2129" s="262"/>
      <c r="M2129" s="1841" t="s">
        <v>2497</v>
      </c>
      <c r="P2129" s="261"/>
      <c r="Q2129" s="261"/>
      <c r="R2129" s="261"/>
      <c r="S2129" s="52"/>
      <c r="T2129" s="181"/>
      <c r="U2129" s="52"/>
      <c r="V2129" s="4295"/>
      <c r="W2129" s="3262">
        <v>2009</v>
      </c>
      <c r="X2129" s="3265">
        <v>1496</v>
      </c>
      <c r="Y2129" s="3262">
        <v>1496</v>
      </c>
      <c r="Z2129" s="3262">
        <v>1496</v>
      </c>
      <c r="AA2129" s="3262">
        <v>1496</v>
      </c>
      <c r="AB2129" s="3262">
        <v>1496</v>
      </c>
      <c r="AC2129" s="3262">
        <v>1496</v>
      </c>
      <c r="AD2129" s="3262">
        <v>1496</v>
      </c>
      <c r="AE2129" s="3262">
        <v>1496</v>
      </c>
      <c r="AF2129" s="2236">
        <f t="shared" si="294"/>
        <v>1496</v>
      </c>
      <c r="AG2129" s="1396"/>
      <c r="DG2129" s="573"/>
      <c r="DH2129" s="159"/>
      <c r="DI2129" s="1091"/>
      <c r="DJ2129" s="1187"/>
    </row>
    <row r="2130" spans="1:114" ht="15" hidden="1" customHeight="1" outlineLevel="1">
      <c r="A2130" s="453"/>
      <c r="C2130" s="51"/>
      <c r="D2130" s="4295"/>
      <c r="E2130" s="4295"/>
      <c r="F2130" s="4300" t="str">
        <f>$E$1554</f>
        <v>ASHP-SEER15-Replace_CAC_ElectricHeat_ER2_MF</v>
      </c>
      <c r="G2130" s="4301"/>
      <c r="H2130" s="4301"/>
      <c r="I2130" s="4302"/>
      <c r="J2130" s="3471" t="str">
        <f>$C$1554</f>
        <v>352750_2024_12_</v>
      </c>
      <c r="K2130" s="3263">
        <v>1496</v>
      </c>
      <c r="L2130" s="262"/>
      <c r="M2130" s="1841" t="s">
        <v>2497</v>
      </c>
      <c r="P2130" s="261"/>
      <c r="Q2130" s="261"/>
      <c r="R2130" s="261"/>
      <c r="S2130" s="52"/>
      <c r="T2130" s="181"/>
      <c r="U2130" s="52"/>
      <c r="V2130" s="4295"/>
      <c r="W2130" s="3262">
        <v>2009</v>
      </c>
      <c r="X2130" s="3265">
        <v>1496</v>
      </c>
      <c r="Y2130" s="3262">
        <v>1496</v>
      </c>
      <c r="Z2130" s="3262">
        <v>1496</v>
      </c>
      <c r="AA2130" s="3262">
        <v>1496</v>
      </c>
      <c r="AB2130" s="3262">
        <v>1496</v>
      </c>
      <c r="AC2130" s="3262">
        <v>1496</v>
      </c>
      <c r="AD2130" s="3262">
        <v>1496</v>
      </c>
      <c r="AE2130" s="3262">
        <v>1496</v>
      </c>
      <c r="AF2130" s="2236">
        <f t="shared" si="294"/>
        <v>1496</v>
      </c>
      <c r="AG2130" s="1396"/>
      <c r="DG2130" s="573"/>
      <c r="DH2130" s="159"/>
      <c r="DI2130" s="1091"/>
      <c r="DJ2130" s="1187"/>
    </row>
    <row r="2131" spans="1:114" ht="15" hidden="1" customHeight="1" outlineLevel="1">
      <c r="A2131" s="453"/>
      <c r="C2131" s="51"/>
      <c r="D2131" s="4295"/>
      <c r="E2131" s="4295"/>
      <c r="F2131" s="4300" t="str">
        <f>$E$1556</f>
        <v>ASHP-SEER15-Replace_CAC_ElectricHeat_ER1_MF_CompE</v>
      </c>
      <c r="G2131" s="4301"/>
      <c r="H2131" s="4301"/>
      <c r="I2131" s="4302"/>
      <c r="J2131" s="3471" t="str">
        <f>$C$1556</f>
        <v>352751_2024_12_</v>
      </c>
      <c r="K2131" s="3263">
        <v>510</v>
      </c>
      <c r="L2131" s="262"/>
      <c r="M2131" s="1841" t="s">
        <v>2498</v>
      </c>
      <c r="P2131" s="261"/>
      <c r="Q2131" s="261"/>
      <c r="R2131" s="261"/>
      <c r="S2131" s="52"/>
      <c r="T2131" s="181"/>
      <c r="U2131" s="52"/>
      <c r="V2131" s="4295"/>
      <c r="W2131" s="3262"/>
      <c r="X2131" s="3265"/>
      <c r="Y2131" s="3265">
        <v>510</v>
      </c>
      <c r="Z2131" s="3262">
        <v>510</v>
      </c>
      <c r="AA2131" s="3262">
        <v>510</v>
      </c>
      <c r="AB2131" s="3262">
        <v>510</v>
      </c>
      <c r="AC2131" s="3262">
        <v>510</v>
      </c>
      <c r="AD2131" s="3262">
        <v>510</v>
      </c>
      <c r="AE2131" s="3262">
        <v>510</v>
      </c>
      <c r="AF2131" s="2236">
        <f t="shared" si="294"/>
        <v>510</v>
      </c>
      <c r="AG2131" s="1396"/>
      <c r="DG2131" s="573"/>
      <c r="DH2131" s="159"/>
      <c r="DI2131" s="1091"/>
      <c r="DJ2131" s="1187"/>
    </row>
    <row r="2132" spans="1:114" ht="15" hidden="1" customHeight="1" outlineLevel="1">
      <c r="A2132" s="453"/>
      <c r="C2132" s="51"/>
      <c r="D2132" s="4295"/>
      <c r="E2132" s="4295"/>
      <c r="F2132" s="4300" t="str">
        <f>$E$1558</f>
        <v>ASHP-SEER15-Replace_CAC_ElectricHeat_ER2_MF_CompE</v>
      </c>
      <c r="G2132" s="4301"/>
      <c r="H2132" s="4301"/>
      <c r="I2132" s="4302"/>
      <c r="J2132" s="3471" t="str">
        <f>$C$1558</f>
        <v>352751_2024_12_</v>
      </c>
      <c r="K2132" s="3263">
        <v>510</v>
      </c>
      <c r="L2132" s="262"/>
      <c r="M2132" s="1841" t="s">
        <v>2499</v>
      </c>
      <c r="P2132" s="261"/>
      <c r="Q2132" s="261"/>
      <c r="R2132" s="261"/>
      <c r="S2132" s="52"/>
      <c r="T2132" s="181"/>
      <c r="U2132" s="52"/>
      <c r="V2132" s="4295"/>
      <c r="W2132" s="3262"/>
      <c r="X2132" s="3265"/>
      <c r="Y2132" s="3265">
        <v>510</v>
      </c>
      <c r="Z2132" s="3262">
        <v>510</v>
      </c>
      <c r="AA2132" s="3262">
        <v>510</v>
      </c>
      <c r="AB2132" s="3262">
        <v>510</v>
      </c>
      <c r="AC2132" s="3262">
        <v>510</v>
      </c>
      <c r="AD2132" s="3262">
        <v>510</v>
      </c>
      <c r="AE2132" s="3262">
        <v>510</v>
      </c>
      <c r="AF2132" s="2236">
        <f t="shared" si="294"/>
        <v>510</v>
      </c>
      <c r="AG2132" s="1396"/>
      <c r="DG2132" s="573"/>
      <c r="DH2132" s="159"/>
      <c r="DI2132" s="1091"/>
      <c r="DJ2132" s="1187"/>
    </row>
    <row r="2133" spans="1:114" ht="15" hidden="1" customHeight="1" outlineLevel="1">
      <c r="A2133" s="453"/>
      <c r="C2133" s="51"/>
      <c r="D2133" s="4295"/>
      <c r="E2133" s="4295"/>
      <c r="F2133" s="4300" t="str">
        <f>$E$1560</f>
        <v>ASHP-SEER15-Replace_CAC_NonElectricHeat_ER1_MF</v>
      </c>
      <c r="G2133" s="4301"/>
      <c r="H2133" s="4301"/>
      <c r="I2133" s="4302"/>
      <c r="J2133" s="3471" t="str">
        <f>$C$1560</f>
        <v>352760_2024_12_</v>
      </c>
      <c r="K2133" s="3342">
        <v>1496</v>
      </c>
      <c r="L2133" s="262"/>
      <c r="M2133" s="1841" t="s">
        <v>2497</v>
      </c>
      <c r="P2133" s="261"/>
      <c r="Q2133" s="261"/>
      <c r="R2133" s="261"/>
      <c r="S2133" s="52"/>
      <c r="T2133" s="181"/>
      <c r="U2133" s="52"/>
      <c r="V2133" s="4295"/>
      <c r="W2133" s="3262"/>
      <c r="X2133" s="3265"/>
      <c r="Y2133" s="3265"/>
      <c r="Z2133" s="3262"/>
      <c r="AA2133" s="3262"/>
      <c r="AB2133" s="3262"/>
      <c r="AC2133" s="3279">
        <v>1496</v>
      </c>
      <c r="AD2133" s="3267">
        <v>1496</v>
      </c>
      <c r="AE2133" s="3267">
        <v>1496</v>
      </c>
      <c r="AF2133" s="2236">
        <f t="shared" si="294"/>
        <v>1496</v>
      </c>
      <c r="AG2133" s="1396"/>
      <c r="DG2133" s="573"/>
      <c r="DH2133" s="159"/>
      <c r="DI2133" s="1091"/>
      <c r="DJ2133" s="1187"/>
    </row>
    <row r="2134" spans="1:114" ht="15" hidden="1" customHeight="1" outlineLevel="1">
      <c r="A2134" s="453"/>
      <c r="C2134" s="51"/>
      <c r="D2134" s="4295"/>
      <c r="E2134" s="4295"/>
      <c r="F2134" s="4300" t="str">
        <f>$E$1562</f>
        <v>ASHP-SEER15-Replace_CAC_NonElectricHeat_ER2_MF</v>
      </c>
      <c r="G2134" s="4301"/>
      <c r="H2134" s="4301"/>
      <c r="I2134" s="4302"/>
      <c r="J2134" s="3471" t="str">
        <f>$C$1562</f>
        <v>352760_2024_12_</v>
      </c>
      <c r="K2134" s="3342">
        <v>1496</v>
      </c>
      <c r="L2134" s="262"/>
      <c r="M2134" s="1841" t="s">
        <v>2497</v>
      </c>
      <c r="P2134" s="261"/>
      <c r="Q2134" s="261"/>
      <c r="R2134" s="261"/>
      <c r="S2134" s="52"/>
      <c r="T2134" s="181"/>
      <c r="U2134" s="52"/>
      <c r="V2134" s="4295"/>
      <c r="W2134" s="3262"/>
      <c r="X2134" s="3265"/>
      <c r="Y2134" s="3265"/>
      <c r="Z2134" s="3262"/>
      <c r="AA2134" s="3262"/>
      <c r="AB2134" s="3262"/>
      <c r="AC2134" s="3279">
        <v>1496</v>
      </c>
      <c r="AD2134" s="3267">
        <v>1496</v>
      </c>
      <c r="AE2134" s="3267">
        <v>1496</v>
      </c>
      <c r="AF2134" s="2236">
        <f t="shared" si="294"/>
        <v>1496</v>
      </c>
      <c r="AG2134" s="1396"/>
      <c r="DG2134" s="573"/>
      <c r="DH2134" s="159"/>
      <c r="DI2134" s="1091"/>
      <c r="DJ2134" s="1187"/>
    </row>
    <row r="2135" spans="1:114" ht="15" hidden="1" customHeight="1" outlineLevel="1">
      <c r="A2135" s="453"/>
      <c r="C2135" s="51"/>
      <c r="D2135" s="4295"/>
      <c r="E2135" s="4295"/>
      <c r="F2135" s="4300" t="str">
        <f>$E$1564</f>
        <v>ASHP-SEER15-Replace_CAC_NonElectricHeat_ER1_MF_CompE</v>
      </c>
      <c r="G2135" s="4301"/>
      <c r="H2135" s="4301"/>
      <c r="I2135" s="4302"/>
      <c r="J2135" s="3471" t="str">
        <f>$C$1564</f>
        <v>352761_2024_12_</v>
      </c>
      <c r="K2135" s="3342">
        <v>510</v>
      </c>
      <c r="L2135" s="262"/>
      <c r="M2135" s="1841" t="s">
        <v>2498</v>
      </c>
      <c r="P2135" s="261"/>
      <c r="Q2135" s="261"/>
      <c r="R2135" s="261"/>
      <c r="S2135" s="52"/>
      <c r="T2135" s="181"/>
      <c r="U2135" s="52"/>
      <c r="V2135" s="4295"/>
      <c r="W2135" s="3262"/>
      <c r="X2135" s="3265"/>
      <c r="Y2135" s="3265"/>
      <c r="Z2135" s="3262"/>
      <c r="AA2135" s="3262"/>
      <c r="AB2135" s="3262"/>
      <c r="AC2135" s="3279">
        <v>510</v>
      </c>
      <c r="AD2135" s="3267">
        <v>510</v>
      </c>
      <c r="AE2135" s="3267">
        <v>510</v>
      </c>
      <c r="AF2135" s="2236">
        <f t="shared" si="294"/>
        <v>510</v>
      </c>
      <c r="AG2135" s="1396"/>
      <c r="DG2135" s="573"/>
      <c r="DH2135" s="159"/>
      <c r="DI2135" s="1091"/>
      <c r="DJ2135" s="1187"/>
    </row>
    <row r="2136" spans="1:114" ht="15" hidden="1" customHeight="1" outlineLevel="1">
      <c r="A2136" s="453"/>
      <c r="C2136" s="51"/>
      <c r="D2136" s="4295"/>
      <c r="E2136" s="4295"/>
      <c r="F2136" s="4300" t="str">
        <f>$E$1566</f>
        <v>ASHP-SEER15-Replace_CAC_NonElectricHeat_ER2_MF_CompE</v>
      </c>
      <c r="G2136" s="4301"/>
      <c r="H2136" s="4301"/>
      <c r="I2136" s="4302"/>
      <c r="J2136" s="3471" t="str">
        <f>$C$1566</f>
        <v>352761_2024_12_</v>
      </c>
      <c r="K2136" s="3342">
        <v>510</v>
      </c>
      <c r="L2136" s="262"/>
      <c r="M2136" s="1841" t="s">
        <v>2499</v>
      </c>
      <c r="P2136" s="261"/>
      <c r="Q2136" s="261"/>
      <c r="R2136" s="261"/>
      <c r="S2136" s="52"/>
      <c r="T2136" s="181"/>
      <c r="U2136" s="52"/>
      <c r="V2136" s="4295"/>
      <c r="W2136" s="3262"/>
      <c r="X2136" s="3265"/>
      <c r="Y2136" s="3265"/>
      <c r="Z2136" s="3262"/>
      <c r="AA2136" s="3262"/>
      <c r="AB2136" s="3262"/>
      <c r="AC2136" s="3279">
        <v>510</v>
      </c>
      <c r="AD2136" s="3267">
        <v>510</v>
      </c>
      <c r="AE2136" s="3267">
        <v>510</v>
      </c>
      <c r="AF2136" s="2236">
        <f t="shared" si="294"/>
        <v>510</v>
      </c>
      <c r="AG2136" s="1396"/>
      <c r="DG2136" s="573"/>
      <c r="DH2136" s="159"/>
      <c r="DI2136" s="1091"/>
      <c r="DJ2136" s="1187"/>
    </row>
    <row r="2137" spans="1:114" ht="15" hidden="1" customHeight="1" outlineLevel="1">
      <c r="A2137" s="453"/>
      <c r="C2137" s="51"/>
      <c r="D2137" s="4295"/>
      <c r="E2137" s="4295"/>
      <c r="F2137" s="4300" t="str">
        <f>$E$1568</f>
        <v>ASHP-SEER15-Replace_CAC_ElectricHeat_ROF_MF</v>
      </c>
      <c r="G2137" s="4301"/>
      <c r="H2137" s="4301"/>
      <c r="I2137" s="4302"/>
      <c r="J2137" s="3471" t="str">
        <f>$C$1568</f>
        <v>352800_2024_12_</v>
      </c>
      <c r="K2137" s="3263">
        <v>1496</v>
      </c>
      <c r="L2137" s="262"/>
      <c r="M2137" s="1841" t="s">
        <v>2497</v>
      </c>
      <c r="P2137" s="261"/>
      <c r="Q2137" s="261"/>
      <c r="R2137" s="261"/>
      <c r="S2137" s="52"/>
      <c r="T2137" s="181"/>
      <c r="U2137" s="52"/>
      <c r="V2137" s="4295"/>
      <c r="W2137" s="3262">
        <v>2009</v>
      </c>
      <c r="X2137" s="3265">
        <v>1496</v>
      </c>
      <c r="Y2137" s="3262">
        <v>1496</v>
      </c>
      <c r="Z2137" s="3262">
        <v>1496</v>
      </c>
      <c r="AA2137" s="3262">
        <v>1496</v>
      </c>
      <c r="AB2137" s="3262">
        <v>1496</v>
      </c>
      <c r="AC2137" s="3262">
        <v>1496</v>
      </c>
      <c r="AD2137" s="3262">
        <v>1496</v>
      </c>
      <c r="AE2137" s="3262">
        <v>1496</v>
      </c>
      <c r="AF2137" s="2236">
        <f t="shared" si="294"/>
        <v>1496</v>
      </c>
      <c r="AG2137" s="1396"/>
      <c r="DG2137" s="573"/>
      <c r="DH2137" s="159"/>
      <c r="DI2137" s="1091"/>
      <c r="DJ2137" s="1187"/>
    </row>
    <row r="2138" spans="1:114" ht="15" hidden="1" customHeight="1" outlineLevel="1">
      <c r="A2138" s="453"/>
      <c r="C2138" s="51"/>
      <c r="D2138" s="4295"/>
      <c r="E2138" s="4295"/>
      <c r="F2138" s="4300" t="str">
        <f>$E$1570</f>
        <v>ASHP-SEER15-Replace_CAC_ElectricHeat_ROF_MF_CompE</v>
      </c>
      <c r="G2138" s="4301"/>
      <c r="H2138" s="4301"/>
      <c r="I2138" s="4302"/>
      <c r="J2138" s="3471" t="str">
        <f>$C$1570</f>
        <v>352801_2024_12_</v>
      </c>
      <c r="K2138" s="3263">
        <v>510</v>
      </c>
      <c r="L2138" s="262"/>
      <c r="M2138" s="1841" t="s">
        <v>2498</v>
      </c>
      <c r="P2138" s="261"/>
      <c r="Q2138" s="261"/>
      <c r="R2138" s="261"/>
      <c r="S2138" s="52"/>
      <c r="T2138" s="181"/>
      <c r="U2138" s="52"/>
      <c r="V2138" s="4295"/>
      <c r="W2138" s="3262"/>
      <c r="X2138" s="3265"/>
      <c r="Y2138" s="3265">
        <v>510</v>
      </c>
      <c r="Z2138" s="3262">
        <v>510</v>
      </c>
      <c r="AA2138" s="3262">
        <v>510</v>
      </c>
      <c r="AB2138" s="3262">
        <v>510</v>
      </c>
      <c r="AC2138" s="3262">
        <v>510</v>
      </c>
      <c r="AD2138" s="3262">
        <v>510</v>
      </c>
      <c r="AE2138" s="3262">
        <v>510</v>
      </c>
      <c r="AF2138" s="2236">
        <f t="shared" si="294"/>
        <v>510</v>
      </c>
      <c r="AG2138" s="1396"/>
      <c r="DG2138" s="573"/>
      <c r="DH2138" s="159"/>
      <c r="DI2138" s="1091"/>
      <c r="DJ2138" s="1187"/>
    </row>
    <row r="2139" spans="1:114" ht="15" hidden="1" customHeight="1" outlineLevel="1">
      <c r="A2139" s="453"/>
      <c r="C2139" s="51"/>
      <c r="D2139" s="4295"/>
      <c r="E2139" s="4295"/>
      <c r="F2139" s="4300" t="str">
        <f>$E$1572</f>
        <v>ASHP-SEER15-Replace_CAC_NonElectricHeat_ROF_MF</v>
      </c>
      <c r="G2139" s="4301"/>
      <c r="H2139" s="4301"/>
      <c r="I2139" s="4302"/>
      <c r="J2139" s="3471" t="str">
        <f>$C$1572</f>
        <v>352810_2024_12_</v>
      </c>
      <c r="K2139" s="3342">
        <v>1496</v>
      </c>
      <c r="L2139" s="262"/>
      <c r="M2139" s="1841" t="s">
        <v>2497</v>
      </c>
      <c r="P2139" s="261"/>
      <c r="Q2139" s="261"/>
      <c r="R2139" s="261"/>
      <c r="S2139" s="52"/>
      <c r="T2139" s="181"/>
      <c r="U2139" s="52"/>
      <c r="V2139" s="4295"/>
      <c r="W2139" s="3262"/>
      <c r="X2139" s="3265"/>
      <c r="Y2139" s="3265"/>
      <c r="Z2139" s="3262"/>
      <c r="AA2139" s="3262"/>
      <c r="AB2139" s="3262"/>
      <c r="AC2139" s="3279">
        <v>1496</v>
      </c>
      <c r="AD2139" s="3267">
        <v>1496</v>
      </c>
      <c r="AE2139" s="3267">
        <v>1496</v>
      </c>
      <c r="AF2139" s="2236">
        <f t="shared" si="294"/>
        <v>1496</v>
      </c>
      <c r="AG2139" s="1396"/>
      <c r="DG2139" s="573"/>
      <c r="DH2139" s="159"/>
      <c r="DI2139" s="1091"/>
      <c r="DJ2139" s="1187"/>
    </row>
    <row r="2140" spans="1:114" ht="15" hidden="1" customHeight="1" outlineLevel="1">
      <c r="A2140" s="453"/>
      <c r="C2140" s="51"/>
      <c r="D2140" s="4295"/>
      <c r="E2140" s="4295"/>
      <c r="F2140" s="4300" t="str">
        <f>$E$1574</f>
        <v>ASHP-SEER15-Replace_CAC_NonElectricHeat_ROF_MF_CompE</v>
      </c>
      <c r="G2140" s="4301"/>
      <c r="H2140" s="4301"/>
      <c r="I2140" s="4302"/>
      <c r="J2140" s="3471" t="str">
        <f>$C$1574</f>
        <v>352811_2024_12_</v>
      </c>
      <c r="K2140" s="3342">
        <v>510</v>
      </c>
      <c r="L2140" s="262"/>
      <c r="M2140" s="1841" t="s">
        <v>2498</v>
      </c>
      <c r="P2140" s="261"/>
      <c r="Q2140" s="261"/>
      <c r="R2140" s="261"/>
      <c r="S2140" s="52"/>
      <c r="T2140" s="181"/>
      <c r="U2140" s="52"/>
      <c r="V2140" s="4295"/>
      <c r="W2140" s="3262"/>
      <c r="X2140" s="3265"/>
      <c r="Y2140" s="3265"/>
      <c r="Z2140" s="3262"/>
      <c r="AA2140" s="3262"/>
      <c r="AB2140" s="3262"/>
      <c r="AC2140" s="3279">
        <v>510</v>
      </c>
      <c r="AD2140" s="3267">
        <v>510</v>
      </c>
      <c r="AE2140" s="3267">
        <v>510</v>
      </c>
      <c r="AF2140" s="2236">
        <f t="shared" si="294"/>
        <v>510</v>
      </c>
      <c r="AG2140" s="1396"/>
      <c r="DG2140" s="573"/>
      <c r="DH2140" s="159"/>
      <c r="DI2140" s="1091"/>
      <c r="DJ2140" s="1187"/>
    </row>
    <row r="2141" spans="1:114" ht="15" hidden="1" customHeight="1" outlineLevel="1">
      <c r="A2141" s="453"/>
      <c r="C2141" s="51"/>
      <c r="D2141" s="4295"/>
      <c r="E2141" s="4295"/>
      <c r="F2141" s="4300" t="str">
        <f>$E$1576</f>
        <v>ASHP-SEER16_ER1_MF</v>
      </c>
      <c r="G2141" s="4301"/>
      <c r="H2141" s="4301"/>
      <c r="I2141" s="4302"/>
      <c r="J2141" s="3471" t="str">
        <f>$C$1576</f>
        <v>352850_2024_12_</v>
      </c>
      <c r="K2141" s="3263">
        <v>1496</v>
      </c>
      <c r="L2141" s="262"/>
      <c r="M2141" s="1841" t="s">
        <v>2497</v>
      </c>
      <c r="P2141" s="261"/>
      <c r="Q2141" s="261"/>
      <c r="R2141" s="261"/>
      <c r="S2141" s="52"/>
      <c r="T2141" s="181"/>
      <c r="U2141" s="52"/>
      <c r="V2141" s="4295"/>
      <c r="W2141" s="3262">
        <v>2009</v>
      </c>
      <c r="X2141" s="3265">
        <v>1496</v>
      </c>
      <c r="Y2141" s="3262">
        <v>1496</v>
      </c>
      <c r="Z2141" s="3262">
        <v>1496</v>
      </c>
      <c r="AA2141" s="3262">
        <v>1496</v>
      </c>
      <c r="AB2141" s="3262">
        <v>1496</v>
      </c>
      <c r="AC2141" s="3262">
        <v>1496</v>
      </c>
      <c r="AD2141" s="3262">
        <v>1496</v>
      </c>
      <c r="AE2141" s="3262">
        <v>1496</v>
      </c>
      <c r="AF2141" s="2236">
        <f t="shared" si="294"/>
        <v>1496</v>
      </c>
      <c r="AG2141" s="1396"/>
      <c r="DG2141" s="573"/>
      <c r="DH2141" s="159"/>
      <c r="DI2141" s="1091"/>
      <c r="DJ2141" s="1187"/>
    </row>
    <row r="2142" spans="1:114" ht="15" hidden="1" customHeight="1" outlineLevel="1">
      <c r="A2142" s="453"/>
      <c r="C2142" s="51"/>
      <c r="D2142" s="4295"/>
      <c r="E2142" s="4295"/>
      <c r="F2142" s="4300" t="str">
        <f>$E$1578</f>
        <v>ASHP-SEER16_ER2_MF</v>
      </c>
      <c r="G2142" s="4301"/>
      <c r="H2142" s="4301"/>
      <c r="I2142" s="4302"/>
      <c r="J2142" s="3471" t="str">
        <f>$C$1578</f>
        <v>352850_2024_12_</v>
      </c>
      <c r="K2142" s="3263">
        <v>1496</v>
      </c>
      <c r="L2142" s="262"/>
      <c r="M2142" s="1841" t="s">
        <v>2497</v>
      </c>
      <c r="P2142" s="261"/>
      <c r="Q2142" s="261"/>
      <c r="R2142" s="261"/>
      <c r="S2142" s="52"/>
      <c r="T2142" s="181"/>
      <c r="U2142" s="52"/>
      <c r="V2142" s="4295"/>
      <c r="W2142" s="3262">
        <v>2009</v>
      </c>
      <c r="X2142" s="3265">
        <v>1496</v>
      </c>
      <c r="Y2142" s="3262">
        <v>1496</v>
      </c>
      <c r="Z2142" s="3262">
        <v>1496</v>
      </c>
      <c r="AA2142" s="3262">
        <v>1496</v>
      </c>
      <c r="AB2142" s="3262">
        <v>1496</v>
      </c>
      <c r="AC2142" s="3262">
        <v>1496</v>
      </c>
      <c r="AD2142" s="3262">
        <v>1496</v>
      </c>
      <c r="AE2142" s="3262">
        <v>1496</v>
      </c>
      <c r="AF2142" s="2236">
        <f t="shared" si="294"/>
        <v>1496</v>
      </c>
      <c r="AG2142" s="1396"/>
      <c r="DG2142" s="573"/>
      <c r="DH2142" s="159"/>
      <c r="DI2142" s="1091"/>
      <c r="DJ2142" s="1187"/>
    </row>
    <row r="2143" spans="1:114" ht="15" hidden="1" customHeight="1" outlineLevel="1">
      <c r="A2143" s="453"/>
      <c r="C2143" s="51"/>
      <c r="D2143" s="4295"/>
      <c r="E2143" s="4295"/>
      <c r="F2143" s="4300" t="str">
        <f>$E$1580</f>
        <v>ASHP-SEER16_ER1_MF_CompE</v>
      </c>
      <c r="G2143" s="4301"/>
      <c r="H2143" s="4301"/>
      <c r="I2143" s="4302"/>
      <c r="J2143" s="3471" t="str">
        <f>$C$1580</f>
        <v>352851_2024_12_</v>
      </c>
      <c r="K2143" s="3263">
        <v>510</v>
      </c>
      <c r="L2143" s="262"/>
      <c r="M2143" s="1841" t="s">
        <v>2498</v>
      </c>
      <c r="P2143" s="261"/>
      <c r="Q2143" s="261"/>
      <c r="R2143" s="261"/>
      <c r="S2143" s="52"/>
      <c r="T2143" s="181"/>
      <c r="U2143" s="52"/>
      <c r="V2143" s="4295"/>
      <c r="W2143" s="3262"/>
      <c r="X2143" s="3265"/>
      <c r="Y2143" s="3265">
        <v>510</v>
      </c>
      <c r="Z2143" s="3262">
        <v>510</v>
      </c>
      <c r="AA2143" s="3262">
        <v>510</v>
      </c>
      <c r="AB2143" s="3262">
        <v>510</v>
      </c>
      <c r="AC2143" s="3262">
        <v>510</v>
      </c>
      <c r="AD2143" s="3262">
        <v>510</v>
      </c>
      <c r="AE2143" s="3262">
        <v>510</v>
      </c>
      <c r="AF2143" s="2236">
        <f t="shared" si="294"/>
        <v>510</v>
      </c>
      <c r="AG2143" s="1396"/>
      <c r="DG2143" s="573"/>
      <c r="DH2143" s="159"/>
      <c r="DI2143" s="1091"/>
      <c r="DJ2143" s="1187"/>
    </row>
    <row r="2144" spans="1:114" ht="15" hidden="1" customHeight="1" outlineLevel="1">
      <c r="A2144" s="453"/>
      <c r="C2144" s="51"/>
      <c r="D2144" s="4295"/>
      <c r="E2144" s="4295"/>
      <c r="F2144" s="4300" t="str">
        <f>$E$1582</f>
        <v>ASHP-SEER16_ER2_MF_CompE</v>
      </c>
      <c r="G2144" s="4301"/>
      <c r="H2144" s="4301"/>
      <c r="I2144" s="4302"/>
      <c r="J2144" s="3471" t="str">
        <f>$C$1582</f>
        <v>352851_2024_12_</v>
      </c>
      <c r="K2144" s="3263">
        <v>510</v>
      </c>
      <c r="L2144" s="262"/>
      <c r="M2144" s="1841" t="s">
        <v>2498</v>
      </c>
      <c r="P2144" s="261"/>
      <c r="Q2144" s="261"/>
      <c r="R2144" s="261"/>
      <c r="S2144" s="52"/>
      <c r="T2144" s="181"/>
      <c r="U2144" s="52"/>
      <c r="V2144" s="4295"/>
      <c r="W2144" s="3262"/>
      <c r="X2144" s="3265"/>
      <c r="Y2144" s="3265">
        <v>510</v>
      </c>
      <c r="Z2144" s="3262">
        <v>510</v>
      </c>
      <c r="AA2144" s="3262">
        <v>510</v>
      </c>
      <c r="AB2144" s="3262">
        <v>510</v>
      </c>
      <c r="AC2144" s="3262">
        <v>510</v>
      </c>
      <c r="AD2144" s="3262">
        <v>510</v>
      </c>
      <c r="AE2144" s="3262">
        <v>510</v>
      </c>
      <c r="AF2144" s="2236">
        <f t="shared" si="294"/>
        <v>510</v>
      </c>
      <c r="AG2144" s="1396"/>
      <c r="DG2144" s="573"/>
      <c r="DH2144" s="159"/>
      <c r="DI2144" s="1091"/>
      <c r="DJ2144" s="1187"/>
    </row>
    <row r="2145" spans="1:114" ht="15" hidden="1" customHeight="1" outlineLevel="1">
      <c r="A2145" s="453"/>
      <c r="C2145" s="51"/>
      <c r="D2145" s="4295"/>
      <c r="E2145" s="4295"/>
      <c r="F2145" s="4300" t="str">
        <f>$E$1584</f>
        <v>ASHP-SEER16_ROF_MF</v>
      </c>
      <c r="G2145" s="4301"/>
      <c r="H2145" s="4301"/>
      <c r="I2145" s="4302"/>
      <c r="J2145" s="3471" t="str">
        <f>$C$1584</f>
        <v>352900_2024_12_</v>
      </c>
      <c r="K2145" s="3263">
        <v>1496</v>
      </c>
      <c r="L2145" s="262"/>
      <c r="M2145" s="1841" t="s">
        <v>2497</v>
      </c>
      <c r="P2145" s="261"/>
      <c r="Q2145" s="261"/>
      <c r="R2145" s="261"/>
      <c r="S2145" s="52"/>
      <c r="T2145" s="181"/>
      <c r="U2145" s="52"/>
      <c r="V2145" s="4295"/>
      <c r="W2145" s="3262">
        <v>2009</v>
      </c>
      <c r="X2145" s="3265">
        <v>1496</v>
      </c>
      <c r="Y2145" s="3262">
        <v>1496</v>
      </c>
      <c r="Z2145" s="3262">
        <v>1496</v>
      </c>
      <c r="AA2145" s="3262">
        <v>1496</v>
      </c>
      <c r="AB2145" s="3262">
        <v>1496</v>
      </c>
      <c r="AC2145" s="3262">
        <v>1496</v>
      </c>
      <c r="AD2145" s="3262">
        <v>1496</v>
      </c>
      <c r="AE2145" s="3262">
        <v>1496</v>
      </c>
      <c r="AF2145" s="2236">
        <f t="shared" si="294"/>
        <v>1496</v>
      </c>
      <c r="AG2145" s="1396"/>
      <c r="DG2145" s="573"/>
      <c r="DH2145" s="159"/>
      <c r="DI2145" s="1091"/>
      <c r="DJ2145" s="1187"/>
    </row>
    <row r="2146" spans="1:114" ht="15" hidden="1" customHeight="1" outlineLevel="1">
      <c r="A2146" s="453"/>
      <c r="C2146" s="51"/>
      <c r="D2146" s="4295"/>
      <c r="E2146" s="4295"/>
      <c r="F2146" s="4300" t="str">
        <f>$E$1586</f>
        <v>ASHP-SEER16_ROF_MF_CompE</v>
      </c>
      <c r="G2146" s="4301"/>
      <c r="H2146" s="4301"/>
      <c r="I2146" s="4302"/>
      <c r="J2146" s="3471" t="str">
        <f>$C$1586</f>
        <v>352901_2024_12_</v>
      </c>
      <c r="K2146" s="3263">
        <v>510</v>
      </c>
      <c r="L2146" s="262"/>
      <c r="M2146" s="1841" t="s">
        <v>2498</v>
      </c>
      <c r="P2146" s="261"/>
      <c r="Q2146" s="261"/>
      <c r="R2146" s="261"/>
      <c r="S2146" s="52"/>
      <c r="T2146" s="181"/>
      <c r="U2146" s="52"/>
      <c r="V2146" s="4295"/>
      <c r="W2146" s="3262"/>
      <c r="X2146" s="3265"/>
      <c r="Y2146" s="3265">
        <v>510</v>
      </c>
      <c r="Z2146" s="3262">
        <v>510</v>
      </c>
      <c r="AA2146" s="3262">
        <v>510</v>
      </c>
      <c r="AB2146" s="3262">
        <v>510</v>
      </c>
      <c r="AC2146" s="3262">
        <v>510</v>
      </c>
      <c r="AD2146" s="3262">
        <v>510</v>
      </c>
      <c r="AE2146" s="3262">
        <v>510</v>
      </c>
      <c r="AF2146" s="2236">
        <f t="shared" si="294"/>
        <v>510</v>
      </c>
      <c r="AG2146" s="1396"/>
      <c r="DG2146" s="573"/>
      <c r="DH2146" s="159"/>
      <c r="DI2146" s="1091"/>
      <c r="DJ2146" s="1187"/>
    </row>
    <row r="2147" spans="1:114" ht="15" hidden="1" customHeight="1" outlineLevel="1">
      <c r="A2147" s="453"/>
      <c r="C2147" s="51"/>
      <c r="D2147" s="4295"/>
      <c r="E2147" s="4295"/>
      <c r="F2147" s="4300" t="str">
        <f>$E$1588</f>
        <v>ASHP-SEER16-Replace_CAC_ElectricHeat_ROF_MF</v>
      </c>
      <c r="G2147" s="4301"/>
      <c r="H2147" s="4301"/>
      <c r="I2147" s="4302"/>
      <c r="J2147" s="3471" t="str">
        <f>$C$1588</f>
        <v>352950_2024_12_</v>
      </c>
      <c r="K2147" s="3263">
        <v>1496</v>
      </c>
      <c r="L2147" s="262"/>
      <c r="M2147" s="1841" t="s">
        <v>2497</v>
      </c>
      <c r="P2147" s="261"/>
      <c r="Q2147" s="261"/>
      <c r="R2147" s="261"/>
      <c r="S2147" s="52"/>
      <c r="T2147" s="181"/>
      <c r="U2147" s="52"/>
      <c r="V2147" s="4295"/>
      <c r="W2147" s="3262">
        <v>2009</v>
      </c>
      <c r="X2147" s="3265">
        <v>1496</v>
      </c>
      <c r="Y2147" s="3262">
        <v>1496</v>
      </c>
      <c r="Z2147" s="3262">
        <v>1496</v>
      </c>
      <c r="AA2147" s="3262">
        <v>1496</v>
      </c>
      <c r="AB2147" s="3262">
        <v>1496</v>
      </c>
      <c r="AC2147" s="3262">
        <v>1496</v>
      </c>
      <c r="AD2147" s="3262">
        <v>1496</v>
      </c>
      <c r="AE2147" s="3262">
        <v>1496</v>
      </c>
      <c r="AF2147" s="2236">
        <f t="shared" si="294"/>
        <v>1496</v>
      </c>
      <c r="AG2147" s="1396"/>
      <c r="DG2147" s="573"/>
      <c r="DH2147" s="159"/>
      <c r="DI2147" s="1091"/>
      <c r="DJ2147" s="1187"/>
    </row>
    <row r="2148" spans="1:114" ht="15" hidden="1" customHeight="1" outlineLevel="1">
      <c r="A2148" s="453"/>
      <c r="C2148" s="51"/>
      <c r="D2148" s="4295"/>
      <c r="E2148" s="4295"/>
      <c r="F2148" s="4300" t="str">
        <f>$E$1590</f>
        <v>ASHP-SEER16-Replace_CAC_ElectricHeat_ROF_MF_CompE</v>
      </c>
      <c r="G2148" s="4301"/>
      <c r="H2148" s="4301"/>
      <c r="I2148" s="4302"/>
      <c r="J2148" s="3471" t="str">
        <f>$C$1590</f>
        <v>352951_2024_12_</v>
      </c>
      <c r="K2148" s="3263">
        <v>510</v>
      </c>
      <c r="L2148" s="262"/>
      <c r="M2148" s="1841" t="s">
        <v>2498</v>
      </c>
      <c r="P2148" s="261"/>
      <c r="Q2148" s="261"/>
      <c r="R2148" s="261"/>
      <c r="S2148" s="52"/>
      <c r="T2148" s="181"/>
      <c r="U2148" s="52"/>
      <c r="V2148" s="4295"/>
      <c r="W2148" s="3262"/>
      <c r="X2148" s="3265"/>
      <c r="Y2148" s="3265">
        <v>510</v>
      </c>
      <c r="Z2148" s="3262">
        <v>510</v>
      </c>
      <c r="AA2148" s="3262">
        <v>510</v>
      </c>
      <c r="AB2148" s="3262">
        <v>510</v>
      </c>
      <c r="AC2148" s="3262">
        <v>510</v>
      </c>
      <c r="AD2148" s="3262">
        <v>510</v>
      </c>
      <c r="AE2148" s="3262">
        <v>510</v>
      </c>
      <c r="AF2148" s="2236">
        <f t="shared" si="294"/>
        <v>510</v>
      </c>
      <c r="AG2148" s="1396"/>
      <c r="DG2148" s="573"/>
      <c r="DH2148" s="159"/>
      <c r="DI2148" s="1091"/>
      <c r="DJ2148" s="1187"/>
    </row>
    <row r="2149" spans="1:114" ht="15" hidden="1" customHeight="1" outlineLevel="1">
      <c r="A2149" s="453"/>
      <c r="C2149" s="51"/>
      <c r="D2149" s="4295"/>
      <c r="E2149" s="4295"/>
      <c r="F2149" s="4300" t="str">
        <f>$E$1592</f>
        <v>ASHP-SEER16-Replace_CAC_NonElectricHeat_ROF_MF</v>
      </c>
      <c r="G2149" s="4301"/>
      <c r="H2149" s="4301"/>
      <c r="I2149" s="4302"/>
      <c r="J2149" s="3471" t="str">
        <f>$C$1592</f>
        <v>352960_2024_12_</v>
      </c>
      <c r="K2149" s="3342">
        <v>1496</v>
      </c>
      <c r="L2149" s="262"/>
      <c r="M2149" s="1841" t="s">
        <v>2497</v>
      </c>
      <c r="P2149" s="261"/>
      <c r="Q2149" s="261"/>
      <c r="R2149" s="261"/>
      <c r="S2149" s="52"/>
      <c r="T2149" s="181"/>
      <c r="U2149" s="52"/>
      <c r="V2149" s="4295"/>
      <c r="W2149" s="3262"/>
      <c r="X2149" s="3265"/>
      <c r="Y2149" s="3265"/>
      <c r="Z2149" s="3262"/>
      <c r="AA2149" s="3262"/>
      <c r="AB2149" s="3262"/>
      <c r="AC2149" s="3279">
        <v>1496</v>
      </c>
      <c r="AD2149" s="3267">
        <v>1496</v>
      </c>
      <c r="AE2149" s="3267">
        <v>1496</v>
      </c>
      <c r="AF2149" s="2236">
        <f t="shared" si="294"/>
        <v>1496</v>
      </c>
      <c r="AG2149" s="1396"/>
      <c r="DG2149" s="573"/>
      <c r="DH2149" s="159"/>
      <c r="DI2149" s="1091"/>
      <c r="DJ2149" s="1187"/>
    </row>
    <row r="2150" spans="1:114" ht="15" hidden="1" customHeight="1" outlineLevel="1">
      <c r="A2150" s="453"/>
      <c r="C2150" s="51"/>
      <c r="D2150" s="4295"/>
      <c r="E2150" s="4295"/>
      <c r="F2150" s="4300" t="str">
        <f>$E$1594</f>
        <v>ASHP-SEER16-Replace_CAC_NonElectricHeat_ROF_MF_CompE</v>
      </c>
      <c r="G2150" s="4301"/>
      <c r="H2150" s="4301"/>
      <c r="I2150" s="4302"/>
      <c r="J2150" s="3471" t="str">
        <f>$C$1594</f>
        <v>352961_2024_12_</v>
      </c>
      <c r="K2150" s="3342">
        <v>510</v>
      </c>
      <c r="L2150" s="262"/>
      <c r="M2150" s="1841" t="s">
        <v>2498</v>
      </c>
      <c r="P2150" s="261"/>
      <c r="Q2150" s="261"/>
      <c r="R2150" s="261"/>
      <c r="S2150" s="52"/>
      <c r="T2150" s="181"/>
      <c r="U2150" s="52"/>
      <c r="V2150" s="4295"/>
      <c r="W2150" s="3262"/>
      <c r="X2150" s="3265"/>
      <c r="Y2150" s="3265"/>
      <c r="Z2150" s="3262"/>
      <c r="AA2150" s="3262"/>
      <c r="AB2150" s="3262"/>
      <c r="AC2150" s="3279">
        <v>510</v>
      </c>
      <c r="AD2150" s="3267">
        <v>510</v>
      </c>
      <c r="AE2150" s="3267">
        <v>510</v>
      </c>
      <c r="AF2150" s="2236">
        <f t="shared" si="294"/>
        <v>510</v>
      </c>
      <c r="AG2150" s="1396"/>
      <c r="DG2150" s="573"/>
      <c r="DH2150" s="159"/>
      <c r="DI2150" s="1091"/>
      <c r="DJ2150" s="1187"/>
    </row>
    <row r="2151" spans="1:114" ht="15" hidden="1" customHeight="1" outlineLevel="1">
      <c r="A2151" s="453"/>
      <c r="C2151" s="51"/>
      <c r="D2151" s="4295"/>
      <c r="E2151" s="4295"/>
      <c r="F2151" s="4297" t="str">
        <f>$E$1596</f>
        <v>ASHP-SEER16-Replace_CAC_ElectricHeat_ER1_MF</v>
      </c>
      <c r="G2151" s="4298"/>
      <c r="H2151" s="4298"/>
      <c r="I2151" s="4299"/>
      <c r="J2151" s="1029" t="str">
        <f>$C$1596</f>
        <v>353000_2024_12_</v>
      </c>
      <c r="K2151" s="1790">
        <v>1496</v>
      </c>
      <c r="L2151" s="262"/>
      <c r="M2151" s="778" t="s">
        <v>2497</v>
      </c>
      <c r="P2151" s="261"/>
      <c r="Q2151" s="261"/>
      <c r="R2151" s="261"/>
      <c r="S2151" s="52"/>
      <c r="T2151" s="181"/>
      <c r="U2151" s="52"/>
      <c r="V2151" s="4295"/>
      <c r="W2151" s="1396">
        <v>2009</v>
      </c>
      <c r="X2151" s="833">
        <v>1496</v>
      </c>
      <c r="Y2151" s="1396">
        <v>1496</v>
      </c>
      <c r="Z2151" s="1396">
        <v>1496</v>
      </c>
      <c r="AA2151" s="1396">
        <v>1496</v>
      </c>
      <c r="AB2151" s="1396">
        <v>1496</v>
      </c>
      <c r="AC2151" s="1396">
        <v>1496</v>
      </c>
      <c r="AD2151" s="1396">
        <v>1496</v>
      </c>
      <c r="AE2151" s="1396">
        <v>1496</v>
      </c>
      <c r="AF2151" s="271">
        <f t="shared" si="294"/>
        <v>1496</v>
      </c>
      <c r="AG2151" s="1396"/>
      <c r="DG2151" s="573"/>
      <c r="DH2151" s="159"/>
      <c r="DI2151" s="1091"/>
      <c r="DJ2151" s="1187"/>
    </row>
    <row r="2152" spans="1:114" ht="15" hidden="1" customHeight="1" outlineLevel="1">
      <c r="A2152" s="453"/>
      <c r="C2152" s="51"/>
      <c r="D2152" s="4295"/>
      <c r="E2152" s="4295"/>
      <c r="F2152" s="4297" t="str">
        <f>$E$1598</f>
        <v>ASHP-SEER16-Replace_CAC_ElectricHeat_ER2_MF</v>
      </c>
      <c r="G2152" s="4298"/>
      <c r="H2152" s="4298"/>
      <c r="I2152" s="4299"/>
      <c r="J2152" s="1029" t="str">
        <f>$C$1598</f>
        <v>353000_2024_12_</v>
      </c>
      <c r="K2152" s="1790">
        <v>1496</v>
      </c>
      <c r="L2152" s="262"/>
      <c r="M2152" s="778" t="s">
        <v>2497</v>
      </c>
      <c r="P2152" s="261"/>
      <c r="Q2152" s="261"/>
      <c r="R2152" s="261"/>
      <c r="S2152" s="52"/>
      <c r="T2152" s="181"/>
      <c r="U2152" s="52"/>
      <c r="V2152" s="4295"/>
      <c r="W2152" s="1396">
        <v>2009</v>
      </c>
      <c r="X2152" s="833">
        <v>1496</v>
      </c>
      <c r="Y2152" s="1396">
        <v>1496</v>
      </c>
      <c r="Z2152" s="1396">
        <v>1496</v>
      </c>
      <c r="AA2152" s="1396">
        <v>1496</v>
      </c>
      <c r="AB2152" s="1396">
        <v>1496</v>
      </c>
      <c r="AC2152" s="1396">
        <v>1496</v>
      </c>
      <c r="AD2152" s="1396">
        <v>1496</v>
      </c>
      <c r="AE2152" s="1396">
        <v>1496</v>
      </c>
      <c r="AF2152" s="271">
        <f t="shared" si="294"/>
        <v>1496</v>
      </c>
      <c r="AG2152" s="1396"/>
      <c r="DG2152" s="573"/>
      <c r="DH2152" s="159"/>
      <c r="DI2152" s="1091"/>
      <c r="DJ2152" s="1187"/>
    </row>
    <row r="2153" spans="1:114" ht="15" hidden="1" customHeight="1" outlineLevel="1">
      <c r="A2153" s="453"/>
      <c r="C2153" s="51"/>
      <c r="D2153" s="4295"/>
      <c r="E2153" s="4295"/>
      <c r="F2153" s="4300" t="str">
        <f>$E$1600</f>
        <v>ASHP-SEER16-Replace_CAC_ElectricHeat_ER1_MF_CompE</v>
      </c>
      <c r="G2153" s="4301"/>
      <c r="H2153" s="4301"/>
      <c r="I2153" s="4302"/>
      <c r="J2153" s="3471" t="str">
        <f>$C$1600</f>
        <v>353001_2024_12_</v>
      </c>
      <c r="K2153" s="1790">
        <v>510</v>
      </c>
      <c r="L2153" s="262"/>
      <c r="M2153" s="1841" t="s">
        <v>2498</v>
      </c>
      <c r="P2153" s="261"/>
      <c r="Q2153" s="261"/>
      <c r="R2153" s="261"/>
      <c r="S2153" s="52"/>
      <c r="T2153" s="181"/>
      <c r="U2153" s="52"/>
      <c r="V2153" s="4295"/>
      <c r="W2153" s="3262"/>
      <c r="X2153" s="3265"/>
      <c r="Y2153" s="3265">
        <v>510</v>
      </c>
      <c r="Z2153" s="3262">
        <v>510</v>
      </c>
      <c r="AA2153" s="3262">
        <v>510</v>
      </c>
      <c r="AB2153" s="3262">
        <v>510</v>
      </c>
      <c r="AC2153" s="3262">
        <v>510</v>
      </c>
      <c r="AD2153" s="3262">
        <v>510</v>
      </c>
      <c r="AE2153" s="3262">
        <v>510</v>
      </c>
      <c r="AF2153" s="2236">
        <f t="shared" si="294"/>
        <v>510</v>
      </c>
      <c r="AG2153" s="1396"/>
      <c r="DG2153" s="573"/>
      <c r="DH2153" s="159"/>
      <c r="DI2153" s="1091"/>
      <c r="DJ2153" s="1187"/>
    </row>
    <row r="2154" spans="1:114" ht="15" hidden="1" customHeight="1" outlineLevel="1">
      <c r="A2154" s="453"/>
      <c r="C2154" s="51"/>
      <c r="D2154" s="4295"/>
      <c r="E2154" s="4295"/>
      <c r="F2154" s="4300" t="str">
        <f>$E$1602</f>
        <v>ASHP-SEER16-Replace_CAC_ElectricHeat_ER2_MF_CompE</v>
      </c>
      <c r="G2154" s="4301"/>
      <c r="H2154" s="4301"/>
      <c r="I2154" s="4302"/>
      <c r="J2154" s="3471" t="str">
        <f>$C$1602</f>
        <v>353001_2024_12_</v>
      </c>
      <c r="K2154" s="1790">
        <v>510</v>
      </c>
      <c r="L2154" s="262"/>
      <c r="M2154" s="1841" t="s">
        <v>2498</v>
      </c>
      <c r="P2154" s="261"/>
      <c r="Q2154" s="261"/>
      <c r="R2154" s="261"/>
      <c r="S2154" s="52"/>
      <c r="T2154" s="181"/>
      <c r="U2154" s="52"/>
      <c r="V2154" s="4295"/>
      <c r="W2154" s="3262"/>
      <c r="X2154" s="3265"/>
      <c r="Y2154" s="3265">
        <v>510</v>
      </c>
      <c r="Z2154" s="3262">
        <v>510</v>
      </c>
      <c r="AA2154" s="3262">
        <v>510</v>
      </c>
      <c r="AB2154" s="3262">
        <v>510</v>
      </c>
      <c r="AC2154" s="3262">
        <v>510</v>
      </c>
      <c r="AD2154" s="3262">
        <v>510</v>
      </c>
      <c r="AE2154" s="3262">
        <v>510</v>
      </c>
      <c r="AF2154" s="2236">
        <f t="shared" si="294"/>
        <v>510</v>
      </c>
      <c r="AG2154" s="1396"/>
      <c r="DG2154" s="573"/>
      <c r="DH2154" s="159"/>
      <c r="DI2154" s="1091"/>
      <c r="DJ2154" s="1187"/>
    </row>
    <row r="2155" spans="1:114" ht="15" hidden="1" customHeight="1" outlineLevel="1">
      <c r="A2155" s="453"/>
      <c r="C2155" s="51"/>
      <c r="D2155" s="4295"/>
      <c r="E2155" s="4295"/>
      <c r="F2155" s="4300" t="str">
        <f>$E$1604</f>
        <v>ASHP-SEER16-Replace_CAC_NonElectricHeat_ER1_MF</v>
      </c>
      <c r="G2155" s="4301"/>
      <c r="H2155" s="4301"/>
      <c r="I2155" s="4302"/>
      <c r="J2155" s="3471" t="str">
        <f>$C$1604</f>
        <v>353010_2024_12_</v>
      </c>
      <c r="K2155" s="1793">
        <v>1496</v>
      </c>
      <c r="L2155" s="262"/>
      <c r="M2155" s="1841" t="s">
        <v>2497</v>
      </c>
      <c r="P2155" s="261"/>
      <c r="Q2155" s="261"/>
      <c r="R2155" s="261"/>
      <c r="S2155" s="52"/>
      <c r="T2155" s="181"/>
      <c r="U2155" s="52"/>
      <c r="V2155" s="4295"/>
      <c r="W2155" s="3262"/>
      <c r="X2155" s="3265"/>
      <c r="Y2155" s="3265"/>
      <c r="Z2155" s="3262"/>
      <c r="AA2155" s="3262"/>
      <c r="AB2155" s="3262"/>
      <c r="AC2155" s="3279">
        <v>1496</v>
      </c>
      <c r="AD2155" s="3267">
        <v>1496</v>
      </c>
      <c r="AE2155" s="3267">
        <v>1496</v>
      </c>
      <c r="AF2155" s="2236">
        <f t="shared" si="294"/>
        <v>1496</v>
      </c>
      <c r="AG2155" s="1396"/>
      <c r="DG2155" s="573"/>
      <c r="DH2155" s="159"/>
      <c r="DI2155" s="1091"/>
      <c r="DJ2155" s="1187"/>
    </row>
    <row r="2156" spans="1:114" ht="15" hidden="1" customHeight="1" outlineLevel="1">
      <c r="A2156" s="453"/>
      <c r="C2156" s="51"/>
      <c r="D2156" s="4295"/>
      <c r="E2156" s="4295"/>
      <c r="F2156" s="4300" t="str">
        <f>$E$1606</f>
        <v>ASHP-SEER16-Replace_CAC_NonElectricHeat_ER2_MF</v>
      </c>
      <c r="G2156" s="4301"/>
      <c r="H2156" s="4301"/>
      <c r="I2156" s="4302"/>
      <c r="J2156" s="3471" t="str">
        <f>$C$1606</f>
        <v>353010_2024_12_</v>
      </c>
      <c r="K2156" s="1793">
        <v>1496</v>
      </c>
      <c r="L2156" s="262"/>
      <c r="M2156" s="1841" t="s">
        <v>2497</v>
      </c>
      <c r="P2156" s="261"/>
      <c r="Q2156" s="261"/>
      <c r="R2156" s="261"/>
      <c r="S2156" s="52"/>
      <c r="T2156" s="181"/>
      <c r="U2156" s="52"/>
      <c r="V2156" s="4295"/>
      <c r="W2156" s="3262"/>
      <c r="X2156" s="3265"/>
      <c r="Y2156" s="3265"/>
      <c r="Z2156" s="3262"/>
      <c r="AA2156" s="3262"/>
      <c r="AB2156" s="3262"/>
      <c r="AC2156" s="3279">
        <v>1496</v>
      </c>
      <c r="AD2156" s="3267">
        <v>1496</v>
      </c>
      <c r="AE2156" s="3267">
        <v>1496</v>
      </c>
      <c r="AF2156" s="2236">
        <f t="shared" si="294"/>
        <v>1496</v>
      </c>
      <c r="AG2156" s="1396"/>
      <c r="DG2156" s="573"/>
      <c r="DH2156" s="159"/>
      <c r="DI2156" s="1091"/>
      <c r="DJ2156" s="1187"/>
    </row>
    <row r="2157" spans="1:114" ht="15" hidden="1" customHeight="1" outlineLevel="1">
      <c r="A2157" s="453"/>
      <c r="C2157" s="51"/>
      <c r="D2157" s="4295"/>
      <c r="E2157" s="4295"/>
      <c r="F2157" s="4300" t="str">
        <f>$E$1608</f>
        <v>ASHP-SEER16-Replace_CAC_NonElectricHeat_ER1_MF_CompE</v>
      </c>
      <c r="G2157" s="4301"/>
      <c r="H2157" s="4301"/>
      <c r="I2157" s="4302"/>
      <c r="J2157" s="3471" t="str">
        <f>$C$1608</f>
        <v>353011_2024_12_</v>
      </c>
      <c r="K2157" s="1793">
        <v>510</v>
      </c>
      <c r="L2157" s="262"/>
      <c r="M2157" s="1841" t="s">
        <v>2498</v>
      </c>
      <c r="P2157" s="261"/>
      <c r="Q2157" s="261"/>
      <c r="R2157" s="261"/>
      <c r="S2157" s="52"/>
      <c r="T2157" s="181"/>
      <c r="U2157" s="52"/>
      <c r="V2157" s="4295"/>
      <c r="W2157" s="3262"/>
      <c r="X2157" s="3265"/>
      <c r="Y2157" s="3265"/>
      <c r="Z2157" s="3262"/>
      <c r="AA2157" s="3262"/>
      <c r="AB2157" s="3262"/>
      <c r="AC2157" s="3279">
        <v>510</v>
      </c>
      <c r="AD2157" s="3267">
        <v>510</v>
      </c>
      <c r="AE2157" s="3267">
        <v>510</v>
      </c>
      <c r="AF2157" s="2236">
        <f t="shared" si="294"/>
        <v>510</v>
      </c>
      <c r="AG2157" s="1396"/>
      <c r="DG2157" s="573"/>
      <c r="DH2157" s="159"/>
      <c r="DI2157" s="1091"/>
      <c r="DJ2157" s="1187"/>
    </row>
    <row r="2158" spans="1:114" ht="15" hidden="1" customHeight="1" outlineLevel="1">
      <c r="A2158" s="453"/>
      <c r="C2158" s="51"/>
      <c r="D2158" s="4295"/>
      <c r="E2158" s="4295"/>
      <c r="F2158" s="4300" t="str">
        <f>$E$1610</f>
        <v>ASHP-SEER16-Replace_CAC_NonElectricHeat_ER2_MF_CompE</v>
      </c>
      <c r="G2158" s="4301"/>
      <c r="H2158" s="4301"/>
      <c r="I2158" s="4302"/>
      <c r="J2158" s="3471" t="str">
        <f>$C$1610</f>
        <v>353011_2024_12_</v>
      </c>
      <c r="K2158" s="1793">
        <v>510</v>
      </c>
      <c r="L2158" s="262"/>
      <c r="M2158" s="1841" t="s">
        <v>2498</v>
      </c>
      <c r="P2158" s="261"/>
      <c r="Q2158" s="261"/>
      <c r="R2158" s="261"/>
      <c r="S2158" s="52"/>
      <c r="T2158" s="181"/>
      <c r="U2158" s="52"/>
      <c r="V2158" s="4295"/>
      <c r="W2158" s="3262"/>
      <c r="X2158" s="3265"/>
      <c r="Y2158" s="3265"/>
      <c r="Z2158" s="3262"/>
      <c r="AA2158" s="3262"/>
      <c r="AB2158" s="3262"/>
      <c r="AC2158" s="3279">
        <v>510</v>
      </c>
      <c r="AD2158" s="3267">
        <v>510</v>
      </c>
      <c r="AE2158" s="3267">
        <v>510</v>
      </c>
      <c r="AF2158" s="2236">
        <f t="shared" si="294"/>
        <v>510</v>
      </c>
      <c r="AG2158" s="1396"/>
      <c r="DG2158" s="573"/>
      <c r="DH2158" s="159"/>
      <c r="DI2158" s="1091"/>
      <c r="DJ2158" s="1187"/>
    </row>
    <row r="2159" spans="1:114" ht="15" hidden="1" customHeight="1" outlineLevel="1">
      <c r="A2159" s="453"/>
      <c r="C2159" s="51"/>
      <c r="D2159" s="4295"/>
      <c r="E2159" s="4295"/>
      <c r="F2159" s="4300" t="str">
        <f>$E$1612</f>
        <v>ASHP-SEER15_ROF_MF</v>
      </c>
      <c r="G2159" s="4301"/>
      <c r="H2159" s="4301"/>
      <c r="I2159" s="4302"/>
      <c r="J2159" s="3471" t="str">
        <f>$C$1612</f>
        <v>353050_2024_12_</v>
      </c>
      <c r="K2159" s="1790">
        <v>1496</v>
      </c>
      <c r="L2159" s="262"/>
      <c r="M2159" s="1841" t="s">
        <v>2497</v>
      </c>
      <c r="P2159" s="261"/>
      <c r="Q2159" s="261"/>
      <c r="R2159" s="261"/>
      <c r="S2159" s="52"/>
      <c r="T2159" s="181"/>
      <c r="U2159" s="52"/>
      <c r="V2159" s="4295"/>
      <c r="W2159" s="3262">
        <v>2009</v>
      </c>
      <c r="X2159" s="3265">
        <v>1496</v>
      </c>
      <c r="Y2159" s="3262">
        <v>1496</v>
      </c>
      <c r="Z2159" s="3262">
        <v>1496</v>
      </c>
      <c r="AA2159" s="3262">
        <v>1496</v>
      </c>
      <c r="AB2159" s="3262">
        <v>1496</v>
      </c>
      <c r="AC2159" s="3262">
        <v>1496</v>
      </c>
      <c r="AD2159" s="3262">
        <v>1496</v>
      </c>
      <c r="AE2159" s="3262">
        <v>1496</v>
      </c>
      <c r="AF2159" s="2236">
        <f t="shared" si="294"/>
        <v>1496</v>
      </c>
      <c r="AG2159" s="1396"/>
      <c r="DG2159" s="573"/>
      <c r="DH2159" s="159"/>
      <c r="DI2159" s="1091"/>
      <c r="DJ2159" s="1187"/>
    </row>
    <row r="2160" spans="1:114" ht="15" hidden="1" customHeight="1" outlineLevel="1">
      <c r="A2160" s="453"/>
      <c r="C2160" s="51"/>
      <c r="D2160" s="4295"/>
      <c r="E2160" s="4295"/>
      <c r="F2160" s="4300" t="str">
        <f>$E$1614</f>
        <v>ASHP-SEER15_ROF_MF_CompE</v>
      </c>
      <c r="G2160" s="4301"/>
      <c r="H2160" s="4301"/>
      <c r="I2160" s="4302"/>
      <c r="J2160" s="3471" t="str">
        <f>$C$1614</f>
        <v>353051_2024_12_</v>
      </c>
      <c r="K2160" s="1790">
        <v>510</v>
      </c>
      <c r="L2160" s="262"/>
      <c r="M2160" s="1841" t="s">
        <v>2498</v>
      </c>
      <c r="P2160" s="261"/>
      <c r="Q2160" s="261"/>
      <c r="R2160" s="261"/>
      <c r="S2160" s="52"/>
      <c r="T2160" s="181"/>
      <c r="U2160" s="52"/>
      <c r="V2160" s="4295"/>
      <c r="W2160" s="3262"/>
      <c r="X2160" s="3265"/>
      <c r="Y2160" s="3265">
        <v>510</v>
      </c>
      <c r="Z2160" s="3262">
        <v>510</v>
      </c>
      <c r="AA2160" s="3262">
        <v>510</v>
      </c>
      <c r="AB2160" s="3262">
        <v>510</v>
      </c>
      <c r="AC2160" s="3262">
        <v>510</v>
      </c>
      <c r="AD2160" s="3262">
        <v>510</v>
      </c>
      <c r="AE2160" s="3262">
        <v>510</v>
      </c>
      <c r="AF2160" s="2236">
        <f t="shared" si="294"/>
        <v>510</v>
      </c>
      <c r="AG2160" s="1396"/>
      <c r="DG2160" s="573"/>
      <c r="DH2160" s="159"/>
      <c r="DI2160" s="1091"/>
      <c r="DJ2160" s="1187"/>
    </row>
    <row r="2161" spans="1:114" ht="15" hidden="1" customHeight="1" outlineLevel="1">
      <c r="A2161" s="453"/>
      <c r="C2161" s="51"/>
      <c r="D2161" s="4295"/>
      <c r="E2161" s="4295"/>
      <c r="F2161" s="4297" t="str">
        <f>$E$1616</f>
        <v>ASHP-SEER17-Replace_CAC_ElectricHeat_ROF_SF</v>
      </c>
      <c r="G2161" s="4298"/>
      <c r="H2161" s="4298"/>
      <c r="I2161" s="4299"/>
      <c r="J2161" s="1029" t="str">
        <f>$C$1616</f>
        <v>353100_2024_12_</v>
      </c>
      <c r="K2161" s="1790">
        <v>1496</v>
      </c>
      <c r="L2161" s="262"/>
      <c r="M2161" s="778" t="s">
        <v>2497</v>
      </c>
      <c r="P2161" s="261"/>
      <c r="Q2161" s="261"/>
      <c r="R2161" s="261"/>
      <c r="S2161" s="52"/>
      <c r="T2161" s="181"/>
      <c r="U2161" s="52"/>
      <c r="V2161" s="4295"/>
      <c r="W2161" s="1396">
        <v>2009</v>
      </c>
      <c r="X2161" s="833">
        <v>1496</v>
      </c>
      <c r="Y2161" s="1396">
        <v>1496</v>
      </c>
      <c r="Z2161" s="1396">
        <v>1496</v>
      </c>
      <c r="AA2161" s="1396">
        <v>1496</v>
      </c>
      <c r="AB2161" s="1396">
        <v>1496</v>
      </c>
      <c r="AC2161" s="1396">
        <v>1496</v>
      </c>
      <c r="AD2161" s="1396">
        <v>1496</v>
      </c>
      <c r="AE2161" s="1396">
        <v>1496</v>
      </c>
      <c r="AF2161" s="271">
        <f t="shared" si="294"/>
        <v>1496</v>
      </c>
      <c r="AG2161" s="1396"/>
      <c r="DG2161" s="573"/>
      <c r="DH2161" s="159"/>
      <c r="DI2161" s="1091"/>
      <c r="DJ2161" s="1187"/>
    </row>
    <row r="2162" spans="1:114" ht="15" hidden="1" customHeight="1" outlineLevel="1">
      <c r="A2162" s="453"/>
      <c r="C2162" s="51"/>
      <c r="D2162" s="4295"/>
      <c r="E2162" s="4295"/>
      <c r="F2162" s="4297" t="str">
        <f>$E$1618</f>
        <v>ASHP-SEER17-Replace_CAC_NonElectricHeat_ROF_SF</v>
      </c>
      <c r="G2162" s="4298"/>
      <c r="H2162" s="4298"/>
      <c r="I2162" s="4299"/>
      <c r="J2162" s="1029" t="str">
        <f>$C$1618</f>
        <v>353110_2024_12_</v>
      </c>
      <c r="K2162" s="1790">
        <v>1496</v>
      </c>
      <c r="L2162" s="262"/>
      <c r="M2162" s="778" t="s">
        <v>2497</v>
      </c>
      <c r="P2162" s="261"/>
      <c r="Q2162" s="261"/>
      <c r="R2162" s="261"/>
      <c r="S2162" s="52"/>
      <c r="T2162" s="181"/>
      <c r="U2162" s="52"/>
      <c r="V2162" s="4295"/>
      <c r="W2162" s="1396"/>
      <c r="X2162" s="833"/>
      <c r="Y2162" s="1396"/>
      <c r="Z2162" s="1396"/>
      <c r="AA2162" s="1396"/>
      <c r="AB2162" s="1396"/>
      <c r="AC2162" s="1396"/>
      <c r="AD2162" s="833">
        <v>1496</v>
      </c>
      <c r="AE2162" s="1396">
        <v>1496</v>
      </c>
      <c r="AF2162" s="271">
        <f t="shared" si="294"/>
        <v>1496</v>
      </c>
      <c r="AG2162" s="1396"/>
      <c r="DG2162" s="573"/>
      <c r="DH2162" s="159"/>
      <c r="DI2162" s="1091"/>
      <c r="DJ2162" s="1187"/>
    </row>
    <row r="2163" spans="1:114" ht="15" hidden="1" customHeight="1" outlineLevel="1">
      <c r="A2163" s="453"/>
      <c r="C2163" s="51"/>
      <c r="D2163" s="4295"/>
      <c r="E2163" s="4295"/>
      <c r="F2163" s="4300" t="str">
        <f>$E$1620</f>
        <v>ASHP-SEER17-Replace_CAC_ElectricHeat_ROF_MF</v>
      </c>
      <c r="G2163" s="4301"/>
      <c r="H2163" s="4301"/>
      <c r="I2163" s="4302"/>
      <c r="J2163" s="3471" t="str">
        <f>$C$1620</f>
        <v>353150_2024_12_</v>
      </c>
      <c r="K2163" s="1790">
        <v>1496</v>
      </c>
      <c r="L2163" s="262"/>
      <c r="M2163" s="1841" t="s">
        <v>2497</v>
      </c>
      <c r="P2163" s="261"/>
      <c r="Q2163" s="261"/>
      <c r="R2163" s="261"/>
      <c r="S2163" s="52"/>
      <c r="T2163" s="181"/>
      <c r="U2163" s="52"/>
      <c r="V2163" s="4295"/>
      <c r="W2163" s="3262">
        <v>2009</v>
      </c>
      <c r="X2163" s="3265">
        <v>1496</v>
      </c>
      <c r="Y2163" s="3262">
        <v>1496</v>
      </c>
      <c r="Z2163" s="3262">
        <v>1496</v>
      </c>
      <c r="AA2163" s="3262">
        <v>1496</v>
      </c>
      <c r="AB2163" s="3262">
        <v>1496</v>
      </c>
      <c r="AC2163" s="3262">
        <v>1496</v>
      </c>
      <c r="AD2163" s="3262">
        <v>1496</v>
      </c>
      <c r="AE2163" s="3262">
        <v>1496</v>
      </c>
      <c r="AF2163" s="2236">
        <f t="shared" si="294"/>
        <v>1496</v>
      </c>
      <c r="AG2163" s="1396"/>
      <c r="DG2163" s="573"/>
      <c r="DH2163" s="159"/>
      <c r="DI2163" s="1091"/>
      <c r="DJ2163" s="1187"/>
    </row>
    <row r="2164" spans="1:114" ht="15" hidden="1" customHeight="1" outlineLevel="1">
      <c r="A2164" s="453"/>
      <c r="C2164" s="51"/>
      <c r="D2164" s="4295"/>
      <c r="E2164" s="4295"/>
      <c r="F2164" s="4300" t="str">
        <f>$E$1622</f>
        <v>ASHP-SEER17-Replace_CAC_ElectricHeat_ROF_MF_CompE</v>
      </c>
      <c r="G2164" s="4301"/>
      <c r="H2164" s="4301"/>
      <c r="I2164" s="4302"/>
      <c r="J2164" s="3471" t="str">
        <f>$C$1622</f>
        <v>353151_2024_12_</v>
      </c>
      <c r="K2164" s="1790">
        <v>510</v>
      </c>
      <c r="L2164" s="262"/>
      <c r="M2164" s="1841" t="s">
        <v>2498</v>
      </c>
      <c r="P2164" s="261"/>
      <c r="Q2164" s="261"/>
      <c r="R2164" s="261"/>
      <c r="S2164" s="52"/>
      <c r="T2164" s="181"/>
      <c r="U2164" s="52"/>
      <c r="V2164" s="4295"/>
      <c r="W2164" s="3262"/>
      <c r="X2164" s="3265"/>
      <c r="Y2164" s="3265">
        <v>510</v>
      </c>
      <c r="Z2164" s="3262">
        <v>510</v>
      </c>
      <c r="AA2164" s="3262">
        <v>510</v>
      </c>
      <c r="AB2164" s="3262">
        <v>510</v>
      </c>
      <c r="AC2164" s="3262">
        <v>510</v>
      </c>
      <c r="AD2164" s="3262">
        <v>510</v>
      </c>
      <c r="AE2164" s="3262">
        <v>510</v>
      </c>
      <c r="AF2164" s="2236">
        <f t="shared" si="294"/>
        <v>510</v>
      </c>
      <c r="AG2164" s="1396"/>
      <c r="DG2164" s="573"/>
      <c r="DH2164" s="159"/>
      <c r="DI2164" s="1091"/>
      <c r="DJ2164" s="1187"/>
    </row>
    <row r="2165" spans="1:114" ht="15" hidden="1" customHeight="1" outlineLevel="1">
      <c r="A2165" s="453"/>
      <c r="C2165" s="51"/>
      <c r="D2165" s="4295"/>
      <c r="E2165" s="4295"/>
      <c r="F2165" s="4300" t="str">
        <f>$E$1624</f>
        <v>ASHP-SEER17-Replace_CAC_NonElectricHeat_ROF_MF</v>
      </c>
      <c r="G2165" s="4301"/>
      <c r="H2165" s="4301"/>
      <c r="I2165" s="4302"/>
      <c r="J2165" s="3471" t="str">
        <f>$C$1624</f>
        <v>353160_2024_12_</v>
      </c>
      <c r="K2165" s="1793">
        <v>1496</v>
      </c>
      <c r="L2165" s="262"/>
      <c r="M2165" s="1841" t="s">
        <v>2497</v>
      </c>
      <c r="P2165" s="261"/>
      <c r="Q2165" s="261"/>
      <c r="R2165" s="261"/>
      <c r="S2165" s="52"/>
      <c r="T2165" s="181"/>
      <c r="U2165" s="52"/>
      <c r="V2165" s="4295"/>
      <c r="W2165" s="3262"/>
      <c r="X2165" s="3265"/>
      <c r="Y2165" s="3265"/>
      <c r="Z2165" s="3262"/>
      <c r="AA2165" s="3262"/>
      <c r="AB2165" s="3262"/>
      <c r="AC2165" s="3279">
        <v>1496</v>
      </c>
      <c r="AD2165" s="3267">
        <v>1496</v>
      </c>
      <c r="AE2165" s="3267">
        <v>1496</v>
      </c>
      <c r="AF2165" s="2236">
        <f t="shared" si="294"/>
        <v>1496</v>
      </c>
      <c r="AG2165" s="1396"/>
      <c r="DG2165" s="573"/>
      <c r="DH2165" s="159"/>
      <c r="DI2165" s="1091"/>
      <c r="DJ2165" s="1187"/>
    </row>
    <row r="2166" spans="1:114" ht="15" hidden="1" customHeight="1" outlineLevel="1">
      <c r="A2166" s="453"/>
      <c r="C2166" s="51"/>
      <c r="D2166" s="4295"/>
      <c r="E2166" s="4295"/>
      <c r="F2166" s="4300" t="str">
        <f>$E$1626</f>
        <v>ASHP-SEER17-Replace_CAC_NonElectricHeat_ROF_MF_CompE</v>
      </c>
      <c r="G2166" s="4301"/>
      <c r="H2166" s="4301"/>
      <c r="I2166" s="4302"/>
      <c r="J2166" s="3471" t="str">
        <f>$C$1626</f>
        <v>353161_2024_12_</v>
      </c>
      <c r="K2166" s="1793">
        <v>510</v>
      </c>
      <c r="L2166" s="262"/>
      <c r="M2166" s="1841" t="s">
        <v>2498</v>
      </c>
      <c r="P2166" s="261"/>
      <c r="Q2166" s="261"/>
      <c r="R2166" s="261"/>
      <c r="S2166" s="52"/>
      <c r="T2166" s="181"/>
      <c r="U2166" s="52"/>
      <c r="V2166" s="4295"/>
      <c r="W2166" s="3262"/>
      <c r="X2166" s="3265"/>
      <c r="Y2166" s="3265"/>
      <c r="Z2166" s="3262"/>
      <c r="AA2166" s="3262"/>
      <c r="AB2166" s="3262"/>
      <c r="AC2166" s="3279">
        <v>510</v>
      </c>
      <c r="AD2166" s="3267">
        <v>510</v>
      </c>
      <c r="AE2166" s="3267">
        <v>510</v>
      </c>
      <c r="AF2166" s="2236">
        <f t="shared" si="294"/>
        <v>510</v>
      </c>
      <c r="AG2166" s="1396"/>
      <c r="DG2166" s="573"/>
      <c r="DH2166" s="159"/>
      <c r="DI2166" s="1091"/>
      <c r="DJ2166" s="1187"/>
    </row>
    <row r="2167" spans="1:114" ht="15" hidden="1" customHeight="1" outlineLevel="1">
      <c r="A2167" s="453"/>
      <c r="C2167" s="51"/>
      <c r="D2167" s="4295"/>
      <c r="E2167" s="4295"/>
      <c r="F2167" s="4297" t="str">
        <f>$E$1628</f>
        <v>ASHP-SEER18-Replace_CAC_ElectricHeat_ROF_SF</v>
      </c>
      <c r="G2167" s="4298"/>
      <c r="H2167" s="4298"/>
      <c r="I2167" s="4299"/>
      <c r="J2167" s="1029" t="str">
        <f>$C$1628</f>
        <v>353200_2024_12_</v>
      </c>
      <c r="K2167" s="1790">
        <v>1496</v>
      </c>
      <c r="L2167" s="262"/>
      <c r="M2167" s="778" t="s">
        <v>2497</v>
      </c>
      <c r="P2167" s="261"/>
      <c r="Q2167" s="261"/>
      <c r="R2167" s="261"/>
      <c r="S2167" s="52"/>
      <c r="T2167" s="181"/>
      <c r="U2167" s="52"/>
      <c r="V2167" s="4295"/>
      <c r="W2167" s="1396">
        <v>2009</v>
      </c>
      <c r="X2167" s="833">
        <v>1496</v>
      </c>
      <c r="Y2167" s="1396">
        <v>1496</v>
      </c>
      <c r="Z2167" s="1396">
        <v>1496</v>
      </c>
      <c r="AA2167" s="1396">
        <v>1496</v>
      </c>
      <c r="AB2167" s="1396">
        <v>1496</v>
      </c>
      <c r="AC2167" s="1396">
        <v>1496</v>
      </c>
      <c r="AD2167" s="1396">
        <v>1496</v>
      </c>
      <c r="AE2167" s="1396">
        <v>1496</v>
      </c>
      <c r="AF2167" s="271">
        <f t="shared" si="294"/>
        <v>1496</v>
      </c>
      <c r="AG2167" s="1396"/>
      <c r="DG2167" s="573"/>
      <c r="DH2167" s="159"/>
      <c r="DI2167" s="1091"/>
      <c r="DJ2167" s="1187"/>
    </row>
    <row r="2168" spans="1:114" ht="15" hidden="1" customHeight="1" outlineLevel="1">
      <c r="A2168" s="453"/>
      <c r="C2168" s="51"/>
      <c r="D2168" s="4295"/>
      <c r="E2168" s="4295"/>
      <c r="F2168" s="4297" t="str">
        <f>$E$1630</f>
        <v>ASHP-SEER18-Replace_CAC_NonElectricHeat_ROF_SF</v>
      </c>
      <c r="G2168" s="4298"/>
      <c r="H2168" s="4298"/>
      <c r="I2168" s="4299"/>
      <c r="J2168" s="1029" t="str">
        <f>$C$1630</f>
        <v>353210_2024_12_</v>
      </c>
      <c r="K2168" s="1790">
        <v>1496</v>
      </c>
      <c r="L2168" s="262"/>
      <c r="M2168" s="778" t="s">
        <v>2497</v>
      </c>
      <c r="P2168" s="261"/>
      <c r="Q2168" s="261"/>
      <c r="R2168" s="261"/>
      <c r="S2168" s="52"/>
      <c r="T2168" s="181"/>
      <c r="U2168" s="52"/>
      <c r="V2168" s="4295"/>
      <c r="W2168" s="1396"/>
      <c r="X2168" s="833"/>
      <c r="Y2168" s="1396"/>
      <c r="Z2168" s="1396"/>
      <c r="AA2168" s="1396"/>
      <c r="AB2168" s="1396"/>
      <c r="AC2168" s="1396"/>
      <c r="AD2168" s="833">
        <v>1496</v>
      </c>
      <c r="AE2168" s="1396">
        <v>1496</v>
      </c>
      <c r="AF2168" s="271">
        <f t="shared" si="294"/>
        <v>1496</v>
      </c>
      <c r="AG2168" s="1396"/>
      <c r="DG2168" s="573"/>
      <c r="DH2168" s="159"/>
      <c r="DI2168" s="1091"/>
      <c r="DJ2168" s="1187"/>
    </row>
    <row r="2169" spans="1:114" ht="15" hidden="1" customHeight="1" outlineLevel="1">
      <c r="A2169" s="453"/>
      <c r="C2169" s="51"/>
      <c r="D2169" s="4295"/>
      <c r="E2169" s="4295"/>
      <c r="F2169" s="4300" t="str">
        <f>$E$1632</f>
        <v>ASHP-SEER18-Replace_CAC_ElectricHeat_ROF_MF</v>
      </c>
      <c r="G2169" s="4301"/>
      <c r="H2169" s="4301"/>
      <c r="I2169" s="4302"/>
      <c r="J2169" s="3471" t="str">
        <f>$C$1632</f>
        <v>353250_2024_12_</v>
      </c>
      <c r="K2169" s="3263">
        <v>1496</v>
      </c>
      <c r="L2169" s="3479"/>
      <c r="M2169" s="1841" t="s">
        <v>2497</v>
      </c>
      <c r="P2169" s="261"/>
      <c r="Q2169" s="261"/>
      <c r="R2169" s="261"/>
      <c r="S2169" s="52"/>
      <c r="T2169" s="181"/>
      <c r="U2169" s="52"/>
      <c r="V2169" s="4295"/>
      <c r="W2169" s="3262">
        <v>2009</v>
      </c>
      <c r="X2169" s="3265">
        <v>1496</v>
      </c>
      <c r="Y2169" s="3262">
        <v>1496</v>
      </c>
      <c r="Z2169" s="3262">
        <v>1496</v>
      </c>
      <c r="AA2169" s="3262">
        <v>1496</v>
      </c>
      <c r="AB2169" s="3262">
        <v>1496</v>
      </c>
      <c r="AC2169" s="3262">
        <v>1496</v>
      </c>
      <c r="AD2169" s="3262">
        <v>1496</v>
      </c>
      <c r="AE2169" s="3262">
        <v>1496</v>
      </c>
      <c r="AF2169" s="2236">
        <f t="shared" si="294"/>
        <v>1496</v>
      </c>
      <c r="AG2169" s="1396"/>
      <c r="DG2169" s="573"/>
      <c r="DH2169" s="159"/>
      <c r="DI2169" s="1091"/>
      <c r="DJ2169" s="1187"/>
    </row>
    <row r="2170" spans="1:114" ht="15" hidden="1" customHeight="1" outlineLevel="1">
      <c r="A2170" s="453"/>
      <c r="C2170" s="51"/>
      <c r="D2170" s="4295"/>
      <c r="E2170" s="4295"/>
      <c r="F2170" s="4300" t="str">
        <f>$E$1634</f>
        <v>ASHP-SEER18-Replace_CAC_ElectricHeat_ROF_MF_CompE</v>
      </c>
      <c r="G2170" s="4301"/>
      <c r="H2170" s="4301"/>
      <c r="I2170" s="4302"/>
      <c r="J2170" s="3471" t="str">
        <f>$C$1634</f>
        <v>353251_2024_12_</v>
      </c>
      <c r="K2170" s="3263">
        <v>510</v>
      </c>
      <c r="L2170" s="3479"/>
      <c r="M2170" s="1841" t="s">
        <v>2498</v>
      </c>
      <c r="P2170" s="261"/>
      <c r="Q2170" s="261"/>
      <c r="R2170" s="261"/>
      <c r="S2170" s="52"/>
      <c r="T2170" s="181"/>
      <c r="U2170" s="52"/>
      <c r="V2170" s="4295"/>
      <c r="W2170" s="3262"/>
      <c r="X2170" s="3265"/>
      <c r="Y2170" s="3265">
        <v>510</v>
      </c>
      <c r="Z2170" s="3262">
        <v>510</v>
      </c>
      <c r="AA2170" s="3262">
        <v>510</v>
      </c>
      <c r="AB2170" s="3262">
        <v>510</v>
      </c>
      <c r="AC2170" s="3262">
        <v>510</v>
      </c>
      <c r="AD2170" s="3262">
        <v>510</v>
      </c>
      <c r="AE2170" s="3262">
        <v>510</v>
      </c>
      <c r="AF2170" s="2236">
        <f t="shared" ref="AF2170:AF2233" si="295">IF(K2170&lt;&gt;"",K2170,"")</f>
        <v>510</v>
      </c>
      <c r="AG2170" s="1396"/>
      <c r="DG2170" s="573"/>
      <c r="DH2170" s="159"/>
      <c r="DI2170" s="1091"/>
      <c r="DJ2170" s="1187"/>
    </row>
    <row r="2171" spans="1:114" ht="15" hidden="1" customHeight="1" outlineLevel="1">
      <c r="A2171" s="453"/>
      <c r="C2171" s="51"/>
      <c r="D2171" s="4295"/>
      <c r="E2171" s="4295"/>
      <c r="F2171" s="4300" t="str">
        <f>$E$1636</f>
        <v>ASHP-SEER18-Replace_CAC_NonElectricHeat_ROF_MF</v>
      </c>
      <c r="G2171" s="4301"/>
      <c r="H2171" s="4301"/>
      <c r="I2171" s="4302"/>
      <c r="J2171" s="3471" t="str">
        <f>$C$1636</f>
        <v>353260_2024_12_</v>
      </c>
      <c r="K2171" s="3342">
        <v>1496</v>
      </c>
      <c r="L2171" s="3479"/>
      <c r="M2171" s="1841" t="s">
        <v>2497</v>
      </c>
      <c r="P2171" s="261"/>
      <c r="Q2171" s="261"/>
      <c r="R2171" s="261"/>
      <c r="S2171" s="52"/>
      <c r="T2171" s="181"/>
      <c r="U2171" s="52"/>
      <c r="V2171" s="4295"/>
      <c r="W2171" s="3262"/>
      <c r="X2171" s="3265"/>
      <c r="Y2171" s="3265"/>
      <c r="Z2171" s="3262"/>
      <c r="AA2171" s="3262"/>
      <c r="AB2171" s="3262"/>
      <c r="AC2171" s="3279">
        <v>1496</v>
      </c>
      <c r="AD2171" s="3267">
        <v>1496</v>
      </c>
      <c r="AE2171" s="3267">
        <v>1496</v>
      </c>
      <c r="AF2171" s="2236">
        <f t="shared" si="295"/>
        <v>1496</v>
      </c>
      <c r="AG2171" s="1396"/>
      <c r="DG2171" s="573"/>
      <c r="DH2171" s="159"/>
      <c r="DI2171" s="1091"/>
      <c r="DJ2171" s="1187"/>
    </row>
    <row r="2172" spans="1:114" ht="15" hidden="1" customHeight="1" outlineLevel="1">
      <c r="A2172" s="453"/>
      <c r="C2172" s="51"/>
      <c r="D2172" s="4295"/>
      <c r="E2172" s="4295"/>
      <c r="F2172" s="4300" t="str">
        <f>$E$1638</f>
        <v>ASHP-SEER18-Replace_CAC_NonElectricHeat_ROF_MF_CompE</v>
      </c>
      <c r="G2172" s="4301"/>
      <c r="H2172" s="4301"/>
      <c r="I2172" s="4302"/>
      <c r="J2172" s="3471" t="str">
        <f>$C$1638</f>
        <v>353261_2024_12_</v>
      </c>
      <c r="K2172" s="3342">
        <v>510</v>
      </c>
      <c r="L2172" s="3479"/>
      <c r="M2172" s="1841" t="s">
        <v>2498</v>
      </c>
      <c r="P2172" s="261"/>
      <c r="Q2172" s="261"/>
      <c r="R2172" s="261"/>
      <c r="S2172" s="52"/>
      <c r="T2172" s="181"/>
      <c r="U2172" s="52"/>
      <c r="V2172" s="4295"/>
      <c r="W2172" s="3262"/>
      <c r="X2172" s="3265"/>
      <c r="Y2172" s="3265"/>
      <c r="Z2172" s="3262"/>
      <c r="AA2172" s="3262"/>
      <c r="AB2172" s="3262"/>
      <c r="AC2172" s="3279">
        <v>510</v>
      </c>
      <c r="AD2172" s="3267">
        <v>510</v>
      </c>
      <c r="AE2172" s="3267">
        <v>510</v>
      </c>
      <c r="AF2172" s="2236">
        <f t="shared" si="295"/>
        <v>510</v>
      </c>
      <c r="AG2172" s="1396"/>
      <c r="DG2172" s="573"/>
      <c r="DH2172" s="159"/>
      <c r="DI2172" s="1091"/>
      <c r="DJ2172" s="1187"/>
    </row>
    <row r="2173" spans="1:114" ht="15" hidden="1" customHeight="1" outlineLevel="1">
      <c r="A2173" s="453"/>
      <c r="C2173" s="51"/>
      <c r="D2173" s="4295"/>
      <c r="E2173" s="4295"/>
      <c r="F2173" s="4297" t="str">
        <f>$E$1640</f>
        <v>ASHP-SEER19-Replace_CAC_ElectricHeat_ROF_SF</v>
      </c>
      <c r="G2173" s="4298"/>
      <c r="H2173" s="4298"/>
      <c r="I2173" s="4299"/>
      <c r="J2173" s="1029" t="str">
        <f>$C$1640</f>
        <v>353300_2024_12_</v>
      </c>
      <c r="K2173" s="1790">
        <v>1496</v>
      </c>
      <c r="L2173" s="262"/>
      <c r="M2173" s="778" t="s">
        <v>2497</v>
      </c>
      <c r="P2173" s="261"/>
      <c r="Q2173" s="261"/>
      <c r="R2173" s="261"/>
      <c r="S2173" s="52"/>
      <c r="T2173" s="181"/>
      <c r="U2173" s="52"/>
      <c r="V2173" s="4295"/>
      <c r="W2173" s="1396">
        <v>2009</v>
      </c>
      <c r="X2173" s="833">
        <v>1496</v>
      </c>
      <c r="Y2173" s="1396">
        <v>1496</v>
      </c>
      <c r="Z2173" s="1396">
        <v>1496</v>
      </c>
      <c r="AA2173" s="1396">
        <v>1496</v>
      </c>
      <c r="AB2173" s="1396">
        <v>1496</v>
      </c>
      <c r="AC2173" s="1396">
        <v>1496</v>
      </c>
      <c r="AD2173" s="1396">
        <v>1496</v>
      </c>
      <c r="AE2173" s="1396">
        <v>1496</v>
      </c>
      <c r="AF2173" s="271">
        <f t="shared" si="295"/>
        <v>1496</v>
      </c>
      <c r="AG2173" s="1396"/>
      <c r="DG2173" s="573"/>
      <c r="DH2173" s="159"/>
      <c r="DI2173" s="1091"/>
      <c r="DJ2173" s="1187"/>
    </row>
    <row r="2174" spans="1:114" ht="15" hidden="1" customHeight="1" outlineLevel="1">
      <c r="A2174" s="453"/>
      <c r="C2174" s="51"/>
      <c r="D2174" s="4295"/>
      <c r="E2174" s="4295"/>
      <c r="F2174" s="4297" t="str">
        <f>$E$1642</f>
        <v>ASHP-SEER19-Replace_CAC_NonElectricHeat_ROF_SF</v>
      </c>
      <c r="G2174" s="4298"/>
      <c r="H2174" s="4298"/>
      <c r="I2174" s="4299"/>
      <c r="J2174" s="1029" t="str">
        <f>$C$1642</f>
        <v>353310_2024_12_</v>
      </c>
      <c r="K2174" s="1790">
        <v>1496</v>
      </c>
      <c r="L2174" s="262"/>
      <c r="M2174" s="778" t="s">
        <v>2497</v>
      </c>
      <c r="P2174" s="261"/>
      <c r="Q2174" s="261"/>
      <c r="R2174" s="261"/>
      <c r="S2174" s="52"/>
      <c r="T2174" s="181"/>
      <c r="U2174" s="52"/>
      <c r="V2174" s="4295"/>
      <c r="W2174" s="1396"/>
      <c r="X2174" s="833"/>
      <c r="Y2174" s="1396"/>
      <c r="Z2174" s="1396"/>
      <c r="AA2174" s="1396"/>
      <c r="AB2174" s="1396"/>
      <c r="AC2174" s="1396"/>
      <c r="AD2174" s="833">
        <v>1496</v>
      </c>
      <c r="AE2174" s="1396">
        <v>1496</v>
      </c>
      <c r="AF2174" s="271">
        <f t="shared" si="295"/>
        <v>1496</v>
      </c>
      <c r="AG2174" s="1396"/>
      <c r="DG2174" s="573"/>
      <c r="DH2174" s="159"/>
      <c r="DI2174" s="1091"/>
      <c r="DJ2174" s="1187"/>
    </row>
    <row r="2175" spans="1:114" ht="15" hidden="1" customHeight="1" outlineLevel="1">
      <c r="A2175" s="453"/>
      <c r="C2175" s="51"/>
      <c r="D2175" s="4295"/>
      <c r="E2175" s="4295"/>
      <c r="F2175" s="4300" t="str">
        <f>$E$1644</f>
        <v>ASHP-SEER19-Replace_CAC_ElectricHeat_ROF_MF</v>
      </c>
      <c r="G2175" s="4301"/>
      <c r="H2175" s="4301"/>
      <c r="I2175" s="4302"/>
      <c r="J2175" s="3471" t="str">
        <f>$C$1644</f>
        <v>353350_2024_12_</v>
      </c>
      <c r="K2175" s="3263">
        <v>1496</v>
      </c>
      <c r="L2175" s="3479"/>
      <c r="M2175" s="1841" t="s">
        <v>2497</v>
      </c>
      <c r="P2175" s="261"/>
      <c r="Q2175" s="261"/>
      <c r="R2175" s="261"/>
      <c r="S2175" s="52"/>
      <c r="T2175" s="181"/>
      <c r="U2175" s="52"/>
      <c r="V2175" s="4295"/>
      <c r="W2175" s="3262">
        <v>2009</v>
      </c>
      <c r="X2175" s="3265">
        <v>1496</v>
      </c>
      <c r="Y2175" s="3262">
        <v>1496</v>
      </c>
      <c r="Z2175" s="3262">
        <v>1496</v>
      </c>
      <c r="AA2175" s="3262">
        <v>1496</v>
      </c>
      <c r="AB2175" s="3262">
        <v>1496</v>
      </c>
      <c r="AC2175" s="3262">
        <v>1496</v>
      </c>
      <c r="AD2175" s="3262">
        <v>1496</v>
      </c>
      <c r="AE2175" s="3262">
        <v>1496</v>
      </c>
      <c r="AF2175" s="2236">
        <f t="shared" si="295"/>
        <v>1496</v>
      </c>
      <c r="AG2175" s="1396"/>
      <c r="DG2175" s="573"/>
      <c r="DH2175" s="159"/>
      <c r="DI2175" s="1091"/>
      <c r="DJ2175" s="1187"/>
    </row>
    <row r="2176" spans="1:114" ht="15" hidden="1" customHeight="1" outlineLevel="1">
      <c r="A2176" s="453"/>
      <c r="C2176" s="51"/>
      <c r="D2176" s="4295"/>
      <c r="E2176" s="4295"/>
      <c r="F2176" s="4300" t="str">
        <f>$E$1646</f>
        <v>ASHP-SEER19-Replace_CAC_ElectricHeat_ROF_MF_CompE</v>
      </c>
      <c r="G2176" s="4301"/>
      <c r="H2176" s="4301"/>
      <c r="I2176" s="4302"/>
      <c r="J2176" s="3471" t="str">
        <f>$C$1646</f>
        <v>353351_2024_12_</v>
      </c>
      <c r="K2176" s="3263">
        <v>510</v>
      </c>
      <c r="L2176" s="3479"/>
      <c r="M2176" s="1841" t="s">
        <v>2498</v>
      </c>
      <c r="P2176" s="261"/>
      <c r="Q2176" s="261"/>
      <c r="R2176" s="261"/>
      <c r="S2176" s="52"/>
      <c r="T2176" s="181"/>
      <c r="U2176" s="52"/>
      <c r="V2176" s="4295"/>
      <c r="W2176" s="3262"/>
      <c r="X2176" s="3265"/>
      <c r="Y2176" s="3265">
        <v>510</v>
      </c>
      <c r="Z2176" s="3262">
        <v>510</v>
      </c>
      <c r="AA2176" s="3262">
        <v>510</v>
      </c>
      <c r="AB2176" s="3262">
        <v>510</v>
      </c>
      <c r="AC2176" s="3262">
        <v>510</v>
      </c>
      <c r="AD2176" s="3262">
        <v>510</v>
      </c>
      <c r="AE2176" s="3262">
        <v>510</v>
      </c>
      <c r="AF2176" s="2236">
        <f t="shared" si="295"/>
        <v>510</v>
      </c>
      <c r="AG2176" s="1396"/>
      <c r="DG2176" s="573"/>
      <c r="DH2176" s="159"/>
      <c r="DI2176" s="1091"/>
      <c r="DJ2176" s="1187"/>
    </row>
    <row r="2177" spans="1:114" ht="15" hidden="1" customHeight="1" outlineLevel="1">
      <c r="A2177" s="453"/>
      <c r="C2177" s="51"/>
      <c r="D2177" s="4295"/>
      <c r="E2177" s="4295"/>
      <c r="F2177" s="4300" t="str">
        <f>$E$1648</f>
        <v>ASHP-SEER19-Replace_CAC_NonElectricHeat_ROF_MF</v>
      </c>
      <c r="G2177" s="4301"/>
      <c r="H2177" s="4301"/>
      <c r="I2177" s="4302"/>
      <c r="J2177" s="3471" t="str">
        <f>$C$1648</f>
        <v>353360_2024_12_</v>
      </c>
      <c r="K2177" s="3342">
        <v>1496</v>
      </c>
      <c r="L2177" s="3479"/>
      <c r="M2177" s="1841" t="s">
        <v>2497</v>
      </c>
      <c r="P2177" s="261"/>
      <c r="Q2177" s="261"/>
      <c r="R2177" s="261"/>
      <c r="S2177" s="52"/>
      <c r="T2177" s="181"/>
      <c r="U2177" s="52"/>
      <c r="V2177" s="4295"/>
      <c r="W2177" s="3262"/>
      <c r="X2177" s="3265"/>
      <c r="Y2177" s="3265"/>
      <c r="Z2177" s="3262"/>
      <c r="AA2177" s="3262"/>
      <c r="AB2177" s="3262"/>
      <c r="AC2177" s="3279">
        <v>1496</v>
      </c>
      <c r="AD2177" s="3267">
        <v>1496</v>
      </c>
      <c r="AE2177" s="3267">
        <v>1496</v>
      </c>
      <c r="AF2177" s="2236">
        <f t="shared" si="295"/>
        <v>1496</v>
      </c>
      <c r="AG2177" s="1396"/>
      <c r="DG2177" s="573"/>
      <c r="DH2177" s="159"/>
      <c r="DI2177" s="1091"/>
      <c r="DJ2177" s="1187"/>
    </row>
    <row r="2178" spans="1:114" ht="15" hidden="1" customHeight="1" outlineLevel="1">
      <c r="A2178" s="453"/>
      <c r="C2178" s="51"/>
      <c r="D2178" s="4295"/>
      <c r="E2178" s="4295"/>
      <c r="F2178" s="4300" t="str">
        <f>$E$1650</f>
        <v>ASHP-SEER19-Replace_CAC_NonElectricHeat_ROF_MF_CompE</v>
      </c>
      <c r="G2178" s="4301"/>
      <c r="H2178" s="4301"/>
      <c r="I2178" s="4302"/>
      <c r="J2178" s="3471" t="str">
        <f>$C$1650</f>
        <v>353361_2024_12_</v>
      </c>
      <c r="K2178" s="3342">
        <v>510</v>
      </c>
      <c r="L2178" s="3479"/>
      <c r="M2178" s="1841" t="s">
        <v>2498</v>
      </c>
      <c r="P2178" s="261"/>
      <c r="Q2178" s="261"/>
      <c r="R2178" s="261"/>
      <c r="S2178" s="52"/>
      <c r="T2178" s="181"/>
      <c r="U2178" s="52"/>
      <c r="V2178" s="4295"/>
      <c r="W2178" s="3262"/>
      <c r="X2178" s="3265"/>
      <c r="Y2178" s="3265"/>
      <c r="Z2178" s="3262"/>
      <c r="AA2178" s="3262"/>
      <c r="AB2178" s="3262"/>
      <c r="AC2178" s="3279">
        <v>510</v>
      </c>
      <c r="AD2178" s="3267">
        <v>510</v>
      </c>
      <c r="AE2178" s="3267">
        <v>510</v>
      </c>
      <c r="AF2178" s="2236">
        <f t="shared" si="295"/>
        <v>510</v>
      </c>
      <c r="AG2178" s="1396"/>
      <c r="DG2178" s="573"/>
      <c r="DH2178" s="159"/>
      <c r="DI2178" s="1091"/>
      <c r="DJ2178" s="1187"/>
    </row>
    <row r="2179" spans="1:114" ht="15" hidden="1" customHeight="1" outlineLevel="1">
      <c r="A2179" s="453"/>
      <c r="C2179" s="51"/>
      <c r="D2179" s="4295"/>
      <c r="E2179" s="4295"/>
      <c r="F2179" s="4297" t="str">
        <f>$E$1652</f>
        <v>ASHP-SEER20-Replace_CAC_ElectricHeat_ER1_SF</v>
      </c>
      <c r="G2179" s="4298"/>
      <c r="H2179" s="4298"/>
      <c r="I2179" s="4299"/>
      <c r="J2179" s="1029" t="str">
        <f>$C$1652</f>
        <v>353400_2024_12_</v>
      </c>
      <c r="K2179" s="1790">
        <v>1496</v>
      </c>
      <c r="L2179" s="262"/>
      <c r="M2179" s="778" t="s">
        <v>2497</v>
      </c>
      <c r="P2179" s="261"/>
      <c r="Q2179" s="261"/>
      <c r="R2179" s="261"/>
      <c r="S2179" s="52"/>
      <c r="T2179" s="181"/>
      <c r="U2179" s="52"/>
      <c r="V2179" s="4295"/>
      <c r="W2179" s="1396">
        <v>2009</v>
      </c>
      <c r="X2179" s="833">
        <v>1496</v>
      </c>
      <c r="Y2179" s="1396">
        <v>1496</v>
      </c>
      <c r="Z2179" s="1396">
        <v>1496</v>
      </c>
      <c r="AA2179" s="1396">
        <v>1496</v>
      </c>
      <c r="AB2179" s="1396">
        <v>1496</v>
      </c>
      <c r="AC2179" s="1396">
        <v>1496</v>
      </c>
      <c r="AD2179" s="1396">
        <v>1496</v>
      </c>
      <c r="AE2179" s="1396">
        <v>1496</v>
      </c>
      <c r="AF2179" s="271">
        <f t="shared" si="295"/>
        <v>1496</v>
      </c>
      <c r="AG2179" s="1396"/>
      <c r="DG2179" s="573"/>
      <c r="DH2179" s="159"/>
      <c r="DI2179" s="1091"/>
      <c r="DJ2179" s="1187"/>
    </row>
    <row r="2180" spans="1:114" ht="15" hidden="1" customHeight="1" outlineLevel="1">
      <c r="A2180" s="453"/>
      <c r="C2180" s="51"/>
      <c r="D2180" s="4295"/>
      <c r="E2180" s="4295"/>
      <c r="F2180" s="4297" t="str">
        <f>$E$1654</f>
        <v>ASHP-SEER20-Replace_CAC_ElectricHeat_ER2_SF</v>
      </c>
      <c r="G2180" s="4298"/>
      <c r="H2180" s="4298"/>
      <c r="I2180" s="4299"/>
      <c r="J2180" s="1029" t="str">
        <f>$C$1654</f>
        <v>353400_2024_12_</v>
      </c>
      <c r="K2180" s="1790">
        <v>1496</v>
      </c>
      <c r="L2180" s="262"/>
      <c r="M2180" s="778" t="s">
        <v>2497</v>
      </c>
      <c r="P2180" s="261"/>
      <c r="Q2180" s="261"/>
      <c r="R2180" s="261"/>
      <c r="S2180" s="52"/>
      <c r="T2180" s="181"/>
      <c r="U2180" s="52"/>
      <c r="V2180" s="4295"/>
      <c r="W2180" s="1396">
        <v>2009</v>
      </c>
      <c r="X2180" s="833">
        <v>1496</v>
      </c>
      <c r="Y2180" s="1396">
        <v>1496</v>
      </c>
      <c r="Z2180" s="1396">
        <v>1496</v>
      </c>
      <c r="AA2180" s="1396">
        <v>1496</v>
      </c>
      <c r="AB2180" s="1396">
        <v>1496</v>
      </c>
      <c r="AC2180" s="1396">
        <v>1496</v>
      </c>
      <c r="AD2180" s="1396">
        <v>1496</v>
      </c>
      <c r="AE2180" s="1396">
        <v>1496</v>
      </c>
      <c r="AF2180" s="271">
        <f t="shared" si="295"/>
        <v>1496</v>
      </c>
      <c r="AG2180" s="1396"/>
      <c r="DG2180" s="573"/>
      <c r="DH2180" s="159"/>
      <c r="DI2180" s="1091"/>
      <c r="DJ2180" s="1187"/>
    </row>
    <row r="2181" spans="1:114" ht="15" hidden="1" customHeight="1" outlineLevel="1">
      <c r="A2181" s="453"/>
      <c r="C2181" s="51"/>
      <c r="D2181" s="4295"/>
      <c r="E2181" s="4295"/>
      <c r="F2181" s="4297" t="str">
        <f>$E$1656</f>
        <v>ASHP-SEER20-Replace_CAC_NonElectricHeat_ER1_SF</v>
      </c>
      <c r="G2181" s="4298"/>
      <c r="H2181" s="4298"/>
      <c r="I2181" s="4299"/>
      <c r="J2181" s="1029" t="str">
        <f>$C$1656</f>
        <v>353410_2024_12_</v>
      </c>
      <c r="K2181" s="1793">
        <v>1496</v>
      </c>
      <c r="L2181" s="262"/>
      <c r="M2181" s="778" t="s">
        <v>2497</v>
      </c>
      <c r="P2181" s="261"/>
      <c r="Q2181" s="261"/>
      <c r="R2181" s="261"/>
      <c r="S2181" s="52"/>
      <c r="T2181" s="181"/>
      <c r="U2181" s="52"/>
      <c r="V2181" s="4295"/>
      <c r="W2181" s="1396"/>
      <c r="X2181" s="833"/>
      <c r="Y2181" s="1396"/>
      <c r="Z2181" s="1396"/>
      <c r="AA2181" s="1396"/>
      <c r="AB2181" s="1396"/>
      <c r="AC2181" s="825">
        <v>1496</v>
      </c>
      <c r="AD2181" s="802">
        <v>1496</v>
      </c>
      <c r="AE2181" s="802">
        <v>1496</v>
      </c>
      <c r="AF2181" s="271">
        <f t="shared" si="295"/>
        <v>1496</v>
      </c>
      <c r="AG2181" s="1396"/>
      <c r="DG2181" s="573"/>
      <c r="DH2181" s="159"/>
      <c r="DI2181" s="1091"/>
      <c r="DJ2181" s="1187"/>
    </row>
    <row r="2182" spans="1:114" ht="15" hidden="1" customHeight="1" outlineLevel="1">
      <c r="A2182" s="453"/>
      <c r="C2182" s="51"/>
      <c r="D2182" s="4295"/>
      <c r="E2182" s="4295"/>
      <c r="F2182" s="4297" t="str">
        <f>$E$1658</f>
        <v>ASHP-SEER20-Replace_CAC_NonElectricHeat_ER2_SF</v>
      </c>
      <c r="G2182" s="4298"/>
      <c r="H2182" s="4298"/>
      <c r="I2182" s="4299"/>
      <c r="J2182" s="1029" t="str">
        <f>$C$1658</f>
        <v>353410_2024_12_</v>
      </c>
      <c r="K2182" s="1793">
        <v>1496</v>
      </c>
      <c r="L2182" s="262"/>
      <c r="M2182" s="778" t="s">
        <v>2497</v>
      </c>
      <c r="P2182" s="261"/>
      <c r="Q2182" s="261"/>
      <c r="R2182" s="261"/>
      <c r="S2182" s="52"/>
      <c r="T2182" s="181"/>
      <c r="U2182" s="52"/>
      <c r="V2182" s="4295"/>
      <c r="W2182" s="1396"/>
      <c r="X2182" s="833"/>
      <c r="Y2182" s="1396"/>
      <c r="Z2182" s="1396"/>
      <c r="AA2182" s="1396"/>
      <c r="AB2182" s="1396"/>
      <c r="AC2182" s="825">
        <v>1496</v>
      </c>
      <c r="AD2182" s="802">
        <v>1496</v>
      </c>
      <c r="AE2182" s="802">
        <v>1496</v>
      </c>
      <c r="AF2182" s="271">
        <f t="shared" si="295"/>
        <v>1496</v>
      </c>
      <c r="AG2182" s="1396"/>
      <c r="DG2182" s="573"/>
      <c r="DH2182" s="159"/>
      <c r="DI2182" s="1091"/>
      <c r="DJ2182" s="1187"/>
    </row>
    <row r="2183" spans="1:114" ht="15" hidden="1" customHeight="1" outlineLevel="1">
      <c r="A2183" s="453"/>
      <c r="C2183" s="51"/>
      <c r="D2183" s="4295"/>
      <c r="E2183" s="4295"/>
      <c r="F2183" s="4297" t="str">
        <f>$E$1660</f>
        <v>ASHP-SEER20-Replace_CAC_ElectricHeat_ROF_SF</v>
      </c>
      <c r="G2183" s="4298"/>
      <c r="H2183" s="4298"/>
      <c r="I2183" s="4299"/>
      <c r="J2183" s="1029" t="str">
        <f>$C$1660</f>
        <v>353450_2024_12_</v>
      </c>
      <c r="K2183" s="1790">
        <v>1496</v>
      </c>
      <c r="L2183" s="262"/>
      <c r="M2183" s="778" t="s">
        <v>2497</v>
      </c>
      <c r="P2183" s="261"/>
      <c r="Q2183" s="261"/>
      <c r="R2183" s="261"/>
      <c r="S2183" s="52"/>
      <c r="T2183" s="181"/>
      <c r="U2183" s="52"/>
      <c r="V2183" s="4295"/>
      <c r="W2183" s="1396">
        <v>2009</v>
      </c>
      <c r="X2183" s="833">
        <v>1496</v>
      </c>
      <c r="Y2183" s="1396">
        <v>1496</v>
      </c>
      <c r="Z2183" s="1396">
        <v>1496</v>
      </c>
      <c r="AA2183" s="1396">
        <v>1496</v>
      </c>
      <c r="AB2183" s="1396">
        <v>1496</v>
      </c>
      <c r="AC2183" s="1396">
        <v>1496</v>
      </c>
      <c r="AD2183" s="1396">
        <v>1496</v>
      </c>
      <c r="AE2183" s="1396">
        <v>1496</v>
      </c>
      <c r="AF2183" s="271">
        <f t="shared" si="295"/>
        <v>1496</v>
      </c>
      <c r="AG2183" s="1396"/>
      <c r="DG2183" s="573"/>
      <c r="DH2183" s="159"/>
      <c r="DI2183" s="1091"/>
      <c r="DJ2183" s="1187"/>
    </row>
    <row r="2184" spans="1:114" ht="15" hidden="1" customHeight="1" outlineLevel="1">
      <c r="A2184" s="453"/>
      <c r="C2184" s="51"/>
      <c r="D2184" s="4295"/>
      <c r="E2184" s="4295"/>
      <c r="F2184" s="4297" t="str">
        <f>$E$1662</f>
        <v>ASHP-SEER20-Replace_CAC_NonElectricHeat_ROF_SF</v>
      </c>
      <c r="G2184" s="4298"/>
      <c r="H2184" s="4298"/>
      <c r="I2184" s="4299"/>
      <c r="J2184" s="1029" t="str">
        <f>$C$1662</f>
        <v>353460_2024_12_</v>
      </c>
      <c r="K2184" s="1790">
        <v>1496</v>
      </c>
      <c r="L2184" s="262"/>
      <c r="M2184" s="778" t="s">
        <v>2497</v>
      </c>
      <c r="P2184" s="261"/>
      <c r="Q2184" s="261"/>
      <c r="R2184" s="261"/>
      <c r="S2184" s="52"/>
      <c r="T2184" s="181"/>
      <c r="U2184" s="52"/>
      <c r="V2184" s="4295"/>
      <c r="W2184" s="1396"/>
      <c r="X2184" s="833"/>
      <c r="Y2184" s="1396"/>
      <c r="Z2184" s="1396"/>
      <c r="AA2184" s="1396"/>
      <c r="AB2184" s="1396"/>
      <c r="AC2184" s="1396"/>
      <c r="AD2184" s="833">
        <v>1496</v>
      </c>
      <c r="AE2184" s="1396">
        <v>1496</v>
      </c>
      <c r="AF2184" s="271">
        <f t="shared" si="295"/>
        <v>1496</v>
      </c>
      <c r="AG2184" s="1396"/>
      <c r="DG2184" s="573"/>
      <c r="DH2184" s="159"/>
      <c r="DI2184" s="1091"/>
      <c r="DJ2184" s="1187"/>
    </row>
    <row r="2185" spans="1:114" ht="15" hidden="1" customHeight="1" outlineLevel="1">
      <c r="A2185" s="453"/>
      <c r="C2185" s="51"/>
      <c r="D2185" s="4295"/>
      <c r="E2185" s="4295"/>
      <c r="F2185" s="4300" t="str">
        <f>$E$1664</f>
        <v>ASHP-SEER20-Replace_CAC_ElectricHeat_ROF_MF</v>
      </c>
      <c r="G2185" s="4301"/>
      <c r="H2185" s="4301"/>
      <c r="I2185" s="4302"/>
      <c r="J2185" s="3471" t="str">
        <f>$C$1664</f>
        <v>353500_2024_12_</v>
      </c>
      <c r="K2185" s="3263">
        <v>1496</v>
      </c>
      <c r="L2185" s="3479"/>
      <c r="M2185" s="1841" t="s">
        <v>2497</v>
      </c>
      <c r="P2185" s="261"/>
      <c r="Q2185" s="261"/>
      <c r="R2185" s="261"/>
      <c r="S2185" s="52"/>
      <c r="T2185" s="181"/>
      <c r="U2185" s="52"/>
      <c r="V2185" s="4295"/>
      <c r="W2185" s="3262">
        <v>2009</v>
      </c>
      <c r="X2185" s="3265">
        <v>1496</v>
      </c>
      <c r="Y2185" s="3262">
        <v>1496</v>
      </c>
      <c r="Z2185" s="3262">
        <v>1496</v>
      </c>
      <c r="AA2185" s="3262">
        <v>1496</v>
      </c>
      <c r="AB2185" s="3262">
        <v>1496</v>
      </c>
      <c r="AC2185" s="3262">
        <v>1496</v>
      </c>
      <c r="AD2185" s="3262">
        <v>1496</v>
      </c>
      <c r="AE2185" s="3262">
        <v>1496</v>
      </c>
      <c r="AF2185" s="2236">
        <f t="shared" si="295"/>
        <v>1496</v>
      </c>
      <c r="AG2185" s="1396"/>
      <c r="DG2185" s="573"/>
      <c r="DH2185" s="159"/>
      <c r="DI2185" s="1091"/>
      <c r="DJ2185" s="1187"/>
    </row>
    <row r="2186" spans="1:114" ht="15" hidden="1" customHeight="1" outlineLevel="1">
      <c r="A2186" s="453"/>
      <c r="C2186" s="51"/>
      <c r="D2186" s="4295"/>
      <c r="E2186" s="4295"/>
      <c r="F2186" s="4300" t="str">
        <f>$E$1666</f>
        <v>ASHP-SEER20-Replace_CAC_ElectricHeat_ROF_MF_CompE</v>
      </c>
      <c r="G2186" s="4301"/>
      <c r="H2186" s="4301"/>
      <c r="I2186" s="4302"/>
      <c r="J2186" s="3471" t="str">
        <f>$C$1666</f>
        <v>353501_2024_12_</v>
      </c>
      <c r="K2186" s="3263">
        <v>510</v>
      </c>
      <c r="L2186" s="3479"/>
      <c r="M2186" s="1841" t="s">
        <v>2498</v>
      </c>
      <c r="P2186" s="261"/>
      <c r="Q2186" s="261"/>
      <c r="R2186" s="261"/>
      <c r="S2186" s="52"/>
      <c r="T2186" s="181"/>
      <c r="U2186" s="52"/>
      <c r="V2186" s="4295"/>
      <c r="W2186" s="3262"/>
      <c r="X2186" s="3265"/>
      <c r="Y2186" s="3265">
        <v>510</v>
      </c>
      <c r="Z2186" s="3262">
        <v>510</v>
      </c>
      <c r="AA2186" s="3262">
        <v>510</v>
      </c>
      <c r="AB2186" s="3262">
        <v>510</v>
      </c>
      <c r="AC2186" s="3262">
        <v>510</v>
      </c>
      <c r="AD2186" s="3262">
        <v>510</v>
      </c>
      <c r="AE2186" s="3262">
        <v>510</v>
      </c>
      <c r="AF2186" s="2236">
        <f t="shared" si="295"/>
        <v>510</v>
      </c>
      <c r="AG2186" s="1396"/>
      <c r="DG2186" s="573"/>
      <c r="DH2186" s="159"/>
      <c r="DI2186" s="1091"/>
      <c r="DJ2186" s="1187"/>
    </row>
    <row r="2187" spans="1:114" ht="15" hidden="1" customHeight="1" outlineLevel="1">
      <c r="A2187" s="453"/>
      <c r="C2187" s="51"/>
      <c r="D2187" s="4295"/>
      <c r="E2187" s="4295"/>
      <c r="F2187" s="4300" t="str">
        <f>$E$1668</f>
        <v>ASHP-SEER20-Replace_CAC_NonElectricHeat_ROF_MF</v>
      </c>
      <c r="G2187" s="4301"/>
      <c r="H2187" s="4301"/>
      <c r="I2187" s="4302"/>
      <c r="J2187" s="3471" t="str">
        <f>$C$1668</f>
        <v>353510_2024_12_</v>
      </c>
      <c r="K2187" s="3342">
        <v>1496</v>
      </c>
      <c r="L2187" s="3479"/>
      <c r="M2187" s="1841" t="s">
        <v>2497</v>
      </c>
      <c r="P2187" s="261"/>
      <c r="Q2187" s="261"/>
      <c r="R2187" s="261"/>
      <c r="S2187" s="52"/>
      <c r="T2187" s="181"/>
      <c r="U2187" s="52"/>
      <c r="V2187" s="4295"/>
      <c r="W2187" s="3262"/>
      <c r="X2187" s="3265"/>
      <c r="Y2187" s="3265"/>
      <c r="Z2187" s="3262"/>
      <c r="AA2187" s="3262"/>
      <c r="AB2187" s="3262"/>
      <c r="AC2187" s="3279">
        <v>1496</v>
      </c>
      <c r="AD2187" s="3267">
        <v>1496</v>
      </c>
      <c r="AE2187" s="3267">
        <v>1496</v>
      </c>
      <c r="AF2187" s="2236">
        <f t="shared" si="295"/>
        <v>1496</v>
      </c>
      <c r="AG2187" s="1396"/>
      <c r="DG2187" s="573"/>
      <c r="DH2187" s="159"/>
      <c r="DI2187" s="1091"/>
      <c r="DJ2187" s="1187"/>
    </row>
    <row r="2188" spans="1:114" ht="15" hidden="1" customHeight="1" outlineLevel="1">
      <c r="A2188" s="453"/>
      <c r="C2188" s="51"/>
      <c r="D2188" s="4295"/>
      <c r="E2188" s="4295"/>
      <c r="F2188" s="4300" t="str">
        <f>$E$1670</f>
        <v>ASHP-SEER20-Replace_CAC_NonElectricHeat_ROF_MF_CompE</v>
      </c>
      <c r="G2188" s="4301"/>
      <c r="H2188" s="4301"/>
      <c r="I2188" s="4302"/>
      <c r="J2188" s="3471" t="str">
        <f>$C$1670</f>
        <v>353511_2024_12_</v>
      </c>
      <c r="K2188" s="3342">
        <v>510</v>
      </c>
      <c r="L2188" s="3479"/>
      <c r="M2188" s="1841" t="s">
        <v>2498</v>
      </c>
      <c r="P2188" s="261"/>
      <c r="Q2188" s="261"/>
      <c r="R2188" s="261"/>
      <c r="S2188" s="52"/>
      <c r="T2188" s="181"/>
      <c r="U2188" s="52"/>
      <c r="V2188" s="4295"/>
      <c r="W2188" s="3262"/>
      <c r="X2188" s="3265"/>
      <c r="Y2188" s="3265"/>
      <c r="Z2188" s="3262"/>
      <c r="AA2188" s="3262"/>
      <c r="AB2188" s="3262"/>
      <c r="AC2188" s="3279">
        <v>510</v>
      </c>
      <c r="AD2188" s="3267">
        <v>510</v>
      </c>
      <c r="AE2188" s="3267">
        <v>510</v>
      </c>
      <c r="AF2188" s="2236">
        <f t="shared" si="295"/>
        <v>510</v>
      </c>
      <c r="AG2188" s="1396"/>
      <c r="DG2188" s="573"/>
      <c r="DH2188" s="159"/>
      <c r="DI2188" s="1091"/>
      <c r="DJ2188" s="1187"/>
    </row>
    <row r="2189" spans="1:114" ht="15" hidden="1" customHeight="1" outlineLevel="1">
      <c r="A2189" s="453"/>
      <c r="C2189" s="51"/>
      <c r="D2189" s="4295"/>
      <c r="E2189" s="4295"/>
      <c r="F2189" s="4297" t="str">
        <f>$E$1672</f>
        <v>ASHP-SEER21-Replace_CAC_ElectricHeat_ER1_SF</v>
      </c>
      <c r="G2189" s="4298"/>
      <c r="H2189" s="4298"/>
      <c r="I2189" s="4299"/>
      <c r="J2189" s="1029" t="str">
        <f>$C$1672</f>
        <v>353550_2024_12_</v>
      </c>
      <c r="K2189" s="1790">
        <v>1496</v>
      </c>
      <c r="L2189" s="262"/>
      <c r="M2189" s="778" t="s">
        <v>2497</v>
      </c>
      <c r="P2189" s="261"/>
      <c r="Q2189" s="261"/>
      <c r="R2189" s="261"/>
      <c r="S2189" s="52"/>
      <c r="T2189" s="181"/>
      <c r="U2189" s="52"/>
      <c r="V2189" s="4295"/>
      <c r="W2189" s="1396">
        <v>2009</v>
      </c>
      <c r="X2189" s="833">
        <v>1496</v>
      </c>
      <c r="Y2189" s="1396">
        <v>1496</v>
      </c>
      <c r="Z2189" s="1396">
        <v>1496</v>
      </c>
      <c r="AA2189" s="1396">
        <v>1496</v>
      </c>
      <c r="AB2189" s="1396">
        <v>1496</v>
      </c>
      <c r="AC2189" s="1396">
        <v>1496</v>
      </c>
      <c r="AD2189" s="1396">
        <v>1496</v>
      </c>
      <c r="AE2189" s="1396">
        <v>1496</v>
      </c>
      <c r="AF2189" s="271">
        <f t="shared" si="295"/>
        <v>1496</v>
      </c>
      <c r="AG2189" s="1396"/>
      <c r="DG2189" s="573"/>
      <c r="DH2189" s="159"/>
      <c r="DI2189" s="1091"/>
      <c r="DJ2189" s="1187"/>
    </row>
    <row r="2190" spans="1:114" ht="15" hidden="1" customHeight="1" outlineLevel="1">
      <c r="A2190" s="453"/>
      <c r="C2190" s="51"/>
      <c r="D2190" s="4295"/>
      <c r="E2190" s="4295"/>
      <c r="F2190" s="4297" t="str">
        <f>$E$1674</f>
        <v>ASHP-SEER21-Replace_CAC_ElectricHeat_ER2_SF</v>
      </c>
      <c r="G2190" s="4298"/>
      <c r="H2190" s="4298"/>
      <c r="I2190" s="4299"/>
      <c r="J2190" s="1029" t="str">
        <f>$C$1674</f>
        <v>353550_2024_12_</v>
      </c>
      <c r="K2190" s="1790">
        <v>1496</v>
      </c>
      <c r="L2190" s="262"/>
      <c r="M2190" s="778" t="s">
        <v>2497</v>
      </c>
      <c r="P2190" s="261"/>
      <c r="Q2190" s="209"/>
      <c r="R2190" s="261"/>
      <c r="S2190" s="52"/>
      <c r="T2190" s="181"/>
      <c r="U2190" s="52"/>
      <c r="V2190" s="4295"/>
      <c r="W2190" s="1396">
        <v>2009</v>
      </c>
      <c r="X2190" s="833">
        <v>1496</v>
      </c>
      <c r="Y2190" s="1396">
        <v>1496</v>
      </c>
      <c r="Z2190" s="1396">
        <v>1496</v>
      </c>
      <c r="AA2190" s="1396">
        <v>1496</v>
      </c>
      <c r="AB2190" s="1396">
        <v>1496</v>
      </c>
      <c r="AC2190" s="1396">
        <v>1496</v>
      </c>
      <c r="AD2190" s="1396">
        <v>1496</v>
      </c>
      <c r="AE2190" s="1396">
        <v>1496</v>
      </c>
      <c r="AF2190" s="271">
        <f t="shared" si="295"/>
        <v>1496</v>
      </c>
      <c r="AG2190" s="1396"/>
      <c r="DG2190" s="573"/>
      <c r="DH2190" s="159"/>
      <c r="DI2190" s="1091"/>
      <c r="DJ2190" s="1187"/>
    </row>
    <row r="2191" spans="1:114" ht="15" hidden="1" customHeight="1" outlineLevel="1">
      <c r="A2191" s="453"/>
      <c r="C2191" s="51"/>
      <c r="D2191" s="4295"/>
      <c r="E2191" s="4295"/>
      <c r="F2191" s="4297" t="str">
        <f>$E$1676</f>
        <v>ASHP-SEER21-Replace_CAC_NonElectricHeat_ER1_SF</v>
      </c>
      <c r="G2191" s="4298"/>
      <c r="H2191" s="4298"/>
      <c r="I2191" s="4299"/>
      <c r="J2191" s="1029" t="str">
        <f>$C$1676</f>
        <v>353560_2024_12_</v>
      </c>
      <c r="K2191" s="1793">
        <v>1496</v>
      </c>
      <c r="L2191" s="262"/>
      <c r="M2191" s="778" t="s">
        <v>2497</v>
      </c>
      <c r="P2191" s="261"/>
      <c r="Q2191" s="209"/>
      <c r="R2191" s="261"/>
      <c r="S2191" s="52"/>
      <c r="T2191" s="181"/>
      <c r="U2191" s="52"/>
      <c r="V2191" s="4295"/>
      <c r="W2191" s="1396"/>
      <c r="X2191" s="833"/>
      <c r="Y2191" s="1396"/>
      <c r="Z2191" s="1396"/>
      <c r="AA2191" s="1396"/>
      <c r="AB2191" s="1396"/>
      <c r="AC2191" s="825">
        <v>1496</v>
      </c>
      <c r="AD2191" s="802">
        <v>1496</v>
      </c>
      <c r="AE2191" s="802">
        <v>1496</v>
      </c>
      <c r="AF2191" s="271">
        <f t="shared" si="295"/>
        <v>1496</v>
      </c>
      <c r="AG2191" s="1396"/>
      <c r="DG2191" s="573"/>
      <c r="DH2191" s="159"/>
      <c r="DI2191" s="1091"/>
      <c r="DJ2191" s="1187"/>
    </row>
    <row r="2192" spans="1:114" ht="15" hidden="1" customHeight="1" outlineLevel="1">
      <c r="A2192" s="453"/>
      <c r="C2192" s="51"/>
      <c r="D2192" s="4295"/>
      <c r="E2192" s="4295"/>
      <c r="F2192" s="4297" t="str">
        <f>$E$1678</f>
        <v>ASHP-SEER21-Replace_CAC_NonElectricHeat_ER2_SF</v>
      </c>
      <c r="G2192" s="4298"/>
      <c r="H2192" s="4298"/>
      <c r="I2192" s="4299"/>
      <c r="J2192" s="1029" t="str">
        <f>$C$1678</f>
        <v>353560_2024_12_</v>
      </c>
      <c r="K2192" s="1793">
        <v>1496</v>
      </c>
      <c r="L2192" s="262"/>
      <c r="M2192" s="778" t="s">
        <v>2497</v>
      </c>
      <c r="P2192" s="261"/>
      <c r="Q2192" s="209"/>
      <c r="R2192" s="261"/>
      <c r="S2192" s="52"/>
      <c r="T2192" s="181"/>
      <c r="U2192" s="52"/>
      <c r="V2192" s="4295"/>
      <c r="W2192" s="1396"/>
      <c r="X2192" s="833"/>
      <c r="Y2192" s="1396"/>
      <c r="Z2192" s="1396"/>
      <c r="AA2192" s="1396"/>
      <c r="AB2192" s="1396"/>
      <c r="AC2192" s="825">
        <v>1496</v>
      </c>
      <c r="AD2192" s="802">
        <v>1496</v>
      </c>
      <c r="AE2192" s="802">
        <v>1496</v>
      </c>
      <c r="AF2192" s="271">
        <f t="shared" si="295"/>
        <v>1496</v>
      </c>
      <c r="AG2192" s="1396"/>
      <c r="DG2192" s="573"/>
      <c r="DH2192" s="159"/>
      <c r="DI2192" s="1091"/>
      <c r="DJ2192" s="1187"/>
    </row>
    <row r="2193" spans="1:114" ht="15" hidden="1" customHeight="1" outlineLevel="1">
      <c r="A2193" s="453"/>
      <c r="C2193" s="51"/>
      <c r="D2193" s="4295"/>
      <c r="E2193" s="4295"/>
      <c r="F2193" s="4297" t="str">
        <f>$E$1680</f>
        <v>ASHP-SEER21-Replace_CAC_ElectricHeat_ER1_MF</v>
      </c>
      <c r="G2193" s="4298"/>
      <c r="H2193" s="4298"/>
      <c r="I2193" s="4299"/>
      <c r="J2193" s="1029" t="str">
        <f>$C$1680</f>
        <v>353600_2024_12_</v>
      </c>
      <c r="K2193" s="1790">
        <v>1496</v>
      </c>
      <c r="L2193" s="262"/>
      <c r="M2193" s="778" t="s">
        <v>2497</v>
      </c>
      <c r="P2193" s="261"/>
      <c r="Q2193" s="209"/>
      <c r="R2193" s="261"/>
      <c r="S2193" s="52"/>
      <c r="T2193" s="181"/>
      <c r="U2193" s="52"/>
      <c r="V2193" s="4295"/>
      <c r="W2193" s="1396">
        <v>2009</v>
      </c>
      <c r="X2193" s="833">
        <v>1496</v>
      </c>
      <c r="Y2193" s="1396">
        <v>1496</v>
      </c>
      <c r="Z2193" s="1396">
        <v>1496</v>
      </c>
      <c r="AA2193" s="1396">
        <v>1496</v>
      </c>
      <c r="AB2193" s="1396">
        <v>1496</v>
      </c>
      <c r="AC2193" s="1396">
        <v>1496</v>
      </c>
      <c r="AD2193" s="1396">
        <v>1496</v>
      </c>
      <c r="AE2193" s="1396">
        <v>1496</v>
      </c>
      <c r="AF2193" s="271">
        <f t="shared" si="295"/>
        <v>1496</v>
      </c>
      <c r="AG2193" s="1396"/>
      <c r="DG2193" s="573"/>
      <c r="DH2193" s="159"/>
      <c r="DI2193" s="1091"/>
      <c r="DJ2193" s="1187"/>
    </row>
    <row r="2194" spans="1:114" ht="15" hidden="1" customHeight="1" outlineLevel="1">
      <c r="A2194" s="453"/>
      <c r="C2194" s="51"/>
      <c r="D2194" s="4295"/>
      <c r="E2194" s="4295"/>
      <c r="F2194" s="4297" t="str">
        <f>$E$1682</f>
        <v>ASHP-SEER21-Replace_CAC_ElectricHeat_ER2_MF</v>
      </c>
      <c r="G2194" s="4298"/>
      <c r="H2194" s="4298"/>
      <c r="I2194" s="4299"/>
      <c r="J2194" s="1029" t="str">
        <f>$C$1682</f>
        <v>353600_2024_12_</v>
      </c>
      <c r="K2194" s="1790">
        <v>1496</v>
      </c>
      <c r="L2194" s="262"/>
      <c r="M2194" s="778" t="s">
        <v>2497</v>
      </c>
      <c r="P2194" s="261"/>
      <c r="Q2194" s="209"/>
      <c r="R2194" s="261"/>
      <c r="S2194" s="52"/>
      <c r="T2194" s="181"/>
      <c r="U2194" s="52"/>
      <c r="V2194" s="4295"/>
      <c r="W2194" s="1396">
        <v>2009</v>
      </c>
      <c r="X2194" s="833">
        <v>1496</v>
      </c>
      <c r="Y2194" s="1396">
        <v>1496</v>
      </c>
      <c r="Z2194" s="1396">
        <v>1496</v>
      </c>
      <c r="AA2194" s="1396">
        <v>1496</v>
      </c>
      <c r="AB2194" s="1396">
        <v>1496</v>
      </c>
      <c r="AC2194" s="1396">
        <v>1496</v>
      </c>
      <c r="AD2194" s="1396">
        <v>1496</v>
      </c>
      <c r="AE2194" s="1396">
        <v>1496</v>
      </c>
      <c r="AF2194" s="271">
        <f t="shared" si="295"/>
        <v>1496</v>
      </c>
      <c r="AG2194" s="1396"/>
      <c r="DG2194" s="573"/>
      <c r="DH2194" s="159"/>
      <c r="DI2194" s="1091"/>
      <c r="DJ2194" s="1187"/>
    </row>
    <row r="2195" spans="1:114" ht="15" hidden="1" customHeight="1" outlineLevel="1">
      <c r="A2195" s="453"/>
      <c r="C2195" s="51"/>
      <c r="D2195" s="4295"/>
      <c r="E2195" s="4295"/>
      <c r="F2195" s="4300" t="str">
        <f>$E$1684</f>
        <v>ASHP-SEER21-Replace_CAC_ElectricHeat_ER1_MF_CompE</v>
      </c>
      <c r="G2195" s="4301"/>
      <c r="H2195" s="4301"/>
      <c r="I2195" s="4302"/>
      <c r="J2195" s="3471" t="str">
        <f>$C$1684</f>
        <v>353601_2024_12_</v>
      </c>
      <c r="K2195" s="3263">
        <v>510</v>
      </c>
      <c r="L2195" s="3479"/>
      <c r="M2195" s="1841" t="s">
        <v>2498</v>
      </c>
      <c r="P2195" s="261"/>
      <c r="Q2195" s="209"/>
      <c r="R2195" s="261"/>
      <c r="S2195" s="52"/>
      <c r="T2195" s="181"/>
      <c r="U2195" s="52"/>
      <c r="V2195" s="4295"/>
      <c r="W2195" s="3262"/>
      <c r="X2195" s="3265"/>
      <c r="Y2195" s="3265">
        <v>510</v>
      </c>
      <c r="Z2195" s="3262">
        <v>510</v>
      </c>
      <c r="AA2195" s="3262">
        <v>510</v>
      </c>
      <c r="AB2195" s="3262">
        <v>510</v>
      </c>
      <c r="AC2195" s="3262">
        <v>510</v>
      </c>
      <c r="AD2195" s="3262">
        <v>510</v>
      </c>
      <c r="AE2195" s="3262">
        <v>510</v>
      </c>
      <c r="AF2195" s="2236">
        <f t="shared" si="295"/>
        <v>510</v>
      </c>
      <c r="AG2195" s="1396"/>
      <c r="DG2195" s="573"/>
      <c r="DH2195" s="159"/>
      <c r="DI2195" s="1091"/>
      <c r="DJ2195" s="1187"/>
    </row>
    <row r="2196" spans="1:114" ht="15" hidden="1" customHeight="1" outlineLevel="1">
      <c r="A2196" s="453"/>
      <c r="C2196" s="51"/>
      <c r="D2196" s="4295"/>
      <c r="E2196" s="4295"/>
      <c r="F2196" s="4300" t="str">
        <f>$E$1686</f>
        <v>ASHP-SEER21-Replace_CAC_ElectricHeat_ER2_MF_CompE</v>
      </c>
      <c r="G2196" s="4301"/>
      <c r="H2196" s="4301"/>
      <c r="I2196" s="4302"/>
      <c r="J2196" s="3471" t="str">
        <f>$C$1686</f>
        <v>353601_2024_12_</v>
      </c>
      <c r="K2196" s="3263">
        <v>510</v>
      </c>
      <c r="L2196" s="3479"/>
      <c r="M2196" s="1841" t="s">
        <v>2498</v>
      </c>
      <c r="P2196" s="261"/>
      <c r="Q2196" s="209"/>
      <c r="R2196" s="261"/>
      <c r="S2196" s="52"/>
      <c r="T2196" s="181"/>
      <c r="U2196" s="52"/>
      <c r="V2196" s="4295"/>
      <c r="W2196" s="3262"/>
      <c r="X2196" s="3265"/>
      <c r="Y2196" s="3265">
        <v>510</v>
      </c>
      <c r="Z2196" s="3262">
        <v>510</v>
      </c>
      <c r="AA2196" s="3262">
        <v>510</v>
      </c>
      <c r="AB2196" s="3262">
        <v>510</v>
      </c>
      <c r="AC2196" s="3262">
        <v>510</v>
      </c>
      <c r="AD2196" s="3262">
        <v>510</v>
      </c>
      <c r="AE2196" s="3262">
        <v>510</v>
      </c>
      <c r="AF2196" s="2236">
        <f t="shared" si="295"/>
        <v>510</v>
      </c>
      <c r="AG2196" s="1396"/>
      <c r="DG2196" s="573"/>
      <c r="DH2196" s="159"/>
      <c r="DI2196" s="1091"/>
      <c r="DJ2196" s="1187"/>
    </row>
    <row r="2197" spans="1:114" ht="15" hidden="1" customHeight="1" outlineLevel="1">
      <c r="A2197" s="453"/>
      <c r="C2197" s="51"/>
      <c r="D2197" s="4295"/>
      <c r="E2197" s="4295"/>
      <c r="F2197" s="4300" t="str">
        <f>$E$1688</f>
        <v>ASHP-SEER21-Replace_CAC_NonElectricHeat_ER1_MF</v>
      </c>
      <c r="G2197" s="4301"/>
      <c r="H2197" s="4301"/>
      <c r="I2197" s="4302"/>
      <c r="J2197" s="3471" t="str">
        <f>$C$1688</f>
        <v>353610_2024_12_</v>
      </c>
      <c r="K2197" s="3342">
        <v>1496</v>
      </c>
      <c r="L2197" s="3479"/>
      <c r="M2197" s="1841" t="s">
        <v>2497</v>
      </c>
      <c r="P2197" s="261"/>
      <c r="Q2197" s="209"/>
      <c r="R2197" s="261"/>
      <c r="S2197" s="52"/>
      <c r="T2197" s="181"/>
      <c r="U2197" s="52"/>
      <c r="V2197" s="4295"/>
      <c r="W2197" s="3262"/>
      <c r="X2197" s="3265"/>
      <c r="Y2197" s="3265"/>
      <c r="Z2197" s="3262"/>
      <c r="AA2197" s="3262"/>
      <c r="AB2197" s="3262"/>
      <c r="AC2197" s="3279">
        <v>1496</v>
      </c>
      <c r="AD2197" s="3267">
        <v>1496</v>
      </c>
      <c r="AE2197" s="3267">
        <v>1496</v>
      </c>
      <c r="AF2197" s="2236">
        <f t="shared" si="295"/>
        <v>1496</v>
      </c>
      <c r="AG2197" s="1396"/>
      <c r="DG2197" s="573"/>
      <c r="DH2197" s="159"/>
      <c r="DI2197" s="1091"/>
      <c r="DJ2197" s="1187"/>
    </row>
    <row r="2198" spans="1:114" ht="15" hidden="1" customHeight="1" outlineLevel="1">
      <c r="A2198" s="453"/>
      <c r="C2198" s="51"/>
      <c r="D2198" s="4295"/>
      <c r="E2198" s="4295"/>
      <c r="F2198" s="4300" t="str">
        <f>$E$1690</f>
        <v>ASHP-SEER21-Replace_CAC_NonElectricHeat_ER2_MF</v>
      </c>
      <c r="G2198" s="4301"/>
      <c r="H2198" s="4301"/>
      <c r="I2198" s="4302"/>
      <c r="J2198" s="3471" t="str">
        <f>$C$1690</f>
        <v>353610_2024_12_</v>
      </c>
      <c r="K2198" s="3342">
        <v>1496</v>
      </c>
      <c r="L2198" s="3479"/>
      <c r="M2198" s="1841" t="s">
        <v>2497</v>
      </c>
      <c r="P2198" s="261"/>
      <c r="Q2198" s="209"/>
      <c r="R2198" s="261"/>
      <c r="S2198" s="52"/>
      <c r="T2198" s="181"/>
      <c r="U2198" s="52"/>
      <c r="V2198" s="4295"/>
      <c r="W2198" s="3262"/>
      <c r="X2198" s="3265"/>
      <c r="Y2198" s="3265"/>
      <c r="Z2198" s="3262"/>
      <c r="AA2198" s="3262"/>
      <c r="AB2198" s="3262"/>
      <c r="AC2198" s="3279">
        <v>1496</v>
      </c>
      <c r="AD2198" s="3267">
        <v>1496</v>
      </c>
      <c r="AE2198" s="3267">
        <v>1496</v>
      </c>
      <c r="AF2198" s="2236">
        <f t="shared" si="295"/>
        <v>1496</v>
      </c>
      <c r="AG2198" s="1396"/>
      <c r="DG2198" s="573"/>
      <c r="DH2198" s="159"/>
      <c r="DI2198" s="1091"/>
      <c r="DJ2198" s="1187"/>
    </row>
    <row r="2199" spans="1:114" ht="15" hidden="1" customHeight="1" outlineLevel="1">
      <c r="A2199" s="453"/>
      <c r="C2199" s="51"/>
      <c r="D2199" s="4295"/>
      <c r="E2199" s="4295"/>
      <c r="F2199" s="4300" t="str">
        <f>$E$1692</f>
        <v>ASHP-SEER21-Replace_CAC_NonElectricHeat_ER1_MF_CompE</v>
      </c>
      <c r="G2199" s="4301"/>
      <c r="H2199" s="4301"/>
      <c r="I2199" s="4302"/>
      <c r="J2199" s="3471" t="str">
        <f>$C$1692</f>
        <v>353611_2024_12_</v>
      </c>
      <c r="K2199" s="3342">
        <v>510</v>
      </c>
      <c r="L2199" s="3479"/>
      <c r="M2199" s="1841" t="s">
        <v>2498</v>
      </c>
      <c r="P2199" s="261"/>
      <c r="Q2199" s="209"/>
      <c r="R2199" s="261"/>
      <c r="S2199" s="52"/>
      <c r="T2199" s="181"/>
      <c r="U2199" s="52"/>
      <c r="V2199" s="4295"/>
      <c r="W2199" s="3262"/>
      <c r="X2199" s="3265"/>
      <c r="Y2199" s="3265"/>
      <c r="Z2199" s="3262"/>
      <c r="AA2199" s="3262"/>
      <c r="AB2199" s="3262"/>
      <c r="AC2199" s="3279">
        <v>510</v>
      </c>
      <c r="AD2199" s="3267">
        <v>510</v>
      </c>
      <c r="AE2199" s="3267">
        <v>510</v>
      </c>
      <c r="AF2199" s="2236">
        <f t="shared" si="295"/>
        <v>510</v>
      </c>
      <c r="AG2199" s="1396"/>
      <c r="DG2199" s="573"/>
      <c r="DH2199" s="159"/>
      <c r="DI2199" s="1091"/>
      <c r="DJ2199" s="1187"/>
    </row>
    <row r="2200" spans="1:114" ht="15" hidden="1" customHeight="1" outlineLevel="1">
      <c r="A2200" s="453"/>
      <c r="C2200" s="51"/>
      <c r="D2200" s="4295"/>
      <c r="E2200" s="4295"/>
      <c r="F2200" s="4300" t="str">
        <f>$E$1694</f>
        <v>ASHP-SEER21-Replace_CAC_NonElectricHeat_ER2_MF_CompE</v>
      </c>
      <c r="G2200" s="4301"/>
      <c r="H2200" s="4301"/>
      <c r="I2200" s="4302"/>
      <c r="J2200" s="3471" t="str">
        <f>$C$1694</f>
        <v>353611_2024_12_</v>
      </c>
      <c r="K2200" s="3342">
        <v>510</v>
      </c>
      <c r="L2200" s="3479"/>
      <c r="M2200" s="1841" t="s">
        <v>2498</v>
      </c>
      <c r="P2200" s="261"/>
      <c r="Q2200" s="209"/>
      <c r="R2200" s="261"/>
      <c r="S2200" s="52"/>
      <c r="T2200" s="181"/>
      <c r="U2200" s="52"/>
      <c r="V2200" s="4295"/>
      <c r="W2200" s="3262"/>
      <c r="X2200" s="3265"/>
      <c r="Y2200" s="3265"/>
      <c r="Z2200" s="3262"/>
      <c r="AA2200" s="3262"/>
      <c r="AB2200" s="3262"/>
      <c r="AC2200" s="3279">
        <v>510</v>
      </c>
      <c r="AD2200" s="3267">
        <v>510</v>
      </c>
      <c r="AE2200" s="3267">
        <v>510</v>
      </c>
      <c r="AF2200" s="2236">
        <f t="shared" si="295"/>
        <v>510</v>
      </c>
      <c r="AG2200" s="1396"/>
      <c r="DG2200" s="573"/>
      <c r="DH2200" s="159"/>
      <c r="DI2200" s="1091"/>
      <c r="DJ2200" s="1187"/>
    </row>
    <row r="2201" spans="1:114" ht="15" hidden="1" customHeight="1" outlineLevel="1">
      <c r="A2201" s="453"/>
      <c r="C2201" s="51"/>
      <c r="D2201" s="4295"/>
      <c r="E2201" s="4295"/>
      <c r="F2201" s="4297" t="str">
        <f>$E$1696</f>
        <v>ASHP-SEER21-Replace_CAC_ElectricHeat_ROF_SF</v>
      </c>
      <c r="G2201" s="4298"/>
      <c r="H2201" s="4298"/>
      <c r="I2201" s="4299"/>
      <c r="J2201" s="1029" t="str">
        <f>$C$1696</f>
        <v>353650_2024_12_</v>
      </c>
      <c r="K2201" s="1790">
        <v>1496</v>
      </c>
      <c r="L2201" s="262"/>
      <c r="M2201" s="778" t="s">
        <v>2497</v>
      </c>
      <c r="P2201" s="261"/>
      <c r="Q2201" s="209"/>
      <c r="R2201" s="261"/>
      <c r="S2201" s="52"/>
      <c r="T2201" s="181"/>
      <c r="U2201" s="52"/>
      <c r="V2201" s="4295"/>
      <c r="W2201" s="1396">
        <v>2009</v>
      </c>
      <c r="X2201" s="833">
        <v>1496</v>
      </c>
      <c r="Y2201" s="1396">
        <v>1496</v>
      </c>
      <c r="Z2201" s="1396">
        <v>1496</v>
      </c>
      <c r="AA2201" s="1396">
        <v>1496</v>
      </c>
      <c r="AB2201" s="1396">
        <v>1496</v>
      </c>
      <c r="AC2201" s="1396">
        <v>1496</v>
      </c>
      <c r="AD2201" s="1396">
        <v>1496</v>
      </c>
      <c r="AE2201" s="1396">
        <v>1496</v>
      </c>
      <c r="AF2201" s="271">
        <f t="shared" si="295"/>
        <v>1496</v>
      </c>
      <c r="AG2201" s="1396"/>
      <c r="DG2201" s="573"/>
      <c r="DH2201" s="159"/>
      <c r="DI2201" s="1091"/>
      <c r="DJ2201" s="1187"/>
    </row>
    <row r="2202" spans="1:114" ht="15" hidden="1" customHeight="1" outlineLevel="1">
      <c r="A2202" s="453"/>
      <c r="C2202" s="51"/>
      <c r="D2202" s="4295"/>
      <c r="E2202" s="4295"/>
      <c r="F2202" s="4297" t="str">
        <f>$E$1698</f>
        <v>ASHP-SEER21-Replace_CAC_NonElectricHeat_ROF_SF</v>
      </c>
      <c r="G2202" s="4298"/>
      <c r="H2202" s="4298"/>
      <c r="I2202" s="4299"/>
      <c r="J2202" s="1029" t="str">
        <f>$C$1698</f>
        <v>353660_2024_12_</v>
      </c>
      <c r="K2202" s="1790">
        <v>1496</v>
      </c>
      <c r="L2202" s="262"/>
      <c r="M2202" s="778" t="s">
        <v>2497</v>
      </c>
      <c r="P2202" s="261"/>
      <c r="Q2202" s="209"/>
      <c r="R2202" s="261"/>
      <c r="S2202" s="52"/>
      <c r="T2202" s="181"/>
      <c r="U2202" s="52"/>
      <c r="V2202" s="4295"/>
      <c r="W2202" s="1396"/>
      <c r="X2202" s="833"/>
      <c r="Y2202" s="1396"/>
      <c r="Z2202" s="1396"/>
      <c r="AA2202" s="1396"/>
      <c r="AB2202" s="1396"/>
      <c r="AC2202" s="1396"/>
      <c r="AD2202" s="833">
        <v>1496</v>
      </c>
      <c r="AE2202" s="1396">
        <v>1496</v>
      </c>
      <c r="AF2202" s="271">
        <f t="shared" si="295"/>
        <v>1496</v>
      </c>
      <c r="AG2202" s="1396"/>
      <c r="DG2202" s="573"/>
      <c r="DH2202" s="159"/>
      <c r="DI2202" s="1091"/>
      <c r="DJ2202" s="1187"/>
    </row>
    <row r="2203" spans="1:114" ht="15" hidden="1" customHeight="1" outlineLevel="1">
      <c r="A2203" s="453"/>
      <c r="C2203" s="51"/>
      <c r="D2203" s="4295"/>
      <c r="E2203" s="4295"/>
      <c r="F2203" s="4300" t="str">
        <f>$E$1700</f>
        <v>ASHP-SEER21+-Replace_CAC_ElectricHeat_ROF_MF</v>
      </c>
      <c r="G2203" s="4301"/>
      <c r="H2203" s="4301"/>
      <c r="I2203" s="4302"/>
      <c r="J2203" s="3471" t="str">
        <f>$C$1700</f>
        <v>353700_2024_12_</v>
      </c>
      <c r="K2203" s="3263">
        <v>1496</v>
      </c>
      <c r="L2203" s="3479"/>
      <c r="M2203" s="1841" t="s">
        <v>2497</v>
      </c>
      <c r="P2203" s="261"/>
      <c r="Q2203" s="209"/>
      <c r="R2203" s="261"/>
      <c r="S2203" s="52"/>
      <c r="T2203" s="181"/>
      <c r="U2203" s="52"/>
      <c r="V2203" s="4295"/>
      <c r="W2203" s="3262">
        <v>2009</v>
      </c>
      <c r="X2203" s="3265">
        <v>1496</v>
      </c>
      <c r="Y2203" s="3262">
        <v>1496</v>
      </c>
      <c r="Z2203" s="3262">
        <v>1496</v>
      </c>
      <c r="AA2203" s="3262">
        <v>1496</v>
      </c>
      <c r="AB2203" s="3262">
        <v>1496</v>
      </c>
      <c r="AC2203" s="3262">
        <v>1496</v>
      </c>
      <c r="AD2203" s="3262">
        <v>1496</v>
      </c>
      <c r="AE2203" s="3262">
        <v>1496</v>
      </c>
      <c r="AF2203" s="2236">
        <f t="shared" si="295"/>
        <v>1496</v>
      </c>
      <c r="AG2203" s="1396"/>
      <c r="DG2203" s="573"/>
      <c r="DH2203" s="159"/>
      <c r="DI2203" s="1091"/>
      <c r="DJ2203" s="1187"/>
    </row>
    <row r="2204" spans="1:114" ht="15" hidden="1" customHeight="1" outlineLevel="1">
      <c r="A2204" s="453"/>
      <c r="C2204" s="51"/>
      <c r="D2204" s="4295"/>
      <c r="E2204" s="4295"/>
      <c r="F2204" s="4300" t="str">
        <f>$E$1702</f>
        <v>ASHP-SEER21+-Replace_CAC_ElectricHeat_ROF_MF_CompE</v>
      </c>
      <c r="G2204" s="4301"/>
      <c r="H2204" s="4301"/>
      <c r="I2204" s="4302"/>
      <c r="J2204" s="3471" t="str">
        <f>$C$1702</f>
        <v>353701_2024_12_</v>
      </c>
      <c r="K2204" s="3263">
        <v>510</v>
      </c>
      <c r="L2204" s="3479"/>
      <c r="M2204" s="1841" t="s">
        <v>2498</v>
      </c>
      <c r="P2204" s="261"/>
      <c r="Q2204" s="209"/>
      <c r="R2204" s="261"/>
      <c r="S2204" s="52"/>
      <c r="T2204" s="181"/>
      <c r="U2204" s="52"/>
      <c r="V2204" s="4295"/>
      <c r="W2204" s="3262"/>
      <c r="X2204" s="3265"/>
      <c r="Y2204" s="3262">
        <v>510</v>
      </c>
      <c r="Z2204" s="3262">
        <v>510</v>
      </c>
      <c r="AA2204" s="3262">
        <v>510</v>
      </c>
      <c r="AB2204" s="3262">
        <v>510</v>
      </c>
      <c r="AC2204" s="3262">
        <v>510</v>
      </c>
      <c r="AD2204" s="3262">
        <v>510</v>
      </c>
      <c r="AE2204" s="3262">
        <v>510</v>
      </c>
      <c r="AF2204" s="2236">
        <f t="shared" si="295"/>
        <v>510</v>
      </c>
      <c r="AG2204" s="1396"/>
      <c r="DG2204" s="573"/>
      <c r="DH2204" s="159"/>
      <c r="DI2204" s="1091"/>
      <c r="DJ2204" s="1187"/>
    </row>
    <row r="2205" spans="1:114" ht="15" hidden="1" customHeight="1" outlineLevel="1">
      <c r="A2205" s="453"/>
      <c r="C2205" s="51"/>
      <c r="D2205" s="4295"/>
      <c r="E2205" s="4295"/>
      <c r="F2205" s="4300" t="str">
        <f>$E$1704</f>
        <v>ASHP-SEER21+-Replace_CAC_NonElectricHeat_ROF_MF</v>
      </c>
      <c r="G2205" s="4301"/>
      <c r="H2205" s="4301"/>
      <c r="I2205" s="4302"/>
      <c r="J2205" s="3471" t="str">
        <f>$C$1704</f>
        <v>353710_2024_12_</v>
      </c>
      <c r="K2205" s="3342">
        <v>1496</v>
      </c>
      <c r="L2205" s="3479"/>
      <c r="M2205" s="1841" t="s">
        <v>2497</v>
      </c>
      <c r="P2205" s="261"/>
      <c r="Q2205" s="209"/>
      <c r="R2205" s="261"/>
      <c r="S2205" s="52"/>
      <c r="T2205" s="181"/>
      <c r="U2205" s="52"/>
      <c r="V2205" s="4295"/>
      <c r="W2205" s="3262"/>
      <c r="X2205" s="3265"/>
      <c r="Y2205" s="3262"/>
      <c r="Z2205" s="3262"/>
      <c r="AA2205" s="3262"/>
      <c r="AB2205" s="3262"/>
      <c r="AC2205" s="3279">
        <v>1496</v>
      </c>
      <c r="AD2205" s="3267">
        <v>1496</v>
      </c>
      <c r="AE2205" s="3267">
        <v>1496</v>
      </c>
      <c r="AF2205" s="2236">
        <f t="shared" si="295"/>
        <v>1496</v>
      </c>
      <c r="AG2205" s="1396"/>
      <c r="DG2205" s="573"/>
      <c r="DH2205" s="159"/>
      <c r="DI2205" s="1091"/>
      <c r="DJ2205" s="1187"/>
    </row>
    <row r="2206" spans="1:114" ht="15" hidden="1" customHeight="1" outlineLevel="1">
      <c r="A2206" s="453"/>
      <c r="C2206" s="51"/>
      <c r="D2206" s="4295"/>
      <c r="E2206" s="4295"/>
      <c r="F2206" s="4300" t="str">
        <f>$E$1706</f>
        <v>ASHP-SEER21+-Replace_CAC_NonElectricHeat_ROF_MF_CompE</v>
      </c>
      <c r="G2206" s="4301"/>
      <c r="H2206" s="4301"/>
      <c r="I2206" s="4302"/>
      <c r="J2206" s="3471" t="str">
        <f>$C$1706</f>
        <v>353711_2024_12_</v>
      </c>
      <c r="K2206" s="3342">
        <v>510</v>
      </c>
      <c r="L2206" s="3479"/>
      <c r="M2206" s="1841" t="s">
        <v>2498</v>
      </c>
      <c r="P2206" s="261"/>
      <c r="Q2206" s="209"/>
      <c r="R2206" s="261"/>
      <c r="S2206" s="52"/>
      <c r="T2206" s="181"/>
      <c r="U2206" s="52"/>
      <c r="V2206" s="4295"/>
      <c r="W2206" s="3262"/>
      <c r="X2206" s="3265"/>
      <c r="Y2206" s="3262"/>
      <c r="Z2206" s="3262"/>
      <c r="AA2206" s="3262"/>
      <c r="AB2206" s="3262"/>
      <c r="AC2206" s="3279">
        <v>510</v>
      </c>
      <c r="AD2206" s="3267">
        <v>510</v>
      </c>
      <c r="AE2206" s="3267">
        <v>510</v>
      </c>
      <c r="AF2206" s="2236">
        <f t="shared" si="295"/>
        <v>510</v>
      </c>
      <c r="AG2206" s="1396"/>
      <c r="DG2206" s="573"/>
      <c r="DH2206" s="159"/>
      <c r="DI2206" s="1091"/>
      <c r="DJ2206" s="1187"/>
    </row>
    <row r="2207" spans="1:114" ht="15" hidden="1" customHeight="1" outlineLevel="1">
      <c r="A2207" s="453"/>
      <c r="C2207" s="51"/>
      <c r="D2207" s="4295"/>
      <c r="E2207" s="4295"/>
      <c r="F2207" s="4297" t="str">
        <f>$E$1708</f>
        <v>ASHP-SEER17_ER1_SF</v>
      </c>
      <c r="G2207" s="4298"/>
      <c r="H2207" s="4298"/>
      <c r="I2207" s="4299"/>
      <c r="J2207" s="1029" t="str">
        <f>$C$1708</f>
        <v>353750_2024_12_</v>
      </c>
      <c r="K2207" s="1790">
        <v>1496</v>
      </c>
      <c r="L2207" s="262"/>
      <c r="M2207" s="778" t="s">
        <v>2497</v>
      </c>
      <c r="P2207" s="261"/>
      <c r="Q2207" s="209"/>
      <c r="R2207" s="261"/>
      <c r="S2207" s="52"/>
      <c r="T2207" s="181"/>
      <c r="U2207" s="52"/>
      <c r="V2207" s="4295"/>
      <c r="W2207" s="1396">
        <v>2009</v>
      </c>
      <c r="X2207" s="833">
        <v>1496</v>
      </c>
      <c r="Y2207" s="1396">
        <v>1496</v>
      </c>
      <c r="Z2207" s="1396">
        <v>1496</v>
      </c>
      <c r="AA2207" s="1396">
        <v>1496</v>
      </c>
      <c r="AB2207" s="1396">
        <v>1496</v>
      </c>
      <c r="AC2207" s="1396">
        <v>1496</v>
      </c>
      <c r="AD2207" s="1396">
        <v>1496</v>
      </c>
      <c r="AE2207" s="1396">
        <v>1496</v>
      </c>
      <c r="AF2207" s="271">
        <f t="shared" si="295"/>
        <v>1496</v>
      </c>
      <c r="AG2207" s="1396"/>
      <c r="DG2207" s="573"/>
      <c r="DH2207" s="159"/>
      <c r="DI2207" s="1091"/>
      <c r="DJ2207" s="1187"/>
    </row>
    <row r="2208" spans="1:114" ht="15" hidden="1" customHeight="1" outlineLevel="1">
      <c r="A2208" s="453"/>
      <c r="C2208" s="51"/>
      <c r="D2208" s="4295"/>
      <c r="E2208" s="4295"/>
      <c r="F2208" s="4297" t="str">
        <f>$E$1710</f>
        <v>ASHP-SEER17_ER2_SF</v>
      </c>
      <c r="G2208" s="4298"/>
      <c r="H2208" s="4298"/>
      <c r="I2208" s="4299"/>
      <c r="J2208" s="1029" t="str">
        <f>$C$1710</f>
        <v>353750_2024_12_</v>
      </c>
      <c r="K2208" s="1790">
        <v>1496</v>
      </c>
      <c r="L2208" s="262"/>
      <c r="M2208" s="778" t="s">
        <v>2497</v>
      </c>
      <c r="S2208" s="52"/>
      <c r="T2208" s="52"/>
      <c r="U2208" s="52"/>
      <c r="V2208" s="4295"/>
      <c r="W2208" s="1396">
        <v>2009</v>
      </c>
      <c r="X2208" s="833">
        <v>1496</v>
      </c>
      <c r="Y2208" s="1396">
        <v>1496</v>
      </c>
      <c r="Z2208" s="1396">
        <v>1496</v>
      </c>
      <c r="AA2208" s="1396">
        <v>1496</v>
      </c>
      <c r="AB2208" s="1396">
        <v>1496</v>
      </c>
      <c r="AC2208" s="1396">
        <v>1496</v>
      </c>
      <c r="AD2208" s="1396">
        <v>1496</v>
      </c>
      <c r="AE2208" s="1396">
        <v>1496</v>
      </c>
      <c r="AF2208" s="271">
        <f t="shared" si="295"/>
        <v>1496</v>
      </c>
      <c r="AG2208" s="1396"/>
      <c r="DG2208" s="573"/>
      <c r="DH2208" s="159"/>
      <c r="DI2208" s="1091"/>
      <c r="DJ2208" s="1187"/>
    </row>
    <row r="2209" spans="1:114" ht="15" hidden="1" customHeight="1" outlineLevel="1">
      <c r="A2209" s="453"/>
      <c r="C2209" s="51"/>
      <c r="D2209" s="4295"/>
      <c r="E2209" s="4295"/>
      <c r="F2209" s="4297" t="str">
        <f>$E$1712</f>
        <v>ASHP-SEER17_ROF_SF</v>
      </c>
      <c r="G2209" s="4298"/>
      <c r="H2209" s="4298"/>
      <c r="I2209" s="4299"/>
      <c r="J2209" s="1029" t="str">
        <f>$C$1712</f>
        <v>353800_2024_12_</v>
      </c>
      <c r="K2209" s="1790">
        <v>1496</v>
      </c>
      <c r="L2209" s="262"/>
      <c r="M2209" s="778" t="s">
        <v>2497</v>
      </c>
      <c r="P2209" s="261"/>
      <c r="Q2209" s="209"/>
      <c r="R2209" s="261"/>
      <c r="S2209" s="52"/>
      <c r="T2209" s="181"/>
      <c r="U2209" s="52"/>
      <c r="V2209" s="4295"/>
      <c r="W2209" s="1396">
        <v>2009</v>
      </c>
      <c r="X2209" s="833">
        <v>1496</v>
      </c>
      <c r="Y2209" s="1396">
        <v>1496</v>
      </c>
      <c r="Z2209" s="1396">
        <v>1496</v>
      </c>
      <c r="AA2209" s="1396">
        <v>1496</v>
      </c>
      <c r="AB2209" s="1396">
        <v>1496</v>
      </c>
      <c r="AC2209" s="1396">
        <v>1496</v>
      </c>
      <c r="AD2209" s="1396">
        <v>1496</v>
      </c>
      <c r="AE2209" s="1396">
        <v>1496</v>
      </c>
      <c r="AF2209" s="271">
        <f t="shared" si="295"/>
        <v>1496</v>
      </c>
      <c r="AG2209" s="1396"/>
      <c r="DG2209" s="573"/>
      <c r="DH2209" s="159"/>
      <c r="DI2209" s="1091"/>
      <c r="DJ2209" s="1187"/>
    </row>
    <row r="2210" spans="1:114" ht="15" hidden="1" customHeight="1" outlineLevel="1">
      <c r="A2210" s="453"/>
      <c r="C2210" s="51"/>
      <c r="D2210" s="4295"/>
      <c r="E2210" s="4295"/>
      <c r="F2210" s="4297" t="str">
        <f>$E$1714</f>
        <v>ASHP-SEER18_ER1_SF</v>
      </c>
      <c r="G2210" s="4298"/>
      <c r="H2210" s="4298"/>
      <c r="I2210" s="4299"/>
      <c r="J2210" s="1029" t="str">
        <f>$C$1714</f>
        <v>353850_2024_12_</v>
      </c>
      <c r="K2210" s="1790">
        <v>1496</v>
      </c>
      <c r="L2210" s="262"/>
      <c r="M2210" s="778" t="s">
        <v>2497</v>
      </c>
      <c r="S2210" s="52"/>
      <c r="T2210" s="52"/>
      <c r="U2210" s="52"/>
      <c r="V2210" s="4295"/>
      <c r="W2210" s="1396">
        <v>2009</v>
      </c>
      <c r="X2210" s="833">
        <v>1496</v>
      </c>
      <c r="Y2210" s="1396">
        <v>1496</v>
      </c>
      <c r="Z2210" s="1396">
        <v>1496</v>
      </c>
      <c r="AA2210" s="1396">
        <v>1496</v>
      </c>
      <c r="AB2210" s="1396">
        <v>1496</v>
      </c>
      <c r="AC2210" s="1396">
        <v>1496</v>
      </c>
      <c r="AD2210" s="1396">
        <v>1496</v>
      </c>
      <c r="AE2210" s="1396">
        <v>1496</v>
      </c>
      <c r="AF2210" s="271">
        <f t="shared" si="295"/>
        <v>1496</v>
      </c>
      <c r="AG2210" s="1396"/>
      <c r="DG2210" s="573"/>
      <c r="DH2210" s="159"/>
      <c r="DI2210" s="1091"/>
      <c r="DJ2210" s="1187"/>
    </row>
    <row r="2211" spans="1:114" ht="15" hidden="1" customHeight="1" outlineLevel="1">
      <c r="A2211" s="453"/>
      <c r="C2211" s="51"/>
      <c r="D2211" s="4295"/>
      <c r="E2211" s="4295"/>
      <c r="F2211" s="4297" t="str">
        <f>$E$1716</f>
        <v>ASHP-SEER18_ER2_SF</v>
      </c>
      <c r="G2211" s="4298"/>
      <c r="H2211" s="4298"/>
      <c r="I2211" s="4299"/>
      <c r="J2211" s="1029" t="str">
        <f>$C$1716</f>
        <v>353850_2024_12_</v>
      </c>
      <c r="K2211" s="1790">
        <v>1496</v>
      </c>
      <c r="L2211" s="262"/>
      <c r="M2211" s="778" t="s">
        <v>2497</v>
      </c>
      <c r="P2211" s="261"/>
      <c r="Q2211" s="209"/>
      <c r="R2211" s="261"/>
      <c r="S2211" s="52"/>
      <c r="T2211" s="181"/>
      <c r="U2211" s="52"/>
      <c r="V2211" s="4295"/>
      <c r="W2211" s="1396">
        <v>2009</v>
      </c>
      <c r="X2211" s="833">
        <v>1496</v>
      </c>
      <c r="Y2211" s="1396">
        <v>1496</v>
      </c>
      <c r="Z2211" s="1396">
        <v>1496</v>
      </c>
      <c r="AA2211" s="1396">
        <v>1496</v>
      </c>
      <c r="AB2211" s="1396">
        <v>1496</v>
      </c>
      <c r="AC2211" s="1396">
        <v>1496</v>
      </c>
      <c r="AD2211" s="1396">
        <v>1496</v>
      </c>
      <c r="AE2211" s="1396">
        <v>1496</v>
      </c>
      <c r="AF2211" s="271">
        <f t="shared" si="295"/>
        <v>1496</v>
      </c>
      <c r="AG2211" s="1396"/>
      <c r="DG2211" s="573"/>
      <c r="DH2211" s="159"/>
      <c r="DI2211" s="1091"/>
      <c r="DJ2211" s="1187"/>
    </row>
    <row r="2212" spans="1:114" ht="15" hidden="1" customHeight="1" outlineLevel="1">
      <c r="A2212" s="453"/>
      <c r="C2212" s="51"/>
      <c r="D2212" s="4295"/>
      <c r="E2212" s="4295"/>
      <c r="F2212" s="4297" t="str">
        <f>$E$1718</f>
        <v>ASHP-SEER18_ROF_SF</v>
      </c>
      <c r="G2212" s="4298"/>
      <c r="H2212" s="4298"/>
      <c r="I2212" s="4299"/>
      <c r="J2212" s="1029" t="str">
        <f>$C$1718</f>
        <v>353950_2024_12_</v>
      </c>
      <c r="K2212" s="1790">
        <v>1496</v>
      </c>
      <c r="L2212" s="262"/>
      <c r="M2212" s="778" t="s">
        <v>2497</v>
      </c>
      <c r="S2212" s="52"/>
      <c r="T2212" s="52"/>
      <c r="U2212" s="52"/>
      <c r="V2212" s="4295"/>
      <c r="W2212" s="1396">
        <v>2009</v>
      </c>
      <c r="X2212" s="833">
        <v>1496</v>
      </c>
      <c r="Y2212" s="1396">
        <v>1496</v>
      </c>
      <c r="Z2212" s="1396">
        <v>1496</v>
      </c>
      <c r="AA2212" s="1396">
        <v>1496</v>
      </c>
      <c r="AB2212" s="1396">
        <v>1496</v>
      </c>
      <c r="AC2212" s="1396">
        <v>1496</v>
      </c>
      <c r="AD2212" s="1396">
        <v>1496</v>
      </c>
      <c r="AE2212" s="1396">
        <v>1496</v>
      </c>
      <c r="AF2212" s="271">
        <f t="shared" si="295"/>
        <v>1496</v>
      </c>
      <c r="AG2212" s="1396"/>
      <c r="DG2212" s="573"/>
      <c r="DH2212" s="159"/>
      <c r="DI2212" s="1091"/>
      <c r="DJ2212" s="1187"/>
    </row>
    <row r="2213" spans="1:114" ht="15" hidden="1" customHeight="1" outlineLevel="1">
      <c r="A2213" s="453"/>
      <c r="C2213" s="51"/>
      <c r="D2213" s="4295"/>
      <c r="E2213" s="4295"/>
      <c r="F2213" s="4297" t="str">
        <f>$E$1720</f>
        <v>ASHP-SEER19_ER1_SF</v>
      </c>
      <c r="G2213" s="4298"/>
      <c r="H2213" s="4298"/>
      <c r="I2213" s="4299"/>
      <c r="J2213" s="1029" t="str">
        <f>$C$1720</f>
        <v>354000_2024_12_</v>
      </c>
      <c r="K2213" s="1790">
        <v>1496</v>
      </c>
      <c r="L2213" s="262"/>
      <c r="M2213" s="778" t="s">
        <v>2497</v>
      </c>
      <c r="P2213" s="261"/>
      <c r="Q2213" s="209"/>
      <c r="R2213" s="261"/>
      <c r="S2213" s="52"/>
      <c r="T2213" s="181"/>
      <c r="U2213" s="52"/>
      <c r="V2213" s="4295"/>
      <c r="W2213" s="1396">
        <v>2009</v>
      </c>
      <c r="X2213" s="833">
        <v>1496</v>
      </c>
      <c r="Y2213" s="1396">
        <v>1496</v>
      </c>
      <c r="Z2213" s="1396">
        <v>1496</v>
      </c>
      <c r="AA2213" s="1396">
        <v>1496</v>
      </c>
      <c r="AB2213" s="1396">
        <v>1496</v>
      </c>
      <c r="AC2213" s="1396">
        <v>1496</v>
      </c>
      <c r="AD2213" s="1396">
        <v>1496</v>
      </c>
      <c r="AE2213" s="1396">
        <v>1496</v>
      </c>
      <c r="AF2213" s="271">
        <f t="shared" si="295"/>
        <v>1496</v>
      </c>
      <c r="AG2213" s="1396"/>
      <c r="DG2213" s="573"/>
      <c r="DH2213" s="159"/>
      <c r="DI2213" s="1091"/>
      <c r="DJ2213" s="1187"/>
    </row>
    <row r="2214" spans="1:114" ht="15" hidden="1" customHeight="1" outlineLevel="1">
      <c r="A2214" s="453"/>
      <c r="C2214" s="51"/>
      <c r="D2214" s="4295"/>
      <c r="E2214" s="4295"/>
      <c r="F2214" s="4297" t="str">
        <f>$E$1722</f>
        <v>ASHP-SEER19_ER2_SF</v>
      </c>
      <c r="G2214" s="4298"/>
      <c r="H2214" s="4298"/>
      <c r="I2214" s="4299"/>
      <c r="J2214" s="1029" t="str">
        <f>$C$1722</f>
        <v>354000_2024_12_</v>
      </c>
      <c r="K2214" s="1790">
        <v>1496</v>
      </c>
      <c r="L2214" s="262"/>
      <c r="M2214" s="778" t="s">
        <v>2497</v>
      </c>
      <c r="P2214" s="261"/>
      <c r="Q2214" s="209"/>
      <c r="R2214" s="261"/>
      <c r="S2214" s="52"/>
      <c r="T2214" s="181"/>
      <c r="U2214" s="52"/>
      <c r="V2214" s="4295"/>
      <c r="W2214" s="1396">
        <v>2009</v>
      </c>
      <c r="X2214" s="833">
        <v>1496</v>
      </c>
      <c r="Y2214" s="1396">
        <v>1496</v>
      </c>
      <c r="Z2214" s="1396">
        <v>1496</v>
      </c>
      <c r="AA2214" s="1396">
        <v>1496</v>
      </c>
      <c r="AB2214" s="1396">
        <v>1496</v>
      </c>
      <c r="AC2214" s="1396">
        <v>1496</v>
      </c>
      <c r="AD2214" s="1396">
        <v>1496</v>
      </c>
      <c r="AE2214" s="1396">
        <v>1496</v>
      </c>
      <c r="AF2214" s="271">
        <f t="shared" si="295"/>
        <v>1496</v>
      </c>
      <c r="AG2214" s="1396"/>
      <c r="DG2214" s="573"/>
      <c r="DH2214" s="159"/>
      <c r="DI2214" s="1091"/>
      <c r="DJ2214" s="1187"/>
    </row>
    <row r="2215" spans="1:114" ht="15" hidden="1" customHeight="1" outlineLevel="1">
      <c r="A2215" s="453"/>
      <c r="C2215" s="51"/>
      <c r="D2215" s="4295"/>
      <c r="E2215" s="4295"/>
      <c r="F2215" s="4297" t="str">
        <f>$E$1724</f>
        <v>ASHP-SEER19_ROF_SF</v>
      </c>
      <c r="G2215" s="4298"/>
      <c r="H2215" s="4298"/>
      <c r="I2215" s="4299"/>
      <c r="J2215" s="1029" t="str">
        <f>$C$1724</f>
        <v>354050_2024_12_</v>
      </c>
      <c r="K2215" s="1790">
        <v>1496</v>
      </c>
      <c r="L2215" s="262"/>
      <c r="M2215" s="778" t="s">
        <v>2497</v>
      </c>
      <c r="S2215" s="52"/>
      <c r="T2215" s="52"/>
      <c r="U2215" s="52"/>
      <c r="V2215" s="4295"/>
      <c r="W2215" s="1396">
        <v>2009</v>
      </c>
      <c r="X2215" s="833">
        <v>1496</v>
      </c>
      <c r="Y2215" s="1396">
        <v>1496</v>
      </c>
      <c r="Z2215" s="1396">
        <v>1496</v>
      </c>
      <c r="AA2215" s="1396">
        <v>1496</v>
      </c>
      <c r="AB2215" s="1396">
        <v>1496</v>
      </c>
      <c r="AC2215" s="1396">
        <v>1496</v>
      </c>
      <c r="AD2215" s="1396">
        <v>1496</v>
      </c>
      <c r="AE2215" s="1396">
        <v>1496</v>
      </c>
      <c r="AF2215" s="271">
        <f t="shared" si="295"/>
        <v>1496</v>
      </c>
      <c r="AG2215" s="1396"/>
      <c r="DG2215" s="573"/>
      <c r="DH2215" s="159"/>
      <c r="DI2215" s="1091"/>
      <c r="DJ2215" s="1187"/>
    </row>
    <row r="2216" spans="1:114" ht="15" hidden="1" customHeight="1" outlineLevel="1">
      <c r="A2216" s="453"/>
      <c r="C2216" s="51"/>
      <c r="D2216" s="4295"/>
      <c r="E2216" s="4295"/>
      <c r="F2216" s="4297" t="str">
        <f>$E$1726</f>
        <v>ASHP-SEER17-Replace_CAC_ElectricHeat_ER1_SF</v>
      </c>
      <c r="G2216" s="4298"/>
      <c r="H2216" s="4298"/>
      <c r="I2216" s="4299"/>
      <c r="J2216" s="1029" t="str">
        <f>$C$1726</f>
        <v>354100_2024_12_</v>
      </c>
      <c r="K2216" s="1790">
        <v>1496</v>
      </c>
      <c r="L2216" s="262"/>
      <c r="M2216" s="778" t="s">
        <v>2497</v>
      </c>
      <c r="S2216" s="52"/>
      <c r="T2216" s="52"/>
      <c r="U2216" s="52"/>
      <c r="V2216" s="4295"/>
      <c r="W2216" s="1396">
        <v>2009</v>
      </c>
      <c r="X2216" s="833">
        <v>1496</v>
      </c>
      <c r="Y2216" s="1396">
        <v>1496</v>
      </c>
      <c r="Z2216" s="1396">
        <v>1496</v>
      </c>
      <c r="AA2216" s="1396">
        <v>1496</v>
      </c>
      <c r="AB2216" s="1396">
        <v>1496</v>
      </c>
      <c r="AC2216" s="1396">
        <v>1496</v>
      </c>
      <c r="AD2216" s="1396">
        <v>1496</v>
      </c>
      <c r="AE2216" s="1396">
        <v>1496</v>
      </c>
      <c r="AF2216" s="271">
        <f t="shared" si="295"/>
        <v>1496</v>
      </c>
      <c r="AG2216" s="1396"/>
      <c r="DG2216" s="573"/>
      <c r="DH2216" s="159"/>
      <c r="DI2216" s="1091"/>
      <c r="DJ2216" s="1187"/>
    </row>
    <row r="2217" spans="1:114" ht="15" hidden="1" customHeight="1" outlineLevel="1">
      <c r="A2217" s="453"/>
      <c r="C2217" s="51"/>
      <c r="D2217" s="4295"/>
      <c r="E2217" s="4295"/>
      <c r="F2217" s="4297" t="str">
        <f>$E$1728</f>
        <v>ASHP-SEER17-Replace_CAC_ElectricHeat_ER2_SF</v>
      </c>
      <c r="G2217" s="4298"/>
      <c r="H2217" s="4298"/>
      <c r="I2217" s="4299"/>
      <c r="J2217" s="1029" t="str">
        <f>$C$1728</f>
        <v>354100_2024_12_</v>
      </c>
      <c r="K2217" s="1790">
        <v>1496</v>
      </c>
      <c r="L2217" s="262"/>
      <c r="M2217" s="778" t="s">
        <v>2497</v>
      </c>
      <c r="S2217" s="52"/>
      <c r="T2217" s="52"/>
      <c r="U2217" s="52"/>
      <c r="V2217" s="4295"/>
      <c r="W2217" s="1396">
        <v>2009</v>
      </c>
      <c r="X2217" s="833">
        <v>1496</v>
      </c>
      <c r="Y2217" s="1396">
        <v>1496</v>
      </c>
      <c r="Z2217" s="1396">
        <v>1496</v>
      </c>
      <c r="AA2217" s="1396">
        <v>1496</v>
      </c>
      <c r="AB2217" s="1396">
        <v>1496</v>
      </c>
      <c r="AC2217" s="1396">
        <v>1496</v>
      </c>
      <c r="AD2217" s="1396">
        <v>1496</v>
      </c>
      <c r="AE2217" s="1396">
        <v>1496</v>
      </c>
      <c r="AF2217" s="271">
        <f t="shared" si="295"/>
        <v>1496</v>
      </c>
      <c r="AG2217" s="1396"/>
      <c r="DG2217" s="573"/>
      <c r="DH2217" s="159"/>
      <c r="DI2217" s="1091"/>
      <c r="DJ2217" s="1187"/>
    </row>
    <row r="2218" spans="1:114" ht="15" hidden="1" customHeight="1" outlineLevel="1">
      <c r="A2218" s="453"/>
      <c r="C2218" s="51"/>
      <c r="D2218" s="4295"/>
      <c r="E2218" s="4295"/>
      <c r="F2218" s="4297" t="str">
        <f>$E$1730</f>
        <v>ASHP-SEER17-Replace_CAC_NonElectricHeat_ER1_SF</v>
      </c>
      <c r="G2218" s="4298"/>
      <c r="H2218" s="4298"/>
      <c r="I2218" s="4299"/>
      <c r="J2218" s="1029" t="str">
        <f>$C$1730</f>
        <v>354110_2024_12_</v>
      </c>
      <c r="K2218" s="1793">
        <v>1496</v>
      </c>
      <c r="L2218" s="262"/>
      <c r="M2218" s="778" t="s">
        <v>2497</v>
      </c>
      <c r="S2218" s="52"/>
      <c r="T2218" s="52"/>
      <c r="U2218" s="52"/>
      <c r="V2218" s="4295"/>
      <c r="W2218" s="1396"/>
      <c r="X2218" s="833"/>
      <c r="Y2218" s="1396"/>
      <c r="Z2218" s="1396"/>
      <c r="AA2218" s="1396"/>
      <c r="AB2218" s="1396"/>
      <c r="AC2218" s="825">
        <v>1496</v>
      </c>
      <c r="AD2218" s="802">
        <v>1496</v>
      </c>
      <c r="AE2218" s="802">
        <v>1496</v>
      </c>
      <c r="AF2218" s="271">
        <f t="shared" si="295"/>
        <v>1496</v>
      </c>
      <c r="AG2218" s="1396"/>
      <c r="DG2218" s="573"/>
      <c r="DH2218" s="159"/>
      <c r="DI2218" s="1091"/>
      <c r="DJ2218" s="1187"/>
    </row>
    <row r="2219" spans="1:114" ht="15" hidden="1" customHeight="1" outlineLevel="1">
      <c r="A2219" s="453"/>
      <c r="C2219" s="51"/>
      <c r="D2219" s="4295"/>
      <c r="E2219" s="4295"/>
      <c r="F2219" s="4297" t="str">
        <f>$E$1732</f>
        <v>ASHP-SEER17-Replace_CAC_NonElectricHeat_ER2_SF</v>
      </c>
      <c r="G2219" s="4298"/>
      <c r="H2219" s="4298"/>
      <c r="I2219" s="4299"/>
      <c r="J2219" s="1029" t="str">
        <f>$C$1732</f>
        <v>354110_2024_12_</v>
      </c>
      <c r="K2219" s="1793">
        <v>1496</v>
      </c>
      <c r="L2219" s="262"/>
      <c r="M2219" s="778" t="s">
        <v>2497</v>
      </c>
      <c r="S2219" s="52"/>
      <c r="T2219" s="52"/>
      <c r="U2219" s="52"/>
      <c r="V2219" s="4295"/>
      <c r="W2219" s="1396"/>
      <c r="X2219" s="833"/>
      <c r="Y2219" s="1396"/>
      <c r="Z2219" s="1396"/>
      <c r="AA2219" s="1396"/>
      <c r="AB2219" s="1396"/>
      <c r="AC2219" s="825">
        <v>1496</v>
      </c>
      <c r="AD2219" s="802">
        <v>1496</v>
      </c>
      <c r="AE2219" s="802">
        <v>1496</v>
      </c>
      <c r="AF2219" s="271">
        <f t="shared" si="295"/>
        <v>1496</v>
      </c>
      <c r="AG2219" s="1396"/>
      <c r="DG2219" s="573"/>
      <c r="DH2219" s="159"/>
      <c r="DI2219" s="1091"/>
      <c r="DJ2219" s="1187"/>
    </row>
    <row r="2220" spans="1:114" ht="15" hidden="1" customHeight="1" outlineLevel="1">
      <c r="A2220" s="453"/>
      <c r="C2220" s="51"/>
      <c r="D2220" s="4295"/>
      <c r="E2220" s="4295"/>
      <c r="F2220" s="4297" t="str">
        <f>$E$1734</f>
        <v>ASHP-SEER17-Replace_CAC_ElectricHeat_ER1_MF</v>
      </c>
      <c r="G2220" s="4298"/>
      <c r="H2220" s="4298"/>
      <c r="I2220" s="4299"/>
      <c r="J2220" s="1029" t="str">
        <f>$C$1734</f>
        <v>354150_2024_12_</v>
      </c>
      <c r="K2220" s="1790">
        <v>1496</v>
      </c>
      <c r="L2220" s="262"/>
      <c r="M2220" s="778" t="s">
        <v>2497</v>
      </c>
      <c r="S2220" s="52"/>
      <c r="T2220" s="52"/>
      <c r="U2220" s="52"/>
      <c r="V2220" s="4295"/>
      <c r="W2220" s="1396">
        <v>2009</v>
      </c>
      <c r="X2220" s="833">
        <v>1496</v>
      </c>
      <c r="Y2220" s="1396">
        <v>1496</v>
      </c>
      <c r="Z2220" s="1396">
        <v>1496</v>
      </c>
      <c r="AA2220" s="1396">
        <v>1496</v>
      </c>
      <c r="AB2220" s="1396">
        <v>1496</v>
      </c>
      <c r="AC2220" s="1396">
        <v>1496</v>
      </c>
      <c r="AD2220" s="1396">
        <v>1496</v>
      </c>
      <c r="AE2220" s="1396">
        <v>1496</v>
      </c>
      <c r="AF2220" s="271">
        <f t="shared" si="295"/>
        <v>1496</v>
      </c>
      <c r="AG2220" s="1396"/>
      <c r="DG2220" s="573"/>
      <c r="DH2220" s="159"/>
      <c r="DI2220" s="1091"/>
      <c r="DJ2220" s="1187"/>
    </row>
    <row r="2221" spans="1:114" ht="15" hidden="1" customHeight="1" outlineLevel="1">
      <c r="A2221" s="453"/>
      <c r="C2221" s="51"/>
      <c r="D2221" s="4295"/>
      <c r="E2221" s="4295"/>
      <c r="F2221" s="4297" t="str">
        <f>$E$1736</f>
        <v>ASHP-SEER17-Replace_CAC_ElectricHeat_ER2_MF</v>
      </c>
      <c r="G2221" s="4298"/>
      <c r="H2221" s="4298"/>
      <c r="I2221" s="4299"/>
      <c r="J2221" s="1029" t="str">
        <f>$C$1736</f>
        <v>354150_2024_12_</v>
      </c>
      <c r="K2221" s="1790">
        <v>1496</v>
      </c>
      <c r="L2221" s="262"/>
      <c r="M2221" s="778" t="s">
        <v>2497</v>
      </c>
      <c r="S2221" s="52"/>
      <c r="T2221" s="52"/>
      <c r="U2221" s="52"/>
      <c r="V2221" s="4295"/>
      <c r="W2221" s="1396">
        <v>2009</v>
      </c>
      <c r="X2221" s="833">
        <v>1496</v>
      </c>
      <c r="Y2221" s="1396">
        <v>1496</v>
      </c>
      <c r="Z2221" s="1396">
        <v>1496</v>
      </c>
      <c r="AA2221" s="1396">
        <v>1496</v>
      </c>
      <c r="AB2221" s="1396">
        <v>1496</v>
      </c>
      <c r="AC2221" s="1396">
        <v>1496</v>
      </c>
      <c r="AD2221" s="1396">
        <v>1496</v>
      </c>
      <c r="AE2221" s="1396">
        <v>1496</v>
      </c>
      <c r="AF2221" s="271">
        <f t="shared" si="295"/>
        <v>1496</v>
      </c>
      <c r="AG2221" s="1396"/>
      <c r="DG2221" s="573"/>
      <c r="DH2221" s="159"/>
      <c r="DI2221" s="1091"/>
      <c r="DJ2221" s="1187"/>
    </row>
    <row r="2222" spans="1:114" ht="15" hidden="1" customHeight="1" outlineLevel="1">
      <c r="A2222" s="453"/>
      <c r="C2222" s="51"/>
      <c r="D2222" s="4295"/>
      <c r="E2222" s="4295"/>
      <c r="F2222" s="4300" t="str">
        <f>$E$1738</f>
        <v>ASHP-SEER17-Replace_CAC_ElectricHeat_ER1_MF_CompE</v>
      </c>
      <c r="G2222" s="4301"/>
      <c r="H2222" s="4301"/>
      <c r="I2222" s="4302"/>
      <c r="J2222" s="3471" t="str">
        <f>$C$1738</f>
        <v>354151_2024_12_</v>
      </c>
      <c r="K2222" s="3263">
        <v>510</v>
      </c>
      <c r="L2222" s="3479"/>
      <c r="M2222" s="1841" t="s">
        <v>2498</v>
      </c>
      <c r="S2222" s="52"/>
      <c r="T2222" s="52"/>
      <c r="U2222" s="52"/>
      <c r="V2222" s="4295"/>
      <c r="W2222" s="3262"/>
      <c r="X2222" s="3265"/>
      <c r="Y2222" s="3265">
        <v>510</v>
      </c>
      <c r="Z2222" s="3262">
        <v>510</v>
      </c>
      <c r="AA2222" s="3262">
        <v>510</v>
      </c>
      <c r="AB2222" s="3262">
        <v>510</v>
      </c>
      <c r="AC2222" s="3262">
        <v>510</v>
      </c>
      <c r="AD2222" s="3262">
        <v>510</v>
      </c>
      <c r="AE2222" s="3262">
        <v>510</v>
      </c>
      <c r="AF2222" s="2236">
        <f t="shared" si="295"/>
        <v>510</v>
      </c>
      <c r="AG2222" s="1396"/>
      <c r="DG2222" s="573"/>
      <c r="DH2222" s="159"/>
      <c r="DI2222" s="1091"/>
      <c r="DJ2222" s="1187"/>
    </row>
    <row r="2223" spans="1:114" ht="15" hidden="1" customHeight="1" outlineLevel="1">
      <c r="A2223" s="453"/>
      <c r="C2223" s="51"/>
      <c r="D2223" s="4295"/>
      <c r="E2223" s="4295"/>
      <c r="F2223" s="4300" t="str">
        <f>$E$1740</f>
        <v>ASHP-SEER17-Replace_CAC_ElectricHeat_ER2_MF_CompE</v>
      </c>
      <c r="G2223" s="4301"/>
      <c r="H2223" s="4301"/>
      <c r="I2223" s="4302"/>
      <c r="J2223" s="3471" t="str">
        <f>$C$1740</f>
        <v>354151_2024_12_</v>
      </c>
      <c r="K2223" s="3263">
        <v>510</v>
      </c>
      <c r="L2223" s="3479"/>
      <c r="M2223" s="1841" t="s">
        <v>2498</v>
      </c>
      <c r="S2223" s="52"/>
      <c r="T2223" s="52"/>
      <c r="U2223" s="52"/>
      <c r="V2223" s="4295"/>
      <c r="W2223" s="3262"/>
      <c r="X2223" s="3265"/>
      <c r="Y2223" s="3265">
        <v>510</v>
      </c>
      <c r="Z2223" s="3262">
        <v>510</v>
      </c>
      <c r="AA2223" s="3262">
        <v>510</v>
      </c>
      <c r="AB2223" s="3262">
        <v>510</v>
      </c>
      <c r="AC2223" s="3262">
        <v>510</v>
      </c>
      <c r="AD2223" s="3262">
        <v>510</v>
      </c>
      <c r="AE2223" s="3262">
        <v>510</v>
      </c>
      <c r="AF2223" s="2236">
        <f t="shared" si="295"/>
        <v>510</v>
      </c>
      <c r="AG2223" s="1396"/>
      <c r="DG2223" s="573"/>
      <c r="DH2223" s="159"/>
      <c r="DI2223" s="1091"/>
      <c r="DJ2223" s="1187"/>
    </row>
    <row r="2224" spans="1:114" ht="15" hidden="1" customHeight="1" outlineLevel="1">
      <c r="A2224" s="453"/>
      <c r="C2224" s="51"/>
      <c r="D2224" s="4295"/>
      <c r="E2224" s="4295"/>
      <c r="F2224" s="4300" t="str">
        <f>$E$1742</f>
        <v>ASHP-SEER17-Replace_CAC_NonElectricHeat_ER1_MF</v>
      </c>
      <c r="G2224" s="4301"/>
      <c r="H2224" s="4301"/>
      <c r="I2224" s="4302"/>
      <c r="J2224" s="3471" t="str">
        <f>$C$1742</f>
        <v>354160_2024_12_</v>
      </c>
      <c r="K2224" s="3342">
        <v>1496</v>
      </c>
      <c r="L2224" s="3479"/>
      <c r="M2224" s="1841" t="s">
        <v>2497</v>
      </c>
      <c r="S2224" s="52"/>
      <c r="T2224" s="52"/>
      <c r="U2224" s="52"/>
      <c r="V2224" s="4295"/>
      <c r="W2224" s="3262"/>
      <c r="X2224" s="3265"/>
      <c r="Y2224" s="3265"/>
      <c r="Z2224" s="3262"/>
      <c r="AA2224" s="3262"/>
      <c r="AB2224" s="3262"/>
      <c r="AC2224" s="3279">
        <v>1496</v>
      </c>
      <c r="AD2224" s="3267">
        <v>1496</v>
      </c>
      <c r="AE2224" s="3267">
        <v>1496</v>
      </c>
      <c r="AF2224" s="2236">
        <f t="shared" si="295"/>
        <v>1496</v>
      </c>
      <c r="AG2224" s="1396"/>
      <c r="DG2224" s="573"/>
      <c r="DH2224" s="159"/>
      <c r="DI2224" s="1091"/>
      <c r="DJ2224" s="1187"/>
    </row>
    <row r="2225" spans="1:114" ht="15" hidden="1" customHeight="1" outlineLevel="1">
      <c r="A2225" s="453"/>
      <c r="C2225" s="51"/>
      <c r="D2225" s="4295"/>
      <c r="E2225" s="4295"/>
      <c r="F2225" s="4300" t="str">
        <f>$E$1744</f>
        <v>ASHP-SEER17-Replace_CAC_NonElectricHeat_ER2_MF</v>
      </c>
      <c r="G2225" s="4301"/>
      <c r="H2225" s="4301"/>
      <c r="I2225" s="4302"/>
      <c r="J2225" s="3471" t="str">
        <f>$C$1744</f>
        <v>354160_2024_12_</v>
      </c>
      <c r="K2225" s="3342">
        <v>1496</v>
      </c>
      <c r="L2225" s="3479"/>
      <c r="M2225" s="1841" t="s">
        <v>2497</v>
      </c>
      <c r="S2225" s="52"/>
      <c r="T2225" s="52"/>
      <c r="U2225" s="52"/>
      <c r="V2225" s="4295"/>
      <c r="W2225" s="3262"/>
      <c r="X2225" s="3265"/>
      <c r="Y2225" s="3265"/>
      <c r="Z2225" s="3262"/>
      <c r="AA2225" s="3262"/>
      <c r="AB2225" s="3262"/>
      <c r="AC2225" s="3279">
        <v>1496</v>
      </c>
      <c r="AD2225" s="3267">
        <v>1496</v>
      </c>
      <c r="AE2225" s="3267">
        <v>1496</v>
      </c>
      <c r="AF2225" s="2236">
        <f t="shared" si="295"/>
        <v>1496</v>
      </c>
      <c r="AG2225" s="1396"/>
      <c r="DG2225" s="573"/>
      <c r="DH2225" s="159"/>
      <c r="DI2225" s="1091"/>
      <c r="DJ2225" s="1187"/>
    </row>
    <row r="2226" spans="1:114" ht="15" hidden="1" customHeight="1" outlineLevel="1">
      <c r="A2226" s="453"/>
      <c r="C2226" s="51"/>
      <c r="D2226" s="4295"/>
      <c r="E2226" s="4295"/>
      <c r="F2226" s="4300" t="str">
        <f>$E$1746</f>
        <v>ASHP-SEER17-Replace_CAC_NonElectricHeat_ER1_MF_CompE</v>
      </c>
      <c r="G2226" s="4301"/>
      <c r="H2226" s="4301"/>
      <c r="I2226" s="4302"/>
      <c r="J2226" s="3471" t="str">
        <f>$C$1746</f>
        <v>354161_2024_12_</v>
      </c>
      <c r="K2226" s="3342">
        <v>510</v>
      </c>
      <c r="L2226" s="3479"/>
      <c r="M2226" s="1841" t="s">
        <v>2498</v>
      </c>
      <c r="S2226" s="52"/>
      <c r="T2226" s="52"/>
      <c r="U2226" s="52"/>
      <c r="V2226" s="4295"/>
      <c r="W2226" s="3262"/>
      <c r="X2226" s="3265"/>
      <c r="Y2226" s="3265"/>
      <c r="Z2226" s="3262"/>
      <c r="AA2226" s="3262"/>
      <c r="AB2226" s="3262"/>
      <c r="AC2226" s="3279">
        <v>510</v>
      </c>
      <c r="AD2226" s="3267">
        <v>510</v>
      </c>
      <c r="AE2226" s="3267">
        <v>510</v>
      </c>
      <c r="AF2226" s="2236">
        <f t="shared" si="295"/>
        <v>510</v>
      </c>
      <c r="AG2226" s="1396"/>
      <c r="DG2226" s="573"/>
      <c r="DH2226" s="159"/>
      <c r="DI2226" s="1091"/>
      <c r="DJ2226" s="1187"/>
    </row>
    <row r="2227" spans="1:114" ht="15" hidden="1" customHeight="1" outlineLevel="1">
      <c r="A2227" s="453"/>
      <c r="C2227" s="51"/>
      <c r="D2227" s="4295"/>
      <c r="E2227" s="4295"/>
      <c r="F2227" s="4300" t="str">
        <f>$E$1748</f>
        <v>ASHP-SEER17-Replace_CAC_NonElectricHeat_ER2_MF_CompE</v>
      </c>
      <c r="G2227" s="4301"/>
      <c r="H2227" s="4301"/>
      <c r="I2227" s="4302"/>
      <c r="J2227" s="3471" t="str">
        <f>$C$1748</f>
        <v>354161_2024_12_</v>
      </c>
      <c r="K2227" s="3342">
        <v>510</v>
      </c>
      <c r="L2227" s="3479"/>
      <c r="M2227" s="1841" t="s">
        <v>2498</v>
      </c>
      <c r="S2227" s="52"/>
      <c r="T2227" s="52"/>
      <c r="U2227" s="52"/>
      <c r="V2227" s="4295"/>
      <c r="W2227" s="3262"/>
      <c r="X2227" s="3265"/>
      <c r="Y2227" s="3265"/>
      <c r="Z2227" s="3262"/>
      <c r="AA2227" s="3262"/>
      <c r="AB2227" s="3262"/>
      <c r="AC2227" s="3279">
        <v>510</v>
      </c>
      <c r="AD2227" s="3267">
        <v>510</v>
      </c>
      <c r="AE2227" s="3267">
        <v>510</v>
      </c>
      <c r="AF2227" s="2236">
        <f t="shared" si="295"/>
        <v>510</v>
      </c>
      <c r="AG2227" s="1396"/>
      <c r="DG2227" s="573"/>
      <c r="DH2227" s="159"/>
      <c r="DI2227" s="1091"/>
      <c r="DJ2227" s="1187"/>
    </row>
    <row r="2228" spans="1:114" ht="15" hidden="1" customHeight="1" outlineLevel="1">
      <c r="A2228" s="453"/>
      <c r="C2228" s="51"/>
      <c r="D2228" s="4295"/>
      <c r="E2228" s="4295"/>
      <c r="F2228" s="4297" t="str">
        <f>$E$1750</f>
        <v>ASHP-SEER17_ER1_MF</v>
      </c>
      <c r="G2228" s="4298"/>
      <c r="H2228" s="4298"/>
      <c r="I2228" s="4299"/>
      <c r="J2228" s="1029" t="str">
        <f>$C$1750</f>
        <v>354200_2024_12_</v>
      </c>
      <c r="K2228" s="1790">
        <v>1496</v>
      </c>
      <c r="L2228" s="262"/>
      <c r="M2228" s="778" t="s">
        <v>2497</v>
      </c>
      <c r="S2228" s="52"/>
      <c r="T2228" s="52"/>
      <c r="U2228" s="52"/>
      <c r="V2228" s="4295"/>
      <c r="W2228" s="1396">
        <v>2009</v>
      </c>
      <c r="X2228" s="833">
        <v>1496</v>
      </c>
      <c r="Y2228" s="1396">
        <v>1496</v>
      </c>
      <c r="Z2228" s="1396">
        <v>1496</v>
      </c>
      <c r="AA2228" s="1396">
        <v>1496</v>
      </c>
      <c r="AB2228" s="1396">
        <v>1496</v>
      </c>
      <c r="AC2228" s="1396">
        <v>1496</v>
      </c>
      <c r="AD2228" s="1396">
        <v>1496</v>
      </c>
      <c r="AE2228" s="1396">
        <v>1496</v>
      </c>
      <c r="AF2228" s="271">
        <f t="shared" si="295"/>
        <v>1496</v>
      </c>
      <c r="AG2228" s="1396"/>
      <c r="DG2228" s="573"/>
      <c r="DH2228" s="159"/>
      <c r="DI2228" s="1091"/>
      <c r="DJ2228" s="1187"/>
    </row>
    <row r="2229" spans="1:114" ht="15" hidden="1" customHeight="1" outlineLevel="1">
      <c r="A2229" s="453"/>
      <c r="C2229" s="51"/>
      <c r="D2229" s="4295"/>
      <c r="E2229" s="4295"/>
      <c r="F2229" s="4297" t="str">
        <f>$E$1752</f>
        <v>ASHP-SEER17_ER2_MF</v>
      </c>
      <c r="G2229" s="4298"/>
      <c r="H2229" s="4298"/>
      <c r="I2229" s="4299"/>
      <c r="J2229" s="1029" t="str">
        <f>$C$1752</f>
        <v>354200_2024_12_</v>
      </c>
      <c r="K2229" s="1790">
        <v>1496</v>
      </c>
      <c r="L2229" s="262"/>
      <c r="M2229" s="778" t="s">
        <v>2497</v>
      </c>
      <c r="S2229" s="52"/>
      <c r="T2229" s="52"/>
      <c r="U2229" s="52"/>
      <c r="V2229" s="4295"/>
      <c r="W2229" s="1396">
        <v>2009</v>
      </c>
      <c r="X2229" s="833">
        <v>1496</v>
      </c>
      <c r="Y2229" s="1396">
        <v>1496</v>
      </c>
      <c r="Z2229" s="1396">
        <v>1496</v>
      </c>
      <c r="AA2229" s="1396">
        <v>1496</v>
      </c>
      <c r="AB2229" s="1396">
        <v>1496</v>
      </c>
      <c r="AC2229" s="1396">
        <v>1496</v>
      </c>
      <c r="AD2229" s="1396">
        <v>1496</v>
      </c>
      <c r="AE2229" s="1396">
        <v>1496</v>
      </c>
      <c r="AF2229" s="271">
        <f t="shared" si="295"/>
        <v>1496</v>
      </c>
      <c r="AG2229" s="1396"/>
      <c r="DG2229" s="573"/>
      <c r="DH2229" s="159"/>
      <c r="DI2229" s="1091"/>
      <c r="DJ2229" s="1187"/>
    </row>
    <row r="2230" spans="1:114" ht="15" hidden="1" customHeight="1" outlineLevel="1">
      <c r="A2230" s="453"/>
      <c r="C2230" s="51"/>
      <c r="D2230" s="4295"/>
      <c r="E2230" s="4295"/>
      <c r="F2230" s="4300" t="str">
        <f>$E$1754</f>
        <v>ASHP-SEER17_ER1_MF_CompE</v>
      </c>
      <c r="G2230" s="4301"/>
      <c r="H2230" s="4301"/>
      <c r="I2230" s="4302"/>
      <c r="J2230" s="3471" t="str">
        <f>$C$1754</f>
        <v>354201_2024_12_</v>
      </c>
      <c r="K2230" s="3263">
        <v>510</v>
      </c>
      <c r="L2230" s="3479"/>
      <c r="M2230" s="1841" t="s">
        <v>2498</v>
      </c>
      <c r="S2230" s="52"/>
      <c r="T2230" s="52"/>
      <c r="U2230" s="52"/>
      <c r="V2230" s="4295"/>
      <c r="W2230" s="3262"/>
      <c r="X2230" s="3265"/>
      <c r="Y2230" s="3265">
        <v>510</v>
      </c>
      <c r="Z2230" s="3262">
        <v>510</v>
      </c>
      <c r="AA2230" s="3262">
        <v>510</v>
      </c>
      <c r="AB2230" s="3262">
        <v>510</v>
      </c>
      <c r="AC2230" s="3262">
        <v>510</v>
      </c>
      <c r="AD2230" s="3262">
        <v>510</v>
      </c>
      <c r="AE2230" s="3262">
        <v>510</v>
      </c>
      <c r="AF2230" s="2236">
        <f t="shared" si="295"/>
        <v>510</v>
      </c>
      <c r="AG2230" s="1396"/>
      <c r="DG2230" s="573"/>
      <c r="DH2230" s="159"/>
      <c r="DI2230" s="1091"/>
      <c r="DJ2230" s="1187"/>
    </row>
    <row r="2231" spans="1:114" ht="15" hidden="1" customHeight="1" outlineLevel="1">
      <c r="A2231" s="453"/>
      <c r="C2231" s="51"/>
      <c r="D2231" s="4295"/>
      <c r="E2231" s="4295"/>
      <c r="F2231" s="4300" t="str">
        <f>$E$1756</f>
        <v>ASHP-SEER17_ER2_MF_CompE</v>
      </c>
      <c r="G2231" s="4301"/>
      <c r="H2231" s="4301"/>
      <c r="I2231" s="4302"/>
      <c r="J2231" s="3471" t="str">
        <f>$C$1756</f>
        <v>354201_2024_12_</v>
      </c>
      <c r="K2231" s="3263">
        <v>510</v>
      </c>
      <c r="L2231" s="3479"/>
      <c r="M2231" s="1841" t="s">
        <v>2498</v>
      </c>
      <c r="S2231" s="52"/>
      <c r="T2231" s="52"/>
      <c r="U2231" s="52"/>
      <c r="V2231" s="4295"/>
      <c r="W2231" s="3262"/>
      <c r="X2231" s="3265"/>
      <c r="Y2231" s="3265">
        <v>510</v>
      </c>
      <c r="Z2231" s="3262">
        <v>510</v>
      </c>
      <c r="AA2231" s="3262">
        <v>510</v>
      </c>
      <c r="AB2231" s="3262">
        <v>510</v>
      </c>
      <c r="AC2231" s="3262">
        <v>510</v>
      </c>
      <c r="AD2231" s="3262">
        <v>510</v>
      </c>
      <c r="AE2231" s="3262">
        <v>510</v>
      </c>
      <c r="AF2231" s="2236">
        <f t="shared" si="295"/>
        <v>510</v>
      </c>
      <c r="AG2231" s="1396"/>
      <c r="DG2231" s="573"/>
      <c r="DH2231" s="159"/>
      <c r="DI2231" s="1091"/>
      <c r="DJ2231" s="1187"/>
    </row>
    <row r="2232" spans="1:114" ht="15" hidden="1" customHeight="1" outlineLevel="1">
      <c r="A2232" s="453"/>
      <c r="C2232" s="51"/>
      <c r="D2232" s="4295"/>
      <c r="E2232" s="4295"/>
      <c r="F2232" s="4297" t="str">
        <f>$E$1758</f>
        <v>ASHP-SEER18-Replace_CAC_ElectricHeat_ER1_SF</v>
      </c>
      <c r="G2232" s="4298"/>
      <c r="H2232" s="4298"/>
      <c r="I2232" s="4299"/>
      <c r="J2232" s="1029" t="str">
        <f>$C$1758</f>
        <v>354250_2024_12_</v>
      </c>
      <c r="K2232" s="1790">
        <v>1496</v>
      </c>
      <c r="L2232" s="262"/>
      <c r="M2232" s="778" t="s">
        <v>2497</v>
      </c>
      <c r="S2232" s="52"/>
      <c r="T2232" s="52"/>
      <c r="U2232" s="52"/>
      <c r="V2232" s="4295"/>
      <c r="W2232" s="1396">
        <v>2009</v>
      </c>
      <c r="X2232" s="833">
        <v>1496</v>
      </c>
      <c r="Y2232" s="1396">
        <v>1496</v>
      </c>
      <c r="Z2232" s="1396">
        <v>1496</v>
      </c>
      <c r="AA2232" s="1396">
        <v>1496</v>
      </c>
      <c r="AB2232" s="1396">
        <v>1496</v>
      </c>
      <c r="AC2232" s="1396">
        <v>1496</v>
      </c>
      <c r="AD2232" s="1396">
        <v>1496</v>
      </c>
      <c r="AE2232" s="1396">
        <v>1496</v>
      </c>
      <c r="AF2232" s="271">
        <f t="shared" si="295"/>
        <v>1496</v>
      </c>
      <c r="AG2232" s="1396"/>
      <c r="DG2232" s="573"/>
      <c r="DH2232" s="159"/>
      <c r="DI2232" s="1091"/>
      <c r="DJ2232" s="1187"/>
    </row>
    <row r="2233" spans="1:114" ht="15" hidden="1" customHeight="1" outlineLevel="1">
      <c r="A2233" s="453"/>
      <c r="C2233" s="51"/>
      <c r="D2233" s="4295"/>
      <c r="E2233" s="4295"/>
      <c r="F2233" s="4297" t="str">
        <f>$E$1760</f>
        <v>ASHP-SEER18-Replace_CAC_ElectricHeat_ER2_SF</v>
      </c>
      <c r="G2233" s="4298"/>
      <c r="H2233" s="4298"/>
      <c r="I2233" s="4299"/>
      <c r="J2233" s="1029" t="str">
        <f>$C$1760</f>
        <v>354250_2024_12_</v>
      </c>
      <c r="K2233" s="1790">
        <v>1496</v>
      </c>
      <c r="L2233" s="262"/>
      <c r="M2233" s="778" t="s">
        <v>2497</v>
      </c>
      <c r="S2233" s="52"/>
      <c r="T2233" s="52"/>
      <c r="U2233" s="52"/>
      <c r="V2233" s="4295"/>
      <c r="W2233" s="1396">
        <v>2009</v>
      </c>
      <c r="X2233" s="833">
        <v>1496</v>
      </c>
      <c r="Y2233" s="1396">
        <v>1496</v>
      </c>
      <c r="Z2233" s="1396">
        <v>1496</v>
      </c>
      <c r="AA2233" s="1396">
        <v>1496</v>
      </c>
      <c r="AB2233" s="1396">
        <v>1496</v>
      </c>
      <c r="AC2233" s="1396">
        <v>1496</v>
      </c>
      <c r="AD2233" s="1396">
        <v>1496</v>
      </c>
      <c r="AE2233" s="1396">
        <v>1496</v>
      </c>
      <c r="AF2233" s="271">
        <f t="shared" si="295"/>
        <v>1496</v>
      </c>
      <c r="AG2233" s="1396"/>
      <c r="DG2233" s="573"/>
      <c r="DH2233" s="159"/>
      <c r="DI2233" s="1091"/>
      <c r="DJ2233" s="1187"/>
    </row>
    <row r="2234" spans="1:114" ht="15" hidden="1" customHeight="1" outlineLevel="1">
      <c r="A2234" s="453"/>
      <c r="C2234" s="51"/>
      <c r="D2234" s="4295"/>
      <c r="E2234" s="4295"/>
      <c r="F2234" s="4297" t="str">
        <f>$E$1762</f>
        <v>ASHP-SEER18-Replace_CAC_NonElectricHeat_ER1_SF</v>
      </c>
      <c r="G2234" s="4298"/>
      <c r="H2234" s="4298"/>
      <c r="I2234" s="4299"/>
      <c r="J2234" s="1029" t="str">
        <f>$C$1762</f>
        <v>354260_2024_12_</v>
      </c>
      <c r="K2234" s="1793">
        <v>1496</v>
      </c>
      <c r="L2234" s="262"/>
      <c r="M2234" s="778" t="s">
        <v>2497</v>
      </c>
      <c r="S2234" s="52"/>
      <c r="T2234" s="52"/>
      <c r="U2234" s="52"/>
      <c r="V2234" s="4295"/>
      <c r="W2234" s="1396"/>
      <c r="X2234" s="833"/>
      <c r="Y2234" s="1396"/>
      <c r="Z2234" s="1396"/>
      <c r="AA2234" s="1396"/>
      <c r="AB2234" s="1396"/>
      <c r="AC2234" s="825">
        <v>1496</v>
      </c>
      <c r="AD2234" s="802">
        <v>1496</v>
      </c>
      <c r="AE2234" s="802">
        <v>1496</v>
      </c>
      <c r="AF2234" s="271">
        <f t="shared" ref="AF2234:AF2297" si="296">IF(K2234&lt;&gt;"",K2234,"")</f>
        <v>1496</v>
      </c>
      <c r="AG2234" s="1396"/>
      <c r="DG2234" s="573"/>
      <c r="DH2234" s="159"/>
      <c r="DI2234" s="1091"/>
      <c r="DJ2234" s="1187"/>
    </row>
    <row r="2235" spans="1:114" ht="15" hidden="1" customHeight="1" outlineLevel="1">
      <c r="A2235" s="453"/>
      <c r="C2235" s="51"/>
      <c r="D2235" s="4295"/>
      <c r="E2235" s="4295"/>
      <c r="F2235" s="4297" t="str">
        <f>$E$1764</f>
        <v>ASHP-SEER18-Replace_CAC_NonElectricHeat_ER2_SF</v>
      </c>
      <c r="G2235" s="4298"/>
      <c r="H2235" s="4298"/>
      <c r="I2235" s="4299"/>
      <c r="J2235" s="1029" t="str">
        <f>$C$1764</f>
        <v>354260_2024_12_</v>
      </c>
      <c r="K2235" s="1793">
        <v>1496</v>
      </c>
      <c r="L2235" s="262"/>
      <c r="M2235" s="778" t="s">
        <v>2497</v>
      </c>
      <c r="S2235" s="52"/>
      <c r="T2235" s="52"/>
      <c r="U2235" s="52"/>
      <c r="V2235" s="4295"/>
      <c r="W2235" s="1396"/>
      <c r="X2235" s="833"/>
      <c r="Y2235" s="1396"/>
      <c r="Z2235" s="1396"/>
      <c r="AA2235" s="1396"/>
      <c r="AB2235" s="1396"/>
      <c r="AC2235" s="825">
        <v>1496</v>
      </c>
      <c r="AD2235" s="802">
        <v>1496</v>
      </c>
      <c r="AE2235" s="802">
        <v>1496</v>
      </c>
      <c r="AF2235" s="271">
        <f t="shared" si="296"/>
        <v>1496</v>
      </c>
      <c r="AG2235" s="1396"/>
      <c r="DG2235" s="573"/>
      <c r="DH2235" s="159"/>
      <c r="DI2235" s="1091"/>
      <c r="DJ2235" s="1187"/>
    </row>
    <row r="2236" spans="1:114" ht="15" hidden="1" customHeight="1" outlineLevel="1">
      <c r="A2236" s="453"/>
      <c r="C2236" s="51"/>
      <c r="D2236" s="4295"/>
      <c r="E2236" s="4295"/>
      <c r="F2236" s="4297" t="str">
        <f>$E$1766</f>
        <v>ASHP-SEER18-Replace_CAC_ElectricHeat_ER1_MF</v>
      </c>
      <c r="G2236" s="4298"/>
      <c r="H2236" s="4298"/>
      <c r="I2236" s="4299"/>
      <c r="J2236" s="1029" t="str">
        <f>$C$1766</f>
        <v>354300_2024_12_</v>
      </c>
      <c r="K2236" s="1790">
        <v>1496</v>
      </c>
      <c r="L2236" s="262"/>
      <c r="M2236" s="778" t="s">
        <v>2497</v>
      </c>
      <c r="S2236" s="52"/>
      <c r="T2236" s="52"/>
      <c r="U2236" s="52"/>
      <c r="V2236" s="4295"/>
      <c r="W2236" s="1396">
        <v>2009</v>
      </c>
      <c r="X2236" s="833">
        <v>1496</v>
      </c>
      <c r="Y2236" s="1396">
        <v>1496</v>
      </c>
      <c r="Z2236" s="1396">
        <v>1496</v>
      </c>
      <c r="AA2236" s="1396">
        <v>1496</v>
      </c>
      <c r="AB2236" s="1396">
        <v>1496</v>
      </c>
      <c r="AC2236" s="1396">
        <v>1496</v>
      </c>
      <c r="AD2236" s="1396">
        <v>1496</v>
      </c>
      <c r="AE2236" s="1396">
        <v>1496</v>
      </c>
      <c r="AF2236" s="271">
        <f t="shared" si="296"/>
        <v>1496</v>
      </c>
      <c r="AG2236" s="1396"/>
      <c r="DG2236" s="573"/>
      <c r="DH2236" s="159"/>
      <c r="DI2236" s="1091"/>
      <c r="DJ2236" s="1187"/>
    </row>
    <row r="2237" spans="1:114" ht="15" hidden="1" customHeight="1" outlineLevel="1">
      <c r="A2237" s="453"/>
      <c r="C2237" s="51"/>
      <c r="D2237" s="4295"/>
      <c r="E2237" s="4295"/>
      <c r="F2237" s="4297" t="str">
        <f>$E$1768</f>
        <v>ASHP-SEER18-Replace_CAC_ElectricHeat_ER2_MF</v>
      </c>
      <c r="G2237" s="4298"/>
      <c r="H2237" s="4298"/>
      <c r="I2237" s="4299"/>
      <c r="J2237" s="1029" t="str">
        <f>$C$1768</f>
        <v>354300_2024_12_</v>
      </c>
      <c r="K2237" s="1790">
        <v>1496</v>
      </c>
      <c r="L2237" s="262"/>
      <c r="M2237" s="778" t="s">
        <v>2497</v>
      </c>
      <c r="S2237" s="52"/>
      <c r="T2237" s="52"/>
      <c r="U2237" s="52"/>
      <c r="V2237" s="4295"/>
      <c r="W2237" s="1396">
        <v>2009</v>
      </c>
      <c r="X2237" s="833">
        <v>1496</v>
      </c>
      <c r="Y2237" s="1396">
        <v>1496</v>
      </c>
      <c r="Z2237" s="1396">
        <v>1496</v>
      </c>
      <c r="AA2237" s="1396">
        <v>1496</v>
      </c>
      <c r="AB2237" s="1396">
        <v>1496</v>
      </c>
      <c r="AC2237" s="1396">
        <v>1496</v>
      </c>
      <c r="AD2237" s="1396">
        <v>1496</v>
      </c>
      <c r="AE2237" s="1396">
        <v>1496</v>
      </c>
      <c r="AF2237" s="271">
        <f t="shared" si="296"/>
        <v>1496</v>
      </c>
      <c r="AG2237" s="1396"/>
      <c r="DG2237" s="573"/>
      <c r="DH2237" s="159"/>
      <c r="DI2237" s="1091"/>
      <c r="DJ2237" s="1187"/>
    </row>
    <row r="2238" spans="1:114" ht="15" hidden="1" customHeight="1" outlineLevel="1">
      <c r="A2238" s="453"/>
      <c r="C2238" s="51"/>
      <c r="D2238" s="4295"/>
      <c r="E2238" s="4295"/>
      <c r="F2238" s="4300" t="str">
        <f>$E$1770</f>
        <v>ASHP-SEER18-Replace_CAC_ElectricHeat_ER1_MF_CompE</v>
      </c>
      <c r="G2238" s="4301"/>
      <c r="H2238" s="4301"/>
      <c r="I2238" s="4302"/>
      <c r="J2238" s="3471" t="str">
        <f>$C$1770</f>
        <v>354301_2024_12_</v>
      </c>
      <c r="K2238" s="3263">
        <v>510</v>
      </c>
      <c r="L2238" s="3479"/>
      <c r="M2238" s="1841" t="s">
        <v>2498</v>
      </c>
      <c r="S2238" s="52"/>
      <c r="T2238" s="52"/>
      <c r="U2238" s="52"/>
      <c r="V2238" s="4295"/>
      <c r="W2238" s="3262"/>
      <c r="X2238" s="3265"/>
      <c r="Y2238" s="3265">
        <v>510</v>
      </c>
      <c r="Z2238" s="3262">
        <v>510</v>
      </c>
      <c r="AA2238" s="3262">
        <v>510</v>
      </c>
      <c r="AB2238" s="3262">
        <v>510</v>
      </c>
      <c r="AC2238" s="3262">
        <v>510</v>
      </c>
      <c r="AD2238" s="3262">
        <v>510</v>
      </c>
      <c r="AE2238" s="3262">
        <v>510</v>
      </c>
      <c r="AF2238" s="2236">
        <f t="shared" si="296"/>
        <v>510</v>
      </c>
      <c r="AG2238" s="1396"/>
      <c r="DG2238" s="573"/>
      <c r="DH2238" s="159"/>
      <c r="DI2238" s="1091"/>
      <c r="DJ2238" s="1187"/>
    </row>
    <row r="2239" spans="1:114" ht="15" hidden="1" customHeight="1" outlineLevel="1">
      <c r="A2239" s="453"/>
      <c r="C2239" s="51"/>
      <c r="D2239" s="4295"/>
      <c r="E2239" s="4295"/>
      <c r="F2239" s="4300" t="str">
        <f>$E$1772</f>
        <v>ASHP-SEER18-Replace_CAC_ElectricHeat_ER2_MF_CompE</v>
      </c>
      <c r="G2239" s="4301"/>
      <c r="H2239" s="4301"/>
      <c r="I2239" s="4302"/>
      <c r="J2239" s="3471" t="str">
        <f>$C$1772</f>
        <v>354301_2024_12_</v>
      </c>
      <c r="K2239" s="3263">
        <v>510</v>
      </c>
      <c r="L2239" s="3479"/>
      <c r="M2239" s="1841" t="s">
        <v>2498</v>
      </c>
      <c r="S2239" s="52"/>
      <c r="T2239" s="52"/>
      <c r="U2239" s="52"/>
      <c r="V2239" s="4295"/>
      <c r="W2239" s="3262"/>
      <c r="X2239" s="3265"/>
      <c r="Y2239" s="3265">
        <v>510</v>
      </c>
      <c r="Z2239" s="3262">
        <v>510</v>
      </c>
      <c r="AA2239" s="3262">
        <v>510</v>
      </c>
      <c r="AB2239" s="3262">
        <v>510</v>
      </c>
      <c r="AC2239" s="3262">
        <v>510</v>
      </c>
      <c r="AD2239" s="3262">
        <v>510</v>
      </c>
      <c r="AE2239" s="3262">
        <v>510</v>
      </c>
      <c r="AF2239" s="2236">
        <f t="shared" si="296"/>
        <v>510</v>
      </c>
      <c r="AG2239" s="1396"/>
      <c r="DG2239" s="573"/>
      <c r="DH2239" s="159"/>
      <c r="DI2239" s="1091"/>
      <c r="DJ2239" s="1187"/>
    </row>
    <row r="2240" spans="1:114" ht="15" hidden="1" customHeight="1" outlineLevel="1">
      <c r="A2240" s="453"/>
      <c r="C2240" s="51"/>
      <c r="D2240" s="4295"/>
      <c r="E2240" s="4295"/>
      <c r="F2240" s="4300" t="str">
        <f>$E$1774</f>
        <v>ASHP-SEER18-Replace_CAC_NonElectricHeat_ER1_MF</v>
      </c>
      <c r="G2240" s="4301"/>
      <c r="H2240" s="4301"/>
      <c r="I2240" s="4302"/>
      <c r="J2240" s="3471" t="str">
        <f>$C$1774</f>
        <v>354310_2024_12_</v>
      </c>
      <c r="K2240" s="3342">
        <v>1496</v>
      </c>
      <c r="L2240" s="3479"/>
      <c r="M2240" s="1841" t="s">
        <v>2497</v>
      </c>
      <c r="S2240" s="52"/>
      <c r="T2240" s="52"/>
      <c r="U2240" s="52"/>
      <c r="V2240" s="4295"/>
      <c r="W2240" s="3262"/>
      <c r="X2240" s="3265"/>
      <c r="Y2240" s="3265"/>
      <c r="Z2240" s="3262"/>
      <c r="AA2240" s="3262"/>
      <c r="AB2240" s="3262"/>
      <c r="AC2240" s="3279">
        <v>1496</v>
      </c>
      <c r="AD2240" s="3267">
        <v>1496</v>
      </c>
      <c r="AE2240" s="3267">
        <v>1496</v>
      </c>
      <c r="AF2240" s="2236">
        <f t="shared" si="296"/>
        <v>1496</v>
      </c>
      <c r="AG2240" s="1396"/>
      <c r="DG2240" s="573"/>
      <c r="DH2240" s="159"/>
      <c r="DI2240" s="1091"/>
      <c r="DJ2240" s="1187"/>
    </row>
    <row r="2241" spans="1:114" ht="15" hidden="1" customHeight="1" outlineLevel="1">
      <c r="A2241" s="453"/>
      <c r="C2241" s="51"/>
      <c r="D2241" s="4295"/>
      <c r="E2241" s="4295"/>
      <c r="F2241" s="4300" t="str">
        <f>$E$1776</f>
        <v>ASHP-SEER18-Replace_CAC_NonElectricHeat_ER2_MF</v>
      </c>
      <c r="G2241" s="4301"/>
      <c r="H2241" s="4301"/>
      <c r="I2241" s="4302"/>
      <c r="J2241" s="3471" t="str">
        <f>$C$1776</f>
        <v>354310_2024_12_</v>
      </c>
      <c r="K2241" s="3342">
        <v>1496</v>
      </c>
      <c r="L2241" s="3479"/>
      <c r="M2241" s="1841" t="s">
        <v>2497</v>
      </c>
      <c r="S2241" s="52"/>
      <c r="T2241" s="52"/>
      <c r="U2241" s="52"/>
      <c r="V2241" s="4295"/>
      <c r="W2241" s="3262"/>
      <c r="X2241" s="3265"/>
      <c r="Y2241" s="3265"/>
      <c r="Z2241" s="3262"/>
      <c r="AA2241" s="3262"/>
      <c r="AB2241" s="3262"/>
      <c r="AC2241" s="3279">
        <v>1496</v>
      </c>
      <c r="AD2241" s="3267">
        <v>1496</v>
      </c>
      <c r="AE2241" s="3267">
        <v>1496</v>
      </c>
      <c r="AF2241" s="2236">
        <f t="shared" si="296"/>
        <v>1496</v>
      </c>
      <c r="AG2241" s="1396"/>
      <c r="DG2241" s="573"/>
      <c r="DH2241" s="159"/>
      <c r="DI2241" s="1091"/>
      <c r="DJ2241" s="1187"/>
    </row>
    <row r="2242" spans="1:114" ht="15" hidden="1" customHeight="1" outlineLevel="1">
      <c r="A2242" s="453"/>
      <c r="C2242" s="51"/>
      <c r="D2242" s="4295"/>
      <c r="E2242" s="4295"/>
      <c r="F2242" s="4300" t="str">
        <f>$E$1778</f>
        <v>ASHP-SEER18-Replace_CAC_NonElectricHeat_ER1_MF_CompE</v>
      </c>
      <c r="G2242" s="4301"/>
      <c r="H2242" s="4301"/>
      <c r="I2242" s="4302"/>
      <c r="J2242" s="3471" t="str">
        <f>$C$1778</f>
        <v>354311_2024_12_</v>
      </c>
      <c r="K2242" s="3342">
        <v>510</v>
      </c>
      <c r="L2242" s="3479"/>
      <c r="M2242" s="1841" t="s">
        <v>2498</v>
      </c>
      <c r="S2242" s="52"/>
      <c r="T2242" s="52"/>
      <c r="U2242" s="52"/>
      <c r="V2242" s="4295"/>
      <c r="W2242" s="3262"/>
      <c r="X2242" s="3265"/>
      <c r="Y2242" s="3265"/>
      <c r="Z2242" s="3262"/>
      <c r="AA2242" s="3262"/>
      <c r="AB2242" s="3262"/>
      <c r="AC2242" s="3279">
        <v>510</v>
      </c>
      <c r="AD2242" s="3267">
        <v>510</v>
      </c>
      <c r="AE2242" s="3267">
        <v>510</v>
      </c>
      <c r="AF2242" s="2236">
        <f t="shared" si="296"/>
        <v>510</v>
      </c>
      <c r="AG2242" s="1396"/>
      <c r="DG2242" s="573"/>
      <c r="DH2242" s="159"/>
      <c r="DI2242" s="1091"/>
      <c r="DJ2242" s="1187"/>
    </row>
    <row r="2243" spans="1:114" ht="15" hidden="1" customHeight="1" outlineLevel="1">
      <c r="A2243" s="453"/>
      <c r="C2243" s="51"/>
      <c r="D2243" s="4295"/>
      <c r="E2243" s="4295"/>
      <c r="F2243" s="4300" t="str">
        <f>$E$1780</f>
        <v>ASHP-SEER18-Replace_CAC_NonElectricHeat_ER2_MF_CompE</v>
      </c>
      <c r="G2243" s="4301"/>
      <c r="H2243" s="4301"/>
      <c r="I2243" s="4302"/>
      <c r="J2243" s="3471" t="str">
        <f>$C$1780</f>
        <v>354311_2024_12_</v>
      </c>
      <c r="K2243" s="3342">
        <v>510</v>
      </c>
      <c r="L2243" s="3479"/>
      <c r="M2243" s="1841" t="s">
        <v>2498</v>
      </c>
      <c r="S2243" s="52"/>
      <c r="T2243" s="52"/>
      <c r="U2243" s="52"/>
      <c r="V2243" s="4295"/>
      <c r="W2243" s="3262"/>
      <c r="X2243" s="3265"/>
      <c r="Y2243" s="3265"/>
      <c r="Z2243" s="3262"/>
      <c r="AA2243" s="3262"/>
      <c r="AB2243" s="3262"/>
      <c r="AC2243" s="3279">
        <v>510</v>
      </c>
      <c r="AD2243" s="3267">
        <v>510</v>
      </c>
      <c r="AE2243" s="3267">
        <v>510</v>
      </c>
      <c r="AF2243" s="2236">
        <f t="shared" si="296"/>
        <v>510</v>
      </c>
      <c r="AG2243" s="1396"/>
      <c r="DG2243" s="573"/>
      <c r="DH2243" s="159"/>
      <c r="DI2243" s="1091"/>
      <c r="DJ2243" s="1187"/>
    </row>
    <row r="2244" spans="1:114" ht="15" hidden="1" customHeight="1" outlineLevel="1">
      <c r="A2244" s="453"/>
      <c r="C2244" s="51"/>
      <c r="D2244" s="4295"/>
      <c r="E2244" s="4295"/>
      <c r="F2244" s="4297" t="str">
        <f>$E$1782</f>
        <v>ASHP-SEER18_ER1_MF</v>
      </c>
      <c r="G2244" s="4298"/>
      <c r="H2244" s="4298"/>
      <c r="I2244" s="4299"/>
      <c r="J2244" s="1029" t="str">
        <f>$C$1782</f>
        <v>354350_2024_12_</v>
      </c>
      <c r="K2244" s="1790">
        <v>1496</v>
      </c>
      <c r="L2244" s="262"/>
      <c r="M2244" s="778" t="s">
        <v>2497</v>
      </c>
      <c r="S2244" s="52"/>
      <c r="T2244" s="52"/>
      <c r="U2244" s="52"/>
      <c r="V2244" s="4295"/>
      <c r="W2244" s="1396">
        <v>2009</v>
      </c>
      <c r="X2244" s="833">
        <v>1496</v>
      </c>
      <c r="Y2244" s="1396">
        <v>1496</v>
      </c>
      <c r="Z2244" s="1396">
        <v>1496</v>
      </c>
      <c r="AA2244" s="1396">
        <v>1496</v>
      </c>
      <c r="AB2244" s="1396">
        <v>1496</v>
      </c>
      <c r="AC2244" s="1396">
        <v>1496</v>
      </c>
      <c r="AD2244" s="1396">
        <v>1496</v>
      </c>
      <c r="AE2244" s="1396">
        <v>1496</v>
      </c>
      <c r="AF2244" s="271">
        <f t="shared" si="296"/>
        <v>1496</v>
      </c>
      <c r="AG2244" s="1396"/>
      <c r="DG2244" s="573"/>
      <c r="DH2244" s="159"/>
      <c r="DI2244" s="1091"/>
      <c r="DJ2244" s="1187"/>
    </row>
    <row r="2245" spans="1:114" ht="15" hidden="1" customHeight="1" outlineLevel="1">
      <c r="A2245" s="453"/>
      <c r="C2245" s="51"/>
      <c r="D2245" s="4295"/>
      <c r="E2245" s="4295"/>
      <c r="F2245" s="4297" t="str">
        <f>$E$1784</f>
        <v>ASHP-SEER18_ER2_MF</v>
      </c>
      <c r="G2245" s="4298"/>
      <c r="H2245" s="4298"/>
      <c r="I2245" s="4299"/>
      <c r="J2245" s="1029" t="str">
        <f>$C$1784</f>
        <v>354350_2024_12_</v>
      </c>
      <c r="K2245" s="1790">
        <v>1496</v>
      </c>
      <c r="L2245" s="262"/>
      <c r="M2245" s="778" t="s">
        <v>2497</v>
      </c>
      <c r="S2245" s="52"/>
      <c r="T2245" s="52"/>
      <c r="U2245" s="52"/>
      <c r="V2245" s="4295"/>
      <c r="W2245" s="1396">
        <v>2009</v>
      </c>
      <c r="X2245" s="833">
        <v>1496</v>
      </c>
      <c r="Y2245" s="1396">
        <v>1496</v>
      </c>
      <c r="Z2245" s="1396">
        <v>1496</v>
      </c>
      <c r="AA2245" s="1396">
        <v>1496</v>
      </c>
      <c r="AB2245" s="1396">
        <v>1496</v>
      </c>
      <c r="AC2245" s="1396">
        <v>1496</v>
      </c>
      <c r="AD2245" s="1396">
        <v>1496</v>
      </c>
      <c r="AE2245" s="1396">
        <v>1496</v>
      </c>
      <c r="AF2245" s="271">
        <f t="shared" si="296"/>
        <v>1496</v>
      </c>
      <c r="AG2245" s="1396"/>
      <c r="DG2245" s="573"/>
      <c r="DH2245" s="159"/>
      <c r="DI2245" s="1091"/>
      <c r="DJ2245" s="1187"/>
    </row>
    <row r="2246" spans="1:114" ht="15" hidden="1" customHeight="1" outlineLevel="1">
      <c r="A2246" s="453"/>
      <c r="C2246" s="51"/>
      <c r="D2246" s="4295"/>
      <c r="E2246" s="4295"/>
      <c r="F2246" s="4300" t="str">
        <f>$E$1786</f>
        <v>ASHP-SEER18_ER1_MF_CompE</v>
      </c>
      <c r="G2246" s="4301"/>
      <c r="H2246" s="4301"/>
      <c r="I2246" s="4302"/>
      <c r="J2246" s="3471" t="str">
        <f>$C$1786</f>
        <v>354351_2024_12_</v>
      </c>
      <c r="K2246" s="3263">
        <v>510</v>
      </c>
      <c r="L2246" s="3479"/>
      <c r="M2246" s="1841" t="s">
        <v>2498</v>
      </c>
      <c r="S2246" s="52"/>
      <c r="T2246" s="52"/>
      <c r="U2246" s="52"/>
      <c r="V2246" s="4295"/>
      <c r="W2246" s="3262"/>
      <c r="X2246" s="3265"/>
      <c r="Y2246" s="3265">
        <v>510</v>
      </c>
      <c r="Z2246" s="3262">
        <v>510</v>
      </c>
      <c r="AA2246" s="3262">
        <v>510</v>
      </c>
      <c r="AB2246" s="3262">
        <v>510</v>
      </c>
      <c r="AC2246" s="3262">
        <v>510</v>
      </c>
      <c r="AD2246" s="3262">
        <v>510</v>
      </c>
      <c r="AE2246" s="3262">
        <v>510</v>
      </c>
      <c r="AF2246" s="2236">
        <f t="shared" si="296"/>
        <v>510</v>
      </c>
      <c r="AG2246" s="1396"/>
      <c r="DG2246" s="573"/>
      <c r="DH2246" s="159"/>
      <c r="DI2246" s="1091"/>
      <c r="DJ2246" s="1187"/>
    </row>
    <row r="2247" spans="1:114" ht="15" hidden="1" customHeight="1" outlineLevel="1">
      <c r="A2247" s="453"/>
      <c r="C2247" s="51"/>
      <c r="D2247" s="4295"/>
      <c r="E2247" s="4295"/>
      <c r="F2247" s="4300" t="str">
        <f>$E$1788</f>
        <v>ASHP-SEER18_ER2_MF_CompE</v>
      </c>
      <c r="G2247" s="4301"/>
      <c r="H2247" s="4301"/>
      <c r="I2247" s="4302"/>
      <c r="J2247" s="3471" t="str">
        <f>$C$1788</f>
        <v>354351_2024_12_</v>
      </c>
      <c r="K2247" s="3263">
        <v>510</v>
      </c>
      <c r="L2247" s="3479"/>
      <c r="M2247" s="1841" t="s">
        <v>2498</v>
      </c>
      <c r="S2247" s="52"/>
      <c r="T2247" s="52"/>
      <c r="U2247" s="52"/>
      <c r="V2247" s="4295"/>
      <c r="W2247" s="3262"/>
      <c r="X2247" s="3265"/>
      <c r="Y2247" s="3265">
        <v>510</v>
      </c>
      <c r="Z2247" s="3262">
        <v>510</v>
      </c>
      <c r="AA2247" s="3262">
        <v>510</v>
      </c>
      <c r="AB2247" s="3262">
        <v>510</v>
      </c>
      <c r="AC2247" s="3262">
        <v>510</v>
      </c>
      <c r="AD2247" s="3262">
        <v>510</v>
      </c>
      <c r="AE2247" s="3262">
        <v>510</v>
      </c>
      <c r="AF2247" s="2236">
        <f t="shared" si="296"/>
        <v>510</v>
      </c>
      <c r="AG2247" s="1396"/>
      <c r="DG2247" s="573"/>
      <c r="DH2247" s="159"/>
      <c r="DI2247" s="1091"/>
      <c r="DJ2247" s="1187"/>
    </row>
    <row r="2248" spans="1:114" ht="15" hidden="1" customHeight="1" outlineLevel="1">
      <c r="A2248" s="453"/>
      <c r="C2248" s="51"/>
      <c r="D2248" s="4295"/>
      <c r="E2248" s="4295"/>
      <c r="F2248" s="4297" t="str">
        <f>$E$1790</f>
        <v>ASHP-SEER19-Replace_CAC_ElectricHeat_ER1_SF</v>
      </c>
      <c r="G2248" s="4298"/>
      <c r="H2248" s="4298"/>
      <c r="I2248" s="4299"/>
      <c r="J2248" s="1029" t="str">
        <f>$C$1790</f>
        <v>354400_2024_12_</v>
      </c>
      <c r="K2248" s="1790">
        <v>1496</v>
      </c>
      <c r="L2248" s="262"/>
      <c r="M2248" s="778" t="s">
        <v>2497</v>
      </c>
      <c r="S2248" s="52"/>
      <c r="T2248" s="52"/>
      <c r="U2248" s="52"/>
      <c r="V2248" s="4295"/>
      <c r="W2248" s="1396">
        <v>2009</v>
      </c>
      <c r="X2248" s="833">
        <v>1496</v>
      </c>
      <c r="Y2248" s="1396">
        <v>1496</v>
      </c>
      <c r="Z2248" s="1396">
        <v>1496</v>
      </c>
      <c r="AA2248" s="1396">
        <v>1496</v>
      </c>
      <c r="AB2248" s="1396">
        <v>1496</v>
      </c>
      <c r="AC2248" s="1396">
        <v>1496</v>
      </c>
      <c r="AD2248" s="1396">
        <v>1496</v>
      </c>
      <c r="AE2248" s="1396">
        <v>1496</v>
      </c>
      <c r="AF2248" s="271">
        <f t="shared" si="296"/>
        <v>1496</v>
      </c>
      <c r="AG2248" s="1396"/>
      <c r="DG2248" s="573"/>
      <c r="DH2248" s="159"/>
      <c r="DI2248" s="1091"/>
      <c r="DJ2248" s="1187"/>
    </row>
    <row r="2249" spans="1:114" ht="15" hidden="1" customHeight="1" outlineLevel="1">
      <c r="A2249" s="453"/>
      <c r="C2249" s="51"/>
      <c r="D2249" s="4295"/>
      <c r="E2249" s="4295"/>
      <c r="F2249" s="4297" t="str">
        <f>$E$1792</f>
        <v>ASHP-SEER19-Replace_CAC_ElectricHeat_ER2_SF</v>
      </c>
      <c r="G2249" s="4298"/>
      <c r="H2249" s="4298"/>
      <c r="I2249" s="4299"/>
      <c r="J2249" s="1029" t="str">
        <f>$C$1792</f>
        <v>354400_2024_12_</v>
      </c>
      <c r="K2249" s="1790">
        <v>1496</v>
      </c>
      <c r="L2249" s="262"/>
      <c r="M2249" s="778" t="s">
        <v>2497</v>
      </c>
      <c r="S2249" s="52"/>
      <c r="T2249" s="52"/>
      <c r="U2249" s="52"/>
      <c r="V2249" s="4295"/>
      <c r="W2249" s="1396">
        <v>2009</v>
      </c>
      <c r="X2249" s="833">
        <v>1496</v>
      </c>
      <c r="Y2249" s="1396">
        <v>1496</v>
      </c>
      <c r="Z2249" s="1396">
        <v>1496</v>
      </c>
      <c r="AA2249" s="1396">
        <v>1496</v>
      </c>
      <c r="AB2249" s="1396">
        <v>1496</v>
      </c>
      <c r="AC2249" s="1396">
        <v>1496</v>
      </c>
      <c r="AD2249" s="1396">
        <v>1496</v>
      </c>
      <c r="AE2249" s="1396">
        <v>1496</v>
      </c>
      <c r="AF2249" s="271">
        <f t="shared" si="296"/>
        <v>1496</v>
      </c>
      <c r="AG2249" s="1396"/>
      <c r="DG2249" s="573"/>
      <c r="DH2249" s="159"/>
      <c r="DI2249" s="1091"/>
      <c r="DJ2249" s="1187"/>
    </row>
    <row r="2250" spans="1:114" ht="15" hidden="1" customHeight="1" outlineLevel="1">
      <c r="A2250" s="453"/>
      <c r="C2250" s="51"/>
      <c r="D2250" s="4295"/>
      <c r="E2250" s="4295"/>
      <c r="F2250" s="4297" t="str">
        <f>$E$1794</f>
        <v>ASHP-SEER19-Replace_CAC_NonElectricHeat_ER1_SF</v>
      </c>
      <c r="G2250" s="4298"/>
      <c r="H2250" s="4298"/>
      <c r="I2250" s="4299"/>
      <c r="J2250" s="1029" t="str">
        <f>$C$1794</f>
        <v>354410_2024_12_</v>
      </c>
      <c r="K2250" s="1793">
        <v>1496</v>
      </c>
      <c r="L2250" s="262"/>
      <c r="M2250" s="778" t="s">
        <v>2497</v>
      </c>
      <c r="S2250" s="52"/>
      <c r="T2250" s="52"/>
      <c r="U2250" s="52"/>
      <c r="V2250" s="4295"/>
      <c r="W2250" s="1396"/>
      <c r="X2250" s="833"/>
      <c r="Y2250" s="1396"/>
      <c r="Z2250" s="1396"/>
      <c r="AA2250" s="1396"/>
      <c r="AB2250" s="1396"/>
      <c r="AC2250" s="825">
        <v>1496</v>
      </c>
      <c r="AD2250" s="802">
        <v>1496</v>
      </c>
      <c r="AE2250" s="802">
        <v>1496</v>
      </c>
      <c r="AF2250" s="271">
        <f t="shared" si="296"/>
        <v>1496</v>
      </c>
      <c r="AG2250" s="1396"/>
      <c r="DG2250" s="573"/>
      <c r="DH2250" s="159"/>
      <c r="DI2250" s="1091"/>
      <c r="DJ2250" s="1187"/>
    </row>
    <row r="2251" spans="1:114" ht="15" hidden="1" customHeight="1" outlineLevel="1">
      <c r="A2251" s="453"/>
      <c r="C2251" s="51"/>
      <c r="D2251" s="4295"/>
      <c r="E2251" s="4295"/>
      <c r="F2251" s="4297" t="str">
        <f>$E$1796</f>
        <v>ASHP-SEER19-Replace_CAC_NonElectricHeat_ER2_SF</v>
      </c>
      <c r="G2251" s="4298"/>
      <c r="H2251" s="4298"/>
      <c r="I2251" s="4299"/>
      <c r="J2251" s="1029" t="str">
        <f>$C$1796</f>
        <v>354410_2024_12_</v>
      </c>
      <c r="K2251" s="1793">
        <v>1496</v>
      </c>
      <c r="L2251" s="262"/>
      <c r="M2251" s="778" t="s">
        <v>2497</v>
      </c>
      <c r="S2251" s="52"/>
      <c r="T2251" s="52"/>
      <c r="U2251" s="52"/>
      <c r="V2251" s="4295"/>
      <c r="W2251" s="1396"/>
      <c r="X2251" s="833"/>
      <c r="Y2251" s="1396"/>
      <c r="Z2251" s="1396"/>
      <c r="AA2251" s="1396"/>
      <c r="AB2251" s="1396"/>
      <c r="AC2251" s="825">
        <v>1496</v>
      </c>
      <c r="AD2251" s="802">
        <v>1496</v>
      </c>
      <c r="AE2251" s="802">
        <v>1496</v>
      </c>
      <c r="AF2251" s="271">
        <f t="shared" si="296"/>
        <v>1496</v>
      </c>
      <c r="AG2251" s="1396"/>
      <c r="DG2251" s="573"/>
      <c r="DH2251" s="159"/>
      <c r="DI2251" s="1091"/>
      <c r="DJ2251" s="1187"/>
    </row>
    <row r="2252" spans="1:114" ht="15" hidden="1" customHeight="1" outlineLevel="1">
      <c r="A2252" s="453"/>
      <c r="C2252" s="51"/>
      <c r="D2252" s="4295"/>
      <c r="E2252" s="4295"/>
      <c r="F2252" s="4297" t="str">
        <f>$E$1798</f>
        <v>ASHP-SEER19-Replace_CAC_ElectricHeat_ER1_MF</v>
      </c>
      <c r="G2252" s="4298"/>
      <c r="H2252" s="4298"/>
      <c r="I2252" s="4299"/>
      <c r="J2252" s="1029" t="str">
        <f>$C$1798</f>
        <v>354450_2024_12_</v>
      </c>
      <c r="K2252" s="1790">
        <v>1496</v>
      </c>
      <c r="L2252" s="262"/>
      <c r="M2252" s="778" t="s">
        <v>2497</v>
      </c>
      <c r="S2252" s="52"/>
      <c r="T2252" s="52"/>
      <c r="U2252" s="52"/>
      <c r="V2252" s="4295"/>
      <c r="W2252" s="1396">
        <v>2009</v>
      </c>
      <c r="X2252" s="833">
        <v>1496</v>
      </c>
      <c r="Y2252" s="1396">
        <v>1496</v>
      </c>
      <c r="Z2252" s="1396">
        <v>1496</v>
      </c>
      <c r="AA2252" s="1396">
        <v>1496</v>
      </c>
      <c r="AB2252" s="1396">
        <v>1496</v>
      </c>
      <c r="AC2252" s="1396">
        <v>1496</v>
      </c>
      <c r="AD2252" s="1396">
        <v>1496</v>
      </c>
      <c r="AE2252" s="1396">
        <v>1496</v>
      </c>
      <c r="AF2252" s="271">
        <f t="shared" si="296"/>
        <v>1496</v>
      </c>
      <c r="AG2252" s="1396"/>
      <c r="DG2252" s="573"/>
      <c r="DH2252" s="159"/>
      <c r="DI2252" s="1091"/>
      <c r="DJ2252" s="1187"/>
    </row>
    <row r="2253" spans="1:114" ht="15" hidden="1" customHeight="1" outlineLevel="1">
      <c r="A2253" s="453"/>
      <c r="C2253" s="51"/>
      <c r="D2253" s="4295"/>
      <c r="E2253" s="4295"/>
      <c r="F2253" s="4297" t="str">
        <f>$E$1800</f>
        <v>ASHP-SEER19-Replace_CAC_ElectricHeat_ER2_MF</v>
      </c>
      <c r="G2253" s="4298"/>
      <c r="H2253" s="4298"/>
      <c r="I2253" s="4299"/>
      <c r="J2253" s="1029" t="str">
        <f>$C$1800</f>
        <v>354450_2024_12_</v>
      </c>
      <c r="K2253" s="1790">
        <v>1496</v>
      </c>
      <c r="L2253" s="262"/>
      <c r="M2253" s="778" t="s">
        <v>2497</v>
      </c>
      <c r="S2253" s="52"/>
      <c r="T2253" s="52"/>
      <c r="U2253" s="52"/>
      <c r="V2253" s="4295"/>
      <c r="W2253" s="1396">
        <v>2009</v>
      </c>
      <c r="X2253" s="833">
        <v>1496</v>
      </c>
      <c r="Y2253" s="1396">
        <v>1496</v>
      </c>
      <c r="Z2253" s="1396">
        <v>1496</v>
      </c>
      <c r="AA2253" s="1396">
        <v>1496</v>
      </c>
      <c r="AB2253" s="1396">
        <v>1496</v>
      </c>
      <c r="AC2253" s="1396">
        <v>1496</v>
      </c>
      <c r="AD2253" s="1396">
        <v>1496</v>
      </c>
      <c r="AE2253" s="1396">
        <v>1496</v>
      </c>
      <c r="AF2253" s="271">
        <f t="shared" si="296"/>
        <v>1496</v>
      </c>
      <c r="AG2253" s="1396"/>
      <c r="DG2253" s="573"/>
      <c r="DH2253" s="159"/>
      <c r="DI2253" s="1091"/>
      <c r="DJ2253" s="1187"/>
    </row>
    <row r="2254" spans="1:114" ht="15" hidden="1" customHeight="1" outlineLevel="1">
      <c r="A2254" s="453"/>
      <c r="C2254" s="51"/>
      <c r="D2254" s="4295"/>
      <c r="E2254" s="4295"/>
      <c r="F2254" s="4300" t="str">
        <f>$E$1802</f>
        <v>ASHP-SEER19-Replace_CAC_ElectricHeat_ER1_MF_CompE</v>
      </c>
      <c r="G2254" s="4301"/>
      <c r="H2254" s="4301"/>
      <c r="I2254" s="4302"/>
      <c r="J2254" s="3471" t="str">
        <f>$C$1802</f>
        <v>354451_2024_12_</v>
      </c>
      <c r="K2254" s="3263">
        <v>510</v>
      </c>
      <c r="L2254" s="3479"/>
      <c r="M2254" s="1841" t="s">
        <v>2498</v>
      </c>
      <c r="S2254" s="52"/>
      <c r="T2254" s="52"/>
      <c r="U2254" s="52"/>
      <c r="V2254" s="4295"/>
      <c r="W2254" s="3262"/>
      <c r="X2254" s="3265"/>
      <c r="Y2254" s="3265">
        <v>510</v>
      </c>
      <c r="Z2254" s="3262">
        <v>510</v>
      </c>
      <c r="AA2254" s="3262">
        <v>510</v>
      </c>
      <c r="AB2254" s="3262">
        <v>510</v>
      </c>
      <c r="AC2254" s="3262">
        <v>510</v>
      </c>
      <c r="AD2254" s="3262">
        <v>510</v>
      </c>
      <c r="AE2254" s="3262">
        <v>510</v>
      </c>
      <c r="AF2254" s="2236">
        <f t="shared" si="296"/>
        <v>510</v>
      </c>
      <c r="AG2254" s="1396"/>
      <c r="DG2254" s="573"/>
      <c r="DH2254" s="159"/>
      <c r="DI2254" s="1091"/>
      <c r="DJ2254" s="1187"/>
    </row>
    <row r="2255" spans="1:114" ht="15" hidden="1" customHeight="1" outlineLevel="1">
      <c r="A2255" s="453"/>
      <c r="C2255" s="51"/>
      <c r="D2255" s="4295"/>
      <c r="E2255" s="4295"/>
      <c r="F2255" s="4300" t="str">
        <f>$E$1804</f>
        <v>ASHP-SEER19-Replace_CAC_ElectricHeat_ER2_MF_CompE</v>
      </c>
      <c r="G2255" s="4301"/>
      <c r="H2255" s="4301"/>
      <c r="I2255" s="4302"/>
      <c r="J2255" s="3471" t="str">
        <f>$C$1804</f>
        <v>354451_2024_12_</v>
      </c>
      <c r="K2255" s="3263">
        <v>510</v>
      </c>
      <c r="L2255" s="3479"/>
      <c r="M2255" s="1841" t="s">
        <v>2498</v>
      </c>
      <c r="S2255" s="52"/>
      <c r="T2255" s="52"/>
      <c r="U2255" s="52"/>
      <c r="V2255" s="4295"/>
      <c r="W2255" s="3262"/>
      <c r="X2255" s="3265"/>
      <c r="Y2255" s="3265">
        <v>510</v>
      </c>
      <c r="Z2255" s="3262">
        <v>510</v>
      </c>
      <c r="AA2255" s="3262">
        <v>510</v>
      </c>
      <c r="AB2255" s="3262">
        <v>510</v>
      </c>
      <c r="AC2255" s="3262">
        <v>510</v>
      </c>
      <c r="AD2255" s="3262">
        <v>510</v>
      </c>
      <c r="AE2255" s="3262">
        <v>510</v>
      </c>
      <c r="AF2255" s="2236">
        <f t="shared" si="296"/>
        <v>510</v>
      </c>
      <c r="AG2255" s="1396"/>
      <c r="DG2255" s="573"/>
      <c r="DH2255" s="159"/>
      <c r="DI2255" s="1091"/>
      <c r="DJ2255" s="1187"/>
    </row>
    <row r="2256" spans="1:114" ht="15" hidden="1" customHeight="1" outlineLevel="1">
      <c r="A2256" s="453"/>
      <c r="C2256" s="51"/>
      <c r="D2256" s="4295"/>
      <c r="E2256" s="4295"/>
      <c r="F2256" s="4300" t="str">
        <f>$E$1806</f>
        <v>ASHP-SEER19-Replace_CAC_NonElectricHeat_ER1_MF</v>
      </c>
      <c r="G2256" s="4301"/>
      <c r="H2256" s="4301"/>
      <c r="I2256" s="4302"/>
      <c r="J2256" s="3471" t="str">
        <f>$C$1806</f>
        <v>354460_2024_12_</v>
      </c>
      <c r="K2256" s="3342">
        <v>1496</v>
      </c>
      <c r="L2256" s="3479"/>
      <c r="M2256" s="1841" t="s">
        <v>2497</v>
      </c>
      <c r="S2256" s="52"/>
      <c r="T2256" s="52"/>
      <c r="U2256" s="52"/>
      <c r="V2256" s="4295"/>
      <c r="W2256" s="3262"/>
      <c r="X2256" s="3265"/>
      <c r="Y2256" s="3265"/>
      <c r="Z2256" s="3262"/>
      <c r="AA2256" s="3262"/>
      <c r="AB2256" s="3262"/>
      <c r="AC2256" s="3279">
        <v>1496</v>
      </c>
      <c r="AD2256" s="3267">
        <v>1496</v>
      </c>
      <c r="AE2256" s="3267">
        <v>1496</v>
      </c>
      <c r="AF2256" s="2236">
        <f t="shared" si="296"/>
        <v>1496</v>
      </c>
      <c r="AG2256" s="1396"/>
      <c r="DG2256" s="573"/>
      <c r="DH2256" s="159"/>
      <c r="DI2256" s="1091"/>
      <c r="DJ2256" s="1187"/>
    </row>
    <row r="2257" spans="1:114" ht="15" hidden="1" customHeight="1" outlineLevel="1">
      <c r="A2257" s="453"/>
      <c r="C2257" s="51"/>
      <c r="D2257" s="4295"/>
      <c r="E2257" s="4295"/>
      <c r="F2257" s="4300" t="str">
        <f>$E$1808</f>
        <v>ASHP-SEER19-Replace_CAC_NonElectricHeat_ER2_MF</v>
      </c>
      <c r="G2257" s="4301"/>
      <c r="H2257" s="4301"/>
      <c r="I2257" s="4302"/>
      <c r="J2257" s="3471" t="str">
        <f>$C$1808</f>
        <v>354460_2024_12_</v>
      </c>
      <c r="K2257" s="3342">
        <v>1496</v>
      </c>
      <c r="L2257" s="3479"/>
      <c r="M2257" s="1841" t="s">
        <v>2497</v>
      </c>
      <c r="S2257" s="52"/>
      <c r="T2257" s="52"/>
      <c r="U2257" s="52"/>
      <c r="V2257" s="4295"/>
      <c r="W2257" s="3262"/>
      <c r="X2257" s="3265"/>
      <c r="Y2257" s="3265"/>
      <c r="Z2257" s="3262"/>
      <c r="AA2257" s="3262"/>
      <c r="AB2257" s="3262"/>
      <c r="AC2257" s="3279">
        <v>1496</v>
      </c>
      <c r="AD2257" s="3267">
        <v>1496</v>
      </c>
      <c r="AE2257" s="3267">
        <v>1496</v>
      </c>
      <c r="AF2257" s="2236">
        <f t="shared" si="296"/>
        <v>1496</v>
      </c>
      <c r="AG2257" s="1396"/>
      <c r="DG2257" s="573"/>
      <c r="DH2257" s="159"/>
      <c r="DI2257" s="1091"/>
      <c r="DJ2257" s="1187"/>
    </row>
    <row r="2258" spans="1:114" ht="15" hidden="1" customHeight="1" outlineLevel="1">
      <c r="A2258" s="453"/>
      <c r="C2258" s="51"/>
      <c r="D2258" s="4295"/>
      <c r="E2258" s="4295"/>
      <c r="F2258" s="4300" t="str">
        <f>$E$1810</f>
        <v>ASHP-SEER19-Replace_CAC_NonElectricHeat_ER1_MF_CompE</v>
      </c>
      <c r="G2258" s="4301"/>
      <c r="H2258" s="4301"/>
      <c r="I2258" s="4302"/>
      <c r="J2258" s="3471" t="str">
        <f>$C$1810</f>
        <v>354461_2024_12_</v>
      </c>
      <c r="K2258" s="3342">
        <v>510</v>
      </c>
      <c r="L2258" s="3479"/>
      <c r="M2258" s="1841" t="s">
        <v>2498</v>
      </c>
      <c r="S2258" s="52"/>
      <c r="T2258" s="52"/>
      <c r="U2258" s="52"/>
      <c r="V2258" s="4295"/>
      <c r="W2258" s="3262"/>
      <c r="X2258" s="3265"/>
      <c r="Y2258" s="3265"/>
      <c r="Z2258" s="3262"/>
      <c r="AA2258" s="3262"/>
      <c r="AB2258" s="3262"/>
      <c r="AC2258" s="3279">
        <v>510</v>
      </c>
      <c r="AD2258" s="3267">
        <v>510</v>
      </c>
      <c r="AE2258" s="3267">
        <v>510</v>
      </c>
      <c r="AF2258" s="2236">
        <f t="shared" si="296"/>
        <v>510</v>
      </c>
      <c r="AG2258" s="1396"/>
      <c r="DG2258" s="573"/>
      <c r="DH2258" s="159"/>
      <c r="DI2258" s="1091"/>
      <c r="DJ2258" s="1187"/>
    </row>
    <row r="2259" spans="1:114" ht="15" hidden="1" customHeight="1" outlineLevel="1">
      <c r="A2259" s="453"/>
      <c r="C2259" s="51"/>
      <c r="D2259" s="4295"/>
      <c r="E2259" s="4295"/>
      <c r="F2259" s="4300" t="str">
        <f>$E$1812</f>
        <v>ASHP-SEER19-Replace_CAC_NonElectricHeat_ER2_MF_CompE</v>
      </c>
      <c r="G2259" s="4301"/>
      <c r="H2259" s="4301"/>
      <c r="I2259" s="4302"/>
      <c r="J2259" s="3471" t="str">
        <f>$C$1812</f>
        <v>354461_2024_12_</v>
      </c>
      <c r="K2259" s="3342">
        <v>510</v>
      </c>
      <c r="L2259" s="3479"/>
      <c r="M2259" s="1841" t="s">
        <v>2498</v>
      </c>
      <c r="S2259" s="52"/>
      <c r="T2259" s="52"/>
      <c r="U2259" s="52"/>
      <c r="V2259" s="4295"/>
      <c r="W2259" s="3262"/>
      <c r="X2259" s="3265"/>
      <c r="Y2259" s="3265"/>
      <c r="Z2259" s="3262"/>
      <c r="AA2259" s="3262"/>
      <c r="AB2259" s="3262"/>
      <c r="AC2259" s="3279">
        <v>510</v>
      </c>
      <c r="AD2259" s="3267">
        <v>510</v>
      </c>
      <c r="AE2259" s="3267">
        <v>510</v>
      </c>
      <c r="AF2259" s="2236">
        <f t="shared" si="296"/>
        <v>510</v>
      </c>
      <c r="AG2259" s="1396"/>
      <c r="DG2259" s="573"/>
      <c r="DH2259" s="159"/>
      <c r="DI2259" s="1091"/>
      <c r="DJ2259" s="1187"/>
    </row>
    <row r="2260" spans="1:114" ht="15" hidden="1" customHeight="1" outlineLevel="1">
      <c r="A2260" s="453"/>
      <c r="C2260" s="51"/>
      <c r="D2260" s="4295"/>
      <c r="E2260" s="4295"/>
      <c r="F2260" s="4297" t="str">
        <f>$E$1814</f>
        <v>ASHP-SEER19_ER1_MF</v>
      </c>
      <c r="G2260" s="4298"/>
      <c r="H2260" s="4298"/>
      <c r="I2260" s="4299"/>
      <c r="J2260" s="1029" t="str">
        <f>$C$1814</f>
        <v>354500_2024_12_</v>
      </c>
      <c r="K2260" s="1790">
        <v>1496</v>
      </c>
      <c r="L2260" s="262"/>
      <c r="M2260" s="778" t="s">
        <v>2497</v>
      </c>
      <c r="S2260" s="52"/>
      <c r="T2260" s="52"/>
      <c r="U2260" s="52"/>
      <c r="V2260" s="4295"/>
      <c r="W2260" s="1396">
        <v>2009</v>
      </c>
      <c r="X2260" s="833">
        <v>1496</v>
      </c>
      <c r="Y2260" s="1396">
        <v>1496</v>
      </c>
      <c r="Z2260" s="1396">
        <v>1496</v>
      </c>
      <c r="AA2260" s="1396">
        <v>1496</v>
      </c>
      <c r="AB2260" s="1396">
        <v>1496</v>
      </c>
      <c r="AC2260" s="1396">
        <v>1496</v>
      </c>
      <c r="AD2260" s="1396">
        <v>1496</v>
      </c>
      <c r="AE2260" s="1396">
        <v>1496</v>
      </c>
      <c r="AF2260" s="271">
        <f t="shared" si="296"/>
        <v>1496</v>
      </c>
      <c r="AG2260" s="1396"/>
      <c r="DG2260" s="573"/>
      <c r="DH2260" s="159"/>
      <c r="DI2260" s="1091"/>
      <c r="DJ2260" s="1187"/>
    </row>
    <row r="2261" spans="1:114" ht="15" hidden="1" customHeight="1" outlineLevel="1">
      <c r="A2261" s="453"/>
      <c r="C2261" s="51"/>
      <c r="D2261" s="4295"/>
      <c r="E2261" s="4295"/>
      <c r="F2261" s="4297" t="str">
        <f>$E$1816</f>
        <v>ASHP-SEER19_ER2_MF</v>
      </c>
      <c r="G2261" s="4298"/>
      <c r="H2261" s="4298"/>
      <c r="I2261" s="4299"/>
      <c r="J2261" s="1029" t="str">
        <f>$C$1816</f>
        <v>354500_2024_12_</v>
      </c>
      <c r="K2261" s="1790">
        <v>1496</v>
      </c>
      <c r="L2261" s="262"/>
      <c r="M2261" s="778" t="s">
        <v>2497</v>
      </c>
      <c r="S2261" s="52"/>
      <c r="T2261" s="52"/>
      <c r="U2261" s="52"/>
      <c r="V2261" s="4295"/>
      <c r="W2261" s="1396">
        <v>2009</v>
      </c>
      <c r="X2261" s="833">
        <v>1496</v>
      </c>
      <c r="Y2261" s="1396">
        <v>1496</v>
      </c>
      <c r="Z2261" s="1396">
        <v>1496</v>
      </c>
      <c r="AA2261" s="1396">
        <v>1496</v>
      </c>
      <c r="AB2261" s="1396">
        <v>1496</v>
      </c>
      <c r="AC2261" s="1396">
        <v>1496</v>
      </c>
      <c r="AD2261" s="1396">
        <v>1496</v>
      </c>
      <c r="AE2261" s="1396">
        <v>1496</v>
      </c>
      <c r="AF2261" s="271">
        <f t="shared" si="296"/>
        <v>1496</v>
      </c>
      <c r="AG2261" s="1396"/>
      <c r="DG2261" s="573"/>
      <c r="DH2261" s="159"/>
      <c r="DI2261" s="1091"/>
      <c r="DJ2261" s="1187"/>
    </row>
    <row r="2262" spans="1:114" ht="15" hidden="1" customHeight="1" outlineLevel="1">
      <c r="A2262" s="453"/>
      <c r="C2262" s="51"/>
      <c r="D2262" s="4295"/>
      <c r="E2262" s="4295"/>
      <c r="F2262" s="4300" t="str">
        <f>$E$1818</f>
        <v>ASHP-SEER19_ER1_MF_CompE</v>
      </c>
      <c r="G2262" s="4301"/>
      <c r="H2262" s="4301"/>
      <c r="I2262" s="4302"/>
      <c r="J2262" s="3471" t="str">
        <f>$C$1818</f>
        <v>354501_2024_12_</v>
      </c>
      <c r="K2262" s="3263">
        <v>510</v>
      </c>
      <c r="L2262" s="3479"/>
      <c r="M2262" s="1841" t="s">
        <v>2498</v>
      </c>
      <c r="S2262" s="52"/>
      <c r="T2262" s="52"/>
      <c r="U2262" s="52"/>
      <c r="V2262" s="4295"/>
      <c r="W2262" s="3262"/>
      <c r="X2262" s="3265"/>
      <c r="Y2262" s="3265">
        <v>510</v>
      </c>
      <c r="Z2262" s="3262">
        <v>510</v>
      </c>
      <c r="AA2262" s="3262">
        <v>510</v>
      </c>
      <c r="AB2262" s="3262">
        <v>510</v>
      </c>
      <c r="AC2262" s="3262">
        <v>510</v>
      </c>
      <c r="AD2262" s="3262">
        <v>510</v>
      </c>
      <c r="AE2262" s="3262">
        <v>510</v>
      </c>
      <c r="AF2262" s="2236">
        <f t="shared" si="296"/>
        <v>510</v>
      </c>
      <c r="AG2262" s="1396"/>
      <c r="DG2262" s="573"/>
      <c r="DH2262" s="159"/>
      <c r="DI2262" s="1091"/>
      <c r="DJ2262" s="1187"/>
    </row>
    <row r="2263" spans="1:114" ht="15" hidden="1" customHeight="1" outlineLevel="1">
      <c r="A2263" s="453"/>
      <c r="C2263" s="51"/>
      <c r="D2263" s="4295"/>
      <c r="E2263" s="4295"/>
      <c r="F2263" s="4300" t="str">
        <f>$E$1820</f>
        <v>ASHP-SEER19_ER2_MF_CompE</v>
      </c>
      <c r="G2263" s="4301"/>
      <c r="H2263" s="4301"/>
      <c r="I2263" s="4302"/>
      <c r="J2263" s="3471" t="str">
        <f>$C$1820</f>
        <v>354501_2024_12_</v>
      </c>
      <c r="K2263" s="3263">
        <v>510</v>
      </c>
      <c r="L2263" s="3479"/>
      <c r="M2263" s="1841" t="s">
        <v>2498</v>
      </c>
      <c r="S2263" s="52"/>
      <c r="T2263" s="52"/>
      <c r="U2263" s="52"/>
      <c r="V2263" s="4295"/>
      <c r="W2263" s="3262"/>
      <c r="X2263" s="3265"/>
      <c r="Y2263" s="3265">
        <v>510</v>
      </c>
      <c r="Z2263" s="3262">
        <v>510</v>
      </c>
      <c r="AA2263" s="3262">
        <v>510</v>
      </c>
      <c r="AB2263" s="3262">
        <v>510</v>
      </c>
      <c r="AC2263" s="3262">
        <v>510</v>
      </c>
      <c r="AD2263" s="3262">
        <v>510</v>
      </c>
      <c r="AE2263" s="3262">
        <v>510</v>
      </c>
      <c r="AF2263" s="2236">
        <f t="shared" si="296"/>
        <v>510</v>
      </c>
      <c r="AG2263" s="1396"/>
      <c r="DG2263" s="573"/>
      <c r="DH2263" s="159"/>
      <c r="DI2263" s="1091"/>
      <c r="DJ2263" s="1187"/>
    </row>
    <row r="2264" spans="1:114" ht="15" hidden="1" customHeight="1" outlineLevel="1">
      <c r="A2264" s="453"/>
      <c r="C2264" s="51"/>
      <c r="D2264" s="4295"/>
      <c r="E2264" s="4295"/>
      <c r="F2264" s="4297" t="str">
        <f>$E$1822</f>
        <v>ASHP-SEER20_ER1_SF</v>
      </c>
      <c r="G2264" s="4298"/>
      <c r="H2264" s="4298"/>
      <c r="I2264" s="4299"/>
      <c r="J2264" s="1029" t="str">
        <f>$C$1822</f>
        <v>354550_2024_12_</v>
      </c>
      <c r="K2264" s="1790">
        <v>1496</v>
      </c>
      <c r="L2264" s="262"/>
      <c r="M2264" s="778" t="s">
        <v>2497</v>
      </c>
      <c r="S2264" s="52"/>
      <c r="T2264" s="52"/>
      <c r="U2264" s="52"/>
      <c r="V2264" s="4295"/>
      <c r="W2264" s="1396">
        <v>2009</v>
      </c>
      <c r="X2264" s="833">
        <v>1496</v>
      </c>
      <c r="Y2264" s="1396">
        <v>1496</v>
      </c>
      <c r="Z2264" s="1396">
        <v>1496</v>
      </c>
      <c r="AA2264" s="1396">
        <v>1496</v>
      </c>
      <c r="AB2264" s="1396">
        <v>1496</v>
      </c>
      <c r="AC2264" s="1396">
        <v>1496</v>
      </c>
      <c r="AD2264" s="1396">
        <v>1496</v>
      </c>
      <c r="AE2264" s="1396">
        <v>1496</v>
      </c>
      <c r="AF2264" s="271">
        <f t="shared" si="296"/>
        <v>1496</v>
      </c>
      <c r="AG2264" s="1396"/>
      <c r="DG2264" s="573"/>
      <c r="DH2264" s="159"/>
      <c r="DI2264" s="1091"/>
      <c r="DJ2264" s="1187"/>
    </row>
    <row r="2265" spans="1:114" ht="15" hidden="1" customHeight="1" outlineLevel="1">
      <c r="A2265" s="453"/>
      <c r="C2265" s="51"/>
      <c r="D2265" s="4295"/>
      <c r="E2265" s="4295"/>
      <c r="F2265" s="4297" t="str">
        <f>$E$1824</f>
        <v>ASHP-SEER20_ER2_SF</v>
      </c>
      <c r="G2265" s="4298"/>
      <c r="H2265" s="4298"/>
      <c r="I2265" s="4299"/>
      <c r="J2265" s="1029" t="str">
        <f>$C$1824</f>
        <v>354550_2024_12_</v>
      </c>
      <c r="K2265" s="1790">
        <v>1496</v>
      </c>
      <c r="L2265" s="262"/>
      <c r="M2265" s="778" t="s">
        <v>2497</v>
      </c>
      <c r="S2265" s="52"/>
      <c r="T2265" s="52"/>
      <c r="U2265" s="52"/>
      <c r="V2265" s="4295"/>
      <c r="W2265" s="1396">
        <v>2009</v>
      </c>
      <c r="X2265" s="833">
        <v>1496</v>
      </c>
      <c r="Y2265" s="1396">
        <v>1496</v>
      </c>
      <c r="Z2265" s="1396">
        <v>1496</v>
      </c>
      <c r="AA2265" s="1396">
        <v>1496</v>
      </c>
      <c r="AB2265" s="1396">
        <v>1496</v>
      </c>
      <c r="AC2265" s="1396">
        <v>1496</v>
      </c>
      <c r="AD2265" s="1396">
        <v>1496</v>
      </c>
      <c r="AE2265" s="1396">
        <v>1496</v>
      </c>
      <c r="AF2265" s="271">
        <f t="shared" si="296"/>
        <v>1496</v>
      </c>
      <c r="AG2265" s="1396"/>
      <c r="DG2265" s="573"/>
      <c r="DH2265" s="159"/>
      <c r="DI2265" s="1091"/>
      <c r="DJ2265" s="1187"/>
    </row>
    <row r="2266" spans="1:114" ht="15" hidden="1" customHeight="1" outlineLevel="1">
      <c r="A2266" s="453"/>
      <c r="C2266" s="51"/>
      <c r="D2266" s="4295"/>
      <c r="E2266" s="4295"/>
      <c r="F2266" s="4297" t="str">
        <f>$E$1826</f>
        <v>ASHP-SEER20_ROF_SF</v>
      </c>
      <c r="G2266" s="4298"/>
      <c r="H2266" s="4298"/>
      <c r="I2266" s="4299"/>
      <c r="J2266" s="1029" t="str">
        <f>$C$1826</f>
        <v>354600_2024_12_</v>
      </c>
      <c r="K2266" s="1790">
        <v>1496</v>
      </c>
      <c r="L2266" s="262"/>
      <c r="M2266" s="778" t="s">
        <v>2497</v>
      </c>
      <c r="S2266" s="52"/>
      <c r="T2266" s="52"/>
      <c r="U2266" s="52"/>
      <c r="V2266" s="4295"/>
      <c r="W2266" s="1396">
        <v>2009</v>
      </c>
      <c r="X2266" s="833">
        <v>1496</v>
      </c>
      <c r="Y2266" s="1396">
        <v>1496</v>
      </c>
      <c r="Z2266" s="1396">
        <v>1496</v>
      </c>
      <c r="AA2266" s="1396">
        <v>1496</v>
      </c>
      <c r="AB2266" s="1396">
        <v>1496</v>
      </c>
      <c r="AC2266" s="1396">
        <v>1496</v>
      </c>
      <c r="AD2266" s="1396">
        <v>1496</v>
      </c>
      <c r="AE2266" s="1396">
        <v>1496</v>
      </c>
      <c r="AF2266" s="271">
        <f t="shared" si="296"/>
        <v>1496</v>
      </c>
      <c r="AG2266" s="1396"/>
      <c r="DG2266" s="573"/>
      <c r="DH2266" s="159"/>
      <c r="DI2266" s="1091"/>
      <c r="DJ2266" s="1187"/>
    </row>
    <row r="2267" spans="1:114" ht="15" hidden="1" customHeight="1" outlineLevel="1">
      <c r="A2267" s="453"/>
      <c r="C2267" s="51"/>
      <c r="D2267" s="4295"/>
      <c r="E2267" s="4295"/>
      <c r="F2267" s="4297" t="str">
        <f>$E$1828</f>
        <v>ASHP-SEER20-Replace_CAC_ElectricHeat_ER1_MF</v>
      </c>
      <c r="G2267" s="4298"/>
      <c r="H2267" s="4298"/>
      <c r="I2267" s="4299"/>
      <c r="J2267" s="1029" t="str">
        <f>$C$1828</f>
        <v>354650_2024_12_</v>
      </c>
      <c r="K2267" s="1790">
        <v>1496</v>
      </c>
      <c r="L2267" s="262"/>
      <c r="M2267" s="778" t="s">
        <v>2497</v>
      </c>
      <c r="S2267" s="52"/>
      <c r="T2267" s="52"/>
      <c r="U2267" s="52"/>
      <c r="V2267" s="4295"/>
      <c r="W2267" s="1396">
        <v>2009</v>
      </c>
      <c r="X2267" s="833">
        <v>1496</v>
      </c>
      <c r="Y2267" s="1396">
        <v>1496</v>
      </c>
      <c r="Z2267" s="1396">
        <v>1496</v>
      </c>
      <c r="AA2267" s="1396">
        <v>1496</v>
      </c>
      <c r="AB2267" s="1396">
        <v>1496</v>
      </c>
      <c r="AC2267" s="1396">
        <v>1496</v>
      </c>
      <c r="AD2267" s="1396">
        <v>1496</v>
      </c>
      <c r="AE2267" s="1396">
        <v>1496</v>
      </c>
      <c r="AF2267" s="271">
        <f t="shared" si="296"/>
        <v>1496</v>
      </c>
      <c r="AG2267" s="1396"/>
      <c r="DG2267" s="573"/>
      <c r="DH2267" s="159"/>
      <c r="DI2267" s="1091"/>
      <c r="DJ2267" s="1187"/>
    </row>
    <row r="2268" spans="1:114" ht="15" hidden="1" customHeight="1" outlineLevel="1">
      <c r="A2268" s="453"/>
      <c r="C2268" s="51"/>
      <c r="D2268" s="4295"/>
      <c r="E2268" s="4295"/>
      <c r="F2268" s="4297" t="str">
        <f>$E$1830</f>
        <v>ASHP-SEER20-Replace_CAC_ElectricHeat_ER2_MF</v>
      </c>
      <c r="G2268" s="4298"/>
      <c r="H2268" s="4298"/>
      <c r="I2268" s="4299"/>
      <c r="J2268" s="1029" t="str">
        <f>$C$1830</f>
        <v>354650_2024_12_</v>
      </c>
      <c r="K2268" s="1790">
        <v>1496</v>
      </c>
      <c r="L2268" s="262"/>
      <c r="M2268" s="778" t="s">
        <v>2497</v>
      </c>
      <c r="S2268" s="52"/>
      <c r="T2268" s="52"/>
      <c r="U2268" s="52"/>
      <c r="V2268" s="4295"/>
      <c r="W2268" s="1396">
        <v>2009</v>
      </c>
      <c r="X2268" s="833">
        <v>1496</v>
      </c>
      <c r="Y2268" s="1396">
        <v>1496</v>
      </c>
      <c r="Z2268" s="1396">
        <v>1496</v>
      </c>
      <c r="AA2268" s="1396">
        <v>1496</v>
      </c>
      <c r="AB2268" s="1396">
        <v>1496</v>
      </c>
      <c r="AC2268" s="1396">
        <v>1496</v>
      </c>
      <c r="AD2268" s="1396">
        <v>1496</v>
      </c>
      <c r="AE2268" s="1396">
        <v>1496</v>
      </c>
      <c r="AF2268" s="271">
        <f t="shared" si="296"/>
        <v>1496</v>
      </c>
      <c r="AG2268" s="1396"/>
      <c r="DG2268" s="573"/>
      <c r="DH2268" s="159"/>
      <c r="DI2268" s="1091"/>
      <c r="DJ2268" s="1187"/>
    </row>
    <row r="2269" spans="1:114" ht="15" hidden="1" customHeight="1" outlineLevel="1">
      <c r="A2269" s="453"/>
      <c r="C2269" s="51"/>
      <c r="D2269" s="4295"/>
      <c r="E2269" s="4295"/>
      <c r="F2269" s="4300" t="str">
        <f>$E$1832</f>
        <v>ASHP-SEER20-Replace_CAC_ElectricHeat_ER1_MF_CompE</v>
      </c>
      <c r="G2269" s="4301"/>
      <c r="H2269" s="4301"/>
      <c r="I2269" s="4302"/>
      <c r="J2269" s="3471" t="str">
        <f>$C$1832</f>
        <v>354651_2024_12_</v>
      </c>
      <c r="K2269" s="3263">
        <v>510</v>
      </c>
      <c r="L2269" s="3479"/>
      <c r="M2269" s="1841" t="s">
        <v>2498</v>
      </c>
      <c r="S2269" s="52"/>
      <c r="T2269" s="52"/>
      <c r="U2269" s="52"/>
      <c r="V2269" s="4295"/>
      <c r="W2269" s="3262"/>
      <c r="X2269" s="3265"/>
      <c r="Y2269" s="3265">
        <v>510</v>
      </c>
      <c r="Z2269" s="3262">
        <v>510</v>
      </c>
      <c r="AA2269" s="3262">
        <v>510</v>
      </c>
      <c r="AB2269" s="3262">
        <v>510</v>
      </c>
      <c r="AC2269" s="3262">
        <v>510</v>
      </c>
      <c r="AD2269" s="3262">
        <v>510</v>
      </c>
      <c r="AE2269" s="3262">
        <v>510</v>
      </c>
      <c r="AF2269" s="2236">
        <f t="shared" si="296"/>
        <v>510</v>
      </c>
      <c r="AG2269" s="1396"/>
      <c r="DG2269" s="573"/>
      <c r="DH2269" s="159"/>
      <c r="DI2269" s="1091"/>
      <c r="DJ2269" s="1187"/>
    </row>
    <row r="2270" spans="1:114" ht="15" hidden="1" customHeight="1" outlineLevel="1">
      <c r="A2270" s="453"/>
      <c r="C2270" s="51"/>
      <c r="D2270" s="4295"/>
      <c r="E2270" s="4295"/>
      <c r="F2270" s="4300" t="str">
        <f>$E$1834</f>
        <v>ASHP-SEER20-Replace_CAC_ElectricHeat_ER2_MF_CompE</v>
      </c>
      <c r="G2270" s="4301"/>
      <c r="H2270" s="4301"/>
      <c r="I2270" s="4302"/>
      <c r="J2270" s="3471" t="str">
        <f>$C$1834</f>
        <v>354651_2024_12_</v>
      </c>
      <c r="K2270" s="3263">
        <v>510</v>
      </c>
      <c r="L2270" s="3479"/>
      <c r="M2270" s="1841" t="s">
        <v>2498</v>
      </c>
      <c r="S2270" s="52"/>
      <c r="T2270" s="52"/>
      <c r="U2270" s="52"/>
      <c r="V2270" s="4295"/>
      <c r="W2270" s="3262"/>
      <c r="X2270" s="3265"/>
      <c r="Y2270" s="3265">
        <v>510</v>
      </c>
      <c r="Z2270" s="3262">
        <v>510</v>
      </c>
      <c r="AA2270" s="3262">
        <v>510</v>
      </c>
      <c r="AB2270" s="3262">
        <v>510</v>
      </c>
      <c r="AC2270" s="3262">
        <v>510</v>
      </c>
      <c r="AD2270" s="3262">
        <v>510</v>
      </c>
      <c r="AE2270" s="3262">
        <v>510</v>
      </c>
      <c r="AF2270" s="2236">
        <f t="shared" si="296"/>
        <v>510</v>
      </c>
      <c r="AG2270" s="1396"/>
      <c r="DG2270" s="573"/>
      <c r="DH2270" s="159"/>
      <c r="DI2270" s="1091"/>
      <c r="DJ2270" s="1187"/>
    </row>
    <row r="2271" spans="1:114" ht="15" hidden="1" customHeight="1" outlineLevel="1">
      <c r="A2271" s="453"/>
      <c r="C2271" s="51"/>
      <c r="D2271" s="4295"/>
      <c r="E2271" s="4295"/>
      <c r="F2271" s="4300" t="str">
        <f>$E$1836</f>
        <v>ASHP-SEER20-Replace_CAC_NonElectricHeat_ER1_MF</v>
      </c>
      <c r="G2271" s="4301"/>
      <c r="H2271" s="4301"/>
      <c r="I2271" s="4302"/>
      <c r="J2271" s="3471" t="str">
        <f>$C$1836</f>
        <v>354660_2024_12_</v>
      </c>
      <c r="K2271" s="3342">
        <v>1496</v>
      </c>
      <c r="L2271" s="3479"/>
      <c r="M2271" s="1841" t="s">
        <v>2497</v>
      </c>
      <c r="S2271" s="52"/>
      <c r="T2271" s="52"/>
      <c r="U2271" s="52"/>
      <c r="V2271" s="4295"/>
      <c r="W2271" s="3262"/>
      <c r="X2271" s="3265"/>
      <c r="Y2271" s="3265"/>
      <c r="Z2271" s="3262"/>
      <c r="AA2271" s="3262"/>
      <c r="AB2271" s="3262"/>
      <c r="AC2271" s="3279">
        <v>1496</v>
      </c>
      <c r="AD2271" s="3267">
        <v>1496</v>
      </c>
      <c r="AE2271" s="3267">
        <v>1496</v>
      </c>
      <c r="AF2271" s="2236">
        <f t="shared" si="296"/>
        <v>1496</v>
      </c>
      <c r="AG2271" s="1396"/>
      <c r="DG2271" s="573"/>
      <c r="DH2271" s="159"/>
      <c r="DI2271" s="1091"/>
      <c r="DJ2271" s="1187"/>
    </row>
    <row r="2272" spans="1:114" ht="15" hidden="1" customHeight="1" outlineLevel="1">
      <c r="A2272" s="453"/>
      <c r="C2272" s="51"/>
      <c r="D2272" s="4295"/>
      <c r="E2272" s="4295"/>
      <c r="F2272" s="4300" t="str">
        <f>$E$1838</f>
        <v>ASHP-SEER20-Replace_CAC_NonElectricHeat_ER2_MF</v>
      </c>
      <c r="G2272" s="4301"/>
      <c r="H2272" s="4301"/>
      <c r="I2272" s="4302"/>
      <c r="J2272" s="3471" t="str">
        <f>$C$1838</f>
        <v>354660_2024_12_</v>
      </c>
      <c r="K2272" s="3342">
        <v>1496</v>
      </c>
      <c r="L2272" s="3479"/>
      <c r="M2272" s="1841" t="s">
        <v>2497</v>
      </c>
      <c r="S2272" s="52"/>
      <c r="T2272" s="52"/>
      <c r="U2272" s="52"/>
      <c r="V2272" s="4295"/>
      <c r="W2272" s="3262"/>
      <c r="X2272" s="3265"/>
      <c r="Y2272" s="3265"/>
      <c r="Z2272" s="3262"/>
      <c r="AA2272" s="3262"/>
      <c r="AB2272" s="3262"/>
      <c r="AC2272" s="3279">
        <v>1496</v>
      </c>
      <c r="AD2272" s="3267">
        <v>1496</v>
      </c>
      <c r="AE2272" s="3267">
        <v>1496</v>
      </c>
      <c r="AF2272" s="2236">
        <f t="shared" si="296"/>
        <v>1496</v>
      </c>
      <c r="AG2272" s="1396"/>
      <c r="DG2272" s="573"/>
      <c r="DH2272" s="159"/>
      <c r="DI2272" s="1091"/>
      <c r="DJ2272" s="1187"/>
    </row>
    <row r="2273" spans="1:114" ht="15" hidden="1" customHeight="1" outlineLevel="1">
      <c r="A2273" s="453"/>
      <c r="C2273" s="51"/>
      <c r="D2273" s="4295"/>
      <c r="E2273" s="4295"/>
      <c r="F2273" s="4300" t="str">
        <f>$E$1840</f>
        <v>ASHP-SEER20-Replace_CAC_NonElectricHeat_ER1_MF_CompE</v>
      </c>
      <c r="G2273" s="4301"/>
      <c r="H2273" s="4301"/>
      <c r="I2273" s="4302"/>
      <c r="J2273" s="3471" t="str">
        <f>$C$1840</f>
        <v>354661_2024_12_</v>
      </c>
      <c r="K2273" s="3342">
        <v>510</v>
      </c>
      <c r="L2273" s="3479"/>
      <c r="M2273" s="1841" t="s">
        <v>2498</v>
      </c>
      <c r="S2273" s="52"/>
      <c r="T2273" s="52"/>
      <c r="U2273" s="52"/>
      <c r="V2273" s="4295"/>
      <c r="W2273" s="3262"/>
      <c r="X2273" s="3265"/>
      <c r="Y2273" s="3265"/>
      <c r="Z2273" s="3262"/>
      <c r="AA2273" s="3262"/>
      <c r="AB2273" s="3262"/>
      <c r="AC2273" s="3279">
        <v>510</v>
      </c>
      <c r="AD2273" s="3267">
        <v>510</v>
      </c>
      <c r="AE2273" s="3267">
        <v>510</v>
      </c>
      <c r="AF2273" s="2236">
        <f t="shared" si="296"/>
        <v>510</v>
      </c>
      <c r="AG2273" s="1396"/>
      <c r="DG2273" s="573"/>
      <c r="DH2273" s="159"/>
      <c r="DI2273" s="1091"/>
      <c r="DJ2273" s="1187"/>
    </row>
    <row r="2274" spans="1:114" ht="15" hidden="1" customHeight="1" outlineLevel="1">
      <c r="A2274" s="453"/>
      <c r="C2274" s="51"/>
      <c r="D2274" s="4295"/>
      <c r="E2274" s="4295"/>
      <c r="F2274" s="4300" t="str">
        <f>$E$1842</f>
        <v>ASHP-SEER20-Replace_CAC_NonElectricHeat_ER2_MF_CompE</v>
      </c>
      <c r="G2274" s="4301"/>
      <c r="H2274" s="4301"/>
      <c r="I2274" s="4302"/>
      <c r="J2274" s="3471" t="str">
        <f>$C$1842</f>
        <v>354661_2024_12_</v>
      </c>
      <c r="K2274" s="3342">
        <v>510</v>
      </c>
      <c r="L2274" s="3479"/>
      <c r="M2274" s="1841" t="s">
        <v>2498</v>
      </c>
      <c r="S2274" s="52"/>
      <c r="T2274" s="52"/>
      <c r="U2274" s="52"/>
      <c r="V2274" s="4295"/>
      <c r="W2274" s="3262"/>
      <c r="X2274" s="3265"/>
      <c r="Y2274" s="3265"/>
      <c r="Z2274" s="3262"/>
      <c r="AA2274" s="3262"/>
      <c r="AB2274" s="3262"/>
      <c r="AC2274" s="3279">
        <v>510</v>
      </c>
      <c r="AD2274" s="3267">
        <v>510</v>
      </c>
      <c r="AE2274" s="3267">
        <v>510</v>
      </c>
      <c r="AF2274" s="2236">
        <f t="shared" si="296"/>
        <v>510</v>
      </c>
      <c r="AG2274" s="1396"/>
      <c r="DG2274" s="573"/>
      <c r="DH2274" s="159"/>
      <c r="DI2274" s="1091"/>
      <c r="DJ2274" s="1187"/>
    </row>
    <row r="2275" spans="1:114" ht="15" hidden="1" customHeight="1" outlineLevel="1">
      <c r="A2275" s="453"/>
      <c r="C2275" s="51"/>
      <c r="D2275" s="4295"/>
      <c r="E2275" s="4295"/>
      <c r="F2275" s="4297" t="str">
        <f>$E$1844</f>
        <v>ASHP-SEER20_ER1_MF</v>
      </c>
      <c r="G2275" s="4298"/>
      <c r="H2275" s="4298"/>
      <c r="I2275" s="4299"/>
      <c r="J2275" s="1029" t="str">
        <f>$C$1844</f>
        <v>354700_2024_12_</v>
      </c>
      <c r="K2275" s="1790">
        <v>1496</v>
      </c>
      <c r="L2275" s="262"/>
      <c r="M2275" s="778" t="s">
        <v>2497</v>
      </c>
      <c r="S2275" s="52"/>
      <c r="T2275" s="52"/>
      <c r="U2275" s="52"/>
      <c r="V2275" s="4295"/>
      <c r="W2275" s="1396">
        <v>2009</v>
      </c>
      <c r="X2275" s="833">
        <v>1496</v>
      </c>
      <c r="Y2275" s="1396">
        <v>1496</v>
      </c>
      <c r="Z2275" s="1396">
        <v>1496</v>
      </c>
      <c r="AA2275" s="1396">
        <v>1496</v>
      </c>
      <c r="AB2275" s="1396">
        <v>1496</v>
      </c>
      <c r="AC2275" s="1396">
        <v>1496</v>
      </c>
      <c r="AD2275" s="1396">
        <v>1496</v>
      </c>
      <c r="AE2275" s="1396">
        <v>1496</v>
      </c>
      <c r="AF2275" s="271">
        <f t="shared" si="296"/>
        <v>1496</v>
      </c>
      <c r="AG2275" s="1396"/>
      <c r="DG2275" s="573"/>
      <c r="DH2275" s="159"/>
      <c r="DI2275" s="1091"/>
      <c r="DJ2275" s="1187"/>
    </row>
    <row r="2276" spans="1:114" ht="15" hidden="1" customHeight="1" outlineLevel="1">
      <c r="A2276" s="453"/>
      <c r="C2276" s="51"/>
      <c r="D2276" s="4295"/>
      <c r="E2276" s="4295"/>
      <c r="F2276" s="4297" t="str">
        <f>$E$1846</f>
        <v>ASHP-SEER20_ER2_MF</v>
      </c>
      <c r="G2276" s="4298"/>
      <c r="H2276" s="4298"/>
      <c r="I2276" s="4299"/>
      <c r="J2276" s="1029" t="str">
        <f>$C$1846</f>
        <v>354700_2024_12_</v>
      </c>
      <c r="K2276" s="1790">
        <v>1496</v>
      </c>
      <c r="L2276" s="262"/>
      <c r="M2276" s="778" t="s">
        <v>2497</v>
      </c>
      <c r="S2276" s="52"/>
      <c r="T2276" s="52"/>
      <c r="U2276" s="52"/>
      <c r="V2276" s="4295"/>
      <c r="W2276" s="1396">
        <v>2009</v>
      </c>
      <c r="X2276" s="833">
        <v>1496</v>
      </c>
      <c r="Y2276" s="1396">
        <v>1496</v>
      </c>
      <c r="Z2276" s="1396">
        <v>1496</v>
      </c>
      <c r="AA2276" s="1396">
        <v>1496</v>
      </c>
      <c r="AB2276" s="1396">
        <v>1496</v>
      </c>
      <c r="AC2276" s="1396">
        <v>1496</v>
      </c>
      <c r="AD2276" s="1396">
        <v>1496</v>
      </c>
      <c r="AE2276" s="1396">
        <v>1496</v>
      </c>
      <c r="AF2276" s="271">
        <f t="shared" si="296"/>
        <v>1496</v>
      </c>
      <c r="AG2276" s="1396"/>
      <c r="DG2276" s="573"/>
      <c r="DH2276" s="159"/>
      <c r="DI2276" s="1091"/>
      <c r="DJ2276" s="1187"/>
    </row>
    <row r="2277" spans="1:114" ht="15" hidden="1" customHeight="1" outlineLevel="1">
      <c r="A2277" s="453"/>
      <c r="C2277" s="51"/>
      <c r="D2277" s="4295"/>
      <c r="E2277" s="4295"/>
      <c r="F2277" s="4300" t="str">
        <f>$E$1848</f>
        <v>ASHP-SEER20_ER1_MF_CompE</v>
      </c>
      <c r="G2277" s="4301"/>
      <c r="H2277" s="4301"/>
      <c r="I2277" s="4302"/>
      <c r="J2277" s="3471" t="str">
        <f>$C$1848</f>
        <v>354701_2024_12_</v>
      </c>
      <c r="K2277" s="3263">
        <v>510</v>
      </c>
      <c r="L2277" s="3479"/>
      <c r="M2277" s="1841" t="s">
        <v>2498</v>
      </c>
      <c r="S2277" s="52"/>
      <c r="T2277" s="52"/>
      <c r="U2277" s="52"/>
      <c r="V2277" s="4295"/>
      <c r="W2277" s="3262"/>
      <c r="X2277" s="3265"/>
      <c r="Y2277" s="3265">
        <v>510</v>
      </c>
      <c r="Z2277" s="3262">
        <v>510</v>
      </c>
      <c r="AA2277" s="3262">
        <v>510</v>
      </c>
      <c r="AB2277" s="3262">
        <v>510</v>
      </c>
      <c r="AC2277" s="3262">
        <v>510</v>
      </c>
      <c r="AD2277" s="3262">
        <v>510</v>
      </c>
      <c r="AE2277" s="3262">
        <v>510</v>
      </c>
      <c r="AF2277" s="2236">
        <f t="shared" si="296"/>
        <v>510</v>
      </c>
      <c r="AG2277" s="1396"/>
      <c r="DG2277" s="573"/>
      <c r="DH2277" s="159"/>
      <c r="DI2277" s="1091"/>
      <c r="DJ2277" s="1187"/>
    </row>
    <row r="2278" spans="1:114" ht="15" hidden="1" customHeight="1" outlineLevel="1">
      <c r="A2278" s="453"/>
      <c r="C2278" s="51"/>
      <c r="D2278" s="4295"/>
      <c r="E2278" s="4295"/>
      <c r="F2278" s="4300" t="str">
        <f>$E$1850</f>
        <v>ASHP-SEER20_ER2_MF_CompE</v>
      </c>
      <c r="G2278" s="4301"/>
      <c r="H2278" s="4301"/>
      <c r="I2278" s="4302"/>
      <c r="J2278" s="3471" t="str">
        <f>$C$1850</f>
        <v>354701_2024_12_</v>
      </c>
      <c r="K2278" s="3263">
        <v>510</v>
      </c>
      <c r="L2278" s="3479"/>
      <c r="M2278" s="1841" t="s">
        <v>2498</v>
      </c>
      <c r="S2278" s="52"/>
      <c r="T2278" s="52"/>
      <c r="U2278" s="52"/>
      <c r="V2278" s="4295"/>
      <c r="W2278" s="3262"/>
      <c r="X2278" s="3265"/>
      <c r="Y2278" s="3265">
        <v>510</v>
      </c>
      <c r="Z2278" s="3262">
        <v>510</v>
      </c>
      <c r="AA2278" s="3262">
        <v>510</v>
      </c>
      <c r="AB2278" s="3262">
        <v>510</v>
      </c>
      <c r="AC2278" s="3262">
        <v>510</v>
      </c>
      <c r="AD2278" s="3262">
        <v>510</v>
      </c>
      <c r="AE2278" s="3262">
        <v>510</v>
      </c>
      <c r="AF2278" s="2236">
        <f t="shared" si="296"/>
        <v>510</v>
      </c>
      <c r="AG2278" s="1396"/>
      <c r="DG2278" s="573"/>
      <c r="DH2278" s="159"/>
      <c r="DI2278" s="1091"/>
      <c r="DJ2278" s="1187"/>
    </row>
    <row r="2279" spans="1:114" ht="15" hidden="1" customHeight="1" outlineLevel="1">
      <c r="A2279" s="453"/>
      <c r="C2279" s="51"/>
      <c r="D2279" s="4295"/>
      <c r="E2279" s="4295"/>
      <c r="F2279" s="4297" t="str">
        <f>$E$1852</f>
        <v>ASHP-SEER21_ER1_SF</v>
      </c>
      <c r="G2279" s="4298"/>
      <c r="H2279" s="4298"/>
      <c r="I2279" s="4299"/>
      <c r="J2279" s="1029" t="str">
        <f>$C$1852</f>
        <v>354750_2024_12_</v>
      </c>
      <c r="K2279" s="1790">
        <v>1496</v>
      </c>
      <c r="L2279" s="262"/>
      <c r="M2279" s="778" t="s">
        <v>2497</v>
      </c>
      <c r="S2279" s="52"/>
      <c r="T2279" s="52"/>
      <c r="U2279" s="52"/>
      <c r="V2279" s="4295"/>
      <c r="W2279" s="1396">
        <v>2009</v>
      </c>
      <c r="X2279" s="833">
        <v>1496</v>
      </c>
      <c r="Y2279" s="1396">
        <v>1496</v>
      </c>
      <c r="Z2279" s="1396">
        <v>1496</v>
      </c>
      <c r="AA2279" s="1396">
        <v>1496</v>
      </c>
      <c r="AB2279" s="1396">
        <v>1496</v>
      </c>
      <c r="AC2279" s="1396">
        <v>1496</v>
      </c>
      <c r="AD2279" s="1396">
        <v>1496</v>
      </c>
      <c r="AE2279" s="1396">
        <v>1496</v>
      </c>
      <c r="AF2279" s="271">
        <f t="shared" si="296"/>
        <v>1496</v>
      </c>
      <c r="AG2279" s="1396"/>
      <c r="DG2279" s="573"/>
      <c r="DH2279" s="159"/>
      <c r="DI2279" s="1091"/>
      <c r="DJ2279" s="1187"/>
    </row>
    <row r="2280" spans="1:114" ht="15" hidden="1" customHeight="1" outlineLevel="1">
      <c r="A2280" s="453"/>
      <c r="C2280" s="51"/>
      <c r="D2280" s="4295"/>
      <c r="E2280" s="4295"/>
      <c r="F2280" s="4297" t="str">
        <f>$E$1854</f>
        <v>ASHP-SEER21_ER2_SF</v>
      </c>
      <c r="G2280" s="4298"/>
      <c r="H2280" s="4298"/>
      <c r="I2280" s="4299"/>
      <c r="J2280" s="1029" t="str">
        <f>$C$1854</f>
        <v>354750_2024_12_</v>
      </c>
      <c r="K2280" s="1790">
        <v>1496</v>
      </c>
      <c r="L2280" s="262"/>
      <c r="M2280" s="778" t="s">
        <v>2497</v>
      </c>
      <c r="S2280" s="52"/>
      <c r="T2280" s="52"/>
      <c r="U2280" s="52"/>
      <c r="V2280" s="4295"/>
      <c r="W2280" s="1396">
        <v>2009</v>
      </c>
      <c r="X2280" s="833">
        <v>1496</v>
      </c>
      <c r="Y2280" s="1396">
        <v>1496</v>
      </c>
      <c r="Z2280" s="1396">
        <v>1496</v>
      </c>
      <c r="AA2280" s="1396">
        <v>1496</v>
      </c>
      <c r="AB2280" s="1396">
        <v>1496</v>
      </c>
      <c r="AC2280" s="1396">
        <v>1496</v>
      </c>
      <c r="AD2280" s="1396">
        <v>1496</v>
      </c>
      <c r="AE2280" s="1396">
        <v>1496</v>
      </c>
      <c r="AF2280" s="271">
        <f t="shared" si="296"/>
        <v>1496</v>
      </c>
      <c r="AG2280" s="1396"/>
      <c r="DG2280" s="573"/>
      <c r="DH2280" s="159"/>
      <c r="DI2280" s="1091"/>
      <c r="DJ2280" s="1187"/>
    </row>
    <row r="2281" spans="1:114" ht="15" hidden="1" customHeight="1" outlineLevel="1">
      <c r="A2281" s="453"/>
      <c r="C2281" s="51"/>
      <c r="D2281" s="4295"/>
      <c r="E2281" s="4295"/>
      <c r="F2281" s="4297" t="str">
        <f>$E$1856</f>
        <v>ASHP-SEER21_ROF_SF</v>
      </c>
      <c r="G2281" s="4298"/>
      <c r="H2281" s="4298"/>
      <c r="I2281" s="4299"/>
      <c r="J2281" s="1029" t="str">
        <f>$C$1856</f>
        <v>354800_2024_12_</v>
      </c>
      <c r="K2281" s="1790">
        <v>1496</v>
      </c>
      <c r="L2281" s="262"/>
      <c r="M2281" s="778" t="s">
        <v>2497</v>
      </c>
      <c r="S2281" s="52"/>
      <c r="T2281" s="52"/>
      <c r="U2281" s="52"/>
      <c r="V2281" s="4295"/>
      <c r="W2281" s="1396">
        <v>2009</v>
      </c>
      <c r="X2281" s="833">
        <v>1496</v>
      </c>
      <c r="Y2281" s="1396">
        <v>1496</v>
      </c>
      <c r="Z2281" s="1396">
        <v>1496</v>
      </c>
      <c r="AA2281" s="1396">
        <v>1496</v>
      </c>
      <c r="AB2281" s="1396">
        <v>1496</v>
      </c>
      <c r="AC2281" s="1396">
        <v>1496</v>
      </c>
      <c r="AD2281" s="1396">
        <v>1496</v>
      </c>
      <c r="AE2281" s="1396">
        <v>1496</v>
      </c>
      <c r="AF2281" s="271">
        <f t="shared" si="296"/>
        <v>1496</v>
      </c>
      <c r="AG2281" s="1396"/>
      <c r="DG2281" s="573"/>
      <c r="DH2281" s="159"/>
      <c r="DI2281" s="1091"/>
      <c r="DJ2281" s="1187"/>
    </row>
    <row r="2282" spans="1:114" ht="15" hidden="1" customHeight="1" outlineLevel="1">
      <c r="A2282" s="453"/>
      <c r="C2282" s="51"/>
      <c r="D2282" s="4295"/>
      <c r="E2282" s="4295"/>
      <c r="F2282" s="4297" t="str">
        <f>$E$1858</f>
        <v>ASHP-SEER21-Replace_CAC_ElectricHeat_ROF_MF</v>
      </c>
      <c r="G2282" s="4298"/>
      <c r="H2282" s="4298"/>
      <c r="I2282" s="4299"/>
      <c r="J2282" s="1029" t="str">
        <f>$C$1858</f>
        <v>354850_2024_12_</v>
      </c>
      <c r="K2282" s="1790">
        <v>1496</v>
      </c>
      <c r="L2282" s="262"/>
      <c r="M2282" s="778" t="s">
        <v>2497</v>
      </c>
      <c r="S2282" s="52"/>
      <c r="T2282" s="52"/>
      <c r="U2282" s="52"/>
      <c r="V2282" s="4295"/>
      <c r="W2282" s="1396">
        <v>2009</v>
      </c>
      <c r="X2282" s="833">
        <v>1496</v>
      </c>
      <c r="Y2282" s="1396">
        <v>1496</v>
      </c>
      <c r="Z2282" s="1396">
        <v>1496</v>
      </c>
      <c r="AA2282" s="1396">
        <v>1496</v>
      </c>
      <c r="AB2282" s="1396">
        <v>1496</v>
      </c>
      <c r="AC2282" s="1396">
        <v>1496</v>
      </c>
      <c r="AD2282" s="1396">
        <v>1496</v>
      </c>
      <c r="AE2282" s="1396">
        <v>1496</v>
      </c>
      <c r="AF2282" s="271">
        <f t="shared" si="296"/>
        <v>1496</v>
      </c>
      <c r="AG2282" s="1396"/>
      <c r="DG2282" s="573"/>
      <c r="DH2282" s="159"/>
      <c r="DI2282" s="1091"/>
      <c r="DJ2282" s="1187"/>
    </row>
    <row r="2283" spans="1:114" ht="15" hidden="1" customHeight="1" outlineLevel="1">
      <c r="A2283" s="453"/>
      <c r="C2283" s="51"/>
      <c r="D2283" s="4295"/>
      <c r="E2283" s="4295"/>
      <c r="F2283" s="4300" t="str">
        <f>$E$1860</f>
        <v>ASHP-SEER21-Replace_CAC_ElectricHeat_ROF_MF_CompE</v>
      </c>
      <c r="G2283" s="4301"/>
      <c r="H2283" s="4301"/>
      <c r="I2283" s="4302"/>
      <c r="J2283" s="3471" t="str">
        <f>$C$1860</f>
        <v>354851_2024_12_</v>
      </c>
      <c r="K2283" s="3263">
        <v>510</v>
      </c>
      <c r="L2283" s="3479"/>
      <c r="M2283" s="1841" t="s">
        <v>2498</v>
      </c>
      <c r="S2283" s="52"/>
      <c r="T2283" s="52"/>
      <c r="U2283" s="52"/>
      <c r="V2283" s="4295"/>
      <c r="W2283" s="3262"/>
      <c r="X2283" s="3265"/>
      <c r="Y2283" s="3265">
        <v>510</v>
      </c>
      <c r="Z2283" s="3262">
        <v>510</v>
      </c>
      <c r="AA2283" s="3262">
        <v>510</v>
      </c>
      <c r="AB2283" s="3262">
        <v>510</v>
      </c>
      <c r="AC2283" s="3262">
        <v>510</v>
      </c>
      <c r="AD2283" s="3262">
        <v>510</v>
      </c>
      <c r="AE2283" s="3262">
        <v>510</v>
      </c>
      <c r="AF2283" s="2236">
        <f t="shared" si="296"/>
        <v>510</v>
      </c>
      <c r="AG2283" s="1396"/>
      <c r="DG2283" s="573"/>
      <c r="DH2283" s="159"/>
      <c r="DI2283" s="1091"/>
      <c r="DJ2283" s="1187"/>
    </row>
    <row r="2284" spans="1:114" ht="15" hidden="1" customHeight="1" outlineLevel="1">
      <c r="A2284" s="453"/>
      <c r="C2284" s="51"/>
      <c r="D2284" s="4295"/>
      <c r="E2284" s="4295"/>
      <c r="F2284" s="4300" t="str">
        <f>$E$1862</f>
        <v>ASHP-SEER21-Replace_CAC_NonElectricHeat_ROF_MF</v>
      </c>
      <c r="G2284" s="4301"/>
      <c r="H2284" s="4301"/>
      <c r="I2284" s="4302"/>
      <c r="J2284" s="3471" t="str">
        <f>$C$1862</f>
        <v>354860_2024_12_</v>
      </c>
      <c r="K2284" s="3342">
        <v>1496</v>
      </c>
      <c r="L2284" s="3479"/>
      <c r="M2284" s="1841" t="s">
        <v>2497</v>
      </c>
      <c r="S2284" s="52"/>
      <c r="T2284" s="52"/>
      <c r="U2284" s="52"/>
      <c r="V2284" s="4295"/>
      <c r="W2284" s="3262"/>
      <c r="X2284" s="3265"/>
      <c r="Y2284" s="3265"/>
      <c r="Z2284" s="3262"/>
      <c r="AA2284" s="3262"/>
      <c r="AB2284" s="3262"/>
      <c r="AC2284" s="3279">
        <v>1496</v>
      </c>
      <c r="AD2284" s="3267">
        <v>1496</v>
      </c>
      <c r="AE2284" s="3267">
        <v>1496</v>
      </c>
      <c r="AF2284" s="2236">
        <f t="shared" si="296"/>
        <v>1496</v>
      </c>
      <c r="AG2284" s="1396"/>
      <c r="DG2284" s="573"/>
      <c r="DH2284" s="159"/>
      <c r="DI2284" s="1091"/>
      <c r="DJ2284" s="1187"/>
    </row>
    <row r="2285" spans="1:114" ht="15" hidden="1" customHeight="1" outlineLevel="1">
      <c r="A2285" s="453"/>
      <c r="C2285" s="51"/>
      <c r="D2285" s="4295"/>
      <c r="E2285" s="4295"/>
      <c r="F2285" s="4300" t="str">
        <f>$E$1864</f>
        <v>ASHP-SEER21-Replace_CAC_NonElectricHeat_ROF_MF_CompE</v>
      </c>
      <c r="G2285" s="4301"/>
      <c r="H2285" s="4301"/>
      <c r="I2285" s="4302"/>
      <c r="J2285" s="3471" t="str">
        <f>$C$1864</f>
        <v>354861_2024_12_</v>
      </c>
      <c r="K2285" s="3342">
        <v>510</v>
      </c>
      <c r="L2285" s="3479"/>
      <c r="M2285" s="1841" t="s">
        <v>2498</v>
      </c>
      <c r="S2285" s="52"/>
      <c r="T2285" s="52"/>
      <c r="U2285" s="52"/>
      <c r="V2285" s="4295"/>
      <c r="W2285" s="3262"/>
      <c r="X2285" s="3265"/>
      <c r="Y2285" s="3265"/>
      <c r="Z2285" s="3262"/>
      <c r="AA2285" s="3262"/>
      <c r="AB2285" s="3262"/>
      <c r="AC2285" s="3279">
        <v>510</v>
      </c>
      <c r="AD2285" s="3267">
        <v>510</v>
      </c>
      <c r="AE2285" s="3267">
        <v>510</v>
      </c>
      <c r="AF2285" s="2236">
        <f t="shared" si="296"/>
        <v>510</v>
      </c>
      <c r="AG2285" s="1396"/>
      <c r="DG2285" s="573"/>
      <c r="DH2285" s="159"/>
      <c r="DI2285" s="1091"/>
      <c r="DJ2285" s="1187"/>
    </row>
    <row r="2286" spans="1:114" ht="15" hidden="1" customHeight="1" outlineLevel="1">
      <c r="A2286" s="453"/>
      <c r="C2286" s="51"/>
      <c r="D2286" s="4295"/>
      <c r="E2286" s="4295"/>
      <c r="F2286" s="4297" t="str">
        <f>$E$1866</f>
        <v>ASHP-SEER21_ER1_MF</v>
      </c>
      <c r="G2286" s="4298"/>
      <c r="H2286" s="4298"/>
      <c r="I2286" s="4299"/>
      <c r="J2286" s="1029" t="str">
        <f>$C$1866</f>
        <v>354900_2024_12_</v>
      </c>
      <c r="K2286" s="1790">
        <v>1496</v>
      </c>
      <c r="L2286" s="262"/>
      <c r="M2286" s="778" t="s">
        <v>2497</v>
      </c>
      <c r="S2286" s="52"/>
      <c r="T2286" s="52"/>
      <c r="U2286" s="52"/>
      <c r="V2286" s="4295"/>
      <c r="W2286" s="1396">
        <v>2009</v>
      </c>
      <c r="X2286" s="833">
        <v>1496</v>
      </c>
      <c r="Y2286" s="1396">
        <v>1496</v>
      </c>
      <c r="Z2286" s="1396">
        <v>1496</v>
      </c>
      <c r="AA2286" s="1396">
        <v>1496</v>
      </c>
      <c r="AB2286" s="1396">
        <v>1496</v>
      </c>
      <c r="AC2286" s="1396">
        <v>1496</v>
      </c>
      <c r="AD2286" s="1396">
        <v>1496</v>
      </c>
      <c r="AE2286" s="1396">
        <v>1496</v>
      </c>
      <c r="AF2286" s="271">
        <f t="shared" si="296"/>
        <v>1496</v>
      </c>
      <c r="AG2286" s="1396"/>
      <c r="DG2286" s="573"/>
      <c r="DH2286" s="159"/>
      <c r="DI2286" s="1091"/>
      <c r="DJ2286" s="1187"/>
    </row>
    <row r="2287" spans="1:114" ht="15" hidden="1" customHeight="1" outlineLevel="1">
      <c r="A2287" s="453"/>
      <c r="C2287" s="51"/>
      <c r="D2287" s="4295"/>
      <c r="E2287" s="4295"/>
      <c r="F2287" s="4297" t="str">
        <f>$E$1868</f>
        <v>ASHP-SEER21_ER2_MF</v>
      </c>
      <c r="G2287" s="4298"/>
      <c r="H2287" s="4298"/>
      <c r="I2287" s="4299"/>
      <c r="J2287" s="1029" t="str">
        <f>$C$1868</f>
        <v>354900_2024_12_</v>
      </c>
      <c r="K2287" s="1790">
        <v>1496</v>
      </c>
      <c r="L2287" s="262"/>
      <c r="M2287" s="778" t="s">
        <v>2497</v>
      </c>
      <c r="S2287" s="52"/>
      <c r="T2287" s="52"/>
      <c r="U2287" s="52"/>
      <c r="V2287" s="4295"/>
      <c r="W2287" s="1396">
        <v>2009</v>
      </c>
      <c r="X2287" s="833">
        <v>1496</v>
      </c>
      <c r="Y2287" s="1396">
        <v>1496</v>
      </c>
      <c r="Z2287" s="1396">
        <v>1496</v>
      </c>
      <c r="AA2287" s="1396">
        <v>1496</v>
      </c>
      <c r="AB2287" s="1396">
        <v>1496</v>
      </c>
      <c r="AC2287" s="1396">
        <v>1496</v>
      </c>
      <c r="AD2287" s="1396">
        <v>1496</v>
      </c>
      <c r="AE2287" s="1396">
        <v>1496</v>
      </c>
      <c r="AF2287" s="271">
        <f t="shared" si="296"/>
        <v>1496</v>
      </c>
      <c r="AG2287" s="1396"/>
      <c r="DG2287" s="573"/>
      <c r="DH2287" s="159"/>
      <c r="DI2287" s="1091"/>
      <c r="DJ2287" s="1187"/>
    </row>
    <row r="2288" spans="1:114" ht="15" hidden="1" customHeight="1" outlineLevel="1">
      <c r="A2288" s="453"/>
      <c r="C2288" s="51"/>
      <c r="D2288" s="4295"/>
      <c r="E2288" s="4295"/>
      <c r="F2288" s="4300" t="str">
        <f>$E$1870</f>
        <v>ASHP-SEER21_ER1_MF_CompE</v>
      </c>
      <c r="G2288" s="4301"/>
      <c r="H2288" s="4301"/>
      <c r="I2288" s="4302"/>
      <c r="J2288" s="3471" t="str">
        <f>$C$1870</f>
        <v>354901_2024_12_</v>
      </c>
      <c r="K2288" s="3263">
        <v>510</v>
      </c>
      <c r="L2288" s="3479"/>
      <c r="M2288" s="1841" t="s">
        <v>2498</v>
      </c>
      <c r="S2288" s="52"/>
      <c r="T2288" s="52"/>
      <c r="U2288" s="52"/>
      <c r="V2288" s="4295"/>
      <c r="W2288" s="3262"/>
      <c r="X2288" s="3265"/>
      <c r="Y2288" s="3265">
        <v>510</v>
      </c>
      <c r="Z2288" s="3262">
        <v>510</v>
      </c>
      <c r="AA2288" s="3262">
        <v>510</v>
      </c>
      <c r="AB2288" s="3262">
        <v>510</v>
      </c>
      <c r="AC2288" s="3262">
        <v>510</v>
      </c>
      <c r="AD2288" s="3262">
        <v>510</v>
      </c>
      <c r="AE2288" s="3262">
        <v>510</v>
      </c>
      <c r="AF2288" s="2236">
        <f t="shared" si="296"/>
        <v>510</v>
      </c>
      <c r="AG2288" s="1396"/>
      <c r="DG2288" s="573"/>
      <c r="DH2288" s="159"/>
      <c r="DI2288" s="1091"/>
      <c r="DJ2288" s="1187"/>
    </row>
    <row r="2289" spans="1:114" ht="15" hidden="1" customHeight="1" outlineLevel="1">
      <c r="A2289" s="453"/>
      <c r="C2289" s="51"/>
      <c r="D2289" s="4295"/>
      <c r="E2289" s="4295"/>
      <c r="F2289" s="4300" t="str">
        <f>$E$1872</f>
        <v>ASHP-SEER21_ER2_MF_CompE</v>
      </c>
      <c r="G2289" s="4301"/>
      <c r="H2289" s="4301"/>
      <c r="I2289" s="4302"/>
      <c r="J2289" s="3471" t="str">
        <f>$C$1872</f>
        <v>354901_2024_12_</v>
      </c>
      <c r="K2289" s="3263">
        <v>510</v>
      </c>
      <c r="L2289" s="3479"/>
      <c r="M2289" s="1841" t="s">
        <v>2498</v>
      </c>
      <c r="S2289" s="52"/>
      <c r="T2289" s="52"/>
      <c r="U2289" s="52"/>
      <c r="V2289" s="4295"/>
      <c r="W2289" s="3262"/>
      <c r="X2289" s="3265"/>
      <c r="Y2289" s="3265">
        <v>510</v>
      </c>
      <c r="Z2289" s="3262">
        <v>510</v>
      </c>
      <c r="AA2289" s="3262">
        <v>510</v>
      </c>
      <c r="AB2289" s="3262">
        <v>510</v>
      </c>
      <c r="AC2289" s="3262">
        <v>510</v>
      </c>
      <c r="AD2289" s="3262">
        <v>510</v>
      </c>
      <c r="AE2289" s="3262">
        <v>510</v>
      </c>
      <c r="AF2289" s="2236">
        <f t="shared" si="296"/>
        <v>510</v>
      </c>
      <c r="AG2289" s="1396"/>
      <c r="DG2289" s="573"/>
      <c r="DH2289" s="159"/>
      <c r="DI2289" s="1091"/>
      <c r="DJ2289" s="1187"/>
    </row>
    <row r="2290" spans="1:114" ht="15" hidden="1" customHeight="1" outlineLevel="1">
      <c r="A2290" s="453"/>
      <c r="C2290" s="51"/>
      <c r="D2290" s="4295"/>
      <c r="E2290" s="4295"/>
      <c r="F2290" s="4297" t="str">
        <f>$E$1874</f>
        <v>ASHP-SEER17_ROF_MF</v>
      </c>
      <c r="G2290" s="4298"/>
      <c r="H2290" s="4298"/>
      <c r="I2290" s="4299"/>
      <c r="J2290" s="1029" t="str">
        <f>$C$1874</f>
        <v>354950_2024_12_</v>
      </c>
      <c r="K2290" s="1790">
        <v>1496</v>
      </c>
      <c r="L2290" s="262"/>
      <c r="M2290" s="778" t="s">
        <v>2497</v>
      </c>
      <c r="S2290" s="52"/>
      <c r="T2290" s="52"/>
      <c r="U2290" s="52"/>
      <c r="V2290" s="4295"/>
      <c r="W2290" s="1396">
        <v>2009</v>
      </c>
      <c r="X2290" s="833">
        <v>1496</v>
      </c>
      <c r="Y2290" s="1396">
        <v>1496</v>
      </c>
      <c r="Z2290" s="1396">
        <v>1496</v>
      </c>
      <c r="AA2290" s="1396">
        <v>1496</v>
      </c>
      <c r="AB2290" s="1396">
        <v>1496</v>
      </c>
      <c r="AC2290" s="1396">
        <v>1496</v>
      </c>
      <c r="AD2290" s="1396">
        <v>1496</v>
      </c>
      <c r="AE2290" s="1396">
        <v>1496</v>
      </c>
      <c r="AF2290" s="271">
        <f t="shared" si="296"/>
        <v>1496</v>
      </c>
      <c r="AG2290" s="1396"/>
      <c r="DG2290" s="573"/>
      <c r="DH2290" s="159"/>
      <c r="DI2290" s="1091"/>
      <c r="DJ2290" s="1187"/>
    </row>
    <row r="2291" spans="1:114" ht="15" hidden="1" customHeight="1" outlineLevel="1">
      <c r="A2291" s="453"/>
      <c r="C2291" s="51"/>
      <c r="D2291" s="4295"/>
      <c r="E2291" s="4295"/>
      <c r="F2291" s="4300" t="str">
        <f>$E$1876</f>
        <v>ASHP-SEER17_ROF_MF_CompE</v>
      </c>
      <c r="G2291" s="4301"/>
      <c r="H2291" s="4301"/>
      <c r="I2291" s="4302"/>
      <c r="J2291" s="3471" t="str">
        <f>$C$1876</f>
        <v>354951_2024_12_</v>
      </c>
      <c r="K2291" s="3263">
        <v>510</v>
      </c>
      <c r="L2291" s="3479"/>
      <c r="M2291" s="1841" t="s">
        <v>2498</v>
      </c>
      <c r="S2291" s="52"/>
      <c r="T2291" s="52"/>
      <c r="U2291" s="52"/>
      <c r="V2291" s="4295"/>
      <c r="W2291" s="3262"/>
      <c r="X2291" s="3265"/>
      <c r="Y2291" s="3265">
        <v>510</v>
      </c>
      <c r="Z2291" s="3262">
        <v>510</v>
      </c>
      <c r="AA2291" s="3262">
        <v>510</v>
      </c>
      <c r="AB2291" s="3262">
        <v>510</v>
      </c>
      <c r="AC2291" s="3262">
        <v>510</v>
      </c>
      <c r="AD2291" s="3262">
        <v>510</v>
      </c>
      <c r="AE2291" s="3262">
        <v>510</v>
      </c>
      <c r="AF2291" s="2236">
        <f t="shared" si="296"/>
        <v>510</v>
      </c>
      <c r="AG2291" s="1396"/>
      <c r="DG2291" s="573"/>
      <c r="DH2291" s="159"/>
      <c r="DI2291" s="1091"/>
      <c r="DJ2291" s="1187"/>
    </row>
    <row r="2292" spans="1:114" ht="15" hidden="1" customHeight="1" outlineLevel="1">
      <c r="A2292" s="453"/>
      <c r="C2292" s="51"/>
      <c r="D2292" s="4295"/>
      <c r="E2292" s="4295"/>
      <c r="F2292" s="4297" t="str">
        <f>$E$1878</f>
        <v>ASHP-SEER18_ROF_MF</v>
      </c>
      <c r="G2292" s="4298"/>
      <c r="H2292" s="4298"/>
      <c r="I2292" s="4299"/>
      <c r="J2292" s="1029" t="str">
        <f>$C$1878</f>
        <v>355000_2024_12_</v>
      </c>
      <c r="K2292" s="1790">
        <v>1496</v>
      </c>
      <c r="L2292" s="262"/>
      <c r="M2292" s="778" t="s">
        <v>2497</v>
      </c>
      <c r="P2292" s="261"/>
      <c r="Q2292" s="209"/>
      <c r="R2292" s="261"/>
      <c r="S2292" s="52"/>
      <c r="T2292" s="181"/>
      <c r="U2292" s="52"/>
      <c r="V2292" s="4295"/>
      <c r="W2292" s="1396">
        <v>2009</v>
      </c>
      <c r="X2292" s="833">
        <v>1496</v>
      </c>
      <c r="Y2292" s="1396">
        <v>1496</v>
      </c>
      <c r="Z2292" s="1396">
        <v>1496</v>
      </c>
      <c r="AA2292" s="1396">
        <v>1496</v>
      </c>
      <c r="AB2292" s="1396">
        <v>1496</v>
      </c>
      <c r="AC2292" s="1396">
        <v>1496</v>
      </c>
      <c r="AD2292" s="1396">
        <v>1496</v>
      </c>
      <c r="AE2292" s="1396">
        <v>1496</v>
      </c>
      <c r="AF2292" s="271">
        <f t="shared" si="296"/>
        <v>1496</v>
      </c>
      <c r="AG2292" s="1396"/>
      <c r="DG2292" s="573"/>
      <c r="DH2292" s="159"/>
      <c r="DI2292" s="1091"/>
      <c r="DJ2292" s="1187"/>
    </row>
    <row r="2293" spans="1:114" ht="15" hidden="1" customHeight="1" outlineLevel="1">
      <c r="A2293" s="453"/>
      <c r="C2293" s="51"/>
      <c r="D2293" s="4295"/>
      <c r="E2293" s="4295"/>
      <c r="F2293" s="4300" t="str">
        <f>$E$1880</f>
        <v>ASHP-SEER18_ROF_MF_CompE</v>
      </c>
      <c r="G2293" s="4301"/>
      <c r="H2293" s="4301"/>
      <c r="I2293" s="4302"/>
      <c r="J2293" s="3471" t="str">
        <f>$C$1880</f>
        <v>355001_2024_12_</v>
      </c>
      <c r="K2293" s="3263">
        <v>510</v>
      </c>
      <c r="L2293" s="3479"/>
      <c r="M2293" s="1841" t="s">
        <v>2498</v>
      </c>
      <c r="P2293" s="261"/>
      <c r="Q2293" s="209"/>
      <c r="R2293" s="261"/>
      <c r="S2293" s="52"/>
      <c r="T2293" s="181"/>
      <c r="U2293" s="52"/>
      <c r="V2293" s="4295"/>
      <c r="W2293" s="3262"/>
      <c r="X2293" s="3265"/>
      <c r="Y2293" s="3265">
        <v>510</v>
      </c>
      <c r="Z2293" s="3262">
        <v>510</v>
      </c>
      <c r="AA2293" s="3262">
        <v>510</v>
      </c>
      <c r="AB2293" s="3262">
        <v>510</v>
      </c>
      <c r="AC2293" s="3262">
        <v>510</v>
      </c>
      <c r="AD2293" s="3262">
        <v>510</v>
      </c>
      <c r="AE2293" s="3262">
        <v>510</v>
      </c>
      <c r="AF2293" s="2236">
        <f t="shared" si="296"/>
        <v>510</v>
      </c>
      <c r="AG2293" s="1396"/>
      <c r="DG2293" s="573"/>
      <c r="DH2293" s="159"/>
      <c r="DI2293" s="1091"/>
      <c r="DJ2293" s="1187"/>
    </row>
    <row r="2294" spans="1:114" ht="15" hidden="1" customHeight="1" outlineLevel="1">
      <c r="A2294" s="453"/>
      <c r="C2294" s="51"/>
      <c r="D2294" s="4295"/>
      <c r="E2294" s="4295"/>
      <c r="F2294" s="4297" t="str">
        <f>$E$1882</f>
        <v>ASHP-SEER19_ROF_MF</v>
      </c>
      <c r="G2294" s="4298"/>
      <c r="H2294" s="4298"/>
      <c r="I2294" s="4299"/>
      <c r="J2294" s="1029" t="str">
        <f>$C$1882</f>
        <v>355050_2024_12_</v>
      </c>
      <c r="K2294" s="1790">
        <v>1496</v>
      </c>
      <c r="L2294" s="262"/>
      <c r="M2294" s="778" t="s">
        <v>2497</v>
      </c>
      <c r="P2294" s="261"/>
      <c r="Q2294" s="209"/>
      <c r="R2294" s="261"/>
      <c r="S2294" s="52"/>
      <c r="T2294" s="181"/>
      <c r="U2294" s="52"/>
      <c r="V2294" s="4295"/>
      <c r="W2294" s="1396">
        <v>2009</v>
      </c>
      <c r="X2294" s="833">
        <v>1496</v>
      </c>
      <c r="Y2294" s="1396">
        <v>1496</v>
      </c>
      <c r="Z2294" s="1396">
        <v>1496</v>
      </c>
      <c r="AA2294" s="1396">
        <v>1496</v>
      </c>
      <c r="AB2294" s="1396">
        <v>1496</v>
      </c>
      <c r="AC2294" s="1396">
        <v>1496</v>
      </c>
      <c r="AD2294" s="1396">
        <v>1496</v>
      </c>
      <c r="AE2294" s="1396">
        <v>1496</v>
      </c>
      <c r="AF2294" s="271">
        <f t="shared" si="296"/>
        <v>1496</v>
      </c>
      <c r="AG2294" s="1396"/>
      <c r="DG2294" s="573"/>
      <c r="DH2294" s="159"/>
      <c r="DI2294" s="1091"/>
      <c r="DJ2294" s="1187"/>
    </row>
    <row r="2295" spans="1:114" ht="15" hidden="1" customHeight="1" outlineLevel="1">
      <c r="A2295" s="453"/>
      <c r="C2295" s="51"/>
      <c r="D2295" s="4295"/>
      <c r="E2295" s="4295"/>
      <c r="F2295" s="4300" t="str">
        <f>$E$1884</f>
        <v>ASHP-SEER19_ROF_MF_CompE</v>
      </c>
      <c r="G2295" s="4301"/>
      <c r="H2295" s="4301"/>
      <c r="I2295" s="4302"/>
      <c r="J2295" s="3471" t="str">
        <f>$C$1884</f>
        <v>355051_2024_12_</v>
      </c>
      <c r="K2295" s="3263">
        <v>510</v>
      </c>
      <c r="L2295" s="3479"/>
      <c r="M2295" s="1841" t="s">
        <v>2498</v>
      </c>
      <c r="P2295" s="261"/>
      <c r="Q2295" s="209"/>
      <c r="R2295" s="261"/>
      <c r="S2295" s="52"/>
      <c r="T2295" s="181"/>
      <c r="U2295" s="52"/>
      <c r="V2295" s="4295"/>
      <c r="W2295" s="3262"/>
      <c r="X2295" s="3265"/>
      <c r="Y2295" s="3265">
        <v>510</v>
      </c>
      <c r="Z2295" s="3262">
        <v>510</v>
      </c>
      <c r="AA2295" s="3262">
        <v>510</v>
      </c>
      <c r="AB2295" s="3262">
        <v>510</v>
      </c>
      <c r="AC2295" s="3262">
        <v>510</v>
      </c>
      <c r="AD2295" s="3262">
        <v>510</v>
      </c>
      <c r="AE2295" s="3262">
        <v>510</v>
      </c>
      <c r="AF2295" s="2236">
        <f t="shared" si="296"/>
        <v>510</v>
      </c>
      <c r="AG2295" s="1396"/>
      <c r="DG2295" s="573"/>
      <c r="DH2295" s="159"/>
      <c r="DI2295" s="1091"/>
      <c r="DJ2295" s="1187"/>
    </row>
    <row r="2296" spans="1:114" ht="15" hidden="1" customHeight="1" outlineLevel="1">
      <c r="A2296" s="453"/>
      <c r="C2296" s="51"/>
      <c r="D2296" s="4295"/>
      <c r="E2296" s="4295"/>
      <c r="F2296" s="4297" t="str">
        <f>$E$1886</f>
        <v>ASHP-SEER20_ROF_MF</v>
      </c>
      <c r="G2296" s="4298"/>
      <c r="H2296" s="4298"/>
      <c r="I2296" s="4299"/>
      <c r="J2296" s="1029" t="str">
        <f>$C$1886</f>
        <v>355100_2024_12_</v>
      </c>
      <c r="K2296" s="1790">
        <v>1496</v>
      </c>
      <c r="L2296" s="262"/>
      <c r="M2296" s="778" t="s">
        <v>2497</v>
      </c>
      <c r="S2296" s="52"/>
      <c r="T2296" s="52"/>
      <c r="U2296" s="52"/>
      <c r="V2296" s="4295"/>
      <c r="W2296" s="1396">
        <v>2009</v>
      </c>
      <c r="X2296" s="833">
        <v>1496</v>
      </c>
      <c r="Y2296" s="1396">
        <v>1496</v>
      </c>
      <c r="Z2296" s="1396">
        <v>1496</v>
      </c>
      <c r="AA2296" s="1396">
        <v>1496</v>
      </c>
      <c r="AB2296" s="1396">
        <v>1496</v>
      </c>
      <c r="AC2296" s="1396">
        <v>1496</v>
      </c>
      <c r="AD2296" s="1396">
        <v>1496</v>
      </c>
      <c r="AE2296" s="1396">
        <v>1496</v>
      </c>
      <c r="AF2296" s="271">
        <f t="shared" si="296"/>
        <v>1496</v>
      </c>
      <c r="AG2296" s="1396"/>
      <c r="DG2296" s="573"/>
      <c r="DH2296" s="159"/>
      <c r="DI2296" s="1091"/>
      <c r="DJ2296" s="1187"/>
    </row>
    <row r="2297" spans="1:114" ht="15" hidden="1" customHeight="1" outlineLevel="1">
      <c r="A2297" s="453"/>
      <c r="C2297" s="51"/>
      <c r="D2297" s="4295"/>
      <c r="E2297" s="4295"/>
      <c r="F2297" s="4300" t="str">
        <f>$E$1888</f>
        <v>ASHP-SEER20_ROF_MF_CompE</v>
      </c>
      <c r="G2297" s="4301"/>
      <c r="H2297" s="4301"/>
      <c r="I2297" s="4302"/>
      <c r="J2297" s="3471" t="str">
        <f>$C$1888</f>
        <v>355101_2024_12_</v>
      </c>
      <c r="K2297" s="3263">
        <v>510</v>
      </c>
      <c r="L2297" s="3479"/>
      <c r="M2297" s="1841" t="s">
        <v>2498</v>
      </c>
      <c r="S2297" s="52"/>
      <c r="T2297" s="52"/>
      <c r="U2297" s="52"/>
      <c r="V2297" s="4295"/>
      <c r="W2297" s="3262"/>
      <c r="X2297" s="3265"/>
      <c r="Y2297" s="3265">
        <v>510</v>
      </c>
      <c r="Z2297" s="3262">
        <v>510</v>
      </c>
      <c r="AA2297" s="3262">
        <v>510</v>
      </c>
      <c r="AB2297" s="3262">
        <v>510</v>
      </c>
      <c r="AC2297" s="3262">
        <v>510</v>
      </c>
      <c r="AD2297" s="3262">
        <v>510</v>
      </c>
      <c r="AE2297" s="3262">
        <v>510</v>
      </c>
      <c r="AF2297" s="2236">
        <f t="shared" si="296"/>
        <v>510</v>
      </c>
      <c r="AG2297" s="1396"/>
      <c r="DG2297" s="573"/>
      <c r="DH2297" s="159"/>
      <c r="DI2297" s="1091"/>
      <c r="DJ2297" s="1187"/>
    </row>
    <row r="2298" spans="1:114" ht="15.75" hidden="1" customHeight="1" outlineLevel="1">
      <c r="A2298" s="453"/>
      <c r="C2298" s="51"/>
      <c r="D2298" s="4295"/>
      <c r="E2298" s="4295"/>
      <c r="F2298" s="4297" t="str">
        <f>$E$1890</f>
        <v>ASHP-SEER21_ROF_MF</v>
      </c>
      <c r="G2298" s="4298"/>
      <c r="H2298" s="4298"/>
      <c r="I2298" s="4299"/>
      <c r="J2298" s="1029" t="str">
        <f>$C$1890</f>
        <v>355150_2024_12_</v>
      </c>
      <c r="K2298" s="1790">
        <v>1496</v>
      </c>
      <c r="L2298" s="262"/>
      <c r="M2298" s="778" t="s">
        <v>2497</v>
      </c>
      <c r="S2298" s="52"/>
      <c r="T2298" s="52"/>
      <c r="U2298" s="52"/>
      <c r="V2298" s="4295"/>
      <c r="W2298" s="1396">
        <v>2009</v>
      </c>
      <c r="X2298" s="833">
        <v>1496</v>
      </c>
      <c r="Y2298" s="1396">
        <v>1496</v>
      </c>
      <c r="Z2298" s="1396">
        <v>1496</v>
      </c>
      <c r="AA2298" s="1396">
        <v>1496</v>
      </c>
      <c r="AB2298" s="1396">
        <v>1496</v>
      </c>
      <c r="AC2298" s="1396">
        <v>1496</v>
      </c>
      <c r="AD2298" s="1396">
        <v>1496</v>
      </c>
      <c r="AE2298" s="1396">
        <v>1496</v>
      </c>
      <c r="AF2298" s="271">
        <f t="shared" ref="AF2298:AF2361" si="297">IF(K2298&lt;&gt;"",K2298,"")</f>
        <v>1496</v>
      </c>
      <c r="AG2298" s="1396"/>
      <c r="DG2298" s="573"/>
      <c r="DH2298" s="159"/>
      <c r="DI2298" s="1091"/>
      <c r="DJ2298" s="1187"/>
    </row>
    <row r="2299" spans="1:114" ht="15" hidden="1" customHeight="1" outlineLevel="1">
      <c r="A2299" s="453"/>
      <c r="C2299" s="51"/>
      <c r="D2299" s="4295"/>
      <c r="E2299" s="4295"/>
      <c r="F2299" s="4300" t="str">
        <f>$E$1892</f>
        <v>ASHP-SEER21_ROF_MF_CompE</v>
      </c>
      <c r="G2299" s="4301"/>
      <c r="H2299" s="4301"/>
      <c r="I2299" s="4302"/>
      <c r="J2299" s="3471" t="str">
        <f>$C$1892</f>
        <v>355151_2024_12_</v>
      </c>
      <c r="K2299" s="3263">
        <v>510</v>
      </c>
      <c r="L2299" s="3479"/>
      <c r="M2299" s="1841" t="s">
        <v>2498</v>
      </c>
      <c r="S2299" s="52"/>
      <c r="T2299" s="52"/>
      <c r="U2299" s="52"/>
      <c r="V2299" s="4295"/>
      <c r="W2299" s="3262"/>
      <c r="X2299" s="3265"/>
      <c r="Y2299" s="3265">
        <v>510</v>
      </c>
      <c r="Z2299" s="3262">
        <v>510</v>
      </c>
      <c r="AA2299" s="3262">
        <v>510</v>
      </c>
      <c r="AB2299" s="3262">
        <v>510</v>
      </c>
      <c r="AC2299" s="3262">
        <v>510</v>
      </c>
      <c r="AD2299" s="3262">
        <v>510</v>
      </c>
      <c r="AE2299" s="3262">
        <v>510</v>
      </c>
      <c r="AF2299" s="2236">
        <f t="shared" si="297"/>
        <v>510</v>
      </c>
      <c r="AG2299" s="1396"/>
      <c r="DG2299" s="573"/>
      <c r="DH2299" s="159"/>
      <c r="DI2299" s="1091"/>
      <c r="DJ2299" s="1187"/>
    </row>
    <row r="2300" spans="1:114" ht="15" hidden="1" customHeight="1" outlineLevel="1">
      <c r="A2300" s="453"/>
      <c r="C2300" s="51"/>
      <c r="D2300" s="4295" t="s">
        <v>2113</v>
      </c>
      <c r="E2300" s="4295" t="s">
        <v>2112</v>
      </c>
      <c r="F2300" s="4307" t="str">
        <f>$E$1508</f>
        <v>ASHP-SEER15-Replace_CAC_ElectricHeat_ER1_SF</v>
      </c>
      <c r="G2300" s="4307"/>
      <c r="H2300" s="4307"/>
      <c r="I2300" s="4307"/>
      <c r="J2300" s="1029" t="str">
        <f>$C$1508</f>
        <v>352300_2024_12_</v>
      </c>
      <c r="K2300" s="1790">
        <v>3.41</v>
      </c>
      <c r="L2300" s="13"/>
      <c r="M2300" s="1442" t="s">
        <v>1949</v>
      </c>
      <c r="P2300" s="261"/>
      <c r="Q2300" s="261"/>
      <c r="R2300" s="261"/>
      <c r="S2300" s="52"/>
      <c r="T2300" s="181"/>
      <c r="U2300" s="52"/>
      <c r="V2300" s="4295" t="s">
        <v>2113</v>
      </c>
      <c r="W2300" s="1396">
        <v>3.41</v>
      </c>
      <c r="X2300" s="1396">
        <v>3.41</v>
      </c>
      <c r="Y2300" s="1396">
        <v>3.41</v>
      </c>
      <c r="Z2300" s="1396">
        <v>3.41</v>
      </c>
      <c r="AA2300" s="1396">
        <v>3.41</v>
      </c>
      <c r="AB2300" s="1396">
        <v>3.41</v>
      </c>
      <c r="AC2300" s="1396">
        <v>3.41</v>
      </c>
      <c r="AD2300" s="1396">
        <v>3.41</v>
      </c>
      <c r="AE2300" s="1396">
        <v>3.41</v>
      </c>
      <c r="AF2300" s="271">
        <f t="shared" si="297"/>
        <v>3.41</v>
      </c>
      <c r="AG2300" s="1396"/>
      <c r="DG2300" s="573"/>
      <c r="DH2300" s="159"/>
      <c r="DI2300" s="1091"/>
      <c r="DJ2300" s="1187"/>
    </row>
    <row r="2301" spans="1:114" ht="15" hidden="1" customHeight="1" outlineLevel="1">
      <c r="A2301" s="453"/>
      <c r="C2301" s="51"/>
      <c r="D2301" s="4295"/>
      <c r="E2301" s="4295"/>
      <c r="F2301" s="4307" t="str">
        <f>$E$1510</f>
        <v>ASHP-SEER15-Replace_CAC_ElectricHeat_ER2_SF</v>
      </c>
      <c r="G2301" s="4307"/>
      <c r="H2301" s="4307"/>
      <c r="I2301" s="4307"/>
      <c r="J2301" s="1029" t="str">
        <f>$C$1510</f>
        <v>352300_2024_12_</v>
      </c>
      <c r="K2301" s="1790">
        <v>3.41</v>
      </c>
      <c r="L2301" s="13"/>
      <c r="M2301" s="1442" t="s">
        <v>1949</v>
      </c>
      <c r="P2301" s="261"/>
      <c r="Q2301" s="261"/>
      <c r="R2301" s="261"/>
      <c r="S2301" s="52"/>
      <c r="T2301" s="181"/>
      <c r="U2301" s="52"/>
      <c r="V2301" s="4295"/>
      <c r="W2301" s="1396">
        <v>3.41</v>
      </c>
      <c r="X2301" s="1396">
        <v>3.41</v>
      </c>
      <c r="Y2301" s="1396">
        <v>3.41</v>
      </c>
      <c r="Z2301" s="1396">
        <v>3.41</v>
      </c>
      <c r="AA2301" s="1396">
        <v>3.41</v>
      </c>
      <c r="AB2301" s="1396">
        <v>3.41</v>
      </c>
      <c r="AC2301" s="1396">
        <v>3.41</v>
      </c>
      <c r="AD2301" s="1396">
        <v>3.41</v>
      </c>
      <c r="AE2301" s="1396">
        <v>3.41</v>
      </c>
      <c r="AF2301" s="271">
        <f t="shared" si="297"/>
        <v>3.41</v>
      </c>
      <c r="AG2301" s="1396"/>
      <c r="DG2301" s="573"/>
      <c r="DH2301" s="159"/>
      <c r="DI2301" s="1091"/>
      <c r="DJ2301" s="1187"/>
    </row>
    <row r="2302" spans="1:114" ht="15" hidden="1" customHeight="1" outlineLevel="1">
      <c r="A2302" s="453"/>
      <c r="C2302" s="51"/>
      <c r="D2302" s="4295"/>
      <c r="E2302" s="4295"/>
      <c r="F2302" s="4307" t="str">
        <f>$E$1512</f>
        <v>ASHP-SEER15-Replace_CAC_NonElectricHeat_ER1_SF</v>
      </c>
      <c r="G2302" s="4307"/>
      <c r="H2302" s="4307"/>
      <c r="I2302" s="4307"/>
      <c r="J2302" s="1029" t="str">
        <f>$C$1512</f>
        <v>352310_2024_12_</v>
      </c>
      <c r="K2302" s="1793">
        <v>0</v>
      </c>
      <c r="L2302" s="13"/>
      <c r="M2302" s="1442" t="s">
        <v>2500</v>
      </c>
      <c r="P2302" s="261"/>
      <c r="Q2302" s="261"/>
      <c r="R2302" s="261"/>
      <c r="S2302" s="52"/>
      <c r="T2302" s="181"/>
      <c r="U2302" s="52"/>
      <c r="V2302" s="4295"/>
      <c r="W2302" s="1396"/>
      <c r="X2302" s="1396"/>
      <c r="Y2302" s="1396"/>
      <c r="Z2302" s="1396"/>
      <c r="AA2302" s="1396"/>
      <c r="AB2302" s="1396"/>
      <c r="AC2302" s="825">
        <v>0</v>
      </c>
      <c r="AD2302" s="802">
        <v>0</v>
      </c>
      <c r="AE2302" s="802">
        <v>0</v>
      </c>
      <c r="AF2302" s="271">
        <f t="shared" si="297"/>
        <v>0</v>
      </c>
      <c r="AG2302" s="1396"/>
      <c r="DG2302" s="573"/>
      <c r="DH2302" s="159"/>
      <c r="DI2302" s="1091"/>
      <c r="DJ2302" s="1187"/>
    </row>
    <row r="2303" spans="1:114" ht="15" hidden="1" customHeight="1" outlineLevel="1">
      <c r="A2303" s="453"/>
      <c r="C2303" s="51"/>
      <c r="D2303" s="4295"/>
      <c r="E2303" s="4295"/>
      <c r="F2303" s="4307" t="str">
        <f>$E$1514</f>
        <v>ASHP-SEER15-Replace_CAC_NonElectricHeat_ER2_SF</v>
      </c>
      <c r="G2303" s="4307"/>
      <c r="H2303" s="4307"/>
      <c r="I2303" s="4307"/>
      <c r="J2303" s="1029" t="str">
        <f>$C$1514</f>
        <v>352310_2024_12_</v>
      </c>
      <c r="K2303" s="1793">
        <v>0</v>
      </c>
      <c r="L2303" s="13"/>
      <c r="M2303" s="1442" t="s">
        <v>2500</v>
      </c>
      <c r="P2303" s="261"/>
      <c r="Q2303" s="261"/>
      <c r="R2303" s="261"/>
      <c r="S2303" s="52"/>
      <c r="T2303" s="181"/>
      <c r="U2303" s="52"/>
      <c r="V2303" s="4295"/>
      <c r="W2303" s="1396"/>
      <c r="X2303" s="1396"/>
      <c r="Y2303" s="1396"/>
      <c r="Z2303" s="1396"/>
      <c r="AA2303" s="1396"/>
      <c r="AB2303" s="1396"/>
      <c r="AC2303" s="825">
        <v>0</v>
      </c>
      <c r="AD2303" s="802">
        <v>0</v>
      </c>
      <c r="AE2303" s="802">
        <v>0</v>
      </c>
      <c r="AF2303" s="271">
        <f t="shared" si="297"/>
        <v>0</v>
      </c>
      <c r="AG2303" s="1396"/>
      <c r="DG2303" s="573"/>
      <c r="DH2303" s="159"/>
      <c r="DI2303" s="1091"/>
      <c r="DJ2303" s="1187"/>
    </row>
    <row r="2304" spans="1:114" ht="15" hidden="1" customHeight="1" outlineLevel="1">
      <c r="A2304" s="453"/>
      <c r="C2304" s="51"/>
      <c r="D2304" s="4295"/>
      <c r="E2304" s="4295"/>
      <c r="F2304" s="4307" t="str">
        <f>$E$1516</f>
        <v>ASHP-SEER15_ER1_SF</v>
      </c>
      <c r="G2304" s="4307"/>
      <c r="H2304" s="4307"/>
      <c r="I2304" s="4307"/>
      <c r="J2304" s="1029" t="str">
        <f>$C$1516</f>
        <v>352350_2024_12_</v>
      </c>
      <c r="K2304" s="1790">
        <v>6.58</v>
      </c>
      <c r="L2304" s="13"/>
      <c r="M2304" s="1442" t="s">
        <v>1949</v>
      </c>
      <c r="P2304" s="261"/>
      <c r="Q2304" s="261"/>
      <c r="R2304" s="261"/>
      <c r="S2304" s="52"/>
      <c r="T2304" s="181"/>
      <c r="U2304" s="52"/>
      <c r="V2304" s="4295"/>
      <c r="W2304" s="1396">
        <v>5.44</v>
      </c>
      <c r="X2304" s="833">
        <v>6.58</v>
      </c>
      <c r="Y2304" s="1396">
        <v>6.58</v>
      </c>
      <c r="Z2304" s="1396">
        <v>6.58</v>
      </c>
      <c r="AA2304" s="1396">
        <v>6.58</v>
      </c>
      <c r="AB2304" s="1396">
        <v>6.58</v>
      </c>
      <c r="AC2304" s="1396">
        <v>6.58</v>
      </c>
      <c r="AD2304" s="1396">
        <v>6.58</v>
      </c>
      <c r="AE2304" s="1396">
        <v>6.58</v>
      </c>
      <c r="AF2304" s="271">
        <f t="shared" si="297"/>
        <v>6.58</v>
      </c>
      <c r="AG2304" s="1396"/>
      <c r="DG2304" s="573"/>
      <c r="DH2304" s="159"/>
      <c r="DI2304" s="1091"/>
      <c r="DJ2304" s="1187"/>
    </row>
    <row r="2305" spans="1:114" ht="15" hidden="1" customHeight="1" outlineLevel="1">
      <c r="A2305" s="453"/>
      <c r="C2305" s="51"/>
      <c r="D2305" s="4295"/>
      <c r="E2305" s="4295"/>
      <c r="F2305" s="4307" t="str">
        <f>$E$1518</f>
        <v>ASHP-SEER15_ER2_SF</v>
      </c>
      <c r="G2305" s="4307"/>
      <c r="H2305" s="4307"/>
      <c r="I2305" s="4307"/>
      <c r="J2305" s="1029" t="str">
        <f>$C$1518</f>
        <v>352350_2024_12_</v>
      </c>
      <c r="K2305" s="1794">
        <v>7.5</v>
      </c>
      <c r="L2305" s="262"/>
      <c r="M2305" s="1378" t="s">
        <v>1941</v>
      </c>
      <c r="P2305" s="261"/>
      <c r="Q2305" s="261"/>
      <c r="R2305" s="261"/>
      <c r="S2305" s="52"/>
      <c r="T2305" s="181"/>
      <c r="U2305" s="52"/>
      <c r="V2305" s="4295"/>
      <c r="W2305" s="1396">
        <v>8.1999999999999993</v>
      </c>
      <c r="X2305" s="1396">
        <v>8.1999999999999993</v>
      </c>
      <c r="Y2305" s="1396">
        <v>8.1999999999999993</v>
      </c>
      <c r="Z2305" s="1396">
        <v>8.1999999999999993</v>
      </c>
      <c r="AA2305" s="1396">
        <v>8.1999999999999993</v>
      </c>
      <c r="AB2305" s="1396">
        <v>8.1999999999999993</v>
      </c>
      <c r="AC2305" s="1396">
        <v>8.1999999999999993</v>
      </c>
      <c r="AD2305" s="1396">
        <v>8.1999999999999993</v>
      </c>
      <c r="AE2305" s="833">
        <v>8.6</v>
      </c>
      <c r="AF2305" s="271">
        <f t="shared" si="297"/>
        <v>7.5</v>
      </c>
      <c r="AG2305" s="1396"/>
      <c r="DG2305" s="573"/>
      <c r="DH2305" s="159"/>
      <c r="DI2305" s="1091"/>
      <c r="DJ2305" s="1187"/>
    </row>
    <row r="2306" spans="1:114" ht="15" hidden="1" customHeight="1" outlineLevel="1">
      <c r="A2306" s="453"/>
      <c r="C2306" s="51"/>
      <c r="D2306" s="4295"/>
      <c r="E2306" s="4295"/>
      <c r="F2306" s="4307" t="str">
        <f>$E$1520</f>
        <v>ASHP-SEER15-Replace_CAC_ElectricHeat_ROF_SF</v>
      </c>
      <c r="G2306" s="4307"/>
      <c r="H2306" s="4307"/>
      <c r="I2306" s="4307"/>
      <c r="J2306" s="1029" t="str">
        <f>$C$1520</f>
        <v>352400_2024_12_</v>
      </c>
      <c r="K2306" s="1790">
        <v>3.41</v>
      </c>
      <c r="L2306" s="13"/>
      <c r="M2306" s="1442" t="s">
        <v>1949</v>
      </c>
      <c r="P2306" s="261"/>
      <c r="Q2306" s="261"/>
      <c r="R2306" s="261"/>
      <c r="S2306" s="52"/>
      <c r="T2306" s="181"/>
      <c r="U2306" s="52"/>
      <c r="V2306" s="4295"/>
      <c r="W2306" s="1396">
        <v>3.41</v>
      </c>
      <c r="X2306" s="1396">
        <v>3.41</v>
      </c>
      <c r="Y2306" s="1396">
        <v>3.41</v>
      </c>
      <c r="Z2306" s="1396">
        <v>3.41</v>
      </c>
      <c r="AA2306" s="1396">
        <v>3.41</v>
      </c>
      <c r="AB2306" s="1396">
        <v>3.41</v>
      </c>
      <c r="AC2306" s="1396">
        <v>3.41</v>
      </c>
      <c r="AD2306" s="1396">
        <v>3.41</v>
      </c>
      <c r="AE2306" s="1396">
        <v>3.41</v>
      </c>
      <c r="AF2306" s="271">
        <f t="shared" si="297"/>
        <v>3.41</v>
      </c>
      <c r="AG2306" s="1396"/>
      <c r="DG2306" s="573"/>
      <c r="DH2306" s="159"/>
      <c r="DI2306" s="1091"/>
      <c r="DJ2306" s="1187"/>
    </row>
    <row r="2307" spans="1:114" ht="15" hidden="1" customHeight="1" outlineLevel="1">
      <c r="A2307" s="453"/>
      <c r="C2307" s="51"/>
      <c r="D2307" s="4295"/>
      <c r="E2307" s="4295"/>
      <c r="F2307" s="4307" t="str">
        <f>$E$1522</f>
        <v>ASHP-SEER15-Replace_CAC_NonElectricHeat_ROF_SF</v>
      </c>
      <c r="G2307" s="4307"/>
      <c r="H2307" s="4307"/>
      <c r="I2307" s="4307"/>
      <c r="J2307" s="1029" t="str">
        <f>$C$1522</f>
        <v>352410_2024_12_</v>
      </c>
      <c r="K2307" s="1793">
        <v>0</v>
      </c>
      <c r="L2307" s="13"/>
      <c r="M2307" s="1442" t="s">
        <v>2500</v>
      </c>
      <c r="P2307" s="261"/>
      <c r="Q2307" s="261"/>
      <c r="R2307" s="261"/>
      <c r="S2307" s="52"/>
      <c r="T2307" s="181"/>
      <c r="U2307" s="52"/>
      <c r="V2307" s="4295"/>
      <c r="W2307" s="1396"/>
      <c r="X2307" s="1396"/>
      <c r="Y2307" s="1396"/>
      <c r="Z2307" s="1396"/>
      <c r="AA2307" s="1396"/>
      <c r="AB2307" s="1396"/>
      <c r="AC2307" s="825">
        <v>0</v>
      </c>
      <c r="AD2307" s="802">
        <v>0</v>
      </c>
      <c r="AE2307" s="802">
        <v>0</v>
      </c>
      <c r="AF2307" s="271">
        <f t="shared" si="297"/>
        <v>0</v>
      </c>
      <c r="AG2307" s="1396"/>
      <c r="DG2307" s="573"/>
      <c r="DH2307" s="159"/>
      <c r="DI2307" s="1091"/>
      <c r="DJ2307" s="1187"/>
    </row>
    <row r="2308" spans="1:114" ht="15" hidden="1" customHeight="1" outlineLevel="1">
      <c r="A2308" s="453"/>
      <c r="C2308" s="51"/>
      <c r="D2308" s="4295"/>
      <c r="E2308" s="4295"/>
      <c r="F2308" s="4347" t="str">
        <f>$E$1524</f>
        <v>ASHP-SEER15_ROF_SF</v>
      </c>
      <c r="G2308" s="4347"/>
      <c r="H2308" s="4347"/>
      <c r="I2308" s="4347"/>
      <c r="J2308" s="3471" t="str">
        <f>$C$1524</f>
        <v>352450_2024_12_</v>
      </c>
      <c r="K2308" s="3344">
        <v>7.5</v>
      </c>
      <c r="L2308" s="3479"/>
      <c r="M2308" s="2425" t="s">
        <v>1941</v>
      </c>
      <c r="P2308" s="261"/>
      <c r="Q2308" s="261"/>
      <c r="R2308" s="261"/>
      <c r="S2308" s="52"/>
      <c r="T2308" s="181"/>
      <c r="U2308" s="52"/>
      <c r="V2308" s="4295"/>
      <c r="W2308" s="3262">
        <v>8.1999999999999993</v>
      </c>
      <c r="X2308" s="3262">
        <v>8.1999999999999993</v>
      </c>
      <c r="Y2308" s="3262">
        <v>8.1999999999999993</v>
      </c>
      <c r="Z2308" s="3262">
        <v>8.1999999999999993</v>
      </c>
      <c r="AA2308" s="3262">
        <v>8.1999999999999993</v>
      </c>
      <c r="AB2308" s="3262">
        <v>8.1999999999999993</v>
      </c>
      <c r="AC2308" s="3262">
        <v>8.1999999999999993</v>
      </c>
      <c r="AD2308" s="3262">
        <v>8.1999999999999993</v>
      </c>
      <c r="AE2308" s="3265">
        <v>8.6</v>
      </c>
      <c r="AF2308" s="2236">
        <f t="shared" si="297"/>
        <v>7.5</v>
      </c>
      <c r="AG2308" s="1396"/>
      <c r="DG2308" s="573"/>
      <c r="DH2308" s="159"/>
      <c r="DI2308" s="1091"/>
      <c r="DJ2308" s="1187"/>
    </row>
    <row r="2309" spans="1:114" ht="15" hidden="1" customHeight="1" outlineLevel="1">
      <c r="A2309" s="453"/>
      <c r="C2309" s="51"/>
      <c r="D2309" s="4295"/>
      <c r="E2309" s="4295"/>
      <c r="F2309" s="4307" t="str">
        <f>$E$1526</f>
        <v>ASHP-SEER16-Replace_CAC_ElectricHeat_ER1_SF</v>
      </c>
      <c r="G2309" s="4307"/>
      <c r="H2309" s="4307"/>
      <c r="I2309" s="4307"/>
      <c r="J2309" s="1029" t="str">
        <f>$C$1526</f>
        <v>352500_2024_12_</v>
      </c>
      <c r="K2309" s="1790">
        <v>3.41</v>
      </c>
      <c r="L2309" s="13"/>
      <c r="M2309" s="1442" t="s">
        <v>1949</v>
      </c>
      <c r="P2309" s="261"/>
      <c r="Q2309" s="261"/>
      <c r="R2309" s="261"/>
      <c r="S2309" s="52"/>
      <c r="T2309" s="181"/>
      <c r="U2309" s="52"/>
      <c r="V2309" s="4295"/>
      <c r="W2309" s="1396">
        <v>3.41</v>
      </c>
      <c r="X2309" s="1396">
        <v>3.41</v>
      </c>
      <c r="Y2309" s="1396">
        <v>3.41</v>
      </c>
      <c r="Z2309" s="1396">
        <v>3.41</v>
      </c>
      <c r="AA2309" s="1396">
        <v>3.41</v>
      </c>
      <c r="AB2309" s="1396">
        <v>3.41</v>
      </c>
      <c r="AC2309" s="1396">
        <v>3.41</v>
      </c>
      <c r="AD2309" s="1396">
        <v>3.41</v>
      </c>
      <c r="AE2309" s="1396">
        <v>3.41</v>
      </c>
      <c r="AF2309" s="271">
        <f t="shared" si="297"/>
        <v>3.41</v>
      </c>
      <c r="AG2309" s="1396"/>
      <c r="DG2309" s="573"/>
      <c r="DH2309" s="159"/>
      <c r="DI2309" s="1091"/>
      <c r="DJ2309" s="1187"/>
    </row>
    <row r="2310" spans="1:114" ht="15" hidden="1" customHeight="1" outlineLevel="1">
      <c r="A2310" s="453"/>
      <c r="C2310" s="51"/>
      <c r="D2310" s="4295"/>
      <c r="E2310" s="4295"/>
      <c r="F2310" s="4307" t="str">
        <f>$E$1528</f>
        <v>ASHP-SEER16-Replace_CAC_ElectricHeat_ER2_SF</v>
      </c>
      <c r="G2310" s="4307"/>
      <c r="H2310" s="4307"/>
      <c r="I2310" s="4307"/>
      <c r="J2310" s="1029" t="str">
        <f>$C$1528</f>
        <v>352500_2024_12_</v>
      </c>
      <c r="K2310" s="1790">
        <v>3.41</v>
      </c>
      <c r="L2310" s="13"/>
      <c r="M2310" s="1442" t="s">
        <v>1949</v>
      </c>
      <c r="P2310" s="261"/>
      <c r="Q2310" s="261"/>
      <c r="R2310" s="261"/>
      <c r="S2310" s="52"/>
      <c r="T2310" s="181"/>
      <c r="U2310" s="52"/>
      <c r="V2310" s="4295"/>
      <c r="W2310" s="1396">
        <v>3.41</v>
      </c>
      <c r="X2310" s="1396">
        <v>3.41</v>
      </c>
      <c r="Y2310" s="1396">
        <v>3.41</v>
      </c>
      <c r="Z2310" s="1396">
        <v>3.41</v>
      </c>
      <c r="AA2310" s="1396">
        <v>3.41</v>
      </c>
      <c r="AB2310" s="1396">
        <v>3.41</v>
      </c>
      <c r="AC2310" s="1396">
        <v>3.41</v>
      </c>
      <c r="AD2310" s="1396">
        <v>3.41</v>
      </c>
      <c r="AE2310" s="1396">
        <v>3.41</v>
      </c>
      <c r="AF2310" s="271">
        <f t="shared" si="297"/>
        <v>3.41</v>
      </c>
      <c r="AG2310" s="1396"/>
      <c r="DG2310" s="573"/>
      <c r="DH2310" s="159"/>
      <c r="DI2310" s="1091"/>
      <c r="DJ2310" s="1187"/>
    </row>
    <row r="2311" spans="1:114" ht="15" hidden="1" customHeight="1" outlineLevel="1">
      <c r="A2311" s="453"/>
      <c r="C2311" s="51"/>
      <c r="D2311" s="4295"/>
      <c r="E2311" s="4295"/>
      <c r="F2311" s="4307" t="str">
        <f>$E$1530</f>
        <v>ASHP-SEER16-Replace_CAC_NonElectricHeat_ER1_SF</v>
      </c>
      <c r="G2311" s="4307"/>
      <c r="H2311" s="4307"/>
      <c r="I2311" s="4307"/>
      <c r="J2311" s="1029" t="str">
        <f>$C$1530</f>
        <v>352510_2024_12_</v>
      </c>
      <c r="K2311" s="1793">
        <v>0</v>
      </c>
      <c r="L2311" s="13"/>
      <c r="M2311" s="1442" t="s">
        <v>2500</v>
      </c>
      <c r="P2311" s="261"/>
      <c r="Q2311" s="261"/>
      <c r="R2311" s="261"/>
      <c r="S2311" s="52"/>
      <c r="T2311" s="181"/>
      <c r="U2311" s="52"/>
      <c r="V2311" s="4295"/>
      <c r="W2311" s="1396"/>
      <c r="X2311" s="1396"/>
      <c r="Y2311" s="1396"/>
      <c r="Z2311" s="1396"/>
      <c r="AA2311" s="1396"/>
      <c r="AB2311" s="1396"/>
      <c r="AC2311" s="825">
        <v>0</v>
      </c>
      <c r="AD2311" s="802">
        <v>0</v>
      </c>
      <c r="AE2311" s="802">
        <v>0</v>
      </c>
      <c r="AF2311" s="271">
        <f t="shared" si="297"/>
        <v>0</v>
      </c>
      <c r="AG2311" s="1396"/>
      <c r="DG2311" s="573"/>
      <c r="DH2311" s="159"/>
      <c r="DI2311" s="1091"/>
      <c r="DJ2311" s="1187"/>
    </row>
    <row r="2312" spans="1:114" ht="15" hidden="1" customHeight="1" outlineLevel="1">
      <c r="A2312" s="453"/>
      <c r="C2312" s="51"/>
      <c r="D2312" s="4295"/>
      <c r="E2312" s="4295"/>
      <c r="F2312" s="4307" t="str">
        <f>$E$1532</f>
        <v>ASHP-SEER16-Replace_CAC_NonElectricHeat_ER2_SF</v>
      </c>
      <c r="G2312" s="4307"/>
      <c r="H2312" s="4307"/>
      <c r="I2312" s="4307"/>
      <c r="J2312" s="1029" t="str">
        <f>$C$1532</f>
        <v>352510_2024_12_</v>
      </c>
      <c r="K2312" s="1793">
        <v>0</v>
      </c>
      <c r="L2312" s="13"/>
      <c r="M2312" s="1442" t="s">
        <v>2500</v>
      </c>
      <c r="P2312" s="261"/>
      <c r="Q2312" s="261"/>
      <c r="R2312" s="261"/>
      <c r="S2312" s="52"/>
      <c r="T2312" s="181"/>
      <c r="U2312" s="52"/>
      <c r="V2312" s="4295"/>
      <c r="W2312" s="1396"/>
      <c r="X2312" s="1396"/>
      <c r="Y2312" s="1396"/>
      <c r="Z2312" s="1396"/>
      <c r="AA2312" s="1396"/>
      <c r="AB2312" s="1396"/>
      <c r="AC2312" s="825">
        <v>0</v>
      </c>
      <c r="AD2312" s="802">
        <v>0</v>
      </c>
      <c r="AE2312" s="802">
        <v>0</v>
      </c>
      <c r="AF2312" s="271">
        <f t="shared" si="297"/>
        <v>0</v>
      </c>
      <c r="AG2312" s="1396"/>
      <c r="DG2312" s="573"/>
      <c r="DH2312" s="159"/>
      <c r="DI2312" s="1091"/>
      <c r="DJ2312" s="1187"/>
    </row>
    <row r="2313" spans="1:114" ht="15" hidden="1" customHeight="1" outlineLevel="1">
      <c r="A2313" s="453"/>
      <c r="C2313" s="51"/>
      <c r="D2313" s="4295"/>
      <c r="E2313" s="4295"/>
      <c r="F2313" s="4307" t="str">
        <f>$E$1534</f>
        <v>ASHP-SEER16_ER1_SF</v>
      </c>
      <c r="G2313" s="4307"/>
      <c r="H2313" s="4307"/>
      <c r="I2313" s="4307"/>
      <c r="J2313" s="1029" t="str">
        <f>$C$1534</f>
        <v>352550_2024_12_</v>
      </c>
      <c r="K2313" s="1790">
        <v>6.58</v>
      </c>
      <c r="L2313" s="13"/>
      <c r="M2313" s="1442" t="s">
        <v>1949</v>
      </c>
      <c r="P2313" s="261"/>
      <c r="Q2313" s="261"/>
      <c r="R2313" s="261"/>
      <c r="S2313" s="52"/>
      <c r="T2313" s="181"/>
      <c r="U2313" s="52"/>
      <c r="V2313" s="4295"/>
      <c r="W2313" s="1396">
        <v>5.44</v>
      </c>
      <c r="X2313" s="833">
        <v>6.58</v>
      </c>
      <c r="Y2313" s="1396">
        <v>6.58</v>
      </c>
      <c r="Z2313" s="1396">
        <v>6.58</v>
      </c>
      <c r="AA2313" s="1396">
        <v>6.58</v>
      </c>
      <c r="AB2313" s="1396">
        <v>6.58</v>
      </c>
      <c r="AC2313" s="1396">
        <v>6.58</v>
      </c>
      <c r="AD2313" s="1396">
        <v>6.58</v>
      </c>
      <c r="AE2313" s="1396">
        <v>6.58</v>
      </c>
      <c r="AF2313" s="271">
        <f t="shared" si="297"/>
        <v>6.58</v>
      </c>
      <c r="AG2313" s="1396"/>
      <c r="DG2313" s="573"/>
      <c r="DH2313" s="159"/>
      <c r="DI2313" s="1091"/>
      <c r="DJ2313" s="1187"/>
    </row>
    <row r="2314" spans="1:114" ht="15" hidden="1" customHeight="1" outlineLevel="1">
      <c r="A2314" s="453"/>
      <c r="C2314" s="51"/>
      <c r="D2314" s="4295"/>
      <c r="E2314" s="4295"/>
      <c r="F2314" s="4307" t="str">
        <f>$E$1536</f>
        <v>ASHP-SEER16_ER2_SF</v>
      </c>
      <c r="G2314" s="4307"/>
      <c r="H2314" s="4307"/>
      <c r="I2314" s="4307"/>
      <c r="J2314" s="1029" t="str">
        <f>$C$1536</f>
        <v>352550_2024_12_</v>
      </c>
      <c r="K2314" s="1794">
        <v>7.5</v>
      </c>
      <c r="L2314" s="262"/>
      <c r="M2314" s="1378" t="s">
        <v>1941</v>
      </c>
      <c r="P2314" s="261"/>
      <c r="Q2314" s="261"/>
      <c r="R2314" s="261"/>
      <c r="S2314" s="52"/>
      <c r="T2314" s="181"/>
      <c r="U2314" s="52"/>
      <c r="V2314" s="4295"/>
      <c r="W2314" s="1396">
        <v>8.1999999999999993</v>
      </c>
      <c r="X2314" s="1396">
        <v>8.1999999999999993</v>
      </c>
      <c r="Y2314" s="1396">
        <v>8.1999999999999993</v>
      </c>
      <c r="Z2314" s="1396">
        <v>8.1999999999999993</v>
      </c>
      <c r="AA2314" s="1396">
        <v>8.1999999999999993</v>
      </c>
      <c r="AB2314" s="1396">
        <v>8.1999999999999993</v>
      </c>
      <c r="AC2314" s="1396">
        <v>8.1999999999999993</v>
      </c>
      <c r="AD2314" s="1396">
        <v>8.1999999999999993</v>
      </c>
      <c r="AE2314" s="833">
        <v>8.6</v>
      </c>
      <c r="AF2314" s="271">
        <f t="shared" si="297"/>
        <v>7.5</v>
      </c>
      <c r="AG2314" s="1396"/>
      <c r="DG2314" s="573"/>
      <c r="DH2314" s="159"/>
      <c r="DI2314" s="1091"/>
      <c r="DJ2314" s="1187"/>
    </row>
    <row r="2315" spans="1:114" ht="15" hidden="1" customHeight="1" outlineLevel="1">
      <c r="A2315" s="453"/>
      <c r="C2315" s="51"/>
      <c r="D2315" s="4295"/>
      <c r="E2315" s="4295"/>
      <c r="F2315" s="4307" t="str">
        <f>$E$1538</f>
        <v>ASHP-SEER16-Replace_CAC_ElectricHeat_ROF_SF</v>
      </c>
      <c r="G2315" s="4307"/>
      <c r="H2315" s="4307"/>
      <c r="I2315" s="4307"/>
      <c r="J2315" s="1029" t="str">
        <f>$C$1538</f>
        <v>352600_2024_12_</v>
      </c>
      <c r="K2315" s="1790">
        <v>3.41</v>
      </c>
      <c r="L2315" s="262"/>
      <c r="M2315" s="1442" t="s">
        <v>1949</v>
      </c>
      <c r="P2315" s="261"/>
      <c r="Q2315" s="261"/>
      <c r="R2315" s="261"/>
      <c r="S2315" s="52"/>
      <c r="T2315" s="181"/>
      <c r="U2315" s="52"/>
      <c r="V2315" s="4295"/>
      <c r="W2315" s="1396">
        <v>3.41</v>
      </c>
      <c r="X2315" s="1396">
        <v>3.41</v>
      </c>
      <c r="Y2315" s="1396">
        <v>3.41</v>
      </c>
      <c r="Z2315" s="1396">
        <v>3.41</v>
      </c>
      <c r="AA2315" s="1396">
        <v>3.41</v>
      </c>
      <c r="AB2315" s="1396">
        <v>3.41</v>
      </c>
      <c r="AC2315" s="1396">
        <v>3.41</v>
      </c>
      <c r="AD2315" s="1396">
        <v>3.41</v>
      </c>
      <c r="AE2315" s="1396">
        <v>3.41</v>
      </c>
      <c r="AF2315" s="271">
        <f t="shared" si="297"/>
        <v>3.41</v>
      </c>
      <c r="AG2315" s="1396"/>
      <c r="DG2315" s="573"/>
      <c r="DH2315" s="159"/>
      <c r="DI2315" s="1091"/>
      <c r="DJ2315" s="1187"/>
    </row>
    <row r="2316" spans="1:114" ht="15" hidden="1" customHeight="1" outlineLevel="1">
      <c r="A2316" s="453"/>
      <c r="C2316" s="51"/>
      <c r="D2316" s="4295"/>
      <c r="E2316" s="4295"/>
      <c r="F2316" s="4307" t="str">
        <f>$E$1540</f>
        <v>ASHP-SEER16-Replace_CAC_NonElectricHeat_ROF_SF</v>
      </c>
      <c r="G2316" s="4307"/>
      <c r="H2316" s="4307"/>
      <c r="I2316" s="4307"/>
      <c r="J2316" s="1029" t="str">
        <f>$C$1540</f>
        <v>352610_2024_12_</v>
      </c>
      <c r="K2316" s="1790">
        <v>0</v>
      </c>
      <c r="L2316" s="13"/>
      <c r="M2316" s="1442" t="s">
        <v>2500</v>
      </c>
      <c r="P2316" s="261"/>
      <c r="Q2316" s="261"/>
      <c r="R2316" s="261"/>
      <c r="S2316" s="52"/>
      <c r="T2316" s="181"/>
      <c r="U2316" s="52"/>
      <c r="V2316" s="4295"/>
      <c r="W2316" s="1396"/>
      <c r="X2316" s="1396"/>
      <c r="Y2316" s="1396"/>
      <c r="Z2316" s="1396"/>
      <c r="AA2316" s="1396"/>
      <c r="AB2316" s="1396"/>
      <c r="AC2316" s="1396"/>
      <c r="AD2316" s="825">
        <v>0</v>
      </c>
      <c r="AE2316" s="1396">
        <v>0</v>
      </c>
      <c r="AF2316" s="271">
        <f t="shared" si="297"/>
        <v>0</v>
      </c>
      <c r="AG2316" s="1396"/>
      <c r="DG2316" s="573"/>
      <c r="DH2316" s="159"/>
      <c r="DI2316" s="1091"/>
      <c r="DJ2316" s="1187"/>
    </row>
    <row r="2317" spans="1:114" ht="15" hidden="1" customHeight="1" outlineLevel="1">
      <c r="A2317" s="453"/>
      <c r="C2317" s="51"/>
      <c r="D2317" s="4295"/>
      <c r="E2317" s="4295"/>
      <c r="F2317" s="4307" t="str">
        <f>$E$1542</f>
        <v>ASHP-SEER16_ROF_SF</v>
      </c>
      <c r="G2317" s="4307"/>
      <c r="H2317" s="4307"/>
      <c r="I2317" s="4307"/>
      <c r="J2317" s="1029" t="str">
        <f>$C$1542</f>
        <v>352650_2024_12_</v>
      </c>
      <c r="K2317" s="1794">
        <v>7.5</v>
      </c>
      <c r="L2317" s="262"/>
      <c r="M2317" s="1378" t="s">
        <v>1941</v>
      </c>
      <c r="P2317" s="261"/>
      <c r="Q2317" s="261"/>
      <c r="R2317" s="261"/>
      <c r="S2317" s="52"/>
      <c r="T2317" s="181"/>
      <c r="U2317" s="52"/>
      <c r="V2317" s="4295"/>
      <c r="W2317" s="1396">
        <v>8.1999999999999993</v>
      </c>
      <c r="X2317" s="1396">
        <v>8.1999999999999993</v>
      </c>
      <c r="Y2317" s="1396">
        <v>8.1999999999999993</v>
      </c>
      <c r="Z2317" s="1396">
        <v>8.1999999999999993</v>
      </c>
      <c r="AA2317" s="1396">
        <v>8.1999999999999993</v>
      </c>
      <c r="AB2317" s="1396">
        <v>8.1999999999999993</v>
      </c>
      <c r="AC2317" s="1396">
        <v>8.1999999999999993</v>
      </c>
      <c r="AD2317" s="1396">
        <v>8.1999999999999993</v>
      </c>
      <c r="AE2317" s="833">
        <v>8.6</v>
      </c>
      <c r="AF2317" s="271">
        <f t="shared" si="297"/>
        <v>7.5</v>
      </c>
      <c r="AG2317" s="1396"/>
      <c r="DG2317" s="573"/>
      <c r="DH2317" s="159"/>
      <c r="DI2317" s="1091"/>
      <c r="DJ2317" s="1187"/>
    </row>
    <row r="2318" spans="1:114" ht="15" hidden="1" customHeight="1" outlineLevel="1">
      <c r="A2318" s="453"/>
      <c r="C2318" s="51"/>
      <c r="D2318" s="4295"/>
      <c r="E2318" s="4295"/>
      <c r="F2318" s="4347" t="str">
        <f>$E$1544</f>
        <v>ASHP-SEER15_ER1_MF</v>
      </c>
      <c r="G2318" s="4347"/>
      <c r="H2318" s="4347"/>
      <c r="I2318" s="4347"/>
      <c r="J2318" s="3471" t="str">
        <f>$C$1544</f>
        <v>352700_2024_12_</v>
      </c>
      <c r="K2318" s="3263">
        <v>6.58</v>
      </c>
      <c r="L2318" s="3479"/>
      <c r="M2318" s="2962" t="s">
        <v>2501</v>
      </c>
      <c r="P2318" s="261"/>
      <c r="Q2318" s="261"/>
      <c r="R2318" s="261"/>
      <c r="S2318" s="52"/>
      <c r="T2318" s="181"/>
      <c r="U2318" s="52"/>
      <c r="V2318" s="4295"/>
      <c r="W2318" s="3262">
        <v>5.44</v>
      </c>
      <c r="X2318" s="3265">
        <v>5.44</v>
      </c>
      <c r="Y2318" s="3265">
        <v>6.58</v>
      </c>
      <c r="Z2318" s="3262">
        <v>6.58</v>
      </c>
      <c r="AA2318" s="3262">
        <v>6.58</v>
      </c>
      <c r="AB2318" s="3262">
        <v>6.58</v>
      </c>
      <c r="AC2318" s="3262">
        <v>6.58</v>
      </c>
      <c r="AD2318" s="3262">
        <v>6.58</v>
      </c>
      <c r="AE2318" s="3262">
        <v>6.58</v>
      </c>
      <c r="AF2318" s="2236">
        <f t="shared" si="297"/>
        <v>6.58</v>
      </c>
      <c r="AG2318" s="1396"/>
      <c r="DG2318" s="573"/>
      <c r="DH2318" s="159"/>
      <c r="DI2318" s="1091"/>
      <c r="DJ2318" s="1187"/>
    </row>
    <row r="2319" spans="1:114" ht="15" hidden="1" customHeight="1" outlineLevel="1">
      <c r="A2319" s="453"/>
      <c r="C2319" s="51"/>
      <c r="D2319" s="4295"/>
      <c r="E2319" s="4295"/>
      <c r="F2319" s="4347" t="str">
        <f>$E$1546</f>
        <v>ASHP-SEER15_ER2_MF</v>
      </c>
      <c r="G2319" s="4347"/>
      <c r="H2319" s="4347"/>
      <c r="I2319" s="4347"/>
      <c r="J2319" s="3471" t="str">
        <f>$C$1546</f>
        <v>352700_2024_12_</v>
      </c>
      <c r="K2319" s="3344">
        <v>7.5</v>
      </c>
      <c r="L2319" s="3479"/>
      <c r="M2319" s="2425" t="s">
        <v>1941</v>
      </c>
      <c r="P2319" s="261"/>
      <c r="Q2319" s="261"/>
      <c r="R2319" s="261"/>
      <c r="S2319" s="52"/>
      <c r="T2319" s="181"/>
      <c r="U2319" s="52"/>
      <c r="V2319" s="4295"/>
      <c r="W2319" s="3262">
        <v>8.1999999999999993</v>
      </c>
      <c r="X2319" s="3262">
        <v>8.1999999999999993</v>
      </c>
      <c r="Y2319" s="3262">
        <v>8.1999999999999993</v>
      </c>
      <c r="Z2319" s="3262">
        <v>8.1999999999999993</v>
      </c>
      <c r="AA2319" s="3262">
        <v>8.1999999999999993</v>
      </c>
      <c r="AB2319" s="3262">
        <v>8.1999999999999993</v>
      </c>
      <c r="AC2319" s="3262">
        <v>8.1999999999999993</v>
      </c>
      <c r="AD2319" s="3262">
        <v>8.1999999999999993</v>
      </c>
      <c r="AE2319" s="3265">
        <v>8.6</v>
      </c>
      <c r="AF2319" s="2236">
        <f t="shared" si="297"/>
        <v>7.5</v>
      </c>
      <c r="AG2319" s="1396"/>
      <c r="DG2319" s="573"/>
      <c r="DH2319" s="159"/>
      <c r="DI2319" s="1091"/>
      <c r="DJ2319" s="1187"/>
    </row>
    <row r="2320" spans="1:114" ht="15" hidden="1" customHeight="1" outlineLevel="1">
      <c r="A2320" s="453"/>
      <c r="C2320" s="51"/>
      <c r="D2320" s="4295"/>
      <c r="E2320" s="4295"/>
      <c r="F2320" s="4347" t="str">
        <f>$E$1548</f>
        <v>ASHP-SEER15_ER1_MF_CompE</v>
      </c>
      <c r="G2320" s="4347"/>
      <c r="H2320" s="4347"/>
      <c r="I2320" s="4347"/>
      <c r="J2320" s="3471" t="str">
        <f>$C$1548</f>
        <v>352701_2024_12_</v>
      </c>
      <c r="K2320" s="3263">
        <v>6.58</v>
      </c>
      <c r="L2320" s="3479"/>
      <c r="M2320" s="2962" t="s">
        <v>2501</v>
      </c>
      <c r="P2320" s="261"/>
      <c r="Q2320" s="261"/>
      <c r="R2320" s="261"/>
      <c r="S2320" s="52"/>
      <c r="T2320" s="181"/>
      <c r="U2320" s="52"/>
      <c r="V2320" s="4295"/>
      <c r="W2320" s="3262"/>
      <c r="X2320" s="3262"/>
      <c r="Y2320" s="3265">
        <v>6.58</v>
      </c>
      <c r="Z2320" s="3262">
        <v>6.58</v>
      </c>
      <c r="AA2320" s="3262">
        <v>6.58</v>
      </c>
      <c r="AB2320" s="3262">
        <v>6.58</v>
      </c>
      <c r="AC2320" s="3262">
        <v>6.58</v>
      </c>
      <c r="AD2320" s="3262">
        <v>6.58</v>
      </c>
      <c r="AE2320" s="3262">
        <v>6.58</v>
      </c>
      <c r="AF2320" s="2236">
        <f t="shared" si="297"/>
        <v>6.58</v>
      </c>
      <c r="AG2320" s="1396"/>
      <c r="DG2320" s="573"/>
      <c r="DH2320" s="159"/>
      <c r="DI2320" s="1091"/>
      <c r="DJ2320" s="1187"/>
    </row>
    <row r="2321" spans="1:114" ht="15" hidden="1" customHeight="1" outlineLevel="1">
      <c r="A2321" s="453"/>
      <c r="C2321" s="51"/>
      <c r="D2321" s="4295"/>
      <c r="E2321" s="4295"/>
      <c r="F2321" s="4347" t="str">
        <f>$E$1550</f>
        <v>ASHP-SEER15_ER2_MF_CompE</v>
      </c>
      <c r="G2321" s="4347"/>
      <c r="H2321" s="4347"/>
      <c r="I2321" s="4347"/>
      <c r="J2321" s="3471" t="str">
        <f>$C$1550</f>
        <v>352701_2024_12_</v>
      </c>
      <c r="K2321" s="3344">
        <v>7.5</v>
      </c>
      <c r="L2321" s="3479"/>
      <c r="M2321" s="2425" t="s">
        <v>1941</v>
      </c>
      <c r="P2321" s="261"/>
      <c r="Q2321" s="261"/>
      <c r="R2321" s="261"/>
      <c r="S2321" s="52"/>
      <c r="T2321" s="181"/>
      <c r="U2321" s="52"/>
      <c r="V2321" s="4295"/>
      <c r="W2321" s="3262"/>
      <c r="X2321" s="3262"/>
      <c r="Y2321" s="3265">
        <v>8.1999999999999993</v>
      </c>
      <c r="Z2321" s="3262">
        <v>8.1999999999999993</v>
      </c>
      <c r="AA2321" s="3262">
        <v>8.1999999999999993</v>
      </c>
      <c r="AB2321" s="3262">
        <v>8.1999999999999993</v>
      </c>
      <c r="AC2321" s="3262">
        <v>8.1999999999999993</v>
      </c>
      <c r="AD2321" s="3262">
        <v>8.1999999999999993</v>
      </c>
      <c r="AE2321" s="3265">
        <v>8.6</v>
      </c>
      <c r="AF2321" s="2236">
        <f t="shared" si="297"/>
        <v>7.5</v>
      </c>
      <c r="AG2321" s="1396"/>
      <c r="DG2321" s="573"/>
      <c r="DH2321" s="159"/>
      <c r="DI2321" s="1091"/>
      <c r="DJ2321" s="1187"/>
    </row>
    <row r="2322" spans="1:114" ht="15" hidden="1" customHeight="1" outlineLevel="1">
      <c r="A2322" s="453"/>
      <c r="C2322" s="51"/>
      <c r="D2322" s="4295"/>
      <c r="E2322" s="4295"/>
      <c r="F2322" s="4347" t="str">
        <f>$E$1552</f>
        <v>ASHP-SEER15-Replace_CAC_ElectricHeat_ER1_MF</v>
      </c>
      <c r="G2322" s="4347"/>
      <c r="H2322" s="4347"/>
      <c r="I2322" s="4347"/>
      <c r="J2322" s="3471" t="str">
        <f>$C$1552</f>
        <v>352750_2024_12_</v>
      </c>
      <c r="K2322" s="3263">
        <v>3.41</v>
      </c>
      <c r="L2322" s="3479"/>
      <c r="M2322" s="2962" t="s">
        <v>2501</v>
      </c>
      <c r="P2322" s="261"/>
      <c r="Q2322" s="261"/>
      <c r="R2322" s="261"/>
      <c r="S2322" s="52"/>
      <c r="T2322" s="181"/>
      <c r="U2322" s="52"/>
      <c r="V2322" s="4295"/>
      <c r="W2322" s="3262">
        <v>3.41</v>
      </c>
      <c r="X2322" s="3262">
        <v>3.41</v>
      </c>
      <c r="Y2322" s="3262">
        <v>3.41</v>
      </c>
      <c r="Z2322" s="3262">
        <v>3.41</v>
      </c>
      <c r="AA2322" s="3262">
        <v>3.41</v>
      </c>
      <c r="AB2322" s="3262">
        <v>3.41</v>
      </c>
      <c r="AC2322" s="3262">
        <v>3.41</v>
      </c>
      <c r="AD2322" s="3262">
        <v>3.41</v>
      </c>
      <c r="AE2322" s="3262">
        <v>3.41</v>
      </c>
      <c r="AF2322" s="2236">
        <f t="shared" si="297"/>
        <v>3.41</v>
      </c>
      <c r="AG2322" s="1396"/>
      <c r="DG2322" s="573"/>
      <c r="DH2322" s="159"/>
      <c r="DI2322" s="1091"/>
      <c r="DJ2322" s="1187"/>
    </row>
    <row r="2323" spans="1:114" ht="15" hidden="1" customHeight="1" outlineLevel="1">
      <c r="A2323" s="453"/>
      <c r="C2323" s="51"/>
      <c r="D2323" s="4295"/>
      <c r="E2323" s="4295"/>
      <c r="F2323" s="4347" t="str">
        <f>$E$1554</f>
        <v>ASHP-SEER15-Replace_CAC_ElectricHeat_ER2_MF</v>
      </c>
      <c r="G2323" s="4347"/>
      <c r="H2323" s="4347"/>
      <c r="I2323" s="4347"/>
      <c r="J2323" s="3471" t="str">
        <f>$C$1554</f>
        <v>352750_2024_12_</v>
      </c>
      <c r="K2323" s="3263">
        <v>3.41</v>
      </c>
      <c r="L2323" s="3479"/>
      <c r="M2323" s="2962" t="s">
        <v>2501</v>
      </c>
      <c r="P2323" s="261"/>
      <c r="Q2323" s="261"/>
      <c r="R2323" s="261"/>
      <c r="S2323" s="52"/>
      <c r="T2323" s="181"/>
      <c r="U2323" s="52"/>
      <c r="V2323" s="4295"/>
      <c r="W2323" s="3262">
        <v>3.41</v>
      </c>
      <c r="X2323" s="3262">
        <v>3.41</v>
      </c>
      <c r="Y2323" s="3262">
        <v>3.41</v>
      </c>
      <c r="Z2323" s="3262">
        <v>3.41</v>
      </c>
      <c r="AA2323" s="3262">
        <v>3.41</v>
      </c>
      <c r="AB2323" s="3262">
        <v>3.41</v>
      </c>
      <c r="AC2323" s="3262">
        <v>3.41</v>
      </c>
      <c r="AD2323" s="3262">
        <v>3.41</v>
      </c>
      <c r="AE2323" s="3262">
        <v>3.41</v>
      </c>
      <c r="AF2323" s="2236">
        <f t="shared" si="297"/>
        <v>3.41</v>
      </c>
      <c r="AG2323" s="1396"/>
      <c r="DG2323" s="573"/>
      <c r="DH2323" s="159"/>
      <c r="DI2323" s="1091"/>
      <c r="DJ2323" s="1187"/>
    </row>
    <row r="2324" spans="1:114" ht="15" hidden="1" customHeight="1" outlineLevel="1">
      <c r="A2324" s="453"/>
      <c r="C2324" s="51"/>
      <c r="D2324" s="4295"/>
      <c r="E2324" s="4295"/>
      <c r="F2324" s="4347" t="str">
        <f>$E$1556</f>
        <v>ASHP-SEER15-Replace_CAC_ElectricHeat_ER1_MF_CompE</v>
      </c>
      <c r="G2324" s="4347"/>
      <c r="H2324" s="4347"/>
      <c r="I2324" s="4347"/>
      <c r="J2324" s="3471" t="str">
        <f>$C$1556</f>
        <v>352751_2024_12_</v>
      </c>
      <c r="K2324" s="3263">
        <v>3.41</v>
      </c>
      <c r="L2324" s="3479"/>
      <c r="M2324" s="2962" t="s">
        <v>2501</v>
      </c>
      <c r="P2324" s="261"/>
      <c r="Q2324" s="261"/>
      <c r="R2324" s="261"/>
      <c r="S2324" s="52"/>
      <c r="T2324" s="181"/>
      <c r="U2324" s="52"/>
      <c r="V2324" s="4295"/>
      <c r="W2324" s="3262"/>
      <c r="X2324" s="3262"/>
      <c r="Y2324" s="3265">
        <v>3.41</v>
      </c>
      <c r="Z2324" s="3262">
        <v>3.41</v>
      </c>
      <c r="AA2324" s="3262">
        <v>3.41</v>
      </c>
      <c r="AB2324" s="3262">
        <v>3.41</v>
      </c>
      <c r="AC2324" s="3262">
        <v>3.41</v>
      </c>
      <c r="AD2324" s="3262">
        <v>3.41</v>
      </c>
      <c r="AE2324" s="3262">
        <v>3.41</v>
      </c>
      <c r="AF2324" s="2236">
        <f t="shared" si="297"/>
        <v>3.41</v>
      </c>
      <c r="AG2324" s="1396"/>
      <c r="DG2324" s="573"/>
      <c r="DH2324" s="159"/>
      <c r="DI2324" s="1091"/>
      <c r="DJ2324" s="1187"/>
    </row>
    <row r="2325" spans="1:114" ht="15" hidden="1" customHeight="1" outlineLevel="1">
      <c r="A2325" s="453"/>
      <c r="C2325" s="51"/>
      <c r="D2325" s="4295"/>
      <c r="E2325" s="4295"/>
      <c r="F2325" s="4347" t="str">
        <f>$E$1558</f>
        <v>ASHP-SEER15-Replace_CAC_ElectricHeat_ER2_MF_CompE</v>
      </c>
      <c r="G2325" s="4347"/>
      <c r="H2325" s="4347"/>
      <c r="I2325" s="4347"/>
      <c r="J2325" s="3471" t="str">
        <f>$C$1558</f>
        <v>352751_2024_12_</v>
      </c>
      <c r="K2325" s="3263">
        <v>3.41</v>
      </c>
      <c r="L2325" s="3479"/>
      <c r="M2325" s="2962" t="s">
        <v>2501</v>
      </c>
      <c r="P2325" s="261"/>
      <c r="Q2325" s="261"/>
      <c r="R2325" s="261"/>
      <c r="S2325" s="52"/>
      <c r="T2325" s="181"/>
      <c r="U2325" s="52"/>
      <c r="V2325" s="4295"/>
      <c r="W2325" s="3262"/>
      <c r="X2325" s="3262"/>
      <c r="Y2325" s="3265">
        <v>3.41</v>
      </c>
      <c r="Z2325" s="3262">
        <v>3.41</v>
      </c>
      <c r="AA2325" s="3262">
        <v>3.41</v>
      </c>
      <c r="AB2325" s="3262">
        <v>3.41</v>
      </c>
      <c r="AC2325" s="3262">
        <v>3.41</v>
      </c>
      <c r="AD2325" s="3262">
        <v>3.41</v>
      </c>
      <c r="AE2325" s="3262">
        <v>3.41</v>
      </c>
      <c r="AF2325" s="2236">
        <f t="shared" si="297"/>
        <v>3.41</v>
      </c>
      <c r="AG2325" s="1396"/>
      <c r="DG2325" s="573"/>
      <c r="DH2325" s="159"/>
      <c r="DI2325" s="1091"/>
      <c r="DJ2325" s="1187"/>
    </row>
    <row r="2326" spans="1:114" ht="15" hidden="1" customHeight="1" outlineLevel="1">
      <c r="A2326" s="453"/>
      <c r="C2326" s="51"/>
      <c r="D2326" s="4295"/>
      <c r="E2326" s="4295"/>
      <c r="F2326" s="4347" t="str">
        <f>$E$1560</f>
        <v>ASHP-SEER15-Replace_CAC_NonElectricHeat_ER1_MF</v>
      </c>
      <c r="G2326" s="4347"/>
      <c r="H2326" s="4347"/>
      <c r="I2326" s="4347"/>
      <c r="J2326" s="3471" t="str">
        <f>$C$1560</f>
        <v>352760_2024_12_</v>
      </c>
      <c r="K2326" s="3342">
        <v>0</v>
      </c>
      <c r="L2326" s="3479"/>
      <c r="M2326" s="2962" t="s">
        <v>2500</v>
      </c>
      <c r="P2326" s="261"/>
      <c r="Q2326" s="261"/>
      <c r="R2326" s="261"/>
      <c r="S2326" s="52"/>
      <c r="T2326" s="181"/>
      <c r="U2326" s="52"/>
      <c r="V2326" s="4295"/>
      <c r="W2326" s="3262"/>
      <c r="X2326" s="3262"/>
      <c r="Y2326" s="3265"/>
      <c r="Z2326" s="3262"/>
      <c r="AA2326" s="3262"/>
      <c r="AB2326" s="3262"/>
      <c r="AC2326" s="3279">
        <v>0</v>
      </c>
      <c r="AD2326" s="3267">
        <v>0</v>
      </c>
      <c r="AE2326" s="3267">
        <v>0</v>
      </c>
      <c r="AF2326" s="2236">
        <f t="shared" si="297"/>
        <v>0</v>
      </c>
      <c r="AG2326" s="1396"/>
      <c r="DG2326" s="573"/>
      <c r="DH2326" s="159"/>
      <c r="DI2326" s="1091"/>
      <c r="DJ2326" s="1187"/>
    </row>
    <row r="2327" spans="1:114" ht="15" hidden="1" customHeight="1" outlineLevel="1">
      <c r="A2327" s="453"/>
      <c r="C2327" s="51"/>
      <c r="D2327" s="4295"/>
      <c r="E2327" s="4295"/>
      <c r="F2327" s="4347" t="str">
        <f>$E$1562</f>
        <v>ASHP-SEER15-Replace_CAC_NonElectricHeat_ER2_MF</v>
      </c>
      <c r="G2327" s="4347"/>
      <c r="H2327" s="4347"/>
      <c r="I2327" s="4347"/>
      <c r="J2327" s="3471" t="str">
        <f>$C$1562</f>
        <v>352760_2024_12_</v>
      </c>
      <c r="K2327" s="3342">
        <v>0</v>
      </c>
      <c r="L2327" s="3479"/>
      <c r="M2327" s="2962" t="s">
        <v>2500</v>
      </c>
      <c r="P2327" s="261"/>
      <c r="Q2327" s="261"/>
      <c r="R2327" s="261"/>
      <c r="S2327" s="52"/>
      <c r="T2327" s="181"/>
      <c r="U2327" s="52"/>
      <c r="V2327" s="4295"/>
      <c r="W2327" s="3262"/>
      <c r="X2327" s="3262"/>
      <c r="Y2327" s="3265"/>
      <c r="Z2327" s="3262"/>
      <c r="AA2327" s="3262"/>
      <c r="AB2327" s="3262"/>
      <c r="AC2327" s="3279">
        <v>0</v>
      </c>
      <c r="AD2327" s="3267">
        <v>0</v>
      </c>
      <c r="AE2327" s="3267">
        <v>0</v>
      </c>
      <c r="AF2327" s="2236">
        <f t="shared" si="297"/>
        <v>0</v>
      </c>
      <c r="AG2327" s="1396"/>
      <c r="DG2327" s="573"/>
      <c r="DH2327" s="159"/>
      <c r="DI2327" s="1091"/>
      <c r="DJ2327" s="1187"/>
    </row>
    <row r="2328" spans="1:114" ht="15" hidden="1" customHeight="1" outlineLevel="1">
      <c r="A2328" s="453"/>
      <c r="C2328" s="51"/>
      <c r="D2328" s="4295"/>
      <c r="E2328" s="4295"/>
      <c r="F2328" s="4347" t="str">
        <f>$E$1564</f>
        <v>ASHP-SEER15-Replace_CAC_NonElectricHeat_ER1_MF_CompE</v>
      </c>
      <c r="G2328" s="4347"/>
      <c r="H2328" s="4347"/>
      <c r="I2328" s="4347"/>
      <c r="J2328" s="3471" t="str">
        <f>$C$1564</f>
        <v>352761_2024_12_</v>
      </c>
      <c r="K2328" s="3342">
        <v>0</v>
      </c>
      <c r="L2328" s="3479"/>
      <c r="M2328" s="2962" t="s">
        <v>2500</v>
      </c>
      <c r="P2328" s="261"/>
      <c r="Q2328" s="261"/>
      <c r="R2328" s="261"/>
      <c r="S2328" s="52"/>
      <c r="T2328" s="181"/>
      <c r="U2328" s="52"/>
      <c r="V2328" s="4295"/>
      <c r="W2328" s="3262"/>
      <c r="X2328" s="3262"/>
      <c r="Y2328" s="3265"/>
      <c r="Z2328" s="3262"/>
      <c r="AA2328" s="3262"/>
      <c r="AB2328" s="3262"/>
      <c r="AC2328" s="3279">
        <v>0</v>
      </c>
      <c r="AD2328" s="3267">
        <v>0</v>
      </c>
      <c r="AE2328" s="3267">
        <v>0</v>
      </c>
      <c r="AF2328" s="2236">
        <f t="shared" si="297"/>
        <v>0</v>
      </c>
      <c r="AG2328" s="1396"/>
      <c r="DG2328" s="573"/>
      <c r="DH2328" s="159"/>
      <c r="DI2328" s="1091"/>
      <c r="DJ2328" s="1187"/>
    </row>
    <row r="2329" spans="1:114" ht="15" hidden="1" customHeight="1" outlineLevel="1">
      <c r="A2329" s="453"/>
      <c r="C2329" s="51"/>
      <c r="D2329" s="4295"/>
      <c r="E2329" s="4295"/>
      <c r="F2329" s="4347" t="str">
        <f>$E$1566</f>
        <v>ASHP-SEER15-Replace_CAC_NonElectricHeat_ER2_MF_CompE</v>
      </c>
      <c r="G2329" s="4347"/>
      <c r="H2329" s="4347"/>
      <c r="I2329" s="4347"/>
      <c r="J2329" s="3471" t="str">
        <f>$C$1566</f>
        <v>352761_2024_12_</v>
      </c>
      <c r="K2329" s="3342">
        <v>0</v>
      </c>
      <c r="L2329" s="3479"/>
      <c r="M2329" s="2962" t="s">
        <v>2500</v>
      </c>
      <c r="P2329" s="261"/>
      <c r="Q2329" s="261"/>
      <c r="R2329" s="261"/>
      <c r="S2329" s="52"/>
      <c r="T2329" s="181"/>
      <c r="U2329" s="52"/>
      <c r="V2329" s="4295"/>
      <c r="W2329" s="3262"/>
      <c r="X2329" s="3262"/>
      <c r="Y2329" s="3265"/>
      <c r="Z2329" s="3262"/>
      <c r="AA2329" s="3262"/>
      <c r="AB2329" s="3262"/>
      <c r="AC2329" s="3279">
        <v>0</v>
      </c>
      <c r="AD2329" s="3267">
        <v>0</v>
      </c>
      <c r="AE2329" s="3267">
        <v>0</v>
      </c>
      <c r="AF2329" s="2236">
        <f t="shared" si="297"/>
        <v>0</v>
      </c>
      <c r="AG2329" s="1396"/>
      <c r="DG2329" s="573"/>
      <c r="DH2329" s="159"/>
      <c r="DI2329" s="1091"/>
      <c r="DJ2329" s="1187"/>
    </row>
    <row r="2330" spans="1:114" ht="15" hidden="1" customHeight="1" outlineLevel="1">
      <c r="A2330" s="453"/>
      <c r="C2330" s="51"/>
      <c r="D2330" s="4295"/>
      <c r="E2330" s="4295"/>
      <c r="F2330" s="4347" t="str">
        <f>$E$1568</f>
        <v>ASHP-SEER15-Replace_CAC_ElectricHeat_ROF_MF</v>
      </c>
      <c r="G2330" s="4347"/>
      <c r="H2330" s="4347"/>
      <c r="I2330" s="4347"/>
      <c r="J2330" s="3471" t="str">
        <f>$C$1568</f>
        <v>352800_2024_12_</v>
      </c>
      <c r="K2330" s="3263">
        <v>3.41</v>
      </c>
      <c r="L2330" s="3479"/>
      <c r="M2330" s="2962" t="s">
        <v>2501</v>
      </c>
      <c r="P2330" s="261"/>
      <c r="Q2330" s="261"/>
      <c r="R2330" s="261"/>
      <c r="S2330" s="52"/>
      <c r="T2330" s="181"/>
      <c r="U2330" s="52"/>
      <c r="V2330" s="4295"/>
      <c r="W2330" s="3262">
        <v>3.41</v>
      </c>
      <c r="X2330" s="3262">
        <v>3.41</v>
      </c>
      <c r="Y2330" s="3262">
        <v>3.41</v>
      </c>
      <c r="Z2330" s="3262">
        <v>3.41</v>
      </c>
      <c r="AA2330" s="3262">
        <v>3.41</v>
      </c>
      <c r="AB2330" s="3262">
        <v>3.41</v>
      </c>
      <c r="AC2330" s="3262">
        <v>3.41</v>
      </c>
      <c r="AD2330" s="3262">
        <v>3.41</v>
      </c>
      <c r="AE2330" s="3262">
        <v>3.41</v>
      </c>
      <c r="AF2330" s="2236">
        <f t="shared" si="297"/>
        <v>3.41</v>
      </c>
      <c r="AG2330" s="1396"/>
      <c r="DG2330" s="573"/>
      <c r="DH2330" s="159"/>
      <c r="DI2330" s="1091"/>
      <c r="DJ2330" s="1187"/>
    </row>
    <row r="2331" spans="1:114" ht="15" hidden="1" customHeight="1" outlineLevel="1">
      <c r="A2331" s="453"/>
      <c r="C2331" s="51"/>
      <c r="D2331" s="4295"/>
      <c r="E2331" s="4295"/>
      <c r="F2331" s="4347" t="str">
        <f>$E$1570</f>
        <v>ASHP-SEER15-Replace_CAC_ElectricHeat_ROF_MF_CompE</v>
      </c>
      <c r="G2331" s="4347"/>
      <c r="H2331" s="4347"/>
      <c r="I2331" s="4347"/>
      <c r="J2331" s="3471" t="str">
        <f>$C$1570</f>
        <v>352801_2024_12_</v>
      </c>
      <c r="K2331" s="3263">
        <v>3.41</v>
      </c>
      <c r="L2331" s="3479"/>
      <c r="M2331" s="2962" t="s">
        <v>2501</v>
      </c>
      <c r="P2331" s="261"/>
      <c r="Q2331" s="261"/>
      <c r="R2331" s="261"/>
      <c r="S2331" s="52"/>
      <c r="T2331" s="181"/>
      <c r="U2331" s="52"/>
      <c r="V2331" s="4295"/>
      <c r="W2331" s="3262"/>
      <c r="X2331" s="3262"/>
      <c r="Y2331" s="3265">
        <v>3.41</v>
      </c>
      <c r="Z2331" s="3262">
        <v>3.41</v>
      </c>
      <c r="AA2331" s="3262">
        <v>3.41</v>
      </c>
      <c r="AB2331" s="3262">
        <v>3.41</v>
      </c>
      <c r="AC2331" s="3262">
        <v>3.41</v>
      </c>
      <c r="AD2331" s="3262">
        <v>3.41</v>
      </c>
      <c r="AE2331" s="3262">
        <v>3.41</v>
      </c>
      <c r="AF2331" s="2236">
        <f t="shared" si="297"/>
        <v>3.41</v>
      </c>
      <c r="AG2331" s="1396"/>
      <c r="DG2331" s="573"/>
      <c r="DH2331" s="159"/>
      <c r="DI2331" s="1091"/>
      <c r="DJ2331" s="1187"/>
    </row>
    <row r="2332" spans="1:114" ht="15" hidden="1" customHeight="1" outlineLevel="1">
      <c r="A2332" s="453"/>
      <c r="C2332" s="51"/>
      <c r="D2332" s="4295"/>
      <c r="E2332" s="4295"/>
      <c r="F2332" s="4347" t="str">
        <f>$E$1572</f>
        <v>ASHP-SEER15-Replace_CAC_NonElectricHeat_ROF_MF</v>
      </c>
      <c r="G2332" s="4347"/>
      <c r="H2332" s="4347"/>
      <c r="I2332" s="4347"/>
      <c r="J2332" s="3471" t="str">
        <f>$C$1572</f>
        <v>352810_2024_12_</v>
      </c>
      <c r="K2332" s="3342">
        <v>0</v>
      </c>
      <c r="L2332" s="3479"/>
      <c r="M2332" s="2962" t="s">
        <v>2500</v>
      </c>
      <c r="P2332" s="261"/>
      <c r="Q2332" s="261"/>
      <c r="R2332" s="261"/>
      <c r="S2332" s="52"/>
      <c r="T2332" s="181"/>
      <c r="U2332" s="52"/>
      <c r="V2332" s="4295"/>
      <c r="W2332" s="3262"/>
      <c r="X2332" s="3262"/>
      <c r="Y2332" s="3265"/>
      <c r="Z2332" s="3262"/>
      <c r="AA2332" s="3262"/>
      <c r="AB2332" s="3262"/>
      <c r="AC2332" s="3279">
        <v>0</v>
      </c>
      <c r="AD2332" s="3267">
        <v>0</v>
      </c>
      <c r="AE2332" s="3267">
        <v>0</v>
      </c>
      <c r="AF2332" s="2236">
        <f t="shared" si="297"/>
        <v>0</v>
      </c>
      <c r="AG2332" s="1396"/>
      <c r="DG2332" s="573"/>
      <c r="DH2332" s="159"/>
      <c r="DI2332" s="1091"/>
      <c r="DJ2332" s="1187"/>
    </row>
    <row r="2333" spans="1:114" ht="15" hidden="1" customHeight="1" outlineLevel="1">
      <c r="A2333" s="453"/>
      <c r="C2333" s="51"/>
      <c r="D2333" s="4295"/>
      <c r="E2333" s="4295"/>
      <c r="F2333" s="4347" t="str">
        <f>$E$1574</f>
        <v>ASHP-SEER15-Replace_CAC_NonElectricHeat_ROF_MF_CompE</v>
      </c>
      <c r="G2333" s="4347"/>
      <c r="H2333" s="4347"/>
      <c r="I2333" s="4347"/>
      <c r="J2333" s="3471" t="str">
        <f>$C$1574</f>
        <v>352811_2024_12_</v>
      </c>
      <c r="K2333" s="3342">
        <v>0</v>
      </c>
      <c r="L2333" s="3479"/>
      <c r="M2333" s="2962" t="s">
        <v>2500</v>
      </c>
      <c r="P2333" s="261"/>
      <c r="Q2333" s="261"/>
      <c r="R2333" s="261"/>
      <c r="S2333" s="52"/>
      <c r="T2333" s="181"/>
      <c r="U2333" s="52"/>
      <c r="V2333" s="4295"/>
      <c r="W2333" s="3262"/>
      <c r="X2333" s="3262"/>
      <c r="Y2333" s="3265"/>
      <c r="Z2333" s="3262"/>
      <c r="AA2333" s="3262"/>
      <c r="AB2333" s="3262"/>
      <c r="AC2333" s="3279">
        <v>0</v>
      </c>
      <c r="AD2333" s="3267">
        <v>0</v>
      </c>
      <c r="AE2333" s="3267">
        <v>0</v>
      </c>
      <c r="AF2333" s="2236">
        <f t="shared" si="297"/>
        <v>0</v>
      </c>
      <c r="AG2333" s="1396"/>
      <c r="DG2333" s="573"/>
      <c r="DH2333" s="159"/>
      <c r="DI2333" s="1091"/>
      <c r="DJ2333" s="1187"/>
    </row>
    <row r="2334" spans="1:114" ht="15" hidden="1" customHeight="1" outlineLevel="1">
      <c r="A2334" s="453"/>
      <c r="C2334" s="51"/>
      <c r="D2334" s="4295"/>
      <c r="E2334" s="4295"/>
      <c r="F2334" s="4347" t="str">
        <f>$E$1576</f>
        <v>ASHP-SEER16_ER1_MF</v>
      </c>
      <c r="G2334" s="4347"/>
      <c r="H2334" s="4347"/>
      <c r="I2334" s="4347"/>
      <c r="J2334" s="3471" t="str">
        <f>$C$1576</f>
        <v>352850_2024_12_</v>
      </c>
      <c r="K2334" s="3263">
        <v>6.58</v>
      </c>
      <c r="L2334" s="3479"/>
      <c r="M2334" s="2962" t="s">
        <v>2501</v>
      </c>
      <c r="P2334" s="261"/>
      <c r="Q2334" s="261"/>
      <c r="R2334" s="261"/>
      <c r="S2334" s="52"/>
      <c r="T2334" s="181"/>
      <c r="U2334" s="52"/>
      <c r="V2334" s="4295"/>
      <c r="W2334" s="3262">
        <v>5.44</v>
      </c>
      <c r="X2334" s="3265">
        <v>6.58</v>
      </c>
      <c r="Y2334" s="3262">
        <v>6.58</v>
      </c>
      <c r="Z2334" s="3262">
        <v>6.58</v>
      </c>
      <c r="AA2334" s="3262">
        <v>6.58</v>
      </c>
      <c r="AB2334" s="3262">
        <v>6.58</v>
      </c>
      <c r="AC2334" s="3262">
        <v>6.58</v>
      </c>
      <c r="AD2334" s="3262">
        <v>6.58</v>
      </c>
      <c r="AE2334" s="3262">
        <v>6.58</v>
      </c>
      <c r="AF2334" s="2236">
        <f t="shared" si="297"/>
        <v>6.58</v>
      </c>
      <c r="AG2334" s="1396"/>
      <c r="DG2334" s="573"/>
      <c r="DH2334" s="159"/>
      <c r="DI2334" s="1091"/>
      <c r="DJ2334" s="1187"/>
    </row>
    <row r="2335" spans="1:114" ht="15" hidden="1" customHeight="1" outlineLevel="1">
      <c r="A2335" s="453"/>
      <c r="C2335" s="51"/>
      <c r="D2335" s="4295"/>
      <c r="E2335" s="4295"/>
      <c r="F2335" s="4347" t="str">
        <f>$E$1578</f>
        <v>ASHP-SEER16_ER2_MF</v>
      </c>
      <c r="G2335" s="4347"/>
      <c r="H2335" s="4347"/>
      <c r="I2335" s="4347"/>
      <c r="J2335" s="3471" t="str">
        <f>$C$1578</f>
        <v>352850_2024_12_</v>
      </c>
      <c r="K2335" s="3344">
        <v>7.5</v>
      </c>
      <c r="L2335" s="3479"/>
      <c r="M2335" s="2425" t="s">
        <v>1941</v>
      </c>
      <c r="P2335" s="261"/>
      <c r="Q2335" s="261"/>
      <c r="R2335" s="261"/>
      <c r="S2335" s="52"/>
      <c r="T2335" s="181"/>
      <c r="U2335" s="52"/>
      <c r="V2335" s="4295"/>
      <c r="W2335" s="3262">
        <v>8.1999999999999993</v>
      </c>
      <c r="X2335" s="3262">
        <v>8.1999999999999993</v>
      </c>
      <c r="Y2335" s="3262">
        <v>8.1999999999999993</v>
      </c>
      <c r="Z2335" s="3262">
        <v>8.1999999999999993</v>
      </c>
      <c r="AA2335" s="3262">
        <v>8.1999999999999993</v>
      </c>
      <c r="AB2335" s="3262">
        <v>8.1999999999999993</v>
      </c>
      <c r="AC2335" s="3262">
        <v>8.1999999999999993</v>
      </c>
      <c r="AD2335" s="3262">
        <v>8.1999999999999993</v>
      </c>
      <c r="AE2335" s="3265">
        <v>8.6</v>
      </c>
      <c r="AF2335" s="2236">
        <f t="shared" si="297"/>
        <v>7.5</v>
      </c>
      <c r="AG2335" s="1396"/>
      <c r="DG2335" s="573"/>
      <c r="DH2335" s="159"/>
      <c r="DI2335" s="1091"/>
      <c r="DJ2335" s="1187"/>
    </row>
    <row r="2336" spans="1:114" ht="15" hidden="1" customHeight="1" outlineLevel="1">
      <c r="A2336" s="453"/>
      <c r="C2336" s="51"/>
      <c r="D2336" s="4295"/>
      <c r="E2336" s="4295"/>
      <c r="F2336" s="4347" t="str">
        <f>$E$1580</f>
        <v>ASHP-SEER16_ER1_MF_CompE</v>
      </c>
      <c r="G2336" s="4347"/>
      <c r="H2336" s="4347"/>
      <c r="I2336" s="4347"/>
      <c r="J2336" s="3471" t="str">
        <f>$C$1580</f>
        <v>352851_2024_12_</v>
      </c>
      <c r="K2336" s="3263">
        <v>6.58</v>
      </c>
      <c r="L2336" s="3479"/>
      <c r="M2336" s="2962" t="s">
        <v>2501</v>
      </c>
      <c r="P2336" s="261"/>
      <c r="Q2336" s="261"/>
      <c r="R2336" s="261"/>
      <c r="S2336" s="52"/>
      <c r="T2336" s="181"/>
      <c r="U2336" s="52"/>
      <c r="V2336" s="4295"/>
      <c r="W2336" s="3262"/>
      <c r="X2336" s="3262"/>
      <c r="Y2336" s="3265">
        <v>6.58</v>
      </c>
      <c r="Z2336" s="3262">
        <v>6.58</v>
      </c>
      <c r="AA2336" s="3262">
        <v>6.58</v>
      </c>
      <c r="AB2336" s="3262">
        <v>6.58</v>
      </c>
      <c r="AC2336" s="3262">
        <v>6.58</v>
      </c>
      <c r="AD2336" s="3262">
        <v>6.58</v>
      </c>
      <c r="AE2336" s="3262">
        <v>6.58</v>
      </c>
      <c r="AF2336" s="2236">
        <f t="shared" si="297"/>
        <v>6.58</v>
      </c>
      <c r="AG2336" s="1396"/>
      <c r="DG2336" s="573"/>
      <c r="DH2336" s="159"/>
      <c r="DI2336" s="1091"/>
      <c r="DJ2336" s="1187"/>
    </row>
    <row r="2337" spans="1:114" ht="15" hidden="1" customHeight="1" outlineLevel="1">
      <c r="A2337" s="453"/>
      <c r="C2337" s="51"/>
      <c r="D2337" s="4295"/>
      <c r="E2337" s="4295"/>
      <c r="F2337" s="4347" t="str">
        <f>$E$1582</f>
        <v>ASHP-SEER16_ER2_MF_CompE</v>
      </c>
      <c r="G2337" s="4347"/>
      <c r="H2337" s="4347"/>
      <c r="I2337" s="4347"/>
      <c r="J2337" s="3471" t="str">
        <f>$C$1582</f>
        <v>352851_2024_12_</v>
      </c>
      <c r="K2337" s="3344">
        <v>7.5</v>
      </c>
      <c r="L2337" s="3479"/>
      <c r="M2337" s="2425" t="s">
        <v>1941</v>
      </c>
      <c r="P2337" s="261"/>
      <c r="Q2337" s="261"/>
      <c r="R2337" s="261"/>
      <c r="S2337" s="52"/>
      <c r="T2337" s="181"/>
      <c r="U2337" s="52"/>
      <c r="V2337" s="4295"/>
      <c r="W2337" s="3262"/>
      <c r="X2337" s="3262"/>
      <c r="Y2337" s="3265">
        <v>8.1999999999999993</v>
      </c>
      <c r="Z2337" s="3262">
        <v>8.1999999999999993</v>
      </c>
      <c r="AA2337" s="3262">
        <v>8.1999999999999993</v>
      </c>
      <c r="AB2337" s="3262">
        <v>8.1999999999999993</v>
      </c>
      <c r="AC2337" s="3262">
        <v>8.1999999999999993</v>
      </c>
      <c r="AD2337" s="3262">
        <v>8.1999999999999993</v>
      </c>
      <c r="AE2337" s="3265">
        <v>8.6</v>
      </c>
      <c r="AF2337" s="2236">
        <f t="shared" si="297"/>
        <v>7.5</v>
      </c>
      <c r="AG2337" s="1396"/>
      <c r="DG2337" s="573"/>
      <c r="DH2337" s="159"/>
      <c r="DI2337" s="1091"/>
      <c r="DJ2337" s="1187"/>
    </row>
    <row r="2338" spans="1:114" ht="15" hidden="1" customHeight="1" outlineLevel="1">
      <c r="A2338" s="453"/>
      <c r="C2338" s="51"/>
      <c r="D2338" s="4295"/>
      <c r="E2338" s="4295"/>
      <c r="F2338" s="4347" t="str">
        <f>$E$1584</f>
        <v>ASHP-SEER16_ROF_MF</v>
      </c>
      <c r="G2338" s="4347"/>
      <c r="H2338" s="4347"/>
      <c r="I2338" s="4347"/>
      <c r="J2338" s="3471" t="str">
        <f>$C$1584</f>
        <v>352900_2024_12_</v>
      </c>
      <c r="K2338" s="3344">
        <v>7.5</v>
      </c>
      <c r="L2338" s="3479"/>
      <c r="M2338" s="2425" t="s">
        <v>1941</v>
      </c>
      <c r="P2338" s="261"/>
      <c r="Q2338" s="261"/>
      <c r="R2338" s="261"/>
      <c r="S2338" s="52"/>
      <c r="T2338" s="181"/>
      <c r="U2338" s="52"/>
      <c r="V2338" s="4295"/>
      <c r="W2338" s="3262">
        <v>8.1999999999999993</v>
      </c>
      <c r="X2338" s="3262">
        <v>8.1999999999999993</v>
      </c>
      <c r="Y2338" s="3262">
        <v>8.1999999999999993</v>
      </c>
      <c r="Z2338" s="3262">
        <v>8.1999999999999993</v>
      </c>
      <c r="AA2338" s="3262">
        <v>8.1999999999999993</v>
      </c>
      <c r="AB2338" s="3262">
        <v>8.1999999999999993</v>
      </c>
      <c r="AC2338" s="3262">
        <v>8.1999999999999993</v>
      </c>
      <c r="AD2338" s="3262">
        <v>8.1999999999999993</v>
      </c>
      <c r="AE2338" s="3265">
        <v>8.6</v>
      </c>
      <c r="AF2338" s="2236">
        <f t="shared" si="297"/>
        <v>7.5</v>
      </c>
      <c r="AG2338" s="1396"/>
      <c r="DG2338" s="573"/>
      <c r="DH2338" s="159"/>
      <c r="DI2338" s="1091"/>
      <c r="DJ2338" s="1187"/>
    </row>
    <row r="2339" spans="1:114" ht="15" hidden="1" customHeight="1" outlineLevel="1">
      <c r="A2339" s="453"/>
      <c r="C2339" s="51"/>
      <c r="D2339" s="4295"/>
      <c r="E2339" s="4295"/>
      <c r="F2339" s="4347" t="str">
        <f>$E$1586</f>
        <v>ASHP-SEER16_ROF_MF_CompE</v>
      </c>
      <c r="G2339" s="4347"/>
      <c r="H2339" s="4347"/>
      <c r="I2339" s="4347"/>
      <c r="J2339" s="3471" t="str">
        <f>$C$1586</f>
        <v>352901_2024_12_</v>
      </c>
      <c r="K2339" s="3344">
        <v>7.5</v>
      </c>
      <c r="L2339" s="3479"/>
      <c r="M2339" s="2425" t="s">
        <v>1941</v>
      </c>
      <c r="P2339" s="261"/>
      <c r="Q2339" s="261"/>
      <c r="R2339" s="261"/>
      <c r="S2339" s="52"/>
      <c r="T2339" s="181"/>
      <c r="U2339" s="52"/>
      <c r="V2339" s="4295"/>
      <c r="W2339" s="3262"/>
      <c r="X2339" s="3262"/>
      <c r="Y2339" s="3265">
        <v>8.1999999999999993</v>
      </c>
      <c r="Z2339" s="3262">
        <v>8.1999999999999993</v>
      </c>
      <c r="AA2339" s="3262">
        <v>8.1999999999999993</v>
      </c>
      <c r="AB2339" s="3262">
        <v>8.1999999999999993</v>
      </c>
      <c r="AC2339" s="3262">
        <v>8.1999999999999993</v>
      </c>
      <c r="AD2339" s="3262">
        <v>8.1999999999999993</v>
      </c>
      <c r="AE2339" s="3265">
        <v>8.6</v>
      </c>
      <c r="AF2339" s="2236">
        <f t="shared" si="297"/>
        <v>7.5</v>
      </c>
      <c r="AG2339" s="1396"/>
      <c r="DG2339" s="573"/>
      <c r="DH2339" s="159"/>
      <c r="DI2339" s="1091"/>
      <c r="DJ2339" s="1187"/>
    </row>
    <row r="2340" spans="1:114" ht="15" hidden="1" customHeight="1" outlineLevel="1">
      <c r="A2340" s="453"/>
      <c r="C2340" s="51"/>
      <c r="D2340" s="4295"/>
      <c r="E2340" s="4295"/>
      <c r="F2340" s="4347" t="str">
        <f>$E$1588</f>
        <v>ASHP-SEER16-Replace_CAC_ElectricHeat_ROF_MF</v>
      </c>
      <c r="G2340" s="4347"/>
      <c r="H2340" s="4347"/>
      <c r="I2340" s="4347"/>
      <c r="J2340" s="3471" t="str">
        <f>$C$1588</f>
        <v>352950_2024_12_</v>
      </c>
      <c r="K2340" s="3263">
        <v>3.41</v>
      </c>
      <c r="L2340" s="3479"/>
      <c r="M2340" s="2962" t="s">
        <v>2501</v>
      </c>
      <c r="P2340" s="261"/>
      <c r="Q2340" s="261"/>
      <c r="R2340" s="261"/>
      <c r="S2340" s="52"/>
      <c r="T2340" s="181"/>
      <c r="U2340" s="52"/>
      <c r="V2340" s="4295"/>
      <c r="W2340" s="3262">
        <v>3.41</v>
      </c>
      <c r="X2340" s="3262">
        <v>3.41</v>
      </c>
      <c r="Y2340" s="3262">
        <v>3.41</v>
      </c>
      <c r="Z2340" s="3262">
        <v>3.41</v>
      </c>
      <c r="AA2340" s="3262">
        <v>3.41</v>
      </c>
      <c r="AB2340" s="3262">
        <v>3.41</v>
      </c>
      <c r="AC2340" s="3262">
        <v>3.41</v>
      </c>
      <c r="AD2340" s="3262">
        <v>3.41</v>
      </c>
      <c r="AE2340" s="3262">
        <v>3.41</v>
      </c>
      <c r="AF2340" s="2236">
        <f t="shared" si="297"/>
        <v>3.41</v>
      </c>
      <c r="AG2340" s="1396"/>
      <c r="DG2340" s="573"/>
      <c r="DH2340" s="159"/>
      <c r="DI2340" s="1091"/>
      <c r="DJ2340" s="1187"/>
    </row>
    <row r="2341" spans="1:114" ht="15" hidden="1" customHeight="1" outlineLevel="1">
      <c r="A2341" s="453"/>
      <c r="C2341" s="51"/>
      <c r="D2341" s="4295"/>
      <c r="E2341" s="4295"/>
      <c r="F2341" s="4347" t="str">
        <f>$E$1590</f>
        <v>ASHP-SEER16-Replace_CAC_ElectricHeat_ROF_MF_CompE</v>
      </c>
      <c r="G2341" s="4347"/>
      <c r="H2341" s="4347"/>
      <c r="I2341" s="4347"/>
      <c r="J2341" s="3471" t="str">
        <f>$C$1590</f>
        <v>352951_2024_12_</v>
      </c>
      <c r="K2341" s="3263">
        <v>3.41</v>
      </c>
      <c r="L2341" s="3479"/>
      <c r="M2341" s="2962" t="s">
        <v>2501</v>
      </c>
      <c r="P2341" s="261"/>
      <c r="Q2341" s="261"/>
      <c r="R2341" s="261"/>
      <c r="S2341" s="52"/>
      <c r="T2341" s="181"/>
      <c r="U2341" s="52"/>
      <c r="V2341" s="4295"/>
      <c r="W2341" s="3262"/>
      <c r="X2341" s="3262"/>
      <c r="Y2341" s="3265">
        <v>3.41</v>
      </c>
      <c r="Z2341" s="3262">
        <v>3.41</v>
      </c>
      <c r="AA2341" s="3262">
        <v>3.41</v>
      </c>
      <c r="AB2341" s="3262">
        <v>3.41</v>
      </c>
      <c r="AC2341" s="3262">
        <v>3.41</v>
      </c>
      <c r="AD2341" s="3262">
        <v>3.41</v>
      </c>
      <c r="AE2341" s="3262">
        <v>3.41</v>
      </c>
      <c r="AF2341" s="2236">
        <f t="shared" si="297"/>
        <v>3.41</v>
      </c>
      <c r="AG2341" s="1396"/>
      <c r="DG2341" s="573"/>
      <c r="DH2341" s="159"/>
      <c r="DI2341" s="1091"/>
      <c r="DJ2341" s="1187"/>
    </row>
    <row r="2342" spans="1:114" ht="15" hidden="1" customHeight="1" outlineLevel="1">
      <c r="A2342" s="453"/>
      <c r="C2342" s="51"/>
      <c r="D2342" s="4295"/>
      <c r="E2342" s="4295"/>
      <c r="F2342" s="4347" t="str">
        <f>$E$1592</f>
        <v>ASHP-SEER16-Replace_CAC_NonElectricHeat_ROF_MF</v>
      </c>
      <c r="G2342" s="4347"/>
      <c r="H2342" s="4347"/>
      <c r="I2342" s="4347"/>
      <c r="J2342" s="3471" t="str">
        <f>$C$1592</f>
        <v>352960_2024_12_</v>
      </c>
      <c r="K2342" s="3342">
        <v>0</v>
      </c>
      <c r="L2342" s="3479"/>
      <c r="M2342" s="2962" t="s">
        <v>2500</v>
      </c>
      <c r="P2342" s="261"/>
      <c r="Q2342" s="261"/>
      <c r="R2342" s="261"/>
      <c r="S2342" s="52"/>
      <c r="T2342" s="181"/>
      <c r="U2342" s="52"/>
      <c r="V2342" s="4295"/>
      <c r="W2342" s="3262"/>
      <c r="X2342" s="3262"/>
      <c r="Y2342" s="3265"/>
      <c r="Z2342" s="3262"/>
      <c r="AA2342" s="3262"/>
      <c r="AB2342" s="3262"/>
      <c r="AC2342" s="3279">
        <v>0</v>
      </c>
      <c r="AD2342" s="3267">
        <v>0</v>
      </c>
      <c r="AE2342" s="3267">
        <v>0</v>
      </c>
      <c r="AF2342" s="2236">
        <f t="shared" si="297"/>
        <v>0</v>
      </c>
      <c r="AG2342" s="1396"/>
      <c r="DG2342" s="573"/>
      <c r="DH2342" s="159"/>
      <c r="DI2342" s="1091"/>
      <c r="DJ2342" s="1187"/>
    </row>
    <row r="2343" spans="1:114" ht="15" hidden="1" customHeight="1" outlineLevel="1">
      <c r="A2343" s="453"/>
      <c r="C2343" s="51"/>
      <c r="D2343" s="4295"/>
      <c r="E2343" s="4295"/>
      <c r="F2343" s="4347" t="str">
        <f>$E$1594</f>
        <v>ASHP-SEER16-Replace_CAC_NonElectricHeat_ROF_MF_CompE</v>
      </c>
      <c r="G2343" s="4347"/>
      <c r="H2343" s="4347"/>
      <c r="I2343" s="4347"/>
      <c r="J2343" s="3471" t="str">
        <f>$C$1594</f>
        <v>352961_2024_12_</v>
      </c>
      <c r="K2343" s="3342">
        <v>0</v>
      </c>
      <c r="L2343" s="3479"/>
      <c r="M2343" s="2962" t="s">
        <v>2500</v>
      </c>
      <c r="P2343" s="261"/>
      <c r="Q2343" s="261"/>
      <c r="R2343" s="261"/>
      <c r="S2343" s="52"/>
      <c r="T2343" s="181"/>
      <c r="U2343" s="52"/>
      <c r="V2343" s="4295"/>
      <c r="W2343" s="3262"/>
      <c r="X2343" s="3262"/>
      <c r="Y2343" s="3265"/>
      <c r="Z2343" s="3262"/>
      <c r="AA2343" s="3262"/>
      <c r="AB2343" s="3262"/>
      <c r="AC2343" s="3279">
        <v>0</v>
      </c>
      <c r="AD2343" s="3267">
        <v>0</v>
      </c>
      <c r="AE2343" s="3267">
        <v>0</v>
      </c>
      <c r="AF2343" s="2236">
        <f t="shared" si="297"/>
        <v>0</v>
      </c>
      <c r="AG2343" s="1396"/>
      <c r="DG2343" s="573"/>
      <c r="DH2343" s="159"/>
      <c r="DI2343" s="1091"/>
      <c r="DJ2343" s="1187"/>
    </row>
    <row r="2344" spans="1:114" ht="15" hidden="1" customHeight="1" outlineLevel="1">
      <c r="A2344" s="453"/>
      <c r="C2344" s="51"/>
      <c r="D2344" s="4295"/>
      <c r="E2344" s="4295"/>
      <c r="F2344" s="4307" t="str">
        <f>$E$1596</f>
        <v>ASHP-SEER16-Replace_CAC_ElectricHeat_ER1_MF</v>
      </c>
      <c r="G2344" s="4307"/>
      <c r="H2344" s="4307"/>
      <c r="I2344" s="4307"/>
      <c r="J2344" s="1029" t="str">
        <f>$C$1596</f>
        <v>353000_2024_12_</v>
      </c>
      <c r="K2344" s="1790">
        <v>3.41</v>
      </c>
      <c r="L2344" s="262"/>
      <c r="M2344" s="1442" t="s">
        <v>2501</v>
      </c>
      <c r="P2344" s="261"/>
      <c r="Q2344" s="261"/>
      <c r="R2344" s="261"/>
      <c r="S2344" s="52"/>
      <c r="T2344" s="181"/>
      <c r="U2344" s="52"/>
      <c r="V2344" s="4295"/>
      <c r="W2344" s="1396">
        <v>3.41</v>
      </c>
      <c r="X2344" s="1396">
        <v>3.41</v>
      </c>
      <c r="Y2344" s="1396">
        <v>3.41</v>
      </c>
      <c r="Z2344" s="1396">
        <v>3.41</v>
      </c>
      <c r="AA2344" s="1396">
        <v>3.41</v>
      </c>
      <c r="AB2344" s="1396">
        <v>3.41</v>
      </c>
      <c r="AC2344" s="1396">
        <v>3.41</v>
      </c>
      <c r="AD2344" s="1396">
        <v>3.41</v>
      </c>
      <c r="AE2344" s="1396">
        <v>3.41</v>
      </c>
      <c r="AF2344" s="271">
        <f t="shared" si="297"/>
        <v>3.41</v>
      </c>
      <c r="AG2344" s="1396"/>
      <c r="DG2344" s="573"/>
      <c r="DH2344" s="159"/>
      <c r="DI2344" s="1091"/>
      <c r="DJ2344" s="1187"/>
    </row>
    <row r="2345" spans="1:114" ht="15" hidden="1" customHeight="1" outlineLevel="1">
      <c r="A2345" s="453"/>
      <c r="C2345" s="51"/>
      <c r="D2345" s="4295"/>
      <c r="E2345" s="4295"/>
      <c r="F2345" s="4307" t="str">
        <f>$E$1598</f>
        <v>ASHP-SEER16-Replace_CAC_ElectricHeat_ER2_MF</v>
      </c>
      <c r="G2345" s="4307"/>
      <c r="H2345" s="4307"/>
      <c r="I2345" s="4307"/>
      <c r="J2345" s="1029" t="str">
        <f>$C$1598</f>
        <v>353000_2024_12_</v>
      </c>
      <c r="K2345" s="1790">
        <v>3.41</v>
      </c>
      <c r="L2345" s="262"/>
      <c r="M2345" s="1442" t="s">
        <v>2501</v>
      </c>
      <c r="P2345" s="261"/>
      <c r="Q2345" s="261"/>
      <c r="R2345" s="261"/>
      <c r="S2345" s="52"/>
      <c r="T2345" s="181"/>
      <c r="U2345" s="52"/>
      <c r="V2345" s="4295"/>
      <c r="W2345" s="1396">
        <v>3.41</v>
      </c>
      <c r="X2345" s="1396">
        <v>3.41</v>
      </c>
      <c r="Y2345" s="1396">
        <v>3.41</v>
      </c>
      <c r="Z2345" s="1396">
        <v>3.41</v>
      </c>
      <c r="AA2345" s="1396">
        <v>3.41</v>
      </c>
      <c r="AB2345" s="1396">
        <v>3.41</v>
      </c>
      <c r="AC2345" s="1396">
        <v>3.41</v>
      </c>
      <c r="AD2345" s="1396">
        <v>3.41</v>
      </c>
      <c r="AE2345" s="1396">
        <v>3.41</v>
      </c>
      <c r="AF2345" s="271">
        <f t="shared" si="297"/>
        <v>3.41</v>
      </c>
      <c r="AG2345" s="1396"/>
      <c r="DG2345" s="573"/>
      <c r="DH2345" s="159"/>
      <c r="DI2345" s="1091"/>
      <c r="DJ2345" s="1187"/>
    </row>
    <row r="2346" spans="1:114" ht="15" hidden="1" customHeight="1" outlineLevel="1">
      <c r="A2346" s="453"/>
      <c r="C2346" s="51"/>
      <c r="D2346" s="4295"/>
      <c r="E2346" s="4295"/>
      <c r="F2346" s="4347" t="str">
        <f>$E$1600</f>
        <v>ASHP-SEER16-Replace_CAC_ElectricHeat_ER1_MF_CompE</v>
      </c>
      <c r="G2346" s="4347"/>
      <c r="H2346" s="4347"/>
      <c r="I2346" s="4347"/>
      <c r="J2346" s="3471" t="str">
        <f>$C$1600</f>
        <v>353001_2024_12_</v>
      </c>
      <c r="K2346" s="3263">
        <v>3.41</v>
      </c>
      <c r="L2346" s="3479"/>
      <c r="M2346" s="2962" t="s">
        <v>2501</v>
      </c>
      <c r="P2346" s="261"/>
      <c r="Q2346" s="261"/>
      <c r="R2346" s="261"/>
      <c r="S2346" s="52"/>
      <c r="T2346" s="181"/>
      <c r="U2346" s="52"/>
      <c r="V2346" s="4295"/>
      <c r="W2346" s="3262"/>
      <c r="X2346" s="3262"/>
      <c r="Y2346" s="3265">
        <v>3.41</v>
      </c>
      <c r="Z2346" s="3262">
        <v>3.41</v>
      </c>
      <c r="AA2346" s="3262">
        <v>3.41</v>
      </c>
      <c r="AB2346" s="3262">
        <v>3.41</v>
      </c>
      <c r="AC2346" s="3262">
        <v>3.41</v>
      </c>
      <c r="AD2346" s="3262">
        <v>3.41</v>
      </c>
      <c r="AE2346" s="3262">
        <v>3.41</v>
      </c>
      <c r="AF2346" s="2236">
        <f t="shared" si="297"/>
        <v>3.41</v>
      </c>
      <c r="AG2346" s="1396"/>
      <c r="DG2346" s="573"/>
      <c r="DH2346" s="159"/>
      <c r="DI2346" s="1091"/>
      <c r="DJ2346" s="1187"/>
    </row>
    <row r="2347" spans="1:114" ht="15" hidden="1" customHeight="1" outlineLevel="1">
      <c r="A2347" s="453"/>
      <c r="C2347" s="51"/>
      <c r="D2347" s="4295"/>
      <c r="E2347" s="4295"/>
      <c r="F2347" s="4347" t="str">
        <f>$E$1602</f>
        <v>ASHP-SEER16-Replace_CAC_ElectricHeat_ER2_MF_CompE</v>
      </c>
      <c r="G2347" s="4347"/>
      <c r="H2347" s="4347"/>
      <c r="I2347" s="4347"/>
      <c r="J2347" s="3471" t="str">
        <f>$C$1602</f>
        <v>353001_2024_12_</v>
      </c>
      <c r="K2347" s="3263">
        <v>3.41</v>
      </c>
      <c r="L2347" s="3479"/>
      <c r="M2347" s="2962" t="s">
        <v>2501</v>
      </c>
      <c r="P2347" s="261"/>
      <c r="Q2347" s="261"/>
      <c r="R2347" s="261"/>
      <c r="S2347" s="52"/>
      <c r="T2347" s="181"/>
      <c r="U2347" s="52"/>
      <c r="V2347" s="4295"/>
      <c r="W2347" s="3262"/>
      <c r="X2347" s="3262"/>
      <c r="Y2347" s="3265">
        <v>3.41</v>
      </c>
      <c r="Z2347" s="3262">
        <v>3.41</v>
      </c>
      <c r="AA2347" s="3262">
        <v>3.41</v>
      </c>
      <c r="AB2347" s="3262">
        <v>3.41</v>
      </c>
      <c r="AC2347" s="3262">
        <v>3.41</v>
      </c>
      <c r="AD2347" s="3262">
        <v>3.41</v>
      </c>
      <c r="AE2347" s="3262">
        <v>3.41</v>
      </c>
      <c r="AF2347" s="2236">
        <f t="shared" si="297"/>
        <v>3.41</v>
      </c>
      <c r="AG2347" s="1396"/>
      <c r="DG2347" s="573"/>
      <c r="DH2347" s="159"/>
      <c r="DI2347" s="1091"/>
      <c r="DJ2347" s="1187"/>
    </row>
    <row r="2348" spans="1:114" ht="15" hidden="1" customHeight="1" outlineLevel="1">
      <c r="A2348" s="453"/>
      <c r="C2348" s="51"/>
      <c r="D2348" s="4295"/>
      <c r="E2348" s="4295"/>
      <c r="F2348" s="4347" t="str">
        <f>$E$1604</f>
        <v>ASHP-SEER16-Replace_CAC_NonElectricHeat_ER1_MF</v>
      </c>
      <c r="G2348" s="4347"/>
      <c r="H2348" s="4347"/>
      <c r="I2348" s="4347"/>
      <c r="J2348" s="3471" t="str">
        <f>$C$1604</f>
        <v>353010_2024_12_</v>
      </c>
      <c r="K2348" s="3342">
        <v>0</v>
      </c>
      <c r="L2348" s="3479"/>
      <c r="M2348" s="2962" t="s">
        <v>2500</v>
      </c>
      <c r="P2348" s="261"/>
      <c r="Q2348" s="261"/>
      <c r="R2348" s="261"/>
      <c r="S2348" s="52"/>
      <c r="T2348" s="181"/>
      <c r="U2348" s="52"/>
      <c r="V2348" s="4295"/>
      <c r="W2348" s="3262"/>
      <c r="X2348" s="3262"/>
      <c r="Y2348" s="3265"/>
      <c r="Z2348" s="3262"/>
      <c r="AA2348" s="3262"/>
      <c r="AB2348" s="3262"/>
      <c r="AC2348" s="3279">
        <v>0</v>
      </c>
      <c r="AD2348" s="3267">
        <v>0</v>
      </c>
      <c r="AE2348" s="3267">
        <v>0</v>
      </c>
      <c r="AF2348" s="2236">
        <f t="shared" si="297"/>
        <v>0</v>
      </c>
      <c r="AG2348" s="1396"/>
      <c r="DG2348" s="573"/>
      <c r="DH2348" s="159"/>
      <c r="DI2348" s="1091"/>
      <c r="DJ2348" s="1187"/>
    </row>
    <row r="2349" spans="1:114" ht="15" hidden="1" customHeight="1" outlineLevel="1">
      <c r="A2349" s="453"/>
      <c r="C2349" s="51"/>
      <c r="D2349" s="4295"/>
      <c r="E2349" s="4295"/>
      <c r="F2349" s="4347" t="str">
        <f>$E$1606</f>
        <v>ASHP-SEER16-Replace_CAC_NonElectricHeat_ER2_MF</v>
      </c>
      <c r="G2349" s="4347"/>
      <c r="H2349" s="4347"/>
      <c r="I2349" s="4347"/>
      <c r="J2349" s="3471" t="str">
        <f>$C$1606</f>
        <v>353010_2024_12_</v>
      </c>
      <c r="K2349" s="3342">
        <v>0</v>
      </c>
      <c r="L2349" s="3479"/>
      <c r="M2349" s="2962" t="s">
        <v>2500</v>
      </c>
      <c r="P2349" s="261"/>
      <c r="Q2349" s="261"/>
      <c r="R2349" s="261"/>
      <c r="S2349" s="52"/>
      <c r="T2349" s="181"/>
      <c r="U2349" s="52"/>
      <c r="V2349" s="4295"/>
      <c r="W2349" s="3262"/>
      <c r="X2349" s="3262"/>
      <c r="Y2349" s="3265"/>
      <c r="Z2349" s="3262"/>
      <c r="AA2349" s="3262"/>
      <c r="AB2349" s="3262"/>
      <c r="AC2349" s="3279">
        <v>0</v>
      </c>
      <c r="AD2349" s="3267">
        <v>0</v>
      </c>
      <c r="AE2349" s="3267">
        <v>0</v>
      </c>
      <c r="AF2349" s="2236">
        <f t="shared" si="297"/>
        <v>0</v>
      </c>
      <c r="AG2349" s="1396"/>
      <c r="DG2349" s="573"/>
      <c r="DH2349" s="159"/>
      <c r="DI2349" s="1091"/>
      <c r="DJ2349" s="1187"/>
    </row>
    <row r="2350" spans="1:114" ht="15" hidden="1" customHeight="1" outlineLevel="1">
      <c r="A2350" s="453"/>
      <c r="C2350" s="51"/>
      <c r="D2350" s="4295"/>
      <c r="E2350" s="4295"/>
      <c r="F2350" s="4347" t="str">
        <f>$E$1608</f>
        <v>ASHP-SEER16-Replace_CAC_NonElectricHeat_ER1_MF_CompE</v>
      </c>
      <c r="G2350" s="4347"/>
      <c r="H2350" s="4347"/>
      <c r="I2350" s="4347"/>
      <c r="J2350" s="3471" t="str">
        <f>$C$1608</f>
        <v>353011_2024_12_</v>
      </c>
      <c r="K2350" s="3342">
        <v>0</v>
      </c>
      <c r="L2350" s="3479"/>
      <c r="M2350" s="2962" t="s">
        <v>2500</v>
      </c>
      <c r="P2350" s="261"/>
      <c r="Q2350" s="261"/>
      <c r="R2350" s="261"/>
      <c r="S2350" s="52"/>
      <c r="T2350" s="181"/>
      <c r="U2350" s="52"/>
      <c r="V2350" s="4295"/>
      <c r="W2350" s="3262"/>
      <c r="X2350" s="3262"/>
      <c r="Y2350" s="3265"/>
      <c r="Z2350" s="3262"/>
      <c r="AA2350" s="3262"/>
      <c r="AB2350" s="3262"/>
      <c r="AC2350" s="3279">
        <v>0</v>
      </c>
      <c r="AD2350" s="3267">
        <v>0</v>
      </c>
      <c r="AE2350" s="3267">
        <v>0</v>
      </c>
      <c r="AF2350" s="2236">
        <f t="shared" si="297"/>
        <v>0</v>
      </c>
      <c r="AG2350" s="1396"/>
      <c r="DG2350" s="573"/>
      <c r="DH2350" s="159"/>
      <c r="DI2350" s="1091"/>
      <c r="DJ2350" s="1187"/>
    </row>
    <row r="2351" spans="1:114" ht="15" hidden="1" customHeight="1" outlineLevel="1">
      <c r="A2351" s="453"/>
      <c r="C2351" s="51"/>
      <c r="D2351" s="4295"/>
      <c r="E2351" s="4295"/>
      <c r="F2351" s="4347" t="str">
        <f>$E$1610</f>
        <v>ASHP-SEER16-Replace_CAC_NonElectricHeat_ER2_MF_CompE</v>
      </c>
      <c r="G2351" s="4347"/>
      <c r="H2351" s="4347"/>
      <c r="I2351" s="4347"/>
      <c r="J2351" s="3471" t="str">
        <f>$C$1610</f>
        <v>353011_2024_12_</v>
      </c>
      <c r="K2351" s="3342">
        <v>0</v>
      </c>
      <c r="L2351" s="3479"/>
      <c r="M2351" s="2962" t="s">
        <v>2500</v>
      </c>
      <c r="P2351" s="261"/>
      <c r="Q2351" s="261"/>
      <c r="R2351" s="261"/>
      <c r="S2351" s="52"/>
      <c r="T2351" s="181"/>
      <c r="U2351" s="52"/>
      <c r="V2351" s="4295"/>
      <c r="W2351" s="3262"/>
      <c r="X2351" s="3262"/>
      <c r="Y2351" s="3265"/>
      <c r="Z2351" s="3262"/>
      <c r="AA2351" s="3262"/>
      <c r="AB2351" s="3262"/>
      <c r="AC2351" s="3279">
        <v>0</v>
      </c>
      <c r="AD2351" s="3267">
        <v>0</v>
      </c>
      <c r="AE2351" s="3267">
        <v>0</v>
      </c>
      <c r="AF2351" s="2236">
        <f t="shared" si="297"/>
        <v>0</v>
      </c>
      <c r="AG2351" s="1396"/>
      <c r="DG2351" s="573"/>
      <c r="DH2351" s="159"/>
      <c r="DI2351" s="1091"/>
      <c r="DJ2351" s="1187"/>
    </row>
    <row r="2352" spans="1:114" ht="15" hidden="1" customHeight="1" outlineLevel="1">
      <c r="A2352" s="453"/>
      <c r="C2352" s="51"/>
      <c r="D2352" s="4295"/>
      <c r="E2352" s="4295"/>
      <c r="F2352" s="4347" t="str">
        <f>$E$1612</f>
        <v>ASHP-SEER15_ROF_MF</v>
      </c>
      <c r="G2352" s="4347"/>
      <c r="H2352" s="4347"/>
      <c r="I2352" s="4347"/>
      <c r="J2352" s="3471" t="str">
        <f>$C$1612</f>
        <v>353050_2024_12_</v>
      </c>
      <c r="K2352" s="3344">
        <v>7.5</v>
      </c>
      <c r="L2352" s="3479"/>
      <c r="M2352" s="2425" t="s">
        <v>1941</v>
      </c>
      <c r="P2352" s="261"/>
      <c r="Q2352" s="261"/>
      <c r="R2352" s="261"/>
      <c r="S2352" s="52"/>
      <c r="T2352" s="181"/>
      <c r="U2352" s="52"/>
      <c r="V2352" s="4295"/>
      <c r="W2352" s="3262">
        <v>8.1999999999999993</v>
      </c>
      <c r="X2352" s="3262">
        <v>8.1999999999999993</v>
      </c>
      <c r="Y2352" s="3262">
        <v>8.1999999999999993</v>
      </c>
      <c r="Z2352" s="3262">
        <v>8.1999999999999993</v>
      </c>
      <c r="AA2352" s="3262">
        <v>8.1999999999999993</v>
      </c>
      <c r="AB2352" s="3262">
        <v>8.1999999999999993</v>
      </c>
      <c r="AC2352" s="3262">
        <v>8.1999999999999993</v>
      </c>
      <c r="AD2352" s="3262">
        <v>8.1999999999999993</v>
      </c>
      <c r="AE2352" s="3265">
        <v>8.6</v>
      </c>
      <c r="AF2352" s="2236">
        <f t="shared" si="297"/>
        <v>7.5</v>
      </c>
      <c r="AG2352" s="1396"/>
      <c r="DG2352" s="573"/>
      <c r="DH2352" s="159"/>
      <c r="DI2352" s="1091"/>
      <c r="DJ2352" s="1187"/>
    </row>
    <row r="2353" spans="1:114" ht="15" hidden="1" customHeight="1" outlineLevel="1">
      <c r="A2353" s="453"/>
      <c r="C2353" s="51"/>
      <c r="D2353" s="4295"/>
      <c r="E2353" s="4295"/>
      <c r="F2353" s="4347" t="str">
        <f>$E$1614</f>
        <v>ASHP-SEER15_ROF_MF_CompE</v>
      </c>
      <c r="G2353" s="4347"/>
      <c r="H2353" s="4347"/>
      <c r="I2353" s="4347"/>
      <c r="J2353" s="3471" t="str">
        <f>$C$1614</f>
        <v>353051_2024_12_</v>
      </c>
      <c r="K2353" s="3344">
        <v>7.5</v>
      </c>
      <c r="L2353" s="3479"/>
      <c r="M2353" s="2425" t="s">
        <v>1941</v>
      </c>
      <c r="P2353" s="261"/>
      <c r="Q2353" s="261"/>
      <c r="R2353" s="261"/>
      <c r="S2353" s="52"/>
      <c r="T2353" s="181"/>
      <c r="U2353" s="52"/>
      <c r="V2353" s="4295"/>
      <c r="W2353" s="3262"/>
      <c r="X2353" s="3262"/>
      <c r="Y2353" s="3265">
        <v>8.1999999999999993</v>
      </c>
      <c r="Z2353" s="3262">
        <v>8.1999999999999993</v>
      </c>
      <c r="AA2353" s="3262">
        <v>8.1999999999999993</v>
      </c>
      <c r="AB2353" s="3262">
        <v>8.1999999999999993</v>
      </c>
      <c r="AC2353" s="3262">
        <v>8.1999999999999993</v>
      </c>
      <c r="AD2353" s="3262">
        <v>8.1999999999999993</v>
      </c>
      <c r="AE2353" s="3265">
        <v>8.6</v>
      </c>
      <c r="AF2353" s="2236">
        <f t="shared" si="297"/>
        <v>7.5</v>
      </c>
      <c r="AG2353" s="1396"/>
      <c r="DG2353" s="573"/>
      <c r="DH2353" s="159"/>
      <c r="DI2353" s="1091"/>
      <c r="DJ2353" s="1187"/>
    </row>
    <row r="2354" spans="1:114" ht="15" hidden="1" customHeight="1" outlineLevel="1">
      <c r="A2354" s="453"/>
      <c r="C2354" s="51"/>
      <c r="D2354" s="4295"/>
      <c r="E2354" s="4295"/>
      <c r="F2354" s="4307" t="str">
        <f>$E$1616</f>
        <v>ASHP-SEER17-Replace_CAC_ElectricHeat_ROF_SF</v>
      </c>
      <c r="G2354" s="4307"/>
      <c r="H2354" s="4307"/>
      <c r="I2354" s="4307"/>
      <c r="J2354" s="1029" t="str">
        <f>$C$1616</f>
        <v>353100_2024_12_</v>
      </c>
      <c r="K2354" s="1790">
        <v>3.41</v>
      </c>
      <c r="L2354" s="262"/>
      <c r="M2354" s="1442" t="s">
        <v>1949</v>
      </c>
      <c r="P2354" s="261"/>
      <c r="Q2354" s="261"/>
      <c r="R2354" s="261"/>
      <c r="S2354" s="52"/>
      <c r="T2354" s="181"/>
      <c r="U2354" s="52"/>
      <c r="V2354" s="4295"/>
      <c r="W2354" s="1396">
        <v>3.41</v>
      </c>
      <c r="X2354" s="1396">
        <v>3.41</v>
      </c>
      <c r="Y2354" s="1396">
        <v>3.41</v>
      </c>
      <c r="Z2354" s="1396">
        <v>3.41</v>
      </c>
      <c r="AA2354" s="1396">
        <v>3.41</v>
      </c>
      <c r="AB2354" s="1396">
        <v>3.41</v>
      </c>
      <c r="AC2354" s="1396">
        <v>3.41</v>
      </c>
      <c r="AD2354" s="1396">
        <v>3.41</v>
      </c>
      <c r="AE2354" s="1396">
        <v>3.41</v>
      </c>
      <c r="AF2354" s="271">
        <f t="shared" si="297"/>
        <v>3.41</v>
      </c>
      <c r="AG2354" s="1396"/>
      <c r="DG2354" s="573"/>
      <c r="DH2354" s="159"/>
      <c r="DI2354" s="1091"/>
      <c r="DJ2354" s="1187"/>
    </row>
    <row r="2355" spans="1:114" ht="15" hidden="1" customHeight="1" outlineLevel="1">
      <c r="A2355" s="453"/>
      <c r="C2355" s="51"/>
      <c r="D2355" s="4295"/>
      <c r="E2355" s="4295"/>
      <c r="F2355" s="4307" t="str">
        <f>$E$1618</f>
        <v>ASHP-SEER17-Replace_CAC_NonElectricHeat_ROF_SF</v>
      </c>
      <c r="G2355" s="4307"/>
      <c r="H2355" s="4307"/>
      <c r="I2355" s="4307"/>
      <c r="J2355" s="1029" t="str">
        <f>$C$1618</f>
        <v>353110_2024_12_</v>
      </c>
      <c r="K2355" s="1790">
        <v>0</v>
      </c>
      <c r="L2355" s="13"/>
      <c r="M2355" s="1442" t="s">
        <v>2500</v>
      </c>
      <c r="P2355" s="261"/>
      <c r="Q2355" s="261"/>
      <c r="R2355" s="261"/>
      <c r="S2355" s="52"/>
      <c r="T2355" s="181"/>
      <c r="U2355" s="52"/>
      <c r="V2355" s="4295"/>
      <c r="W2355" s="1396"/>
      <c r="X2355" s="1396"/>
      <c r="Y2355" s="1396"/>
      <c r="Z2355" s="1396"/>
      <c r="AA2355" s="1396"/>
      <c r="AB2355" s="1396"/>
      <c r="AC2355" s="1396"/>
      <c r="AD2355" s="825">
        <v>0</v>
      </c>
      <c r="AE2355" s="1396">
        <v>0</v>
      </c>
      <c r="AF2355" s="271">
        <f t="shared" si="297"/>
        <v>0</v>
      </c>
      <c r="AG2355" s="1396"/>
      <c r="DG2355" s="573"/>
      <c r="DH2355" s="159"/>
      <c r="DI2355" s="1091"/>
      <c r="DJ2355" s="1187"/>
    </row>
    <row r="2356" spans="1:114" ht="15" hidden="1" customHeight="1" outlineLevel="1">
      <c r="A2356" s="453"/>
      <c r="C2356" s="51"/>
      <c r="D2356" s="4295"/>
      <c r="E2356" s="4295"/>
      <c r="F2356" s="4347" t="str">
        <f>$E$1620</f>
        <v>ASHP-SEER17-Replace_CAC_ElectricHeat_ROF_MF</v>
      </c>
      <c r="G2356" s="4347"/>
      <c r="H2356" s="4347"/>
      <c r="I2356" s="4347"/>
      <c r="J2356" s="3471" t="str">
        <f>$C$1620</f>
        <v>353150_2024_12_</v>
      </c>
      <c r="K2356" s="3263">
        <v>3.41</v>
      </c>
      <c r="L2356" s="3479"/>
      <c r="M2356" s="2962" t="s">
        <v>2501</v>
      </c>
      <c r="P2356" s="261"/>
      <c r="Q2356" s="261"/>
      <c r="R2356" s="261"/>
      <c r="S2356" s="52"/>
      <c r="T2356" s="181"/>
      <c r="U2356" s="52"/>
      <c r="V2356" s="4295"/>
      <c r="W2356" s="3262">
        <v>3.41</v>
      </c>
      <c r="X2356" s="3262">
        <v>3.41</v>
      </c>
      <c r="Y2356" s="3262">
        <v>3.41</v>
      </c>
      <c r="Z2356" s="3262">
        <v>3.41</v>
      </c>
      <c r="AA2356" s="3262">
        <v>3.41</v>
      </c>
      <c r="AB2356" s="3262">
        <v>3.41</v>
      </c>
      <c r="AC2356" s="3262">
        <v>3.41</v>
      </c>
      <c r="AD2356" s="3262">
        <v>3.41</v>
      </c>
      <c r="AE2356" s="3262">
        <v>3.41</v>
      </c>
      <c r="AF2356" s="2236">
        <f t="shared" si="297"/>
        <v>3.41</v>
      </c>
      <c r="AG2356" s="1396"/>
      <c r="DG2356" s="573"/>
      <c r="DH2356" s="159"/>
      <c r="DI2356" s="1091"/>
      <c r="DJ2356" s="1187"/>
    </row>
    <row r="2357" spans="1:114" ht="15" hidden="1" customHeight="1" outlineLevel="1">
      <c r="A2357" s="453"/>
      <c r="C2357" s="51"/>
      <c r="D2357" s="4295"/>
      <c r="E2357" s="4295"/>
      <c r="F2357" s="4347" t="str">
        <f>$E$1622</f>
        <v>ASHP-SEER17-Replace_CAC_ElectricHeat_ROF_MF_CompE</v>
      </c>
      <c r="G2357" s="4347"/>
      <c r="H2357" s="4347"/>
      <c r="I2357" s="4347"/>
      <c r="J2357" s="3471" t="str">
        <f>$C$1622</f>
        <v>353151_2024_12_</v>
      </c>
      <c r="K2357" s="3263">
        <v>3.41</v>
      </c>
      <c r="L2357" s="3479"/>
      <c r="M2357" s="2962" t="s">
        <v>2501</v>
      </c>
      <c r="P2357" s="261"/>
      <c r="Q2357" s="261"/>
      <c r="R2357" s="261"/>
      <c r="S2357" s="52"/>
      <c r="T2357" s="181"/>
      <c r="U2357" s="52"/>
      <c r="V2357" s="4295"/>
      <c r="W2357" s="3262"/>
      <c r="X2357" s="3262"/>
      <c r="Y2357" s="3265">
        <v>3.41</v>
      </c>
      <c r="Z2357" s="3262">
        <v>3.41</v>
      </c>
      <c r="AA2357" s="3262">
        <v>3.41</v>
      </c>
      <c r="AB2357" s="3262">
        <v>3.41</v>
      </c>
      <c r="AC2357" s="3262">
        <v>3.41</v>
      </c>
      <c r="AD2357" s="3262">
        <v>3.41</v>
      </c>
      <c r="AE2357" s="3262">
        <v>3.41</v>
      </c>
      <c r="AF2357" s="2236">
        <f t="shared" si="297"/>
        <v>3.41</v>
      </c>
      <c r="AG2357" s="1396"/>
      <c r="DG2357" s="573"/>
      <c r="DH2357" s="159"/>
      <c r="DI2357" s="1091"/>
      <c r="DJ2357" s="1187"/>
    </row>
    <row r="2358" spans="1:114" ht="15" hidden="1" customHeight="1" outlineLevel="1">
      <c r="A2358" s="453"/>
      <c r="C2358" s="51"/>
      <c r="D2358" s="4295"/>
      <c r="E2358" s="4295"/>
      <c r="F2358" s="4347" t="str">
        <f>$E$1624</f>
        <v>ASHP-SEER17-Replace_CAC_NonElectricHeat_ROF_MF</v>
      </c>
      <c r="G2358" s="4347"/>
      <c r="H2358" s="4347"/>
      <c r="I2358" s="4347"/>
      <c r="J2358" s="3471" t="str">
        <f>$C$1624</f>
        <v>353160_2024_12_</v>
      </c>
      <c r="K2358" s="3342">
        <v>0</v>
      </c>
      <c r="L2358" s="3479"/>
      <c r="M2358" s="2962" t="s">
        <v>2500</v>
      </c>
      <c r="P2358" s="261"/>
      <c r="Q2358" s="261"/>
      <c r="R2358" s="261"/>
      <c r="S2358" s="52"/>
      <c r="T2358" s="181"/>
      <c r="U2358" s="52"/>
      <c r="V2358" s="4295"/>
      <c r="W2358" s="3262"/>
      <c r="X2358" s="3262"/>
      <c r="Y2358" s="3265"/>
      <c r="Z2358" s="3262"/>
      <c r="AA2358" s="3262"/>
      <c r="AB2358" s="3262"/>
      <c r="AC2358" s="3279">
        <v>0</v>
      </c>
      <c r="AD2358" s="3267">
        <v>0</v>
      </c>
      <c r="AE2358" s="3267">
        <v>0</v>
      </c>
      <c r="AF2358" s="2236">
        <f t="shared" si="297"/>
        <v>0</v>
      </c>
      <c r="AG2358" s="1396"/>
      <c r="DG2358" s="573"/>
      <c r="DH2358" s="159"/>
      <c r="DI2358" s="1091"/>
      <c r="DJ2358" s="1187"/>
    </row>
    <row r="2359" spans="1:114" ht="15" hidden="1" customHeight="1" outlineLevel="1">
      <c r="A2359" s="453"/>
      <c r="C2359" s="51"/>
      <c r="D2359" s="4295"/>
      <c r="E2359" s="4295"/>
      <c r="F2359" s="4347" t="str">
        <f>$E$1626</f>
        <v>ASHP-SEER17-Replace_CAC_NonElectricHeat_ROF_MF_CompE</v>
      </c>
      <c r="G2359" s="4347"/>
      <c r="H2359" s="4347"/>
      <c r="I2359" s="4347"/>
      <c r="J2359" s="3471" t="str">
        <f>$C$1626</f>
        <v>353161_2024_12_</v>
      </c>
      <c r="K2359" s="3342">
        <v>0</v>
      </c>
      <c r="L2359" s="3479"/>
      <c r="M2359" s="2962" t="s">
        <v>2500</v>
      </c>
      <c r="P2359" s="261"/>
      <c r="Q2359" s="261"/>
      <c r="R2359" s="261"/>
      <c r="S2359" s="52"/>
      <c r="T2359" s="181"/>
      <c r="U2359" s="52"/>
      <c r="V2359" s="4295"/>
      <c r="W2359" s="3262"/>
      <c r="X2359" s="3262"/>
      <c r="Y2359" s="3265"/>
      <c r="Z2359" s="3262"/>
      <c r="AA2359" s="3262"/>
      <c r="AB2359" s="3262"/>
      <c r="AC2359" s="3279">
        <v>0</v>
      </c>
      <c r="AD2359" s="3267">
        <v>0</v>
      </c>
      <c r="AE2359" s="3267">
        <v>0</v>
      </c>
      <c r="AF2359" s="2236">
        <f t="shared" si="297"/>
        <v>0</v>
      </c>
      <c r="AG2359" s="1396"/>
      <c r="DG2359" s="573"/>
      <c r="DH2359" s="159"/>
      <c r="DI2359" s="1091"/>
      <c r="DJ2359" s="1187"/>
    </row>
    <row r="2360" spans="1:114" ht="15" hidden="1" customHeight="1" outlineLevel="1">
      <c r="A2360" s="453"/>
      <c r="C2360" s="51"/>
      <c r="D2360" s="4295"/>
      <c r="E2360" s="4295"/>
      <c r="F2360" s="4307" t="str">
        <f>$E$1628</f>
        <v>ASHP-SEER18-Replace_CAC_ElectricHeat_ROF_SF</v>
      </c>
      <c r="G2360" s="4307"/>
      <c r="H2360" s="4307"/>
      <c r="I2360" s="4307"/>
      <c r="J2360" s="1029" t="str">
        <f>$C$1628</f>
        <v>353200_2024_12_</v>
      </c>
      <c r="K2360" s="1790">
        <v>3.41</v>
      </c>
      <c r="L2360" s="262"/>
      <c r="M2360" s="1442" t="s">
        <v>1949</v>
      </c>
      <c r="P2360" s="261"/>
      <c r="Q2360" s="261"/>
      <c r="R2360" s="261"/>
      <c r="S2360" s="52"/>
      <c r="T2360" s="181"/>
      <c r="U2360" s="52"/>
      <c r="V2360" s="4295"/>
      <c r="W2360" s="1396">
        <v>3.41</v>
      </c>
      <c r="X2360" s="1396">
        <v>3.41</v>
      </c>
      <c r="Y2360" s="1396">
        <v>3.41</v>
      </c>
      <c r="Z2360" s="1396">
        <v>3.41</v>
      </c>
      <c r="AA2360" s="1396">
        <v>3.41</v>
      </c>
      <c r="AB2360" s="1396">
        <v>3.41</v>
      </c>
      <c r="AC2360" s="1396">
        <v>3.41</v>
      </c>
      <c r="AD2360" s="1396">
        <v>3.41</v>
      </c>
      <c r="AE2360" s="1396">
        <v>3.41</v>
      </c>
      <c r="AF2360" s="271">
        <f t="shared" si="297"/>
        <v>3.41</v>
      </c>
      <c r="AG2360" s="1396"/>
      <c r="DG2360" s="573"/>
      <c r="DH2360" s="159"/>
      <c r="DI2360" s="1091"/>
      <c r="DJ2360" s="1187"/>
    </row>
    <row r="2361" spans="1:114" ht="15" hidden="1" customHeight="1" outlineLevel="1">
      <c r="A2361" s="453"/>
      <c r="C2361" s="51"/>
      <c r="D2361" s="4295"/>
      <c r="E2361" s="4295"/>
      <c r="F2361" s="4307" t="str">
        <f>$E$1630</f>
        <v>ASHP-SEER18-Replace_CAC_NonElectricHeat_ROF_SF</v>
      </c>
      <c r="G2361" s="4307"/>
      <c r="H2361" s="4307"/>
      <c r="I2361" s="4307"/>
      <c r="J2361" s="1029" t="str">
        <f>$C$1630</f>
        <v>353210_2024_12_</v>
      </c>
      <c r="K2361" s="1790">
        <v>0</v>
      </c>
      <c r="L2361" s="13"/>
      <c r="M2361" s="1442" t="s">
        <v>2500</v>
      </c>
      <c r="P2361" s="261"/>
      <c r="Q2361" s="261"/>
      <c r="R2361" s="261"/>
      <c r="S2361" s="52"/>
      <c r="T2361" s="181"/>
      <c r="U2361" s="52"/>
      <c r="V2361" s="4295"/>
      <c r="W2361" s="1396"/>
      <c r="X2361" s="1396"/>
      <c r="Y2361" s="1396"/>
      <c r="Z2361" s="1396"/>
      <c r="AA2361" s="1396"/>
      <c r="AB2361" s="1396"/>
      <c r="AC2361" s="1396"/>
      <c r="AD2361" s="825">
        <v>0</v>
      </c>
      <c r="AE2361" s="1396">
        <v>0</v>
      </c>
      <c r="AF2361" s="271">
        <f t="shared" si="297"/>
        <v>0</v>
      </c>
      <c r="AG2361" s="1396"/>
      <c r="DG2361" s="573"/>
      <c r="DH2361" s="159"/>
      <c r="DI2361" s="1091"/>
      <c r="DJ2361" s="1187"/>
    </row>
    <row r="2362" spans="1:114" ht="15" hidden="1" customHeight="1" outlineLevel="1">
      <c r="A2362" s="453"/>
      <c r="C2362" s="51"/>
      <c r="D2362" s="4295"/>
      <c r="E2362" s="4295"/>
      <c r="F2362" s="4347" t="str">
        <f>$E$1632</f>
        <v>ASHP-SEER18-Replace_CAC_ElectricHeat_ROF_MF</v>
      </c>
      <c r="G2362" s="4347"/>
      <c r="H2362" s="4347"/>
      <c r="I2362" s="4347"/>
      <c r="J2362" s="3471" t="str">
        <f>$C$1632</f>
        <v>353250_2024_12_</v>
      </c>
      <c r="K2362" s="3263">
        <v>3.41</v>
      </c>
      <c r="L2362" s="3479"/>
      <c r="M2362" s="2962" t="s">
        <v>2501</v>
      </c>
      <c r="P2362" s="261"/>
      <c r="Q2362" s="261"/>
      <c r="R2362" s="261"/>
      <c r="S2362" s="52"/>
      <c r="T2362" s="181"/>
      <c r="U2362" s="52"/>
      <c r="V2362" s="4295"/>
      <c r="W2362" s="3262">
        <v>3.41</v>
      </c>
      <c r="X2362" s="3262">
        <v>3.41</v>
      </c>
      <c r="Y2362" s="3262">
        <v>3.41</v>
      </c>
      <c r="Z2362" s="3262">
        <v>3.41</v>
      </c>
      <c r="AA2362" s="3262">
        <v>3.41</v>
      </c>
      <c r="AB2362" s="3262">
        <v>3.41</v>
      </c>
      <c r="AC2362" s="3262">
        <v>3.41</v>
      </c>
      <c r="AD2362" s="3262">
        <v>3.41</v>
      </c>
      <c r="AE2362" s="3262">
        <v>3.41</v>
      </c>
      <c r="AF2362" s="2236">
        <f t="shared" ref="AF2362:AF2425" si="298">IF(K2362&lt;&gt;"",K2362,"")</f>
        <v>3.41</v>
      </c>
      <c r="AG2362" s="1396"/>
      <c r="DG2362" s="573"/>
      <c r="DH2362" s="159"/>
      <c r="DI2362" s="1091"/>
      <c r="DJ2362" s="1187"/>
    </row>
    <row r="2363" spans="1:114" ht="15" hidden="1" customHeight="1" outlineLevel="1">
      <c r="A2363" s="453"/>
      <c r="C2363" s="51"/>
      <c r="D2363" s="4295"/>
      <c r="E2363" s="4295"/>
      <c r="F2363" s="4347" t="str">
        <f>$E$1634</f>
        <v>ASHP-SEER18-Replace_CAC_ElectricHeat_ROF_MF_CompE</v>
      </c>
      <c r="G2363" s="4347"/>
      <c r="H2363" s="4347"/>
      <c r="I2363" s="4347"/>
      <c r="J2363" s="3471" t="str">
        <f>$C$1634</f>
        <v>353251_2024_12_</v>
      </c>
      <c r="K2363" s="3263">
        <v>3.41</v>
      </c>
      <c r="L2363" s="3479"/>
      <c r="M2363" s="2962" t="s">
        <v>2501</v>
      </c>
      <c r="P2363" s="261"/>
      <c r="Q2363" s="261"/>
      <c r="R2363" s="261"/>
      <c r="S2363" s="52"/>
      <c r="T2363" s="181"/>
      <c r="U2363" s="52"/>
      <c r="V2363" s="4295"/>
      <c r="W2363" s="3262"/>
      <c r="X2363" s="3262"/>
      <c r="Y2363" s="3265">
        <v>3.41</v>
      </c>
      <c r="Z2363" s="3262">
        <v>3.41</v>
      </c>
      <c r="AA2363" s="3262">
        <v>3.41</v>
      </c>
      <c r="AB2363" s="3262">
        <v>3.41</v>
      </c>
      <c r="AC2363" s="3262">
        <v>3.41</v>
      </c>
      <c r="AD2363" s="3262">
        <v>3.41</v>
      </c>
      <c r="AE2363" s="3262">
        <v>3.41</v>
      </c>
      <c r="AF2363" s="2236">
        <f t="shared" si="298"/>
        <v>3.41</v>
      </c>
      <c r="AG2363" s="1396"/>
      <c r="DG2363" s="573"/>
      <c r="DH2363" s="159"/>
      <c r="DI2363" s="1091"/>
      <c r="DJ2363" s="1187"/>
    </row>
    <row r="2364" spans="1:114" ht="15" hidden="1" customHeight="1" outlineLevel="1">
      <c r="A2364" s="453"/>
      <c r="C2364" s="51"/>
      <c r="D2364" s="4295"/>
      <c r="E2364" s="4295"/>
      <c r="F2364" s="4347" t="str">
        <f>$E$1636</f>
        <v>ASHP-SEER18-Replace_CAC_NonElectricHeat_ROF_MF</v>
      </c>
      <c r="G2364" s="4347"/>
      <c r="H2364" s="4347"/>
      <c r="I2364" s="4347"/>
      <c r="J2364" s="3471" t="str">
        <f>$C$1636</f>
        <v>353260_2024_12_</v>
      </c>
      <c r="K2364" s="3342">
        <v>0</v>
      </c>
      <c r="L2364" s="3479"/>
      <c r="M2364" s="2962" t="s">
        <v>2500</v>
      </c>
      <c r="P2364" s="261"/>
      <c r="Q2364" s="261"/>
      <c r="R2364" s="261"/>
      <c r="S2364" s="52"/>
      <c r="T2364" s="181"/>
      <c r="U2364" s="52"/>
      <c r="V2364" s="4295"/>
      <c r="W2364" s="3262"/>
      <c r="X2364" s="3262"/>
      <c r="Y2364" s="3265"/>
      <c r="Z2364" s="3262"/>
      <c r="AA2364" s="3262"/>
      <c r="AB2364" s="3262"/>
      <c r="AC2364" s="3279">
        <v>0</v>
      </c>
      <c r="AD2364" s="3267">
        <v>0</v>
      </c>
      <c r="AE2364" s="3267">
        <v>0</v>
      </c>
      <c r="AF2364" s="2236">
        <f t="shared" si="298"/>
        <v>0</v>
      </c>
      <c r="AG2364" s="1396"/>
      <c r="DG2364" s="573"/>
      <c r="DH2364" s="159"/>
      <c r="DI2364" s="1091"/>
      <c r="DJ2364" s="1187"/>
    </row>
    <row r="2365" spans="1:114" ht="15" hidden="1" customHeight="1" outlineLevel="1">
      <c r="A2365" s="453"/>
      <c r="C2365" s="51"/>
      <c r="D2365" s="4295"/>
      <c r="E2365" s="4295"/>
      <c r="F2365" s="4347" t="str">
        <f>$E$1638</f>
        <v>ASHP-SEER18-Replace_CAC_NonElectricHeat_ROF_MF_CompE</v>
      </c>
      <c r="G2365" s="4347"/>
      <c r="H2365" s="4347"/>
      <c r="I2365" s="4347"/>
      <c r="J2365" s="3471" t="str">
        <f>$C$1638</f>
        <v>353261_2024_12_</v>
      </c>
      <c r="K2365" s="3342">
        <v>0</v>
      </c>
      <c r="L2365" s="3479"/>
      <c r="M2365" s="2962" t="s">
        <v>2500</v>
      </c>
      <c r="P2365" s="261"/>
      <c r="Q2365" s="261"/>
      <c r="R2365" s="261"/>
      <c r="S2365" s="52"/>
      <c r="T2365" s="181"/>
      <c r="U2365" s="52"/>
      <c r="V2365" s="4295"/>
      <c r="W2365" s="3262"/>
      <c r="X2365" s="3262"/>
      <c r="Y2365" s="3265"/>
      <c r="Z2365" s="3262"/>
      <c r="AA2365" s="3262"/>
      <c r="AB2365" s="3262"/>
      <c r="AC2365" s="3279">
        <v>0</v>
      </c>
      <c r="AD2365" s="3267">
        <v>0</v>
      </c>
      <c r="AE2365" s="3267">
        <v>0</v>
      </c>
      <c r="AF2365" s="2236">
        <f t="shared" si="298"/>
        <v>0</v>
      </c>
      <c r="AG2365" s="1396"/>
      <c r="DG2365" s="573"/>
      <c r="DH2365" s="159"/>
      <c r="DI2365" s="1091"/>
      <c r="DJ2365" s="1187"/>
    </row>
    <row r="2366" spans="1:114" ht="15" hidden="1" customHeight="1" outlineLevel="1">
      <c r="A2366" s="453"/>
      <c r="C2366" s="51"/>
      <c r="D2366" s="4295"/>
      <c r="E2366" s="4295"/>
      <c r="F2366" s="4307" t="str">
        <f>$E$1640</f>
        <v>ASHP-SEER19-Replace_CAC_ElectricHeat_ROF_SF</v>
      </c>
      <c r="G2366" s="4307"/>
      <c r="H2366" s="4307"/>
      <c r="I2366" s="4307"/>
      <c r="J2366" s="1029" t="str">
        <f>$C$1640</f>
        <v>353300_2024_12_</v>
      </c>
      <c r="K2366" s="1790">
        <v>3.41</v>
      </c>
      <c r="L2366" s="262"/>
      <c r="M2366" s="1442" t="s">
        <v>1949</v>
      </c>
      <c r="P2366" s="261"/>
      <c r="Q2366" s="261"/>
      <c r="R2366" s="261"/>
      <c r="S2366" s="52"/>
      <c r="T2366" s="181"/>
      <c r="U2366" s="52"/>
      <c r="V2366" s="4295"/>
      <c r="W2366" s="1396">
        <v>3.41</v>
      </c>
      <c r="X2366" s="1396">
        <v>3.41</v>
      </c>
      <c r="Y2366" s="1396">
        <v>3.41</v>
      </c>
      <c r="Z2366" s="1396">
        <v>3.41</v>
      </c>
      <c r="AA2366" s="1396">
        <v>3.41</v>
      </c>
      <c r="AB2366" s="1396">
        <v>3.41</v>
      </c>
      <c r="AC2366" s="1396">
        <v>3.41</v>
      </c>
      <c r="AD2366" s="1396">
        <v>3.41</v>
      </c>
      <c r="AE2366" s="1396">
        <v>3.41</v>
      </c>
      <c r="AF2366" s="271">
        <f t="shared" si="298"/>
        <v>3.41</v>
      </c>
      <c r="AG2366" s="1396"/>
      <c r="DG2366" s="573"/>
      <c r="DH2366" s="159"/>
      <c r="DI2366" s="1091"/>
      <c r="DJ2366" s="1187"/>
    </row>
    <row r="2367" spans="1:114" ht="15" hidden="1" customHeight="1" outlineLevel="1">
      <c r="A2367" s="453"/>
      <c r="C2367" s="51"/>
      <c r="D2367" s="4295"/>
      <c r="E2367" s="4295"/>
      <c r="F2367" s="4307" t="str">
        <f>$E$1642</f>
        <v>ASHP-SEER19-Replace_CAC_NonElectricHeat_ROF_SF</v>
      </c>
      <c r="G2367" s="4307"/>
      <c r="H2367" s="4307"/>
      <c r="I2367" s="4307"/>
      <c r="J2367" s="1029" t="str">
        <f>$C$1642</f>
        <v>353310_2024_12_</v>
      </c>
      <c r="K2367" s="1790">
        <v>0</v>
      </c>
      <c r="L2367" s="13"/>
      <c r="M2367" s="1442" t="s">
        <v>2500</v>
      </c>
      <c r="P2367" s="261"/>
      <c r="Q2367" s="261"/>
      <c r="R2367" s="261"/>
      <c r="S2367" s="52"/>
      <c r="T2367" s="181"/>
      <c r="U2367" s="52"/>
      <c r="V2367" s="4295"/>
      <c r="W2367" s="1396"/>
      <c r="X2367" s="1396"/>
      <c r="Y2367" s="1396"/>
      <c r="Z2367" s="1396"/>
      <c r="AA2367" s="1396"/>
      <c r="AB2367" s="1396"/>
      <c r="AC2367" s="1396"/>
      <c r="AD2367" s="825">
        <v>0</v>
      </c>
      <c r="AE2367" s="1396">
        <v>0</v>
      </c>
      <c r="AF2367" s="271">
        <f t="shared" si="298"/>
        <v>0</v>
      </c>
      <c r="AG2367" s="1396"/>
      <c r="DG2367" s="573"/>
      <c r="DH2367" s="159"/>
      <c r="DI2367" s="1091"/>
      <c r="DJ2367" s="1187"/>
    </row>
    <row r="2368" spans="1:114" ht="15" hidden="1" customHeight="1" outlineLevel="1">
      <c r="A2368" s="453"/>
      <c r="C2368" s="51"/>
      <c r="D2368" s="4295"/>
      <c r="E2368" s="4295"/>
      <c r="F2368" s="4347" t="str">
        <f>$E$1644</f>
        <v>ASHP-SEER19-Replace_CAC_ElectricHeat_ROF_MF</v>
      </c>
      <c r="G2368" s="4347"/>
      <c r="H2368" s="4347"/>
      <c r="I2368" s="4347"/>
      <c r="J2368" s="3471" t="str">
        <f>$C$1644</f>
        <v>353350_2024_12_</v>
      </c>
      <c r="K2368" s="3263">
        <v>3.41</v>
      </c>
      <c r="L2368" s="3479"/>
      <c r="M2368" s="2962" t="s">
        <v>2501</v>
      </c>
      <c r="P2368" s="261"/>
      <c r="Q2368" s="261"/>
      <c r="R2368" s="261"/>
      <c r="S2368" s="52"/>
      <c r="T2368" s="181"/>
      <c r="U2368" s="52"/>
      <c r="V2368" s="4295"/>
      <c r="W2368" s="3262">
        <v>3.41</v>
      </c>
      <c r="X2368" s="3262">
        <v>3.41</v>
      </c>
      <c r="Y2368" s="3262">
        <v>3.41</v>
      </c>
      <c r="Z2368" s="3262">
        <v>3.41</v>
      </c>
      <c r="AA2368" s="3262">
        <v>3.41</v>
      </c>
      <c r="AB2368" s="3262">
        <v>3.41</v>
      </c>
      <c r="AC2368" s="3262">
        <v>3.41</v>
      </c>
      <c r="AD2368" s="3262">
        <v>3.41</v>
      </c>
      <c r="AE2368" s="3262">
        <v>3.41</v>
      </c>
      <c r="AF2368" s="2236">
        <f t="shared" si="298"/>
        <v>3.41</v>
      </c>
      <c r="AG2368" s="3262"/>
      <c r="DG2368" s="573"/>
      <c r="DH2368" s="159"/>
      <c r="DI2368" s="1091"/>
      <c r="DJ2368" s="1187"/>
    </row>
    <row r="2369" spans="1:114" ht="15" hidden="1" customHeight="1" outlineLevel="1">
      <c r="A2369" s="453"/>
      <c r="C2369" s="51"/>
      <c r="D2369" s="4295"/>
      <c r="E2369" s="4295"/>
      <c r="F2369" s="4347" t="str">
        <f>$E$1646</f>
        <v>ASHP-SEER19-Replace_CAC_ElectricHeat_ROF_MF_CompE</v>
      </c>
      <c r="G2369" s="4347"/>
      <c r="H2369" s="4347"/>
      <c r="I2369" s="4347"/>
      <c r="J2369" s="3471" t="str">
        <f>$C$1646</f>
        <v>353351_2024_12_</v>
      </c>
      <c r="K2369" s="3263">
        <v>3.41</v>
      </c>
      <c r="L2369" s="3479"/>
      <c r="M2369" s="2962" t="s">
        <v>2501</v>
      </c>
      <c r="P2369" s="261"/>
      <c r="Q2369" s="261"/>
      <c r="R2369" s="261"/>
      <c r="S2369" s="52"/>
      <c r="T2369" s="181"/>
      <c r="U2369" s="52"/>
      <c r="V2369" s="4295"/>
      <c r="W2369" s="3262"/>
      <c r="X2369" s="3262"/>
      <c r="Y2369" s="3265">
        <v>3.41</v>
      </c>
      <c r="Z2369" s="3262">
        <v>3.41</v>
      </c>
      <c r="AA2369" s="3262">
        <v>3.41</v>
      </c>
      <c r="AB2369" s="3262">
        <v>3.41</v>
      </c>
      <c r="AC2369" s="3262">
        <v>3.41</v>
      </c>
      <c r="AD2369" s="3262">
        <v>3.41</v>
      </c>
      <c r="AE2369" s="3262">
        <v>3.41</v>
      </c>
      <c r="AF2369" s="2236">
        <f t="shared" si="298"/>
        <v>3.41</v>
      </c>
      <c r="AG2369" s="3262"/>
      <c r="DG2369" s="573"/>
      <c r="DH2369" s="159"/>
      <c r="DI2369" s="1091"/>
      <c r="DJ2369" s="1187"/>
    </row>
    <row r="2370" spans="1:114" ht="15" hidden="1" customHeight="1" outlineLevel="1">
      <c r="A2370" s="453"/>
      <c r="C2370" s="51"/>
      <c r="D2370" s="4295"/>
      <c r="E2370" s="4295"/>
      <c r="F2370" s="4347" t="str">
        <f>$E$1648</f>
        <v>ASHP-SEER19-Replace_CAC_NonElectricHeat_ROF_MF</v>
      </c>
      <c r="G2370" s="4347"/>
      <c r="H2370" s="4347"/>
      <c r="I2370" s="4347"/>
      <c r="J2370" s="3471" t="str">
        <f>$C$1648</f>
        <v>353360_2024_12_</v>
      </c>
      <c r="K2370" s="3342">
        <v>0</v>
      </c>
      <c r="L2370" s="3479"/>
      <c r="M2370" s="2962" t="s">
        <v>2500</v>
      </c>
      <c r="P2370" s="261"/>
      <c r="Q2370" s="261"/>
      <c r="R2370" s="261"/>
      <c r="S2370" s="52"/>
      <c r="T2370" s="181"/>
      <c r="U2370" s="52"/>
      <c r="V2370" s="4295"/>
      <c r="W2370" s="3262"/>
      <c r="X2370" s="3262"/>
      <c r="Y2370" s="3265"/>
      <c r="Z2370" s="3262"/>
      <c r="AA2370" s="3262"/>
      <c r="AB2370" s="3262"/>
      <c r="AC2370" s="3279">
        <v>0</v>
      </c>
      <c r="AD2370" s="3267">
        <v>0</v>
      </c>
      <c r="AE2370" s="3267">
        <v>0</v>
      </c>
      <c r="AF2370" s="2236">
        <f t="shared" si="298"/>
        <v>0</v>
      </c>
      <c r="AG2370" s="3262"/>
      <c r="DG2370" s="573"/>
      <c r="DH2370" s="159"/>
      <c r="DI2370" s="1091"/>
      <c r="DJ2370" s="1187"/>
    </row>
    <row r="2371" spans="1:114" ht="15" hidden="1" customHeight="1" outlineLevel="1">
      <c r="A2371" s="453"/>
      <c r="C2371" s="51"/>
      <c r="D2371" s="4295"/>
      <c r="E2371" s="4295"/>
      <c r="F2371" s="4347" t="str">
        <f>$E$1650</f>
        <v>ASHP-SEER19-Replace_CAC_NonElectricHeat_ROF_MF_CompE</v>
      </c>
      <c r="G2371" s="4347"/>
      <c r="H2371" s="4347"/>
      <c r="I2371" s="4347"/>
      <c r="J2371" s="3471" t="str">
        <f>$C$1650</f>
        <v>353361_2024_12_</v>
      </c>
      <c r="K2371" s="3342">
        <v>0</v>
      </c>
      <c r="L2371" s="3479"/>
      <c r="M2371" s="2962" t="s">
        <v>2500</v>
      </c>
      <c r="P2371" s="261"/>
      <c r="Q2371" s="261"/>
      <c r="R2371" s="261"/>
      <c r="S2371" s="52"/>
      <c r="T2371" s="181"/>
      <c r="U2371" s="52"/>
      <c r="V2371" s="4295"/>
      <c r="W2371" s="3262"/>
      <c r="X2371" s="3262"/>
      <c r="Y2371" s="3265"/>
      <c r="Z2371" s="3262"/>
      <c r="AA2371" s="3262"/>
      <c r="AB2371" s="3262"/>
      <c r="AC2371" s="3279">
        <v>0</v>
      </c>
      <c r="AD2371" s="3267">
        <v>0</v>
      </c>
      <c r="AE2371" s="3267">
        <v>0</v>
      </c>
      <c r="AF2371" s="2236">
        <f t="shared" si="298"/>
        <v>0</v>
      </c>
      <c r="AG2371" s="3262"/>
      <c r="DG2371" s="573"/>
      <c r="DH2371" s="159"/>
      <c r="DI2371" s="1091"/>
      <c r="DJ2371" s="1187"/>
    </row>
    <row r="2372" spans="1:114" ht="15" hidden="1" customHeight="1" outlineLevel="1">
      <c r="A2372" s="453"/>
      <c r="C2372" s="51"/>
      <c r="D2372" s="4295"/>
      <c r="E2372" s="4295"/>
      <c r="F2372" s="4307" t="str">
        <f>$E$1652</f>
        <v>ASHP-SEER20-Replace_CAC_ElectricHeat_ER1_SF</v>
      </c>
      <c r="G2372" s="4307"/>
      <c r="H2372" s="4307"/>
      <c r="I2372" s="4307"/>
      <c r="J2372" s="1029" t="str">
        <f>$C$1652</f>
        <v>353400_2024_12_</v>
      </c>
      <c r="K2372" s="1790">
        <v>3.41</v>
      </c>
      <c r="L2372" s="262"/>
      <c r="M2372" s="1442" t="s">
        <v>1949</v>
      </c>
      <c r="P2372" s="261"/>
      <c r="Q2372" s="261"/>
      <c r="R2372" s="261"/>
      <c r="S2372" s="52"/>
      <c r="T2372" s="181"/>
      <c r="U2372" s="52"/>
      <c r="V2372" s="4295"/>
      <c r="W2372" s="1396">
        <v>3.41</v>
      </c>
      <c r="X2372" s="1396">
        <v>3.41</v>
      </c>
      <c r="Y2372" s="1396">
        <v>3.41</v>
      </c>
      <c r="Z2372" s="1396">
        <v>3.41</v>
      </c>
      <c r="AA2372" s="1396">
        <v>3.41</v>
      </c>
      <c r="AB2372" s="1396">
        <v>3.41</v>
      </c>
      <c r="AC2372" s="1396">
        <v>3.41</v>
      </c>
      <c r="AD2372" s="1396">
        <v>3.41</v>
      </c>
      <c r="AE2372" s="1396">
        <v>3.41</v>
      </c>
      <c r="AF2372" s="271">
        <f t="shared" si="298"/>
        <v>3.41</v>
      </c>
      <c r="AG2372" s="1396"/>
      <c r="DG2372" s="573"/>
      <c r="DH2372" s="159"/>
      <c r="DI2372" s="1091"/>
      <c r="DJ2372" s="1187"/>
    </row>
    <row r="2373" spans="1:114" ht="15" hidden="1" customHeight="1" outlineLevel="1">
      <c r="A2373" s="453"/>
      <c r="C2373" s="51"/>
      <c r="D2373" s="4295"/>
      <c r="E2373" s="4295"/>
      <c r="F2373" s="4307" t="str">
        <f>$E$1654</f>
        <v>ASHP-SEER20-Replace_CAC_ElectricHeat_ER2_SF</v>
      </c>
      <c r="G2373" s="4307"/>
      <c r="H2373" s="4307"/>
      <c r="I2373" s="4307"/>
      <c r="J2373" s="1029" t="str">
        <f>$C$1654</f>
        <v>353400_2024_12_</v>
      </c>
      <c r="K2373" s="1790">
        <v>3.41</v>
      </c>
      <c r="L2373" s="262"/>
      <c r="M2373" s="1442" t="s">
        <v>1949</v>
      </c>
      <c r="P2373" s="261"/>
      <c r="Q2373" s="261"/>
      <c r="R2373" s="261"/>
      <c r="S2373" s="52"/>
      <c r="T2373" s="181"/>
      <c r="U2373" s="52"/>
      <c r="V2373" s="4295"/>
      <c r="W2373" s="1396">
        <v>3.41</v>
      </c>
      <c r="X2373" s="1396">
        <v>3.41</v>
      </c>
      <c r="Y2373" s="1396">
        <v>3.41</v>
      </c>
      <c r="Z2373" s="1396">
        <v>3.41</v>
      </c>
      <c r="AA2373" s="1396">
        <v>3.41</v>
      </c>
      <c r="AB2373" s="1396">
        <v>3.41</v>
      </c>
      <c r="AC2373" s="1396">
        <v>3.41</v>
      </c>
      <c r="AD2373" s="1396">
        <v>3.41</v>
      </c>
      <c r="AE2373" s="1396">
        <v>3.41</v>
      </c>
      <c r="AF2373" s="271">
        <f t="shared" si="298"/>
        <v>3.41</v>
      </c>
      <c r="AG2373" s="1396"/>
      <c r="DG2373" s="573"/>
      <c r="DH2373" s="159"/>
      <c r="DI2373" s="1091"/>
      <c r="DJ2373" s="1187"/>
    </row>
    <row r="2374" spans="1:114" ht="15" hidden="1" customHeight="1" outlineLevel="1">
      <c r="A2374" s="453"/>
      <c r="C2374" s="51"/>
      <c r="D2374" s="4295"/>
      <c r="E2374" s="4295"/>
      <c r="F2374" s="4307" t="str">
        <f>$E$1656</f>
        <v>ASHP-SEER20-Replace_CAC_NonElectricHeat_ER1_SF</v>
      </c>
      <c r="G2374" s="4307"/>
      <c r="H2374" s="4307"/>
      <c r="I2374" s="4307"/>
      <c r="J2374" s="1029" t="str">
        <f>$C$1656</f>
        <v>353410_2024_12_</v>
      </c>
      <c r="K2374" s="1793">
        <v>0</v>
      </c>
      <c r="L2374" s="262"/>
      <c r="M2374" s="1442" t="s">
        <v>2500</v>
      </c>
      <c r="P2374" s="261"/>
      <c r="Q2374" s="261"/>
      <c r="R2374" s="261"/>
      <c r="S2374" s="52"/>
      <c r="T2374" s="181"/>
      <c r="U2374" s="52"/>
      <c r="V2374" s="4295"/>
      <c r="W2374" s="1396"/>
      <c r="X2374" s="1396"/>
      <c r="Y2374" s="1396"/>
      <c r="Z2374" s="1396"/>
      <c r="AA2374" s="1396"/>
      <c r="AB2374" s="1396"/>
      <c r="AC2374" s="825">
        <v>0</v>
      </c>
      <c r="AD2374" s="802">
        <v>0</v>
      </c>
      <c r="AE2374" s="802">
        <v>0</v>
      </c>
      <c r="AF2374" s="271">
        <f t="shared" si="298"/>
        <v>0</v>
      </c>
      <c r="AG2374" s="1396"/>
      <c r="DG2374" s="573"/>
      <c r="DH2374" s="159"/>
      <c r="DI2374" s="1091"/>
      <c r="DJ2374" s="1187"/>
    </row>
    <row r="2375" spans="1:114" ht="15" hidden="1" customHeight="1" outlineLevel="1">
      <c r="A2375" s="453"/>
      <c r="C2375" s="51"/>
      <c r="D2375" s="4295"/>
      <c r="E2375" s="4295"/>
      <c r="F2375" s="4307" t="str">
        <f>$E$1658</f>
        <v>ASHP-SEER20-Replace_CAC_NonElectricHeat_ER2_SF</v>
      </c>
      <c r="G2375" s="4307"/>
      <c r="H2375" s="4307"/>
      <c r="I2375" s="4307"/>
      <c r="J2375" s="1029" t="str">
        <f>$C$1658</f>
        <v>353410_2024_12_</v>
      </c>
      <c r="K2375" s="1793">
        <v>0</v>
      </c>
      <c r="L2375" s="262"/>
      <c r="M2375" s="1442" t="s">
        <v>2500</v>
      </c>
      <c r="P2375" s="261"/>
      <c r="Q2375" s="261"/>
      <c r="R2375" s="261"/>
      <c r="S2375" s="52"/>
      <c r="T2375" s="181"/>
      <c r="U2375" s="52"/>
      <c r="V2375" s="4295"/>
      <c r="W2375" s="1396"/>
      <c r="X2375" s="1396"/>
      <c r="Y2375" s="1396"/>
      <c r="Z2375" s="1396"/>
      <c r="AA2375" s="1396"/>
      <c r="AB2375" s="1396"/>
      <c r="AC2375" s="825">
        <v>0</v>
      </c>
      <c r="AD2375" s="802">
        <v>0</v>
      </c>
      <c r="AE2375" s="802">
        <v>0</v>
      </c>
      <c r="AF2375" s="271">
        <f t="shared" si="298"/>
        <v>0</v>
      </c>
      <c r="AG2375" s="1396"/>
      <c r="DG2375" s="573"/>
      <c r="DH2375" s="159"/>
      <c r="DI2375" s="1091"/>
      <c r="DJ2375" s="1187"/>
    </row>
    <row r="2376" spans="1:114" ht="15" hidden="1" customHeight="1" outlineLevel="1">
      <c r="A2376" s="453"/>
      <c r="C2376" s="51"/>
      <c r="D2376" s="4295"/>
      <c r="E2376" s="4295"/>
      <c r="F2376" s="4307" t="str">
        <f>$E$1660</f>
        <v>ASHP-SEER20-Replace_CAC_ElectricHeat_ROF_SF</v>
      </c>
      <c r="G2376" s="4307"/>
      <c r="H2376" s="4307"/>
      <c r="I2376" s="4307"/>
      <c r="J2376" s="1029" t="str">
        <f>$C$1660</f>
        <v>353450_2024_12_</v>
      </c>
      <c r="K2376" s="1790">
        <v>3.41</v>
      </c>
      <c r="L2376" s="262"/>
      <c r="M2376" s="1442" t="s">
        <v>1949</v>
      </c>
      <c r="P2376" s="261"/>
      <c r="Q2376" s="261"/>
      <c r="R2376" s="261"/>
      <c r="S2376" s="52"/>
      <c r="T2376" s="181"/>
      <c r="U2376" s="52"/>
      <c r="V2376" s="4295"/>
      <c r="W2376" s="1396">
        <v>3.41</v>
      </c>
      <c r="X2376" s="1396">
        <v>3.41</v>
      </c>
      <c r="Y2376" s="1396">
        <v>3.41</v>
      </c>
      <c r="Z2376" s="1396">
        <v>3.41</v>
      </c>
      <c r="AA2376" s="1396">
        <v>3.41</v>
      </c>
      <c r="AB2376" s="1396">
        <v>3.41</v>
      </c>
      <c r="AC2376" s="1396">
        <v>3.41</v>
      </c>
      <c r="AD2376" s="1396">
        <v>3.41</v>
      </c>
      <c r="AE2376" s="1396">
        <v>3.41</v>
      </c>
      <c r="AF2376" s="271">
        <f t="shared" si="298"/>
        <v>3.41</v>
      </c>
      <c r="AG2376" s="1396"/>
      <c r="DG2376" s="573"/>
      <c r="DH2376" s="159"/>
      <c r="DI2376" s="1091"/>
      <c r="DJ2376" s="1187"/>
    </row>
    <row r="2377" spans="1:114" ht="15" hidden="1" customHeight="1" outlineLevel="1">
      <c r="A2377" s="453"/>
      <c r="C2377" s="51"/>
      <c r="D2377" s="4295"/>
      <c r="E2377" s="4295"/>
      <c r="F2377" s="4307" t="str">
        <f>$E$1662</f>
        <v>ASHP-SEER20-Replace_CAC_NonElectricHeat_ROF_SF</v>
      </c>
      <c r="G2377" s="4307"/>
      <c r="H2377" s="4307"/>
      <c r="I2377" s="4307"/>
      <c r="J2377" s="1029" t="str">
        <f>$C$1662</f>
        <v>353460_2024_12_</v>
      </c>
      <c r="K2377" s="1790">
        <v>0</v>
      </c>
      <c r="L2377" s="13"/>
      <c r="M2377" s="1442" t="s">
        <v>2500</v>
      </c>
      <c r="P2377" s="261"/>
      <c r="Q2377" s="261"/>
      <c r="R2377" s="261"/>
      <c r="S2377" s="52"/>
      <c r="T2377" s="181"/>
      <c r="U2377" s="52"/>
      <c r="V2377" s="4295"/>
      <c r="W2377" s="1396"/>
      <c r="X2377" s="1396"/>
      <c r="Y2377" s="1396"/>
      <c r="Z2377" s="1396"/>
      <c r="AA2377" s="1396"/>
      <c r="AB2377" s="1396"/>
      <c r="AC2377" s="1396"/>
      <c r="AD2377" s="825">
        <v>0</v>
      </c>
      <c r="AE2377" s="1396">
        <v>0</v>
      </c>
      <c r="AF2377" s="271">
        <f t="shared" si="298"/>
        <v>0</v>
      </c>
      <c r="AG2377" s="1396"/>
      <c r="DG2377" s="573"/>
      <c r="DH2377" s="159"/>
      <c r="DI2377" s="1091"/>
      <c r="DJ2377" s="1187"/>
    </row>
    <row r="2378" spans="1:114" ht="15" hidden="1" customHeight="1" outlineLevel="1">
      <c r="A2378" s="453"/>
      <c r="C2378" s="51"/>
      <c r="D2378" s="4295"/>
      <c r="E2378" s="4295"/>
      <c r="F2378" s="4347" t="str">
        <f>$E$1664</f>
        <v>ASHP-SEER20-Replace_CAC_ElectricHeat_ROF_MF</v>
      </c>
      <c r="G2378" s="4347"/>
      <c r="H2378" s="4347"/>
      <c r="I2378" s="4347"/>
      <c r="J2378" s="3471" t="str">
        <f>$C$1664</f>
        <v>353500_2024_12_</v>
      </c>
      <c r="K2378" s="3263">
        <v>3.41</v>
      </c>
      <c r="L2378" s="3479"/>
      <c r="M2378" s="2962" t="s">
        <v>2501</v>
      </c>
      <c r="P2378" s="261"/>
      <c r="Q2378" s="261"/>
      <c r="R2378" s="261"/>
      <c r="S2378" s="52"/>
      <c r="T2378" s="181"/>
      <c r="U2378" s="52"/>
      <c r="V2378" s="4295"/>
      <c r="W2378" s="3262">
        <v>3.41</v>
      </c>
      <c r="X2378" s="3262">
        <v>3.41</v>
      </c>
      <c r="Y2378" s="3262">
        <v>3.41</v>
      </c>
      <c r="Z2378" s="3262">
        <v>3.41</v>
      </c>
      <c r="AA2378" s="3262">
        <v>3.41</v>
      </c>
      <c r="AB2378" s="3262">
        <v>3.41</v>
      </c>
      <c r="AC2378" s="3262">
        <v>3.41</v>
      </c>
      <c r="AD2378" s="3262">
        <v>3.41</v>
      </c>
      <c r="AE2378" s="3262">
        <v>3.41</v>
      </c>
      <c r="AF2378" s="2236">
        <f t="shared" si="298"/>
        <v>3.41</v>
      </c>
      <c r="AG2378" s="1396"/>
      <c r="DG2378" s="573"/>
      <c r="DH2378" s="159"/>
      <c r="DI2378" s="1091"/>
      <c r="DJ2378" s="1187"/>
    </row>
    <row r="2379" spans="1:114" ht="15" hidden="1" customHeight="1" outlineLevel="1">
      <c r="A2379" s="453"/>
      <c r="C2379" s="51"/>
      <c r="D2379" s="4295"/>
      <c r="E2379" s="4295"/>
      <c r="F2379" s="4347" t="str">
        <f>$E$1666</f>
        <v>ASHP-SEER20-Replace_CAC_ElectricHeat_ROF_MF_CompE</v>
      </c>
      <c r="G2379" s="4347"/>
      <c r="H2379" s="4347"/>
      <c r="I2379" s="4347"/>
      <c r="J2379" s="3471" t="str">
        <f>$C$1666</f>
        <v>353501_2024_12_</v>
      </c>
      <c r="K2379" s="3263">
        <v>3.41</v>
      </c>
      <c r="L2379" s="3479"/>
      <c r="M2379" s="2962" t="s">
        <v>2501</v>
      </c>
      <c r="P2379" s="261"/>
      <c r="Q2379" s="261"/>
      <c r="R2379" s="261"/>
      <c r="S2379" s="52"/>
      <c r="T2379" s="181"/>
      <c r="U2379" s="52"/>
      <c r="V2379" s="4295"/>
      <c r="W2379" s="3262"/>
      <c r="X2379" s="3262"/>
      <c r="Y2379" s="3265">
        <v>3.41</v>
      </c>
      <c r="Z2379" s="3262">
        <v>3.41</v>
      </c>
      <c r="AA2379" s="3262">
        <v>3.41</v>
      </c>
      <c r="AB2379" s="3262">
        <v>3.41</v>
      </c>
      <c r="AC2379" s="3262">
        <v>3.41</v>
      </c>
      <c r="AD2379" s="3262">
        <v>3.41</v>
      </c>
      <c r="AE2379" s="3262">
        <v>3.41</v>
      </c>
      <c r="AF2379" s="2236">
        <f t="shared" si="298"/>
        <v>3.41</v>
      </c>
      <c r="AG2379" s="1396"/>
      <c r="DG2379" s="573"/>
      <c r="DH2379" s="159"/>
      <c r="DI2379" s="1091"/>
      <c r="DJ2379" s="1187"/>
    </row>
    <row r="2380" spans="1:114" ht="15" hidden="1" customHeight="1" outlineLevel="1">
      <c r="A2380" s="453"/>
      <c r="C2380" s="51"/>
      <c r="D2380" s="4295"/>
      <c r="E2380" s="4295"/>
      <c r="F2380" s="4347" t="str">
        <f>$E$1668</f>
        <v>ASHP-SEER20-Replace_CAC_NonElectricHeat_ROF_MF</v>
      </c>
      <c r="G2380" s="4347"/>
      <c r="H2380" s="4347"/>
      <c r="I2380" s="4347"/>
      <c r="J2380" s="3471" t="str">
        <f>$C$1668</f>
        <v>353510_2024_12_</v>
      </c>
      <c r="K2380" s="3342">
        <v>0</v>
      </c>
      <c r="L2380" s="3479"/>
      <c r="M2380" s="2962" t="s">
        <v>2500</v>
      </c>
      <c r="P2380" s="261"/>
      <c r="Q2380" s="261"/>
      <c r="R2380" s="261"/>
      <c r="S2380" s="52"/>
      <c r="T2380" s="181"/>
      <c r="U2380" s="52"/>
      <c r="V2380" s="4295"/>
      <c r="W2380" s="3262"/>
      <c r="X2380" s="3262"/>
      <c r="Y2380" s="3265"/>
      <c r="Z2380" s="3262"/>
      <c r="AA2380" s="3262"/>
      <c r="AB2380" s="3262"/>
      <c r="AC2380" s="3279">
        <v>0</v>
      </c>
      <c r="AD2380" s="3267">
        <v>0</v>
      </c>
      <c r="AE2380" s="3267">
        <v>0</v>
      </c>
      <c r="AF2380" s="2236">
        <f t="shared" si="298"/>
        <v>0</v>
      </c>
      <c r="AG2380" s="1396"/>
      <c r="DG2380" s="573"/>
      <c r="DH2380" s="159"/>
      <c r="DI2380" s="1091"/>
      <c r="DJ2380" s="1187"/>
    </row>
    <row r="2381" spans="1:114" ht="15" hidden="1" customHeight="1" outlineLevel="1">
      <c r="A2381" s="453"/>
      <c r="C2381" s="51"/>
      <c r="D2381" s="4295"/>
      <c r="E2381" s="4295"/>
      <c r="F2381" s="4347" t="str">
        <f>$E$1670</f>
        <v>ASHP-SEER20-Replace_CAC_NonElectricHeat_ROF_MF_CompE</v>
      </c>
      <c r="G2381" s="4347"/>
      <c r="H2381" s="4347"/>
      <c r="I2381" s="4347"/>
      <c r="J2381" s="3471" t="str">
        <f>$C$1670</f>
        <v>353511_2024_12_</v>
      </c>
      <c r="K2381" s="3342">
        <v>0</v>
      </c>
      <c r="L2381" s="3479"/>
      <c r="M2381" s="2962" t="s">
        <v>2500</v>
      </c>
      <c r="P2381" s="261"/>
      <c r="Q2381" s="261"/>
      <c r="R2381" s="261"/>
      <c r="S2381" s="52"/>
      <c r="T2381" s="181"/>
      <c r="U2381" s="52"/>
      <c r="V2381" s="4295"/>
      <c r="W2381" s="3262"/>
      <c r="X2381" s="3262"/>
      <c r="Y2381" s="3265"/>
      <c r="Z2381" s="3262"/>
      <c r="AA2381" s="3262"/>
      <c r="AB2381" s="3262"/>
      <c r="AC2381" s="3279">
        <v>0</v>
      </c>
      <c r="AD2381" s="3267">
        <v>0</v>
      </c>
      <c r="AE2381" s="3267">
        <v>0</v>
      </c>
      <c r="AF2381" s="2236">
        <f t="shared" si="298"/>
        <v>0</v>
      </c>
      <c r="AG2381" s="1396"/>
      <c r="DG2381" s="573"/>
      <c r="DH2381" s="159"/>
      <c r="DI2381" s="1091"/>
      <c r="DJ2381" s="1187"/>
    </row>
    <row r="2382" spans="1:114" ht="15" hidden="1" customHeight="1" outlineLevel="1">
      <c r="A2382" s="453"/>
      <c r="C2382" s="51"/>
      <c r="D2382" s="4295"/>
      <c r="E2382" s="4295"/>
      <c r="F2382" s="4307" t="str">
        <f>$E$1672</f>
        <v>ASHP-SEER21-Replace_CAC_ElectricHeat_ER1_SF</v>
      </c>
      <c r="G2382" s="4307"/>
      <c r="H2382" s="4307"/>
      <c r="I2382" s="4307"/>
      <c r="J2382" s="1029" t="str">
        <f>$C$1672</f>
        <v>353550_2024_12_</v>
      </c>
      <c r="K2382" s="1790">
        <v>3.41</v>
      </c>
      <c r="L2382" s="262"/>
      <c r="M2382" s="1442" t="s">
        <v>1949</v>
      </c>
      <c r="P2382" s="261"/>
      <c r="Q2382" s="209"/>
      <c r="R2382" s="261"/>
      <c r="S2382" s="52"/>
      <c r="T2382" s="181"/>
      <c r="U2382" s="52"/>
      <c r="V2382" s="4295"/>
      <c r="W2382" s="1396">
        <v>3.41</v>
      </c>
      <c r="X2382" s="1396">
        <v>3.41</v>
      </c>
      <c r="Y2382" s="1396">
        <v>3.41</v>
      </c>
      <c r="Z2382" s="1396">
        <v>3.41</v>
      </c>
      <c r="AA2382" s="1396">
        <v>3.41</v>
      </c>
      <c r="AB2382" s="1396">
        <v>3.41</v>
      </c>
      <c r="AC2382" s="1396">
        <v>3.41</v>
      </c>
      <c r="AD2382" s="1396">
        <v>3.41</v>
      </c>
      <c r="AE2382" s="1396">
        <v>3.41</v>
      </c>
      <c r="AF2382" s="271">
        <f t="shared" si="298"/>
        <v>3.41</v>
      </c>
      <c r="AG2382" s="1396"/>
      <c r="DG2382" s="573"/>
      <c r="DH2382" s="159"/>
      <c r="DI2382" s="1091"/>
      <c r="DJ2382" s="1187"/>
    </row>
    <row r="2383" spans="1:114" ht="15" hidden="1" customHeight="1" outlineLevel="1">
      <c r="A2383" s="453"/>
      <c r="C2383" s="51"/>
      <c r="D2383" s="4295"/>
      <c r="E2383" s="4295"/>
      <c r="F2383" s="4307" t="str">
        <f>$E$1674</f>
        <v>ASHP-SEER21-Replace_CAC_ElectricHeat_ER2_SF</v>
      </c>
      <c r="G2383" s="4307"/>
      <c r="H2383" s="4307"/>
      <c r="I2383" s="4307"/>
      <c r="J2383" s="1029" t="str">
        <f>$C$1674</f>
        <v>353550_2024_12_</v>
      </c>
      <c r="K2383" s="1790">
        <v>3.41</v>
      </c>
      <c r="L2383" s="262"/>
      <c r="M2383" s="1442" t="s">
        <v>1949</v>
      </c>
      <c r="P2383" s="261"/>
      <c r="Q2383" s="209"/>
      <c r="R2383" s="261"/>
      <c r="S2383" s="52"/>
      <c r="T2383" s="181"/>
      <c r="U2383" s="52"/>
      <c r="V2383" s="4295"/>
      <c r="W2383" s="1396">
        <v>3.41</v>
      </c>
      <c r="X2383" s="1396">
        <v>3.41</v>
      </c>
      <c r="Y2383" s="1396">
        <v>3.41</v>
      </c>
      <c r="Z2383" s="1396">
        <v>3.41</v>
      </c>
      <c r="AA2383" s="1396">
        <v>3.41</v>
      </c>
      <c r="AB2383" s="1396">
        <v>3.41</v>
      </c>
      <c r="AC2383" s="1396">
        <v>3.41</v>
      </c>
      <c r="AD2383" s="1396">
        <v>3.41</v>
      </c>
      <c r="AE2383" s="1396">
        <v>3.41</v>
      </c>
      <c r="AF2383" s="271">
        <f t="shared" si="298"/>
        <v>3.41</v>
      </c>
      <c r="AG2383" s="1396"/>
      <c r="DG2383" s="573"/>
      <c r="DH2383" s="159"/>
      <c r="DI2383" s="1091"/>
      <c r="DJ2383" s="1187"/>
    </row>
    <row r="2384" spans="1:114" ht="15" hidden="1" customHeight="1" outlineLevel="1">
      <c r="A2384" s="453"/>
      <c r="C2384" s="51"/>
      <c r="D2384" s="4295"/>
      <c r="E2384" s="4295"/>
      <c r="F2384" s="4307" t="str">
        <f>$E$1676</f>
        <v>ASHP-SEER21-Replace_CAC_NonElectricHeat_ER1_SF</v>
      </c>
      <c r="G2384" s="4307"/>
      <c r="H2384" s="4307"/>
      <c r="I2384" s="4307"/>
      <c r="J2384" s="1029" t="str">
        <f>$C$1676</f>
        <v>353560_2024_12_</v>
      </c>
      <c r="K2384" s="1793">
        <v>0</v>
      </c>
      <c r="L2384" s="262"/>
      <c r="M2384" s="1442" t="s">
        <v>2500</v>
      </c>
      <c r="P2384" s="261"/>
      <c r="Q2384" s="209"/>
      <c r="R2384" s="261"/>
      <c r="S2384" s="52"/>
      <c r="T2384" s="181"/>
      <c r="U2384" s="52"/>
      <c r="V2384" s="4295"/>
      <c r="W2384" s="1396"/>
      <c r="X2384" s="1396"/>
      <c r="Y2384" s="1396"/>
      <c r="Z2384" s="1396"/>
      <c r="AA2384" s="1396"/>
      <c r="AB2384" s="1396"/>
      <c r="AC2384" s="825">
        <v>0</v>
      </c>
      <c r="AD2384" s="802">
        <v>0</v>
      </c>
      <c r="AE2384" s="802">
        <v>0</v>
      </c>
      <c r="AF2384" s="271">
        <f t="shared" si="298"/>
        <v>0</v>
      </c>
      <c r="AG2384" s="1396"/>
      <c r="DG2384" s="573"/>
      <c r="DH2384" s="159"/>
      <c r="DI2384" s="1091"/>
      <c r="DJ2384" s="1187"/>
    </row>
    <row r="2385" spans="1:114" ht="15" hidden="1" customHeight="1" outlineLevel="1">
      <c r="A2385" s="453"/>
      <c r="C2385" s="51"/>
      <c r="D2385" s="4295"/>
      <c r="E2385" s="4295"/>
      <c r="F2385" s="4307" t="str">
        <f>$E$1678</f>
        <v>ASHP-SEER21-Replace_CAC_NonElectricHeat_ER2_SF</v>
      </c>
      <c r="G2385" s="4307"/>
      <c r="H2385" s="4307"/>
      <c r="I2385" s="4307"/>
      <c r="J2385" s="1029" t="str">
        <f>$C$1678</f>
        <v>353560_2024_12_</v>
      </c>
      <c r="K2385" s="1793">
        <v>0</v>
      </c>
      <c r="L2385" s="262"/>
      <c r="M2385" s="1442" t="s">
        <v>2500</v>
      </c>
      <c r="P2385" s="261"/>
      <c r="Q2385" s="209"/>
      <c r="R2385" s="261"/>
      <c r="S2385" s="52"/>
      <c r="T2385" s="181"/>
      <c r="U2385" s="52"/>
      <c r="V2385" s="4295"/>
      <c r="W2385" s="1396"/>
      <c r="X2385" s="1396"/>
      <c r="Y2385" s="1396"/>
      <c r="Z2385" s="1396"/>
      <c r="AA2385" s="1396"/>
      <c r="AB2385" s="1396"/>
      <c r="AC2385" s="825">
        <v>0</v>
      </c>
      <c r="AD2385" s="802">
        <v>0</v>
      </c>
      <c r="AE2385" s="802">
        <v>0</v>
      </c>
      <c r="AF2385" s="271">
        <f t="shared" si="298"/>
        <v>0</v>
      </c>
      <c r="AG2385" s="1396"/>
      <c r="DG2385" s="573"/>
      <c r="DH2385" s="159"/>
      <c r="DI2385" s="1091"/>
      <c r="DJ2385" s="1187"/>
    </row>
    <row r="2386" spans="1:114" ht="15" hidden="1" customHeight="1" outlineLevel="1">
      <c r="A2386" s="453"/>
      <c r="C2386" s="51"/>
      <c r="D2386" s="4295"/>
      <c r="E2386" s="4295"/>
      <c r="F2386" s="4307" t="str">
        <f>$E$1680</f>
        <v>ASHP-SEER21-Replace_CAC_ElectricHeat_ER1_MF</v>
      </c>
      <c r="G2386" s="4307"/>
      <c r="H2386" s="4307"/>
      <c r="I2386" s="4307"/>
      <c r="J2386" s="1029" t="str">
        <f>$C$1680</f>
        <v>353600_2024_12_</v>
      </c>
      <c r="K2386" s="1790">
        <v>3.41</v>
      </c>
      <c r="L2386" s="262"/>
      <c r="M2386" s="1442" t="s">
        <v>2501</v>
      </c>
      <c r="P2386" s="261"/>
      <c r="Q2386" s="209"/>
      <c r="R2386" s="261"/>
      <c r="S2386" s="52"/>
      <c r="T2386" s="181"/>
      <c r="U2386" s="52"/>
      <c r="V2386" s="4295"/>
      <c r="W2386" s="1396">
        <v>3.41</v>
      </c>
      <c r="X2386" s="1396">
        <v>3.41</v>
      </c>
      <c r="Y2386" s="1396">
        <v>3.41</v>
      </c>
      <c r="Z2386" s="1396">
        <v>3.41</v>
      </c>
      <c r="AA2386" s="1396">
        <v>3.41</v>
      </c>
      <c r="AB2386" s="1396">
        <v>3.41</v>
      </c>
      <c r="AC2386" s="1396">
        <v>3.41</v>
      </c>
      <c r="AD2386" s="1396">
        <v>3.41</v>
      </c>
      <c r="AE2386" s="1396">
        <v>3.41</v>
      </c>
      <c r="AF2386" s="271">
        <f t="shared" si="298"/>
        <v>3.41</v>
      </c>
      <c r="AG2386" s="1396"/>
      <c r="DG2386" s="573"/>
      <c r="DH2386" s="159"/>
      <c r="DI2386" s="1091"/>
      <c r="DJ2386" s="1187"/>
    </row>
    <row r="2387" spans="1:114" ht="15" hidden="1" customHeight="1" outlineLevel="1">
      <c r="A2387" s="453"/>
      <c r="C2387" s="51"/>
      <c r="D2387" s="4295"/>
      <c r="E2387" s="4295"/>
      <c r="F2387" s="4307" t="str">
        <f>$E$1682</f>
        <v>ASHP-SEER21-Replace_CAC_ElectricHeat_ER2_MF</v>
      </c>
      <c r="G2387" s="4307"/>
      <c r="H2387" s="4307"/>
      <c r="I2387" s="4307"/>
      <c r="J2387" s="1029" t="str">
        <f>$C$1682</f>
        <v>353600_2024_12_</v>
      </c>
      <c r="K2387" s="1790">
        <v>3.41</v>
      </c>
      <c r="L2387" s="262"/>
      <c r="M2387" s="1442" t="s">
        <v>2501</v>
      </c>
      <c r="P2387" s="261"/>
      <c r="Q2387" s="209"/>
      <c r="R2387" s="261"/>
      <c r="S2387" s="52"/>
      <c r="T2387" s="181"/>
      <c r="U2387" s="52"/>
      <c r="V2387" s="4295"/>
      <c r="W2387" s="1396">
        <v>3.41</v>
      </c>
      <c r="X2387" s="1396">
        <v>3.41</v>
      </c>
      <c r="Y2387" s="1396">
        <v>3.41</v>
      </c>
      <c r="Z2387" s="1396">
        <v>3.41</v>
      </c>
      <c r="AA2387" s="1396">
        <v>3.41</v>
      </c>
      <c r="AB2387" s="1396">
        <v>3.41</v>
      </c>
      <c r="AC2387" s="1396">
        <v>3.41</v>
      </c>
      <c r="AD2387" s="1396">
        <v>3.41</v>
      </c>
      <c r="AE2387" s="1396">
        <v>3.41</v>
      </c>
      <c r="AF2387" s="271">
        <f t="shared" si="298"/>
        <v>3.41</v>
      </c>
      <c r="AG2387" s="1396"/>
      <c r="DG2387" s="573"/>
      <c r="DH2387" s="159"/>
      <c r="DI2387" s="1091"/>
      <c r="DJ2387" s="1187"/>
    </row>
    <row r="2388" spans="1:114" ht="15" hidden="1" customHeight="1" outlineLevel="1">
      <c r="A2388" s="453"/>
      <c r="C2388" s="51"/>
      <c r="D2388" s="4295"/>
      <c r="E2388" s="4295"/>
      <c r="F2388" s="4347" t="str">
        <f>$E$1684</f>
        <v>ASHP-SEER21-Replace_CAC_ElectricHeat_ER1_MF_CompE</v>
      </c>
      <c r="G2388" s="4347"/>
      <c r="H2388" s="4347"/>
      <c r="I2388" s="4347"/>
      <c r="J2388" s="3471" t="str">
        <f>$C$1684</f>
        <v>353601_2024_12_</v>
      </c>
      <c r="K2388" s="3263">
        <v>3.41</v>
      </c>
      <c r="L2388" s="3479"/>
      <c r="M2388" s="2962" t="s">
        <v>2501</v>
      </c>
      <c r="P2388" s="261"/>
      <c r="Q2388" s="209"/>
      <c r="R2388" s="261"/>
      <c r="S2388" s="52"/>
      <c r="T2388" s="181"/>
      <c r="U2388" s="52"/>
      <c r="V2388" s="4295"/>
      <c r="W2388" s="3262"/>
      <c r="X2388" s="3262"/>
      <c r="Y2388" s="3265">
        <v>3.41</v>
      </c>
      <c r="Z2388" s="3262">
        <v>3.41</v>
      </c>
      <c r="AA2388" s="3262">
        <v>3.41</v>
      </c>
      <c r="AB2388" s="3262">
        <v>3.41</v>
      </c>
      <c r="AC2388" s="3262">
        <v>3.41</v>
      </c>
      <c r="AD2388" s="3262">
        <v>3.41</v>
      </c>
      <c r="AE2388" s="3262">
        <v>3.41</v>
      </c>
      <c r="AF2388" s="2236">
        <f t="shared" si="298"/>
        <v>3.41</v>
      </c>
      <c r="AG2388" s="1396"/>
      <c r="DG2388" s="573"/>
      <c r="DH2388" s="159"/>
      <c r="DI2388" s="1091"/>
      <c r="DJ2388" s="1187"/>
    </row>
    <row r="2389" spans="1:114" ht="15" hidden="1" customHeight="1" outlineLevel="1">
      <c r="A2389" s="453"/>
      <c r="C2389" s="51"/>
      <c r="D2389" s="4295"/>
      <c r="E2389" s="4295"/>
      <c r="F2389" s="4347" t="str">
        <f>$E$1686</f>
        <v>ASHP-SEER21-Replace_CAC_ElectricHeat_ER2_MF_CompE</v>
      </c>
      <c r="G2389" s="4347"/>
      <c r="H2389" s="4347"/>
      <c r="I2389" s="4347"/>
      <c r="J2389" s="3471" t="str">
        <f>$C$1686</f>
        <v>353601_2024_12_</v>
      </c>
      <c r="K2389" s="3263">
        <v>3.41</v>
      </c>
      <c r="L2389" s="3479"/>
      <c r="M2389" s="2962" t="s">
        <v>2501</v>
      </c>
      <c r="P2389" s="261"/>
      <c r="Q2389" s="209"/>
      <c r="R2389" s="261"/>
      <c r="S2389" s="52"/>
      <c r="T2389" s="181"/>
      <c r="U2389" s="52"/>
      <c r="V2389" s="4295"/>
      <c r="W2389" s="3262"/>
      <c r="X2389" s="3262"/>
      <c r="Y2389" s="3265">
        <v>3.41</v>
      </c>
      <c r="Z2389" s="3262">
        <v>3.41</v>
      </c>
      <c r="AA2389" s="3262">
        <v>3.41</v>
      </c>
      <c r="AB2389" s="3262">
        <v>3.41</v>
      </c>
      <c r="AC2389" s="3262">
        <v>3.41</v>
      </c>
      <c r="AD2389" s="3262">
        <v>3.41</v>
      </c>
      <c r="AE2389" s="3262">
        <v>3.41</v>
      </c>
      <c r="AF2389" s="2236">
        <f t="shared" si="298"/>
        <v>3.41</v>
      </c>
      <c r="AG2389" s="1396"/>
      <c r="DG2389" s="573"/>
      <c r="DH2389" s="159"/>
      <c r="DI2389" s="1091"/>
      <c r="DJ2389" s="1187"/>
    </row>
    <row r="2390" spans="1:114" ht="15" hidden="1" customHeight="1" outlineLevel="1">
      <c r="A2390" s="453"/>
      <c r="C2390" s="51"/>
      <c r="D2390" s="4295"/>
      <c r="E2390" s="4295"/>
      <c r="F2390" s="4347" t="str">
        <f>$E$1688</f>
        <v>ASHP-SEER21-Replace_CAC_NonElectricHeat_ER1_MF</v>
      </c>
      <c r="G2390" s="4347"/>
      <c r="H2390" s="4347"/>
      <c r="I2390" s="4347"/>
      <c r="J2390" s="3471" t="str">
        <f>$C$1688</f>
        <v>353610_2024_12_</v>
      </c>
      <c r="K2390" s="3342">
        <v>0</v>
      </c>
      <c r="L2390" s="3479"/>
      <c r="M2390" s="2962" t="s">
        <v>2500</v>
      </c>
      <c r="P2390" s="261"/>
      <c r="Q2390" s="209"/>
      <c r="R2390" s="261"/>
      <c r="S2390" s="52"/>
      <c r="T2390" s="181"/>
      <c r="U2390" s="52"/>
      <c r="V2390" s="4295"/>
      <c r="W2390" s="3262"/>
      <c r="X2390" s="3262"/>
      <c r="Y2390" s="3265"/>
      <c r="Z2390" s="3262"/>
      <c r="AA2390" s="3262"/>
      <c r="AB2390" s="3262"/>
      <c r="AC2390" s="3279">
        <v>0</v>
      </c>
      <c r="AD2390" s="3267">
        <v>0</v>
      </c>
      <c r="AE2390" s="3267">
        <v>0</v>
      </c>
      <c r="AF2390" s="2236">
        <f t="shared" si="298"/>
        <v>0</v>
      </c>
      <c r="AG2390" s="1396"/>
      <c r="DG2390" s="573"/>
      <c r="DH2390" s="159"/>
      <c r="DI2390" s="1091"/>
      <c r="DJ2390" s="1187"/>
    </row>
    <row r="2391" spans="1:114" ht="15" hidden="1" customHeight="1" outlineLevel="1">
      <c r="A2391" s="453"/>
      <c r="C2391" s="51"/>
      <c r="D2391" s="4295"/>
      <c r="E2391" s="4295"/>
      <c r="F2391" s="4347" t="str">
        <f>$E$1690</f>
        <v>ASHP-SEER21-Replace_CAC_NonElectricHeat_ER2_MF</v>
      </c>
      <c r="G2391" s="4347"/>
      <c r="H2391" s="4347"/>
      <c r="I2391" s="4347"/>
      <c r="J2391" s="3471" t="str">
        <f>$C$1690</f>
        <v>353610_2024_12_</v>
      </c>
      <c r="K2391" s="3342">
        <v>0</v>
      </c>
      <c r="L2391" s="3479"/>
      <c r="M2391" s="2962" t="s">
        <v>2500</v>
      </c>
      <c r="P2391" s="261"/>
      <c r="Q2391" s="209"/>
      <c r="R2391" s="261"/>
      <c r="S2391" s="52"/>
      <c r="T2391" s="181"/>
      <c r="U2391" s="52"/>
      <c r="V2391" s="4295"/>
      <c r="W2391" s="3262"/>
      <c r="X2391" s="3262"/>
      <c r="Y2391" s="3265"/>
      <c r="Z2391" s="3262"/>
      <c r="AA2391" s="3262"/>
      <c r="AB2391" s="3262"/>
      <c r="AC2391" s="3279">
        <v>0</v>
      </c>
      <c r="AD2391" s="3267">
        <v>0</v>
      </c>
      <c r="AE2391" s="3267">
        <v>0</v>
      </c>
      <c r="AF2391" s="2236">
        <f t="shared" si="298"/>
        <v>0</v>
      </c>
      <c r="AG2391" s="1396"/>
      <c r="DG2391" s="573"/>
      <c r="DH2391" s="159"/>
      <c r="DI2391" s="1091"/>
      <c r="DJ2391" s="1187"/>
    </row>
    <row r="2392" spans="1:114" ht="15" hidden="1" customHeight="1" outlineLevel="1">
      <c r="A2392" s="453"/>
      <c r="C2392" s="51"/>
      <c r="D2392" s="4295"/>
      <c r="E2392" s="4295"/>
      <c r="F2392" s="4347" t="str">
        <f>$E$1692</f>
        <v>ASHP-SEER21-Replace_CAC_NonElectricHeat_ER1_MF_CompE</v>
      </c>
      <c r="G2392" s="4347"/>
      <c r="H2392" s="4347"/>
      <c r="I2392" s="4347"/>
      <c r="J2392" s="3471" t="str">
        <f>$C$1692</f>
        <v>353611_2024_12_</v>
      </c>
      <c r="K2392" s="3342">
        <v>0</v>
      </c>
      <c r="L2392" s="3479"/>
      <c r="M2392" s="2962" t="s">
        <v>2500</v>
      </c>
      <c r="P2392" s="261"/>
      <c r="Q2392" s="209"/>
      <c r="R2392" s="261"/>
      <c r="S2392" s="52"/>
      <c r="T2392" s="181"/>
      <c r="U2392" s="52"/>
      <c r="V2392" s="4295"/>
      <c r="W2392" s="3262"/>
      <c r="X2392" s="3262"/>
      <c r="Y2392" s="3265"/>
      <c r="Z2392" s="3262"/>
      <c r="AA2392" s="3262"/>
      <c r="AB2392" s="3262"/>
      <c r="AC2392" s="3279">
        <v>0</v>
      </c>
      <c r="AD2392" s="3267">
        <v>0</v>
      </c>
      <c r="AE2392" s="3267">
        <v>0</v>
      </c>
      <c r="AF2392" s="2236">
        <f t="shared" si="298"/>
        <v>0</v>
      </c>
      <c r="AG2392" s="1396"/>
      <c r="DG2392" s="573"/>
      <c r="DH2392" s="159"/>
      <c r="DI2392" s="1091"/>
      <c r="DJ2392" s="1187"/>
    </row>
    <row r="2393" spans="1:114" ht="15" hidden="1" customHeight="1" outlineLevel="1">
      <c r="A2393" s="453"/>
      <c r="C2393" s="51"/>
      <c r="D2393" s="4295"/>
      <c r="E2393" s="4295"/>
      <c r="F2393" s="4347" t="str">
        <f>$E$1694</f>
        <v>ASHP-SEER21-Replace_CAC_NonElectricHeat_ER2_MF_CompE</v>
      </c>
      <c r="G2393" s="4347"/>
      <c r="H2393" s="4347"/>
      <c r="I2393" s="4347"/>
      <c r="J2393" s="3471" t="str">
        <f>$C$1694</f>
        <v>353611_2024_12_</v>
      </c>
      <c r="K2393" s="3342">
        <v>0</v>
      </c>
      <c r="L2393" s="3479"/>
      <c r="M2393" s="2962" t="s">
        <v>2500</v>
      </c>
      <c r="P2393" s="261"/>
      <c r="Q2393" s="209"/>
      <c r="R2393" s="261"/>
      <c r="S2393" s="52"/>
      <c r="T2393" s="181"/>
      <c r="U2393" s="52"/>
      <c r="V2393" s="4295"/>
      <c r="W2393" s="3262"/>
      <c r="X2393" s="3262"/>
      <c r="Y2393" s="3265"/>
      <c r="Z2393" s="3262"/>
      <c r="AA2393" s="3262"/>
      <c r="AB2393" s="3262"/>
      <c r="AC2393" s="3279">
        <v>0</v>
      </c>
      <c r="AD2393" s="3267">
        <v>0</v>
      </c>
      <c r="AE2393" s="3267">
        <v>0</v>
      </c>
      <c r="AF2393" s="2236">
        <f t="shared" si="298"/>
        <v>0</v>
      </c>
      <c r="AG2393" s="1396"/>
      <c r="DG2393" s="573"/>
      <c r="DH2393" s="159"/>
      <c r="DI2393" s="1091"/>
      <c r="DJ2393" s="1187"/>
    </row>
    <row r="2394" spans="1:114" ht="15" hidden="1" customHeight="1" outlineLevel="1">
      <c r="A2394" s="453"/>
      <c r="C2394" s="51"/>
      <c r="D2394" s="4295"/>
      <c r="E2394" s="4295"/>
      <c r="F2394" s="4307" t="str">
        <f>$E$1696</f>
        <v>ASHP-SEER21-Replace_CAC_ElectricHeat_ROF_SF</v>
      </c>
      <c r="G2394" s="4307"/>
      <c r="H2394" s="4307"/>
      <c r="I2394" s="4307"/>
      <c r="J2394" s="1029" t="str">
        <f>$C$1696</f>
        <v>353650_2024_12_</v>
      </c>
      <c r="K2394" s="1790">
        <v>3.41</v>
      </c>
      <c r="L2394" s="262"/>
      <c r="M2394" s="1442" t="s">
        <v>1949</v>
      </c>
      <c r="P2394" s="261"/>
      <c r="Q2394" s="209"/>
      <c r="R2394" s="261"/>
      <c r="S2394" s="52"/>
      <c r="T2394" s="181"/>
      <c r="U2394" s="52"/>
      <c r="V2394" s="4295"/>
      <c r="W2394" s="1396">
        <v>3.41</v>
      </c>
      <c r="X2394" s="1396">
        <v>3.41</v>
      </c>
      <c r="Y2394" s="1396">
        <v>3.41</v>
      </c>
      <c r="Z2394" s="1396">
        <v>3.41</v>
      </c>
      <c r="AA2394" s="1396">
        <v>3.41</v>
      </c>
      <c r="AB2394" s="1396">
        <v>3.41</v>
      </c>
      <c r="AC2394" s="1396">
        <v>3.41</v>
      </c>
      <c r="AD2394" s="1396">
        <v>3.41</v>
      </c>
      <c r="AE2394" s="1396">
        <v>3.41</v>
      </c>
      <c r="AF2394" s="271">
        <f t="shared" si="298"/>
        <v>3.41</v>
      </c>
      <c r="AG2394" s="1396"/>
      <c r="DG2394" s="573"/>
      <c r="DH2394" s="159"/>
      <c r="DI2394" s="1091"/>
      <c r="DJ2394" s="1187"/>
    </row>
    <row r="2395" spans="1:114" ht="15" hidden="1" customHeight="1" outlineLevel="1">
      <c r="A2395" s="453"/>
      <c r="C2395" s="51"/>
      <c r="D2395" s="4295"/>
      <c r="E2395" s="4295"/>
      <c r="F2395" s="4307" t="str">
        <f>$E$1698</f>
        <v>ASHP-SEER21-Replace_CAC_NonElectricHeat_ROF_SF</v>
      </c>
      <c r="G2395" s="4307"/>
      <c r="H2395" s="4307"/>
      <c r="I2395" s="4307"/>
      <c r="J2395" s="1029" t="str">
        <f>$C$1698</f>
        <v>353660_2024_12_</v>
      </c>
      <c r="K2395" s="1790">
        <v>0</v>
      </c>
      <c r="L2395" s="13"/>
      <c r="M2395" s="1442" t="s">
        <v>2500</v>
      </c>
      <c r="P2395" s="261"/>
      <c r="Q2395" s="209"/>
      <c r="R2395" s="261"/>
      <c r="S2395" s="52"/>
      <c r="T2395" s="181"/>
      <c r="U2395" s="52"/>
      <c r="V2395" s="4295"/>
      <c r="W2395" s="1396"/>
      <c r="X2395" s="1396"/>
      <c r="Y2395" s="1396"/>
      <c r="Z2395" s="1396"/>
      <c r="AA2395" s="1396"/>
      <c r="AB2395" s="1396"/>
      <c r="AC2395" s="1396"/>
      <c r="AD2395" s="825">
        <v>0</v>
      </c>
      <c r="AE2395" s="1396">
        <v>0</v>
      </c>
      <c r="AF2395" s="271">
        <f t="shared" si="298"/>
        <v>0</v>
      </c>
      <c r="AG2395" s="1396"/>
      <c r="DG2395" s="573"/>
      <c r="DH2395" s="159"/>
      <c r="DI2395" s="1091"/>
      <c r="DJ2395" s="1187"/>
    </row>
    <row r="2396" spans="1:114" ht="15" hidden="1" customHeight="1" outlineLevel="1">
      <c r="A2396" s="453"/>
      <c r="C2396" s="51"/>
      <c r="D2396" s="4295"/>
      <c r="E2396" s="4295"/>
      <c r="F2396" s="4347" t="str">
        <f>$E$1700</f>
        <v>ASHP-SEER21+-Replace_CAC_ElectricHeat_ROF_MF</v>
      </c>
      <c r="G2396" s="4347"/>
      <c r="H2396" s="4347"/>
      <c r="I2396" s="4347"/>
      <c r="J2396" s="3471" t="str">
        <f>$C$1700</f>
        <v>353700_2024_12_</v>
      </c>
      <c r="K2396" s="3263">
        <v>3.41</v>
      </c>
      <c r="L2396" s="3479"/>
      <c r="M2396" s="2962" t="s">
        <v>2501</v>
      </c>
      <c r="P2396" s="261"/>
      <c r="Q2396" s="209"/>
      <c r="R2396" s="261"/>
      <c r="S2396" s="52"/>
      <c r="T2396" s="181"/>
      <c r="U2396" s="52"/>
      <c r="V2396" s="4295"/>
      <c r="W2396" s="3262">
        <v>3.41</v>
      </c>
      <c r="X2396" s="3262">
        <v>3.41</v>
      </c>
      <c r="Y2396" s="3262">
        <v>3.41</v>
      </c>
      <c r="Z2396" s="3262">
        <v>3.41</v>
      </c>
      <c r="AA2396" s="3262">
        <v>3.41</v>
      </c>
      <c r="AB2396" s="3262">
        <v>3.41</v>
      </c>
      <c r="AC2396" s="3262">
        <v>3.41</v>
      </c>
      <c r="AD2396" s="3262">
        <v>3.41</v>
      </c>
      <c r="AE2396" s="3262">
        <v>3.41</v>
      </c>
      <c r="AF2396" s="2236">
        <f t="shared" si="298"/>
        <v>3.41</v>
      </c>
      <c r="AG2396" s="1396"/>
      <c r="DG2396" s="573"/>
      <c r="DH2396" s="159"/>
      <c r="DI2396" s="1091"/>
      <c r="DJ2396" s="1187"/>
    </row>
    <row r="2397" spans="1:114" ht="15" hidden="1" customHeight="1" outlineLevel="1">
      <c r="A2397" s="453"/>
      <c r="C2397" s="51"/>
      <c r="D2397" s="4295"/>
      <c r="E2397" s="4295"/>
      <c r="F2397" s="4347" t="str">
        <f>$E$1702</f>
        <v>ASHP-SEER21+-Replace_CAC_ElectricHeat_ROF_MF_CompE</v>
      </c>
      <c r="G2397" s="4347"/>
      <c r="H2397" s="4347"/>
      <c r="I2397" s="4347"/>
      <c r="J2397" s="3471" t="str">
        <f>$C$1702</f>
        <v>353701_2024_12_</v>
      </c>
      <c r="K2397" s="3263">
        <v>3.41</v>
      </c>
      <c r="L2397" s="3479"/>
      <c r="M2397" s="2962" t="s">
        <v>2501</v>
      </c>
      <c r="P2397" s="261"/>
      <c r="Q2397" s="209"/>
      <c r="R2397" s="261"/>
      <c r="S2397" s="52"/>
      <c r="T2397" s="181"/>
      <c r="U2397" s="52"/>
      <c r="V2397" s="4295"/>
      <c r="W2397" s="3262"/>
      <c r="X2397" s="3262"/>
      <c r="Y2397" s="3265">
        <v>3.41</v>
      </c>
      <c r="Z2397" s="3262">
        <v>3.41</v>
      </c>
      <c r="AA2397" s="3262">
        <v>3.41</v>
      </c>
      <c r="AB2397" s="3262">
        <v>3.41</v>
      </c>
      <c r="AC2397" s="3262">
        <v>3.41</v>
      </c>
      <c r="AD2397" s="3262">
        <v>3.41</v>
      </c>
      <c r="AE2397" s="3262">
        <v>3.41</v>
      </c>
      <c r="AF2397" s="2236">
        <f t="shared" si="298"/>
        <v>3.41</v>
      </c>
      <c r="AG2397" s="1396"/>
      <c r="DG2397" s="573"/>
      <c r="DH2397" s="159"/>
      <c r="DI2397" s="1091"/>
      <c r="DJ2397" s="1187"/>
    </row>
    <row r="2398" spans="1:114" ht="15" hidden="1" customHeight="1" outlineLevel="1">
      <c r="A2398" s="453"/>
      <c r="C2398" s="51"/>
      <c r="D2398" s="4295"/>
      <c r="E2398" s="4295"/>
      <c r="F2398" s="4347" t="str">
        <f>$E$1704</f>
        <v>ASHP-SEER21+-Replace_CAC_NonElectricHeat_ROF_MF</v>
      </c>
      <c r="G2398" s="4347"/>
      <c r="H2398" s="4347"/>
      <c r="I2398" s="4347"/>
      <c r="J2398" s="3471" t="str">
        <f>$C$1704</f>
        <v>353710_2024_12_</v>
      </c>
      <c r="K2398" s="3342">
        <v>0</v>
      </c>
      <c r="L2398" s="3479"/>
      <c r="M2398" s="2962" t="s">
        <v>2500</v>
      </c>
      <c r="P2398" s="261"/>
      <c r="Q2398" s="209"/>
      <c r="R2398" s="261"/>
      <c r="S2398" s="52"/>
      <c r="T2398" s="181"/>
      <c r="U2398" s="52"/>
      <c r="V2398" s="4295"/>
      <c r="W2398" s="3262"/>
      <c r="X2398" s="3262"/>
      <c r="Y2398" s="3265"/>
      <c r="Z2398" s="3262"/>
      <c r="AA2398" s="3262"/>
      <c r="AB2398" s="3262"/>
      <c r="AC2398" s="3279">
        <v>0</v>
      </c>
      <c r="AD2398" s="3267">
        <v>0</v>
      </c>
      <c r="AE2398" s="3267">
        <v>0</v>
      </c>
      <c r="AF2398" s="2236">
        <f t="shared" si="298"/>
        <v>0</v>
      </c>
      <c r="AG2398" s="1396"/>
      <c r="DG2398" s="573"/>
      <c r="DH2398" s="159"/>
      <c r="DI2398" s="1091"/>
      <c r="DJ2398" s="1187"/>
    </row>
    <row r="2399" spans="1:114" ht="15" hidden="1" customHeight="1" outlineLevel="1">
      <c r="A2399" s="453"/>
      <c r="C2399" s="51"/>
      <c r="D2399" s="4295"/>
      <c r="E2399" s="4295"/>
      <c r="F2399" s="4347" t="str">
        <f>$E$1706</f>
        <v>ASHP-SEER21+-Replace_CAC_NonElectricHeat_ROF_MF_CompE</v>
      </c>
      <c r="G2399" s="4347"/>
      <c r="H2399" s="4347"/>
      <c r="I2399" s="4347"/>
      <c r="J2399" s="3471" t="str">
        <f>$C$1706</f>
        <v>353711_2024_12_</v>
      </c>
      <c r="K2399" s="3342">
        <v>0</v>
      </c>
      <c r="L2399" s="3479"/>
      <c r="M2399" s="2962" t="s">
        <v>2500</v>
      </c>
      <c r="P2399" s="261"/>
      <c r="Q2399" s="209"/>
      <c r="R2399" s="261"/>
      <c r="S2399" s="52"/>
      <c r="T2399" s="181"/>
      <c r="U2399" s="52"/>
      <c r="V2399" s="4295"/>
      <c r="W2399" s="3262"/>
      <c r="X2399" s="3262"/>
      <c r="Y2399" s="3265"/>
      <c r="Z2399" s="3262"/>
      <c r="AA2399" s="3262"/>
      <c r="AB2399" s="3262"/>
      <c r="AC2399" s="3279">
        <v>0</v>
      </c>
      <c r="AD2399" s="3267">
        <v>0</v>
      </c>
      <c r="AE2399" s="3267">
        <v>0</v>
      </c>
      <c r="AF2399" s="2236">
        <f t="shared" si="298"/>
        <v>0</v>
      </c>
      <c r="AG2399" s="1396"/>
      <c r="DG2399" s="573"/>
      <c r="DH2399" s="159"/>
      <c r="DI2399" s="1091"/>
      <c r="DJ2399" s="1187"/>
    </row>
    <row r="2400" spans="1:114" ht="15" hidden="1" customHeight="1" outlineLevel="1">
      <c r="A2400" s="453"/>
      <c r="C2400" s="51"/>
      <c r="D2400" s="4295"/>
      <c r="E2400" s="4295"/>
      <c r="F2400" s="4307" t="str">
        <f>$E$1708</f>
        <v>ASHP-SEER17_ER1_SF</v>
      </c>
      <c r="G2400" s="4307"/>
      <c r="H2400" s="4307"/>
      <c r="I2400" s="4307"/>
      <c r="J2400" s="1029" t="str">
        <f>$C$1708</f>
        <v>353750_2024_12_</v>
      </c>
      <c r="K2400" s="1790">
        <v>6.58</v>
      </c>
      <c r="L2400" s="262"/>
      <c r="M2400" s="1442" t="s">
        <v>1949</v>
      </c>
      <c r="S2400" s="52"/>
      <c r="T2400" s="52"/>
      <c r="U2400" s="52"/>
      <c r="V2400" s="4295"/>
      <c r="W2400" s="1396">
        <v>5.44</v>
      </c>
      <c r="X2400" s="833">
        <v>6.58</v>
      </c>
      <c r="Y2400" s="1396">
        <v>6.58</v>
      </c>
      <c r="Z2400" s="1396">
        <v>6.58</v>
      </c>
      <c r="AA2400" s="1396">
        <v>6.58</v>
      </c>
      <c r="AB2400" s="1396">
        <v>6.58</v>
      </c>
      <c r="AC2400" s="1396">
        <v>6.58</v>
      </c>
      <c r="AD2400" s="1396">
        <v>6.58</v>
      </c>
      <c r="AE2400" s="1396">
        <v>6.58</v>
      </c>
      <c r="AF2400" s="271">
        <f t="shared" si="298"/>
        <v>6.58</v>
      </c>
      <c r="AG2400" s="1396"/>
      <c r="DG2400" s="573"/>
      <c r="DH2400" s="159"/>
      <c r="DI2400" s="1091"/>
      <c r="DJ2400" s="1187"/>
    </row>
    <row r="2401" spans="1:114" ht="15" hidden="1" customHeight="1" outlineLevel="1">
      <c r="A2401" s="453"/>
      <c r="C2401" s="51"/>
      <c r="D2401" s="4295"/>
      <c r="E2401" s="4295"/>
      <c r="F2401" s="4307" t="str">
        <f>$E$1710</f>
        <v>ASHP-SEER17_ER2_SF</v>
      </c>
      <c r="G2401" s="4307"/>
      <c r="H2401" s="4307"/>
      <c r="I2401" s="4307"/>
      <c r="J2401" s="1029" t="str">
        <f>$C$1710</f>
        <v>353750_2024_12_</v>
      </c>
      <c r="K2401" s="1794">
        <v>7.5</v>
      </c>
      <c r="L2401" s="262"/>
      <c r="M2401" s="1378" t="s">
        <v>1941</v>
      </c>
      <c r="P2401" s="261"/>
      <c r="Q2401" s="209"/>
      <c r="R2401" s="261"/>
      <c r="S2401" s="52"/>
      <c r="T2401" s="181"/>
      <c r="U2401" s="52"/>
      <c r="V2401" s="4295"/>
      <c r="W2401" s="1396">
        <v>8.1999999999999993</v>
      </c>
      <c r="X2401" s="1396">
        <v>8.1999999999999993</v>
      </c>
      <c r="Y2401" s="1396">
        <v>8.1999999999999993</v>
      </c>
      <c r="Z2401" s="1396">
        <v>8.1999999999999993</v>
      </c>
      <c r="AA2401" s="1396">
        <v>8.1999999999999993</v>
      </c>
      <c r="AB2401" s="1396">
        <v>8.1999999999999993</v>
      </c>
      <c r="AC2401" s="1396">
        <v>8.1999999999999993</v>
      </c>
      <c r="AD2401" s="1396">
        <v>8.1999999999999993</v>
      </c>
      <c r="AE2401" s="833">
        <v>8.6</v>
      </c>
      <c r="AF2401" s="271">
        <f t="shared" si="298"/>
        <v>7.5</v>
      </c>
      <c r="AG2401" s="1396"/>
      <c r="DG2401" s="573"/>
      <c r="DH2401" s="159"/>
      <c r="DI2401" s="1091"/>
      <c r="DJ2401" s="1187"/>
    </row>
    <row r="2402" spans="1:114" ht="15" hidden="1" customHeight="1" outlineLevel="1">
      <c r="A2402" s="453"/>
      <c r="C2402" s="51"/>
      <c r="D2402" s="4295"/>
      <c r="E2402" s="4295"/>
      <c r="F2402" s="4307" t="str">
        <f>$E$1712</f>
        <v>ASHP-SEER17_ROF_SF</v>
      </c>
      <c r="G2402" s="4307"/>
      <c r="H2402" s="4307"/>
      <c r="I2402" s="4307"/>
      <c r="J2402" s="1029" t="str">
        <f>$C$1712</f>
        <v>353800_2024_12_</v>
      </c>
      <c r="K2402" s="1794">
        <v>7.5</v>
      </c>
      <c r="L2402" s="262"/>
      <c r="M2402" s="1378" t="s">
        <v>1941</v>
      </c>
      <c r="S2402" s="52"/>
      <c r="T2402" s="52"/>
      <c r="U2402" s="52"/>
      <c r="V2402" s="4295"/>
      <c r="W2402" s="1396">
        <v>8.1999999999999993</v>
      </c>
      <c r="X2402" s="1396">
        <v>8.1999999999999993</v>
      </c>
      <c r="Y2402" s="1396">
        <v>8.1999999999999993</v>
      </c>
      <c r="Z2402" s="1396">
        <v>8.1999999999999993</v>
      </c>
      <c r="AA2402" s="1396">
        <v>8.1999999999999993</v>
      </c>
      <c r="AB2402" s="1396">
        <v>8.1999999999999993</v>
      </c>
      <c r="AC2402" s="1396">
        <v>8.1999999999999993</v>
      </c>
      <c r="AD2402" s="1396">
        <v>8.1999999999999993</v>
      </c>
      <c r="AE2402" s="833">
        <v>8.6</v>
      </c>
      <c r="AF2402" s="271">
        <f t="shared" si="298"/>
        <v>7.5</v>
      </c>
      <c r="AG2402" s="1396"/>
      <c r="DG2402" s="573"/>
      <c r="DH2402" s="159"/>
      <c r="DI2402" s="1091"/>
      <c r="DJ2402" s="1187"/>
    </row>
    <row r="2403" spans="1:114" ht="15" hidden="1" customHeight="1" outlineLevel="1">
      <c r="A2403" s="453"/>
      <c r="C2403" s="51"/>
      <c r="D2403" s="4295"/>
      <c r="E2403" s="4295"/>
      <c r="F2403" s="4307" t="str">
        <f>$E$1714</f>
        <v>ASHP-SEER18_ER1_SF</v>
      </c>
      <c r="G2403" s="4307"/>
      <c r="H2403" s="4307"/>
      <c r="I2403" s="4307"/>
      <c r="J2403" s="1029" t="str">
        <f>$C$1714</f>
        <v>353850_2024_12_</v>
      </c>
      <c r="K2403" s="1790">
        <v>6.58</v>
      </c>
      <c r="L2403" s="262"/>
      <c r="M2403" s="1442" t="s">
        <v>1949</v>
      </c>
      <c r="P2403" s="261"/>
      <c r="Q2403" s="209"/>
      <c r="R2403" s="261"/>
      <c r="S2403" s="52"/>
      <c r="T2403" s="181"/>
      <c r="U2403" s="52"/>
      <c r="V2403" s="4295"/>
      <c r="W2403" s="1396">
        <v>5.44</v>
      </c>
      <c r="X2403" s="833">
        <v>6.58</v>
      </c>
      <c r="Y2403" s="1396">
        <v>6.58</v>
      </c>
      <c r="Z2403" s="1396">
        <v>6.58</v>
      </c>
      <c r="AA2403" s="1396">
        <v>6.58</v>
      </c>
      <c r="AB2403" s="1396">
        <v>6.58</v>
      </c>
      <c r="AC2403" s="1396">
        <v>6.58</v>
      </c>
      <c r="AD2403" s="1396">
        <v>6.58</v>
      </c>
      <c r="AE2403" s="1396">
        <v>6.58</v>
      </c>
      <c r="AF2403" s="271">
        <f t="shared" si="298"/>
        <v>6.58</v>
      </c>
      <c r="AG2403" s="1396"/>
      <c r="DG2403" s="573"/>
      <c r="DH2403" s="159"/>
      <c r="DI2403" s="1091"/>
      <c r="DJ2403" s="1187"/>
    </row>
    <row r="2404" spans="1:114" ht="15" hidden="1" customHeight="1" outlineLevel="1">
      <c r="A2404" s="453"/>
      <c r="C2404" s="51"/>
      <c r="D2404" s="4295"/>
      <c r="E2404" s="4295"/>
      <c r="F2404" s="4307" t="str">
        <f>$E$1716</f>
        <v>ASHP-SEER18_ER2_SF</v>
      </c>
      <c r="G2404" s="4307"/>
      <c r="H2404" s="4307"/>
      <c r="I2404" s="4307"/>
      <c r="J2404" s="1029" t="str">
        <f>$C$1716</f>
        <v>353850_2024_12_</v>
      </c>
      <c r="K2404" s="1794">
        <v>7.5</v>
      </c>
      <c r="L2404" s="262"/>
      <c r="M2404" s="1378" t="s">
        <v>1941</v>
      </c>
      <c r="S2404" s="52"/>
      <c r="T2404" s="52"/>
      <c r="U2404" s="52"/>
      <c r="V2404" s="4295"/>
      <c r="W2404" s="1396">
        <v>8.1999999999999993</v>
      </c>
      <c r="X2404" s="1396">
        <v>8.1999999999999993</v>
      </c>
      <c r="Y2404" s="1396">
        <v>8.1999999999999993</v>
      </c>
      <c r="Z2404" s="1396">
        <v>8.1999999999999993</v>
      </c>
      <c r="AA2404" s="1396">
        <v>8.1999999999999993</v>
      </c>
      <c r="AB2404" s="1396">
        <v>8.1999999999999993</v>
      </c>
      <c r="AC2404" s="1396">
        <v>8.1999999999999993</v>
      </c>
      <c r="AD2404" s="1396">
        <v>8.1999999999999993</v>
      </c>
      <c r="AE2404" s="833">
        <v>8.6</v>
      </c>
      <c r="AF2404" s="271">
        <f t="shared" si="298"/>
        <v>7.5</v>
      </c>
      <c r="AG2404" s="1396"/>
      <c r="DG2404" s="573"/>
      <c r="DH2404" s="159"/>
      <c r="DI2404" s="1091"/>
      <c r="DJ2404" s="1187"/>
    </row>
    <row r="2405" spans="1:114" ht="15" hidden="1" customHeight="1" outlineLevel="1">
      <c r="A2405" s="453"/>
      <c r="C2405" s="51"/>
      <c r="D2405" s="4295"/>
      <c r="E2405" s="4295"/>
      <c r="F2405" s="4307" t="str">
        <f>$E$1718</f>
        <v>ASHP-SEER18_ROF_SF</v>
      </c>
      <c r="G2405" s="4307"/>
      <c r="H2405" s="4307"/>
      <c r="I2405" s="4307"/>
      <c r="J2405" s="1029" t="str">
        <f>$C$1718</f>
        <v>353950_2024_12_</v>
      </c>
      <c r="K2405" s="1794">
        <v>7.5</v>
      </c>
      <c r="L2405" s="262"/>
      <c r="M2405" s="1378" t="s">
        <v>1941</v>
      </c>
      <c r="P2405" s="261"/>
      <c r="Q2405" s="209"/>
      <c r="R2405" s="261"/>
      <c r="S2405" s="52"/>
      <c r="T2405" s="181"/>
      <c r="U2405" s="52"/>
      <c r="V2405" s="4295"/>
      <c r="W2405" s="1396">
        <v>8.1999999999999993</v>
      </c>
      <c r="X2405" s="1396">
        <v>8.1999999999999993</v>
      </c>
      <c r="Y2405" s="1396">
        <v>8.1999999999999993</v>
      </c>
      <c r="Z2405" s="1396">
        <v>8.1999999999999993</v>
      </c>
      <c r="AA2405" s="1396">
        <v>8.1999999999999993</v>
      </c>
      <c r="AB2405" s="1396">
        <v>8.1999999999999993</v>
      </c>
      <c r="AC2405" s="1396">
        <v>8.1999999999999993</v>
      </c>
      <c r="AD2405" s="1396">
        <v>8.1999999999999993</v>
      </c>
      <c r="AE2405" s="833">
        <v>8.6</v>
      </c>
      <c r="AF2405" s="271">
        <f t="shared" si="298"/>
        <v>7.5</v>
      </c>
      <c r="AG2405" s="1396"/>
      <c r="DG2405" s="573"/>
      <c r="DH2405" s="159"/>
      <c r="DI2405" s="1091"/>
      <c r="DJ2405" s="1187"/>
    </row>
    <row r="2406" spans="1:114" ht="15" hidden="1" customHeight="1" outlineLevel="1">
      <c r="A2406" s="453"/>
      <c r="C2406" s="51"/>
      <c r="D2406" s="4295"/>
      <c r="E2406" s="4295"/>
      <c r="F2406" s="4307" t="str">
        <f>$E$1720</f>
        <v>ASHP-SEER19_ER1_SF</v>
      </c>
      <c r="G2406" s="4307"/>
      <c r="H2406" s="4307"/>
      <c r="I2406" s="4307"/>
      <c r="J2406" s="1029" t="str">
        <f>$C$1720</f>
        <v>354000_2024_12_</v>
      </c>
      <c r="K2406" s="1790">
        <v>6.58</v>
      </c>
      <c r="L2406" s="262"/>
      <c r="M2406" s="1442" t="s">
        <v>1949</v>
      </c>
      <c r="P2406" s="261"/>
      <c r="Q2406" s="209"/>
      <c r="R2406" s="261"/>
      <c r="S2406" s="52"/>
      <c r="T2406" s="181"/>
      <c r="U2406" s="52"/>
      <c r="V2406" s="4295"/>
      <c r="W2406" s="1396">
        <v>5.44</v>
      </c>
      <c r="X2406" s="833">
        <v>6.58</v>
      </c>
      <c r="Y2406" s="1396">
        <v>6.58</v>
      </c>
      <c r="Z2406" s="1396">
        <v>6.58</v>
      </c>
      <c r="AA2406" s="1396">
        <v>6.58</v>
      </c>
      <c r="AB2406" s="1396">
        <v>6.58</v>
      </c>
      <c r="AC2406" s="1396">
        <v>6.58</v>
      </c>
      <c r="AD2406" s="1396">
        <v>6.58</v>
      </c>
      <c r="AE2406" s="1396">
        <v>6.58</v>
      </c>
      <c r="AF2406" s="271">
        <f t="shared" si="298"/>
        <v>6.58</v>
      </c>
      <c r="AG2406" s="1396"/>
      <c r="DG2406" s="573"/>
      <c r="DH2406" s="159"/>
      <c r="DI2406" s="1091"/>
      <c r="DJ2406" s="1187"/>
    </row>
    <row r="2407" spans="1:114" ht="15" hidden="1" customHeight="1" outlineLevel="1">
      <c r="A2407" s="453"/>
      <c r="C2407" s="51"/>
      <c r="D2407" s="4295"/>
      <c r="E2407" s="4295"/>
      <c r="F2407" s="4307" t="str">
        <f>$E$1722</f>
        <v>ASHP-SEER19_ER2_SF</v>
      </c>
      <c r="G2407" s="4307"/>
      <c r="H2407" s="4307"/>
      <c r="I2407" s="4307"/>
      <c r="J2407" s="1029" t="str">
        <f>$C$1722</f>
        <v>354000_2024_12_</v>
      </c>
      <c r="K2407" s="1794">
        <v>7.5</v>
      </c>
      <c r="L2407" s="262"/>
      <c r="M2407" s="1378" t="s">
        <v>1941</v>
      </c>
      <c r="S2407" s="52"/>
      <c r="T2407" s="52"/>
      <c r="U2407" s="52"/>
      <c r="V2407" s="4295"/>
      <c r="W2407" s="1396">
        <v>8.1999999999999993</v>
      </c>
      <c r="X2407" s="1396">
        <v>8.1999999999999993</v>
      </c>
      <c r="Y2407" s="1396">
        <v>8.1999999999999993</v>
      </c>
      <c r="Z2407" s="1396">
        <v>8.1999999999999993</v>
      </c>
      <c r="AA2407" s="1396">
        <v>8.1999999999999993</v>
      </c>
      <c r="AB2407" s="1396">
        <v>8.1999999999999993</v>
      </c>
      <c r="AC2407" s="1396">
        <v>8.1999999999999993</v>
      </c>
      <c r="AD2407" s="1396">
        <v>8.1999999999999993</v>
      </c>
      <c r="AE2407" s="833">
        <v>8.6</v>
      </c>
      <c r="AF2407" s="271">
        <f t="shared" si="298"/>
        <v>7.5</v>
      </c>
      <c r="AG2407" s="1396"/>
      <c r="DG2407" s="573"/>
      <c r="DH2407" s="159"/>
      <c r="DI2407" s="1091"/>
      <c r="DJ2407" s="1187"/>
    </row>
    <row r="2408" spans="1:114" ht="15" hidden="1" customHeight="1" outlineLevel="1">
      <c r="A2408" s="453"/>
      <c r="C2408" s="51"/>
      <c r="D2408" s="4295"/>
      <c r="E2408" s="4295"/>
      <c r="F2408" s="4307" t="str">
        <f>$E$1724</f>
        <v>ASHP-SEER19_ROF_SF</v>
      </c>
      <c r="G2408" s="4307"/>
      <c r="H2408" s="4307"/>
      <c r="I2408" s="4307"/>
      <c r="J2408" s="1029" t="str">
        <f>$C$1724</f>
        <v>354050_2024_12_</v>
      </c>
      <c r="K2408" s="1794">
        <v>7.5</v>
      </c>
      <c r="L2408" s="262"/>
      <c r="M2408" s="1378" t="s">
        <v>1941</v>
      </c>
      <c r="S2408" s="52"/>
      <c r="T2408" s="52"/>
      <c r="U2408" s="52"/>
      <c r="V2408" s="4295"/>
      <c r="W2408" s="1396">
        <v>8.1999999999999993</v>
      </c>
      <c r="X2408" s="1396">
        <v>8.1999999999999993</v>
      </c>
      <c r="Y2408" s="1396">
        <v>8.1999999999999993</v>
      </c>
      <c r="Z2408" s="1396">
        <v>8.1999999999999993</v>
      </c>
      <c r="AA2408" s="1396">
        <v>8.1999999999999993</v>
      </c>
      <c r="AB2408" s="1396">
        <v>8.1999999999999993</v>
      </c>
      <c r="AC2408" s="1396">
        <v>8.1999999999999993</v>
      </c>
      <c r="AD2408" s="1396">
        <v>8.1999999999999993</v>
      </c>
      <c r="AE2408" s="833">
        <v>8.6</v>
      </c>
      <c r="AF2408" s="271">
        <f t="shared" si="298"/>
        <v>7.5</v>
      </c>
      <c r="AG2408" s="1396"/>
      <c r="DG2408" s="573"/>
      <c r="DH2408" s="159"/>
      <c r="DI2408" s="1091"/>
      <c r="DJ2408" s="1187"/>
    </row>
    <row r="2409" spans="1:114" ht="15" hidden="1" customHeight="1" outlineLevel="1">
      <c r="A2409" s="453"/>
      <c r="C2409" s="51"/>
      <c r="D2409" s="4295"/>
      <c r="E2409" s="4295"/>
      <c r="F2409" s="4307" t="str">
        <f>$E$1726</f>
        <v>ASHP-SEER17-Replace_CAC_ElectricHeat_ER1_SF</v>
      </c>
      <c r="G2409" s="4307"/>
      <c r="H2409" s="4307"/>
      <c r="I2409" s="4307"/>
      <c r="J2409" s="1029" t="str">
        <f>$C$1726</f>
        <v>354100_2024_12_</v>
      </c>
      <c r="K2409" s="1790">
        <v>3.41</v>
      </c>
      <c r="L2409" s="262"/>
      <c r="M2409" s="1442" t="s">
        <v>1949</v>
      </c>
      <c r="S2409" s="52"/>
      <c r="T2409" s="52"/>
      <c r="U2409" s="52"/>
      <c r="V2409" s="4295"/>
      <c r="W2409" s="1396">
        <v>3.41</v>
      </c>
      <c r="X2409" s="1396">
        <v>3.41</v>
      </c>
      <c r="Y2409" s="1396">
        <v>3.41</v>
      </c>
      <c r="Z2409" s="1396">
        <v>3.41</v>
      </c>
      <c r="AA2409" s="1396">
        <v>3.41</v>
      </c>
      <c r="AB2409" s="1396">
        <v>3.41</v>
      </c>
      <c r="AC2409" s="1396">
        <v>3.41</v>
      </c>
      <c r="AD2409" s="1396">
        <v>3.41</v>
      </c>
      <c r="AE2409" s="1396">
        <v>3.41</v>
      </c>
      <c r="AF2409" s="271">
        <f t="shared" si="298"/>
        <v>3.41</v>
      </c>
      <c r="AG2409" s="1396"/>
      <c r="DG2409" s="573"/>
      <c r="DH2409" s="159"/>
      <c r="DI2409" s="1091"/>
      <c r="DJ2409" s="1187"/>
    </row>
    <row r="2410" spans="1:114" ht="15" hidden="1" customHeight="1" outlineLevel="1">
      <c r="A2410" s="453"/>
      <c r="C2410" s="51"/>
      <c r="D2410" s="4295"/>
      <c r="E2410" s="4295"/>
      <c r="F2410" s="4307" t="str">
        <f>$E$1728</f>
        <v>ASHP-SEER17-Replace_CAC_ElectricHeat_ER2_SF</v>
      </c>
      <c r="G2410" s="4307"/>
      <c r="H2410" s="4307"/>
      <c r="I2410" s="4307"/>
      <c r="J2410" s="1029" t="str">
        <f>$C$1728</f>
        <v>354100_2024_12_</v>
      </c>
      <c r="K2410" s="1790">
        <v>3.41</v>
      </c>
      <c r="L2410" s="262"/>
      <c r="M2410" s="1442" t="s">
        <v>1949</v>
      </c>
      <c r="S2410" s="52"/>
      <c r="T2410" s="52"/>
      <c r="U2410" s="52"/>
      <c r="V2410" s="4295"/>
      <c r="W2410" s="1396">
        <v>3.41</v>
      </c>
      <c r="X2410" s="1396">
        <v>3.41</v>
      </c>
      <c r="Y2410" s="1396">
        <v>3.41</v>
      </c>
      <c r="Z2410" s="1396">
        <v>3.41</v>
      </c>
      <c r="AA2410" s="1396">
        <v>3.41</v>
      </c>
      <c r="AB2410" s="1396">
        <v>3.41</v>
      </c>
      <c r="AC2410" s="1396">
        <v>3.41</v>
      </c>
      <c r="AD2410" s="1396">
        <v>3.41</v>
      </c>
      <c r="AE2410" s="1396">
        <v>3.41</v>
      </c>
      <c r="AF2410" s="271">
        <f t="shared" si="298"/>
        <v>3.41</v>
      </c>
      <c r="AG2410" s="1396"/>
      <c r="DG2410" s="573"/>
      <c r="DH2410" s="159"/>
      <c r="DI2410" s="1091"/>
      <c r="DJ2410" s="1187"/>
    </row>
    <row r="2411" spans="1:114" ht="15" hidden="1" customHeight="1" outlineLevel="1">
      <c r="A2411" s="453"/>
      <c r="C2411" s="51"/>
      <c r="D2411" s="4295"/>
      <c r="E2411" s="4295"/>
      <c r="F2411" s="4307" t="str">
        <f>$E$1730</f>
        <v>ASHP-SEER17-Replace_CAC_NonElectricHeat_ER1_SF</v>
      </c>
      <c r="G2411" s="4307"/>
      <c r="H2411" s="4307"/>
      <c r="I2411" s="4307"/>
      <c r="J2411" s="1029" t="str">
        <f>$C$1730</f>
        <v>354110_2024_12_</v>
      </c>
      <c r="K2411" s="1793">
        <v>0</v>
      </c>
      <c r="L2411" s="262"/>
      <c r="M2411" s="1442" t="s">
        <v>2500</v>
      </c>
      <c r="S2411" s="52"/>
      <c r="T2411" s="52"/>
      <c r="U2411" s="52"/>
      <c r="V2411" s="4295"/>
      <c r="W2411" s="1396"/>
      <c r="X2411" s="1396"/>
      <c r="Y2411" s="1396"/>
      <c r="Z2411" s="1396"/>
      <c r="AA2411" s="1396"/>
      <c r="AB2411" s="1396"/>
      <c r="AC2411" s="825">
        <v>0</v>
      </c>
      <c r="AD2411" s="802">
        <v>0</v>
      </c>
      <c r="AE2411" s="802">
        <v>0</v>
      </c>
      <c r="AF2411" s="271">
        <f t="shared" si="298"/>
        <v>0</v>
      </c>
      <c r="AG2411" s="1396"/>
      <c r="DG2411" s="573"/>
      <c r="DH2411" s="159"/>
      <c r="DI2411" s="1091"/>
      <c r="DJ2411" s="1187"/>
    </row>
    <row r="2412" spans="1:114" ht="15" hidden="1" customHeight="1" outlineLevel="1">
      <c r="A2412" s="453"/>
      <c r="C2412" s="51"/>
      <c r="D2412" s="4295"/>
      <c r="E2412" s="4295"/>
      <c r="F2412" s="4307" t="str">
        <f>$E$1732</f>
        <v>ASHP-SEER17-Replace_CAC_NonElectricHeat_ER2_SF</v>
      </c>
      <c r="G2412" s="4307"/>
      <c r="H2412" s="4307"/>
      <c r="I2412" s="4307"/>
      <c r="J2412" s="1029" t="str">
        <f>$C$1732</f>
        <v>354110_2024_12_</v>
      </c>
      <c r="K2412" s="1793">
        <v>0</v>
      </c>
      <c r="L2412" s="262"/>
      <c r="M2412" s="1442" t="s">
        <v>2500</v>
      </c>
      <c r="S2412" s="52"/>
      <c r="T2412" s="52"/>
      <c r="U2412" s="52"/>
      <c r="V2412" s="4295"/>
      <c r="W2412" s="1396"/>
      <c r="X2412" s="1396"/>
      <c r="Y2412" s="1396"/>
      <c r="Z2412" s="1396"/>
      <c r="AA2412" s="1396"/>
      <c r="AB2412" s="1396"/>
      <c r="AC2412" s="825">
        <v>0</v>
      </c>
      <c r="AD2412" s="802">
        <v>0</v>
      </c>
      <c r="AE2412" s="802">
        <v>0</v>
      </c>
      <c r="AF2412" s="271">
        <f t="shared" si="298"/>
        <v>0</v>
      </c>
      <c r="AG2412" s="1396"/>
      <c r="DG2412" s="573"/>
      <c r="DH2412" s="159"/>
      <c r="DI2412" s="1091"/>
      <c r="DJ2412" s="1187"/>
    </row>
    <row r="2413" spans="1:114" ht="15" hidden="1" customHeight="1" outlineLevel="1">
      <c r="A2413" s="453"/>
      <c r="C2413" s="51"/>
      <c r="D2413" s="4295"/>
      <c r="E2413" s="4295"/>
      <c r="F2413" s="4307" t="str">
        <f>$E$1734</f>
        <v>ASHP-SEER17-Replace_CAC_ElectricHeat_ER1_MF</v>
      </c>
      <c r="G2413" s="4307"/>
      <c r="H2413" s="4307"/>
      <c r="I2413" s="4307"/>
      <c r="J2413" s="1029" t="str">
        <f>$C$1734</f>
        <v>354150_2024_12_</v>
      </c>
      <c r="K2413" s="1790">
        <v>3.41</v>
      </c>
      <c r="L2413" s="262"/>
      <c r="M2413" s="1442" t="s">
        <v>2501</v>
      </c>
      <c r="S2413" s="52"/>
      <c r="T2413" s="52"/>
      <c r="U2413" s="52"/>
      <c r="V2413" s="4295"/>
      <c r="W2413" s="1396">
        <v>3.41</v>
      </c>
      <c r="X2413" s="1396">
        <v>3.41</v>
      </c>
      <c r="Y2413" s="1396">
        <v>3.41</v>
      </c>
      <c r="Z2413" s="1396">
        <v>3.41</v>
      </c>
      <c r="AA2413" s="1396">
        <v>3.41</v>
      </c>
      <c r="AB2413" s="1396">
        <v>3.41</v>
      </c>
      <c r="AC2413" s="1396">
        <v>3.41</v>
      </c>
      <c r="AD2413" s="1396">
        <v>3.41</v>
      </c>
      <c r="AE2413" s="1396">
        <v>3.41</v>
      </c>
      <c r="AF2413" s="271">
        <f t="shared" si="298"/>
        <v>3.41</v>
      </c>
      <c r="AG2413" s="1396"/>
      <c r="DG2413" s="573"/>
      <c r="DH2413" s="159"/>
      <c r="DI2413" s="1091"/>
      <c r="DJ2413" s="1187"/>
    </row>
    <row r="2414" spans="1:114" ht="15" hidden="1" customHeight="1" outlineLevel="1">
      <c r="A2414" s="453"/>
      <c r="C2414" s="51"/>
      <c r="D2414" s="4295"/>
      <c r="E2414" s="4295"/>
      <c r="F2414" s="4307" t="str">
        <f>$E$1736</f>
        <v>ASHP-SEER17-Replace_CAC_ElectricHeat_ER2_MF</v>
      </c>
      <c r="G2414" s="4307"/>
      <c r="H2414" s="4307"/>
      <c r="I2414" s="4307"/>
      <c r="J2414" s="1029" t="str">
        <f>$C$1736</f>
        <v>354150_2024_12_</v>
      </c>
      <c r="K2414" s="1790">
        <v>3.41</v>
      </c>
      <c r="L2414" s="262"/>
      <c r="M2414" s="1442" t="s">
        <v>2501</v>
      </c>
      <c r="S2414" s="52"/>
      <c r="T2414" s="52"/>
      <c r="U2414" s="52"/>
      <c r="V2414" s="4295"/>
      <c r="W2414" s="1396">
        <v>3.41</v>
      </c>
      <c r="X2414" s="1396">
        <v>3.41</v>
      </c>
      <c r="Y2414" s="1396">
        <v>3.41</v>
      </c>
      <c r="Z2414" s="1396">
        <v>3.41</v>
      </c>
      <c r="AA2414" s="1396">
        <v>3.41</v>
      </c>
      <c r="AB2414" s="1396">
        <v>3.41</v>
      </c>
      <c r="AC2414" s="1396">
        <v>3.41</v>
      </c>
      <c r="AD2414" s="1396">
        <v>3.41</v>
      </c>
      <c r="AE2414" s="1396">
        <v>3.41</v>
      </c>
      <c r="AF2414" s="271">
        <f t="shared" si="298"/>
        <v>3.41</v>
      </c>
      <c r="AG2414" s="1396"/>
      <c r="DG2414" s="573"/>
      <c r="DH2414" s="159"/>
      <c r="DI2414" s="1091"/>
      <c r="DJ2414" s="1187"/>
    </row>
    <row r="2415" spans="1:114" ht="15" hidden="1" customHeight="1" outlineLevel="1">
      <c r="A2415" s="453"/>
      <c r="C2415" s="51"/>
      <c r="D2415" s="4295"/>
      <c r="E2415" s="4295"/>
      <c r="F2415" s="4347" t="str">
        <f>$E$1738</f>
        <v>ASHP-SEER17-Replace_CAC_ElectricHeat_ER1_MF_CompE</v>
      </c>
      <c r="G2415" s="4347"/>
      <c r="H2415" s="4347"/>
      <c r="I2415" s="4347"/>
      <c r="J2415" s="3471" t="str">
        <f>$C$1738</f>
        <v>354151_2024_12_</v>
      </c>
      <c r="K2415" s="3263">
        <v>3.41</v>
      </c>
      <c r="L2415" s="3479"/>
      <c r="M2415" s="2962" t="s">
        <v>2501</v>
      </c>
      <c r="S2415" s="52"/>
      <c r="T2415" s="52"/>
      <c r="U2415" s="52"/>
      <c r="V2415" s="4295"/>
      <c r="W2415" s="3262"/>
      <c r="X2415" s="3262"/>
      <c r="Y2415" s="3265">
        <v>3.41</v>
      </c>
      <c r="Z2415" s="3262">
        <v>3.41</v>
      </c>
      <c r="AA2415" s="3262">
        <v>3.41</v>
      </c>
      <c r="AB2415" s="3262">
        <v>3.41</v>
      </c>
      <c r="AC2415" s="3262">
        <v>3.41</v>
      </c>
      <c r="AD2415" s="3262">
        <v>3.41</v>
      </c>
      <c r="AE2415" s="3262">
        <v>3.41</v>
      </c>
      <c r="AF2415" s="2236">
        <f t="shared" si="298"/>
        <v>3.41</v>
      </c>
      <c r="AG2415" s="1396"/>
      <c r="DG2415" s="573"/>
      <c r="DH2415" s="159"/>
      <c r="DI2415" s="1091"/>
      <c r="DJ2415" s="1187"/>
    </row>
    <row r="2416" spans="1:114" ht="15" hidden="1" customHeight="1" outlineLevel="1">
      <c r="A2416" s="453"/>
      <c r="C2416" s="51"/>
      <c r="D2416" s="4295"/>
      <c r="E2416" s="4295"/>
      <c r="F2416" s="4347" t="str">
        <f>$E$1740</f>
        <v>ASHP-SEER17-Replace_CAC_ElectricHeat_ER2_MF_CompE</v>
      </c>
      <c r="G2416" s="4347"/>
      <c r="H2416" s="4347"/>
      <c r="I2416" s="4347"/>
      <c r="J2416" s="3471" t="str">
        <f>$C$1740</f>
        <v>354151_2024_12_</v>
      </c>
      <c r="K2416" s="3263">
        <v>3.41</v>
      </c>
      <c r="L2416" s="3479"/>
      <c r="M2416" s="2962" t="s">
        <v>2501</v>
      </c>
      <c r="S2416" s="52"/>
      <c r="T2416" s="52"/>
      <c r="U2416" s="52"/>
      <c r="V2416" s="4295"/>
      <c r="W2416" s="3262"/>
      <c r="X2416" s="3262"/>
      <c r="Y2416" s="3265">
        <v>3.41</v>
      </c>
      <c r="Z2416" s="3262">
        <v>3.41</v>
      </c>
      <c r="AA2416" s="3262">
        <v>3.41</v>
      </c>
      <c r="AB2416" s="3262">
        <v>3.41</v>
      </c>
      <c r="AC2416" s="3262">
        <v>3.41</v>
      </c>
      <c r="AD2416" s="3262">
        <v>3.41</v>
      </c>
      <c r="AE2416" s="3262">
        <v>3.41</v>
      </c>
      <c r="AF2416" s="2236">
        <f t="shared" si="298"/>
        <v>3.41</v>
      </c>
      <c r="AG2416" s="1396"/>
      <c r="DG2416" s="573"/>
      <c r="DH2416" s="159"/>
      <c r="DI2416" s="1091"/>
      <c r="DJ2416" s="1187"/>
    </row>
    <row r="2417" spans="1:114" ht="15" hidden="1" customHeight="1" outlineLevel="1">
      <c r="A2417" s="453"/>
      <c r="C2417" s="51"/>
      <c r="D2417" s="4295"/>
      <c r="E2417" s="4295"/>
      <c r="F2417" s="4347" t="str">
        <f>$E$1742</f>
        <v>ASHP-SEER17-Replace_CAC_NonElectricHeat_ER1_MF</v>
      </c>
      <c r="G2417" s="4347"/>
      <c r="H2417" s="4347"/>
      <c r="I2417" s="4347"/>
      <c r="J2417" s="3471" t="str">
        <f>$C$1742</f>
        <v>354160_2024_12_</v>
      </c>
      <c r="K2417" s="3342">
        <v>0</v>
      </c>
      <c r="L2417" s="3479"/>
      <c r="M2417" s="2962" t="s">
        <v>2500</v>
      </c>
      <c r="S2417" s="52"/>
      <c r="T2417" s="52"/>
      <c r="U2417" s="52"/>
      <c r="V2417" s="4295"/>
      <c r="W2417" s="3262"/>
      <c r="X2417" s="3262"/>
      <c r="Y2417" s="3265"/>
      <c r="Z2417" s="3262"/>
      <c r="AA2417" s="3262"/>
      <c r="AB2417" s="3262"/>
      <c r="AC2417" s="3279">
        <v>0</v>
      </c>
      <c r="AD2417" s="3267">
        <v>0</v>
      </c>
      <c r="AE2417" s="3267">
        <v>0</v>
      </c>
      <c r="AF2417" s="2236">
        <f t="shared" si="298"/>
        <v>0</v>
      </c>
      <c r="AG2417" s="1396"/>
      <c r="DG2417" s="573"/>
      <c r="DH2417" s="159"/>
      <c r="DI2417" s="1091"/>
      <c r="DJ2417" s="1187"/>
    </row>
    <row r="2418" spans="1:114" ht="15" hidden="1" customHeight="1" outlineLevel="1">
      <c r="A2418" s="453"/>
      <c r="C2418" s="51"/>
      <c r="D2418" s="4295"/>
      <c r="E2418" s="4295"/>
      <c r="F2418" s="4347" t="str">
        <f>$E$1744</f>
        <v>ASHP-SEER17-Replace_CAC_NonElectricHeat_ER2_MF</v>
      </c>
      <c r="G2418" s="4347"/>
      <c r="H2418" s="4347"/>
      <c r="I2418" s="4347"/>
      <c r="J2418" s="3471" t="str">
        <f>$C$1744</f>
        <v>354160_2024_12_</v>
      </c>
      <c r="K2418" s="3342">
        <v>0</v>
      </c>
      <c r="L2418" s="3479"/>
      <c r="M2418" s="2962" t="s">
        <v>2500</v>
      </c>
      <c r="S2418" s="52"/>
      <c r="T2418" s="52"/>
      <c r="U2418" s="52"/>
      <c r="V2418" s="4295"/>
      <c r="W2418" s="3262"/>
      <c r="X2418" s="3262"/>
      <c r="Y2418" s="3265"/>
      <c r="Z2418" s="3262"/>
      <c r="AA2418" s="3262"/>
      <c r="AB2418" s="3262"/>
      <c r="AC2418" s="3279">
        <v>0</v>
      </c>
      <c r="AD2418" s="3267">
        <v>0</v>
      </c>
      <c r="AE2418" s="3267">
        <v>0</v>
      </c>
      <c r="AF2418" s="2236">
        <f t="shared" si="298"/>
        <v>0</v>
      </c>
      <c r="AG2418" s="1396"/>
      <c r="DG2418" s="573"/>
      <c r="DH2418" s="159"/>
      <c r="DI2418" s="1091"/>
      <c r="DJ2418" s="1187"/>
    </row>
    <row r="2419" spans="1:114" ht="15" hidden="1" customHeight="1" outlineLevel="1">
      <c r="A2419" s="453"/>
      <c r="C2419" s="51"/>
      <c r="D2419" s="4295"/>
      <c r="E2419" s="4295"/>
      <c r="F2419" s="4347" t="str">
        <f>$E$1746</f>
        <v>ASHP-SEER17-Replace_CAC_NonElectricHeat_ER1_MF_CompE</v>
      </c>
      <c r="G2419" s="4347"/>
      <c r="H2419" s="4347"/>
      <c r="I2419" s="4347"/>
      <c r="J2419" s="3471" t="str">
        <f>$C$1746</f>
        <v>354161_2024_12_</v>
      </c>
      <c r="K2419" s="3342">
        <v>0</v>
      </c>
      <c r="L2419" s="3479"/>
      <c r="M2419" s="2962" t="s">
        <v>2500</v>
      </c>
      <c r="S2419" s="52"/>
      <c r="T2419" s="52"/>
      <c r="U2419" s="52"/>
      <c r="V2419" s="4295"/>
      <c r="W2419" s="3262"/>
      <c r="X2419" s="3262"/>
      <c r="Y2419" s="3265"/>
      <c r="Z2419" s="3262"/>
      <c r="AA2419" s="3262"/>
      <c r="AB2419" s="3262"/>
      <c r="AC2419" s="3279">
        <v>0</v>
      </c>
      <c r="AD2419" s="3267">
        <v>0</v>
      </c>
      <c r="AE2419" s="3267">
        <v>0</v>
      </c>
      <c r="AF2419" s="2236">
        <f t="shared" si="298"/>
        <v>0</v>
      </c>
      <c r="AG2419" s="1396"/>
      <c r="DG2419" s="573"/>
      <c r="DH2419" s="159"/>
      <c r="DI2419" s="1091"/>
      <c r="DJ2419" s="1187"/>
    </row>
    <row r="2420" spans="1:114" ht="15" hidden="1" customHeight="1" outlineLevel="1">
      <c r="A2420" s="453"/>
      <c r="C2420" s="51"/>
      <c r="D2420" s="4295"/>
      <c r="E2420" s="4295"/>
      <c r="F2420" s="4347" t="str">
        <f>$E$1748</f>
        <v>ASHP-SEER17-Replace_CAC_NonElectricHeat_ER2_MF_CompE</v>
      </c>
      <c r="G2420" s="4347"/>
      <c r="H2420" s="4347"/>
      <c r="I2420" s="4347"/>
      <c r="J2420" s="3471" t="str">
        <f>$C$1748</f>
        <v>354161_2024_12_</v>
      </c>
      <c r="K2420" s="3342">
        <v>0</v>
      </c>
      <c r="L2420" s="3479"/>
      <c r="M2420" s="2962" t="s">
        <v>2500</v>
      </c>
      <c r="S2420" s="52"/>
      <c r="T2420" s="52"/>
      <c r="U2420" s="52"/>
      <c r="V2420" s="4295"/>
      <c r="W2420" s="3262"/>
      <c r="X2420" s="3262"/>
      <c r="Y2420" s="3265"/>
      <c r="Z2420" s="3262"/>
      <c r="AA2420" s="3262"/>
      <c r="AB2420" s="3262"/>
      <c r="AC2420" s="3279">
        <v>0</v>
      </c>
      <c r="AD2420" s="3267">
        <v>0</v>
      </c>
      <c r="AE2420" s="3267">
        <v>0</v>
      </c>
      <c r="AF2420" s="2236">
        <f t="shared" si="298"/>
        <v>0</v>
      </c>
      <c r="AG2420" s="1396"/>
      <c r="DG2420" s="573"/>
      <c r="DH2420" s="159"/>
      <c r="DI2420" s="1091"/>
      <c r="DJ2420" s="1187"/>
    </row>
    <row r="2421" spans="1:114" ht="15" hidden="1" customHeight="1" outlineLevel="1">
      <c r="A2421" s="453"/>
      <c r="C2421" s="51"/>
      <c r="D2421" s="4295"/>
      <c r="E2421" s="4295"/>
      <c r="F2421" s="4307" t="str">
        <f>$E$1750</f>
        <v>ASHP-SEER17_ER1_MF</v>
      </c>
      <c r="G2421" s="4307"/>
      <c r="H2421" s="4307"/>
      <c r="I2421" s="4307"/>
      <c r="J2421" s="1029" t="str">
        <f>$C$1750</f>
        <v>354200_2024_12_</v>
      </c>
      <c r="K2421" s="1790">
        <v>6.58</v>
      </c>
      <c r="L2421" s="262"/>
      <c r="M2421" s="1442" t="s">
        <v>2501</v>
      </c>
      <c r="S2421" s="52"/>
      <c r="T2421" s="52"/>
      <c r="U2421" s="52"/>
      <c r="V2421" s="4295"/>
      <c r="W2421" s="1396">
        <v>5.44</v>
      </c>
      <c r="X2421" s="833">
        <v>6.58</v>
      </c>
      <c r="Y2421" s="1396">
        <v>6.58</v>
      </c>
      <c r="Z2421" s="1396">
        <v>6.58</v>
      </c>
      <c r="AA2421" s="1396">
        <v>6.58</v>
      </c>
      <c r="AB2421" s="1396">
        <v>6.58</v>
      </c>
      <c r="AC2421" s="1396">
        <v>6.58</v>
      </c>
      <c r="AD2421" s="1396">
        <v>6.58</v>
      </c>
      <c r="AE2421" s="1396">
        <v>6.58</v>
      </c>
      <c r="AF2421" s="271">
        <f t="shared" si="298"/>
        <v>6.58</v>
      </c>
      <c r="AG2421" s="1396"/>
      <c r="DG2421" s="573"/>
      <c r="DH2421" s="159"/>
      <c r="DI2421" s="1091"/>
      <c r="DJ2421" s="1187"/>
    </row>
    <row r="2422" spans="1:114" ht="15" hidden="1" customHeight="1" outlineLevel="1">
      <c r="A2422" s="453"/>
      <c r="C2422" s="51"/>
      <c r="D2422" s="4295"/>
      <c r="E2422" s="4295"/>
      <c r="F2422" s="4307" t="str">
        <f>$E$1752</f>
        <v>ASHP-SEER17_ER2_MF</v>
      </c>
      <c r="G2422" s="4307"/>
      <c r="H2422" s="4307"/>
      <c r="I2422" s="4307"/>
      <c r="J2422" s="1029" t="str">
        <f>$C$1752</f>
        <v>354200_2024_12_</v>
      </c>
      <c r="K2422" s="1794">
        <v>7.5</v>
      </c>
      <c r="L2422" s="262"/>
      <c r="M2422" s="1378" t="s">
        <v>1941</v>
      </c>
      <c r="S2422" s="52"/>
      <c r="T2422" s="52"/>
      <c r="U2422" s="52"/>
      <c r="V2422" s="4295"/>
      <c r="W2422" s="1396">
        <v>8.1999999999999993</v>
      </c>
      <c r="X2422" s="1396">
        <v>8.1999999999999993</v>
      </c>
      <c r="Y2422" s="1396">
        <v>8.1999999999999993</v>
      </c>
      <c r="Z2422" s="1396">
        <v>8.1999999999999993</v>
      </c>
      <c r="AA2422" s="1396">
        <v>8.1999999999999993</v>
      </c>
      <c r="AB2422" s="1396">
        <v>8.1999999999999993</v>
      </c>
      <c r="AC2422" s="1396">
        <v>8.1999999999999993</v>
      </c>
      <c r="AD2422" s="1396">
        <v>8.1999999999999993</v>
      </c>
      <c r="AE2422" s="833">
        <v>8.6</v>
      </c>
      <c r="AF2422" s="271">
        <f t="shared" si="298"/>
        <v>7.5</v>
      </c>
      <c r="AG2422" s="1396"/>
      <c r="DG2422" s="573"/>
      <c r="DH2422" s="159"/>
      <c r="DI2422" s="1091"/>
      <c r="DJ2422" s="1187"/>
    </row>
    <row r="2423" spans="1:114" ht="15" hidden="1" customHeight="1" outlineLevel="1">
      <c r="A2423" s="453"/>
      <c r="C2423" s="51"/>
      <c r="D2423" s="4295"/>
      <c r="E2423" s="4295"/>
      <c r="F2423" s="4347" t="str">
        <f>$E$1754</f>
        <v>ASHP-SEER17_ER1_MF_CompE</v>
      </c>
      <c r="G2423" s="4347"/>
      <c r="H2423" s="4347"/>
      <c r="I2423" s="4347"/>
      <c r="J2423" s="3471" t="str">
        <f>$C$1754</f>
        <v>354201_2024_12_</v>
      </c>
      <c r="K2423" s="3263">
        <v>6.58</v>
      </c>
      <c r="L2423" s="3479"/>
      <c r="M2423" s="2962" t="s">
        <v>2501</v>
      </c>
      <c r="S2423" s="52"/>
      <c r="T2423" s="52"/>
      <c r="U2423" s="52"/>
      <c r="V2423" s="4295"/>
      <c r="W2423" s="3262"/>
      <c r="X2423" s="3262"/>
      <c r="Y2423" s="3265">
        <v>6.58</v>
      </c>
      <c r="Z2423" s="3262">
        <v>6.58</v>
      </c>
      <c r="AA2423" s="3262">
        <v>6.58</v>
      </c>
      <c r="AB2423" s="3262">
        <v>6.58</v>
      </c>
      <c r="AC2423" s="3262">
        <v>6.58</v>
      </c>
      <c r="AD2423" s="3262">
        <v>6.58</v>
      </c>
      <c r="AE2423" s="3262">
        <v>6.58</v>
      </c>
      <c r="AF2423" s="2236">
        <f t="shared" si="298"/>
        <v>6.58</v>
      </c>
      <c r="AG2423" s="1396"/>
      <c r="DG2423" s="573"/>
      <c r="DH2423" s="159"/>
      <c r="DI2423" s="1091"/>
      <c r="DJ2423" s="1187"/>
    </row>
    <row r="2424" spans="1:114" ht="15" hidden="1" customHeight="1" outlineLevel="1">
      <c r="A2424" s="453"/>
      <c r="C2424" s="51"/>
      <c r="D2424" s="4295"/>
      <c r="E2424" s="4295"/>
      <c r="F2424" s="4347" t="str">
        <f>$E$1756</f>
        <v>ASHP-SEER17_ER2_MF_CompE</v>
      </c>
      <c r="G2424" s="4347"/>
      <c r="H2424" s="4347"/>
      <c r="I2424" s="4347"/>
      <c r="J2424" s="3471" t="str">
        <f>$C$1756</f>
        <v>354201_2024_12_</v>
      </c>
      <c r="K2424" s="3344">
        <v>7.5</v>
      </c>
      <c r="L2424" s="3479"/>
      <c r="M2424" s="2425" t="s">
        <v>1941</v>
      </c>
      <c r="S2424" s="52"/>
      <c r="T2424" s="52"/>
      <c r="U2424" s="52"/>
      <c r="V2424" s="4295"/>
      <c r="W2424" s="3262"/>
      <c r="X2424" s="3262"/>
      <c r="Y2424" s="3265">
        <v>8.1999999999999993</v>
      </c>
      <c r="Z2424" s="3262">
        <v>8.1999999999999993</v>
      </c>
      <c r="AA2424" s="3262">
        <v>8.1999999999999993</v>
      </c>
      <c r="AB2424" s="3262">
        <v>8.1999999999999993</v>
      </c>
      <c r="AC2424" s="3262">
        <v>8.1999999999999993</v>
      </c>
      <c r="AD2424" s="3262">
        <v>8.1999999999999993</v>
      </c>
      <c r="AE2424" s="3265">
        <v>8.6</v>
      </c>
      <c r="AF2424" s="2236">
        <f t="shared" si="298"/>
        <v>7.5</v>
      </c>
      <c r="AG2424" s="1396"/>
      <c r="DG2424" s="573"/>
      <c r="DH2424" s="159"/>
      <c r="DI2424" s="1091"/>
      <c r="DJ2424" s="1187"/>
    </row>
    <row r="2425" spans="1:114" ht="15" hidden="1" customHeight="1" outlineLevel="1">
      <c r="A2425" s="453"/>
      <c r="C2425" s="51"/>
      <c r="D2425" s="4295"/>
      <c r="E2425" s="4295"/>
      <c r="F2425" s="4307" t="str">
        <f>$E$1758</f>
        <v>ASHP-SEER18-Replace_CAC_ElectricHeat_ER1_SF</v>
      </c>
      <c r="G2425" s="4307"/>
      <c r="H2425" s="4307"/>
      <c r="I2425" s="4307"/>
      <c r="J2425" s="1029" t="str">
        <f>$C$1758</f>
        <v>354250_2024_12_</v>
      </c>
      <c r="K2425" s="1790">
        <v>3.41</v>
      </c>
      <c r="L2425" s="262"/>
      <c r="M2425" s="1442" t="s">
        <v>1949</v>
      </c>
      <c r="S2425" s="52"/>
      <c r="T2425" s="52"/>
      <c r="U2425" s="52"/>
      <c r="V2425" s="4295"/>
      <c r="W2425" s="1396">
        <v>3.41</v>
      </c>
      <c r="X2425" s="1396">
        <v>3.41</v>
      </c>
      <c r="Y2425" s="1396">
        <v>3.41</v>
      </c>
      <c r="Z2425" s="1396">
        <v>3.41</v>
      </c>
      <c r="AA2425" s="1396">
        <v>3.41</v>
      </c>
      <c r="AB2425" s="1396">
        <v>3.41</v>
      </c>
      <c r="AC2425" s="1396">
        <v>3.41</v>
      </c>
      <c r="AD2425" s="1396">
        <v>3.41</v>
      </c>
      <c r="AE2425" s="1396">
        <v>3.41</v>
      </c>
      <c r="AF2425" s="271">
        <f t="shared" si="298"/>
        <v>3.41</v>
      </c>
      <c r="AG2425" s="1396"/>
      <c r="DG2425" s="573"/>
      <c r="DH2425" s="159"/>
      <c r="DI2425" s="1091"/>
      <c r="DJ2425" s="1187"/>
    </row>
    <row r="2426" spans="1:114" ht="15" hidden="1" customHeight="1" outlineLevel="1">
      <c r="A2426" s="453"/>
      <c r="C2426" s="51"/>
      <c r="D2426" s="4295"/>
      <c r="E2426" s="4295"/>
      <c r="F2426" s="4307" t="str">
        <f>$E$1760</f>
        <v>ASHP-SEER18-Replace_CAC_ElectricHeat_ER2_SF</v>
      </c>
      <c r="G2426" s="4307"/>
      <c r="H2426" s="4307"/>
      <c r="I2426" s="4307"/>
      <c r="J2426" s="1029" t="str">
        <f>$C$1760</f>
        <v>354250_2024_12_</v>
      </c>
      <c r="K2426" s="1790">
        <v>3.41</v>
      </c>
      <c r="L2426" s="262"/>
      <c r="M2426" s="1442" t="s">
        <v>1949</v>
      </c>
      <c r="S2426" s="52"/>
      <c r="T2426" s="52"/>
      <c r="U2426" s="52"/>
      <c r="V2426" s="4295"/>
      <c r="W2426" s="1396">
        <v>3.41</v>
      </c>
      <c r="X2426" s="1396">
        <v>3.41</v>
      </c>
      <c r="Y2426" s="1396">
        <v>3.41</v>
      </c>
      <c r="Z2426" s="1396">
        <v>3.41</v>
      </c>
      <c r="AA2426" s="1396">
        <v>3.41</v>
      </c>
      <c r="AB2426" s="1396">
        <v>3.41</v>
      </c>
      <c r="AC2426" s="1396">
        <v>3.41</v>
      </c>
      <c r="AD2426" s="1396">
        <v>3.41</v>
      </c>
      <c r="AE2426" s="1396">
        <v>3.41</v>
      </c>
      <c r="AF2426" s="271">
        <f t="shared" ref="AF2426:AF2489" si="299">IF(K2426&lt;&gt;"",K2426,"")</f>
        <v>3.41</v>
      </c>
      <c r="AG2426" s="1396"/>
      <c r="DG2426" s="573"/>
      <c r="DH2426" s="159"/>
      <c r="DI2426" s="1091"/>
      <c r="DJ2426" s="1187"/>
    </row>
    <row r="2427" spans="1:114" ht="15" hidden="1" customHeight="1" outlineLevel="1">
      <c r="A2427" s="453"/>
      <c r="C2427" s="51"/>
      <c r="D2427" s="4295"/>
      <c r="E2427" s="4295"/>
      <c r="F2427" s="4307" t="str">
        <f>$E$1762</f>
        <v>ASHP-SEER18-Replace_CAC_NonElectricHeat_ER1_SF</v>
      </c>
      <c r="G2427" s="4307"/>
      <c r="H2427" s="4307"/>
      <c r="I2427" s="4307"/>
      <c r="J2427" s="1029" t="str">
        <f>$C$1762</f>
        <v>354260_2024_12_</v>
      </c>
      <c r="K2427" s="1793">
        <v>0</v>
      </c>
      <c r="L2427" s="262"/>
      <c r="M2427" s="1442" t="s">
        <v>2500</v>
      </c>
      <c r="S2427" s="52"/>
      <c r="T2427" s="52"/>
      <c r="U2427" s="52"/>
      <c r="V2427" s="4295"/>
      <c r="W2427" s="1396"/>
      <c r="X2427" s="1396"/>
      <c r="Y2427" s="1396"/>
      <c r="Z2427" s="1396"/>
      <c r="AA2427" s="1396"/>
      <c r="AB2427" s="1396"/>
      <c r="AC2427" s="825">
        <v>0</v>
      </c>
      <c r="AD2427" s="802">
        <v>0</v>
      </c>
      <c r="AE2427" s="802">
        <v>0</v>
      </c>
      <c r="AF2427" s="271">
        <f t="shared" si="299"/>
        <v>0</v>
      </c>
      <c r="AG2427" s="1396"/>
      <c r="DG2427" s="573"/>
      <c r="DH2427" s="159"/>
      <c r="DI2427" s="1091"/>
      <c r="DJ2427" s="1187"/>
    </row>
    <row r="2428" spans="1:114" ht="15" hidden="1" customHeight="1" outlineLevel="1">
      <c r="A2428" s="453"/>
      <c r="C2428" s="51"/>
      <c r="D2428" s="4295"/>
      <c r="E2428" s="4295"/>
      <c r="F2428" s="4307" t="str">
        <f>$E$1764</f>
        <v>ASHP-SEER18-Replace_CAC_NonElectricHeat_ER2_SF</v>
      </c>
      <c r="G2428" s="4307"/>
      <c r="H2428" s="4307"/>
      <c r="I2428" s="4307"/>
      <c r="J2428" s="1029" t="str">
        <f>$C$1764</f>
        <v>354260_2024_12_</v>
      </c>
      <c r="K2428" s="1793">
        <v>0</v>
      </c>
      <c r="L2428" s="262"/>
      <c r="M2428" s="1442" t="s">
        <v>2500</v>
      </c>
      <c r="S2428" s="52"/>
      <c r="T2428" s="52"/>
      <c r="U2428" s="52"/>
      <c r="V2428" s="4295"/>
      <c r="W2428" s="1396"/>
      <c r="X2428" s="1396"/>
      <c r="Y2428" s="1396"/>
      <c r="Z2428" s="1396"/>
      <c r="AA2428" s="1396"/>
      <c r="AB2428" s="1396"/>
      <c r="AC2428" s="825">
        <v>0</v>
      </c>
      <c r="AD2428" s="802">
        <v>0</v>
      </c>
      <c r="AE2428" s="802">
        <v>0</v>
      </c>
      <c r="AF2428" s="271">
        <f t="shared" si="299"/>
        <v>0</v>
      </c>
      <c r="AG2428" s="1396"/>
      <c r="DG2428" s="573"/>
      <c r="DH2428" s="159"/>
      <c r="DI2428" s="1091"/>
      <c r="DJ2428" s="1187"/>
    </row>
    <row r="2429" spans="1:114" ht="15" hidden="1" customHeight="1" outlineLevel="1">
      <c r="A2429" s="453"/>
      <c r="C2429" s="51"/>
      <c r="D2429" s="4295"/>
      <c r="E2429" s="4295"/>
      <c r="F2429" s="4307" t="str">
        <f>$E$1766</f>
        <v>ASHP-SEER18-Replace_CAC_ElectricHeat_ER1_MF</v>
      </c>
      <c r="G2429" s="4307"/>
      <c r="H2429" s="4307"/>
      <c r="I2429" s="4307"/>
      <c r="J2429" s="1029" t="str">
        <f>$C$1766</f>
        <v>354300_2024_12_</v>
      </c>
      <c r="K2429" s="1790">
        <v>3.41</v>
      </c>
      <c r="L2429" s="262"/>
      <c r="M2429" s="1442" t="s">
        <v>2501</v>
      </c>
      <c r="S2429" s="52"/>
      <c r="T2429" s="52"/>
      <c r="U2429" s="52"/>
      <c r="V2429" s="4295"/>
      <c r="W2429" s="1396">
        <v>3.41</v>
      </c>
      <c r="X2429" s="1396">
        <v>3.41</v>
      </c>
      <c r="Y2429" s="1396">
        <v>3.41</v>
      </c>
      <c r="Z2429" s="1396">
        <v>3.41</v>
      </c>
      <c r="AA2429" s="1396">
        <v>3.41</v>
      </c>
      <c r="AB2429" s="1396">
        <v>3.41</v>
      </c>
      <c r="AC2429" s="1396">
        <v>3.41</v>
      </c>
      <c r="AD2429" s="1396">
        <v>3.41</v>
      </c>
      <c r="AE2429" s="1396">
        <v>3.41</v>
      </c>
      <c r="AF2429" s="271">
        <f t="shared" si="299"/>
        <v>3.41</v>
      </c>
      <c r="AG2429" s="1396"/>
      <c r="DG2429" s="573"/>
      <c r="DH2429" s="159"/>
      <c r="DI2429" s="1091"/>
      <c r="DJ2429" s="1187"/>
    </row>
    <row r="2430" spans="1:114" ht="15" hidden="1" customHeight="1" outlineLevel="1">
      <c r="A2430" s="453"/>
      <c r="C2430" s="51"/>
      <c r="D2430" s="4295"/>
      <c r="E2430" s="4295"/>
      <c r="F2430" s="4307" t="str">
        <f>$E$1768</f>
        <v>ASHP-SEER18-Replace_CAC_ElectricHeat_ER2_MF</v>
      </c>
      <c r="G2430" s="4307"/>
      <c r="H2430" s="4307"/>
      <c r="I2430" s="4307"/>
      <c r="J2430" s="1029" t="str">
        <f>$C$1768</f>
        <v>354300_2024_12_</v>
      </c>
      <c r="K2430" s="1790">
        <v>3.41</v>
      </c>
      <c r="L2430" s="262"/>
      <c r="M2430" s="1442" t="s">
        <v>2501</v>
      </c>
      <c r="S2430" s="52"/>
      <c r="T2430" s="52"/>
      <c r="U2430" s="52"/>
      <c r="V2430" s="4295"/>
      <c r="W2430" s="1396">
        <v>3.41</v>
      </c>
      <c r="X2430" s="1396">
        <v>3.41</v>
      </c>
      <c r="Y2430" s="1396">
        <v>3.41</v>
      </c>
      <c r="Z2430" s="1396">
        <v>3.41</v>
      </c>
      <c r="AA2430" s="1396">
        <v>3.41</v>
      </c>
      <c r="AB2430" s="1396">
        <v>3.41</v>
      </c>
      <c r="AC2430" s="1396">
        <v>3.41</v>
      </c>
      <c r="AD2430" s="1396">
        <v>3.41</v>
      </c>
      <c r="AE2430" s="1396">
        <v>3.41</v>
      </c>
      <c r="AF2430" s="271">
        <f t="shared" si="299"/>
        <v>3.41</v>
      </c>
      <c r="AG2430" s="1396"/>
      <c r="DG2430" s="573"/>
      <c r="DH2430" s="159"/>
      <c r="DI2430" s="1091"/>
      <c r="DJ2430" s="1187"/>
    </row>
    <row r="2431" spans="1:114" ht="15" hidden="1" customHeight="1" outlineLevel="1">
      <c r="A2431" s="453"/>
      <c r="C2431" s="51"/>
      <c r="D2431" s="4295"/>
      <c r="E2431" s="4295"/>
      <c r="F2431" s="4347" t="str">
        <f>$E$1770</f>
        <v>ASHP-SEER18-Replace_CAC_ElectricHeat_ER1_MF_CompE</v>
      </c>
      <c r="G2431" s="4347"/>
      <c r="H2431" s="4347"/>
      <c r="I2431" s="4347"/>
      <c r="J2431" s="3471" t="str">
        <f>$C$1770</f>
        <v>354301_2024_12_</v>
      </c>
      <c r="K2431" s="3263">
        <v>3.41</v>
      </c>
      <c r="L2431" s="3479"/>
      <c r="M2431" s="2962" t="s">
        <v>2501</v>
      </c>
      <c r="S2431" s="52"/>
      <c r="T2431" s="52"/>
      <c r="U2431" s="52"/>
      <c r="V2431" s="4295"/>
      <c r="W2431" s="3262"/>
      <c r="X2431" s="3262"/>
      <c r="Y2431" s="3265">
        <v>3.41</v>
      </c>
      <c r="Z2431" s="3262">
        <v>3.41</v>
      </c>
      <c r="AA2431" s="3262">
        <v>3.41</v>
      </c>
      <c r="AB2431" s="3262">
        <v>3.41</v>
      </c>
      <c r="AC2431" s="3262">
        <v>3.41</v>
      </c>
      <c r="AD2431" s="3262">
        <v>3.41</v>
      </c>
      <c r="AE2431" s="3262">
        <v>3.41</v>
      </c>
      <c r="AF2431" s="2236">
        <f t="shared" si="299"/>
        <v>3.41</v>
      </c>
      <c r="AG2431" s="1396"/>
      <c r="DG2431" s="573"/>
      <c r="DH2431" s="159"/>
      <c r="DI2431" s="1091"/>
      <c r="DJ2431" s="1187"/>
    </row>
    <row r="2432" spans="1:114" ht="15" hidden="1" customHeight="1" outlineLevel="1">
      <c r="A2432" s="453"/>
      <c r="C2432" s="51"/>
      <c r="D2432" s="4295"/>
      <c r="E2432" s="4295"/>
      <c r="F2432" s="4347" t="str">
        <f>$E$1772</f>
        <v>ASHP-SEER18-Replace_CAC_ElectricHeat_ER2_MF_CompE</v>
      </c>
      <c r="G2432" s="4347"/>
      <c r="H2432" s="4347"/>
      <c r="I2432" s="4347"/>
      <c r="J2432" s="3471" t="str">
        <f>$C$1772</f>
        <v>354301_2024_12_</v>
      </c>
      <c r="K2432" s="3263">
        <v>3.41</v>
      </c>
      <c r="L2432" s="3479"/>
      <c r="M2432" s="2962" t="s">
        <v>2501</v>
      </c>
      <c r="S2432" s="52"/>
      <c r="T2432" s="52"/>
      <c r="U2432" s="52"/>
      <c r="V2432" s="4295"/>
      <c r="W2432" s="3262"/>
      <c r="X2432" s="3262"/>
      <c r="Y2432" s="3265">
        <v>3.41</v>
      </c>
      <c r="Z2432" s="3262">
        <v>3.41</v>
      </c>
      <c r="AA2432" s="3262">
        <v>3.41</v>
      </c>
      <c r="AB2432" s="3262">
        <v>3.41</v>
      </c>
      <c r="AC2432" s="3262">
        <v>3.41</v>
      </c>
      <c r="AD2432" s="3262">
        <v>3.41</v>
      </c>
      <c r="AE2432" s="3262">
        <v>3.41</v>
      </c>
      <c r="AF2432" s="2236">
        <f t="shared" si="299"/>
        <v>3.41</v>
      </c>
      <c r="AG2432" s="1396"/>
      <c r="DG2432" s="573"/>
      <c r="DH2432" s="159"/>
      <c r="DI2432" s="1091"/>
      <c r="DJ2432" s="1187"/>
    </row>
    <row r="2433" spans="1:114" ht="15" hidden="1" customHeight="1" outlineLevel="1">
      <c r="A2433" s="453"/>
      <c r="C2433" s="51"/>
      <c r="D2433" s="4295"/>
      <c r="E2433" s="4295"/>
      <c r="F2433" s="4347" t="str">
        <f>$E$1774</f>
        <v>ASHP-SEER18-Replace_CAC_NonElectricHeat_ER1_MF</v>
      </c>
      <c r="G2433" s="4347"/>
      <c r="H2433" s="4347"/>
      <c r="I2433" s="4347"/>
      <c r="J2433" s="3471" t="str">
        <f>$C$1774</f>
        <v>354310_2024_12_</v>
      </c>
      <c r="K2433" s="3342">
        <v>0</v>
      </c>
      <c r="L2433" s="3479"/>
      <c r="M2433" s="2962" t="s">
        <v>2500</v>
      </c>
      <c r="S2433" s="52"/>
      <c r="T2433" s="52"/>
      <c r="U2433" s="52"/>
      <c r="V2433" s="4295"/>
      <c r="W2433" s="3262"/>
      <c r="X2433" s="3262"/>
      <c r="Y2433" s="3265"/>
      <c r="Z2433" s="3262"/>
      <c r="AA2433" s="3262"/>
      <c r="AB2433" s="3262"/>
      <c r="AC2433" s="3279">
        <v>0</v>
      </c>
      <c r="AD2433" s="3267">
        <v>0</v>
      </c>
      <c r="AE2433" s="3267">
        <v>0</v>
      </c>
      <c r="AF2433" s="2236">
        <f t="shared" si="299"/>
        <v>0</v>
      </c>
      <c r="AG2433" s="1396"/>
      <c r="DG2433" s="573"/>
      <c r="DH2433" s="159"/>
      <c r="DI2433" s="1091"/>
      <c r="DJ2433" s="1187"/>
    </row>
    <row r="2434" spans="1:114" ht="15" hidden="1" customHeight="1" outlineLevel="1">
      <c r="A2434" s="453"/>
      <c r="C2434" s="51"/>
      <c r="D2434" s="4295"/>
      <c r="E2434" s="4295"/>
      <c r="F2434" s="4347" t="str">
        <f>$E$1776</f>
        <v>ASHP-SEER18-Replace_CAC_NonElectricHeat_ER2_MF</v>
      </c>
      <c r="G2434" s="4347"/>
      <c r="H2434" s="4347"/>
      <c r="I2434" s="4347"/>
      <c r="J2434" s="3471" t="str">
        <f>$C$1776</f>
        <v>354310_2024_12_</v>
      </c>
      <c r="K2434" s="3342">
        <v>0</v>
      </c>
      <c r="L2434" s="3479"/>
      <c r="M2434" s="2962" t="s">
        <v>2500</v>
      </c>
      <c r="S2434" s="52"/>
      <c r="T2434" s="52"/>
      <c r="U2434" s="52"/>
      <c r="V2434" s="4295"/>
      <c r="W2434" s="3262"/>
      <c r="X2434" s="3262"/>
      <c r="Y2434" s="3265"/>
      <c r="Z2434" s="3262"/>
      <c r="AA2434" s="3262"/>
      <c r="AB2434" s="3262"/>
      <c r="AC2434" s="3279">
        <v>0</v>
      </c>
      <c r="AD2434" s="3267">
        <v>0</v>
      </c>
      <c r="AE2434" s="3267">
        <v>0</v>
      </c>
      <c r="AF2434" s="2236">
        <f t="shared" si="299"/>
        <v>0</v>
      </c>
      <c r="AG2434" s="1396"/>
      <c r="DG2434" s="573"/>
      <c r="DH2434" s="159"/>
      <c r="DI2434" s="1091"/>
      <c r="DJ2434" s="1187"/>
    </row>
    <row r="2435" spans="1:114" ht="15" hidden="1" customHeight="1" outlineLevel="1">
      <c r="A2435" s="453"/>
      <c r="C2435" s="51"/>
      <c r="D2435" s="4295"/>
      <c r="E2435" s="4295"/>
      <c r="F2435" s="4347" t="str">
        <f>$E$1778</f>
        <v>ASHP-SEER18-Replace_CAC_NonElectricHeat_ER1_MF_CompE</v>
      </c>
      <c r="G2435" s="4347"/>
      <c r="H2435" s="4347"/>
      <c r="I2435" s="4347"/>
      <c r="J2435" s="3471" t="str">
        <f>$C$1778</f>
        <v>354311_2024_12_</v>
      </c>
      <c r="K2435" s="3342">
        <v>0</v>
      </c>
      <c r="L2435" s="3479"/>
      <c r="M2435" s="2962" t="s">
        <v>2500</v>
      </c>
      <c r="S2435" s="52"/>
      <c r="T2435" s="52"/>
      <c r="U2435" s="52"/>
      <c r="V2435" s="4295"/>
      <c r="W2435" s="3262"/>
      <c r="X2435" s="3262"/>
      <c r="Y2435" s="3265"/>
      <c r="Z2435" s="3262"/>
      <c r="AA2435" s="3262"/>
      <c r="AB2435" s="3262"/>
      <c r="AC2435" s="3279">
        <v>0</v>
      </c>
      <c r="AD2435" s="3267">
        <v>0</v>
      </c>
      <c r="AE2435" s="3267">
        <v>0</v>
      </c>
      <c r="AF2435" s="2236">
        <f t="shared" si="299"/>
        <v>0</v>
      </c>
      <c r="AG2435" s="1396"/>
      <c r="DG2435" s="573"/>
      <c r="DH2435" s="159"/>
      <c r="DI2435" s="1091"/>
      <c r="DJ2435" s="1187"/>
    </row>
    <row r="2436" spans="1:114" ht="15" hidden="1" customHeight="1" outlineLevel="1">
      <c r="A2436" s="453"/>
      <c r="C2436" s="51"/>
      <c r="D2436" s="4295"/>
      <c r="E2436" s="4295"/>
      <c r="F2436" s="4347" t="str">
        <f>$E$1780</f>
        <v>ASHP-SEER18-Replace_CAC_NonElectricHeat_ER2_MF_CompE</v>
      </c>
      <c r="G2436" s="4347"/>
      <c r="H2436" s="4347"/>
      <c r="I2436" s="4347"/>
      <c r="J2436" s="3471" t="str">
        <f>$C$1780</f>
        <v>354311_2024_12_</v>
      </c>
      <c r="K2436" s="3342">
        <v>0</v>
      </c>
      <c r="L2436" s="3479"/>
      <c r="M2436" s="2962" t="s">
        <v>2500</v>
      </c>
      <c r="S2436" s="52"/>
      <c r="T2436" s="52"/>
      <c r="U2436" s="52"/>
      <c r="V2436" s="4295"/>
      <c r="W2436" s="3262"/>
      <c r="X2436" s="3262"/>
      <c r="Y2436" s="3265"/>
      <c r="Z2436" s="3262"/>
      <c r="AA2436" s="3262"/>
      <c r="AB2436" s="3262"/>
      <c r="AC2436" s="3279">
        <v>0</v>
      </c>
      <c r="AD2436" s="3267">
        <v>0</v>
      </c>
      <c r="AE2436" s="3267">
        <v>0</v>
      </c>
      <c r="AF2436" s="2236">
        <f t="shared" si="299"/>
        <v>0</v>
      </c>
      <c r="AG2436" s="1396"/>
      <c r="DG2436" s="573"/>
      <c r="DH2436" s="159"/>
      <c r="DI2436" s="1091"/>
      <c r="DJ2436" s="1187"/>
    </row>
    <row r="2437" spans="1:114" ht="15" hidden="1" customHeight="1" outlineLevel="1">
      <c r="A2437" s="453"/>
      <c r="C2437" s="51"/>
      <c r="D2437" s="4295"/>
      <c r="E2437" s="4295"/>
      <c r="F2437" s="4307" t="str">
        <f>$E$1782</f>
        <v>ASHP-SEER18_ER1_MF</v>
      </c>
      <c r="G2437" s="4307"/>
      <c r="H2437" s="4307"/>
      <c r="I2437" s="4307"/>
      <c r="J2437" s="1029" t="str">
        <f>$C$1782</f>
        <v>354350_2024_12_</v>
      </c>
      <c r="K2437" s="1790">
        <v>6.58</v>
      </c>
      <c r="L2437" s="262"/>
      <c r="M2437" s="1442" t="s">
        <v>2501</v>
      </c>
      <c r="S2437" s="52"/>
      <c r="T2437" s="52"/>
      <c r="U2437" s="52"/>
      <c r="V2437" s="4295"/>
      <c r="W2437" s="1396">
        <v>5.44</v>
      </c>
      <c r="X2437" s="833">
        <v>6.58</v>
      </c>
      <c r="Y2437" s="1396">
        <v>6.58</v>
      </c>
      <c r="Z2437" s="1396">
        <v>6.58</v>
      </c>
      <c r="AA2437" s="1396">
        <v>6.58</v>
      </c>
      <c r="AB2437" s="1396">
        <v>6.58</v>
      </c>
      <c r="AC2437" s="1396">
        <v>6.58</v>
      </c>
      <c r="AD2437" s="1396">
        <v>6.58</v>
      </c>
      <c r="AE2437" s="1396">
        <v>6.58</v>
      </c>
      <c r="AF2437" s="271">
        <f t="shared" si="299"/>
        <v>6.58</v>
      </c>
      <c r="AG2437" s="1396"/>
      <c r="DG2437" s="573"/>
      <c r="DH2437" s="159"/>
      <c r="DI2437" s="1091"/>
      <c r="DJ2437" s="1187"/>
    </row>
    <row r="2438" spans="1:114" ht="15" hidden="1" customHeight="1" outlineLevel="1">
      <c r="A2438" s="453"/>
      <c r="C2438" s="51"/>
      <c r="D2438" s="4295"/>
      <c r="E2438" s="4295"/>
      <c r="F2438" s="4307" t="str">
        <f>$E$1784</f>
        <v>ASHP-SEER18_ER2_MF</v>
      </c>
      <c r="G2438" s="4307"/>
      <c r="H2438" s="4307"/>
      <c r="I2438" s="4307"/>
      <c r="J2438" s="1029" t="str">
        <f>$C$1784</f>
        <v>354350_2024_12_</v>
      </c>
      <c r="K2438" s="1794">
        <v>7.5</v>
      </c>
      <c r="L2438" s="262"/>
      <c r="M2438" s="1378" t="s">
        <v>1941</v>
      </c>
      <c r="S2438" s="52"/>
      <c r="T2438" s="52"/>
      <c r="U2438" s="52"/>
      <c r="V2438" s="4295"/>
      <c r="W2438" s="1396">
        <v>8.1999999999999993</v>
      </c>
      <c r="X2438" s="1396">
        <v>8.1999999999999993</v>
      </c>
      <c r="Y2438" s="1396">
        <v>8.1999999999999993</v>
      </c>
      <c r="Z2438" s="1396">
        <v>8.1999999999999993</v>
      </c>
      <c r="AA2438" s="1396">
        <v>8.1999999999999993</v>
      </c>
      <c r="AB2438" s="1396">
        <v>8.1999999999999993</v>
      </c>
      <c r="AC2438" s="1396">
        <v>8.1999999999999993</v>
      </c>
      <c r="AD2438" s="1396">
        <v>8.1999999999999993</v>
      </c>
      <c r="AE2438" s="833">
        <v>8.6</v>
      </c>
      <c r="AF2438" s="271">
        <f t="shared" si="299"/>
        <v>7.5</v>
      </c>
      <c r="AG2438" s="1396"/>
      <c r="DG2438" s="573"/>
      <c r="DH2438" s="159"/>
      <c r="DI2438" s="1091"/>
      <c r="DJ2438" s="1187"/>
    </row>
    <row r="2439" spans="1:114" ht="15" hidden="1" customHeight="1" outlineLevel="1">
      <c r="A2439" s="453"/>
      <c r="C2439" s="51"/>
      <c r="D2439" s="4295"/>
      <c r="E2439" s="4295"/>
      <c r="F2439" s="4347" t="str">
        <f>$E$1786</f>
        <v>ASHP-SEER18_ER1_MF_CompE</v>
      </c>
      <c r="G2439" s="4347"/>
      <c r="H2439" s="4347"/>
      <c r="I2439" s="4347"/>
      <c r="J2439" s="3471" t="str">
        <f>$C$1786</f>
        <v>354351_2024_12_</v>
      </c>
      <c r="K2439" s="3263">
        <v>6.58</v>
      </c>
      <c r="L2439" s="3479"/>
      <c r="M2439" s="2962" t="s">
        <v>2501</v>
      </c>
      <c r="S2439" s="52"/>
      <c r="T2439" s="52"/>
      <c r="U2439" s="52"/>
      <c r="V2439" s="4295"/>
      <c r="W2439" s="3262"/>
      <c r="X2439" s="3262"/>
      <c r="Y2439" s="3265">
        <v>6.58</v>
      </c>
      <c r="Z2439" s="3262">
        <v>6.58</v>
      </c>
      <c r="AA2439" s="3262">
        <v>6.58</v>
      </c>
      <c r="AB2439" s="3262">
        <v>6.58</v>
      </c>
      <c r="AC2439" s="3262">
        <v>6.58</v>
      </c>
      <c r="AD2439" s="3262">
        <v>6.58</v>
      </c>
      <c r="AE2439" s="3262">
        <v>6.58</v>
      </c>
      <c r="AF2439" s="2236">
        <f t="shared" si="299"/>
        <v>6.58</v>
      </c>
      <c r="AG2439" s="1396"/>
      <c r="DG2439" s="573"/>
      <c r="DH2439" s="159"/>
      <c r="DI2439" s="1091"/>
      <c r="DJ2439" s="1187"/>
    </row>
    <row r="2440" spans="1:114" ht="15" hidden="1" customHeight="1" outlineLevel="1">
      <c r="A2440" s="453"/>
      <c r="C2440" s="51"/>
      <c r="D2440" s="4295"/>
      <c r="E2440" s="4295"/>
      <c r="F2440" s="4347" t="str">
        <f>$E$1788</f>
        <v>ASHP-SEER18_ER2_MF_CompE</v>
      </c>
      <c r="G2440" s="4347"/>
      <c r="H2440" s="4347"/>
      <c r="I2440" s="4347"/>
      <c r="J2440" s="3471" t="str">
        <f>$C$1788</f>
        <v>354351_2024_12_</v>
      </c>
      <c r="K2440" s="3344">
        <v>7.5</v>
      </c>
      <c r="L2440" s="3479"/>
      <c r="M2440" s="2425" t="s">
        <v>1941</v>
      </c>
      <c r="S2440" s="52"/>
      <c r="T2440" s="52"/>
      <c r="U2440" s="52"/>
      <c r="V2440" s="4295"/>
      <c r="W2440" s="3262"/>
      <c r="X2440" s="3262"/>
      <c r="Y2440" s="3265">
        <v>8.1999999999999993</v>
      </c>
      <c r="Z2440" s="3262">
        <v>8.1999999999999993</v>
      </c>
      <c r="AA2440" s="3262">
        <v>8.1999999999999993</v>
      </c>
      <c r="AB2440" s="3262">
        <v>8.1999999999999993</v>
      </c>
      <c r="AC2440" s="3262">
        <v>8.1999999999999993</v>
      </c>
      <c r="AD2440" s="3262">
        <v>8.1999999999999993</v>
      </c>
      <c r="AE2440" s="3265">
        <v>8.6</v>
      </c>
      <c r="AF2440" s="2236">
        <f t="shared" si="299"/>
        <v>7.5</v>
      </c>
      <c r="AG2440" s="1396"/>
      <c r="DG2440" s="573"/>
      <c r="DH2440" s="159"/>
      <c r="DI2440" s="1091"/>
      <c r="DJ2440" s="1187"/>
    </row>
    <row r="2441" spans="1:114" ht="15" hidden="1" customHeight="1" outlineLevel="1">
      <c r="A2441" s="453"/>
      <c r="C2441" s="51"/>
      <c r="D2441" s="4295"/>
      <c r="E2441" s="4295"/>
      <c r="F2441" s="4307" t="str">
        <f>$E$1790</f>
        <v>ASHP-SEER19-Replace_CAC_ElectricHeat_ER1_SF</v>
      </c>
      <c r="G2441" s="4307"/>
      <c r="H2441" s="4307"/>
      <c r="I2441" s="4307"/>
      <c r="J2441" s="1029" t="str">
        <f>$C$1790</f>
        <v>354400_2024_12_</v>
      </c>
      <c r="K2441" s="1790">
        <v>3.41</v>
      </c>
      <c r="L2441" s="262"/>
      <c r="M2441" s="1442" t="s">
        <v>1949</v>
      </c>
      <c r="S2441" s="52"/>
      <c r="T2441" s="52"/>
      <c r="U2441" s="52"/>
      <c r="V2441" s="4295"/>
      <c r="W2441" s="1396">
        <v>3.41</v>
      </c>
      <c r="X2441" s="1396">
        <v>3.41</v>
      </c>
      <c r="Y2441" s="1396">
        <v>3.41</v>
      </c>
      <c r="Z2441" s="1396">
        <v>3.41</v>
      </c>
      <c r="AA2441" s="1396">
        <v>3.41</v>
      </c>
      <c r="AB2441" s="1396">
        <v>3.41</v>
      </c>
      <c r="AC2441" s="1396">
        <v>3.41</v>
      </c>
      <c r="AD2441" s="1396">
        <v>3.41</v>
      </c>
      <c r="AE2441" s="1396">
        <v>3.41</v>
      </c>
      <c r="AF2441" s="271">
        <f t="shared" si="299"/>
        <v>3.41</v>
      </c>
      <c r="AG2441" s="1396"/>
      <c r="DG2441" s="573"/>
      <c r="DH2441" s="159"/>
      <c r="DI2441" s="1091"/>
      <c r="DJ2441" s="1187"/>
    </row>
    <row r="2442" spans="1:114" ht="15" hidden="1" customHeight="1" outlineLevel="1">
      <c r="A2442" s="453"/>
      <c r="C2442" s="51"/>
      <c r="D2442" s="4295"/>
      <c r="E2442" s="4295"/>
      <c r="F2442" s="4307" t="str">
        <f>$E$1792</f>
        <v>ASHP-SEER19-Replace_CAC_ElectricHeat_ER2_SF</v>
      </c>
      <c r="G2442" s="4307"/>
      <c r="H2442" s="4307"/>
      <c r="I2442" s="4307"/>
      <c r="J2442" s="1029" t="str">
        <f>$C$1792</f>
        <v>354400_2024_12_</v>
      </c>
      <c r="K2442" s="1790">
        <v>3.41</v>
      </c>
      <c r="L2442" s="262"/>
      <c r="M2442" s="1442" t="s">
        <v>1949</v>
      </c>
      <c r="S2442" s="52"/>
      <c r="T2442" s="52"/>
      <c r="U2442" s="52"/>
      <c r="V2442" s="4295"/>
      <c r="W2442" s="1396">
        <v>3.41</v>
      </c>
      <c r="X2442" s="1396">
        <v>3.41</v>
      </c>
      <c r="Y2442" s="1396">
        <v>3.41</v>
      </c>
      <c r="Z2442" s="1396">
        <v>3.41</v>
      </c>
      <c r="AA2442" s="1396">
        <v>3.41</v>
      </c>
      <c r="AB2442" s="1396">
        <v>3.41</v>
      </c>
      <c r="AC2442" s="1396">
        <v>3.41</v>
      </c>
      <c r="AD2442" s="1396">
        <v>3.41</v>
      </c>
      <c r="AE2442" s="1396">
        <v>3.41</v>
      </c>
      <c r="AF2442" s="271">
        <f t="shared" si="299"/>
        <v>3.41</v>
      </c>
      <c r="AG2442" s="1396"/>
      <c r="DG2442" s="573"/>
      <c r="DH2442" s="159"/>
      <c r="DI2442" s="1091"/>
      <c r="DJ2442" s="1187"/>
    </row>
    <row r="2443" spans="1:114" ht="15" hidden="1" customHeight="1" outlineLevel="1">
      <c r="A2443" s="453"/>
      <c r="C2443" s="51"/>
      <c r="D2443" s="4295"/>
      <c r="E2443" s="4295"/>
      <c r="F2443" s="4307" t="str">
        <f>$E$1794</f>
        <v>ASHP-SEER19-Replace_CAC_NonElectricHeat_ER1_SF</v>
      </c>
      <c r="G2443" s="4307"/>
      <c r="H2443" s="4307"/>
      <c r="I2443" s="4307"/>
      <c r="J2443" s="1029" t="str">
        <f>$C$1794</f>
        <v>354410_2024_12_</v>
      </c>
      <c r="K2443" s="1793">
        <v>0</v>
      </c>
      <c r="L2443" s="262"/>
      <c r="M2443" s="1442" t="s">
        <v>2500</v>
      </c>
      <c r="S2443" s="52"/>
      <c r="T2443" s="52"/>
      <c r="U2443" s="52"/>
      <c r="V2443" s="4295"/>
      <c r="W2443" s="1396"/>
      <c r="X2443" s="1396"/>
      <c r="Y2443" s="1396"/>
      <c r="Z2443" s="1396"/>
      <c r="AA2443" s="1396"/>
      <c r="AB2443" s="1396"/>
      <c r="AC2443" s="825">
        <v>0</v>
      </c>
      <c r="AD2443" s="802">
        <v>0</v>
      </c>
      <c r="AE2443" s="802">
        <v>0</v>
      </c>
      <c r="AF2443" s="271">
        <f t="shared" si="299"/>
        <v>0</v>
      </c>
      <c r="AG2443" s="1396"/>
      <c r="DG2443" s="573"/>
      <c r="DH2443" s="159"/>
      <c r="DI2443" s="1091"/>
      <c r="DJ2443" s="1187"/>
    </row>
    <row r="2444" spans="1:114" ht="15" hidden="1" customHeight="1" outlineLevel="1">
      <c r="A2444" s="453"/>
      <c r="C2444" s="51"/>
      <c r="D2444" s="4295"/>
      <c r="E2444" s="4295"/>
      <c r="F2444" s="4307" t="str">
        <f>$E$1796</f>
        <v>ASHP-SEER19-Replace_CAC_NonElectricHeat_ER2_SF</v>
      </c>
      <c r="G2444" s="4307"/>
      <c r="H2444" s="4307"/>
      <c r="I2444" s="4307"/>
      <c r="J2444" s="1029" t="str">
        <f>$C$1796</f>
        <v>354410_2024_12_</v>
      </c>
      <c r="K2444" s="1793">
        <v>0</v>
      </c>
      <c r="L2444" s="262"/>
      <c r="M2444" s="1442" t="s">
        <v>2500</v>
      </c>
      <c r="S2444" s="52"/>
      <c r="T2444" s="52"/>
      <c r="U2444" s="52"/>
      <c r="V2444" s="4295"/>
      <c r="W2444" s="1396"/>
      <c r="X2444" s="1396"/>
      <c r="Y2444" s="1396"/>
      <c r="Z2444" s="1396"/>
      <c r="AA2444" s="1396"/>
      <c r="AB2444" s="1396"/>
      <c r="AC2444" s="825">
        <v>0</v>
      </c>
      <c r="AD2444" s="802">
        <v>0</v>
      </c>
      <c r="AE2444" s="802">
        <v>0</v>
      </c>
      <c r="AF2444" s="271">
        <f t="shared" si="299"/>
        <v>0</v>
      </c>
      <c r="AG2444" s="1396"/>
      <c r="DG2444" s="573"/>
      <c r="DH2444" s="159"/>
      <c r="DI2444" s="1091"/>
      <c r="DJ2444" s="1187"/>
    </row>
    <row r="2445" spans="1:114" ht="15" hidden="1" customHeight="1" outlineLevel="1">
      <c r="A2445" s="453"/>
      <c r="C2445" s="51"/>
      <c r="D2445" s="4295"/>
      <c r="E2445" s="4295"/>
      <c r="F2445" s="4307" t="str">
        <f>$E$1798</f>
        <v>ASHP-SEER19-Replace_CAC_ElectricHeat_ER1_MF</v>
      </c>
      <c r="G2445" s="4307"/>
      <c r="H2445" s="4307"/>
      <c r="I2445" s="4307"/>
      <c r="J2445" s="1029" t="str">
        <f>$C$1798</f>
        <v>354450_2024_12_</v>
      </c>
      <c r="K2445" s="1790">
        <v>3.41</v>
      </c>
      <c r="L2445" s="262"/>
      <c r="M2445" s="1442" t="s">
        <v>2501</v>
      </c>
      <c r="S2445" s="52"/>
      <c r="T2445" s="52"/>
      <c r="U2445" s="52"/>
      <c r="V2445" s="4295"/>
      <c r="W2445" s="1396">
        <v>3.41</v>
      </c>
      <c r="X2445" s="1396">
        <v>3.41</v>
      </c>
      <c r="Y2445" s="1396">
        <v>3.41</v>
      </c>
      <c r="Z2445" s="1396">
        <v>3.41</v>
      </c>
      <c r="AA2445" s="1396">
        <v>3.41</v>
      </c>
      <c r="AB2445" s="1396">
        <v>3.41</v>
      </c>
      <c r="AC2445" s="1396">
        <v>3.41</v>
      </c>
      <c r="AD2445" s="1396">
        <v>3.41</v>
      </c>
      <c r="AE2445" s="1396">
        <v>3.41</v>
      </c>
      <c r="AF2445" s="271">
        <f t="shared" si="299"/>
        <v>3.41</v>
      </c>
      <c r="AG2445" s="1396"/>
      <c r="DG2445" s="573"/>
      <c r="DH2445" s="159"/>
      <c r="DI2445" s="1091"/>
      <c r="DJ2445" s="1187"/>
    </row>
    <row r="2446" spans="1:114" ht="15" hidden="1" customHeight="1" outlineLevel="1">
      <c r="A2446" s="453"/>
      <c r="C2446" s="51"/>
      <c r="D2446" s="4295"/>
      <c r="E2446" s="4295"/>
      <c r="F2446" s="4307" t="str">
        <f>$E$1800</f>
        <v>ASHP-SEER19-Replace_CAC_ElectricHeat_ER2_MF</v>
      </c>
      <c r="G2446" s="4307"/>
      <c r="H2446" s="4307"/>
      <c r="I2446" s="4307"/>
      <c r="J2446" s="1029" t="str">
        <f>$C$1800</f>
        <v>354450_2024_12_</v>
      </c>
      <c r="K2446" s="1790">
        <v>3.41</v>
      </c>
      <c r="L2446" s="262"/>
      <c r="M2446" s="1442" t="s">
        <v>2501</v>
      </c>
      <c r="S2446" s="52"/>
      <c r="T2446" s="52"/>
      <c r="U2446" s="52"/>
      <c r="V2446" s="4295"/>
      <c r="W2446" s="1396">
        <v>3.41</v>
      </c>
      <c r="X2446" s="1396">
        <v>3.41</v>
      </c>
      <c r="Y2446" s="1396">
        <v>3.41</v>
      </c>
      <c r="Z2446" s="1396">
        <v>3.41</v>
      </c>
      <c r="AA2446" s="1396">
        <v>3.41</v>
      </c>
      <c r="AB2446" s="1396">
        <v>3.41</v>
      </c>
      <c r="AC2446" s="1396">
        <v>3.41</v>
      </c>
      <c r="AD2446" s="1396">
        <v>3.41</v>
      </c>
      <c r="AE2446" s="1396">
        <v>3.41</v>
      </c>
      <c r="AF2446" s="271">
        <f t="shared" si="299"/>
        <v>3.41</v>
      </c>
      <c r="AG2446" s="1396"/>
      <c r="DG2446" s="573"/>
      <c r="DH2446" s="159"/>
      <c r="DI2446" s="1091"/>
      <c r="DJ2446" s="1187"/>
    </row>
    <row r="2447" spans="1:114" ht="15" hidden="1" customHeight="1" outlineLevel="1">
      <c r="A2447" s="453"/>
      <c r="C2447" s="51"/>
      <c r="D2447" s="4295"/>
      <c r="E2447" s="4295"/>
      <c r="F2447" s="4347" t="str">
        <f>$E$1802</f>
        <v>ASHP-SEER19-Replace_CAC_ElectricHeat_ER1_MF_CompE</v>
      </c>
      <c r="G2447" s="4347"/>
      <c r="H2447" s="4347"/>
      <c r="I2447" s="4347"/>
      <c r="J2447" s="3471" t="str">
        <f>$C$1802</f>
        <v>354451_2024_12_</v>
      </c>
      <c r="K2447" s="3263">
        <v>3.41</v>
      </c>
      <c r="L2447" s="3479"/>
      <c r="M2447" s="2962" t="s">
        <v>2501</v>
      </c>
      <c r="S2447" s="52"/>
      <c r="T2447" s="52"/>
      <c r="U2447" s="52"/>
      <c r="V2447" s="4295"/>
      <c r="W2447" s="3262"/>
      <c r="X2447" s="3262"/>
      <c r="Y2447" s="3265">
        <v>3.41</v>
      </c>
      <c r="Z2447" s="3262">
        <v>3.41</v>
      </c>
      <c r="AA2447" s="3262">
        <v>3.41</v>
      </c>
      <c r="AB2447" s="3262">
        <v>3.41</v>
      </c>
      <c r="AC2447" s="3262">
        <v>3.41</v>
      </c>
      <c r="AD2447" s="3262">
        <v>3.41</v>
      </c>
      <c r="AE2447" s="3262">
        <v>3.41</v>
      </c>
      <c r="AF2447" s="2236">
        <f t="shared" si="299"/>
        <v>3.41</v>
      </c>
      <c r="AG2447" s="1396"/>
      <c r="DG2447" s="573"/>
      <c r="DH2447" s="159"/>
      <c r="DI2447" s="1091"/>
      <c r="DJ2447" s="1187"/>
    </row>
    <row r="2448" spans="1:114" ht="15" hidden="1" customHeight="1" outlineLevel="1">
      <c r="A2448" s="453"/>
      <c r="C2448" s="51"/>
      <c r="D2448" s="4295"/>
      <c r="E2448" s="4295"/>
      <c r="F2448" s="4347" t="str">
        <f>$E$1804</f>
        <v>ASHP-SEER19-Replace_CAC_ElectricHeat_ER2_MF_CompE</v>
      </c>
      <c r="G2448" s="4347"/>
      <c r="H2448" s="4347"/>
      <c r="I2448" s="4347"/>
      <c r="J2448" s="3471" t="str">
        <f>$C$1804</f>
        <v>354451_2024_12_</v>
      </c>
      <c r="K2448" s="3263">
        <v>3.41</v>
      </c>
      <c r="L2448" s="3479"/>
      <c r="M2448" s="2962" t="s">
        <v>2501</v>
      </c>
      <c r="S2448" s="52"/>
      <c r="T2448" s="52"/>
      <c r="U2448" s="52"/>
      <c r="V2448" s="4295"/>
      <c r="W2448" s="3262"/>
      <c r="X2448" s="3262"/>
      <c r="Y2448" s="3265">
        <v>3.41</v>
      </c>
      <c r="Z2448" s="3262">
        <v>3.41</v>
      </c>
      <c r="AA2448" s="3262">
        <v>3.41</v>
      </c>
      <c r="AB2448" s="3262">
        <v>3.41</v>
      </c>
      <c r="AC2448" s="3262">
        <v>3.41</v>
      </c>
      <c r="AD2448" s="3262">
        <v>3.41</v>
      </c>
      <c r="AE2448" s="3262">
        <v>3.41</v>
      </c>
      <c r="AF2448" s="2236">
        <f t="shared" si="299"/>
        <v>3.41</v>
      </c>
      <c r="AG2448" s="1396"/>
      <c r="DG2448" s="573"/>
      <c r="DH2448" s="159"/>
      <c r="DI2448" s="1091"/>
      <c r="DJ2448" s="1187"/>
    </row>
    <row r="2449" spans="1:114" ht="15" hidden="1" customHeight="1" outlineLevel="1">
      <c r="A2449" s="453"/>
      <c r="C2449" s="51"/>
      <c r="D2449" s="4295"/>
      <c r="E2449" s="4295"/>
      <c r="F2449" s="4347" t="str">
        <f>$E$1806</f>
        <v>ASHP-SEER19-Replace_CAC_NonElectricHeat_ER1_MF</v>
      </c>
      <c r="G2449" s="4347"/>
      <c r="H2449" s="4347"/>
      <c r="I2449" s="4347"/>
      <c r="J2449" s="3471" t="str">
        <f>$C$1806</f>
        <v>354460_2024_12_</v>
      </c>
      <c r="K2449" s="3342">
        <v>0</v>
      </c>
      <c r="L2449" s="3479"/>
      <c r="M2449" s="2962" t="s">
        <v>2500</v>
      </c>
      <c r="S2449" s="52"/>
      <c r="T2449" s="52"/>
      <c r="U2449" s="52"/>
      <c r="V2449" s="4295"/>
      <c r="W2449" s="3262"/>
      <c r="X2449" s="3262"/>
      <c r="Y2449" s="3265"/>
      <c r="Z2449" s="3262"/>
      <c r="AA2449" s="3262"/>
      <c r="AB2449" s="3262"/>
      <c r="AC2449" s="3279">
        <v>0</v>
      </c>
      <c r="AD2449" s="3267">
        <v>0</v>
      </c>
      <c r="AE2449" s="3267">
        <v>0</v>
      </c>
      <c r="AF2449" s="2236">
        <f t="shared" si="299"/>
        <v>0</v>
      </c>
      <c r="AG2449" s="1396"/>
      <c r="DG2449" s="573"/>
      <c r="DH2449" s="159"/>
      <c r="DI2449" s="1091"/>
      <c r="DJ2449" s="1187"/>
    </row>
    <row r="2450" spans="1:114" ht="15" hidden="1" customHeight="1" outlineLevel="1">
      <c r="A2450" s="453"/>
      <c r="C2450" s="51"/>
      <c r="D2450" s="4295"/>
      <c r="E2450" s="4295"/>
      <c r="F2450" s="4347" t="str">
        <f>$E$1808</f>
        <v>ASHP-SEER19-Replace_CAC_NonElectricHeat_ER2_MF</v>
      </c>
      <c r="G2450" s="4347"/>
      <c r="H2450" s="4347"/>
      <c r="I2450" s="4347"/>
      <c r="J2450" s="3471" t="str">
        <f>$C$1808</f>
        <v>354460_2024_12_</v>
      </c>
      <c r="K2450" s="3342">
        <v>0</v>
      </c>
      <c r="L2450" s="3479"/>
      <c r="M2450" s="2962" t="s">
        <v>2500</v>
      </c>
      <c r="S2450" s="52"/>
      <c r="T2450" s="52"/>
      <c r="U2450" s="52"/>
      <c r="V2450" s="4295"/>
      <c r="W2450" s="3262"/>
      <c r="X2450" s="3262"/>
      <c r="Y2450" s="3265"/>
      <c r="Z2450" s="3262"/>
      <c r="AA2450" s="3262"/>
      <c r="AB2450" s="3262"/>
      <c r="AC2450" s="3279">
        <v>0</v>
      </c>
      <c r="AD2450" s="3267">
        <v>0</v>
      </c>
      <c r="AE2450" s="3267">
        <v>0</v>
      </c>
      <c r="AF2450" s="2236">
        <f t="shared" si="299"/>
        <v>0</v>
      </c>
      <c r="AG2450" s="1396"/>
      <c r="DG2450" s="573"/>
      <c r="DH2450" s="159"/>
      <c r="DI2450" s="1091"/>
      <c r="DJ2450" s="1187"/>
    </row>
    <row r="2451" spans="1:114" ht="15" hidden="1" customHeight="1" outlineLevel="1">
      <c r="A2451" s="453"/>
      <c r="C2451" s="51"/>
      <c r="D2451" s="4295"/>
      <c r="E2451" s="4295"/>
      <c r="F2451" s="4347" t="str">
        <f>$E$1810</f>
        <v>ASHP-SEER19-Replace_CAC_NonElectricHeat_ER1_MF_CompE</v>
      </c>
      <c r="G2451" s="4347"/>
      <c r="H2451" s="4347"/>
      <c r="I2451" s="4347"/>
      <c r="J2451" s="3471" t="str">
        <f>$C$1810</f>
        <v>354461_2024_12_</v>
      </c>
      <c r="K2451" s="3342">
        <v>0</v>
      </c>
      <c r="L2451" s="3479"/>
      <c r="M2451" s="2962" t="s">
        <v>2500</v>
      </c>
      <c r="S2451" s="52"/>
      <c r="T2451" s="52"/>
      <c r="U2451" s="52"/>
      <c r="V2451" s="4295"/>
      <c r="W2451" s="3262"/>
      <c r="X2451" s="3262"/>
      <c r="Y2451" s="3265"/>
      <c r="Z2451" s="3262"/>
      <c r="AA2451" s="3262"/>
      <c r="AB2451" s="3262"/>
      <c r="AC2451" s="3279">
        <v>0</v>
      </c>
      <c r="AD2451" s="3267">
        <v>0</v>
      </c>
      <c r="AE2451" s="3267">
        <v>0</v>
      </c>
      <c r="AF2451" s="2236">
        <f t="shared" si="299"/>
        <v>0</v>
      </c>
      <c r="AG2451" s="1396"/>
      <c r="DG2451" s="573"/>
      <c r="DH2451" s="159"/>
      <c r="DI2451" s="1091"/>
      <c r="DJ2451" s="1187"/>
    </row>
    <row r="2452" spans="1:114" ht="15" hidden="1" customHeight="1" outlineLevel="1">
      <c r="A2452" s="453"/>
      <c r="C2452" s="51"/>
      <c r="D2452" s="4295"/>
      <c r="E2452" s="4295"/>
      <c r="F2452" s="4347" t="str">
        <f>$E$1812</f>
        <v>ASHP-SEER19-Replace_CAC_NonElectricHeat_ER2_MF_CompE</v>
      </c>
      <c r="G2452" s="4347"/>
      <c r="H2452" s="4347"/>
      <c r="I2452" s="4347"/>
      <c r="J2452" s="3471" t="str">
        <f>$C$1812</f>
        <v>354461_2024_12_</v>
      </c>
      <c r="K2452" s="3342">
        <v>0</v>
      </c>
      <c r="L2452" s="3479"/>
      <c r="M2452" s="2962" t="s">
        <v>2500</v>
      </c>
      <c r="S2452" s="52"/>
      <c r="T2452" s="52"/>
      <c r="U2452" s="52"/>
      <c r="V2452" s="4295"/>
      <c r="W2452" s="1396"/>
      <c r="X2452" s="1396"/>
      <c r="Y2452" s="833"/>
      <c r="Z2452" s="1396"/>
      <c r="AA2452" s="1396"/>
      <c r="AB2452" s="1396"/>
      <c r="AC2452" s="3279">
        <v>0</v>
      </c>
      <c r="AD2452" s="3267">
        <v>0</v>
      </c>
      <c r="AE2452" s="3267">
        <v>0</v>
      </c>
      <c r="AF2452" s="2236">
        <f t="shared" si="299"/>
        <v>0</v>
      </c>
      <c r="AG2452" s="1396"/>
      <c r="DG2452" s="573"/>
      <c r="DH2452" s="159"/>
      <c r="DI2452" s="1091"/>
      <c r="DJ2452" s="1187"/>
    </row>
    <row r="2453" spans="1:114" ht="15" hidden="1" customHeight="1" outlineLevel="1">
      <c r="A2453" s="453"/>
      <c r="C2453" s="51"/>
      <c r="D2453" s="4295"/>
      <c r="E2453" s="4295"/>
      <c r="F2453" s="4307" t="str">
        <f>$E$1814</f>
        <v>ASHP-SEER19_ER1_MF</v>
      </c>
      <c r="G2453" s="4307"/>
      <c r="H2453" s="4307"/>
      <c r="I2453" s="4307"/>
      <c r="J2453" s="1029" t="str">
        <f>$C$1814</f>
        <v>354500_2024_12_</v>
      </c>
      <c r="K2453" s="1790">
        <v>6.58</v>
      </c>
      <c r="L2453" s="262"/>
      <c r="M2453" s="1442" t="s">
        <v>2501</v>
      </c>
      <c r="S2453" s="52"/>
      <c r="T2453" s="52"/>
      <c r="U2453" s="52"/>
      <c r="V2453" s="4295"/>
      <c r="W2453" s="1396">
        <v>5.44</v>
      </c>
      <c r="X2453" s="833">
        <v>6.58</v>
      </c>
      <c r="Y2453" s="1396">
        <v>6.58</v>
      </c>
      <c r="Z2453" s="1396">
        <v>6.58</v>
      </c>
      <c r="AA2453" s="1396">
        <v>6.58</v>
      </c>
      <c r="AB2453" s="1396">
        <v>6.58</v>
      </c>
      <c r="AC2453" s="1396">
        <v>6.58</v>
      </c>
      <c r="AD2453" s="1396">
        <v>6.58</v>
      </c>
      <c r="AE2453" s="1396">
        <v>6.58</v>
      </c>
      <c r="AF2453" s="271">
        <f t="shared" si="299"/>
        <v>6.58</v>
      </c>
      <c r="AG2453" s="1396"/>
      <c r="DG2453" s="573"/>
      <c r="DH2453" s="159"/>
      <c r="DI2453" s="1091"/>
      <c r="DJ2453" s="1187"/>
    </row>
    <row r="2454" spans="1:114" ht="15" hidden="1" customHeight="1" outlineLevel="1">
      <c r="A2454" s="453"/>
      <c r="C2454" s="51"/>
      <c r="D2454" s="4295"/>
      <c r="E2454" s="4295"/>
      <c r="F2454" s="4307" t="str">
        <f>$E$1816</f>
        <v>ASHP-SEER19_ER2_MF</v>
      </c>
      <c r="G2454" s="4307"/>
      <c r="H2454" s="4307"/>
      <c r="I2454" s="4307"/>
      <c r="J2454" s="1029" t="str">
        <f>$C$1816</f>
        <v>354500_2024_12_</v>
      </c>
      <c r="K2454" s="1794">
        <v>7.5</v>
      </c>
      <c r="L2454" s="262"/>
      <c r="M2454" s="1378" t="s">
        <v>1941</v>
      </c>
      <c r="S2454" s="52"/>
      <c r="T2454" s="52"/>
      <c r="U2454" s="52"/>
      <c r="V2454" s="4295"/>
      <c r="W2454" s="1396">
        <v>8.1999999999999993</v>
      </c>
      <c r="X2454" s="1396">
        <v>8.1999999999999993</v>
      </c>
      <c r="Y2454" s="1396">
        <v>8.1999999999999993</v>
      </c>
      <c r="Z2454" s="1396">
        <v>8.1999999999999993</v>
      </c>
      <c r="AA2454" s="1396">
        <v>8.1999999999999993</v>
      </c>
      <c r="AB2454" s="1396">
        <v>8.1999999999999993</v>
      </c>
      <c r="AC2454" s="1396">
        <v>8.1999999999999993</v>
      </c>
      <c r="AD2454" s="1396">
        <v>8.1999999999999993</v>
      </c>
      <c r="AE2454" s="833">
        <v>8.6</v>
      </c>
      <c r="AF2454" s="271">
        <f t="shared" si="299"/>
        <v>7.5</v>
      </c>
      <c r="AG2454" s="1396"/>
      <c r="DG2454" s="573"/>
      <c r="DH2454" s="159"/>
      <c r="DI2454" s="1091"/>
      <c r="DJ2454" s="1187"/>
    </row>
    <row r="2455" spans="1:114" ht="15" hidden="1" customHeight="1" outlineLevel="1">
      <c r="A2455" s="453"/>
      <c r="C2455" s="51"/>
      <c r="D2455" s="4295"/>
      <c r="E2455" s="4295"/>
      <c r="F2455" s="4347" t="str">
        <f>$E$1818</f>
        <v>ASHP-SEER19_ER1_MF_CompE</v>
      </c>
      <c r="G2455" s="4347"/>
      <c r="H2455" s="4347"/>
      <c r="I2455" s="4347"/>
      <c r="J2455" s="3471" t="str">
        <f>$C$1818</f>
        <v>354501_2024_12_</v>
      </c>
      <c r="K2455" s="3263">
        <v>6.58</v>
      </c>
      <c r="L2455" s="3479"/>
      <c r="M2455" s="2962" t="s">
        <v>2501</v>
      </c>
      <c r="S2455" s="52"/>
      <c r="T2455" s="52"/>
      <c r="U2455" s="52"/>
      <c r="V2455" s="4295"/>
      <c r="W2455" s="3262"/>
      <c r="X2455" s="3262"/>
      <c r="Y2455" s="3265">
        <v>6.58</v>
      </c>
      <c r="Z2455" s="3262">
        <v>6.58</v>
      </c>
      <c r="AA2455" s="3262">
        <v>6.58</v>
      </c>
      <c r="AB2455" s="3262">
        <v>6.58</v>
      </c>
      <c r="AC2455" s="3262">
        <v>6.58</v>
      </c>
      <c r="AD2455" s="3262">
        <v>6.58</v>
      </c>
      <c r="AE2455" s="3262">
        <v>6.58</v>
      </c>
      <c r="AF2455" s="2236">
        <f t="shared" si="299"/>
        <v>6.58</v>
      </c>
      <c r="AG2455" s="1396"/>
      <c r="DG2455" s="573"/>
      <c r="DH2455" s="159"/>
      <c r="DI2455" s="1091"/>
      <c r="DJ2455" s="1187"/>
    </row>
    <row r="2456" spans="1:114" ht="15" hidden="1" customHeight="1" outlineLevel="1">
      <c r="A2456" s="453"/>
      <c r="C2456" s="51"/>
      <c r="D2456" s="4295"/>
      <c r="E2456" s="4295"/>
      <c r="F2456" s="4347" t="str">
        <f>$E$1820</f>
        <v>ASHP-SEER19_ER2_MF_CompE</v>
      </c>
      <c r="G2456" s="4347"/>
      <c r="H2456" s="4347"/>
      <c r="I2456" s="4347"/>
      <c r="J2456" s="3471" t="str">
        <f>$C$1820</f>
        <v>354501_2024_12_</v>
      </c>
      <c r="K2456" s="3344">
        <v>7.5</v>
      </c>
      <c r="L2456" s="3479"/>
      <c r="M2456" s="2425" t="s">
        <v>1941</v>
      </c>
      <c r="S2456" s="52"/>
      <c r="T2456" s="52"/>
      <c r="U2456" s="52"/>
      <c r="V2456" s="4295"/>
      <c r="W2456" s="3262"/>
      <c r="X2456" s="3262"/>
      <c r="Y2456" s="3265">
        <v>8.1999999999999993</v>
      </c>
      <c r="Z2456" s="3262">
        <v>8.1999999999999993</v>
      </c>
      <c r="AA2456" s="3262">
        <v>8.1999999999999993</v>
      </c>
      <c r="AB2456" s="3262">
        <v>8.1999999999999993</v>
      </c>
      <c r="AC2456" s="3262">
        <v>8.1999999999999993</v>
      </c>
      <c r="AD2456" s="3262">
        <v>8.1999999999999993</v>
      </c>
      <c r="AE2456" s="3265">
        <v>8.6</v>
      </c>
      <c r="AF2456" s="2236">
        <f t="shared" si="299"/>
        <v>7.5</v>
      </c>
      <c r="AG2456" s="1396"/>
      <c r="DG2456" s="573"/>
      <c r="DH2456" s="159"/>
      <c r="DI2456" s="1091"/>
      <c r="DJ2456" s="1187"/>
    </row>
    <row r="2457" spans="1:114" ht="15" hidden="1" customHeight="1" outlineLevel="1">
      <c r="A2457" s="453"/>
      <c r="C2457" s="51"/>
      <c r="D2457" s="4295"/>
      <c r="E2457" s="4295"/>
      <c r="F2457" s="4307" t="str">
        <f>$E$1822</f>
        <v>ASHP-SEER20_ER1_SF</v>
      </c>
      <c r="G2457" s="4307"/>
      <c r="H2457" s="4307"/>
      <c r="I2457" s="4307"/>
      <c r="J2457" s="1029" t="str">
        <f>$C$1822</f>
        <v>354550_2024_12_</v>
      </c>
      <c r="K2457" s="1790">
        <v>6.58</v>
      </c>
      <c r="L2457" s="262"/>
      <c r="M2457" s="1442" t="s">
        <v>1949</v>
      </c>
      <c r="S2457" s="52"/>
      <c r="T2457" s="52"/>
      <c r="U2457" s="52"/>
      <c r="V2457" s="4295"/>
      <c r="W2457" s="1396">
        <v>5.44</v>
      </c>
      <c r="X2457" s="833">
        <v>6.58</v>
      </c>
      <c r="Y2457" s="1396">
        <v>6.58</v>
      </c>
      <c r="Z2457" s="1396">
        <v>6.58</v>
      </c>
      <c r="AA2457" s="1396">
        <v>6.58</v>
      </c>
      <c r="AB2457" s="1396">
        <v>6.58</v>
      </c>
      <c r="AC2457" s="1396">
        <v>6.58</v>
      </c>
      <c r="AD2457" s="1396">
        <v>6.58</v>
      </c>
      <c r="AE2457" s="1396">
        <v>6.58</v>
      </c>
      <c r="AF2457" s="271">
        <f t="shared" si="299"/>
        <v>6.58</v>
      </c>
      <c r="AG2457" s="1396"/>
      <c r="DG2457" s="573"/>
      <c r="DH2457" s="159"/>
      <c r="DI2457" s="1091"/>
      <c r="DJ2457" s="1187"/>
    </row>
    <row r="2458" spans="1:114" ht="15" hidden="1" customHeight="1" outlineLevel="1">
      <c r="A2458" s="453"/>
      <c r="C2458" s="51"/>
      <c r="D2458" s="4295"/>
      <c r="E2458" s="4295"/>
      <c r="F2458" s="4307" t="str">
        <f>$E$1824</f>
        <v>ASHP-SEER20_ER2_SF</v>
      </c>
      <c r="G2458" s="4307"/>
      <c r="H2458" s="4307"/>
      <c r="I2458" s="4307"/>
      <c r="J2458" s="1029" t="str">
        <f>$C$1824</f>
        <v>354550_2024_12_</v>
      </c>
      <c r="K2458" s="1794">
        <v>7.5</v>
      </c>
      <c r="L2458" s="262"/>
      <c r="M2458" s="1378" t="s">
        <v>1941</v>
      </c>
      <c r="S2458" s="52"/>
      <c r="T2458" s="52"/>
      <c r="U2458" s="52"/>
      <c r="V2458" s="4295"/>
      <c r="W2458" s="1396">
        <v>8.1999999999999993</v>
      </c>
      <c r="X2458" s="1396">
        <v>8.1999999999999993</v>
      </c>
      <c r="Y2458" s="1396">
        <v>8.1999999999999993</v>
      </c>
      <c r="Z2458" s="1396">
        <v>8.1999999999999993</v>
      </c>
      <c r="AA2458" s="1396">
        <v>8.1999999999999993</v>
      </c>
      <c r="AB2458" s="1396">
        <v>8.1999999999999993</v>
      </c>
      <c r="AC2458" s="1396">
        <v>8.1999999999999993</v>
      </c>
      <c r="AD2458" s="1396">
        <v>8.1999999999999993</v>
      </c>
      <c r="AE2458" s="833">
        <v>8.6</v>
      </c>
      <c r="AF2458" s="271">
        <f t="shared" si="299"/>
        <v>7.5</v>
      </c>
      <c r="AG2458" s="1396"/>
      <c r="DG2458" s="573"/>
      <c r="DH2458" s="159"/>
      <c r="DI2458" s="1091"/>
      <c r="DJ2458" s="1187"/>
    </row>
    <row r="2459" spans="1:114" ht="15" hidden="1" customHeight="1" outlineLevel="1">
      <c r="A2459" s="453"/>
      <c r="C2459" s="51"/>
      <c r="D2459" s="4295"/>
      <c r="E2459" s="4295"/>
      <c r="F2459" s="4307" t="str">
        <f>$E$1826</f>
        <v>ASHP-SEER20_ROF_SF</v>
      </c>
      <c r="G2459" s="4307"/>
      <c r="H2459" s="4307"/>
      <c r="I2459" s="4307"/>
      <c r="J2459" s="1029" t="str">
        <f>$C$1826</f>
        <v>354600_2024_12_</v>
      </c>
      <c r="K2459" s="1794">
        <v>7.5</v>
      </c>
      <c r="L2459" s="262"/>
      <c r="M2459" s="1378" t="s">
        <v>1941</v>
      </c>
      <c r="S2459" s="52"/>
      <c r="T2459" s="52"/>
      <c r="U2459" s="52"/>
      <c r="V2459" s="4295"/>
      <c r="W2459" s="1396">
        <v>8.1999999999999993</v>
      </c>
      <c r="X2459" s="1396">
        <v>8.1999999999999993</v>
      </c>
      <c r="Y2459" s="1396">
        <v>8.1999999999999993</v>
      </c>
      <c r="Z2459" s="1396">
        <v>8.1999999999999993</v>
      </c>
      <c r="AA2459" s="1396">
        <v>8.1999999999999993</v>
      </c>
      <c r="AB2459" s="1396">
        <v>8.1999999999999993</v>
      </c>
      <c r="AC2459" s="1396">
        <v>8.1999999999999993</v>
      </c>
      <c r="AD2459" s="1396">
        <v>8.1999999999999993</v>
      </c>
      <c r="AE2459" s="833">
        <v>8.6</v>
      </c>
      <c r="AF2459" s="271">
        <f t="shared" si="299"/>
        <v>7.5</v>
      </c>
      <c r="AG2459" s="1396"/>
      <c r="DG2459" s="573"/>
      <c r="DH2459" s="159"/>
      <c r="DI2459" s="1091"/>
      <c r="DJ2459" s="1187"/>
    </row>
    <row r="2460" spans="1:114" ht="15" hidden="1" customHeight="1" outlineLevel="1">
      <c r="A2460" s="453"/>
      <c r="C2460" s="51"/>
      <c r="D2460" s="4295"/>
      <c r="E2460" s="4295"/>
      <c r="F2460" s="4307" t="str">
        <f>$E$1828</f>
        <v>ASHP-SEER20-Replace_CAC_ElectricHeat_ER1_MF</v>
      </c>
      <c r="G2460" s="4307"/>
      <c r="H2460" s="4307"/>
      <c r="I2460" s="4307"/>
      <c r="J2460" s="1029" t="str">
        <f>$C$1828</f>
        <v>354650_2024_12_</v>
      </c>
      <c r="K2460" s="1790">
        <v>3.41</v>
      </c>
      <c r="L2460" s="262"/>
      <c r="M2460" s="1442" t="s">
        <v>2501</v>
      </c>
      <c r="S2460" s="52"/>
      <c r="T2460" s="52"/>
      <c r="U2460" s="52"/>
      <c r="V2460" s="4295"/>
      <c r="W2460" s="1396">
        <v>3.41</v>
      </c>
      <c r="X2460" s="1396">
        <v>3.41</v>
      </c>
      <c r="Y2460" s="1396">
        <v>3.41</v>
      </c>
      <c r="Z2460" s="1396">
        <v>3.41</v>
      </c>
      <c r="AA2460" s="1396">
        <v>3.41</v>
      </c>
      <c r="AB2460" s="1396">
        <v>3.41</v>
      </c>
      <c r="AC2460" s="1396">
        <v>3.41</v>
      </c>
      <c r="AD2460" s="1396">
        <v>3.41</v>
      </c>
      <c r="AE2460" s="1396">
        <v>3.41</v>
      </c>
      <c r="AF2460" s="271">
        <f t="shared" si="299"/>
        <v>3.41</v>
      </c>
      <c r="AG2460" s="1396"/>
      <c r="DG2460" s="573"/>
      <c r="DH2460" s="159"/>
      <c r="DI2460" s="1091"/>
      <c r="DJ2460" s="1187"/>
    </row>
    <row r="2461" spans="1:114" ht="15" hidden="1" customHeight="1" outlineLevel="1">
      <c r="A2461" s="453"/>
      <c r="C2461" s="51"/>
      <c r="D2461" s="4295"/>
      <c r="E2461" s="4295"/>
      <c r="F2461" s="4307" t="str">
        <f>$E$1830</f>
        <v>ASHP-SEER20-Replace_CAC_ElectricHeat_ER2_MF</v>
      </c>
      <c r="G2461" s="4307"/>
      <c r="H2461" s="4307"/>
      <c r="I2461" s="4307"/>
      <c r="J2461" s="1029" t="str">
        <f>$C$1830</f>
        <v>354650_2024_12_</v>
      </c>
      <c r="K2461" s="1790">
        <v>3.41</v>
      </c>
      <c r="L2461" s="262"/>
      <c r="M2461" s="1442" t="s">
        <v>2501</v>
      </c>
      <c r="S2461" s="52"/>
      <c r="T2461" s="52"/>
      <c r="U2461" s="52"/>
      <c r="V2461" s="4295"/>
      <c r="W2461" s="1396">
        <v>3.41</v>
      </c>
      <c r="X2461" s="1396">
        <v>3.41</v>
      </c>
      <c r="Y2461" s="1396">
        <v>3.41</v>
      </c>
      <c r="Z2461" s="1396">
        <v>3.41</v>
      </c>
      <c r="AA2461" s="1396">
        <v>3.41</v>
      </c>
      <c r="AB2461" s="1396">
        <v>3.41</v>
      </c>
      <c r="AC2461" s="1396">
        <v>3.41</v>
      </c>
      <c r="AD2461" s="1396">
        <v>3.41</v>
      </c>
      <c r="AE2461" s="1396">
        <v>3.41</v>
      </c>
      <c r="AF2461" s="271">
        <f t="shared" si="299"/>
        <v>3.41</v>
      </c>
      <c r="AG2461" s="1396"/>
      <c r="DG2461" s="573"/>
      <c r="DH2461" s="159"/>
      <c r="DI2461" s="1091"/>
      <c r="DJ2461" s="1187"/>
    </row>
    <row r="2462" spans="1:114" ht="15" hidden="1" customHeight="1" outlineLevel="1">
      <c r="A2462" s="453"/>
      <c r="C2462" s="51"/>
      <c r="D2462" s="4295"/>
      <c r="E2462" s="4295"/>
      <c r="F2462" s="4347" t="str">
        <f>$E$1832</f>
        <v>ASHP-SEER20-Replace_CAC_ElectricHeat_ER1_MF_CompE</v>
      </c>
      <c r="G2462" s="4347"/>
      <c r="H2462" s="4347"/>
      <c r="I2462" s="4347"/>
      <c r="J2462" s="3471" t="str">
        <f>$C$1832</f>
        <v>354651_2024_12_</v>
      </c>
      <c r="K2462" s="3263">
        <v>3.41</v>
      </c>
      <c r="L2462" s="3479"/>
      <c r="M2462" s="2962" t="s">
        <v>2501</v>
      </c>
      <c r="S2462" s="52"/>
      <c r="T2462" s="52"/>
      <c r="U2462" s="52"/>
      <c r="V2462" s="4295"/>
      <c r="W2462" s="3262"/>
      <c r="X2462" s="3262"/>
      <c r="Y2462" s="3265">
        <v>3.41</v>
      </c>
      <c r="Z2462" s="3262">
        <v>3.41</v>
      </c>
      <c r="AA2462" s="3262">
        <v>3.41</v>
      </c>
      <c r="AB2462" s="3262">
        <v>3.41</v>
      </c>
      <c r="AC2462" s="3262">
        <v>3.41</v>
      </c>
      <c r="AD2462" s="3262">
        <v>3.41</v>
      </c>
      <c r="AE2462" s="3262">
        <v>3.41</v>
      </c>
      <c r="AF2462" s="2236">
        <f t="shared" si="299"/>
        <v>3.41</v>
      </c>
      <c r="AG2462" s="1396"/>
      <c r="DG2462" s="573"/>
      <c r="DH2462" s="159"/>
      <c r="DI2462" s="1091"/>
      <c r="DJ2462" s="1187"/>
    </row>
    <row r="2463" spans="1:114" ht="15" hidden="1" customHeight="1" outlineLevel="1">
      <c r="A2463" s="453"/>
      <c r="C2463" s="51"/>
      <c r="D2463" s="4295"/>
      <c r="E2463" s="4295"/>
      <c r="F2463" s="4347" t="str">
        <f>$E$1834</f>
        <v>ASHP-SEER20-Replace_CAC_ElectricHeat_ER2_MF_CompE</v>
      </c>
      <c r="G2463" s="4347"/>
      <c r="H2463" s="4347"/>
      <c r="I2463" s="4347"/>
      <c r="J2463" s="3471" t="str">
        <f>$C$1834</f>
        <v>354651_2024_12_</v>
      </c>
      <c r="K2463" s="3263">
        <v>3.41</v>
      </c>
      <c r="L2463" s="3479"/>
      <c r="M2463" s="2962" t="s">
        <v>2501</v>
      </c>
      <c r="S2463" s="52"/>
      <c r="T2463" s="52"/>
      <c r="U2463" s="52"/>
      <c r="V2463" s="4295"/>
      <c r="W2463" s="3262"/>
      <c r="X2463" s="3262"/>
      <c r="Y2463" s="3265">
        <v>3.41</v>
      </c>
      <c r="Z2463" s="3262">
        <v>3.41</v>
      </c>
      <c r="AA2463" s="3262">
        <v>3.41</v>
      </c>
      <c r="AB2463" s="3262">
        <v>3.41</v>
      </c>
      <c r="AC2463" s="3262">
        <v>3.41</v>
      </c>
      <c r="AD2463" s="3262">
        <v>3.41</v>
      </c>
      <c r="AE2463" s="3262">
        <v>3.41</v>
      </c>
      <c r="AF2463" s="2236">
        <f t="shared" si="299"/>
        <v>3.41</v>
      </c>
      <c r="AG2463" s="1396"/>
      <c r="DG2463" s="573"/>
      <c r="DH2463" s="159"/>
      <c r="DI2463" s="1091"/>
      <c r="DJ2463" s="1187"/>
    </row>
    <row r="2464" spans="1:114" ht="15" hidden="1" customHeight="1" outlineLevel="1">
      <c r="A2464" s="453"/>
      <c r="C2464" s="51"/>
      <c r="D2464" s="4295"/>
      <c r="E2464" s="4295"/>
      <c r="F2464" s="4347" t="str">
        <f>$E$1836</f>
        <v>ASHP-SEER20-Replace_CAC_NonElectricHeat_ER1_MF</v>
      </c>
      <c r="G2464" s="4347"/>
      <c r="H2464" s="4347"/>
      <c r="I2464" s="4347"/>
      <c r="J2464" s="3471" t="str">
        <f>$C$1836</f>
        <v>354660_2024_12_</v>
      </c>
      <c r="K2464" s="3342">
        <v>0</v>
      </c>
      <c r="L2464" s="3479"/>
      <c r="M2464" s="2962" t="s">
        <v>2500</v>
      </c>
      <c r="S2464" s="52"/>
      <c r="T2464" s="52"/>
      <c r="U2464" s="52"/>
      <c r="V2464" s="4295"/>
      <c r="W2464" s="3262"/>
      <c r="X2464" s="3262"/>
      <c r="Y2464" s="3265"/>
      <c r="Z2464" s="3262"/>
      <c r="AA2464" s="3262"/>
      <c r="AB2464" s="3262"/>
      <c r="AC2464" s="3279">
        <v>0</v>
      </c>
      <c r="AD2464" s="3267">
        <v>0</v>
      </c>
      <c r="AE2464" s="3267">
        <v>0</v>
      </c>
      <c r="AF2464" s="2236">
        <f t="shared" si="299"/>
        <v>0</v>
      </c>
      <c r="AG2464" s="1396"/>
      <c r="DG2464" s="573"/>
      <c r="DH2464" s="159"/>
      <c r="DI2464" s="1091"/>
      <c r="DJ2464" s="1187"/>
    </row>
    <row r="2465" spans="1:114" ht="15" hidden="1" customHeight="1" outlineLevel="1">
      <c r="A2465" s="453"/>
      <c r="C2465" s="51"/>
      <c r="D2465" s="4295"/>
      <c r="E2465" s="4295"/>
      <c r="F2465" s="4347" t="str">
        <f>$E$1838</f>
        <v>ASHP-SEER20-Replace_CAC_NonElectricHeat_ER2_MF</v>
      </c>
      <c r="G2465" s="4347"/>
      <c r="H2465" s="4347"/>
      <c r="I2465" s="4347"/>
      <c r="J2465" s="3471" t="str">
        <f>$C$1838</f>
        <v>354660_2024_12_</v>
      </c>
      <c r="K2465" s="3342">
        <v>0</v>
      </c>
      <c r="L2465" s="3479"/>
      <c r="M2465" s="2962" t="s">
        <v>2500</v>
      </c>
      <c r="S2465" s="52"/>
      <c r="T2465" s="52"/>
      <c r="U2465" s="52"/>
      <c r="V2465" s="4295"/>
      <c r="W2465" s="3262"/>
      <c r="X2465" s="3262"/>
      <c r="Y2465" s="3265"/>
      <c r="Z2465" s="3262"/>
      <c r="AA2465" s="3262"/>
      <c r="AB2465" s="3262"/>
      <c r="AC2465" s="3279">
        <v>0</v>
      </c>
      <c r="AD2465" s="3267">
        <v>0</v>
      </c>
      <c r="AE2465" s="3267">
        <v>0</v>
      </c>
      <c r="AF2465" s="2236">
        <f t="shared" si="299"/>
        <v>0</v>
      </c>
      <c r="AG2465" s="1396"/>
      <c r="DG2465" s="573"/>
      <c r="DH2465" s="159"/>
      <c r="DI2465" s="1091"/>
      <c r="DJ2465" s="1187"/>
    </row>
    <row r="2466" spans="1:114" ht="15" hidden="1" customHeight="1" outlineLevel="1">
      <c r="A2466" s="453"/>
      <c r="C2466" s="51"/>
      <c r="D2466" s="4295"/>
      <c r="E2466" s="4295"/>
      <c r="F2466" s="4347" t="str">
        <f>$E$1840</f>
        <v>ASHP-SEER20-Replace_CAC_NonElectricHeat_ER1_MF_CompE</v>
      </c>
      <c r="G2466" s="4347"/>
      <c r="H2466" s="4347"/>
      <c r="I2466" s="4347"/>
      <c r="J2466" s="3471" t="str">
        <f>$C$1840</f>
        <v>354661_2024_12_</v>
      </c>
      <c r="K2466" s="3342">
        <v>0</v>
      </c>
      <c r="L2466" s="3479"/>
      <c r="M2466" s="2962" t="s">
        <v>2500</v>
      </c>
      <c r="S2466" s="52"/>
      <c r="T2466" s="52"/>
      <c r="U2466" s="52"/>
      <c r="V2466" s="4295"/>
      <c r="W2466" s="3262"/>
      <c r="X2466" s="3262"/>
      <c r="Y2466" s="3265"/>
      <c r="Z2466" s="3262"/>
      <c r="AA2466" s="3262"/>
      <c r="AB2466" s="3262"/>
      <c r="AC2466" s="3279">
        <v>0</v>
      </c>
      <c r="AD2466" s="3267">
        <v>0</v>
      </c>
      <c r="AE2466" s="3267">
        <v>0</v>
      </c>
      <c r="AF2466" s="2236">
        <f t="shared" si="299"/>
        <v>0</v>
      </c>
      <c r="AG2466" s="1396"/>
      <c r="DG2466" s="573"/>
      <c r="DH2466" s="159"/>
      <c r="DI2466" s="1091"/>
      <c r="DJ2466" s="1187"/>
    </row>
    <row r="2467" spans="1:114" ht="15" hidden="1" customHeight="1" outlineLevel="1">
      <c r="A2467" s="453"/>
      <c r="C2467" s="51"/>
      <c r="D2467" s="4295"/>
      <c r="E2467" s="4295"/>
      <c r="F2467" s="4347" t="str">
        <f>$E$1842</f>
        <v>ASHP-SEER20-Replace_CAC_NonElectricHeat_ER2_MF_CompE</v>
      </c>
      <c r="G2467" s="4347"/>
      <c r="H2467" s="4347"/>
      <c r="I2467" s="4347"/>
      <c r="J2467" s="3471" t="str">
        <f>$C$1842</f>
        <v>354661_2024_12_</v>
      </c>
      <c r="K2467" s="3342">
        <v>0</v>
      </c>
      <c r="L2467" s="3479"/>
      <c r="M2467" s="2962" t="s">
        <v>2500</v>
      </c>
      <c r="S2467" s="52"/>
      <c r="T2467" s="52"/>
      <c r="U2467" s="52"/>
      <c r="V2467" s="4295"/>
      <c r="W2467" s="3262"/>
      <c r="X2467" s="3262"/>
      <c r="Y2467" s="3265"/>
      <c r="Z2467" s="3262"/>
      <c r="AA2467" s="3262"/>
      <c r="AB2467" s="3262"/>
      <c r="AC2467" s="3279">
        <v>0</v>
      </c>
      <c r="AD2467" s="3267">
        <v>0</v>
      </c>
      <c r="AE2467" s="3267">
        <v>0</v>
      </c>
      <c r="AF2467" s="2236">
        <f t="shared" si="299"/>
        <v>0</v>
      </c>
      <c r="AG2467" s="1396"/>
      <c r="DG2467" s="573"/>
      <c r="DH2467" s="159"/>
      <c r="DI2467" s="1091"/>
      <c r="DJ2467" s="1187"/>
    </row>
    <row r="2468" spans="1:114" ht="15" hidden="1" customHeight="1" outlineLevel="1">
      <c r="A2468" s="453"/>
      <c r="C2468" s="51"/>
      <c r="D2468" s="4295"/>
      <c r="E2468" s="4295"/>
      <c r="F2468" s="4307" t="str">
        <f>$E$1844</f>
        <v>ASHP-SEER20_ER1_MF</v>
      </c>
      <c r="G2468" s="4307"/>
      <c r="H2468" s="4307"/>
      <c r="I2468" s="4307"/>
      <c r="J2468" s="1029" t="str">
        <f>$C$1844</f>
        <v>354700_2024_12_</v>
      </c>
      <c r="K2468" s="1790">
        <v>6.58</v>
      </c>
      <c r="L2468" s="262"/>
      <c r="M2468" s="1442" t="s">
        <v>2501</v>
      </c>
      <c r="S2468" s="52"/>
      <c r="T2468" s="52"/>
      <c r="U2468" s="52"/>
      <c r="V2468" s="4295"/>
      <c r="W2468" s="1396">
        <v>5.44</v>
      </c>
      <c r="X2468" s="833">
        <v>6.58</v>
      </c>
      <c r="Y2468" s="1396">
        <v>6.58</v>
      </c>
      <c r="Z2468" s="1396">
        <v>6.58</v>
      </c>
      <c r="AA2468" s="1396">
        <v>6.58</v>
      </c>
      <c r="AB2468" s="1396">
        <v>6.58</v>
      </c>
      <c r="AC2468" s="1396">
        <v>6.58</v>
      </c>
      <c r="AD2468" s="1396">
        <v>6.58</v>
      </c>
      <c r="AE2468" s="1396">
        <v>6.58</v>
      </c>
      <c r="AF2468" s="271">
        <f t="shared" si="299"/>
        <v>6.58</v>
      </c>
      <c r="AG2468" s="1396"/>
      <c r="DG2468" s="573"/>
      <c r="DH2468" s="159"/>
      <c r="DI2468" s="1091"/>
      <c r="DJ2468" s="1187"/>
    </row>
    <row r="2469" spans="1:114" ht="15" hidden="1" customHeight="1" outlineLevel="1">
      <c r="A2469" s="453"/>
      <c r="C2469" s="51"/>
      <c r="D2469" s="4295"/>
      <c r="E2469" s="4295"/>
      <c r="F2469" s="4307" t="str">
        <f>$E$1846</f>
        <v>ASHP-SEER20_ER2_MF</v>
      </c>
      <c r="G2469" s="4307"/>
      <c r="H2469" s="4307"/>
      <c r="I2469" s="4307"/>
      <c r="J2469" s="1029" t="str">
        <f>$C$1846</f>
        <v>354700_2024_12_</v>
      </c>
      <c r="K2469" s="1794">
        <v>7.5</v>
      </c>
      <c r="L2469" s="262"/>
      <c r="M2469" s="1378" t="s">
        <v>1941</v>
      </c>
      <c r="S2469" s="52"/>
      <c r="T2469" s="52"/>
      <c r="U2469" s="52"/>
      <c r="V2469" s="4295"/>
      <c r="W2469" s="1396">
        <v>8.1999999999999993</v>
      </c>
      <c r="X2469" s="1396">
        <v>8.1999999999999993</v>
      </c>
      <c r="Y2469" s="1396">
        <v>8.1999999999999993</v>
      </c>
      <c r="Z2469" s="1396">
        <v>8.1999999999999993</v>
      </c>
      <c r="AA2469" s="1396">
        <v>8.1999999999999993</v>
      </c>
      <c r="AB2469" s="1396">
        <v>8.1999999999999993</v>
      </c>
      <c r="AC2469" s="1396">
        <v>8.1999999999999993</v>
      </c>
      <c r="AD2469" s="1396">
        <v>8.1999999999999993</v>
      </c>
      <c r="AE2469" s="833">
        <v>8.6</v>
      </c>
      <c r="AF2469" s="271">
        <f t="shared" si="299"/>
        <v>7.5</v>
      </c>
      <c r="AG2469" s="1396"/>
      <c r="DG2469" s="573"/>
      <c r="DH2469" s="159"/>
      <c r="DI2469" s="1091"/>
      <c r="DJ2469" s="1187"/>
    </row>
    <row r="2470" spans="1:114" ht="15" hidden="1" customHeight="1" outlineLevel="1">
      <c r="A2470" s="453"/>
      <c r="C2470" s="51"/>
      <c r="D2470" s="4295"/>
      <c r="E2470" s="4295"/>
      <c r="F2470" s="4347" t="str">
        <f>$E$1848</f>
        <v>ASHP-SEER20_ER1_MF_CompE</v>
      </c>
      <c r="G2470" s="4347"/>
      <c r="H2470" s="4347"/>
      <c r="I2470" s="4347"/>
      <c r="J2470" s="3471" t="str">
        <f>$C$1848</f>
        <v>354701_2024_12_</v>
      </c>
      <c r="K2470" s="3263">
        <v>6.58</v>
      </c>
      <c r="L2470" s="3479"/>
      <c r="M2470" s="2962" t="s">
        <v>2501</v>
      </c>
      <c r="S2470" s="52"/>
      <c r="T2470" s="52"/>
      <c r="U2470" s="52"/>
      <c r="V2470" s="4295"/>
      <c r="W2470" s="1396"/>
      <c r="X2470" s="1396"/>
      <c r="Y2470" s="3265">
        <v>6.58</v>
      </c>
      <c r="Z2470" s="3262">
        <v>6.58</v>
      </c>
      <c r="AA2470" s="3262">
        <v>6.58</v>
      </c>
      <c r="AB2470" s="3262">
        <v>6.58</v>
      </c>
      <c r="AC2470" s="3262">
        <v>6.58</v>
      </c>
      <c r="AD2470" s="3262">
        <v>6.58</v>
      </c>
      <c r="AE2470" s="3262">
        <v>6.58</v>
      </c>
      <c r="AF2470" s="2236">
        <f t="shared" si="299"/>
        <v>6.58</v>
      </c>
      <c r="AG2470" s="1396"/>
      <c r="DG2470" s="573"/>
      <c r="DH2470" s="159"/>
      <c r="DI2470" s="1091"/>
      <c r="DJ2470" s="1187"/>
    </row>
    <row r="2471" spans="1:114" ht="15" hidden="1" customHeight="1" outlineLevel="1">
      <c r="A2471" s="453"/>
      <c r="C2471" s="51"/>
      <c r="D2471" s="4295"/>
      <c r="E2471" s="4295"/>
      <c r="F2471" s="4347" t="str">
        <f>$E$1850</f>
        <v>ASHP-SEER20_ER2_MF_CompE</v>
      </c>
      <c r="G2471" s="4347"/>
      <c r="H2471" s="4347"/>
      <c r="I2471" s="4347"/>
      <c r="J2471" s="3471" t="str">
        <f>$C$1850</f>
        <v>354701_2024_12_</v>
      </c>
      <c r="K2471" s="3344">
        <v>7.5</v>
      </c>
      <c r="L2471" s="3479"/>
      <c r="M2471" s="2425" t="s">
        <v>1941</v>
      </c>
      <c r="S2471" s="52"/>
      <c r="T2471" s="52"/>
      <c r="U2471" s="52"/>
      <c r="V2471" s="4295"/>
      <c r="W2471" s="1396"/>
      <c r="X2471" s="1396"/>
      <c r="Y2471" s="3265">
        <v>8.1999999999999993</v>
      </c>
      <c r="Z2471" s="3262">
        <v>8.1999999999999993</v>
      </c>
      <c r="AA2471" s="3262">
        <v>8.1999999999999993</v>
      </c>
      <c r="AB2471" s="3262">
        <v>8.1999999999999993</v>
      </c>
      <c r="AC2471" s="3262">
        <v>8.1999999999999993</v>
      </c>
      <c r="AD2471" s="3262">
        <v>8.1999999999999993</v>
      </c>
      <c r="AE2471" s="3265">
        <v>8.6</v>
      </c>
      <c r="AF2471" s="2236">
        <f t="shared" si="299"/>
        <v>7.5</v>
      </c>
      <c r="AG2471" s="1396"/>
      <c r="DG2471" s="573"/>
      <c r="DH2471" s="159"/>
      <c r="DI2471" s="1091"/>
      <c r="DJ2471" s="1187"/>
    </row>
    <row r="2472" spans="1:114" ht="15" hidden="1" customHeight="1" outlineLevel="1">
      <c r="A2472" s="453"/>
      <c r="C2472" s="51"/>
      <c r="D2472" s="4295"/>
      <c r="E2472" s="4295"/>
      <c r="F2472" s="4307" t="str">
        <f>$E$1852</f>
        <v>ASHP-SEER21_ER1_SF</v>
      </c>
      <c r="G2472" s="4307"/>
      <c r="H2472" s="4307"/>
      <c r="I2472" s="4307"/>
      <c r="J2472" s="1029" t="str">
        <f>$C$1852</f>
        <v>354750_2024_12_</v>
      </c>
      <c r="K2472" s="1790">
        <v>6.58</v>
      </c>
      <c r="L2472" s="262"/>
      <c r="M2472" s="1442" t="s">
        <v>1949</v>
      </c>
      <c r="S2472" s="52"/>
      <c r="T2472" s="52"/>
      <c r="U2472" s="52"/>
      <c r="V2472" s="4295"/>
      <c r="W2472" s="1396">
        <v>5.44</v>
      </c>
      <c r="X2472" s="833">
        <v>6.58</v>
      </c>
      <c r="Y2472" s="1396">
        <v>6.58</v>
      </c>
      <c r="Z2472" s="1396">
        <v>6.58</v>
      </c>
      <c r="AA2472" s="1396">
        <v>6.58</v>
      </c>
      <c r="AB2472" s="1396">
        <v>6.58</v>
      </c>
      <c r="AC2472" s="1396">
        <v>6.58</v>
      </c>
      <c r="AD2472" s="1396">
        <v>6.58</v>
      </c>
      <c r="AE2472" s="1396">
        <v>6.58</v>
      </c>
      <c r="AF2472" s="271">
        <f t="shared" si="299"/>
        <v>6.58</v>
      </c>
      <c r="AG2472" s="1396"/>
      <c r="DG2472" s="573"/>
      <c r="DH2472" s="159"/>
      <c r="DI2472" s="1091"/>
      <c r="DJ2472" s="1187"/>
    </row>
    <row r="2473" spans="1:114" ht="15" hidden="1" customHeight="1" outlineLevel="1">
      <c r="A2473" s="453"/>
      <c r="C2473" s="51"/>
      <c r="D2473" s="4295"/>
      <c r="E2473" s="4295"/>
      <c r="F2473" s="4307" t="str">
        <f>$E$1854</f>
        <v>ASHP-SEER21_ER2_SF</v>
      </c>
      <c r="G2473" s="4307"/>
      <c r="H2473" s="4307"/>
      <c r="I2473" s="4307"/>
      <c r="J2473" s="1029" t="str">
        <f>$C$1854</f>
        <v>354750_2024_12_</v>
      </c>
      <c r="K2473" s="1794">
        <v>7.5</v>
      </c>
      <c r="L2473" s="262"/>
      <c r="M2473" s="1378" t="s">
        <v>1941</v>
      </c>
      <c r="S2473" s="52"/>
      <c r="T2473" s="52"/>
      <c r="U2473" s="52"/>
      <c r="V2473" s="4295"/>
      <c r="W2473" s="1396">
        <v>8.1999999999999993</v>
      </c>
      <c r="X2473" s="1396">
        <v>8.1999999999999993</v>
      </c>
      <c r="Y2473" s="1396">
        <v>8.1999999999999993</v>
      </c>
      <c r="Z2473" s="1396">
        <v>8.1999999999999993</v>
      </c>
      <c r="AA2473" s="1396">
        <v>8.1999999999999993</v>
      </c>
      <c r="AB2473" s="1396">
        <v>8.1999999999999993</v>
      </c>
      <c r="AC2473" s="1396">
        <v>8.1999999999999993</v>
      </c>
      <c r="AD2473" s="1396">
        <v>8.1999999999999993</v>
      </c>
      <c r="AE2473" s="833">
        <v>8.6</v>
      </c>
      <c r="AF2473" s="271">
        <f t="shared" si="299"/>
        <v>7.5</v>
      </c>
      <c r="AG2473" s="1396"/>
      <c r="DG2473" s="573"/>
      <c r="DH2473" s="159"/>
      <c r="DI2473" s="1091"/>
      <c r="DJ2473" s="1187"/>
    </row>
    <row r="2474" spans="1:114" ht="15" hidden="1" customHeight="1" outlineLevel="1">
      <c r="A2474" s="453"/>
      <c r="C2474" s="51"/>
      <c r="D2474" s="4295"/>
      <c r="E2474" s="4295"/>
      <c r="F2474" s="4307" t="str">
        <f>$E$1856</f>
        <v>ASHP-SEER21_ROF_SF</v>
      </c>
      <c r="G2474" s="4307"/>
      <c r="H2474" s="4307"/>
      <c r="I2474" s="4307"/>
      <c r="J2474" s="1029" t="str">
        <f>$C$1856</f>
        <v>354800_2024_12_</v>
      </c>
      <c r="K2474" s="1794">
        <v>7.5</v>
      </c>
      <c r="L2474" s="262"/>
      <c r="M2474" s="1378" t="s">
        <v>1941</v>
      </c>
      <c r="S2474" s="52"/>
      <c r="T2474" s="52"/>
      <c r="U2474" s="52"/>
      <c r="V2474" s="4295"/>
      <c r="W2474" s="1396">
        <v>8.1999999999999993</v>
      </c>
      <c r="X2474" s="1396">
        <v>8.1999999999999993</v>
      </c>
      <c r="Y2474" s="1396">
        <v>8.1999999999999993</v>
      </c>
      <c r="Z2474" s="1396">
        <v>8.1999999999999993</v>
      </c>
      <c r="AA2474" s="1396">
        <v>8.1999999999999993</v>
      </c>
      <c r="AB2474" s="1396">
        <v>8.1999999999999993</v>
      </c>
      <c r="AC2474" s="1396">
        <v>8.1999999999999993</v>
      </c>
      <c r="AD2474" s="1396">
        <v>8.1999999999999993</v>
      </c>
      <c r="AE2474" s="833">
        <v>8.6</v>
      </c>
      <c r="AF2474" s="271">
        <f t="shared" si="299"/>
        <v>7.5</v>
      </c>
      <c r="AG2474" s="1396"/>
      <c r="DG2474" s="573"/>
      <c r="DH2474" s="159"/>
      <c r="DI2474" s="1091"/>
      <c r="DJ2474" s="1187"/>
    </row>
    <row r="2475" spans="1:114" ht="15" hidden="1" customHeight="1" outlineLevel="1">
      <c r="A2475" s="453"/>
      <c r="C2475" s="51"/>
      <c r="D2475" s="4295"/>
      <c r="E2475" s="4295"/>
      <c r="F2475" s="4307" t="str">
        <f>$E$1858</f>
        <v>ASHP-SEER21-Replace_CAC_ElectricHeat_ROF_MF</v>
      </c>
      <c r="G2475" s="4307"/>
      <c r="H2475" s="4307"/>
      <c r="I2475" s="4307"/>
      <c r="J2475" s="1029" t="str">
        <f>$C$1858</f>
        <v>354850_2024_12_</v>
      </c>
      <c r="K2475" s="1790">
        <v>3.41</v>
      </c>
      <c r="L2475" s="262"/>
      <c r="M2475" s="1442" t="s">
        <v>2501</v>
      </c>
      <c r="S2475" s="52"/>
      <c r="T2475" s="52"/>
      <c r="U2475" s="52"/>
      <c r="V2475" s="4295"/>
      <c r="W2475" s="1396">
        <v>3.41</v>
      </c>
      <c r="X2475" s="1396">
        <v>3.41</v>
      </c>
      <c r="Y2475" s="1396">
        <v>3.41</v>
      </c>
      <c r="Z2475" s="1396">
        <v>3.41</v>
      </c>
      <c r="AA2475" s="1396">
        <v>3.41</v>
      </c>
      <c r="AB2475" s="1396">
        <v>3.41</v>
      </c>
      <c r="AC2475" s="1396">
        <v>3.41</v>
      </c>
      <c r="AD2475" s="1396">
        <v>3.41</v>
      </c>
      <c r="AE2475" s="1396">
        <v>3.41</v>
      </c>
      <c r="AF2475" s="271">
        <f t="shared" si="299"/>
        <v>3.41</v>
      </c>
      <c r="AG2475" s="1396"/>
      <c r="DG2475" s="573"/>
      <c r="DH2475" s="159"/>
      <c r="DI2475" s="1091"/>
      <c r="DJ2475" s="1187"/>
    </row>
    <row r="2476" spans="1:114" ht="15" hidden="1" customHeight="1" outlineLevel="1">
      <c r="A2476" s="453"/>
      <c r="C2476" s="51"/>
      <c r="D2476" s="4295"/>
      <c r="E2476" s="4295"/>
      <c r="F2476" s="4347" t="str">
        <f>$E$1860</f>
        <v>ASHP-SEER21-Replace_CAC_ElectricHeat_ROF_MF_CompE</v>
      </c>
      <c r="G2476" s="4347"/>
      <c r="H2476" s="4347"/>
      <c r="I2476" s="4347"/>
      <c r="J2476" s="3471" t="str">
        <f>$C$1860</f>
        <v>354851_2024_12_</v>
      </c>
      <c r="K2476" s="3263">
        <v>3.41</v>
      </c>
      <c r="L2476" s="3479"/>
      <c r="M2476" s="2962" t="s">
        <v>2501</v>
      </c>
      <c r="S2476" s="52"/>
      <c r="T2476" s="52"/>
      <c r="U2476" s="52"/>
      <c r="V2476" s="4295"/>
      <c r="W2476" s="3262"/>
      <c r="X2476" s="3262"/>
      <c r="Y2476" s="3265">
        <v>3.41</v>
      </c>
      <c r="Z2476" s="3262">
        <v>3.41</v>
      </c>
      <c r="AA2476" s="3262">
        <v>3.41</v>
      </c>
      <c r="AB2476" s="3262">
        <v>3.41</v>
      </c>
      <c r="AC2476" s="3262">
        <v>3.41</v>
      </c>
      <c r="AD2476" s="3262">
        <v>3.41</v>
      </c>
      <c r="AE2476" s="3262">
        <v>3.41</v>
      </c>
      <c r="AF2476" s="2236">
        <f t="shared" si="299"/>
        <v>3.41</v>
      </c>
      <c r="AG2476" s="1396"/>
      <c r="DG2476" s="573"/>
      <c r="DH2476" s="159"/>
      <c r="DI2476" s="1091"/>
      <c r="DJ2476" s="1187"/>
    </row>
    <row r="2477" spans="1:114" ht="15" hidden="1" customHeight="1" outlineLevel="1">
      <c r="A2477" s="453"/>
      <c r="C2477" s="51"/>
      <c r="D2477" s="4295"/>
      <c r="E2477" s="4295"/>
      <c r="F2477" s="4347" t="str">
        <f>$E$1862</f>
        <v>ASHP-SEER21-Replace_CAC_NonElectricHeat_ROF_MF</v>
      </c>
      <c r="G2477" s="4347"/>
      <c r="H2477" s="4347"/>
      <c r="I2477" s="4347"/>
      <c r="J2477" s="3471" t="str">
        <f>$C$1862</f>
        <v>354860_2024_12_</v>
      </c>
      <c r="K2477" s="3342">
        <v>0</v>
      </c>
      <c r="L2477" s="3479"/>
      <c r="M2477" s="2962" t="s">
        <v>2500</v>
      </c>
      <c r="S2477" s="52"/>
      <c r="T2477" s="52"/>
      <c r="U2477" s="52"/>
      <c r="V2477" s="4295"/>
      <c r="W2477" s="3262"/>
      <c r="X2477" s="3262"/>
      <c r="Y2477" s="3265"/>
      <c r="Z2477" s="3262"/>
      <c r="AA2477" s="3262"/>
      <c r="AB2477" s="3262"/>
      <c r="AC2477" s="3279">
        <v>0</v>
      </c>
      <c r="AD2477" s="3267">
        <v>0</v>
      </c>
      <c r="AE2477" s="3267">
        <v>0</v>
      </c>
      <c r="AF2477" s="2236">
        <f t="shared" si="299"/>
        <v>0</v>
      </c>
      <c r="AG2477" s="1396"/>
      <c r="DG2477" s="573"/>
      <c r="DH2477" s="159"/>
      <c r="DI2477" s="1091"/>
      <c r="DJ2477" s="1187"/>
    </row>
    <row r="2478" spans="1:114" ht="15" hidden="1" customHeight="1" outlineLevel="1">
      <c r="A2478" s="453"/>
      <c r="C2478" s="51"/>
      <c r="D2478" s="4295"/>
      <c r="E2478" s="4295"/>
      <c r="F2478" s="4347" t="str">
        <f>$E$1864</f>
        <v>ASHP-SEER21-Replace_CAC_NonElectricHeat_ROF_MF_CompE</v>
      </c>
      <c r="G2478" s="4347"/>
      <c r="H2478" s="4347"/>
      <c r="I2478" s="4347"/>
      <c r="J2478" s="3471" t="str">
        <f>$C$1864</f>
        <v>354861_2024_12_</v>
      </c>
      <c r="K2478" s="3342">
        <v>0</v>
      </c>
      <c r="L2478" s="3479"/>
      <c r="M2478" s="2962" t="s">
        <v>2500</v>
      </c>
      <c r="S2478" s="52"/>
      <c r="T2478" s="52"/>
      <c r="U2478" s="52"/>
      <c r="V2478" s="4295"/>
      <c r="W2478" s="3262"/>
      <c r="X2478" s="3262"/>
      <c r="Y2478" s="3265"/>
      <c r="Z2478" s="3262"/>
      <c r="AA2478" s="3262"/>
      <c r="AB2478" s="3262"/>
      <c r="AC2478" s="3279">
        <v>0</v>
      </c>
      <c r="AD2478" s="3267">
        <v>0</v>
      </c>
      <c r="AE2478" s="3267">
        <v>0</v>
      </c>
      <c r="AF2478" s="2236">
        <f t="shared" si="299"/>
        <v>0</v>
      </c>
      <c r="AG2478" s="1396"/>
      <c r="DG2478" s="573"/>
      <c r="DH2478" s="159"/>
      <c r="DI2478" s="1091"/>
      <c r="DJ2478" s="1187"/>
    </row>
    <row r="2479" spans="1:114" ht="15" hidden="1" customHeight="1" outlineLevel="1">
      <c r="A2479" s="453"/>
      <c r="C2479" s="51"/>
      <c r="D2479" s="4295"/>
      <c r="E2479" s="4295"/>
      <c r="F2479" s="4307" t="str">
        <f>$E$1866</f>
        <v>ASHP-SEER21_ER1_MF</v>
      </c>
      <c r="G2479" s="4307"/>
      <c r="H2479" s="4307"/>
      <c r="I2479" s="4307"/>
      <c r="J2479" s="1029" t="str">
        <f>$C$1866</f>
        <v>354900_2024_12_</v>
      </c>
      <c r="K2479" s="1790">
        <v>6.58</v>
      </c>
      <c r="L2479" s="262"/>
      <c r="M2479" s="1442" t="s">
        <v>2501</v>
      </c>
      <c r="S2479" s="52"/>
      <c r="T2479" s="52"/>
      <c r="U2479" s="52"/>
      <c r="V2479" s="4295"/>
      <c r="W2479" s="1396">
        <v>5.44</v>
      </c>
      <c r="X2479" s="833">
        <v>6.58</v>
      </c>
      <c r="Y2479" s="1396">
        <v>6.58</v>
      </c>
      <c r="Z2479" s="1396">
        <v>6.58</v>
      </c>
      <c r="AA2479" s="1396">
        <v>6.58</v>
      </c>
      <c r="AB2479" s="1396">
        <v>6.58</v>
      </c>
      <c r="AC2479" s="1396">
        <v>6.58</v>
      </c>
      <c r="AD2479" s="1396">
        <v>6.58</v>
      </c>
      <c r="AE2479" s="1396">
        <v>6.58</v>
      </c>
      <c r="AF2479" s="271">
        <f t="shared" si="299"/>
        <v>6.58</v>
      </c>
      <c r="AG2479" s="1396"/>
      <c r="DG2479" s="573"/>
      <c r="DH2479" s="159"/>
      <c r="DI2479" s="1091"/>
      <c r="DJ2479" s="1187"/>
    </row>
    <row r="2480" spans="1:114" ht="15" hidden="1" customHeight="1" outlineLevel="1">
      <c r="A2480" s="453"/>
      <c r="C2480" s="51"/>
      <c r="D2480" s="4295"/>
      <c r="E2480" s="4295"/>
      <c r="F2480" s="4307" t="str">
        <f>$E$1868</f>
        <v>ASHP-SEER21_ER2_MF</v>
      </c>
      <c r="G2480" s="4307"/>
      <c r="H2480" s="4307"/>
      <c r="I2480" s="4307"/>
      <c r="J2480" s="1029" t="str">
        <f>$C$1868</f>
        <v>354900_2024_12_</v>
      </c>
      <c r="K2480" s="1794">
        <v>7.5</v>
      </c>
      <c r="L2480" s="262"/>
      <c r="M2480" s="1378" t="s">
        <v>1941</v>
      </c>
      <c r="S2480" s="52"/>
      <c r="T2480" s="52"/>
      <c r="U2480" s="52"/>
      <c r="V2480" s="4295"/>
      <c r="W2480" s="1396">
        <v>8.1999999999999993</v>
      </c>
      <c r="X2480" s="1396">
        <v>8.1999999999999993</v>
      </c>
      <c r="Y2480" s="1396">
        <v>8.1999999999999993</v>
      </c>
      <c r="Z2480" s="1396">
        <v>8.1999999999999993</v>
      </c>
      <c r="AA2480" s="1396">
        <v>8.1999999999999993</v>
      </c>
      <c r="AB2480" s="1396">
        <v>8.1999999999999993</v>
      </c>
      <c r="AC2480" s="1396">
        <v>8.1999999999999993</v>
      </c>
      <c r="AD2480" s="1396">
        <v>8.1999999999999993</v>
      </c>
      <c r="AE2480" s="833">
        <v>8.6</v>
      </c>
      <c r="AF2480" s="271">
        <f t="shared" si="299"/>
        <v>7.5</v>
      </c>
      <c r="AG2480" s="1396"/>
      <c r="DG2480" s="573"/>
      <c r="DH2480" s="159"/>
      <c r="DI2480" s="1091"/>
      <c r="DJ2480" s="1187"/>
    </row>
    <row r="2481" spans="1:114" ht="15" hidden="1" customHeight="1" outlineLevel="1">
      <c r="A2481" s="453"/>
      <c r="C2481" s="51"/>
      <c r="D2481" s="4295"/>
      <c r="E2481" s="4295"/>
      <c r="F2481" s="4347" t="str">
        <f>$E$1870</f>
        <v>ASHP-SEER21_ER1_MF_CompE</v>
      </c>
      <c r="G2481" s="4347"/>
      <c r="H2481" s="4347"/>
      <c r="I2481" s="4347"/>
      <c r="J2481" s="3471" t="str">
        <f>$C$1870</f>
        <v>354901_2024_12_</v>
      </c>
      <c r="K2481" s="3263">
        <v>6.58</v>
      </c>
      <c r="L2481" s="3479"/>
      <c r="M2481" s="2962" t="s">
        <v>2501</v>
      </c>
      <c r="S2481" s="52"/>
      <c r="T2481" s="52"/>
      <c r="U2481" s="52"/>
      <c r="V2481" s="4295"/>
      <c r="W2481" s="1396"/>
      <c r="X2481" s="1396"/>
      <c r="Y2481" s="3265">
        <v>6.58</v>
      </c>
      <c r="Z2481" s="3262">
        <v>6.58</v>
      </c>
      <c r="AA2481" s="3262">
        <v>6.58</v>
      </c>
      <c r="AB2481" s="3262">
        <v>6.58</v>
      </c>
      <c r="AC2481" s="3262">
        <v>6.58</v>
      </c>
      <c r="AD2481" s="3262">
        <v>6.58</v>
      </c>
      <c r="AE2481" s="3262">
        <v>6.58</v>
      </c>
      <c r="AF2481" s="2236">
        <f t="shared" si="299"/>
        <v>6.58</v>
      </c>
      <c r="AG2481" s="1396"/>
      <c r="DG2481" s="573"/>
      <c r="DH2481" s="159"/>
      <c r="DI2481" s="1091"/>
      <c r="DJ2481" s="1187"/>
    </row>
    <row r="2482" spans="1:114" ht="15" hidden="1" customHeight="1" outlineLevel="1">
      <c r="A2482" s="453"/>
      <c r="C2482" s="51"/>
      <c r="D2482" s="4295"/>
      <c r="E2482" s="4295"/>
      <c r="F2482" s="4347" t="str">
        <f>$E$1872</f>
        <v>ASHP-SEER21_ER2_MF_CompE</v>
      </c>
      <c r="G2482" s="4347"/>
      <c r="H2482" s="4347"/>
      <c r="I2482" s="4347"/>
      <c r="J2482" s="3471" t="str">
        <f>$C$1872</f>
        <v>354901_2024_12_</v>
      </c>
      <c r="K2482" s="3344">
        <v>7.5</v>
      </c>
      <c r="L2482" s="3479"/>
      <c r="M2482" s="2425" t="s">
        <v>1941</v>
      </c>
      <c r="S2482" s="52"/>
      <c r="T2482" s="52"/>
      <c r="U2482" s="52"/>
      <c r="V2482" s="4295"/>
      <c r="W2482" s="1396"/>
      <c r="X2482" s="1396"/>
      <c r="Y2482" s="3265">
        <v>8.1999999999999993</v>
      </c>
      <c r="Z2482" s="3262">
        <v>8.1999999999999993</v>
      </c>
      <c r="AA2482" s="3262">
        <v>8.1999999999999993</v>
      </c>
      <c r="AB2482" s="3262">
        <v>8.1999999999999993</v>
      </c>
      <c r="AC2482" s="3262">
        <v>8.1999999999999993</v>
      </c>
      <c r="AD2482" s="3262">
        <v>8.1999999999999993</v>
      </c>
      <c r="AE2482" s="3265">
        <v>8.6</v>
      </c>
      <c r="AF2482" s="2236">
        <f t="shared" si="299"/>
        <v>7.5</v>
      </c>
      <c r="AG2482" s="1396"/>
      <c r="DG2482" s="573"/>
      <c r="DH2482" s="159"/>
      <c r="DI2482" s="1091"/>
      <c r="DJ2482" s="1187"/>
    </row>
    <row r="2483" spans="1:114" ht="15" hidden="1" customHeight="1" outlineLevel="1">
      <c r="A2483" s="453"/>
      <c r="C2483" s="51"/>
      <c r="D2483" s="4295"/>
      <c r="E2483" s="4295"/>
      <c r="F2483" s="4307" t="str">
        <f>$E$1874</f>
        <v>ASHP-SEER17_ROF_MF</v>
      </c>
      <c r="G2483" s="4307"/>
      <c r="H2483" s="4307"/>
      <c r="I2483" s="4307"/>
      <c r="J2483" s="1029" t="str">
        <f>$C$1874</f>
        <v>354950_2024_12_</v>
      </c>
      <c r="K2483" s="1794">
        <v>7.5</v>
      </c>
      <c r="L2483" s="262"/>
      <c r="M2483" s="1378" t="s">
        <v>1941</v>
      </c>
      <c r="P2483" s="261"/>
      <c r="Q2483" s="209"/>
      <c r="R2483" s="261"/>
      <c r="S2483" s="52"/>
      <c r="T2483" s="181"/>
      <c r="U2483" s="52"/>
      <c r="V2483" s="4295"/>
      <c r="W2483" s="1396">
        <v>8.1999999999999993</v>
      </c>
      <c r="X2483" s="1396">
        <v>8.1999999999999993</v>
      </c>
      <c r="Y2483" s="1396">
        <v>8.1999999999999993</v>
      </c>
      <c r="Z2483" s="1396">
        <v>8.1999999999999993</v>
      </c>
      <c r="AA2483" s="1396">
        <v>8.1999999999999993</v>
      </c>
      <c r="AB2483" s="1396">
        <v>8.1999999999999993</v>
      </c>
      <c r="AC2483" s="1396">
        <v>8.1999999999999993</v>
      </c>
      <c r="AD2483" s="1396">
        <v>8.1999999999999993</v>
      </c>
      <c r="AE2483" s="833">
        <v>8.6</v>
      </c>
      <c r="AF2483" s="271">
        <f t="shared" si="299"/>
        <v>7.5</v>
      </c>
      <c r="AG2483" s="1396"/>
      <c r="DG2483" s="573"/>
      <c r="DH2483" s="159"/>
      <c r="DI2483" s="1091"/>
      <c r="DJ2483" s="1187"/>
    </row>
    <row r="2484" spans="1:114" ht="15" hidden="1" customHeight="1" outlineLevel="1">
      <c r="A2484" s="453"/>
      <c r="C2484" s="51"/>
      <c r="D2484" s="4295"/>
      <c r="E2484" s="4295"/>
      <c r="F2484" s="4347" t="str">
        <f>$E$1876</f>
        <v>ASHP-SEER17_ROF_MF_CompE</v>
      </c>
      <c r="G2484" s="4347"/>
      <c r="H2484" s="4347"/>
      <c r="I2484" s="4347"/>
      <c r="J2484" s="3471" t="str">
        <f>$C$1876</f>
        <v>354951_2024_12_</v>
      </c>
      <c r="K2484" s="3344">
        <v>7.5</v>
      </c>
      <c r="L2484" s="3479"/>
      <c r="M2484" s="2425" t="s">
        <v>1941</v>
      </c>
      <c r="P2484" s="261"/>
      <c r="Q2484" s="209"/>
      <c r="R2484" s="261"/>
      <c r="S2484" s="52"/>
      <c r="T2484" s="181"/>
      <c r="U2484" s="52"/>
      <c r="V2484" s="4295"/>
      <c r="W2484" s="1396"/>
      <c r="X2484" s="1396"/>
      <c r="Y2484" s="3265">
        <v>8.1999999999999993</v>
      </c>
      <c r="Z2484" s="3262">
        <v>8.1999999999999993</v>
      </c>
      <c r="AA2484" s="3262">
        <v>8.1999999999999993</v>
      </c>
      <c r="AB2484" s="3262">
        <v>8.1999999999999993</v>
      </c>
      <c r="AC2484" s="3262">
        <v>8.1999999999999993</v>
      </c>
      <c r="AD2484" s="3262">
        <v>8.1999999999999993</v>
      </c>
      <c r="AE2484" s="3265">
        <v>8.6</v>
      </c>
      <c r="AF2484" s="2236">
        <f t="shared" si="299"/>
        <v>7.5</v>
      </c>
      <c r="AG2484" s="1396"/>
      <c r="DG2484" s="573"/>
      <c r="DH2484" s="159"/>
      <c r="DI2484" s="1091"/>
      <c r="DJ2484" s="1187"/>
    </row>
    <row r="2485" spans="1:114" ht="15" hidden="1" customHeight="1" outlineLevel="1">
      <c r="A2485" s="453"/>
      <c r="C2485" s="51"/>
      <c r="D2485" s="4295"/>
      <c r="E2485" s="4295"/>
      <c r="F2485" s="4307" t="str">
        <f>$E$1878</f>
        <v>ASHP-SEER18_ROF_MF</v>
      </c>
      <c r="G2485" s="4307"/>
      <c r="H2485" s="4307"/>
      <c r="I2485" s="4307"/>
      <c r="J2485" s="1029" t="str">
        <f>$C$1878</f>
        <v>355000_2024_12_</v>
      </c>
      <c r="K2485" s="1794">
        <v>7.5</v>
      </c>
      <c r="L2485" s="262"/>
      <c r="M2485" s="1378" t="s">
        <v>1941</v>
      </c>
      <c r="P2485" s="261"/>
      <c r="Q2485" s="209"/>
      <c r="R2485" s="261"/>
      <c r="S2485" s="52"/>
      <c r="T2485" s="181"/>
      <c r="U2485" s="52"/>
      <c r="V2485" s="4295"/>
      <c r="W2485" s="1396">
        <v>8.1999999999999993</v>
      </c>
      <c r="X2485" s="1396">
        <v>8.1999999999999993</v>
      </c>
      <c r="Y2485" s="1396">
        <v>8.1999999999999993</v>
      </c>
      <c r="Z2485" s="1396">
        <v>8.1999999999999993</v>
      </c>
      <c r="AA2485" s="1396">
        <v>8.1999999999999993</v>
      </c>
      <c r="AB2485" s="1396">
        <v>8.1999999999999993</v>
      </c>
      <c r="AC2485" s="1396">
        <v>8.1999999999999993</v>
      </c>
      <c r="AD2485" s="1396">
        <v>8.1999999999999993</v>
      </c>
      <c r="AE2485" s="833">
        <v>8.6</v>
      </c>
      <c r="AF2485" s="271">
        <f t="shared" si="299"/>
        <v>7.5</v>
      </c>
      <c r="AG2485" s="1396"/>
      <c r="DG2485" s="573"/>
      <c r="DH2485" s="159"/>
      <c r="DI2485" s="1091"/>
      <c r="DJ2485" s="1187"/>
    </row>
    <row r="2486" spans="1:114" ht="15" hidden="1" customHeight="1" outlineLevel="1">
      <c r="A2486" s="453"/>
      <c r="C2486" s="51"/>
      <c r="D2486" s="4295"/>
      <c r="E2486" s="4295"/>
      <c r="F2486" s="4347" t="str">
        <f>$E$1880</f>
        <v>ASHP-SEER18_ROF_MF_CompE</v>
      </c>
      <c r="G2486" s="4347"/>
      <c r="H2486" s="4347"/>
      <c r="I2486" s="4347"/>
      <c r="J2486" s="3471" t="str">
        <f>$C$1880</f>
        <v>355001_2024_12_</v>
      </c>
      <c r="K2486" s="3344">
        <v>7.5</v>
      </c>
      <c r="L2486" s="3479"/>
      <c r="M2486" s="2425" t="s">
        <v>1941</v>
      </c>
      <c r="P2486" s="261"/>
      <c r="Q2486" s="209"/>
      <c r="R2486" s="261"/>
      <c r="S2486" s="52"/>
      <c r="T2486" s="181"/>
      <c r="U2486" s="52"/>
      <c r="V2486" s="4295"/>
      <c r="W2486" s="1396"/>
      <c r="X2486" s="1396"/>
      <c r="Y2486" s="3265">
        <v>8.1999999999999993</v>
      </c>
      <c r="Z2486" s="3262">
        <v>8.1999999999999993</v>
      </c>
      <c r="AA2486" s="3262">
        <v>8.1999999999999993</v>
      </c>
      <c r="AB2486" s="3262">
        <v>8.1999999999999993</v>
      </c>
      <c r="AC2486" s="3262">
        <v>8.1999999999999993</v>
      </c>
      <c r="AD2486" s="3262">
        <v>8.1999999999999993</v>
      </c>
      <c r="AE2486" s="3265">
        <v>8.6</v>
      </c>
      <c r="AF2486" s="2236">
        <f t="shared" si="299"/>
        <v>7.5</v>
      </c>
      <c r="AG2486" s="1396"/>
      <c r="DG2486" s="573"/>
      <c r="DH2486" s="159"/>
      <c r="DI2486" s="1091"/>
      <c r="DJ2486" s="1187"/>
    </row>
    <row r="2487" spans="1:114" ht="15" hidden="1" customHeight="1" outlineLevel="1">
      <c r="A2487" s="453"/>
      <c r="C2487" s="51"/>
      <c r="D2487" s="4295"/>
      <c r="E2487" s="4295"/>
      <c r="F2487" s="4307" t="str">
        <f>$E$1882</f>
        <v>ASHP-SEER19_ROF_MF</v>
      </c>
      <c r="G2487" s="4307"/>
      <c r="H2487" s="4307"/>
      <c r="I2487" s="4307"/>
      <c r="J2487" s="1029" t="str">
        <f>$C$1882</f>
        <v>355050_2024_12_</v>
      </c>
      <c r="K2487" s="1794">
        <v>7.5</v>
      </c>
      <c r="L2487" s="262"/>
      <c r="M2487" s="1378" t="s">
        <v>1941</v>
      </c>
      <c r="S2487" s="52"/>
      <c r="T2487" s="52"/>
      <c r="U2487" s="52"/>
      <c r="V2487" s="4295"/>
      <c r="W2487" s="1396">
        <v>8.1999999999999993</v>
      </c>
      <c r="X2487" s="1396">
        <v>8.1999999999999993</v>
      </c>
      <c r="Y2487" s="1396">
        <v>8.1999999999999993</v>
      </c>
      <c r="Z2487" s="1396">
        <v>8.1999999999999993</v>
      </c>
      <c r="AA2487" s="1396">
        <v>8.1999999999999993</v>
      </c>
      <c r="AB2487" s="1396">
        <v>8.1999999999999993</v>
      </c>
      <c r="AC2487" s="1396">
        <v>8.1999999999999993</v>
      </c>
      <c r="AD2487" s="1396">
        <v>8.1999999999999993</v>
      </c>
      <c r="AE2487" s="833">
        <v>8.6</v>
      </c>
      <c r="AF2487" s="271">
        <f t="shared" si="299"/>
        <v>7.5</v>
      </c>
      <c r="AG2487" s="1396"/>
      <c r="DG2487" s="573"/>
      <c r="DH2487" s="159"/>
      <c r="DI2487" s="1091"/>
      <c r="DJ2487" s="1187"/>
    </row>
    <row r="2488" spans="1:114" ht="15" hidden="1" customHeight="1" outlineLevel="1">
      <c r="A2488" s="453"/>
      <c r="C2488" s="51"/>
      <c r="D2488" s="4295"/>
      <c r="E2488" s="4295"/>
      <c r="F2488" s="4347" t="str">
        <f>$E$1884</f>
        <v>ASHP-SEER19_ROF_MF_CompE</v>
      </c>
      <c r="G2488" s="4347"/>
      <c r="H2488" s="4347"/>
      <c r="I2488" s="4347"/>
      <c r="J2488" s="3471" t="str">
        <f>$C$1884</f>
        <v>355051_2024_12_</v>
      </c>
      <c r="K2488" s="3344">
        <v>7.5</v>
      </c>
      <c r="L2488" s="3479"/>
      <c r="M2488" s="2425" t="s">
        <v>1941</v>
      </c>
      <c r="S2488" s="52"/>
      <c r="T2488" s="52"/>
      <c r="U2488" s="52"/>
      <c r="V2488" s="4295"/>
      <c r="W2488" s="1396"/>
      <c r="X2488" s="1396"/>
      <c r="Y2488" s="3265">
        <v>8.1999999999999993</v>
      </c>
      <c r="Z2488" s="3262">
        <v>8.1999999999999993</v>
      </c>
      <c r="AA2488" s="3262">
        <v>8.1999999999999993</v>
      </c>
      <c r="AB2488" s="3262">
        <v>8.1999999999999993</v>
      </c>
      <c r="AC2488" s="3262">
        <v>8.1999999999999993</v>
      </c>
      <c r="AD2488" s="3262">
        <v>8.1999999999999993</v>
      </c>
      <c r="AE2488" s="3265">
        <v>8.6</v>
      </c>
      <c r="AF2488" s="2236">
        <f t="shared" si="299"/>
        <v>7.5</v>
      </c>
      <c r="AG2488" s="1396"/>
      <c r="DG2488" s="573"/>
      <c r="DH2488" s="159"/>
      <c r="DI2488" s="1091"/>
      <c r="DJ2488" s="1187"/>
    </row>
    <row r="2489" spans="1:114" ht="15" hidden="1" customHeight="1" outlineLevel="1">
      <c r="A2489" s="453"/>
      <c r="C2489" s="51"/>
      <c r="D2489" s="4295"/>
      <c r="E2489" s="4295"/>
      <c r="F2489" s="4307" t="str">
        <f>$E$1886</f>
        <v>ASHP-SEER20_ROF_MF</v>
      </c>
      <c r="G2489" s="4307"/>
      <c r="H2489" s="4307"/>
      <c r="I2489" s="4307"/>
      <c r="J2489" s="1029" t="str">
        <f>$C$1886</f>
        <v>355100_2024_12_</v>
      </c>
      <c r="K2489" s="1794">
        <v>7.5</v>
      </c>
      <c r="L2489" s="262"/>
      <c r="M2489" s="1378" t="s">
        <v>1941</v>
      </c>
      <c r="S2489" s="52"/>
      <c r="T2489" s="52"/>
      <c r="U2489" s="52"/>
      <c r="V2489" s="4295"/>
      <c r="W2489" s="1396">
        <v>8.1999999999999993</v>
      </c>
      <c r="X2489" s="1396">
        <v>8.1999999999999993</v>
      </c>
      <c r="Y2489" s="1396">
        <v>8.1999999999999993</v>
      </c>
      <c r="Z2489" s="1396">
        <v>8.1999999999999993</v>
      </c>
      <c r="AA2489" s="1396">
        <v>8.1999999999999993</v>
      </c>
      <c r="AB2489" s="1396">
        <v>8.1999999999999993</v>
      </c>
      <c r="AC2489" s="1396">
        <v>8.1999999999999993</v>
      </c>
      <c r="AD2489" s="1396">
        <v>8.1999999999999993</v>
      </c>
      <c r="AE2489" s="833">
        <v>8.6</v>
      </c>
      <c r="AF2489" s="271">
        <f t="shared" si="299"/>
        <v>7.5</v>
      </c>
      <c r="AG2489" s="1396"/>
      <c r="DG2489" s="573"/>
      <c r="DH2489" s="159"/>
      <c r="DI2489" s="1091"/>
      <c r="DJ2489" s="1187"/>
    </row>
    <row r="2490" spans="1:114" ht="15" hidden="1" customHeight="1" outlineLevel="1">
      <c r="A2490" s="453"/>
      <c r="C2490" s="51"/>
      <c r="D2490" s="4295"/>
      <c r="E2490" s="4295"/>
      <c r="F2490" s="4347" t="str">
        <f>$E$1888</f>
        <v>ASHP-SEER20_ROF_MF_CompE</v>
      </c>
      <c r="G2490" s="4347"/>
      <c r="H2490" s="4347"/>
      <c r="I2490" s="4347"/>
      <c r="J2490" s="3471" t="str">
        <f>$C$1888</f>
        <v>355101_2024_12_</v>
      </c>
      <c r="K2490" s="3344">
        <v>7.5</v>
      </c>
      <c r="L2490" s="3479"/>
      <c r="M2490" s="2425" t="s">
        <v>1941</v>
      </c>
      <c r="S2490" s="52"/>
      <c r="T2490" s="52"/>
      <c r="U2490" s="52"/>
      <c r="V2490" s="4295"/>
      <c r="W2490" s="1396"/>
      <c r="X2490" s="1396"/>
      <c r="Y2490" s="3265">
        <v>8.1999999999999993</v>
      </c>
      <c r="Z2490" s="3262">
        <v>8.1999999999999993</v>
      </c>
      <c r="AA2490" s="3262">
        <v>8.1999999999999993</v>
      </c>
      <c r="AB2490" s="3262">
        <v>8.1999999999999993</v>
      </c>
      <c r="AC2490" s="3262">
        <v>8.1999999999999993</v>
      </c>
      <c r="AD2490" s="3262">
        <v>8.1999999999999993</v>
      </c>
      <c r="AE2490" s="3265">
        <v>8.6</v>
      </c>
      <c r="AF2490" s="2236">
        <f t="shared" ref="AF2490:AF2553" si="300">IF(K2490&lt;&gt;"",K2490,"")</f>
        <v>7.5</v>
      </c>
      <c r="AG2490" s="1396"/>
      <c r="DG2490" s="573"/>
      <c r="DH2490" s="159"/>
      <c r="DI2490" s="1091"/>
      <c r="DJ2490" s="1187"/>
    </row>
    <row r="2491" spans="1:114" ht="15.75" hidden="1" customHeight="1" outlineLevel="1">
      <c r="A2491" s="453"/>
      <c r="C2491" s="51"/>
      <c r="D2491" s="4295"/>
      <c r="E2491" s="4295"/>
      <c r="F2491" s="4307" t="str">
        <f>$E$1890</f>
        <v>ASHP-SEER21_ROF_MF</v>
      </c>
      <c r="G2491" s="4307"/>
      <c r="H2491" s="4307"/>
      <c r="I2491" s="4307"/>
      <c r="J2491" s="1029" t="str">
        <f>$C$1890</f>
        <v>355150_2024_12_</v>
      </c>
      <c r="K2491" s="1794">
        <v>7.5</v>
      </c>
      <c r="L2491" s="262"/>
      <c r="M2491" s="1378" t="s">
        <v>1941</v>
      </c>
      <c r="R2491" s="261"/>
      <c r="S2491" s="52"/>
      <c r="T2491" s="181"/>
      <c r="U2491" s="52"/>
      <c r="V2491" s="4295"/>
      <c r="W2491" s="1396">
        <v>8.1999999999999993</v>
      </c>
      <c r="X2491" s="1396">
        <v>8.1999999999999993</v>
      </c>
      <c r="Y2491" s="1396">
        <v>8.1999999999999993</v>
      </c>
      <c r="Z2491" s="1396">
        <v>8.1999999999999993</v>
      </c>
      <c r="AA2491" s="1396">
        <v>8.1999999999999993</v>
      </c>
      <c r="AB2491" s="1396">
        <v>8.1999999999999993</v>
      </c>
      <c r="AC2491" s="1396">
        <v>8.1999999999999993</v>
      </c>
      <c r="AD2491" s="1396">
        <v>8.1999999999999993</v>
      </c>
      <c r="AE2491" s="833">
        <v>8.6</v>
      </c>
      <c r="AF2491" s="271">
        <f t="shared" si="300"/>
        <v>7.5</v>
      </c>
      <c r="AG2491" s="1396"/>
      <c r="DG2491" s="573"/>
      <c r="DH2491" s="159"/>
      <c r="DI2491" s="1091"/>
      <c r="DJ2491" s="1187"/>
    </row>
    <row r="2492" spans="1:114" ht="15.75" hidden="1" customHeight="1" outlineLevel="1">
      <c r="A2492" s="453"/>
      <c r="C2492" s="51"/>
      <c r="D2492" s="4295"/>
      <c r="E2492" s="4295"/>
      <c r="F2492" s="4347" t="str">
        <f>$E$1892</f>
        <v>ASHP-SEER21_ROF_MF_CompE</v>
      </c>
      <c r="G2492" s="4347"/>
      <c r="H2492" s="4347"/>
      <c r="I2492" s="4347"/>
      <c r="J2492" s="3471" t="str">
        <f>$C$1892</f>
        <v>355151_2024_12_</v>
      </c>
      <c r="K2492" s="3344">
        <v>7.5</v>
      </c>
      <c r="L2492" s="3479"/>
      <c r="M2492" s="2962" t="s">
        <v>1941</v>
      </c>
      <c r="R2492" s="261"/>
      <c r="S2492" s="52"/>
      <c r="T2492" s="181"/>
      <c r="U2492" s="52"/>
      <c r="V2492" s="4295"/>
      <c r="W2492" s="1396"/>
      <c r="X2492" s="1396"/>
      <c r="Y2492" s="3265">
        <v>8.1999999999999993</v>
      </c>
      <c r="Z2492" s="3262">
        <v>8.1999999999999993</v>
      </c>
      <c r="AA2492" s="3262">
        <v>8.1999999999999993</v>
      </c>
      <c r="AB2492" s="3262">
        <v>8.1999999999999993</v>
      </c>
      <c r="AC2492" s="3262">
        <v>8.1999999999999993</v>
      </c>
      <c r="AD2492" s="3262">
        <v>8.1999999999999993</v>
      </c>
      <c r="AE2492" s="3265">
        <v>8.6</v>
      </c>
      <c r="AF2492" s="2236">
        <f t="shared" si="300"/>
        <v>7.5</v>
      </c>
      <c r="AG2492" s="1396"/>
      <c r="DG2492" s="573"/>
      <c r="DH2492" s="159"/>
      <c r="DI2492" s="1091"/>
      <c r="DJ2492" s="1187"/>
    </row>
    <row r="2493" spans="1:114" ht="15" hidden="1" customHeight="1" outlineLevel="1">
      <c r="A2493" s="453"/>
      <c r="C2493" s="51"/>
      <c r="D2493" s="4295" t="s">
        <v>2117</v>
      </c>
      <c r="E2493" s="4295" t="s">
        <v>2502</v>
      </c>
      <c r="F2493" s="4307" t="str">
        <f>$E$1508</f>
        <v>ASHP-SEER15-Replace_CAC_ElectricHeat_ER1_SF</v>
      </c>
      <c r="G2493" s="4307"/>
      <c r="H2493" s="4307"/>
      <c r="I2493" s="4307"/>
      <c r="J2493" s="1029" t="str">
        <f>$C$1508</f>
        <v>352300_2024_12_</v>
      </c>
      <c r="K2493" s="916">
        <v>8.806153846153844</v>
      </c>
      <c r="L2493" s="1738"/>
      <c r="M2493" s="1739" t="s">
        <v>1934</v>
      </c>
      <c r="R2493" s="261"/>
      <c r="S2493" s="52"/>
      <c r="T2493" s="181"/>
      <c r="U2493" s="52"/>
      <c r="V2493" s="4288" t="s">
        <v>2117</v>
      </c>
      <c r="W2493" s="1396">
        <v>8.6999999999999993</v>
      </c>
      <c r="X2493" s="833">
        <v>8.69</v>
      </c>
      <c r="Y2493" s="833">
        <v>8.67</v>
      </c>
      <c r="Z2493" s="1396">
        <v>8.67</v>
      </c>
      <c r="AA2493" s="1396">
        <v>8.67</v>
      </c>
      <c r="AB2493" s="212">
        <v>8.532040816326532</v>
      </c>
      <c r="AC2493" s="212">
        <v>8.7156542056074802</v>
      </c>
      <c r="AD2493" s="969">
        <v>8.776540284360193</v>
      </c>
      <c r="AE2493" s="969">
        <v>8.806153846153844</v>
      </c>
      <c r="AF2493" s="271">
        <f t="shared" si="300"/>
        <v>8.806153846153844</v>
      </c>
      <c r="AG2493" s="1396"/>
      <c r="DG2493" s="573"/>
      <c r="DH2493" s="159"/>
      <c r="DI2493" s="1091"/>
      <c r="DJ2493" s="1187"/>
    </row>
    <row r="2494" spans="1:114" ht="15" hidden="1" customHeight="1" outlineLevel="1">
      <c r="A2494" s="453"/>
      <c r="C2494" s="51"/>
      <c r="D2494" s="4295"/>
      <c r="E2494" s="4295"/>
      <c r="F2494" s="4307" t="str">
        <f>$E$1510</f>
        <v>ASHP-SEER15-Replace_CAC_ElectricHeat_ER2_SF</v>
      </c>
      <c r="G2494" s="4307"/>
      <c r="H2494" s="4307"/>
      <c r="I2494" s="4307"/>
      <c r="J2494" s="1029" t="str">
        <f>$C$1510</f>
        <v>352300_2024_12_</v>
      </c>
      <c r="K2494" s="916">
        <v>8.806153846153844</v>
      </c>
      <c r="L2494" s="1738"/>
      <c r="M2494" s="1739" t="s">
        <v>1934</v>
      </c>
      <c r="R2494" s="261"/>
      <c r="S2494" s="52"/>
      <c r="T2494" s="181"/>
      <c r="U2494" s="52"/>
      <c r="V2494" s="4288"/>
      <c r="W2494" s="1396">
        <v>8.6999999999999993</v>
      </c>
      <c r="X2494" s="833">
        <v>8.69</v>
      </c>
      <c r="Y2494" s="833">
        <v>8.67</v>
      </c>
      <c r="Z2494" s="1396">
        <v>8.67</v>
      </c>
      <c r="AA2494" s="1396">
        <v>8.67</v>
      </c>
      <c r="AB2494" s="212">
        <v>8.532040816326532</v>
      </c>
      <c r="AC2494" s="212">
        <f>AC2493</f>
        <v>8.7156542056074802</v>
      </c>
      <c r="AD2494" s="969">
        <v>8.776540284360193</v>
      </c>
      <c r="AE2494" s="969">
        <v>8.806153846153844</v>
      </c>
      <c r="AF2494" s="271">
        <f t="shared" si="300"/>
        <v>8.806153846153844</v>
      </c>
      <c r="AG2494" s="1396"/>
      <c r="DG2494" s="573"/>
      <c r="DH2494" s="159"/>
      <c r="DI2494" s="1091"/>
      <c r="DJ2494" s="1187"/>
    </row>
    <row r="2495" spans="1:114" ht="15" hidden="1" customHeight="1" outlineLevel="1">
      <c r="A2495" s="453"/>
      <c r="C2495" s="51"/>
      <c r="D2495" s="4295"/>
      <c r="E2495" s="4295"/>
      <c r="F2495" s="4307" t="str">
        <f>$E$1512</f>
        <v>ASHP-SEER15-Replace_CAC_NonElectricHeat_ER1_SF</v>
      </c>
      <c r="G2495" s="4307"/>
      <c r="H2495" s="4307"/>
      <c r="I2495" s="4307"/>
      <c r="J2495" s="1029" t="str">
        <f>$C$1512</f>
        <v>352310_2024_12_</v>
      </c>
      <c r="K2495" s="916">
        <v>8.806153846153844</v>
      </c>
      <c r="L2495" s="1738"/>
      <c r="M2495" s="1739" t="s">
        <v>1934</v>
      </c>
      <c r="R2495" s="261"/>
      <c r="S2495" s="52"/>
      <c r="T2495" s="181"/>
      <c r="U2495" s="52"/>
      <c r="V2495" s="4288"/>
      <c r="W2495" s="1396"/>
      <c r="X2495" s="833"/>
      <c r="Y2495" s="833"/>
      <c r="Z2495" s="1396"/>
      <c r="AA2495" s="1396"/>
      <c r="AB2495" s="212"/>
      <c r="AC2495" s="212">
        <v>8.7156542056074802</v>
      </c>
      <c r="AD2495" s="969">
        <v>8.776540284360193</v>
      </c>
      <c r="AE2495" s="969">
        <v>8.806153846153844</v>
      </c>
      <c r="AF2495" s="271">
        <f t="shared" si="300"/>
        <v>8.806153846153844</v>
      </c>
      <c r="AG2495" s="1396"/>
      <c r="DG2495" s="573"/>
      <c r="DH2495" s="159"/>
      <c r="DI2495" s="1091"/>
      <c r="DJ2495" s="1187"/>
    </row>
    <row r="2496" spans="1:114" ht="15" hidden="1" customHeight="1" outlineLevel="1">
      <c r="A2496" s="453"/>
      <c r="C2496" s="51"/>
      <c r="D2496" s="4295"/>
      <c r="E2496" s="4295"/>
      <c r="F2496" s="4307" t="str">
        <f>$E$1514</f>
        <v>ASHP-SEER15-Replace_CAC_NonElectricHeat_ER2_SF</v>
      </c>
      <c r="G2496" s="4307"/>
      <c r="H2496" s="4307"/>
      <c r="I2496" s="4307"/>
      <c r="J2496" s="1029" t="str">
        <f>$C$1514</f>
        <v>352310_2024_12_</v>
      </c>
      <c r="K2496" s="916">
        <v>8.806153846153844</v>
      </c>
      <c r="L2496" s="1738"/>
      <c r="M2496" s="1739" t="s">
        <v>1934</v>
      </c>
      <c r="R2496" s="261"/>
      <c r="S2496" s="52"/>
      <c r="T2496" s="181"/>
      <c r="U2496" s="52"/>
      <c r="V2496" s="4288"/>
      <c r="W2496" s="1396"/>
      <c r="X2496" s="833"/>
      <c r="Y2496" s="833"/>
      <c r="Z2496" s="1396"/>
      <c r="AA2496" s="1396"/>
      <c r="AB2496" s="212"/>
      <c r="AC2496" s="212">
        <f>AC2495</f>
        <v>8.7156542056074802</v>
      </c>
      <c r="AD2496" s="969">
        <v>8.776540284360193</v>
      </c>
      <c r="AE2496" s="969">
        <v>8.806153846153844</v>
      </c>
      <c r="AF2496" s="271">
        <f t="shared" si="300"/>
        <v>8.806153846153844</v>
      </c>
      <c r="AG2496" s="1396"/>
      <c r="DG2496" s="573"/>
      <c r="DH2496" s="159"/>
      <c r="DI2496" s="1091"/>
      <c r="DJ2496" s="1187"/>
    </row>
    <row r="2497" spans="1:114" ht="15" hidden="1" customHeight="1" outlineLevel="1">
      <c r="A2497" s="453"/>
      <c r="C2497" s="51"/>
      <c r="D2497" s="4295"/>
      <c r="E2497" s="4295"/>
      <c r="F2497" s="4307" t="str">
        <f>$E$1516</f>
        <v>ASHP-SEER15_ER1_SF</v>
      </c>
      <c r="G2497" s="4307"/>
      <c r="H2497" s="4307"/>
      <c r="I2497" s="4307"/>
      <c r="J2497" s="1029" t="str">
        <f>$C$1516</f>
        <v>352350_2024_12_</v>
      </c>
      <c r="K2497" s="916">
        <v>8.806153846153844</v>
      </c>
      <c r="L2497" s="1738"/>
      <c r="M2497" s="1739" t="s">
        <v>1934</v>
      </c>
      <c r="R2497" s="261"/>
      <c r="S2497" s="52"/>
      <c r="T2497" s="181"/>
      <c r="U2497" s="52"/>
      <c r="V2497" s="4288"/>
      <c r="W2497" s="1396">
        <v>8.6999999999999993</v>
      </c>
      <c r="X2497" s="833">
        <v>8.69</v>
      </c>
      <c r="Y2497" s="833">
        <v>8.75</v>
      </c>
      <c r="Z2497" s="1396">
        <v>8.75</v>
      </c>
      <c r="AA2497" s="1396">
        <v>8.75</v>
      </c>
      <c r="AB2497" s="212">
        <v>8.4761904761904781</v>
      </c>
      <c r="AC2497" s="212">
        <v>8.8245098039215701</v>
      </c>
      <c r="AD2497" s="969">
        <v>8.776540284360193</v>
      </c>
      <c r="AE2497" s="969">
        <v>8.806153846153844</v>
      </c>
      <c r="AF2497" s="271">
        <f t="shared" si="300"/>
        <v>8.806153846153844</v>
      </c>
      <c r="AG2497" s="1396"/>
      <c r="DG2497" s="573"/>
      <c r="DH2497" s="159"/>
      <c r="DI2497" s="1091"/>
      <c r="DJ2497" s="1187"/>
    </row>
    <row r="2498" spans="1:114" ht="15" hidden="1" customHeight="1" outlineLevel="1">
      <c r="A2498" s="453"/>
      <c r="C2498" s="51"/>
      <c r="D2498" s="4295"/>
      <c r="E2498" s="4295"/>
      <c r="F2498" s="4307" t="str">
        <f>$E$1518</f>
        <v>ASHP-SEER15_ER2_SF</v>
      </c>
      <c r="G2498" s="4307"/>
      <c r="H2498" s="4307"/>
      <c r="I2498" s="4307"/>
      <c r="J2498" s="1029" t="str">
        <f>$C$1518</f>
        <v>352350_2024_12_</v>
      </c>
      <c r="K2498" s="916">
        <v>8.806153846153844</v>
      </c>
      <c r="L2498" s="1738"/>
      <c r="M2498" s="1739" t="s">
        <v>1934</v>
      </c>
      <c r="R2498" s="261"/>
      <c r="S2498" s="52"/>
      <c r="T2498" s="181"/>
      <c r="U2498" s="52"/>
      <c r="V2498" s="4288"/>
      <c r="W2498" s="1396">
        <v>8.6999999999999993</v>
      </c>
      <c r="X2498" s="833">
        <v>8.69</v>
      </c>
      <c r="Y2498" s="833">
        <v>8.75</v>
      </c>
      <c r="Z2498" s="1396">
        <v>8.75</v>
      </c>
      <c r="AA2498" s="1396">
        <v>8.75</v>
      </c>
      <c r="AB2498" s="212">
        <v>8.4761904761904781</v>
      </c>
      <c r="AC2498" s="212">
        <f>AC2497</f>
        <v>8.8245098039215701</v>
      </c>
      <c r="AD2498" s="969">
        <v>8.776540284360193</v>
      </c>
      <c r="AE2498" s="969">
        <v>8.806153846153844</v>
      </c>
      <c r="AF2498" s="271">
        <f t="shared" si="300"/>
        <v>8.806153846153844</v>
      </c>
      <c r="AG2498" s="1396"/>
      <c r="DG2498" s="573"/>
      <c r="DH2498" s="159"/>
      <c r="DI2498" s="1091"/>
      <c r="DJ2498" s="1187"/>
    </row>
    <row r="2499" spans="1:114" ht="15" hidden="1" customHeight="1" outlineLevel="1">
      <c r="A2499" s="453"/>
      <c r="C2499" s="51"/>
      <c r="D2499" s="4295"/>
      <c r="E2499" s="4295"/>
      <c r="F2499" s="4307" t="str">
        <f>$E$1520</f>
        <v>ASHP-SEER15-Replace_CAC_ElectricHeat_ROF_SF</v>
      </c>
      <c r="G2499" s="4307"/>
      <c r="H2499" s="4307"/>
      <c r="I2499" s="4307"/>
      <c r="J2499" s="1029" t="str">
        <f>$C$1520</f>
        <v>352400_2024_12_</v>
      </c>
      <c r="K2499" s="916">
        <v>8.6653061224489818</v>
      </c>
      <c r="L2499" s="972"/>
      <c r="M2499" s="1739" t="s">
        <v>1934</v>
      </c>
      <c r="R2499" s="261"/>
      <c r="S2499" s="52"/>
      <c r="T2499" s="181"/>
      <c r="U2499" s="52"/>
      <c r="V2499" s="4288"/>
      <c r="W2499" s="1396">
        <v>8.6</v>
      </c>
      <c r="X2499" s="833">
        <v>8.69</v>
      </c>
      <c r="Y2499" s="833">
        <v>8.66</v>
      </c>
      <c r="Z2499" s="1396">
        <v>8.66</v>
      </c>
      <c r="AA2499" s="1396">
        <v>8.66</v>
      </c>
      <c r="AB2499" s="212">
        <v>8.4308510638297864</v>
      </c>
      <c r="AC2499" s="212">
        <v>8.812711864406781</v>
      </c>
      <c r="AD2499" s="969">
        <v>8.7601941747572809</v>
      </c>
      <c r="AE2499" s="969">
        <v>8.6653061224489818</v>
      </c>
      <c r="AF2499" s="271">
        <f t="shared" si="300"/>
        <v>8.6653061224489818</v>
      </c>
      <c r="AG2499" s="1396"/>
      <c r="DG2499" s="573"/>
      <c r="DH2499" s="159"/>
      <c r="DI2499" s="1091"/>
      <c r="DJ2499" s="1187"/>
    </row>
    <row r="2500" spans="1:114" ht="15" hidden="1" customHeight="1" outlineLevel="1">
      <c r="A2500" s="453"/>
      <c r="C2500" s="51"/>
      <c r="D2500" s="4295"/>
      <c r="E2500" s="4295"/>
      <c r="F2500" s="4307" t="str">
        <f>$E$1522</f>
        <v>ASHP-SEER15-Replace_CAC_NonElectricHeat_ROF_SF</v>
      </c>
      <c r="G2500" s="4307"/>
      <c r="H2500" s="4307"/>
      <c r="I2500" s="4307"/>
      <c r="J2500" s="1029" t="str">
        <f>$C$1522</f>
        <v>352410_2024_12_</v>
      </c>
      <c r="K2500" s="916">
        <v>8.6653061224489818</v>
      </c>
      <c r="L2500" s="972"/>
      <c r="M2500" s="1739" t="s">
        <v>1934</v>
      </c>
      <c r="R2500" s="261"/>
      <c r="S2500" s="52"/>
      <c r="T2500" s="181"/>
      <c r="U2500" s="52"/>
      <c r="V2500" s="4288"/>
      <c r="W2500" s="1396"/>
      <c r="X2500" s="833"/>
      <c r="Y2500" s="833"/>
      <c r="Z2500" s="1396"/>
      <c r="AA2500" s="1396"/>
      <c r="AB2500" s="212"/>
      <c r="AC2500" s="212">
        <v>8.812711864406781</v>
      </c>
      <c r="AD2500" s="969">
        <v>8.7601941747572809</v>
      </c>
      <c r="AE2500" s="969">
        <v>8.6653061224489818</v>
      </c>
      <c r="AF2500" s="271">
        <f t="shared" si="300"/>
        <v>8.6653061224489818</v>
      </c>
      <c r="AG2500" s="1396"/>
      <c r="DG2500" s="573"/>
      <c r="DH2500" s="159"/>
      <c r="DI2500" s="1091"/>
      <c r="DJ2500" s="1187"/>
    </row>
    <row r="2501" spans="1:114" ht="15" hidden="1" customHeight="1" outlineLevel="1">
      <c r="A2501" s="453"/>
      <c r="C2501" s="51"/>
      <c r="D2501" s="4295"/>
      <c r="E2501" s="4295"/>
      <c r="F2501" s="4347" t="str">
        <f>$E$1524</f>
        <v>ASHP-SEER15_ROF_SF</v>
      </c>
      <c r="G2501" s="4347"/>
      <c r="H2501" s="4347"/>
      <c r="I2501" s="4347"/>
      <c r="J2501" s="3471" t="str">
        <f>$C$1524</f>
        <v>352450_2024_12_</v>
      </c>
      <c r="K2501" s="3337">
        <v>8.6653061224489818</v>
      </c>
      <c r="L2501" s="3480"/>
      <c r="M2501" s="3481" t="s">
        <v>1934</v>
      </c>
      <c r="R2501" s="261"/>
      <c r="S2501" s="52"/>
      <c r="T2501" s="181"/>
      <c r="U2501" s="52"/>
      <c r="V2501" s="4288"/>
      <c r="W2501" s="3262">
        <v>8.6999999999999993</v>
      </c>
      <c r="X2501" s="3265">
        <v>8.69</v>
      </c>
      <c r="Y2501" s="3265">
        <v>8.6999999999999993</v>
      </c>
      <c r="Z2501" s="3262">
        <v>8.6999999999999993</v>
      </c>
      <c r="AA2501" s="3262">
        <v>8.6999999999999993</v>
      </c>
      <c r="AB2501" s="3262">
        <v>8.6999999999999993</v>
      </c>
      <c r="AC2501" s="3285">
        <v>8.6527272727272724</v>
      </c>
      <c r="AD2501" s="3482">
        <v>8.7601941747572809</v>
      </c>
      <c r="AE2501" s="3482">
        <v>8.6653061224489818</v>
      </c>
      <c r="AF2501" s="2236">
        <f t="shared" si="300"/>
        <v>8.6653061224489818</v>
      </c>
      <c r="AG2501" s="1396"/>
      <c r="DG2501" s="573"/>
      <c r="DH2501" s="159"/>
      <c r="DI2501" s="1091"/>
      <c r="DJ2501" s="1187"/>
    </row>
    <row r="2502" spans="1:114" ht="15" hidden="1" customHeight="1" outlineLevel="1">
      <c r="A2502" s="453"/>
      <c r="C2502" s="51"/>
      <c r="D2502" s="4295"/>
      <c r="E2502" s="4295"/>
      <c r="F2502" s="4307" t="str">
        <f>$E$1526</f>
        <v>ASHP-SEER16-Replace_CAC_ElectricHeat_ER1_SF</v>
      </c>
      <c r="G2502" s="4307"/>
      <c r="H2502" s="4307"/>
      <c r="I2502" s="4307"/>
      <c r="J2502" s="1029" t="str">
        <f>$C$1526</f>
        <v>352500_2024_12_</v>
      </c>
      <c r="K2502" s="916">
        <v>9.1268714011516288</v>
      </c>
      <c r="L2502" s="972"/>
      <c r="M2502" s="1739" t="s">
        <v>1934</v>
      </c>
      <c r="R2502" s="261"/>
      <c r="S2502" s="52"/>
      <c r="T2502" s="181"/>
      <c r="U2502" s="52"/>
      <c r="V2502" s="4288"/>
      <c r="W2502" s="1396">
        <v>9.4</v>
      </c>
      <c r="X2502" s="833">
        <v>8.69</v>
      </c>
      <c r="Y2502" s="833">
        <v>9.35</v>
      </c>
      <c r="Z2502" s="1396">
        <v>9.35</v>
      </c>
      <c r="AA2502" s="1396">
        <v>9.35</v>
      </c>
      <c r="AB2502" s="212">
        <v>8.4276397515527925</v>
      </c>
      <c r="AC2502" s="212">
        <v>9.0449206349206346</v>
      </c>
      <c r="AD2502" s="969">
        <v>9.0582601054481522</v>
      </c>
      <c r="AE2502" s="969">
        <v>9.1268714011516288</v>
      </c>
      <c r="AF2502" s="271">
        <f t="shared" si="300"/>
        <v>9.1268714011516288</v>
      </c>
      <c r="AG2502" s="1396"/>
      <c r="DG2502" s="573"/>
      <c r="DH2502" s="159"/>
      <c r="DI2502" s="1091"/>
      <c r="DJ2502" s="1187"/>
    </row>
    <row r="2503" spans="1:114" ht="15" hidden="1" customHeight="1" outlineLevel="1">
      <c r="A2503" s="453"/>
      <c r="C2503" s="51"/>
      <c r="D2503" s="4295"/>
      <c r="E2503" s="4295"/>
      <c r="F2503" s="4307" t="str">
        <f>$E$1528</f>
        <v>ASHP-SEER16-Replace_CAC_ElectricHeat_ER2_SF</v>
      </c>
      <c r="G2503" s="4307"/>
      <c r="H2503" s="4307"/>
      <c r="I2503" s="4307"/>
      <c r="J2503" s="1029" t="str">
        <f>$C$1528</f>
        <v>352500_2024_12_</v>
      </c>
      <c r="K2503" s="916">
        <v>9.1268714011516288</v>
      </c>
      <c r="L2503" s="972"/>
      <c r="M2503" s="1739" t="s">
        <v>1934</v>
      </c>
      <c r="R2503" s="261"/>
      <c r="S2503" s="52"/>
      <c r="T2503" s="181"/>
      <c r="U2503" s="52"/>
      <c r="V2503" s="4288"/>
      <c r="W2503" s="1396">
        <v>9.4</v>
      </c>
      <c r="X2503" s="833">
        <v>8.69</v>
      </c>
      <c r="Y2503" s="833">
        <v>9.35</v>
      </c>
      <c r="Z2503" s="1396">
        <v>9.35</v>
      </c>
      <c r="AA2503" s="1396">
        <v>9.35</v>
      </c>
      <c r="AB2503" s="212">
        <v>8.4276397515527925</v>
      </c>
      <c r="AC2503" s="212">
        <f>AC2502</f>
        <v>9.0449206349206346</v>
      </c>
      <c r="AD2503" s="969">
        <v>9.0582601054481522</v>
      </c>
      <c r="AE2503" s="969">
        <v>9.1268714011516288</v>
      </c>
      <c r="AF2503" s="271">
        <f t="shared" si="300"/>
        <v>9.1268714011516288</v>
      </c>
      <c r="AG2503" s="1396"/>
      <c r="DG2503" s="573"/>
      <c r="DH2503" s="159"/>
      <c r="DI2503" s="1091"/>
      <c r="DJ2503" s="1187"/>
    </row>
    <row r="2504" spans="1:114" ht="15" hidden="1" customHeight="1" outlineLevel="1">
      <c r="A2504" s="453"/>
      <c r="C2504" s="51"/>
      <c r="D2504" s="4295"/>
      <c r="E2504" s="4295"/>
      <c r="F2504" s="4307" t="str">
        <f>$E$1530</f>
        <v>ASHP-SEER16-Replace_CAC_NonElectricHeat_ER1_SF</v>
      </c>
      <c r="G2504" s="4307"/>
      <c r="H2504" s="4307"/>
      <c r="I2504" s="4307"/>
      <c r="J2504" s="1029" t="str">
        <f>$C$1530</f>
        <v>352510_2024_12_</v>
      </c>
      <c r="K2504" s="916">
        <v>9.1268714011516288</v>
      </c>
      <c r="L2504" s="972"/>
      <c r="M2504" s="1739" t="s">
        <v>1934</v>
      </c>
      <c r="R2504" s="261"/>
      <c r="S2504" s="52"/>
      <c r="T2504" s="181"/>
      <c r="U2504" s="52"/>
      <c r="V2504" s="4288"/>
      <c r="W2504" s="1396"/>
      <c r="X2504" s="833"/>
      <c r="Y2504" s="833"/>
      <c r="Z2504" s="1396"/>
      <c r="AA2504" s="1396"/>
      <c r="AB2504" s="212"/>
      <c r="AC2504" s="212">
        <v>9.0449206349206346</v>
      </c>
      <c r="AD2504" s="969">
        <v>9.0582601054481522</v>
      </c>
      <c r="AE2504" s="969">
        <v>9.1268714011516288</v>
      </c>
      <c r="AF2504" s="271">
        <f t="shared" si="300"/>
        <v>9.1268714011516288</v>
      </c>
      <c r="AG2504" s="1396"/>
      <c r="DG2504" s="573"/>
      <c r="DH2504" s="159"/>
      <c r="DI2504" s="1091"/>
      <c r="DJ2504" s="1187"/>
    </row>
    <row r="2505" spans="1:114" ht="15" hidden="1" customHeight="1" outlineLevel="1">
      <c r="A2505" s="453"/>
      <c r="C2505" s="51"/>
      <c r="D2505" s="4295"/>
      <c r="E2505" s="4295"/>
      <c r="F2505" s="4307" t="str">
        <f>$E$1532</f>
        <v>ASHP-SEER16-Replace_CAC_NonElectricHeat_ER2_SF</v>
      </c>
      <c r="G2505" s="4307"/>
      <c r="H2505" s="4307"/>
      <c r="I2505" s="4307"/>
      <c r="J2505" s="1029" t="str">
        <f>$C$1532</f>
        <v>352510_2024_12_</v>
      </c>
      <c r="K2505" s="916">
        <v>9.1268714011516288</v>
      </c>
      <c r="L2505" s="972"/>
      <c r="M2505" s="1739" t="s">
        <v>1934</v>
      </c>
      <c r="R2505" s="261"/>
      <c r="S2505" s="52"/>
      <c r="T2505" s="181"/>
      <c r="U2505" s="52"/>
      <c r="V2505" s="4288"/>
      <c r="W2505" s="1396"/>
      <c r="X2505" s="833"/>
      <c r="Y2505" s="833"/>
      <c r="Z2505" s="1396"/>
      <c r="AA2505" s="1396"/>
      <c r="AB2505" s="212"/>
      <c r="AC2505" s="212">
        <f>AC2504</f>
        <v>9.0449206349206346</v>
      </c>
      <c r="AD2505" s="969">
        <v>9.0582601054481522</v>
      </c>
      <c r="AE2505" s="969">
        <v>9.1268714011516288</v>
      </c>
      <c r="AF2505" s="271">
        <f t="shared" si="300"/>
        <v>9.1268714011516288</v>
      </c>
      <c r="AG2505" s="1396"/>
      <c r="DG2505" s="573"/>
      <c r="DH2505" s="159"/>
      <c r="DI2505" s="1091"/>
      <c r="DJ2505" s="1187"/>
    </row>
    <row r="2506" spans="1:114" ht="15" hidden="1" customHeight="1" outlineLevel="1">
      <c r="A2506" s="453"/>
      <c r="C2506" s="51"/>
      <c r="D2506" s="4295"/>
      <c r="E2506" s="4295"/>
      <c r="F2506" s="4307" t="str">
        <f>$E$1534</f>
        <v>ASHP-SEER16_ER1_SF</v>
      </c>
      <c r="G2506" s="4307"/>
      <c r="H2506" s="4307"/>
      <c r="I2506" s="4307"/>
      <c r="J2506" s="1029" t="str">
        <f>$C$1534</f>
        <v>352550_2024_12_</v>
      </c>
      <c r="K2506" s="916">
        <v>9.1268714011516288</v>
      </c>
      <c r="L2506" s="972"/>
      <c r="M2506" s="1739" t="s">
        <v>1934</v>
      </c>
      <c r="R2506" s="261"/>
      <c r="S2506" s="52"/>
      <c r="T2506" s="181"/>
      <c r="U2506" s="52"/>
      <c r="V2506" s="4288"/>
      <c r="W2506" s="1396">
        <v>9.5</v>
      </c>
      <c r="X2506" s="833">
        <v>8.69</v>
      </c>
      <c r="Y2506" s="833">
        <v>9.33</v>
      </c>
      <c r="Z2506" s="1396">
        <v>9.33</v>
      </c>
      <c r="AA2506" s="1396">
        <v>9.33</v>
      </c>
      <c r="AB2506" s="212">
        <v>8.8862149532710237</v>
      </c>
      <c r="AC2506" s="212">
        <v>9.11991341991342</v>
      </c>
      <c r="AD2506" s="969">
        <v>9.0582601054481522</v>
      </c>
      <c r="AE2506" s="969">
        <v>9.1268714011516288</v>
      </c>
      <c r="AF2506" s="271">
        <f t="shared" si="300"/>
        <v>9.1268714011516288</v>
      </c>
      <c r="AG2506" s="1396"/>
      <c r="DG2506" s="573"/>
      <c r="DH2506" s="159"/>
      <c r="DI2506" s="1091"/>
      <c r="DJ2506" s="1187"/>
    </row>
    <row r="2507" spans="1:114" ht="15" hidden="1" customHeight="1" outlineLevel="1">
      <c r="A2507" s="453"/>
      <c r="C2507" s="51"/>
      <c r="D2507" s="4295"/>
      <c r="E2507" s="4295"/>
      <c r="F2507" s="4307" t="str">
        <f>$E$1536</f>
        <v>ASHP-SEER16_ER2_SF</v>
      </c>
      <c r="G2507" s="4307"/>
      <c r="H2507" s="4307"/>
      <c r="I2507" s="4307"/>
      <c r="J2507" s="1029" t="str">
        <f>$C$1536</f>
        <v>352550_2024_12_</v>
      </c>
      <c r="K2507" s="916">
        <v>9.1268714011516288</v>
      </c>
      <c r="L2507" s="972"/>
      <c r="M2507" s="1739" t="s">
        <v>1934</v>
      </c>
      <c r="P2507" s="261"/>
      <c r="Q2507" s="261"/>
      <c r="R2507" s="261"/>
      <c r="S2507" s="52"/>
      <c r="T2507" s="181"/>
      <c r="U2507" s="52"/>
      <c r="V2507" s="4288"/>
      <c r="W2507" s="1396">
        <v>9.5</v>
      </c>
      <c r="X2507" s="833">
        <v>8.69</v>
      </c>
      <c r="Y2507" s="833">
        <v>9.33</v>
      </c>
      <c r="Z2507" s="1396">
        <v>9.33</v>
      </c>
      <c r="AA2507" s="1396">
        <v>9.33</v>
      </c>
      <c r="AB2507" s="212">
        <v>8.8862149532710237</v>
      </c>
      <c r="AC2507" s="212">
        <f>AC2506</f>
        <v>9.11991341991342</v>
      </c>
      <c r="AD2507" s="969">
        <v>9.0582601054481522</v>
      </c>
      <c r="AE2507" s="969">
        <v>9.1268714011516288</v>
      </c>
      <c r="AF2507" s="271">
        <f t="shared" si="300"/>
        <v>9.1268714011516288</v>
      </c>
      <c r="AG2507" s="1396"/>
      <c r="DG2507" s="573"/>
      <c r="DH2507" s="159"/>
      <c r="DI2507" s="1091"/>
      <c r="DJ2507" s="1187"/>
    </row>
    <row r="2508" spans="1:114" ht="15" hidden="1" customHeight="1" outlineLevel="1">
      <c r="A2508" s="453"/>
      <c r="C2508" s="51"/>
      <c r="D2508" s="4295"/>
      <c r="E2508" s="4295"/>
      <c r="F2508" s="4307" t="str">
        <f>$E$1538</f>
        <v>ASHP-SEER16-Replace_CAC_ElectricHeat_ROF_SF</v>
      </c>
      <c r="G2508" s="4307"/>
      <c r="H2508" s="4307"/>
      <c r="I2508" s="4307"/>
      <c r="J2508" s="1029" t="str">
        <f>$C$1538</f>
        <v>352600_2024_12_</v>
      </c>
      <c r="K2508" s="916">
        <v>8.9733812949640299</v>
      </c>
      <c r="L2508" s="972"/>
      <c r="M2508" s="1739" t="s">
        <v>1934</v>
      </c>
      <c r="P2508" s="261"/>
      <c r="Q2508" s="261"/>
      <c r="R2508" s="261"/>
      <c r="S2508" s="52"/>
      <c r="T2508" s="181"/>
      <c r="U2508" s="52"/>
      <c r="V2508" s="4288"/>
      <c r="W2508" s="1396">
        <v>9.6999999999999993</v>
      </c>
      <c r="X2508" s="833">
        <v>8.69</v>
      </c>
      <c r="Y2508" s="833">
        <v>9.43</v>
      </c>
      <c r="Z2508" s="1396">
        <v>9.43</v>
      </c>
      <c r="AA2508" s="1396">
        <v>9.43</v>
      </c>
      <c r="AB2508" s="212">
        <v>8.7769841269841269</v>
      </c>
      <c r="AC2508" s="212">
        <v>9.3470588235294123</v>
      </c>
      <c r="AD2508" s="969">
        <v>9.1536458333333339</v>
      </c>
      <c r="AE2508" s="969">
        <v>8.9733812949640299</v>
      </c>
      <c r="AF2508" s="271">
        <f t="shared" si="300"/>
        <v>8.9733812949640299</v>
      </c>
      <c r="AG2508" s="1396"/>
      <c r="DG2508" s="573"/>
      <c r="DH2508" s="159"/>
      <c r="DI2508" s="1091"/>
      <c r="DJ2508" s="1187"/>
    </row>
    <row r="2509" spans="1:114" ht="15" hidden="1" customHeight="1" outlineLevel="1">
      <c r="A2509" s="453"/>
      <c r="C2509" s="51"/>
      <c r="D2509" s="4295"/>
      <c r="E2509" s="4295"/>
      <c r="F2509" s="4307" t="str">
        <f>$E$1540</f>
        <v>ASHP-SEER16-Replace_CAC_NonElectricHeat_ROF_SF</v>
      </c>
      <c r="G2509" s="4307"/>
      <c r="H2509" s="4307"/>
      <c r="I2509" s="4307"/>
      <c r="J2509" s="1029" t="str">
        <f>$C$1540</f>
        <v>352610_2024_12_</v>
      </c>
      <c r="K2509" s="916">
        <v>8.9733812949640299</v>
      </c>
      <c r="L2509" s="972"/>
      <c r="M2509" s="1739" t="s">
        <v>1934</v>
      </c>
      <c r="P2509" s="261"/>
      <c r="Q2509" s="261"/>
      <c r="R2509" s="261"/>
      <c r="S2509" s="52"/>
      <c r="T2509" s="181"/>
      <c r="U2509" s="52"/>
      <c r="V2509" s="4288"/>
      <c r="W2509" s="1396"/>
      <c r="X2509" s="833"/>
      <c r="Y2509" s="833"/>
      <c r="Z2509" s="1396"/>
      <c r="AA2509" s="1396"/>
      <c r="AB2509" s="212"/>
      <c r="AC2509" s="212"/>
      <c r="AD2509" s="969">
        <v>9.1536458333333339</v>
      </c>
      <c r="AE2509" s="969">
        <v>8.9733812949640299</v>
      </c>
      <c r="AF2509" s="271">
        <f t="shared" si="300"/>
        <v>8.9733812949640299</v>
      </c>
      <c r="AG2509" s="1396"/>
      <c r="DG2509" s="573"/>
      <c r="DH2509" s="159"/>
      <c r="DI2509" s="1091"/>
      <c r="DJ2509" s="1187"/>
    </row>
    <row r="2510" spans="1:114" ht="15" hidden="1" customHeight="1" outlineLevel="1">
      <c r="A2510" s="453"/>
      <c r="C2510" s="51"/>
      <c r="D2510" s="4295"/>
      <c r="E2510" s="4295"/>
      <c r="F2510" s="4307" t="str">
        <f>$E$1542</f>
        <v>ASHP-SEER16_ROF_SF</v>
      </c>
      <c r="G2510" s="4307"/>
      <c r="H2510" s="4307"/>
      <c r="I2510" s="4307"/>
      <c r="J2510" s="1029" t="str">
        <f>$C$1542</f>
        <v>352650_2024_12_</v>
      </c>
      <c r="K2510" s="916">
        <v>8.9733812949640299</v>
      </c>
      <c r="L2510" s="972"/>
      <c r="M2510" s="1739" t="s">
        <v>1934</v>
      </c>
      <c r="P2510" s="261"/>
      <c r="Q2510" s="261"/>
      <c r="R2510" s="261"/>
      <c r="S2510" s="52"/>
      <c r="T2510" s="181"/>
      <c r="U2510" s="52"/>
      <c r="V2510" s="4288"/>
      <c r="W2510" s="1396">
        <v>9.8000000000000007</v>
      </c>
      <c r="X2510" s="833">
        <v>8.69</v>
      </c>
      <c r="Y2510" s="833">
        <v>9.43</v>
      </c>
      <c r="Z2510" s="1396">
        <v>9.43</v>
      </c>
      <c r="AA2510" s="1396">
        <v>9.43</v>
      </c>
      <c r="AB2510" s="1396">
        <v>9.43</v>
      </c>
      <c r="AC2510" s="212">
        <v>9.0519999999999996</v>
      </c>
      <c r="AD2510" s="969">
        <v>9.1536458333333339</v>
      </c>
      <c r="AE2510" s="969">
        <v>8.9733812949640299</v>
      </c>
      <c r="AF2510" s="271">
        <f t="shared" si="300"/>
        <v>8.9733812949640299</v>
      </c>
      <c r="AG2510" s="1396"/>
      <c r="DG2510" s="573"/>
      <c r="DH2510" s="159"/>
      <c r="DI2510" s="1091"/>
      <c r="DJ2510" s="1187"/>
    </row>
    <row r="2511" spans="1:114" ht="15" hidden="1" customHeight="1" outlineLevel="1">
      <c r="A2511" s="453"/>
      <c r="C2511" s="51"/>
      <c r="D2511" s="4295"/>
      <c r="E2511" s="4295"/>
      <c r="F2511" s="4347" t="str">
        <f>$E$1544</f>
        <v>ASHP-SEER15_ER1_MF</v>
      </c>
      <c r="G2511" s="4347"/>
      <c r="H2511" s="4347"/>
      <c r="I2511" s="4347"/>
      <c r="J2511" s="3471" t="str">
        <f>$C$1544</f>
        <v>352700_2024_12_</v>
      </c>
      <c r="K2511" s="3337">
        <v>9.3000000000000007</v>
      </c>
      <c r="L2511" s="3480"/>
      <c r="M2511" s="3481" t="s">
        <v>1937</v>
      </c>
      <c r="P2511" s="261"/>
      <c r="Q2511" s="261"/>
      <c r="R2511" s="261"/>
      <c r="S2511" s="52"/>
      <c r="T2511" s="181"/>
      <c r="U2511" s="52"/>
      <c r="V2511" s="4288"/>
      <c r="W2511" s="3262">
        <v>8.6999999999999993</v>
      </c>
      <c r="X2511" s="3262">
        <v>8.6999999999999993</v>
      </c>
      <c r="Y2511" s="3262">
        <v>8.6999999999999993</v>
      </c>
      <c r="Z2511" s="3262">
        <v>8.6999999999999993</v>
      </c>
      <c r="AA2511" s="3262">
        <v>8.6999999999999993</v>
      </c>
      <c r="AB2511" s="3285">
        <v>9.0625</v>
      </c>
      <c r="AC2511" s="3285">
        <v>8.8333333333333339</v>
      </c>
      <c r="AD2511" s="3482">
        <v>9.3000000000000007</v>
      </c>
      <c r="AE2511" s="3484">
        <v>9.3000000000000007</v>
      </c>
      <c r="AF2511" s="2236">
        <f t="shared" si="300"/>
        <v>9.3000000000000007</v>
      </c>
      <c r="AG2511" s="1396"/>
      <c r="DG2511" s="573"/>
      <c r="DH2511" s="159"/>
      <c r="DI2511" s="1091"/>
      <c r="DJ2511" s="1187"/>
    </row>
    <row r="2512" spans="1:114" ht="15" hidden="1" customHeight="1" outlineLevel="1">
      <c r="A2512" s="453"/>
      <c r="C2512" s="51"/>
      <c r="D2512" s="4295"/>
      <c r="E2512" s="4295"/>
      <c r="F2512" s="4347" t="str">
        <f>$E$1546</f>
        <v>ASHP-SEER15_ER2_MF</v>
      </c>
      <c r="G2512" s="4347"/>
      <c r="H2512" s="4347"/>
      <c r="I2512" s="4347"/>
      <c r="J2512" s="3471" t="str">
        <f>$C$1546</f>
        <v>352700_2024_12_</v>
      </c>
      <c r="K2512" s="3337">
        <v>9.3000000000000007</v>
      </c>
      <c r="L2512" s="3480"/>
      <c r="M2512" s="3481" t="s">
        <v>1937</v>
      </c>
      <c r="P2512" s="261"/>
      <c r="Q2512" s="261"/>
      <c r="R2512" s="261"/>
      <c r="S2512" s="52"/>
      <c r="T2512" s="181"/>
      <c r="U2512" s="52"/>
      <c r="V2512" s="4288"/>
      <c r="W2512" s="3262">
        <v>8.6999999999999993</v>
      </c>
      <c r="X2512" s="3262">
        <v>8.6999999999999993</v>
      </c>
      <c r="Y2512" s="3262">
        <v>8.6999999999999993</v>
      </c>
      <c r="Z2512" s="3262">
        <v>8.6999999999999993</v>
      </c>
      <c r="AA2512" s="3262">
        <v>8.6999999999999993</v>
      </c>
      <c r="AB2512" s="3285">
        <v>9.0625</v>
      </c>
      <c r="AC2512" s="3285">
        <f>AC2511</f>
        <v>8.8333333333333339</v>
      </c>
      <c r="AD2512" s="3482">
        <v>9.3000000000000007</v>
      </c>
      <c r="AE2512" s="3484">
        <v>9.3000000000000007</v>
      </c>
      <c r="AF2512" s="2236">
        <f t="shared" si="300"/>
        <v>9.3000000000000007</v>
      </c>
      <c r="AG2512" s="1396"/>
      <c r="DG2512" s="573"/>
      <c r="DH2512" s="159"/>
      <c r="DI2512" s="1091"/>
      <c r="DJ2512" s="1187"/>
    </row>
    <row r="2513" spans="1:114" ht="15" hidden="1" customHeight="1" outlineLevel="1">
      <c r="A2513" s="453"/>
      <c r="C2513" s="51"/>
      <c r="D2513" s="4295"/>
      <c r="E2513" s="4295"/>
      <c r="F2513" s="4347" t="str">
        <f>$E$1548</f>
        <v>ASHP-SEER15_ER1_MF_CompE</v>
      </c>
      <c r="G2513" s="4347"/>
      <c r="H2513" s="4347"/>
      <c r="I2513" s="4347"/>
      <c r="J2513" s="3471" t="str">
        <f>$C$1548</f>
        <v>352701_2024_12_</v>
      </c>
      <c r="K2513" s="3337">
        <v>9.3000000000000007</v>
      </c>
      <c r="L2513" s="3480"/>
      <c r="M2513" s="3483" t="s">
        <v>1945</v>
      </c>
      <c r="P2513" s="261"/>
      <c r="Q2513" s="261"/>
      <c r="R2513" s="261"/>
      <c r="S2513" s="52"/>
      <c r="T2513" s="181"/>
      <c r="U2513" s="52"/>
      <c r="V2513" s="4288"/>
      <c r="W2513" s="3262"/>
      <c r="X2513" s="3262"/>
      <c r="Y2513" s="3265">
        <v>8.6999999999999993</v>
      </c>
      <c r="Z2513" s="3262">
        <v>8.6999999999999993</v>
      </c>
      <c r="AA2513" s="3262">
        <v>8.6999999999999993</v>
      </c>
      <c r="AB2513" s="3262">
        <v>8.6999999999999993</v>
      </c>
      <c r="AC2513" s="3285">
        <f>AC2511</f>
        <v>8.8333333333333339</v>
      </c>
      <c r="AD2513" s="3482">
        <v>9.3000000000000007</v>
      </c>
      <c r="AE2513" s="3484">
        <v>9.3000000000000007</v>
      </c>
      <c r="AF2513" s="2236">
        <f t="shared" si="300"/>
        <v>9.3000000000000007</v>
      </c>
      <c r="AG2513" s="1396"/>
      <c r="DG2513" s="573"/>
      <c r="DH2513" s="159"/>
      <c r="DI2513" s="1091"/>
      <c r="DJ2513" s="1187"/>
    </row>
    <row r="2514" spans="1:114" ht="15" hidden="1" customHeight="1" outlineLevel="1">
      <c r="A2514" s="453"/>
      <c r="C2514" s="51"/>
      <c r="D2514" s="4295"/>
      <c r="E2514" s="4295"/>
      <c r="F2514" s="4347" t="str">
        <f>$E$1550</f>
        <v>ASHP-SEER15_ER2_MF_CompE</v>
      </c>
      <c r="G2514" s="4347"/>
      <c r="H2514" s="4347"/>
      <c r="I2514" s="4347"/>
      <c r="J2514" s="3471" t="str">
        <f>$C$1550</f>
        <v>352701_2024_12_</v>
      </c>
      <c r="K2514" s="3337">
        <v>9.3000000000000007</v>
      </c>
      <c r="L2514" s="3480"/>
      <c r="M2514" s="3483" t="s">
        <v>1945</v>
      </c>
      <c r="P2514" s="261"/>
      <c r="Q2514" s="261"/>
      <c r="R2514" s="261"/>
      <c r="S2514" s="52"/>
      <c r="T2514" s="181"/>
      <c r="U2514" s="52"/>
      <c r="V2514" s="4288"/>
      <c r="W2514" s="3262"/>
      <c r="X2514" s="3262"/>
      <c r="Y2514" s="3265">
        <v>8.6999999999999993</v>
      </c>
      <c r="Z2514" s="3262">
        <v>8.6999999999999993</v>
      </c>
      <c r="AA2514" s="3262">
        <v>8.6999999999999993</v>
      </c>
      <c r="AB2514" s="3262">
        <v>8.6999999999999993</v>
      </c>
      <c r="AC2514" s="3285">
        <f>AC2512</f>
        <v>8.8333333333333339</v>
      </c>
      <c r="AD2514" s="3482">
        <v>9.3000000000000007</v>
      </c>
      <c r="AE2514" s="3484">
        <v>9.3000000000000007</v>
      </c>
      <c r="AF2514" s="2236">
        <f t="shared" si="300"/>
        <v>9.3000000000000007</v>
      </c>
      <c r="AG2514" s="1396"/>
      <c r="DG2514" s="573"/>
      <c r="DH2514" s="159"/>
      <c r="DI2514" s="1091"/>
      <c r="DJ2514" s="1187"/>
    </row>
    <row r="2515" spans="1:114" ht="15" hidden="1" customHeight="1" outlineLevel="1">
      <c r="A2515" s="453"/>
      <c r="C2515" s="51"/>
      <c r="D2515" s="4295"/>
      <c r="E2515" s="4295"/>
      <c r="F2515" s="4347" t="str">
        <f>$E$1552</f>
        <v>ASHP-SEER15-Replace_CAC_ElectricHeat_ER1_MF</v>
      </c>
      <c r="G2515" s="4347"/>
      <c r="H2515" s="4347"/>
      <c r="I2515" s="4347"/>
      <c r="J2515" s="3471" t="str">
        <f>$C$1552</f>
        <v>352750_2024_12_</v>
      </c>
      <c r="K2515" s="3337">
        <v>9.3000000000000007</v>
      </c>
      <c r="L2515" s="3480"/>
      <c r="M2515" s="3481" t="s">
        <v>1937</v>
      </c>
      <c r="P2515" s="261"/>
      <c r="Q2515" s="261"/>
      <c r="R2515" s="261"/>
      <c r="S2515" s="52"/>
      <c r="T2515" s="181"/>
      <c r="U2515" s="52"/>
      <c r="V2515" s="4288"/>
      <c r="W2515" s="3262">
        <v>8.6999999999999993</v>
      </c>
      <c r="X2515" s="3262">
        <v>8.6999999999999993</v>
      </c>
      <c r="Y2515" s="3262">
        <v>8.6999999999999993</v>
      </c>
      <c r="Z2515" s="3262">
        <v>8.6999999999999993</v>
      </c>
      <c r="AA2515" s="3262">
        <v>8.6999999999999993</v>
      </c>
      <c r="AB2515" s="3265">
        <v>8.75</v>
      </c>
      <c r="AC2515" s="3285">
        <v>9.25</v>
      </c>
      <c r="AD2515" s="3482">
        <v>9.3000000000000007</v>
      </c>
      <c r="AE2515" s="3484">
        <v>9.3000000000000007</v>
      </c>
      <c r="AF2515" s="2236">
        <f t="shared" si="300"/>
        <v>9.3000000000000007</v>
      </c>
      <c r="AG2515" s="1396"/>
      <c r="DG2515" s="573"/>
      <c r="DH2515" s="159"/>
      <c r="DI2515" s="1091"/>
      <c r="DJ2515" s="1187"/>
    </row>
    <row r="2516" spans="1:114" ht="15" hidden="1" customHeight="1" outlineLevel="1">
      <c r="A2516" s="453"/>
      <c r="C2516" s="51"/>
      <c r="D2516" s="4295"/>
      <c r="E2516" s="4295"/>
      <c r="F2516" s="4347" t="str">
        <f>$E$1554</f>
        <v>ASHP-SEER15-Replace_CAC_ElectricHeat_ER2_MF</v>
      </c>
      <c r="G2516" s="4347"/>
      <c r="H2516" s="4347"/>
      <c r="I2516" s="4347"/>
      <c r="J2516" s="3471" t="str">
        <f>$C$1554</f>
        <v>352750_2024_12_</v>
      </c>
      <c r="K2516" s="3337">
        <v>9.3000000000000007</v>
      </c>
      <c r="L2516" s="3480"/>
      <c r="M2516" s="3481" t="s">
        <v>1937</v>
      </c>
      <c r="P2516" s="261"/>
      <c r="Q2516" s="261"/>
      <c r="R2516" s="261"/>
      <c r="S2516" s="52"/>
      <c r="T2516" s="181"/>
      <c r="U2516" s="52"/>
      <c r="V2516" s="4288"/>
      <c r="W2516" s="3262">
        <v>8.6999999999999993</v>
      </c>
      <c r="X2516" s="3262">
        <v>8.6999999999999993</v>
      </c>
      <c r="Y2516" s="3262">
        <v>8.6999999999999993</v>
      </c>
      <c r="Z2516" s="3262">
        <v>8.6999999999999993</v>
      </c>
      <c r="AA2516" s="3262">
        <v>8.6999999999999993</v>
      </c>
      <c r="AB2516" s="3265">
        <v>8.75</v>
      </c>
      <c r="AC2516" s="3285">
        <f>AC2515</f>
        <v>9.25</v>
      </c>
      <c r="AD2516" s="3482">
        <v>9.3000000000000007</v>
      </c>
      <c r="AE2516" s="3484">
        <v>9.3000000000000007</v>
      </c>
      <c r="AF2516" s="2236">
        <f t="shared" si="300"/>
        <v>9.3000000000000007</v>
      </c>
      <c r="AG2516" s="1396"/>
      <c r="DG2516" s="573"/>
      <c r="DH2516" s="159"/>
      <c r="DI2516" s="1091"/>
      <c r="DJ2516" s="1187"/>
    </row>
    <row r="2517" spans="1:114" ht="15" hidden="1" customHeight="1" outlineLevel="1">
      <c r="A2517" s="453"/>
      <c r="C2517" s="51"/>
      <c r="D2517" s="4295"/>
      <c r="E2517" s="4295"/>
      <c r="F2517" s="4347" t="str">
        <f>$E$1556</f>
        <v>ASHP-SEER15-Replace_CAC_ElectricHeat_ER1_MF_CompE</v>
      </c>
      <c r="G2517" s="4347"/>
      <c r="H2517" s="4347"/>
      <c r="I2517" s="4347"/>
      <c r="J2517" s="3471" t="str">
        <f>$C$1556</f>
        <v>352751_2024_12_</v>
      </c>
      <c r="K2517" s="3337">
        <v>9.3000000000000007</v>
      </c>
      <c r="L2517" s="3480"/>
      <c r="M2517" s="3483" t="s">
        <v>1945</v>
      </c>
      <c r="P2517" s="261"/>
      <c r="Q2517" s="261"/>
      <c r="R2517" s="261"/>
      <c r="S2517" s="52"/>
      <c r="T2517" s="181"/>
      <c r="U2517" s="52"/>
      <c r="V2517" s="4288"/>
      <c r="W2517" s="3262"/>
      <c r="X2517" s="3262"/>
      <c r="Y2517" s="3265">
        <v>8.6999999999999993</v>
      </c>
      <c r="Z2517" s="3262">
        <v>8.6999999999999993</v>
      </c>
      <c r="AA2517" s="3262">
        <v>8.6999999999999993</v>
      </c>
      <c r="AB2517" s="3265">
        <v>8.75</v>
      </c>
      <c r="AC2517" s="3285">
        <f>AC2515</f>
        <v>9.25</v>
      </c>
      <c r="AD2517" s="3482">
        <v>9.3000000000000007</v>
      </c>
      <c r="AE2517" s="3484">
        <v>9.3000000000000007</v>
      </c>
      <c r="AF2517" s="2236">
        <f t="shared" si="300"/>
        <v>9.3000000000000007</v>
      </c>
      <c r="AG2517" s="1396"/>
      <c r="DG2517" s="573"/>
      <c r="DH2517" s="159"/>
      <c r="DI2517" s="1091"/>
      <c r="DJ2517" s="1187"/>
    </row>
    <row r="2518" spans="1:114" ht="15" hidden="1" customHeight="1" outlineLevel="1">
      <c r="A2518" s="453"/>
      <c r="C2518" s="51"/>
      <c r="D2518" s="4295"/>
      <c r="E2518" s="4295"/>
      <c r="F2518" s="4347" t="str">
        <f>$E$1558</f>
        <v>ASHP-SEER15-Replace_CAC_ElectricHeat_ER2_MF_CompE</v>
      </c>
      <c r="G2518" s="4347"/>
      <c r="H2518" s="4347"/>
      <c r="I2518" s="4347"/>
      <c r="J2518" s="3471" t="str">
        <f>$C$1558</f>
        <v>352751_2024_12_</v>
      </c>
      <c r="K2518" s="3337">
        <v>9.3000000000000007</v>
      </c>
      <c r="L2518" s="3480"/>
      <c r="M2518" s="3483" t="s">
        <v>1945</v>
      </c>
      <c r="P2518" s="261"/>
      <c r="Q2518" s="261"/>
      <c r="R2518" s="261"/>
      <c r="S2518" s="52"/>
      <c r="T2518" s="181"/>
      <c r="U2518" s="52"/>
      <c r="V2518" s="4288"/>
      <c r="W2518" s="3262"/>
      <c r="X2518" s="3262"/>
      <c r="Y2518" s="3265">
        <v>8.6999999999999993</v>
      </c>
      <c r="Z2518" s="3262">
        <v>8.6999999999999993</v>
      </c>
      <c r="AA2518" s="3262">
        <v>8.6999999999999993</v>
      </c>
      <c r="AB2518" s="3265">
        <v>8.75</v>
      </c>
      <c r="AC2518" s="3285">
        <f>AC2516</f>
        <v>9.25</v>
      </c>
      <c r="AD2518" s="3482">
        <v>9.3000000000000007</v>
      </c>
      <c r="AE2518" s="3484">
        <v>9.3000000000000007</v>
      </c>
      <c r="AF2518" s="2236">
        <f t="shared" si="300"/>
        <v>9.3000000000000007</v>
      </c>
      <c r="AG2518" s="1396"/>
      <c r="DG2518" s="573"/>
      <c r="DH2518" s="159"/>
      <c r="DI2518" s="1091"/>
      <c r="DJ2518" s="1187"/>
    </row>
    <row r="2519" spans="1:114" ht="15" hidden="1" customHeight="1" outlineLevel="1">
      <c r="A2519" s="453"/>
      <c r="C2519" s="51"/>
      <c r="D2519" s="4295"/>
      <c r="E2519" s="4295"/>
      <c r="F2519" s="4347" t="str">
        <f>$E$1560</f>
        <v>ASHP-SEER15-Replace_CAC_NonElectricHeat_ER1_MF</v>
      </c>
      <c r="G2519" s="4347"/>
      <c r="H2519" s="4347"/>
      <c r="I2519" s="4347"/>
      <c r="J2519" s="3471" t="str">
        <f>$C$1560</f>
        <v>352760_2024_12_</v>
      </c>
      <c r="K2519" s="3337">
        <v>9.3000000000000007</v>
      </c>
      <c r="L2519" s="3480"/>
      <c r="M2519" s="3293" t="s">
        <v>1945</v>
      </c>
      <c r="P2519" s="261"/>
      <c r="Q2519" s="261"/>
      <c r="R2519" s="261"/>
      <c r="S2519" s="52"/>
      <c r="T2519" s="181"/>
      <c r="U2519" s="52"/>
      <c r="V2519" s="4288"/>
      <c r="W2519" s="3262"/>
      <c r="X2519" s="3262"/>
      <c r="Y2519" s="3265"/>
      <c r="Z2519" s="3262"/>
      <c r="AA2519" s="3262"/>
      <c r="AB2519" s="3265"/>
      <c r="AC2519" s="3285">
        <v>9.25</v>
      </c>
      <c r="AD2519" s="3482">
        <v>9.3000000000000007</v>
      </c>
      <c r="AE2519" s="3484">
        <v>9.3000000000000007</v>
      </c>
      <c r="AF2519" s="2236">
        <f t="shared" si="300"/>
        <v>9.3000000000000007</v>
      </c>
      <c r="AG2519" s="1396"/>
      <c r="DG2519" s="573"/>
      <c r="DH2519" s="159"/>
      <c r="DI2519" s="1091"/>
      <c r="DJ2519" s="1187"/>
    </row>
    <row r="2520" spans="1:114" ht="15" hidden="1" customHeight="1" outlineLevel="1">
      <c r="A2520" s="453"/>
      <c r="C2520" s="51"/>
      <c r="D2520" s="4295"/>
      <c r="E2520" s="4295"/>
      <c r="F2520" s="4347" t="str">
        <f>$E$1562</f>
        <v>ASHP-SEER15-Replace_CAC_NonElectricHeat_ER2_MF</v>
      </c>
      <c r="G2520" s="4347"/>
      <c r="H2520" s="4347"/>
      <c r="I2520" s="4347"/>
      <c r="J2520" s="3471" t="str">
        <f>$C$1562</f>
        <v>352760_2024_12_</v>
      </c>
      <c r="K2520" s="3337">
        <v>9.3000000000000007</v>
      </c>
      <c r="L2520" s="3480"/>
      <c r="M2520" s="3293" t="s">
        <v>1945</v>
      </c>
      <c r="P2520" s="261"/>
      <c r="Q2520" s="261"/>
      <c r="R2520" s="261"/>
      <c r="S2520" s="52"/>
      <c r="T2520" s="181"/>
      <c r="U2520" s="52"/>
      <c r="V2520" s="4288"/>
      <c r="W2520" s="3262"/>
      <c r="X2520" s="3262"/>
      <c r="Y2520" s="3265"/>
      <c r="Z2520" s="3262"/>
      <c r="AA2520" s="3262"/>
      <c r="AB2520" s="3265"/>
      <c r="AC2520" s="3285">
        <f>AC2519</f>
        <v>9.25</v>
      </c>
      <c r="AD2520" s="3482">
        <v>9.3000000000000007</v>
      </c>
      <c r="AE2520" s="3484">
        <v>9.3000000000000007</v>
      </c>
      <c r="AF2520" s="2236">
        <f t="shared" si="300"/>
        <v>9.3000000000000007</v>
      </c>
      <c r="AG2520" s="1396"/>
      <c r="DG2520" s="573"/>
      <c r="DH2520" s="159"/>
      <c r="DI2520" s="1091"/>
      <c r="DJ2520" s="1187"/>
    </row>
    <row r="2521" spans="1:114" ht="15" hidden="1" customHeight="1" outlineLevel="1">
      <c r="A2521" s="453"/>
      <c r="C2521" s="51"/>
      <c r="D2521" s="4295"/>
      <c r="E2521" s="4295"/>
      <c r="F2521" s="4347" t="str">
        <f>$E$1564</f>
        <v>ASHP-SEER15-Replace_CAC_NonElectricHeat_ER1_MF_CompE</v>
      </c>
      <c r="G2521" s="4347"/>
      <c r="H2521" s="4347"/>
      <c r="I2521" s="4347"/>
      <c r="J2521" s="3471" t="str">
        <f>$C$1564</f>
        <v>352761_2024_12_</v>
      </c>
      <c r="K2521" s="3337">
        <v>9.3000000000000007</v>
      </c>
      <c r="L2521" s="3480"/>
      <c r="M2521" s="3293" t="s">
        <v>1945</v>
      </c>
      <c r="P2521" s="261"/>
      <c r="Q2521" s="261"/>
      <c r="R2521" s="261"/>
      <c r="S2521" s="52"/>
      <c r="T2521" s="181"/>
      <c r="U2521" s="52"/>
      <c r="V2521" s="4288"/>
      <c r="W2521" s="3262"/>
      <c r="X2521" s="3262"/>
      <c r="Y2521" s="3265"/>
      <c r="Z2521" s="3262"/>
      <c r="AA2521" s="3262"/>
      <c r="AB2521" s="3265"/>
      <c r="AC2521" s="3285">
        <f>AC2519</f>
        <v>9.25</v>
      </c>
      <c r="AD2521" s="3482">
        <v>9.3000000000000007</v>
      </c>
      <c r="AE2521" s="3484">
        <v>9.3000000000000007</v>
      </c>
      <c r="AF2521" s="2236">
        <f t="shared" si="300"/>
        <v>9.3000000000000007</v>
      </c>
      <c r="AG2521" s="1396"/>
      <c r="DG2521" s="573"/>
      <c r="DH2521" s="159"/>
      <c r="DI2521" s="1091"/>
      <c r="DJ2521" s="1187"/>
    </row>
    <row r="2522" spans="1:114" ht="15" hidden="1" customHeight="1" outlineLevel="1">
      <c r="A2522" s="453"/>
      <c r="C2522" s="51"/>
      <c r="D2522" s="4295"/>
      <c r="E2522" s="4295"/>
      <c r="F2522" s="4347" t="str">
        <f>$E$1566</f>
        <v>ASHP-SEER15-Replace_CAC_NonElectricHeat_ER2_MF_CompE</v>
      </c>
      <c r="G2522" s="4347"/>
      <c r="H2522" s="4347"/>
      <c r="I2522" s="4347"/>
      <c r="J2522" s="3471" t="str">
        <f>$C$1566</f>
        <v>352761_2024_12_</v>
      </c>
      <c r="K2522" s="3337">
        <v>9.3000000000000007</v>
      </c>
      <c r="L2522" s="3480"/>
      <c r="M2522" s="3293" t="s">
        <v>1945</v>
      </c>
      <c r="P2522" s="261"/>
      <c r="Q2522" s="261"/>
      <c r="R2522" s="261"/>
      <c r="S2522" s="52"/>
      <c r="T2522" s="181"/>
      <c r="U2522" s="52"/>
      <c r="V2522" s="4288"/>
      <c r="W2522" s="3262"/>
      <c r="X2522" s="3262"/>
      <c r="Y2522" s="3265"/>
      <c r="Z2522" s="3262"/>
      <c r="AA2522" s="3262"/>
      <c r="AB2522" s="3265"/>
      <c r="AC2522" s="3285">
        <f>AC2520</f>
        <v>9.25</v>
      </c>
      <c r="AD2522" s="3482">
        <v>9.3000000000000007</v>
      </c>
      <c r="AE2522" s="3484">
        <v>9.3000000000000007</v>
      </c>
      <c r="AF2522" s="2236">
        <f t="shared" si="300"/>
        <v>9.3000000000000007</v>
      </c>
      <c r="AG2522" s="1396"/>
      <c r="DG2522" s="573"/>
      <c r="DH2522" s="159"/>
      <c r="DI2522" s="1091"/>
      <c r="DJ2522" s="1187"/>
    </row>
    <row r="2523" spans="1:114" ht="15" hidden="1" customHeight="1" outlineLevel="1">
      <c r="A2523" s="453"/>
      <c r="C2523" s="51"/>
      <c r="D2523" s="4295"/>
      <c r="E2523" s="4295"/>
      <c r="F2523" s="4347" t="str">
        <f>$E$1568</f>
        <v>ASHP-SEER15-Replace_CAC_ElectricHeat_ROF_MF</v>
      </c>
      <c r="G2523" s="4347"/>
      <c r="H2523" s="4347"/>
      <c r="I2523" s="4347"/>
      <c r="J2523" s="3471" t="str">
        <f>$C$1568</f>
        <v>352800_2024_12_</v>
      </c>
      <c r="K2523" s="3337">
        <v>8.5</v>
      </c>
      <c r="L2523" s="3480"/>
      <c r="M2523" s="3481" t="s">
        <v>1937</v>
      </c>
      <c r="P2523" s="261"/>
      <c r="Q2523" s="261"/>
      <c r="R2523" s="261"/>
      <c r="S2523" s="52"/>
      <c r="T2523" s="181"/>
      <c r="U2523" s="52"/>
      <c r="V2523" s="4288"/>
      <c r="W2523" s="3262">
        <v>8.6</v>
      </c>
      <c r="X2523" s="3262">
        <v>8.6</v>
      </c>
      <c r="Y2523" s="3262">
        <v>8.6</v>
      </c>
      <c r="Z2523" s="3262">
        <v>8.6</v>
      </c>
      <c r="AA2523" s="3262">
        <v>8.6</v>
      </c>
      <c r="AB2523" s="3262">
        <v>8.6</v>
      </c>
      <c r="AC2523" s="3286">
        <v>8.6</v>
      </c>
      <c r="AD2523" s="3482">
        <v>8.5</v>
      </c>
      <c r="AE2523" s="3484">
        <v>8.5</v>
      </c>
      <c r="AF2523" s="2236">
        <f t="shared" si="300"/>
        <v>8.5</v>
      </c>
      <c r="AG2523" s="1396"/>
      <c r="DG2523" s="573"/>
      <c r="DH2523" s="159"/>
      <c r="DI2523" s="1091"/>
      <c r="DJ2523" s="1187"/>
    </row>
    <row r="2524" spans="1:114" ht="15" hidden="1" customHeight="1" outlineLevel="1">
      <c r="A2524" s="453"/>
      <c r="C2524" s="51"/>
      <c r="D2524" s="4295"/>
      <c r="E2524" s="4295"/>
      <c r="F2524" s="4347" t="str">
        <f>$E$1570</f>
        <v>ASHP-SEER15-Replace_CAC_ElectricHeat_ROF_MF_CompE</v>
      </c>
      <c r="G2524" s="4347"/>
      <c r="H2524" s="4347"/>
      <c r="I2524" s="4347"/>
      <c r="J2524" s="3471" t="str">
        <f>$C$1570</f>
        <v>352801_2024_12_</v>
      </c>
      <c r="K2524" s="3337">
        <v>8.5</v>
      </c>
      <c r="L2524" s="3480"/>
      <c r="M2524" s="3481" t="s">
        <v>1937</v>
      </c>
      <c r="P2524" s="261"/>
      <c r="Q2524" s="261"/>
      <c r="R2524" s="261"/>
      <c r="S2524" s="52"/>
      <c r="T2524" s="181"/>
      <c r="U2524" s="52"/>
      <c r="V2524" s="4288"/>
      <c r="W2524" s="3262"/>
      <c r="X2524" s="3262"/>
      <c r="Y2524" s="3265">
        <v>8.6</v>
      </c>
      <c r="Z2524" s="3262">
        <v>8.6</v>
      </c>
      <c r="AA2524" s="3262">
        <v>8.6</v>
      </c>
      <c r="AB2524" s="3262">
        <v>8.6</v>
      </c>
      <c r="AC2524" s="3286">
        <f>AC2523</f>
        <v>8.6</v>
      </c>
      <c r="AD2524" s="3482">
        <v>8.5</v>
      </c>
      <c r="AE2524" s="3484">
        <v>8.5</v>
      </c>
      <c r="AF2524" s="2236">
        <f t="shared" si="300"/>
        <v>8.5</v>
      </c>
      <c r="AG2524" s="1396"/>
      <c r="DG2524" s="573"/>
      <c r="DH2524" s="159"/>
      <c r="DI2524" s="1091"/>
      <c r="DJ2524" s="1187"/>
    </row>
    <row r="2525" spans="1:114" ht="15" hidden="1" customHeight="1" outlineLevel="1">
      <c r="A2525" s="453"/>
      <c r="C2525" s="51"/>
      <c r="D2525" s="4295"/>
      <c r="E2525" s="4295"/>
      <c r="F2525" s="4347" t="str">
        <f>$E$1572</f>
        <v>ASHP-SEER15-Replace_CAC_NonElectricHeat_ROF_MF</v>
      </c>
      <c r="G2525" s="4347"/>
      <c r="H2525" s="4347"/>
      <c r="I2525" s="4347"/>
      <c r="J2525" s="3471" t="str">
        <f>$C$1572</f>
        <v>352810_2024_12_</v>
      </c>
      <c r="K2525" s="3337">
        <v>8.5</v>
      </c>
      <c r="L2525" s="3480"/>
      <c r="M2525" s="3293" t="s">
        <v>1945</v>
      </c>
      <c r="P2525" s="261"/>
      <c r="Q2525" s="261"/>
      <c r="R2525" s="261"/>
      <c r="S2525" s="52"/>
      <c r="T2525" s="181"/>
      <c r="U2525" s="52"/>
      <c r="V2525" s="4288"/>
      <c r="W2525" s="3262"/>
      <c r="X2525" s="3262"/>
      <c r="Y2525" s="3265"/>
      <c r="Z2525" s="3262"/>
      <c r="AA2525" s="3262"/>
      <c r="AB2525" s="3262"/>
      <c r="AC2525" s="3285">
        <v>8.6</v>
      </c>
      <c r="AD2525" s="3482">
        <v>8.5</v>
      </c>
      <c r="AE2525" s="3484">
        <v>8.5</v>
      </c>
      <c r="AF2525" s="2236">
        <f t="shared" si="300"/>
        <v>8.5</v>
      </c>
      <c r="AG2525" s="1396"/>
      <c r="DG2525" s="573"/>
      <c r="DH2525" s="159"/>
      <c r="DI2525" s="1091"/>
      <c r="DJ2525" s="1187"/>
    </row>
    <row r="2526" spans="1:114" ht="15" hidden="1" customHeight="1" outlineLevel="1">
      <c r="A2526" s="453"/>
      <c r="C2526" s="51"/>
      <c r="D2526" s="4295"/>
      <c r="E2526" s="4295"/>
      <c r="F2526" s="4347" t="str">
        <f>$E$1574</f>
        <v>ASHP-SEER15-Replace_CAC_NonElectricHeat_ROF_MF_CompE</v>
      </c>
      <c r="G2526" s="4347"/>
      <c r="H2526" s="4347"/>
      <c r="I2526" s="4347"/>
      <c r="J2526" s="3471" t="str">
        <f>$C$1574</f>
        <v>352811_2024_12_</v>
      </c>
      <c r="K2526" s="3337">
        <v>8.5</v>
      </c>
      <c r="L2526" s="3480"/>
      <c r="M2526" s="3293" t="s">
        <v>1945</v>
      </c>
      <c r="P2526" s="261"/>
      <c r="Q2526" s="261"/>
      <c r="R2526" s="261"/>
      <c r="S2526" s="52"/>
      <c r="T2526" s="181"/>
      <c r="U2526" s="52"/>
      <c r="V2526" s="4288"/>
      <c r="W2526" s="3262"/>
      <c r="X2526" s="3262"/>
      <c r="Y2526" s="3265"/>
      <c r="Z2526" s="3262"/>
      <c r="AA2526" s="3262"/>
      <c r="AB2526" s="3262"/>
      <c r="AC2526" s="3285">
        <f>AC2525</f>
        <v>8.6</v>
      </c>
      <c r="AD2526" s="3482">
        <v>8.5</v>
      </c>
      <c r="AE2526" s="3484">
        <v>8.5</v>
      </c>
      <c r="AF2526" s="2236">
        <f t="shared" si="300"/>
        <v>8.5</v>
      </c>
      <c r="AG2526" s="1396"/>
      <c r="DG2526" s="573"/>
      <c r="DH2526" s="159"/>
      <c r="DI2526" s="1091"/>
      <c r="DJ2526" s="1187"/>
    </row>
    <row r="2527" spans="1:114" ht="15" hidden="1" customHeight="1" outlineLevel="1">
      <c r="A2527" s="453"/>
      <c r="C2527" s="51"/>
      <c r="D2527" s="4295"/>
      <c r="E2527" s="4295"/>
      <c r="F2527" s="4347" t="str">
        <f>$E$1576</f>
        <v>ASHP-SEER16_ER1_MF</v>
      </c>
      <c r="G2527" s="4347"/>
      <c r="H2527" s="4347"/>
      <c r="I2527" s="4347"/>
      <c r="J2527" s="3471" t="str">
        <f>$C$1576</f>
        <v>352850_2024_12_</v>
      </c>
      <c r="K2527" s="3337">
        <v>9.2666666666666675</v>
      </c>
      <c r="L2527" s="3480"/>
      <c r="M2527" s="3481" t="s">
        <v>1937</v>
      </c>
      <c r="P2527" s="261"/>
      <c r="Q2527" s="261"/>
      <c r="R2527" s="261"/>
      <c r="S2527" s="52"/>
      <c r="T2527" s="181"/>
      <c r="U2527" s="52"/>
      <c r="V2527" s="4288"/>
      <c r="W2527" s="3262">
        <v>9.5</v>
      </c>
      <c r="X2527" s="3262">
        <v>9.5</v>
      </c>
      <c r="Y2527" s="3262">
        <v>9.5</v>
      </c>
      <c r="Z2527" s="3262">
        <v>9.5</v>
      </c>
      <c r="AA2527" s="3262">
        <v>9.5</v>
      </c>
      <c r="AB2527" s="3262">
        <v>9.5</v>
      </c>
      <c r="AC2527" s="3285">
        <v>9.0250000000000004</v>
      </c>
      <c r="AD2527" s="3482">
        <v>9.2666666666666675</v>
      </c>
      <c r="AE2527" s="3484">
        <v>9.2666666666666675</v>
      </c>
      <c r="AF2527" s="2236">
        <f t="shared" si="300"/>
        <v>9.2666666666666675</v>
      </c>
      <c r="AG2527" s="1396"/>
      <c r="DG2527" s="573"/>
      <c r="DH2527" s="159"/>
      <c r="DI2527" s="1091"/>
      <c r="DJ2527" s="1187"/>
    </row>
    <row r="2528" spans="1:114" ht="15" hidden="1" customHeight="1" outlineLevel="1">
      <c r="A2528" s="453"/>
      <c r="C2528" s="51"/>
      <c r="D2528" s="4295"/>
      <c r="E2528" s="4295"/>
      <c r="F2528" s="4347" t="str">
        <f>$E$1578</f>
        <v>ASHP-SEER16_ER2_MF</v>
      </c>
      <c r="G2528" s="4347"/>
      <c r="H2528" s="4347"/>
      <c r="I2528" s="4347"/>
      <c r="J2528" s="3471" t="str">
        <f>$C$1578</f>
        <v>352850_2024_12_</v>
      </c>
      <c r="K2528" s="3337">
        <v>9.2666666666666675</v>
      </c>
      <c r="L2528" s="3480"/>
      <c r="M2528" s="3481" t="s">
        <v>1937</v>
      </c>
      <c r="P2528" s="261"/>
      <c r="Q2528" s="261"/>
      <c r="R2528" s="261"/>
      <c r="S2528" s="52"/>
      <c r="T2528" s="181"/>
      <c r="U2528" s="52"/>
      <c r="V2528" s="4288"/>
      <c r="W2528" s="3262">
        <v>9.5</v>
      </c>
      <c r="X2528" s="3262">
        <v>9.5</v>
      </c>
      <c r="Y2528" s="3262">
        <v>9.5</v>
      </c>
      <c r="Z2528" s="3262">
        <v>9.5</v>
      </c>
      <c r="AA2528" s="3262">
        <v>9.5</v>
      </c>
      <c r="AB2528" s="3262">
        <v>9.5</v>
      </c>
      <c r="AC2528" s="3285">
        <f>AC2527</f>
        <v>9.0250000000000004</v>
      </c>
      <c r="AD2528" s="3482">
        <v>9.2666666666666675</v>
      </c>
      <c r="AE2528" s="3484">
        <v>9.2666666666666675</v>
      </c>
      <c r="AF2528" s="2236">
        <f t="shared" si="300"/>
        <v>9.2666666666666675</v>
      </c>
      <c r="AG2528" s="1396"/>
      <c r="DG2528" s="573"/>
      <c r="DH2528" s="159"/>
      <c r="DI2528" s="1091"/>
      <c r="DJ2528" s="1187"/>
    </row>
    <row r="2529" spans="1:114" ht="15" hidden="1" customHeight="1" outlineLevel="1">
      <c r="A2529" s="453"/>
      <c r="C2529" s="51"/>
      <c r="D2529" s="4295"/>
      <c r="E2529" s="4295"/>
      <c r="F2529" s="4347" t="str">
        <f>$E$1580</f>
        <v>ASHP-SEER16_ER1_MF_CompE</v>
      </c>
      <c r="G2529" s="4347"/>
      <c r="H2529" s="4347"/>
      <c r="I2529" s="4347"/>
      <c r="J2529" s="3471" t="str">
        <f>$C$1580</f>
        <v>352851_2024_12_</v>
      </c>
      <c r="K2529" s="3337">
        <v>9.2666666666666675</v>
      </c>
      <c r="L2529" s="3480"/>
      <c r="M2529" s="3483" t="s">
        <v>1945</v>
      </c>
      <c r="P2529" s="261"/>
      <c r="Q2529" s="261"/>
      <c r="R2529" s="261"/>
      <c r="S2529" s="52"/>
      <c r="T2529" s="181"/>
      <c r="U2529" s="52"/>
      <c r="V2529" s="4288"/>
      <c r="W2529" s="3262"/>
      <c r="X2529" s="3262"/>
      <c r="Y2529" s="3265">
        <v>9.5</v>
      </c>
      <c r="Z2529" s="3262">
        <v>9.5</v>
      </c>
      <c r="AA2529" s="3262">
        <v>9.5</v>
      </c>
      <c r="AB2529" s="3262">
        <v>9.5</v>
      </c>
      <c r="AC2529" s="3285">
        <f>AC2527</f>
        <v>9.0250000000000004</v>
      </c>
      <c r="AD2529" s="3482">
        <v>9.2666666666666675</v>
      </c>
      <c r="AE2529" s="3484">
        <v>9.2666666666666675</v>
      </c>
      <c r="AF2529" s="2236">
        <f t="shared" si="300"/>
        <v>9.2666666666666675</v>
      </c>
      <c r="AG2529" s="1396"/>
      <c r="DG2529" s="573"/>
      <c r="DH2529" s="159"/>
      <c r="DI2529" s="1091"/>
      <c r="DJ2529" s="1187"/>
    </row>
    <row r="2530" spans="1:114" ht="15" hidden="1" customHeight="1" outlineLevel="1">
      <c r="A2530" s="453"/>
      <c r="C2530" s="51"/>
      <c r="D2530" s="4295"/>
      <c r="E2530" s="4295"/>
      <c r="F2530" s="4347" t="str">
        <f>$E$1582</f>
        <v>ASHP-SEER16_ER2_MF_CompE</v>
      </c>
      <c r="G2530" s="4347"/>
      <c r="H2530" s="4347"/>
      <c r="I2530" s="4347"/>
      <c r="J2530" s="3471" t="str">
        <f>$C$1582</f>
        <v>352851_2024_12_</v>
      </c>
      <c r="K2530" s="3337">
        <v>9.2666666666666675</v>
      </c>
      <c r="L2530" s="3480"/>
      <c r="M2530" s="3483" t="s">
        <v>1945</v>
      </c>
      <c r="P2530" s="261"/>
      <c r="Q2530" s="261"/>
      <c r="R2530" s="261"/>
      <c r="S2530" s="52"/>
      <c r="T2530" s="181"/>
      <c r="U2530" s="52"/>
      <c r="V2530" s="4288"/>
      <c r="W2530" s="3262"/>
      <c r="X2530" s="3262"/>
      <c r="Y2530" s="3265">
        <v>9.5</v>
      </c>
      <c r="Z2530" s="3262">
        <v>9.5</v>
      </c>
      <c r="AA2530" s="3262">
        <v>9.5</v>
      </c>
      <c r="AB2530" s="3262">
        <v>9.5</v>
      </c>
      <c r="AC2530" s="3285">
        <f>AC2528</f>
        <v>9.0250000000000004</v>
      </c>
      <c r="AD2530" s="3482">
        <v>9.2666666666666675</v>
      </c>
      <c r="AE2530" s="3484">
        <v>9.2666666666666675</v>
      </c>
      <c r="AF2530" s="2236">
        <f t="shared" si="300"/>
        <v>9.2666666666666675</v>
      </c>
      <c r="AG2530" s="1396"/>
      <c r="DG2530" s="573"/>
      <c r="DH2530" s="159"/>
      <c r="DI2530" s="1091"/>
      <c r="DJ2530" s="1187"/>
    </row>
    <row r="2531" spans="1:114" ht="15" hidden="1" customHeight="1" outlineLevel="1">
      <c r="A2531" s="453"/>
      <c r="C2531" s="51"/>
      <c r="D2531" s="4295"/>
      <c r="E2531" s="4295"/>
      <c r="F2531" s="4347" t="str">
        <f>$E$1584</f>
        <v>ASHP-SEER16_ROF_MF</v>
      </c>
      <c r="G2531" s="4347"/>
      <c r="H2531" s="4347"/>
      <c r="I2531" s="4347"/>
      <c r="J2531" s="3471" t="str">
        <f>$C$1584</f>
        <v>352900_2024_12_</v>
      </c>
      <c r="K2531" s="3337">
        <v>9</v>
      </c>
      <c r="L2531" s="3480"/>
      <c r="M2531" s="3481" t="s">
        <v>1937</v>
      </c>
      <c r="P2531" s="261"/>
      <c r="Q2531" s="261"/>
      <c r="R2531" s="261"/>
      <c r="S2531" s="52"/>
      <c r="T2531" s="181"/>
      <c r="U2531" s="52"/>
      <c r="V2531" s="4288"/>
      <c r="W2531" s="3262">
        <v>9.8000000000000007</v>
      </c>
      <c r="X2531" s="3262">
        <v>9.8000000000000007</v>
      </c>
      <c r="Y2531" s="3262">
        <v>9.8000000000000007</v>
      </c>
      <c r="Z2531" s="3262">
        <v>9.8000000000000007</v>
      </c>
      <c r="AA2531" s="3262">
        <v>9.8000000000000007</v>
      </c>
      <c r="AB2531" s="3262">
        <v>9.8000000000000007</v>
      </c>
      <c r="AC2531" s="3285">
        <v>9</v>
      </c>
      <c r="AD2531" s="3484">
        <v>9</v>
      </c>
      <c r="AE2531" s="3484">
        <v>9</v>
      </c>
      <c r="AF2531" s="2236">
        <f t="shared" si="300"/>
        <v>9</v>
      </c>
      <c r="AG2531" s="1396"/>
      <c r="DG2531" s="573"/>
      <c r="DH2531" s="159"/>
      <c r="DI2531" s="1091"/>
      <c r="DJ2531" s="1187"/>
    </row>
    <row r="2532" spans="1:114" ht="15" hidden="1" customHeight="1" outlineLevel="1">
      <c r="A2532" s="453"/>
      <c r="C2532" s="51"/>
      <c r="D2532" s="4295"/>
      <c r="E2532" s="4295"/>
      <c r="F2532" s="4347" t="str">
        <f>$E$1586</f>
        <v>ASHP-SEER16_ROF_MF_CompE</v>
      </c>
      <c r="G2532" s="4347"/>
      <c r="H2532" s="4347"/>
      <c r="I2532" s="4347"/>
      <c r="J2532" s="3471" t="str">
        <f>$C$1586</f>
        <v>352901_2024_12_</v>
      </c>
      <c r="K2532" s="3337">
        <v>9</v>
      </c>
      <c r="L2532" s="3480"/>
      <c r="M2532" s="3481" t="s">
        <v>1937</v>
      </c>
      <c r="P2532" s="261"/>
      <c r="Q2532" s="261"/>
      <c r="R2532" s="261"/>
      <c r="S2532" s="52"/>
      <c r="T2532" s="181"/>
      <c r="U2532" s="52"/>
      <c r="V2532" s="4288"/>
      <c r="W2532" s="3262"/>
      <c r="X2532" s="3262"/>
      <c r="Y2532" s="3265">
        <v>9.8000000000000007</v>
      </c>
      <c r="Z2532" s="3262">
        <v>9.8000000000000007</v>
      </c>
      <c r="AA2532" s="3262">
        <v>9.8000000000000007</v>
      </c>
      <c r="AB2532" s="3262">
        <v>9.8000000000000007</v>
      </c>
      <c r="AC2532" s="3285">
        <f>AC2531</f>
        <v>9</v>
      </c>
      <c r="AD2532" s="3484">
        <v>9</v>
      </c>
      <c r="AE2532" s="3484">
        <v>9</v>
      </c>
      <c r="AF2532" s="2236">
        <f t="shared" si="300"/>
        <v>9</v>
      </c>
      <c r="AG2532" s="1396"/>
      <c r="DG2532" s="573"/>
      <c r="DH2532" s="159"/>
      <c r="DI2532" s="1091"/>
      <c r="DJ2532" s="1187"/>
    </row>
    <row r="2533" spans="1:114" ht="15" hidden="1" customHeight="1" outlineLevel="1">
      <c r="A2533" s="453"/>
      <c r="C2533" s="51"/>
      <c r="D2533" s="4295"/>
      <c r="E2533" s="4295"/>
      <c r="F2533" s="4347" t="str">
        <f>$E$1588</f>
        <v>ASHP-SEER16-Replace_CAC_ElectricHeat_ROF_MF</v>
      </c>
      <c r="G2533" s="4347"/>
      <c r="H2533" s="4347"/>
      <c r="I2533" s="4347"/>
      <c r="J2533" s="3471" t="str">
        <f>$C$1588</f>
        <v>352950_2024_12_</v>
      </c>
      <c r="K2533" s="3337">
        <v>9</v>
      </c>
      <c r="L2533" s="3480"/>
      <c r="M2533" s="3481" t="s">
        <v>1937</v>
      </c>
      <c r="P2533" s="261"/>
      <c r="Q2533" s="261"/>
      <c r="R2533" s="261"/>
      <c r="S2533" s="52"/>
      <c r="T2533" s="181"/>
      <c r="U2533" s="52"/>
      <c r="V2533" s="4288"/>
      <c r="W2533" s="3262">
        <v>9.6999999999999993</v>
      </c>
      <c r="X2533" s="3262">
        <v>9.6999999999999993</v>
      </c>
      <c r="Y2533" s="3262">
        <v>9.6999999999999993</v>
      </c>
      <c r="Z2533" s="3262">
        <v>9.6999999999999993</v>
      </c>
      <c r="AA2533" s="3262">
        <v>9.6999999999999993</v>
      </c>
      <c r="AB2533" s="3265">
        <v>9.1999999999999993</v>
      </c>
      <c r="AC2533" s="3286">
        <v>9.1999999999999993</v>
      </c>
      <c r="AD2533" s="3482">
        <v>9</v>
      </c>
      <c r="AE2533" s="3484">
        <v>9</v>
      </c>
      <c r="AF2533" s="2236">
        <f t="shared" si="300"/>
        <v>9</v>
      </c>
      <c r="AG2533" s="1396"/>
      <c r="DG2533" s="573"/>
      <c r="DH2533" s="159"/>
      <c r="DI2533" s="1091"/>
      <c r="DJ2533" s="1187"/>
    </row>
    <row r="2534" spans="1:114" ht="15" hidden="1" customHeight="1" outlineLevel="1">
      <c r="A2534" s="453"/>
      <c r="C2534" s="51"/>
      <c r="D2534" s="4295"/>
      <c r="E2534" s="4295"/>
      <c r="F2534" s="4347" t="str">
        <f>$E$1590</f>
        <v>ASHP-SEER16-Replace_CAC_ElectricHeat_ROF_MF_CompE</v>
      </c>
      <c r="G2534" s="4347"/>
      <c r="H2534" s="4347"/>
      <c r="I2534" s="4347"/>
      <c r="J2534" s="3471" t="str">
        <f>$C$1590</f>
        <v>352951_2024_12_</v>
      </c>
      <c r="K2534" s="3337">
        <v>9</v>
      </c>
      <c r="L2534" s="3480"/>
      <c r="M2534" s="3481" t="s">
        <v>1937</v>
      </c>
      <c r="P2534" s="261"/>
      <c r="Q2534" s="261"/>
      <c r="R2534" s="261"/>
      <c r="S2534" s="52"/>
      <c r="T2534" s="181"/>
      <c r="U2534" s="52"/>
      <c r="V2534" s="4288"/>
      <c r="W2534" s="3262"/>
      <c r="X2534" s="3262"/>
      <c r="Y2534" s="3265">
        <v>9.6999999999999993</v>
      </c>
      <c r="Z2534" s="3262">
        <v>9.6999999999999993</v>
      </c>
      <c r="AA2534" s="3262">
        <v>9.6999999999999993</v>
      </c>
      <c r="AB2534" s="3265">
        <v>9.1999999999999993</v>
      </c>
      <c r="AC2534" s="3286">
        <f>AC2533</f>
        <v>9.1999999999999993</v>
      </c>
      <c r="AD2534" s="3482">
        <v>9</v>
      </c>
      <c r="AE2534" s="3484">
        <v>9</v>
      </c>
      <c r="AF2534" s="2236">
        <f t="shared" si="300"/>
        <v>9</v>
      </c>
      <c r="AG2534" s="1396"/>
      <c r="DG2534" s="573"/>
      <c r="DH2534" s="159"/>
      <c r="DI2534" s="1091"/>
      <c r="DJ2534" s="1187"/>
    </row>
    <row r="2535" spans="1:114" ht="15" hidden="1" customHeight="1" outlineLevel="1">
      <c r="A2535" s="453"/>
      <c r="C2535" s="51"/>
      <c r="D2535" s="4295"/>
      <c r="E2535" s="4295"/>
      <c r="F2535" s="4347" t="str">
        <f>$E$1592</f>
        <v>ASHP-SEER16-Replace_CAC_NonElectricHeat_ROF_MF</v>
      </c>
      <c r="G2535" s="4347"/>
      <c r="H2535" s="4347"/>
      <c r="I2535" s="4347"/>
      <c r="J2535" s="3471" t="str">
        <f>$C$1592</f>
        <v>352960_2024_12_</v>
      </c>
      <c r="K2535" s="3337">
        <v>9</v>
      </c>
      <c r="L2535" s="3480"/>
      <c r="M2535" s="3293" t="s">
        <v>1945</v>
      </c>
      <c r="P2535" s="261"/>
      <c r="Q2535" s="261"/>
      <c r="R2535" s="261"/>
      <c r="S2535" s="52"/>
      <c r="T2535" s="181"/>
      <c r="U2535" s="52"/>
      <c r="V2535" s="4288"/>
      <c r="W2535" s="3262"/>
      <c r="X2535" s="3262"/>
      <c r="Y2535" s="3265"/>
      <c r="Z2535" s="3262"/>
      <c r="AA2535" s="3262"/>
      <c r="AB2535" s="3265"/>
      <c r="AC2535" s="3285">
        <v>9.1999999999999993</v>
      </c>
      <c r="AD2535" s="3482">
        <v>9</v>
      </c>
      <c r="AE2535" s="3484">
        <v>9</v>
      </c>
      <c r="AF2535" s="2236">
        <f t="shared" si="300"/>
        <v>9</v>
      </c>
      <c r="AG2535" s="1396"/>
      <c r="DG2535" s="573"/>
      <c r="DH2535" s="159"/>
      <c r="DI2535" s="1091"/>
      <c r="DJ2535" s="1187"/>
    </row>
    <row r="2536" spans="1:114" ht="15" hidden="1" customHeight="1" outlineLevel="1">
      <c r="A2536" s="453"/>
      <c r="C2536" s="51"/>
      <c r="D2536" s="4295"/>
      <c r="E2536" s="4295"/>
      <c r="F2536" s="4347" t="str">
        <f>$E$1594</f>
        <v>ASHP-SEER16-Replace_CAC_NonElectricHeat_ROF_MF_CompE</v>
      </c>
      <c r="G2536" s="4347"/>
      <c r="H2536" s="4347"/>
      <c r="I2536" s="4347"/>
      <c r="J2536" s="3471" t="str">
        <f>$C$1594</f>
        <v>352961_2024_12_</v>
      </c>
      <c r="K2536" s="3337">
        <v>9</v>
      </c>
      <c r="L2536" s="3480"/>
      <c r="M2536" s="3293" t="s">
        <v>1945</v>
      </c>
      <c r="P2536" s="261"/>
      <c r="Q2536" s="261"/>
      <c r="R2536" s="261"/>
      <c r="S2536" s="52"/>
      <c r="T2536" s="181"/>
      <c r="U2536" s="52"/>
      <c r="V2536" s="4288"/>
      <c r="W2536" s="3262"/>
      <c r="X2536" s="3262"/>
      <c r="Y2536" s="3265"/>
      <c r="Z2536" s="3262"/>
      <c r="AA2536" s="3262"/>
      <c r="AB2536" s="3265"/>
      <c r="AC2536" s="3285">
        <f>AC2535</f>
        <v>9.1999999999999993</v>
      </c>
      <c r="AD2536" s="3482">
        <v>9</v>
      </c>
      <c r="AE2536" s="3484">
        <v>9</v>
      </c>
      <c r="AF2536" s="2236">
        <f t="shared" si="300"/>
        <v>9</v>
      </c>
      <c r="AG2536" s="1396"/>
      <c r="DG2536" s="573"/>
      <c r="DH2536" s="159"/>
      <c r="DI2536" s="1091"/>
      <c r="DJ2536" s="1187"/>
    </row>
    <row r="2537" spans="1:114" ht="15" hidden="1" customHeight="1" outlineLevel="1">
      <c r="A2537" s="453"/>
      <c r="C2537" s="51"/>
      <c r="D2537" s="4295"/>
      <c r="E2537" s="4295"/>
      <c r="F2537" s="4307" t="str">
        <f>$E$1596</f>
        <v>ASHP-SEER16-Replace_CAC_ElectricHeat_ER1_MF</v>
      </c>
      <c r="G2537" s="4307"/>
      <c r="H2537" s="4307"/>
      <c r="I2537" s="4307"/>
      <c r="J2537" s="1029" t="str">
        <f>$C$1596</f>
        <v>353000_2024_12_</v>
      </c>
      <c r="K2537" s="916">
        <v>9.2666666666666675</v>
      </c>
      <c r="L2537" s="972"/>
      <c r="M2537" s="1739" t="s">
        <v>1937</v>
      </c>
      <c r="P2537" s="261"/>
      <c r="Q2537" s="261"/>
      <c r="R2537" s="261"/>
      <c r="S2537" s="52"/>
      <c r="T2537" s="181"/>
      <c r="U2537" s="52"/>
      <c r="V2537" s="4288"/>
      <c r="W2537" s="1396">
        <v>9.4</v>
      </c>
      <c r="X2537" s="1396">
        <v>9.4</v>
      </c>
      <c r="Y2537" s="1396">
        <v>9.4</v>
      </c>
      <c r="Z2537" s="1396">
        <v>9.4</v>
      </c>
      <c r="AA2537" s="1396">
        <v>9.4</v>
      </c>
      <c r="AB2537" s="833">
        <v>7.42</v>
      </c>
      <c r="AC2537" s="212">
        <v>9</v>
      </c>
      <c r="AD2537" s="969">
        <v>9.2666666666666675</v>
      </c>
      <c r="AE2537" s="970">
        <v>9.2666666666666675</v>
      </c>
      <c r="AF2537" s="271">
        <f t="shared" si="300"/>
        <v>9.2666666666666675</v>
      </c>
      <c r="AG2537" s="1396"/>
      <c r="DG2537" s="573"/>
      <c r="DH2537" s="159"/>
      <c r="DI2537" s="1091"/>
      <c r="DJ2537" s="1187"/>
    </row>
    <row r="2538" spans="1:114" ht="15" hidden="1" customHeight="1" outlineLevel="1">
      <c r="A2538" s="453"/>
      <c r="C2538" s="51"/>
      <c r="D2538" s="4295"/>
      <c r="E2538" s="4295"/>
      <c r="F2538" s="4307" t="str">
        <f>$E$1598</f>
        <v>ASHP-SEER16-Replace_CAC_ElectricHeat_ER2_MF</v>
      </c>
      <c r="G2538" s="4307"/>
      <c r="H2538" s="4307"/>
      <c r="I2538" s="4307"/>
      <c r="J2538" s="1029" t="str">
        <f>$C$1598</f>
        <v>353000_2024_12_</v>
      </c>
      <c r="K2538" s="916">
        <v>9.2666666666666675</v>
      </c>
      <c r="L2538" s="972"/>
      <c r="M2538" s="1739" t="s">
        <v>1937</v>
      </c>
      <c r="P2538" s="261"/>
      <c r="Q2538" s="261"/>
      <c r="R2538" s="261"/>
      <c r="S2538" s="52"/>
      <c r="T2538" s="181"/>
      <c r="U2538" s="52"/>
      <c r="V2538" s="4288"/>
      <c r="W2538" s="1396">
        <v>9.4</v>
      </c>
      <c r="X2538" s="1396">
        <v>9.4</v>
      </c>
      <c r="Y2538" s="1396">
        <v>9.4</v>
      </c>
      <c r="Z2538" s="1396">
        <v>9.4</v>
      </c>
      <c r="AA2538" s="1396">
        <v>9.4</v>
      </c>
      <c r="AB2538" s="833">
        <v>7.42</v>
      </c>
      <c r="AC2538" s="212">
        <f>AC2537</f>
        <v>9</v>
      </c>
      <c r="AD2538" s="969">
        <v>9.2666666666666675</v>
      </c>
      <c r="AE2538" s="970">
        <v>9.2666666666666675</v>
      </c>
      <c r="AF2538" s="271">
        <f t="shared" si="300"/>
        <v>9.2666666666666675</v>
      </c>
      <c r="AG2538" s="1396"/>
      <c r="DG2538" s="573"/>
      <c r="DH2538" s="159"/>
      <c r="DI2538" s="1091"/>
      <c r="DJ2538" s="1187"/>
    </row>
    <row r="2539" spans="1:114" ht="15" hidden="1" customHeight="1" outlineLevel="1">
      <c r="A2539" s="453"/>
      <c r="C2539" s="51"/>
      <c r="D2539" s="4295"/>
      <c r="E2539" s="4295"/>
      <c r="F2539" s="4347" t="str">
        <f>$E$1600</f>
        <v>ASHP-SEER16-Replace_CAC_ElectricHeat_ER1_MF_CompE</v>
      </c>
      <c r="G2539" s="4347"/>
      <c r="H2539" s="4347"/>
      <c r="I2539" s="4347"/>
      <c r="J2539" s="3471" t="str">
        <f>$C$1600</f>
        <v>353001_2024_12_</v>
      </c>
      <c r="K2539" s="3337">
        <v>9.2666666666666675</v>
      </c>
      <c r="L2539" s="3480"/>
      <c r="M2539" s="3483" t="s">
        <v>1945</v>
      </c>
      <c r="P2539" s="261"/>
      <c r="Q2539" s="261"/>
      <c r="R2539" s="261"/>
      <c r="S2539" s="52"/>
      <c r="T2539" s="181"/>
      <c r="U2539" s="52"/>
      <c r="V2539" s="4288"/>
      <c r="W2539" s="3262"/>
      <c r="X2539" s="3262"/>
      <c r="Y2539" s="3265">
        <v>9.4</v>
      </c>
      <c r="Z2539" s="3262">
        <v>9.4</v>
      </c>
      <c r="AA2539" s="3262">
        <v>9.4</v>
      </c>
      <c r="AB2539" s="3265">
        <v>7.42</v>
      </c>
      <c r="AC2539" s="3285">
        <v>9</v>
      </c>
      <c r="AD2539" s="3482">
        <v>9.2666666666666675</v>
      </c>
      <c r="AE2539" s="3484">
        <v>9.2666666666666675</v>
      </c>
      <c r="AF2539" s="2236">
        <f t="shared" si="300"/>
        <v>9.2666666666666675</v>
      </c>
      <c r="AG2539" s="1396"/>
      <c r="DG2539" s="573"/>
      <c r="DH2539" s="159"/>
      <c r="DI2539" s="1091"/>
      <c r="DJ2539" s="1187"/>
    </row>
    <row r="2540" spans="1:114" ht="15" hidden="1" customHeight="1" outlineLevel="1">
      <c r="A2540" s="453"/>
      <c r="C2540" s="51"/>
      <c r="D2540" s="4295"/>
      <c r="E2540" s="4295"/>
      <c r="F2540" s="4347" t="str">
        <f>$E$1602</f>
        <v>ASHP-SEER16-Replace_CAC_ElectricHeat_ER2_MF_CompE</v>
      </c>
      <c r="G2540" s="4347"/>
      <c r="H2540" s="4347"/>
      <c r="I2540" s="4347"/>
      <c r="J2540" s="3471" t="str">
        <f>$C$1602</f>
        <v>353001_2024_12_</v>
      </c>
      <c r="K2540" s="3337">
        <v>9.2666666666666675</v>
      </c>
      <c r="L2540" s="3480"/>
      <c r="M2540" s="3483" t="s">
        <v>1945</v>
      </c>
      <c r="P2540" s="261"/>
      <c r="Q2540" s="261"/>
      <c r="R2540" s="261"/>
      <c r="S2540" s="52"/>
      <c r="T2540" s="181"/>
      <c r="U2540" s="52"/>
      <c r="V2540" s="4288"/>
      <c r="W2540" s="3262"/>
      <c r="X2540" s="3262"/>
      <c r="Y2540" s="3265">
        <v>9.4</v>
      </c>
      <c r="Z2540" s="3262">
        <v>9.4</v>
      </c>
      <c r="AA2540" s="3262">
        <v>9.4</v>
      </c>
      <c r="AB2540" s="3265">
        <v>7.42</v>
      </c>
      <c r="AC2540" s="3285">
        <v>9</v>
      </c>
      <c r="AD2540" s="3482">
        <v>9.2666666666666675</v>
      </c>
      <c r="AE2540" s="3484">
        <v>9.2666666666666675</v>
      </c>
      <c r="AF2540" s="2236">
        <f t="shared" si="300"/>
        <v>9.2666666666666675</v>
      </c>
      <c r="AG2540" s="1396"/>
      <c r="DG2540" s="573"/>
      <c r="DH2540" s="159"/>
      <c r="DI2540" s="1091"/>
      <c r="DJ2540" s="1187"/>
    </row>
    <row r="2541" spans="1:114" ht="15" hidden="1" customHeight="1" outlineLevel="1">
      <c r="A2541" s="453"/>
      <c r="C2541" s="51"/>
      <c r="D2541" s="4295"/>
      <c r="E2541" s="4295"/>
      <c r="F2541" s="4347" t="str">
        <f>$E$1604</f>
        <v>ASHP-SEER16-Replace_CAC_NonElectricHeat_ER1_MF</v>
      </c>
      <c r="G2541" s="4347"/>
      <c r="H2541" s="4347"/>
      <c r="I2541" s="4347"/>
      <c r="J2541" s="3471" t="str">
        <f>$C$1604</f>
        <v>353010_2024_12_</v>
      </c>
      <c r="K2541" s="3337">
        <v>9.2666666666666675</v>
      </c>
      <c r="L2541" s="3480"/>
      <c r="M2541" s="3293" t="s">
        <v>1945</v>
      </c>
      <c r="P2541" s="261"/>
      <c r="Q2541" s="261"/>
      <c r="R2541" s="261"/>
      <c r="S2541" s="52"/>
      <c r="T2541" s="181"/>
      <c r="U2541" s="52"/>
      <c r="V2541" s="4288"/>
      <c r="W2541" s="3262"/>
      <c r="X2541" s="3262"/>
      <c r="Y2541" s="3265"/>
      <c r="Z2541" s="3262"/>
      <c r="AA2541" s="3262"/>
      <c r="AB2541" s="3265"/>
      <c r="AC2541" s="3285">
        <v>9</v>
      </c>
      <c r="AD2541" s="3482">
        <v>9.2666666666666675</v>
      </c>
      <c r="AE2541" s="3484">
        <v>9.2666666666666675</v>
      </c>
      <c r="AF2541" s="2236">
        <f t="shared" si="300"/>
        <v>9.2666666666666675</v>
      </c>
      <c r="AG2541" s="1396"/>
      <c r="DG2541" s="573"/>
      <c r="DH2541" s="159"/>
      <c r="DI2541" s="1091"/>
      <c r="DJ2541" s="1187"/>
    </row>
    <row r="2542" spans="1:114" ht="15" hidden="1" customHeight="1" outlineLevel="1">
      <c r="A2542" s="453"/>
      <c r="C2542" s="51"/>
      <c r="D2542" s="4295"/>
      <c r="E2542" s="4295"/>
      <c r="F2542" s="4347" t="str">
        <f>$E$1606</f>
        <v>ASHP-SEER16-Replace_CAC_NonElectricHeat_ER2_MF</v>
      </c>
      <c r="G2542" s="4347"/>
      <c r="H2542" s="4347"/>
      <c r="I2542" s="4347"/>
      <c r="J2542" s="3471" t="str">
        <f>$C$1606</f>
        <v>353010_2024_12_</v>
      </c>
      <c r="K2542" s="3337">
        <v>9.2666666666666675</v>
      </c>
      <c r="L2542" s="3480"/>
      <c r="M2542" s="3293" t="s">
        <v>1945</v>
      </c>
      <c r="P2542" s="261"/>
      <c r="Q2542" s="261"/>
      <c r="R2542" s="261"/>
      <c r="S2542" s="52"/>
      <c r="T2542" s="181"/>
      <c r="U2542" s="52"/>
      <c r="V2542" s="4288"/>
      <c r="W2542" s="3262"/>
      <c r="X2542" s="3262"/>
      <c r="Y2542" s="3265"/>
      <c r="Z2542" s="3262"/>
      <c r="AA2542" s="3262"/>
      <c r="AB2542" s="3265"/>
      <c r="AC2542" s="3285">
        <f>AC2541</f>
        <v>9</v>
      </c>
      <c r="AD2542" s="3482">
        <v>9.2666666666666675</v>
      </c>
      <c r="AE2542" s="3484">
        <v>9.2666666666666675</v>
      </c>
      <c r="AF2542" s="2236">
        <f t="shared" si="300"/>
        <v>9.2666666666666675</v>
      </c>
      <c r="AG2542" s="1396"/>
      <c r="DG2542" s="573"/>
      <c r="DH2542" s="159"/>
      <c r="DI2542" s="1091"/>
      <c r="DJ2542" s="1187"/>
    </row>
    <row r="2543" spans="1:114" ht="15" hidden="1" customHeight="1" outlineLevel="1">
      <c r="A2543" s="453"/>
      <c r="C2543" s="51"/>
      <c r="D2543" s="4295"/>
      <c r="E2543" s="4295"/>
      <c r="F2543" s="4347" t="str">
        <f>$E$1608</f>
        <v>ASHP-SEER16-Replace_CAC_NonElectricHeat_ER1_MF_CompE</v>
      </c>
      <c r="G2543" s="4347"/>
      <c r="H2543" s="4347"/>
      <c r="I2543" s="4347"/>
      <c r="J2543" s="3471" t="str">
        <f>$C$1608</f>
        <v>353011_2024_12_</v>
      </c>
      <c r="K2543" s="3337">
        <v>9.2666666666666675</v>
      </c>
      <c r="L2543" s="3480"/>
      <c r="M2543" s="3293" t="s">
        <v>1945</v>
      </c>
      <c r="P2543" s="261"/>
      <c r="Q2543" s="261"/>
      <c r="R2543" s="261"/>
      <c r="S2543" s="52"/>
      <c r="T2543" s="181"/>
      <c r="U2543" s="52"/>
      <c r="V2543" s="4288"/>
      <c r="W2543" s="3262"/>
      <c r="X2543" s="3262"/>
      <c r="Y2543" s="3265"/>
      <c r="Z2543" s="3262"/>
      <c r="AA2543" s="3262"/>
      <c r="AB2543" s="3265"/>
      <c r="AC2543" s="3285">
        <v>9</v>
      </c>
      <c r="AD2543" s="3482">
        <v>9.2666666666666675</v>
      </c>
      <c r="AE2543" s="3484">
        <v>9.2666666666666675</v>
      </c>
      <c r="AF2543" s="2236">
        <f t="shared" si="300"/>
        <v>9.2666666666666675</v>
      </c>
      <c r="AG2543" s="1396"/>
      <c r="DG2543" s="573"/>
      <c r="DH2543" s="159"/>
      <c r="DI2543" s="1091"/>
      <c r="DJ2543" s="1187"/>
    </row>
    <row r="2544" spans="1:114" ht="15" hidden="1" customHeight="1" outlineLevel="1">
      <c r="A2544" s="453"/>
      <c r="C2544" s="51"/>
      <c r="D2544" s="4295"/>
      <c r="E2544" s="4295"/>
      <c r="F2544" s="4347" t="str">
        <f>$E$1610</f>
        <v>ASHP-SEER16-Replace_CAC_NonElectricHeat_ER2_MF_CompE</v>
      </c>
      <c r="G2544" s="4347"/>
      <c r="H2544" s="4347"/>
      <c r="I2544" s="4347"/>
      <c r="J2544" s="3471" t="str">
        <f>$C$1610</f>
        <v>353011_2024_12_</v>
      </c>
      <c r="K2544" s="3337">
        <v>9.2666666666666675</v>
      </c>
      <c r="L2544" s="3480"/>
      <c r="M2544" s="3293" t="s">
        <v>1945</v>
      </c>
      <c r="P2544" s="261"/>
      <c r="Q2544" s="261"/>
      <c r="R2544" s="261"/>
      <c r="S2544" s="52"/>
      <c r="T2544" s="181"/>
      <c r="U2544" s="52"/>
      <c r="V2544" s="4288"/>
      <c r="W2544" s="3262"/>
      <c r="X2544" s="3262"/>
      <c r="Y2544" s="3265"/>
      <c r="Z2544" s="3262"/>
      <c r="AA2544" s="3262"/>
      <c r="AB2544" s="3265"/>
      <c r="AC2544" s="3285">
        <v>9</v>
      </c>
      <c r="AD2544" s="3482">
        <v>9.2666666666666675</v>
      </c>
      <c r="AE2544" s="3484">
        <v>9.2666666666666675</v>
      </c>
      <c r="AF2544" s="2236">
        <f t="shared" si="300"/>
        <v>9.2666666666666675</v>
      </c>
      <c r="AG2544" s="1396"/>
      <c r="DG2544" s="573"/>
      <c r="DH2544" s="159"/>
      <c r="DI2544" s="1091"/>
      <c r="DJ2544" s="1187"/>
    </row>
    <row r="2545" spans="1:114" ht="15" hidden="1" customHeight="1" outlineLevel="1">
      <c r="A2545" s="453"/>
      <c r="C2545" s="51"/>
      <c r="D2545" s="4295"/>
      <c r="E2545" s="4295"/>
      <c r="F2545" s="4347" t="str">
        <f>$E$1612</f>
        <v>ASHP-SEER15_ROF_MF</v>
      </c>
      <c r="G2545" s="4347"/>
      <c r="H2545" s="4347"/>
      <c r="I2545" s="4347"/>
      <c r="J2545" s="3471" t="str">
        <f>$C$1612</f>
        <v>353050_2024_12_</v>
      </c>
      <c r="K2545" s="3337">
        <f>K2352</f>
        <v>7.5</v>
      </c>
      <c r="L2545" s="3480"/>
      <c r="M2545" s="3484" t="str">
        <f>M2352</f>
        <v>CFR 430 (1-1-2021 Edition) 430.32(c)(5)</v>
      </c>
      <c r="P2545" s="261"/>
      <c r="Q2545" s="261"/>
      <c r="R2545" s="261"/>
      <c r="S2545" s="52"/>
      <c r="T2545" s="181"/>
      <c r="U2545" s="52"/>
      <c r="V2545" s="4288"/>
      <c r="W2545" s="3262">
        <v>8.6999999999999993</v>
      </c>
      <c r="X2545" s="3262">
        <v>8.6999999999999993</v>
      </c>
      <c r="Y2545" s="3262">
        <v>8.6999999999999993</v>
      </c>
      <c r="Z2545" s="3262">
        <v>8.6999999999999993</v>
      </c>
      <c r="AA2545" s="3262">
        <v>8.6999999999999993</v>
      </c>
      <c r="AB2545" s="3262">
        <v>8.6999999999999993</v>
      </c>
      <c r="AC2545" s="3285">
        <v>9</v>
      </c>
      <c r="AD2545" s="3482">
        <v>8.5</v>
      </c>
      <c r="AE2545" s="3484">
        <v>8.5</v>
      </c>
      <c r="AF2545" s="2236">
        <f t="shared" si="300"/>
        <v>7.5</v>
      </c>
      <c r="AG2545" s="1396"/>
      <c r="DG2545" s="573"/>
      <c r="DH2545" s="159"/>
      <c r="DI2545" s="1091"/>
      <c r="DJ2545" s="1187"/>
    </row>
    <row r="2546" spans="1:114" ht="15" hidden="1" customHeight="1" outlineLevel="1">
      <c r="A2546" s="453"/>
      <c r="C2546" s="51"/>
      <c r="D2546" s="4295"/>
      <c r="E2546" s="4295"/>
      <c r="F2546" s="4347" t="str">
        <f>$E$1614</f>
        <v>ASHP-SEER15_ROF_MF_CompE</v>
      </c>
      <c r="G2546" s="4347"/>
      <c r="H2546" s="4347"/>
      <c r="I2546" s="4347"/>
      <c r="J2546" s="3471" t="str">
        <f>$C$1614</f>
        <v>353051_2024_12_</v>
      </c>
      <c r="K2546" s="3337">
        <f>K2545</f>
        <v>7.5</v>
      </c>
      <c r="L2546" s="3480"/>
      <c r="M2546" s="3483" t="s">
        <v>1945</v>
      </c>
      <c r="P2546" s="261"/>
      <c r="Q2546" s="261"/>
      <c r="R2546" s="261"/>
      <c r="S2546" s="52"/>
      <c r="T2546" s="181"/>
      <c r="U2546" s="52"/>
      <c r="V2546" s="4288"/>
      <c r="W2546" s="3262"/>
      <c r="X2546" s="3262"/>
      <c r="Y2546" s="3265">
        <v>8.6999999999999993</v>
      </c>
      <c r="Z2546" s="3262">
        <v>8.6999999999999993</v>
      </c>
      <c r="AA2546" s="3262">
        <v>8.6999999999999993</v>
      </c>
      <c r="AB2546" s="3262">
        <v>8.6999999999999993</v>
      </c>
      <c r="AC2546" s="3285">
        <v>9</v>
      </c>
      <c r="AD2546" s="3482">
        <v>8.5</v>
      </c>
      <c r="AE2546" s="3484">
        <v>8.5</v>
      </c>
      <c r="AF2546" s="2236">
        <f t="shared" si="300"/>
        <v>7.5</v>
      </c>
      <c r="AG2546" s="1396"/>
      <c r="DG2546" s="573"/>
      <c r="DH2546" s="159"/>
      <c r="DI2546" s="1091"/>
      <c r="DJ2546" s="1187"/>
    </row>
    <row r="2547" spans="1:114" ht="15" hidden="1" customHeight="1" outlineLevel="1">
      <c r="A2547" s="453"/>
      <c r="C2547" s="51"/>
      <c r="D2547" s="4295"/>
      <c r="E2547" s="4295"/>
      <c r="F2547" s="4307" t="str">
        <f>$E$1616</f>
        <v>ASHP-SEER17-Replace_CAC_ElectricHeat_ROF_SF</v>
      </c>
      <c r="G2547" s="4307"/>
      <c r="H2547" s="4307"/>
      <c r="I2547" s="4307"/>
      <c r="J2547" s="1029" t="str">
        <f>$C$1616</f>
        <v>353100_2024_12_</v>
      </c>
      <c r="K2547" s="916">
        <v>9.4296296296296287</v>
      </c>
      <c r="L2547" s="972"/>
      <c r="M2547" s="1739" t="s">
        <v>1934</v>
      </c>
      <c r="P2547" s="261"/>
      <c r="Q2547" s="261"/>
      <c r="R2547" s="261"/>
      <c r="S2547" s="52"/>
      <c r="T2547" s="181"/>
      <c r="U2547" s="52"/>
      <c r="V2547" s="4288"/>
      <c r="W2547" s="1396">
        <v>9.6999999999999993</v>
      </c>
      <c r="X2547" s="1396">
        <v>9.6999999999999993</v>
      </c>
      <c r="Y2547" s="1396">
        <v>9.6999999999999993</v>
      </c>
      <c r="Z2547" s="1396">
        <v>9.6999999999999993</v>
      </c>
      <c r="AA2547" s="1396">
        <v>9.6999999999999993</v>
      </c>
      <c r="AB2547" s="1396">
        <v>9.6999999999999993</v>
      </c>
      <c r="AC2547" s="212">
        <v>9.5</v>
      </c>
      <c r="AD2547" s="969">
        <v>9.4181159420289866</v>
      </c>
      <c r="AE2547" s="969">
        <v>9.4296296296296287</v>
      </c>
      <c r="AF2547" s="271">
        <f t="shared" si="300"/>
        <v>9.4296296296296287</v>
      </c>
      <c r="AG2547" s="1396"/>
      <c r="DG2547" s="573"/>
      <c r="DH2547" s="159"/>
      <c r="DI2547" s="1091"/>
      <c r="DJ2547" s="1187"/>
    </row>
    <row r="2548" spans="1:114" ht="15" hidden="1" customHeight="1" outlineLevel="1">
      <c r="A2548" s="453"/>
      <c r="C2548" s="51"/>
      <c r="D2548" s="4295"/>
      <c r="E2548" s="4295"/>
      <c r="F2548" s="4307" t="str">
        <f>$E$1618</f>
        <v>ASHP-SEER17-Replace_CAC_NonElectricHeat_ROF_SF</v>
      </c>
      <c r="G2548" s="4307"/>
      <c r="H2548" s="4307"/>
      <c r="I2548" s="4307"/>
      <c r="J2548" s="1029" t="str">
        <f>$C$1618</f>
        <v>353110_2024_12_</v>
      </c>
      <c r="K2548" s="916">
        <v>9.4296296296296287</v>
      </c>
      <c r="L2548" s="972"/>
      <c r="M2548" s="1739" t="s">
        <v>1934</v>
      </c>
      <c r="P2548" s="261"/>
      <c r="Q2548" s="261"/>
      <c r="R2548" s="261"/>
      <c r="S2548" s="52"/>
      <c r="T2548" s="181"/>
      <c r="U2548" s="52"/>
      <c r="V2548" s="4288"/>
      <c r="W2548" s="1396"/>
      <c r="X2548" s="833"/>
      <c r="Y2548" s="833"/>
      <c r="Z2548" s="1396"/>
      <c r="AA2548" s="1396"/>
      <c r="AB2548" s="212"/>
      <c r="AC2548" s="212"/>
      <c r="AD2548" s="969">
        <v>9.4181159420289866</v>
      </c>
      <c r="AE2548" s="969">
        <v>9.4296296296296287</v>
      </c>
      <c r="AF2548" s="271">
        <f t="shared" si="300"/>
        <v>9.4296296296296287</v>
      </c>
      <c r="AG2548" s="1396"/>
      <c r="DG2548" s="573"/>
      <c r="DH2548" s="159"/>
      <c r="DI2548" s="1091"/>
      <c r="DJ2548" s="1187"/>
    </row>
    <row r="2549" spans="1:114" ht="15" hidden="1" customHeight="1" outlineLevel="1">
      <c r="A2549" s="453"/>
      <c r="C2549" s="51"/>
      <c r="D2549" s="4295"/>
      <c r="E2549" s="4295"/>
      <c r="F2549" s="4347" t="str">
        <f>$E$1620</f>
        <v>ASHP-SEER17-Replace_CAC_ElectricHeat_ROF_MF</v>
      </c>
      <c r="G2549" s="4347"/>
      <c r="H2549" s="4347"/>
      <c r="I2549" s="4347"/>
      <c r="J2549" s="3471" t="str">
        <f>$C$1620</f>
        <v>353150_2024_12_</v>
      </c>
      <c r="K2549" s="3485">
        <v>9.6999999999999993</v>
      </c>
      <c r="L2549" s="3480"/>
      <c r="M2549" s="3293" t="s">
        <v>2496</v>
      </c>
      <c r="P2549" s="261"/>
      <c r="Q2549" s="261"/>
      <c r="R2549" s="261"/>
      <c r="S2549" s="52"/>
      <c r="T2549" s="181"/>
      <c r="U2549" s="52"/>
      <c r="V2549" s="4288"/>
      <c r="W2549" s="3262">
        <v>9.6999999999999993</v>
      </c>
      <c r="X2549" s="3262">
        <v>9.6999999999999993</v>
      </c>
      <c r="Y2549" s="3262">
        <v>9.6999999999999993</v>
      </c>
      <c r="Z2549" s="3262">
        <v>9.6999999999999993</v>
      </c>
      <c r="AA2549" s="3262">
        <v>9.6999999999999993</v>
      </c>
      <c r="AB2549" s="3262">
        <v>9.6999999999999993</v>
      </c>
      <c r="AC2549" s="3286">
        <v>9.6999999999999993</v>
      </c>
      <c r="AD2549" s="3286">
        <v>9.6999999999999993</v>
      </c>
      <c r="AE2549" s="3486">
        <v>9.6999999999999993</v>
      </c>
      <c r="AF2549" s="2236">
        <f t="shared" si="300"/>
        <v>9.6999999999999993</v>
      </c>
      <c r="AG2549" s="1396"/>
      <c r="DG2549" s="573"/>
      <c r="DH2549" s="159"/>
      <c r="DI2549" s="1091"/>
      <c r="DJ2549" s="1187"/>
    </row>
    <row r="2550" spans="1:114" ht="15" hidden="1" customHeight="1" outlineLevel="1">
      <c r="A2550" s="453"/>
      <c r="C2550" s="51"/>
      <c r="D2550" s="4295"/>
      <c r="E2550" s="4295"/>
      <c r="F2550" s="4347" t="str">
        <f>$E$1622</f>
        <v>ASHP-SEER17-Replace_CAC_ElectricHeat_ROF_MF_CompE</v>
      </c>
      <c r="G2550" s="4347"/>
      <c r="H2550" s="4347"/>
      <c r="I2550" s="4347"/>
      <c r="J2550" s="3471" t="str">
        <f>$C$1622</f>
        <v>353151_2024_12_</v>
      </c>
      <c r="K2550" s="3485">
        <v>9.6999999999999993</v>
      </c>
      <c r="L2550" s="3480"/>
      <c r="M2550" s="3293" t="s">
        <v>1945</v>
      </c>
      <c r="P2550" s="261"/>
      <c r="Q2550" s="261"/>
      <c r="R2550" s="261"/>
      <c r="S2550" s="52"/>
      <c r="T2550" s="181"/>
      <c r="U2550" s="52"/>
      <c r="V2550" s="4288"/>
      <c r="W2550" s="3262"/>
      <c r="X2550" s="3262"/>
      <c r="Y2550" s="3265">
        <v>9.6999999999999993</v>
      </c>
      <c r="Z2550" s="3262">
        <v>9.6999999999999993</v>
      </c>
      <c r="AA2550" s="3262">
        <v>9.6999999999999993</v>
      </c>
      <c r="AB2550" s="3262">
        <v>9.6999999999999993</v>
      </c>
      <c r="AC2550" s="3286">
        <v>9.6999999999999993</v>
      </c>
      <c r="AD2550" s="3286">
        <v>9.6999999999999993</v>
      </c>
      <c r="AE2550" s="3486">
        <v>9.6999999999999993</v>
      </c>
      <c r="AF2550" s="2236">
        <f t="shared" si="300"/>
        <v>9.6999999999999993</v>
      </c>
      <c r="AG2550" s="1396"/>
      <c r="DG2550" s="573"/>
      <c r="DH2550" s="159"/>
      <c r="DI2550" s="1091"/>
      <c r="DJ2550" s="1187"/>
    </row>
    <row r="2551" spans="1:114" ht="15" hidden="1" customHeight="1" outlineLevel="1">
      <c r="A2551" s="453"/>
      <c r="C2551" s="51"/>
      <c r="D2551" s="4295"/>
      <c r="E2551" s="4295"/>
      <c r="F2551" s="4347" t="str">
        <f>$E$1624</f>
        <v>ASHP-SEER17-Replace_CAC_NonElectricHeat_ROF_MF</v>
      </c>
      <c r="G2551" s="4347"/>
      <c r="H2551" s="4347"/>
      <c r="I2551" s="4347"/>
      <c r="J2551" s="3471" t="str">
        <f>$C$1624</f>
        <v>353160_2024_12_</v>
      </c>
      <c r="K2551" s="3485">
        <v>9.6999999999999993</v>
      </c>
      <c r="L2551" s="3480"/>
      <c r="M2551" s="3293" t="s">
        <v>1945</v>
      </c>
      <c r="P2551" s="261"/>
      <c r="Q2551" s="261"/>
      <c r="R2551" s="261"/>
      <c r="S2551" s="52"/>
      <c r="T2551" s="181"/>
      <c r="U2551" s="52"/>
      <c r="V2551" s="4288"/>
      <c r="W2551" s="3262"/>
      <c r="X2551" s="3262"/>
      <c r="Y2551" s="3265"/>
      <c r="Z2551" s="3262"/>
      <c r="AA2551" s="3262"/>
      <c r="AB2551" s="3262"/>
      <c r="AC2551" s="3285">
        <v>9.6999999999999993</v>
      </c>
      <c r="AD2551" s="3286">
        <v>9.6999999999999993</v>
      </c>
      <c r="AE2551" s="3486">
        <v>9.6999999999999993</v>
      </c>
      <c r="AF2551" s="2236">
        <f t="shared" si="300"/>
        <v>9.6999999999999993</v>
      </c>
      <c r="AG2551" s="1396"/>
      <c r="DG2551" s="573"/>
      <c r="DH2551" s="159"/>
      <c r="DI2551" s="1091"/>
      <c r="DJ2551" s="1187"/>
    </row>
    <row r="2552" spans="1:114" ht="15" hidden="1" customHeight="1" outlineLevel="1">
      <c r="A2552" s="453"/>
      <c r="C2552" s="51"/>
      <c r="D2552" s="4295"/>
      <c r="E2552" s="4295"/>
      <c r="F2552" s="4347" t="str">
        <f>$E$1626</f>
        <v>ASHP-SEER17-Replace_CAC_NonElectricHeat_ROF_MF_CompE</v>
      </c>
      <c r="G2552" s="4347"/>
      <c r="H2552" s="4347"/>
      <c r="I2552" s="4347"/>
      <c r="J2552" s="3471" t="str">
        <f>$C$1626</f>
        <v>353161_2024_12_</v>
      </c>
      <c r="K2552" s="3485">
        <v>9.6999999999999993</v>
      </c>
      <c r="L2552" s="3480"/>
      <c r="M2552" s="3293" t="s">
        <v>1945</v>
      </c>
      <c r="P2552" s="261"/>
      <c r="Q2552" s="261"/>
      <c r="R2552" s="261"/>
      <c r="S2552" s="52"/>
      <c r="T2552" s="181"/>
      <c r="U2552" s="52"/>
      <c r="V2552" s="4288"/>
      <c r="W2552" s="3262"/>
      <c r="X2552" s="3262"/>
      <c r="Y2552" s="3265"/>
      <c r="Z2552" s="3262"/>
      <c r="AA2552" s="3262"/>
      <c r="AB2552" s="3262"/>
      <c r="AC2552" s="3285">
        <v>9.6999999999999993</v>
      </c>
      <c r="AD2552" s="3286">
        <v>9.6999999999999993</v>
      </c>
      <c r="AE2552" s="3486">
        <v>9.6999999999999993</v>
      </c>
      <c r="AF2552" s="2236">
        <f t="shared" si="300"/>
        <v>9.6999999999999993</v>
      </c>
      <c r="AG2552" s="1396"/>
      <c r="DG2552" s="573"/>
      <c r="DH2552" s="159"/>
      <c r="DI2552" s="1091"/>
      <c r="DJ2552" s="1187"/>
    </row>
    <row r="2553" spans="1:114" ht="15" hidden="1" customHeight="1" outlineLevel="1">
      <c r="A2553" s="453"/>
      <c r="C2553" s="51"/>
      <c r="D2553" s="4295"/>
      <c r="E2553" s="4295"/>
      <c r="F2553" s="4307" t="str">
        <f>$E$1628</f>
        <v>ASHP-SEER18-Replace_CAC_ElectricHeat_ROF_SF</v>
      </c>
      <c r="G2553" s="4307"/>
      <c r="H2553" s="4307"/>
      <c r="I2553" s="4307"/>
      <c r="J2553" s="1029" t="str">
        <f>$C$1628</f>
        <v>353200_2024_12_</v>
      </c>
      <c r="K2553" s="916">
        <v>9.8957142857142895</v>
      </c>
      <c r="L2553" s="972"/>
      <c r="M2553" s="1739" t="s">
        <v>1934</v>
      </c>
      <c r="P2553" s="261"/>
      <c r="Q2553" s="261"/>
      <c r="R2553" s="261"/>
      <c r="S2553" s="52"/>
      <c r="T2553" s="181"/>
      <c r="U2553" s="52"/>
      <c r="V2553" s="4288"/>
      <c r="W2553" s="1396">
        <v>9.6999999999999993</v>
      </c>
      <c r="X2553" s="1396">
        <v>9.6999999999999993</v>
      </c>
      <c r="Y2553" s="1396">
        <v>9.6999999999999993</v>
      </c>
      <c r="Z2553" s="1396">
        <v>9.6999999999999993</v>
      </c>
      <c r="AA2553" s="1396">
        <v>9.6999999999999993</v>
      </c>
      <c r="AB2553" s="833">
        <v>10.5</v>
      </c>
      <c r="AC2553" s="212">
        <v>9.7852941176470605</v>
      </c>
      <c r="AD2553" s="969">
        <v>10.148936170212766</v>
      </c>
      <c r="AE2553" s="969">
        <v>9.8957142857142895</v>
      </c>
      <c r="AF2553" s="271">
        <f t="shared" si="300"/>
        <v>9.8957142857142895</v>
      </c>
      <c r="AG2553" s="1396"/>
      <c r="DG2553" s="573"/>
      <c r="DH2553" s="159"/>
      <c r="DI2553" s="1091"/>
      <c r="DJ2553" s="1187"/>
    </row>
    <row r="2554" spans="1:114" ht="15" hidden="1" customHeight="1" outlineLevel="1">
      <c r="A2554" s="453"/>
      <c r="C2554" s="51"/>
      <c r="D2554" s="4295"/>
      <c r="E2554" s="4295"/>
      <c r="F2554" s="4307" t="str">
        <f>$E$1630</f>
        <v>ASHP-SEER18-Replace_CAC_NonElectricHeat_ROF_SF</v>
      </c>
      <c r="G2554" s="4307"/>
      <c r="H2554" s="4307"/>
      <c r="I2554" s="4307"/>
      <c r="J2554" s="1029" t="str">
        <f>$C$1630</f>
        <v>353210_2024_12_</v>
      </c>
      <c r="K2554" s="916">
        <v>9.8957142857142895</v>
      </c>
      <c r="L2554" s="972"/>
      <c r="M2554" s="1739" t="s">
        <v>1934</v>
      </c>
      <c r="P2554" s="261"/>
      <c r="Q2554" s="261"/>
      <c r="R2554" s="261"/>
      <c r="S2554" s="52"/>
      <c r="T2554" s="181"/>
      <c r="U2554" s="52"/>
      <c r="V2554" s="4288"/>
      <c r="W2554" s="1396"/>
      <c r="X2554" s="833"/>
      <c r="Y2554" s="833"/>
      <c r="Z2554" s="1396"/>
      <c r="AA2554" s="1396"/>
      <c r="AB2554" s="212"/>
      <c r="AC2554" s="212"/>
      <c r="AD2554" s="969">
        <v>10.148936170212766</v>
      </c>
      <c r="AE2554" s="969">
        <v>9.8957142857142895</v>
      </c>
      <c r="AF2554" s="271">
        <f t="shared" ref="AF2554:AF2617" si="301">IF(K2554&lt;&gt;"",K2554,"")</f>
        <v>9.8957142857142895</v>
      </c>
      <c r="AG2554" s="1396"/>
      <c r="DG2554" s="573"/>
      <c r="DH2554" s="159"/>
      <c r="DI2554" s="1091"/>
      <c r="DJ2554" s="1187"/>
    </row>
    <row r="2555" spans="1:114" ht="15" hidden="1" customHeight="1" outlineLevel="1">
      <c r="A2555" s="453"/>
      <c r="C2555" s="51"/>
      <c r="D2555" s="4295"/>
      <c r="E2555" s="4295"/>
      <c r="F2555" s="4347" t="str">
        <f>$E$1632</f>
        <v>ASHP-SEER18-Replace_CAC_ElectricHeat_ROF_MF</v>
      </c>
      <c r="G2555" s="4347"/>
      <c r="H2555" s="4347"/>
      <c r="I2555" s="4347"/>
      <c r="J2555" s="3471" t="str">
        <f>$C$1632</f>
        <v>353250_2024_12_</v>
      </c>
      <c r="K2555" s="3485">
        <v>9.5</v>
      </c>
      <c r="L2555" s="3480"/>
      <c r="M2555" s="3293" t="s">
        <v>1938</v>
      </c>
      <c r="P2555" s="261"/>
      <c r="Q2555" s="261"/>
      <c r="R2555" s="261"/>
      <c r="S2555" s="52"/>
      <c r="T2555" s="181"/>
      <c r="U2555" s="52"/>
      <c r="V2555" s="4288"/>
      <c r="W2555" s="3262">
        <v>9.6999999999999993</v>
      </c>
      <c r="X2555" s="3262">
        <v>9.6999999999999993</v>
      </c>
      <c r="Y2555" s="3262">
        <v>9.6999999999999993</v>
      </c>
      <c r="Z2555" s="3262">
        <v>9.6999999999999993</v>
      </c>
      <c r="AA2555" s="3262">
        <v>9.6999999999999993</v>
      </c>
      <c r="AB2555" s="3265">
        <v>10</v>
      </c>
      <c r="AC2555" s="3285">
        <v>9.5</v>
      </c>
      <c r="AD2555" s="3286">
        <v>9.5</v>
      </c>
      <c r="AE2555" s="3486">
        <v>9.5</v>
      </c>
      <c r="AF2555" s="2236">
        <f t="shared" si="301"/>
        <v>9.5</v>
      </c>
      <c r="AG2555" s="1396"/>
      <c r="DG2555" s="573"/>
      <c r="DH2555" s="159"/>
      <c r="DI2555" s="1091"/>
      <c r="DJ2555" s="1187"/>
    </row>
    <row r="2556" spans="1:114" ht="15" hidden="1" customHeight="1" outlineLevel="1">
      <c r="A2556" s="453"/>
      <c r="C2556" s="51"/>
      <c r="D2556" s="4295"/>
      <c r="E2556" s="4295"/>
      <c r="F2556" s="4347" t="str">
        <f>$E$1634</f>
        <v>ASHP-SEER18-Replace_CAC_ElectricHeat_ROF_MF_CompE</v>
      </c>
      <c r="G2556" s="4347"/>
      <c r="H2556" s="4347"/>
      <c r="I2556" s="4347"/>
      <c r="J2556" s="3471" t="str">
        <f>$C$1634</f>
        <v>353251_2024_12_</v>
      </c>
      <c r="K2556" s="3485">
        <v>9.5</v>
      </c>
      <c r="L2556" s="3480"/>
      <c r="M2556" s="3483" t="s">
        <v>1945</v>
      </c>
      <c r="P2556" s="261"/>
      <c r="Q2556" s="261"/>
      <c r="R2556" s="261"/>
      <c r="S2556" s="52"/>
      <c r="T2556" s="181"/>
      <c r="U2556" s="52"/>
      <c r="V2556" s="4288"/>
      <c r="W2556" s="3262"/>
      <c r="X2556" s="3262"/>
      <c r="Y2556" s="3265">
        <v>9.6999999999999993</v>
      </c>
      <c r="Z2556" s="3262">
        <v>9.6999999999999993</v>
      </c>
      <c r="AA2556" s="3262">
        <v>9.6999999999999993</v>
      </c>
      <c r="AB2556" s="3265">
        <v>10</v>
      </c>
      <c r="AC2556" s="3285">
        <v>9.5</v>
      </c>
      <c r="AD2556" s="3286">
        <v>9.5</v>
      </c>
      <c r="AE2556" s="3486">
        <v>9.5</v>
      </c>
      <c r="AF2556" s="2236">
        <f t="shared" si="301"/>
        <v>9.5</v>
      </c>
      <c r="AG2556" s="1396"/>
      <c r="DG2556" s="573"/>
      <c r="DH2556" s="159"/>
      <c r="DI2556" s="1091"/>
      <c r="DJ2556" s="1187"/>
    </row>
    <row r="2557" spans="1:114" ht="15" hidden="1" customHeight="1" outlineLevel="1">
      <c r="A2557" s="453"/>
      <c r="C2557" s="51"/>
      <c r="D2557" s="4295"/>
      <c r="E2557" s="4295"/>
      <c r="F2557" s="4347" t="str">
        <f>$E$1636</f>
        <v>ASHP-SEER18-Replace_CAC_NonElectricHeat_ROF_MF</v>
      </c>
      <c r="G2557" s="4347"/>
      <c r="H2557" s="4347"/>
      <c r="I2557" s="4347"/>
      <c r="J2557" s="3471" t="str">
        <f>$C$1636</f>
        <v>353260_2024_12_</v>
      </c>
      <c r="K2557" s="3485">
        <v>9.5</v>
      </c>
      <c r="L2557" s="3480"/>
      <c r="M2557" s="3293" t="s">
        <v>1945</v>
      </c>
      <c r="P2557" s="261"/>
      <c r="Q2557" s="261"/>
      <c r="R2557" s="261"/>
      <c r="S2557" s="52"/>
      <c r="T2557" s="181"/>
      <c r="U2557" s="52"/>
      <c r="V2557" s="4288"/>
      <c r="W2557" s="3262"/>
      <c r="X2557" s="3262"/>
      <c r="Y2557" s="3265"/>
      <c r="Z2557" s="3262"/>
      <c r="AA2557" s="3262"/>
      <c r="AB2557" s="3265"/>
      <c r="AC2557" s="3285">
        <v>9.5</v>
      </c>
      <c r="AD2557" s="3286">
        <v>9.5</v>
      </c>
      <c r="AE2557" s="3486">
        <v>9.5</v>
      </c>
      <c r="AF2557" s="2236">
        <f t="shared" si="301"/>
        <v>9.5</v>
      </c>
      <c r="AG2557" s="1396"/>
      <c r="DG2557" s="573"/>
      <c r="DH2557" s="159"/>
      <c r="DI2557" s="1091"/>
      <c r="DJ2557" s="1187"/>
    </row>
    <row r="2558" spans="1:114" ht="15" hidden="1" customHeight="1" outlineLevel="1">
      <c r="A2558" s="453"/>
      <c r="C2558" s="51"/>
      <c r="D2558" s="4295"/>
      <c r="E2558" s="4295"/>
      <c r="F2558" s="4347" t="str">
        <f>$E$1638</f>
        <v>ASHP-SEER18-Replace_CAC_NonElectricHeat_ROF_MF_CompE</v>
      </c>
      <c r="G2558" s="4347"/>
      <c r="H2558" s="4347"/>
      <c r="I2558" s="4347"/>
      <c r="J2558" s="3471" t="str">
        <f>$C$1638</f>
        <v>353261_2024_12_</v>
      </c>
      <c r="K2558" s="3485">
        <v>9.5</v>
      </c>
      <c r="L2558" s="3480"/>
      <c r="M2558" s="3293" t="s">
        <v>1945</v>
      </c>
      <c r="P2558" s="261"/>
      <c r="Q2558" s="261"/>
      <c r="R2558" s="261"/>
      <c r="S2558" s="52"/>
      <c r="T2558" s="181"/>
      <c r="U2558" s="52"/>
      <c r="V2558" s="4288"/>
      <c r="W2558" s="3262"/>
      <c r="X2558" s="3262"/>
      <c r="Y2558" s="3265"/>
      <c r="Z2558" s="3262"/>
      <c r="AA2558" s="3262"/>
      <c r="AB2558" s="3265"/>
      <c r="AC2558" s="3285">
        <v>9.5</v>
      </c>
      <c r="AD2558" s="3286">
        <v>9.5</v>
      </c>
      <c r="AE2558" s="3486">
        <v>9.5</v>
      </c>
      <c r="AF2558" s="2236">
        <f t="shared" si="301"/>
        <v>9.5</v>
      </c>
      <c r="AG2558" s="1396"/>
      <c r="DG2558" s="573"/>
      <c r="DH2558" s="159"/>
      <c r="DI2558" s="1091"/>
      <c r="DJ2558" s="1187"/>
    </row>
    <row r="2559" spans="1:114" ht="15" hidden="1" customHeight="1" outlineLevel="1">
      <c r="A2559" s="453"/>
      <c r="C2559" s="51"/>
      <c r="D2559" s="4295"/>
      <c r="E2559" s="4295"/>
      <c r="F2559" s="4307" t="str">
        <f>$E$1640</f>
        <v>ASHP-SEER19-Replace_CAC_ElectricHeat_ROF_SF</v>
      </c>
      <c r="G2559" s="4307"/>
      <c r="H2559" s="4307"/>
      <c r="I2559" s="4307"/>
      <c r="J2559" s="1029" t="str">
        <f>$C$1640</f>
        <v>353300_2024_12_</v>
      </c>
      <c r="K2559" s="916">
        <v>10.115384615384615</v>
      </c>
      <c r="L2559" s="972"/>
      <c r="M2559" s="1739" t="s">
        <v>1937</v>
      </c>
      <c r="P2559" s="261"/>
      <c r="Q2559" s="261"/>
      <c r="R2559" s="261"/>
      <c r="S2559" s="52"/>
      <c r="T2559" s="181"/>
      <c r="U2559" s="52"/>
      <c r="V2559" s="4288"/>
      <c r="W2559" s="1396">
        <v>9.6999999999999993</v>
      </c>
      <c r="X2559" s="1396">
        <v>9.6999999999999993</v>
      </c>
      <c r="Y2559" s="1396">
        <v>9.6999999999999993</v>
      </c>
      <c r="Z2559" s="1396">
        <v>9.6999999999999993</v>
      </c>
      <c r="AA2559" s="1396">
        <v>9.6999999999999993</v>
      </c>
      <c r="AB2559" s="1396">
        <v>9.6999999999999993</v>
      </c>
      <c r="AC2559" s="212">
        <v>11</v>
      </c>
      <c r="AD2559" s="969">
        <v>10.115384615384615</v>
      </c>
      <c r="AE2559" s="970">
        <v>10.115384615384615</v>
      </c>
      <c r="AF2559" s="271">
        <f t="shared" si="301"/>
        <v>10.115384615384615</v>
      </c>
      <c r="AG2559" s="1396"/>
      <c r="DG2559" s="573"/>
      <c r="DH2559" s="159"/>
      <c r="DI2559" s="1091"/>
      <c r="DJ2559" s="1187"/>
    </row>
    <row r="2560" spans="1:114" ht="15" hidden="1" customHeight="1" outlineLevel="1">
      <c r="A2560" s="453"/>
      <c r="C2560" s="51"/>
      <c r="D2560" s="4295"/>
      <c r="E2560" s="4295"/>
      <c r="F2560" s="4307" t="str">
        <f>$E$1642</f>
        <v>ASHP-SEER19-Replace_CAC_NonElectricHeat_ROF_SF</v>
      </c>
      <c r="G2560" s="4307"/>
      <c r="H2560" s="4307"/>
      <c r="I2560" s="4307"/>
      <c r="J2560" s="1029" t="str">
        <f>$C$1642</f>
        <v>353310_2024_12_</v>
      </c>
      <c r="K2560" s="916">
        <v>10.115384615384615</v>
      </c>
      <c r="L2560" s="972"/>
      <c r="M2560" s="1739" t="s">
        <v>1945</v>
      </c>
      <c r="P2560" s="261"/>
      <c r="Q2560" s="261"/>
      <c r="R2560" s="261"/>
      <c r="S2560" s="52"/>
      <c r="T2560" s="181"/>
      <c r="U2560" s="52"/>
      <c r="V2560" s="4288"/>
      <c r="W2560" s="1396"/>
      <c r="X2560" s="833"/>
      <c r="Y2560" s="833"/>
      <c r="Z2560" s="1396"/>
      <c r="AA2560" s="1396"/>
      <c r="AB2560" s="212"/>
      <c r="AC2560" s="212"/>
      <c r="AD2560" s="969">
        <v>10.115384615384615</v>
      </c>
      <c r="AE2560" s="970">
        <v>10.115384615384615</v>
      </c>
      <c r="AF2560" s="271">
        <f t="shared" si="301"/>
        <v>10.115384615384615</v>
      </c>
      <c r="AG2560" s="1396"/>
      <c r="DG2560" s="573"/>
      <c r="DH2560" s="159"/>
      <c r="DI2560" s="1091"/>
      <c r="DJ2560" s="1187"/>
    </row>
    <row r="2561" spans="1:114" ht="15" hidden="1" customHeight="1" outlineLevel="1">
      <c r="A2561" s="453"/>
      <c r="C2561" s="51"/>
      <c r="D2561" s="4295"/>
      <c r="E2561" s="4295"/>
      <c r="F2561" s="4347" t="str">
        <f>$E$1644</f>
        <v>ASHP-SEER19-Replace_CAC_ElectricHeat_ROF_MF</v>
      </c>
      <c r="G2561" s="4347"/>
      <c r="H2561" s="4347"/>
      <c r="I2561" s="4347"/>
      <c r="J2561" s="3471" t="str">
        <f>$C$1644</f>
        <v>353350_2024_12_</v>
      </c>
      <c r="K2561" s="3485">
        <v>9.6999999999999993</v>
      </c>
      <c r="L2561" s="3480"/>
      <c r="M2561" s="3293" t="s">
        <v>2496</v>
      </c>
      <c r="P2561" s="261"/>
      <c r="Q2561" s="261"/>
      <c r="R2561" s="261"/>
      <c r="S2561" s="52"/>
      <c r="T2561" s="181"/>
      <c r="U2561" s="52"/>
      <c r="V2561" s="4288"/>
      <c r="W2561" s="3262">
        <v>9.6999999999999993</v>
      </c>
      <c r="X2561" s="3262">
        <v>9.6999999999999993</v>
      </c>
      <c r="Y2561" s="3262">
        <v>9.6999999999999993</v>
      </c>
      <c r="Z2561" s="3262">
        <v>9.6999999999999993</v>
      </c>
      <c r="AA2561" s="3262">
        <v>9.6999999999999993</v>
      </c>
      <c r="AB2561" s="3262">
        <v>9.6999999999999993</v>
      </c>
      <c r="AC2561" s="3286">
        <v>9.6999999999999993</v>
      </c>
      <c r="AD2561" s="3286">
        <v>9.6999999999999993</v>
      </c>
      <c r="AE2561" s="3486">
        <v>9.6999999999999993</v>
      </c>
      <c r="AF2561" s="2236">
        <f t="shared" si="301"/>
        <v>9.6999999999999993</v>
      </c>
      <c r="AG2561" s="1396"/>
      <c r="DG2561" s="573"/>
      <c r="DH2561" s="159"/>
      <c r="DI2561" s="1091"/>
      <c r="DJ2561" s="1187"/>
    </row>
    <row r="2562" spans="1:114" ht="15" hidden="1" customHeight="1" outlineLevel="1">
      <c r="A2562" s="453"/>
      <c r="C2562" s="51"/>
      <c r="D2562" s="4295"/>
      <c r="E2562" s="4295"/>
      <c r="F2562" s="4347" t="str">
        <f>$E$1646</f>
        <v>ASHP-SEER19-Replace_CAC_ElectricHeat_ROF_MF_CompE</v>
      </c>
      <c r="G2562" s="4347"/>
      <c r="H2562" s="4347"/>
      <c r="I2562" s="4347"/>
      <c r="J2562" s="3471" t="str">
        <f>$C$1646</f>
        <v>353351_2024_12_</v>
      </c>
      <c r="K2562" s="3485">
        <v>9.6999999999999993</v>
      </c>
      <c r="L2562" s="3480"/>
      <c r="M2562" s="3293" t="s">
        <v>1945</v>
      </c>
      <c r="P2562" s="261"/>
      <c r="Q2562" s="261"/>
      <c r="R2562" s="261"/>
      <c r="S2562" s="52"/>
      <c r="T2562" s="181"/>
      <c r="U2562" s="52"/>
      <c r="V2562" s="4288"/>
      <c r="W2562" s="3262"/>
      <c r="X2562" s="3262"/>
      <c r="Y2562" s="3265">
        <v>9.6999999999999993</v>
      </c>
      <c r="Z2562" s="3262">
        <v>9.6999999999999993</v>
      </c>
      <c r="AA2562" s="3262">
        <v>9.6999999999999993</v>
      </c>
      <c r="AB2562" s="3262">
        <v>9.6999999999999993</v>
      </c>
      <c r="AC2562" s="3286">
        <v>9.6999999999999993</v>
      </c>
      <c r="AD2562" s="3286">
        <v>9.6999999999999993</v>
      </c>
      <c r="AE2562" s="3486">
        <v>9.6999999999999993</v>
      </c>
      <c r="AF2562" s="2236">
        <f t="shared" si="301"/>
        <v>9.6999999999999993</v>
      </c>
      <c r="AG2562" s="1396"/>
      <c r="DG2562" s="573"/>
      <c r="DH2562" s="159"/>
      <c r="DI2562" s="1091"/>
      <c r="DJ2562" s="1187"/>
    </row>
    <row r="2563" spans="1:114" ht="15" hidden="1" customHeight="1" outlineLevel="1">
      <c r="A2563" s="453"/>
      <c r="C2563" s="51"/>
      <c r="D2563" s="4295"/>
      <c r="E2563" s="4295"/>
      <c r="F2563" s="4347" t="str">
        <f>$E$1648</f>
        <v>ASHP-SEER19-Replace_CAC_NonElectricHeat_ROF_MF</v>
      </c>
      <c r="G2563" s="4347"/>
      <c r="H2563" s="4347"/>
      <c r="I2563" s="4347"/>
      <c r="J2563" s="3471" t="str">
        <f>$C$1648</f>
        <v>353360_2024_12_</v>
      </c>
      <c r="K2563" s="3485">
        <v>9.6999999999999993</v>
      </c>
      <c r="L2563" s="3480"/>
      <c r="M2563" s="3293" t="s">
        <v>1945</v>
      </c>
      <c r="P2563" s="261"/>
      <c r="Q2563" s="261"/>
      <c r="R2563" s="261"/>
      <c r="S2563" s="52"/>
      <c r="T2563" s="181"/>
      <c r="U2563" s="52"/>
      <c r="V2563" s="4288"/>
      <c r="W2563" s="3262"/>
      <c r="X2563" s="3262"/>
      <c r="Y2563" s="3265"/>
      <c r="Z2563" s="3262"/>
      <c r="AA2563" s="3262"/>
      <c r="AB2563" s="3262"/>
      <c r="AC2563" s="3285">
        <v>9.6999999999999993</v>
      </c>
      <c r="AD2563" s="3286">
        <v>9.6999999999999993</v>
      </c>
      <c r="AE2563" s="3486">
        <v>9.6999999999999993</v>
      </c>
      <c r="AF2563" s="2236">
        <f t="shared" si="301"/>
        <v>9.6999999999999993</v>
      </c>
      <c r="AG2563" s="1396"/>
      <c r="DG2563" s="573"/>
      <c r="DH2563" s="159"/>
      <c r="DI2563" s="1091"/>
      <c r="DJ2563" s="1187"/>
    </row>
    <row r="2564" spans="1:114" ht="15" hidden="1" customHeight="1" outlineLevel="1">
      <c r="A2564" s="453"/>
      <c r="C2564" s="51"/>
      <c r="D2564" s="4295"/>
      <c r="E2564" s="4295"/>
      <c r="F2564" s="4347" t="str">
        <f>$E$1650</f>
        <v>ASHP-SEER19-Replace_CAC_NonElectricHeat_ROF_MF_CompE</v>
      </c>
      <c r="G2564" s="4347"/>
      <c r="H2564" s="4347"/>
      <c r="I2564" s="4347"/>
      <c r="J2564" s="3471" t="str">
        <f>$C$1650</f>
        <v>353361_2024_12_</v>
      </c>
      <c r="K2564" s="3485">
        <v>9.6999999999999993</v>
      </c>
      <c r="L2564" s="3480"/>
      <c r="M2564" s="3293" t="s">
        <v>1945</v>
      </c>
      <c r="P2564" s="261"/>
      <c r="Q2564" s="261"/>
      <c r="R2564" s="261"/>
      <c r="S2564" s="52"/>
      <c r="T2564" s="181"/>
      <c r="U2564" s="52"/>
      <c r="V2564" s="4288"/>
      <c r="W2564" s="3262"/>
      <c r="X2564" s="3262"/>
      <c r="Y2564" s="3265"/>
      <c r="Z2564" s="3262"/>
      <c r="AA2564" s="3262"/>
      <c r="AB2564" s="3262"/>
      <c r="AC2564" s="3285">
        <v>9.6999999999999993</v>
      </c>
      <c r="AD2564" s="3286">
        <v>9.6999999999999993</v>
      </c>
      <c r="AE2564" s="3486">
        <v>9.6999999999999993</v>
      </c>
      <c r="AF2564" s="2236">
        <f t="shared" si="301"/>
        <v>9.6999999999999993</v>
      </c>
      <c r="AG2564" s="1396"/>
      <c r="DG2564" s="573"/>
      <c r="DH2564" s="159"/>
      <c r="DI2564" s="1091"/>
      <c r="DJ2564" s="1187"/>
    </row>
    <row r="2565" spans="1:114" ht="15" hidden="1" customHeight="1" outlineLevel="1">
      <c r="A2565" s="453"/>
      <c r="C2565" s="51"/>
      <c r="D2565" s="4295"/>
      <c r="E2565" s="4295"/>
      <c r="F2565" s="4307" t="str">
        <f>$E$1652</f>
        <v>ASHP-SEER20-Replace_CAC_ElectricHeat_ER1_SF</v>
      </c>
      <c r="G2565" s="4307"/>
      <c r="H2565" s="4307"/>
      <c r="I2565" s="4307"/>
      <c r="J2565" s="1029" t="str">
        <f>$C$1652</f>
        <v>353400_2024_12_</v>
      </c>
      <c r="K2565" s="916">
        <v>10.36212121212121</v>
      </c>
      <c r="L2565" s="972"/>
      <c r="M2565" s="1739" t="s">
        <v>1934</v>
      </c>
      <c r="P2565" s="261"/>
      <c r="Q2565" s="261"/>
      <c r="R2565" s="261"/>
      <c r="S2565" s="52"/>
      <c r="T2565" s="181"/>
      <c r="U2565" s="52"/>
      <c r="V2565" s="4288"/>
      <c r="W2565" s="1396">
        <v>9.4</v>
      </c>
      <c r="X2565" s="1396">
        <v>9.4</v>
      </c>
      <c r="Y2565" s="1396">
        <v>9.4</v>
      </c>
      <c r="Z2565" s="1396">
        <v>9.4</v>
      </c>
      <c r="AA2565" s="1396">
        <v>9.4</v>
      </c>
      <c r="AB2565" s="1396">
        <v>9.4</v>
      </c>
      <c r="AC2565" s="212">
        <v>11.1</v>
      </c>
      <c r="AD2565" s="969">
        <v>10.135555555555554</v>
      </c>
      <c r="AE2565" s="969">
        <v>10.36212121212121</v>
      </c>
      <c r="AF2565" s="271">
        <f t="shared" si="301"/>
        <v>10.36212121212121</v>
      </c>
      <c r="AG2565" s="1396"/>
      <c r="DG2565" s="573"/>
      <c r="DH2565" s="159"/>
      <c r="DI2565" s="1091"/>
      <c r="DJ2565" s="1187"/>
    </row>
    <row r="2566" spans="1:114" ht="15" hidden="1" customHeight="1" outlineLevel="1">
      <c r="A2566" s="453"/>
      <c r="C2566" s="51"/>
      <c r="D2566" s="4295"/>
      <c r="E2566" s="4295"/>
      <c r="F2566" s="4307" t="str">
        <f>$E$1654</f>
        <v>ASHP-SEER20-Replace_CAC_ElectricHeat_ER2_SF</v>
      </c>
      <c r="G2566" s="4307"/>
      <c r="H2566" s="4307"/>
      <c r="I2566" s="4307"/>
      <c r="J2566" s="1029" t="str">
        <f>$C$1654</f>
        <v>353400_2024_12_</v>
      </c>
      <c r="K2566" s="916">
        <v>10.36212121212121</v>
      </c>
      <c r="L2566" s="972"/>
      <c r="M2566" s="1739" t="s">
        <v>1934</v>
      </c>
      <c r="P2566" s="261"/>
      <c r="Q2566" s="261"/>
      <c r="R2566" s="261"/>
      <c r="S2566" s="52"/>
      <c r="T2566" s="181"/>
      <c r="U2566" s="52"/>
      <c r="V2566" s="4288"/>
      <c r="W2566" s="1396">
        <v>9.4</v>
      </c>
      <c r="X2566" s="1396">
        <v>9.4</v>
      </c>
      <c r="Y2566" s="1396">
        <v>9.4</v>
      </c>
      <c r="Z2566" s="1396">
        <v>9.4</v>
      </c>
      <c r="AA2566" s="1396">
        <v>9.4</v>
      </c>
      <c r="AB2566" s="1396">
        <v>9.4</v>
      </c>
      <c r="AC2566" s="212">
        <f>AC2565</f>
        <v>11.1</v>
      </c>
      <c r="AD2566" s="969">
        <v>10.135555555555554</v>
      </c>
      <c r="AE2566" s="969">
        <v>10.36212121212121</v>
      </c>
      <c r="AF2566" s="271">
        <f t="shared" si="301"/>
        <v>10.36212121212121</v>
      </c>
      <c r="AG2566" s="1396"/>
      <c r="DG2566" s="573"/>
      <c r="DH2566" s="159"/>
      <c r="DI2566" s="1091"/>
      <c r="DJ2566" s="1187"/>
    </row>
    <row r="2567" spans="1:114" ht="15" hidden="1" customHeight="1" outlineLevel="1">
      <c r="A2567" s="453"/>
      <c r="C2567" s="51"/>
      <c r="D2567" s="4295"/>
      <c r="E2567" s="4295"/>
      <c r="F2567" s="4307" t="str">
        <f>$E$1656</f>
        <v>ASHP-SEER20-Replace_CAC_NonElectricHeat_ER1_SF</v>
      </c>
      <c r="G2567" s="4307"/>
      <c r="H2567" s="4307"/>
      <c r="I2567" s="4307"/>
      <c r="J2567" s="1029" t="str">
        <f>$C$1656</f>
        <v>353410_2024_12_</v>
      </c>
      <c r="K2567" s="916">
        <v>10.36212121212121</v>
      </c>
      <c r="L2567" s="972"/>
      <c r="M2567" s="1739" t="s">
        <v>1934</v>
      </c>
      <c r="P2567" s="261"/>
      <c r="Q2567" s="261"/>
      <c r="R2567" s="261"/>
      <c r="S2567" s="52"/>
      <c r="T2567" s="181"/>
      <c r="U2567" s="52"/>
      <c r="V2567" s="4288"/>
      <c r="W2567" s="1396"/>
      <c r="X2567" s="1396"/>
      <c r="Y2567" s="1396"/>
      <c r="Z2567" s="1396"/>
      <c r="AA2567" s="1396"/>
      <c r="AB2567" s="1396"/>
      <c r="AC2567" s="212">
        <v>11.1</v>
      </c>
      <c r="AD2567" s="969">
        <v>10.135555555555554</v>
      </c>
      <c r="AE2567" s="969">
        <v>10.36212121212121</v>
      </c>
      <c r="AF2567" s="271">
        <f t="shared" si="301"/>
        <v>10.36212121212121</v>
      </c>
      <c r="AG2567" s="1396"/>
      <c r="DG2567" s="573"/>
      <c r="DH2567" s="159"/>
      <c r="DI2567" s="1091"/>
      <c r="DJ2567" s="1187"/>
    </row>
    <row r="2568" spans="1:114" ht="15" hidden="1" customHeight="1" outlineLevel="1">
      <c r="A2568" s="453"/>
      <c r="C2568" s="51"/>
      <c r="D2568" s="4295"/>
      <c r="E2568" s="4295"/>
      <c r="F2568" s="4307" t="str">
        <f>$E$1658</f>
        <v>ASHP-SEER20-Replace_CAC_NonElectricHeat_ER2_SF</v>
      </c>
      <c r="G2568" s="4307"/>
      <c r="H2568" s="4307"/>
      <c r="I2568" s="4307"/>
      <c r="J2568" s="1029" t="str">
        <f>$C$1658</f>
        <v>353410_2024_12_</v>
      </c>
      <c r="K2568" s="916">
        <v>10.36212121212121</v>
      </c>
      <c r="L2568" s="972"/>
      <c r="M2568" s="1739" t="s">
        <v>1934</v>
      </c>
      <c r="P2568" s="261"/>
      <c r="Q2568" s="261"/>
      <c r="R2568" s="261"/>
      <c r="S2568" s="52"/>
      <c r="T2568" s="181"/>
      <c r="U2568" s="52"/>
      <c r="V2568" s="4288"/>
      <c r="W2568" s="1396"/>
      <c r="X2568" s="1396"/>
      <c r="Y2568" s="1396"/>
      <c r="Z2568" s="1396"/>
      <c r="AA2568" s="1396"/>
      <c r="AB2568" s="1396"/>
      <c r="AC2568" s="212">
        <f>AC2567</f>
        <v>11.1</v>
      </c>
      <c r="AD2568" s="969">
        <v>10.135555555555554</v>
      </c>
      <c r="AE2568" s="969">
        <v>10.36212121212121</v>
      </c>
      <c r="AF2568" s="271">
        <f t="shared" si="301"/>
        <v>10.36212121212121</v>
      </c>
      <c r="AG2568" s="1396"/>
      <c r="DG2568" s="573"/>
      <c r="DH2568" s="159"/>
      <c r="DI2568" s="1091"/>
      <c r="DJ2568" s="1187"/>
    </row>
    <row r="2569" spans="1:114" ht="15" hidden="1" customHeight="1" outlineLevel="1">
      <c r="A2569" s="453"/>
      <c r="C2569" s="51"/>
      <c r="D2569" s="4295"/>
      <c r="E2569" s="4295"/>
      <c r="F2569" s="4307" t="str">
        <f>$E$1660</f>
        <v>ASHP-SEER20-Replace_CAC_ElectricHeat_ROF_SF</v>
      </c>
      <c r="G2569" s="4307"/>
      <c r="H2569" s="4307"/>
      <c r="I2569" s="4307"/>
      <c r="J2569" s="1029" t="str">
        <f>$C$1660</f>
        <v>353450_2024_12_</v>
      </c>
      <c r="K2569" s="916">
        <v>10.403571428571428</v>
      </c>
      <c r="L2569" s="972"/>
      <c r="M2569" s="1739" t="s">
        <v>1937</v>
      </c>
      <c r="P2569" s="261"/>
      <c r="Q2569" s="261"/>
      <c r="R2569" s="261"/>
      <c r="S2569" s="52"/>
      <c r="T2569" s="181"/>
      <c r="U2569" s="52"/>
      <c r="V2569" s="4288"/>
      <c r="W2569" s="1396">
        <v>9.6999999999999993</v>
      </c>
      <c r="X2569" s="1396">
        <v>9.6999999999999993</v>
      </c>
      <c r="Y2569" s="1396">
        <v>9.6999999999999993</v>
      </c>
      <c r="Z2569" s="1396">
        <v>9.6999999999999993</v>
      </c>
      <c r="AA2569" s="1396">
        <v>9.6999999999999993</v>
      </c>
      <c r="AB2569" s="1396">
        <v>9.6999999999999993</v>
      </c>
      <c r="AC2569" s="212">
        <v>10.5</v>
      </c>
      <c r="AD2569" s="969">
        <v>10.403571428571428</v>
      </c>
      <c r="AE2569" s="970">
        <v>10.403571428571428</v>
      </c>
      <c r="AF2569" s="271">
        <f t="shared" si="301"/>
        <v>10.403571428571428</v>
      </c>
      <c r="AG2569" s="1396"/>
      <c r="DG2569" s="573"/>
      <c r="DH2569" s="159"/>
      <c r="DI2569" s="1091"/>
      <c r="DJ2569" s="1187"/>
    </row>
    <row r="2570" spans="1:114" ht="15" hidden="1" customHeight="1" outlineLevel="1">
      <c r="A2570" s="453"/>
      <c r="C2570" s="51"/>
      <c r="D2570" s="4295"/>
      <c r="E2570" s="4295"/>
      <c r="F2570" s="4307" t="str">
        <f>$E$1662</f>
        <v>ASHP-SEER20-Replace_CAC_NonElectricHeat_ROF_SF</v>
      </c>
      <c r="G2570" s="4307"/>
      <c r="H2570" s="4307"/>
      <c r="I2570" s="4307"/>
      <c r="J2570" s="1029" t="str">
        <f>$C$1662</f>
        <v>353460_2024_12_</v>
      </c>
      <c r="K2570" s="916">
        <v>10.403571428571428</v>
      </c>
      <c r="L2570" s="972"/>
      <c r="M2570" s="1739" t="s">
        <v>1945</v>
      </c>
      <c r="P2570" s="261"/>
      <c r="Q2570" s="261"/>
      <c r="R2570" s="261"/>
      <c r="S2570" s="52"/>
      <c r="T2570" s="181"/>
      <c r="U2570" s="52"/>
      <c r="V2570" s="4288"/>
      <c r="W2570" s="1396"/>
      <c r="X2570" s="833"/>
      <c r="Y2570" s="833"/>
      <c r="Z2570" s="1396"/>
      <c r="AA2570" s="1396"/>
      <c r="AB2570" s="212"/>
      <c r="AC2570" s="212"/>
      <c r="AD2570" s="969">
        <v>10.403571428571428</v>
      </c>
      <c r="AE2570" s="970">
        <v>10.403571428571428</v>
      </c>
      <c r="AF2570" s="271">
        <f t="shared" si="301"/>
        <v>10.403571428571428</v>
      </c>
      <c r="AG2570" s="1396"/>
      <c r="DG2570" s="573"/>
      <c r="DH2570" s="159"/>
      <c r="DI2570" s="1091"/>
      <c r="DJ2570" s="1187"/>
    </row>
    <row r="2571" spans="1:114" ht="15" hidden="1" customHeight="1" outlineLevel="1">
      <c r="A2571" s="453"/>
      <c r="C2571" s="51"/>
      <c r="D2571" s="4295"/>
      <c r="E2571" s="4295"/>
      <c r="F2571" s="4347" t="str">
        <f>$E$1664</f>
        <v>ASHP-SEER20-Replace_CAC_ElectricHeat_ROF_MF</v>
      </c>
      <c r="G2571" s="4347"/>
      <c r="H2571" s="4347"/>
      <c r="I2571" s="4347"/>
      <c r="J2571" s="3471" t="str">
        <f>$C$1664</f>
        <v>353500_2024_12_</v>
      </c>
      <c r="K2571" s="3485">
        <v>9.6999999999999993</v>
      </c>
      <c r="L2571" s="3480"/>
      <c r="M2571" s="3293" t="s">
        <v>2496</v>
      </c>
      <c r="P2571" s="261"/>
      <c r="Q2571" s="209"/>
      <c r="R2571" s="261"/>
      <c r="S2571" s="52"/>
      <c r="T2571" s="181"/>
      <c r="U2571" s="52"/>
      <c r="V2571" s="4288"/>
      <c r="W2571" s="3262">
        <v>9.6999999999999993</v>
      </c>
      <c r="X2571" s="3262">
        <v>9.6999999999999993</v>
      </c>
      <c r="Y2571" s="3262">
        <v>9.6999999999999993</v>
      </c>
      <c r="Z2571" s="3262">
        <v>9.6999999999999993</v>
      </c>
      <c r="AA2571" s="3262">
        <v>9.6999999999999993</v>
      </c>
      <c r="AB2571" s="3262">
        <v>9.6999999999999993</v>
      </c>
      <c r="AC2571" s="3286">
        <v>9.6999999999999993</v>
      </c>
      <c r="AD2571" s="3286">
        <v>9.6999999999999993</v>
      </c>
      <c r="AE2571" s="3486">
        <v>9.6999999999999993</v>
      </c>
      <c r="AF2571" s="2236">
        <f t="shared" si="301"/>
        <v>9.6999999999999993</v>
      </c>
      <c r="AG2571" s="1396"/>
      <c r="DG2571" s="573"/>
      <c r="DH2571" s="159"/>
      <c r="DI2571" s="1091"/>
      <c r="DJ2571" s="1187"/>
    </row>
    <row r="2572" spans="1:114" ht="15" hidden="1" customHeight="1" outlineLevel="1">
      <c r="A2572" s="453"/>
      <c r="C2572" s="51"/>
      <c r="D2572" s="4295"/>
      <c r="E2572" s="4295"/>
      <c r="F2572" s="4347" t="str">
        <f>$E$1666</f>
        <v>ASHP-SEER20-Replace_CAC_ElectricHeat_ROF_MF_CompE</v>
      </c>
      <c r="G2572" s="4347"/>
      <c r="H2572" s="4347"/>
      <c r="I2572" s="4347"/>
      <c r="J2572" s="3471" t="str">
        <f>$C$1666</f>
        <v>353501_2024_12_</v>
      </c>
      <c r="K2572" s="3485">
        <v>9.6999999999999993</v>
      </c>
      <c r="L2572" s="3480"/>
      <c r="M2572" s="3293" t="s">
        <v>1945</v>
      </c>
      <c r="P2572" s="261"/>
      <c r="Q2572" s="209"/>
      <c r="R2572" s="261"/>
      <c r="S2572" s="52"/>
      <c r="T2572" s="181"/>
      <c r="U2572" s="52"/>
      <c r="V2572" s="4288"/>
      <c r="W2572" s="3262"/>
      <c r="X2572" s="3262"/>
      <c r="Y2572" s="3265">
        <v>9.6999999999999993</v>
      </c>
      <c r="Z2572" s="3262">
        <v>9.6999999999999993</v>
      </c>
      <c r="AA2572" s="3262">
        <v>9.6999999999999993</v>
      </c>
      <c r="AB2572" s="3262">
        <v>9.6999999999999993</v>
      </c>
      <c r="AC2572" s="3286">
        <v>9.6999999999999993</v>
      </c>
      <c r="AD2572" s="3286">
        <v>9.6999999999999993</v>
      </c>
      <c r="AE2572" s="3486">
        <v>9.6999999999999993</v>
      </c>
      <c r="AF2572" s="2236">
        <f t="shared" si="301"/>
        <v>9.6999999999999993</v>
      </c>
      <c r="AG2572" s="1396"/>
      <c r="DG2572" s="573"/>
      <c r="DH2572" s="159"/>
      <c r="DI2572" s="1091"/>
      <c r="DJ2572" s="1187"/>
    </row>
    <row r="2573" spans="1:114" ht="15" hidden="1" customHeight="1" outlineLevel="1">
      <c r="A2573" s="453"/>
      <c r="C2573" s="51"/>
      <c r="D2573" s="4295"/>
      <c r="E2573" s="4295"/>
      <c r="F2573" s="4347" t="str">
        <f>$E$1668</f>
        <v>ASHP-SEER20-Replace_CAC_NonElectricHeat_ROF_MF</v>
      </c>
      <c r="G2573" s="4347"/>
      <c r="H2573" s="4347"/>
      <c r="I2573" s="4347"/>
      <c r="J2573" s="3471" t="str">
        <f>$C$1668</f>
        <v>353510_2024_12_</v>
      </c>
      <c r="K2573" s="3485">
        <v>9.6999999999999993</v>
      </c>
      <c r="L2573" s="3480"/>
      <c r="M2573" s="3293" t="s">
        <v>1945</v>
      </c>
      <c r="P2573" s="261"/>
      <c r="Q2573" s="209"/>
      <c r="R2573" s="261"/>
      <c r="S2573" s="52"/>
      <c r="T2573" s="181"/>
      <c r="U2573" s="52"/>
      <c r="V2573" s="4288"/>
      <c r="W2573" s="3262"/>
      <c r="X2573" s="3262"/>
      <c r="Y2573" s="3265"/>
      <c r="Z2573" s="3262"/>
      <c r="AA2573" s="3262"/>
      <c r="AB2573" s="3262"/>
      <c r="AC2573" s="3285">
        <v>9.6999999999999993</v>
      </c>
      <c r="AD2573" s="3286">
        <v>9.6999999999999993</v>
      </c>
      <c r="AE2573" s="3486">
        <v>9.6999999999999993</v>
      </c>
      <c r="AF2573" s="2236">
        <f t="shared" si="301"/>
        <v>9.6999999999999993</v>
      </c>
      <c r="AG2573" s="1396"/>
      <c r="DG2573" s="573"/>
      <c r="DH2573" s="159"/>
      <c r="DI2573" s="1091"/>
      <c r="DJ2573" s="1187"/>
    </row>
    <row r="2574" spans="1:114" ht="15" hidden="1" customHeight="1" outlineLevel="1">
      <c r="A2574" s="453"/>
      <c r="C2574" s="51"/>
      <c r="D2574" s="4295"/>
      <c r="E2574" s="4295"/>
      <c r="F2574" s="4347" t="str">
        <f>$E$1670</f>
        <v>ASHP-SEER20-Replace_CAC_NonElectricHeat_ROF_MF_CompE</v>
      </c>
      <c r="G2574" s="4347"/>
      <c r="H2574" s="4347"/>
      <c r="I2574" s="4347"/>
      <c r="J2574" s="3471" t="str">
        <f>$C$1670</f>
        <v>353511_2024_12_</v>
      </c>
      <c r="K2574" s="3485">
        <v>9.6999999999999993</v>
      </c>
      <c r="L2574" s="3480"/>
      <c r="M2574" s="3293" t="s">
        <v>1945</v>
      </c>
      <c r="P2574" s="261"/>
      <c r="Q2574" s="209"/>
      <c r="R2574" s="261"/>
      <c r="S2574" s="52"/>
      <c r="T2574" s="181"/>
      <c r="U2574" s="52"/>
      <c r="V2574" s="4288"/>
      <c r="W2574" s="3262"/>
      <c r="X2574" s="3262"/>
      <c r="Y2574" s="3265"/>
      <c r="Z2574" s="3262"/>
      <c r="AA2574" s="3262"/>
      <c r="AB2574" s="3262"/>
      <c r="AC2574" s="3285">
        <v>9.6999999999999993</v>
      </c>
      <c r="AD2574" s="3286">
        <v>9.6999999999999993</v>
      </c>
      <c r="AE2574" s="3486">
        <v>9.6999999999999993</v>
      </c>
      <c r="AF2574" s="2236">
        <f t="shared" si="301"/>
        <v>9.6999999999999993</v>
      </c>
      <c r="AG2574" s="1396"/>
      <c r="DG2574" s="573"/>
      <c r="DH2574" s="159"/>
      <c r="DI2574" s="1091"/>
      <c r="DJ2574" s="1187"/>
    </row>
    <row r="2575" spans="1:114" ht="15" hidden="1" customHeight="1" outlineLevel="1">
      <c r="A2575" s="453"/>
      <c r="C2575" s="51"/>
      <c r="D2575" s="4295"/>
      <c r="E2575" s="4295"/>
      <c r="F2575" s="4307" t="str">
        <f>$E$1672</f>
        <v>ASHP-SEER21-Replace_CAC_ElectricHeat_ER1_SF</v>
      </c>
      <c r="G2575" s="4307"/>
      <c r="H2575" s="4307"/>
      <c r="I2575" s="4307"/>
      <c r="J2575" s="1029" t="str">
        <f>$C$1672</f>
        <v>353550_2024_12_</v>
      </c>
      <c r="K2575" s="916">
        <v>10.753333333333332</v>
      </c>
      <c r="L2575" s="972"/>
      <c r="M2575" s="1739" t="s">
        <v>1934</v>
      </c>
      <c r="P2575" s="261"/>
      <c r="Q2575" s="209"/>
      <c r="R2575" s="261"/>
      <c r="S2575" s="52"/>
      <c r="T2575" s="181"/>
      <c r="U2575" s="52"/>
      <c r="V2575" s="4288"/>
      <c r="W2575" s="1396">
        <v>9.4</v>
      </c>
      <c r="X2575" s="1396">
        <v>9.4</v>
      </c>
      <c r="Y2575" s="1396">
        <v>9.4</v>
      </c>
      <c r="Z2575" s="1396">
        <v>9.4</v>
      </c>
      <c r="AA2575" s="1396">
        <v>9.4</v>
      </c>
      <c r="AB2575" s="1396">
        <v>9.4</v>
      </c>
      <c r="AC2575" s="212">
        <v>10.727272727272727</v>
      </c>
      <c r="AD2575" s="970">
        <v>10.727272727272727</v>
      </c>
      <c r="AE2575" s="969">
        <v>10.753333333333332</v>
      </c>
      <c r="AF2575" s="271">
        <f t="shared" si="301"/>
        <v>10.753333333333332</v>
      </c>
      <c r="AG2575" s="1396"/>
      <c r="DG2575" s="573"/>
      <c r="DH2575" s="159"/>
      <c r="DI2575" s="1091"/>
      <c r="DJ2575" s="1187"/>
    </row>
    <row r="2576" spans="1:114" ht="15" hidden="1" customHeight="1" outlineLevel="1">
      <c r="A2576" s="453"/>
      <c r="C2576" s="51"/>
      <c r="D2576" s="4295"/>
      <c r="E2576" s="4295"/>
      <c r="F2576" s="4307" t="str">
        <f>$E$1674</f>
        <v>ASHP-SEER21-Replace_CAC_ElectricHeat_ER2_SF</v>
      </c>
      <c r="G2576" s="4307"/>
      <c r="H2576" s="4307"/>
      <c r="I2576" s="4307"/>
      <c r="J2576" s="1029" t="str">
        <f>$C$1674</f>
        <v>353550_2024_12_</v>
      </c>
      <c r="K2576" s="916">
        <v>10.753333333333332</v>
      </c>
      <c r="L2576" s="972"/>
      <c r="M2576" s="1739" t="s">
        <v>1934</v>
      </c>
      <c r="P2576" s="261"/>
      <c r="Q2576" s="209"/>
      <c r="R2576" s="261"/>
      <c r="S2576" s="52"/>
      <c r="T2576" s="181"/>
      <c r="U2576" s="52"/>
      <c r="V2576" s="4288"/>
      <c r="W2576" s="1396">
        <v>9.4</v>
      </c>
      <c r="X2576" s="1396">
        <v>9.4</v>
      </c>
      <c r="Y2576" s="1396">
        <v>9.4</v>
      </c>
      <c r="Z2576" s="1396">
        <v>9.4</v>
      </c>
      <c r="AA2576" s="1396">
        <v>9.4</v>
      </c>
      <c r="AB2576" s="1396">
        <v>9.4</v>
      </c>
      <c r="AC2576" s="212">
        <f>AC2575</f>
        <v>10.727272727272727</v>
      </c>
      <c r="AD2576" s="970">
        <v>10.727272727272727</v>
      </c>
      <c r="AE2576" s="969">
        <v>10.753333333333332</v>
      </c>
      <c r="AF2576" s="271">
        <f t="shared" si="301"/>
        <v>10.753333333333332</v>
      </c>
      <c r="AG2576" s="1396"/>
      <c r="DG2576" s="573"/>
      <c r="DH2576" s="159"/>
      <c r="DI2576" s="1091"/>
      <c r="DJ2576" s="1187"/>
    </row>
    <row r="2577" spans="1:114" ht="15" hidden="1" customHeight="1" outlineLevel="1">
      <c r="A2577" s="453"/>
      <c r="C2577" s="51"/>
      <c r="D2577" s="4295"/>
      <c r="E2577" s="4295"/>
      <c r="F2577" s="4307" t="str">
        <f>$E$1676</f>
        <v>ASHP-SEER21-Replace_CAC_NonElectricHeat_ER1_SF</v>
      </c>
      <c r="G2577" s="4307"/>
      <c r="H2577" s="4307"/>
      <c r="I2577" s="4307"/>
      <c r="J2577" s="1029" t="str">
        <f>$C$1676</f>
        <v>353560_2024_12_</v>
      </c>
      <c r="K2577" s="916">
        <v>10.753333333333332</v>
      </c>
      <c r="L2577" s="972"/>
      <c r="M2577" s="1739" t="s">
        <v>1934</v>
      </c>
      <c r="P2577" s="261"/>
      <c r="Q2577" s="209"/>
      <c r="R2577" s="261"/>
      <c r="S2577" s="52"/>
      <c r="T2577" s="181"/>
      <c r="U2577" s="52"/>
      <c r="V2577" s="4288"/>
      <c r="W2577" s="1396"/>
      <c r="X2577" s="1396"/>
      <c r="Y2577" s="1396"/>
      <c r="Z2577" s="1396"/>
      <c r="AA2577" s="1396"/>
      <c r="AB2577" s="1396"/>
      <c r="AC2577" s="212">
        <v>10.727272727272727</v>
      </c>
      <c r="AD2577" s="970">
        <v>10.727272727272727</v>
      </c>
      <c r="AE2577" s="969">
        <v>10.753333333333332</v>
      </c>
      <c r="AF2577" s="271">
        <f t="shared" si="301"/>
        <v>10.753333333333332</v>
      </c>
      <c r="AG2577" s="1396"/>
      <c r="DG2577" s="573"/>
      <c r="DH2577" s="159"/>
      <c r="DI2577" s="1091"/>
      <c r="DJ2577" s="1187"/>
    </row>
    <row r="2578" spans="1:114" ht="15" hidden="1" customHeight="1" outlineLevel="1">
      <c r="A2578" s="453"/>
      <c r="C2578" s="51"/>
      <c r="D2578" s="4295"/>
      <c r="E2578" s="4295"/>
      <c r="F2578" s="4307" t="str">
        <f>$E$1678</f>
        <v>ASHP-SEER21-Replace_CAC_NonElectricHeat_ER2_SF</v>
      </c>
      <c r="G2578" s="4307"/>
      <c r="H2578" s="4307"/>
      <c r="I2578" s="4307"/>
      <c r="J2578" s="1029" t="str">
        <f>$C$1678</f>
        <v>353560_2024_12_</v>
      </c>
      <c r="K2578" s="916">
        <v>10.753333333333332</v>
      </c>
      <c r="L2578" s="972"/>
      <c r="M2578" s="1739" t="s">
        <v>1934</v>
      </c>
      <c r="P2578" s="261"/>
      <c r="Q2578" s="209"/>
      <c r="R2578" s="261"/>
      <c r="S2578" s="52"/>
      <c r="T2578" s="181"/>
      <c r="U2578" s="52"/>
      <c r="V2578" s="4288"/>
      <c r="W2578" s="1396"/>
      <c r="X2578" s="1396"/>
      <c r="Y2578" s="1396"/>
      <c r="Z2578" s="1396"/>
      <c r="AA2578" s="1396"/>
      <c r="AB2578" s="1396"/>
      <c r="AC2578" s="212">
        <f>AC2577</f>
        <v>10.727272727272727</v>
      </c>
      <c r="AD2578" s="970">
        <v>10.727272727272727</v>
      </c>
      <c r="AE2578" s="969">
        <v>10.753333333333332</v>
      </c>
      <c r="AF2578" s="271">
        <f t="shared" si="301"/>
        <v>10.753333333333332</v>
      </c>
      <c r="AG2578" s="1396"/>
      <c r="DG2578" s="573"/>
      <c r="DH2578" s="159"/>
      <c r="DI2578" s="1091"/>
      <c r="DJ2578" s="1187"/>
    </row>
    <row r="2579" spans="1:114" ht="15" hidden="1" customHeight="1" outlineLevel="1">
      <c r="A2579" s="453"/>
      <c r="C2579" s="51"/>
      <c r="D2579" s="4295"/>
      <c r="E2579" s="4295"/>
      <c r="F2579" s="4307" t="str">
        <f>$E$1680</f>
        <v>ASHP-SEER21-Replace_CAC_ElectricHeat_ER1_MF</v>
      </c>
      <c r="G2579" s="4307"/>
      <c r="H2579" s="4307"/>
      <c r="I2579" s="4307"/>
      <c r="J2579" s="1029" t="str">
        <f>$C$1680</f>
        <v>353600_2024_12_</v>
      </c>
      <c r="K2579" s="1755">
        <v>9.4</v>
      </c>
      <c r="L2579" s="972"/>
      <c r="M2579" s="1740" t="s">
        <v>2496</v>
      </c>
      <c r="P2579" s="261"/>
      <c r="Q2579" s="209"/>
      <c r="R2579" s="261"/>
      <c r="S2579" s="52"/>
      <c r="T2579" s="181"/>
      <c r="U2579" s="52"/>
      <c r="V2579" s="4288"/>
      <c r="W2579" s="1396">
        <v>9.4</v>
      </c>
      <c r="X2579" s="1396">
        <v>9.4</v>
      </c>
      <c r="Y2579" s="1396">
        <v>9.4</v>
      </c>
      <c r="Z2579" s="1396">
        <v>9.4</v>
      </c>
      <c r="AA2579" s="1396">
        <v>9.4</v>
      </c>
      <c r="AB2579" s="1396">
        <v>9.4</v>
      </c>
      <c r="AC2579" s="211">
        <v>9.4</v>
      </c>
      <c r="AD2579" s="211">
        <v>9.4</v>
      </c>
      <c r="AE2579" s="971">
        <v>9.4</v>
      </c>
      <c r="AF2579" s="271">
        <f t="shared" si="301"/>
        <v>9.4</v>
      </c>
      <c r="AG2579" s="1396"/>
      <c r="DG2579" s="573"/>
      <c r="DH2579" s="159"/>
      <c r="DI2579" s="1091"/>
      <c r="DJ2579" s="1187"/>
    </row>
    <row r="2580" spans="1:114" ht="15" hidden="1" customHeight="1" outlineLevel="1">
      <c r="A2580" s="453"/>
      <c r="C2580" s="51"/>
      <c r="D2580" s="4295"/>
      <c r="E2580" s="4295"/>
      <c r="F2580" s="4307" t="str">
        <f>$E$1682</f>
        <v>ASHP-SEER21-Replace_CAC_ElectricHeat_ER2_MF</v>
      </c>
      <c r="G2580" s="4307"/>
      <c r="H2580" s="4307"/>
      <c r="I2580" s="4307"/>
      <c r="J2580" s="1029" t="str">
        <f>$C$1682</f>
        <v>353600_2024_12_</v>
      </c>
      <c r="K2580" s="1755">
        <v>9.4</v>
      </c>
      <c r="L2580" s="972"/>
      <c r="M2580" s="1740" t="s">
        <v>2496</v>
      </c>
      <c r="P2580" s="261"/>
      <c r="Q2580" s="209"/>
      <c r="R2580" s="261"/>
      <c r="S2580" s="52"/>
      <c r="T2580" s="181"/>
      <c r="U2580" s="52"/>
      <c r="V2580" s="4288"/>
      <c r="W2580" s="1396">
        <v>9.4</v>
      </c>
      <c r="X2580" s="1396">
        <v>9.4</v>
      </c>
      <c r="Y2580" s="1396">
        <v>9.4</v>
      </c>
      <c r="Z2580" s="1396">
        <v>9.4</v>
      </c>
      <c r="AA2580" s="1396">
        <v>9.4</v>
      </c>
      <c r="AB2580" s="1396">
        <v>9.4</v>
      </c>
      <c r="AC2580" s="211">
        <v>9.4</v>
      </c>
      <c r="AD2580" s="211">
        <v>9.4</v>
      </c>
      <c r="AE2580" s="971">
        <v>9.4</v>
      </c>
      <c r="AF2580" s="271">
        <f t="shared" si="301"/>
        <v>9.4</v>
      </c>
      <c r="AG2580" s="1396"/>
      <c r="DG2580" s="573"/>
      <c r="DH2580" s="159"/>
      <c r="DI2580" s="1091"/>
      <c r="DJ2580" s="1187"/>
    </row>
    <row r="2581" spans="1:114" ht="15" hidden="1" customHeight="1" outlineLevel="1">
      <c r="A2581" s="453"/>
      <c r="C2581" s="51"/>
      <c r="D2581" s="4295"/>
      <c r="E2581" s="4295"/>
      <c r="F2581" s="4347" t="str">
        <f>$E$1684</f>
        <v>ASHP-SEER21-Replace_CAC_ElectricHeat_ER1_MF_CompE</v>
      </c>
      <c r="G2581" s="4347"/>
      <c r="H2581" s="4347"/>
      <c r="I2581" s="4347"/>
      <c r="J2581" s="3471" t="str">
        <f>$C$1684</f>
        <v>353601_2024_12_</v>
      </c>
      <c r="K2581" s="3485">
        <v>9.4</v>
      </c>
      <c r="L2581" s="3480"/>
      <c r="M2581" s="3293" t="s">
        <v>1945</v>
      </c>
      <c r="P2581" s="261"/>
      <c r="Q2581" s="209"/>
      <c r="R2581" s="261"/>
      <c r="S2581" s="52"/>
      <c r="T2581" s="181"/>
      <c r="U2581" s="52"/>
      <c r="V2581" s="4288"/>
      <c r="W2581" s="3262"/>
      <c r="X2581" s="3262"/>
      <c r="Y2581" s="3265">
        <v>9.4</v>
      </c>
      <c r="Z2581" s="3262">
        <v>9.4</v>
      </c>
      <c r="AA2581" s="3262">
        <v>9.4</v>
      </c>
      <c r="AB2581" s="3262">
        <v>9.4</v>
      </c>
      <c r="AC2581" s="3286">
        <v>9.4</v>
      </c>
      <c r="AD2581" s="3286">
        <v>9.4</v>
      </c>
      <c r="AE2581" s="3486">
        <v>9.4</v>
      </c>
      <c r="AF2581" s="2236">
        <f t="shared" si="301"/>
        <v>9.4</v>
      </c>
      <c r="AG2581" s="1396"/>
      <c r="DG2581" s="573"/>
      <c r="DH2581" s="159"/>
      <c r="DI2581" s="1091"/>
      <c r="DJ2581" s="1187"/>
    </row>
    <row r="2582" spans="1:114" ht="15" hidden="1" customHeight="1" outlineLevel="1">
      <c r="A2582" s="453"/>
      <c r="C2582" s="51"/>
      <c r="D2582" s="4295"/>
      <c r="E2582" s="4295"/>
      <c r="F2582" s="4347" t="str">
        <f>$E$1686</f>
        <v>ASHP-SEER21-Replace_CAC_ElectricHeat_ER2_MF_CompE</v>
      </c>
      <c r="G2582" s="4347"/>
      <c r="H2582" s="4347"/>
      <c r="I2582" s="4347"/>
      <c r="J2582" s="3471" t="str">
        <f>$C$1686</f>
        <v>353601_2024_12_</v>
      </c>
      <c r="K2582" s="3485">
        <v>9.4</v>
      </c>
      <c r="L2582" s="3480"/>
      <c r="M2582" s="3293" t="s">
        <v>1945</v>
      </c>
      <c r="P2582" s="261"/>
      <c r="Q2582" s="209"/>
      <c r="R2582" s="261"/>
      <c r="S2582" s="52"/>
      <c r="T2582" s="181"/>
      <c r="U2582" s="52"/>
      <c r="V2582" s="4288"/>
      <c r="W2582" s="3262"/>
      <c r="X2582" s="3262"/>
      <c r="Y2582" s="3265">
        <v>9.4</v>
      </c>
      <c r="Z2582" s="3262">
        <v>9.4</v>
      </c>
      <c r="AA2582" s="3262">
        <v>9.4</v>
      </c>
      <c r="AB2582" s="3262">
        <v>9.4</v>
      </c>
      <c r="AC2582" s="3286">
        <v>9.4</v>
      </c>
      <c r="AD2582" s="3286">
        <v>9.4</v>
      </c>
      <c r="AE2582" s="3486">
        <v>9.4</v>
      </c>
      <c r="AF2582" s="2236">
        <f t="shared" si="301"/>
        <v>9.4</v>
      </c>
      <c r="AG2582" s="1396"/>
      <c r="DG2582" s="573"/>
      <c r="DH2582" s="159"/>
      <c r="DI2582" s="1091"/>
      <c r="DJ2582" s="1187"/>
    </row>
    <row r="2583" spans="1:114" ht="15" hidden="1" customHeight="1" outlineLevel="1">
      <c r="A2583" s="453"/>
      <c r="C2583" s="51"/>
      <c r="D2583" s="4295"/>
      <c r="E2583" s="4295"/>
      <c r="F2583" s="4347" t="str">
        <f>$E$1688</f>
        <v>ASHP-SEER21-Replace_CAC_NonElectricHeat_ER1_MF</v>
      </c>
      <c r="G2583" s="4347"/>
      <c r="H2583" s="4347"/>
      <c r="I2583" s="4347"/>
      <c r="J2583" s="3471" t="str">
        <f>$C$1688</f>
        <v>353610_2024_12_</v>
      </c>
      <c r="K2583" s="3485">
        <v>9.4</v>
      </c>
      <c r="L2583" s="3480"/>
      <c r="M2583" s="3293" t="s">
        <v>1945</v>
      </c>
      <c r="P2583" s="261"/>
      <c r="Q2583" s="209"/>
      <c r="R2583" s="261"/>
      <c r="S2583" s="52"/>
      <c r="T2583" s="181"/>
      <c r="U2583" s="52"/>
      <c r="V2583" s="4288"/>
      <c r="W2583" s="3262"/>
      <c r="X2583" s="3262"/>
      <c r="Y2583" s="3265"/>
      <c r="Z2583" s="3262"/>
      <c r="AA2583" s="3262"/>
      <c r="AB2583" s="3262"/>
      <c r="AC2583" s="3285">
        <v>9.4</v>
      </c>
      <c r="AD2583" s="3286">
        <v>9.4</v>
      </c>
      <c r="AE2583" s="3486">
        <v>9.4</v>
      </c>
      <c r="AF2583" s="2236">
        <f t="shared" si="301"/>
        <v>9.4</v>
      </c>
      <c r="AG2583" s="1396"/>
      <c r="DG2583" s="573"/>
      <c r="DH2583" s="159"/>
      <c r="DI2583" s="1091"/>
      <c r="DJ2583" s="1187"/>
    </row>
    <row r="2584" spans="1:114" ht="15" hidden="1" customHeight="1" outlineLevel="1">
      <c r="A2584" s="453"/>
      <c r="C2584" s="51"/>
      <c r="D2584" s="4295"/>
      <c r="E2584" s="4295"/>
      <c r="F2584" s="4347" t="str">
        <f>$E$1690</f>
        <v>ASHP-SEER21-Replace_CAC_NonElectricHeat_ER2_MF</v>
      </c>
      <c r="G2584" s="4347"/>
      <c r="H2584" s="4347"/>
      <c r="I2584" s="4347"/>
      <c r="J2584" s="3471" t="str">
        <f>$C$1690</f>
        <v>353610_2024_12_</v>
      </c>
      <c r="K2584" s="3485">
        <v>9.4</v>
      </c>
      <c r="L2584" s="3480"/>
      <c r="M2584" s="3293" t="s">
        <v>1945</v>
      </c>
      <c r="P2584" s="261"/>
      <c r="Q2584" s="209"/>
      <c r="R2584" s="261"/>
      <c r="S2584" s="52"/>
      <c r="T2584" s="181"/>
      <c r="U2584" s="52"/>
      <c r="V2584" s="4288"/>
      <c r="W2584" s="3262"/>
      <c r="X2584" s="3262"/>
      <c r="Y2584" s="3265"/>
      <c r="Z2584" s="3262"/>
      <c r="AA2584" s="3262"/>
      <c r="AB2584" s="3262"/>
      <c r="AC2584" s="3285">
        <v>9.4</v>
      </c>
      <c r="AD2584" s="3286">
        <v>9.4</v>
      </c>
      <c r="AE2584" s="3486">
        <v>9.4</v>
      </c>
      <c r="AF2584" s="2236">
        <f t="shared" si="301"/>
        <v>9.4</v>
      </c>
      <c r="AG2584" s="1396"/>
      <c r="DG2584" s="573"/>
      <c r="DH2584" s="159"/>
      <c r="DI2584" s="1091"/>
      <c r="DJ2584" s="1187"/>
    </row>
    <row r="2585" spans="1:114" ht="15" hidden="1" customHeight="1" outlineLevel="1">
      <c r="A2585" s="453"/>
      <c r="C2585" s="51"/>
      <c r="D2585" s="4295"/>
      <c r="E2585" s="4295"/>
      <c r="F2585" s="4347" t="str">
        <f>$E$1692</f>
        <v>ASHP-SEER21-Replace_CAC_NonElectricHeat_ER1_MF_CompE</v>
      </c>
      <c r="G2585" s="4347"/>
      <c r="H2585" s="4347"/>
      <c r="I2585" s="4347"/>
      <c r="J2585" s="3471" t="str">
        <f>$C$1692</f>
        <v>353611_2024_12_</v>
      </c>
      <c r="K2585" s="3485">
        <v>9.4</v>
      </c>
      <c r="L2585" s="3480"/>
      <c r="M2585" s="3293" t="s">
        <v>1945</v>
      </c>
      <c r="P2585" s="261"/>
      <c r="Q2585" s="209"/>
      <c r="R2585" s="261"/>
      <c r="S2585" s="52"/>
      <c r="T2585" s="181"/>
      <c r="U2585" s="52"/>
      <c r="V2585" s="4288"/>
      <c r="W2585" s="3262"/>
      <c r="X2585" s="3262"/>
      <c r="Y2585" s="3265"/>
      <c r="Z2585" s="3262"/>
      <c r="AA2585" s="3262"/>
      <c r="AB2585" s="3262"/>
      <c r="AC2585" s="3285">
        <v>9.4</v>
      </c>
      <c r="AD2585" s="3286">
        <v>9.4</v>
      </c>
      <c r="AE2585" s="3486">
        <v>9.4</v>
      </c>
      <c r="AF2585" s="2236">
        <f t="shared" si="301"/>
        <v>9.4</v>
      </c>
      <c r="AG2585" s="1396"/>
      <c r="DG2585" s="573"/>
      <c r="DH2585" s="159"/>
      <c r="DI2585" s="1091"/>
      <c r="DJ2585" s="1187"/>
    </row>
    <row r="2586" spans="1:114" ht="15" hidden="1" customHeight="1" outlineLevel="1">
      <c r="A2586" s="453"/>
      <c r="C2586" s="51"/>
      <c r="D2586" s="4295"/>
      <c r="E2586" s="4295"/>
      <c r="F2586" s="4347" t="str">
        <f>$E$1694</f>
        <v>ASHP-SEER21-Replace_CAC_NonElectricHeat_ER2_MF_CompE</v>
      </c>
      <c r="G2586" s="4347"/>
      <c r="H2586" s="4347"/>
      <c r="I2586" s="4347"/>
      <c r="J2586" s="3471" t="str">
        <f>$C$1694</f>
        <v>353611_2024_12_</v>
      </c>
      <c r="K2586" s="3485">
        <v>9.4</v>
      </c>
      <c r="L2586" s="3480"/>
      <c r="M2586" s="3293" t="s">
        <v>1945</v>
      </c>
      <c r="P2586" s="261"/>
      <c r="Q2586" s="209"/>
      <c r="R2586" s="261"/>
      <c r="S2586" s="52"/>
      <c r="T2586" s="181"/>
      <c r="U2586" s="52"/>
      <c r="V2586" s="4288"/>
      <c r="W2586" s="3262"/>
      <c r="X2586" s="3262"/>
      <c r="Y2586" s="3265"/>
      <c r="Z2586" s="3262"/>
      <c r="AA2586" s="3262"/>
      <c r="AB2586" s="3262"/>
      <c r="AC2586" s="3285">
        <v>9.4</v>
      </c>
      <c r="AD2586" s="3286">
        <v>9.4</v>
      </c>
      <c r="AE2586" s="3486">
        <v>9.4</v>
      </c>
      <c r="AF2586" s="2236">
        <f t="shared" si="301"/>
        <v>9.4</v>
      </c>
      <c r="AG2586" s="1396"/>
      <c r="DG2586" s="573"/>
      <c r="DH2586" s="159"/>
      <c r="DI2586" s="1091"/>
      <c r="DJ2586" s="1187"/>
    </row>
    <row r="2587" spans="1:114" ht="15" hidden="1" customHeight="1" outlineLevel="1">
      <c r="A2587" s="453"/>
      <c r="C2587" s="51"/>
      <c r="D2587" s="4295"/>
      <c r="E2587" s="4295"/>
      <c r="F2587" s="4307" t="str">
        <f>$E$1696</f>
        <v>ASHP-SEER21-Replace_CAC_ElectricHeat_ROF_SF</v>
      </c>
      <c r="G2587" s="4307"/>
      <c r="H2587" s="4307"/>
      <c r="I2587" s="4307"/>
      <c r="J2587" s="1029" t="str">
        <f>$C$1696</f>
        <v>353650_2024_12_</v>
      </c>
      <c r="K2587" s="916">
        <v>10.609090909090909</v>
      </c>
      <c r="L2587" s="972"/>
      <c r="M2587" s="1739" t="s">
        <v>1934</v>
      </c>
      <c r="P2587" s="261"/>
      <c r="Q2587" s="209"/>
      <c r="R2587" s="261"/>
      <c r="S2587" s="52"/>
      <c r="T2587" s="181"/>
      <c r="U2587" s="52"/>
      <c r="V2587" s="4288"/>
      <c r="W2587" s="1396">
        <v>9.6999999999999993</v>
      </c>
      <c r="X2587" s="1396">
        <v>9.6999999999999993</v>
      </c>
      <c r="Y2587" s="1396">
        <v>9.6999999999999993</v>
      </c>
      <c r="Z2587" s="1396">
        <v>9.6999999999999993</v>
      </c>
      <c r="AA2587" s="1396">
        <v>9.6999999999999993</v>
      </c>
      <c r="AB2587" s="1396">
        <v>9.6999999999999993</v>
      </c>
      <c r="AC2587" s="212">
        <v>10.5</v>
      </c>
      <c r="AD2587" s="969">
        <v>11</v>
      </c>
      <c r="AE2587" s="969">
        <v>10.609090909090909</v>
      </c>
      <c r="AF2587" s="271">
        <f t="shared" si="301"/>
        <v>10.609090909090909</v>
      </c>
      <c r="AG2587" s="1396"/>
      <c r="DG2587" s="573"/>
      <c r="DH2587" s="159"/>
      <c r="DI2587" s="1091"/>
      <c r="DJ2587" s="1187"/>
    </row>
    <row r="2588" spans="1:114" ht="15" hidden="1" customHeight="1" outlineLevel="1">
      <c r="A2588" s="453"/>
      <c r="C2588" s="51"/>
      <c r="D2588" s="4295"/>
      <c r="E2588" s="4295"/>
      <c r="F2588" s="4307" t="str">
        <f>$E$1698</f>
        <v>ASHP-SEER21-Replace_CAC_NonElectricHeat_ROF_SF</v>
      </c>
      <c r="G2588" s="4307"/>
      <c r="H2588" s="4307"/>
      <c r="I2588" s="4307"/>
      <c r="J2588" s="1029" t="str">
        <f>$C$1698</f>
        <v>353660_2024_12_</v>
      </c>
      <c r="K2588" s="916">
        <v>10.609090909090909</v>
      </c>
      <c r="L2588" s="972"/>
      <c r="M2588" s="1739" t="s">
        <v>1934</v>
      </c>
      <c r="P2588" s="261"/>
      <c r="Q2588" s="209"/>
      <c r="R2588" s="261"/>
      <c r="S2588" s="52"/>
      <c r="T2588" s="181"/>
      <c r="U2588" s="52"/>
      <c r="V2588" s="4288"/>
      <c r="W2588" s="1396"/>
      <c r="X2588" s="833"/>
      <c r="Y2588" s="833"/>
      <c r="Z2588" s="1396"/>
      <c r="AA2588" s="1396"/>
      <c r="AB2588" s="212"/>
      <c r="AC2588" s="212"/>
      <c r="AD2588" s="969">
        <v>11</v>
      </c>
      <c r="AE2588" s="969">
        <v>10.609090909090909</v>
      </c>
      <c r="AF2588" s="271">
        <f t="shared" si="301"/>
        <v>10.609090909090909</v>
      </c>
      <c r="AG2588" s="1396"/>
      <c r="DG2588" s="573"/>
      <c r="DH2588" s="159"/>
      <c r="DI2588" s="1091"/>
      <c r="DJ2588" s="1187"/>
    </row>
    <row r="2589" spans="1:114" ht="15" hidden="1" customHeight="1" outlineLevel="1">
      <c r="A2589" s="453"/>
      <c r="C2589" s="51"/>
      <c r="D2589" s="4295"/>
      <c r="E2589" s="4295"/>
      <c r="F2589" s="4347" t="str">
        <f>$E$1700</f>
        <v>ASHP-SEER21+-Replace_CAC_ElectricHeat_ROF_MF</v>
      </c>
      <c r="G2589" s="4347"/>
      <c r="H2589" s="4347"/>
      <c r="I2589" s="4347"/>
      <c r="J2589" s="3471" t="str">
        <f>$C$1700</f>
        <v>353700_2024_12_</v>
      </c>
      <c r="K2589" s="3485">
        <v>9.6999999999999993</v>
      </c>
      <c r="L2589" s="3480"/>
      <c r="M2589" s="3293" t="s">
        <v>2496</v>
      </c>
      <c r="S2589" s="52"/>
      <c r="T2589" s="52"/>
      <c r="U2589" s="52"/>
      <c r="V2589" s="4288"/>
      <c r="W2589" s="3262">
        <v>9.6999999999999993</v>
      </c>
      <c r="X2589" s="3262">
        <v>9.6999999999999993</v>
      </c>
      <c r="Y2589" s="3262">
        <v>9.6999999999999993</v>
      </c>
      <c r="Z2589" s="3262">
        <v>9.6999999999999993</v>
      </c>
      <c r="AA2589" s="3262">
        <v>9.6999999999999993</v>
      </c>
      <c r="AB2589" s="3262">
        <v>9.6999999999999993</v>
      </c>
      <c r="AC2589" s="3286">
        <v>9.6999999999999993</v>
      </c>
      <c r="AD2589" s="3286">
        <v>9.6999999999999993</v>
      </c>
      <c r="AE2589" s="3486">
        <v>9.6999999999999993</v>
      </c>
      <c r="AF2589" s="2236">
        <f t="shared" si="301"/>
        <v>9.6999999999999993</v>
      </c>
      <c r="AG2589" s="1396"/>
      <c r="DG2589" s="573"/>
      <c r="DH2589" s="159"/>
      <c r="DI2589" s="1091"/>
      <c r="DJ2589" s="1187"/>
    </row>
    <row r="2590" spans="1:114" ht="15" hidden="1" customHeight="1" outlineLevel="1">
      <c r="A2590" s="453"/>
      <c r="C2590" s="51"/>
      <c r="D2590" s="4295"/>
      <c r="E2590" s="4295"/>
      <c r="F2590" s="4347" t="str">
        <f>$E$1702</f>
        <v>ASHP-SEER21+-Replace_CAC_ElectricHeat_ROF_MF_CompE</v>
      </c>
      <c r="G2590" s="4347"/>
      <c r="H2590" s="4347"/>
      <c r="I2590" s="4347"/>
      <c r="J2590" s="3471" t="str">
        <f>$C$1702</f>
        <v>353701_2024_12_</v>
      </c>
      <c r="K2590" s="3485">
        <v>9.6999999999999993</v>
      </c>
      <c r="L2590" s="3480"/>
      <c r="M2590" s="3293" t="s">
        <v>1945</v>
      </c>
      <c r="S2590" s="52"/>
      <c r="T2590" s="52"/>
      <c r="U2590" s="52"/>
      <c r="V2590" s="4288"/>
      <c r="W2590" s="3262"/>
      <c r="X2590" s="3262"/>
      <c r="Y2590" s="3265">
        <v>9.6999999999999993</v>
      </c>
      <c r="Z2590" s="3262">
        <v>9.6999999999999993</v>
      </c>
      <c r="AA2590" s="3262">
        <v>9.6999999999999993</v>
      </c>
      <c r="AB2590" s="3262">
        <v>9.6999999999999993</v>
      </c>
      <c r="AC2590" s="3286">
        <v>9.6999999999999993</v>
      </c>
      <c r="AD2590" s="3286">
        <v>9.6999999999999993</v>
      </c>
      <c r="AE2590" s="3486">
        <v>9.6999999999999993</v>
      </c>
      <c r="AF2590" s="2236">
        <f t="shared" si="301"/>
        <v>9.6999999999999993</v>
      </c>
      <c r="AG2590" s="1396"/>
      <c r="DG2590" s="573"/>
      <c r="DH2590" s="159"/>
      <c r="DI2590" s="1091"/>
      <c r="DJ2590" s="1187"/>
    </row>
    <row r="2591" spans="1:114" ht="15" hidden="1" customHeight="1" outlineLevel="1">
      <c r="A2591" s="453"/>
      <c r="C2591" s="51"/>
      <c r="D2591" s="4295"/>
      <c r="E2591" s="4295"/>
      <c r="F2591" s="4347" t="str">
        <f>$E$1704</f>
        <v>ASHP-SEER21+-Replace_CAC_NonElectricHeat_ROF_MF</v>
      </c>
      <c r="G2591" s="4347"/>
      <c r="H2591" s="4347"/>
      <c r="I2591" s="4347"/>
      <c r="J2591" s="3471" t="str">
        <f>$C$1704</f>
        <v>353710_2024_12_</v>
      </c>
      <c r="K2591" s="3485">
        <v>9.6999999999999993</v>
      </c>
      <c r="L2591" s="3480"/>
      <c r="M2591" s="3293" t="s">
        <v>1945</v>
      </c>
      <c r="S2591" s="52"/>
      <c r="T2591" s="52"/>
      <c r="U2591" s="52"/>
      <c r="V2591" s="4288"/>
      <c r="W2591" s="3262"/>
      <c r="X2591" s="3262"/>
      <c r="Y2591" s="3265"/>
      <c r="Z2591" s="3262"/>
      <c r="AA2591" s="3262"/>
      <c r="AB2591" s="3262"/>
      <c r="AC2591" s="3285">
        <v>9.6999999999999993</v>
      </c>
      <c r="AD2591" s="3286">
        <v>9.6999999999999993</v>
      </c>
      <c r="AE2591" s="3486">
        <v>9.6999999999999993</v>
      </c>
      <c r="AF2591" s="2236">
        <f t="shared" si="301"/>
        <v>9.6999999999999993</v>
      </c>
      <c r="AG2591" s="1396"/>
      <c r="DG2591" s="573"/>
      <c r="DH2591" s="159"/>
      <c r="DI2591" s="1091"/>
      <c r="DJ2591" s="1187"/>
    </row>
    <row r="2592" spans="1:114" ht="15" hidden="1" customHeight="1" outlineLevel="1">
      <c r="A2592" s="453"/>
      <c r="C2592" s="51"/>
      <c r="D2592" s="4295"/>
      <c r="E2592" s="4295"/>
      <c r="F2592" s="4347" t="str">
        <f>$E$1706</f>
        <v>ASHP-SEER21+-Replace_CAC_NonElectricHeat_ROF_MF_CompE</v>
      </c>
      <c r="G2592" s="4347"/>
      <c r="H2592" s="4347"/>
      <c r="I2592" s="4347"/>
      <c r="J2592" s="3471" t="str">
        <f>$C$1706</f>
        <v>353711_2024_12_</v>
      </c>
      <c r="K2592" s="3485">
        <v>9.6999999999999993</v>
      </c>
      <c r="L2592" s="3480"/>
      <c r="M2592" s="3293" t="s">
        <v>1945</v>
      </c>
      <c r="S2592" s="52"/>
      <c r="T2592" s="52"/>
      <c r="U2592" s="52"/>
      <c r="V2592" s="4288"/>
      <c r="W2592" s="3262"/>
      <c r="X2592" s="3262"/>
      <c r="Y2592" s="3265"/>
      <c r="Z2592" s="3262"/>
      <c r="AA2592" s="3262"/>
      <c r="AB2592" s="3262"/>
      <c r="AC2592" s="3285">
        <v>9.6999999999999993</v>
      </c>
      <c r="AD2592" s="3286">
        <v>9.6999999999999993</v>
      </c>
      <c r="AE2592" s="3486">
        <v>9.6999999999999993</v>
      </c>
      <c r="AF2592" s="2236">
        <f t="shared" si="301"/>
        <v>9.6999999999999993</v>
      </c>
      <c r="AG2592" s="1396"/>
      <c r="DG2592" s="573"/>
      <c r="DH2592" s="159"/>
      <c r="DI2592" s="1091"/>
      <c r="DJ2592" s="1187"/>
    </row>
    <row r="2593" spans="1:114" ht="15" hidden="1" customHeight="1" outlineLevel="1">
      <c r="A2593" s="453"/>
      <c r="C2593" s="51"/>
      <c r="D2593" s="4295"/>
      <c r="E2593" s="4295"/>
      <c r="F2593" s="4307" t="str">
        <f>$E$1708</f>
        <v>ASHP-SEER17_ER1_SF</v>
      </c>
      <c r="G2593" s="4307"/>
      <c r="H2593" s="4307"/>
      <c r="I2593" s="4307"/>
      <c r="J2593" s="1029" t="str">
        <f>$C$1708</f>
        <v>353750_2024_12_</v>
      </c>
      <c r="K2593" s="916">
        <v>9.4688524590163912</v>
      </c>
      <c r="L2593" s="972"/>
      <c r="M2593" s="1739" t="s">
        <v>1934</v>
      </c>
      <c r="P2593" s="261"/>
      <c r="Q2593" s="209"/>
      <c r="R2593" s="261"/>
      <c r="S2593" s="52"/>
      <c r="T2593" s="181"/>
      <c r="U2593" s="52"/>
      <c r="V2593" s="4288"/>
      <c r="W2593" s="1396">
        <v>9.5</v>
      </c>
      <c r="X2593" s="1396">
        <v>9.5</v>
      </c>
      <c r="Y2593" s="1396">
        <v>9.5</v>
      </c>
      <c r="Z2593" s="1396">
        <v>9.5</v>
      </c>
      <c r="AA2593" s="1396">
        <v>9.5</v>
      </c>
      <c r="AB2593" s="1396">
        <v>9.5</v>
      </c>
      <c r="AC2593" s="212">
        <v>9.3857142857142861</v>
      </c>
      <c r="AD2593" s="969">
        <v>9.4631147540983651</v>
      </c>
      <c r="AE2593" s="969">
        <v>9.4688524590163912</v>
      </c>
      <c r="AF2593" s="271">
        <f t="shared" si="301"/>
        <v>9.4688524590163912</v>
      </c>
      <c r="AG2593" s="1396"/>
      <c r="DG2593" s="573"/>
      <c r="DH2593" s="159"/>
      <c r="DI2593" s="1091"/>
      <c r="DJ2593" s="1187"/>
    </row>
    <row r="2594" spans="1:114" ht="15" hidden="1" customHeight="1" outlineLevel="1">
      <c r="A2594" s="453"/>
      <c r="C2594" s="51"/>
      <c r="D2594" s="4295"/>
      <c r="E2594" s="4295"/>
      <c r="F2594" s="4307" t="str">
        <f>$E$1710</f>
        <v>ASHP-SEER17_ER2_SF</v>
      </c>
      <c r="G2594" s="4307"/>
      <c r="H2594" s="4307"/>
      <c r="I2594" s="4307"/>
      <c r="J2594" s="1029" t="str">
        <f>$C$1710</f>
        <v>353750_2024_12_</v>
      </c>
      <c r="K2594" s="916">
        <v>9.4688524590163912</v>
      </c>
      <c r="L2594" s="972"/>
      <c r="M2594" s="1739" t="s">
        <v>1934</v>
      </c>
      <c r="S2594" s="52"/>
      <c r="T2594" s="52"/>
      <c r="U2594" s="52"/>
      <c r="V2594" s="4288"/>
      <c r="W2594" s="1396">
        <v>9.5</v>
      </c>
      <c r="X2594" s="1396">
        <v>9.5</v>
      </c>
      <c r="Y2594" s="1396">
        <v>9.5</v>
      </c>
      <c r="Z2594" s="1396">
        <v>9.5</v>
      </c>
      <c r="AA2594" s="1396">
        <v>9.5</v>
      </c>
      <c r="AB2594" s="1396">
        <v>9.5</v>
      </c>
      <c r="AC2594" s="212">
        <f>AC2593</f>
        <v>9.3857142857142861</v>
      </c>
      <c r="AD2594" s="969">
        <v>9.4631147540983651</v>
      </c>
      <c r="AE2594" s="969">
        <v>9.4688524590163912</v>
      </c>
      <c r="AF2594" s="271">
        <f t="shared" si="301"/>
        <v>9.4688524590163912</v>
      </c>
      <c r="AG2594" s="1396"/>
      <c r="DG2594" s="573"/>
      <c r="DH2594" s="159"/>
      <c r="DI2594" s="1091"/>
      <c r="DJ2594" s="1187"/>
    </row>
    <row r="2595" spans="1:114" ht="15" hidden="1" customHeight="1" outlineLevel="1">
      <c r="A2595" s="453"/>
      <c r="C2595" s="51"/>
      <c r="D2595" s="4295"/>
      <c r="E2595" s="4295"/>
      <c r="F2595" s="4307" t="str">
        <f>$E$1712</f>
        <v>ASHP-SEER17_ROF_SF</v>
      </c>
      <c r="G2595" s="4307"/>
      <c r="H2595" s="4307"/>
      <c r="I2595" s="4307"/>
      <c r="J2595" s="1029" t="str">
        <f>$C$1712</f>
        <v>353800_2024_12_</v>
      </c>
      <c r="K2595" s="916">
        <v>9.4296296296296287</v>
      </c>
      <c r="L2595" s="972"/>
      <c r="M2595" s="1739" t="s">
        <v>1934</v>
      </c>
      <c r="P2595" s="261"/>
      <c r="Q2595" s="209"/>
      <c r="R2595" s="261"/>
      <c r="S2595" s="52"/>
      <c r="T2595" s="181"/>
      <c r="U2595" s="52"/>
      <c r="V2595" s="4288"/>
      <c r="W2595" s="1396">
        <v>9.8000000000000007</v>
      </c>
      <c r="X2595" s="1396">
        <v>9.8000000000000007</v>
      </c>
      <c r="Y2595" s="1396">
        <v>9.8000000000000007</v>
      </c>
      <c r="Z2595" s="1396">
        <v>9.8000000000000007</v>
      </c>
      <c r="AA2595" s="1396">
        <v>9.8000000000000007</v>
      </c>
      <c r="AB2595" s="1396">
        <v>9.8000000000000007</v>
      </c>
      <c r="AC2595" s="212">
        <v>9.6047619047619044</v>
      </c>
      <c r="AD2595" s="969">
        <v>9.4181159420289866</v>
      </c>
      <c r="AE2595" s="969">
        <v>9.4296296296296287</v>
      </c>
      <c r="AF2595" s="271">
        <f t="shared" si="301"/>
        <v>9.4296296296296287</v>
      </c>
      <c r="AG2595" s="1396"/>
      <c r="DG2595" s="573"/>
      <c r="DH2595" s="159"/>
      <c r="DI2595" s="1091"/>
      <c r="DJ2595" s="1187"/>
    </row>
    <row r="2596" spans="1:114" ht="15" hidden="1" customHeight="1" outlineLevel="1">
      <c r="A2596" s="453"/>
      <c r="C2596" s="51"/>
      <c r="D2596" s="4295"/>
      <c r="E2596" s="4295"/>
      <c r="F2596" s="4307" t="str">
        <f>$E$1714</f>
        <v>ASHP-SEER18_ER1_SF</v>
      </c>
      <c r="G2596" s="4307"/>
      <c r="H2596" s="4307"/>
      <c r="I2596" s="4307"/>
      <c r="J2596" s="1029" t="str">
        <f>$C$1714</f>
        <v>353850_2024_12_</v>
      </c>
      <c r="K2596" s="916">
        <v>10.033870967741937</v>
      </c>
      <c r="L2596" s="972"/>
      <c r="M2596" s="1739" t="s">
        <v>1934</v>
      </c>
      <c r="S2596" s="52"/>
      <c r="T2596" s="52"/>
      <c r="U2596" s="52"/>
      <c r="V2596" s="4288"/>
      <c r="W2596" s="1396">
        <v>9.5</v>
      </c>
      <c r="X2596" s="1396">
        <v>9.5</v>
      </c>
      <c r="Y2596" s="1396">
        <v>9.5</v>
      </c>
      <c r="Z2596" s="1396">
        <v>9.5</v>
      </c>
      <c r="AA2596" s="1396">
        <v>9.5</v>
      </c>
      <c r="AB2596" s="250">
        <v>9.6830769230769231</v>
      </c>
      <c r="AC2596" s="212">
        <v>9.9742424242424281</v>
      </c>
      <c r="AD2596" s="969">
        <v>10.124561403508777</v>
      </c>
      <c r="AE2596" s="969">
        <v>10.033870967741937</v>
      </c>
      <c r="AF2596" s="271">
        <f t="shared" si="301"/>
        <v>10.033870967741937</v>
      </c>
      <c r="AG2596" s="1396"/>
      <c r="DG2596" s="573"/>
      <c r="DH2596" s="159"/>
      <c r="DI2596" s="1091"/>
      <c r="DJ2596" s="1187"/>
    </row>
    <row r="2597" spans="1:114" ht="15" hidden="1" customHeight="1" outlineLevel="1">
      <c r="A2597" s="453"/>
      <c r="C2597" s="51"/>
      <c r="D2597" s="4295"/>
      <c r="E2597" s="4295"/>
      <c r="F2597" s="4307" t="str">
        <f>$E$1716</f>
        <v>ASHP-SEER18_ER2_SF</v>
      </c>
      <c r="G2597" s="4307"/>
      <c r="H2597" s="4307"/>
      <c r="I2597" s="4307"/>
      <c r="J2597" s="1029" t="str">
        <f>$C$1716</f>
        <v>353850_2024_12_</v>
      </c>
      <c r="K2597" s="916">
        <v>10.033870967741937</v>
      </c>
      <c r="L2597" s="972"/>
      <c r="M2597" s="1739" t="s">
        <v>1934</v>
      </c>
      <c r="S2597" s="52"/>
      <c r="T2597" s="52"/>
      <c r="U2597" s="52"/>
      <c r="V2597" s="4288"/>
      <c r="W2597" s="1396">
        <v>9.5</v>
      </c>
      <c r="X2597" s="1396">
        <v>9.5</v>
      </c>
      <c r="Y2597" s="1396">
        <v>9.5</v>
      </c>
      <c r="Z2597" s="1396">
        <v>9.5</v>
      </c>
      <c r="AA2597" s="1396">
        <v>9.5</v>
      </c>
      <c r="AB2597" s="250">
        <v>9.6830769230769231</v>
      </c>
      <c r="AC2597" s="212">
        <f>AC2596</f>
        <v>9.9742424242424281</v>
      </c>
      <c r="AD2597" s="969">
        <v>10.124561403508777</v>
      </c>
      <c r="AE2597" s="969">
        <v>10.033870967741937</v>
      </c>
      <c r="AF2597" s="271">
        <f t="shared" si="301"/>
        <v>10.033870967741937</v>
      </c>
      <c r="AG2597" s="1396"/>
      <c r="DG2597" s="573"/>
      <c r="DH2597" s="159"/>
      <c r="DI2597" s="1091"/>
      <c r="DJ2597" s="1187"/>
    </row>
    <row r="2598" spans="1:114" ht="15" hidden="1" customHeight="1" outlineLevel="1">
      <c r="A2598" s="453"/>
      <c r="C2598" s="51"/>
      <c r="D2598" s="4295"/>
      <c r="E2598" s="4295"/>
      <c r="F2598" s="4307" t="str">
        <f>$E$1718</f>
        <v>ASHP-SEER18_ROF_SF</v>
      </c>
      <c r="G2598" s="4307"/>
      <c r="H2598" s="4307"/>
      <c r="I2598" s="4307"/>
      <c r="J2598" s="1029" t="str">
        <f>$C$1718</f>
        <v>353950_2024_12_</v>
      </c>
      <c r="K2598" s="916">
        <v>9.8957142857142895</v>
      </c>
      <c r="L2598" s="972"/>
      <c r="M2598" s="1739" t="s">
        <v>1934</v>
      </c>
      <c r="P2598" s="261"/>
      <c r="Q2598" s="209"/>
      <c r="R2598" s="261"/>
      <c r="S2598" s="52"/>
      <c r="T2598" s="181"/>
      <c r="U2598" s="52"/>
      <c r="V2598" s="4288"/>
      <c r="W2598" s="1396">
        <v>9.8000000000000007</v>
      </c>
      <c r="X2598" s="1396">
        <v>9.8000000000000007</v>
      </c>
      <c r="Y2598" s="1396">
        <v>9.8000000000000007</v>
      </c>
      <c r="Z2598" s="1396">
        <v>9.8000000000000007</v>
      </c>
      <c r="AA2598" s="1396">
        <v>9.8000000000000007</v>
      </c>
      <c r="AB2598" s="1396">
        <v>9.8000000000000007</v>
      </c>
      <c r="AC2598" s="212">
        <v>10.549999999999999</v>
      </c>
      <c r="AD2598" s="969">
        <v>10.148936170212766</v>
      </c>
      <c r="AE2598" s="969">
        <v>9.8957142857142895</v>
      </c>
      <c r="AF2598" s="271">
        <f t="shared" si="301"/>
        <v>9.8957142857142895</v>
      </c>
      <c r="AG2598" s="1396"/>
      <c r="DG2598" s="573"/>
      <c r="DH2598" s="159"/>
      <c r="DI2598" s="1091"/>
      <c r="DJ2598" s="1187"/>
    </row>
    <row r="2599" spans="1:114" ht="15" hidden="1" customHeight="1" outlineLevel="1">
      <c r="A2599" s="453"/>
      <c r="C2599" s="51"/>
      <c r="D2599" s="4295"/>
      <c r="E2599" s="4295"/>
      <c r="F2599" s="4307" t="str">
        <f>$E$1720</f>
        <v>ASHP-SEER19_ER1_SF</v>
      </c>
      <c r="G2599" s="4307"/>
      <c r="H2599" s="4307"/>
      <c r="I2599" s="4307"/>
      <c r="J2599" s="1029" t="str">
        <f>$C$1720</f>
        <v>354000_2024_12_</v>
      </c>
      <c r="K2599" s="916">
        <v>10.081818181818182</v>
      </c>
      <c r="L2599" s="972"/>
      <c r="M2599" s="1739" t="s">
        <v>1934</v>
      </c>
      <c r="S2599" s="52"/>
      <c r="T2599" s="52"/>
      <c r="U2599" s="52"/>
      <c r="V2599" s="4288"/>
      <c r="W2599" s="1396">
        <v>9.5</v>
      </c>
      <c r="X2599" s="1396">
        <v>9.5</v>
      </c>
      <c r="Y2599" s="1396">
        <v>9.5</v>
      </c>
      <c r="Z2599" s="1396">
        <v>9.5</v>
      </c>
      <c r="AA2599" s="1396">
        <v>9.5</v>
      </c>
      <c r="AB2599" s="1396">
        <v>9.5</v>
      </c>
      <c r="AC2599" s="212">
        <v>10.040000000000001</v>
      </c>
      <c r="AD2599" s="969">
        <v>9.815151515151511</v>
      </c>
      <c r="AE2599" s="969">
        <v>10.081818181818182</v>
      </c>
      <c r="AF2599" s="271">
        <f t="shared" si="301"/>
        <v>10.081818181818182</v>
      </c>
      <c r="AG2599" s="1396"/>
      <c r="DG2599" s="573"/>
      <c r="DH2599" s="159"/>
      <c r="DI2599" s="1091"/>
      <c r="DJ2599" s="1187"/>
    </row>
    <row r="2600" spans="1:114" ht="15" hidden="1" customHeight="1" outlineLevel="1">
      <c r="A2600" s="453"/>
      <c r="C2600" s="51"/>
      <c r="D2600" s="4295"/>
      <c r="E2600" s="4295"/>
      <c r="F2600" s="4307" t="str">
        <f>$E$1722</f>
        <v>ASHP-SEER19_ER2_SF</v>
      </c>
      <c r="G2600" s="4307"/>
      <c r="H2600" s="4307"/>
      <c r="I2600" s="4307"/>
      <c r="J2600" s="1029" t="str">
        <f>$C$1722</f>
        <v>354000_2024_12_</v>
      </c>
      <c r="K2600" s="916">
        <v>10.081818181818182</v>
      </c>
      <c r="L2600" s="972"/>
      <c r="M2600" s="1739" t="s">
        <v>1934</v>
      </c>
      <c r="S2600" s="52"/>
      <c r="T2600" s="52"/>
      <c r="U2600" s="52"/>
      <c r="V2600" s="4288"/>
      <c r="W2600" s="1396">
        <v>9.5</v>
      </c>
      <c r="X2600" s="1396">
        <v>9.5</v>
      </c>
      <c r="Y2600" s="1396">
        <v>9.5</v>
      </c>
      <c r="Z2600" s="1396">
        <v>9.5</v>
      </c>
      <c r="AA2600" s="1396">
        <v>9.5</v>
      </c>
      <c r="AB2600" s="1396">
        <v>9.5</v>
      </c>
      <c r="AC2600" s="212">
        <f>AC2599</f>
        <v>10.040000000000001</v>
      </c>
      <c r="AD2600" s="969">
        <v>9.815151515151511</v>
      </c>
      <c r="AE2600" s="969">
        <v>10.081818181818182</v>
      </c>
      <c r="AF2600" s="271">
        <f t="shared" si="301"/>
        <v>10.081818181818182</v>
      </c>
      <c r="AG2600" s="1396"/>
      <c r="DG2600" s="573"/>
      <c r="DH2600" s="159"/>
      <c r="DI2600" s="1091"/>
      <c r="DJ2600" s="1187"/>
    </row>
    <row r="2601" spans="1:114" ht="15" hidden="1" customHeight="1" outlineLevel="1">
      <c r="A2601" s="453"/>
      <c r="C2601" s="51"/>
      <c r="D2601" s="4295"/>
      <c r="E2601" s="4295"/>
      <c r="F2601" s="4307" t="str">
        <f>$E$1724</f>
        <v>ASHP-SEER19_ROF_SF</v>
      </c>
      <c r="G2601" s="4307"/>
      <c r="H2601" s="4307"/>
      <c r="I2601" s="4307"/>
      <c r="J2601" s="1029" t="str">
        <f>$C$1724</f>
        <v>354050_2024_12_</v>
      </c>
      <c r="K2601" s="916">
        <v>10.115384615384615</v>
      </c>
      <c r="L2601" s="972"/>
      <c r="M2601" s="1739" t="s">
        <v>1937</v>
      </c>
      <c r="P2601" s="261"/>
      <c r="Q2601" s="209"/>
      <c r="R2601" s="261"/>
      <c r="S2601" s="52"/>
      <c r="T2601" s="181"/>
      <c r="U2601" s="52"/>
      <c r="V2601" s="4288"/>
      <c r="W2601" s="1396">
        <v>9.8000000000000007</v>
      </c>
      <c r="X2601" s="1396">
        <v>9.8000000000000007</v>
      </c>
      <c r="Y2601" s="1396">
        <v>9.8000000000000007</v>
      </c>
      <c r="Z2601" s="1396">
        <v>9.8000000000000007</v>
      </c>
      <c r="AA2601" s="1396">
        <v>9.8000000000000007</v>
      </c>
      <c r="AB2601" s="1396">
        <v>9.8000000000000007</v>
      </c>
      <c r="AC2601" s="212">
        <v>10.502222222222223</v>
      </c>
      <c r="AD2601" s="969">
        <v>10.115384615384615</v>
      </c>
      <c r="AE2601" s="970">
        <v>10.115384615384615</v>
      </c>
      <c r="AF2601" s="271">
        <f t="shared" si="301"/>
        <v>10.115384615384615</v>
      </c>
      <c r="AG2601" s="1396"/>
      <c r="DG2601" s="573"/>
      <c r="DH2601" s="159"/>
      <c r="DI2601" s="1091"/>
      <c r="DJ2601" s="1187"/>
    </row>
    <row r="2602" spans="1:114" ht="15" hidden="1" customHeight="1" outlineLevel="1">
      <c r="A2602" s="453"/>
      <c r="C2602" s="51"/>
      <c r="D2602" s="4295"/>
      <c r="E2602" s="4295"/>
      <c r="F2602" s="4307" t="str">
        <f>$E$1726</f>
        <v>ASHP-SEER17-Replace_CAC_ElectricHeat_ER1_SF</v>
      </c>
      <c r="G2602" s="4307"/>
      <c r="H2602" s="4307"/>
      <c r="I2602" s="4307"/>
      <c r="J2602" s="1029" t="str">
        <f>$C$1726</f>
        <v>354100_2024_12_</v>
      </c>
      <c r="K2602" s="916">
        <v>9.4688524590163912</v>
      </c>
      <c r="L2602" s="972"/>
      <c r="M2602" s="1739" t="s">
        <v>1934</v>
      </c>
      <c r="P2602" s="261"/>
      <c r="Q2602" s="209"/>
      <c r="R2602" s="261"/>
      <c r="S2602" s="52"/>
      <c r="T2602" s="181"/>
      <c r="U2602" s="52"/>
      <c r="V2602" s="4288"/>
      <c r="W2602" s="1396">
        <v>9.4</v>
      </c>
      <c r="X2602" s="1396">
        <v>9.4</v>
      </c>
      <c r="Y2602" s="1396">
        <v>9.4</v>
      </c>
      <c r="Z2602" s="1396">
        <v>9.4</v>
      </c>
      <c r="AA2602" s="1396">
        <v>9.4</v>
      </c>
      <c r="AB2602" s="1396">
        <v>9.4</v>
      </c>
      <c r="AC2602" s="212">
        <v>9.5113636363636349</v>
      </c>
      <c r="AD2602" s="969">
        <v>9.4631147540983651</v>
      </c>
      <c r="AE2602" s="969">
        <v>9.4688524590163912</v>
      </c>
      <c r="AF2602" s="271">
        <f t="shared" si="301"/>
        <v>9.4688524590163912</v>
      </c>
      <c r="AG2602" s="1396"/>
      <c r="DG2602" s="573"/>
      <c r="DH2602" s="159"/>
      <c r="DI2602" s="1091"/>
      <c r="DJ2602" s="1187"/>
    </row>
    <row r="2603" spans="1:114" ht="15" hidden="1" customHeight="1" outlineLevel="1">
      <c r="A2603" s="453"/>
      <c r="C2603" s="51"/>
      <c r="D2603" s="4295"/>
      <c r="E2603" s="4295"/>
      <c r="F2603" s="4307" t="str">
        <f>$E$1728</f>
        <v>ASHP-SEER17-Replace_CAC_ElectricHeat_ER2_SF</v>
      </c>
      <c r="G2603" s="4307"/>
      <c r="H2603" s="4307"/>
      <c r="I2603" s="4307"/>
      <c r="J2603" s="1029" t="str">
        <f>$C$1728</f>
        <v>354100_2024_12_</v>
      </c>
      <c r="K2603" s="916">
        <v>9.4688524590163912</v>
      </c>
      <c r="L2603" s="972"/>
      <c r="M2603" s="1739" t="s">
        <v>1934</v>
      </c>
      <c r="P2603" s="261"/>
      <c r="Q2603" s="209"/>
      <c r="R2603" s="261"/>
      <c r="S2603" s="52"/>
      <c r="T2603" s="181"/>
      <c r="U2603" s="52"/>
      <c r="V2603" s="4288"/>
      <c r="W2603" s="1396">
        <v>9.4</v>
      </c>
      <c r="X2603" s="1396">
        <v>9.4</v>
      </c>
      <c r="Y2603" s="1396">
        <v>9.4</v>
      </c>
      <c r="Z2603" s="1396">
        <v>9.4</v>
      </c>
      <c r="AA2603" s="1396">
        <v>9.4</v>
      </c>
      <c r="AB2603" s="1396">
        <v>9.4</v>
      </c>
      <c r="AC2603" s="212">
        <f>AC2602</f>
        <v>9.5113636363636349</v>
      </c>
      <c r="AD2603" s="969">
        <v>9.4631147540983651</v>
      </c>
      <c r="AE2603" s="969">
        <v>9.4688524590163912</v>
      </c>
      <c r="AF2603" s="271">
        <f t="shared" si="301"/>
        <v>9.4688524590163912</v>
      </c>
      <c r="AG2603" s="1396"/>
      <c r="DG2603" s="573"/>
      <c r="DH2603" s="159"/>
      <c r="DI2603" s="1091"/>
      <c r="DJ2603" s="1187"/>
    </row>
    <row r="2604" spans="1:114" ht="15" hidden="1" customHeight="1" outlineLevel="1">
      <c r="A2604" s="453"/>
      <c r="C2604" s="51"/>
      <c r="D2604" s="4295"/>
      <c r="E2604" s="4295"/>
      <c r="F2604" s="4307" t="str">
        <f>$E$1730</f>
        <v>ASHP-SEER17-Replace_CAC_NonElectricHeat_ER1_SF</v>
      </c>
      <c r="G2604" s="4307"/>
      <c r="H2604" s="4307"/>
      <c r="I2604" s="4307"/>
      <c r="J2604" s="1029" t="str">
        <f>$C$1730</f>
        <v>354110_2024_12_</v>
      </c>
      <c r="K2604" s="916">
        <v>9.4688524590163912</v>
      </c>
      <c r="L2604" s="972"/>
      <c r="M2604" s="1739" t="s">
        <v>1934</v>
      </c>
      <c r="P2604" s="261"/>
      <c r="Q2604" s="209"/>
      <c r="R2604" s="261"/>
      <c r="S2604" s="52"/>
      <c r="T2604" s="181"/>
      <c r="U2604" s="52"/>
      <c r="V2604" s="4288"/>
      <c r="W2604" s="1396"/>
      <c r="X2604" s="1396"/>
      <c r="Y2604" s="1396"/>
      <c r="Z2604" s="1396"/>
      <c r="AA2604" s="1396"/>
      <c r="AB2604" s="1396"/>
      <c r="AC2604" s="212">
        <v>9.5113636363636349</v>
      </c>
      <c r="AD2604" s="969">
        <v>9.4631147540983651</v>
      </c>
      <c r="AE2604" s="969">
        <v>9.4688524590163912</v>
      </c>
      <c r="AF2604" s="271">
        <f t="shared" si="301"/>
        <v>9.4688524590163912</v>
      </c>
      <c r="AG2604" s="1396"/>
      <c r="DG2604" s="573"/>
      <c r="DH2604" s="159"/>
      <c r="DI2604" s="1091"/>
      <c r="DJ2604" s="1187"/>
    </row>
    <row r="2605" spans="1:114" ht="15" hidden="1" customHeight="1" outlineLevel="1">
      <c r="A2605" s="453"/>
      <c r="C2605" s="51"/>
      <c r="D2605" s="4295"/>
      <c r="E2605" s="4295"/>
      <c r="F2605" s="4307" t="str">
        <f>$E$1732</f>
        <v>ASHP-SEER17-Replace_CAC_NonElectricHeat_ER2_SF</v>
      </c>
      <c r="G2605" s="4307"/>
      <c r="H2605" s="4307"/>
      <c r="I2605" s="4307"/>
      <c r="J2605" s="1029" t="str">
        <f>$C$1732</f>
        <v>354110_2024_12_</v>
      </c>
      <c r="K2605" s="916">
        <v>9.4688524590163912</v>
      </c>
      <c r="L2605" s="972"/>
      <c r="M2605" s="1739" t="s">
        <v>1934</v>
      </c>
      <c r="P2605" s="261"/>
      <c r="Q2605" s="209"/>
      <c r="R2605" s="261"/>
      <c r="S2605" s="52"/>
      <c r="T2605" s="181"/>
      <c r="U2605" s="52"/>
      <c r="V2605" s="4288"/>
      <c r="W2605" s="1396"/>
      <c r="X2605" s="1396"/>
      <c r="Y2605" s="1396"/>
      <c r="Z2605" s="1396"/>
      <c r="AA2605" s="1396"/>
      <c r="AB2605" s="1396"/>
      <c r="AC2605" s="212">
        <f>AC2604</f>
        <v>9.5113636363636349</v>
      </c>
      <c r="AD2605" s="969">
        <v>9.4631147540983651</v>
      </c>
      <c r="AE2605" s="969">
        <v>9.4688524590163912</v>
      </c>
      <c r="AF2605" s="271">
        <f t="shared" si="301"/>
        <v>9.4688524590163912</v>
      </c>
      <c r="AG2605" s="1396"/>
      <c r="DG2605" s="573"/>
      <c r="DH2605" s="159"/>
      <c r="DI2605" s="1091"/>
      <c r="DJ2605" s="1187"/>
    </row>
    <row r="2606" spans="1:114" ht="15" hidden="1" customHeight="1" outlineLevel="1">
      <c r="A2606" s="453"/>
      <c r="C2606" s="51"/>
      <c r="D2606" s="4295"/>
      <c r="E2606" s="4295"/>
      <c r="F2606" s="4307" t="str">
        <f>$E$1734</f>
        <v>ASHP-SEER17-Replace_CAC_ElectricHeat_ER1_MF</v>
      </c>
      <c r="G2606" s="4307"/>
      <c r="H2606" s="4307"/>
      <c r="I2606" s="4307"/>
      <c r="J2606" s="1029" t="str">
        <f>$C$1734</f>
        <v>354150_2024_12_</v>
      </c>
      <c r="K2606" s="1755">
        <v>9.4</v>
      </c>
      <c r="L2606" s="972"/>
      <c r="M2606" s="1740" t="s">
        <v>1945</v>
      </c>
      <c r="P2606" s="261"/>
      <c r="Q2606" s="209"/>
      <c r="R2606" s="261"/>
      <c r="S2606" s="52"/>
      <c r="T2606" s="181"/>
      <c r="U2606" s="52"/>
      <c r="V2606" s="4288"/>
      <c r="W2606" s="1396">
        <v>9.4</v>
      </c>
      <c r="X2606" s="1396">
        <v>9.4</v>
      </c>
      <c r="Y2606" s="1396">
        <v>9.4</v>
      </c>
      <c r="Z2606" s="1396">
        <v>9.4</v>
      </c>
      <c r="AA2606" s="1396">
        <v>9.4</v>
      </c>
      <c r="AB2606" s="1396">
        <v>9.4</v>
      </c>
      <c r="AC2606" s="211">
        <v>9.4</v>
      </c>
      <c r="AD2606" s="211">
        <v>9.4</v>
      </c>
      <c r="AE2606" s="971">
        <v>9.4</v>
      </c>
      <c r="AF2606" s="271">
        <f t="shared" si="301"/>
        <v>9.4</v>
      </c>
      <c r="AG2606" s="1396"/>
      <c r="DG2606" s="573"/>
      <c r="DH2606" s="159"/>
      <c r="DI2606" s="1091"/>
      <c r="DJ2606" s="1187"/>
    </row>
    <row r="2607" spans="1:114" ht="15" hidden="1" customHeight="1" outlineLevel="1">
      <c r="A2607" s="453"/>
      <c r="C2607" s="51"/>
      <c r="D2607" s="4295"/>
      <c r="E2607" s="4295"/>
      <c r="F2607" s="4307" t="str">
        <f>$E$1736</f>
        <v>ASHP-SEER17-Replace_CAC_ElectricHeat_ER2_MF</v>
      </c>
      <c r="G2607" s="4307"/>
      <c r="H2607" s="4307"/>
      <c r="I2607" s="4307"/>
      <c r="J2607" s="1029" t="str">
        <f>$C$1736</f>
        <v>354150_2024_12_</v>
      </c>
      <c r="K2607" s="1755">
        <v>9.4</v>
      </c>
      <c r="L2607" s="972"/>
      <c r="M2607" s="1740" t="s">
        <v>1945</v>
      </c>
      <c r="P2607" s="261"/>
      <c r="Q2607" s="209"/>
      <c r="R2607" s="261"/>
      <c r="S2607" s="52"/>
      <c r="T2607" s="181"/>
      <c r="U2607" s="52"/>
      <c r="V2607" s="4288"/>
      <c r="W2607" s="1396">
        <v>9.4</v>
      </c>
      <c r="X2607" s="1396">
        <v>9.4</v>
      </c>
      <c r="Y2607" s="1396">
        <v>9.4</v>
      </c>
      <c r="Z2607" s="1396">
        <v>9.4</v>
      </c>
      <c r="AA2607" s="1396">
        <v>9.4</v>
      </c>
      <c r="AB2607" s="1396">
        <v>9.4</v>
      </c>
      <c r="AC2607" s="211">
        <v>9.4</v>
      </c>
      <c r="AD2607" s="211">
        <v>9.4</v>
      </c>
      <c r="AE2607" s="971">
        <v>9.4</v>
      </c>
      <c r="AF2607" s="271">
        <f t="shared" si="301"/>
        <v>9.4</v>
      </c>
      <c r="AG2607" s="1396"/>
      <c r="DG2607" s="573"/>
      <c r="DH2607" s="159"/>
      <c r="DI2607" s="1091"/>
      <c r="DJ2607" s="1187"/>
    </row>
    <row r="2608" spans="1:114" ht="15" hidden="1" customHeight="1" outlineLevel="1">
      <c r="A2608" s="453"/>
      <c r="C2608" s="51"/>
      <c r="D2608" s="4295"/>
      <c r="E2608" s="4295"/>
      <c r="F2608" s="4347" t="str">
        <f>$E$1738</f>
        <v>ASHP-SEER17-Replace_CAC_ElectricHeat_ER1_MF_CompE</v>
      </c>
      <c r="G2608" s="4347"/>
      <c r="H2608" s="4347"/>
      <c r="I2608" s="4347"/>
      <c r="J2608" s="3471" t="str">
        <f>$C$1738</f>
        <v>354151_2024_12_</v>
      </c>
      <c r="K2608" s="3485">
        <v>9.4</v>
      </c>
      <c r="L2608" s="3480"/>
      <c r="M2608" s="3293" t="s">
        <v>1945</v>
      </c>
      <c r="P2608" s="261"/>
      <c r="Q2608" s="209"/>
      <c r="R2608" s="261"/>
      <c r="S2608" s="52"/>
      <c r="T2608" s="181"/>
      <c r="U2608" s="52"/>
      <c r="V2608" s="4288"/>
      <c r="W2608" s="3262"/>
      <c r="X2608" s="3262"/>
      <c r="Y2608" s="3265">
        <v>9.4</v>
      </c>
      <c r="Z2608" s="3262">
        <v>9.4</v>
      </c>
      <c r="AA2608" s="3262">
        <v>9.4</v>
      </c>
      <c r="AB2608" s="3262">
        <v>9.4</v>
      </c>
      <c r="AC2608" s="3286">
        <v>9.4</v>
      </c>
      <c r="AD2608" s="3286">
        <v>9.4</v>
      </c>
      <c r="AE2608" s="3486">
        <v>9.4</v>
      </c>
      <c r="AF2608" s="2236">
        <f t="shared" si="301"/>
        <v>9.4</v>
      </c>
      <c r="AG2608" s="1396"/>
      <c r="DG2608" s="573"/>
      <c r="DH2608" s="159"/>
      <c r="DI2608" s="1091"/>
      <c r="DJ2608" s="1187"/>
    </row>
    <row r="2609" spans="1:114" ht="15" hidden="1" customHeight="1" outlineLevel="1">
      <c r="A2609" s="453"/>
      <c r="C2609" s="51"/>
      <c r="D2609" s="4295"/>
      <c r="E2609" s="4295"/>
      <c r="F2609" s="4347" t="str">
        <f>$E$1740</f>
        <v>ASHP-SEER17-Replace_CAC_ElectricHeat_ER2_MF_CompE</v>
      </c>
      <c r="G2609" s="4347"/>
      <c r="H2609" s="4347"/>
      <c r="I2609" s="4347"/>
      <c r="J2609" s="3471" t="str">
        <f>$C$1740</f>
        <v>354151_2024_12_</v>
      </c>
      <c r="K2609" s="3485">
        <v>9.4</v>
      </c>
      <c r="L2609" s="3480"/>
      <c r="M2609" s="3293" t="s">
        <v>1945</v>
      </c>
      <c r="P2609" s="261"/>
      <c r="Q2609" s="209"/>
      <c r="R2609" s="261"/>
      <c r="S2609" s="52"/>
      <c r="T2609" s="181"/>
      <c r="U2609" s="52"/>
      <c r="V2609" s="4288"/>
      <c r="W2609" s="3262"/>
      <c r="X2609" s="3262"/>
      <c r="Y2609" s="3265">
        <v>9.4</v>
      </c>
      <c r="Z2609" s="3262">
        <v>9.4</v>
      </c>
      <c r="AA2609" s="3262">
        <v>9.4</v>
      </c>
      <c r="AB2609" s="3262">
        <v>9.4</v>
      </c>
      <c r="AC2609" s="3286">
        <v>9.4</v>
      </c>
      <c r="AD2609" s="3286">
        <v>9.4</v>
      </c>
      <c r="AE2609" s="3486">
        <v>9.4</v>
      </c>
      <c r="AF2609" s="2236">
        <f t="shared" si="301"/>
        <v>9.4</v>
      </c>
      <c r="AG2609" s="1396"/>
      <c r="DG2609" s="573"/>
      <c r="DH2609" s="159"/>
      <c r="DI2609" s="1091"/>
      <c r="DJ2609" s="1187"/>
    </row>
    <row r="2610" spans="1:114" ht="15" hidden="1" customHeight="1" outlineLevel="1">
      <c r="A2610" s="453"/>
      <c r="C2610" s="51"/>
      <c r="D2610" s="4295"/>
      <c r="E2610" s="4295"/>
      <c r="F2610" s="4347" t="str">
        <f>$E$1742</f>
        <v>ASHP-SEER17-Replace_CAC_NonElectricHeat_ER1_MF</v>
      </c>
      <c r="G2610" s="4347"/>
      <c r="H2610" s="4347"/>
      <c r="I2610" s="4347"/>
      <c r="J2610" s="3471" t="str">
        <f>$C$1742</f>
        <v>354160_2024_12_</v>
      </c>
      <c r="K2610" s="3485">
        <v>9.4</v>
      </c>
      <c r="L2610" s="3480"/>
      <c r="M2610" s="3293" t="s">
        <v>1945</v>
      </c>
      <c r="P2610" s="261"/>
      <c r="Q2610" s="209"/>
      <c r="R2610" s="261"/>
      <c r="S2610" s="52"/>
      <c r="T2610" s="181"/>
      <c r="U2610" s="52"/>
      <c r="V2610" s="4288"/>
      <c r="W2610" s="3262"/>
      <c r="X2610" s="3262"/>
      <c r="Y2610" s="3265"/>
      <c r="Z2610" s="3262"/>
      <c r="AA2610" s="3262"/>
      <c r="AB2610" s="3262"/>
      <c r="AC2610" s="3285">
        <v>9.4</v>
      </c>
      <c r="AD2610" s="3286">
        <v>9.4</v>
      </c>
      <c r="AE2610" s="3486">
        <v>9.4</v>
      </c>
      <c r="AF2610" s="2236">
        <f t="shared" si="301"/>
        <v>9.4</v>
      </c>
      <c r="AG2610" s="1396"/>
      <c r="DG2610" s="573"/>
      <c r="DH2610" s="159"/>
      <c r="DI2610" s="1091"/>
      <c r="DJ2610" s="1187"/>
    </row>
    <row r="2611" spans="1:114" ht="15" hidden="1" customHeight="1" outlineLevel="1">
      <c r="A2611" s="453"/>
      <c r="C2611" s="51"/>
      <c r="D2611" s="4295"/>
      <c r="E2611" s="4295"/>
      <c r="F2611" s="4347" t="str">
        <f>$E$1744</f>
        <v>ASHP-SEER17-Replace_CAC_NonElectricHeat_ER2_MF</v>
      </c>
      <c r="G2611" s="4347"/>
      <c r="H2611" s="4347"/>
      <c r="I2611" s="4347"/>
      <c r="J2611" s="3471" t="str">
        <f>$C$1744</f>
        <v>354160_2024_12_</v>
      </c>
      <c r="K2611" s="3485">
        <v>9.4</v>
      </c>
      <c r="L2611" s="3480"/>
      <c r="M2611" s="3293" t="s">
        <v>1945</v>
      </c>
      <c r="P2611" s="261"/>
      <c r="Q2611" s="209"/>
      <c r="R2611" s="261"/>
      <c r="S2611" s="52"/>
      <c r="T2611" s="181"/>
      <c r="U2611" s="52"/>
      <c r="V2611" s="4288"/>
      <c r="W2611" s="3262"/>
      <c r="X2611" s="3262"/>
      <c r="Y2611" s="3265"/>
      <c r="Z2611" s="3262"/>
      <c r="AA2611" s="3262"/>
      <c r="AB2611" s="3262"/>
      <c r="AC2611" s="3285">
        <v>9.4</v>
      </c>
      <c r="AD2611" s="3286">
        <v>9.4</v>
      </c>
      <c r="AE2611" s="3486">
        <v>9.4</v>
      </c>
      <c r="AF2611" s="2236">
        <f t="shared" si="301"/>
        <v>9.4</v>
      </c>
      <c r="AG2611" s="1396"/>
      <c r="DG2611" s="573"/>
      <c r="DH2611" s="159"/>
      <c r="DI2611" s="1091"/>
      <c r="DJ2611" s="1187"/>
    </row>
    <row r="2612" spans="1:114" ht="15" hidden="1" customHeight="1" outlineLevel="1">
      <c r="A2612" s="453"/>
      <c r="C2612" s="51"/>
      <c r="D2612" s="4295"/>
      <c r="E2612" s="4295"/>
      <c r="F2612" s="4347" t="str">
        <f>$E$1746</f>
        <v>ASHP-SEER17-Replace_CAC_NonElectricHeat_ER1_MF_CompE</v>
      </c>
      <c r="G2612" s="4347"/>
      <c r="H2612" s="4347"/>
      <c r="I2612" s="4347"/>
      <c r="J2612" s="3471" t="str">
        <f>$C$1746</f>
        <v>354161_2024_12_</v>
      </c>
      <c r="K2612" s="3485">
        <v>9.4</v>
      </c>
      <c r="L2612" s="3480"/>
      <c r="M2612" s="3293" t="s">
        <v>1945</v>
      </c>
      <c r="P2612" s="261"/>
      <c r="Q2612" s="209"/>
      <c r="R2612" s="261"/>
      <c r="S2612" s="52"/>
      <c r="T2612" s="181"/>
      <c r="U2612" s="52"/>
      <c r="V2612" s="4288"/>
      <c r="W2612" s="3262"/>
      <c r="X2612" s="3262"/>
      <c r="Y2612" s="3265"/>
      <c r="Z2612" s="3262"/>
      <c r="AA2612" s="3262"/>
      <c r="AB2612" s="3262"/>
      <c r="AC2612" s="3285">
        <v>9.4</v>
      </c>
      <c r="AD2612" s="3286">
        <v>9.4</v>
      </c>
      <c r="AE2612" s="3486">
        <v>9.4</v>
      </c>
      <c r="AF2612" s="2236">
        <f t="shared" si="301"/>
        <v>9.4</v>
      </c>
      <c r="AG2612" s="1396"/>
      <c r="DG2612" s="573"/>
      <c r="DH2612" s="159"/>
      <c r="DI2612" s="1091"/>
      <c r="DJ2612" s="1187"/>
    </row>
    <row r="2613" spans="1:114" ht="15" hidden="1" customHeight="1" outlineLevel="1">
      <c r="A2613" s="453"/>
      <c r="C2613" s="51"/>
      <c r="D2613" s="4295"/>
      <c r="E2613" s="4295"/>
      <c r="F2613" s="4347" t="str">
        <f>$E$1748</f>
        <v>ASHP-SEER17-Replace_CAC_NonElectricHeat_ER2_MF_CompE</v>
      </c>
      <c r="G2613" s="4347"/>
      <c r="H2613" s="4347"/>
      <c r="I2613" s="4347"/>
      <c r="J2613" s="3471" t="str">
        <f>$C$1748</f>
        <v>354161_2024_12_</v>
      </c>
      <c r="K2613" s="3485">
        <v>9.4</v>
      </c>
      <c r="L2613" s="3480"/>
      <c r="M2613" s="3293" t="s">
        <v>1945</v>
      </c>
      <c r="P2613" s="261"/>
      <c r="Q2613" s="209"/>
      <c r="R2613" s="261"/>
      <c r="S2613" s="52"/>
      <c r="T2613" s="181"/>
      <c r="U2613" s="52"/>
      <c r="V2613" s="4288"/>
      <c r="W2613" s="3262"/>
      <c r="X2613" s="3262"/>
      <c r="Y2613" s="3265"/>
      <c r="Z2613" s="3262"/>
      <c r="AA2613" s="3262"/>
      <c r="AB2613" s="3262"/>
      <c r="AC2613" s="3285">
        <v>9.4</v>
      </c>
      <c r="AD2613" s="3286">
        <v>9.4</v>
      </c>
      <c r="AE2613" s="3486">
        <v>9.4</v>
      </c>
      <c r="AF2613" s="2236">
        <f t="shared" si="301"/>
        <v>9.4</v>
      </c>
      <c r="AG2613" s="1396"/>
      <c r="DG2613" s="573"/>
      <c r="DH2613" s="159"/>
      <c r="DI2613" s="1091"/>
      <c r="DJ2613" s="1187"/>
    </row>
    <row r="2614" spans="1:114" ht="15" hidden="1" customHeight="1" outlineLevel="1">
      <c r="A2614" s="453"/>
      <c r="C2614" s="51"/>
      <c r="D2614" s="4295"/>
      <c r="E2614" s="4295"/>
      <c r="F2614" s="4307" t="str">
        <f>$E$1750</f>
        <v>ASHP-SEER17_ER1_MF</v>
      </c>
      <c r="G2614" s="4307"/>
      <c r="H2614" s="4307"/>
      <c r="I2614" s="4307"/>
      <c r="J2614" s="1029" t="str">
        <f>$C$1750</f>
        <v>354200_2024_12_</v>
      </c>
      <c r="K2614" s="1755">
        <v>9.5</v>
      </c>
      <c r="L2614" s="972"/>
      <c r="M2614" s="1740" t="s">
        <v>1945</v>
      </c>
      <c r="P2614" s="261"/>
      <c r="Q2614" s="209"/>
      <c r="R2614" s="261"/>
      <c r="S2614" s="52"/>
      <c r="T2614" s="181"/>
      <c r="U2614" s="52"/>
      <c r="V2614" s="4288"/>
      <c r="W2614" s="1396">
        <v>9.5</v>
      </c>
      <c r="X2614" s="1396">
        <v>9.5</v>
      </c>
      <c r="Y2614" s="1396">
        <v>9.5</v>
      </c>
      <c r="Z2614" s="1396">
        <v>9.5</v>
      </c>
      <c r="AA2614" s="1396">
        <v>9.5</v>
      </c>
      <c r="AB2614" s="1396">
        <v>9.5</v>
      </c>
      <c r="AC2614" s="211">
        <v>9.5</v>
      </c>
      <c r="AD2614" s="211">
        <v>9.5</v>
      </c>
      <c r="AE2614" s="971">
        <v>9.5</v>
      </c>
      <c r="AF2614" s="271">
        <f t="shared" si="301"/>
        <v>9.5</v>
      </c>
      <c r="AG2614" s="1396"/>
      <c r="DG2614" s="573"/>
      <c r="DH2614" s="159"/>
      <c r="DI2614" s="1091"/>
      <c r="DJ2614" s="1187"/>
    </row>
    <row r="2615" spans="1:114" ht="15" hidden="1" customHeight="1" outlineLevel="1">
      <c r="A2615" s="453"/>
      <c r="C2615" s="51"/>
      <c r="D2615" s="4295"/>
      <c r="E2615" s="4295"/>
      <c r="F2615" s="4307" t="str">
        <f>$E$1752</f>
        <v>ASHP-SEER17_ER2_MF</v>
      </c>
      <c r="G2615" s="4307"/>
      <c r="H2615" s="4307"/>
      <c r="I2615" s="4307"/>
      <c r="J2615" s="1029" t="str">
        <f>$C$1752</f>
        <v>354200_2024_12_</v>
      </c>
      <c r="K2615" s="1755">
        <v>9.5</v>
      </c>
      <c r="L2615" s="972"/>
      <c r="M2615" s="1740" t="s">
        <v>1945</v>
      </c>
      <c r="P2615" s="261"/>
      <c r="Q2615" s="209"/>
      <c r="R2615" s="261"/>
      <c r="S2615" s="52"/>
      <c r="T2615" s="181"/>
      <c r="U2615" s="52"/>
      <c r="V2615" s="4288"/>
      <c r="W2615" s="1396">
        <v>9.5</v>
      </c>
      <c r="X2615" s="1396">
        <v>9.5</v>
      </c>
      <c r="Y2615" s="1396">
        <v>9.5</v>
      </c>
      <c r="Z2615" s="1396">
        <v>9.5</v>
      </c>
      <c r="AA2615" s="1396">
        <v>9.5</v>
      </c>
      <c r="AB2615" s="1396">
        <v>9.5</v>
      </c>
      <c r="AC2615" s="211">
        <v>9.5</v>
      </c>
      <c r="AD2615" s="211">
        <v>9.5</v>
      </c>
      <c r="AE2615" s="971">
        <v>9.5</v>
      </c>
      <c r="AF2615" s="271">
        <f t="shared" si="301"/>
        <v>9.5</v>
      </c>
      <c r="AG2615" s="1396"/>
      <c r="DG2615" s="573"/>
      <c r="DH2615" s="159"/>
      <c r="DI2615" s="1091"/>
      <c r="DJ2615" s="1187"/>
    </row>
    <row r="2616" spans="1:114" ht="15" hidden="1" customHeight="1" outlineLevel="1">
      <c r="A2616" s="453"/>
      <c r="C2616" s="51"/>
      <c r="D2616" s="4295"/>
      <c r="E2616" s="4295"/>
      <c r="F2616" s="4347" t="str">
        <f>$E$1754</f>
        <v>ASHP-SEER17_ER1_MF_CompE</v>
      </c>
      <c r="G2616" s="4347"/>
      <c r="H2616" s="4347"/>
      <c r="I2616" s="4347"/>
      <c r="J2616" s="3471" t="str">
        <f>$C$1754</f>
        <v>354201_2024_12_</v>
      </c>
      <c r="K2616" s="3485">
        <v>9.5</v>
      </c>
      <c r="L2616" s="3480"/>
      <c r="M2616" s="3293" t="s">
        <v>1945</v>
      </c>
      <c r="P2616" s="261"/>
      <c r="Q2616" s="209"/>
      <c r="R2616" s="261"/>
      <c r="S2616" s="52"/>
      <c r="T2616" s="181"/>
      <c r="U2616" s="52"/>
      <c r="V2616" s="4288"/>
      <c r="W2616" s="3262"/>
      <c r="X2616" s="3262"/>
      <c r="Y2616" s="3265">
        <v>9.5</v>
      </c>
      <c r="Z2616" s="3262">
        <v>9.5</v>
      </c>
      <c r="AA2616" s="3262">
        <v>9.5</v>
      </c>
      <c r="AB2616" s="3262">
        <v>9.5</v>
      </c>
      <c r="AC2616" s="3286">
        <v>9.5</v>
      </c>
      <c r="AD2616" s="3286">
        <v>9.5</v>
      </c>
      <c r="AE2616" s="3486">
        <v>9.5</v>
      </c>
      <c r="AF2616" s="2236">
        <f t="shared" si="301"/>
        <v>9.5</v>
      </c>
      <c r="AG2616" s="1396"/>
      <c r="DG2616" s="573"/>
      <c r="DH2616" s="159"/>
      <c r="DI2616" s="1091"/>
      <c r="DJ2616" s="1187"/>
    </row>
    <row r="2617" spans="1:114" ht="15" hidden="1" customHeight="1" outlineLevel="1">
      <c r="A2617" s="453"/>
      <c r="C2617" s="51"/>
      <c r="D2617" s="4295"/>
      <c r="E2617" s="4295"/>
      <c r="F2617" s="4347" t="str">
        <f>$E$1756</f>
        <v>ASHP-SEER17_ER2_MF_CompE</v>
      </c>
      <c r="G2617" s="4347"/>
      <c r="H2617" s="4347"/>
      <c r="I2617" s="4347"/>
      <c r="J2617" s="3471" t="str">
        <f>$C$1756</f>
        <v>354201_2024_12_</v>
      </c>
      <c r="K2617" s="3485">
        <v>9.5</v>
      </c>
      <c r="L2617" s="3480"/>
      <c r="M2617" s="3293" t="s">
        <v>1945</v>
      </c>
      <c r="P2617" s="261"/>
      <c r="Q2617" s="209"/>
      <c r="R2617" s="261"/>
      <c r="S2617" s="52"/>
      <c r="T2617" s="181"/>
      <c r="U2617" s="52"/>
      <c r="V2617" s="4288"/>
      <c r="W2617" s="3262"/>
      <c r="X2617" s="3262"/>
      <c r="Y2617" s="3265">
        <v>9.5</v>
      </c>
      <c r="Z2617" s="3262">
        <v>9.5</v>
      </c>
      <c r="AA2617" s="3262">
        <v>9.5</v>
      </c>
      <c r="AB2617" s="3262">
        <v>9.5</v>
      </c>
      <c r="AC2617" s="3286">
        <v>9.5</v>
      </c>
      <c r="AD2617" s="3286">
        <v>9.5</v>
      </c>
      <c r="AE2617" s="3486">
        <v>9.5</v>
      </c>
      <c r="AF2617" s="2236">
        <f t="shared" si="301"/>
        <v>9.5</v>
      </c>
      <c r="AG2617" s="1396"/>
      <c r="DG2617" s="573"/>
      <c r="DH2617" s="159"/>
      <c r="DI2617" s="1091"/>
      <c r="DJ2617" s="1187"/>
    </row>
    <row r="2618" spans="1:114" ht="15" hidden="1" customHeight="1" outlineLevel="1">
      <c r="A2618" s="453"/>
      <c r="C2618" s="51"/>
      <c r="D2618" s="4295"/>
      <c r="E2618" s="4295"/>
      <c r="F2618" s="4307" t="str">
        <f>$E$1758</f>
        <v>ASHP-SEER18-Replace_CAC_ElectricHeat_ER1_SF</v>
      </c>
      <c r="G2618" s="4307"/>
      <c r="H2618" s="4307"/>
      <c r="I2618" s="4307"/>
      <c r="J2618" s="1029" t="str">
        <f>$C$1758</f>
        <v>354250_2024_12_</v>
      </c>
      <c r="K2618" s="916">
        <v>10.033870967741937</v>
      </c>
      <c r="L2618" s="972"/>
      <c r="M2618" s="1739" t="s">
        <v>1934</v>
      </c>
      <c r="P2618" s="261"/>
      <c r="Q2618" s="209"/>
      <c r="R2618" s="261"/>
      <c r="S2618" s="52"/>
      <c r="T2618" s="181"/>
      <c r="U2618" s="52"/>
      <c r="V2618" s="4288"/>
      <c r="W2618" s="1396">
        <v>9.4</v>
      </c>
      <c r="X2618" s="1396">
        <v>9.4</v>
      </c>
      <c r="Y2618" s="1396">
        <v>9.4</v>
      </c>
      <c r="Z2618" s="1396">
        <v>9.4</v>
      </c>
      <c r="AA2618" s="1396">
        <v>9.4</v>
      </c>
      <c r="AB2618" s="250">
        <v>9.8885057471264393</v>
      </c>
      <c r="AC2618" s="212">
        <v>10.084070796460182</v>
      </c>
      <c r="AD2618" s="969">
        <v>10.124561403508777</v>
      </c>
      <c r="AE2618" s="969">
        <v>10.033870967741937</v>
      </c>
      <c r="AF2618" s="271">
        <f t="shared" ref="AF2618:AF2681" si="302">IF(K2618&lt;&gt;"",K2618,"")</f>
        <v>10.033870967741937</v>
      </c>
      <c r="AG2618" s="1396"/>
      <c r="DG2618" s="573"/>
      <c r="DH2618" s="159"/>
      <c r="DI2618" s="1091"/>
      <c r="DJ2618" s="1187"/>
    </row>
    <row r="2619" spans="1:114" ht="15" hidden="1" customHeight="1" outlineLevel="1">
      <c r="A2619" s="453"/>
      <c r="C2619" s="51"/>
      <c r="D2619" s="4295"/>
      <c r="E2619" s="4295"/>
      <c r="F2619" s="4307" t="str">
        <f>$E$1760</f>
        <v>ASHP-SEER18-Replace_CAC_ElectricHeat_ER2_SF</v>
      </c>
      <c r="G2619" s="4307"/>
      <c r="H2619" s="4307"/>
      <c r="I2619" s="4307"/>
      <c r="J2619" s="1029" t="str">
        <f>$C$1760</f>
        <v>354250_2024_12_</v>
      </c>
      <c r="K2619" s="916">
        <v>10.033870967741937</v>
      </c>
      <c r="L2619" s="972"/>
      <c r="M2619" s="1739" t="s">
        <v>1934</v>
      </c>
      <c r="P2619" s="261"/>
      <c r="Q2619" s="209"/>
      <c r="R2619" s="261"/>
      <c r="S2619" s="52"/>
      <c r="T2619" s="181"/>
      <c r="U2619" s="52"/>
      <c r="V2619" s="4288"/>
      <c r="W2619" s="1396">
        <v>9.4</v>
      </c>
      <c r="X2619" s="1396">
        <v>9.4</v>
      </c>
      <c r="Y2619" s="1396">
        <v>9.4</v>
      </c>
      <c r="Z2619" s="1396">
        <v>9.4</v>
      </c>
      <c r="AA2619" s="1396">
        <v>9.4</v>
      </c>
      <c r="AB2619" s="250">
        <v>9.8885057471264393</v>
      </c>
      <c r="AC2619" s="212">
        <f>AC2618</f>
        <v>10.084070796460182</v>
      </c>
      <c r="AD2619" s="969">
        <v>10.124561403508777</v>
      </c>
      <c r="AE2619" s="969">
        <v>10.033870967741937</v>
      </c>
      <c r="AF2619" s="271">
        <f t="shared" si="302"/>
        <v>10.033870967741937</v>
      </c>
      <c r="AG2619" s="1396"/>
      <c r="DG2619" s="573"/>
      <c r="DH2619" s="159"/>
      <c r="DI2619" s="1091"/>
      <c r="DJ2619" s="1187"/>
    </row>
    <row r="2620" spans="1:114" ht="15" hidden="1" customHeight="1" outlineLevel="1">
      <c r="A2620" s="453"/>
      <c r="C2620" s="51"/>
      <c r="D2620" s="4295"/>
      <c r="E2620" s="4295"/>
      <c r="F2620" s="4307" t="str">
        <f>$E$1762</f>
        <v>ASHP-SEER18-Replace_CAC_NonElectricHeat_ER1_SF</v>
      </c>
      <c r="G2620" s="4307"/>
      <c r="H2620" s="4307"/>
      <c r="I2620" s="4307"/>
      <c r="J2620" s="1029" t="str">
        <f>$C$1762</f>
        <v>354260_2024_12_</v>
      </c>
      <c r="K2620" s="916">
        <v>10.033870967741937</v>
      </c>
      <c r="L2620" s="972"/>
      <c r="M2620" s="1739" t="s">
        <v>1934</v>
      </c>
      <c r="P2620" s="261"/>
      <c r="Q2620" s="209"/>
      <c r="R2620" s="261"/>
      <c r="S2620" s="52"/>
      <c r="T2620" s="181"/>
      <c r="U2620" s="52"/>
      <c r="V2620" s="4288"/>
      <c r="W2620" s="1396"/>
      <c r="X2620" s="1396"/>
      <c r="Y2620" s="1396"/>
      <c r="Z2620" s="1396"/>
      <c r="AA2620" s="1396"/>
      <c r="AB2620" s="250"/>
      <c r="AC2620" s="212">
        <v>10.084070796460182</v>
      </c>
      <c r="AD2620" s="969">
        <v>10.124561403508777</v>
      </c>
      <c r="AE2620" s="969">
        <v>10.033870967741937</v>
      </c>
      <c r="AF2620" s="271">
        <f t="shared" si="302"/>
        <v>10.033870967741937</v>
      </c>
      <c r="AG2620" s="1396"/>
      <c r="DG2620" s="573"/>
      <c r="DH2620" s="159"/>
      <c r="DI2620" s="1091"/>
      <c r="DJ2620" s="1187"/>
    </row>
    <row r="2621" spans="1:114" ht="15" hidden="1" customHeight="1" outlineLevel="1">
      <c r="A2621" s="453"/>
      <c r="C2621" s="51"/>
      <c r="D2621" s="4295"/>
      <c r="E2621" s="4295"/>
      <c r="F2621" s="4307" t="str">
        <f>$E$1764</f>
        <v>ASHP-SEER18-Replace_CAC_NonElectricHeat_ER2_SF</v>
      </c>
      <c r="G2621" s="4307"/>
      <c r="H2621" s="4307"/>
      <c r="I2621" s="4307"/>
      <c r="J2621" s="1029" t="str">
        <f>$C$1764</f>
        <v>354260_2024_12_</v>
      </c>
      <c r="K2621" s="916">
        <v>10.033870967741937</v>
      </c>
      <c r="L2621" s="972"/>
      <c r="M2621" s="1739" t="s">
        <v>1934</v>
      </c>
      <c r="P2621" s="261"/>
      <c r="Q2621" s="209"/>
      <c r="R2621" s="261"/>
      <c r="S2621" s="52"/>
      <c r="T2621" s="181"/>
      <c r="U2621" s="52"/>
      <c r="V2621" s="4288"/>
      <c r="W2621" s="1396"/>
      <c r="X2621" s="1396"/>
      <c r="Y2621" s="1396"/>
      <c r="Z2621" s="1396"/>
      <c r="AA2621" s="1396"/>
      <c r="AB2621" s="250"/>
      <c r="AC2621" s="212">
        <f>AC2620</f>
        <v>10.084070796460182</v>
      </c>
      <c r="AD2621" s="969">
        <v>10.124561403508777</v>
      </c>
      <c r="AE2621" s="969">
        <v>10.033870967741937</v>
      </c>
      <c r="AF2621" s="271">
        <f t="shared" si="302"/>
        <v>10.033870967741937</v>
      </c>
      <c r="AG2621" s="1396"/>
      <c r="DG2621" s="573"/>
      <c r="DH2621" s="159"/>
      <c r="DI2621" s="1091"/>
      <c r="DJ2621" s="1187"/>
    </row>
    <row r="2622" spans="1:114" ht="15" hidden="1" customHeight="1" outlineLevel="1">
      <c r="A2622" s="453"/>
      <c r="C2622" s="51"/>
      <c r="D2622" s="4295"/>
      <c r="E2622" s="4295"/>
      <c r="F2622" s="4307" t="str">
        <f>$E$1766</f>
        <v>ASHP-SEER18-Replace_CAC_ElectricHeat_ER1_MF</v>
      </c>
      <c r="G2622" s="4307"/>
      <c r="H2622" s="4307"/>
      <c r="I2622" s="4307"/>
      <c r="J2622" s="1029" t="str">
        <f>$C$1766</f>
        <v>354300_2024_12_</v>
      </c>
      <c r="K2622" s="1755">
        <v>10</v>
      </c>
      <c r="L2622" s="972"/>
      <c r="M2622" s="1739" t="s">
        <v>1937</v>
      </c>
      <c r="P2622" s="261"/>
      <c r="Q2622" s="209"/>
      <c r="R2622" s="261"/>
      <c r="S2622" s="52"/>
      <c r="T2622" s="181"/>
      <c r="U2622" s="52"/>
      <c r="V2622" s="4288"/>
      <c r="W2622" s="1396">
        <v>9.4</v>
      </c>
      <c r="X2622" s="1396">
        <v>9.4</v>
      </c>
      <c r="Y2622" s="1396">
        <v>9.4</v>
      </c>
      <c r="Z2622" s="1396">
        <v>9.4</v>
      </c>
      <c r="AA2622" s="1396">
        <v>9.4</v>
      </c>
      <c r="AB2622" s="250">
        <v>10</v>
      </c>
      <c r="AC2622" s="211">
        <v>10</v>
      </c>
      <c r="AD2622" s="211">
        <v>10</v>
      </c>
      <c r="AE2622" s="971">
        <v>10</v>
      </c>
      <c r="AF2622" s="271">
        <f t="shared" si="302"/>
        <v>10</v>
      </c>
      <c r="AG2622" s="1396"/>
      <c r="DG2622" s="573"/>
      <c r="DH2622" s="159"/>
      <c r="DI2622" s="1091"/>
      <c r="DJ2622" s="1187"/>
    </row>
    <row r="2623" spans="1:114" ht="15" hidden="1" customHeight="1" outlineLevel="1">
      <c r="A2623" s="453"/>
      <c r="C2623" s="51"/>
      <c r="D2623" s="4295"/>
      <c r="E2623" s="4295"/>
      <c r="F2623" s="4307" t="str">
        <f>$E$1768</f>
        <v>ASHP-SEER18-Replace_CAC_ElectricHeat_ER2_MF</v>
      </c>
      <c r="G2623" s="4307"/>
      <c r="H2623" s="4307"/>
      <c r="I2623" s="4307"/>
      <c r="J2623" s="1029" t="str">
        <f>$C$1768</f>
        <v>354300_2024_12_</v>
      </c>
      <c r="K2623" s="1755">
        <v>10</v>
      </c>
      <c r="L2623" s="972"/>
      <c r="M2623" s="1739" t="s">
        <v>1937</v>
      </c>
      <c r="P2623" s="261"/>
      <c r="Q2623" s="209"/>
      <c r="R2623" s="261"/>
      <c r="S2623" s="52"/>
      <c r="T2623" s="181"/>
      <c r="U2623" s="52"/>
      <c r="V2623" s="4288"/>
      <c r="W2623" s="1396">
        <v>9.4</v>
      </c>
      <c r="X2623" s="1396">
        <v>9.4</v>
      </c>
      <c r="Y2623" s="1396">
        <v>9.4</v>
      </c>
      <c r="Z2623" s="1396">
        <v>9.4</v>
      </c>
      <c r="AA2623" s="1396">
        <v>9.4</v>
      </c>
      <c r="AB2623" s="250">
        <v>10</v>
      </c>
      <c r="AC2623" s="211">
        <f>AC2622</f>
        <v>10</v>
      </c>
      <c r="AD2623" s="211">
        <v>10</v>
      </c>
      <c r="AE2623" s="971">
        <v>10</v>
      </c>
      <c r="AF2623" s="271">
        <f t="shared" si="302"/>
        <v>10</v>
      </c>
      <c r="AG2623" s="1396"/>
      <c r="DG2623" s="573"/>
      <c r="DH2623" s="159"/>
      <c r="DI2623" s="1091"/>
      <c r="DJ2623" s="1187"/>
    </row>
    <row r="2624" spans="1:114" ht="15" hidden="1" customHeight="1" outlineLevel="1">
      <c r="A2624" s="453"/>
      <c r="C2624" s="51"/>
      <c r="D2624" s="4295"/>
      <c r="E2624" s="4295"/>
      <c r="F2624" s="4347" t="str">
        <f>$E$1770</f>
        <v>ASHP-SEER18-Replace_CAC_ElectricHeat_ER1_MF_CompE</v>
      </c>
      <c r="G2624" s="4347"/>
      <c r="H2624" s="4347"/>
      <c r="I2624" s="4347"/>
      <c r="J2624" s="3471" t="str">
        <f>$C$1770</f>
        <v>354301_2024_12_</v>
      </c>
      <c r="K2624" s="3485">
        <v>10</v>
      </c>
      <c r="L2624" s="3480"/>
      <c r="M2624" s="3483" t="s">
        <v>1945</v>
      </c>
      <c r="P2624" s="261"/>
      <c r="Q2624" s="209"/>
      <c r="R2624" s="261"/>
      <c r="S2624" s="52"/>
      <c r="T2624" s="181"/>
      <c r="U2624" s="52"/>
      <c r="V2624" s="4288"/>
      <c r="W2624" s="1396"/>
      <c r="X2624" s="1396"/>
      <c r="Y2624" s="3265">
        <v>9.4</v>
      </c>
      <c r="Z2624" s="3262">
        <v>9.4</v>
      </c>
      <c r="AA2624" s="3262">
        <v>9.4</v>
      </c>
      <c r="AB2624" s="3487">
        <v>10</v>
      </c>
      <c r="AC2624" s="3286">
        <f>AC2622</f>
        <v>10</v>
      </c>
      <c r="AD2624" s="3286">
        <v>10</v>
      </c>
      <c r="AE2624" s="3486">
        <v>10</v>
      </c>
      <c r="AF2624" s="2236">
        <f t="shared" si="302"/>
        <v>10</v>
      </c>
      <c r="AG2624" s="1396"/>
      <c r="DG2624" s="573"/>
      <c r="DH2624" s="159"/>
      <c r="DI2624" s="1091"/>
      <c r="DJ2624" s="1187"/>
    </row>
    <row r="2625" spans="1:114" ht="15" hidden="1" customHeight="1" outlineLevel="1">
      <c r="A2625" s="453"/>
      <c r="C2625" s="51"/>
      <c r="D2625" s="4295"/>
      <c r="E2625" s="4295"/>
      <c r="F2625" s="4347" t="str">
        <f>$E$1772</f>
        <v>ASHP-SEER18-Replace_CAC_ElectricHeat_ER2_MF_CompE</v>
      </c>
      <c r="G2625" s="4347"/>
      <c r="H2625" s="4347"/>
      <c r="I2625" s="4347"/>
      <c r="J2625" s="3471" t="str">
        <f>$C$1772</f>
        <v>354301_2024_12_</v>
      </c>
      <c r="K2625" s="3485">
        <v>10</v>
      </c>
      <c r="L2625" s="3480"/>
      <c r="M2625" s="3483" t="s">
        <v>1945</v>
      </c>
      <c r="P2625" s="261"/>
      <c r="Q2625" s="209"/>
      <c r="R2625" s="261"/>
      <c r="S2625" s="52"/>
      <c r="T2625" s="181"/>
      <c r="U2625" s="52"/>
      <c r="V2625" s="4288"/>
      <c r="W2625" s="1396"/>
      <c r="X2625" s="1396"/>
      <c r="Y2625" s="3265">
        <v>9.4</v>
      </c>
      <c r="Z2625" s="3262">
        <v>9.4</v>
      </c>
      <c r="AA2625" s="3262">
        <v>9.4</v>
      </c>
      <c r="AB2625" s="3487">
        <v>10</v>
      </c>
      <c r="AC2625" s="3286">
        <f>AC2623</f>
        <v>10</v>
      </c>
      <c r="AD2625" s="3286">
        <v>10</v>
      </c>
      <c r="AE2625" s="3486">
        <v>10</v>
      </c>
      <c r="AF2625" s="2236">
        <f t="shared" si="302"/>
        <v>10</v>
      </c>
      <c r="AG2625" s="1396"/>
      <c r="DG2625" s="573"/>
      <c r="DH2625" s="159"/>
      <c r="DI2625" s="1091"/>
      <c r="DJ2625" s="1187"/>
    </row>
    <row r="2626" spans="1:114" ht="15" hidden="1" customHeight="1" outlineLevel="1">
      <c r="A2626" s="453"/>
      <c r="C2626" s="51"/>
      <c r="D2626" s="4295"/>
      <c r="E2626" s="4295"/>
      <c r="F2626" s="4347" t="str">
        <f>$E$1774</f>
        <v>ASHP-SEER18-Replace_CAC_NonElectricHeat_ER1_MF</v>
      </c>
      <c r="G2626" s="4347"/>
      <c r="H2626" s="4347"/>
      <c r="I2626" s="4347"/>
      <c r="J2626" s="3471" t="str">
        <f>$C$1774</f>
        <v>354310_2024_12_</v>
      </c>
      <c r="K2626" s="3485">
        <v>10</v>
      </c>
      <c r="L2626" s="3480"/>
      <c r="M2626" s="3293" t="s">
        <v>1945</v>
      </c>
      <c r="P2626" s="261"/>
      <c r="Q2626" s="209"/>
      <c r="R2626" s="261"/>
      <c r="S2626" s="52"/>
      <c r="T2626" s="181"/>
      <c r="U2626" s="52"/>
      <c r="V2626" s="4288"/>
      <c r="W2626" s="1396"/>
      <c r="X2626" s="1396"/>
      <c r="Y2626" s="3265"/>
      <c r="Z2626" s="3262"/>
      <c r="AA2626" s="3262"/>
      <c r="AB2626" s="3487"/>
      <c r="AC2626" s="3285">
        <v>10</v>
      </c>
      <c r="AD2626" s="3286">
        <v>10</v>
      </c>
      <c r="AE2626" s="3486">
        <v>10</v>
      </c>
      <c r="AF2626" s="2236">
        <f t="shared" si="302"/>
        <v>10</v>
      </c>
      <c r="AG2626" s="1396"/>
      <c r="DG2626" s="573"/>
      <c r="DH2626" s="159"/>
      <c r="DI2626" s="1091"/>
      <c r="DJ2626" s="1187"/>
    </row>
    <row r="2627" spans="1:114" ht="15" hidden="1" customHeight="1" outlineLevel="1">
      <c r="A2627" s="453"/>
      <c r="C2627" s="51"/>
      <c r="D2627" s="4295"/>
      <c r="E2627" s="4295"/>
      <c r="F2627" s="4347" t="str">
        <f>$E$1776</f>
        <v>ASHP-SEER18-Replace_CAC_NonElectricHeat_ER2_MF</v>
      </c>
      <c r="G2627" s="4347"/>
      <c r="H2627" s="4347"/>
      <c r="I2627" s="4347"/>
      <c r="J2627" s="3471" t="str">
        <f>$C$1776</f>
        <v>354310_2024_12_</v>
      </c>
      <c r="K2627" s="3485">
        <v>10</v>
      </c>
      <c r="L2627" s="3480"/>
      <c r="M2627" s="3293" t="s">
        <v>1945</v>
      </c>
      <c r="P2627" s="261"/>
      <c r="Q2627" s="209"/>
      <c r="R2627" s="261"/>
      <c r="S2627" s="52"/>
      <c r="T2627" s="181"/>
      <c r="U2627" s="52"/>
      <c r="V2627" s="4288"/>
      <c r="W2627" s="1396"/>
      <c r="X2627" s="1396"/>
      <c r="Y2627" s="3265"/>
      <c r="Z2627" s="3262"/>
      <c r="AA2627" s="3262"/>
      <c r="AB2627" s="3487"/>
      <c r="AC2627" s="3285">
        <f>AC2626</f>
        <v>10</v>
      </c>
      <c r="AD2627" s="3286">
        <v>10</v>
      </c>
      <c r="AE2627" s="3486">
        <v>10</v>
      </c>
      <c r="AF2627" s="2236">
        <f t="shared" si="302"/>
        <v>10</v>
      </c>
      <c r="AG2627" s="1396"/>
      <c r="DG2627" s="573"/>
      <c r="DH2627" s="159"/>
      <c r="DI2627" s="1091"/>
      <c r="DJ2627" s="1187"/>
    </row>
    <row r="2628" spans="1:114" ht="15" hidden="1" customHeight="1" outlineLevel="1">
      <c r="A2628" s="453"/>
      <c r="C2628" s="51"/>
      <c r="D2628" s="4295"/>
      <c r="E2628" s="4295"/>
      <c r="F2628" s="4347" t="str">
        <f>$E$1778</f>
        <v>ASHP-SEER18-Replace_CAC_NonElectricHeat_ER1_MF_CompE</v>
      </c>
      <c r="G2628" s="4347"/>
      <c r="H2628" s="4347"/>
      <c r="I2628" s="4347"/>
      <c r="J2628" s="3471" t="str">
        <f>$C$1778</f>
        <v>354311_2024_12_</v>
      </c>
      <c r="K2628" s="3485">
        <v>10</v>
      </c>
      <c r="L2628" s="3480"/>
      <c r="M2628" s="3293" t="s">
        <v>1945</v>
      </c>
      <c r="P2628" s="261"/>
      <c r="Q2628" s="209"/>
      <c r="R2628" s="261"/>
      <c r="S2628" s="52"/>
      <c r="T2628" s="181"/>
      <c r="U2628" s="52"/>
      <c r="V2628" s="4288"/>
      <c r="W2628" s="1396"/>
      <c r="X2628" s="1396"/>
      <c r="Y2628" s="3265"/>
      <c r="Z2628" s="3262"/>
      <c r="AA2628" s="3262"/>
      <c r="AB2628" s="3487"/>
      <c r="AC2628" s="3285">
        <f>AC2626</f>
        <v>10</v>
      </c>
      <c r="AD2628" s="3286">
        <v>10</v>
      </c>
      <c r="AE2628" s="3486">
        <v>10</v>
      </c>
      <c r="AF2628" s="2236">
        <f t="shared" si="302"/>
        <v>10</v>
      </c>
      <c r="AG2628" s="1396"/>
      <c r="DG2628" s="573"/>
      <c r="DH2628" s="159"/>
      <c r="DI2628" s="1091"/>
      <c r="DJ2628" s="1187"/>
    </row>
    <row r="2629" spans="1:114" ht="15" hidden="1" customHeight="1" outlineLevel="1">
      <c r="A2629" s="453"/>
      <c r="C2629" s="51"/>
      <c r="D2629" s="4295"/>
      <c r="E2629" s="4295"/>
      <c r="F2629" s="4347" t="str">
        <f>$E$1780</f>
        <v>ASHP-SEER18-Replace_CAC_NonElectricHeat_ER2_MF_CompE</v>
      </c>
      <c r="G2629" s="4347"/>
      <c r="H2629" s="4347"/>
      <c r="I2629" s="4347"/>
      <c r="J2629" s="3471" t="str">
        <f>$C$1780</f>
        <v>354311_2024_12_</v>
      </c>
      <c r="K2629" s="3485">
        <v>10</v>
      </c>
      <c r="L2629" s="3480"/>
      <c r="M2629" s="3293" t="s">
        <v>1945</v>
      </c>
      <c r="P2629" s="261"/>
      <c r="Q2629" s="209"/>
      <c r="R2629" s="261"/>
      <c r="S2629" s="52"/>
      <c r="T2629" s="181"/>
      <c r="U2629" s="52"/>
      <c r="V2629" s="4288"/>
      <c r="W2629" s="1396"/>
      <c r="X2629" s="1396"/>
      <c r="Y2629" s="3265"/>
      <c r="Z2629" s="3262"/>
      <c r="AA2629" s="3262"/>
      <c r="AB2629" s="3487"/>
      <c r="AC2629" s="3285">
        <f>AC2627</f>
        <v>10</v>
      </c>
      <c r="AD2629" s="3286">
        <v>10</v>
      </c>
      <c r="AE2629" s="3486">
        <v>10</v>
      </c>
      <c r="AF2629" s="2236">
        <f t="shared" si="302"/>
        <v>10</v>
      </c>
      <c r="AG2629" s="1396"/>
      <c r="DG2629" s="573"/>
      <c r="DH2629" s="159"/>
      <c r="DI2629" s="1091"/>
      <c r="DJ2629" s="1187"/>
    </row>
    <row r="2630" spans="1:114" ht="15" hidden="1" customHeight="1" outlineLevel="1">
      <c r="A2630" s="453"/>
      <c r="C2630" s="51"/>
      <c r="D2630" s="4295"/>
      <c r="E2630" s="4295"/>
      <c r="F2630" s="4307" t="str">
        <f>$E$1782</f>
        <v>ASHP-SEER18_ER1_MF</v>
      </c>
      <c r="G2630" s="4307"/>
      <c r="H2630" s="4307"/>
      <c r="I2630" s="4307"/>
      <c r="J2630" s="1029" t="str">
        <f>$C$1782</f>
        <v>354350_2024_12_</v>
      </c>
      <c r="K2630" s="916">
        <v>10</v>
      </c>
      <c r="L2630" s="972"/>
      <c r="M2630" s="1739" t="s">
        <v>1937</v>
      </c>
      <c r="P2630" s="261"/>
      <c r="Q2630" s="209"/>
      <c r="R2630" s="261"/>
      <c r="S2630" s="52"/>
      <c r="T2630" s="181"/>
      <c r="U2630" s="52"/>
      <c r="V2630" s="4288"/>
      <c r="W2630" s="1396">
        <v>9.5</v>
      </c>
      <c r="X2630" s="1396">
        <v>9.5</v>
      </c>
      <c r="Y2630" s="1396">
        <v>9.5</v>
      </c>
      <c r="Z2630" s="1396">
        <v>9.5</v>
      </c>
      <c r="AA2630" s="1396">
        <v>9.5</v>
      </c>
      <c r="AB2630" s="733">
        <v>9.5</v>
      </c>
      <c r="AC2630" s="211">
        <v>9.5</v>
      </c>
      <c r="AD2630" s="969">
        <v>10</v>
      </c>
      <c r="AE2630" s="970">
        <v>10</v>
      </c>
      <c r="AF2630" s="271">
        <f t="shared" si="302"/>
        <v>10</v>
      </c>
      <c r="AG2630" s="1396"/>
      <c r="DG2630" s="573"/>
      <c r="DH2630" s="159"/>
      <c r="DI2630" s="1091"/>
      <c r="DJ2630" s="1187"/>
    </row>
    <row r="2631" spans="1:114" ht="15" hidden="1" customHeight="1" outlineLevel="1">
      <c r="A2631" s="453"/>
      <c r="C2631" s="51"/>
      <c r="D2631" s="4295"/>
      <c r="E2631" s="4295"/>
      <c r="F2631" s="4307" t="str">
        <f>$E$1784</f>
        <v>ASHP-SEER18_ER2_MF</v>
      </c>
      <c r="G2631" s="4307"/>
      <c r="H2631" s="4307"/>
      <c r="I2631" s="4307"/>
      <c r="J2631" s="1029" t="str">
        <f>$C$1784</f>
        <v>354350_2024_12_</v>
      </c>
      <c r="K2631" s="916">
        <v>10</v>
      </c>
      <c r="L2631" s="972"/>
      <c r="M2631" s="1739" t="s">
        <v>1937</v>
      </c>
      <c r="P2631" s="261"/>
      <c r="Q2631" s="209"/>
      <c r="R2631" s="261"/>
      <c r="S2631" s="52"/>
      <c r="T2631" s="181"/>
      <c r="U2631" s="52"/>
      <c r="V2631" s="4288"/>
      <c r="W2631" s="1396">
        <v>9.5</v>
      </c>
      <c r="X2631" s="1396">
        <v>9.5</v>
      </c>
      <c r="Y2631" s="1396">
        <v>9.5</v>
      </c>
      <c r="Z2631" s="1396">
        <v>9.5</v>
      </c>
      <c r="AA2631" s="1396">
        <v>9.5</v>
      </c>
      <c r="AB2631" s="733">
        <v>9.5</v>
      </c>
      <c r="AC2631" s="211">
        <f>AC2630</f>
        <v>9.5</v>
      </c>
      <c r="AD2631" s="969">
        <v>10</v>
      </c>
      <c r="AE2631" s="970">
        <v>10</v>
      </c>
      <c r="AF2631" s="271">
        <f t="shared" si="302"/>
        <v>10</v>
      </c>
      <c r="AG2631" s="1396"/>
      <c r="DG2631" s="573"/>
      <c r="DH2631" s="159"/>
      <c r="DI2631" s="1091"/>
      <c r="DJ2631" s="1187"/>
    </row>
    <row r="2632" spans="1:114" ht="15" hidden="1" customHeight="1" outlineLevel="1">
      <c r="A2632" s="453"/>
      <c r="C2632" s="51"/>
      <c r="D2632" s="4295"/>
      <c r="E2632" s="4295"/>
      <c r="F2632" s="4347" t="str">
        <f>$E$1786</f>
        <v>ASHP-SEER18_ER1_MF_CompE</v>
      </c>
      <c r="G2632" s="4347"/>
      <c r="H2632" s="4347"/>
      <c r="I2632" s="4347"/>
      <c r="J2632" s="3471" t="str">
        <f>$C$1786</f>
        <v>354351_2024_12_</v>
      </c>
      <c r="K2632" s="3337">
        <v>10</v>
      </c>
      <c r="L2632" s="3480"/>
      <c r="M2632" s="3293" t="s">
        <v>1945</v>
      </c>
      <c r="P2632" s="261"/>
      <c r="Q2632" s="209"/>
      <c r="R2632" s="261"/>
      <c r="S2632" s="52"/>
      <c r="T2632" s="181"/>
      <c r="U2632" s="52"/>
      <c r="V2632" s="4288"/>
      <c r="W2632" s="3262"/>
      <c r="X2632" s="3262"/>
      <c r="Y2632" s="3265">
        <v>9.5</v>
      </c>
      <c r="Z2632" s="3262">
        <v>9.5</v>
      </c>
      <c r="AA2632" s="3262">
        <v>9.5</v>
      </c>
      <c r="AB2632" s="3262">
        <v>9.5</v>
      </c>
      <c r="AC2632" s="3286">
        <v>9.5</v>
      </c>
      <c r="AD2632" s="3482">
        <v>10</v>
      </c>
      <c r="AE2632" s="3484">
        <v>10</v>
      </c>
      <c r="AF2632" s="2236">
        <f t="shared" si="302"/>
        <v>10</v>
      </c>
      <c r="AG2632" s="1396"/>
      <c r="DG2632" s="573"/>
      <c r="DH2632" s="159"/>
      <c r="DI2632" s="1091"/>
      <c r="DJ2632" s="1187"/>
    </row>
    <row r="2633" spans="1:114" ht="15" hidden="1" customHeight="1" outlineLevel="1">
      <c r="A2633" s="453"/>
      <c r="C2633" s="51"/>
      <c r="D2633" s="4295"/>
      <c r="E2633" s="4295"/>
      <c r="F2633" s="4347" t="str">
        <f>$E$1788</f>
        <v>ASHP-SEER18_ER2_MF_CompE</v>
      </c>
      <c r="G2633" s="4347"/>
      <c r="H2633" s="4347"/>
      <c r="I2633" s="4347"/>
      <c r="J2633" s="3471" t="str">
        <f>$C$1788</f>
        <v>354351_2024_12_</v>
      </c>
      <c r="K2633" s="3337">
        <v>10</v>
      </c>
      <c r="L2633" s="3480"/>
      <c r="M2633" s="3293" t="s">
        <v>1945</v>
      </c>
      <c r="P2633" s="261"/>
      <c r="Q2633" s="209"/>
      <c r="R2633" s="261"/>
      <c r="S2633" s="52"/>
      <c r="T2633" s="181"/>
      <c r="U2633" s="52"/>
      <c r="V2633" s="4288"/>
      <c r="W2633" s="3262"/>
      <c r="X2633" s="3262"/>
      <c r="Y2633" s="3265">
        <v>9.5</v>
      </c>
      <c r="Z2633" s="3262">
        <v>9.5</v>
      </c>
      <c r="AA2633" s="3262">
        <v>9.5</v>
      </c>
      <c r="AB2633" s="3262">
        <v>9.5</v>
      </c>
      <c r="AC2633" s="3286">
        <v>9.5</v>
      </c>
      <c r="AD2633" s="3482">
        <v>10</v>
      </c>
      <c r="AE2633" s="3484">
        <v>10</v>
      </c>
      <c r="AF2633" s="2236">
        <f t="shared" si="302"/>
        <v>10</v>
      </c>
      <c r="AG2633" s="1396"/>
      <c r="DG2633" s="573"/>
      <c r="DH2633" s="159"/>
      <c r="DI2633" s="1091"/>
      <c r="DJ2633" s="1187"/>
    </row>
    <row r="2634" spans="1:114" ht="15" hidden="1" customHeight="1" outlineLevel="1">
      <c r="A2634" s="453"/>
      <c r="C2634" s="51"/>
      <c r="D2634" s="4295"/>
      <c r="E2634" s="4295"/>
      <c r="F2634" s="4307" t="str">
        <f>$E$1790</f>
        <v>ASHP-SEER19-Replace_CAC_ElectricHeat_ER1_SF</v>
      </c>
      <c r="G2634" s="4307"/>
      <c r="H2634" s="4307"/>
      <c r="I2634" s="4307"/>
      <c r="J2634" s="1029" t="str">
        <f>$C$1790</f>
        <v>354400_2024_12_</v>
      </c>
      <c r="K2634" s="916">
        <v>10.081818181818182</v>
      </c>
      <c r="L2634" s="972"/>
      <c r="M2634" s="1739" t="s">
        <v>1934</v>
      </c>
      <c r="P2634" s="261"/>
      <c r="Q2634" s="209"/>
      <c r="R2634" s="261"/>
      <c r="S2634" s="52"/>
      <c r="T2634" s="181"/>
      <c r="U2634" s="52"/>
      <c r="V2634" s="4288"/>
      <c r="W2634" s="1396">
        <v>9.4</v>
      </c>
      <c r="X2634" s="1396">
        <v>9.4</v>
      </c>
      <c r="Y2634" s="1396">
        <v>9.4</v>
      </c>
      <c r="Z2634" s="1396">
        <v>9.4</v>
      </c>
      <c r="AA2634" s="1396">
        <v>9.4</v>
      </c>
      <c r="AB2634" s="1396">
        <v>9.4</v>
      </c>
      <c r="AC2634" s="212">
        <v>10.099999999999998</v>
      </c>
      <c r="AD2634" s="969">
        <v>9.815151515151511</v>
      </c>
      <c r="AE2634" s="969">
        <v>10.081818181818182</v>
      </c>
      <c r="AF2634" s="271">
        <f t="shared" si="302"/>
        <v>10.081818181818182</v>
      </c>
      <c r="AG2634" s="1396"/>
      <c r="DG2634" s="573"/>
      <c r="DH2634" s="159"/>
      <c r="DI2634" s="1091"/>
      <c r="DJ2634" s="1187"/>
    </row>
    <row r="2635" spans="1:114" ht="15" hidden="1" customHeight="1" outlineLevel="1">
      <c r="A2635" s="453"/>
      <c r="C2635" s="51"/>
      <c r="D2635" s="4295"/>
      <c r="E2635" s="4295"/>
      <c r="F2635" s="4307" t="str">
        <f>$E$1792</f>
        <v>ASHP-SEER19-Replace_CAC_ElectricHeat_ER2_SF</v>
      </c>
      <c r="G2635" s="4307"/>
      <c r="H2635" s="4307"/>
      <c r="I2635" s="4307"/>
      <c r="J2635" s="1029" t="str">
        <f>$C$1792</f>
        <v>354400_2024_12_</v>
      </c>
      <c r="K2635" s="916">
        <v>10.081818181818182</v>
      </c>
      <c r="L2635" s="972"/>
      <c r="M2635" s="1739" t="s">
        <v>1934</v>
      </c>
      <c r="P2635" s="261"/>
      <c r="Q2635" s="209"/>
      <c r="R2635" s="261"/>
      <c r="S2635" s="52"/>
      <c r="T2635" s="181"/>
      <c r="U2635" s="52"/>
      <c r="V2635" s="4288"/>
      <c r="W2635" s="1396">
        <v>9.4</v>
      </c>
      <c r="X2635" s="1396">
        <v>9.4</v>
      </c>
      <c r="Y2635" s="1396">
        <v>9.4</v>
      </c>
      <c r="Z2635" s="1396">
        <v>9.4</v>
      </c>
      <c r="AA2635" s="1396">
        <v>9.4</v>
      </c>
      <c r="AB2635" s="1396">
        <v>9.4</v>
      </c>
      <c r="AC2635" s="212">
        <f>AC2634</f>
        <v>10.099999999999998</v>
      </c>
      <c r="AD2635" s="969">
        <v>9.815151515151511</v>
      </c>
      <c r="AE2635" s="969">
        <v>10.081818181818182</v>
      </c>
      <c r="AF2635" s="271">
        <f t="shared" si="302"/>
        <v>10.081818181818182</v>
      </c>
      <c r="AG2635" s="1396"/>
      <c r="DG2635" s="573"/>
      <c r="DH2635" s="159"/>
      <c r="DI2635" s="1091"/>
      <c r="DJ2635" s="1187"/>
    </row>
    <row r="2636" spans="1:114" ht="15" hidden="1" customHeight="1" outlineLevel="1">
      <c r="A2636" s="453"/>
      <c r="C2636" s="51"/>
      <c r="D2636" s="4295"/>
      <c r="E2636" s="4295"/>
      <c r="F2636" s="4307" t="str">
        <f>$E$1794</f>
        <v>ASHP-SEER19-Replace_CAC_NonElectricHeat_ER1_SF</v>
      </c>
      <c r="G2636" s="4307"/>
      <c r="H2636" s="4307"/>
      <c r="I2636" s="4307"/>
      <c r="J2636" s="1029" t="str">
        <f>$C$1794</f>
        <v>354410_2024_12_</v>
      </c>
      <c r="K2636" s="1755">
        <v>10.081818181818182</v>
      </c>
      <c r="L2636" s="972"/>
      <c r="M2636" s="1739" t="s">
        <v>1934</v>
      </c>
      <c r="P2636" s="261"/>
      <c r="Q2636" s="209"/>
      <c r="R2636" s="261"/>
      <c r="S2636" s="52"/>
      <c r="T2636" s="181"/>
      <c r="U2636" s="52"/>
      <c r="V2636" s="4288"/>
      <c r="W2636" s="1396"/>
      <c r="X2636" s="1396"/>
      <c r="Y2636" s="1396"/>
      <c r="Z2636" s="1396"/>
      <c r="AA2636" s="1396"/>
      <c r="AB2636" s="1396"/>
      <c r="AC2636" s="212">
        <v>10.099999999999998</v>
      </c>
      <c r="AD2636" s="211">
        <v>10.099999999999998</v>
      </c>
      <c r="AE2636" s="1111">
        <v>10.081818181818182</v>
      </c>
      <c r="AF2636" s="271">
        <f t="shared" si="302"/>
        <v>10.081818181818182</v>
      </c>
      <c r="AG2636" s="1396"/>
      <c r="DG2636" s="573"/>
      <c r="DH2636" s="159"/>
      <c r="DI2636" s="1091"/>
      <c r="DJ2636" s="1187"/>
    </row>
    <row r="2637" spans="1:114" ht="15" hidden="1" customHeight="1" outlineLevel="1">
      <c r="A2637" s="453"/>
      <c r="C2637" s="51"/>
      <c r="D2637" s="4295"/>
      <c r="E2637" s="4295"/>
      <c r="F2637" s="4307" t="str">
        <f>$E$1796</f>
        <v>ASHP-SEER19-Replace_CAC_NonElectricHeat_ER2_SF</v>
      </c>
      <c r="G2637" s="4307"/>
      <c r="H2637" s="4307"/>
      <c r="I2637" s="4307"/>
      <c r="J2637" s="1029" t="str">
        <f>$C$1796</f>
        <v>354410_2024_12_</v>
      </c>
      <c r="K2637" s="1755">
        <v>10.081818181818182</v>
      </c>
      <c r="L2637" s="972"/>
      <c r="M2637" s="1739" t="s">
        <v>1934</v>
      </c>
      <c r="P2637" s="261"/>
      <c r="Q2637" s="209"/>
      <c r="R2637" s="261"/>
      <c r="S2637" s="52"/>
      <c r="T2637" s="181"/>
      <c r="U2637" s="52"/>
      <c r="V2637" s="4288"/>
      <c r="W2637" s="1396"/>
      <c r="X2637" s="1396"/>
      <c r="Y2637" s="1396"/>
      <c r="Z2637" s="1396"/>
      <c r="AA2637" s="1396"/>
      <c r="AB2637" s="1396"/>
      <c r="AC2637" s="212">
        <f>AC2636</f>
        <v>10.099999999999998</v>
      </c>
      <c r="AD2637" s="211">
        <v>10.099999999999998</v>
      </c>
      <c r="AE2637" s="1111">
        <v>10.081818181818182</v>
      </c>
      <c r="AF2637" s="271">
        <f t="shared" si="302"/>
        <v>10.081818181818182</v>
      </c>
      <c r="AG2637" s="1396"/>
      <c r="DG2637" s="573"/>
      <c r="DH2637" s="159"/>
      <c r="DI2637" s="1091"/>
      <c r="DJ2637" s="1187"/>
    </row>
    <row r="2638" spans="1:114" ht="15" hidden="1" customHeight="1" outlineLevel="1">
      <c r="A2638" s="453"/>
      <c r="C2638" s="51"/>
      <c r="D2638" s="4295"/>
      <c r="E2638" s="4295"/>
      <c r="F2638" s="4307" t="str">
        <f>$E$1798</f>
        <v>ASHP-SEER19-Replace_CAC_ElectricHeat_ER1_MF</v>
      </c>
      <c r="G2638" s="4307"/>
      <c r="H2638" s="4307"/>
      <c r="I2638" s="4307"/>
      <c r="J2638" s="1029" t="str">
        <f>$C$1798</f>
        <v>354450_2024_12_</v>
      </c>
      <c r="K2638" s="1755">
        <v>9.4</v>
      </c>
      <c r="L2638" s="972"/>
      <c r="M2638" s="1740" t="s">
        <v>1945</v>
      </c>
      <c r="P2638" s="261"/>
      <c r="Q2638" s="209"/>
      <c r="R2638" s="261"/>
      <c r="S2638" s="52"/>
      <c r="T2638" s="181"/>
      <c r="U2638" s="52"/>
      <c r="V2638" s="4288"/>
      <c r="W2638" s="1396">
        <v>9.4</v>
      </c>
      <c r="X2638" s="1396">
        <v>9.4</v>
      </c>
      <c r="Y2638" s="1396">
        <v>9.4</v>
      </c>
      <c r="Z2638" s="1396">
        <v>9.4</v>
      </c>
      <c r="AA2638" s="1396">
        <v>9.4</v>
      </c>
      <c r="AB2638" s="1396">
        <v>9.4</v>
      </c>
      <c r="AC2638" s="211">
        <v>9.4</v>
      </c>
      <c r="AD2638" s="211">
        <v>9.4</v>
      </c>
      <c r="AE2638" s="971">
        <v>9.4</v>
      </c>
      <c r="AF2638" s="271">
        <f t="shared" si="302"/>
        <v>9.4</v>
      </c>
      <c r="AG2638" s="1396"/>
      <c r="DG2638" s="573"/>
      <c r="DH2638" s="159"/>
      <c r="DI2638" s="1091"/>
      <c r="DJ2638" s="1187"/>
    </row>
    <row r="2639" spans="1:114" ht="15" hidden="1" customHeight="1" outlineLevel="1">
      <c r="A2639" s="453"/>
      <c r="C2639" s="51"/>
      <c r="D2639" s="4295"/>
      <c r="E2639" s="4295"/>
      <c r="F2639" s="4307" t="str">
        <f>$E$1800</f>
        <v>ASHP-SEER19-Replace_CAC_ElectricHeat_ER2_MF</v>
      </c>
      <c r="G2639" s="4307"/>
      <c r="H2639" s="4307"/>
      <c r="I2639" s="4307"/>
      <c r="J2639" s="1029" t="str">
        <f>$C$1800</f>
        <v>354450_2024_12_</v>
      </c>
      <c r="K2639" s="1755">
        <v>9.4</v>
      </c>
      <c r="L2639" s="972"/>
      <c r="M2639" s="1740" t="s">
        <v>1945</v>
      </c>
      <c r="P2639" s="261"/>
      <c r="Q2639" s="209"/>
      <c r="R2639" s="261"/>
      <c r="S2639" s="52"/>
      <c r="T2639" s="181"/>
      <c r="U2639" s="52"/>
      <c r="V2639" s="4288"/>
      <c r="W2639" s="1396">
        <v>9.4</v>
      </c>
      <c r="X2639" s="1396">
        <v>9.4</v>
      </c>
      <c r="Y2639" s="1396">
        <v>9.4</v>
      </c>
      <c r="Z2639" s="1396">
        <v>9.4</v>
      </c>
      <c r="AA2639" s="1396">
        <v>9.4</v>
      </c>
      <c r="AB2639" s="1396">
        <v>9.4</v>
      </c>
      <c r="AC2639" s="211">
        <v>9.4</v>
      </c>
      <c r="AD2639" s="211">
        <v>9.4</v>
      </c>
      <c r="AE2639" s="971">
        <v>9.4</v>
      </c>
      <c r="AF2639" s="271">
        <f t="shared" si="302"/>
        <v>9.4</v>
      </c>
      <c r="AG2639" s="1396"/>
      <c r="DG2639" s="573"/>
      <c r="DH2639" s="159"/>
      <c r="DI2639" s="1091"/>
      <c r="DJ2639" s="1187"/>
    </row>
    <row r="2640" spans="1:114" ht="15" hidden="1" customHeight="1" outlineLevel="1">
      <c r="A2640" s="453"/>
      <c r="C2640" s="51"/>
      <c r="D2640" s="4295"/>
      <c r="E2640" s="4295"/>
      <c r="F2640" s="4347" t="str">
        <f>$E$1802</f>
        <v>ASHP-SEER19-Replace_CAC_ElectricHeat_ER1_MF_CompE</v>
      </c>
      <c r="G2640" s="4347"/>
      <c r="H2640" s="4347"/>
      <c r="I2640" s="4347"/>
      <c r="J2640" s="3471" t="str">
        <f>$C$1802</f>
        <v>354451_2024_12_</v>
      </c>
      <c r="K2640" s="3485">
        <v>9.4</v>
      </c>
      <c r="L2640" s="3480"/>
      <c r="M2640" s="3293" t="s">
        <v>1945</v>
      </c>
      <c r="P2640" s="261"/>
      <c r="Q2640" s="209"/>
      <c r="R2640" s="261"/>
      <c r="S2640" s="52"/>
      <c r="T2640" s="181"/>
      <c r="U2640" s="52"/>
      <c r="V2640" s="4288"/>
      <c r="W2640" s="1396"/>
      <c r="X2640" s="1396"/>
      <c r="Y2640" s="3265">
        <v>9.4</v>
      </c>
      <c r="Z2640" s="3262">
        <v>9.4</v>
      </c>
      <c r="AA2640" s="3262">
        <v>9.4</v>
      </c>
      <c r="AB2640" s="3262">
        <v>9.4</v>
      </c>
      <c r="AC2640" s="3286">
        <v>9.4</v>
      </c>
      <c r="AD2640" s="3286">
        <v>9.4</v>
      </c>
      <c r="AE2640" s="3486">
        <v>9.4</v>
      </c>
      <c r="AF2640" s="2236">
        <f t="shared" si="302"/>
        <v>9.4</v>
      </c>
      <c r="AG2640" s="1396"/>
      <c r="DG2640" s="573"/>
      <c r="DH2640" s="159"/>
      <c r="DI2640" s="1091"/>
      <c r="DJ2640" s="1187"/>
    </row>
    <row r="2641" spans="1:114" ht="15" hidden="1" customHeight="1" outlineLevel="1">
      <c r="A2641" s="453"/>
      <c r="C2641" s="51"/>
      <c r="D2641" s="4295"/>
      <c r="E2641" s="4295"/>
      <c r="F2641" s="4347" t="str">
        <f>$E$1804</f>
        <v>ASHP-SEER19-Replace_CAC_ElectricHeat_ER2_MF_CompE</v>
      </c>
      <c r="G2641" s="4347"/>
      <c r="H2641" s="4347"/>
      <c r="I2641" s="4347"/>
      <c r="J2641" s="3471" t="str">
        <f>$C$1804</f>
        <v>354451_2024_12_</v>
      </c>
      <c r="K2641" s="3485">
        <v>9.4</v>
      </c>
      <c r="L2641" s="3480"/>
      <c r="M2641" s="3293" t="s">
        <v>1945</v>
      </c>
      <c r="P2641" s="261"/>
      <c r="Q2641" s="209"/>
      <c r="R2641" s="261"/>
      <c r="S2641" s="52"/>
      <c r="T2641" s="181"/>
      <c r="U2641" s="52"/>
      <c r="V2641" s="4288"/>
      <c r="W2641" s="1396"/>
      <c r="X2641" s="1396"/>
      <c r="Y2641" s="3265">
        <v>9.4</v>
      </c>
      <c r="Z2641" s="3262">
        <v>9.4</v>
      </c>
      <c r="AA2641" s="3262">
        <v>9.4</v>
      </c>
      <c r="AB2641" s="3262">
        <v>9.4</v>
      </c>
      <c r="AC2641" s="3286">
        <v>9.4</v>
      </c>
      <c r="AD2641" s="3286">
        <v>9.4</v>
      </c>
      <c r="AE2641" s="3486">
        <v>9.4</v>
      </c>
      <c r="AF2641" s="2236">
        <f t="shared" si="302"/>
        <v>9.4</v>
      </c>
      <c r="AG2641" s="1396"/>
      <c r="DG2641" s="573"/>
      <c r="DH2641" s="159"/>
      <c r="DI2641" s="1091"/>
      <c r="DJ2641" s="1187"/>
    </row>
    <row r="2642" spans="1:114" ht="15" hidden="1" customHeight="1" outlineLevel="1">
      <c r="A2642" s="453"/>
      <c r="C2642" s="51"/>
      <c r="D2642" s="4295"/>
      <c r="E2642" s="4295"/>
      <c r="F2642" s="4347" t="str">
        <f>$E$1806</f>
        <v>ASHP-SEER19-Replace_CAC_NonElectricHeat_ER1_MF</v>
      </c>
      <c r="G2642" s="4347"/>
      <c r="H2642" s="4347"/>
      <c r="I2642" s="4347"/>
      <c r="J2642" s="3471" t="str">
        <f>$C$1806</f>
        <v>354460_2024_12_</v>
      </c>
      <c r="K2642" s="3485">
        <v>9.4</v>
      </c>
      <c r="L2642" s="3480"/>
      <c r="M2642" s="3293" t="s">
        <v>1945</v>
      </c>
      <c r="P2642" s="261"/>
      <c r="Q2642" s="209"/>
      <c r="R2642" s="261"/>
      <c r="S2642" s="52"/>
      <c r="T2642" s="181"/>
      <c r="U2642" s="52"/>
      <c r="V2642" s="4288"/>
      <c r="W2642" s="1396"/>
      <c r="X2642" s="1396"/>
      <c r="Y2642" s="3265"/>
      <c r="Z2642" s="3262"/>
      <c r="AA2642" s="3262"/>
      <c r="AB2642" s="3262"/>
      <c r="AC2642" s="3285">
        <v>9.4</v>
      </c>
      <c r="AD2642" s="3286">
        <v>9.4</v>
      </c>
      <c r="AE2642" s="3486">
        <v>9.4</v>
      </c>
      <c r="AF2642" s="2236">
        <f t="shared" si="302"/>
        <v>9.4</v>
      </c>
      <c r="AG2642" s="1396"/>
      <c r="DG2642" s="573"/>
      <c r="DH2642" s="159"/>
      <c r="DI2642" s="1091"/>
      <c r="DJ2642" s="1187"/>
    </row>
    <row r="2643" spans="1:114" ht="15" hidden="1" customHeight="1" outlineLevel="1">
      <c r="A2643" s="453"/>
      <c r="C2643" s="51"/>
      <c r="D2643" s="4295"/>
      <c r="E2643" s="4295"/>
      <c r="F2643" s="4347" t="str">
        <f>$E$1808</f>
        <v>ASHP-SEER19-Replace_CAC_NonElectricHeat_ER2_MF</v>
      </c>
      <c r="G2643" s="4347"/>
      <c r="H2643" s="4347"/>
      <c r="I2643" s="4347"/>
      <c r="J2643" s="3471" t="str">
        <f>$C$1808</f>
        <v>354460_2024_12_</v>
      </c>
      <c r="K2643" s="3485">
        <v>9.4</v>
      </c>
      <c r="L2643" s="3480"/>
      <c r="M2643" s="3293" t="s">
        <v>1945</v>
      </c>
      <c r="P2643" s="261"/>
      <c r="Q2643" s="209"/>
      <c r="R2643" s="261"/>
      <c r="S2643" s="52"/>
      <c r="T2643" s="181"/>
      <c r="U2643" s="52"/>
      <c r="V2643" s="4288"/>
      <c r="W2643" s="1396"/>
      <c r="X2643" s="1396"/>
      <c r="Y2643" s="3265"/>
      <c r="Z2643" s="3262"/>
      <c r="AA2643" s="3262"/>
      <c r="AB2643" s="3262"/>
      <c r="AC2643" s="3285">
        <v>9.4</v>
      </c>
      <c r="AD2643" s="3286">
        <v>9.4</v>
      </c>
      <c r="AE2643" s="3486">
        <v>9.4</v>
      </c>
      <c r="AF2643" s="2236">
        <f t="shared" si="302"/>
        <v>9.4</v>
      </c>
      <c r="AG2643" s="1396"/>
      <c r="DG2643" s="573"/>
      <c r="DH2643" s="159"/>
      <c r="DI2643" s="1091"/>
      <c r="DJ2643" s="1187"/>
    </row>
    <row r="2644" spans="1:114" ht="15" hidden="1" customHeight="1" outlineLevel="1">
      <c r="A2644" s="453"/>
      <c r="C2644" s="51"/>
      <c r="D2644" s="4295"/>
      <c r="E2644" s="4295"/>
      <c r="F2644" s="4347" t="str">
        <f>$E$1810</f>
        <v>ASHP-SEER19-Replace_CAC_NonElectricHeat_ER1_MF_CompE</v>
      </c>
      <c r="G2644" s="4347"/>
      <c r="H2644" s="4347"/>
      <c r="I2644" s="4347"/>
      <c r="J2644" s="3471" t="str">
        <f>$C$1810</f>
        <v>354461_2024_12_</v>
      </c>
      <c r="K2644" s="3485">
        <v>9.4</v>
      </c>
      <c r="L2644" s="3480"/>
      <c r="M2644" s="3293" t="s">
        <v>1945</v>
      </c>
      <c r="P2644" s="261"/>
      <c r="Q2644" s="209"/>
      <c r="R2644" s="261"/>
      <c r="S2644" s="52"/>
      <c r="T2644" s="181"/>
      <c r="U2644" s="52"/>
      <c r="V2644" s="4288"/>
      <c r="W2644" s="1396"/>
      <c r="X2644" s="1396"/>
      <c r="Y2644" s="3265"/>
      <c r="Z2644" s="3262"/>
      <c r="AA2644" s="3262"/>
      <c r="AB2644" s="3262"/>
      <c r="AC2644" s="3285">
        <v>9.4</v>
      </c>
      <c r="AD2644" s="3286">
        <v>9.4</v>
      </c>
      <c r="AE2644" s="3486">
        <v>9.4</v>
      </c>
      <c r="AF2644" s="2236">
        <f t="shared" si="302"/>
        <v>9.4</v>
      </c>
      <c r="AG2644" s="1396"/>
      <c r="DG2644" s="573"/>
      <c r="DH2644" s="159"/>
      <c r="DI2644" s="1091"/>
      <c r="DJ2644" s="1187"/>
    </row>
    <row r="2645" spans="1:114" ht="15" hidden="1" customHeight="1" outlineLevel="1">
      <c r="A2645" s="453"/>
      <c r="C2645" s="51"/>
      <c r="D2645" s="4295"/>
      <c r="E2645" s="4295"/>
      <c r="F2645" s="4347" t="str">
        <f>$E$1812</f>
        <v>ASHP-SEER19-Replace_CAC_NonElectricHeat_ER2_MF_CompE</v>
      </c>
      <c r="G2645" s="4347"/>
      <c r="H2645" s="4347"/>
      <c r="I2645" s="4347"/>
      <c r="J2645" s="3471" t="str">
        <f>$C$1812</f>
        <v>354461_2024_12_</v>
      </c>
      <c r="K2645" s="3485">
        <v>9.4</v>
      </c>
      <c r="L2645" s="3480"/>
      <c r="M2645" s="3293" t="s">
        <v>1945</v>
      </c>
      <c r="P2645" s="261"/>
      <c r="Q2645" s="209"/>
      <c r="R2645" s="261"/>
      <c r="S2645" s="52"/>
      <c r="T2645" s="181"/>
      <c r="U2645" s="52"/>
      <c r="V2645" s="4288"/>
      <c r="W2645" s="1396"/>
      <c r="X2645" s="1396"/>
      <c r="Y2645" s="3265"/>
      <c r="Z2645" s="3262"/>
      <c r="AA2645" s="3262"/>
      <c r="AB2645" s="3262"/>
      <c r="AC2645" s="3285">
        <v>9.4</v>
      </c>
      <c r="AD2645" s="3286">
        <v>9.4</v>
      </c>
      <c r="AE2645" s="3486">
        <v>9.4</v>
      </c>
      <c r="AF2645" s="2236">
        <f t="shared" si="302"/>
        <v>9.4</v>
      </c>
      <c r="AG2645" s="1396"/>
      <c r="DG2645" s="573"/>
      <c r="DH2645" s="159"/>
      <c r="DI2645" s="1091"/>
      <c r="DJ2645" s="1187"/>
    </row>
    <row r="2646" spans="1:114" ht="15" hidden="1" customHeight="1" outlineLevel="1">
      <c r="A2646" s="453"/>
      <c r="C2646" s="51"/>
      <c r="D2646" s="4295"/>
      <c r="E2646" s="4295"/>
      <c r="F2646" s="4307" t="str">
        <f>$E$1814</f>
        <v>ASHP-SEER19_ER1_MF</v>
      </c>
      <c r="G2646" s="4307"/>
      <c r="H2646" s="4307"/>
      <c r="I2646" s="4307"/>
      <c r="J2646" s="1029" t="str">
        <f>$C$1814</f>
        <v>354500_2024_12_</v>
      </c>
      <c r="K2646" s="1755">
        <v>9.5</v>
      </c>
      <c r="L2646" s="972"/>
      <c r="M2646" s="1740" t="s">
        <v>1945</v>
      </c>
      <c r="P2646" s="261"/>
      <c r="Q2646" s="209"/>
      <c r="R2646" s="261"/>
      <c r="S2646" s="52"/>
      <c r="T2646" s="181"/>
      <c r="U2646" s="52"/>
      <c r="V2646" s="4288"/>
      <c r="W2646" s="1396">
        <v>9.5</v>
      </c>
      <c r="X2646" s="1396">
        <v>9.5</v>
      </c>
      <c r="Y2646" s="1396">
        <v>9.5</v>
      </c>
      <c r="Z2646" s="1396">
        <v>9.5</v>
      </c>
      <c r="AA2646" s="1396">
        <v>9.5</v>
      </c>
      <c r="AB2646" s="1396">
        <v>9.5</v>
      </c>
      <c r="AC2646" s="211">
        <v>9.5</v>
      </c>
      <c r="AD2646" s="211">
        <v>9.5</v>
      </c>
      <c r="AE2646" s="971">
        <v>9.5</v>
      </c>
      <c r="AF2646" s="271">
        <f t="shared" si="302"/>
        <v>9.5</v>
      </c>
      <c r="AG2646" s="1396"/>
      <c r="DG2646" s="573"/>
      <c r="DH2646" s="159"/>
      <c r="DI2646" s="1091"/>
      <c r="DJ2646" s="1187"/>
    </row>
    <row r="2647" spans="1:114" ht="15" hidden="1" customHeight="1" outlineLevel="1">
      <c r="A2647" s="453"/>
      <c r="C2647" s="51"/>
      <c r="D2647" s="4295"/>
      <c r="E2647" s="4295"/>
      <c r="F2647" s="4307" t="str">
        <f>$E$1816</f>
        <v>ASHP-SEER19_ER2_MF</v>
      </c>
      <c r="G2647" s="4307"/>
      <c r="H2647" s="4307"/>
      <c r="I2647" s="4307"/>
      <c r="J2647" s="1029" t="str">
        <f>$C$1816</f>
        <v>354500_2024_12_</v>
      </c>
      <c r="K2647" s="1755">
        <v>9.5</v>
      </c>
      <c r="L2647" s="972"/>
      <c r="M2647" s="1740" t="s">
        <v>1945</v>
      </c>
      <c r="P2647" s="261"/>
      <c r="Q2647" s="209"/>
      <c r="R2647" s="261"/>
      <c r="S2647" s="52"/>
      <c r="T2647" s="181"/>
      <c r="U2647" s="52"/>
      <c r="V2647" s="4288"/>
      <c r="W2647" s="1396">
        <v>9.5</v>
      </c>
      <c r="X2647" s="1396">
        <v>9.5</v>
      </c>
      <c r="Y2647" s="1396">
        <v>9.5</v>
      </c>
      <c r="Z2647" s="1396">
        <v>9.5</v>
      </c>
      <c r="AA2647" s="1396">
        <v>9.5</v>
      </c>
      <c r="AB2647" s="1396">
        <v>9.5</v>
      </c>
      <c r="AC2647" s="211">
        <v>9.5</v>
      </c>
      <c r="AD2647" s="211">
        <v>9.5</v>
      </c>
      <c r="AE2647" s="971">
        <v>9.5</v>
      </c>
      <c r="AF2647" s="271">
        <f t="shared" si="302"/>
        <v>9.5</v>
      </c>
      <c r="AG2647" s="1396"/>
      <c r="DG2647" s="573"/>
      <c r="DH2647" s="159"/>
      <c r="DI2647" s="1091"/>
      <c r="DJ2647" s="1187"/>
    </row>
    <row r="2648" spans="1:114" ht="15" hidden="1" customHeight="1" outlineLevel="1">
      <c r="A2648" s="453"/>
      <c r="C2648" s="51"/>
      <c r="D2648" s="4295"/>
      <c r="E2648" s="4295"/>
      <c r="F2648" s="4347" t="str">
        <f>$E$1818</f>
        <v>ASHP-SEER19_ER1_MF_CompE</v>
      </c>
      <c r="G2648" s="4347"/>
      <c r="H2648" s="4347"/>
      <c r="I2648" s="4347"/>
      <c r="J2648" s="3471" t="str">
        <f>$C$1818</f>
        <v>354501_2024_12_</v>
      </c>
      <c r="K2648" s="3485">
        <v>9.5</v>
      </c>
      <c r="L2648" s="3480"/>
      <c r="M2648" s="3293" t="s">
        <v>1945</v>
      </c>
      <c r="P2648" s="261"/>
      <c r="Q2648" s="209"/>
      <c r="R2648" s="261"/>
      <c r="S2648" s="52"/>
      <c r="T2648" s="181"/>
      <c r="U2648" s="52"/>
      <c r="V2648" s="4288"/>
      <c r="W2648" s="3262"/>
      <c r="X2648" s="3262"/>
      <c r="Y2648" s="3265">
        <v>9.5</v>
      </c>
      <c r="Z2648" s="3262">
        <v>9.5</v>
      </c>
      <c r="AA2648" s="3262">
        <v>9.5</v>
      </c>
      <c r="AB2648" s="3262">
        <v>9.5</v>
      </c>
      <c r="AC2648" s="3286">
        <v>9.5</v>
      </c>
      <c r="AD2648" s="3286">
        <v>9.5</v>
      </c>
      <c r="AE2648" s="3486">
        <v>9.5</v>
      </c>
      <c r="AF2648" s="2236">
        <f t="shared" si="302"/>
        <v>9.5</v>
      </c>
      <c r="AG2648" s="1396"/>
      <c r="DG2648" s="573"/>
      <c r="DH2648" s="159"/>
      <c r="DI2648" s="1091"/>
      <c r="DJ2648" s="1187"/>
    </row>
    <row r="2649" spans="1:114" ht="15" hidden="1" customHeight="1" outlineLevel="1">
      <c r="A2649" s="453"/>
      <c r="C2649" s="51"/>
      <c r="D2649" s="4295"/>
      <c r="E2649" s="4295"/>
      <c r="F2649" s="4347" t="str">
        <f>$E$1820</f>
        <v>ASHP-SEER19_ER2_MF_CompE</v>
      </c>
      <c r="G2649" s="4347"/>
      <c r="H2649" s="4347"/>
      <c r="I2649" s="4347"/>
      <c r="J2649" s="3471" t="str">
        <f>$C$1820</f>
        <v>354501_2024_12_</v>
      </c>
      <c r="K2649" s="3485">
        <v>9.5</v>
      </c>
      <c r="L2649" s="3480"/>
      <c r="M2649" s="3293" t="s">
        <v>1945</v>
      </c>
      <c r="P2649" s="261"/>
      <c r="Q2649" s="209"/>
      <c r="R2649" s="261"/>
      <c r="S2649" s="52"/>
      <c r="T2649" s="181"/>
      <c r="U2649" s="52"/>
      <c r="V2649" s="4288"/>
      <c r="W2649" s="3262"/>
      <c r="X2649" s="3262"/>
      <c r="Y2649" s="3265">
        <v>9.5</v>
      </c>
      <c r="Z2649" s="3262">
        <v>9.5</v>
      </c>
      <c r="AA2649" s="3262">
        <v>9.5</v>
      </c>
      <c r="AB2649" s="3262">
        <v>9.5</v>
      </c>
      <c r="AC2649" s="3286">
        <v>9.5</v>
      </c>
      <c r="AD2649" s="3286">
        <v>9.5</v>
      </c>
      <c r="AE2649" s="3486">
        <v>9.5</v>
      </c>
      <c r="AF2649" s="2236">
        <f t="shared" si="302"/>
        <v>9.5</v>
      </c>
      <c r="AG2649" s="1396"/>
      <c r="DG2649" s="573"/>
      <c r="DH2649" s="159"/>
      <c r="DI2649" s="1091"/>
      <c r="DJ2649" s="1187"/>
    </row>
    <row r="2650" spans="1:114" ht="15" hidden="1" customHeight="1" outlineLevel="1">
      <c r="A2650" s="453"/>
      <c r="C2650" s="51"/>
      <c r="D2650" s="4295"/>
      <c r="E2650" s="4295"/>
      <c r="F2650" s="4307" t="str">
        <f>$E$1822</f>
        <v>ASHP-SEER20_ER1_SF</v>
      </c>
      <c r="G2650" s="4307"/>
      <c r="H2650" s="4307"/>
      <c r="I2650" s="4307"/>
      <c r="J2650" s="1029" t="str">
        <f>$C$1822</f>
        <v>354550_2024_12_</v>
      </c>
      <c r="K2650" s="916">
        <v>10.36212121212121</v>
      </c>
      <c r="L2650" s="972"/>
      <c r="M2650" s="1739" t="s">
        <v>1934</v>
      </c>
      <c r="P2650" s="261"/>
      <c r="Q2650" s="209"/>
      <c r="R2650" s="261"/>
      <c r="S2650" s="52"/>
      <c r="T2650" s="181"/>
      <c r="U2650" s="52"/>
      <c r="V2650" s="4288"/>
      <c r="W2650" s="1396">
        <v>9.5</v>
      </c>
      <c r="X2650" s="1396">
        <v>9.5</v>
      </c>
      <c r="Y2650" s="1396">
        <v>9.5</v>
      </c>
      <c r="Z2650" s="1396">
        <v>9.5</v>
      </c>
      <c r="AA2650" s="1396">
        <v>9.5</v>
      </c>
      <c r="AB2650" s="1396">
        <v>9.5</v>
      </c>
      <c r="AC2650" s="212">
        <v>10.5</v>
      </c>
      <c r="AD2650" s="969">
        <v>10.135555555555554</v>
      </c>
      <c r="AE2650" s="969">
        <v>10.36212121212121</v>
      </c>
      <c r="AF2650" s="271">
        <f t="shared" si="302"/>
        <v>10.36212121212121</v>
      </c>
      <c r="AG2650" s="1396"/>
      <c r="DG2650" s="573"/>
      <c r="DH2650" s="159"/>
      <c r="DI2650" s="1091"/>
      <c r="DJ2650" s="1187"/>
    </row>
    <row r="2651" spans="1:114" ht="15" hidden="1" customHeight="1" outlineLevel="1">
      <c r="A2651" s="453"/>
      <c r="C2651" s="51"/>
      <c r="D2651" s="4295"/>
      <c r="E2651" s="4295"/>
      <c r="F2651" s="4307" t="str">
        <f>$E$1824</f>
        <v>ASHP-SEER20_ER2_SF</v>
      </c>
      <c r="G2651" s="4307"/>
      <c r="H2651" s="4307"/>
      <c r="I2651" s="4307"/>
      <c r="J2651" s="1029" t="str">
        <f>$C$1824</f>
        <v>354550_2024_12_</v>
      </c>
      <c r="K2651" s="916">
        <v>10.36212121212121</v>
      </c>
      <c r="L2651" s="972"/>
      <c r="M2651" s="1739" t="s">
        <v>1934</v>
      </c>
      <c r="P2651" s="261"/>
      <c r="Q2651" s="209"/>
      <c r="R2651" s="261"/>
      <c r="S2651" s="52"/>
      <c r="T2651" s="181"/>
      <c r="U2651" s="52"/>
      <c r="V2651" s="4288"/>
      <c r="W2651" s="1396">
        <v>9.5</v>
      </c>
      <c r="X2651" s="1396">
        <v>9.5</v>
      </c>
      <c r="Y2651" s="1396">
        <v>9.5</v>
      </c>
      <c r="Z2651" s="1396">
        <v>9.5</v>
      </c>
      <c r="AA2651" s="1396">
        <v>9.5</v>
      </c>
      <c r="AB2651" s="1396">
        <v>9.5</v>
      </c>
      <c r="AC2651" s="212">
        <f>AC2650</f>
        <v>10.5</v>
      </c>
      <c r="AD2651" s="969">
        <v>10.135555555555554</v>
      </c>
      <c r="AE2651" s="969">
        <v>10.36212121212121</v>
      </c>
      <c r="AF2651" s="271">
        <f t="shared" si="302"/>
        <v>10.36212121212121</v>
      </c>
      <c r="AG2651" s="1396"/>
      <c r="DG2651" s="573"/>
      <c r="DH2651" s="159"/>
      <c r="DI2651" s="1091"/>
      <c r="DJ2651" s="1187"/>
    </row>
    <row r="2652" spans="1:114" ht="15" hidden="1" customHeight="1" outlineLevel="1">
      <c r="A2652" s="453"/>
      <c r="C2652" s="51"/>
      <c r="D2652" s="4295"/>
      <c r="E2652" s="4295"/>
      <c r="F2652" s="4307" t="str">
        <f>$E$1826</f>
        <v>ASHP-SEER20_ROF_SF</v>
      </c>
      <c r="G2652" s="4307"/>
      <c r="H2652" s="4307"/>
      <c r="I2652" s="4307"/>
      <c r="J2652" s="1029" t="str">
        <f>$C$1826</f>
        <v>354600_2024_12_</v>
      </c>
      <c r="K2652" s="916">
        <v>10.403571428571428</v>
      </c>
      <c r="L2652" s="972"/>
      <c r="M2652" s="1739" t="s">
        <v>1937</v>
      </c>
      <c r="P2652" s="261"/>
      <c r="Q2652" s="209"/>
      <c r="R2652" s="261"/>
      <c r="S2652" s="52"/>
      <c r="T2652" s="181"/>
      <c r="U2652" s="52"/>
      <c r="V2652" s="4288"/>
      <c r="W2652" s="1396">
        <v>9.8000000000000007</v>
      </c>
      <c r="X2652" s="1396">
        <v>9.8000000000000007</v>
      </c>
      <c r="Y2652" s="1396">
        <v>9.8000000000000007</v>
      </c>
      <c r="Z2652" s="1396">
        <v>9.8000000000000007</v>
      </c>
      <c r="AA2652" s="1396">
        <v>9.8000000000000007</v>
      </c>
      <c r="AB2652" s="1396">
        <v>9.8000000000000007</v>
      </c>
      <c r="AC2652" s="212">
        <v>10.866666666666667</v>
      </c>
      <c r="AD2652" s="969">
        <v>10.403571428571428</v>
      </c>
      <c r="AE2652" s="970">
        <v>10.403571428571428</v>
      </c>
      <c r="AF2652" s="271">
        <f t="shared" si="302"/>
        <v>10.403571428571428</v>
      </c>
      <c r="AG2652" s="1396"/>
      <c r="DG2652" s="573"/>
      <c r="DH2652" s="159"/>
      <c r="DI2652" s="1091"/>
      <c r="DJ2652" s="1187"/>
    </row>
    <row r="2653" spans="1:114" ht="15" hidden="1" customHeight="1" outlineLevel="1">
      <c r="A2653" s="453"/>
      <c r="C2653" s="51"/>
      <c r="D2653" s="4295"/>
      <c r="E2653" s="4295"/>
      <c r="F2653" s="4307" t="str">
        <f>$E$1828</f>
        <v>ASHP-SEER20-Replace_CAC_ElectricHeat_ER1_MF</v>
      </c>
      <c r="G2653" s="4307"/>
      <c r="H2653" s="4307"/>
      <c r="I2653" s="4307"/>
      <c r="J2653" s="1029" t="str">
        <f>$C$1828</f>
        <v>354650_2024_12_</v>
      </c>
      <c r="K2653" s="1755">
        <v>9.4</v>
      </c>
      <c r="L2653" s="972"/>
      <c r="M2653" s="1740" t="s">
        <v>1945</v>
      </c>
      <c r="P2653" s="261"/>
      <c r="Q2653" s="209"/>
      <c r="R2653" s="261"/>
      <c r="S2653" s="52"/>
      <c r="T2653" s="181"/>
      <c r="U2653" s="52"/>
      <c r="V2653" s="4288"/>
      <c r="W2653" s="1396">
        <v>9.4</v>
      </c>
      <c r="X2653" s="1396">
        <v>9.4</v>
      </c>
      <c r="Y2653" s="1396">
        <v>9.4</v>
      </c>
      <c r="Z2653" s="1396">
        <v>9.4</v>
      </c>
      <c r="AA2653" s="1396">
        <v>9.4</v>
      </c>
      <c r="AB2653" s="1396">
        <v>9.4</v>
      </c>
      <c r="AC2653" s="211">
        <v>9.4</v>
      </c>
      <c r="AD2653" s="211">
        <v>9.4</v>
      </c>
      <c r="AE2653" s="971">
        <v>9.4</v>
      </c>
      <c r="AF2653" s="271">
        <f t="shared" si="302"/>
        <v>9.4</v>
      </c>
      <c r="AG2653" s="1396"/>
      <c r="DG2653" s="573"/>
      <c r="DH2653" s="159"/>
      <c r="DI2653" s="1091"/>
      <c r="DJ2653" s="1187"/>
    </row>
    <row r="2654" spans="1:114" ht="15" hidden="1" customHeight="1" outlineLevel="1">
      <c r="A2654" s="453"/>
      <c r="C2654" s="51"/>
      <c r="D2654" s="4295"/>
      <c r="E2654" s="4295"/>
      <c r="F2654" s="4307" t="str">
        <f>$E$1830</f>
        <v>ASHP-SEER20-Replace_CAC_ElectricHeat_ER2_MF</v>
      </c>
      <c r="G2654" s="4307"/>
      <c r="H2654" s="4307"/>
      <c r="I2654" s="4307"/>
      <c r="J2654" s="1029" t="str">
        <f>$C$1830</f>
        <v>354650_2024_12_</v>
      </c>
      <c r="K2654" s="1755">
        <v>9.4</v>
      </c>
      <c r="L2654" s="972"/>
      <c r="M2654" s="1740" t="s">
        <v>1945</v>
      </c>
      <c r="P2654" s="261"/>
      <c r="Q2654" s="209"/>
      <c r="R2654" s="261"/>
      <c r="S2654" s="52"/>
      <c r="T2654" s="181"/>
      <c r="U2654" s="52"/>
      <c r="V2654" s="4288"/>
      <c r="W2654" s="1396">
        <v>9.4</v>
      </c>
      <c r="X2654" s="1396">
        <v>9.4</v>
      </c>
      <c r="Y2654" s="1396">
        <v>9.4</v>
      </c>
      <c r="Z2654" s="1396">
        <v>9.4</v>
      </c>
      <c r="AA2654" s="1396">
        <v>9.4</v>
      </c>
      <c r="AB2654" s="1396">
        <v>9.4</v>
      </c>
      <c r="AC2654" s="211">
        <v>9.4</v>
      </c>
      <c r="AD2654" s="211">
        <v>9.4</v>
      </c>
      <c r="AE2654" s="971">
        <v>9.4</v>
      </c>
      <c r="AF2654" s="271">
        <f t="shared" si="302"/>
        <v>9.4</v>
      </c>
      <c r="AG2654" s="1396"/>
      <c r="DG2654" s="573"/>
      <c r="DH2654" s="159"/>
      <c r="DI2654" s="1091"/>
      <c r="DJ2654" s="1187"/>
    </row>
    <row r="2655" spans="1:114" ht="15" hidden="1" customHeight="1" outlineLevel="1">
      <c r="A2655" s="453"/>
      <c r="C2655" s="51"/>
      <c r="D2655" s="4295"/>
      <c r="E2655" s="4295"/>
      <c r="F2655" s="4347" t="str">
        <f>$E$1832</f>
        <v>ASHP-SEER20-Replace_CAC_ElectricHeat_ER1_MF_CompE</v>
      </c>
      <c r="G2655" s="4347"/>
      <c r="H2655" s="4347"/>
      <c r="I2655" s="4347"/>
      <c r="J2655" s="3471" t="str">
        <f>$C$1832</f>
        <v>354651_2024_12_</v>
      </c>
      <c r="K2655" s="3485">
        <v>9.4</v>
      </c>
      <c r="L2655" s="3480"/>
      <c r="M2655" s="3293" t="s">
        <v>1945</v>
      </c>
      <c r="P2655" s="261"/>
      <c r="Q2655" s="209"/>
      <c r="R2655" s="261"/>
      <c r="S2655" s="52"/>
      <c r="T2655" s="181"/>
      <c r="U2655" s="52"/>
      <c r="V2655" s="4288"/>
      <c r="W2655" s="1396"/>
      <c r="X2655" s="1396"/>
      <c r="Y2655" s="3265">
        <v>9.4</v>
      </c>
      <c r="Z2655" s="3262">
        <v>9.4</v>
      </c>
      <c r="AA2655" s="3262">
        <v>9.4</v>
      </c>
      <c r="AB2655" s="3262">
        <v>9.4</v>
      </c>
      <c r="AC2655" s="3286">
        <v>9.4</v>
      </c>
      <c r="AD2655" s="3286">
        <v>9.4</v>
      </c>
      <c r="AE2655" s="3486">
        <v>9.4</v>
      </c>
      <c r="AF2655" s="2236">
        <f t="shared" si="302"/>
        <v>9.4</v>
      </c>
      <c r="AG2655" s="1396"/>
      <c r="DG2655" s="573"/>
      <c r="DH2655" s="159"/>
      <c r="DI2655" s="1091"/>
      <c r="DJ2655" s="1187"/>
    </row>
    <row r="2656" spans="1:114" ht="15" hidden="1" customHeight="1" outlineLevel="1">
      <c r="A2656" s="453"/>
      <c r="C2656" s="51"/>
      <c r="D2656" s="4295"/>
      <c r="E2656" s="4295"/>
      <c r="F2656" s="4347" t="str">
        <f>$E$1834</f>
        <v>ASHP-SEER20-Replace_CAC_ElectricHeat_ER2_MF_CompE</v>
      </c>
      <c r="G2656" s="4347"/>
      <c r="H2656" s="4347"/>
      <c r="I2656" s="4347"/>
      <c r="J2656" s="3471" t="str">
        <f>$C$1834</f>
        <v>354651_2024_12_</v>
      </c>
      <c r="K2656" s="3485">
        <v>9.4</v>
      </c>
      <c r="L2656" s="3480"/>
      <c r="M2656" s="3293" t="s">
        <v>1945</v>
      </c>
      <c r="P2656" s="261"/>
      <c r="Q2656" s="209"/>
      <c r="R2656" s="261"/>
      <c r="S2656" s="52"/>
      <c r="T2656" s="181"/>
      <c r="U2656" s="52"/>
      <c r="V2656" s="4288"/>
      <c r="W2656" s="1396"/>
      <c r="X2656" s="1396"/>
      <c r="Y2656" s="3265">
        <v>9.4</v>
      </c>
      <c r="Z2656" s="3262">
        <v>9.4</v>
      </c>
      <c r="AA2656" s="3262">
        <v>9.4</v>
      </c>
      <c r="AB2656" s="3262">
        <v>9.4</v>
      </c>
      <c r="AC2656" s="3286">
        <v>9.4</v>
      </c>
      <c r="AD2656" s="3286">
        <v>9.4</v>
      </c>
      <c r="AE2656" s="3486">
        <v>9.4</v>
      </c>
      <c r="AF2656" s="2236">
        <f t="shared" si="302"/>
        <v>9.4</v>
      </c>
      <c r="AG2656" s="1396"/>
      <c r="DG2656" s="573"/>
      <c r="DH2656" s="159"/>
      <c r="DI2656" s="1091"/>
      <c r="DJ2656" s="1187"/>
    </row>
    <row r="2657" spans="1:114" ht="15" hidden="1" customHeight="1" outlineLevel="1">
      <c r="A2657" s="453"/>
      <c r="C2657" s="51"/>
      <c r="D2657" s="4295"/>
      <c r="E2657" s="4295"/>
      <c r="F2657" s="4347" t="str">
        <f>$E$1836</f>
        <v>ASHP-SEER20-Replace_CAC_NonElectricHeat_ER1_MF</v>
      </c>
      <c r="G2657" s="4347"/>
      <c r="H2657" s="4347"/>
      <c r="I2657" s="4347"/>
      <c r="J2657" s="3471" t="str">
        <f>$C$1836</f>
        <v>354660_2024_12_</v>
      </c>
      <c r="K2657" s="3485">
        <v>9.4</v>
      </c>
      <c r="L2657" s="3480"/>
      <c r="M2657" s="3293" t="s">
        <v>1945</v>
      </c>
      <c r="P2657" s="261"/>
      <c r="Q2657" s="209"/>
      <c r="R2657" s="261"/>
      <c r="S2657" s="52"/>
      <c r="T2657" s="181"/>
      <c r="U2657" s="52"/>
      <c r="V2657" s="4288"/>
      <c r="W2657" s="1396"/>
      <c r="X2657" s="1396"/>
      <c r="Y2657" s="3265"/>
      <c r="Z2657" s="3262"/>
      <c r="AA2657" s="3262"/>
      <c r="AB2657" s="3262"/>
      <c r="AC2657" s="3285">
        <v>9.4</v>
      </c>
      <c r="AD2657" s="3286">
        <v>9.4</v>
      </c>
      <c r="AE2657" s="3486">
        <v>9.4</v>
      </c>
      <c r="AF2657" s="2236">
        <f t="shared" si="302"/>
        <v>9.4</v>
      </c>
      <c r="AG2657" s="1396"/>
      <c r="DG2657" s="573"/>
      <c r="DH2657" s="159"/>
      <c r="DI2657" s="1091"/>
      <c r="DJ2657" s="1187"/>
    </row>
    <row r="2658" spans="1:114" ht="15" hidden="1" customHeight="1" outlineLevel="1">
      <c r="A2658" s="453"/>
      <c r="C2658" s="51"/>
      <c r="D2658" s="4295"/>
      <c r="E2658" s="4295"/>
      <c r="F2658" s="4347" t="str">
        <f>$E$1838</f>
        <v>ASHP-SEER20-Replace_CAC_NonElectricHeat_ER2_MF</v>
      </c>
      <c r="G2658" s="4347"/>
      <c r="H2658" s="4347"/>
      <c r="I2658" s="4347"/>
      <c r="J2658" s="3471" t="str">
        <f>$C$1838</f>
        <v>354660_2024_12_</v>
      </c>
      <c r="K2658" s="3485">
        <v>9.4</v>
      </c>
      <c r="L2658" s="3480"/>
      <c r="M2658" s="3293" t="s">
        <v>1945</v>
      </c>
      <c r="P2658" s="261"/>
      <c r="Q2658" s="209"/>
      <c r="R2658" s="261"/>
      <c r="S2658" s="52"/>
      <c r="T2658" s="181"/>
      <c r="U2658" s="52"/>
      <c r="V2658" s="4288"/>
      <c r="W2658" s="1396"/>
      <c r="X2658" s="1396"/>
      <c r="Y2658" s="3265"/>
      <c r="Z2658" s="3262"/>
      <c r="AA2658" s="3262"/>
      <c r="AB2658" s="3262"/>
      <c r="AC2658" s="3285">
        <v>9.4</v>
      </c>
      <c r="AD2658" s="3286">
        <v>9.4</v>
      </c>
      <c r="AE2658" s="3486">
        <v>9.4</v>
      </c>
      <c r="AF2658" s="2236">
        <f t="shared" si="302"/>
        <v>9.4</v>
      </c>
      <c r="AG2658" s="1396"/>
      <c r="DG2658" s="573"/>
      <c r="DH2658" s="159"/>
      <c r="DI2658" s="1091"/>
      <c r="DJ2658" s="1187"/>
    </row>
    <row r="2659" spans="1:114" ht="15" hidden="1" customHeight="1" outlineLevel="1">
      <c r="A2659" s="453"/>
      <c r="C2659" s="51"/>
      <c r="D2659" s="4295"/>
      <c r="E2659" s="4295"/>
      <c r="F2659" s="4347" t="str">
        <f>$E$1840</f>
        <v>ASHP-SEER20-Replace_CAC_NonElectricHeat_ER1_MF_CompE</v>
      </c>
      <c r="G2659" s="4347"/>
      <c r="H2659" s="4347"/>
      <c r="I2659" s="4347"/>
      <c r="J2659" s="3471" t="str">
        <f>$C$1840</f>
        <v>354661_2024_12_</v>
      </c>
      <c r="K2659" s="3485">
        <v>9.4</v>
      </c>
      <c r="L2659" s="3480"/>
      <c r="M2659" s="3293" t="s">
        <v>1945</v>
      </c>
      <c r="P2659" s="261"/>
      <c r="Q2659" s="209"/>
      <c r="R2659" s="261"/>
      <c r="S2659" s="52"/>
      <c r="T2659" s="181"/>
      <c r="U2659" s="52"/>
      <c r="V2659" s="4288"/>
      <c r="W2659" s="1396"/>
      <c r="X2659" s="1396"/>
      <c r="Y2659" s="3265"/>
      <c r="Z2659" s="3262"/>
      <c r="AA2659" s="3262"/>
      <c r="AB2659" s="3262"/>
      <c r="AC2659" s="3285">
        <v>9.4</v>
      </c>
      <c r="AD2659" s="3286">
        <v>9.4</v>
      </c>
      <c r="AE2659" s="3486">
        <v>9.4</v>
      </c>
      <c r="AF2659" s="2236">
        <f t="shared" si="302"/>
        <v>9.4</v>
      </c>
      <c r="AG2659" s="1396"/>
      <c r="DG2659" s="573"/>
      <c r="DH2659" s="159"/>
      <c r="DI2659" s="1091"/>
      <c r="DJ2659" s="1187"/>
    </row>
    <row r="2660" spans="1:114" ht="15" hidden="1" customHeight="1" outlineLevel="1">
      <c r="A2660" s="453"/>
      <c r="C2660" s="51"/>
      <c r="D2660" s="4295"/>
      <c r="E2660" s="4295"/>
      <c r="F2660" s="4347" t="str">
        <f>$E$1842</f>
        <v>ASHP-SEER20-Replace_CAC_NonElectricHeat_ER2_MF_CompE</v>
      </c>
      <c r="G2660" s="4347"/>
      <c r="H2660" s="4347"/>
      <c r="I2660" s="4347"/>
      <c r="J2660" s="3471" t="str">
        <f>$C$1842</f>
        <v>354661_2024_12_</v>
      </c>
      <c r="K2660" s="3485">
        <v>9.4</v>
      </c>
      <c r="L2660" s="3480"/>
      <c r="M2660" s="3293" t="s">
        <v>1945</v>
      </c>
      <c r="P2660" s="261"/>
      <c r="Q2660" s="209"/>
      <c r="R2660" s="261"/>
      <c r="S2660" s="52"/>
      <c r="T2660" s="181"/>
      <c r="U2660" s="52"/>
      <c r="V2660" s="4288"/>
      <c r="W2660" s="1396"/>
      <c r="X2660" s="1396"/>
      <c r="Y2660" s="3265"/>
      <c r="Z2660" s="3262"/>
      <c r="AA2660" s="3262"/>
      <c r="AB2660" s="3262"/>
      <c r="AC2660" s="3285">
        <v>9.4</v>
      </c>
      <c r="AD2660" s="3286">
        <v>9.4</v>
      </c>
      <c r="AE2660" s="3486">
        <v>9.4</v>
      </c>
      <c r="AF2660" s="2236">
        <f t="shared" si="302"/>
        <v>9.4</v>
      </c>
      <c r="AG2660" s="1396"/>
      <c r="DG2660" s="573"/>
      <c r="DH2660" s="159"/>
      <c r="DI2660" s="1091"/>
      <c r="DJ2660" s="1187"/>
    </row>
    <row r="2661" spans="1:114" ht="15" hidden="1" customHeight="1" outlineLevel="1">
      <c r="A2661" s="453"/>
      <c r="C2661" s="51"/>
      <c r="D2661" s="4295"/>
      <c r="E2661" s="4295"/>
      <c r="F2661" s="4307" t="str">
        <f>$E$1844</f>
        <v>ASHP-SEER20_ER1_MF</v>
      </c>
      <c r="G2661" s="4307"/>
      <c r="H2661" s="4307"/>
      <c r="I2661" s="4307"/>
      <c r="J2661" s="1029" t="str">
        <f>$C$1844</f>
        <v>354700_2024_12_</v>
      </c>
      <c r="K2661" s="1755">
        <v>9.5</v>
      </c>
      <c r="L2661" s="972"/>
      <c r="M2661" s="1740" t="s">
        <v>1945</v>
      </c>
      <c r="P2661" s="261"/>
      <c r="Q2661" s="209"/>
      <c r="R2661" s="261"/>
      <c r="S2661" s="52"/>
      <c r="T2661" s="181"/>
      <c r="U2661" s="52"/>
      <c r="V2661" s="4288"/>
      <c r="W2661" s="1396">
        <v>9.5</v>
      </c>
      <c r="X2661" s="1396">
        <v>9.5</v>
      </c>
      <c r="Y2661" s="1396">
        <v>9.5</v>
      </c>
      <c r="Z2661" s="1396">
        <v>9.5</v>
      </c>
      <c r="AA2661" s="1396">
        <v>9.5</v>
      </c>
      <c r="AB2661" s="1396">
        <v>9.5</v>
      </c>
      <c r="AC2661" s="211">
        <v>9.5</v>
      </c>
      <c r="AD2661" s="211">
        <v>9.5</v>
      </c>
      <c r="AE2661" s="971">
        <v>9.5</v>
      </c>
      <c r="AF2661" s="271">
        <f t="shared" si="302"/>
        <v>9.5</v>
      </c>
      <c r="AG2661" s="1396"/>
      <c r="DG2661" s="573"/>
      <c r="DH2661" s="159"/>
      <c r="DI2661" s="1091"/>
      <c r="DJ2661" s="1187"/>
    </row>
    <row r="2662" spans="1:114" ht="15" hidden="1" customHeight="1" outlineLevel="1">
      <c r="A2662" s="453"/>
      <c r="C2662" s="51"/>
      <c r="D2662" s="4295"/>
      <c r="E2662" s="4295"/>
      <c r="F2662" s="4307" t="str">
        <f>$E$1846</f>
        <v>ASHP-SEER20_ER2_MF</v>
      </c>
      <c r="G2662" s="4307"/>
      <c r="H2662" s="4307"/>
      <c r="I2662" s="4307"/>
      <c r="J2662" s="1029" t="str">
        <f>$C$1846</f>
        <v>354700_2024_12_</v>
      </c>
      <c r="K2662" s="1755">
        <v>9.5</v>
      </c>
      <c r="L2662" s="972"/>
      <c r="M2662" s="1740" t="s">
        <v>1945</v>
      </c>
      <c r="P2662" s="261"/>
      <c r="Q2662" s="209"/>
      <c r="R2662" s="261"/>
      <c r="S2662" s="52"/>
      <c r="T2662" s="181"/>
      <c r="U2662" s="52"/>
      <c r="V2662" s="4288"/>
      <c r="W2662" s="1396">
        <v>9.5</v>
      </c>
      <c r="X2662" s="1396">
        <v>9.5</v>
      </c>
      <c r="Y2662" s="1396">
        <v>9.5</v>
      </c>
      <c r="Z2662" s="1396">
        <v>9.5</v>
      </c>
      <c r="AA2662" s="1396">
        <v>9.5</v>
      </c>
      <c r="AB2662" s="1396">
        <v>9.5</v>
      </c>
      <c r="AC2662" s="211">
        <v>9.5</v>
      </c>
      <c r="AD2662" s="211">
        <v>9.5</v>
      </c>
      <c r="AE2662" s="971">
        <v>9.5</v>
      </c>
      <c r="AF2662" s="271">
        <f t="shared" si="302"/>
        <v>9.5</v>
      </c>
      <c r="AG2662" s="1396"/>
      <c r="DG2662" s="573"/>
      <c r="DH2662" s="159"/>
      <c r="DI2662" s="1091"/>
      <c r="DJ2662" s="1187"/>
    </row>
    <row r="2663" spans="1:114" ht="15" hidden="1" customHeight="1" outlineLevel="1">
      <c r="A2663" s="453"/>
      <c r="C2663" s="51"/>
      <c r="D2663" s="4295"/>
      <c r="E2663" s="4295"/>
      <c r="F2663" s="4347" t="str">
        <f>$E$1848</f>
        <v>ASHP-SEER20_ER1_MF_CompE</v>
      </c>
      <c r="G2663" s="4347"/>
      <c r="H2663" s="4347"/>
      <c r="I2663" s="4347"/>
      <c r="J2663" s="3471" t="str">
        <f>$C$1848</f>
        <v>354701_2024_12_</v>
      </c>
      <c r="K2663" s="3485">
        <v>9.5</v>
      </c>
      <c r="L2663" s="3480"/>
      <c r="M2663" s="3293" t="s">
        <v>1945</v>
      </c>
      <c r="P2663" s="261"/>
      <c r="Q2663" s="209"/>
      <c r="R2663" s="261"/>
      <c r="S2663" s="52"/>
      <c r="T2663" s="181"/>
      <c r="U2663" s="52"/>
      <c r="V2663" s="4288"/>
      <c r="W2663" s="1396"/>
      <c r="X2663" s="1396"/>
      <c r="Y2663" s="3265">
        <v>9.5</v>
      </c>
      <c r="Z2663" s="3262">
        <v>9.5</v>
      </c>
      <c r="AA2663" s="3262">
        <v>9.5</v>
      </c>
      <c r="AB2663" s="3262">
        <v>9.5</v>
      </c>
      <c r="AC2663" s="3286">
        <v>9.5</v>
      </c>
      <c r="AD2663" s="3286">
        <v>9.5</v>
      </c>
      <c r="AE2663" s="3486">
        <v>9.5</v>
      </c>
      <c r="AF2663" s="2236">
        <f t="shared" si="302"/>
        <v>9.5</v>
      </c>
      <c r="AG2663" s="1396"/>
      <c r="DG2663" s="573"/>
      <c r="DH2663" s="159"/>
      <c r="DI2663" s="1091"/>
      <c r="DJ2663" s="1187"/>
    </row>
    <row r="2664" spans="1:114" ht="15" hidden="1" customHeight="1" outlineLevel="1">
      <c r="A2664" s="453"/>
      <c r="C2664" s="51"/>
      <c r="D2664" s="4295"/>
      <c r="E2664" s="4295"/>
      <c r="F2664" s="4347" t="str">
        <f>$E$1850</f>
        <v>ASHP-SEER20_ER2_MF_CompE</v>
      </c>
      <c r="G2664" s="4347"/>
      <c r="H2664" s="4347"/>
      <c r="I2664" s="4347"/>
      <c r="J2664" s="3471" t="str">
        <f>$C$1850</f>
        <v>354701_2024_12_</v>
      </c>
      <c r="K2664" s="3485">
        <v>9.5</v>
      </c>
      <c r="L2664" s="3480"/>
      <c r="M2664" s="3293" t="s">
        <v>1945</v>
      </c>
      <c r="P2664" s="261"/>
      <c r="Q2664" s="209"/>
      <c r="R2664" s="261"/>
      <c r="S2664" s="52"/>
      <c r="T2664" s="181"/>
      <c r="U2664" s="52"/>
      <c r="V2664" s="4288"/>
      <c r="W2664" s="1396"/>
      <c r="X2664" s="1396"/>
      <c r="Y2664" s="3265">
        <v>9.5</v>
      </c>
      <c r="Z2664" s="3262">
        <v>9.5</v>
      </c>
      <c r="AA2664" s="3262">
        <v>9.5</v>
      </c>
      <c r="AB2664" s="3262">
        <v>9.5</v>
      </c>
      <c r="AC2664" s="3286">
        <v>9.5</v>
      </c>
      <c r="AD2664" s="3286">
        <v>9.5</v>
      </c>
      <c r="AE2664" s="3486">
        <v>9.5</v>
      </c>
      <c r="AF2664" s="2236">
        <f t="shared" si="302"/>
        <v>9.5</v>
      </c>
      <c r="AG2664" s="1396"/>
      <c r="DG2664" s="573"/>
      <c r="DH2664" s="159"/>
      <c r="DI2664" s="1091"/>
      <c r="DJ2664" s="1187"/>
    </row>
    <row r="2665" spans="1:114" ht="15" hidden="1" customHeight="1" outlineLevel="1">
      <c r="A2665" s="453"/>
      <c r="C2665" s="51"/>
      <c r="D2665" s="4295"/>
      <c r="E2665" s="4295"/>
      <c r="F2665" s="4307" t="str">
        <f>$E$1852</f>
        <v>ASHP-SEER21_ER1_SF</v>
      </c>
      <c r="G2665" s="4307"/>
      <c r="H2665" s="4307"/>
      <c r="I2665" s="4307"/>
      <c r="J2665" s="1029" t="str">
        <f>$C$1852</f>
        <v>354750_2024_12_</v>
      </c>
      <c r="K2665" s="916">
        <v>10.753333333333332</v>
      </c>
      <c r="L2665" s="972"/>
      <c r="M2665" s="1739" t="s">
        <v>1934</v>
      </c>
      <c r="P2665" s="261"/>
      <c r="Q2665" s="209"/>
      <c r="R2665" s="261"/>
      <c r="S2665" s="52"/>
      <c r="T2665" s="181"/>
      <c r="U2665" s="52"/>
      <c r="V2665" s="4288"/>
      <c r="W2665" s="1396">
        <v>9.5</v>
      </c>
      <c r="X2665" s="1396">
        <v>9.5</v>
      </c>
      <c r="Y2665" s="1396">
        <v>9.5</v>
      </c>
      <c r="Z2665" s="1396">
        <v>9.5</v>
      </c>
      <c r="AA2665" s="1396">
        <v>9.5</v>
      </c>
      <c r="AB2665" s="1396">
        <v>9.5</v>
      </c>
      <c r="AC2665" s="212">
        <v>10.807692307692308</v>
      </c>
      <c r="AD2665" s="969">
        <v>10.727272727272727</v>
      </c>
      <c r="AE2665" s="969">
        <v>10.753333333333332</v>
      </c>
      <c r="AF2665" s="271">
        <f t="shared" si="302"/>
        <v>10.753333333333332</v>
      </c>
      <c r="AG2665" s="1396"/>
      <c r="DG2665" s="573"/>
      <c r="DH2665" s="159"/>
      <c r="DI2665" s="1091"/>
      <c r="DJ2665" s="1187"/>
    </row>
    <row r="2666" spans="1:114" ht="15" hidden="1" customHeight="1" outlineLevel="1">
      <c r="A2666" s="453"/>
      <c r="C2666" s="51"/>
      <c r="D2666" s="4295"/>
      <c r="E2666" s="4295"/>
      <c r="F2666" s="4307" t="str">
        <f>$E$1854</f>
        <v>ASHP-SEER21_ER2_SF</v>
      </c>
      <c r="G2666" s="4307"/>
      <c r="H2666" s="4307"/>
      <c r="I2666" s="4307"/>
      <c r="J2666" s="1029" t="str">
        <f>$C$1854</f>
        <v>354750_2024_12_</v>
      </c>
      <c r="K2666" s="916">
        <v>10.753333333333332</v>
      </c>
      <c r="L2666" s="972"/>
      <c r="M2666" s="1739" t="s">
        <v>1934</v>
      </c>
      <c r="P2666" s="261"/>
      <c r="Q2666" s="209"/>
      <c r="R2666" s="261"/>
      <c r="S2666" s="52"/>
      <c r="T2666" s="181"/>
      <c r="U2666" s="52"/>
      <c r="V2666" s="4288"/>
      <c r="W2666" s="1396">
        <v>9.5</v>
      </c>
      <c r="X2666" s="1396">
        <v>9.5</v>
      </c>
      <c r="Y2666" s="1396">
        <v>9.5</v>
      </c>
      <c r="Z2666" s="1396">
        <v>9.5</v>
      </c>
      <c r="AA2666" s="1396">
        <v>9.5</v>
      </c>
      <c r="AB2666" s="1396">
        <v>9.5</v>
      </c>
      <c r="AC2666" s="212">
        <f>AC2665</f>
        <v>10.807692307692308</v>
      </c>
      <c r="AD2666" s="969">
        <v>10.727272727272727</v>
      </c>
      <c r="AE2666" s="969">
        <v>10.753333333333332</v>
      </c>
      <c r="AF2666" s="271">
        <f t="shared" si="302"/>
        <v>10.753333333333332</v>
      </c>
      <c r="AG2666" s="1396"/>
      <c r="DG2666" s="573"/>
      <c r="DH2666" s="159"/>
      <c r="DI2666" s="1091"/>
      <c r="DJ2666" s="1187"/>
    </row>
    <row r="2667" spans="1:114" ht="15" hidden="1" customHeight="1" outlineLevel="1">
      <c r="A2667" s="453"/>
      <c r="C2667" s="51"/>
      <c r="D2667" s="4295"/>
      <c r="E2667" s="4295"/>
      <c r="F2667" s="4307" t="str">
        <f>$E$1856</f>
        <v>ASHP-SEER21_ROF_SF</v>
      </c>
      <c r="G2667" s="4307"/>
      <c r="H2667" s="4307"/>
      <c r="I2667" s="4307"/>
      <c r="J2667" s="1029" t="str">
        <f>$C$1856</f>
        <v>354800_2024_12_</v>
      </c>
      <c r="K2667" s="916">
        <v>10.609090909090909</v>
      </c>
      <c r="L2667" s="972"/>
      <c r="M2667" s="1739" t="s">
        <v>1934</v>
      </c>
      <c r="P2667" s="261"/>
      <c r="Q2667" s="209"/>
      <c r="R2667" s="261"/>
      <c r="S2667" s="52"/>
      <c r="T2667" s="181"/>
      <c r="U2667" s="52"/>
      <c r="V2667" s="4288"/>
      <c r="W2667" s="1396">
        <v>9.8000000000000007</v>
      </c>
      <c r="X2667" s="1396">
        <v>9.8000000000000007</v>
      </c>
      <c r="Y2667" s="1396">
        <v>9.8000000000000007</v>
      </c>
      <c r="Z2667" s="1396">
        <v>9.8000000000000007</v>
      </c>
      <c r="AA2667" s="1396">
        <v>9.8000000000000007</v>
      </c>
      <c r="AB2667" s="1396">
        <v>9.8000000000000007</v>
      </c>
      <c r="AC2667" s="212">
        <v>10.875</v>
      </c>
      <c r="AD2667" s="969">
        <v>11</v>
      </c>
      <c r="AE2667" s="969">
        <v>10.609090909090909</v>
      </c>
      <c r="AF2667" s="271">
        <f t="shared" si="302"/>
        <v>10.609090909090909</v>
      </c>
      <c r="AG2667" s="1396"/>
      <c r="DG2667" s="573"/>
      <c r="DH2667" s="159"/>
      <c r="DI2667" s="1091"/>
      <c r="DJ2667" s="1187"/>
    </row>
    <row r="2668" spans="1:114" ht="15" hidden="1" customHeight="1" outlineLevel="1">
      <c r="A2668" s="453"/>
      <c r="C2668" s="51"/>
      <c r="D2668" s="4295"/>
      <c r="E2668" s="4295"/>
      <c r="F2668" s="4307" t="str">
        <f>$E$1858</f>
        <v>ASHP-SEER21-Replace_CAC_ElectricHeat_ROF_MF</v>
      </c>
      <c r="G2668" s="4307"/>
      <c r="H2668" s="4307"/>
      <c r="I2668" s="4307"/>
      <c r="J2668" s="1029" t="str">
        <f>$C$1858</f>
        <v>354850_2024_12_</v>
      </c>
      <c r="K2668" s="1755">
        <v>9.6999999999999993</v>
      </c>
      <c r="L2668" s="972"/>
      <c r="M2668" s="1740" t="s">
        <v>1945</v>
      </c>
      <c r="P2668" s="261"/>
      <c r="Q2668" s="209"/>
      <c r="R2668" s="261"/>
      <c r="S2668" s="52"/>
      <c r="T2668" s="181"/>
      <c r="U2668" s="52"/>
      <c r="V2668" s="4288"/>
      <c r="W2668" s="1396">
        <v>9.6999999999999993</v>
      </c>
      <c r="X2668" s="1396">
        <v>9.6999999999999993</v>
      </c>
      <c r="Y2668" s="1396">
        <v>9.6999999999999993</v>
      </c>
      <c r="Z2668" s="1396">
        <v>9.6999999999999993</v>
      </c>
      <c r="AA2668" s="1396">
        <v>9.6999999999999993</v>
      </c>
      <c r="AB2668" s="1396">
        <v>9.6999999999999993</v>
      </c>
      <c r="AC2668" s="211">
        <v>9.6999999999999993</v>
      </c>
      <c r="AD2668" s="211">
        <v>9.6999999999999993</v>
      </c>
      <c r="AE2668" s="971">
        <v>9.6999999999999993</v>
      </c>
      <c r="AF2668" s="271">
        <f t="shared" si="302"/>
        <v>9.6999999999999993</v>
      </c>
      <c r="AG2668" s="1396"/>
      <c r="DG2668" s="573"/>
      <c r="DH2668" s="159"/>
      <c r="DI2668" s="1091"/>
      <c r="DJ2668" s="1187"/>
    </row>
    <row r="2669" spans="1:114" ht="15" hidden="1" customHeight="1" outlineLevel="1">
      <c r="A2669" s="453"/>
      <c r="C2669" s="51"/>
      <c r="D2669" s="4295"/>
      <c r="E2669" s="4295"/>
      <c r="F2669" s="4347" t="str">
        <f>$E$1860</f>
        <v>ASHP-SEER21-Replace_CAC_ElectricHeat_ROF_MF_CompE</v>
      </c>
      <c r="G2669" s="4347"/>
      <c r="H2669" s="4347"/>
      <c r="I2669" s="4347"/>
      <c r="J2669" s="3471" t="str">
        <f>$C$1860</f>
        <v>354851_2024_12_</v>
      </c>
      <c r="K2669" s="3485">
        <v>9.6999999999999993</v>
      </c>
      <c r="L2669" s="3480"/>
      <c r="M2669" s="3293" t="s">
        <v>1945</v>
      </c>
      <c r="P2669" s="261"/>
      <c r="Q2669" s="209"/>
      <c r="R2669" s="261"/>
      <c r="S2669" s="52"/>
      <c r="T2669" s="181"/>
      <c r="U2669" s="52"/>
      <c r="V2669" s="4288"/>
      <c r="W2669" s="1396"/>
      <c r="X2669" s="1396"/>
      <c r="Y2669" s="3265">
        <v>9.6999999999999993</v>
      </c>
      <c r="Z2669" s="3262">
        <v>9.6999999999999993</v>
      </c>
      <c r="AA2669" s="3262">
        <v>9.6999999999999993</v>
      </c>
      <c r="AB2669" s="3262">
        <v>9.6999999999999993</v>
      </c>
      <c r="AC2669" s="3286">
        <v>9.6999999999999993</v>
      </c>
      <c r="AD2669" s="3286">
        <v>9.6999999999999993</v>
      </c>
      <c r="AE2669" s="3486">
        <v>9.6999999999999993</v>
      </c>
      <c r="AF2669" s="2236">
        <f t="shared" si="302"/>
        <v>9.6999999999999993</v>
      </c>
      <c r="AG2669" s="1396"/>
      <c r="DG2669" s="573"/>
      <c r="DH2669" s="159"/>
      <c r="DI2669" s="1091"/>
      <c r="DJ2669" s="1187"/>
    </row>
    <row r="2670" spans="1:114" ht="15" hidden="1" customHeight="1" outlineLevel="1">
      <c r="A2670" s="453"/>
      <c r="C2670" s="51"/>
      <c r="D2670" s="4295"/>
      <c r="E2670" s="4295"/>
      <c r="F2670" s="4347" t="str">
        <f>$E$1862</f>
        <v>ASHP-SEER21-Replace_CAC_NonElectricHeat_ROF_MF</v>
      </c>
      <c r="G2670" s="4347"/>
      <c r="H2670" s="4347"/>
      <c r="I2670" s="4347"/>
      <c r="J2670" s="3471" t="str">
        <f>$C$1862</f>
        <v>354860_2024_12_</v>
      </c>
      <c r="K2670" s="3485">
        <v>9.6999999999999993</v>
      </c>
      <c r="L2670" s="3480"/>
      <c r="M2670" s="3293" t="s">
        <v>1945</v>
      </c>
      <c r="P2670" s="261"/>
      <c r="Q2670" s="209"/>
      <c r="R2670" s="261"/>
      <c r="S2670" s="52"/>
      <c r="T2670" s="181"/>
      <c r="U2670" s="52"/>
      <c r="V2670" s="4288"/>
      <c r="W2670" s="1396"/>
      <c r="X2670" s="1396"/>
      <c r="Y2670" s="3265"/>
      <c r="Z2670" s="3262"/>
      <c r="AA2670" s="3262"/>
      <c r="AB2670" s="3262"/>
      <c r="AC2670" s="3285">
        <v>9.6999999999999993</v>
      </c>
      <c r="AD2670" s="3286">
        <v>9.6999999999999993</v>
      </c>
      <c r="AE2670" s="3486">
        <v>9.6999999999999993</v>
      </c>
      <c r="AF2670" s="2236">
        <f t="shared" si="302"/>
        <v>9.6999999999999993</v>
      </c>
      <c r="AG2670" s="1396"/>
      <c r="DG2670" s="573"/>
      <c r="DH2670" s="159"/>
      <c r="DI2670" s="1091"/>
      <c r="DJ2670" s="1187"/>
    </row>
    <row r="2671" spans="1:114" ht="15" hidden="1" customHeight="1" outlineLevel="1">
      <c r="A2671" s="453"/>
      <c r="C2671" s="51"/>
      <c r="D2671" s="4295"/>
      <c r="E2671" s="4295"/>
      <c r="F2671" s="4347" t="str">
        <f>$E$1864</f>
        <v>ASHP-SEER21-Replace_CAC_NonElectricHeat_ROF_MF_CompE</v>
      </c>
      <c r="G2671" s="4347"/>
      <c r="H2671" s="4347"/>
      <c r="I2671" s="4347"/>
      <c r="J2671" s="3471" t="str">
        <f>$C$1864</f>
        <v>354861_2024_12_</v>
      </c>
      <c r="K2671" s="3485">
        <v>9.6999999999999993</v>
      </c>
      <c r="L2671" s="3480"/>
      <c r="M2671" s="3293" t="s">
        <v>1945</v>
      </c>
      <c r="P2671" s="261"/>
      <c r="Q2671" s="209"/>
      <c r="R2671" s="261"/>
      <c r="S2671" s="52"/>
      <c r="T2671" s="181"/>
      <c r="U2671" s="52"/>
      <c r="V2671" s="4288"/>
      <c r="W2671" s="1396"/>
      <c r="X2671" s="1396"/>
      <c r="Y2671" s="3265"/>
      <c r="Z2671" s="3262"/>
      <c r="AA2671" s="3262"/>
      <c r="AB2671" s="3262"/>
      <c r="AC2671" s="3285">
        <v>9.6999999999999993</v>
      </c>
      <c r="AD2671" s="3286">
        <v>9.6999999999999993</v>
      </c>
      <c r="AE2671" s="3486">
        <v>9.6999999999999993</v>
      </c>
      <c r="AF2671" s="2236">
        <f t="shared" si="302"/>
        <v>9.6999999999999993</v>
      </c>
      <c r="AG2671" s="1396"/>
      <c r="DG2671" s="573"/>
      <c r="DH2671" s="159"/>
      <c r="DI2671" s="1091"/>
      <c r="DJ2671" s="1187"/>
    </row>
    <row r="2672" spans="1:114" ht="15" hidden="1" customHeight="1" outlineLevel="1">
      <c r="A2672" s="453"/>
      <c r="C2672" s="51"/>
      <c r="D2672" s="4295"/>
      <c r="E2672" s="4295"/>
      <c r="F2672" s="4307" t="str">
        <f>$E$1866</f>
        <v>ASHP-SEER21_ER1_MF</v>
      </c>
      <c r="G2672" s="4307"/>
      <c r="H2672" s="4307"/>
      <c r="I2672" s="4307"/>
      <c r="J2672" s="1029" t="str">
        <f>$C$1866</f>
        <v>354900_2024_12_</v>
      </c>
      <c r="K2672" s="1755">
        <v>9.5</v>
      </c>
      <c r="L2672" s="972"/>
      <c r="M2672" s="1740" t="s">
        <v>1945</v>
      </c>
      <c r="P2672" s="261"/>
      <c r="Q2672" s="209"/>
      <c r="R2672" s="261"/>
      <c r="S2672" s="52"/>
      <c r="T2672" s="181"/>
      <c r="U2672" s="52"/>
      <c r="V2672" s="4288"/>
      <c r="W2672" s="1396">
        <v>9.5</v>
      </c>
      <c r="X2672" s="1396">
        <v>9.5</v>
      </c>
      <c r="Y2672" s="1396">
        <v>9.5</v>
      </c>
      <c r="Z2672" s="1396">
        <v>9.5</v>
      </c>
      <c r="AA2672" s="1396">
        <v>9.5</v>
      </c>
      <c r="AB2672" s="1396">
        <v>9.5</v>
      </c>
      <c r="AC2672" s="211">
        <v>9.5</v>
      </c>
      <c r="AD2672" s="211">
        <v>9.5</v>
      </c>
      <c r="AE2672" s="971">
        <v>9.5</v>
      </c>
      <c r="AF2672" s="271">
        <f t="shared" si="302"/>
        <v>9.5</v>
      </c>
      <c r="AG2672" s="1396"/>
      <c r="DG2672" s="573"/>
      <c r="DH2672" s="159"/>
      <c r="DI2672" s="1091"/>
      <c r="DJ2672" s="1187"/>
    </row>
    <row r="2673" spans="1:114" ht="15" hidden="1" customHeight="1" outlineLevel="1">
      <c r="A2673" s="453"/>
      <c r="C2673" s="51"/>
      <c r="D2673" s="4295"/>
      <c r="E2673" s="4295"/>
      <c r="F2673" s="4307" t="str">
        <f>$E$1868</f>
        <v>ASHP-SEER21_ER2_MF</v>
      </c>
      <c r="G2673" s="4307"/>
      <c r="H2673" s="4307"/>
      <c r="I2673" s="4307"/>
      <c r="J2673" s="1029" t="str">
        <f>$C$1868</f>
        <v>354900_2024_12_</v>
      </c>
      <c r="K2673" s="1755">
        <v>9.5</v>
      </c>
      <c r="L2673" s="972"/>
      <c r="M2673" s="1740" t="s">
        <v>1945</v>
      </c>
      <c r="P2673" s="261"/>
      <c r="Q2673" s="209"/>
      <c r="R2673" s="261"/>
      <c r="S2673" s="52"/>
      <c r="T2673" s="181"/>
      <c r="U2673" s="52"/>
      <c r="V2673" s="4288"/>
      <c r="W2673" s="1396">
        <v>9.5</v>
      </c>
      <c r="X2673" s="1396">
        <v>9.5</v>
      </c>
      <c r="Y2673" s="1396">
        <v>9.5</v>
      </c>
      <c r="Z2673" s="1396">
        <v>9.5</v>
      </c>
      <c r="AA2673" s="1396">
        <v>9.5</v>
      </c>
      <c r="AB2673" s="1396">
        <v>9.5</v>
      </c>
      <c r="AC2673" s="211">
        <v>9.5</v>
      </c>
      <c r="AD2673" s="211">
        <v>9.5</v>
      </c>
      <c r="AE2673" s="971">
        <v>9.5</v>
      </c>
      <c r="AF2673" s="271">
        <f t="shared" si="302"/>
        <v>9.5</v>
      </c>
      <c r="AG2673" s="1396"/>
      <c r="DG2673" s="573"/>
      <c r="DH2673" s="159"/>
      <c r="DI2673" s="1091"/>
      <c r="DJ2673" s="1187"/>
    </row>
    <row r="2674" spans="1:114" ht="15" hidden="1" customHeight="1" outlineLevel="1">
      <c r="A2674" s="453"/>
      <c r="C2674" s="51"/>
      <c r="D2674" s="4295"/>
      <c r="E2674" s="4295"/>
      <c r="F2674" s="4347" t="str">
        <f>$E$1870</f>
        <v>ASHP-SEER21_ER1_MF_CompE</v>
      </c>
      <c r="G2674" s="4347"/>
      <c r="H2674" s="4347"/>
      <c r="I2674" s="4347"/>
      <c r="J2674" s="3471" t="str">
        <f>$C$1870</f>
        <v>354901_2024_12_</v>
      </c>
      <c r="K2674" s="3485">
        <v>9.5</v>
      </c>
      <c r="L2674" s="3480"/>
      <c r="M2674" s="3293" t="s">
        <v>1945</v>
      </c>
      <c r="P2674" s="261"/>
      <c r="Q2674" s="209"/>
      <c r="R2674" s="261"/>
      <c r="S2674" s="52"/>
      <c r="T2674" s="181"/>
      <c r="U2674" s="52"/>
      <c r="V2674" s="4288"/>
      <c r="W2674" s="1396"/>
      <c r="X2674" s="1396"/>
      <c r="Y2674" s="3265">
        <v>9.5</v>
      </c>
      <c r="Z2674" s="3262">
        <v>9.5</v>
      </c>
      <c r="AA2674" s="3262">
        <v>9.5</v>
      </c>
      <c r="AB2674" s="3262">
        <v>9.5</v>
      </c>
      <c r="AC2674" s="3286">
        <v>9.5</v>
      </c>
      <c r="AD2674" s="3286">
        <v>9.5</v>
      </c>
      <c r="AE2674" s="3486">
        <v>9.5</v>
      </c>
      <c r="AF2674" s="2236">
        <f t="shared" si="302"/>
        <v>9.5</v>
      </c>
      <c r="AG2674" s="1396"/>
      <c r="DG2674" s="573"/>
      <c r="DH2674" s="159"/>
      <c r="DI2674" s="1091"/>
      <c r="DJ2674" s="1187"/>
    </row>
    <row r="2675" spans="1:114" ht="15" hidden="1" customHeight="1" outlineLevel="1">
      <c r="A2675" s="453"/>
      <c r="C2675" s="51"/>
      <c r="D2675" s="4295"/>
      <c r="E2675" s="4295"/>
      <c r="F2675" s="4347" t="str">
        <f>$E$1872</f>
        <v>ASHP-SEER21_ER2_MF_CompE</v>
      </c>
      <c r="G2675" s="4347"/>
      <c r="H2675" s="4347"/>
      <c r="I2675" s="4347"/>
      <c r="J2675" s="3471" t="str">
        <f>$C$1872</f>
        <v>354901_2024_12_</v>
      </c>
      <c r="K2675" s="3485">
        <v>9.5</v>
      </c>
      <c r="L2675" s="3480"/>
      <c r="M2675" s="3293" t="s">
        <v>1945</v>
      </c>
      <c r="P2675" s="261"/>
      <c r="Q2675" s="209"/>
      <c r="R2675" s="261"/>
      <c r="S2675" s="52"/>
      <c r="T2675" s="181"/>
      <c r="U2675" s="52"/>
      <c r="V2675" s="4288"/>
      <c r="W2675" s="1396"/>
      <c r="X2675" s="1396"/>
      <c r="Y2675" s="3265">
        <v>9.5</v>
      </c>
      <c r="Z2675" s="3262">
        <v>9.5</v>
      </c>
      <c r="AA2675" s="3262">
        <v>9.5</v>
      </c>
      <c r="AB2675" s="3262">
        <v>9.5</v>
      </c>
      <c r="AC2675" s="3286">
        <v>9.5</v>
      </c>
      <c r="AD2675" s="3286">
        <v>9.5</v>
      </c>
      <c r="AE2675" s="3486">
        <v>9.5</v>
      </c>
      <c r="AF2675" s="2236">
        <f t="shared" si="302"/>
        <v>9.5</v>
      </c>
      <c r="AG2675" s="1396"/>
      <c r="DG2675" s="573"/>
      <c r="DH2675" s="159"/>
      <c r="DI2675" s="1091"/>
      <c r="DJ2675" s="1187"/>
    </row>
    <row r="2676" spans="1:114" ht="15" hidden="1" customHeight="1" outlineLevel="1">
      <c r="A2676" s="453"/>
      <c r="C2676" s="51"/>
      <c r="D2676" s="4295"/>
      <c r="E2676" s="4295"/>
      <c r="F2676" s="4307" t="str">
        <f>$E$1874</f>
        <v>ASHP-SEER17_ROF_MF</v>
      </c>
      <c r="G2676" s="4307"/>
      <c r="H2676" s="4307"/>
      <c r="I2676" s="4307"/>
      <c r="J2676" s="1029" t="str">
        <f>$C$1874</f>
        <v>354950_2024_12_</v>
      </c>
      <c r="K2676" s="1755">
        <v>9.8000000000000007</v>
      </c>
      <c r="L2676" s="972"/>
      <c r="M2676" s="1741" t="s">
        <v>2496</v>
      </c>
      <c r="P2676" s="261"/>
      <c r="Q2676" s="209"/>
      <c r="R2676" s="261"/>
      <c r="S2676" s="52"/>
      <c r="T2676" s="181"/>
      <c r="U2676" s="52"/>
      <c r="V2676" s="4288"/>
      <c r="W2676" s="1396">
        <v>9.8000000000000007</v>
      </c>
      <c r="X2676" s="1396">
        <v>9.8000000000000007</v>
      </c>
      <c r="Y2676" s="1396">
        <v>9.8000000000000007</v>
      </c>
      <c r="Z2676" s="1396">
        <v>9.8000000000000007</v>
      </c>
      <c r="AA2676" s="1396">
        <v>9.8000000000000007</v>
      </c>
      <c r="AB2676" s="1396">
        <v>9.8000000000000007</v>
      </c>
      <c r="AC2676" s="211">
        <v>9.8000000000000007</v>
      </c>
      <c r="AD2676" s="211">
        <v>9.8000000000000007</v>
      </c>
      <c r="AE2676" s="971">
        <v>9.8000000000000007</v>
      </c>
      <c r="AF2676" s="271">
        <f t="shared" si="302"/>
        <v>9.8000000000000007</v>
      </c>
      <c r="AG2676" s="1396"/>
      <c r="DG2676" s="573"/>
      <c r="DH2676" s="159"/>
      <c r="DI2676" s="1091"/>
      <c r="DJ2676" s="1187"/>
    </row>
    <row r="2677" spans="1:114" ht="15" hidden="1" customHeight="1" outlineLevel="1">
      <c r="A2677" s="453"/>
      <c r="C2677" s="51"/>
      <c r="D2677" s="4295"/>
      <c r="E2677" s="4295"/>
      <c r="F2677" s="4347" t="str">
        <f>$E$1876</f>
        <v>ASHP-SEER17_ROF_MF_CompE</v>
      </c>
      <c r="G2677" s="4347"/>
      <c r="H2677" s="4347"/>
      <c r="I2677" s="4347"/>
      <c r="J2677" s="3471" t="str">
        <f>$C$1876</f>
        <v>354951_2024_12_</v>
      </c>
      <c r="K2677" s="3485">
        <v>9.8000000000000007</v>
      </c>
      <c r="L2677" s="3480"/>
      <c r="M2677" s="3293" t="s">
        <v>1945</v>
      </c>
      <c r="P2677" s="261"/>
      <c r="Q2677" s="209"/>
      <c r="R2677" s="261"/>
      <c r="S2677" s="52"/>
      <c r="T2677" s="181"/>
      <c r="U2677" s="52"/>
      <c r="V2677" s="4288"/>
      <c r="W2677" s="1396"/>
      <c r="X2677" s="1396"/>
      <c r="Y2677" s="3265">
        <v>9.8000000000000007</v>
      </c>
      <c r="Z2677" s="3262">
        <v>9.8000000000000007</v>
      </c>
      <c r="AA2677" s="3262">
        <v>9.8000000000000007</v>
      </c>
      <c r="AB2677" s="3262">
        <v>9.8000000000000007</v>
      </c>
      <c r="AC2677" s="3286">
        <v>9.8000000000000007</v>
      </c>
      <c r="AD2677" s="3286">
        <v>9.8000000000000007</v>
      </c>
      <c r="AE2677" s="3486">
        <v>9.8000000000000007</v>
      </c>
      <c r="AF2677" s="2236">
        <f t="shared" si="302"/>
        <v>9.8000000000000007</v>
      </c>
      <c r="AG2677" s="1396"/>
      <c r="DG2677" s="573"/>
      <c r="DH2677" s="159"/>
      <c r="DI2677" s="1091"/>
      <c r="DJ2677" s="1187"/>
    </row>
    <row r="2678" spans="1:114" ht="15" hidden="1" customHeight="1" outlineLevel="1">
      <c r="A2678" s="453"/>
      <c r="C2678" s="51"/>
      <c r="D2678" s="4295"/>
      <c r="E2678" s="4295"/>
      <c r="F2678" s="4307" t="str">
        <f>$E$1878</f>
        <v>ASHP-SEER18_ROF_MF</v>
      </c>
      <c r="G2678" s="4307"/>
      <c r="H2678" s="4307"/>
      <c r="I2678" s="4307"/>
      <c r="J2678" s="1029" t="str">
        <f>$C$1878</f>
        <v>355000_2024_12_</v>
      </c>
      <c r="K2678" s="1755">
        <v>9.8000000000000007</v>
      </c>
      <c r="L2678" s="972"/>
      <c r="M2678" s="1741" t="s">
        <v>2496</v>
      </c>
      <c r="S2678" s="52"/>
      <c r="T2678" s="52"/>
      <c r="U2678" s="52"/>
      <c r="V2678" s="4288"/>
      <c r="W2678" s="1396">
        <v>9.8000000000000007</v>
      </c>
      <c r="X2678" s="1396">
        <v>9.8000000000000007</v>
      </c>
      <c r="Y2678" s="1396">
        <v>9.8000000000000007</v>
      </c>
      <c r="Z2678" s="1396">
        <v>9.8000000000000007</v>
      </c>
      <c r="AA2678" s="1396">
        <v>9.8000000000000007</v>
      </c>
      <c r="AB2678" s="1396">
        <v>9.8000000000000007</v>
      </c>
      <c r="AC2678" s="211">
        <v>9.8000000000000007</v>
      </c>
      <c r="AD2678" s="211">
        <v>9.8000000000000007</v>
      </c>
      <c r="AE2678" s="971">
        <v>9.8000000000000007</v>
      </c>
      <c r="AF2678" s="271">
        <f t="shared" si="302"/>
        <v>9.8000000000000007</v>
      </c>
      <c r="AG2678" s="1396"/>
      <c r="DG2678" s="573"/>
      <c r="DH2678" s="159"/>
      <c r="DI2678" s="1091"/>
      <c r="DJ2678" s="1187"/>
    </row>
    <row r="2679" spans="1:114" ht="15" hidden="1" customHeight="1" outlineLevel="1">
      <c r="A2679" s="453"/>
      <c r="C2679" s="51"/>
      <c r="D2679" s="4295"/>
      <c r="E2679" s="4295"/>
      <c r="F2679" s="4347" t="str">
        <f>$E$1880</f>
        <v>ASHP-SEER18_ROF_MF_CompE</v>
      </c>
      <c r="G2679" s="4347"/>
      <c r="H2679" s="4347"/>
      <c r="I2679" s="4347"/>
      <c r="J2679" s="3471" t="str">
        <f>$C$1880</f>
        <v>355001_2024_12_</v>
      </c>
      <c r="K2679" s="3485">
        <v>9.8000000000000007</v>
      </c>
      <c r="L2679" s="3480"/>
      <c r="M2679" s="3293" t="s">
        <v>1945</v>
      </c>
      <c r="S2679" s="52"/>
      <c r="T2679" s="52"/>
      <c r="U2679" s="52"/>
      <c r="V2679" s="4288"/>
      <c r="W2679" s="1396"/>
      <c r="X2679" s="1396"/>
      <c r="Y2679" s="3265">
        <v>9.8000000000000007</v>
      </c>
      <c r="Z2679" s="3262">
        <v>9.8000000000000007</v>
      </c>
      <c r="AA2679" s="3262">
        <v>9.8000000000000007</v>
      </c>
      <c r="AB2679" s="3262">
        <v>9.8000000000000007</v>
      </c>
      <c r="AC2679" s="3286">
        <v>9.8000000000000007</v>
      </c>
      <c r="AD2679" s="3286">
        <v>9.8000000000000007</v>
      </c>
      <c r="AE2679" s="3486">
        <v>9.8000000000000007</v>
      </c>
      <c r="AF2679" s="2236">
        <f t="shared" si="302"/>
        <v>9.8000000000000007</v>
      </c>
      <c r="AG2679" s="1396"/>
      <c r="DG2679" s="573"/>
      <c r="DH2679" s="159"/>
      <c r="DI2679" s="1091"/>
      <c r="DJ2679" s="1187"/>
    </row>
    <row r="2680" spans="1:114" ht="15" hidden="1" customHeight="1" outlineLevel="1">
      <c r="A2680" s="453"/>
      <c r="C2680" s="51"/>
      <c r="D2680" s="4295"/>
      <c r="E2680" s="4295"/>
      <c r="F2680" s="4307" t="str">
        <f>$E$1882</f>
        <v>ASHP-SEER19_ROF_MF</v>
      </c>
      <c r="G2680" s="4307"/>
      <c r="H2680" s="4307"/>
      <c r="I2680" s="4307"/>
      <c r="J2680" s="1029" t="str">
        <f>$C$1882</f>
        <v>355050_2024_12_</v>
      </c>
      <c r="K2680" s="1755">
        <v>9.8000000000000007</v>
      </c>
      <c r="L2680" s="972"/>
      <c r="M2680" s="1741" t="s">
        <v>2496</v>
      </c>
      <c r="S2680" s="52"/>
      <c r="T2680" s="52"/>
      <c r="U2680" s="52"/>
      <c r="V2680" s="4288"/>
      <c r="W2680" s="1396">
        <v>9.8000000000000007</v>
      </c>
      <c r="X2680" s="1396">
        <v>9.8000000000000007</v>
      </c>
      <c r="Y2680" s="1396">
        <v>9.8000000000000007</v>
      </c>
      <c r="Z2680" s="1396">
        <v>9.8000000000000007</v>
      </c>
      <c r="AA2680" s="1396">
        <v>9.8000000000000007</v>
      </c>
      <c r="AB2680" s="1396">
        <v>9.8000000000000007</v>
      </c>
      <c r="AC2680" s="211">
        <v>9.8000000000000007</v>
      </c>
      <c r="AD2680" s="211">
        <v>9.8000000000000007</v>
      </c>
      <c r="AE2680" s="971">
        <v>9.8000000000000007</v>
      </c>
      <c r="AF2680" s="271">
        <f t="shared" si="302"/>
        <v>9.8000000000000007</v>
      </c>
      <c r="AG2680" s="1396"/>
      <c r="DG2680" s="573"/>
      <c r="DH2680" s="159"/>
      <c r="DI2680" s="1091"/>
      <c r="DJ2680" s="1187"/>
    </row>
    <row r="2681" spans="1:114" ht="15" hidden="1" customHeight="1" outlineLevel="1">
      <c r="A2681" s="453"/>
      <c r="C2681" s="51"/>
      <c r="D2681" s="4295"/>
      <c r="E2681" s="4295"/>
      <c r="F2681" s="4347" t="str">
        <f>$E$1884</f>
        <v>ASHP-SEER19_ROF_MF_CompE</v>
      </c>
      <c r="G2681" s="4347"/>
      <c r="H2681" s="4347"/>
      <c r="I2681" s="4347"/>
      <c r="J2681" s="3471" t="str">
        <f>$C$1884</f>
        <v>355051_2024_12_</v>
      </c>
      <c r="K2681" s="3485">
        <v>9.8000000000000007</v>
      </c>
      <c r="L2681" s="3480"/>
      <c r="M2681" s="3293" t="s">
        <v>1945</v>
      </c>
      <c r="S2681" s="52"/>
      <c r="T2681" s="52"/>
      <c r="U2681" s="52"/>
      <c r="V2681" s="4288"/>
      <c r="W2681" s="1396"/>
      <c r="X2681" s="1396"/>
      <c r="Y2681" s="3265">
        <v>9.8000000000000007</v>
      </c>
      <c r="Z2681" s="3262">
        <v>9.8000000000000007</v>
      </c>
      <c r="AA2681" s="3262">
        <v>9.8000000000000007</v>
      </c>
      <c r="AB2681" s="3262">
        <v>9.8000000000000007</v>
      </c>
      <c r="AC2681" s="3286">
        <v>9.8000000000000007</v>
      </c>
      <c r="AD2681" s="3286">
        <v>9.8000000000000007</v>
      </c>
      <c r="AE2681" s="3486">
        <v>9.8000000000000007</v>
      </c>
      <c r="AF2681" s="2236">
        <f t="shared" si="302"/>
        <v>9.8000000000000007</v>
      </c>
      <c r="AG2681" s="1396"/>
      <c r="DG2681" s="573"/>
      <c r="DH2681" s="159"/>
      <c r="DI2681" s="1091"/>
      <c r="DJ2681" s="1187"/>
    </row>
    <row r="2682" spans="1:114" ht="15" hidden="1" customHeight="1" outlineLevel="1">
      <c r="A2682" s="453"/>
      <c r="C2682" s="51"/>
      <c r="D2682" s="4295"/>
      <c r="E2682" s="4295"/>
      <c r="F2682" s="4307" t="str">
        <f>$E$1886</f>
        <v>ASHP-SEER20_ROF_MF</v>
      </c>
      <c r="G2682" s="4307"/>
      <c r="H2682" s="4307"/>
      <c r="I2682" s="4307"/>
      <c r="J2682" s="1029" t="str">
        <f>$C$1886</f>
        <v>355100_2024_12_</v>
      </c>
      <c r="K2682" s="1755">
        <v>9.8000000000000007</v>
      </c>
      <c r="L2682" s="972"/>
      <c r="M2682" s="1741" t="s">
        <v>2496</v>
      </c>
      <c r="P2682" s="261"/>
      <c r="Q2682" s="209"/>
      <c r="R2682" s="261"/>
      <c r="S2682" s="52"/>
      <c r="T2682" s="181"/>
      <c r="U2682" s="52"/>
      <c r="V2682" s="4288"/>
      <c r="W2682" s="1396">
        <v>9.8000000000000007</v>
      </c>
      <c r="X2682" s="1396">
        <v>9.8000000000000007</v>
      </c>
      <c r="Y2682" s="1396">
        <v>9.8000000000000007</v>
      </c>
      <c r="Z2682" s="1396">
        <v>9.8000000000000007</v>
      </c>
      <c r="AA2682" s="1396">
        <v>9.8000000000000007</v>
      </c>
      <c r="AB2682" s="1396">
        <v>9.8000000000000007</v>
      </c>
      <c r="AC2682" s="211">
        <v>9.8000000000000007</v>
      </c>
      <c r="AD2682" s="211">
        <v>9.8000000000000007</v>
      </c>
      <c r="AE2682" s="971">
        <v>9.8000000000000007</v>
      </c>
      <c r="AF2682" s="271">
        <f t="shared" ref="AF2682:AF2745" si="303">IF(K2682&lt;&gt;"",K2682,"")</f>
        <v>9.8000000000000007</v>
      </c>
      <c r="AG2682" s="1396"/>
      <c r="DG2682" s="573"/>
      <c r="DH2682" s="159"/>
      <c r="DI2682" s="1091"/>
      <c r="DJ2682" s="1187"/>
    </row>
    <row r="2683" spans="1:114" ht="15" hidden="1" customHeight="1" outlineLevel="1">
      <c r="A2683" s="453"/>
      <c r="C2683" s="51"/>
      <c r="D2683" s="4295"/>
      <c r="E2683" s="4295"/>
      <c r="F2683" s="4347" t="str">
        <f>$E$1888</f>
        <v>ASHP-SEER20_ROF_MF_CompE</v>
      </c>
      <c r="G2683" s="4347"/>
      <c r="H2683" s="4347"/>
      <c r="I2683" s="4347"/>
      <c r="J2683" s="3471" t="str">
        <f>$C$1888</f>
        <v>355101_2024_12_</v>
      </c>
      <c r="K2683" s="3485">
        <v>9.8000000000000007</v>
      </c>
      <c r="L2683" s="3480"/>
      <c r="M2683" s="3293" t="s">
        <v>1945</v>
      </c>
      <c r="P2683" s="261"/>
      <c r="Q2683" s="209"/>
      <c r="R2683" s="261"/>
      <c r="S2683" s="52"/>
      <c r="T2683" s="181"/>
      <c r="U2683" s="52"/>
      <c r="V2683" s="4288"/>
      <c r="W2683" s="1396"/>
      <c r="X2683" s="1396"/>
      <c r="Y2683" s="3265">
        <v>9.8000000000000007</v>
      </c>
      <c r="Z2683" s="3262">
        <v>9.8000000000000007</v>
      </c>
      <c r="AA2683" s="3262">
        <v>9.8000000000000007</v>
      </c>
      <c r="AB2683" s="3262">
        <v>9.8000000000000007</v>
      </c>
      <c r="AC2683" s="3286">
        <v>9.8000000000000007</v>
      </c>
      <c r="AD2683" s="3286">
        <v>9.8000000000000007</v>
      </c>
      <c r="AE2683" s="3486">
        <v>9.8000000000000007</v>
      </c>
      <c r="AF2683" s="2236">
        <f t="shared" si="303"/>
        <v>9.8000000000000007</v>
      </c>
      <c r="AG2683" s="1396"/>
      <c r="DG2683" s="573"/>
      <c r="DH2683" s="159"/>
      <c r="DI2683" s="1091"/>
      <c r="DJ2683" s="1187"/>
    </row>
    <row r="2684" spans="1:114" ht="15.75" hidden="1" customHeight="1" outlineLevel="1">
      <c r="A2684" s="453"/>
      <c r="C2684" s="51"/>
      <c r="D2684" s="4295"/>
      <c r="E2684" s="4295"/>
      <c r="F2684" s="4307" t="str">
        <f>$E$1890</f>
        <v>ASHP-SEER21_ROF_MF</v>
      </c>
      <c r="G2684" s="4307"/>
      <c r="H2684" s="4307"/>
      <c r="I2684" s="4307"/>
      <c r="J2684" s="1029" t="str">
        <f>$C$1890</f>
        <v>355150_2024_12_</v>
      </c>
      <c r="K2684" s="1755">
        <v>9.8000000000000007</v>
      </c>
      <c r="L2684" s="972"/>
      <c r="M2684" s="1741" t="s">
        <v>2496</v>
      </c>
      <c r="P2684" s="261"/>
      <c r="Q2684" s="209"/>
      <c r="R2684" s="261"/>
      <c r="S2684" s="52"/>
      <c r="T2684" s="181"/>
      <c r="U2684" s="52"/>
      <c r="V2684" s="4288"/>
      <c r="W2684" s="1396">
        <v>9.8000000000000007</v>
      </c>
      <c r="X2684" s="1396">
        <v>9.8000000000000007</v>
      </c>
      <c r="Y2684" s="1396">
        <v>9.8000000000000007</v>
      </c>
      <c r="Z2684" s="1396">
        <v>9.8000000000000007</v>
      </c>
      <c r="AA2684" s="1396">
        <v>9.8000000000000007</v>
      </c>
      <c r="AB2684" s="1396">
        <v>9.8000000000000007</v>
      </c>
      <c r="AC2684" s="211">
        <v>9.8000000000000007</v>
      </c>
      <c r="AD2684" s="211">
        <v>9.8000000000000007</v>
      </c>
      <c r="AE2684" s="971">
        <v>9.8000000000000007</v>
      </c>
      <c r="AF2684" s="271">
        <f t="shared" si="303"/>
        <v>9.8000000000000007</v>
      </c>
      <c r="AG2684" s="1396"/>
      <c r="DG2684" s="573"/>
      <c r="DH2684" s="159"/>
      <c r="DI2684" s="1091"/>
      <c r="DJ2684" s="1187"/>
    </row>
    <row r="2685" spans="1:114" ht="15.75" hidden="1" customHeight="1" outlineLevel="1">
      <c r="A2685" s="453"/>
      <c r="C2685" s="51"/>
      <c r="D2685" s="4295"/>
      <c r="E2685" s="4295"/>
      <c r="F2685" s="4347" t="str">
        <f>$E$1892</f>
        <v>ASHP-SEER21_ROF_MF_CompE</v>
      </c>
      <c r="G2685" s="4347"/>
      <c r="H2685" s="4347"/>
      <c r="I2685" s="4347"/>
      <c r="J2685" s="3471" t="str">
        <f>$C$1892</f>
        <v>355151_2024_12_</v>
      </c>
      <c r="K2685" s="3485">
        <v>9.8000000000000007</v>
      </c>
      <c r="L2685" s="3480"/>
      <c r="M2685" s="3293" t="s">
        <v>1945</v>
      </c>
      <c r="P2685" s="261"/>
      <c r="Q2685" s="209"/>
      <c r="R2685" s="261"/>
      <c r="S2685" s="52"/>
      <c r="T2685" s="181"/>
      <c r="U2685" s="52"/>
      <c r="V2685" s="4288"/>
      <c r="W2685" s="1396"/>
      <c r="X2685" s="1396"/>
      <c r="Y2685" s="3265">
        <v>9.8000000000000007</v>
      </c>
      <c r="Z2685" s="3262">
        <v>9.8000000000000007</v>
      </c>
      <c r="AA2685" s="3262">
        <v>9.8000000000000007</v>
      </c>
      <c r="AB2685" s="3262">
        <v>9.8000000000000007</v>
      </c>
      <c r="AC2685" s="3286">
        <v>9.8000000000000007</v>
      </c>
      <c r="AD2685" s="3286">
        <v>9.8000000000000007</v>
      </c>
      <c r="AE2685" s="3486">
        <v>9.8000000000000007</v>
      </c>
      <c r="AF2685" s="2236">
        <f t="shared" si="303"/>
        <v>9.8000000000000007</v>
      </c>
      <c r="AG2685" s="1396"/>
      <c r="DG2685" s="573"/>
      <c r="DH2685" s="159"/>
      <c r="DI2685" s="1091"/>
      <c r="DJ2685" s="1187"/>
    </row>
    <row r="2686" spans="1:114" ht="15" hidden="1" customHeight="1" outlineLevel="1">
      <c r="A2686" s="453"/>
      <c r="C2686" s="51"/>
      <c r="D2686" s="4295" t="s">
        <v>2118</v>
      </c>
      <c r="E2686" s="4295" t="s">
        <v>2503</v>
      </c>
      <c r="F2686" s="4307" t="str">
        <f>$E$1508</f>
        <v>ASHP-SEER15-Replace_CAC_ElectricHeat_ER1_SF</v>
      </c>
      <c r="G2686" s="4307"/>
      <c r="H2686" s="4307"/>
      <c r="I2686" s="4307"/>
      <c r="J2686" s="1029" t="str">
        <f>$C$1508</f>
        <v>352300_2024_12_</v>
      </c>
      <c r="K2686" s="1753">
        <v>35979.397590361448</v>
      </c>
      <c r="L2686" s="947">
        <f t="shared" ref="L2686:L2752" si="304">K2686/12000</f>
        <v>2.9982831325301205</v>
      </c>
      <c r="M2686" s="1739" t="s">
        <v>1934</v>
      </c>
      <c r="P2686" s="261"/>
      <c r="Q2686" s="209"/>
      <c r="R2686" s="261"/>
      <c r="S2686" s="52"/>
      <c r="T2686" s="181"/>
      <c r="U2686" s="52"/>
      <c r="V2686" s="4295" t="s">
        <v>2118</v>
      </c>
      <c r="W2686" s="1396">
        <v>33600</v>
      </c>
      <c r="X2686" s="833">
        <f>3.06*12000</f>
        <v>36720</v>
      </c>
      <c r="Y2686" s="833">
        <v>34800</v>
      </c>
      <c r="Z2686" s="1396">
        <v>34800</v>
      </c>
      <c r="AA2686" s="1396">
        <v>34800</v>
      </c>
      <c r="AB2686" s="825">
        <v>34457.142857142855</v>
      </c>
      <c r="AC2686" s="825">
        <v>34555.932203389835</v>
      </c>
      <c r="AD2686" s="825">
        <v>35530.201342281878</v>
      </c>
      <c r="AE2686" s="967">
        <v>35979.397590361448</v>
      </c>
      <c r="AF2686" s="271">
        <f t="shared" si="303"/>
        <v>35979.397590361448</v>
      </c>
      <c r="AG2686" s="1396"/>
      <c r="DG2686" s="573"/>
      <c r="DH2686" s="159"/>
      <c r="DI2686" s="1091"/>
      <c r="DJ2686" s="1187"/>
    </row>
    <row r="2687" spans="1:114" ht="15" hidden="1" customHeight="1" outlineLevel="1">
      <c r="A2687" s="453"/>
      <c r="C2687" s="51"/>
      <c r="D2687" s="4295"/>
      <c r="E2687" s="4295"/>
      <c r="F2687" s="4307" t="str">
        <f>$E$1510</f>
        <v>ASHP-SEER15-Replace_CAC_ElectricHeat_ER2_SF</v>
      </c>
      <c r="G2687" s="4307"/>
      <c r="H2687" s="4307"/>
      <c r="I2687" s="4307"/>
      <c r="J2687" s="1029" t="str">
        <f>$C$1510</f>
        <v>352300_2024_12_</v>
      </c>
      <c r="K2687" s="1753">
        <v>35979.397590361448</v>
      </c>
      <c r="L2687" s="947">
        <f t="shared" si="304"/>
        <v>2.9982831325301205</v>
      </c>
      <c r="M2687" s="1739" t="s">
        <v>1945</v>
      </c>
      <c r="P2687" s="261"/>
      <c r="Q2687" s="209"/>
      <c r="R2687" s="261"/>
      <c r="S2687" s="52"/>
      <c r="T2687" s="181"/>
      <c r="U2687" s="52"/>
      <c r="V2687" s="4295"/>
      <c r="W2687" s="1396">
        <v>33600</v>
      </c>
      <c r="X2687" s="833">
        <f t="shared" ref="X2687:X2703" si="305">3.06*12000</f>
        <v>36720</v>
      </c>
      <c r="Y2687" s="833">
        <v>34800</v>
      </c>
      <c r="Z2687" s="1396">
        <v>34800</v>
      </c>
      <c r="AA2687" s="1396">
        <v>34800</v>
      </c>
      <c r="AB2687" s="825">
        <v>34457.142857142855</v>
      </c>
      <c r="AC2687" s="825">
        <f>AC2686</f>
        <v>34555.932203389835</v>
      </c>
      <c r="AD2687" s="825">
        <v>35530.201342281878</v>
      </c>
      <c r="AE2687" s="967">
        <v>35979.397590361448</v>
      </c>
      <c r="AF2687" s="271">
        <f t="shared" si="303"/>
        <v>35979.397590361448</v>
      </c>
      <c r="AG2687" s="1396"/>
      <c r="DG2687" s="573"/>
      <c r="DH2687" s="159"/>
      <c r="DI2687" s="1091"/>
      <c r="DJ2687" s="1187"/>
    </row>
    <row r="2688" spans="1:114" ht="15" hidden="1" customHeight="1" outlineLevel="1">
      <c r="A2688" s="453"/>
      <c r="C2688" s="51"/>
      <c r="D2688" s="4295"/>
      <c r="E2688" s="4295"/>
      <c r="F2688" s="4307" t="str">
        <f>$E$1512</f>
        <v>ASHP-SEER15-Replace_CAC_NonElectricHeat_ER1_SF</v>
      </c>
      <c r="G2688" s="4307"/>
      <c r="H2688" s="4307"/>
      <c r="I2688" s="4307"/>
      <c r="J2688" s="1029" t="str">
        <f>$C$1512</f>
        <v>352310_2024_12_</v>
      </c>
      <c r="K2688" s="1753">
        <v>35979.397590361448</v>
      </c>
      <c r="L2688" s="947">
        <f t="shared" si="304"/>
        <v>2.9982831325301205</v>
      </c>
      <c r="M2688" s="1740" t="s">
        <v>1945</v>
      </c>
      <c r="P2688" s="261"/>
      <c r="Q2688" s="209"/>
      <c r="R2688" s="261"/>
      <c r="S2688" s="52"/>
      <c r="T2688" s="181"/>
      <c r="U2688" s="52"/>
      <c r="V2688" s="4295"/>
      <c r="W2688" s="1396"/>
      <c r="X2688" s="833"/>
      <c r="Y2688" s="833"/>
      <c r="Z2688" s="1396"/>
      <c r="AA2688" s="1396"/>
      <c r="AB2688" s="825"/>
      <c r="AC2688" s="825">
        <v>34555.932203389835</v>
      </c>
      <c r="AD2688" s="825">
        <v>35530.201342281878</v>
      </c>
      <c r="AE2688" s="967">
        <v>35979.397590361448</v>
      </c>
      <c r="AF2688" s="271">
        <f t="shared" si="303"/>
        <v>35979.397590361448</v>
      </c>
      <c r="AG2688" s="1396"/>
      <c r="DG2688" s="573"/>
      <c r="DH2688" s="159"/>
      <c r="DI2688" s="1091"/>
      <c r="DJ2688" s="1187"/>
    </row>
    <row r="2689" spans="1:114" ht="15" hidden="1" customHeight="1" outlineLevel="1">
      <c r="A2689" s="453"/>
      <c r="C2689" s="51"/>
      <c r="D2689" s="4295"/>
      <c r="E2689" s="4295"/>
      <c r="F2689" s="4307" t="str">
        <f>$E$1514</f>
        <v>ASHP-SEER15-Replace_CAC_NonElectricHeat_ER2_SF</v>
      </c>
      <c r="G2689" s="4307"/>
      <c r="H2689" s="4307"/>
      <c r="I2689" s="4307"/>
      <c r="J2689" s="1029" t="str">
        <f>$C$1514</f>
        <v>352310_2024_12_</v>
      </c>
      <c r="K2689" s="1753">
        <v>35979.397590361448</v>
      </c>
      <c r="L2689" s="947">
        <f t="shared" si="304"/>
        <v>2.9982831325301205</v>
      </c>
      <c r="M2689" s="1740" t="s">
        <v>1945</v>
      </c>
      <c r="P2689" s="261"/>
      <c r="Q2689" s="209"/>
      <c r="R2689" s="261"/>
      <c r="S2689" s="52"/>
      <c r="T2689" s="181"/>
      <c r="U2689" s="52"/>
      <c r="V2689" s="4295"/>
      <c r="W2689" s="1396"/>
      <c r="X2689" s="833"/>
      <c r="Y2689" s="833"/>
      <c r="Z2689" s="1396"/>
      <c r="AA2689" s="1396"/>
      <c r="AB2689" s="825"/>
      <c r="AC2689" s="825">
        <f>AC2688</f>
        <v>34555.932203389835</v>
      </c>
      <c r="AD2689" s="825">
        <v>35530.201342281878</v>
      </c>
      <c r="AE2689" s="967">
        <v>35979.397590361448</v>
      </c>
      <c r="AF2689" s="271">
        <f t="shared" si="303"/>
        <v>35979.397590361448</v>
      </c>
      <c r="AG2689" s="1396"/>
      <c r="DG2689" s="573"/>
      <c r="DH2689" s="159"/>
      <c r="DI2689" s="1091"/>
      <c r="DJ2689" s="1187"/>
    </row>
    <row r="2690" spans="1:114" ht="15" hidden="1" customHeight="1" outlineLevel="1">
      <c r="A2690" s="453"/>
      <c r="C2690" s="51"/>
      <c r="D2690" s="4295"/>
      <c r="E2690" s="4295"/>
      <c r="F2690" s="4307" t="str">
        <f>$E$1516</f>
        <v>ASHP-SEER15_ER1_SF</v>
      </c>
      <c r="G2690" s="4307"/>
      <c r="H2690" s="4307"/>
      <c r="I2690" s="4307"/>
      <c r="J2690" s="1029" t="str">
        <f>$C$1516</f>
        <v>352350_2024_12_</v>
      </c>
      <c r="K2690" s="1753">
        <v>35979.397590361448</v>
      </c>
      <c r="L2690" s="947">
        <f t="shared" si="304"/>
        <v>2.9982831325301205</v>
      </c>
      <c r="M2690" s="1739" t="s">
        <v>1945</v>
      </c>
      <c r="P2690" s="261"/>
      <c r="Q2690" s="209"/>
      <c r="R2690" s="261"/>
      <c r="S2690" s="52"/>
      <c r="T2690" s="181"/>
      <c r="U2690" s="52"/>
      <c r="V2690" s="4295"/>
      <c r="W2690" s="1396">
        <v>37200</v>
      </c>
      <c r="X2690" s="833">
        <f t="shared" si="305"/>
        <v>36720</v>
      </c>
      <c r="Y2690" s="833">
        <v>35160</v>
      </c>
      <c r="Z2690" s="1396">
        <v>35160</v>
      </c>
      <c r="AA2690" s="1396">
        <v>35160</v>
      </c>
      <c r="AB2690" s="825">
        <v>37222.222222222219</v>
      </c>
      <c r="AC2690" s="825">
        <v>37480.519480519484</v>
      </c>
      <c r="AD2690" s="825">
        <v>35530.201342281878</v>
      </c>
      <c r="AE2690" s="967">
        <v>35979.397590361448</v>
      </c>
      <c r="AF2690" s="271">
        <f t="shared" si="303"/>
        <v>35979.397590361448</v>
      </c>
      <c r="AG2690" s="1396"/>
      <c r="DG2690" s="573"/>
      <c r="DH2690" s="159"/>
      <c r="DI2690" s="1091"/>
      <c r="DJ2690" s="1187"/>
    </row>
    <row r="2691" spans="1:114" ht="15" hidden="1" customHeight="1" outlineLevel="1">
      <c r="A2691" s="453"/>
      <c r="C2691" s="51"/>
      <c r="D2691" s="4295"/>
      <c r="E2691" s="4295"/>
      <c r="F2691" s="4307" t="str">
        <f>$E$1518</f>
        <v>ASHP-SEER15_ER2_SF</v>
      </c>
      <c r="G2691" s="4307"/>
      <c r="H2691" s="4307"/>
      <c r="I2691" s="4307"/>
      <c r="J2691" s="1029" t="str">
        <f>$C$1518</f>
        <v>352350_2024_12_</v>
      </c>
      <c r="K2691" s="1753">
        <v>35979.397590361448</v>
      </c>
      <c r="L2691" s="947">
        <f t="shared" si="304"/>
        <v>2.9982831325301205</v>
      </c>
      <c r="M2691" s="1739" t="s">
        <v>1945</v>
      </c>
      <c r="P2691" s="261"/>
      <c r="Q2691" s="209"/>
      <c r="R2691" s="261"/>
      <c r="S2691" s="52"/>
      <c r="T2691" s="181"/>
      <c r="U2691" s="52"/>
      <c r="V2691" s="4295"/>
      <c r="W2691" s="1396">
        <v>37200</v>
      </c>
      <c r="X2691" s="833">
        <f t="shared" si="305"/>
        <v>36720</v>
      </c>
      <c r="Y2691" s="833">
        <v>35160</v>
      </c>
      <c r="Z2691" s="1396">
        <v>35160</v>
      </c>
      <c r="AA2691" s="1396">
        <v>35160</v>
      </c>
      <c r="AB2691" s="825">
        <v>37222.222222222219</v>
      </c>
      <c r="AC2691" s="825">
        <f>AC2690</f>
        <v>37480.519480519484</v>
      </c>
      <c r="AD2691" s="825">
        <v>35530.201342281878</v>
      </c>
      <c r="AE2691" s="967">
        <v>35979.397590361448</v>
      </c>
      <c r="AF2691" s="271">
        <f t="shared" si="303"/>
        <v>35979.397590361448</v>
      </c>
      <c r="AG2691" s="1396"/>
      <c r="DG2691" s="573"/>
      <c r="DH2691" s="159"/>
      <c r="DI2691" s="1091"/>
      <c r="DJ2691" s="1187"/>
    </row>
    <row r="2692" spans="1:114" ht="15" hidden="1" customHeight="1" outlineLevel="1">
      <c r="A2692" s="453"/>
      <c r="C2692" s="51"/>
      <c r="D2692" s="4295"/>
      <c r="E2692" s="4295"/>
      <c r="F2692" s="4307" t="str">
        <f>$E$1520</f>
        <v>ASHP-SEER15-Replace_CAC_ElectricHeat_ROF_SF</v>
      </c>
      <c r="G2692" s="4307"/>
      <c r="H2692" s="4307"/>
      <c r="I2692" s="4307"/>
      <c r="J2692" s="1029" t="str">
        <f>$C$1520</f>
        <v>352400_2024_12_</v>
      </c>
      <c r="K2692" s="1753">
        <v>36788.235294117643</v>
      </c>
      <c r="L2692" s="947">
        <f t="shared" si="304"/>
        <v>3.0656862745098037</v>
      </c>
      <c r="M2692" s="1739" t="s">
        <v>1934</v>
      </c>
      <c r="P2692" s="261"/>
      <c r="Q2692" s="209"/>
      <c r="R2692" s="261"/>
      <c r="S2692" s="52"/>
      <c r="T2692" s="181"/>
      <c r="U2692" s="52"/>
      <c r="V2692" s="4295"/>
      <c r="W2692" s="1396">
        <v>31200</v>
      </c>
      <c r="X2692" s="833">
        <f t="shared" si="305"/>
        <v>36720</v>
      </c>
      <c r="Y2692" s="833">
        <v>34320</v>
      </c>
      <c r="Z2692" s="1396">
        <v>34320</v>
      </c>
      <c r="AA2692" s="1396">
        <v>34320</v>
      </c>
      <c r="AB2692" s="825">
        <v>35872.340425531918</v>
      </c>
      <c r="AC2692" s="825">
        <v>37047.619047619046</v>
      </c>
      <c r="AD2692" s="825">
        <v>36495.412844036699</v>
      </c>
      <c r="AE2692" s="967">
        <v>36788.235294117643</v>
      </c>
      <c r="AF2692" s="271">
        <f t="shared" si="303"/>
        <v>36788.235294117643</v>
      </c>
      <c r="AG2692" s="1396"/>
      <c r="DG2692" s="573"/>
      <c r="DH2692" s="159"/>
      <c r="DI2692" s="1091"/>
      <c r="DJ2692" s="1187"/>
    </row>
    <row r="2693" spans="1:114" ht="15" hidden="1" customHeight="1" outlineLevel="1">
      <c r="A2693" s="453"/>
      <c r="C2693" s="51"/>
      <c r="D2693" s="4295"/>
      <c r="E2693" s="4295"/>
      <c r="F2693" s="4307" t="str">
        <f>$E$1522</f>
        <v>ASHP-SEER15-Replace_CAC_NonElectricHeat_ROF_SF</v>
      </c>
      <c r="G2693" s="4307"/>
      <c r="H2693" s="4307"/>
      <c r="I2693" s="4307"/>
      <c r="J2693" s="1029" t="str">
        <f>$C$1522</f>
        <v>352410_2024_12_</v>
      </c>
      <c r="K2693" s="1753">
        <v>36788.235294117643</v>
      </c>
      <c r="L2693" s="947">
        <f t="shared" si="304"/>
        <v>3.0656862745098037</v>
      </c>
      <c r="M2693" s="1740" t="s">
        <v>1945</v>
      </c>
      <c r="P2693" s="261"/>
      <c r="Q2693" s="209"/>
      <c r="R2693" s="261"/>
      <c r="S2693" s="52"/>
      <c r="T2693" s="181"/>
      <c r="U2693" s="52"/>
      <c r="V2693" s="4295"/>
      <c r="W2693" s="1396"/>
      <c r="X2693" s="833"/>
      <c r="Y2693" s="833"/>
      <c r="Z2693" s="1396"/>
      <c r="AA2693" s="1396"/>
      <c r="AB2693" s="825"/>
      <c r="AC2693" s="825">
        <v>37047.619047619046</v>
      </c>
      <c r="AD2693" s="825">
        <v>36495.412844036699</v>
      </c>
      <c r="AE2693" s="967">
        <v>36788.235294117643</v>
      </c>
      <c r="AF2693" s="271">
        <f t="shared" si="303"/>
        <v>36788.235294117643</v>
      </c>
      <c r="AG2693" s="1396"/>
      <c r="DG2693" s="573"/>
      <c r="DH2693" s="159"/>
      <c r="DI2693" s="1091"/>
      <c r="DJ2693" s="1187"/>
    </row>
    <row r="2694" spans="1:114" ht="15" hidden="1" customHeight="1" outlineLevel="1">
      <c r="A2694" s="453"/>
      <c r="C2694" s="51"/>
      <c r="D2694" s="4295"/>
      <c r="E2694" s="4295"/>
      <c r="F2694" s="4347" t="str">
        <f>$E$1524</f>
        <v>ASHP-SEER15_ROF_SF</v>
      </c>
      <c r="G2694" s="4347"/>
      <c r="H2694" s="4347"/>
      <c r="I2694" s="4347"/>
      <c r="J2694" s="3471" t="str">
        <f>$C$1524</f>
        <v>352450_2024_12_</v>
      </c>
      <c r="K2694" s="3339">
        <v>36788.235294117643</v>
      </c>
      <c r="L2694" s="3488">
        <f t="shared" si="304"/>
        <v>3.0656862745098037</v>
      </c>
      <c r="M2694" s="3481" t="s">
        <v>1945</v>
      </c>
      <c r="P2694" s="261"/>
      <c r="Q2694" s="209"/>
      <c r="R2694" s="261"/>
      <c r="S2694" s="52"/>
      <c r="T2694" s="181"/>
      <c r="U2694" s="52"/>
      <c r="V2694" s="4295"/>
      <c r="W2694" s="3262">
        <v>37200</v>
      </c>
      <c r="X2694" s="3265">
        <f t="shared" si="305"/>
        <v>36720</v>
      </c>
      <c r="Y2694" s="3265">
        <v>34680</v>
      </c>
      <c r="Z2694" s="3262">
        <v>34680</v>
      </c>
      <c r="AA2694" s="3262">
        <v>34680</v>
      </c>
      <c r="AB2694" s="3262">
        <v>34680</v>
      </c>
      <c r="AC2694" s="3279">
        <v>35892.857142857138</v>
      </c>
      <c r="AD2694" s="3279">
        <v>36495.412844036699</v>
      </c>
      <c r="AE2694" s="3476">
        <v>36788.235294117643</v>
      </c>
      <c r="AF2694" s="2236">
        <f t="shared" si="303"/>
        <v>36788.235294117643</v>
      </c>
      <c r="AG2694" s="1396"/>
      <c r="DG2694" s="573"/>
      <c r="DH2694" s="159"/>
      <c r="DI2694" s="1091"/>
      <c r="DJ2694" s="1187"/>
    </row>
    <row r="2695" spans="1:114" ht="15" hidden="1" customHeight="1" outlineLevel="1">
      <c r="A2695" s="453"/>
      <c r="C2695" s="51"/>
      <c r="D2695" s="4295"/>
      <c r="E2695" s="4295"/>
      <c r="F2695" s="4307" t="str">
        <f>$E$1526</f>
        <v>ASHP-SEER16-Replace_CAC_ElectricHeat_ER1_SF</v>
      </c>
      <c r="G2695" s="4307"/>
      <c r="H2695" s="4307"/>
      <c r="I2695" s="4307"/>
      <c r="J2695" s="1029" t="str">
        <f>$C$1526</f>
        <v>352500_2024_12_</v>
      </c>
      <c r="K2695" s="1756">
        <v>36180.821917808222</v>
      </c>
      <c r="L2695" s="947">
        <f t="shared" si="304"/>
        <v>3.015068493150685</v>
      </c>
      <c r="M2695" s="1609" t="s">
        <v>1935</v>
      </c>
      <c r="P2695" s="261"/>
      <c r="Q2695" s="209"/>
      <c r="R2695" s="261"/>
      <c r="S2695" s="52"/>
      <c r="T2695" s="181"/>
      <c r="U2695" s="52"/>
      <c r="V2695" s="4295"/>
      <c r="W2695" s="1396">
        <v>37200</v>
      </c>
      <c r="X2695" s="833">
        <f t="shared" si="305"/>
        <v>36720</v>
      </c>
      <c r="Y2695" s="833">
        <v>38160</v>
      </c>
      <c r="Z2695" s="1396">
        <v>38160</v>
      </c>
      <c r="AA2695" s="1396">
        <v>38160</v>
      </c>
      <c r="AB2695" s="825">
        <v>35375.776397515532</v>
      </c>
      <c r="AC2695" s="825">
        <v>35069.908814589668</v>
      </c>
      <c r="AD2695" s="825">
        <v>35478.530884808017</v>
      </c>
      <c r="AE2695" s="967">
        <v>35329.608938547484</v>
      </c>
      <c r="AF2695" s="271">
        <f t="shared" si="303"/>
        <v>36180.821917808222</v>
      </c>
      <c r="AG2695" s="1396"/>
      <c r="DG2695" s="573"/>
      <c r="DH2695" s="159"/>
      <c r="DI2695" s="1091"/>
      <c r="DJ2695" s="1187"/>
    </row>
    <row r="2696" spans="1:114" ht="15" hidden="1" customHeight="1" outlineLevel="1">
      <c r="A2696" s="453"/>
      <c r="C2696" s="51"/>
      <c r="D2696" s="4295"/>
      <c r="E2696" s="4295"/>
      <c r="F2696" s="4307" t="str">
        <f>$E$1528</f>
        <v>ASHP-SEER16-Replace_CAC_ElectricHeat_ER2_SF</v>
      </c>
      <c r="G2696" s="4307"/>
      <c r="H2696" s="4307"/>
      <c r="I2696" s="4307"/>
      <c r="J2696" s="1029" t="str">
        <f>$C$1528</f>
        <v>352500_2024_12_</v>
      </c>
      <c r="K2696" s="1756">
        <f>$K$2695</f>
        <v>36180.821917808222</v>
      </c>
      <c r="L2696" s="947">
        <f t="shared" si="304"/>
        <v>3.015068493150685</v>
      </c>
      <c r="M2696" s="1609" t="s">
        <v>1935</v>
      </c>
      <c r="P2696" s="261"/>
      <c r="Q2696" s="209"/>
      <c r="R2696" s="261"/>
      <c r="S2696" s="52"/>
      <c r="T2696" s="181"/>
      <c r="U2696" s="52"/>
      <c r="V2696" s="4295"/>
      <c r="W2696" s="1396">
        <v>37200</v>
      </c>
      <c r="X2696" s="833">
        <f t="shared" si="305"/>
        <v>36720</v>
      </c>
      <c r="Y2696" s="833">
        <v>38160</v>
      </c>
      <c r="Z2696" s="1396">
        <v>38160</v>
      </c>
      <c r="AA2696" s="1396">
        <v>38160</v>
      </c>
      <c r="AB2696" s="825">
        <v>35375.776397515532</v>
      </c>
      <c r="AC2696" s="825">
        <f>AC2695</f>
        <v>35069.908814589668</v>
      </c>
      <c r="AD2696" s="825">
        <v>35478.530884808017</v>
      </c>
      <c r="AE2696" s="967">
        <v>35329.608938547484</v>
      </c>
      <c r="AF2696" s="271">
        <f t="shared" si="303"/>
        <v>36180.821917808222</v>
      </c>
      <c r="AG2696" s="1396"/>
      <c r="DG2696" s="573"/>
      <c r="DH2696" s="159"/>
      <c r="DI2696" s="1091"/>
      <c r="DJ2696" s="1187"/>
    </row>
    <row r="2697" spans="1:114" ht="15" hidden="1" customHeight="1" outlineLevel="1">
      <c r="A2697" s="453"/>
      <c r="C2697" s="51"/>
      <c r="D2697" s="4295"/>
      <c r="E2697" s="4295"/>
      <c r="F2697" s="4307" t="str">
        <f>$E$1530</f>
        <v>ASHP-SEER16-Replace_CAC_NonElectricHeat_ER1_SF</v>
      </c>
      <c r="G2697" s="4307"/>
      <c r="H2697" s="4307"/>
      <c r="I2697" s="4307"/>
      <c r="J2697" s="1029" t="str">
        <f>$C$1530</f>
        <v>352510_2024_12_</v>
      </c>
      <c r="K2697" s="1756">
        <f t="shared" ref="K2697:K2700" si="306">$K$2695</f>
        <v>36180.821917808222</v>
      </c>
      <c r="L2697" s="947">
        <f t="shared" si="304"/>
        <v>3.015068493150685</v>
      </c>
      <c r="M2697" s="1609" t="s">
        <v>1935</v>
      </c>
      <c r="P2697" s="261"/>
      <c r="Q2697" s="209"/>
      <c r="R2697" s="261"/>
      <c r="S2697" s="52"/>
      <c r="T2697" s="181"/>
      <c r="U2697" s="52"/>
      <c r="V2697" s="4295"/>
      <c r="W2697" s="1396"/>
      <c r="X2697" s="833"/>
      <c r="Y2697" s="833"/>
      <c r="Z2697" s="1396"/>
      <c r="AA2697" s="1396"/>
      <c r="AB2697" s="825"/>
      <c r="AC2697" s="825">
        <v>35069.908814589668</v>
      </c>
      <c r="AD2697" s="825">
        <v>35478.530884808017</v>
      </c>
      <c r="AE2697" s="967">
        <v>35329.608938547484</v>
      </c>
      <c r="AF2697" s="271">
        <f t="shared" si="303"/>
        <v>36180.821917808222</v>
      </c>
      <c r="AG2697" s="1396"/>
      <c r="DG2697" s="573"/>
      <c r="DH2697" s="159"/>
      <c r="DI2697" s="1091"/>
      <c r="DJ2697" s="1187"/>
    </row>
    <row r="2698" spans="1:114" ht="15" hidden="1" customHeight="1" outlineLevel="1">
      <c r="A2698" s="453"/>
      <c r="C2698" s="51"/>
      <c r="D2698" s="4295"/>
      <c r="E2698" s="4295"/>
      <c r="F2698" s="4307" t="str">
        <f>$E$1532</f>
        <v>ASHP-SEER16-Replace_CAC_NonElectricHeat_ER2_SF</v>
      </c>
      <c r="G2698" s="4307"/>
      <c r="H2698" s="4307"/>
      <c r="I2698" s="4307"/>
      <c r="J2698" s="1029" t="str">
        <f>$C$1532</f>
        <v>352510_2024_12_</v>
      </c>
      <c r="K2698" s="1756">
        <f t="shared" si="306"/>
        <v>36180.821917808222</v>
      </c>
      <c r="L2698" s="947">
        <f t="shared" si="304"/>
        <v>3.015068493150685</v>
      </c>
      <c r="M2698" s="1609" t="s">
        <v>1935</v>
      </c>
      <c r="P2698" s="261"/>
      <c r="Q2698" s="209"/>
      <c r="R2698" s="261"/>
      <c r="S2698" s="52"/>
      <c r="T2698" s="181"/>
      <c r="U2698" s="52"/>
      <c r="V2698" s="4295"/>
      <c r="W2698" s="1396"/>
      <c r="X2698" s="833"/>
      <c r="Y2698" s="833"/>
      <c r="Z2698" s="1396"/>
      <c r="AA2698" s="1396"/>
      <c r="AB2698" s="825"/>
      <c r="AC2698" s="825">
        <f>AC2697</f>
        <v>35069.908814589668</v>
      </c>
      <c r="AD2698" s="825">
        <v>35478.530884808017</v>
      </c>
      <c r="AE2698" s="967">
        <v>35329.608938547484</v>
      </c>
      <c r="AF2698" s="271">
        <f t="shared" si="303"/>
        <v>36180.821917808222</v>
      </c>
      <c r="AG2698" s="1396"/>
      <c r="DG2698" s="573"/>
      <c r="DH2698" s="159"/>
      <c r="DI2698" s="1091"/>
      <c r="DJ2698" s="1187"/>
    </row>
    <row r="2699" spans="1:114" ht="15" hidden="1" customHeight="1" outlineLevel="1">
      <c r="A2699" s="453"/>
      <c r="C2699" s="51"/>
      <c r="D2699" s="4295"/>
      <c r="E2699" s="4295"/>
      <c r="F2699" s="4307" t="str">
        <f>$E$1534</f>
        <v>ASHP-SEER16_ER1_SF</v>
      </c>
      <c r="G2699" s="4307"/>
      <c r="H2699" s="4307"/>
      <c r="I2699" s="4307"/>
      <c r="J2699" s="1029" t="str">
        <f>$C$1534</f>
        <v>352550_2024_12_</v>
      </c>
      <c r="K2699" s="1756">
        <f t="shared" si="306"/>
        <v>36180.821917808222</v>
      </c>
      <c r="L2699" s="947">
        <f t="shared" si="304"/>
        <v>3.015068493150685</v>
      </c>
      <c r="M2699" s="1609" t="s">
        <v>1935</v>
      </c>
      <c r="P2699" s="261"/>
      <c r="Q2699" s="209"/>
      <c r="R2699" s="261"/>
      <c r="S2699" s="52"/>
      <c r="T2699" s="181"/>
      <c r="U2699" s="52"/>
      <c r="V2699" s="4295"/>
      <c r="W2699" s="1396">
        <v>39600</v>
      </c>
      <c r="X2699" s="833">
        <f t="shared" si="305"/>
        <v>36720</v>
      </c>
      <c r="Y2699" s="833">
        <v>37800</v>
      </c>
      <c r="Z2699" s="1396">
        <v>37800</v>
      </c>
      <c r="AA2699" s="1396">
        <v>37800</v>
      </c>
      <c r="AB2699" s="825">
        <v>37317.757009345798</v>
      </c>
      <c r="AC2699" s="825">
        <v>36536.170212765959</v>
      </c>
      <c r="AD2699" s="825">
        <v>35478.530884808017</v>
      </c>
      <c r="AE2699" s="967">
        <v>35329.608938547484</v>
      </c>
      <c r="AF2699" s="271">
        <f t="shared" si="303"/>
        <v>36180.821917808222</v>
      </c>
      <c r="AG2699" s="1396"/>
      <c r="DG2699" s="573"/>
      <c r="DH2699" s="159"/>
      <c r="DI2699" s="1091"/>
      <c r="DJ2699" s="1187"/>
    </row>
    <row r="2700" spans="1:114" ht="15" hidden="1" customHeight="1" outlineLevel="1">
      <c r="A2700" s="453"/>
      <c r="C2700" s="51"/>
      <c r="D2700" s="4295"/>
      <c r="E2700" s="4295"/>
      <c r="F2700" s="4307" t="str">
        <f>$E$1536</f>
        <v>ASHP-SEER16_ER2_SF</v>
      </c>
      <c r="G2700" s="4307"/>
      <c r="H2700" s="4307"/>
      <c r="I2700" s="4307"/>
      <c r="J2700" s="1029" t="str">
        <f>$C$1536</f>
        <v>352550_2024_12_</v>
      </c>
      <c r="K2700" s="1756">
        <f t="shared" si="306"/>
        <v>36180.821917808222</v>
      </c>
      <c r="L2700" s="947">
        <f t="shared" si="304"/>
        <v>3.015068493150685</v>
      </c>
      <c r="M2700" s="1609" t="s">
        <v>1935</v>
      </c>
      <c r="P2700" s="261"/>
      <c r="Q2700" s="209"/>
      <c r="R2700" s="261"/>
      <c r="S2700" s="52"/>
      <c r="T2700" s="181"/>
      <c r="U2700" s="52"/>
      <c r="V2700" s="4295"/>
      <c r="W2700" s="1396">
        <v>39600</v>
      </c>
      <c r="X2700" s="833">
        <f t="shared" si="305"/>
        <v>36720</v>
      </c>
      <c r="Y2700" s="833">
        <v>37800</v>
      </c>
      <c r="Z2700" s="1396">
        <v>37800</v>
      </c>
      <c r="AA2700" s="1396">
        <v>37800</v>
      </c>
      <c r="AB2700" s="825">
        <v>37317.757009345798</v>
      </c>
      <c r="AC2700" s="825">
        <f>AC2699</f>
        <v>36536.170212765959</v>
      </c>
      <c r="AD2700" s="825">
        <v>35478.530884808017</v>
      </c>
      <c r="AE2700" s="967">
        <v>35329.608938547484</v>
      </c>
      <c r="AF2700" s="271">
        <f t="shared" si="303"/>
        <v>36180.821917808222</v>
      </c>
      <c r="AG2700" s="1396"/>
      <c r="DG2700" s="573"/>
      <c r="DH2700" s="159"/>
      <c r="DI2700" s="1091"/>
      <c r="DJ2700" s="1187"/>
    </row>
    <row r="2701" spans="1:114" ht="15" hidden="1" customHeight="1" outlineLevel="1">
      <c r="A2701" s="453"/>
      <c r="C2701" s="51"/>
      <c r="D2701" s="4295"/>
      <c r="E2701" s="4295"/>
      <c r="F2701" s="4307" t="str">
        <f>$E$1538</f>
        <v>ASHP-SEER16-Replace_CAC_ElectricHeat_ROF_SF</v>
      </c>
      <c r="G2701" s="4307"/>
      <c r="H2701" s="4307"/>
      <c r="I2701" s="4307"/>
      <c r="J2701" s="1029" t="str">
        <f>$C$1538</f>
        <v>352600_2024_12_</v>
      </c>
      <c r="K2701" s="1753">
        <v>36887.323943661962</v>
      </c>
      <c r="L2701" s="947">
        <f t="shared" si="304"/>
        <v>3.0739436619718301</v>
      </c>
      <c r="M2701" s="1739" t="s">
        <v>1937</v>
      </c>
      <c r="P2701" s="261"/>
      <c r="Q2701" s="209"/>
      <c r="R2701" s="261"/>
      <c r="S2701" s="52"/>
      <c r="T2701" s="181"/>
      <c r="U2701" s="52"/>
      <c r="V2701" s="4295"/>
      <c r="W2701" s="1396">
        <v>38400</v>
      </c>
      <c r="X2701" s="833">
        <f t="shared" si="305"/>
        <v>36720</v>
      </c>
      <c r="Y2701" s="833">
        <v>37320</v>
      </c>
      <c r="Z2701" s="1396">
        <v>37320</v>
      </c>
      <c r="AA2701" s="1396">
        <v>37320</v>
      </c>
      <c r="AB2701" s="825">
        <v>35428.571428571428</v>
      </c>
      <c r="AC2701" s="825">
        <v>35468.354430379746</v>
      </c>
      <c r="AD2701" s="825">
        <v>37756.097560975613</v>
      </c>
      <c r="AE2701" s="967">
        <v>36887.323943661962</v>
      </c>
      <c r="AF2701" s="271">
        <f t="shared" si="303"/>
        <v>36887.323943661962</v>
      </c>
      <c r="AG2701" s="1396"/>
      <c r="DG2701" s="573"/>
      <c r="DH2701" s="159"/>
      <c r="DI2701" s="1091"/>
      <c r="DJ2701" s="1187"/>
    </row>
    <row r="2702" spans="1:114" ht="15" hidden="1" customHeight="1" outlineLevel="1">
      <c r="A2702" s="453"/>
      <c r="C2702" s="51"/>
      <c r="D2702" s="4295"/>
      <c r="E2702" s="4295"/>
      <c r="F2702" s="4307" t="str">
        <f>$E$1540</f>
        <v>ASHP-SEER16-Replace_CAC_NonElectricHeat_ROF_SF</v>
      </c>
      <c r="G2702" s="4307"/>
      <c r="H2702" s="4307"/>
      <c r="I2702" s="4307"/>
      <c r="J2702" s="1029" t="str">
        <f>$C$1540</f>
        <v>352610_2024_12_</v>
      </c>
      <c r="K2702" s="1753">
        <v>36887.323943661962</v>
      </c>
      <c r="L2702" s="947">
        <f>K2702/12000</f>
        <v>3.0739436619718301</v>
      </c>
      <c r="M2702" s="1739" t="s">
        <v>1945</v>
      </c>
      <c r="P2702" s="261"/>
      <c r="Q2702" s="209"/>
      <c r="R2702" s="261"/>
      <c r="S2702" s="52"/>
      <c r="T2702" s="181"/>
      <c r="U2702" s="52"/>
      <c r="V2702" s="4295"/>
      <c r="W2702" s="1396"/>
      <c r="X2702" s="833"/>
      <c r="Y2702" s="833"/>
      <c r="Z2702" s="1396"/>
      <c r="AA2702" s="1396"/>
      <c r="AB2702" s="825"/>
      <c r="AC2702" s="825"/>
      <c r="AD2702" s="825">
        <v>37756.097560975613</v>
      </c>
      <c r="AE2702" s="967">
        <v>36887.323943661962</v>
      </c>
      <c r="AF2702" s="271">
        <f t="shared" si="303"/>
        <v>36887.323943661962</v>
      </c>
      <c r="AG2702" s="1396"/>
      <c r="DG2702" s="573"/>
      <c r="DH2702" s="159"/>
      <c r="DI2702" s="1091"/>
      <c r="DJ2702" s="1187"/>
    </row>
    <row r="2703" spans="1:114" ht="15" hidden="1" customHeight="1" outlineLevel="1">
      <c r="A2703" s="453"/>
      <c r="C2703" s="51"/>
      <c r="D2703" s="4295"/>
      <c r="E2703" s="4295"/>
      <c r="F2703" s="4307" t="str">
        <f>$E$1542</f>
        <v>ASHP-SEER16_ROF_SF</v>
      </c>
      <c r="G2703" s="4307"/>
      <c r="H2703" s="4307"/>
      <c r="I2703" s="4307"/>
      <c r="J2703" s="1029" t="str">
        <f>$C$1542</f>
        <v>352650_2024_12_</v>
      </c>
      <c r="K2703" s="1753">
        <v>36887.323943661962</v>
      </c>
      <c r="L2703" s="947">
        <f t="shared" si="304"/>
        <v>3.0739436619718301</v>
      </c>
      <c r="M2703" s="1739" t="s">
        <v>1937</v>
      </c>
      <c r="P2703" s="261"/>
      <c r="Q2703" s="209"/>
      <c r="R2703" s="261"/>
      <c r="S2703" s="52"/>
      <c r="T2703" s="181"/>
      <c r="U2703" s="52"/>
      <c r="V2703" s="4295"/>
      <c r="W2703" s="1396">
        <v>39600</v>
      </c>
      <c r="X2703" s="833">
        <f t="shared" si="305"/>
        <v>36720</v>
      </c>
      <c r="Y2703" s="833">
        <v>39000</v>
      </c>
      <c r="Z2703" s="1396">
        <v>39000</v>
      </c>
      <c r="AA2703" s="1396">
        <v>39000</v>
      </c>
      <c r="AB2703" s="1396">
        <v>39000</v>
      </c>
      <c r="AC2703" s="825">
        <v>37105.263157894733</v>
      </c>
      <c r="AD2703" s="825">
        <v>37756.097560975613</v>
      </c>
      <c r="AE2703" s="967">
        <v>36887.323943661962</v>
      </c>
      <c r="AF2703" s="271">
        <f t="shared" si="303"/>
        <v>36887.323943661962</v>
      </c>
      <c r="AG2703" s="1396"/>
      <c r="DG2703" s="573"/>
      <c r="DH2703" s="159"/>
      <c r="DI2703" s="1091"/>
      <c r="DJ2703" s="1187"/>
    </row>
    <row r="2704" spans="1:114" ht="15" hidden="1" customHeight="1" outlineLevel="1">
      <c r="A2704" s="453"/>
      <c r="C2704" s="51"/>
      <c r="D2704" s="4295"/>
      <c r="E2704" s="4295"/>
      <c r="F2704" s="4347" t="str">
        <f>$E$1544</f>
        <v>ASHP-SEER15_ER1_MF</v>
      </c>
      <c r="G2704" s="4347"/>
      <c r="H2704" s="4347"/>
      <c r="I2704" s="4347"/>
      <c r="J2704" s="3471" t="str">
        <f>$C$1544</f>
        <v>352700_2024_12_</v>
      </c>
      <c r="K2704" s="3339">
        <v>39600</v>
      </c>
      <c r="L2704" s="3488">
        <f t="shared" si="304"/>
        <v>3.3</v>
      </c>
      <c r="M2704" s="3481" t="s">
        <v>1937</v>
      </c>
      <c r="P2704" s="261"/>
      <c r="Q2704" s="209"/>
      <c r="R2704" s="261"/>
      <c r="S2704" s="52"/>
      <c r="T2704" s="181"/>
      <c r="U2704" s="52"/>
      <c r="V2704" s="4295"/>
      <c r="W2704" s="3262">
        <v>37200</v>
      </c>
      <c r="X2704" s="3262">
        <v>37200</v>
      </c>
      <c r="Y2704" s="3262">
        <v>37200</v>
      </c>
      <c r="Z2704" s="3262">
        <v>37200</v>
      </c>
      <c r="AA2704" s="3262">
        <v>37200</v>
      </c>
      <c r="AB2704" s="3265">
        <v>34500</v>
      </c>
      <c r="AC2704" s="3279">
        <v>35000</v>
      </c>
      <c r="AD2704" s="3279">
        <v>39600</v>
      </c>
      <c r="AE2704" s="3477">
        <v>39600</v>
      </c>
      <c r="AF2704" s="2236">
        <f t="shared" si="303"/>
        <v>39600</v>
      </c>
      <c r="AG2704" s="1396"/>
      <c r="DG2704" s="573"/>
      <c r="DH2704" s="159"/>
      <c r="DI2704" s="1091"/>
      <c r="DJ2704" s="1187"/>
    </row>
    <row r="2705" spans="1:114" ht="15" hidden="1" customHeight="1" outlineLevel="1">
      <c r="A2705" s="453"/>
      <c r="C2705" s="51"/>
      <c r="D2705" s="4295"/>
      <c r="E2705" s="4295"/>
      <c r="F2705" s="4347" t="str">
        <f>$E$1546</f>
        <v>ASHP-SEER15_ER2_MF</v>
      </c>
      <c r="G2705" s="4347"/>
      <c r="H2705" s="4347"/>
      <c r="I2705" s="4347"/>
      <c r="J2705" s="3471" t="str">
        <f>$C$1546</f>
        <v>352700_2024_12_</v>
      </c>
      <c r="K2705" s="3339">
        <v>39600</v>
      </c>
      <c r="L2705" s="3488">
        <f t="shared" si="304"/>
        <v>3.3</v>
      </c>
      <c r="M2705" s="3481" t="s">
        <v>1937</v>
      </c>
      <c r="P2705" s="261"/>
      <c r="Q2705" s="209"/>
      <c r="R2705" s="261"/>
      <c r="S2705" s="52"/>
      <c r="T2705" s="181"/>
      <c r="U2705" s="52"/>
      <c r="V2705" s="4295"/>
      <c r="W2705" s="3262">
        <v>37200</v>
      </c>
      <c r="X2705" s="3262">
        <v>37200</v>
      </c>
      <c r="Y2705" s="3262">
        <v>37200</v>
      </c>
      <c r="Z2705" s="3262">
        <v>37200</v>
      </c>
      <c r="AA2705" s="3262">
        <v>37200</v>
      </c>
      <c r="AB2705" s="3265">
        <v>34500</v>
      </c>
      <c r="AC2705" s="3279">
        <f>AC2704</f>
        <v>35000</v>
      </c>
      <c r="AD2705" s="3279">
        <v>39600</v>
      </c>
      <c r="AE2705" s="3477">
        <v>39600</v>
      </c>
      <c r="AF2705" s="2236">
        <f t="shared" si="303"/>
        <v>39600</v>
      </c>
      <c r="AG2705" s="1396"/>
      <c r="DG2705" s="573"/>
      <c r="DH2705" s="159"/>
      <c r="DI2705" s="1091"/>
      <c r="DJ2705" s="1187"/>
    </row>
    <row r="2706" spans="1:114" ht="15" hidden="1" customHeight="1" outlineLevel="1">
      <c r="A2706" s="453"/>
      <c r="C2706" s="51"/>
      <c r="D2706" s="4295"/>
      <c r="E2706" s="4295"/>
      <c r="F2706" s="4347" t="str">
        <f>$E$1548</f>
        <v>ASHP-SEER15_ER1_MF_CompE</v>
      </c>
      <c r="G2706" s="4347"/>
      <c r="H2706" s="4347"/>
      <c r="I2706" s="4347"/>
      <c r="J2706" s="3471" t="str">
        <f>$C$1548</f>
        <v>352701_2024_12_</v>
      </c>
      <c r="K2706" s="3339">
        <v>39600</v>
      </c>
      <c r="L2706" s="3488">
        <f t="shared" si="304"/>
        <v>3.3</v>
      </c>
      <c r="M2706" s="3483" t="s">
        <v>1945</v>
      </c>
      <c r="P2706" s="261"/>
      <c r="Q2706" s="209"/>
      <c r="R2706" s="261"/>
      <c r="S2706" s="52"/>
      <c r="T2706" s="181"/>
      <c r="U2706" s="52"/>
      <c r="V2706" s="4295"/>
      <c r="W2706" s="3262"/>
      <c r="X2706" s="3262"/>
      <c r="Y2706" s="3265">
        <v>37200</v>
      </c>
      <c r="Z2706" s="3262">
        <v>37200</v>
      </c>
      <c r="AA2706" s="3262">
        <v>37200</v>
      </c>
      <c r="AB2706" s="3265">
        <v>37200</v>
      </c>
      <c r="AC2706" s="3279">
        <f>AC2704</f>
        <v>35000</v>
      </c>
      <c r="AD2706" s="3279">
        <v>39600</v>
      </c>
      <c r="AE2706" s="3477">
        <v>39600</v>
      </c>
      <c r="AF2706" s="2236">
        <f t="shared" si="303"/>
        <v>39600</v>
      </c>
      <c r="AG2706" s="1396"/>
      <c r="DG2706" s="573"/>
      <c r="DH2706" s="159"/>
      <c r="DI2706" s="1091"/>
      <c r="DJ2706" s="1187"/>
    </row>
    <row r="2707" spans="1:114" ht="15" hidden="1" customHeight="1" outlineLevel="1">
      <c r="A2707" s="453"/>
      <c r="C2707" s="51"/>
      <c r="D2707" s="4295"/>
      <c r="E2707" s="4295"/>
      <c r="F2707" s="4347" t="str">
        <f>$E$1550</f>
        <v>ASHP-SEER15_ER2_MF_CompE</v>
      </c>
      <c r="G2707" s="4347"/>
      <c r="H2707" s="4347"/>
      <c r="I2707" s="4347"/>
      <c r="J2707" s="3471" t="str">
        <f>$C$1550</f>
        <v>352701_2024_12_</v>
      </c>
      <c r="K2707" s="3339">
        <v>39600</v>
      </c>
      <c r="L2707" s="3488">
        <f t="shared" si="304"/>
        <v>3.3</v>
      </c>
      <c r="M2707" s="3483" t="s">
        <v>1945</v>
      </c>
      <c r="P2707" s="261"/>
      <c r="Q2707" s="209"/>
      <c r="R2707" s="261"/>
      <c r="S2707" s="52"/>
      <c r="T2707" s="181"/>
      <c r="U2707" s="52"/>
      <c r="V2707" s="4295"/>
      <c r="W2707" s="3262"/>
      <c r="X2707" s="3262"/>
      <c r="Y2707" s="3265">
        <v>37200</v>
      </c>
      <c r="Z2707" s="3262">
        <v>37200</v>
      </c>
      <c r="AA2707" s="3262">
        <v>37200</v>
      </c>
      <c r="AB2707" s="3265">
        <v>37200</v>
      </c>
      <c r="AC2707" s="3279">
        <f>AC2705</f>
        <v>35000</v>
      </c>
      <c r="AD2707" s="3279">
        <v>39600</v>
      </c>
      <c r="AE2707" s="3477">
        <v>39600</v>
      </c>
      <c r="AF2707" s="2236">
        <f t="shared" si="303"/>
        <v>39600</v>
      </c>
      <c r="AG2707" s="1396"/>
      <c r="DG2707" s="573"/>
      <c r="DH2707" s="159"/>
      <c r="DI2707" s="1091"/>
      <c r="DJ2707" s="1187"/>
    </row>
    <row r="2708" spans="1:114" ht="15" hidden="1" customHeight="1" outlineLevel="1">
      <c r="A2708" s="453"/>
      <c r="C2708" s="51"/>
      <c r="D2708" s="4295"/>
      <c r="E2708" s="4295"/>
      <c r="F2708" s="4347" t="str">
        <f>$E$1552</f>
        <v>ASHP-SEER15-Replace_CAC_ElectricHeat_ER1_MF</v>
      </c>
      <c r="G2708" s="4347"/>
      <c r="H2708" s="4347"/>
      <c r="I2708" s="4347"/>
      <c r="J2708" s="3471" t="str">
        <f>$C$1552</f>
        <v>352750_2024_12_</v>
      </c>
      <c r="K2708" s="3339">
        <v>39600</v>
      </c>
      <c r="L2708" s="3488">
        <f t="shared" si="304"/>
        <v>3.3</v>
      </c>
      <c r="M2708" s="3481" t="s">
        <v>1937</v>
      </c>
      <c r="P2708" s="261"/>
      <c r="Q2708" s="209"/>
      <c r="R2708" s="261"/>
      <c r="S2708" s="52"/>
      <c r="T2708" s="181"/>
      <c r="U2708" s="52"/>
      <c r="V2708" s="4295"/>
      <c r="W2708" s="3262">
        <v>33600</v>
      </c>
      <c r="X2708" s="3262">
        <v>33600</v>
      </c>
      <c r="Y2708" s="3262">
        <v>33600</v>
      </c>
      <c r="Z2708" s="3262">
        <v>33600</v>
      </c>
      <c r="AA2708" s="3262">
        <v>33600</v>
      </c>
      <c r="AB2708" s="3265">
        <v>33000</v>
      </c>
      <c r="AC2708" s="3279">
        <v>30000</v>
      </c>
      <c r="AD2708" s="3279">
        <v>39600</v>
      </c>
      <c r="AE2708" s="3477">
        <v>39600</v>
      </c>
      <c r="AF2708" s="2236">
        <f t="shared" si="303"/>
        <v>39600</v>
      </c>
      <c r="AG2708" s="1396"/>
      <c r="DG2708" s="573"/>
      <c r="DH2708" s="159"/>
      <c r="DI2708" s="1091"/>
      <c r="DJ2708" s="1187"/>
    </row>
    <row r="2709" spans="1:114" ht="15" hidden="1" customHeight="1" outlineLevel="1">
      <c r="A2709" s="453"/>
      <c r="C2709" s="51"/>
      <c r="D2709" s="4295"/>
      <c r="E2709" s="4295"/>
      <c r="F2709" s="4347" t="str">
        <f>$E$1554</f>
        <v>ASHP-SEER15-Replace_CAC_ElectricHeat_ER2_MF</v>
      </c>
      <c r="G2709" s="4347"/>
      <c r="H2709" s="4347"/>
      <c r="I2709" s="4347"/>
      <c r="J2709" s="3471" t="str">
        <f>$C$1554</f>
        <v>352750_2024_12_</v>
      </c>
      <c r="K2709" s="3339">
        <v>39600</v>
      </c>
      <c r="L2709" s="3488">
        <f t="shared" si="304"/>
        <v>3.3</v>
      </c>
      <c r="M2709" s="3481" t="s">
        <v>1937</v>
      </c>
      <c r="P2709" s="261"/>
      <c r="Q2709" s="209"/>
      <c r="R2709" s="261"/>
      <c r="S2709" s="52"/>
      <c r="T2709" s="181"/>
      <c r="U2709" s="52"/>
      <c r="V2709" s="4295"/>
      <c r="W2709" s="3262">
        <v>33600</v>
      </c>
      <c r="X2709" s="3262">
        <v>33600</v>
      </c>
      <c r="Y2709" s="3262">
        <v>33600</v>
      </c>
      <c r="Z2709" s="3262">
        <v>33600</v>
      </c>
      <c r="AA2709" s="3262">
        <v>33600</v>
      </c>
      <c r="AB2709" s="3265">
        <v>33000</v>
      </c>
      <c r="AC2709" s="3279">
        <f>AC2708</f>
        <v>30000</v>
      </c>
      <c r="AD2709" s="3279">
        <v>39600</v>
      </c>
      <c r="AE2709" s="3477">
        <v>39600</v>
      </c>
      <c r="AF2709" s="2236">
        <f t="shared" si="303"/>
        <v>39600</v>
      </c>
      <c r="AG2709" s="1396"/>
      <c r="DG2709" s="573"/>
      <c r="DH2709" s="159"/>
      <c r="DI2709" s="1091"/>
      <c r="DJ2709" s="1187"/>
    </row>
    <row r="2710" spans="1:114" ht="15" hidden="1" customHeight="1" outlineLevel="1">
      <c r="A2710" s="453"/>
      <c r="C2710" s="51"/>
      <c r="D2710" s="4295"/>
      <c r="E2710" s="4295"/>
      <c r="F2710" s="4347" t="str">
        <f>$E$1556</f>
        <v>ASHP-SEER15-Replace_CAC_ElectricHeat_ER1_MF_CompE</v>
      </c>
      <c r="G2710" s="4347"/>
      <c r="H2710" s="4347"/>
      <c r="I2710" s="4347"/>
      <c r="J2710" s="3471" t="str">
        <f>$C$1556</f>
        <v>352751_2024_12_</v>
      </c>
      <c r="K2710" s="3339">
        <v>39600</v>
      </c>
      <c r="L2710" s="3488">
        <f t="shared" si="304"/>
        <v>3.3</v>
      </c>
      <c r="M2710" s="3483" t="s">
        <v>1945</v>
      </c>
      <c r="P2710" s="261"/>
      <c r="Q2710" s="209"/>
      <c r="R2710" s="261"/>
      <c r="S2710" s="52"/>
      <c r="T2710" s="181"/>
      <c r="U2710" s="52"/>
      <c r="V2710" s="4295"/>
      <c r="W2710" s="3262"/>
      <c r="X2710" s="3262"/>
      <c r="Y2710" s="3265">
        <v>33600</v>
      </c>
      <c r="Z2710" s="3262">
        <v>33600</v>
      </c>
      <c r="AA2710" s="3262">
        <v>33600</v>
      </c>
      <c r="AB2710" s="3265">
        <v>33000</v>
      </c>
      <c r="AC2710" s="3279">
        <f>AC2708</f>
        <v>30000</v>
      </c>
      <c r="AD2710" s="3279">
        <v>39600</v>
      </c>
      <c r="AE2710" s="3477">
        <v>39600</v>
      </c>
      <c r="AF2710" s="2236">
        <f t="shared" si="303"/>
        <v>39600</v>
      </c>
      <c r="AG2710" s="1396"/>
      <c r="DG2710" s="573"/>
      <c r="DH2710" s="159"/>
      <c r="DI2710" s="1091"/>
      <c r="DJ2710" s="1187"/>
    </row>
    <row r="2711" spans="1:114" ht="15" hidden="1" customHeight="1" outlineLevel="1">
      <c r="A2711" s="453"/>
      <c r="C2711" s="51"/>
      <c r="D2711" s="4295"/>
      <c r="E2711" s="4295"/>
      <c r="F2711" s="4347" t="str">
        <f>$E$1558</f>
        <v>ASHP-SEER15-Replace_CAC_ElectricHeat_ER2_MF_CompE</v>
      </c>
      <c r="G2711" s="4347"/>
      <c r="H2711" s="4347"/>
      <c r="I2711" s="4347"/>
      <c r="J2711" s="3471" t="str">
        <f>$C$1558</f>
        <v>352751_2024_12_</v>
      </c>
      <c r="K2711" s="3339">
        <v>39600</v>
      </c>
      <c r="L2711" s="3488">
        <f t="shared" si="304"/>
        <v>3.3</v>
      </c>
      <c r="M2711" s="3483" t="s">
        <v>1945</v>
      </c>
      <c r="P2711" s="261"/>
      <c r="Q2711" s="209"/>
      <c r="R2711" s="261"/>
      <c r="S2711" s="52"/>
      <c r="T2711" s="181"/>
      <c r="U2711" s="52"/>
      <c r="V2711" s="4295"/>
      <c r="W2711" s="3262"/>
      <c r="X2711" s="3262"/>
      <c r="Y2711" s="3265">
        <v>33600</v>
      </c>
      <c r="Z2711" s="3262">
        <v>33600</v>
      </c>
      <c r="AA2711" s="3262">
        <v>33600</v>
      </c>
      <c r="AB2711" s="3265">
        <v>33000</v>
      </c>
      <c r="AC2711" s="3279">
        <f>AC2709</f>
        <v>30000</v>
      </c>
      <c r="AD2711" s="3279">
        <v>39600</v>
      </c>
      <c r="AE2711" s="3477">
        <v>39600</v>
      </c>
      <c r="AF2711" s="2236">
        <f t="shared" si="303"/>
        <v>39600</v>
      </c>
      <c r="AG2711" s="1396"/>
      <c r="DG2711" s="573"/>
      <c r="DH2711" s="159"/>
      <c r="DI2711" s="1091"/>
      <c r="DJ2711" s="1187"/>
    </row>
    <row r="2712" spans="1:114" ht="15" hidden="1" customHeight="1" outlineLevel="1">
      <c r="A2712" s="453"/>
      <c r="C2712" s="51"/>
      <c r="D2712" s="4295"/>
      <c r="E2712" s="4295"/>
      <c r="F2712" s="4347" t="str">
        <f>$E$1560</f>
        <v>ASHP-SEER15-Replace_CAC_NonElectricHeat_ER1_MF</v>
      </c>
      <c r="G2712" s="4347"/>
      <c r="H2712" s="4347"/>
      <c r="I2712" s="4347"/>
      <c r="J2712" s="3471" t="str">
        <f>$C$1560</f>
        <v>352760_2024_12_</v>
      </c>
      <c r="K2712" s="3339">
        <v>39600</v>
      </c>
      <c r="L2712" s="3488">
        <f t="shared" si="304"/>
        <v>3.3</v>
      </c>
      <c r="M2712" s="3293" t="s">
        <v>1945</v>
      </c>
      <c r="P2712" s="261"/>
      <c r="Q2712" s="209"/>
      <c r="R2712" s="261"/>
      <c r="S2712" s="52"/>
      <c r="T2712" s="181"/>
      <c r="U2712" s="52"/>
      <c r="V2712" s="4295"/>
      <c r="W2712" s="3262"/>
      <c r="X2712" s="3262"/>
      <c r="Y2712" s="3265"/>
      <c r="Z2712" s="3262"/>
      <c r="AA2712" s="3262"/>
      <c r="AB2712" s="3265"/>
      <c r="AC2712" s="3279">
        <v>30000</v>
      </c>
      <c r="AD2712" s="3279">
        <v>39600</v>
      </c>
      <c r="AE2712" s="3477">
        <v>39600</v>
      </c>
      <c r="AF2712" s="2236">
        <f t="shared" si="303"/>
        <v>39600</v>
      </c>
      <c r="AG2712" s="1396"/>
      <c r="DG2712" s="573"/>
      <c r="DH2712" s="159"/>
      <c r="DI2712" s="1091"/>
      <c r="DJ2712" s="1187"/>
    </row>
    <row r="2713" spans="1:114" ht="15" hidden="1" customHeight="1" outlineLevel="1">
      <c r="A2713" s="453"/>
      <c r="C2713" s="51"/>
      <c r="D2713" s="4295"/>
      <c r="E2713" s="4295"/>
      <c r="F2713" s="4347" t="str">
        <f>$E$1562</f>
        <v>ASHP-SEER15-Replace_CAC_NonElectricHeat_ER2_MF</v>
      </c>
      <c r="G2713" s="4347"/>
      <c r="H2713" s="4347"/>
      <c r="I2713" s="4347"/>
      <c r="J2713" s="3471" t="str">
        <f>$C$1562</f>
        <v>352760_2024_12_</v>
      </c>
      <c r="K2713" s="3339">
        <v>39600</v>
      </c>
      <c r="L2713" s="3488">
        <f t="shared" si="304"/>
        <v>3.3</v>
      </c>
      <c r="M2713" s="3293" t="s">
        <v>1945</v>
      </c>
      <c r="P2713" s="261"/>
      <c r="Q2713" s="209"/>
      <c r="R2713" s="261"/>
      <c r="S2713" s="52"/>
      <c r="T2713" s="181"/>
      <c r="U2713" s="52"/>
      <c r="V2713" s="4295"/>
      <c r="W2713" s="3262"/>
      <c r="X2713" s="3262"/>
      <c r="Y2713" s="3265"/>
      <c r="Z2713" s="3262"/>
      <c r="AA2713" s="3262"/>
      <c r="AB2713" s="3265"/>
      <c r="AC2713" s="3279">
        <f>AC2712</f>
        <v>30000</v>
      </c>
      <c r="AD2713" s="3279">
        <v>39600</v>
      </c>
      <c r="AE2713" s="3477">
        <v>39600</v>
      </c>
      <c r="AF2713" s="2236">
        <f t="shared" si="303"/>
        <v>39600</v>
      </c>
      <c r="AG2713" s="1396"/>
      <c r="DG2713" s="573"/>
      <c r="DH2713" s="159"/>
      <c r="DI2713" s="1091"/>
      <c r="DJ2713" s="1187"/>
    </row>
    <row r="2714" spans="1:114" ht="15" hidden="1" customHeight="1" outlineLevel="1">
      <c r="A2714" s="453"/>
      <c r="C2714" s="51"/>
      <c r="D2714" s="4295"/>
      <c r="E2714" s="4295"/>
      <c r="F2714" s="4347" t="str">
        <f>$E$1564</f>
        <v>ASHP-SEER15-Replace_CAC_NonElectricHeat_ER1_MF_CompE</v>
      </c>
      <c r="G2714" s="4347"/>
      <c r="H2714" s="4347"/>
      <c r="I2714" s="4347"/>
      <c r="J2714" s="3471" t="str">
        <f>$C$1564</f>
        <v>352761_2024_12_</v>
      </c>
      <c r="K2714" s="3339">
        <v>39600</v>
      </c>
      <c r="L2714" s="3488">
        <f t="shared" si="304"/>
        <v>3.3</v>
      </c>
      <c r="M2714" s="3293" t="s">
        <v>1945</v>
      </c>
      <c r="P2714" s="261"/>
      <c r="Q2714" s="209"/>
      <c r="R2714" s="261"/>
      <c r="S2714" s="52"/>
      <c r="T2714" s="181"/>
      <c r="U2714" s="52"/>
      <c r="V2714" s="4295"/>
      <c r="W2714" s="3262"/>
      <c r="X2714" s="3262"/>
      <c r="Y2714" s="3265"/>
      <c r="Z2714" s="3262"/>
      <c r="AA2714" s="3262"/>
      <c r="AB2714" s="3265"/>
      <c r="AC2714" s="3279">
        <f>AC2712</f>
        <v>30000</v>
      </c>
      <c r="AD2714" s="3279">
        <v>39600</v>
      </c>
      <c r="AE2714" s="3477">
        <v>39600</v>
      </c>
      <c r="AF2714" s="2236">
        <f t="shared" si="303"/>
        <v>39600</v>
      </c>
      <c r="AG2714" s="1396"/>
      <c r="DG2714" s="573"/>
      <c r="DH2714" s="159"/>
      <c r="DI2714" s="1091"/>
      <c r="DJ2714" s="1187"/>
    </row>
    <row r="2715" spans="1:114" ht="15" hidden="1" customHeight="1" outlineLevel="1">
      <c r="A2715" s="453"/>
      <c r="C2715" s="51"/>
      <c r="D2715" s="4295"/>
      <c r="E2715" s="4295"/>
      <c r="F2715" s="4347" t="str">
        <f>$E$1566</f>
        <v>ASHP-SEER15-Replace_CAC_NonElectricHeat_ER2_MF_CompE</v>
      </c>
      <c r="G2715" s="4347"/>
      <c r="H2715" s="4347"/>
      <c r="I2715" s="4347"/>
      <c r="J2715" s="3471" t="str">
        <f>$C$1566</f>
        <v>352761_2024_12_</v>
      </c>
      <c r="K2715" s="3339">
        <v>39600</v>
      </c>
      <c r="L2715" s="3488">
        <f t="shared" si="304"/>
        <v>3.3</v>
      </c>
      <c r="M2715" s="3293" t="s">
        <v>1945</v>
      </c>
      <c r="P2715" s="261"/>
      <c r="Q2715" s="209"/>
      <c r="R2715" s="261"/>
      <c r="S2715" s="52"/>
      <c r="T2715" s="181"/>
      <c r="U2715" s="52"/>
      <c r="V2715" s="4295"/>
      <c r="W2715" s="3262"/>
      <c r="X2715" s="3262"/>
      <c r="Y2715" s="3265"/>
      <c r="Z2715" s="3262"/>
      <c r="AA2715" s="3262"/>
      <c r="AB2715" s="3265"/>
      <c r="AC2715" s="3279">
        <f>AC2713</f>
        <v>30000</v>
      </c>
      <c r="AD2715" s="3279">
        <v>39600</v>
      </c>
      <c r="AE2715" s="3477">
        <v>39600</v>
      </c>
      <c r="AF2715" s="2236">
        <f t="shared" si="303"/>
        <v>39600</v>
      </c>
      <c r="AG2715" s="1396"/>
      <c r="DG2715" s="573"/>
      <c r="DH2715" s="159"/>
      <c r="DI2715" s="1091"/>
      <c r="DJ2715" s="1187"/>
    </row>
    <row r="2716" spans="1:114" ht="15" hidden="1" customHeight="1" outlineLevel="1">
      <c r="A2716" s="453"/>
      <c r="C2716" s="51"/>
      <c r="D2716" s="4295"/>
      <c r="E2716" s="4295"/>
      <c r="F2716" s="4347" t="str">
        <f>$E$1568</f>
        <v>ASHP-SEER15-Replace_CAC_ElectricHeat_ROF_MF</v>
      </c>
      <c r="G2716" s="4347"/>
      <c r="H2716" s="4347"/>
      <c r="I2716" s="4347"/>
      <c r="J2716" s="3471" t="str">
        <f>$C$1568</f>
        <v>352800_2024_12_</v>
      </c>
      <c r="K2716" s="3339">
        <v>30000</v>
      </c>
      <c r="L2716" s="3488">
        <f t="shared" si="304"/>
        <v>2.5</v>
      </c>
      <c r="M2716" s="3481" t="s">
        <v>1937</v>
      </c>
      <c r="P2716" s="261"/>
      <c r="Q2716" s="209"/>
      <c r="R2716" s="261"/>
      <c r="S2716" s="52"/>
      <c r="T2716" s="181"/>
      <c r="U2716" s="52"/>
      <c r="V2716" s="4295"/>
      <c r="W2716" s="3262">
        <v>31200</v>
      </c>
      <c r="X2716" s="3262">
        <v>31200</v>
      </c>
      <c r="Y2716" s="3262">
        <v>31200</v>
      </c>
      <c r="Z2716" s="3262">
        <v>31200</v>
      </c>
      <c r="AA2716" s="3262">
        <v>31200</v>
      </c>
      <c r="AB2716" s="3262">
        <v>31200</v>
      </c>
      <c r="AC2716" s="3267">
        <v>31200</v>
      </c>
      <c r="AD2716" s="3279">
        <v>30000</v>
      </c>
      <c r="AE2716" s="3477">
        <v>30000</v>
      </c>
      <c r="AF2716" s="2236">
        <f t="shared" si="303"/>
        <v>30000</v>
      </c>
      <c r="AG2716" s="1396"/>
      <c r="DG2716" s="573"/>
      <c r="DH2716" s="159"/>
      <c r="DI2716" s="1091"/>
      <c r="DJ2716" s="1187"/>
    </row>
    <row r="2717" spans="1:114" ht="15" hidden="1" customHeight="1" outlineLevel="1">
      <c r="A2717" s="453"/>
      <c r="C2717" s="51"/>
      <c r="D2717" s="4295"/>
      <c r="E2717" s="4295"/>
      <c r="F2717" s="4347" t="str">
        <f>$E$1570</f>
        <v>ASHP-SEER15-Replace_CAC_ElectricHeat_ROF_MF_CompE</v>
      </c>
      <c r="G2717" s="4347"/>
      <c r="H2717" s="4347"/>
      <c r="I2717" s="4347"/>
      <c r="J2717" s="3471" t="str">
        <f>$C$1570</f>
        <v>352801_2024_12_</v>
      </c>
      <c r="K2717" s="3339">
        <v>30000</v>
      </c>
      <c r="L2717" s="3488">
        <f t="shared" si="304"/>
        <v>2.5</v>
      </c>
      <c r="M2717" s="3481" t="s">
        <v>1937</v>
      </c>
      <c r="P2717" s="261"/>
      <c r="Q2717" s="209"/>
      <c r="R2717" s="261"/>
      <c r="S2717" s="52"/>
      <c r="T2717" s="181"/>
      <c r="U2717" s="52"/>
      <c r="V2717" s="4295"/>
      <c r="W2717" s="3262"/>
      <c r="X2717" s="3262"/>
      <c r="Y2717" s="3265">
        <v>31200</v>
      </c>
      <c r="Z2717" s="3262">
        <v>31200</v>
      </c>
      <c r="AA2717" s="3262">
        <v>31200</v>
      </c>
      <c r="AB2717" s="3262">
        <v>31200</v>
      </c>
      <c r="AC2717" s="3267">
        <f>AC2716</f>
        <v>31200</v>
      </c>
      <c r="AD2717" s="3279">
        <v>30000</v>
      </c>
      <c r="AE2717" s="3477">
        <v>30000</v>
      </c>
      <c r="AF2717" s="2236">
        <f t="shared" si="303"/>
        <v>30000</v>
      </c>
      <c r="AG2717" s="1396"/>
      <c r="DG2717" s="573"/>
      <c r="DH2717" s="159"/>
      <c r="DI2717" s="1091"/>
      <c r="DJ2717" s="1187"/>
    </row>
    <row r="2718" spans="1:114" ht="15" hidden="1" customHeight="1" outlineLevel="1">
      <c r="A2718" s="453"/>
      <c r="C2718" s="51"/>
      <c r="D2718" s="4295"/>
      <c r="E2718" s="4295"/>
      <c r="F2718" s="4347" t="str">
        <f>$E$1572</f>
        <v>ASHP-SEER15-Replace_CAC_NonElectricHeat_ROF_MF</v>
      </c>
      <c r="G2718" s="4347"/>
      <c r="H2718" s="4347"/>
      <c r="I2718" s="4347"/>
      <c r="J2718" s="3471" t="str">
        <f>$C$1572</f>
        <v>352810_2024_12_</v>
      </c>
      <c r="K2718" s="3339">
        <v>30000</v>
      </c>
      <c r="L2718" s="3488">
        <f t="shared" si="304"/>
        <v>2.5</v>
      </c>
      <c r="M2718" s="3293" t="s">
        <v>1945</v>
      </c>
      <c r="P2718" s="261"/>
      <c r="Q2718" s="209"/>
      <c r="R2718" s="261"/>
      <c r="S2718" s="52"/>
      <c r="T2718" s="181"/>
      <c r="U2718" s="52"/>
      <c r="V2718" s="4295"/>
      <c r="W2718" s="3262"/>
      <c r="X2718" s="3262"/>
      <c r="Y2718" s="3265"/>
      <c r="Z2718" s="3262"/>
      <c r="AA2718" s="3262"/>
      <c r="AB2718" s="3262"/>
      <c r="AC2718" s="3279">
        <v>31200</v>
      </c>
      <c r="AD2718" s="3279">
        <v>30000</v>
      </c>
      <c r="AE2718" s="3477">
        <v>30000</v>
      </c>
      <c r="AF2718" s="2236">
        <f t="shared" si="303"/>
        <v>30000</v>
      </c>
      <c r="AG2718" s="1396"/>
      <c r="DG2718" s="573"/>
      <c r="DH2718" s="159"/>
      <c r="DI2718" s="1091"/>
      <c r="DJ2718" s="1187"/>
    </row>
    <row r="2719" spans="1:114" ht="15" hidden="1" customHeight="1" outlineLevel="1">
      <c r="A2719" s="453"/>
      <c r="C2719" s="51"/>
      <c r="D2719" s="4295"/>
      <c r="E2719" s="4295"/>
      <c r="F2719" s="4347" t="str">
        <f>$E$1574</f>
        <v>ASHP-SEER15-Replace_CAC_NonElectricHeat_ROF_MF_CompE</v>
      </c>
      <c r="G2719" s="4347"/>
      <c r="H2719" s="4347"/>
      <c r="I2719" s="4347"/>
      <c r="J2719" s="3471" t="str">
        <f>$C$1574</f>
        <v>352811_2024_12_</v>
      </c>
      <c r="K2719" s="3339">
        <v>30000</v>
      </c>
      <c r="L2719" s="3488">
        <f t="shared" si="304"/>
        <v>2.5</v>
      </c>
      <c r="M2719" s="3293" t="s">
        <v>1945</v>
      </c>
      <c r="P2719" s="261"/>
      <c r="Q2719" s="209"/>
      <c r="R2719" s="261"/>
      <c r="S2719" s="52"/>
      <c r="T2719" s="181"/>
      <c r="U2719" s="52"/>
      <c r="V2719" s="4295"/>
      <c r="W2719" s="3262"/>
      <c r="X2719" s="3262"/>
      <c r="Y2719" s="3265"/>
      <c r="Z2719" s="3262"/>
      <c r="AA2719" s="3262"/>
      <c r="AB2719" s="3262"/>
      <c r="AC2719" s="3279">
        <f>AC2718</f>
        <v>31200</v>
      </c>
      <c r="AD2719" s="3279">
        <v>30000</v>
      </c>
      <c r="AE2719" s="3477">
        <v>30000</v>
      </c>
      <c r="AF2719" s="2236">
        <f t="shared" si="303"/>
        <v>30000</v>
      </c>
      <c r="AG2719" s="1396"/>
      <c r="DG2719" s="573"/>
      <c r="DH2719" s="159"/>
      <c r="DI2719" s="1091"/>
      <c r="DJ2719" s="1187"/>
    </row>
    <row r="2720" spans="1:114" ht="15" hidden="1" customHeight="1" outlineLevel="1">
      <c r="A2720" s="453"/>
      <c r="C2720" s="51"/>
      <c r="D2720" s="4295"/>
      <c r="E2720" s="4295"/>
      <c r="F2720" s="4347" t="str">
        <f>$E$1576</f>
        <v>ASHP-SEER16_ER1_MF</v>
      </c>
      <c r="G2720" s="4347"/>
      <c r="H2720" s="4347"/>
      <c r="I2720" s="4347"/>
      <c r="J2720" s="3471" t="str">
        <f>$C$1576</f>
        <v>352850_2024_12_</v>
      </c>
      <c r="K2720" s="3339">
        <v>38000</v>
      </c>
      <c r="L2720" s="3488">
        <f t="shared" si="304"/>
        <v>3.1666666666666665</v>
      </c>
      <c r="M2720" s="3481" t="s">
        <v>1937</v>
      </c>
      <c r="P2720" s="261"/>
      <c r="Q2720" s="209"/>
      <c r="R2720" s="261"/>
      <c r="S2720" s="52"/>
      <c r="T2720" s="181"/>
      <c r="U2720" s="52"/>
      <c r="V2720" s="4295"/>
      <c r="W2720" s="3262">
        <v>39600</v>
      </c>
      <c r="X2720" s="3262">
        <v>39600</v>
      </c>
      <c r="Y2720" s="3262">
        <v>39600</v>
      </c>
      <c r="Z2720" s="3262">
        <v>39600</v>
      </c>
      <c r="AA2720" s="3262">
        <v>39600</v>
      </c>
      <c r="AB2720" s="3262">
        <v>39600</v>
      </c>
      <c r="AC2720" s="3279">
        <v>36000</v>
      </c>
      <c r="AD2720" s="3279">
        <v>38000</v>
      </c>
      <c r="AE2720" s="3477">
        <v>38000</v>
      </c>
      <c r="AF2720" s="2236">
        <f t="shared" si="303"/>
        <v>38000</v>
      </c>
      <c r="AG2720" s="1396"/>
      <c r="DG2720" s="573"/>
      <c r="DH2720" s="159"/>
      <c r="DI2720" s="1091"/>
      <c r="DJ2720" s="1187"/>
    </row>
    <row r="2721" spans="1:114" ht="15" hidden="1" customHeight="1" outlineLevel="1">
      <c r="A2721" s="453"/>
      <c r="C2721" s="51"/>
      <c r="D2721" s="4295"/>
      <c r="E2721" s="4295"/>
      <c r="F2721" s="4347" t="str">
        <f>$E$1578</f>
        <v>ASHP-SEER16_ER2_MF</v>
      </c>
      <c r="G2721" s="4347"/>
      <c r="H2721" s="4347"/>
      <c r="I2721" s="4347"/>
      <c r="J2721" s="3471" t="str">
        <f>$C$1578</f>
        <v>352850_2024_12_</v>
      </c>
      <c r="K2721" s="3339">
        <v>38000</v>
      </c>
      <c r="L2721" s="3488">
        <f t="shared" si="304"/>
        <v>3.1666666666666665</v>
      </c>
      <c r="M2721" s="3481" t="s">
        <v>1937</v>
      </c>
      <c r="P2721" s="261"/>
      <c r="Q2721" s="209"/>
      <c r="R2721" s="261"/>
      <c r="S2721" s="52"/>
      <c r="T2721" s="181"/>
      <c r="U2721" s="52"/>
      <c r="V2721" s="4295"/>
      <c r="W2721" s="3262">
        <v>39600</v>
      </c>
      <c r="X2721" s="3262">
        <v>39600</v>
      </c>
      <c r="Y2721" s="3262">
        <v>39600</v>
      </c>
      <c r="Z2721" s="3262">
        <v>39600</v>
      </c>
      <c r="AA2721" s="3262">
        <v>39600</v>
      </c>
      <c r="AB2721" s="3262">
        <v>39600</v>
      </c>
      <c r="AC2721" s="3279">
        <f>AC2720</f>
        <v>36000</v>
      </c>
      <c r="AD2721" s="3279">
        <v>38000</v>
      </c>
      <c r="AE2721" s="3477">
        <v>38000</v>
      </c>
      <c r="AF2721" s="2236">
        <f t="shared" si="303"/>
        <v>38000</v>
      </c>
      <c r="AG2721" s="1396"/>
      <c r="DG2721" s="573"/>
      <c r="DH2721" s="159"/>
      <c r="DI2721" s="1091"/>
      <c r="DJ2721" s="1187"/>
    </row>
    <row r="2722" spans="1:114" ht="15" hidden="1" customHeight="1" outlineLevel="1">
      <c r="A2722" s="453"/>
      <c r="C2722" s="51"/>
      <c r="D2722" s="4295"/>
      <c r="E2722" s="4295"/>
      <c r="F2722" s="4347" t="str">
        <f>$E$1580</f>
        <v>ASHP-SEER16_ER1_MF_CompE</v>
      </c>
      <c r="G2722" s="4347"/>
      <c r="H2722" s="4347"/>
      <c r="I2722" s="4347"/>
      <c r="J2722" s="3471" t="str">
        <f>$C$1580</f>
        <v>352851_2024_12_</v>
      </c>
      <c r="K2722" s="3339">
        <v>38000</v>
      </c>
      <c r="L2722" s="3488">
        <f t="shared" si="304"/>
        <v>3.1666666666666665</v>
      </c>
      <c r="M2722" s="3483" t="s">
        <v>1945</v>
      </c>
      <c r="P2722" s="261"/>
      <c r="Q2722" s="209"/>
      <c r="R2722" s="261"/>
      <c r="S2722" s="52"/>
      <c r="T2722" s="181"/>
      <c r="U2722" s="52"/>
      <c r="V2722" s="4295"/>
      <c r="W2722" s="3262"/>
      <c r="X2722" s="3262"/>
      <c r="Y2722" s="3265">
        <v>39600</v>
      </c>
      <c r="Z2722" s="3262">
        <v>39600</v>
      </c>
      <c r="AA2722" s="3262">
        <v>39600</v>
      </c>
      <c r="AB2722" s="3262">
        <v>39600</v>
      </c>
      <c r="AC2722" s="3279">
        <f>AC2720</f>
        <v>36000</v>
      </c>
      <c r="AD2722" s="3279">
        <v>38000</v>
      </c>
      <c r="AE2722" s="3477">
        <v>38000</v>
      </c>
      <c r="AF2722" s="2236">
        <f t="shared" si="303"/>
        <v>38000</v>
      </c>
      <c r="AG2722" s="1396"/>
      <c r="DG2722" s="573"/>
      <c r="DH2722" s="159"/>
      <c r="DI2722" s="1091"/>
      <c r="DJ2722" s="1187"/>
    </row>
    <row r="2723" spans="1:114" ht="15" hidden="1" customHeight="1" outlineLevel="1">
      <c r="A2723" s="453"/>
      <c r="C2723" s="51"/>
      <c r="D2723" s="4295"/>
      <c r="E2723" s="4295"/>
      <c r="F2723" s="4347" t="str">
        <f>$E$1582</f>
        <v>ASHP-SEER16_ER2_MF_CompE</v>
      </c>
      <c r="G2723" s="4347"/>
      <c r="H2723" s="4347"/>
      <c r="I2723" s="4347"/>
      <c r="J2723" s="3471" t="str">
        <f>$C$1582</f>
        <v>352851_2024_12_</v>
      </c>
      <c r="K2723" s="3339">
        <v>38000</v>
      </c>
      <c r="L2723" s="3488">
        <f t="shared" si="304"/>
        <v>3.1666666666666665</v>
      </c>
      <c r="M2723" s="3483" t="s">
        <v>1945</v>
      </c>
      <c r="P2723" s="261"/>
      <c r="Q2723" s="209"/>
      <c r="R2723" s="261"/>
      <c r="S2723" s="52"/>
      <c r="T2723" s="181"/>
      <c r="U2723" s="52"/>
      <c r="V2723" s="4295"/>
      <c r="W2723" s="3262"/>
      <c r="X2723" s="3262"/>
      <c r="Y2723" s="3265">
        <v>39600</v>
      </c>
      <c r="Z2723" s="3262">
        <v>39600</v>
      </c>
      <c r="AA2723" s="3262">
        <v>39600</v>
      </c>
      <c r="AB2723" s="3262">
        <v>39600</v>
      </c>
      <c r="AC2723" s="3279">
        <f>AC2721</f>
        <v>36000</v>
      </c>
      <c r="AD2723" s="3279">
        <v>38000</v>
      </c>
      <c r="AE2723" s="3477">
        <v>38000</v>
      </c>
      <c r="AF2723" s="2236">
        <f t="shared" si="303"/>
        <v>38000</v>
      </c>
      <c r="AG2723" s="1396"/>
      <c r="DG2723" s="573"/>
      <c r="DH2723" s="159"/>
      <c r="DI2723" s="1091"/>
      <c r="DJ2723" s="1187"/>
    </row>
    <row r="2724" spans="1:114" ht="15" hidden="1" customHeight="1" outlineLevel="1">
      <c r="A2724" s="453"/>
      <c r="C2724" s="51"/>
      <c r="D2724" s="4295"/>
      <c r="E2724" s="4295"/>
      <c r="F2724" s="4347" t="str">
        <f>$E$1584</f>
        <v>ASHP-SEER16_ROF_MF</v>
      </c>
      <c r="G2724" s="4347"/>
      <c r="H2724" s="4347"/>
      <c r="I2724" s="4347"/>
      <c r="J2724" s="3471" t="str">
        <f>$C$1584</f>
        <v>352900_2024_12_</v>
      </c>
      <c r="K2724" s="3339">
        <v>27000</v>
      </c>
      <c r="L2724" s="3488">
        <f t="shared" si="304"/>
        <v>2.25</v>
      </c>
      <c r="M2724" s="3481" t="s">
        <v>1937</v>
      </c>
      <c r="P2724" s="261"/>
      <c r="Q2724" s="209"/>
      <c r="R2724" s="261"/>
      <c r="S2724" s="52"/>
      <c r="T2724" s="181"/>
      <c r="U2724" s="52"/>
      <c r="V2724" s="4295"/>
      <c r="W2724" s="3262">
        <v>39600</v>
      </c>
      <c r="X2724" s="3262">
        <v>39600</v>
      </c>
      <c r="Y2724" s="3262">
        <v>39600</v>
      </c>
      <c r="Z2724" s="3262">
        <v>39600</v>
      </c>
      <c r="AA2724" s="3262">
        <v>39600</v>
      </c>
      <c r="AB2724" s="3262">
        <v>39600</v>
      </c>
      <c r="AC2724" s="3279">
        <v>36000</v>
      </c>
      <c r="AD2724" s="3279">
        <v>27000</v>
      </c>
      <c r="AE2724" s="3477">
        <v>27000</v>
      </c>
      <c r="AF2724" s="2236">
        <f t="shared" si="303"/>
        <v>27000</v>
      </c>
      <c r="AG2724" s="1396"/>
      <c r="DG2724" s="573"/>
      <c r="DH2724" s="159"/>
      <c r="DI2724" s="1091"/>
      <c r="DJ2724" s="1187"/>
    </row>
    <row r="2725" spans="1:114" ht="15" hidden="1" customHeight="1" outlineLevel="1">
      <c r="A2725" s="453"/>
      <c r="C2725" s="51"/>
      <c r="D2725" s="4295"/>
      <c r="E2725" s="4295"/>
      <c r="F2725" s="4347" t="str">
        <f>$E$1586</f>
        <v>ASHP-SEER16_ROF_MF_CompE</v>
      </c>
      <c r="G2725" s="4347"/>
      <c r="H2725" s="4347"/>
      <c r="I2725" s="4347"/>
      <c r="J2725" s="3471" t="str">
        <f>$C$1586</f>
        <v>352901_2024_12_</v>
      </c>
      <c r="K2725" s="3339">
        <v>27000</v>
      </c>
      <c r="L2725" s="3488">
        <f t="shared" si="304"/>
        <v>2.25</v>
      </c>
      <c r="M2725" s="3481" t="s">
        <v>1937</v>
      </c>
      <c r="P2725" s="261"/>
      <c r="Q2725" s="209"/>
      <c r="R2725" s="261"/>
      <c r="S2725" s="52"/>
      <c r="T2725" s="181"/>
      <c r="U2725" s="52"/>
      <c r="V2725" s="4295"/>
      <c r="W2725" s="3262"/>
      <c r="X2725" s="3262"/>
      <c r="Y2725" s="3265">
        <v>39600</v>
      </c>
      <c r="Z2725" s="3262">
        <v>39600</v>
      </c>
      <c r="AA2725" s="3262">
        <v>39600</v>
      </c>
      <c r="AB2725" s="3262">
        <v>39600</v>
      </c>
      <c r="AC2725" s="3279">
        <f>AC2724</f>
        <v>36000</v>
      </c>
      <c r="AD2725" s="3279">
        <v>27000</v>
      </c>
      <c r="AE2725" s="3477">
        <v>27000</v>
      </c>
      <c r="AF2725" s="2236">
        <f t="shared" si="303"/>
        <v>27000</v>
      </c>
      <c r="AG2725" s="1396"/>
      <c r="DG2725" s="573"/>
      <c r="DH2725" s="159"/>
      <c r="DI2725" s="1091"/>
      <c r="DJ2725" s="1187"/>
    </row>
    <row r="2726" spans="1:114" ht="15" hidden="1" customHeight="1" outlineLevel="1">
      <c r="A2726" s="453"/>
      <c r="C2726" s="51"/>
      <c r="D2726" s="4295"/>
      <c r="E2726" s="4295"/>
      <c r="F2726" s="4347" t="str">
        <f>$E$1588</f>
        <v>ASHP-SEER16-Replace_CAC_ElectricHeat_ROF_MF</v>
      </c>
      <c r="G2726" s="4347"/>
      <c r="H2726" s="4347"/>
      <c r="I2726" s="4347"/>
      <c r="J2726" s="3471" t="str">
        <f>$C$1588</f>
        <v>352950_2024_12_</v>
      </c>
      <c r="K2726" s="3339">
        <v>27000</v>
      </c>
      <c r="L2726" s="3488">
        <f t="shared" si="304"/>
        <v>2.25</v>
      </c>
      <c r="M2726" s="3481" t="s">
        <v>1937</v>
      </c>
      <c r="P2726" s="261"/>
      <c r="Q2726" s="209"/>
      <c r="R2726" s="261"/>
      <c r="S2726" s="52"/>
      <c r="T2726" s="181"/>
      <c r="U2726" s="52"/>
      <c r="V2726" s="4295"/>
      <c r="W2726" s="3262">
        <v>38400</v>
      </c>
      <c r="X2726" s="3262">
        <v>38400</v>
      </c>
      <c r="Y2726" s="3262">
        <v>38400</v>
      </c>
      <c r="Z2726" s="3262">
        <v>38400</v>
      </c>
      <c r="AA2726" s="3262">
        <v>38400</v>
      </c>
      <c r="AB2726" s="3265">
        <v>24000</v>
      </c>
      <c r="AC2726" s="3267">
        <v>24000</v>
      </c>
      <c r="AD2726" s="3279">
        <v>27000</v>
      </c>
      <c r="AE2726" s="3477">
        <v>27000</v>
      </c>
      <c r="AF2726" s="2236">
        <f t="shared" si="303"/>
        <v>27000</v>
      </c>
      <c r="AG2726" s="1396"/>
      <c r="DG2726" s="573"/>
      <c r="DH2726" s="159"/>
      <c r="DI2726" s="1091"/>
      <c r="DJ2726" s="1187"/>
    </row>
    <row r="2727" spans="1:114" ht="15" hidden="1" customHeight="1" outlineLevel="1">
      <c r="A2727" s="453"/>
      <c r="C2727" s="51"/>
      <c r="D2727" s="4295"/>
      <c r="E2727" s="4295"/>
      <c r="F2727" s="4347" t="str">
        <f>$E$1590</f>
        <v>ASHP-SEER16-Replace_CAC_ElectricHeat_ROF_MF_CompE</v>
      </c>
      <c r="G2727" s="4347"/>
      <c r="H2727" s="4347"/>
      <c r="I2727" s="4347"/>
      <c r="J2727" s="3471" t="str">
        <f>$C$1590</f>
        <v>352951_2024_12_</v>
      </c>
      <c r="K2727" s="3339">
        <v>27000</v>
      </c>
      <c r="L2727" s="3488">
        <f t="shared" si="304"/>
        <v>2.25</v>
      </c>
      <c r="M2727" s="3481" t="s">
        <v>1937</v>
      </c>
      <c r="P2727" s="261"/>
      <c r="Q2727" s="209"/>
      <c r="R2727" s="261"/>
      <c r="S2727" s="52"/>
      <c r="T2727" s="181"/>
      <c r="U2727" s="52"/>
      <c r="V2727" s="4295"/>
      <c r="W2727" s="3262"/>
      <c r="X2727" s="3262"/>
      <c r="Y2727" s="3265">
        <v>38400</v>
      </c>
      <c r="Z2727" s="3262">
        <v>38400</v>
      </c>
      <c r="AA2727" s="3262">
        <v>38400</v>
      </c>
      <c r="AB2727" s="3265">
        <v>24000</v>
      </c>
      <c r="AC2727" s="3267">
        <f>AC2726</f>
        <v>24000</v>
      </c>
      <c r="AD2727" s="3279">
        <v>27000</v>
      </c>
      <c r="AE2727" s="3477">
        <v>27000</v>
      </c>
      <c r="AF2727" s="2236">
        <f t="shared" si="303"/>
        <v>27000</v>
      </c>
      <c r="AG2727" s="1396"/>
      <c r="DG2727" s="573"/>
      <c r="DH2727" s="159"/>
      <c r="DI2727" s="1091"/>
      <c r="DJ2727" s="1187"/>
    </row>
    <row r="2728" spans="1:114" ht="15" hidden="1" customHeight="1" outlineLevel="1">
      <c r="A2728" s="453"/>
      <c r="C2728" s="51"/>
      <c r="D2728" s="4295"/>
      <c r="E2728" s="4295"/>
      <c r="F2728" s="4347" t="str">
        <f>$E$1592</f>
        <v>ASHP-SEER16-Replace_CAC_NonElectricHeat_ROF_MF</v>
      </c>
      <c r="G2728" s="4347"/>
      <c r="H2728" s="4347"/>
      <c r="I2728" s="4347"/>
      <c r="J2728" s="3471" t="str">
        <f>$C$1592</f>
        <v>352960_2024_12_</v>
      </c>
      <c r="K2728" s="3339">
        <v>27000</v>
      </c>
      <c r="L2728" s="3488">
        <f t="shared" si="304"/>
        <v>2.25</v>
      </c>
      <c r="M2728" s="3293" t="s">
        <v>1945</v>
      </c>
      <c r="P2728" s="261"/>
      <c r="Q2728" s="209"/>
      <c r="R2728" s="261"/>
      <c r="S2728" s="52"/>
      <c r="T2728" s="181"/>
      <c r="U2728" s="52"/>
      <c r="V2728" s="4295"/>
      <c r="W2728" s="3262"/>
      <c r="X2728" s="3262"/>
      <c r="Y2728" s="3265"/>
      <c r="Z2728" s="3262"/>
      <c r="AA2728" s="3262"/>
      <c r="AB2728" s="3265"/>
      <c r="AC2728" s="3279">
        <v>24000</v>
      </c>
      <c r="AD2728" s="3279">
        <v>27000</v>
      </c>
      <c r="AE2728" s="3477">
        <v>27000</v>
      </c>
      <c r="AF2728" s="2236">
        <f t="shared" si="303"/>
        <v>27000</v>
      </c>
      <c r="AG2728" s="1396"/>
      <c r="DG2728" s="573"/>
      <c r="DH2728" s="159"/>
      <c r="DI2728" s="1091"/>
      <c r="DJ2728" s="1187"/>
    </row>
    <row r="2729" spans="1:114" ht="15" hidden="1" customHeight="1" outlineLevel="1">
      <c r="A2729" s="453"/>
      <c r="C2729" s="51"/>
      <c r="D2729" s="4295"/>
      <c r="E2729" s="4295"/>
      <c r="F2729" s="4347" t="str">
        <f>$E$1594</f>
        <v>ASHP-SEER16-Replace_CAC_NonElectricHeat_ROF_MF_CompE</v>
      </c>
      <c r="G2729" s="4347"/>
      <c r="H2729" s="4347"/>
      <c r="I2729" s="4347"/>
      <c r="J2729" s="3471" t="str">
        <f>$C$1594</f>
        <v>352961_2024_12_</v>
      </c>
      <c r="K2729" s="3339">
        <v>27000</v>
      </c>
      <c r="L2729" s="3488">
        <f t="shared" si="304"/>
        <v>2.25</v>
      </c>
      <c r="M2729" s="3293" t="s">
        <v>1945</v>
      </c>
      <c r="P2729" s="261"/>
      <c r="Q2729" s="209"/>
      <c r="R2729" s="261"/>
      <c r="S2729" s="52"/>
      <c r="T2729" s="181"/>
      <c r="U2729" s="52"/>
      <c r="V2729" s="4295"/>
      <c r="W2729" s="3262"/>
      <c r="X2729" s="3262"/>
      <c r="Y2729" s="3265"/>
      <c r="Z2729" s="3262"/>
      <c r="AA2729" s="3262"/>
      <c r="AB2729" s="3265"/>
      <c r="AC2729" s="3279">
        <f>AC2728</f>
        <v>24000</v>
      </c>
      <c r="AD2729" s="3279">
        <v>27000</v>
      </c>
      <c r="AE2729" s="3477">
        <v>27000</v>
      </c>
      <c r="AF2729" s="2236">
        <f t="shared" si="303"/>
        <v>27000</v>
      </c>
      <c r="AG2729" s="1396"/>
      <c r="DG2729" s="573"/>
      <c r="DH2729" s="159"/>
      <c r="DI2729" s="1091"/>
      <c r="DJ2729" s="1187"/>
    </row>
    <row r="2730" spans="1:114" ht="15" hidden="1" customHeight="1" outlineLevel="1">
      <c r="A2730" s="453"/>
      <c r="C2730" s="51"/>
      <c r="D2730" s="4295"/>
      <c r="E2730" s="4295"/>
      <c r="F2730" s="4307" t="str">
        <f>$E$1596</f>
        <v>ASHP-SEER16-Replace_CAC_ElectricHeat_ER1_MF</v>
      </c>
      <c r="G2730" s="4307"/>
      <c r="H2730" s="4307"/>
      <c r="I2730" s="4307"/>
      <c r="J2730" s="1029" t="str">
        <f>$C$1596</f>
        <v>353000_2024_12_</v>
      </c>
      <c r="K2730" s="1753">
        <v>38000</v>
      </c>
      <c r="L2730" s="947">
        <f t="shared" si="304"/>
        <v>3.1666666666666665</v>
      </c>
      <c r="M2730" s="1739" t="s">
        <v>1937</v>
      </c>
      <c r="P2730" s="261"/>
      <c r="Q2730" s="209"/>
      <c r="R2730" s="261"/>
      <c r="S2730" s="52"/>
      <c r="T2730" s="181"/>
      <c r="U2730" s="52"/>
      <c r="V2730" s="4295"/>
      <c r="W2730" s="1396">
        <v>37200</v>
      </c>
      <c r="X2730" s="1396">
        <v>37200</v>
      </c>
      <c r="Y2730" s="1396">
        <v>37200</v>
      </c>
      <c r="Z2730" s="1396">
        <v>37200</v>
      </c>
      <c r="AA2730" s="1396">
        <v>37200</v>
      </c>
      <c r="AB2730" s="833">
        <v>39600</v>
      </c>
      <c r="AC2730" s="825">
        <v>24000</v>
      </c>
      <c r="AD2730" s="825">
        <v>38000</v>
      </c>
      <c r="AE2730" s="1033">
        <v>38000</v>
      </c>
      <c r="AF2730" s="271">
        <f t="shared" si="303"/>
        <v>38000</v>
      </c>
      <c r="AG2730" s="1396"/>
      <c r="DG2730" s="573"/>
      <c r="DH2730" s="159"/>
      <c r="DI2730" s="1091"/>
      <c r="DJ2730" s="1187"/>
    </row>
    <row r="2731" spans="1:114" ht="15" hidden="1" customHeight="1" outlineLevel="1">
      <c r="A2731" s="453"/>
      <c r="C2731" s="51"/>
      <c r="D2731" s="4295"/>
      <c r="E2731" s="4295"/>
      <c r="F2731" s="4307" t="str">
        <f>$E$1598</f>
        <v>ASHP-SEER16-Replace_CAC_ElectricHeat_ER2_MF</v>
      </c>
      <c r="G2731" s="4307"/>
      <c r="H2731" s="4307"/>
      <c r="I2731" s="4307"/>
      <c r="J2731" s="1029" t="str">
        <f>$C$1598</f>
        <v>353000_2024_12_</v>
      </c>
      <c r="K2731" s="1753">
        <v>38000</v>
      </c>
      <c r="L2731" s="947">
        <f t="shared" si="304"/>
        <v>3.1666666666666665</v>
      </c>
      <c r="M2731" s="1739" t="s">
        <v>1937</v>
      </c>
      <c r="P2731" s="261"/>
      <c r="Q2731" s="209"/>
      <c r="R2731" s="261"/>
      <c r="S2731" s="52"/>
      <c r="T2731" s="181"/>
      <c r="U2731" s="52"/>
      <c r="V2731" s="4295"/>
      <c r="W2731" s="1396">
        <v>37200</v>
      </c>
      <c r="X2731" s="1396">
        <v>37200</v>
      </c>
      <c r="Y2731" s="1396">
        <v>37200</v>
      </c>
      <c r="Z2731" s="1396">
        <v>37200</v>
      </c>
      <c r="AA2731" s="1396">
        <v>37200</v>
      </c>
      <c r="AB2731" s="833">
        <v>39600</v>
      </c>
      <c r="AC2731" s="825">
        <f>AC2730</f>
        <v>24000</v>
      </c>
      <c r="AD2731" s="825">
        <v>38000</v>
      </c>
      <c r="AE2731" s="1033">
        <v>38000</v>
      </c>
      <c r="AF2731" s="271">
        <f t="shared" si="303"/>
        <v>38000</v>
      </c>
      <c r="AG2731" s="1396"/>
      <c r="DG2731" s="573"/>
      <c r="DH2731" s="159"/>
      <c r="DI2731" s="1091"/>
      <c r="DJ2731" s="1187"/>
    </row>
    <row r="2732" spans="1:114" ht="15" hidden="1" customHeight="1" outlineLevel="1">
      <c r="A2732" s="453"/>
      <c r="C2732" s="51"/>
      <c r="D2732" s="4295"/>
      <c r="E2732" s="4295"/>
      <c r="F2732" s="4347" t="str">
        <f>$E$1600</f>
        <v>ASHP-SEER16-Replace_CAC_ElectricHeat_ER1_MF_CompE</v>
      </c>
      <c r="G2732" s="4347"/>
      <c r="H2732" s="4347"/>
      <c r="I2732" s="4347"/>
      <c r="J2732" s="3471" t="str">
        <f>$C$1600</f>
        <v>353001_2024_12_</v>
      </c>
      <c r="K2732" s="3339">
        <v>38000</v>
      </c>
      <c r="L2732" s="3488">
        <f t="shared" si="304"/>
        <v>3.1666666666666665</v>
      </c>
      <c r="M2732" s="3293" t="s">
        <v>1945</v>
      </c>
      <c r="P2732" s="261"/>
      <c r="Q2732" s="209"/>
      <c r="R2732" s="261"/>
      <c r="S2732" s="52"/>
      <c r="T2732" s="181"/>
      <c r="U2732" s="52"/>
      <c r="V2732" s="4295"/>
      <c r="W2732" s="3262"/>
      <c r="X2732" s="3262"/>
      <c r="Y2732" s="3265">
        <v>37200</v>
      </c>
      <c r="Z2732" s="3262">
        <v>37200</v>
      </c>
      <c r="AA2732" s="3262">
        <v>37200</v>
      </c>
      <c r="AB2732" s="3265">
        <v>39600</v>
      </c>
      <c r="AC2732" s="3279">
        <f>AC2730</f>
        <v>24000</v>
      </c>
      <c r="AD2732" s="3279">
        <v>38000</v>
      </c>
      <c r="AE2732" s="3477">
        <v>38000</v>
      </c>
      <c r="AF2732" s="2236">
        <f t="shared" si="303"/>
        <v>38000</v>
      </c>
      <c r="AG2732" s="1396"/>
      <c r="DG2732" s="573"/>
      <c r="DH2732" s="159"/>
      <c r="DI2732" s="1091"/>
      <c r="DJ2732" s="1187"/>
    </row>
    <row r="2733" spans="1:114" ht="15" hidden="1" customHeight="1" outlineLevel="1">
      <c r="A2733" s="453"/>
      <c r="C2733" s="51"/>
      <c r="D2733" s="4295"/>
      <c r="E2733" s="4295"/>
      <c r="F2733" s="4347" t="str">
        <f>$E$1602</f>
        <v>ASHP-SEER16-Replace_CAC_ElectricHeat_ER2_MF_CompE</v>
      </c>
      <c r="G2733" s="4347"/>
      <c r="H2733" s="4347"/>
      <c r="I2733" s="4347"/>
      <c r="J2733" s="3471" t="str">
        <f>$C$1602</f>
        <v>353001_2024_12_</v>
      </c>
      <c r="K2733" s="3339">
        <v>38000</v>
      </c>
      <c r="L2733" s="3488">
        <f t="shared" si="304"/>
        <v>3.1666666666666665</v>
      </c>
      <c r="M2733" s="3293" t="s">
        <v>1945</v>
      </c>
      <c r="P2733" s="261"/>
      <c r="Q2733" s="209"/>
      <c r="R2733" s="261"/>
      <c r="S2733" s="52"/>
      <c r="T2733" s="181"/>
      <c r="U2733" s="52"/>
      <c r="V2733" s="4295"/>
      <c r="W2733" s="3262"/>
      <c r="X2733" s="3262"/>
      <c r="Y2733" s="3265">
        <v>37200</v>
      </c>
      <c r="Z2733" s="3262">
        <v>37200</v>
      </c>
      <c r="AA2733" s="3262">
        <v>37200</v>
      </c>
      <c r="AB2733" s="3265">
        <v>39600</v>
      </c>
      <c r="AC2733" s="3279">
        <f>AC2731</f>
        <v>24000</v>
      </c>
      <c r="AD2733" s="3279">
        <v>38000</v>
      </c>
      <c r="AE2733" s="3477">
        <v>38000</v>
      </c>
      <c r="AF2733" s="2236">
        <f t="shared" si="303"/>
        <v>38000</v>
      </c>
      <c r="AG2733" s="1396"/>
      <c r="DG2733" s="573"/>
      <c r="DH2733" s="159"/>
      <c r="DI2733" s="1091"/>
      <c r="DJ2733" s="1187"/>
    </row>
    <row r="2734" spans="1:114" ht="15" hidden="1" customHeight="1" outlineLevel="1">
      <c r="A2734" s="453"/>
      <c r="C2734" s="51"/>
      <c r="D2734" s="4295"/>
      <c r="E2734" s="4295"/>
      <c r="F2734" s="4347" t="str">
        <f>$E$1604</f>
        <v>ASHP-SEER16-Replace_CAC_NonElectricHeat_ER1_MF</v>
      </c>
      <c r="G2734" s="4347"/>
      <c r="H2734" s="4347"/>
      <c r="I2734" s="4347"/>
      <c r="J2734" s="3471" t="str">
        <f>$C$1604</f>
        <v>353010_2024_12_</v>
      </c>
      <c r="K2734" s="3339">
        <v>38000</v>
      </c>
      <c r="L2734" s="3488">
        <f t="shared" si="304"/>
        <v>3.1666666666666665</v>
      </c>
      <c r="M2734" s="3293" t="s">
        <v>1945</v>
      </c>
      <c r="P2734" s="261"/>
      <c r="Q2734" s="209"/>
      <c r="R2734" s="261"/>
      <c r="S2734" s="52"/>
      <c r="T2734" s="181"/>
      <c r="U2734" s="52"/>
      <c r="V2734" s="4295"/>
      <c r="W2734" s="3262"/>
      <c r="X2734" s="3262"/>
      <c r="Y2734" s="3265"/>
      <c r="Z2734" s="3262"/>
      <c r="AA2734" s="3262"/>
      <c r="AB2734" s="3265"/>
      <c r="AC2734" s="3279">
        <v>24000</v>
      </c>
      <c r="AD2734" s="3279">
        <v>38000</v>
      </c>
      <c r="AE2734" s="3477">
        <v>38000</v>
      </c>
      <c r="AF2734" s="2236">
        <f t="shared" si="303"/>
        <v>38000</v>
      </c>
      <c r="AG2734" s="1396"/>
      <c r="DG2734" s="573"/>
      <c r="DH2734" s="159"/>
      <c r="DI2734" s="1091"/>
      <c r="DJ2734" s="1187"/>
    </row>
    <row r="2735" spans="1:114" ht="15" hidden="1" customHeight="1" outlineLevel="1">
      <c r="A2735" s="453"/>
      <c r="C2735" s="51"/>
      <c r="D2735" s="4295"/>
      <c r="E2735" s="4295"/>
      <c r="F2735" s="4347" t="str">
        <f>$E$1606</f>
        <v>ASHP-SEER16-Replace_CAC_NonElectricHeat_ER2_MF</v>
      </c>
      <c r="G2735" s="4347"/>
      <c r="H2735" s="4347"/>
      <c r="I2735" s="4347"/>
      <c r="J2735" s="3471" t="str">
        <f>$C$1606</f>
        <v>353010_2024_12_</v>
      </c>
      <c r="K2735" s="3339">
        <v>38000</v>
      </c>
      <c r="L2735" s="3488">
        <f t="shared" si="304"/>
        <v>3.1666666666666665</v>
      </c>
      <c r="M2735" s="3293" t="s">
        <v>1945</v>
      </c>
      <c r="P2735" s="261"/>
      <c r="Q2735" s="209"/>
      <c r="R2735" s="261"/>
      <c r="S2735" s="52"/>
      <c r="T2735" s="181"/>
      <c r="U2735" s="52"/>
      <c r="V2735" s="4295"/>
      <c r="W2735" s="3262"/>
      <c r="X2735" s="3262"/>
      <c r="Y2735" s="3265"/>
      <c r="Z2735" s="3262"/>
      <c r="AA2735" s="3262"/>
      <c r="AB2735" s="3265"/>
      <c r="AC2735" s="3279">
        <f>AC2734</f>
        <v>24000</v>
      </c>
      <c r="AD2735" s="3279">
        <v>38000</v>
      </c>
      <c r="AE2735" s="3477">
        <v>38000</v>
      </c>
      <c r="AF2735" s="2236">
        <f t="shared" si="303"/>
        <v>38000</v>
      </c>
      <c r="AG2735" s="1396"/>
      <c r="DG2735" s="573"/>
      <c r="DH2735" s="159"/>
      <c r="DI2735" s="1091"/>
      <c r="DJ2735" s="1187"/>
    </row>
    <row r="2736" spans="1:114" ht="15" hidden="1" customHeight="1" outlineLevel="1">
      <c r="A2736" s="453"/>
      <c r="C2736" s="51"/>
      <c r="D2736" s="4295"/>
      <c r="E2736" s="4295"/>
      <c r="F2736" s="4347" t="str">
        <f>$E$1608</f>
        <v>ASHP-SEER16-Replace_CAC_NonElectricHeat_ER1_MF_CompE</v>
      </c>
      <c r="G2736" s="4347"/>
      <c r="H2736" s="4347"/>
      <c r="I2736" s="4347"/>
      <c r="J2736" s="3471" t="str">
        <f>$C$1608</f>
        <v>353011_2024_12_</v>
      </c>
      <c r="K2736" s="3339">
        <v>38000</v>
      </c>
      <c r="L2736" s="3488">
        <f t="shared" si="304"/>
        <v>3.1666666666666665</v>
      </c>
      <c r="M2736" s="3293" t="s">
        <v>1945</v>
      </c>
      <c r="P2736" s="261"/>
      <c r="Q2736" s="209"/>
      <c r="R2736" s="261"/>
      <c r="S2736" s="52"/>
      <c r="T2736" s="181"/>
      <c r="U2736" s="52"/>
      <c r="V2736" s="4295"/>
      <c r="W2736" s="3262"/>
      <c r="X2736" s="3262"/>
      <c r="Y2736" s="3265"/>
      <c r="Z2736" s="3262"/>
      <c r="AA2736" s="3262"/>
      <c r="AB2736" s="3265"/>
      <c r="AC2736" s="3279">
        <f>AC2734</f>
        <v>24000</v>
      </c>
      <c r="AD2736" s="3279">
        <v>38000</v>
      </c>
      <c r="AE2736" s="3477">
        <v>38000</v>
      </c>
      <c r="AF2736" s="2236">
        <f t="shared" si="303"/>
        <v>38000</v>
      </c>
      <c r="AG2736" s="1396"/>
      <c r="DG2736" s="573"/>
      <c r="DH2736" s="159"/>
      <c r="DI2736" s="1091"/>
      <c r="DJ2736" s="1187"/>
    </row>
    <row r="2737" spans="1:114" ht="15" hidden="1" customHeight="1" outlineLevel="1">
      <c r="A2737" s="453"/>
      <c r="C2737" s="51"/>
      <c r="D2737" s="4295"/>
      <c r="E2737" s="4295"/>
      <c r="F2737" s="4347" t="str">
        <f>$E$1610</f>
        <v>ASHP-SEER16-Replace_CAC_NonElectricHeat_ER2_MF_CompE</v>
      </c>
      <c r="G2737" s="4347"/>
      <c r="H2737" s="4347"/>
      <c r="I2737" s="4347"/>
      <c r="J2737" s="3471" t="str">
        <f>$C$1610</f>
        <v>353011_2024_12_</v>
      </c>
      <c r="K2737" s="3339">
        <v>38000</v>
      </c>
      <c r="L2737" s="3488">
        <f t="shared" si="304"/>
        <v>3.1666666666666665</v>
      </c>
      <c r="M2737" s="3293" t="s">
        <v>1945</v>
      </c>
      <c r="P2737" s="261"/>
      <c r="Q2737" s="209"/>
      <c r="R2737" s="261"/>
      <c r="S2737" s="52"/>
      <c r="T2737" s="181"/>
      <c r="U2737" s="52"/>
      <c r="V2737" s="4295"/>
      <c r="W2737" s="3262"/>
      <c r="X2737" s="3262"/>
      <c r="Y2737" s="3265"/>
      <c r="Z2737" s="3262"/>
      <c r="AA2737" s="3262"/>
      <c r="AB2737" s="3265"/>
      <c r="AC2737" s="3279">
        <f>AC2735</f>
        <v>24000</v>
      </c>
      <c r="AD2737" s="3279">
        <v>38000</v>
      </c>
      <c r="AE2737" s="3477">
        <v>38000</v>
      </c>
      <c r="AF2737" s="2236">
        <f t="shared" si="303"/>
        <v>38000</v>
      </c>
      <c r="AG2737" s="1396"/>
      <c r="DG2737" s="573"/>
      <c r="DH2737" s="159"/>
      <c r="DI2737" s="1091"/>
      <c r="DJ2737" s="1187"/>
    </row>
    <row r="2738" spans="1:114" ht="15" hidden="1" customHeight="1" outlineLevel="1">
      <c r="A2738" s="453"/>
      <c r="C2738" s="51"/>
      <c r="D2738" s="4295"/>
      <c r="E2738" s="4295"/>
      <c r="F2738" s="4347" t="str">
        <f>$E$1612</f>
        <v>ASHP-SEER15_ROF_MF</v>
      </c>
      <c r="G2738" s="4347"/>
      <c r="H2738" s="4347"/>
      <c r="I2738" s="4347"/>
      <c r="J2738" s="3471" t="str">
        <f>$C$1612</f>
        <v>353050_2024_12_</v>
      </c>
      <c r="K2738" s="3339">
        <v>30000</v>
      </c>
      <c r="L2738" s="3488">
        <f t="shared" si="304"/>
        <v>2.5</v>
      </c>
      <c r="M2738" s="3481" t="s">
        <v>1937</v>
      </c>
      <c r="P2738" s="261"/>
      <c r="Q2738" s="209"/>
      <c r="R2738" s="261"/>
      <c r="S2738" s="52"/>
      <c r="T2738" s="181"/>
      <c r="U2738" s="52"/>
      <c r="V2738" s="4295"/>
      <c r="W2738" s="3262">
        <v>37200</v>
      </c>
      <c r="X2738" s="3262">
        <v>37200</v>
      </c>
      <c r="Y2738" s="3262">
        <v>37200</v>
      </c>
      <c r="Z2738" s="3262">
        <v>37200</v>
      </c>
      <c r="AA2738" s="3262">
        <v>37200</v>
      </c>
      <c r="AB2738" s="3262">
        <v>37200</v>
      </c>
      <c r="AC2738" s="3279">
        <v>24157.894736842103</v>
      </c>
      <c r="AD2738" s="3279">
        <v>30000</v>
      </c>
      <c r="AE2738" s="3477">
        <v>30000</v>
      </c>
      <c r="AF2738" s="2236">
        <f t="shared" si="303"/>
        <v>30000</v>
      </c>
      <c r="AG2738" s="1396"/>
      <c r="DG2738" s="573"/>
      <c r="DH2738" s="159"/>
      <c r="DI2738" s="1091"/>
      <c r="DJ2738" s="1187"/>
    </row>
    <row r="2739" spans="1:114" ht="15" hidden="1" customHeight="1" outlineLevel="1">
      <c r="A2739" s="453"/>
      <c r="C2739" s="51"/>
      <c r="D2739" s="4295"/>
      <c r="E2739" s="4295"/>
      <c r="F2739" s="4347" t="str">
        <f>$E$1614</f>
        <v>ASHP-SEER15_ROF_MF_CompE</v>
      </c>
      <c r="G2739" s="4347"/>
      <c r="H2739" s="4347"/>
      <c r="I2739" s="4347"/>
      <c r="J2739" s="3471" t="str">
        <f>$C$1614</f>
        <v>353051_2024_12_</v>
      </c>
      <c r="K2739" s="3339">
        <v>30000</v>
      </c>
      <c r="L2739" s="3488">
        <f t="shared" si="304"/>
        <v>2.5</v>
      </c>
      <c r="M2739" s="3293" t="s">
        <v>1945</v>
      </c>
      <c r="P2739" s="261"/>
      <c r="Q2739" s="209"/>
      <c r="R2739" s="261"/>
      <c r="S2739" s="52"/>
      <c r="T2739" s="181"/>
      <c r="U2739" s="52"/>
      <c r="V2739" s="4295"/>
      <c r="W2739" s="3262"/>
      <c r="X2739" s="3262"/>
      <c r="Y2739" s="3265">
        <v>37200</v>
      </c>
      <c r="Z2739" s="3262">
        <v>37200</v>
      </c>
      <c r="AA2739" s="3262">
        <v>37200</v>
      </c>
      <c r="AB2739" s="3262">
        <v>37200</v>
      </c>
      <c r="AC2739" s="3279">
        <f>AC2738</f>
        <v>24157.894736842103</v>
      </c>
      <c r="AD2739" s="3279">
        <v>30000</v>
      </c>
      <c r="AE2739" s="3477">
        <v>30000</v>
      </c>
      <c r="AF2739" s="2236">
        <f t="shared" si="303"/>
        <v>30000</v>
      </c>
      <c r="AG2739" s="1396"/>
      <c r="DG2739" s="573"/>
      <c r="DH2739" s="159"/>
      <c r="DI2739" s="1091"/>
      <c r="DJ2739" s="1187"/>
    </row>
    <row r="2740" spans="1:114" ht="15" hidden="1" customHeight="1" outlineLevel="1">
      <c r="A2740" s="453"/>
      <c r="C2740" s="51"/>
      <c r="D2740" s="4295"/>
      <c r="E2740" s="4295"/>
      <c r="F2740" s="4307" t="str">
        <f>$E$1616</f>
        <v>ASHP-SEER17-Replace_CAC_ElectricHeat_ROF_SF</v>
      </c>
      <c r="G2740" s="4307"/>
      <c r="H2740" s="4307"/>
      <c r="I2740" s="4307"/>
      <c r="J2740" s="1029" t="str">
        <f>$C$1616</f>
        <v>353100_2024_12_</v>
      </c>
      <c r="K2740" s="1756">
        <v>36000</v>
      </c>
      <c r="L2740" s="947">
        <f t="shared" si="304"/>
        <v>3</v>
      </c>
      <c r="M2740" s="1609" t="s">
        <v>1935</v>
      </c>
      <c r="P2740" s="261"/>
      <c r="Q2740" s="209"/>
      <c r="R2740" s="261"/>
      <c r="S2740" s="52"/>
      <c r="T2740" s="181"/>
      <c r="U2740" s="52"/>
      <c r="V2740" s="4295"/>
      <c r="W2740" s="1396">
        <v>33600</v>
      </c>
      <c r="X2740" s="1396">
        <v>33600</v>
      </c>
      <c r="Y2740" s="1396">
        <v>33600</v>
      </c>
      <c r="Z2740" s="1396">
        <v>33600</v>
      </c>
      <c r="AA2740" s="1396">
        <v>33600</v>
      </c>
      <c r="AB2740" s="1396">
        <v>33600</v>
      </c>
      <c r="AC2740" s="825">
        <v>32400.000000000004</v>
      </c>
      <c r="AD2740" s="825">
        <v>36857.142857142855</v>
      </c>
      <c r="AE2740" s="967">
        <v>37200</v>
      </c>
      <c r="AF2740" s="271">
        <f t="shared" si="303"/>
        <v>36000</v>
      </c>
      <c r="AG2740" s="1396"/>
      <c r="DG2740" s="573"/>
      <c r="DH2740" s="159"/>
      <c r="DI2740" s="1091"/>
      <c r="DJ2740" s="1187"/>
    </row>
    <row r="2741" spans="1:114" ht="15" hidden="1" customHeight="1" outlineLevel="1">
      <c r="A2741" s="453"/>
      <c r="C2741" s="51"/>
      <c r="D2741" s="4295"/>
      <c r="E2741" s="4295"/>
      <c r="F2741" s="4307" t="str">
        <f>$E$1618</f>
        <v>ASHP-SEER17-Replace_CAC_NonElectricHeat_ROF_SF</v>
      </c>
      <c r="G2741" s="4307"/>
      <c r="H2741" s="4307"/>
      <c r="I2741" s="4307"/>
      <c r="J2741" s="1029" t="str">
        <f>$C$1618</f>
        <v>353110_2024_12_</v>
      </c>
      <c r="K2741" s="1756">
        <f>$K$2740</f>
        <v>36000</v>
      </c>
      <c r="L2741" s="947">
        <f t="shared" si="304"/>
        <v>3</v>
      </c>
      <c r="M2741" s="1609" t="s">
        <v>1935</v>
      </c>
      <c r="P2741" s="261"/>
      <c r="Q2741" s="209"/>
      <c r="R2741" s="261"/>
      <c r="S2741" s="52"/>
      <c r="T2741" s="181"/>
      <c r="U2741" s="52"/>
      <c r="V2741" s="4295"/>
      <c r="W2741" s="1396"/>
      <c r="X2741" s="833"/>
      <c r="Y2741" s="833"/>
      <c r="Z2741" s="1396"/>
      <c r="AA2741" s="1396"/>
      <c r="AB2741" s="825"/>
      <c r="AC2741" s="825"/>
      <c r="AD2741" s="825">
        <v>36857.142857142855</v>
      </c>
      <c r="AE2741" s="967">
        <v>37200</v>
      </c>
      <c r="AF2741" s="271">
        <f t="shared" si="303"/>
        <v>36000</v>
      </c>
      <c r="AG2741" s="1396"/>
      <c r="DG2741" s="573"/>
      <c r="DH2741" s="159"/>
      <c r="DI2741" s="1091"/>
      <c r="DJ2741" s="1187"/>
    </row>
    <row r="2742" spans="1:114" ht="15" hidden="1" customHeight="1" outlineLevel="1">
      <c r="A2742" s="453"/>
      <c r="C2742" s="51"/>
      <c r="D2742" s="4295"/>
      <c r="E2742" s="4295"/>
      <c r="F2742" s="4347" t="str">
        <f>$E$1620</f>
        <v>ASHP-SEER17-Replace_CAC_ElectricHeat_ROF_MF</v>
      </c>
      <c r="G2742" s="4347"/>
      <c r="H2742" s="4347"/>
      <c r="I2742" s="4347"/>
      <c r="J2742" s="3471" t="str">
        <f>$C$1620</f>
        <v>353150_2024_12_</v>
      </c>
      <c r="K2742" s="3375">
        <v>33600</v>
      </c>
      <c r="L2742" s="3488">
        <f t="shared" si="304"/>
        <v>2.8</v>
      </c>
      <c r="M2742" s="3293" t="s">
        <v>2496</v>
      </c>
      <c r="P2742" s="261"/>
      <c r="Q2742" s="209"/>
      <c r="R2742" s="261"/>
      <c r="S2742" s="52"/>
      <c r="T2742" s="181"/>
      <c r="U2742" s="52"/>
      <c r="V2742" s="4295"/>
      <c r="W2742" s="3262">
        <v>33600</v>
      </c>
      <c r="X2742" s="3262">
        <v>33600</v>
      </c>
      <c r="Y2742" s="3262">
        <v>33600</v>
      </c>
      <c r="Z2742" s="3262">
        <v>33600</v>
      </c>
      <c r="AA2742" s="3262">
        <v>33600</v>
      </c>
      <c r="AB2742" s="3262">
        <v>33600</v>
      </c>
      <c r="AC2742" s="3267">
        <v>33600</v>
      </c>
      <c r="AD2742" s="3267">
        <v>33600</v>
      </c>
      <c r="AE2742" s="3478">
        <v>33600</v>
      </c>
      <c r="AF2742" s="2236">
        <f t="shared" si="303"/>
        <v>33600</v>
      </c>
      <c r="AG2742" s="1396"/>
      <c r="DG2742" s="573"/>
      <c r="DH2742" s="159"/>
      <c r="DI2742" s="1091"/>
      <c r="DJ2742" s="1187"/>
    </row>
    <row r="2743" spans="1:114" ht="15" hidden="1" customHeight="1" outlineLevel="1">
      <c r="A2743" s="453"/>
      <c r="C2743" s="51"/>
      <c r="D2743" s="4295"/>
      <c r="E2743" s="4295"/>
      <c r="F2743" s="4347" t="str">
        <f>$E$1622</f>
        <v>ASHP-SEER17-Replace_CAC_ElectricHeat_ROF_MF_CompE</v>
      </c>
      <c r="G2743" s="4347"/>
      <c r="H2743" s="4347"/>
      <c r="I2743" s="4347"/>
      <c r="J2743" s="3471" t="str">
        <f>$C$1622</f>
        <v>353151_2024_12_</v>
      </c>
      <c r="K2743" s="3375">
        <v>33600</v>
      </c>
      <c r="L2743" s="3488">
        <f t="shared" si="304"/>
        <v>2.8</v>
      </c>
      <c r="M2743" s="3293" t="s">
        <v>1945</v>
      </c>
      <c r="P2743" s="261"/>
      <c r="Q2743" s="209"/>
      <c r="R2743" s="261"/>
      <c r="S2743" s="52"/>
      <c r="T2743" s="181"/>
      <c r="U2743" s="52"/>
      <c r="V2743" s="4295"/>
      <c r="W2743" s="3262"/>
      <c r="X2743" s="3262"/>
      <c r="Y2743" s="3265">
        <v>33600</v>
      </c>
      <c r="Z2743" s="3262">
        <v>33600</v>
      </c>
      <c r="AA2743" s="3262">
        <v>33600</v>
      </c>
      <c r="AB2743" s="3262">
        <v>33600</v>
      </c>
      <c r="AC2743" s="3267">
        <f>AC2742</f>
        <v>33600</v>
      </c>
      <c r="AD2743" s="3267">
        <v>33600</v>
      </c>
      <c r="AE2743" s="3478">
        <v>33600</v>
      </c>
      <c r="AF2743" s="2236">
        <f t="shared" si="303"/>
        <v>33600</v>
      </c>
      <c r="AG2743" s="1396"/>
      <c r="DG2743" s="573"/>
      <c r="DH2743" s="159"/>
      <c r="DI2743" s="1091"/>
      <c r="DJ2743" s="1187"/>
    </row>
    <row r="2744" spans="1:114" ht="15" hidden="1" customHeight="1" outlineLevel="1">
      <c r="A2744" s="453"/>
      <c r="C2744" s="51"/>
      <c r="D2744" s="4295"/>
      <c r="E2744" s="4295"/>
      <c r="F2744" s="4347" t="str">
        <f>$E$1624</f>
        <v>ASHP-SEER17-Replace_CAC_NonElectricHeat_ROF_MF</v>
      </c>
      <c r="G2744" s="4347"/>
      <c r="H2744" s="4347"/>
      <c r="I2744" s="4347"/>
      <c r="J2744" s="3471" t="str">
        <f>$C$1624</f>
        <v>353160_2024_12_</v>
      </c>
      <c r="K2744" s="3375">
        <v>33600</v>
      </c>
      <c r="L2744" s="3488">
        <f t="shared" si="304"/>
        <v>2.8</v>
      </c>
      <c r="M2744" s="3293" t="s">
        <v>1945</v>
      </c>
      <c r="P2744" s="261"/>
      <c r="Q2744" s="209"/>
      <c r="R2744" s="261"/>
      <c r="S2744" s="52"/>
      <c r="T2744" s="181"/>
      <c r="U2744" s="52"/>
      <c r="V2744" s="4295"/>
      <c r="W2744" s="3262"/>
      <c r="X2744" s="3262"/>
      <c r="Y2744" s="3265"/>
      <c r="Z2744" s="3262"/>
      <c r="AA2744" s="3262"/>
      <c r="AB2744" s="3262"/>
      <c r="AC2744" s="3279">
        <v>33600</v>
      </c>
      <c r="AD2744" s="3267">
        <v>33600</v>
      </c>
      <c r="AE2744" s="3478">
        <v>33600</v>
      </c>
      <c r="AF2744" s="2236">
        <f t="shared" si="303"/>
        <v>33600</v>
      </c>
      <c r="AG2744" s="1396"/>
      <c r="DG2744" s="573"/>
      <c r="DH2744" s="159"/>
      <c r="DI2744" s="1091"/>
      <c r="DJ2744" s="1187"/>
    </row>
    <row r="2745" spans="1:114" ht="15" hidden="1" customHeight="1" outlineLevel="1">
      <c r="A2745" s="453"/>
      <c r="C2745" s="51"/>
      <c r="D2745" s="4295"/>
      <c r="E2745" s="4295"/>
      <c r="F2745" s="4347" t="str">
        <f>$E$1626</f>
        <v>ASHP-SEER17-Replace_CAC_NonElectricHeat_ROF_MF_CompE</v>
      </c>
      <c r="G2745" s="4347"/>
      <c r="H2745" s="4347"/>
      <c r="I2745" s="4347"/>
      <c r="J2745" s="3471" t="str">
        <f>$C$1626</f>
        <v>353161_2024_12_</v>
      </c>
      <c r="K2745" s="3375">
        <v>33600</v>
      </c>
      <c r="L2745" s="3488">
        <f t="shared" si="304"/>
        <v>2.8</v>
      </c>
      <c r="M2745" s="3293" t="s">
        <v>1945</v>
      </c>
      <c r="P2745" s="261"/>
      <c r="Q2745" s="209"/>
      <c r="R2745" s="261"/>
      <c r="S2745" s="52"/>
      <c r="T2745" s="181"/>
      <c r="U2745" s="52"/>
      <c r="V2745" s="4295"/>
      <c r="W2745" s="3262"/>
      <c r="X2745" s="3262"/>
      <c r="Y2745" s="3265"/>
      <c r="Z2745" s="3262"/>
      <c r="AA2745" s="3262"/>
      <c r="AB2745" s="3262"/>
      <c r="AC2745" s="3279">
        <f>AC2744</f>
        <v>33600</v>
      </c>
      <c r="AD2745" s="3267">
        <v>33600</v>
      </c>
      <c r="AE2745" s="3478">
        <v>33600</v>
      </c>
      <c r="AF2745" s="2236">
        <f t="shared" si="303"/>
        <v>33600</v>
      </c>
      <c r="AG2745" s="1396"/>
      <c r="DG2745" s="573"/>
      <c r="DH2745" s="159"/>
      <c r="DI2745" s="1091"/>
      <c r="DJ2745" s="1187"/>
    </row>
    <row r="2746" spans="1:114" ht="15" hidden="1" customHeight="1" outlineLevel="1">
      <c r="A2746" s="453"/>
      <c r="C2746" s="51"/>
      <c r="D2746" s="4295"/>
      <c r="E2746" s="4295"/>
      <c r="F2746" s="4307" t="str">
        <f>$E$1628</f>
        <v>ASHP-SEER18-Replace_CAC_ElectricHeat_ROF_SF</v>
      </c>
      <c r="G2746" s="4307"/>
      <c r="H2746" s="4307"/>
      <c r="I2746" s="4307"/>
      <c r="J2746" s="1029" t="str">
        <f>$C$1628</f>
        <v>353200_2024_12_</v>
      </c>
      <c r="K2746" s="1756">
        <v>42078.431372470586</v>
      </c>
      <c r="L2746" s="947">
        <f t="shared" si="304"/>
        <v>3.5065359477058822</v>
      </c>
      <c r="M2746" s="1609" t="s">
        <v>1935</v>
      </c>
      <c r="P2746" s="261"/>
      <c r="Q2746" s="209"/>
      <c r="R2746" s="261"/>
      <c r="S2746" s="52"/>
      <c r="T2746" s="181"/>
      <c r="U2746" s="52"/>
      <c r="V2746" s="4295"/>
      <c r="W2746" s="1396">
        <v>33600</v>
      </c>
      <c r="X2746" s="1396">
        <v>33600</v>
      </c>
      <c r="Y2746" s="1396">
        <v>33600</v>
      </c>
      <c r="Z2746" s="1396">
        <v>33600</v>
      </c>
      <c r="AA2746" s="1396">
        <v>33600</v>
      </c>
      <c r="AB2746" s="833">
        <v>36000</v>
      </c>
      <c r="AC2746" s="825">
        <v>36486.486486486487</v>
      </c>
      <c r="AD2746" s="825">
        <v>38808.51063829787</v>
      </c>
      <c r="AE2746" s="967">
        <v>35780</v>
      </c>
      <c r="AF2746" s="271">
        <f t="shared" ref="AF2746:AF2809" si="307">IF(K2746&lt;&gt;"",K2746,"")</f>
        <v>42078.431372470586</v>
      </c>
      <c r="AG2746" s="1396"/>
      <c r="DG2746" s="573"/>
      <c r="DH2746" s="159"/>
      <c r="DI2746" s="1091"/>
      <c r="DJ2746" s="1187"/>
    </row>
    <row r="2747" spans="1:114" ht="15" hidden="1" customHeight="1" outlineLevel="1">
      <c r="A2747" s="453"/>
      <c r="C2747" s="51"/>
      <c r="D2747" s="4295"/>
      <c r="E2747" s="4295"/>
      <c r="F2747" s="4307" t="str">
        <f>$E$1630</f>
        <v>ASHP-SEER18-Replace_CAC_NonElectricHeat_ROF_SF</v>
      </c>
      <c r="G2747" s="4307"/>
      <c r="H2747" s="4307"/>
      <c r="I2747" s="4307"/>
      <c r="J2747" s="1029" t="str">
        <f>$C$1630</f>
        <v>353210_2024_12_</v>
      </c>
      <c r="K2747" s="1756">
        <v>42078.431372470586</v>
      </c>
      <c r="L2747" s="947">
        <f t="shared" si="304"/>
        <v>3.5065359477058822</v>
      </c>
      <c r="M2747" s="1609" t="s">
        <v>1935</v>
      </c>
      <c r="P2747" s="261"/>
      <c r="Q2747" s="209"/>
      <c r="R2747" s="261"/>
      <c r="S2747" s="52"/>
      <c r="T2747" s="181"/>
      <c r="U2747" s="52"/>
      <c r="V2747" s="4295"/>
      <c r="W2747" s="1396"/>
      <c r="X2747" s="833"/>
      <c r="Y2747" s="833"/>
      <c r="Z2747" s="1396"/>
      <c r="AA2747" s="1396"/>
      <c r="AB2747" s="825"/>
      <c r="AC2747" s="825"/>
      <c r="AD2747" s="825">
        <v>38808.51063829787</v>
      </c>
      <c r="AE2747" s="967">
        <v>35780</v>
      </c>
      <c r="AF2747" s="271">
        <f t="shared" si="307"/>
        <v>42078.431372470586</v>
      </c>
      <c r="AG2747" s="1396"/>
      <c r="DG2747" s="573"/>
      <c r="DH2747" s="159"/>
      <c r="DI2747" s="1091"/>
      <c r="DJ2747" s="1187"/>
    </row>
    <row r="2748" spans="1:114" ht="15" hidden="1" customHeight="1" outlineLevel="1">
      <c r="A2748" s="453"/>
      <c r="C2748" s="51"/>
      <c r="D2748" s="4295"/>
      <c r="E2748" s="4295"/>
      <c r="F2748" s="4347" t="str">
        <f>$E$1632</f>
        <v>ASHP-SEER18-Replace_CAC_ElectricHeat_ROF_MF</v>
      </c>
      <c r="G2748" s="4347"/>
      <c r="H2748" s="4347"/>
      <c r="I2748" s="4347"/>
      <c r="J2748" s="3471" t="str">
        <f>$C$1632</f>
        <v>353250_2024_12_</v>
      </c>
      <c r="K2748" s="3489">
        <v>36000</v>
      </c>
      <c r="L2748" s="3488">
        <f t="shared" si="304"/>
        <v>3</v>
      </c>
      <c r="M2748" s="3293" t="s">
        <v>1938</v>
      </c>
      <c r="P2748" s="261"/>
      <c r="Q2748" s="209"/>
      <c r="R2748" s="261"/>
      <c r="S2748" s="52"/>
      <c r="T2748" s="181"/>
      <c r="U2748" s="52"/>
      <c r="V2748" s="4295"/>
      <c r="W2748" s="3262">
        <v>33600</v>
      </c>
      <c r="X2748" s="3262">
        <v>33600</v>
      </c>
      <c r="Y2748" s="3262">
        <v>33600</v>
      </c>
      <c r="Z2748" s="3262">
        <v>33600</v>
      </c>
      <c r="AA2748" s="3262">
        <v>33600</v>
      </c>
      <c r="AB2748" s="3265">
        <v>48000</v>
      </c>
      <c r="AC2748" s="3279">
        <v>36000</v>
      </c>
      <c r="AD2748" s="3267">
        <v>36000</v>
      </c>
      <c r="AE2748" s="3490">
        <v>36000</v>
      </c>
      <c r="AF2748" s="2236">
        <f t="shared" si="307"/>
        <v>36000</v>
      </c>
      <c r="AG2748" s="1396"/>
      <c r="DG2748" s="573"/>
      <c r="DH2748" s="159"/>
      <c r="DI2748" s="1091"/>
      <c r="DJ2748" s="1187"/>
    </row>
    <row r="2749" spans="1:114" ht="15" hidden="1" customHeight="1" outlineLevel="1">
      <c r="A2749" s="453"/>
      <c r="C2749" s="51"/>
      <c r="D2749" s="4295"/>
      <c r="E2749" s="4295"/>
      <c r="F2749" s="4347" t="str">
        <f>$E$1634</f>
        <v>ASHP-SEER18-Replace_CAC_ElectricHeat_ROF_MF_CompE</v>
      </c>
      <c r="G2749" s="4347"/>
      <c r="H2749" s="4347"/>
      <c r="I2749" s="4347"/>
      <c r="J2749" s="3471" t="str">
        <f>$C$1634</f>
        <v>353251_2024_12_</v>
      </c>
      <c r="K2749" s="3489">
        <v>36000</v>
      </c>
      <c r="L2749" s="3488">
        <f t="shared" si="304"/>
        <v>3</v>
      </c>
      <c r="M2749" s="3293" t="s">
        <v>1938</v>
      </c>
      <c r="P2749" s="261"/>
      <c r="Q2749" s="209"/>
      <c r="R2749" s="261"/>
      <c r="S2749" s="52"/>
      <c r="T2749" s="181"/>
      <c r="U2749" s="52"/>
      <c r="V2749" s="4295"/>
      <c r="W2749" s="3262"/>
      <c r="X2749" s="3262"/>
      <c r="Y2749" s="3265">
        <v>33600</v>
      </c>
      <c r="Z2749" s="3262">
        <v>33600</v>
      </c>
      <c r="AA2749" s="3262">
        <v>33600</v>
      </c>
      <c r="AB2749" s="3265">
        <v>48000</v>
      </c>
      <c r="AC2749" s="3279">
        <f>AC2748</f>
        <v>36000</v>
      </c>
      <c r="AD2749" s="3267">
        <v>36000</v>
      </c>
      <c r="AE2749" s="3490">
        <v>36000</v>
      </c>
      <c r="AF2749" s="2236">
        <f t="shared" si="307"/>
        <v>36000</v>
      </c>
      <c r="AG2749" s="1396"/>
      <c r="DG2749" s="573"/>
      <c r="DH2749" s="159"/>
      <c r="DI2749" s="1091"/>
      <c r="DJ2749" s="1187"/>
    </row>
    <row r="2750" spans="1:114" ht="15" hidden="1" customHeight="1" outlineLevel="1">
      <c r="A2750" s="453"/>
      <c r="C2750" s="51"/>
      <c r="D2750" s="4295"/>
      <c r="E2750" s="4295"/>
      <c r="F2750" s="4347" t="str">
        <f>$E$1636</f>
        <v>ASHP-SEER18-Replace_CAC_NonElectricHeat_ROF_MF</v>
      </c>
      <c r="G2750" s="4347"/>
      <c r="H2750" s="4347"/>
      <c r="I2750" s="4347"/>
      <c r="J2750" s="3471" t="str">
        <f>$C$1636</f>
        <v>353260_2024_12_</v>
      </c>
      <c r="K2750" s="3489">
        <v>36000</v>
      </c>
      <c r="L2750" s="3488">
        <f t="shared" si="304"/>
        <v>3</v>
      </c>
      <c r="M2750" s="3293" t="s">
        <v>1945</v>
      </c>
      <c r="P2750" s="261"/>
      <c r="Q2750" s="209"/>
      <c r="R2750" s="261"/>
      <c r="S2750" s="52"/>
      <c r="T2750" s="181"/>
      <c r="U2750" s="52"/>
      <c r="V2750" s="4295"/>
      <c r="W2750" s="3262"/>
      <c r="X2750" s="3262"/>
      <c r="Y2750" s="3265"/>
      <c r="Z2750" s="3262"/>
      <c r="AA2750" s="3262"/>
      <c r="AB2750" s="3265"/>
      <c r="AC2750" s="3279">
        <v>36000</v>
      </c>
      <c r="AD2750" s="3267">
        <v>36000</v>
      </c>
      <c r="AE2750" s="3490">
        <v>36000</v>
      </c>
      <c r="AF2750" s="2236">
        <f t="shared" si="307"/>
        <v>36000</v>
      </c>
      <c r="AG2750" s="1396"/>
      <c r="DG2750" s="573"/>
      <c r="DH2750" s="159"/>
      <c r="DI2750" s="1091"/>
      <c r="DJ2750" s="1187"/>
    </row>
    <row r="2751" spans="1:114" ht="15" hidden="1" customHeight="1" outlineLevel="1">
      <c r="A2751" s="453"/>
      <c r="C2751" s="51"/>
      <c r="D2751" s="4295"/>
      <c r="E2751" s="4295"/>
      <c r="F2751" s="4347" t="str">
        <f>$E$1638</f>
        <v>ASHP-SEER18-Replace_CAC_NonElectricHeat_ROF_MF_CompE</v>
      </c>
      <c r="G2751" s="4347"/>
      <c r="H2751" s="4347"/>
      <c r="I2751" s="4347"/>
      <c r="J2751" s="3471" t="str">
        <f>$C$1638</f>
        <v>353261_2024_12_</v>
      </c>
      <c r="K2751" s="3489">
        <v>36000</v>
      </c>
      <c r="L2751" s="3488">
        <f t="shared" si="304"/>
        <v>3</v>
      </c>
      <c r="M2751" s="3293" t="s">
        <v>1945</v>
      </c>
      <c r="P2751" s="261"/>
      <c r="Q2751" s="209"/>
      <c r="R2751" s="261"/>
      <c r="S2751" s="52"/>
      <c r="T2751" s="181"/>
      <c r="U2751" s="52"/>
      <c r="V2751" s="4295"/>
      <c r="W2751" s="3262"/>
      <c r="X2751" s="3262"/>
      <c r="Y2751" s="3265"/>
      <c r="Z2751" s="3262"/>
      <c r="AA2751" s="3262"/>
      <c r="AB2751" s="3265"/>
      <c r="AC2751" s="3279">
        <f>AC2750</f>
        <v>36000</v>
      </c>
      <c r="AD2751" s="3267">
        <v>36000</v>
      </c>
      <c r="AE2751" s="3490">
        <v>36000</v>
      </c>
      <c r="AF2751" s="2236">
        <f t="shared" si="307"/>
        <v>36000</v>
      </c>
      <c r="AG2751" s="1396"/>
      <c r="DG2751" s="573"/>
      <c r="DH2751" s="159"/>
      <c r="DI2751" s="1091"/>
      <c r="DJ2751" s="1187"/>
    </row>
    <row r="2752" spans="1:114" ht="15" hidden="1" customHeight="1" outlineLevel="1">
      <c r="A2752" s="453"/>
      <c r="C2752" s="51"/>
      <c r="D2752" s="4295"/>
      <c r="E2752" s="4295"/>
      <c r="F2752" s="4307" t="str">
        <f>$E$1640</f>
        <v>ASHP-SEER19-Replace_CAC_ElectricHeat_ROF_SF</v>
      </c>
      <c r="G2752" s="4307"/>
      <c r="H2752" s="4307"/>
      <c r="I2752" s="4307"/>
      <c r="J2752" s="1029" t="str">
        <f>$C$1640</f>
        <v>353300_2024_12_</v>
      </c>
      <c r="K2752" s="1756">
        <v>42333.333333333336</v>
      </c>
      <c r="L2752" s="947">
        <f t="shared" si="304"/>
        <v>3.5277777777777781</v>
      </c>
      <c r="M2752" s="1609" t="s">
        <v>1935</v>
      </c>
      <c r="P2752" s="261"/>
      <c r="Q2752" s="209"/>
      <c r="R2752" s="261"/>
      <c r="S2752" s="52"/>
      <c r="T2752" s="181"/>
      <c r="U2752" s="52"/>
      <c r="V2752" s="4295"/>
      <c r="W2752" s="1396">
        <v>33600</v>
      </c>
      <c r="X2752" s="1396">
        <v>33600</v>
      </c>
      <c r="Y2752" s="1396">
        <v>33600</v>
      </c>
      <c r="Z2752" s="1396">
        <v>33600</v>
      </c>
      <c r="AA2752" s="1396">
        <v>33600</v>
      </c>
      <c r="AB2752" s="1396">
        <v>33600</v>
      </c>
      <c r="AC2752" s="825">
        <v>48000</v>
      </c>
      <c r="AD2752" s="825">
        <v>41076.923076923078</v>
      </c>
      <c r="AE2752" s="1033">
        <v>41076.923076923078</v>
      </c>
      <c r="AF2752" s="271">
        <f t="shared" si="307"/>
        <v>42333.333333333336</v>
      </c>
      <c r="AG2752" s="1396"/>
      <c r="DG2752" s="573"/>
      <c r="DH2752" s="159"/>
      <c r="DI2752" s="1091"/>
      <c r="DJ2752" s="1187"/>
    </row>
    <row r="2753" spans="1:114" ht="15" hidden="1" customHeight="1" outlineLevel="1">
      <c r="A2753" s="453"/>
      <c r="C2753" s="51"/>
      <c r="D2753" s="4295"/>
      <c r="E2753" s="4295"/>
      <c r="F2753" s="4307" t="str">
        <f>$E$1642</f>
        <v>ASHP-SEER19-Replace_CAC_NonElectricHeat_ROF_SF</v>
      </c>
      <c r="G2753" s="4307"/>
      <c r="H2753" s="4307"/>
      <c r="I2753" s="4307"/>
      <c r="J2753" s="1029" t="str">
        <f>$C$1642</f>
        <v>353310_2024_12_</v>
      </c>
      <c r="K2753" s="1756">
        <v>42333.333333333336</v>
      </c>
      <c r="L2753" s="947">
        <f>K2753/12000</f>
        <v>3.5277777777777781</v>
      </c>
      <c r="M2753" s="1609" t="s">
        <v>1935</v>
      </c>
      <c r="P2753" s="261"/>
      <c r="Q2753" s="209"/>
      <c r="R2753" s="261"/>
      <c r="S2753" s="52"/>
      <c r="T2753" s="181"/>
      <c r="U2753" s="52"/>
      <c r="V2753" s="4295"/>
      <c r="W2753" s="1396"/>
      <c r="X2753" s="833"/>
      <c r="Y2753" s="833"/>
      <c r="Z2753" s="1396"/>
      <c r="AA2753" s="1396"/>
      <c r="AB2753" s="825"/>
      <c r="AC2753" s="825"/>
      <c r="AD2753" s="825">
        <v>41076.923076923078</v>
      </c>
      <c r="AE2753" s="1033">
        <v>41076.923076923078</v>
      </c>
      <c r="AF2753" s="271">
        <f t="shared" si="307"/>
        <v>42333.333333333336</v>
      </c>
      <c r="AG2753" s="1396"/>
      <c r="DG2753" s="573"/>
      <c r="DH2753" s="159"/>
      <c r="DI2753" s="1091"/>
      <c r="DJ2753" s="1187"/>
    </row>
    <row r="2754" spans="1:114" ht="15" hidden="1" customHeight="1" outlineLevel="1">
      <c r="A2754" s="453"/>
      <c r="C2754" s="51"/>
      <c r="D2754" s="4295"/>
      <c r="E2754" s="4295"/>
      <c r="F2754" s="4347" t="str">
        <f>$E$1644</f>
        <v>ASHP-SEER19-Replace_CAC_ElectricHeat_ROF_MF</v>
      </c>
      <c r="G2754" s="4347"/>
      <c r="H2754" s="4347"/>
      <c r="I2754" s="4347"/>
      <c r="J2754" s="3471" t="str">
        <f>$C$1644</f>
        <v>353350_2024_12_</v>
      </c>
      <c r="K2754" s="3489">
        <v>33600</v>
      </c>
      <c r="L2754" s="3488">
        <f t="shared" ref="L2754:L2819" si="308">K2754/12000</f>
        <v>2.8</v>
      </c>
      <c r="M2754" s="3293" t="s">
        <v>2496</v>
      </c>
      <c r="P2754" s="261"/>
      <c r="Q2754" s="209"/>
      <c r="R2754" s="261"/>
      <c r="S2754" s="52"/>
      <c r="T2754" s="181"/>
      <c r="U2754" s="52"/>
      <c r="V2754" s="4295"/>
      <c r="W2754" s="3262">
        <v>33600</v>
      </c>
      <c r="X2754" s="3262">
        <v>33600</v>
      </c>
      <c r="Y2754" s="3262">
        <v>33600</v>
      </c>
      <c r="Z2754" s="3262">
        <v>33600</v>
      </c>
      <c r="AA2754" s="3262">
        <v>33600</v>
      </c>
      <c r="AB2754" s="3262">
        <v>33600</v>
      </c>
      <c r="AC2754" s="3267">
        <v>33600</v>
      </c>
      <c r="AD2754" s="3267">
        <v>33600</v>
      </c>
      <c r="AE2754" s="3490">
        <v>33600</v>
      </c>
      <c r="AF2754" s="2236">
        <f t="shared" si="307"/>
        <v>33600</v>
      </c>
      <c r="AG2754" s="1396"/>
      <c r="DG2754" s="573"/>
      <c r="DH2754" s="159"/>
      <c r="DI2754" s="1091"/>
      <c r="DJ2754" s="1187"/>
    </row>
    <row r="2755" spans="1:114" ht="15" hidden="1" customHeight="1" outlineLevel="1">
      <c r="A2755" s="453"/>
      <c r="C2755" s="51"/>
      <c r="D2755" s="4295"/>
      <c r="E2755" s="4295"/>
      <c r="F2755" s="4347" t="str">
        <f>$E$1646</f>
        <v>ASHP-SEER19-Replace_CAC_ElectricHeat_ROF_MF_CompE</v>
      </c>
      <c r="G2755" s="4347"/>
      <c r="H2755" s="4347"/>
      <c r="I2755" s="4347"/>
      <c r="J2755" s="3471" t="str">
        <f>$C$1646</f>
        <v>353351_2024_12_</v>
      </c>
      <c r="K2755" s="3489">
        <v>33600</v>
      </c>
      <c r="L2755" s="3488">
        <f t="shared" si="308"/>
        <v>2.8</v>
      </c>
      <c r="M2755" s="3293" t="s">
        <v>1945</v>
      </c>
      <c r="P2755" s="261"/>
      <c r="Q2755" s="209"/>
      <c r="R2755" s="261"/>
      <c r="S2755" s="52"/>
      <c r="T2755" s="181"/>
      <c r="U2755" s="52"/>
      <c r="V2755" s="4295"/>
      <c r="W2755" s="3262"/>
      <c r="X2755" s="3262"/>
      <c r="Y2755" s="3265">
        <v>33600</v>
      </c>
      <c r="Z2755" s="3262">
        <v>33600</v>
      </c>
      <c r="AA2755" s="3262">
        <v>33600</v>
      </c>
      <c r="AB2755" s="3262">
        <v>33600</v>
      </c>
      <c r="AC2755" s="3267">
        <f>AC2754</f>
        <v>33600</v>
      </c>
      <c r="AD2755" s="3267">
        <v>33600</v>
      </c>
      <c r="AE2755" s="3490">
        <v>33600</v>
      </c>
      <c r="AF2755" s="2236">
        <f t="shared" si="307"/>
        <v>33600</v>
      </c>
      <c r="AG2755" s="1396"/>
      <c r="DG2755" s="573"/>
      <c r="DH2755" s="159"/>
      <c r="DI2755" s="1091"/>
      <c r="DJ2755" s="1187"/>
    </row>
    <row r="2756" spans="1:114" ht="15" hidden="1" customHeight="1" outlineLevel="1">
      <c r="A2756" s="453"/>
      <c r="C2756" s="51"/>
      <c r="D2756" s="4295"/>
      <c r="E2756" s="4295"/>
      <c r="F2756" s="4347" t="str">
        <f>$E$1648</f>
        <v>ASHP-SEER19-Replace_CAC_NonElectricHeat_ROF_MF</v>
      </c>
      <c r="G2756" s="4347"/>
      <c r="H2756" s="4347"/>
      <c r="I2756" s="4347"/>
      <c r="J2756" s="3471" t="str">
        <f>$C$1648</f>
        <v>353360_2024_12_</v>
      </c>
      <c r="K2756" s="3489">
        <v>33600</v>
      </c>
      <c r="L2756" s="3488">
        <f t="shared" si="308"/>
        <v>2.8</v>
      </c>
      <c r="M2756" s="3293" t="s">
        <v>1945</v>
      </c>
      <c r="P2756" s="261"/>
      <c r="Q2756" s="209"/>
      <c r="R2756" s="261"/>
      <c r="S2756" s="52"/>
      <c r="T2756" s="181"/>
      <c r="U2756" s="52"/>
      <c r="V2756" s="4295"/>
      <c r="W2756" s="3262"/>
      <c r="X2756" s="3262"/>
      <c r="Y2756" s="3265"/>
      <c r="Z2756" s="3262"/>
      <c r="AA2756" s="3262"/>
      <c r="AB2756" s="3262"/>
      <c r="AC2756" s="3279">
        <v>33600</v>
      </c>
      <c r="AD2756" s="3267">
        <v>33600</v>
      </c>
      <c r="AE2756" s="3490">
        <v>33600</v>
      </c>
      <c r="AF2756" s="2236">
        <f t="shared" si="307"/>
        <v>33600</v>
      </c>
      <c r="AG2756" s="1396"/>
      <c r="DG2756" s="573"/>
      <c r="DH2756" s="159"/>
      <c r="DI2756" s="1091"/>
      <c r="DJ2756" s="1187"/>
    </row>
    <row r="2757" spans="1:114" ht="15" hidden="1" customHeight="1" outlineLevel="1">
      <c r="A2757" s="453"/>
      <c r="C2757" s="51"/>
      <c r="D2757" s="4295"/>
      <c r="E2757" s="4295"/>
      <c r="F2757" s="4347" t="str">
        <f>$E$1650</f>
        <v>ASHP-SEER19-Replace_CAC_NonElectricHeat_ROF_MF_CompE</v>
      </c>
      <c r="G2757" s="4347"/>
      <c r="H2757" s="4347"/>
      <c r="I2757" s="4347"/>
      <c r="J2757" s="3471" t="str">
        <f>$C$1650</f>
        <v>353361_2024_12_</v>
      </c>
      <c r="K2757" s="3489">
        <v>33600</v>
      </c>
      <c r="L2757" s="3488">
        <f t="shared" si="308"/>
        <v>2.8</v>
      </c>
      <c r="M2757" s="3293" t="s">
        <v>1945</v>
      </c>
      <c r="P2757" s="261"/>
      <c r="Q2757" s="209"/>
      <c r="R2757" s="261"/>
      <c r="S2757" s="52"/>
      <c r="T2757" s="181"/>
      <c r="U2757" s="52"/>
      <c r="V2757" s="4295"/>
      <c r="W2757" s="3262"/>
      <c r="X2757" s="3262"/>
      <c r="Y2757" s="3265"/>
      <c r="Z2757" s="3262"/>
      <c r="AA2757" s="3262"/>
      <c r="AB2757" s="3262"/>
      <c r="AC2757" s="3279">
        <f>AC2756</f>
        <v>33600</v>
      </c>
      <c r="AD2757" s="3267">
        <v>33600</v>
      </c>
      <c r="AE2757" s="3490">
        <v>33600</v>
      </c>
      <c r="AF2757" s="2236">
        <f t="shared" si="307"/>
        <v>33600</v>
      </c>
      <c r="AG2757" s="1396"/>
      <c r="DG2757" s="573"/>
      <c r="DH2757" s="159"/>
      <c r="DI2757" s="1091"/>
      <c r="DJ2757" s="1187"/>
    </row>
    <row r="2758" spans="1:114" ht="15" hidden="1" customHeight="1" outlineLevel="1">
      <c r="A2758" s="453"/>
      <c r="C2758" s="51"/>
      <c r="D2758" s="4295"/>
      <c r="E2758" s="4295"/>
      <c r="F2758" s="4307" t="str">
        <f>$E$1652</f>
        <v>ASHP-SEER20-Replace_CAC_ElectricHeat_ER1_SF</v>
      </c>
      <c r="G2758" s="4307"/>
      <c r="H2758" s="4307"/>
      <c r="I2758" s="4307"/>
      <c r="J2758" s="1029" t="str">
        <f>$C$1652</f>
        <v>353400_2024_12_</v>
      </c>
      <c r="K2758" s="1756">
        <v>35275.324675324671</v>
      </c>
      <c r="L2758" s="947">
        <f t="shared" si="308"/>
        <v>2.9396103896103893</v>
      </c>
      <c r="M2758" s="1609" t="s">
        <v>1935</v>
      </c>
      <c r="P2758" s="261"/>
      <c r="Q2758" s="209"/>
      <c r="R2758" s="261"/>
      <c r="S2758" s="52"/>
      <c r="T2758" s="181"/>
      <c r="U2758" s="52"/>
      <c r="V2758" s="4295"/>
      <c r="W2758" s="1396">
        <v>37200</v>
      </c>
      <c r="X2758" s="1396">
        <v>37200</v>
      </c>
      <c r="Y2758" s="1396">
        <v>37200</v>
      </c>
      <c r="Z2758" s="1396">
        <v>37200</v>
      </c>
      <c r="AA2758" s="1396">
        <v>37200</v>
      </c>
      <c r="AB2758" s="1396">
        <v>37200</v>
      </c>
      <c r="AC2758" s="825">
        <v>36000</v>
      </c>
      <c r="AD2758" s="825">
        <v>36754.666666666664</v>
      </c>
      <c r="AE2758" s="967">
        <v>38333.333333333336</v>
      </c>
      <c r="AF2758" s="271">
        <f t="shared" si="307"/>
        <v>35275.324675324671</v>
      </c>
      <c r="AG2758" s="1396"/>
      <c r="DG2758" s="573"/>
      <c r="DH2758" s="159"/>
      <c r="DI2758" s="1091"/>
      <c r="DJ2758" s="1187"/>
    </row>
    <row r="2759" spans="1:114" ht="15" hidden="1" customHeight="1" outlineLevel="1">
      <c r="A2759" s="453"/>
      <c r="C2759" s="51"/>
      <c r="D2759" s="4295"/>
      <c r="E2759" s="4295"/>
      <c r="F2759" s="4307" t="str">
        <f>$E$1654</f>
        <v>ASHP-SEER20-Replace_CAC_ElectricHeat_ER2_SF</v>
      </c>
      <c r="G2759" s="4307"/>
      <c r="H2759" s="4307"/>
      <c r="I2759" s="4307"/>
      <c r="J2759" s="1029" t="str">
        <f>$C$1654</f>
        <v>353400_2024_12_</v>
      </c>
      <c r="K2759" s="1756">
        <f>$K$2758</f>
        <v>35275.324675324671</v>
      </c>
      <c r="L2759" s="947">
        <f t="shared" si="308"/>
        <v>2.9396103896103893</v>
      </c>
      <c r="M2759" s="1609" t="s">
        <v>1935</v>
      </c>
      <c r="P2759" s="261"/>
      <c r="Q2759" s="209"/>
      <c r="R2759" s="261"/>
      <c r="S2759" s="52"/>
      <c r="T2759" s="181"/>
      <c r="U2759" s="52"/>
      <c r="V2759" s="4295"/>
      <c r="W2759" s="1396">
        <v>37200</v>
      </c>
      <c r="X2759" s="1396">
        <v>37200</v>
      </c>
      <c r="Y2759" s="1396">
        <v>37200</v>
      </c>
      <c r="Z2759" s="1396">
        <v>37200</v>
      </c>
      <c r="AA2759" s="1396">
        <v>37200</v>
      </c>
      <c r="AB2759" s="1396">
        <v>37200</v>
      </c>
      <c r="AC2759" s="825">
        <f>AC2758</f>
        <v>36000</v>
      </c>
      <c r="AD2759" s="825">
        <v>36754.666666666664</v>
      </c>
      <c r="AE2759" s="967">
        <v>38333.333333333336</v>
      </c>
      <c r="AF2759" s="271">
        <f t="shared" si="307"/>
        <v>35275.324675324671</v>
      </c>
      <c r="AG2759" s="1396"/>
      <c r="DG2759" s="573"/>
      <c r="DH2759" s="159"/>
      <c r="DI2759" s="1091"/>
      <c r="DJ2759" s="1187"/>
    </row>
    <row r="2760" spans="1:114" ht="15" hidden="1" customHeight="1" outlineLevel="1">
      <c r="A2760" s="453"/>
      <c r="C2760" s="51"/>
      <c r="D2760" s="4295"/>
      <c r="E2760" s="4295"/>
      <c r="F2760" s="4307" t="str">
        <f>$E$1656</f>
        <v>ASHP-SEER20-Replace_CAC_NonElectricHeat_ER1_SF</v>
      </c>
      <c r="G2760" s="4307"/>
      <c r="H2760" s="4307"/>
      <c r="I2760" s="4307"/>
      <c r="J2760" s="1029" t="str">
        <f>$C$1656</f>
        <v>353410_2024_12_</v>
      </c>
      <c r="K2760" s="1756">
        <f t="shared" ref="K2760:K2761" si="309">$K$2758</f>
        <v>35275.324675324671</v>
      </c>
      <c r="L2760" s="947">
        <f t="shared" si="308"/>
        <v>2.9396103896103893</v>
      </c>
      <c r="M2760" s="1609" t="s">
        <v>1935</v>
      </c>
      <c r="P2760" s="261"/>
      <c r="Q2760" s="209"/>
      <c r="R2760" s="261"/>
      <c r="S2760" s="52"/>
      <c r="T2760" s="181"/>
      <c r="U2760" s="52"/>
      <c r="V2760" s="4295"/>
      <c r="W2760" s="1396"/>
      <c r="X2760" s="1396"/>
      <c r="Y2760" s="1396"/>
      <c r="Z2760" s="1396"/>
      <c r="AA2760" s="1396"/>
      <c r="AB2760" s="1396"/>
      <c r="AC2760" s="825">
        <v>36000</v>
      </c>
      <c r="AD2760" s="825">
        <v>36754.666666666664</v>
      </c>
      <c r="AE2760" s="967">
        <v>38333.333333333336</v>
      </c>
      <c r="AF2760" s="271">
        <f t="shared" si="307"/>
        <v>35275.324675324671</v>
      </c>
      <c r="AG2760" s="1396"/>
      <c r="DG2760" s="573"/>
      <c r="DH2760" s="159"/>
      <c r="DI2760" s="1091"/>
      <c r="DJ2760" s="1187"/>
    </row>
    <row r="2761" spans="1:114" ht="15" hidden="1" customHeight="1" outlineLevel="1">
      <c r="A2761" s="453"/>
      <c r="C2761" s="51"/>
      <c r="D2761" s="4295"/>
      <c r="E2761" s="4295"/>
      <c r="F2761" s="4307" t="str">
        <f>$E$1658</f>
        <v>ASHP-SEER20-Replace_CAC_NonElectricHeat_ER2_SF</v>
      </c>
      <c r="G2761" s="4307"/>
      <c r="H2761" s="4307"/>
      <c r="I2761" s="4307"/>
      <c r="J2761" s="1029" t="str">
        <f>$C$1658</f>
        <v>353410_2024_12_</v>
      </c>
      <c r="K2761" s="1756">
        <f t="shared" si="309"/>
        <v>35275.324675324671</v>
      </c>
      <c r="L2761" s="947">
        <f t="shared" si="308"/>
        <v>2.9396103896103893</v>
      </c>
      <c r="M2761" s="1609" t="s">
        <v>1935</v>
      </c>
      <c r="P2761" s="261"/>
      <c r="Q2761" s="209"/>
      <c r="R2761" s="261"/>
      <c r="S2761" s="52"/>
      <c r="T2761" s="181"/>
      <c r="U2761" s="52"/>
      <c r="V2761" s="4295"/>
      <c r="W2761" s="1396"/>
      <c r="X2761" s="1396"/>
      <c r="Y2761" s="1396"/>
      <c r="Z2761" s="1396"/>
      <c r="AA2761" s="1396"/>
      <c r="AB2761" s="1396"/>
      <c r="AC2761" s="825">
        <f>AC2760</f>
        <v>36000</v>
      </c>
      <c r="AD2761" s="825">
        <v>36754.666666666664</v>
      </c>
      <c r="AE2761" s="967">
        <v>38333.333333333336</v>
      </c>
      <c r="AF2761" s="271">
        <f t="shared" si="307"/>
        <v>35275.324675324671</v>
      </c>
      <c r="AG2761" s="1396"/>
      <c r="DG2761" s="573"/>
      <c r="DH2761" s="159"/>
      <c r="DI2761" s="1091"/>
      <c r="DJ2761" s="1187"/>
    </row>
    <row r="2762" spans="1:114" ht="15" hidden="1" customHeight="1" outlineLevel="1">
      <c r="A2762" s="453"/>
      <c r="C2762" s="51"/>
      <c r="D2762" s="4295"/>
      <c r="E2762" s="4295"/>
      <c r="F2762" s="4307" t="str">
        <f>$E$1660</f>
        <v>ASHP-SEER20-Replace_CAC_ElectricHeat_ROF_SF</v>
      </c>
      <c r="G2762" s="4307"/>
      <c r="H2762" s="4307"/>
      <c r="I2762" s="4307"/>
      <c r="J2762" s="1029" t="str">
        <f>$C$1660</f>
        <v>353450_2024_12_</v>
      </c>
      <c r="K2762" s="1753">
        <v>38142.857142857138</v>
      </c>
      <c r="L2762" s="947">
        <f t="shared" si="308"/>
        <v>3.1785714285714279</v>
      </c>
      <c r="M2762" s="1739" t="s">
        <v>1937</v>
      </c>
      <c r="P2762" s="261"/>
      <c r="Q2762" s="209"/>
      <c r="R2762" s="261"/>
      <c r="S2762" s="52"/>
      <c r="T2762" s="181"/>
      <c r="U2762" s="52"/>
      <c r="V2762" s="4295"/>
      <c r="W2762" s="1396">
        <v>38400</v>
      </c>
      <c r="X2762" s="1396">
        <v>38400</v>
      </c>
      <c r="Y2762" s="1396">
        <v>38400</v>
      </c>
      <c r="Z2762" s="1396">
        <v>38400</v>
      </c>
      <c r="AA2762" s="1396">
        <v>38400</v>
      </c>
      <c r="AB2762" s="1396">
        <v>38400</v>
      </c>
      <c r="AC2762" s="825">
        <v>30000</v>
      </c>
      <c r="AD2762" s="825">
        <v>38142.857142857138</v>
      </c>
      <c r="AE2762" s="1033">
        <v>38142.857142857138</v>
      </c>
      <c r="AF2762" s="271">
        <f t="shared" si="307"/>
        <v>38142.857142857138</v>
      </c>
      <c r="AG2762" s="1396"/>
      <c r="DG2762" s="573"/>
      <c r="DH2762" s="159"/>
      <c r="DI2762" s="1091"/>
      <c r="DJ2762" s="1187"/>
    </row>
    <row r="2763" spans="1:114" ht="15" hidden="1" customHeight="1" outlineLevel="1">
      <c r="A2763" s="453"/>
      <c r="C2763" s="51"/>
      <c r="D2763" s="4295"/>
      <c r="E2763" s="4295"/>
      <c r="F2763" s="4307" t="str">
        <f>$E$1662</f>
        <v>ASHP-SEER20-Replace_CAC_NonElectricHeat_ROF_SF</v>
      </c>
      <c r="G2763" s="4307"/>
      <c r="H2763" s="4307"/>
      <c r="I2763" s="4307"/>
      <c r="J2763" s="1029" t="str">
        <f>$C$1662</f>
        <v>353460_2024_12_</v>
      </c>
      <c r="K2763" s="1753">
        <v>38142.857142857138</v>
      </c>
      <c r="L2763" s="947">
        <f t="shared" si="308"/>
        <v>3.1785714285714279</v>
      </c>
      <c r="M2763" s="1739" t="s">
        <v>1945</v>
      </c>
      <c r="P2763" s="261"/>
      <c r="Q2763" s="209"/>
      <c r="R2763" s="261"/>
      <c r="S2763" s="52"/>
      <c r="T2763" s="181"/>
      <c r="U2763" s="52"/>
      <c r="V2763" s="4295"/>
      <c r="W2763" s="1396"/>
      <c r="X2763" s="833"/>
      <c r="Y2763" s="833"/>
      <c r="Z2763" s="1396"/>
      <c r="AA2763" s="1396"/>
      <c r="AB2763" s="825"/>
      <c r="AC2763" s="825"/>
      <c r="AD2763" s="825">
        <v>38142.857142857138</v>
      </c>
      <c r="AE2763" s="1033">
        <v>38142.857142857138</v>
      </c>
      <c r="AF2763" s="271">
        <f t="shared" si="307"/>
        <v>38142.857142857138</v>
      </c>
      <c r="AG2763" s="1396"/>
      <c r="DG2763" s="573"/>
      <c r="DH2763" s="159"/>
      <c r="DI2763" s="1091"/>
      <c r="DJ2763" s="1187"/>
    </row>
    <row r="2764" spans="1:114" ht="15" hidden="1" customHeight="1" outlineLevel="1">
      <c r="A2764" s="453"/>
      <c r="C2764" s="51"/>
      <c r="D2764" s="4295"/>
      <c r="E2764" s="4295"/>
      <c r="F2764" s="4347" t="str">
        <f>$E$1664</f>
        <v>ASHP-SEER20-Replace_CAC_ElectricHeat_ROF_MF</v>
      </c>
      <c r="G2764" s="4347"/>
      <c r="H2764" s="4347"/>
      <c r="I2764" s="4347"/>
      <c r="J2764" s="3471" t="str">
        <f>$C$1664</f>
        <v>353500_2024_12_</v>
      </c>
      <c r="K2764" s="3489">
        <v>38400</v>
      </c>
      <c r="L2764" s="3488">
        <f t="shared" si="308"/>
        <v>3.2</v>
      </c>
      <c r="M2764" s="3293" t="s">
        <v>2496</v>
      </c>
      <c r="P2764" s="261"/>
      <c r="Q2764" s="209"/>
      <c r="R2764" s="261"/>
      <c r="S2764" s="52"/>
      <c r="T2764" s="181"/>
      <c r="U2764" s="52"/>
      <c r="V2764" s="4295"/>
      <c r="W2764" s="3262">
        <v>38400</v>
      </c>
      <c r="X2764" s="3262">
        <v>38400</v>
      </c>
      <c r="Y2764" s="3262">
        <v>38400</v>
      </c>
      <c r="Z2764" s="3262">
        <v>38400</v>
      </c>
      <c r="AA2764" s="3262">
        <v>38400</v>
      </c>
      <c r="AB2764" s="3262">
        <v>38400</v>
      </c>
      <c r="AC2764" s="3267">
        <v>38400</v>
      </c>
      <c r="AD2764" s="3267">
        <v>38400</v>
      </c>
      <c r="AE2764" s="3490">
        <v>38400</v>
      </c>
      <c r="AF2764" s="2236">
        <f t="shared" si="307"/>
        <v>38400</v>
      </c>
      <c r="AG2764" s="1396"/>
      <c r="DG2764" s="573"/>
      <c r="DH2764" s="159"/>
      <c r="DI2764" s="1091"/>
      <c r="DJ2764" s="1187"/>
    </row>
    <row r="2765" spans="1:114" ht="15" hidden="1" customHeight="1" outlineLevel="1">
      <c r="A2765" s="453"/>
      <c r="C2765" s="51"/>
      <c r="D2765" s="4295"/>
      <c r="E2765" s="4295"/>
      <c r="F2765" s="4347" t="str">
        <f>$E$1666</f>
        <v>ASHP-SEER20-Replace_CAC_ElectricHeat_ROF_MF_CompE</v>
      </c>
      <c r="G2765" s="4347"/>
      <c r="H2765" s="4347"/>
      <c r="I2765" s="4347"/>
      <c r="J2765" s="3471" t="str">
        <f>$C$1666</f>
        <v>353501_2024_12_</v>
      </c>
      <c r="K2765" s="3489">
        <v>38400</v>
      </c>
      <c r="L2765" s="3488">
        <f t="shared" si="308"/>
        <v>3.2</v>
      </c>
      <c r="M2765" s="3293" t="s">
        <v>1945</v>
      </c>
      <c r="P2765" s="261"/>
      <c r="Q2765" s="209"/>
      <c r="R2765" s="261"/>
      <c r="S2765" s="52"/>
      <c r="T2765" s="181"/>
      <c r="U2765" s="52"/>
      <c r="V2765" s="4295"/>
      <c r="W2765" s="3262"/>
      <c r="X2765" s="3262"/>
      <c r="Y2765" s="3265">
        <v>38400</v>
      </c>
      <c r="Z2765" s="3262">
        <v>38400</v>
      </c>
      <c r="AA2765" s="3262">
        <v>38400</v>
      </c>
      <c r="AB2765" s="3262">
        <v>38400</v>
      </c>
      <c r="AC2765" s="3267">
        <f>AC2764</f>
        <v>38400</v>
      </c>
      <c r="AD2765" s="3267">
        <v>38400</v>
      </c>
      <c r="AE2765" s="3490">
        <v>38400</v>
      </c>
      <c r="AF2765" s="2236">
        <f t="shared" si="307"/>
        <v>38400</v>
      </c>
      <c r="AG2765" s="1396"/>
      <c r="DG2765" s="573"/>
      <c r="DH2765" s="159"/>
      <c r="DI2765" s="1091"/>
      <c r="DJ2765" s="1187"/>
    </row>
    <row r="2766" spans="1:114" ht="15" hidden="1" customHeight="1" outlineLevel="1">
      <c r="A2766" s="453"/>
      <c r="C2766" s="51"/>
      <c r="D2766" s="4295"/>
      <c r="E2766" s="4295"/>
      <c r="F2766" s="4347" t="str">
        <f>$E$1668</f>
        <v>ASHP-SEER20-Replace_CAC_NonElectricHeat_ROF_MF</v>
      </c>
      <c r="G2766" s="4347"/>
      <c r="H2766" s="4347"/>
      <c r="I2766" s="4347"/>
      <c r="J2766" s="3471" t="str">
        <f>$C$1668</f>
        <v>353510_2024_12_</v>
      </c>
      <c r="K2766" s="3489">
        <v>38400</v>
      </c>
      <c r="L2766" s="3488">
        <f t="shared" si="308"/>
        <v>3.2</v>
      </c>
      <c r="M2766" s="3293" t="s">
        <v>1945</v>
      </c>
      <c r="P2766" s="261"/>
      <c r="Q2766" s="209"/>
      <c r="R2766" s="261"/>
      <c r="S2766" s="52"/>
      <c r="T2766" s="181"/>
      <c r="U2766" s="52"/>
      <c r="V2766" s="4295"/>
      <c r="W2766" s="3262"/>
      <c r="X2766" s="3262"/>
      <c r="Y2766" s="3265"/>
      <c r="Z2766" s="3262"/>
      <c r="AA2766" s="3262"/>
      <c r="AB2766" s="3262"/>
      <c r="AC2766" s="3279">
        <v>38400</v>
      </c>
      <c r="AD2766" s="3267">
        <v>38400</v>
      </c>
      <c r="AE2766" s="3490">
        <v>38400</v>
      </c>
      <c r="AF2766" s="2236">
        <f t="shared" si="307"/>
        <v>38400</v>
      </c>
      <c r="AG2766" s="1396"/>
      <c r="DG2766" s="573"/>
      <c r="DH2766" s="159"/>
      <c r="DI2766" s="1091"/>
      <c r="DJ2766" s="1187"/>
    </row>
    <row r="2767" spans="1:114" ht="15" hidden="1" customHeight="1" outlineLevel="1">
      <c r="A2767" s="453"/>
      <c r="C2767" s="51"/>
      <c r="D2767" s="4295"/>
      <c r="E2767" s="4295"/>
      <c r="F2767" s="4347" t="str">
        <f>$E$1670</f>
        <v>ASHP-SEER20-Replace_CAC_NonElectricHeat_ROF_MF_CompE</v>
      </c>
      <c r="G2767" s="4347"/>
      <c r="H2767" s="4347"/>
      <c r="I2767" s="4347"/>
      <c r="J2767" s="3471" t="str">
        <f>$C$1670</f>
        <v>353511_2024_12_</v>
      </c>
      <c r="K2767" s="3489">
        <v>38400</v>
      </c>
      <c r="L2767" s="3488">
        <f t="shared" si="308"/>
        <v>3.2</v>
      </c>
      <c r="M2767" s="3293" t="s">
        <v>1945</v>
      </c>
      <c r="P2767" s="261"/>
      <c r="Q2767" s="209"/>
      <c r="R2767" s="261"/>
      <c r="S2767" s="52"/>
      <c r="T2767" s="181"/>
      <c r="U2767" s="52"/>
      <c r="V2767" s="4295"/>
      <c r="W2767" s="3262"/>
      <c r="X2767" s="3262"/>
      <c r="Y2767" s="3265"/>
      <c r="Z2767" s="3262"/>
      <c r="AA2767" s="3262"/>
      <c r="AB2767" s="3262"/>
      <c r="AC2767" s="3279">
        <f>AC2766</f>
        <v>38400</v>
      </c>
      <c r="AD2767" s="3267">
        <v>38400</v>
      </c>
      <c r="AE2767" s="3490">
        <v>38400</v>
      </c>
      <c r="AF2767" s="2236">
        <f t="shared" si="307"/>
        <v>38400</v>
      </c>
      <c r="AG2767" s="1396"/>
      <c r="DG2767" s="573"/>
      <c r="DH2767" s="159"/>
      <c r="DI2767" s="1091"/>
      <c r="DJ2767" s="1187"/>
    </row>
    <row r="2768" spans="1:114" ht="15" hidden="1" customHeight="1" outlineLevel="1">
      <c r="A2768" s="453"/>
      <c r="C2768" s="51"/>
      <c r="D2768" s="4295"/>
      <c r="E2768" s="4295"/>
      <c r="F2768" s="4307" t="str">
        <f>$E$1672</f>
        <v>ASHP-SEER21-Replace_CAC_ElectricHeat_ER1_SF</v>
      </c>
      <c r="G2768" s="4307"/>
      <c r="H2768" s="4307"/>
      <c r="I2768" s="4307"/>
      <c r="J2768" s="1029" t="str">
        <f>$C$1672</f>
        <v>353550_2024_12_</v>
      </c>
      <c r="K2768" s="1756">
        <v>39084.507042253521</v>
      </c>
      <c r="L2768" s="947">
        <f t="shared" si="308"/>
        <v>3.2570422535211265</v>
      </c>
      <c r="M2768" s="1609" t="s">
        <v>1935</v>
      </c>
      <c r="P2768" s="261"/>
      <c r="Q2768" s="209"/>
      <c r="R2768" s="261"/>
      <c r="S2768" s="52"/>
      <c r="T2768" s="181"/>
      <c r="U2768" s="52"/>
      <c r="V2768" s="4295"/>
      <c r="W2768" s="1396">
        <v>37200</v>
      </c>
      <c r="X2768" s="1396">
        <v>37200</v>
      </c>
      <c r="Y2768" s="1396">
        <v>37200</v>
      </c>
      <c r="Z2768" s="1396">
        <v>37200</v>
      </c>
      <c r="AA2768" s="1396">
        <v>37200</v>
      </c>
      <c r="AB2768" s="1396">
        <v>37200</v>
      </c>
      <c r="AC2768" s="825">
        <v>43090.909090909088</v>
      </c>
      <c r="AD2768" s="825">
        <v>40343.181818181816</v>
      </c>
      <c r="AE2768" s="967">
        <v>40812.765957446805</v>
      </c>
      <c r="AF2768" s="271">
        <f t="shared" si="307"/>
        <v>39084.507042253521</v>
      </c>
      <c r="AG2768" s="1396"/>
      <c r="DG2768" s="573"/>
      <c r="DH2768" s="159"/>
      <c r="DI2768" s="1091"/>
      <c r="DJ2768" s="1187"/>
    </row>
    <row r="2769" spans="1:114" ht="15" hidden="1" customHeight="1" outlineLevel="1">
      <c r="A2769" s="453"/>
      <c r="C2769" s="51"/>
      <c r="D2769" s="4295"/>
      <c r="E2769" s="4295"/>
      <c r="F2769" s="4307" t="str">
        <f>$E$1674</f>
        <v>ASHP-SEER21-Replace_CAC_ElectricHeat_ER2_SF</v>
      </c>
      <c r="G2769" s="4307"/>
      <c r="H2769" s="4307"/>
      <c r="I2769" s="4307"/>
      <c r="J2769" s="1029" t="str">
        <f>$C$1674</f>
        <v>353550_2024_12_</v>
      </c>
      <c r="K2769" s="1756">
        <f>$K$2768</f>
        <v>39084.507042253521</v>
      </c>
      <c r="L2769" s="947">
        <f t="shared" si="308"/>
        <v>3.2570422535211265</v>
      </c>
      <c r="M2769" s="1609" t="s">
        <v>1935</v>
      </c>
      <c r="P2769" s="261"/>
      <c r="Q2769" s="209"/>
      <c r="R2769" s="261"/>
      <c r="S2769" s="52"/>
      <c r="T2769" s="181"/>
      <c r="U2769" s="52"/>
      <c r="V2769" s="4295"/>
      <c r="W2769" s="1396">
        <v>37200</v>
      </c>
      <c r="X2769" s="1396">
        <v>37200</v>
      </c>
      <c r="Y2769" s="1396">
        <v>37200</v>
      </c>
      <c r="Z2769" s="1396">
        <v>37200</v>
      </c>
      <c r="AA2769" s="1396">
        <v>37200</v>
      </c>
      <c r="AB2769" s="1396">
        <v>37200</v>
      </c>
      <c r="AC2769" s="825">
        <f>AC2768</f>
        <v>43090.909090909088</v>
      </c>
      <c r="AD2769" s="825">
        <v>40343.181818181816</v>
      </c>
      <c r="AE2769" s="967">
        <v>40812.765957446805</v>
      </c>
      <c r="AF2769" s="271">
        <f t="shared" si="307"/>
        <v>39084.507042253521</v>
      </c>
      <c r="AG2769" s="1396"/>
      <c r="DG2769" s="573"/>
      <c r="DH2769" s="159"/>
      <c r="DI2769" s="1091"/>
      <c r="DJ2769" s="1187"/>
    </row>
    <row r="2770" spans="1:114" ht="15" hidden="1" customHeight="1" outlineLevel="1">
      <c r="A2770" s="453"/>
      <c r="C2770" s="51"/>
      <c r="D2770" s="4295"/>
      <c r="E2770" s="4295"/>
      <c r="F2770" s="4307" t="str">
        <f>$E$1676</f>
        <v>ASHP-SEER21-Replace_CAC_NonElectricHeat_ER1_SF</v>
      </c>
      <c r="G2770" s="4307"/>
      <c r="H2770" s="4307"/>
      <c r="I2770" s="4307"/>
      <c r="J2770" s="1029" t="str">
        <f>$C$1676</f>
        <v>353560_2024_12_</v>
      </c>
      <c r="K2770" s="1756">
        <f t="shared" ref="K2770:K2771" si="310">$K$2768</f>
        <v>39084.507042253521</v>
      </c>
      <c r="L2770" s="947">
        <f t="shared" si="308"/>
        <v>3.2570422535211265</v>
      </c>
      <c r="M2770" s="1609" t="s">
        <v>1935</v>
      </c>
      <c r="P2770" s="261"/>
      <c r="Q2770" s="209"/>
      <c r="R2770" s="261"/>
      <c r="S2770" s="52"/>
      <c r="T2770" s="181"/>
      <c r="U2770" s="52"/>
      <c r="V2770" s="4295"/>
      <c r="W2770" s="1396"/>
      <c r="X2770" s="1396"/>
      <c r="Y2770" s="1396"/>
      <c r="Z2770" s="1396"/>
      <c r="AA2770" s="1396"/>
      <c r="AB2770" s="1396"/>
      <c r="AC2770" s="825">
        <v>43090.909090909088</v>
      </c>
      <c r="AD2770" s="825">
        <v>40343.181818181816</v>
      </c>
      <c r="AE2770" s="967">
        <v>40812.765957446805</v>
      </c>
      <c r="AF2770" s="271">
        <f t="shared" si="307"/>
        <v>39084.507042253521</v>
      </c>
      <c r="AG2770" s="1396"/>
      <c r="DG2770" s="573"/>
      <c r="DH2770" s="159"/>
      <c r="DI2770" s="1091"/>
      <c r="DJ2770" s="1187"/>
    </row>
    <row r="2771" spans="1:114" ht="15" hidden="1" customHeight="1" outlineLevel="1">
      <c r="A2771" s="453"/>
      <c r="C2771" s="51"/>
      <c r="D2771" s="4295"/>
      <c r="E2771" s="4295"/>
      <c r="F2771" s="4307" t="str">
        <f>$E$1678</f>
        <v>ASHP-SEER21-Replace_CAC_NonElectricHeat_ER2_SF</v>
      </c>
      <c r="G2771" s="4307"/>
      <c r="H2771" s="4307"/>
      <c r="I2771" s="4307"/>
      <c r="J2771" s="1029" t="str">
        <f>$C$1678</f>
        <v>353560_2024_12_</v>
      </c>
      <c r="K2771" s="1756">
        <f t="shared" si="310"/>
        <v>39084.507042253521</v>
      </c>
      <c r="L2771" s="947">
        <f t="shared" si="308"/>
        <v>3.2570422535211265</v>
      </c>
      <c r="M2771" s="1609" t="s">
        <v>1935</v>
      </c>
      <c r="P2771" s="261"/>
      <c r="Q2771" s="209"/>
      <c r="R2771" s="261"/>
      <c r="S2771" s="52"/>
      <c r="T2771" s="181"/>
      <c r="U2771" s="52"/>
      <c r="V2771" s="4295"/>
      <c r="W2771" s="1396"/>
      <c r="X2771" s="1396"/>
      <c r="Y2771" s="1396"/>
      <c r="Z2771" s="1396"/>
      <c r="AA2771" s="1396"/>
      <c r="AB2771" s="1396"/>
      <c r="AC2771" s="825">
        <f>AC2770</f>
        <v>43090.909090909088</v>
      </c>
      <c r="AD2771" s="825">
        <v>40343.181818181816</v>
      </c>
      <c r="AE2771" s="967">
        <v>40812.765957446805</v>
      </c>
      <c r="AF2771" s="271">
        <f t="shared" si="307"/>
        <v>39084.507042253521</v>
      </c>
      <c r="AG2771" s="1396"/>
      <c r="DG2771" s="573"/>
      <c r="DH2771" s="159"/>
      <c r="DI2771" s="1091"/>
      <c r="DJ2771" s="1187"/>
    </row>
    <row r="2772" spans="1:114" ht="15" hidden="1" customHeight="1" outlineLevel="1">
      <c r="A2772" s="453"/>
      <c r="C2772" s="51"/>
      <c r="D2772" s="4295"/>
      <c r="E2772" s="4295"/>
      <c r="F2772" s="4307" t="str">
        <f>$E$1680</f>
        <v>ASHP-SEER21-Replace_CAC_ElectricHeat_ER1_MF</v>
      </c>
      <c r="G2772" s="4307"/>
      <c r="H2772" s="4307"/>
      <c r="I2772" s="4307"/>
      <c r="J2772" s="1029" t="str">
        <f>$C$1680</f>
        <v>353600_2024_12_</v>
      </c>
      <c r="K2772" s="1754">
        <v>37200</v>
      </c>
      <c r="L2772" s="947">
        <f t="shared" si="308"/>
        <v>3.1</v>
      </c>
      <c r="M2772" s="1740" t="s">
        <v>2496</v>
      </c>
      <c r="P2772" s="261"/>
      <c r="Q2772" s="209"/>
      <c r="R2772" s="261"/>
      <c r="S2772" s="52"/>
      <c r="T2772" s="181"/>
      <c r="U2772" s="52"/>
      <c r="V2772" s="4295"/>
      <c r="W2772" s="1396">
        <v>37200</v>
      </c>
      <c r="X2772" s="1396">
        <v>37200</v>
      </c>
      <c r="Y2772" s="1396">
        <v>37200</v>
      </c>
      <c r="Z2772" s="1396">
        <v>37200</v>
      </c>
      <c r="AA2772" s="1396">
        <v>37200</v>
      </c>
      <c r="AB2772" s="1396">
        <v>37200</v>
      </c>
      <c r="AC2772" s="802">
        <v>37200</v>
      </c>
      <c r="AD2772" s="802">
        <v>37200</v>
      </c>
      <c r="AE2772" s="968">
        <v>37200</v>
      </c>
      <c r="AF2772" s="271">
        <f t="shared" si="307"/>
        <v>37200</v>
      </c>
      <c r="AG2772" s="1396"/>
      <c r="DG2772" s="573"/>
      <c r="DH2772" s="159"/>
      <c r="DI2772" s="1091"/>
      <c r="DJ2772" s="1187"/>
    </row>
    <row r="2773" spans="1:114" ht="15" hidden="1" customHeight="1" outlineLevel="1">
      <c r="A2773" s="453"/>
      <c r="C2773" s="51"/>
      <c r="D2773" s="4295"/>
      <c r="E2773" s="4295"/>
      <c r="F2773" s="4307" t="str">
        <f>$E$1682</f>
        <v>ASHP-SEER21-Replace_CAC_ElectricHeat_ER2_MF</v>
      </c>
      <c r="G2773" s="4307"/>
      <c r="H2773" s="4307"/>
      <c r="I2773" s="4307"/>
      <c r="J2773" s="1029" t="str">
        <f>$C$1682</f>
        <v>353600_2024_12_</v>
      </c>
      <c r="K2773" s="1754">
        <v>37200</v>
      </c>
      <c r="L2773" s="947">
        <f t="shared" si="308"/>
        <v>3.1</v>
      </c>
      <c r="M2773" s="1740" t="s">
        <v>2496</v>
      </c>
      <c r="P2773" s="261"/>
      <c r="Q2773" s="209"/>
      <c r="R2773" s="261"/>
      <c r="S2773" s="52"/>
      <c r="T2773" s="181"/>
      <c r="U2773" s="52"/>
      <c r="V2773" s="4295"/>
      <c r="W2773" s="1396">
        <v>37200</v>
      </c>
      <c r="X2773" s="1396">
        <v>37200</v>
      </c>
      <c r="Y2773" s="1396">
        <v>37200</v>
      </c>
      <c r="Z2773" s="1396">
        <v>37200</v>
      </c>
      <c r="AA2773" s="1396">
        <v>37200</v>
      </c>
      <c r="AB2773" s="1396">
        <v>37200</v>
      </c>
      <c r="AC2773" s="802">
        <v>37200</v>
      </c>
      <c r="AD2773" s="802">
        <v>37200</v>
      </c>
      <c r="AE2773" s="968">
        <v>37200</v>
      </c>
      <c r="AF2773" s="271">
        <f t="shared" si="307"/>
        <v>37200</v>
      </c>
      <c r="AG2773" s="1396"/>
      <c r="DG2773" s="573"/>
      <c r="DH2773" s="159"/>
      <c r="DI2773" s="1091"/>
      <c r="DJ2773" s="1187"/>
    </row>
    <row r="2774" spans="1:114" ht="15" hidden="1" customHeight="1" outlineLevel="1">
      <c r="A2774" s="453"/>
      <c r="C2774" s="51"/>
      <c r="D2774" s="4295"/>
      <c r="E2774" s="4295"/>
      <c r="F2774" s="4347" t="str">
        <f>$E$1684</f>
        <v>ASHP-SEER21-Replace_CAC_ElectricHeat_ER1_MF_CompE</v>
      </c>
      <c r="G2774" s="4347"/>
      <c r="H2774" s="4347"/>
      <c r="I2774" s="4347"/>
      <c r="J2774" s="3471" t="str">
        <f>$C$1684</f>
        <v>353601_2024_12_</v>
      </c>
      <c r="K2774" s="3375">
        <v>37200</v>
      </c>
      <c r="L2774" s="3488">
        <f t="shared" si="308"/>
        <v>3.1</v>
      </c>
      <c r="M2774" s="3293" t="s">
        <v>1945</v>
      </c>
      <c r="P2774" s="261"/>
      <c r="Q2774" s="209"/>
      <c r="R2774" s="261"/>
      <c r="S2774" s="52"/>
      <c r="T2774" s="181"/>
      <c r="U2774" s="52"/>
      <c r="V2774" s="4295"/>
      <c r="W2774" s="3262"/>
      <c r="X2774" s="3262"/>
      <c r="Y2774" s="3265">
        <v>37200</v>
      </c>
      <c r="Z2774" s="3262">
        <v>37200</v>
      </c>
      <c r="AA2774" s="3262">
        <v>37200</v>
      </c>
      <c r="AB2774" s="3262">
        <v>37200</v>
      </c>
      <c r="AC2774" s="3267">
        <f>AC2772</f>
        <v>37200</v>
      </c>
      <c r="AD2774" s="3267">
        <v>37200</v>
      </c>
      <c r="AE2774" s="3478">
        <v>37200</v>
      </c>
      <c r="AF2774" s="2236">
        <f t="shared" si="307"/>
        <v>37200</v>
      </c>
      <c r="AG2774" s="1396"/>
      <c r="DG2774" s="573"/>
      <c r="DH2774" s="159"/>
      <c r="DI2774" s="1091"/>
      <c r="DJ2774" s="1187"/>
    </row>
    <row r="2775" spans="1:114" ht="15" hidden="1" customHeight="1" outlineLevel="1">
      <c r="A2775" s="453"/>
      <c r="C2775" s="51"/>
      <c r="D2775" s="4295"/>
      <c r="E2775" s="4295"/>
      <c r="F2775" s="4347" t="str">
        <f>$E$1686</f>
        <v>ASHP-SEER21-Replace_CAC_ElectricHeat_ER2_MF_CompE</v>
      </c>
      <c r="G2775" s="4347"/>
      <c r="H2775" s="4347"/>
      <c r="I2775" s="4347"/>
      <c r="J2775" s="3471" t="str">
        <f>$C$1686</f>
        <v>353601_2024_12_</v>
      </c>
      <c r="K2775" s="3375">
        <v>37200</v>
      </c>
      <c r="L2775" s="3488">
        <f t="shared" si="308"/>
        <v>3.1</v>
      </c>
      <c r="M2775" s="3293" t="s">
        <v>1945</v>
      </c>
      <c r="P2775" s="261"/>
      <c r="Q2775" s="209"/>
      <c r="R2775" s="261"/>
      <c r="S2775" s="52"/>
      <c r="T2775" s="181"/>
      <c r="U2775" s="52"/>
      <c r="V2775" s="4295"/>
      <c r="W2775" s="3262"/>
      <c r="X2775" s="3262"/>
      <c r="Y2775" s="3265">
        <v>37200</v>
      </c>
      <c r="Z2775" s="3262">
        <v>37200</v>
      </c>
      <c r="AA2775" s="3262">
        <v>37200</v>
      </c>
      <c r="AB2775" s="3262">
        <v>37200</v>
      </c>
      <c r="AC2775" s="3267">
        <f>AC2773</f>
        <v>37200</v>
      </c>
      <c r="AD2775" s="3267">
        <v>37200</v>
      </c>
      <c r="AE2775" s="3478">
        <v>37200</v>
      </c>
      <c r="AF2775" s="2236">
        <f t="shared" si="307"/>
        <v>37200</v>
      </c>
      <c r="AG2775" s="1396"/>
      <c r="DG2775" s="573"/>
      <c r="DH2775" s="159"/>
      <c r="DI2775" s="1091"/>
      <c r="DJ2775" s="1187"/>
    </row>
    <row r="2776" spans="1:114" ht="15" hidden="1" customHeight="1" outlineLevel="1">
      <c r="A2776" s="453"/>
      <c r="C2776" s="51"/>
      <c r="D2776" s="4295"/>
      <c r="E2776" s="4295"/>
      <c r="F2776" s="4347" t="str">
        <f>$E$1688</f>
        <v>ASHP-SEER21-Replace_CAC_NonElectricHeat_ER1_MF</v>
      </c>
      <c r="G2776" s="4347"/>
      <c r="H2776" s="4347"/>
      <c r="I2776" s="4347"/>
      <c r="J2776" s="3471" t="str">
        <f>$C$1688</f>
        <v>353610_2024_12_</v>
      </c>
      <c r="K2776" s="3375">
        <v>37200</v>
      </c>
      <c r="L2776" s="3488">
        <f t="shared" si="308"/>
        <v>3.1</v>
      </c>
      <c r="M2776" s="3293" t="s">
        <v>1945</v>
      </c>
      <c r="P2776" s="261"/>
      <c r="Q2776" s="209"/>
      <c r="R2776" s="261"/>
      <c r="S2776" s="52"/>
      <c r="T2776" s="181"/>
      <c r="U2776" s="52"/>
      <c r="V2776" s="4295"/>
      <c r="W2776" s="3262"/>
      <c r="X2776" s="3262"/>
      <c r="Y2776" s="3265"/>
      <c r="Z2776" s="3262"/>
      <c r="AA2776" s="3262"/>
      <c r="AB2776" s="3262"/>
      <c r="AC2776" s="3279">
        <v>37200</v>
      </c>
      <c r="AD2776" s="3267">
        <v>37200</v>
      </c>
      <c r="AE2776" s="3478">
        <v>37200</v>
      </c>
      <c r="AF2776" s="2236">
        <f t="shared" si="307"/>
        <v>37200</v>
      </c>
      <c r="AG2776" s="1396"/>
      <c r="DG2776" s="573"/>
      <c r="DH2776" s="159"/>
      <c r="DI2776" s="1091"/>
      <c r="DJ2776" s="1187"/>
    </row>
    <row r="2777" spans="1:114" ht="15" hidden="1" customHeight="1" outlineLevel="1">
      <c r="A2777" s="453"/>
      <c r="C2777" s="51"/>
      <c r="D2777" s="4295"/>
      <c r="E2777" s="4295"/>
      <c r="F2777" s="4347" t="str">
        <f>$E$1690</f>
        <v>ASHP-SEER21-Replace_CAC_NonElectricHeat_ER2_MF</v>
      </c>
      <c r="G2777" s="4347"/>
      <c r="H2777" s="4347"/>
      <c r="I2777" s="4347"/>
      <c r="J2777" s="3471" t="str">
        <f>$C$1690</f>
        <v>353610_2024_12_</v>
      </c>
      <c r="K2777" s="3375">
        <v>37200</v>
      </c>
      <c r="L2777" s="3488">
        <f t="shared" si="308"/>
        <v>3.1</v>
      </c>
      <c r="M2777" s="3293" t="s">
        <v>1945</v>
      </c>
      <c r="P2777" s="261"/>
      <c r="Q2777" s="209"/>
      <c r="R2777" s="261"/>
      <c r="S2777" s="52"/>
      <c r="T2777" s="181"/>
      <c r="U2777" s="52"/>
      <c r="V2777" s="4295"/>
      <c r="W2777" s="3262"/>
      <c r="X2777" s="3262"/>
      <c r="Y2777" s="3265"/>
      <c r="Z2777" s="3262"/>
      <c r="AA2777" s="3262"/>
      <c r="AB2777" s="3262"/>
      <c r="AC2777" s="3279">
        <v>37200</v>
      </c>
      <c r="AD2777" s="3267">
        <v>37200</v>
      </c>
      <c r="AE2777" s="3478">
        <v>37200</v>
      </c>
      <c r="AF2777" s="2236">
        <f t="shared" si="307"/>
        <v>37200</v>
      </c>
      <c r="AG2777" s="1396"/>
      <c r="DG2777" s="573"/>
      <c r="DH2777" s="159"/>
      <c r="DI2777" s="1091"/>
      <c r="DJ2777" s="1187"/>
    </row>
    <row r="2778" spans="1:114" ht="15" hidden="1" customHeight="1" outlineLevel="1">
      <c r="A2778" s="453"/>
      <c r="C2778" s="51"/>
      <c r="D2778" s="4295"/>
      <c r="E2778" s="4295"/>
      <c r="F2778" s="4347" t="str">
        <f>$E$1692</f>
        <v>ASHP-SEER21-Replace_CAC_NonElectricHeat_ER1_MF_CompE</v>
      </c>
      <c r="G2778" s="4347"/>
      <c r="H2778" s="4347"/>
      <c r="I2778" s="4347"/>
      <c r="J2778" s="3471" t="str">
        <f>$C$1692</f>
        <v>353611_2024_12_</v>
      </c>
      <c r="K2778" s="3375">
        <v>37200</v>
      </c>
      <c r="L2778" s="3488">
        <f t="shared" si="308"/>
        <v>3.1</v>
      </c>
      <c r="M2778" s="3293" t="s">
        <v>1945</v>
      </c>
      <c r="P2778" s="261"/>
      <c r="Q2778" s="209"/>
      <c r="R2778" s="261"/>
      <c r="S2778" s="52"/>
      <c r="T2778" s="181"/>
      <c r="U2778" s="52"/>
      <c r="V2778" s="4295"/>
      <c r="W2778" s="3262"/>
      <c r="X2778" s="3262"/>
      <c r="Y2778" s="3265"/>
      <c r="Z2778" s="3262"/>
      <c r="AA2778" s="3262"/>
      <c r="AB2778" s="3262"/>
      <c r="AC2778" s="3279">
        <f>AC2776</f>
        <v>37200</v>
      </c>
      <c r="AD2778" s="3267">
        <v>37200</v>
      </c>
      <c r="AE2778" s="3478">
        <v>37200</v>
      </c>
      <c r="AF2778" s="2236">
        <f t="shared" si="307"/>
        <v>37200</v>
      </c>
      <c r="AG2778" s="1396"/>
      <c r="DG2778" s="573"/>
      <c r="DH2778" s="159"/>
      <c r="DI2778" s="1091"/>
      <c r="DJ2778" s="1187"/>
    </row>
    <row r="2779" spans="1:114" ht="15" hidden="1" customHeight="1" outlineLevel="1">
      <c r="A2779" s="453"/>
      <c r="C2779" s="51"/>
      <c r="D2779" s="4295"/>
      <c r="E2779" s="4295"/>
      <c r="F2779" s="4347" t="str">
        <f>$E$1694</f>
        <v>ASHP-SEER21-Replace_CAC_NonElectricHeat_ER2_MF_CompE</v>
      </c>
      <c r="G2779" s="4347"/>
      <c r="H2779" s="4347"/>
      <c r="I2779" s="4347"/>
      <c r="J2779" s="3471" t="str">
        <f>$C$1694</f>
        <v>353611_2024_12_</v>
      </c>
      <c r="K2779" s="3375">
        <v>37200</v>
      </c>
      <c r="L2779" s="3488">
        <f t="shared" si="308"/>
        <v>3.1</v>
      </c>
      <c r="M2779" s="3293" t="s">
        <v>1945</v>
      </c>
      <c r="P2779" s="261"/>
      <c r="Q2779" s="209"/>
      <c r="R2779" s="261"/>
      <c r="S2779" s="52"/>
      <c r="T2779" s="181"/>
      <c r="U2779" s="52"/>
      <c r="V2779" s="4295"/>
      <c r="W2779" s="3262"/>
      <c r="X2779" s="3262"/>
      <c r="Y2779" s="3265"/>
      <c r="Z2779" s="3262"/>
      <c r="AA2779" s="3262"/>
      <c r="AB2779" s="3262"/>
      <c r="AC2779" s="3279">
        <f>AC2777</f>
        <v>37200</v>
      </c>
      <c r="AD2779" s="3267">
        <v>37200</v>
      </c>
      <c r="AE2779" s="3478">
        <v>37200</v>
      </c>
      <c r="AF2779" s="2236">
        <f t="shared" si="307"/>
        <v>37200</v>
      </c>
      <c r="AG2779" s="1396"/>
      <c r="DG2779" s="573"/>
      <c r="DH2779" s="159"/>
      <c r="DI2779" s="1091"/>
      <c r="DJ2779" s="1187"/>
    </row>
    <row r="2780" spans="1:114" ht="15" hidden="1" customHeight="1" outlineLevel="1">
      <c r="A2780" s="453"/>
      <c r="C2780" s="51"/>
      <c r="D2780" s="4295"/>
      <c r="E2780" s="4295"/>
      <c r="F2780" s="4307" t="str">
        <f>$E$1696</f>
        <v>ASHP-SEER21-Replace_CAC_ElectricHeat_ROF_SF</v>
      </c>
      <c r="G2780" s="4307"/>
      <c r="H2780" s="4307"/>
      <c r="I2780" s="4307"/>
      <c r="J2780" s="1029" t="str">
        <f>$C$1696</f>
        <v>353650_2024_12_</v>
      </c>
      <c r="K2780" s="1756">
        <v>39473.684210526313</v>
      </c>
      <c r="L2780" s="947">
        <f t="shared" si="308"/>
        <v>3.2894736842105261</v>
      </c>
      <c r="M2780" s="1609" t="s">
        <v>1935</v>
      </c>
      <c r="P2780" s="261"/>
      <c r="Q2780" s="209"/>
      <c r="R2780" s="261"/>
      <c r="S2780" s="52"/>
      <c r="T2780" s="181"/>
      <c r="U2780" s="52"/>
      <c r="V2780" s="4295"/>
      <c r="W2780" s="1396">
        <v>38400</v>
      </c>
      <c r="X2780" s="1396">
        <v>38400</v>
      </c>
      <c r="Y2780" s="1396">
        <v>38400</v>
      </c>
      <c r="Z2780" s="1396">
        <v>38400</v>
      </c>
      <c r="AA2780" s="1396">
        <v>38400</v>
      </c>
      <c r="AB2780" s="1396">
        <v>38400</v>
      </c>
      <c r="AC2780" s="825">
        <v>42000</v>
      </c>
      <c r="AD2780" s="825">
        <v>42375</v>
      </c>
      <c r="AE2780" s="967">
        <v>45272.727272727272</v>
      </c>
      <c r="AF2780" s="271">
        <f t="shared" si="307"/>
        <v>39473.684210526313</v>
      </c>
      <c r="AG2780" s="1396"/>
      <c r="DG2780" s="573"/>
      <c r="DH2780" s="159"/>
      <c r="DI2780" s="1091"/>
      <c r="DJ2780" s="1187"/>
    </row>
    <row r="2781" spans="1:114" ht="15" hidden="1" customHeight="1" outlineLevel="1">
      <c r="A2781" s="453"/>
      <c r="C2781" s="51"/>
      <c r="D2781" s="4295"/>
      <c r="E2781" s="4295"/>
      <c r="F2781" s="4307" t="str">
        <f>$E$1698</f>
        <v>ASHP-SEER21-Replace_CAC_NonElectricHeat_ROF_SF</v>
      </c>
      <c r="G2781" s="4307"/>
      <c r="H2781" s="4307"/>
      <c r="I2781" s="4307"/>
      <c r="J2781" s="1029" t="str">
        <f>$C$1698</f>
        <v>353660_2024_12_</v>
      </c>
      <c r="K2781" s="1756">
        <v>39473.684210526313</v>
      </c>
      <c r="L2781" s="947">
        <f t="shared" si="308"/>
        <v>3.2894736842105261</v>
      </c>
      <c r="M2781" s="1609" t="s">
        <v>1935</v>
      </c>
      <c r="P2781" s="261"/>
      <c r="Q2781" s="209"/>
      <c r="R2781" s="261"/>
      <c r="S2781" s="52"/>
      <c r="T2781" s="181"/>
      <c r="U2781" s="52"/>
      <c r="V2781" s="4295"/>
      <c r="W2781" s="1396"/>
      <c r="X2781" s="833"/>
      <c r="Y2781" s="833"/>
      <c r="Z2781" s="1396"/>
      <c r="AA2781" s="1396"/>
      <c r="AB2781" s="825"/>
      <c r="AC2781" s="825"/>
      <c r="AD2781" s="825">
        <v>42375</v>
      </c>
      <c r="AE2781" s="967">
        <v>45272.727272727272</v>
      </c>
      <c r="AF2781" s="271">
        <f t="shared" si="307"/>
        <v>39473.684210526313</v>
      </c>
      <c r="AG2781" s="1396"/>
      <c r="DG2781" s="573"/>
      <c r="DH2781" s="159"/>
      <c r="DI2781" s="1091"/>
      <c r="DJ2781" s="1187"/>
    </row>
    <row r="2782" spans="1:114" ht="15" hidden="1" customHeight="1" outlineLevel="1">
      <c r="A2782" s="453"/>
      <c r="C2782" s="51"/>
      <c r="D2782" s="4295"/>
      <c r="E2782" s="4295"/>
      <c r="F2782" s="4347" t="str">
        <f>$E$1700</f>
        <v>ASHP-SEER21+-Replace_CAC_ElectricHeat_ROF_MF</v>
      </c>
      <c r="G2782" s="4347"/>
      <c r="H2782" s="4347"/>
      <c r="I2782" s="4347"/>
      <c r="J2782" s="3471" t="str">
        <f>$C$1700</f>
        <v>353700_2024_12_</v>
      </c>
      <c r="K2782" s="3375">
        <v>38400</v>
      </c>
      <c r="L2782" s="3488">
        <f t="shared" si="308"/>
        <v>3.2</v>
      </c>
      <c r="M2782" s="3293" t="s">
        <v>2496</v>
      </c>
      <c r="P2782" s="261"/>
      <c r="Q2782" s="209"/>
      <c r="R2782" s="261"/>
      <c r="S2782" s="52"/>
      <c r="T2782" s="181"/>
      <c r="U2782" s="52"/>
      <c r="V2782" s="4295"/>
      <c r="W2782" s="3262">
        <v>38400</v>
      </c>
      <c r="X2782" s="3262">
        <v>38400</v>
      </c>
      <c r="Y2782" s="3262">
        <v>38400</v>
      </c>
      <c r="Z2782" s="3262">
        <v>38400</v>
      </c>
      <c r="AA2782" s="3262">
        <v>38400</v>
      </c>
      <c r="AB2782" s="3262">
        <v>38400</v>
      </c>
      <c r="AC2782" s="3267">
        <v>38400</v>
      </c>
      <c r="AD2782" s="3267">
        <v>38400</v>
      </c>
      <c r="AE2782" s="3478">
        <v>38400</v>
      </c>
      <c r="AF2782" s="2236">
        <f t="shared" si="307"/>
        <v>38400</v>
      </c>
      <c r="AG2782" s="1396"/>
      <c r="DG2782" s="573"/>
      <c r="DH2782" s="159"/>
      <c r="DI2782" s="1091"/>
      <c r="DJ2782" s="1187"/>
    </row>
    <row r="2783" spans="1:114" ht="15" hidden="1" customHeight="1" outlineLevel="1">
      <c r="A2783" s="453"/>
      <c r="C2783" s="51"/>
      <c r="D2783" s="4295"/>
      <c r="E2783" s="4295"/>
      <c r="F2783" s="4347" t="str">
        <f>$E$1702</f>
        <v>ASHP-SEER21+-Replace_CAC_ElectricHeat_ROF_MF_CompE</v>
      </c>
      <c r="G2783" s="4347"/>
      <c r="H2783" s="4347"/>
      <c r="I2783" s="4347"/>
      <c r="J2783" s="3471" t="str">
        <f>$C$1702</f>
        <v>353701_2024_12_</v>
      </c>
      <c r="K2783" s="3375">
        <v>38400</v>
      </c>
      <c r="L2783" s="3488">
        <f t="shared" si="308"/>
        <v>3.2</v>
      </c>
      <c r="M2783" s="3293" t="s">
        <v>1945</v>
      </c>
      <c r="P2783" s="261"/>
      <c r="Q2783" s="209"/>
      <c r="R2783" s="261"/>
      <c r="S2783" s="52"/>
      <c r="T2783" s="181"/>
      <c r="U2783" s="52"/>
      <c r="V2783" s="4295"/>
      <c r="W2783" s="3262"/>
      <c r="X2783" s="3262"/>
      <c r="Y2783" s="3265">
        <v>38400</v>
      </c>
      <c r="Z2783" s="3262">
        <v>38400</v>
      </c>
      <c r="AA2783" s="3262">
        <v>38400</v>
      </c>
      <c r="AB2783" s="3262">
        <v>38400</v>
      </c>
      <c r="AC2783" s="3267">
        <v>38400</v>
      </c>
      <c r="AD2783" s="3267">
        <v>38400</v>
      </c>
      <c r="AE2783" s="3478">
        <v>38400</v>
      </c>
      <c r="AF2783" s="2236">
        <f t="shared" si="307"/>
        <v>38400</v>
      </c>
      <c r="AG2783" s="1396"/>
      <c r="DG2783" s="573"/>
      <c r="DH2783" s="159"/>
      <c r="DI2783" s="1091"/>
      <c r="DJ2783" s="1187"/>
    </row>
    <row r="2784" spans="1:114" ht="15" hidden="1" customHeight="1" outlineLevel="1">
      <c r="A2784" s="453"/>
      <c r="C2784" s="51"/>
      <c r="D2784" s="4295"/>
      <c r="E2784" s="4295"/>
      <c r="F2784" s="4347" t="str">
        <f>$E$1704</f>
        <v>ASHP-SEER21+-Replace_CAC_NonElectricHeat_ROF_MF</v>
      </c>
      <c r="G2784" s="4347"/>
      <c r="H2784" s="4347"/>
      <c r="I2784" s="4347"/>
      <c r="J2784" s="3471" t="str">
        <f>$C$1704</f>
        <v>353710_2024_12_</v>
      </c>
      <c r="K2784" s="3375">
        <v>38400</v>
      </c>
      <c r="L2784" s="3488">
        <f t="shared" si="308"/>
        <v>3.2</v>
      </c>
      <c r="M2784" s="3293" t="s">
        <v>1945</v>
      </c>
      <c r="P2784" s="261"/>
      <c r="Q2784" s="209"/>
      <c r="R2784" s="261"/>
      <c r="S2784" s="52"/>
      <c r="T2784" s="181"/>
      <c r="U2784" s="52"/>
      <c r="V2784" s="4295"/>
      <c r="W2784" s="3262"/>
      <c r="X2784" s="3262"/>
      <c r="Y2784" s="3265"/>
      <c r="Z2784" s="3262"/>
      <c r="AA2784" s="3262"/>
      <c r="AB2784" s="3262"/>
      <c r="AC2784" s="3279">
        <v>38400</v>
      </c>
      <c r="AD2784" s="3267">
        <v>38400</v>
      </c>
      <c r="AE2784" s="3478">
        <v>38400</v>
      </c>
      <c r="AF2784" s="2236">
        <f t="shared" si="307"/>
        <v>38400</v>
      </c>
      <c r="AG2784" s="1396"/>
      <c r="DG2784" s="573"/>
      <c r="DH2784" s="159"/>
      <c r="DI2784" s="1091"/>
      <c r="DJ2784" s="1187"/>
    </row>
    <row r="2785" spans="1:114" ht="15" hidden="1" customHeight="1" outlineLevel="1">
      <c r="A2785" s="453"/>
      <c r="C2785" s="51"/>
      <c r="D2785" s="4295"/>
      <c r="E2785" s="4295"/>
      <c r="F2785" s="4347" t="str">
        <f>$E$1706</f>
        <v>ASHP-SEER21+-Replace_CAC_NonElectricHeat_ROF_MF_CompE</v>
      </c>
      <c r="G2785" s="4347"/>
      <c r="H2785" s="4347"/>
      <c r="I2785" s="4347"/>
      <c r="J2785" s="3471" t="str">
        <f>$C$1706</f>
        <v>353711_2024_12_</v>
      </c>
      <c r="K2785" s="3375">
        <v>38400</v>
      </c>
      <c r="L2785" s="3488">
        <f t="shared" si="308"/>
        <v>3.2</v>
      </c>
      <c r="M2785" s="3293" t="s">
        <v>1945</v>
      </c>
      <c r="P2785" s="261"/>
      <c r="Q2785" s="209"/>
      <c r="R2785" s="261"/>
      <c r="S2785" s="52"/>
      <c r="T2785" s="181"/>
      <c r="U2785" s="52"/>
      <c r="V2785" s="4295"/>
      <c r="W2785" s="3262"/>
      <c r="X2785" s="3262"/>
      <c r="Y2785" s="3265"/>
      <c r="Z2785" s="3262"/>
      <c r="AA2785" s="3262"/>
      <c r="AB2785" s="3262"/>
      <c r="AC2785" s="3279">
        <v>38400</v>
      </c>
      <c r="AD2785" s="3267">
        <v>38400</v>
      </c>
      <c r="AE2785" s="3478">
        <v>38400</v>
      </c>
      <c r="AF2785" s="2236">
        <f t="shared" si="307"/>
        <v>38400</v>
      </c>
      <c r="AG2785" s="1396"/>
      <c r="DG2785" s="573"/>
      <c r="DH2785" s="159"/>
      <c r="DI2785" s="1091"/>
      <c r="DJ2785" s="1187"/>
    </row>
    <row r="2786" spans="1:114" ht="15" hidden="1" customHeight="1" outlineLevel="1">
      <c r="A2786" s="453"/>
      <c r="C2786" s="51"/>
      <c r="D2786" s="4295"/>
      <c r="E2786" s="4295"/>
      <c r="F2786" s="4307" t="str">
        <f>$E$1708</f>
        <v>ASHP-SEER17_ER1_SF</v>
      </c>
      <c r="G2786" s="4307"/>
      <c r="H2786" s="4307"/>
      <c r="I2786" s="4307"/>
      <c r="J2786" s="1029" t="str">
        <f>$C$1708</f>
        <v>353750_2024_12_</v>
      </c>
      <c r="K2786" s="1756">
        <v>35271.966527196659</v>
      </c>
      <c r="L2786" s="947">
        <f t="shared" si="308"/>
        <v>2.939330543933055</v>
      </c>
      <c r="M2786" s="1609" t="s">
        <v>1935</v>
      </c>
      <c r="Q2786" s="209"/>
      <c r="R2786" s="261"/>
      <c r="S2786" s="52"/>
      <c r="T2786" s="52"/>
      <c r="U2786" s="52"/>
      <c r="V2786" s="4295"/>
      <c r="W2786" s="1396">
        <v>39600</v>
      </c>
      <c r="X2786" s="1396">
        <v>39600</v>
      </c>
      <c r="Y2786" s="1396">
        <v>39600</v>
      </c>
      <c r="Z2786" s="1396">
        <v>39600</v>
      </c>
      <c r="AA2786" s="1396">
        <v>39600</v>
      </c>
      <c r="AB2786" s="1396">
        <v>39600</v>
      </c>
      <c r="AC2786" s="825">
        <v>35142.857142857138</v>
      </c>
      <c r="AD2786" s="825">
        <v>37099.236641221374</v>
      </c>
      <c r="AE2786" s="967">
        <v>37411.764705882364</v>
      </c>
      <c r="AF2786" s="271">
        <f t="shared" si="307"/>
        <v>35271.966527196659</v>
      </c>
      <c r="AG2786" s="1396"/>
      <c r="DG2786" s="573"/>
      <c r="DH2786" s="159"/>
      <c r="DI2786" s="1091"/>
      <c r="DJ2786" s="1187"/>
    </row>
    <row r="2787" spans="1:114" ht="15" hidden="1" customHeight="1" outlineLevel="1">
      <c r="A2787" s="453"/>
      <c r="C2787" s="51"/>
      <c r="D2787" s="4295"/>
      <c r="E2787" s="4295"/>
      <c r="F2787" s="4307" t="str">
        <f>$E$1710</f>
        <v>ASHP-SEER17_ER2_SF</v>
      </c>
      <c r="G2787" s="4307"/>
      <c r="H2787" s="4307"/>
      <c r="I2787" s="4307"/>
      <c r="J2787" s="1029" t="str">
        <f>$C$1710</f>
        <v>353750_2024_12_</v>
      </c>
      <c r="K2787" s="1756">
        <v>35271.966527196659</v>
      </c>
      <c r="L2787" s="947">
        <f t="shared" si="308"/>
        <v>2.939330543933055</v>
      </c>
      <c r="M2787" s="1609" t="s">
        <v>1935</v>
      </c>
      <c r="P2787" s="261"/>
      <c r="Q2787" s="209"/>
      <c r="R2787" s="261"/>
      <c r="S2787" s="52"/>
      <c r="T2787" s="181"/>
      <c r="U2787" s="52"/>
      <c r="V2787" s="4295"/>
      <c r="W2787" s="1396">
        <v>39600</v>
      </c>
      <c r="X2787" s="1396">
        <v>39600</v>
      </c>
      <c r="Y2787" s="1396">
        <v>39600</v>
      </c>
      <c r="Z2787" s="1396">
        <v>39600</v>
      </c>
      <c r="AA2787" s="1396">
        <v>39600</v>
      </c>
      <c r="AB2787" s="1396">
        <v>39600</v>
      </c>
      <c r="AC2787" s="825">
        <f>AC2786</f>
        <v>35142.857142857138</v>
      </c>
      <c r="AD2787" s="825">
        <v>37099.236641221374</v>
      </c>
      <c r="AE2787" s="967">
        <v>37411.764705882364</v>
      </c>
      <c r="AF2787" s="271">
        <f t="shared" si="307"/>
        <v>35271.966527196659</v>
      </c>
      <c r="AG2787" s="1396"/>
      <c r="DG2787" s="573"/>
      <c r="DH2787" s="159"/>
      <c r="DI2787" s="1091"/>
      <c r="DJ2787" s="1187"/>
    </row>
    <row r="2788" spans="1:114" ht="15" hidden="1" customHeight="1" outlineLevel="1">
      <c r="A2788" s="453"/>
      <c r="C2788" s="51"/>
      <c r="D2788" s="4295"/>
      <c r="E2788" s="4295"/>
      <c r="F2788" s="4307" t="str">
        <f>$E$1712</f>
        <v>ASHP-SEER17_ROF_SF</v>
      </c>
      <c r="G2788" s="4307"/>
      <c r="H2788" s="4307"/>
      <c r="I2788" s="4307"/>
      <c r="J2788" s="1029" t="str">
        <f>$C$1712</f>
        <v>353800_2024_12_</v>
      </c>
      <c r="K2788" s="1756">
        <v>36000</v>
      </c>
      <c r="L2788" s="947">
        <f t="shared" si="308"/>
        <v>3</v>
      </c>
      <c r="M2788" s="1609" t="s">
        <v>1935</v>
      </c>
      <c r="Q2788" s="209"/>
      <c r="R2788" s="261"/>
      <c r="S2788" s="52"/>
      <c r="T2788" s="52"/>
      <c r="U2788" s="52"/>
      <c r="V2788" s="4295"/>
      <c r="W2788" s="1396">
        <v>39600</v>
      </c>
      <c r="X2788" s="1396">
        <v>39600</v>
      </c>
      <c r="Y2788" s="1396">
        <v>39600</v>
      </c>
      <c r="Z2788" s="1396">
        <v>39600</v>
      </c>
      <c r="AA2788" s="1396">
        <v>39600</v>
      </c>
      <c r="AB2788" s="1396">
        <v>39600</v>
      </c>
      <c r="AC2788" s="825">
        <v>46285.71428571429</v>
      </c>
      <c r="AD2788" s="825">
        <v>36857.142857142855</v>
      </c>
      <c r="AE2788" s="967">
        <v>37200</v>
      </c>
      <c r="AF2788" s="271">
        <f t="shared" si="307"/>
        <v>36000</v>
      </c>
      <c r="AG2788" s="1396"/>
      <c r="DG2788" s="573"/>
      <c r="DH2788" s="159"/>
      <c r="DI2788" s="1091"/>
      <c r="DJ2788" s="1187"/>
    </row>
    <row r="2789" spans="1:114" ht="15" hidden="1" customHeight="1" outlineLevel="1">
      <c r="A2789" s="453"/>
      <c r="C2789" s="51"/>
      <c r="D2789" s="4295"/>
      <c r="E2789" s="4295"/>
      <c r="F2789" s="4307" t="str">
        <f>$E$1714</f>
        <v>ASHP-SEER18_ER1_SF</v>
      </c>
      <c r="G2789" s="4307"/>
      <c r="H2789" s="4307"/>
      <c r="I2789" s="4307"/>
      <c r="J2789" s="1029" t="str">
        <f>$C$1714</f>
        <v>353850_2024_12_</v>
      </c>
      <c r="K2789" s="1756">
        <v>39921.182266049262</v>
      </c>
      <c r="L2789" s="947">
        <f t="shared" si="308"/>
        <v>3.3267651888374385</v>
      </c>
      <c r="M2789" s="1609" t="s">
        <v>1935</v>
      </c>
      <c r="P2789" s="261"/>
      <c r="Q2789" s="209"/>
      <c r="R2789" s="261"/>
      <c r="S2789" s="52"/>
      <c r="T2789" s="181"/>
      <c r="U2789" s="52"/>
      <c r="V2789" s="4295"/>
      <c r="W2789" s="1396">
        <v>39600</v>
      </c>
      <c r="X2789" s="1396">
        <v>39600</v>
      </c>
      <c r="Y2789" s="1396">
        <v>39600</v>
      </c>
      <c r="Z2789" s="1396">
        <v>39600</v>
      </c>
      <c r="AA2789" s="1396">
        <v>39600</v>
      </c>
      <c r="AB2789" s="833">
        <v>42600</v>
      </c>
      <c r="AC2789" s="825">
        <v>38521.739130434784</v>
      </c>
      <c r="AD2789" s="825">
        <v>38000</v>
      </c>
      <c r="AE2789" s="967">
        <v>38157.165354330711</v>
      </c>
      <c r="AF2789" s="271">
        <f t="shared" si="307"/>
        <v>39921.182266049262</v>
      </c>
      <c r="AG2789" s="1396"/>
      <c r="DG2789" s="573"/>
      <c r="DH2789" s="159"/>
      <c r="DI2789" s="1091"/>
      <c r="DJ2789" s="1187"/>
    </row>
    <row r="2790" spans="1:114" ht="15" hidden="1" customHeight="1" outlineLevel="1">
      <c r="A2790" s="453"/>
      <c r="C2790" s="51"/>
      <c r="D2790" s="4295"/>
      <c r="E2790" s="4295"/>
      <c r="F2790" s="4311" t="str">
        <f>$E$1716</f>
        <v>ASHP-SEER18_ER2_SF</v>
      </c>
      <c r="G2790" s="4311"/>
      <c r="H2790" s="4311"/>
      <c r="I2790" s="4311"/>
      <c r="J2790" s="1029" t="str">
        <f>$C$1716</f>
        <v>353850_2024_12_</v>
      </c>
      <c r="K2790" s="1756">
        <v>39921.182266049262</v>
      </c>
      <c r="L2790" s="947">
        <f t="shared" si="308"/>
        <v>3.3267651888374385</v>
      </c>
      <c r="M2790" s="1609" t="s">
        <v>1935</v>
      </c>
      <c r="Q2790" s="209"/>
      <c r="R2790" s="261"/>
      <c r="S2790" s="52"/>
      <c r="T2790" s="52"/>
      <c r="U2790" s="52"/>
      <c r="V2790" s="4295"/>
      <c r="W2790" s="1405">
        <v>39600</v>
      </c>
      <c r="X2790" s="1405">
        <v>39600</v>
      </c>
      <c r="Y2790" s="1405">
        <v>39600</v>
      </c>
      <c r="Z2790" s="1405">
        <v>39600</v>
      </c>
      <c r="AA2790" s="1405">
        <v>39600</v>
      </c>
      <c r="AB2790" s="965">
        <v>42600</v>
      </c>
      <c r="AC2790" s="735">
        <f>AC2789</f>
        <v>38521.739130434784</v>
      </c>
      <c r="AD2790" s="735">
        <v>38000</v>
      </c>
      <c r="AE2790" s="1112">
        <v>38157.165354330711</v>
      </c>
      <c r="AF2790" s="271">
        <f t="shared" si="307"/>
        <v>39921.182266049262</v>
      </c>
      <c r="AG2790" s="1405"/>
      <c r="DG2790" s="1085"/>
      <c r="DI2790" s="1091"/>
      <c r="DJ2790" s="1187"/>
    </row>
    <row r="2791" spans="1:114" ht="15" hidden="1" customHeight="1" outlineLevel="1">
      <c r="A2791" s="453"/>
      <c r="C2791" s="51"/>
      <c r="D2791" s="4295"/>
      <c r="E2791" s="4295"/>
      <c r="F2791" s="4307" t="str">
        <f>$E$1718</f>
        <v>ASHP-SEER18_ROF_SF</v>
      </c>
      <c r="G2791" s="4307"/>
      <c r="H2791" s="4307"/>
      <c r="I2791" s="4307"/>
      <c r="J2791" s="1029" t="str">
        <f>$C$1718</f>
        <v>353950_2024_12_</v>
      </c>
      <c r="K2791" s="1756">
        <v>42078.431372470586</v>
      </c>
      <c r="L2791" s="947">
        <f t="shared" si="308"/>
        <v>3.5065359477058822</v>
      </c>
      <c r="M2791" s="1609" t="s">
        <v>1935</v>
      </c>
      <c r="P2791" s="261"/>
      <c r="Q2791" s="209"/>
      <c r="R2791" s="261"/>
      <c r="S2791" s="52"/>
      <c r="T2791" s="181"/>
      <c r="U2791" s="52"/>
      <c r="V2791" s="4295"/>
      <c r="W2791" s="1396">
        <v>39600</v>
      </c>
      <c r="X2791" s="1396">
        <v>39600</v>
      </c>
      <c r="Y2791" s="1396">
        <v>39600</v>
      </c>
      <c r="Z2791" s="1396">
        <v>39600</v>
      </c>
      <c r="AA2791" s="1396">
        <v>39600</v>
      </c>
      <c r="AB2791" s="1396">
        <v>39600</v>
      </c>
      <c r="AC2791" s="825">
        <v>41250</v>
      </c>
      <c r="AD2791" s="825">
        <v>38808.51063829787</v>
      </c>
      <c r="AE2791" s="967">
        <v>35780</v>
      </c>
      <c r="AF2791" s="271">
        <f t="shared" si="307"/>
        <v>42078.431372470586</v>
      </c>
      <c r="AG2791" s="1396"/>
      <c r="DG2791" s="573"/>
      <c r="DH2791" s="159"/>
      <c r="DI2791" s="1091"/>
      <c r="DJ2791" s="1187"/>
    </row>
    <row r="2792" spans="1:114" ht="15" hidden="1" customHeight="1" outlineLevel="1">
      <c r="A2792" s="453"/>
      <c r="C2792" s="51"/>
      <c r="D2792" s="4295"/>
      <c r="E2792" s="4295"/>
      <c r="F2792" s="4307" t="str">
        <f>$E$1720</f>
        <v>ASHP-SEER19_ER1_SF</v>
      </c>
      <c r="G2792" s="4307"/>
      <c r="H2792" s="4307"/>
      <c r="I2792" s="4307"/>
      <c r="J2792" s="1029" t="str">
        <f>$C$1720</f>
        <v>354000_2024_12_</v>
      </c>
      <c r="K2792" s="1756">
        <v>43047.619047619046</v>
      </c>
      <c r="L2792" s="947">
        <f t="shared" si="308"/>
        <v>3.587301587301587</v>
      </c>
      <c r="M2792" s="1609" t="s">
        <v>1935</v>
      </c>
      <c r="P2792" s="261"/>
      <c r="Q2792" s="209"/>
      <c r="R2792" s="261"/>
      <c r="S2792" s="52"/>
      <c r="T2792" s="181"/>
      <c r="U2792" s="52"/>
      <c r="V2792" s="4295"/>
      <c r="W2792" s="1396">
        <v>39600</v>
      </c>
      <c r="X2792" s="1396">
        <v>39600</v>
      </c>
      <c r="Y2792" s="1396">
        <v>39600</v>
      </c>
      <c r="Z2792" s="1396">
        <v>39600</v>
      </c>
      <c r="AA2792" s="1396">
        <v>39600</v>
      </c>
      <c r="AB2792" s="1396">
        <v>39600</v>
      </c>
      <c r="AC2792" s="825">
        <v>48000</v>
      </c>
      <c r="AD2792" s="825">
        <v>49058.823529411762</v>
      </c>
      <c r="AE2792" s="967">
        <v>43304.34782608696</v>
      </c>
      <c r="AF2792" s="271">
        <f t="shared" si="307"/>
        <v>43047.619047619046</v>
      </c>
      <c r="AG2792" s="1396"/>
      <c r="DG2792" s="573"/>
      <c r="DH2792" s="159"/>
      <c r="DI2792" s="1091"/>
      <c r="DJ2792" s="1187"/>
    </row>
    <row r="2793" spans="1:114" ht="15" hidden="1" customHeight="1" outlineLevel="1">
      <c r="A2793" s="453"/>
      <c r="C2793" s="51"/>
      <c r="D2793" s="4295"/>
      <c r="E2793" s="4295"/>
      <c r="F2793" s="4307" t="str">
        <f>$E$1722</f>
        <v>ASHP-SEER19_ER2_SF</v>
      </c>
      <c r="G2793" s="4307"/>
      <c r="H2793" s="4307"/>
      <c r="I2793" s="4307"/>
      <c r="J2793" s="1029" t="str">
        <f>$C$1722</f>
        <v>354000_2024_12_</v>
      </c>
      <c r="K2793" s="1756">
        <v>43047.619047619046</v>
      </c>
      <c r="L2793" s="947">
        <f t="shared" si="308"/>
        <v>3.587301587301587</v>
      </c>
      <c r="M2793" s="1609" t="s">
        <v>1935</v>
      </c>
      <c r="Q2793" s="209"/>
      <c r="R2793" s="261"/>
      <c r="S2793" s="52"/>
      <c r="T2793" s="52"/>
      <c r="U2793" s="52"/>
      <c r="V2793" s="4295"/>
      <c r="W2793" s="1396">
        <v>39600</v>
      </c>
      <c r="X2793" s="1396">
        <v>39600</v>
      </c>
      <c r="Y2793" s="1396">
        <v>39600</v>
      </c>
      <c r="Z2793" s="1396">
        <v>39600</v>
      </c>
      <c r="AA2793" s="1396">
        <v>39600</v>
      </c>
      <c r="AB2793" s="1396">
        <v>39600</v>
      </c>
      <c r="AC2793" s="825">
        <f>AC2792</f>
        <v>48000</v>
      </c>
      <c r="AD2793" s="825">
        <v>49058.823529411762</v>
      </c>
      <c r="AE2793" s="967">
        <v>43304.34782608696</v>
      </c>
      <c r="AF2793" s="271">
        <f t="shared" si="307"/>
        <v>43047.619047619046</v>
      </c>
      <c r="AG2793" s="1396"/>
      <c r="DG2793" s="573"/>
      <c r="DH2793" s="159"/>
      <c r="DI2793" s="1091"/>
      <c r="DJ2793" s="1187"/>
    </row>
    <row r="2794" spans="1:114" ht="15" hidden="1" customHeight="1" outlineLevel="1">
      <c r="A2794" s="453"/>
      <c r="C2794" s="51"/>
      <c r="D2794" s="4295"/>
      <c r="E2794" s="4295"/>
      <c r="F2794" s="4307" t="str">
        <f>$E$1724</f>
        <v>ASHP-SEER19_ROF_SF</v>
      </c>
      <c r="G2794" s="4307"/>
      <c r="H2794" s="4307"/>
      <c r="I2794" s="4307"/>
      <c r="J2794" s="1029" t="str">
        <f>$C$1724</f>
        <v>354050_2024_12_</v>
      </c>
      <c r="K2794" s="1756">
        <v>42333.333333333336</v>
      </c>
      <c r="L2794" s="947">
        <f t="shared" si="308"/>
        <v>3.5277777777777781</v>
      </c>
      <c r="M2794" s="1609" t="s">
        <v>1935</v>
      </c>
      <c r="Q2794" s="209"/>
      <c r="R2794" s="261"/>
      <c r="S2794" s="52"/>
      <c r="T2794" s="52"/>
      <c r="U2794" s="52"/>
      <c r="V2794" s="4295"/>
      <c r="W2794" s="1396">
        <v>39600</v>
      </c>
      <c r="X2794" s="1396">
        <v>39600</v>
      </c>
      <c r="Y2794" s="1396">
        <v>39600</v>
      </c>
      <c r="Z2794" s="1396">
        <v>39600</v>
      </c>
      <c r="AA2794" s="1396">
        <v>39600</v>
      </c>
      <c r="AB2794" s="1396">
        <v>39600</v>
      </c>
      <c r="AC2794" s="825">
        <v>26133.333333333332</v>
      </c>
      <c r="AD2794" s="825">
        <v>41076.923076923078</v>
      </c>
      <c r="AE2794" s="1033">
        <v>41076.923076923078</v>
      </c>
      <c r="AF2794" s="271">
        <f t="shared" si="307"/>
        <v>42333.333333333336</v>
      </c>
      <c r="AG2794" s="1396"/>
      <c r="DG2794" s="573"/>
      <c r="DH2794" s="159"/>
      <c r="DI2794" s="1091"/>
      <c r="DJ2794" s="1187"/>
    </row>
    <row r="2795" spans="1:114" ht="15" hidden="1" customHeight="1" outlineLevel="1">
      <c r="A2795" s="453"/>
      <c r="C2795" s="51"/>
      <c r="D2795" s="4295"/>
      <c r="E2795" s="4295"/>
      <c r="F2795" s="4307" t="str">
        <f>$E$1726</f>
        <v>ASHP-SEER17-Replace_CAC_ElectricHeat_ER1_SF</v>
      </c>
      <c r="G2795" s="4307"/>
      <c r="H2795" s="4307"/>
      <c r="I2795" s="4307"/>
      <c r="J2795" s="1029" t="str">
        <f>$C$1726</f>
        <v>354100_2024_12_</v>
      </c>
      <c r="K2795" s="1756">
        <v>35271.966527196659</v>
      </c>
      <c r="L2795" s="947">
        <f t="shared" si="308"/>
        <v>2.939330543933055</v>
      </c>
      <c r="M2795" s="1609" t="s">
        <v>1935</v>
      </c>
      <c r="Q2795" s="209"/>
      <c r="R2795" s="261"/>
      <c r="S2795" s="52"/>
      <c r="T2795" s="52"/>
      <c r="U2795" s="52"/>
      <c r="V2795" s="4295"/>
      <c r="W2795" s="1396">
        <v>37200</v>
      </c>
      <c r="X2795" s="1396">
        <v>37200</v>
      </c>
      <c r="Y2795" s="1396">
        <v>37200</v>
      </c>
      <c r="Z2795" s="1396">
        <v>37200</v>
      </c>
      <c r="AA2795" s="1396">
        <v>37200</v>
      </c>
      <c r="AB2795" s="1396">
        <v>37200</v>
      </c>
      <c r="AC2795" s="825">
        <v>34090.909090909088</v>
      </c>
      <c r="AD2795" s="825">
        <v>37099.236641221374</v>
      </c>
      <c r="AE2795" s="967">
        <v>37411.764705882364</v>
      </c>
      <c r="AF2795" s="271">
        <f t="shared" si="307"/>
        <v>35271.966527196659</v>
      </c>
      <c r="AG2795" s="1396"/>
      <c r="DG2795" s="573"/>
      <c r="DH2795" s="159"/>
      <c r="DI2795" s="1091"/>
      <c r="DJ2795" s="1187"/>
    </row>
    <row r="2796" spans="1:114" ht="15" hidden="1" customHeight="1" outlineLevel="1">
      <c r="A2796" s="453"/>
      <c r="C2796" s="51"/>
      <c r="D2796" s="4295"/>
      <c r="E2796" s="4295"/>
      <c r="F2796" s="4307" t="str">
        <f>$E$1728</f>
        <v>ASHP-SEER17-Replace_CAC_ElectricHeat_ER2_SF</v>
      </c>
      <c r="G2796" s="4307"/>
      <c r="H2796" s="4307"/>
      <c r="I2796" s="4307"/>
      <c r="J2796" s="1029" t="str">
        <f>$C$1728</f>
        <v>354100_2024_12_</v>
      </c>
      <c r="K2796" s="1756">
        <f>$K$2795</f>
        <v>35271.966527196659</v>
      </c>
      <c r="L2796" s="947">
        <f t="shared" si="308"/>
        <v>2.939330543933055</v>
      </c>
      <c r="M2796" s="1609" t="s">
        <v>1935</v>
      </c>
      <c r="Q2796" s="209"/>
      <c r="R2796" s="261"/>
      <c r="S2796" s="52"/>
      <c r="T2796" s="52"/>
      <c r="U2796" s="52"/>
      <c r="V2796" s="4295"/>
      <c r="W2796" s="1396">
        <v>37200</v>
      </c>
      <c r="X2796" s="1396">
        <v>37200</v>
      </c>
      <c r="Y2796" s="1396">
        <v>37200</v>
      </c>
      <c r="Z2796" s="1396">
        <v>37200</v>
      </c>
      <c r="AA2796" s="1396">
        <v>37200</v>
      </c>
      <c r="AB2796" s="1396">
        <v>37200</v>
      </c>
      <c r="AC2796" s="825">
        <v>34090.909090909088</v>
      </c>
      <c r="AD2796" s="825">
        <v>37099.236641221374</v>
      </c>
      <c r="AE2796" s="967">
        <v>37411.764705882364</v>
      </c>
      <c r="AF2796" s="271">
        <f t="shared" si="307"/>
        <v>35271.966527196659</v>
      </c>
      <c r="AG2796" s="1396"/>
      <c r="DG2796" s="573"/>
      <c r="DH2796" s="159"/>
      <c r="DI2796" s="1091"/>
      <c r="DJ2796" s="1187"/>
    </row>
    <row r="2797" spans="1:114" ht="15" hidden="1" customHeight="1" outlineLevel="1">
      <c r="A2797" s="453"/>
      <c r="C2797" s="51"/>
      <c r="D2797" s="4295"/>
      <c r="E2797" s="4295"/>
      <c r="F2797" s="4307" t="str">
        <f>$E$1730</f>
        <v>ASHP-SEER17-Replace_CAC_NonElectricHeat_ER1_SF</v>
      </c>
      <c r="G2797" s="4307"/>
      <c r="H2797" s="4307"/>
      <c r="I2797" s="4307"/>
      <c r="J2797" s="1029" t="str">
        <f>$C$1730</f>
        <v>354110_2024_12_</v>
      </c>
      <c r="K2797" s="1756">
        <f t="shared" ref="K2797:K2798" si="311">$K$2795</f>
        <v>35271.966527196659</v>
      </c>
      <c r="L2797" s="947">
        <f t="shared" si="308"/>
        <v>2.939330543933055</v>
      </c>
      <c r="M2797" s="1609" t="s">
        <v>1935</v>
      </c>
      <c r="Q2797" s="209"/>
      <c r="R2797" s="261"/>
      <c r="S2797" s="52"/>
      <c r="T2797" s="52"/>
      <c r="U2797" s="52"/>
      <c r="V2797" s="4295"/>
      <c r="W2797" s="1396"/>
      <c r="X2797" s="1396"/>
      <c r="Y2797" s="1396"/>
      <c r="Z2797" s="1396"/>
      <c r="AA2797" s="1396"/>
      <c r="AB2797" s="1396"/>
      <c r="AC2797" s="825">
        <v>34090.909090909088</v>
      </c>
      <c r="AD2797" s="825">
        <v>37099.236641221374</v>
      </c>
      <c r="AE2797" s="967">
        <v>37411.764705882364</v>
      </c>
      <c r="AF2797" s="271">
        <f t="shared" si="307"/>
        <v>35271.966527196659</v>
      </c>
      <c r="AG2797" s="1396"/>
      <c r="DG2797" s="573"/>
      <c r="DH2797" s="159"/>
      <c r="DI2797" s="1091"/>
      <c r="DJ2797" s="1187"/>
    </row>
    <row r="2798" spans="1:114" ht="15" hidden="1" customHeight="1" outlineLevel="1">
      <c r="A2798" s="453"/>
      <c r="C2798" s="51"/>
      <c r="D2798" s="4295"/>
      <c r="E2798" s="4295"/>
      <c r="F2798" s="4307" t="str">
        <f>$E$1732</f>
        <v>ASHP-SEER17-Replace_CAC_NonElectricHeat_ER2_SF</v>
      </c>
      <c r="G2798" s="4307"/>
      <c r="H2798" s="4307"/>
      <c r="I2798" s="4307"/>
      <c r="J2798" s="1029" t="str">
        <f>$C$1732</f>
        <v>354110_2024_12_</v>
      </c>
      <c r="K2798" s="1756">
        <f t="shared" si="311"/>
        <v>35271.966527196659</v>
      </c>
      <c r="L2798" s="947">
        <f t="shared" si="308"/>
        <v>2.939330543933055</v>
      </c>
      <c r="M2798" s="1609" t="s">
        <v>1935</v>
      </c>
      <c r="Q2798" s="209"/>
      <c r="R2798" s="261"/>
      <c r="S2798" s="52"/>
      <c r="T2798" s="52"/>
      <c r="U2798" s="52"/>
      <c r="V2798" s="4295"/>
      <c r="W2798" s="1396"/>
      <c r="X2798" s="1396"/>
      <c r="Y2798" s="1396"/>
      <c r="Z2798" s="1396"/>
      <c r="AA2798" s="1396"/>
      <c r="AB2798" s="1396"/>
      <c r="AC2798" s="825">
        <v>34090.909090909088</v>
      </c>
      <c r="AD2798" s="825">
        <v>37099.236641221374</v>
      </c>
      <c r="AE2798" s="967">
        <v>37411.764705882364</v>
      </c>
      <c r="AF2798" s="271">
        <f t="shared" si="307"/>
        <v>35271.966527196659</v>
      </c>
      <c r="AG2798" s="1396"/>
      <c r="DG2798" s="573"/>
      <c r="DH2798" s="159"/>
      <c r="DI2798" s="1091"/>
      <c r="DJ2798" s="1187"/>
    </row>
    <row r="2799" spans="1:114" ht="15" hidden="1" customHeight="1" outlineLevel="1">
      <c r="A2799" s="453"/>
      <c r="C2799" s="51"/>
      <c r="D2799" s="4295"/>
      <c r="E2799" s="4295"/>
      <c r="F2799" s="4307" t="str">
        <f>$E$1734</f>
        <v>ASHP-SEER17-Replace_CAC_ElectricHeat_ER1_MF</v>
      </c>
      <c r="G2799" s="4307"/>
      <c r="H2799" s="4307"/>
      <c r="I2799" s="4307"/>
      <c r="J2799" s="1029" t="str">
        <f>$C$1734</f>
        <v>354150_2024_12_</v>
      </c>
      <c r="K2799" s="1754">
        <v>37200</v>
      </c>
      <c r="L2799" s="947">
        <f t="shared" si="308"/>
        <v>3.1</v>
      </c>
      <c r="M2799" s="1740" t="s">
        <v>1945</v>
      </c>
      <c r="Q2799" s="209"/>
      <c r="R2799" s="261"/>
      <c r="S2799" s="52"/>
      <c r="T2799" s="52"/>
      <c r="U2799" s="52"/>
      <c r="V2799" s="4295"/>
      <c r="W2799" s="1396">
        <v>37200</v>
      </c>
      <c r="X2799" s="1396">
        <v>37200</v>
      </c>
      <c r="Y2799" s="1396">
        <v>37200</v>
      </c>
      <c r="Z2799" s="1396">
        <v>37200</v>
      </c>
      <c r="AA2799" s="1396">
        <v>37200</v>
      </c>
      <c r="AB2799" s="1396">
        <v>37200</v>
      </c>
      <c r="AC2799" s="802">
        <v>37200</v>
      </c>
      <c r="AD2799" s="802">
        <v>37200</v>
      </c>
      <c r="AE2799" s="968">
        <v>37200</v>
      </c>
      <c r="AF2799" s="271">
        <f t="shared" si="307"/>
        <v>37200</v>
      </c>
      <c r="AG2799" s="1396"/>
      <c r="DG2799" s="573"/>
      <c r="DH2799" s="159"/>
      <c r="DI2799" s="1091"/>
      <c r="DJ2799" s="1187"/>
    </row>
    <row r="2800" spans="1:114" ht="15" hidden="1" customHeight="1" outlineLevel="1">
      <c r="A2800" s="453"/>
      <c r="C2800" s="51"/>
      <c r="D2800" s="4295"/>
      <c r="E2800" s="4295"/>
      <c r="F2800" s="4307" t="str">
        <f>$E$1736</f>
        <v>ASHP-SEER17-Replace_CAC_ElectricHeat_ER2_MF</v>
      </c>
      <c r="G2800" s="4307"/>
      <c r="H2800" s="4307"/>
      <c r="I2800" s="4307"/>
      <c r="J2800" s="1029" t="str">
        <f>$C$1736</f>
        <v>354150_2024_12_</v>
      </c>
      <c r="K2800" s="1754">
        <v>37200</v>
      </c>
      <c r="L2800" s="947">
        <f t="shared" si="308"/>
        <v>3.1</v>
      </c>
      <c r="M2800" s="1740" t="s">
        <v>1945</v>
      </c>
      <c r="Q2800" s="209"/>
      <c r="R2800" s="261"/>
      <c r="S2800" s="52"/>
      <c r="T2800" s="52"/>
      <c r="U2800" s="52"/>
      <c r="V2800" s="4295"/>
      <c r="W2800" s="1396">
        <v>37200</v>
      </c>
      <c r="X2800" s="1396">
        <v>37200</v>
      </c>
      <c r="Y2800" s="1396">
        <v>37200</v>
      </c>
      <c r="Z2800" s="1396">
        <v>37200</v>
      </c>
      <c r="AA2800" s="1396">
        <v>37200</v>
      </c>
      <c r="AB2800" s="1396">
        <v>37200</v>
      </c>
      <c r="AC2800" s="802">
        <v>37200</v>
      </c>
      <c r="AD2800" s="802">
        <v>37200</v>
      </c>
      <c r="AE2800" s="968">
        <v>37200</v>
      </c>
      <c r="AF2800" s="271">
        <f t="shared" si="307"/>
        <v>37200</v>
      </c>
      <c r="AG2800" s="1396"/>
      <c r="DG2800" s="573"/>
      <c r="DH2800" s="159"/>
      <c r="DI2800" s="1091"/>
      <c r="DJ2800" s="1187"/>
    </row>
    <row r="2801" spans="1:114" ht="15" hidden="1" customHeight="1" outlineLevel="1">
      <c r="A2801" s="453"/>
      <c r="C2801" s="51"/>
      <c r="D2801" s="4295"/>
      <c r="E2801" s="4295"/>
      <c r="F2801" s="4347" t="str">
        <f>$E$1738</f>
        <v>ASHP-SEER17-Replace_CAC_ElectricHeat_ER1_MF_CompE</v>
      </c>
      <c r="G2801" s="4347"/>
      <c r="H2801" s="4347"/>
      <c r="I2801" s="4347"/>
      <c r="J2801" s="3471" t="str">
        <f>$C$1738</f>
        <v>354151_2024_12_</v>
      </c>
      <c r="K2801" s="3375">
        <v>37200</v>
      </c>
      <c r="L2801" s="3488">
        <f t="shared" si="308"/>
        <v>3.1</v>
      </c>
      <c r="M2801" s="3293" t="s">
        <v>1945</v>
      </c>
      <c r="Q2801" s="209"/>
      <c r="R2801" s="261"/>
      <c r="S2801" s="52"/>
      <c r="T2801" s="52"/>
      <c r="U2801" s="52"/>
      <c r="V2801" s="4295"/>
      <c r="W2801" s="1396"/>
      <c r="X2801" s="1396"/>
      <c r="Y2801" s="3265">
        <v>37200</v>
      </c>
      <c r="Z2801" s="3262">
        <v>37200</v>
      </c>
      <c r="AA2801" s="3262">
        <v>37200</v>
      </c>
      <c r="AB2801" s="3262">
        <v>37200</v>
      </c>
      <c r="AC2801" s="3267">
        <f>AC2799</f>
        <v>37200</v>
      </c>
      <c r="AD2801" s="3267">
        <v>37200</v>
      </c>
      <c r="AE2801" s="3478">
        <v>37200</v>
      </c>
      <c r="AF2801" s="2236">
        <f t="shared" si="307"/>
        <v>37200</v>
      </c>
      <c r="AG2801" s="1396"/>
      <c r="DG2801" s="573"/>
      <c r="DH2801" s="159"/>
      <c r="DI2801" s="1091"/>
      <c r="DJ2801" s="1187"/>
    </row>
    <row r="2802" spans="1:114" ht="15" hidden="1" customHeight="1" outlineLevel="1">
      <c r="A2802" s="453"/>
      <c r="C2802" s="51"/>
      <c r="D2802" s="4295"/>
      <c r="E2802" s="4295"/>
      <c r="F2802" s="4347" t="str">
        <f>$E$1740</f>
        <v>ASHP-SEER17-Replace_CAC_ElectricHeat_ER2_MF_CompE</v>
      </c>
      <c r="G2802" s="4347"/>
      <c r="H2802" s="4347"/>
      <c r="I2802" s="4347"/>
      <c r="J2802" s="3471" t="str">
        <f>$C$1740</f>
        <v>354151_2024_12_</v>
      </c>
      <c r="K2802" s="3375">
        <v>37200</v>
      </c>
      <c r="L2802" s="3488">
        <f t="shared" si="308"/>
        <v>3.1</v>
      </c>
      <c r="M2802" s="3293" t="s">
        <v>1945</v>
      </c>
      <c r="Q2802" s="209"/>
      <c r="R2802" s="261"/>
      <c r="S2802" s="52"/>
      <c r="T2802" s="52"/>
      <c r="U2802" s="52"/>
      <c r="V2802" s="4295"/>
      <c r="W2802" s="1396"/>
      <c r="X2802" s="1396"/>
      <c r="Y2802" s="3265">
        <v>37200</v>
      </c>
      <c r="Z2802" s="3262">
        <v>37200</v>
      </c>
      <c r="AA2802" s="3262">
        <v>37200</v>
      </c>
      <c r="AB2802" s="3262">
        <v>37200</v>
      </c>
      <c r="AC2802" s="3267">
        <f>AC2800</f>
        <v>37200</v>
      </c>
      <c r="AD2802" s="3267">
        <v>37200</v>
      </c>
      <c r="AE2802" s="3478">
        <v>37200</v>
      </c>
      <c r="AF2802" s="2236">
        <f t="shared" si="307"/>
        <v>37200</v>
      </c>
      <c r="AG2802" s="1396"/>
      <c r="DG2802" s="573"/>
      <c r="DH2802" s="159"/>
      <c r="DI2802" s="1091"/>
      <c r="DJ2802" s="1187"/>
    </row>
    <row r="2803" spans="1:114" ht="15" hidden="1" customHeight="1" outlineLevel="1">
      <c r="A2803" s="453"/>
      <c r="C2803" s="51"/>
      <c r="D2803" s="4295"/>
      <c r="E2803" s="4295"/>
      <c r="F2803" s="4347" t="str">
        <f>$E$1742</f>
        <v>ASHP-SEER17-Replace_CAC_NonElectricHeat_ER1_MF</v>
      </c>
      <c r="G2803" s="4347"/>
      <c r="H2803" s="4347"/>
      <c r="I2803" s="4347"/>
      <c r="J2803" s="3471" t="str">
        <f>$C$1742</f>
        <v>354160_2024_12_</v>
      </c>
      <c r="K2803" s="3375">
        <v>37200</v>
      </c>
      <c r="L2803" s="3488">
        <f t="shared" si="308"/>
        <v>3.1</v>
      </c>
      <c r="M2803" s="3293" t="s">
        <v>1945</v>
      </c>
      <c r="Q2803" s="209"/>
      <c r="R2803" s="261"/>
      <c r="S2803" s="52"/>
      <c r="T2803" s="52"/>
      <c r="U2803" s="52"/>
      <c r="V2803" s="4295"/>
      <c r="W2803" s="1396"/>
      <c r="X2803" s="1396"/>
      <c r="Y2803" s="3265"/>
      <c r="Z2803" s="3262"/>
      <c r="AA2803" s="3262"/>
      <c r="AB2803" s="3262"/>
      <c r="AC2803" s="3279">
        <v>37200</v>
      </c>
      <c r="AD2803" s="3267">
        <v>37200</v>
      </c>
      <c r="AE2803" s="3478">
        <v>37200</v>
      </c>
      <c r="AF2803" s="2236">
        <f t="shared" si="307"/>
        <v>37200</v>
      </c>
      <c r="AG2803" s="1396"/>
      <c r="DG2803" s="573"/>
      <c r="DH2803" s="159"/>
      <c r="DI2803" s="1091"/>
      <c r="DJ2803" s="1187"/>
    </row>
    <row r="2804" spans="1:114" ht="15" hidden="1" customHeight="1" outlineLevel="1">
      <c r="A2804" s="453"/>
      <c r="C2804" s="51"/>
      <c r="D2804" s="4295"/>
      <c r="E2804" s="4295"/>
      <c r="F2804" s="4347" t="str">
        <f>$E$1744</f>
        <v>ASHP-SEER17-Replace_CAC_NonElectricHeat_ER2_MF</v>
      </c>
      <c r="G2804" s="4347"/>
      <c r="H2804" s="4347"/>
      <c r="I2804" s="4347"/>
      <c r="J2804" s="3471" t="str">
        <f>$C$1744</f>
        <v>354160_2024_12_</v>
      </c>
      <c r="K2804" s="3375">
        <v>37200</v>
      </c>
      <c r="L2804" s="3488">
        <f t="shared" si="308"/>
        <v>3.1</v>
      </c>
      <c r="M2804" s="3293" t="s">
        <v>1945</v>
      </c>
      <c r="Q2804" s="209"/>
      <c r="R2804" s="261"/>
      <c r="S2804" s="52"/>
      <c r="T2804" s="52"/>
      <c r="U2804" s="52"/>
      <c r="V2804" s="4295"/>
      <c r="W2804" s="1396"/>
      <c r="X2804" s="1396"/>
      <c r="Y2804" s="3265"/>
      <c r="Z2804" s="3262"/>
      <c r="AA2804" s="3262"/>
      <c r="AB2804" s="3262"/>
      <c r="AC2804" s="3279">
        <v>37200</v>
      </c>
      <c r="AD2804" s="3267">
        <v>37200</v>
      </c>
      <c r="AE2804" s="3478">
        <v>37200</v>
      </c>
      <c r="AF2804" s="2236">
        <f t="shared" si="307"/>
        <v>37200</v>
      </c>
      <c r="AG2804" s="1396"/>
      <c r="DG2804" s="573"/>
      <c r="DH2804" s="159"/>
      <c r="DI2804" s="1091"/>
      <c r="DJ2804" s="1187"/>
    </row>
    <row r="2805" spans="1:114" ht="15" hidden="1" customHeight="1" outlineLevel="1">
      <c r="A2805" s="453"/>
      <c r="C2805" s="51"/>
      <c r="D2805" s="4295"/>
      <c r="E2805" s="4295"/>
      <c r="F2805" s="4347" t="str">
        <f>$E$1746</f>
        <v>ASHP-SEER17-Replace_CAC_NonElectricHeat_ER1_MF_CompE</v>
      </c>
      <c r="G2805" s="4347"/>
      <c r="H2805" s="4347"/>
      <c r="I2805" s="4347"/>
      <c r="J2805" s="3471" t="str">
        <f>$C$1746</f>
        <v>354161_2024_12_</v>
      </c>
      <c r="K2805" s="3375">
        <v>37200</v>
      </c>
      <c r="L2805" s="3488">
        <f t="shared" si="308"/>
        <v>3.1</v>
      </c>
      <c r="M2805" s="3293" t="s">
        <v>1945</v>
      </c>
      <c r="Q2805" s="209"/>
      <c r="R2805" s="261"/>
      <c r="S2805" s="52"/>
      <c r="T2805" s="52"/>
      <c r="U2805" s="52"/>
      <c r="V2805" s="4295"/>
      <c r="W2805" s="1396"/>
      <c r="X2805" s="1396"/>
      <c r="Y2805" s="3265"/>
      <c r="Z2805" s="3262"/>
      <c r="AA2805" s="3262"/>
      <c r="AB2805" s="3262"/>
      <c r="AC2805" s="3279">
        <f>AC2803</f>
        <v>37200</v>
      </c>
      <c r="AD2805" s="3267">
        <v>37200</v>
      </c>
      <c r="AE2805" s="3478">
        <v>37200</v>
      </c>
      <c r="AF2805" s="2236">
        <f t="shared" si="307"/>
        <v>37200</v>
      </c>
      <c r="AG2805" s="1396"/>
      <c r="DG2805" s="573"/>
      <c r="DH2805" s="159"/>
      <c r="DI2805" s="1091"/>
      <c r="DJ2805" s="1187"/>
    </row>
    <row r="2806" spans="1:114" ht="15" hidden="1" customHeight="1" outlineLevel="1">
      <c r="A2806" s="453"/>
      <c r="C2806" s="51"/>
      <c r="D2806" s="4295"/>
      <c r="E2806" s="4295"/>
      <c r="F2806" s="4347" t="str">
        <f>$E$1748</f>
        <v>ASHP-SEER17-Replace_CAC_NonElectricHeat_ER2_MF_CompE</v>
      </c>
      <c r="G2806" s="4347"/>
      <c r="H2806" s="4347"/>
      <c r="I2806" s="4347"/>
      <c r="J2806" s="3471" t="str">
        <f>$C$1748</f>
        <v>354161_2024_12_</v>
      </c>
      <c r="K2806" s="3375">
        <v>37200</v>
      </c>
      <c r="L2806" s="3488">
        <f t="shared" si="308"/>
        <v>3.1</v>
      </c>
      <c r="M2806" s="3293" t="s">
        <v>1945</v>
      </c>
      <c r="Q2806" s="209"/>
      <c r="R2806" s="261"/>
      <c r="S2806" s="52"/>
      <c r="T2806" s="52"/>
      <c r="U2806" s="52"/>
      <c r="V2806" s="4295"/>
      <c r="W2806" s="1396"/>
      <c r="X2806" s="1396"/>
      <c r="Y2806" s="3265"/>
      <c r="Z2806" s="3262"/>
      <c r="AA2806" s="3262"/>
      <c r="AB2806" s="3262"/>
      <c r="AC2806" s="3279">
        <f>AC2804</f>
        <v>37200</v>
      </c>
      <c r="AD2806" s="3267">
        <v>37200</v>
      </c>
      <c r="AE2806" s="3478">
        <v>37200</v>
      </c>
      <c r="AF2806" s="2236">
        <f t="shared" si="307"/>
        <v>37200</v>
      </c>
      <c r="AG2806" s="1396"/>
      <c r="DG2806" s="573"/>
      <c r="DH2806" s="159"/>
      <c r="DI2806" s="1091"/>
      <c r="DJ2806" s="1187"/>
    </row>
    <row r="2807" spans="1:114" ht="15" hidden="1" customHeight="1" outlineLevel="1">
      <c r="A2807" s="453"/>
      <c r="C2807" s="51"/>
      <c r="D2807" s="4295"/>
      <c r="E2807" s="4295"/>
      <c r="F2807" s="4307" t="str">
        <f>$E$1750</f>
        <v>ASHP-SEER17_ER1_MF</v>
      </c>
      <c r="G2807" s="4307"/>
      <c r="H2807" s="4307"/>
      <c r="I2807" s="4307"/>
      <c r="J2807" s="1029" t="str">
        <f>$C$1750</f>
        <v>354200_2024_12_</v>
      </c>
      <c r="K2807" s="1754">
        <v>39600</v>
      </c>
      <c r="L2807" s="947">
        <f t="shared" si="308"/>
        <v>3.3</v>
      </c>
      <c r="M2807" s="1740" t="s">
        <v>1945</v>
      </c>
      <c r="Q2807" s="209"/>
      <c r="R2807" s="261"/>
      <c r="S2807" s="52"/>
      <c r="T2807" s="52"/>
      <c r="U2807" s="52"/>
      <c r="V2807" s="4295"/>
      <c r="W2807" s="1396">
        <v>39600</v>
      </c>
      <c r="X2807" s="1396">
        <v>39600</v>
      </c>
      <c r="Y2807" s="1396">
        <v>39600</v>
      </c>
      <c r="Z2807" s="1396">
        <v>39600</v>
      </c>
      <c r="AA2807" s="1396">
        <v>39600</v>
      </c>
      <c r="AB2807" s="1396">
        <v>39600</v>
      </c>
      <c r="AC2807" s="802">
        <v>39600</v>
      </c>
      <c r="AD2807" s="802">
        <v>39600</v>
      </c>
      <c r="AE2807" s="968">
        <v>39600</v>
      </c>
      <c r="AF2807" s="271">
        <f t="shared" si="307"/>
        <v>39600</v>
      </c>
      <c r="AG2807" s="1396"/>
      <c r="DG2807" s="573"/>
      <c r="DH2807" s="159"/>
      <c r="DI2807" s="1091"/>
      <c r="DJ2807" s="1187"/>
    </row>
    <row r="2808" spans="1:114" ht="15" hidden="1" customHeight="1" outlineLevel="1">
      <c r="A2808" s="453"/>
      <c r="C2808" s="51"/>
      <c r="D2808" s="4295"/>
      <c r="E2808" s="4295"/>
      <c r="F2808" s="4307" t="str">
        <f>$E$1752</f>
        <v>ASHP-SEER17_ER2_MF</v>
      </c>
      <c r="G2808" s="4307"/>
      <c r="H2808" s="4307"/>
      <c r="I2808" s="4307"/>
      <c r="J2808" s="1029" t="str">
        <f>$C$1752</f>
        <v>354200_2024_12_</v>
      </c>
      <c r="K2808" s="1754">
        <v>39600</v>
      </c>
      <c r="L2808" s="947">
        <f t="shared" si="308"/>
        <v>3.3</v>
      </c>
      <c r="M2808" s="1740" t="s">
        <v>1945</v>
      </c>
      <c r="Q2808" s="209"/>
      <c r="R2808" s="261"/>
      <c r="S2808" s="52"/>
      <c r="T2808" s="52"/>
      <c r="U2808" s="52"/>
      <c r="V2808" s="4295"/>
      <c r="W2808" s="1396">
        <v>39600</v>
      </c>
      <c r="X2808" s="1396">
        <v>39600</v>
      </c>
      <c r="Y2808" s="1396">
        <v>39600</v>
      </c>
      <c r="Z2808" s="1396">
        <v>39600</v>
      </c>
      <c r="AA2808" s="1396">
        <v>39600</v>
      </c>
      <c r="AB2808" s="1396">
        <v>39600</v>
      </c>
      <c r="AC2808" s="802">
        <v>39600</v>
      </c>
      <c r="AD2808" s="802">
        <v>39600</v>
      </c>
      <c r="AE2808" s="968">
        <v>39600</v>
      </c>
      <c r="AF2808" s="271">
        <f t="shared" si="307"/>
        <v>39600</v>
      </c>
      <c r="AG2808" s="1396"/>
      <c r="DG2808" s="573"/>
      <c r="DH2808" s="159"/>
      <c r="DI2808" s="1091"/>
      <c r="DJ2808" s="1187"/>
    </row>
    <row r="2809" spans="1:114" ht="15" hidden="1" customHeight="1" outlineLevel="1">
      <c r="A2809" s="453"/>
      <c r="C2809" s="51"/>
      <c r="D2809" s="4295"/>
      <c r="E2809" s="4295"/>
      <c r="F2809" s="4347" t="str">
        <f>$E$1754</f>
        <v>ASHP-SEER17_ER1_MF_CompE</v>
      </c>
      <c r="G2809" s="4347"/>
      <c r="H2809" s="4347"/>
      <c r="I2809" s="4347"/>
      <c r="J2809" s="3471" t="str">
        <f>$C$1754</f>
        <v>354201_2024_12_</v>
      </c>
      <c r="K2809" s="3375">
        <v>39600</v>
      </c>
      <c r="L2809" s="3488">
        <f t="shared" si="308"/>
        <v>3.3</v>
      </c>
      <c r="M2809" s="3293" t="s">
        <v>1945</v>
      </c>
      <c r="Q2809" s="209"/>
      <c r="R2809" s="261"/>
      <c r="S2809" s="52"/>
      <c r="T2809" s="52"/>
      <c r="U2809" s="52"/>
      <c r="V2809" s="4295"/>
      <c r="W2809" s="1396"/>
      <c r="X2809" s="1396"/>
      <c r="Y2809" s="3265">
        <v>39600</v>
      </c>
      <c r="Z2809" s="3262">
        <v>39600</v>
      </c>
      <c r="AA2809" s="3262">
        <v>39600</v>
      </c>
      <c r="AB2809" s="3262">
        <v>39600</v>
      </c>
      <c r="AC2809" s="3267">
        <f>AC2807</f>
        <v>39600</v>
      </c>
      <c r="AD2809" s="3267">
        <v>39600</v>
      </c>
      <c r="AE2809" s="3478">
        <v>39600</v>
      </c>
      <c r="AF2809" s="2236">
        <f t="shared" si="307"/>
        <v>39600</v>
      </c>
      <c r="AG2809" s="1396"/>
      <c r="DG2809" s="573"/>
      <c r="DH2809" s="159"/>
      <c r="DI2809" s="1091"/>
      <c r="DJ2809" s="1187"/>
    </row>
    <row r="2810" spans="1:114" ht="15" hidden="1" customHeight="1" outlineLevel="1">
      <c r="A2810" s="453"/>
      <c r="C2810" s="51"/>
      <c r="D2810" s="4295"/>
      <c r="E2810" s="4295"/>
      <c r="F2810" s="4347" t="str">
        <f>$E$1756</f>
        <v>ASHP-SEER17_ER2_MF_CompE</v>
      </c>
      <c r="G2810" s="4347"/>
      <c r="H2810" s="4347"/>
      <c r="I2810" s="4347"/>
      <c r="J2810" s="3471" t="str">
        <f>$C$1756</f>
        <v>354201_2024_12_</v>
      </c>
      <c r="K2810" s="3375">
        <v>39600</v>
      </c>
      <c r="L2810" s="3488">
        <f t="shared" si="308"/>
        <v>3.3</v>
      </c>
      <c r="M2810" s="3293" t="s">
        <v>1945</v>
      </c>
      <c r="Q2810" s="209"/>
      <c r="R2810" s="261"/>
      <c r="S2810" s="52"/>
      <c r="T2810" s="52"/>
      <c r="U2810" s="52"/>
      <c r="V2810" s="4295"/>
      <c r="W2810" s="1396"/>
      <c r="X2810" s="1396"/>
      <c r="Y2810" s="3265">
        <v>39600</v>
      </c>
      <c r="Z2810" s="3262">
        <v>39600</v>
      </c>
      <c r="AA2810" s="3262">
        <v>39600</v>
      </c>
      <c r="AB2810" s="3262">
        <v>39600</v>
      </c>
      <c r="AC2810" s="3267">
        <f>AC2808</f>
        <v>39600</v>
      </c>
      <c r="AD2810" s="3267">
        <v>39600</v>
      </c>
      <c r="AE2810" s="3478">
        <v>39600</v>
      </c>
      <c r="AF2810" s="2236">
        <f t="shared" ref="AF2810:AF2873" si="312">IF(K2810&lt;&gt;"",K2810,"")</f>
        <v>39600</v>
      </c>
      <c r="AG2810" s="1396"/>
      <c r="DG2810" s="573"/>
      <c r="DH2810" s="159"/>
      <c r="DI2810" s="1091"/>
      <c r="DJ2810" s="1187"/>
    </row>
    <row r="2811" spans="1:114" ht="15" hidden="1" customHeight="1" outlineLevel="1">
      <c r="A2811" s="453"/>
      <c r="C2811" s="51"/>
      <c r="D2811" s="4295"/>
      <c r="E2811" s="4295"/>
      <c r="F2811" s="4307" t="str">
        <f>$E$1758</f>
        <v>ASHP-SEER18-Replace_CAC_ElectricHeat_ER1_SF</v>
      </c>
      <c r="G2811" s="4307"/>
      <c r="H2811" s="4307"/>
      <c r="I2811" s="4307"/>
      <c r="J2811" s="1029" t="str">
        <f>$C$1758</f>
        <v>354250_2024_12_</v>
      </c>
      <c r="K2811" s="1756">
        <v>39921.182266049262</v>
      </c>
      <c r="L2811" s="947">
        <f t="shared" si="308"/>
        <v>3.3267651888374385</v>
      </c>
      <c r="M2811" s="1609" t="s">
        <v>1935</v>
      </c>
      <c r="Q2811" s="209"/>
      <c r="R2811" s="261"/>
      <c r="S2811" s="52"/>
      <c r="T2811" s="52"/>
      <c r="U2811" s="52"/>
      <c r="V2811" s="4295"/>
      <c r="W2811" s="1396">
        <v>37200</v>
      </c>
      <c r="X2811" s="1396">
        <v>37200</v>
      </c>
      <c r="Y2811" s="1396">
        <v>37200</v>
      </c>
      <c r="Z2811" s="1396">
        <v>37200</v>
      </c>
      <c r="AA2811" s="1396">
        <v>37200</v>
      </c>
      <c r="AB2811" s="825">
        <v>40965.517241379312</v>
      </c>
      <c r="AC2811" s="825">
        <v>37721.739130434784</v>
      </c>
      <c r="AD2811" s="825">
        <v>38000</v>
      </c>
      <c r="AE2811" s="967">
        <v>38157.165354330711</v>
      </c>
      <c r="AF2811" s="271">
        <f t="shared" si="312"/>
        <v>39921.182266049262</v>
      </c>
      <c r="AG2811" s="1396"/>
      <c r="DG2811" s="573"/>
      <c r="DH2811" s="159"/>
      <c r="DI2811" s="1091"/>
      <c r="DJ2811" s="1187"/>
    </row>
    <row r="2812" spans="1:114" ht="15" hidden="1" customHeight="1" outlineLevel="1">
      <c r="A2812" s="453"/>
      <c r="C2812" s="51"/>
      <c r="D2812" s="4295"/>
      <c r="E2812" s="4295"/>
      <c r="F2812" s="4307" t="str">
        <f>$E$1760</f>
        <v>ASHP-SEER18-Replace_CAC_ElectricHeat_ER2_SF</v>
      </c>
      <c r="G2812" s="4307"/>
      <c r="H2812" s="4307"/>
      <c r="I2812" s="4307"/>
      <c r="J2812" s="1029" t="str">
        <f>$C$1760</f>
        <v>354250_2024_12_</v>
      </c>
      <c r="K2812" s="1756">
        <f>$K$2811</f>
        <v>39921.182266049262</v>
      </c>
      <c r="L2812" s="947">
        <f t="shared" si="308"/>
        <v>3.3267651888374385</v>
      </c>
      <c r="M2812" s="1609" t="s">
        <v>1935</v>
      </c>
      <c r="Q2812" s="209"/>
      <c r="R2812" s="261"/>
      <c r="S2812" s="52"/>
      <c r="T2812" s="52"/>
      <c r="U2812" s="52"/>
      <c r="V2812" s="4295"/>
      <c r="W2812" s="1396">
        <v>37200</v>
      </c>
      <c r="X2812" s="1396">
        <v>37200</v>
      </c>
      <c r="Y2812" s="1396">
        <v>37200</v>
      </c>
      <c r="Z2812" s="1396">
        <v>37200</v>
      </c>
      <c r="AA2812" s="1396">
        <v>37200</v>
      </c>
      <c r="AB2812" s="825">
        <v>40965.517241379312</v>
      </c>
      <c r="AC2812" s="825">
        <f>AC2811</f>
        <v>37721.739130434784</v>
      </c>
      <c r="AD2812" s="825">
        <v>38000</v>
      </c>
      <c r="AE2812" s="967">
        <v>38157.165354330711</v>
      </c>
      <c r="AF2812" s="271">
        <f t="shared" si="312"/>
        <v>39921.182266049262</v>
      </c>
      <c r="AG2812" s="1396"/>
      <c r="DG2812" s="573"/>
      <c r="DH2812" s="159"/>
      <c r="DI2812" s="1091"/>
      <c r="DJ2812" s="1187"/>
    </row>
    <row r="2813" spans="1:114" ht="15" hidden="1" customHeight="1" outlineLevel="1">
      <c r="A2813" s="453"/>
      <c r="C2813" s="51"/>
      <c r="D2813" s="4295"/>
      <c r="E2813" s="4295"/>
      <c r="F2813" s="4307" t="str">
        <f>$E$1762</f>
        <v>ASHP-SEER18-Replace_CAC_NonElectricHeat_ER1_SF</v>
      </c>
      <c r="G2813" s="4307"/>
      <c r="H2813" s="4307"/>
      <c r="I2813" s="4307"/>
      <c r="J2813" s="1029" t="str">
        <f>$C$1762</f>
        <v>354260_2024_12_</v>
      </c>
      <c r="K2813" s="1756">
        <f t="shared" ref="K2813:K2814" si="313">$K$2811</f>
        <v>39921.182266049262</v>
      </c>
      <c r="L2813" s="947">
        <f t="shared" si="308"/>
        <v>3.3267651888374385</v>
      </c>
      <c r="M2813" s="1609" t="s">
        <v>1935</v>
      </c>
      <c r="Q2813" s="209"/>
      <c r="R2813" s="261"/>
      <c r="S2813" s="52"/>
      <c r="T2813" s="52"/>
      <c r="U2813" s="52"/>
      <c r="V2813" s="4295"/>
      <c r="W2813" s="1396"/>
      <c r="X2813" s="1396"/>
      <c r="Y2813" s="1396"/>
      <c r="Z2813" s="1396"/>
      <c r="AA2813" s="1396"/>
      <c r="AB2813" s="825"/>
      <c r="AC2813" s="825">
        <v>37721.739130434784</v>
      </c>
      <c r="AD2813" s="825">
        <v>38000</v>
      </c>
      <c r="AE2813" s="967">
        <v>38157.165354330711</v>
      </c>
      <c r="AF2813" s="271">
        <f t="shared" si="312"/>
        <v>39921.182266049262</v>
      </c>
      <c r="AG2813" s="1396"/>
      <c r="DG2813" s="573"/>
      <c r="DH2813" s="159"/>
      <c r="DI2813" s="1091"/>
      <c r="DJ2813" s="1187"/>
    </row>
    <row r="2814" spans="1:114" ht="15" hidden="1" customHeight="1" outlineLevel="1">
      <c r="A2814" s="453"/>
      <c r="C2814" s="51"/>
      <c r="D2814" s="4295"/>
      <c r="E2814" s="4295"/>
      <c r="F2814" s="4307" t="str">
        <f>$E$1764</f>
        <v>ASHP-SEER18-Replace_CAC_NonElectricHeat_ER2_SF</v>
      </c>
      <c r="G2814" s="4307"/>
      <c r="H2814" s="4307"/>
      <c r="I2814" s="4307"/>
      <c r="J2814" s="1029" t="str">
        <f>$C$1764</f>
        <v>354260_2024_12_</v>
      </c>
      <c r="K2814" s="1756">
        <f t="shared" si="313"/>
        <v>39921.182266049262</v>
      </c>
      <c r="L2814" s="947">
        <f t="shared" si="308"/>
        <v>3.3267651888374385</v>
      </c>
      <c r="M2814" s="1609" t="s">
        <v>1935</v>
      </c>
      <c r="Q2814" s="209"/>
      <c r="R2814" s="261"/>
      <c r="S2814" s="52"/>
      <c r="T2814" s="52"/>
      <c r="U2814" s="52"/>
      <c r="V2814" s="4295"/>
      <c r="W2814" s="1396"/>
      <c r="X2814" s="1396"/>
      <c r="Y2814" s="1396"/>
      <c r="Z2814" s="1396"/>
      <c r="AA2814" s="1396"/>
      <c r="AB2814" s="825"/>
      <c r="AC2814" s="825">
        <f>AC2813</f>
        <v>37721.739130434784</v>
      </c>
      <c r="AD2814" s="825">
        <v>38000</v>
      </c>
      <c r="AE2814" s="967">
        <v>38157.165354330711</v>
      </c>
      <c r="AF2814" s="271">
        <f t="shared" si="312"/>
        <v>39921.182266049262</v>
      </c>
      <c r="AG2814" s="1396"/>
      <c r="DG2814" s="573"/>
      <c r="DH2814" s="159"/>
      <c r="DI2814" s="1091"/>
      <c r="DJ2814" s="1187"/>
    </row>
    <row r="2815" spans="1:114" ht="15" hidden="1" customHeight="1" outlineLevel="1">
      <c r="A2815" s="453"/>
      <c r="C2815" s="51"/>
      <c r="D2815" s="4295"/>
      <c r="E2815" s="4295"/>
      <c r="F2815" s="4307" t="str">
        <f>$E$1766</f>
        <v>ASHP-SEER18-Replace_CAC_ElectricHeat_ER1_MF</v>
      </c>
      <c r="G2815" s="4307"/>
      <c r="H2815" s="4307"/>
      <c r="I2815" s="4307"/>
      <c r="J2815" s="1029" t="str">
        <f>$C$1766</f>
        <v>354300_2024_12_</v>
      </c>
      <c r="K2815" s="1754">
        <v>18000</v>
      </c>
      <c r="L2815" s="947">
        <f t="shared" si="308"/>
        <v>1.5</v>
      </c>
      <c r="M2815" s="1740" t="s">
        <v>1938</v>
      </c>
      <c r="Q2815" s="209"/>
      <c r="R2815" s="261"/>
      <c r="S2815" s="52"/>
      <c r="T2815" s="52"/>
      <c r="U2815" s="52"/>
      <c r="V2815" s="4295"/>
      <c r="W2815" s="1396">
        <v>37200</v>
      </c>
      <c r="X2815" s="1396">
        <v>37200</v>
      </c>
      <c r="Y2815" s="1396">
        <v>37200</v>
      </c>
      <c r="Z2815" s="1396">
        <v>37200</v>
      </c>
      <c r="AA2815" s="1396">
        <v>37200</v>
      </c>
      <c r="AB2815" s="825">
        <v>48000</v>
      </c>
      <c r="AC2815" s="825">
        <v>18000</v>
      </c>
      <c r="AD2815" s="802">
        <v>18000</v>
      </c>
      <c r="AE2815" s="968">
        <v>18000</v>
      </c>
      <c r="AF2815" s="271">
        <f t="shared" si="312"/>
        <v>18000</v>
      </c>
      <c r="AG2815" s="1396"/>
      <c r="DG2815" s="573"/>
      <c r="DH2815" s="159"/>
      <c r="DI2815" s="1091"/>
      <c r="DJ2815" s="1187"/>
    </row>
    <row r="2816" spans="1:114" ht="15" hidden="1" customHeight="1" outlineLevel="1">
      <c r="A2816" s="453"/>
      <c r="C2816" s="51"/>
      <c r="D2816" s="4295"/>
      <c r="E2816" s="4295"/>
      <c r="F2816" s="4307" t="str">
        <f>$E$1768</f>
        <v>ASHP-SEER18-Replace_CAC_ElectricHeat_ER2_MF</v>
      </c>
      <c r="G2816" s="4307"/>
      <c r="H2816" s="4307"/>
      <c r="I2816" s="4307"/>
      <c r="J2816" s="1029" t="str">
        <f>$C$1768</f>
        <v>354300_2024_12_</v>
      </c>
      <c r="K2816" s="1754">
        <v>18000</v>
      </c>
      <c r="L2816" s="947">
        <f t="shared" si="308"/>
        <v>1.5</v>
      </c>
      <c r="M2816" s="1740" t="s">
        <v>1938</v>
      </c>
      <c r="Q2816" s="209"/>
      <c r="R2816" s="261"/>
      <c r="S2816" s="52"/>
      <c r="T2816" s="52"/>
      <c r="U2816" s="52"/>
      <c r="V2816" s="4295"/>
      <c r="W2816" s="1396">
        <v>37200</v>
      </c>
      <c r="X2816" s="1396">
        <v>37200</v>
      </c>
      <c r="Y2816" s="1396">
        <v>37200</v>
      </c>
      <c r="Z2816" s="1396">
        <v>37200</v>
      </c>
      <c r="AA2816" s="1396">
        <v>37200</v>
      </c>
      <c r="AB2816" s="825">
        <v>48000</v>
      </c>
      <c r="AC2816" s="825">
        <f>AC2815</f>
        <v>18000</v>
      </c>
      <c r="AD2816" s="802">
        <v>18000</v>
      </c>
      <c r="AE2816" s="968">
        <v>18000</v>
      </c>
      <c r="AF2816" s="271">
        <f t="shared" si="312"/>
        <v>18000</v>
      </c>
      <c r="AG2816" s="1396"/>
      <c r="DG2816" s="573"/>
      <c r="DH2816" s="159"/>
      <c r="DI2816" s="1091"/>
      <c r="DJ2816" s="1187"/>
    </row>
    <row r="2817" spans="1:114" ht="15" hidden="1" customHeight="1" outlineLevel="1">
      <c r="A2817" s="453"/>
      <c r="C2817" s="51"/>
      <c r="D2817" s="4295"/>
      <c r="E2817" s="4295"/>
      <c r="F2817" s="4347" t="str">
        <f>$E$1770</f>
        <v>ASHP-SEER18-Replace_CAC_ElectricHeat_ER1_MF_CompE</v>
      </c>
      <c r="G2817" s="4347"/>
      <c r="H2817" s="4347"/>
      <c r="I2817" s="4347"/>
      <c r="J2817" s="3471" t="str">
        <f>$C$1770</f>
        <v>354301_2024_12_</v>
      </c>
      <c r="K2817" s="3375">
        <v>18000</v>
      </c>
      <c r="L2817" s="3488">
        <f t="shared" si="308"/>
        <v>1.5</v>
      </c>
      <c r="M2817" s="3293" t="s">
        <v>1945</v>
      </c>
      <c r="Q2817" s="209"/>
      <c r="R2817" s="261"/>
      <c r="S2817" s="52"/>
      <c r="T2817" s="52"/>
      <c r="U2817" s="52"/>
      <c r="V2817" s="4295"/>
      <c r="W2817" s="1396"/>
      <c r="X2817" s="1396"/>
      <c r="Y2817" s="3265">
        <v>37200</v>
      </c>
      <c r="Z2817" s="3262">
        <v>37200</v>
      </c>
      <c r="AA2817" s="3262">
        <v>37200</v>
      </c>
      <c r="AB2817" s="3279">
        <v>48000</v>
      </c>
      <c r="AC2817" s="3279">
        <f>AC2815</f>
        <v>18000</v>
      </c>
      <c r="AD2817" s="3267">
        <v>18000</v>
      </c>
      <c r="AE2817" s="3478">
        <v>18000</v>
      </c>
      <c r="AF2817" s="2236">
        <f t="shared" si="312"/>
        <v>18000</v>
      </c>
      <c r="AG2817" s="1396"/>
      <c r="DG2817" s="573"/>
      <c r="DH2817" s="159"/>
      <c r="DI2817" s="1091"/>
      <c r="DJ2817" s="1187"/>
    </row>
    <row r="2818" spans="1:114" ht="15" hidden="1" customHeight="1" outlineLevel="1">
      <c r="A2818" s="453"/>
      <c r="C2818" s="51"/>
      <c r="D2818" s="4295"/>
      <c r="E2818" s="4295"/>
      <c r="F2818" s="4347" t="str">
        <f>$E$1772</f>
        <v>ASHP-SEER18-Replace_CAC_ElectricHeat_ER2_MF_CompE</v>
      </c>
      <c r="G2818" s="4347"/>
      <c r="H2818" s="4347"/>
      <c r="I2818" s="4347"/>
      <c r="J2818" s="3471" t="str">
        <f>$C$1772</f>
        <v>354301_2024_12_</v>
      </c>
      <c r="K2818" s="3375">
        <v>18000</v>
      </c>
      <c r="L2818" s="3488">
        <f t="shared" si="308"/>
        <v>1.5</v>
      </c>
      <c r="M2818" s="3293" t="s">
        <v>1945</v>
      </c>
      <c r="Q2818" s="209"/>
      <c r="R2818" s="261"/>
      <c r="S2818" s="52"/>
      <c r="T2818" s="52"/>
      <c r="U2818" s="52"/>
      <c r="V2818" s="4295"/>
      <c r="W2818" s="1396"/>
      <c r="X2818" s="1396"/>
      <c r="Y2818" s="3265">
        <v>37200</v>
      </c>
      <c r="Z2818" s="3262">
        <v>37200</v>
      </c>
      <c r="AA2818" s="3262">
        <v>37200</v>
      </c>
      <c r="AB2818" s="3279">
        <v>48000</v>
      </c>
      <c r="AC2818" s="3279">
        <f>AC2816</f>
        <v>18000</v>
      </c>
      <c r="AD2818" s="3267">
        <v>18000</v>
      </c>
      <c r="AE2818" s="3478">
        <v>18000</v>
      </c>
      <c r="AF2818" s="2236">
        <f t="shared" si="312"/>
        <v>18000</v>
      </c>
      <c r="AG2818" s="1396"/>
      <c r="DG2818" s="573"/>
      <c r="DH2818" s="159"/>
      <c r="DI2818" s="1091"/>
      <c r="DJ2818" s="1187"/>
    </row>
    <row r="2819" spans="1:114" ht="15" hidden="1" customHeight="1" outlineLevel="1">
      <c r="A2819" s="453"/>
      <c r="C2819" s="51"/>
      <c r="D2819" s="4295"/>
      <c r="E2819" s="4295"/>
      <c r="F2819" s="4347" t="str">
        <f>$E$1774</f>
        <v>ASHP-SEER18-Replace_CAC_NonElectricHeat_ER1_MF</v>
      </c>
      <c r="G2819" s="4347"/>
      <c r="H2819" s="4347"/>
      <c r="I2819" s="4347"/>
      <c r="J2819" s="3471" t="str">
        <f>$C$1774</f>
        <v>354310_2024_12_</v>
      </c>
      <c r="K2819" s="3375">
        <v>18000</v>
      </c>
      <c r="L2819" s="3488">
        <f t="shared" si="308"/>
        <v>1.5</v>
      </c>
      <c r="M2819" s="3293" t="s">
        <v>1945</v>
      </c>
      <c r="Q2819" s="209"/>
      <c r="R2819" s="261"/>
      <c r="S2819" s="52"/>
      <c r="T2819" s="52"/>
      <c r="U2819" s="52"/>
      <c r="V2819" s="4295"/>
      <c r="W2819" s="1396"/>
      <c r="X2819" s="1396"/>
      <c r="Y2819" s="3265"/>
      <c r="Z2819" s="3262"/>
      <c r="AA2819" s="3262"/>
      <c r="AB2819" s="3279"/>
      <c r="AC2819" s="3279">
        <v>18000</v>
      </c>
      <c r="AD2819" s="3267">
        <v>18000</v>
      </c>
      <c r="AE2819" s="3478">
        <v>18000</v>
      </c>
      <c r="AF2819" s="2236">
        <f t="shared" si="312"/>
        <v>18000</v>
      </c>
      <c r="AG2819" s="1396"/>
      <c r="DG2819" s="573"/>
      <c r="DH2819" s="159"/>
      <c r="DI2819" s="1091"/>
      <c r="DJ2819" s="1187"/>
    </row>
    <row r="2820" spans="1:114" ht="15" hidden="1" customHeight="1" outlineLevel="1">
      <c r="A2820" s="453"/>
      <c r="C2820" s="51"/>
      <c r="D2820" s="4295"/>
      <c r="E2820" s="4295"/>
      <c r="F2820" s="4347" t="str">
        <f>$E$1776</f>
        <v>ASHP-SEER18-Replace_CAC_NonElectricHeat_ER2_MF</v>
      </c>
      <c r="G2820" s="4347"/>
      <c r="H2820" s="4347"/>
      <c r="I2820" s="4347"/>
      <c r="J2820" s="3471" t="str">
        <f>$C$1776</f>
        <v>354310_2024_12_</v>
      </c>
      <c r="K2820" s="3375">
        <v>18000</v>
      </c>
      <c r="L2820" s="3488">
        <f t="shared" ref="L2820:L2862" si="314">K2820/12000</f>
        <v>1.5</v>
      </c>
      <c r="M2820" s="3293" t="s">
        <v>1945</v>
      </c>
      <c r="Q2820" s="209"/>
      <c r="R2820" s="261"/>
      <c r="S2820" s="52"/>
      <c r="T2820" s="52"/>
      <c r="U2820" s="52"/>
      <c r="V2820" s="4295"/>
      <c r="W2820" s="1396"/>
      <c r="X2820" s="1396"/>
      <c r="Y2820" s="3265"/>
      <c r="Z2820" s="3262"/>
      <c r="AA2820" s="3262"/>
      <c r="AB2820" s="3279"/>
      <c r="AC2820" s="3279">
        <f>AC2819</f>
        <v>18000</v>
      </c>
      <c r="AD2820" s="3267">
        <v>18000</v>
      </c>
      <c r="AE2820" s="3478">
        <v>18000</v>
      </c>
      <c r="AF2820" s="2236">
        <f t="shared" si="312"/>
        <v>18000</v>
      </c>
      <c r="AG2820" s="1396"/>
      <c r="DG2820" s="573"/>
      <c r="DH2820" s="159"/>
      <c r="DI2820" s="1091"/>
      <c r="DJ2820" s="1187"/>
    </row>
    <row r="2821" spans="1:114" ht="15" hidden="1" customHeight="1" outlineLevel="1">
      <c r="A2821" s="453"/>
      <c r="C2821" s="51"/>
      <c r="D2821" s="4295"/>
      <c r="E2821" s="4295"/>
      <c r="F2821" s="4347" t="str">
        <f>$E$1778</f>
        <v>ASHP-SEER18-Replace_CAC_NonElectricHeat_ER1_MF_CompE</v>
      </c>
      <c r="G2821" s="4347"/>
      <c r="H2821" s="4347"/>
      <c r="I2821" s="4347"/>
      <c r="J2821" s="3471" t="str">
        <f>$C$1778</f>
        <v>354311_2024_12_</v>
      </c>
      <c r="K2821" s="3375">
        <v>18000</v>
      </c>
      <c r="L2821" s="3488">
        <f t="shared" si="314"/>
        <v>1.5</v>
      </c>
      <c r="M2821" s="3293" t="s">
        <v>1945</v>
      </c>
      <c r="Q2821" s="209"/>
      <c r="R2821" s="261"/>
      <c r="S2821" s="52"/>
      <c r="T2821" s="52"/>
      <c r="U2821" s="52"/>
      <c r="V2821" s="4295"/>
      <c r="W2821" s="1396"/>
      <c r="X2821" s="1396"/>
      <c r="Y2821" s="3265"/>
      <c r="Z2821" s="3262"/>
      <c r="AA2821" s="3262"/>
      <c r="AB2821" s="3279"/>
      <c r="AC2821" s="3279">
        <f>AC2819</f>
        <v>18000</v>
      </c>
      <c r="AD2821" s="3267">
        <v>18000</v>
      </c>
      <c r="AE2821" s="3478">
        <v>18000</v>
      </c>
      <c r="AF2821" s="2236">
        <f t="shared" si="312"/>
        <v>18000</v>
      </c>
      <c r="AG2821" s="1396"/>
      <c r="DG2821" s="573"/>
      <c r="DH2821" s="159"/>
      <c r="DI2821" s="1091"/>
      <c r="DJ2821" s="1187"/>
    </row>
    <row r="2822" spans="1:114" ht="15" hidden="1" customHeight="1" outlineLevel="1">
      <c r="A2822" s="453"/>
      <c r="C2822" s="51"/>
      <c r="D2822" s="4295"/>
      <c r="E2822" s="4295"/>
      <c r="F2822" s="4347" t="str">
        <f>$E$1780</f>
        <v>ASHP-SEER18-Replace_CAC_NonElectricHeat_ER2_MF_CompE</v>
      </c>
      <c r="G2822" s="4347"/>
      <c r="H2822" s="4347"/>
      <c r="I2822" s="4347"/>
      <c r="J2822" s="3471" t="str">
        <f>$C$1780</f>
        <v>354311_2024_12_</v>
      </c>
      <c r="K2822" s="3375">
        <v>18000</v>
      </c>
      <c r="L2822" s="3488">
        <f t="shared" si="314"/>
        <v>1.5</v>
      </c>
      <c r="M2822" s="3293" t="s">
        <v>1945</v>
      </c>
      <c r="Q2822" s="209"/>
      <c r="R2822" s="261"/>
      <c r="S2822" s="52"/>
      <c r="T2822" s="52"/>
      <c r="U2822" s="52"/>
      <c r="V2822" s="4295"/>
      <c r="W2822" s="1396"/>
      <c r="X2822" s="1396"/>
      <c r="Y2822" s="3265"/>
      <c r="Z2822" s="3262"/>
      <c r="AA2822" s="3262"/>
      <c r="AB2822" s="3279"/>
      <c r="AC2822" s="3279">
        <f>AC2820</f>
        <v>18000</v>
      </c>
      <c r="AD2822" s="3267">
        <v>18000</v>
      </c>
      <c r="AE2822" s="3478">
        <v>18000</v>
      </c>
      <c r="AF2822" s="2236">
        <f t="shared" si="312"/>
        <v>18000</v>
      </c>
      <c r="AG2822" s="1396"/>
      <c r="DG2822" s="573"/>
      <c r="DH2822" s="159"/>
      <c r="DI2822" s="1091"/>
      <c r="DJ2822" s="1187"/>
    </row>
    <row r="2823" spans="1:114" ht="15" hidden="1" customHeight="1" outlineLevel="1">
      <c r="A2823" s="453"/>
      <c r="C2823" s="51"/>
      <c r="D2823" s="4295"/>
      <c r="E2823" s="4295"/>
      <c r="F2823" s="4307" t="str">
        <f>$E$1782</f>
        <v>ASHP-SEER18_ER1_MF</v>
      </c>
      <c r="G2823" s="4307"/>
      <c r="H2823" s="4307"/>
      <c r="I2823" s="4307"/>
      <c r="J2823" s="1029" t="str">
        <f>$C$1782</f>
        <v>354350_2024_12_</v>
      </c>
      <c r="K2823" s="1753">
        <v>30000</v>
      </c>
      <c r="L2823" s="947">
        <f t="shared" si="314"/>
        <v>2.5</v>
      </c>
      <c r="M2823" s="1739" t="s">
        <v>1937</v>
      </c>
      <c r="Q2823" s="209"/>
      <c r="R2823" s="261"/>
      <c r="S2823" s="52"/>
      <c r="T2823" s="52"/>
      <c r="U2823" s="52"/>
      <c r="V2823" s="4295"/>
      <c r="W2823" s="1396">
        <v>39600</v>
      </c>
      <c r="X2823" s="1396">
        <v>39600</v>
      </c>
      <c r="Y2823" s="1396">
        <v>39600</v>
      </c>
      <c r="Z2823" s="1396">
        <v>39600</v>
      </c>
      <c r="AA2823" s="1396">
        <v>39600</v>
      </c>
      <c r="AB2823" s="1396">
        <v>39600</v>
      </c>
      <c r="AC2823" s="825">
        <v>60000</v>
      </c>
      <c r="AD2823" s="825">
        <v>30000</v>
      </c>
      <c r="AE2823" s="1033">
        <v>30000</v>
      </c>
      <c r="AF2823" s="271">
        <f t="shared" si="312"/>
        <v>30000</v>
      </c>
      <c r="AG2823" s="1396"/>
      <c r="DG2823" s="573"/>
      <c r="DH2823" s="159"/>
      <c r="DI2823" s="1091"/>
      <c r="DJ2823" s="1187"/>
    </row>
    <row r="2824" spans="1:114" ht="15" hidden="1" customHeight="1" outlineLevel="1">
      <c r="A2824" s="453"/>
      <c r="C2824" s="51"/>
      <c r="D2824" s="4295"/>
      <c r="E2824" s="4295"/>
      <c r="F2824" s="4307" t="str">
        <f>$E$1784</f>
        <v>ASHP-SEER18_ER2_MF</v>
      </c>
      <c r="G2824" s="4307"/>
      <c r="H2824" s="4307"/>
      <c r="I2824" s="4307"/>
      <c r="J2824" s="1029" t="str">
        <f>$C$1784</f>
        <v>354350_2024_12_</v>
      </c>
      <c r="K2824" s="1753">
        <v>30000</v>
      </c>
      <c r="L2824" s="947">
        <f t="shared" si="314"/>
        <v>2.5</v>
      </c>
      <c r="M2824" s="1740" t="s">
        <v>1945</v>
      </c>
      <c r="Q2824" s="209"/>
      <c r="R2824" s="261"/>
      <c r="S2824" s="52"/>
      <c r="T2824" s="52"/>
      <c r="U2824" s="52"/>
      <c r="V2824" s="4295"/>
      <c r="W2824" s="1396">
        <v>39600</v>
      </c>
      <c r="X2824" s="1396">
        <v>39600</v>
      </c>
      <c r="Y2824" s="1396">
        <v>39600</v>
      </c>
      <c r="Z2824" s="1396">
        <v>39600</v>
      </c>
      <c r="AA2824" s="1396">
        <v>39600</v>
      </c>
      <c r="AB2824" s="1396">
        <v>39600</v>
      </c>
      <c r="AC2824" s="825">
        <f>AC2823</f>
        <v>60000</v>
      </c>
      <c r="AD2824" s="825">
        <v>30000</v>
      </c>
      <c r="AE2824" s="1033">
        <v>30000</v>
      </c>
      <c r="AF2824" s="271">
        <f t="shared" si="312"/>
        <v>30000</v>
      </c>
      <c r="AG2824" s="1396"/>
      <c r="DG2824" s="573"/>
      <c r="DH2824" s="159"/>
      <c r="DI2824" s="1091"/>
      <c r="DJ2824" s="1187"/>
    </row>
    <row r="2825" spans="1:114" ht="15" hidden="1" customHeight="1" outlineLevel="1">
      <c r="A2825" s="453"/>
      <c r="C2825" s="51"/>
      <c r="D2825" s="4295"/>
      <c r="E2825" s="4295"/>
      <c r="F2825" s="4347" t="str">
        <f>$E$1786</f>
        <v>ASHP-SEER18_ER1_MF_CompE</v>
      </c>
      <c r="G2825" s="4347"/>
      <c r="H2825" s="4347"/>
      <c r="I2825" s="4347"/>
      <c r="J2825" s="3471" t="str">
        <f>$C$1786</f>
        <v>354351_2024_12_</v>
      </c>
      <c r="K2825" s="3339">
        <v>30000</v>
      </c>
      <c r="L2825" s="3488">
        <f t="shared" si="314"/>
        <v>2.5</v>
      </c>
      <c r="M2825" s="3293" t="s">
        <v>1945</v>
      </c>
      <c r="Q2825" s="209"/>
      <c r="R2825" s="261"/>
      <c r="S2825" s="52"/>
      <c r="T2825" s="52"/>
      <c r="U2825" s="52"/>
      <c r="V2825" s="4295"/>
      <c r="W2825" s="1396"/>
      <c r="X2825" s="1396"/>
      <c r="Y2825" s="3265">
        <v>39600</v>
      </c>
      <c r="Z2825" s="3262">
        <v>39600</v>
      </c>
      <c r="AA2825" s="3262">
        <v>39600</v>
      </c>
      <c r="AB2825" s="3262">
        <v>39600</v>
      </c>
      <c r="AC2825" s="3279">
        <f>AC2823</f>
        <v>60000</v>
      </c>
      <c r="AD2825" s="3279">
        <v>30000</v>
      </c>
      <c r="AE2825" s="3477">
        <v>30000</v>
      </c>
      <c r="AF2825" s="2236">
        <f t="shared" si="312"/>
        <v>30000</v>
      </c>
      <c r="AG2825" s="1396"/>
      <c r="DG2825" s="573"/>
      <c r="DH2825" s="159"/>
      <c r="DI2825" s="1091"/>
      <c r="DJ2825" s="1187"/>
    </row>
    <row r="2826" spans="1:114" ht="15" hidden="1" customHeight="1" outlineLevel="1">
      <c r="A2826" s="453"/>
      <c r="C2826" s="51"/>
      <c r="D2826" s="4295"/>
      <c r="E2826" s="4295"/>
      <c r="F2826" s="4347" t="str">
        <f>$E$1788</f>
        <v>ASHP-SEER18_ER2_MF_CompE</v>
      </c>
      <c r="G2826" s="4347"/>
      <c r="H2826" s="4347"/>
      <c r="I2826" s="4347"/>
      <c r="J2826" s="3471" t="str">
        <f>$C$1788</f>
        <v>354351_2024_12_</v>
      </c>
      <c r="K2826" s="3339">
        <v>30000</v>
      </c>
      <c r="L2826" s="3488">
        <f t="shared" si="314"/>
        <v>2.5</v>
      </c>
      <c r="M2826" s="3293" t="s">
        <v>1945</v>
      </c>
      <c r="Q2826" s="209"/>
      <c r="R2826" s="261"/>
      <c r="S2826" s="52"/>
      <c r="T2826" s="52"/>
      <c r="U2826" s="52"/>
      <c r="V2826" s="4295"/>
      <c r="W2826" s="1396"/>
      <c r="X2826" s="1396"/>
      <c r="Y2826" s="3265">
        <v>39600</v>
      </c>
      <c r="Z2826" s="3262">
        <v>39600</v>
      </c>
      <c r="AA2826" s="3262">
        <v>39600</v>
      </c>
      <c r="AB2826" s="3262">
        <v>39600</v>
      </c>
      <c r="AC2826" s="3279">
        <f>AC2824</f>
        <v>60000</v>
      </c>
      <c r="AD2826" s="3279">
        <v>30000</v>
      </c>
      <c r="AE2826" s="3477">
        <v>30000</v>
      </c>
      <c r="AF2826" s="2236">
        <f t="shared" si="312"/>
        <v>30000</v>
      </c>
      <c r="AG2826" s="1396"/>
      <c r="DG2826" s="573"/>
      <c r="DH2826" s="159"/>
      <c r="DI2826" s="1091"/>
      <c r="DJ2826" s="1187"/>
    </row>
    <row r="2827" spans="1:114" ht="15" hidden="1" customHeight="1" outlineLevel="1">
      <c r="A2827" s="453"/>
      <c r="C2827" s="51"/>
      <c r="D2827" s="4295"/>
      <c r="E2827" s="4295"/>
      <c r="F2827" s="4307" t="str">
        <f>$E$1790</f>
        <v>ASHP-SEER19-Replace_CAC_ElectricHeat_ER1_SF</v>
      </c>
      <c r="G2827" s="4307"/>
      <c r="H2827" s="4307"/>
      <c r="I2827" s="4307"/>
      <c r="J2827" s="1029" t="str">
        <f>$C$1790</f>
        <v>354400_2024_12_</v>
      </c>
      <c r="K2827" s="1756">
        <v>43047.619047619046</v>
      </c>
      <c r="L2827" s="947">
        <f t="shared" si="314"/>
        <v>3.587301587301587</v>
      </c>
      <c r="M2827" s="1609" t="s">
        <v>1935</v>
      </c>
      <c r="Q2827" s="209"/>
      <c r="R2827" s="261"/>
      <c r="S2827" s="52"/>
      <c r="T2827" s="52"/>
      <c r="U2827" s="52"/>
      <c r="V2827" s="4295"/>
      <c r="W2827" s="1396">
        <v>37200</v>
      </c>
      <c r="X2827" s="1396">
        <v>37200</v>
      </c>
      <c r="Y2827" s="1396">
        <v>37200</v>
      </c>
      <c r="Z2827" s="1396">
        <v>37200</v>
      </c>
      <c r="AA2827" s="1396">
        <v>37200</v>
      </c>
      <c r="AB2827" s="1396">
        <v>37200</v>
      </c>
      <c r="AC2827" s="825">
        <v>43200</v>
      </c>
      <c r="AD2827" s="825">
        <v>49058.823529411762</v>
      </c>
      <c r="AE2827" s="967">
        <v>43304.34782608696</v>
      </c>
      <c r="AF2827" s="271">
        <f t="shared" si="312"/>
        <v>43047.619047619046</v>
      </c>
      <c r="AG2827" s="1396"/>
      <c r="DG2827" s="573"/>
      <c r="DH2827" s="159"/>
      <c r="DI2827" s="1091"/>
      <c r="DJ2827" s="1187"/>
    </row>
    <row r="2828" spans="1:114" ht="15" hidden="1" customHeight="1" outlineLevel="1">
      <c r="A2828" s="453"/>
      <c r="C2828" s="51"/>
      <c r="D2828" s="4295"/>
      <c r="E2828" s="4295"/>
      <c r="F2828" s="4307" t="str">
        <f>$E$1792</f>
        <v>ASHP-SEER19-Replace_CAC_ElectricHeat_ER2_SF</v>
      </c>
      <c r="G2828" s="4307"/>
      <c r="H2828" s="4307"/>
      <c r="I2828" s="4307"/>
      <c r="J2828" s="1029" t="str">
        <f>$C$1792</f>
        <v>354400_2024_12_</v>
      </c>
      <c r="K2828" s="1756">
        <f>$K$2827</f>
        <v>43047.619047619046</v>
      </c>
      <c r="L2828" s="947">
        <f t="shared" si="314"/>
        <v>3.587301587301587</v>
      </c>
      <c r="M2828" s="1609" t="s">
        <v>1935</v>
      </c>
      <c r="Q2828" s="209"/>
      <c r="R2828" s="261"/>
      <c r="S2828" s="52"/>
      <c r="T2828" s="52"/>
      <c r="U2828" s="52"/>
      <c r="V2828" s="4295"/>
      <c r="W2828" s="1396">
        <v>37200</v>
      </c>
      <c r="X2828" s="1396">
        <v>37200</v>
      </c>
      <c r="Y2828" s="1396">
        <v>37200</v>
      </c>
      <c r="Z2828" s="1396">
        <v>37200</v>
      </c>
      <c r="AA2828" s="1396">
        <v>37200</v>
      </c>
      <c r="AB2828" s="1396">
        <v>37200</v>
      </c>
      <c r="AC2828" s="825">
        <f>AC2827</f>
        <v>43200</v>
      </c>
      <c r="AD2828" s="825">
        <v>49058.823529411762</v>
      </c>
      <c r="AE2828" s="967">
        <v>43304.34782608696</v>
      </c>
      <c r="AF2828" s="271">
        <f t="shared" si="312"/>
        <v>43047.619047619046</v>
      </c>
      <c r="AG2828" s="1396"/>
      <c r="DG2828" s="573"/>
      <c r="DH2828" s="159"/>
      <c r="DI2828" s="1091"/>
      <c r="DJ2828" s="1187"/>
    </row>
    <row r="2829" spans="1:114" ht="15" hidden="1" customHeight="1" outlineLevel="1">
      <c r="A2829" s="453"/>
      <c r="C2829" s="51"/>
      <c r="D2829" s="4295"/>
      <c r="E2829" s="4295"/>
      <c r="F2829" s="4307" t="str">
        <f>$E$1794</f>
        <v>ASHP-SEER19-Replace_CAC_NonElectricHeat_ER1_SF</v>
      </c>
      <c r="G2829" s="4307"/>
      <c r="H2829" s="4307"/>
      <c r="I2829" s="4307"/>
      <c r="J2829" s="1029" t="str">
        <f>$C$1794</f>
        <v>354410_2024_12_</v>
      </c>
      <c r="K2829" s="1756">
        <f t="shared" ref="K2829:K2830" si="315">$K$2827</f>
        <v>43047.619047619046</v>
      </c>
      <c r="L2829" s="947">
        <f t="shared" si="314"/>
        <v>3.587301587301587</v>
      </c>
      <c r="M2829" s="1609" t="s">
        <v>1935</v>
      </c>
      <c r="Q2829" s="209"/>
      <c r="R2829" s="261"/>
      <c r="S2829" s="52"/>
      <c r="T2829" s="52"/>
      <c r="U2829" s="52"/>
      <c r="V2829" s="4295"/>
      <c r="W2829" s="1396"/>
      <c r="X2829" s="1396"/>
      <c r="Y2829" s="1396"/>
      <c r="Z2829" s="1396"/>
      <c r="AA2829" s="1396"/>
      <c r="AB2829" s="1396"/>
      <c r="AC2829" s="825">
        <v>43200</v>
      </c>
      <c r="AD2829" s="802">
        <v>43200</v>
      </c>
      <c r="AE2829" s="1110">
        <v>43304.34782608696</v>
      </c>
      <c r="AF2829" s="271">
        <f t="shared" si="312"/>
        <v>43047.619047619046</v>
      </c>
      <c r="AG2829" s="1396"/>
      <c r="DG2829" s="573"/>
      <c r="DH2829" s="159"/>
      <c r="DI2829" s="1091"/>
      <c r="DJ2829" s="1187"/>
    </row>
    <row r="2830" spans="1:114" ht="15" hidden="1" customHeight="1" outlineLevel="1">
      <c r="A2830" s="453"/>
      <c r="C2830" s="51"/>
      <c r="D2830" s="4295"/>
      <c r="E2830" s="4295"/>
      <c r="F2830" s="4307" t="str">
        <f>$E$1796</f>
        <v>ASHP-SEER19-Replace_CAC_NonElectricHeat_ER2_SF</v>
      </c>
      <c r="G2830" s="4307"/>
      <c r="H2830" s="4307"/>
      <c r="I2830" s="4307"/>
      <c r="J2830" s="1029" t="str">
        <f>$C$1796</f>
        <v>354410_2024_12_</v>
      </c>
      <c r="K2830" s="1756">
        <f t="shared" si="315"/>
        <v>43047.619047619046</v>
      </c>
      <c r="L2830" s="947">
        <f t="shared" si="314"/>
        <v>3.587301587301587</v>
      </c>
      <c r="M2830" s="1609" t="s">
        <v>1935</v>
      </c>
      <c r="Q2830" s="209"/>
      <c r="R2830" s="261"/>
      <c r="S2830" s="52"/>
      <c r="T2830" s="52"/>
      <c r="U2830" s="52"/>
      <c r="V2830" s="4295"/>
      <c r="W2830" s="1396"/>
      <c r="X2830" s="1396"/>
      <c r="Y2830" s="1396"/>
      <c r="Z2830" s="1396"/>
      <c r="AA2830" s="1396"/>
      <c r="AB2830" s="1396"/>
      <c r="AC2830" s="825">
        <f>AC2829</f>
        <v>43200</v>
      </c>
      <c r="AD2830" s="802">
        <v>43200</v>
      </c>
      <c r="AE2830" s="1110">
        <v>43304.34782608696</v>
      </c>
      <c r="AF2830" s="271">
        <f t="shared" si="312"/>
        <v>43047.619047619046</v>
      </c>
      <c r="AG2830" s="1396"/>
      <c r="DG2830" s="573"/>
      <c r="DH2830" s="159"/>
      <c r="DI2830" s="1091"/>
      <c r="DJ2830" s="1187"/>
    </row>
    <row r="2831" spans="1:114" ht="15" hidden="1" customHeight="1" outlineLevel="1">
      <c r="A2831" s="453"/>
      <c r="C2831" s="51"/>
      <c r="D2831" s="4295"/>
      <c r="E2831" s="4295"/>
      <c r="F2831" s="4307" t="str">
        <f>$E$1798</f>
        <v>ASHP-SEER19-Replace_CAC_ElectricHeat_ER1_MF</v>
      </c>
      <c r="G2831" s="4307"/>
      <c r="H2831" s="4307"/>
      <c r="I2831" s="4307"/>
      <c r="J2831" s="1029" t="str">
        <f>$C$1798</f>
        <v>354450_2024_12_</v>
      </c>
      <c r="K2831" s="1754">
        <v>37200</v>
      </c>
      <c r="L2831" s="947">
        <f t="shared" si="314"/>
        <v>3.1</v>
      </c>
      <c r="M2831" s="1740" t="s">
        <v>1945</v>
      </c>
      <c r="Q2831" s="209"/>
      <c r="R2831" s="261"/>
      <c r="S2831" s="52"/>
      <c r="T2831" s="52"/>
      <c r="U2831" s="52"/>
      <c r="V2831" s="4295"/>
      <c r="W2831" s="1396">
        <v>37200</v>
      </c>
      <c r="X2831" s="1396">
        <v>37200</v>
      </c>
      <c r="Y2831" s="1396">
        <v>37200</v>
      </c>
      <c r="Z2831" s="1396">
        <v>37200</v>
      </c>
      <c r="AA2831" s="1396">
        <v>37200</v>
      </c>
      <c r="AB2831" s="1396">
        <v>37200</v>
      </c>
      <c r="AC2831" s="802">
        <v>37200</v>
      </c>
      <c r="AD2831" s="802">
        <v>37200</v>
      </c>
      <c r="AE2831" s="968">
        <v>37200</v>
      </c>
      <c r="AF2831" s="271">
        <f t="shared" si="312"/>
        <v>37200</v>
      </c>
      <c r="AG2831" s="1396"/>
      <c r="DG2831" s="573"/>
      <c r="DH2831" s="159"/>
      <c r="DI2831" s="1091"/>
      <c r="DJ2831" s="1187"/>
    </row>
    <row r="2832" spans="1:114" ht="15" hidden="1" customHeight="1" outlineLevel="1">
      <c r="A2832" s="453"/>
      <c r="C2832" s="51"/>
      <c r="D2832" s="4295"/>
      <c r="E2832" s="4295"/>
      <c r="F2832" s="4307" t="str">
        <f>$E$1800</f>
        <v>ASHP-SEER19-Replace_CAC_ElectricHeat_ER2_MF</v>
      </c>
      <c r="G2832" s="4307"/>
      <c r="H2832" s="4307"/>
      <c r="I2832" s="4307"/>
      <c r="J2832" s="1029" t="str">
        <f>$C$1800</f>
        <v>354450_2024_12_</v>
      </c>
      <c r="K2832" s="1754">
        <v>37200</v>
      </c>
      <c r="L2832" s="947">
        <f t="shared" si="314"/>
        <v>3.1</v>
      </c>
      <c r="M2832" s="1740" t="s">
        <v>1945</v>
      </c>
      <c r="Q2832" s="209"/>
      <c r="R2832" s="261"/>
      <c r="S2832" s="52"/>
      <c r="T2832" s="52"/>
      <c r="U2832" s="52"/>
      <c r="V2832" s="4295"/>
      <c r="W2832" s="1396">
        <v>37200</v>
      </c>
      <c r="X2832" s="1396">
        <v>37200</v>
      </c>
      <c r="Y2832" s="1396">
        <v>37200</v>
      </c>
      <c r="Z2832" s="1396">
        <v>37200</v>
      </c>
      <c r="AA2832" s="1396">
        <v>37200</v>
      </c>
      <c r="AB2832" s="1396">
        <v>37200</v>
      </c>
      <c r="AC2832" s="802">
        <v>37200</v>
      </c>
      <c r="AD2832" s="802">
        <v>37200</v>
      </c>
      <c r="AE2832" s="968">
        <v>37200</v>
      </c>
      <c r="AF2832" s="271">
        <f t="shared" si="312"/>
        <v>37200</v>
      </c>
      <c r="AG2832" s="1396"/>
      <c r="DG2832" s="573"/>
      <c r="DH2832" s="159"/>
      <c r="DI2832" s="1091"/>
      <c r="DJ2832" s="1187"/>
    </row>
    <row r="2833" spans="1:114" ht="15" hidden="1" customHeight="1" outlineLevel="1">
      <c r="A2833" s="453"/>
      <c r="C2833" s="51"/>
      <c r="D2833" s="4295"/>
      <c r="E2833" s="4295"/>
      <c r="F2833" s="4347" t="str">
        <f>$E$1802</f>
        <v>ASHP-SEER19-Replace_CAC_ElectricHeat_ER1_MF_CompE</v>
      </c>
      <c r="G2833" s="4347"/>
      <c r="H2833" s="4347"/>
      <c r="I2833" s="4347"/>
      <c r="J2833" s="3471" t="str">
        <f>$C$1802</f>
        <v>354451_2024_12_</v>
      </c>
      <c r="K2833" s="3375">
        <v>37200</v>
      </c>
      <c r="L2833" s="3488">
        <f t="shared" si="314"/>
        <v>3.1</v>
      </c>
      <c r="M2833" s="3293" t="s">
        <v>1945</v>
      </c>
      <c r="Q2833" s="209"/>
      <c r="R2833" s="261"/>
      <c r="S2833" s="52"/>
      <c r="T2833" s="52"/>
      <c r="U2833" s="52"/>
      <c r="V2833" s="4295"/>
      <c r="W2833" s="1396"/>
      <c r="X2833" s="1396"/>
      <c r="Y2833" s="3265">
        <v>37200</v>
      </c>
      <c r="Z2833" s="3262">
        <v>37200</v>
      </c>
      <c r="AA2833" s="3262">
        <v>37200</v>
      </c>
      <c r="AB2833" s="3262">
        <v>37200</v>
      </c>
      <c r="AC2833" s="3267">
        <f>AC2831</f>
        <v>37200</v>
      </c>
      <c r="AD2833" s="3267">
        <v>37200</v>
      </c>
      <c r="AE2833" s="3478">
        <v>37200</v>
      </c>
      <c r="AF2833" s="2236">
        <f t="shared" si="312"/>
        <v>37200</v>
      </c>
      <c r="AG2833" s="1396"/>
      <c r="DG2833" s="573"/>
      <c r="DH2833" s="159"/>
      <c r="DI2833" s="1091"/>
      <c r="DJ2833" s="1187"/>
    </row>
    <row r="2834" spans="1:114" ht="15" hidden="1" customHeight="1" outlineLevel="1">
      <c r="A2834" s="453"/>
      <c r="C2834" s="51"/>
      <c r="D2834" s="4295"/>
      <c r="E2834" s="4295"/>
      <c r="F2834" s="4347" t="str">
        <f>$E$1804</f>
        <v>ASHP-SEER19-Replace_CAC_ElectricHeat_ER2_MF_CompE</v>
      </c>
      <c r="G2834" s="4347"/>
      <c r="H2834" s="4347"/>
      <c r="I2834" s="4347"/>
      <c r="J2834" s="3471" t="str">
        <f>$C$1804</f>
        <v>354451_2024_12_</v>
      </c>
      <c r="K2834" s="3375">
        <v>37200</v>
      </c>
      <c r="L2834" s="3488">
        <f t="shared" si="314"/>
        <v>3.1</v>
      </c>
      <c r="M2834" s="3293" t="s">
        <v>1945</v>
      </c>
      <c r="Q2834" s="209"/>
      <c r="R2834" s="261"/>
      <c r="S2834" s="52"/>
      <c r="T2834" s="52"/>
      <c r="U2834" s="52"/>
      <c r="V2834" s="4295"/>
      <c r="W2834" s="1396"/>
      <c r="X2834" s="1396"/>
      <c r="Y2834" s="3265">
        <v>37200</v>
      </c>
      <c r="Z2834" s="3262">
        <v>37200</v>
      </c>
      <c r="AA2834" s="3262">
        <v>37200</v>
      </c>
      <c r="AB2834" s="3262">
        <v>37200</v>
      </c>
      <c r="AC2834" s="3267">
        <f>AC2832</f>
        <v>37200</v>
      </c>
      <c r="AD2834" s="3267">
        <v>37200</v>
      </c>
      <c r="AE2834" s="3478">
        <v>37200</v>
      </c>
      <c r="AF2834" s="2236">
        <f t="shared" si="312"/>
        <v>37200</v>
      </c>
      <c r="AG2834" s="1396"/>
      <c r="DG2834" s="573"/>
      <c r="DH2834" s="159"/>
      <c r="DI2834" s="1091"/>
      <c r="DJ2834" s="1187"/>
    </row>
    <row r="2835" spans="1:114" ht="15" hidden="1" customHeight="1" outlineLevel="1">
      <c r="A2835" s="453"/>
      <c r="C2835" s="51"/>
      <c r="D2835" s="4295"/>
      <c r="E2835" s="4295"/>
      <c r="F2835" s="4347" t="str">
        <f>$E$1806</f>
        <v>ASHP-SEER19-Replace_CAC_NonElectricHeat_ER1_MF</v>
      </c>
      <c r="G2835" s="4347"/>
      <c r="H2835" s="4347"/>
      <c r="I2835" s="4347"/>
      <c r="J2835" s="3471" t="str">
        <f>$C$1806</f>
        <v>354460_2024_12_</v>
      </c>
      <c r="K2835" s="3375">
        <v>37200</v>
      </c>
      <c r="L2835" s="3488">
        <f t="shared" si="314"/>
        <v>3.1</v>
      </c>
      <c r="M2835" s="3293" t="s">
        <v>1945</v>
      </c>
      <c r="Q2835" s="209"/>
      <c r="R2835" s="261"/>
      <c r="S2835" s="52"/>
      <c r="T2835" s="52"/>
      <c r="U2835" s="52"/>
      <c r="V2835" s="4295"/>
      <c r="W2835" s="1396"/>
      <c r="X2835" s="1396"/>
      <c r="Y2835" s="3265"/>
      <c r="Z2835" s="3262"/>
      <c r="AA2835" s="3262"/>
      <c r="AB2835" s="3262"/>
      <c r="AC2835" s="3279">
        <v>37200</v>
      </c>
      <c r="AD2835" s="3267">
        <v>37200</v>
      </c>
      <c r="AE2835" s="3478">
        <v>37200</v>
      </c>
      <c r="AF2835" s="2236">
        <f t="shared" si="312"/>
        <v>37200</v>
      </c>
      <c r="AG2835" s="1396"/>
      <c r="DG2835" s="573"/>
      <c r="DH2835" s="159"/>
      <c r="DI2835" s="1091"/>
      <c r="DJ2835" s="1187"/>
    </row>
    <row r="2836" spans="1:114" ht="15" hidden="1" customHeight="1" outlineLevel="1">
      <c r="A2836" s="453"/>
      <c r="C2836" s="51"/>
      <c r="D2836" s="4295"/>
      <c r="E2836" s="4295"/>
      <c r="F2836" s="4347" t="str">
        <f>$E$1808</f>
        <v>ASHP-SEER19-Replace_CAC_NonElectricHeat_ER2_MF</v>
      </c>
      <c r="G2836" s="4347"/>
      <c r="H2836" s="4347"/>
      <c r="I2836" s="4347"/>
      <c r="J2836" s="3471" t="str">
        <f>$C$1808</f>
        <v>354460_2024_12_</v>
      </c>
      <c r="K2836" s="3375">
        <v>37200</v>
      </c>
      <c r="L2836" s="3488">
        <f t="shared" si="314"/>
        <v>3.1</v>
      </c>
      <c r="M2836" s="3293" t="s">
        <v>1945</v>
      </c>
      <c r="Q2836" s="209"/>
      <c r="R2836" s="261"/>
      <c r="S2836" s="52"/>
      <c r="T2836" s="52"/>
      <c r="U2836" s="52"/>
      <c r="V2836" s="4295"/>
      <c r="W2836" s="1396"/>
      <c r="X2836" s="1396"/>
      <c r="Y2836" s="3265"/>
      <c r="Z2836" s="3262"/>
      <c r="AA2836" s="3262"/>
      <c r="AB2836" s="3262"/>
      <c r="AC2836" s="3279">
        <v>37200</v>
      </c>
      <c r="AD2836" s="3267">
        <v>37200</v>
      </c>
      <c r="AE2836" s="3478">
        <v>37200</v>
      </c>
      <c r="AF2836" s="2236">
        <f t="shared" si="312"/>
        <v>37200</v>
      </c>
      <c r="AG2836" s="1396"/>
      <c r="DG2836" s="573"/>
      <c r="DH2836" s="159"/>
      <c r="DI2836" s="1091"/>
      <c r="DJ2836" s="1187"/>
    </row>
    <row r="2837" spans="1:114" ht="15" hidden="1" customHeight="1" outlineLevel="1">
      <c r="A2837" s="453"/>
      <c r="C2837" s="51"/>
      <c r="D2837" s="4295"/>
      <c r="E2837" s="4295"/>
      <c r="F2837" s="4347" t="str">
        <f>$E$1810</f>
        <v>ASHP-SEER19-Replace_CAC_NonElectricHeat_ER1_MF_CompE</v>
      </c>
      <c r="G2837" s="4347"/>
      <c r="H2837" s="4347"/>
      <c r="I2837" s="4347"/>
      <c r="J2837" s="3471" t="str">
        <f>$C$1810</f>
        <v>354461_2024_12_</v>
      </c>
      <c r="K2837" s="3375">
        <v>37200</v>
      </c>
      <c r="L2837" s="3488">
        <f t="shared" si="314"/>
        <v>3.1</v>
      </c>
      <c r="M2837" s="3293" t="s">
        <v>1945</v>
      </c>
      <c r="Q2837" s="209"/>
      <c r="R2837" s="261"/>
      <c r="S2837" s="52"/>
      <c r="T2837" s="52"/>
      <c r="U2837" s="52"/>
      <c r="V2837" s="4295"/>
      <c r="W2837" s="1396"/>
      <c r="X2837" s="1396"/>
      <c r="Y2837" s="3265"/>
      <c r="Z2837" s="3262"/>
      <c r="AA2837" s="3262"/>
      <c r="AB2837" s="3262"/>
      <c r="AC2837" s="3279">
        <f>AC2835</f>
        <v>37200</v>
      </c>
      <c r="AD2837" s="3267">
        <v>37200</v>
      </c>
      <c r="AE2837" s="3478">
        <v>37200</v>
      </c>
      <c r="AF2837" s="2236">
        <f t="shared" si="312"/>
        <v>37200</v>
      </c>
      <c r="AG2837" s="1396"/>
      <c r="DG2837" s="573"/>
      <c r="DH2837" s="159"/>
      <c r="DI2837" s="1091"/>
      <c r="DJ2837" s="1187"/>
    </row>
    <row r="2838" spans="1:114" ht="15" hidden="1" customHeight="1" outlineLevel="1">
      <c r="A2838" s="453"/>
      <c r="C2838" s="51"/>
      <c r="D2838" s="4295"/>
      <c r="E2838" s="4295"/>
      <c r="F2838" s="4347" t="str">
        <f>$E$1812</f>
        <v>ASHP-SEER19-Replace_CAC_NonElectricHeat_ER2_MF_CompE</v>
      </c>
      <c r="G2838" s="4347"/>
      <c r="H2838" s="4347"/>
      <c r="I2838" s="4347"/>
      <c r="J2838" s="3471" t="str">
        <f>$C$1812</f>
        <v>354461_2024_12_</v>
      </c>
      <c r="K2838" s="3375">
        <v>37200</v>
      </c>
      <c r="L2838" s="3488">
        <f t="shared" si="314"/>
        <v>3.1</v>
      </c>
      <c r="M2838" s="3293" t="s">
        <v>1945</v>
      </c>
      <c r="Q2838" s="209"/>
      <c r="R2838" s="261"/>
      <c r="S2838" s="52"/>
      <c r="T2838" s="52"/>
      <c r="U2838" s="52"/>
      <c r="V2838" s="4295"/>
      <c r="W2838" s="1396"/>
      <c r="X2838" s="1396"/>
      <c r="Y2838" s="3265"/>
      <c r="Z2838" s="3262"/>
      <c r="AA2838" s="3262"/>
      <c r="AB2838" s="3262"/>
      <c r="AC2838" s="3279">
        <f>AC2836</f>
        <v>37200</v>
      </c>
      <c r="AD2838" s="3267">
        <v>37200</v>
      </c>
      <c r="AE2838" s="3478">
        <v>37200</v>
      </c>
      <c r="AF2838" s="2236">
        <f t="shared" si="312"/>
        <v>37200</v>
      </c>
      <c r="AG2838" s="1396"/>
      <c r="DG2838" s="573"/>
      <c r="DH2838" s="159"/>
      <c r="DI2838" s="1091"/>
      <c r="DJ2838" s="1187"/>
    </row>
    <row r="2839" spans="1:114" ht="15" hidden="1" customHeight="1" outlineLevel="1">
      <c r="A2839" s="453"/>
      <c r="C2839" s="51"/>
      <c r="D2839" s="4295"/>
      <c r="E2839" s="4295"/>
      <c r="F2839" s="4307" t="str">
        <f>$E$1814</f>
        <v>ASHP-SEER19_ER1_MF</v>
      </c>
      <c r="G2839" s="4307"/>
      <c r="H2839" s="4307"/>
      <c r="I2839" s="4307"/>
      <c r="J2839" s="1029" t="str">
        <f>$C$1814</f>
        <v>354500_2024_12_</v>
      </c>
      <c r="K2839" s="1754">
        <v>39600</v>
      </c>
      <c r="L2839" s="947">
        <f t="shared" si="314"/>
        <v>3.3</v>
      </c>
      <c r="M2839" s="1740" t="s">
        <v>1945</v>
      </c>
      <c r="Q2839" s="209"/>
      <c r="R2839" s="261"/>
      <c r="S2839" s="52"/>
      <c r="T2839" s="52"/>
      <c r="U2839" s="52"/>
      <c r="V2839" s="4295"/>
      <c r="W2839" s="1396">
        <v>39600</v>
      </c>
      <c r="X2839" s="1396">
        <v>39600</v>
      </c>
      <c r="Y2839" s="1396">
        <v>39600</v>
      </c>
      <c r="Z2839" s="1396">
        <v>39600</v>
      </c>
      <c r="AA2839" s="1396">
        <v>39600</v>
      </c>
      <c r="AB2839" s="1396">
        <v>39600</v>
      </c>
      <c r="AC2839" s="802">
        <v>39600</v>
      </c>
      <c r="AD2839" s="802">
        <v>39600</v>
      </c>
      <c r="AE2839" s="968">
        <v>39600</v>
      </c>
      <c r="AF2839" s="271">
        <f t="shared" si="312"/>
        <v>39600</v>
      </c>
      <c r="AG2839" s="1396"/>
      <c r="DG2839" s="573"/>
      <c r="DH2839" s="159"/>
      <c r="DI2839" s="1091"/>
      <c r="DJ2839" s="1187"/>
    </row>
    <row r="2840" spans="1:114" ht="15" hidden="1" customHeight="1" outlineLevel="1">
      <c r="A2840" s="453"/>
      <c r="C2840" s="51"/>
      <c r="D2840" s="4295"/>
      <c r="E2840" s="4295"/>
      <c r="F2840" s="4307" t="str">
        <f>$E$1816</f>
        <v>ASHP-SEER19_ER2_MF</v>
      </c>
      <c r="G2840" s="4307"/>
      <c r="H2840" s="4307"/>
      <c r="I2840" s="4307"/>
      <c r="J2840" s="1029" t="str">
        <f>$C$1816</f>
        <v>354500_2024_12_</v>
      </c>
      <c r="K2840" s="1754">
        <v>39600</v>
      </c>
      <c r="L2840" s="947">
        <f t="shared" si="314"/>
        <v>3.3</v>
      </c>
      <c r="M2840" s="1740" t="s">
        <v>1945</v>
      </c>
      <c r="Q2840" s="209"/>
      <c r="R2840" s="261"/>
      <c r="S2840" s="52"/>
      <c r="T2840" s="52"/>
      <c r="U2840" s="52"/>
      <c r="V2840" s="4295"/>
      <c r="W2840" s="1396">
        <v>39600</v>
      </c>
      <c r="X2840" s="1396">
        <v>39600</v>
      </c>
      <c r="Y2840" s="1396">
        <v>39600</v>
      </c>
      <c r="Z2840" s="1396">
        <v>39600</v>
      </c>
      <c r="AA2840" s="1396">
        <v>39600</v>
      </c>
      <c r="AB2840" s="1396">
        <v>39600</v>
      </c>
      <c r="AC2840" s="802">
        <v>39600</v>
      </c>
      <c r="AD2840" s="802">
        <v>39600</v>
      </c>
      <c r="AE2840" s="968">
        <v>39600</v>
      </c>
      <c r="AF2840" s="271">
        <f t="shared" si="312"/>
        <v>39600</v>
      </c>
      <c r="AG2840" s="1396"/>
      <c r="DG2840" s="573"/>
      <c r="DH2840" s="159"/>
      <c r="DI2840" s="1091"/>
      <c r="DJ2840" s="1187"/>
    </row>
    <row r="2841" spans="1:114" ht="15" hidden="1" customHeight="1" outlineLevel="1">
      <c r="A2841" s="453"/>
      <c r="C2841" s="51"/>
      <c r="D2841" s="4295"/>
      <c r="E2841" s="4295"/>
      <c r="F2841" s="4347" t="str">
        <f>$E$1818</f>
        <v>ASHP-SEER19_ER1_MF_CompE</v>
      </c>
      <c r="G2841" s="4347"/>
      <c r="H2841" s="4347"/>
      <c r="I2841" s="4347"/>
      <c r="J2841" s="3471" t="str">
        <f>$C$1818</f>
        <v>354501_2024_12_</v>
      </c>
      <c r="K2841" s="3375">
        <v>39600</v>
      </c>
      <c r="L2841" s="3488">
        <f t="shared" si="314"/>
        <v>3.3</v>
      </c>
      <c r="M2841" s="3293" t="s">
        <v>1945</v>
      </c>
      <c r="Q2841" s="209"/>
      <c r="R2841" s="261"/>
      <c r="S2841" s="52"/>
      <c r="T2841" s="52"/>
      <c r="U2841" s="52"/>
      <c r="V2841" s="4295"/>
      <c r="W2841" s="1396"/>
      <c r="X2841" s="1396"/>
      <c r="Y2841" s="3265">
        <v>39600</v>
      </c>
      <c r="Z2841" s="3262">
        <v>39600</v>
      </c>
      <c r="AA2841" s="3262">
        <v>39600</v>
      </c>
      <c r="AB2841" s="3262">
        <v>39600</v>
      </c>
      <c r="AC2841" s="3267">
        <f>AC2839</f>
        <v>39600</v>
      </c>
      <c r="AD2841" s="3267">
        <v>39600</v>
      </c>
      <c r="AE2841" s="3478">
        <v>39600</v>
      </c>
      <c r="AF2841" s="2236">
        <f t="shared" si="312"/>
        <v>39600</v>
      </c>
      <c r="AG2841" s="1396"/>
      <c r="DG2841" s="573"/>
      <c r="DH2841" s="159"/>
      <c r="DI2841" s="1091"/>
      <c r="DJ2841" s="1187"/>
    </row>
    <row r="2842" spans="1:114" ht="15" hidden="1" customHeight="1" outlineLevel="1">
      <c r="A2842" s="453"/>
      <c r="C2842" s="51"/>
      <c r="D2842" s="4295"/>
      <c r="E2842" s="4295"/>
      <c r="F2842" s="4347" t="str">
        <f>$E$1820</f>
        <v>ASHP-SEER19_ER2_MF_CompE</v>
      </c>
      <c r="G2842" s="4347"/>
      <c r="H2842" s="4347"/>
      <c r="I2842" s="4347"/>
      <c r="J2842" s="3471" t="str">
        <f>$C$1820</f>
        <v>354501_2024_12_</v>
      </c>
      <c r="K2842" s="3375">
        <v>39600</v>
      </c>
      <c r="L2842" s="3488">
        <f t="shared" si="314"/>
        <v>3.3</v>
      </c>
      <c r="M2842" s="3293" t="s">
        <v>1945</v>
      </c>
      <c r="Q2842" s="209"/>
      <c r="R2842" s="261"/>
      <c r="S2842" s="52"/>
      <c r="T2842" s="52"/>
      <c r="U2842" s="52"/>
      <c r="V2842" s="4295"/>
      <c r="W2842" s="1396"/>
      <c r="X2842" s="1396"/>
      <c r="Y2842" s="3265">
        <v>39600</v>
      </c>
      <c r="Z2842" s="3262">
        <v>39600</v>
      </c>
      <c r="AA2842" s="3262">
        <v>39600</v>
      </c>
      <c r="AB2842" s="3262">
        <v>39600</v>
      </c>
      <c r="AC2842" s="3267">
        <f>AC2840</f>
        <v>39600</v>
      </c>
      <c r="AD2842" s="3267">
        <v>39600</v>
      </c>
      <c r="AE2842" s="3478">
        <v>39600</v>
      </c>
      <c r="AF2842" s="2236">
        <f t="shared" si="312"/>
        <v>39600</v>
      </c>
      <c r="AG2842" s="1396"/>
      <c r="DG2842" s="573"/>
      <c r="DH2842" s="159"/>
      <c r="DI2842" s="1091"/>
      <c r="DJ2842" s="1187"/>
    </row>
    <row r="2843" spans="1:114" ht="15" hidden="1" customHeight="1" outlineLevel="1">
      <c r="A2843" s="453"/>
      <c r="C2843" s="51"/>
      <c r="D2843" s="4295"/>
      <c r="E2843" s="4295"/>
      <c r="F2843" s="4307" t="str">
        <f>$E$1822</f>
        <v>ASHP-SEER20_ER1_SF</v>
      </c>
      <c r="G2843" s="4307"/>
      <c r="H2843" s="4307"/>
      <c r="I2843" s="4307"/>
      <c r="J2843" s="1029" t="str">
        <f>$C$1822</f>
        <v>354550_2024_12_</v>
      </c>
      <c r="K2843" s="1756">
        <v>35275.324675324671</v>
      </c>
      <c r="L2843" s="947">
        <f t="shared" si="314"/>
        <v>2.9396103896103893</v>
      </c>
      <c r="M2843" s="1609" t="s">
        <v>1935</v>
      </c>
      <c r="Q2843" s="209"/>
      <c r="R2843" s="261"/>
      <c r="S2843" s="52"/>
      <c r="T2843" s="52"/>
      <c r="U2843" s="52"/>
      <c r="V2843" s="4295"/>
      <c r="W2843" s="1396">
        <v>39600</v>
      </c>
      <c r="X2843" s="1396">
        <v>39600</v>
      </c>
      <c r="Y2843" s="1396">
        <v>39600</v>
      </c>
      <c r="Z2843" s="1396">
        <v>39600</v>
      </c>
      <c r="AA2843" s="1396">
        <v>39600</v>
      </c>
      <c r="AB2843" s="1396">
        <v>39600</v>
      </c>
      <c r="AC2843" s="825">
        <v>60000</v>
      </c>
      <c r="AD2843" s="825">
        <v>36754.666666666664</v>
      </c>
      <c r="AE2843" s="967">
        <v>38333.333333333336</v>
      </c>
      <c r="AF2843" s="271">
        <f t="shared" si="312"/>
        <v>35275.324675324671</v>
      </c>
      <c r="AG2843" s="1396"/>
      <c r="DG2843" s="573"/>
      <c r="DH2843" s="159"/>
      <c r="DI2843" s="1091"/>
      <c r="DJ2843" s="1187"/>
    </row>
    <row r="2844" spans="1:114" ht="15" hidden="1" customHeight="1" outlineLevel="1">
      <c r="A2844" s="453"/>
      <c r="C2844" s="51"/>
      <c r="D2844" s="4295"/>
      <c r="E2844" s="4295"/>
      <c r="F2844" s="4307" t="str">
        <f>$E$1824</f>
        <v>ASHP-SEER20_ER2_SF</v>
      </c>
      <c r="G2844" s="4307"/>
      <c r="H2844" s="4307"/>
      <c r="I2844" s="4307"/>
      <c r="J2844" s="1029" t="str">
        <f>$C$1824</f>
        <v>354550_2024_12_</v>
      </c>
      <c r="K2844" s="1756">
        <v>35275.324675324671</v>
      </c>
      <c r="L2844" s="947">
        <f t="shared" si="314"/>
        <v>2.9396103896103893</v>
      </c>
      <c r="M2844" s="1609" t="s">
        <v>1935</v>
      </c>
      <c r="Q2844" s="209"/>
      <c r="R2844" s="261"/>
      <c r="S2844" s="52"/>
      <c r="T2844" s="52"/>
      <c r="U2844" s="52"/>
      <c r="V2844" s="4295"/>
      <c r="W2844" s="1396">
        <v>39600</v>
      </c>
      <c r="X2844" s="1396">
        <v>39600</v>
      </c>
      <c r="Y2844" s="1396">
        <v>39600</v>
      </c>
      <c r="Z2844" s="1396">
        <v>39600</v>
      </c>
      <c r="AA2844" s="1396">
        <v>39600</v>
      </c>
      <c r="AB2844" s="1396">
        <v>39600</v>
      </c>
      <c r="AC2844" s="825">
        <f>AC2843</f>
        <v>60000</v>
      </c>
      <c r="AD2844" s="825">
        <v>36754.666666666664</v>
      </c>
      <c r="AE2844" s="967">
        <v>38333.333333333336</v>
      </c>
      <c r="AF2844" s="271">
        <f t="shared" si="312"/>
        <v>35275.324675324671</v>
      </c>
      <c r="AG2844" s="1396"/>
      <c r="DG2844" s="573"/>
      <c r="DH2844" s="159"/>
      <c r="DI2844" s="1091"/>
      <c r="DJ2844" s="1187"/>
    </row>
    <row r="2845" spans="1:114" ht="15" hidden="1" customHeight="1" outlineLevel="1">
      <c r="A2845" s="453"/>
      <c r="C2845" s="51"/>
      <c r="D2845" s="4295"/>
      <c r="E2845" s="4295"/>
      <c r="F2845" s="4307" t="str">
        <f>$E$1826</f>
        <v>ASHP-SEER20_ROF_SF</v>
      </c>
      <c r="G2845" s="4307"/>
      <c r="H2845" s="4307"/>
      <c r="I2845" s="4307"/>
      <c r="J2845" s="1029" t="str">
        <f>$C$1826</f>
        <v>354600_2024_12_</v>
      </c>
      <c r="K2845" s="1753">
        <v>38142.857142857138</v>
      </c>
      <c r="L2845" s="947">
        <f t="shared" si="314"/>
        <v>3.1785714285714279</v>
      </c>
      <c r="M2845" s="1739" t="s">
        <v>1937</v>
      </c>
      <c r="Q2845" s="209"/>
      <c r="R2845" s="261"/>
      <c r="S2845" s="52"/>
      <c r="T2845" s="52"/>
      <c r="U2845" s="52"/>
      <c r="V2845" s="4295"/>
      <c r="W2845" s="1396">
        <v>39600</v>
      </c>
      <c r="X2845" s="1396">
        <v>39600</v>
      </c>
      <c r="Y2845" s="1396">
        <v>39600</v>
      </c>
      <c r="Z2845" s="1396">
        <v>39600</v>
      </c>
      <c r="AA2845" s="1396">
        <v>39600</v>
      </c>
      <c r="AB2845" s="1396">
        <v>39600</v>
      </c>
      <c r="AC2845" s="825">
        <v>36000</v>
      </c>
      <c r="AD2845" s="825">
        <v>38142.857142857138</v>
      </c>
      <c r="AE2845" s="1033">
        <v>38142.857142857138</v>
      </c>
      <c r="AF2845" s="271">
        <f t="shared" si="312"/>
        <v>38142.857142857138</v>
      </c>
      <c r="AG2845" s="1396"/>
      <c r="DG2845" s="573"/>
      <c r="DH2845" s="159"/>
      <c r="DI2845" s="1091"/>
      <c r="DJ2845" s="1187"/>
    </row>
    <row r="2846" spans="1:114" ht="15" hidden="1" customHeight="1" outlineLevel="1">
      <c r="A2846" s="453"/>
      <c r="C2846" s="51"/>
      <c r="D2846" s="4295"/>
      <c r="E2846" s="4295"/>
      <c r="F2846" s="4307" t="str">
        <f>$E$1828</f>
        <v>ASHP-SEER20-Replace_CAC_ElectricHeat_ER1_MF</v>
      </c>
      <c r="G2846" s="4307"/>
      <c r="H2846" s="4307"/>
      <c r="I2846" s="4307"/>
      <c r="J2846" s="1029" t="str">
        <f>$C$1828</f>
        <v>354650_2024_12_</v>
      </c>
      <c r="K2846" s="1754">
        <v>37200</v>
      </c>
      <c r="L2846" s="947">
        <f t="shared" si="314"/>
        <v>3.1</v>
      </c>
      <c r="M2846" s="1740" t="s">
        <v>1945</v>
      </c>
      <c r="Q2846" s="209"/>
      <c r="R2846" s="261"/>
      <c r="S2846" s="52"/>
      <c r="T2846" s="52"/>
      <c r="U2846" s="52"/>
      <c r="V2846" s="4295"/>
      <c r="W2846" s="1396">
        <v>37200</v>
      </c>
      <c r="X2846" s="1396">
        <v>37200</v>
      </c>
      <c r="Y2846" s="1396">
        <v>37200</v>
      </c>
      <c r="Z2846" s="1396">
        <v>37200</v>
      </c>
      <c r="AA2846" s="1396">
        <v>37200</v>
      </c>
      <c r="AB2846" s="1396">
        <v>37200</v>
      </c>
      <c r="AC2846" s="802">
        <v>37200</v>
      </c>
      <c r="AD2846" s="802">
        <v>37200</v>
      </c>
      <c r="AE2846" s="968">
        <v>37200</v>
      </c>
      <c r="AF2846" s="271">
        <f t="shared" si="312"/>
        <v>37200</v>
      </c>
      <c r="AG2846" s="1396"/>
      <c r="DG2846" s="573"/>
      <c r="DH2846" s="159"/>
      <c r="DI2846" s="1091"/>
      <c r="DJ2846" s="1187"/>
    </row>
    <row r="2847" spans="1:114" ht="15" hidden="1" customHeight="1" outlineLevel="1">
      <c r="A2847" s="453"/>
      <c r="C2847" s="51"/>
      <c r="D2847" s="4295"/>
      <c r="E2847" s="4295"/>
      <c r="F2847" s="4307" t="str">
        <f>$E$1830</f>
        <v>ASHP-SEER20-Replace_CAC_ElectricHeat_ER2_MF</v>
      </c>
      <c r="G2847" s="4307"/>
      <c r="H2847" s="4307"/>
      <c r="I2847" s="4307"/>
      <c r="J2847" s="1029" t="str">
        <f>$C$1830</f>
        <v>354650_2024_12_</v>
      </c>
      <c r="K2847" s="1754">
        <v>37200</v>
      </c>
      <c r="L2847" s="947">
        <f t="shared" si="314"/>
        <v>3.1</v>
      </c>
      <c r="M2847" s="1740" t="s">
        <v>1945</v>
      </c>
      <c r="Q2847" s="209"/>
      <c r="R2847" s="261"/>
      <c r="S2847" s="52"/>
      <c r="T2847" s="52"/>
      <c r="U2847" s="52"/>
      <c r="V2847" s="4295"/>
      <c r="W2847" s="1396">
        <v>37200</v>
      </c>
      <c r="X2847" s="1396">
        <v>37200</v>
      </c>
      <c r="Y2847" s="1396">
        <v>37200</v>
      </c>
      <c r="Z2847" s="1396">
        <v>37200</v>
      </c>
      <c r="AA2847" s="1396">
        <v>37200</v>
      </c>
      <c r="AB2847" s="1396">
        <v>37200</v>
      </c>
      <c r="AC2847" s="802">
        <v>37200</v>
      </c>
      <c r="AD2847" s="802">
        <v>37200</v>
      </c>
      <c r="AE2847" s="968">
        <v>37200</v>
      </c>
      <c r="AF2847" s="271">
        <f t="shared" si="312"/>
        <v>37200</v>
      </c>
      <c r="AG2847" s="1396"/>
      <c r="DG2847" s="573"/>
      <c r="DH2847" s="159"/>
      <c r="DI2847" s="1091"/>
      <c r="DJ2847" s="1187"/>
    </row>
    <row r="2848" spans="1:114" ht="15" hidden="1" customHeight="1" outlineLevel="1">
      <c r="A2848" s="453"/>
      <c r="C2848" s="51"/>
      <c r="D2848" s="4295"/>
      <c r="E2848" s="4295"/>
      <c r="F2848" s="4347" t="str">
        <f>$E$1832</f>
        <v>ASHP-SEER20-Replace_CAC_ElectricHeat_ER1_MF_CompE</v>
      </c>
      <c r="G2848" s="4347"/>
      <c r="H2848" s="4347"/>
      <c r="I2848" s="4347"/>
      <c r="J2848" s="3471" t="str">
        <f>$C$1832</f>
        <v>354651_2024_12_</v>
      </c>
      <c r="K2848" s="3375">
        <v>37200</v>
      </c>
      <c r="L2848" s="3488">
        <f t="shared" si="314"/>
        <v>3.1</v>
      </c>
      <c r="M2848" s="3293" t="s">
        <v>1945</v>
      </c>
      <c r="Q2848" s="209"/>
      <c r="R2848" s="261"/>
      <c r="S2848" s="52"/>
      <c r="T2848" s="52"/>
      <c r="U2848" s="52"/>
      <c r="V2848" s="4295"/>
      <c r="W2848" s="1396"/>
      <c r="X2848" s="1396"/>
      <c r="Y2848" s="3265">
        <v>37200</v>
      </c>
      <c r="Z2848" s="3262">
        <v>37200</v>
      </c>
      <c r="AA2848" s="3262">
        <v>37200</v>
      </c>
      <c r="AB2848" s="3262">
        <v>37200</v>
      </c>
      <c r="AC2848" s="3267">
        <f>AC2846</f>
        <v>37200</v>
      </c>
      <c r="AD2848" s="3267">
        <v>37200</v>
      </c>
      <c r="AE2848" s="3478">
        <v>37200</v>
      </c>
      <c r="AF2848" s="2236">
        <f t="shared" si="312"/>
        <v>37200</v>
      </c>
      <c r="AG2848" s="1396"/>
      <c r="DG2848" s="573"/>
      <c r="DH2848" s="159"/>
      <c r="DI2848" s="1091"/>
      <c r="DJ2848" s="1187"/>
    </row>
    <row r="2849" spans="1:114" ht="15" hidden="1" customHeight="1" outlineLevel="1">
      <c r="A2849" s="453"/>
      <c r="C2849" s="51"/>
      <c r="D2849" s="4295"/>
      <c r="E2849" s="4295"/>
      <c r="F2849" s="4347" t="str">
        <f>$E$1834</f>
        <v>ASHP-SEER20-Replace_CAC_ElectricHeat_ER2_MF_CompE</v>
      </c>
      <c r="G2849" s="4347"/>
      <c r="H2849" s="4347"/>
      <c r="I2849" s="4347"/>
      <c r="J2849" s="3471" t="str">
        <f>$C$1834</f>
        <v>354651_2024_12_</v>
      </c>
      <c r="K2849" s="3375">
        <v>37200</v>
      </c>
      <c r="L2849" s="3488">
        <f t="shared" si="314"/>
        <v>3.1</v>
      </c>
      <c r="M2849" s="3293" t="s">
        <v>1945</v>
      </c>
      <c r="Q2849" s="209"/>
      <c r="R2849" s="261"/>
      <c r="S2849" s="52"/>
      <c r="T2849" s="52"/>
      <c r="U2849" s="52"/>
      <c r="V2849" s="4295"/>
      <c r="W2849" s="1396"/>
      <c r="X2849" s="1396"/>
      <c r="Y2849" s="3265">
        <v>37200</v>
      </c>
      <c r="Z2849" s="3262">
        <v>37200</v>
      </c>
      <c r="AA2849" s="3262">
        <v>37200</v>
      </c>
      <c r="AB2849" s="3262">
        <v>37200</v>
      </c>
      <c r="AC2849" s="3267">
        <f>AC2847</f>
        <v>37200</v>
      </c>
      <c r="AD2849" s="3267">
        <v>37200</v>
      </c>
      <c r="AE2849" s="3478">
        <v>37200</v>
      </c>
      <c r="AF2849" s="2236">
        <f t="shared" si="312"/>
        <v>37200</v>
      </c>
      <c r="AG2849" s="1396"/>
      <c r="DG2849" s="573"/>
      <c r="DH2849" s="159"/>
      <c r="DI2849" s="1091"/>
      <c r="DJ2849" s="1187"/>
    </row>
    <row r="2850" spans="1:114" ht="15" hidden="1" customHeight="1" outlineLevel="1">
      <c r="A2850" s="453"/>
      <c r="C2850" s="51"/>
      <c r="D2850" s="4295"/>
      <c r="E2850" s="4295"/>
      <c r="F2850" s="4347" t="str">
        <f>$E$1836</f>
        <v>ASHP-SEER20-Replace_CAC_NonElectricHeat_ER1_MF</v>
      </c>
      <c r="G2850" s="4347"/>
      <c r="H2850" s="4347"/>
      <c r="I2850" s="4347"/>
      <c r="J2850" s="3471" t="str">
        <f>$C$1836</f>
        <v>354660_2024_12_</v>
      </c>
      <c r="K2850" s="3375">
        <v>37200</v>
      </c>
      <c r="L2850" s="3488">
        <f t="shared" si="314"/>
        <v>3.1</v>
      </c>
      <c r="M2850" s="3293" t="s">
        <v>1945</v>
      </c>
      <c r="Q2850" s="209"/>
      <c r="R2850" s="261"/>
      <c r="S2850" s="52"/>
      <c r="T2850" s="52"/>
      <c r="U2850" s="52"/>
      <c r="V2850" s="4295"/>
      <c r="W2850" s="1396"/>
      <c r="X2850" s="1396"/>
      <c r="Y2850" s="3265"/>
      <c r="Z2850" s="3262"/>
      <c r="AA2850" s="3262"/>
      <c r="AB2850" s="3262"/>
      <c r="AC2850" s="3279">
        <v>37200</v>
      </c>
      <c r="AD2850" s="3267">
        <v>37200</v>
      </c>
      <c r="AE2850" s="3478">
        <v>37200</v>
      </c>
      <c r="AF2850" s="2236">
        <f t="shared" si="312"/>
        <v>37200</v>
      </c>
      <c r="AG2850" s="1396"/>
      <c r="DG2850" s="573"/>
      <c r="DH2850" s="159"/>
      <c r="DI2850" s="1091"/>
      <c r="DJ2850" s="1187"/>
    </row>
    <row r="2851" spans="1:114" ht="15" hidden="1" customHeight="1" outlineLevel="1">
      <c r="A2851" s="453"/>
      <c r="C2851" s="51"/>
      <c r="D2851" s="4295"/>
      <c r="E2851" s="4295"/>
      <c r="F2851" s="4347" t="str">
        <f>$E$1838</f>
        <v>ASHP-SEER20-Replace_CAC_NonElectricHeat_ER2_MF</v>
      </c>
      <c r="G2851" s="4347"/>
      <c r="H2851" s="4347"/>
      <c r="I2851" s="4347"/>
      <c r="J2851" s="3471" t="str">
        <f>$C$1838</f>
        <v>354660_2024_12_</v>
      </c>
      <c r="K2851" s="3375">
        <v>37200</v>
      </c>
      <c r="L2851" s="3488">
        <f t="shared" si="314"/>
        <v>3.1</v>
      </c>
      <c r="M2851" s="3293" t="s">
        <v>1945</v>
      </c>
      <c r="Q2851" s="209"/>
      <c r="R2851" s="261"/>
      <c r="S2851" s="52"/>
      <c r="T2851" s="52"/>
      <c r="U2851" s="52"/>
      <c r="V2851" s="4295"/>
      <c r="W2851" s="1396"/>
      <c r="X2851" s="1396"/>
      <c r="Y2851" s="3265"/>
      <c r="Z2851" s="3262"/>
      <c r="AA2851" s="3262"/>
      <c r="AB2851" s="3262"/>
      <c r="AC2851" s="3279">
        <v>37200</v>
      </c>
      <c r="AD2851" s="3267">
        <v>37200</v>
      </c>
      <c r="AE2851" s="3478">
        <v>37200</v>
      </c>
      <c r="AF2851" s="2236">
        <f t="shared" si="312"/>
        <v>37200</v>
      </c>
      <c r="AG2851" s="1396"/>
      <c r="DG2851" s="573"/>
      <c r="DH2851" s="159"/>
      <c r="DI2851" s="1091"/>
      <c r="DJ2851" s="1187"/>
    </row>
    <row r="2852" spans="1:114" ht="15" hidden="1" customHeight="1" outlineLevel="1">
      <c r="A2852" s="453"/>
      <c r="C2852" s="51"/>
      <c r="D2852" s="4295"/>
      <c r="E2852" s="4295"/>
      <c r="F2852" s="4347" t="str">
        <f>$E$1840</f>
        <v>ASHP-SEER20-Replace_CAC_NonElectricHeat_ER1_MF_CompE</v>
      </c>
      <c r="G2852" s="4347"/>
      <c r="H2852" s="4347"/>
      <c r="I2852" s="4347"/>
      <c r="J2852" s="3471" t="str">
        <f>$C$1840</f>
        <v>354661_2024_12_</v>
      </c>
      <c r="K2852" s="3375">
        <v>37200</v>
      </c>
      <c r="L2852" s="3488">
        <f t="shared" si="314"/>
        <v>3.1</v>
      </c>
      <c r="M2852" s="3293" t="s">
        <v>1945</v>
      </c>
      <c r="Q2852" s="209"/>
      <c r="R2852" s="261"/>
      <c r="S2852" s="52"/>
      <c r="T2852" s="52"/>
      <c r="U2852" s="52"/>
      <c r="V2852" s="4295"/>
      <c r="W2852" s="1396"/>
      <c r="X2852" s="1396"/>
      <c r="Y2852" s="3265"/>
      <c r="Z2852" s="3262"/>
      <c r="AA2852" s="3262"/>
      <c r="AB2852" s="3262"/>
      <c r="AC2852" s="3279">
        <f>AC2850</f>
        <v>37200</v>
      </c>
      <c r="AD2852" s="3267">
        <v>37200</v>
      </c>
      <c r="AE2852" s="3478">
        <v>37200</v>
      </c>
      <c r="AF2852" s="2236">
        <f t="shared" si="312"/>
        <v>37200</v>
      </c>
      <c r="AG2852" s="1396"/>
      <c r="DG2852" s="573"/>
      <c r="DH2852" s="159"/>
      <c r="DI2852" s="1091"/>
      <c r="DJ2852" s="1187"/>
    </row>
    <row r="2853" spans="1:114" ht="15" hidden="1" customHeight="1" outlineLevel="1">
      <c r="A2853" s="453"/>
      <c r="C2853" s="51"/>
      <c r="D2853" s="4295"/>
      <c r="E2853" s="4295"/>
      <c r="F2853" s="4347" t="str">
        <f>$E$1842</f>
        <v>ASHP-SEER20-Replace_CAC_NonElectricHeat_ER2_MF_CompE</v>
      </c>
      <c r="G2853" s="4347"/>
      <c r="H2853" s="4347"/>
      <c r="I2853" s="4347"/>
      <c r="J2853" s="3471" t="str">
        <f>$C$1842</f>
        <v>354661_2024_12_</v>
      </c>
      <c r="K2853" s="3375">
        <v>37200</v>
      </c>
      <c r="L2853" s="3488">
        <f t="shared" si="314"/>
        <v>3.1</v>
      </c>
      <c r="M2853" s="3293" t="s">
        <v>1945</v>
      </c>
      <c r="Q2853" s="209"/>
      <c r="R2853" s="261"/>
      <c r="S2853" s="52"/>
      <c r="T2853" s="52"/>
      <c r="U2853" s="52"/>
      <c r="V2853" s="4295"/>
      <c r="W2853" s="1396"/>
      <c r="X2853" s="1396"/>
      <c r="Y2853" s="3265"/>
      <c r="Z2853" s="3262"/>
      <c r="AA2853" s="3262"/>
      <c r="AB2853" s="3262"/>
      <c r="AC2853" s="3279">
        <f>AC2851</f>
        <v>37200</v>
      </c>
      <c r="AD2853" s="3267">
        <v>37200</v>
      </c>
      <c r="AE2853" s="3478">
        <v>37200</v>
      </c>
      <c r="AF2853" s="2236">
        <f t="shared" si="312"/>
        <v>37200</v>
      </c>
      <c r="AG2853" s="1396"/>
      <c r="DG2853" s="573"/>
      <c r="DH2853" s="159"/>
      <c r="DI2853" s="1091"/>
      <c r="DJ2853" s="1187"/>
    </row>
    <row r="2854" spans="1:114" ht="15" hidden="1" customHeight="1" outlineLevel="1">
      <c r="A2854" s="453"/>
      <c r="C2854" s="51"/>
      <c r="D2854" s="4295"/>
      <c r="E2854" s="4295"/>
      <c r="F2854" s="4307" t="str">
        <f>$E$1844</f>
        <v>ASHP-SEER20_ER1_MF</v>
      </c>
      <c r="G2854" s="4307"/>
      <c r="H2854" s="4307"/>
      <c r="I2854" s="4307"/>
      <c r="J2854" s="1029" t="str">
        <f>$C$1844</f>
        <v>354700_2024_12_</v>
      </c>
      <c r="K2854" s="1754">
        <v>39600</v>
      </c>
      <c r="L2854" s="947">
        <f t="shared" si="314"/>
        <v>3.3</v>
      </c>
      <c r="M2854" s="1740" t="s">
        <v>1945</v>
      </c>
      <c r="Q2854" s="209"/>
      <c r="R2854" s="261"/>
      <c r="S2854" s="52"/>
      <c r="T2854" s="52"/>
      <c r="U2854" s="52"/>
      <c r="V2854" s="4295"/>
      <c r="W2854" s="1396">
        <v>39600</v>
      </c>
      <c r="X2854" s="1396">
        <v>39600</v>
      </c>
      <c r="Y2854" s="1396">
        <v>39600</v>
      </c>
      <c r="Z2854" s="1396">
        <v>39600</v>
      </c>
      <c r="AA2854" s="1396">
        <v>39600</v>
      </c>
      <c r="AB2854" s="1396">
        <v>39600</v>
      </c>
      <c r="AC2854" s="802">
        <v>39600</v>
      </c>
      <c r="AD2854" s="802">
        <v>39600</v>
      </c>
      <c r="AE2854" s="968">
        <v>39600</v>
      </c>
      <c r="AF2854" s="271">
        <f t="shared" si="312"/>
        <v>39600</v>
      </c>
      <c r="AG2854" s="1396"/>
      <c r="DG2854" s="573"/>
      <c r="DH2854" s="159"/>
      <c r="DI2854" s="1091"/>
      <c r="DJ2854" s="1187"/>
    </row>
    <row r="2855" spans="1:114" ht="15" hidden="1" customHeight="1" outlineLevel="1">
      <c r="A2855" s="453"/>
      <c r="C2855" s="51"/>
      <c r="D2855" s="4295"/>
      <c r="E2855" s="4295"/>
      <c r="F2855" s="4307" t="str">
        <f>$E$1846</f>
        <v>ASHP-SEER20_ER2_MF</v>
      </c>
      <c r="G2855" s="4307"/>
      <c r="H2855" s="4307"/>
      <c r="I2855" s="4307"/>
      <c r="J2855" s="1029" t="str">
        <f>$C$1846</f>
        <v>354700_2024_12_</v>
      </c>
      <c r="K2855" s="1754">
        <v>39600</v>
      </c>
      <c r="L2855" s="947">
        <f t="shared" si="314"/>
        <v>3.3</v>
      </c>
      <c r="M2855" s="1740" t="s">
        <v>1945</v>
      </c>
      <c r="Q2855" s="209"/>
      <c r="R2855" s="261"/>
      <c r="S2855" s="52"/>
      <c r="T2855" s="52"/>
      <c r="U2855" s="52"/>
      <c r="V2855" s="4295"/>
      <c r="W2855" s="1396">
        <v>39600</v>
      </c>
      <c r="X2855" s="1396">
        <v>39600</v>
      </c>
      <c r="Y2855" s="1396">
        <v>39600</v>
      </c>
      <c r="Z2855" s="1396">
        <v>39600</v>
      </c>
      <c r="AA2855" s="1396">
        <v>39600</v>
      </c>
      <c r="AB2855" s="1396">
        <v>39600</v>
      </c>
      <c r="AC2855" s="802">
        <v>39600</v>
      </c>
      <c r="AD2855" s="802">
        <v>39600</v>
      </c>
      <c r="AE2855" s="968">
        <v>39600</v>
      </c>
      <c r="AF2855" s="271">
        <f t="shared" si="312"/>
        <v>39600</v>
      </c>
      <c r="AG2855" s="1396"/>
      <c r="DG2855" s="573"/>
      <c r="DH2855" s="159"/>
      <c r="DI2855" s="1091"/>
      <c r="DJ2855" s="1187"/>
    </row>
    <row r="2856" spans="1:114" ht="15" hidden="1" customHeight="1" outlineLevel="1">
      <c r="A2856" s="453"/>
      <c r="C2856" s="51"/>
      <c r="D2856" s="4295"/>
      <c r="E2856" s="4295"/>
      <c r="F2856" s="4347" t="str">
        <f>$E$1848</f>
        <v>ASHP-SEER20_ER1_MF_CompE</v>
      </c>
      <c r="G2856" s="4347"/>
      <c r="H2856" s="4347"/>
      <c r="I2856" s="4347"/>
      <c r="J2856" s="3471" t="str">
        <f>$C$1848</f>
        <v>354701_2024_12_</v>
      </c>
      <c r="K2856" s="3375">
        <v>39600</v>
      </c>
      <c r="L2856" s="3488">
        <f t="shared" si="314"/>
        <v>3.3</v>
      </c>
      <c r="M2856" s="3293" t="s">
        <v>1945</v>
      </c>
      <c r="Q2856" s="209"/>
      <c r="R2856" s="261"/>
      <c r="S2856" s="52"/>
      <c r="T2856" s="52"/>
      <c r="U2856" s="52"/>
      <c r="V2856" s="4295"/>
      <c r="W2856" s="1396"/>
      <c r="X2856" s="1396"/>
      <c r="Y2856" s="3265">
        <v>39600</v>
      </c>
      <c r="Z2856" s="3262">
        <v>39600</v>
      </c>
      <c r="AA2856" s="3262">
        <v>39600</v>
      </c>
      <c r="AB2856" s="3262">
        <v>39600</v>
      </c>
      <c r="AC2856" s="3267">
        <f>AC2854</f>
        <v>39600</v>
      </c>
      <c r="AD2856" s="3267">
        <v>39600</v>
      </c>
      <c r="AE2856" s="3478">
        <v>39600</v>
      </c>
      <c r="AF2856" s="2236">
        <f t="shared" si="312"/>
        <v>39600</v>
      </c>
      <c r="AG2856" s="1396"/>
      <c r="DG2856" s="573"/>
      <c r="DH2856" s="159"/>
      <c r="DI2856" s="1091"/>
      <c r="DJ2856" s="1187"/>
    </row>
    <row r="2857" spans="1:114" ht="15" hidden="1" customHeight="1" outlineLevel="1">
      <c r="A2857" s="453"/>
      <c r="C2857" s="51"/>
      <c r="D2857" s="4295"/>
      <c r="E2857" s="4295"/>
      <c r="F2857" s="4347" t="str">
        <f>$E$1850</f>
        <v>ASHP-SEER20_ER2_MF_CompE</v>
      </c>
      <c r="G2857" s="4347"/>
      <c r="H2857" s="4347"/>
      <c r="I2857" s="4347"/>
      <c r="J2857" s="3471" t="str">
        <f>$C$1850</f>
        <v>354701_2024_12_</v>
      </c>
      <c r="K2857" s="3375">
        <v>39600</v>
      </c>
      <c r="L2857" s="3488">
        <f t="shared" si="314"/>
        <v>3.3</v>
      </c>
      <c r="M2857" s="3293" t="s">
        <v>1945</v>
      </c>
      <c r="Q2857" s="209"/>
      <c r="R2857" s="261"/>
      <c r="S2857" s="52"/>
      <c r="T2857" s="52"/>
      <c r="U2857" s="52"/>
      <c r="V2857" s="4295"/>
      <c r="W2857" s="1396"/>
      <c r="X2857" s="1396"/>
      <c r="Y2857" s="3265">
        <v>39600</v>
      </c>
      <c r="Z2857" s="3262">
        <v>39600</v>
      </c>
      <c r="AA2857" s="3262">
        <v>39600</v>
      </c>
      <c r="AB2857" s="3262">
        <v>39600</v>
      </c>
      <c r="AC2857" s="3267">
        <f>AC2855</f>
        <v>39600</v>
      </c>
      <c r="AD2857" s="3267">
        <v>39600</v>
      </c>
      <c r="AE2857" s="3478">
        <v>39600</v>
      </c>
      <c r="AF2857" s="2236">
        <f t="shared" si="312"/>
        <v>39600</v>
      </c>
      <c r="AG2857" s="1396"/>
      <c r="DG2857" s="573"/>
      <c r="DH2857" s="159"/>
      <c r="DI2857" s="1091"/>
      <c r="DJ2857" s="1187"/>
    </row>
    <row r="2858" spans="1:114" ht="15" hidden="1" customHeight="1" outlineLevel="1">
      <c r="A2858" s="453"/>
      <c r="C2858" s="51"/>
      <c r="D2858" s="4295"/>
      <c r="E2858" s="4295"/>
      <c r="F2858" s="4307" t="str">
        <f>$E$1852</f>
        <v>ASHP-SEER21_ER1_SF</v>
      </c>
      <c r="G2858" s="4307"/>
      <c r="H2858" s="4307"/>
      <c r="I2858" s="4307"/>
      <c r="J2858" s="1029" t="str">
        <f>$C$1852</f>
        <v>354750_2024_12_</v>
      </c>
      <c r="K2858" s="1756">
        <v>39084.507042253521</v>
      </c>
      <c r="L2858" s="947">
        <f t="shared" si="314"/>
        <v>3.2570422535211265</v>
      </c>
      <c r="M2858" s="1609" t="s">
        <v>1935</v>
      </c>
      <c r="Q2858" s="209"/>
      <c r="R2858" s="261"/>
      <c r="S2858" s="52"/>
      <c r="T2858" s="52"/>
      <c r="U2858" s="52"/>
      <c r="V2858" s="4295"/>
      <c r="W2858" s="1396">
        <v>39600</v>
      </c>
      <c r="X2858" s="1396">
        <v>39600</v>
      </c>
      <c r="Y2858" s="1396">
        <v>39600</v>
      </c>
      <c r="Z2858" s="1396">
        <v>39600</v>
      </c>
      <c r="AA2858" s="1396">
        <v>39600</v>
      </c>
      <c r="AB2858" s="1396">
        <v>39600</v>
      </c>
      <c r="AC2858" s="825">
        <v>40615.384615384617</v>
      </c>
      <c r="AD2858" s="825">
        <v>40343.181818181816</v>
      </c>
      <c r="AE2858" s="967">
        <v>40812.765957446805</v>
      </c>
      <c r="AF2858" s="271">
        <f t="shared" si="312"/>
        <v>39084.507042253521</v>
      </c>
      <c r="AG2858" s="1396"/>
      <c r="DG2858" s="573"/>
      <c r="DH2858" s="159"/>
      <c r="DI2858" s="1091"/>
      <c r="DJ2858" s="1187"/>
    </row>
    <row r="2859" spans="1:114" ht="15" hidden="1" customHeight="1" outlineLevel="1">
      <c r="A2859" s="453"/>
      <c r="C2859" s="51"/>
      <c r="D2859" s="4295"/>
      <c r="E2859" s="4295"/>
      <c r="F2859" s="4307" t="str">
        <f>$E$1854</f>
        <v>ASHP-SEER21_ER2_SF</v>
      </c>
      <c r="G2859" s="4307"/>
      <c r="H2859" s="4307"/>
      <c r="I2859" s="4307"/>
      <c r="J2859" s="1029" t="str">
        <f>$C$1854</f>
        <v>354750_2024_12_</v>
      </c>
      <c r="K2859" s="1756">
        <v>39084.507042253521</v>
      </c>
      <c r="L2859" s="947">
        <f t="shared" si="314"/>
        <v>3.2570422535211265</v>
      </c>
      <c r="M2859" s="1609" t="s">
        <v>1935</v>
      </c>
      <c r="Q2859" s="209"/>
      <c r="R2859" s="261"/>
      <c r="S2859" s="52"/>
      <c r="T2859" s="52"/>
      <c r="U2859" s="52"/>
      <c r="V2859" s="4295"/>
      <c r="W2859" s="1396">
        <v>39600</v>
      </c>
      <c r="X2859" s="1396">
        <v>39600</v>
      </c>
      <c r="Y2859" s="1396">
        <v>39600</v>
      </c>
      <c r="Z2859" s="1396">
        <v>39600</v>
      </c>
      <c r="AA2859" s="1396">
        <v>39600</v>
      </c>
      <c r="AB2859" s="1396">
        <v>39600</v>
      </c>
      <c r="AC2859" s="825">
        <f>AC2858</f>
        <v>40615.384615384617</v>
      </c>
      <c r="AD2859" s="825">
        <v>40343.181818181816</v>
      </c>
      <c r="AE2859" s="967">
        <v>40812.765957446805</v>
      </c>
      <c r="AF2859" s="271">
        <f t="shared" si="312"/>
        <v>39084.507042253521</v>
      </c>
      <c r="AG2859" s="1396"/>
      <c r="DG2859" s="573"/>
      <c r="DH2859" s="159"/>
      <c r="DI2859" s="1091"/>
      <c r="DJ2859" s="1187"/>
    </row>
    <row r="2860" spans="1:114" ht="15" hidden="1" customHeight="1" outlineLevel="1">
      <c r="A2860" s="453"/>
      <c r="C2860" s="51"/>
      <c r="D2860" s="4295"/>
      <c r="E2860" s="4295"/>
      <c r="F2860" s="4307" t="str">
        <f>$E$1856</f>
        <v>ASHP-SEER21_ROF_SF</v>
      </c>
      <c r="G2860" s="4307"/>
      <c r="H2860" s="4307"/>
      <c r="I2860" s="4307"/>
      <c r="J2860" s="1029" t="str">
        <f>$C$1856</f>
        <v>354800_2024_12_</v>
      </c>
      <c r="K2860" s="1756">
        <v>39473.684210526313</v>
      </c>
      <c r="L2860" s="947">
        <f t="shared" si="314"/>
        <v>3.2894736842105261</v>
      </c>
      <c r="M2860" s="1609" t="s">
        <v>1935</v>
      </c>
      <c r="Q2860" s="209"/>
      <c r="R2860" s="261"/>
      <c r="S2860" s="52"/>
      <c r="T2860" s="52"/>
      <c r="U2860" s="52"/>
      <c r="V2860" s="4295"/>
      <c r="W2860" s="1396">
        <v>39600</v>
      </c>
      <c r="X2860" s="1396">
        <v>39600</v>
      </c>
      <c r="Y2860" s="1396">
        <v>39600</v>
      </c>
      <c r="Z2860" s="1396">
        <v>39600</v>
      </c>
      <c r="AA2860" s="1396">
        <v>39600</v>
      </c>
      <c r="AB2860" s="1396">
        <v>39600</v>
      </c>
      <c r="AC2860" s="825">
        <v>46500</v>
      </c>
      <c r="AD2860" s="825">
        <v>42375</v>
      </c>
      <c r="AE2860" s="967">
        <v>45272.727272727272</v>
      </c>
      <c r="AF2860" s="271">
        <f t="shared" si="312"/>
        <v>39473.684210526313</v>
      </c>
      <c r="AG2860" s="1396"/>
      <c r="DG2860" s="573"/>
      <c r="DH2860" s="159"/>
      <c r="DI2860" s="1091"/>
      <c r="DJ2860" s="1187"/>
    </row>
    <row r="2861" spans="1:114" ht="15" hidden="1" customHeight="1" outlineLevel="1">
      <c r="A2861" s="453"/>
      <c r="C2861" s="51"/>
      <c r="D2861" s="4295"/>
      <c r="E2861" s="4295"/>
      <c r="F2861" s="4307" t="str">
        <f>$E$1858</f>
        <v>ASHP-SEER21-Replace_CAC_ElectricHeat_ROF_MF</v>
      </c>
      <c r="G2861" s="4307"/>
      <c r="H2861" s="4307"/>
      <c r="I2861" s="4307"/>
      <c r="J2861" s="1029" t="str">
        <f>$C$1858</f>
        <v>354850_2024_12_</v>
      </c>
      <c r="K2861" s="1754">
        <v>33600</v>
      </c>
      <c r="L2861" s="947">
        <f t="shared" si="314"/>
        <v>2.8</v>
      </c>
      <c r="M2861" s="1740" t="s">
        <v>1945</v>
      </c>
      <c r="Q2861" s="209"/>
      <c r="R2861" s="261"/>
      <c r="S2861" s="52"/>
      <c r="T2861" s="52"/>
      <c r="U2861" s="52"/>
      <c r="V2861" s="4295"/>
      <c r="W2861" s="1396">
        <v>33600</v>
      </c>
      <c r="X2861" s="1396">
        <v>33600</v>
      </c>
      <c r="Y2861" s="1396">
        <v>33600</v>
      </c>
      <c r="Z2861" s="1396">
        <v>33600</v>
      </c>
      <c r="AA2861" s="1396">
        <v>33600</v>
      </c>
      <c r="AB2861" s="1396">
        <v>33600</v>
      </c>
      <c r="AC2861" s="802">
        <v>33600</v>
      </c>
      <c r="AD2861" s="802">
        <v>33600</v>
      </c>
      <c r="AE2861" s="968">
        <v>33600</v>
      </c>
      <c r="AF2861" s="271">
        <f t="shared" si="312"/>
        <v>33600</v>
      </c>
      <c r="AG2861" s="1396"/>
      <c r="DG2861" s="573"/>
      <c r="DH2861" s="159"/>
      <c r="DI2861" s="1091"/>
      <c r="DJ2861" s="1187"/>
    </row>
    <row r="2862" spans="1:114" ht="15" hidden="1" customHeight="1" outlineLevel="1">
      <c r="A2862" s="453"/>
      <c r="C2862" s="51"/>
      <c r="D2862" s="4295"/>
      <c r="E2862" s="4295"/>
      <c r="F2862" s="4347" t="str">
        <f>$E$1860</f>
        <v>ASHP-SEER21-Replace_CAC_ElectricHeat_ROF_MF_CompE</v>
      </c>
      <c r="G2862" s="4347"/>
      <c r="H2862" s="4347"/>
      <c r="I2862" s="4347"/>
      <c r="J2862" s="3471" t="str">
        <f>$C$1860</f>
        <v>354851_2024_12_</v>
      </c>
      <c r="K2862" s="3375">
        <v>33600</v>
      </c>
      <c r="L2862" s="3488">
        <f t="shared" si="314"/>
        <v>2.8</v>
      </c>
      <c r="M2862" s="3293" t="s">
        <v>1945</v>
      </c>
      <c r="Q2862" s="209"/>
      <c r="R2862" s="261"/>
      <c r="S2862" s="52"/>
      <c r="T2862" s="52"/>
      <c r="U2862" s="52"/>
      <c r="V2862" s="4295"/>
      <c r="W2862" s="1396"/>
      <c r="X2862" s="1396"/>
      <c r="Y2862" s="3265">
        <v>33600</v>
      </c>
      <c r="Z2862" s="3262">
        <v>33600</v>
      </c>
      <c r="AA2862" s="3262">
        <v>33600</v>
      </c>
      <c r="AB2862" s="3262">
        <v>33600</v>
      </c>
      <c r="AC2862" s="3267">
        <f>AC2861</f>
        <v>33600</v>
      </c>
      <c r="AD2862" s="3267">
        <v>33600</v>
      </c>
      <c r="AE2862" s="3478">
        <v>33600</v>
      </c>
      <c r="AF2862" s="2236">
        <f t="shared" si="312"/>
        <v>33600</v>
      </c>
      <c r="AG2862" s="1396"/>
      <c r="DG2862" s="573"/>
      <c r="DH2862" s="159"/>
      <c r="DI2862" s="1091"/>
      <c r="DJ2862" s="1187"/>
    </row>
    <row r="2863" spans="1:114" ht="15" hidden="1" customHeight="1" outlineLevel="1">
      <c r="A2863" s="453"/>
      <c r="C2863" s="51"/>
      <c r="D2863" s="4295"/>
      <c r="E2863" s="4295"/>
      <c r="F2863" s="4347" t="str">
        <f>$E$1862</f>
        <v>ASHP-SEER21-Replace_CAC_NonElectricHeat_ROF_MF</v>
      </c>
      <c r="G2863" s="4347"/>
      <c r="H2863" s="4347"/>
      <c r="I2863" s="4347"/>
      <c r="J2863" s="3471" t="str">
        <f>$C$1862</f>
        <v>354860_2024_12_</v>
      </c>
      <c r="K2863" s="3375">
        <v>33600</v>
      </c>
      <c r="L2863" s="3488">
        <f>K2863/12000</f>
        <v>2.8</v>
      </c>
      <c r="M2863" s="3293" t="s">
        <v>1945</v>
      </c>
      <c r="Q2863" s="209"/>
      <c r="R2863" s="261"/>
      <c r="S2863" s="52"/>
      <c r="T2863" s="52"/>
      <c r="U2863" s="52"/>
      <c r="V2863" s="4295"/>
      <c r="W2863" s="1396"/>
      <c r="X2863" s="1396"/>
      <c r="Y2863" s="3265"/>
      <c r="Z2863" s="3262"/>
      <c r="AA2863" s="3262"/>
      <c r="AB2863" s="3262"/>
      <c r="AC2863" s="3279">
        <v>33600</v>
      </c>
      <c r="AD2863" s="3267">
        <v>33600</v>
      </c>
      <c r="AE2863" s="3478">
        <v>33600</v>
      </c>
      <c r="AF2863" s="2236">
        <f t="shared" si="312"/>
        <v>33600</v>
      </c>
      <c r="AG2863" s="1396"/>
      <c r="DG2863" s="573"/>
      <c r="DH2863" s="159"/>
      <c r="DI2863" s="1091"/>
      <c r="DJ2863" s="1187"/>
    </row>
    <row r="2864" spans="1:114" ht="15" hidden="1" customHeight="1" outlineLevel="1">
      <c r="A2864" s="453"/>
      <c r="C2864" s="51"/>
      <c r="D2864" s="4295"/>
      <c r="E2864" s="4295"/>
      <c r="F2864" s="4347" t="str">
        <f>$E$1864</f>
        <v>ASHP-SEER21-Replace_CAC_NonElectricHeat_ROF_MF_CompE</v>
      </c>
      <c r="G2864" s="4347"/>
      <c r="H2864" s="4347"/>
      <c r="I2864" s="4347"/>
      <c r="J2864" s="3471" t="str">
        <f>$C$1864</f>
        <v>354861_2024_12_</v>
      </c>
      <c r="K2864" s="3375">
        <v>33600</v>
      </c>
      <c r="L2864" s="3488">
        <f t="shared" ref="L2864:L2878" si="316">K2864/12000</f>
        <v>2.8</v>
      </c>
      <c r="M2864" s="3293" t="s">
        <v>1945</v>
      </c>
      <c r="Q2864" s="209"/>
      <c r="R2864" s="261"/>
      <c r="S2864" s="52"/>
      <c r="T2864" s="52"/>
      <c r="U2864" s="52"/>
      <c r="V2864" s="4295"/>
      <c r="W2864" s="1396"/>
      <c r="X2864" s="1396"/>
      <c r="Y2864" s="3265"/>
      <c r="Z2864" s="3262"/>
      <c r="AA2864" s="3262"/>
      <c r="AB2864" s="3262"/>
      <c r="AC2864" s="3279">
        <f>AC2863</f>
        <v>33600</v>
      </c>
      <c r="AD2864" s="3267">
        <v>33600</v>
      </c>
      <c r="AE2864" s="3478">
        <v>33600</v>
      </c>
      <c r="AF2864" s="2236">
        <f t="shared" si="312"/>
        <v>33600</v>
      </c>
      <c r="AG2864" s="1396"/>
      <c r="DG2864" s="573"/>
      <c r="DH2864" s="159"/>
      <c r="DI2864" s="1091"/>
      <c r="DJ2864" s="1187"/>
    </row>
    <row r="2865" spans="1:114" ht="15" hidden="1" customHeight="1" outlineLevel="1">
      <c r="A2865" s="453"/>
      <c r="C2865" s="51"/>
      <c r="D2865" s="4295"/>
      <c r="E2865" s="4295"/>
      <c r="F2865" s="4307" t="str">
        <f>$E$1866</f>
        <v>ASHP-SEER21_ER1_MF</v>
      </c>
      <c r="G2865" s="4307"/>
      <c r="H2865" s="4307"/>
      <c r="I2865" s="4307"/>
      <c r="J2865" s="1029" t="str">
        <f>$C$1866</f>
        <v>354900_2024_12_</v>
      </c>
      <c r="K2865" s="1754">
        <v>39600</v>
      </c>
      <c r="L2865" s="947">
        <f t="shared" si="316"/>
        <v>3.3</v>
      </c>
      <c r="M2865" s="1740" t="s">
        <v>1945</v>
      </c>
      <c r="Q2865" s="209"/>
      <c r="R2865" s="261"/>
      <c r="S2865" s="52"/>
      <c r="T2865" s="52"/>
      <c r="U2865" s="52"/>
      <c r="V2865" s="4295"/>
      <c r="W2865" s="1396">
        <v>39600</v>
      </c>
      <c r="X2865" s="1396">
        <v>39600</v>
      </c>
      <c r="Y2865" s="1396">
        <v>39600</v>
      </c>
      <c r="Z2865" s="1396">
        <v>39600</v>
      </c>
      <c r="AA2865" s="1396">
        <v>39600</v>
      </c>
      <c r="AB2865" s="1396">
        <v>39600</v>
      </c>
      <c r="AC2865" s="802">
        <v>39600</v>
      </c>
      <c r="AD2865" s="802">
        <v>39600</v>
      </c>
      <c r="AE2865" s="968">
        <v>39600</v>
      </c>
      <c r="AF2865" s="271">
        <f t="shared" si="312"/>
        <v>39600</v>
      </c>
      <c r="AG2865" s="1396"/>
      <c r="DG2865" s="573"/>
      <c r="DH2865" s="159"/>
      <c r="DI2865" s="1091"/>
      <c r="DJ2865" s="1187"/>
    </row>
    <row r="2866" spans="1:114" ht="15" hidden="1" customHeight="1" outlineLevel="1">
      <c r="A2866" s="453"/>
      <c r="C2866" s="51"/>
      <c r="D2866" s="4295"/>
      <c r="E2866" s="4295"/>
      <c r="F2866" s="4307" t="str">
        <f>$E$1868</f>
        <v>ASHP-SEER21_ER2_MF</v>
      </c>
      <c r="G2866" s="4307"/>
      <c r="H2866" s="4307"/>
      <c r="I2866" s="4307"/>
      <c r="J2866" s="1029" t="str">
        <f>$C$1868</f>
        <v>354900_2024_12_</v>
      </c>
      <c r="K2866" s="1754">
        <v>39600</v>
      </c>
      <c r="L2866" s="947">
        <f t="shared" si="316"/>
        <v>3.3</v>
      </c>
      <c r="M2866" s="1740" t="s">
        <v>1945</v>
      </c>
      <c r="Q2866" s="209"/>
      <c r="R2866" s="261"/>
      <c r="S2866" s="52"/>
      <c r="T2866" s="52"/>
      <c r="U2866" s="52"/>
      <c r="V2866" s="4295"/>
      <c r="W2866" s="1396">
        <v>39600</v>
      </c>
      <c r="X2866" s="1396">
        <v>39600</v>
      </c>
      <c r="Y2866" s="1396">
        <v>39600</v>
      </c>
      <c r="Z2866" s="1396">
        <v>39600</v>
      </c>
      <c r="AA2866" s="1396">
        <v>39600</v>
      </c>
      <c r="AB2866" s="1396">
        <v>39600</v>
      </c>
      <c r="AC2866" s="802">
        <v>39600</v>
      </c>
      <c r="AD2866" s="802">
        <v>39600</v>
      </c>
      <c r="AE2866" s="968">
        <v>39600</v>
      </c>
      <c r="AF2866" s="271">
        <f t="shared" si="312"/>
        <v>39600</v>
      </c>
      <c r="AG2866" s="1396"/>
      <c r="DG2866" s="573"/>
      <c r="DH2866" s="159"/>
      <c r="DI2866" s="1091"/>
      <c r="DJ2866" s="1187"/>
    </row>
    <row r="2867" spans="1:114" ht="15" hidden="1" customHeight="1" outlineLevel="1">
      <c r="A2867" s="453"/>
      <c r="C2867" s="51"/>
      <c r="D2867" s="4295"/>
      <c r="E2867" s="4295"/>
      <c r="F2867" s="4347" t="str">
        <f>$E$1870</f>
        <v>ASHP-SEER21_ER1_MF_CompE</v>
      </c>
      <c r="G2867" s="4347"/>
      <c r="H2867" s="4347"/>
      <c r="I2867" s="4347"/>
      <c r="J2867" s="3471" t="str">
        <f>$C$1870</f>
        <v>354901_2024_12_</v>
      </c>
      <c r="K2867" s="3375">
        <v>39600</v>
      </c>
      <c r="L2867" s="3488">
        <f t="shared" si="316"/>
        <v>3.3</v>
      </c>
      <c r="M2867" s="3293" t="s">
        <v>1945</v>
      </c>
      <c r="Q2867" s="209"/>
      <c r="R2867" s="261"/>
      <c r="S2867" s="52"/>
      <c r="T2867" s="52"/>
      <c r="U2867" s="52"/>
      <c r="V2867" s="4295"/>
      <c r="W2867" s="1396"/>
      <c r="X2867" s="1396"/>
      <c r="Y2867" s="3265">
        <v>39600</v>
      </c>
      <c r="Z2867" s="3262">
        <v>39600</v>
      </c>
      <c r="AA2867" s="3262">
        <v>39600</v>
      </c>
      <c r="AB2867" s="3262">
        <v>39600</v>
      </c>
      <c r="AC2867" s="3267">
        <f>AC2865</f>
        <v>39600</v>
      </c>
      <c r="AD2867" s="3267">
        <v>39600</v>
      </c>
      <c r="AE2867" s="3478">
        <v>39600</v>
      </c>
      <c r="AF2867" s="2236">
        <f t="shared" si="312"/>
        <v>39600</v>
      </c>
      <c r="AG2867" s="1396"/>
      <c r="DG2867" s="573"/>
      <c r="DH2867" s="159"/>
      <c r="DI2867" s="1091"/>
      <c r="DJ2867" s="1187"/>
    </row>
    <row r="2868" spans="1:114" ht="15" hidden="1" customHeight="1" outlineLevel="1">
      <c r="A2868" s="453"/>
      <c r="C2868" s="51"/>
      <c r="D2868" s="4295"/>
      <c r="E2868" s="4295"/>
      <c r="F2868" s="4347" t="str">
        <f>$E$1872</f>
        <v>ASHP-SEER21_ER2_MF_CompE</v>
      </c>
      <c r="G2868" s="4347"/>
      <c r="H2868" s="4347"/>
      <c r="I2868" s="4347"/>
      <c r="J2868" s="3471" t="str">
        <f>$C$1872</f>
        <v>354901_2024_12_</v>
      </c>
      <c r="K2868" s="3375">
        <v>39600</v>
      </c>
      <c r="L2868" s="3488">
        <f t="shared" si="316"/>
        <v>3.3</v>
      </c>
      <c r="M2868" s="3293" t="s">
        <v>1945</v>
      </c>
      <c r="Q2868" s="209"/>
      <c r="R2868" s="261"/>
      <c r="S2868" s="52"/>
      <c r="T2868" s="52"/>
      <c r="U2868" s="52"/>
      <c r="V2868" s="4295"/>
      <c r="W2868" s="1396"/>
      <c r="X2868" s="1396"/>
      <c r="Y2868" s="3265">
        <v>39600</v>
      </c>
      <c r="Z2868" s="3262">
        <v>39600</v>
      </c>
      <c r="AA2868" s="3262">
        <v>39600</v>
      </c>
      <c r="AB2868" s="3262">
        <v>39600</v>
      </c>
      <c r="AC2868" s="3267">
        <f>AC2866</f>
        <v>39600</v>
      </c>
      <c r="AD2868" s="3267">
        <v>39600</v>
      </c>
      <c r="AE2868" s="3478">
        <v>39600</v>
      </c>
      <c r="AF2868" s="2236">
        <f t="shared" si="312"/>
        <v>39600</v>
      </c>
      <c r="AG2868" s="1396"/>
      <c r="DG2868" s="573"/>
      <c r="DH2868" s="159"/>
      <c r="DI2868" s="1091"/>
      <c r="DJ2868" s="1187"/>
    </row>
    <row r="2869" spans="1:114" ht="15" hidden="1" customHeight="1" outlineLevel="1">
      <c r="A2869" s="453"/>
      <c r="C2869" s="51"/>
      <c r="D2869" s="4295"/>
      <c r="E2869" s="4295"/>
      <c r="F2869" s="4307" t="str">
        <f>$E$1874</f>
        <v>ASHP-SEER17_ROF_MF</v>
      </c>
      <c r="G2869" s="4307"/>
      <c r="H2869" s="4307"/>
      <c r="I2869" s="4307"/>
      <c r="J2869" s="1029" t="str">
        <f>$C$1874</f>
        <v>354950_2024_12_</v>
      </c>
      <c r="K2869" s="1754">
        <v>39600</v>
      </c>
      <c r="L2869" s="947">
        <f t="shared" si="316"/>
        <v>3.3</v>
      </c>
      <c r="M2869" s="1740" t="s">
        <v>2496</v>
      </c>
      <c r="P2869" s="261"/>
      <c r="Q2869" s="209"/>
      <c r="R2869" s="261"/>
      <c r="S2869" s="52"/>
      <c r="T2869" s="181"/>
      <c r="U2869" s="52"/>
      <c r="V2869" s="4295"/>
      <c r="W2869" s="1396">
        <v>39600</v>
      </c>
      <c r="X2869" s="1396">
        <v>39600</v>
      </c>
      <c r="Y2869" s="1396">
        <v>39600</v>
      </c>
      <c r="Z2869" s="1396">
        <v>39600</v>
      </c>
      <c r="AA2869" s="1396">
        <v>39600</v>
      </c>
      <c r="AB2869" s="1396">
        <v>39600</v>
      </c>
      <c r="AC2869" s="802">
        <v>39600</v>
      </c>
      <c r="AD2869" s="802">
        <v>39600</v>
      </c>
      <c r="AE2869" s="968">
        <v>39600</v>
      </c>
      <c r="AF2869" s="271">
        <f t="shared" si="312"/>
        <v>39600</v>
      </c>
      <c r="AG2869" s="1396"/>
      <c r="DG2869" s="573"/>
      <c r="DH2869" s="159"/>
      <c r="DI2869" s="1091"/>
      <c r="DJ2869" s="1187"/>
    </row>
    <row r="2870" spans="1:114" ht="15" hidden="1" customHeight="1" outlineLevel="1">
      <c r="A2870" s="453"/>
      <c r="C2870" s="51"/>
      <c r="D2870" s="4295"/>
      <c r="E2870" s="4295"/>
      <c r="F2870" s="4347" t="str">
        <f>$E$1876</f>
        <v>ASHP-SEER17_ROF_MF_CompE</v>
      </c>
      <c r="G2870" s="4347"/>
      <c r="H2870" s="4347"/>
      <c r="I2870" s="4347"/>
      <c r="J2870" s="3471" t="str">
        <f>$C$1876</f>
        <v>354951_2024_12_</v>
      </c>
      <c r="K2870" s="3375">
        <v>39600</v>
      </c>
      <c r="L2870" s="3488">
        <f t="shared" si="316"/>
        <v>3.3</v>
      </c>
      <c r="M2870" s="3293" t="s">
        <v>1945</v>
      </c>
      <c r="P2870" s="261"/>
      <c r="Q2870" s="209"/>
      <c r="R2870" s="261"/>
      <c r="S2870" s="52"/>
      <c r="T2870" s="181"/>
      <c r="U2870" s="52"/>
      <c r="V2870" s="4295"/>
      <c r="W2870" s="1396"/>
      <c r="X2870" s="1396"/>
      <c r="Y2870" s="3265">
        <v>39600</v>
      </c>
      <c r="Z2870" s="3262">
        <v>39600</v>
      </c>
      <c r="AA2870" s="3262">
        <v>39600</v>
      </c>
      <c r="AB2870" s="3262">
        <v>39600</v>
      </c>
      <c r="AC2870" s="3267">
        <f>AC2869</f>
        <v>39600</v>
      </c>
      <c r="AD2870" s="3267">
        <v>39600</v>
      </c>
      <c r="AE2870" s="3478">
        <v>39600</v>
      </c>
      <c r="AF2870" s="2236">
        <f t="shared" si="312"/>
        <v>39600</v>
      </c>
      <c r="AG2870" s="1396"/>
      <c r="DG2870" s="573"/>
      <c r="DH2870" s="159"/>
      <c r="DI2870" s="1091"/>
      <c r="DJ2870" s="1187"/>
    </row>
    <row r="2871" spans="1:114" ht="15" hidden="1" customHeight="1" outlineLevel="1">
      <c r="A2871" s="453"/>
      <c r="C2871" s="51"/>
      <c r="D2871" s="4295"/>
      <c r="E2871" s="4295"/>
      <c r="F2871" s="4307" t="str">
        <f>$E$1878</f>
        <v>ASHP-SEER18_ROF_MF</v>
      </c>
      <c r="G2871" s="4307"/>
      <c r="H2871" s="4307"/>
      <c r="I2871" s="4307"/>
      <c r="J2871" s="1029" t="str">
        <f>$C$1878</f>
        <v>355000_2024_12_</v>
      </c>
      <c r="K2871" s="1754">
        <v>39600</v>
      </c>
      <c r="L2871" s="947">
        <f t="shared" si="316"/>
        <v>3.3</v>
      </c>
      <c r="M2871" s="1740" t="s">
        <v>2496</v>
      </c>
      <c r="P2871" s="261"/>
      <c r="Q2871" s="209"/>
      <c r="R2871" s="261"/>
      <c r="S2871" s="52"/>
      <c r="T2871" s="181"/>
      <c r="U2871" s="52"/>
      <c r="V2871" s="4295"/>
      <c r="W2871" s="1396">
        <v>39600</v>
      </c>
      <c r="X2871" s="1396">
        <v>39600</v>
      </c>
      <c r="Y2871" s="1396">
        <v>39600</v>
      </c>
      <c r="Z2871" s="1396">
        <v>39600</v>
      </c>
      <c r="AA2871" s="1396">
        <v>39600</v>
      </c>
      <c r="AB2871" s="1396">
        <v>39600</v>
      </c>
      <c r="AC2871" s="802">
        <v>39600</v>
      </c>
      <c r="AD2871" s="802">
        <v>39600</v>
      </c>
      <c r="AE2871" s="968">
        <v>39600</v>
      </c>
      <c r="AF2871" s="271">
        <f t="shared" si="312"/>
        <v>39600</v>
      </c>
      <c r="AG2871" s="1396"/>
      <c r="DG2871" s="573"/>
      <c r="DH2871" s="159"/>
      <c r="DI2871" s="1091"/>
      <c r="DJ2871" s="1187"/>
    </row>
    <row r="2872" spans="1:114" ht="15" hidden="1" customHeight="1" outlineLevel="1">
      <c r="A2872" s="453"/>
      <c r="C2872" s="51"/>
      <c r="D2872" s="4295"/>
      <c r="E2872" s="4295"/>
      <c r="F2872" s="4347" t="str">
        <f>$E$1880</f>
        <v>ASHP-SEER18_ROF_MF_CompE</v>
      </c>
      <c r="G2872" s="4347"/>
      <c r="H2872" s="4347"/>
      <c r="I2872" s="4347"/>
      <c r="J2872" s="3471" t="str">
        <f>$C$1880</f>
        <v>355001_2024_12_</v>
      </c>
      <c r="K2872" s="3375">
        <v>39600</v>
      </c>
      <c r="L2872" s="3488">
        <f t="shared" si="316"/>
        <v>3.3</v>
      </c>
      <c r="M2872" s="3293" t="s">
        <v>1945</v>
      </c>
      <c r="P2872" s="261"/>
      <c r="Q2872" s="209"/>
      <c r="R2872" s="261"/>
      <c r="S2872" s="52"/>
      <c r="T2872" s="181"/>
      <c r="U2872" s="52"/>
      <c r="V2872" s="4295"/>
      <c r="W2872" s="1396"/>
      <c r="X2872" s="1396"/>
      <c r="Y2872" s="3265">
        <v>39600</v>
      </c>
      <c r="Z2872" s="3262">
        <v>39600</v>
      </c>
      <c r="AA2872" s="3262">
        <v>39600</v>
      </c>
      <c r="AB2872" s="3262">
        <v>39600</v>
      </c>
      <c r="AC2872" s="3267">
        <f>AC2871</f>
        <v>39600</v>
      </c>
      <c r="AD2872" s="3267">
        <v>39600</v>
      </c>
      <c r="AE2872" s="3478">
        <v>39600</v>
      </c>
      <c r="AF2872" s="2236">
        <f t="shared" si="312"/>
        <v>39600</v>
      </c>
      <c r="AG2872" s="1396"/>
      <c r="DG2872" s="573"/>
      <c r="DH2872" s="159"/>
      <c r="DI2872" s="1091"/>
      <c r="DJ2872" s="1187"/>
    </row>
    <row r="2873" spans="1:114" ht="15" hidden="1" customHeight="1" outlineLevel="1">
      <c r="A2873" s="453"/>
      <c r="C2873" s="51"/>
      <c r="D2873" s="4295"/>
      <c r="E2873" s="4295"/>
      <c r="F2873" s="4307" t="str">
        <f>$E$1882</f>
        <v>ASHP-SEER19_ROF_MF</v>
      </c>
      <c r="G2873" s="4307"/>
      <c r="H2873" s="4307"/>
      <c r="I2873" s="4307"/>
      <c r="J2873" s="1029" t="str">
        <f>$C$1882</f>
        <v>355050_2024_12_</v>
      </c>
      <c r="K2873" s="1754">
        <v>39600</v>
      </c>
      <c r="L2873" s="947">
        <f t="shared" si="316"/>
        <v>3.3</v>
      </c>
      <c r="M2873" s="1740" t="s">
        <v>2496</v>
      </c>
      <c r="Q2873" s="209"/>
      <c r="R2873" s="261"/>
      <c r="S2873" s="52"/>
      <c r="T2873" s="52"/>
      <c r="U2873" s="52"/>
      <c r="V2873" s="4295"/>
      <c r="W2873" s="1396">
        <v>39600</v>
      </c>
      <c r="X2873" s="1396">
        <v>39600</v>
      </c>
      <c r="Y2873" s="1396">
        <v>39600</v>
      </c>
      <c r="Z2873" s="1396">
        <v>39600</v>
      </c>
      <c r="AA2873" s="1396">
        <v>39600</v>
      </c>
      <c r="AB2873" s="1396">
        <v>39600</v>
      </c>
      <c r="AC2873" s="802">
        <v>39600</v>
      </c>
      <c r="AD2873" s="802">
        <v>39600</v>
      </c>
      <c r="AE2873" s="968">
        <v>39600</v>
      </c>
      <c r="AF2873" s="271">
        <f t="shared" si="312"/>
        <v>39600</v>
      </c>
      <c r="AG2873" s="1396"/>
      <c r="DG2873" s="573"/>
      <c r="DH2873" s="159"/>
      <c r="DI2873" s="1091"/>
      <c r="DJ2873" s="1187"/>
    </row>
    <row r="2874" spans="1:114" ht="15" hidden="1" customHeight="1" outlineLevel="1">
      <c r="A2874" s="453"/>
      <c r="C2874" s="51"/>
      <c r="D2874" s="4295"/>
      <c r="E2874" s="4295"/>
      <c r="F2874" s="4347" t="str">
        <f>$E$1884</f>
        <v>ASHP-SEER19_ROF_MF_CompE</v>
      </c>
      <c r="G2874" s="4347"/>
      <c r="H2874" s="4347"/>
      <c r="I2874" s="4347"/>
      <c r="J2874" s="3471" t="str">
        <f>$C$1884</f>
        <v>355051_2024_12_</v>
      </c>
      <c r="K2874" s="3375">
        <v>39600</v>
      </c>
      <c r="L2874" s="3488">
        <f t="shared" si="316"/>
        <v>3.3</v>
      </c>
      <c r="M2874" s="3293" t="s">
        <v>1945</v>
      </c>
      <c r="Q2874" s="209"/>
      <c r="R2874" s="261"/>
      <c r="S2874" s="52"/>
      <c r="T2874" s="52"/>
      <c r="U2874" s="52"/>
      <c r="V2874" s="4295"/>
      <c r="W2874" s="1396"/>
      <c r="X2874" s="1396"/>
      <c r="Y2874" s="3265">
        <v>39600</v>
      </c>
      <c r="Z2874" s="3262">
        <v>39600</v>
      </c>
      <c r="AA2874" s="3262">
        <v>39600</v>
      </c>
      <c r="AB2874" s="3262">
        <v>39600</v>
      </c>
      <c r="AC2874" s="3267">
        <f>AC2873</f>
        <v>39600</v>
      </c>
      <c r="AD2874" s="3267">
        <v>39600</v>
      </c>
      <c r="AE2874" s="3478">
        <v>39600</v>
      </c>
      <c r="AF2874" s="2236">
        <f t="shared" ref="AF2874:AF2937" si="317">IF(K2874&lt;&gt;"",K2874,"")</f>
        <v>39600</v>
      </c>
      <c r="AG2874" s="1396"/>
      <c r="DG2874" s="573"/>
      <c r="DH2874" s="159"/>
      <c r="DI2874" s="1091"/>
      <c r="DJ2874" s="1187"/>
    </row>
    <row r="2875" spans="1:114" ht="15" hidden="1" customHeight="1" outlineLevel="1">
      <c r="A2875" s="453"/>
      <c r="C2875" s="51"/>
      <c r="D2875" s="4295"/>
      <c r="E2875" s="4295"/>
      <c r="F2875" s="4307" t="str">
        <f>$E$1886</f>
        <v>ASHP-SEER20_ROF_MF</v>
      </c>
      <c r="G2875" s="4307"/>
      <c r="H2875" s="4307"/>
      <c r="I2875" s="4307"/>
      <c r="J2875" s="1029" t="str">
        <f>$C$1886</f>
        <v>355100_2024_12_</v>
      </c>
      <c r="K2875" s="1754">
        <v>39600</v>
      </c>
      <c r="L2875" s="947">
        <f t="shared" si="316"/>
        <v>3.3</v>
      </c>
      <c r="M2875" s="1740" t="s">
        <v>2496</v>
      </c>
      <c r="Q2875" s="209"/>
      <c r="R2875" s="261"/>
      <c r="S2875" s="52"/>
      <c r="T2875" s="52"/>
      <c r="U2875" s="52"/>
      <c r="V2875" s="4295"/>
      <c r="W2875" s="1396">
        <v>39600</v>
      </c>
      <c r="X2875" s="1396">
        <v>39600</v>
      </c>
      <c r="Y2875" s="1396">
        <v>39600</v>
      </c>
      <c r="Z2875" s="1396">
        <v>39600</v>
      </c>
      <c r="AA2875" s="1396">
        <v>39600</v>
      </c>
      <c r="AB2875" s="1396">
        <v>39600</v>
      </c>
      <c r="AC2875" s="802">
        <v>39600</v>
      </c>
      <c r="AD2875" s="802">
        <v>39600</v>
      </c>
      <c r="AE2875" s="968">
        <v>39600</v>
      </c>
      <c r="AF2875" s="271">
        <f t="shared" si="317"/>
        <v>39600</v>
      </c>
      <c r="AG2875" s="1396"/>
      <c r="DG2875" s="573"/>
      <c r="DH2875" s="159"/>
      <c r="DI2875" s="1091"/>
      <c r="DJ2875" s="1187"/>
    </row>
    <row r="2876" spans="1:114" ht="15" hidden="1" customHeight="1" outlineLevel="1">
      <c r="A2876" s="453"/>
      <c r="C2876" s="51"/>
      <c r="D2876" s="4295"/>
      <c r="E2876" s="4295"/>
      <c r="F2876" s="4347" t="str">
        <f>$E$1888</f>
        <v>ASHP-SEER20_ROF_MF_CompE</v>
      </c>
      <c r="G2876" s="4347"/>
      <c r="H2876" s="4347"/>
      <c r="I2876" s="4347"/>
      <c r="J2876" s="3471" t="str">
        <f>$C$1888</f>
        <v>355101_2024_12_</v>
      </c>
      <c r="K2876" s="3375">
        <v>39600</v>
      </c>
      <c r="L2876" s="3488">
        <f t="shared" si="316"/>
        <v>3.3</v>
      </c>
      <c r="M2876" s="3293" t="s">
        <v>1945</v>
      </c>
      <c r="Q2876" s="209"/>
      <c r="R2876" s="261"/>
      <c r="S2876" s="52"/>
      <c r="T2876" s="52"/>
      <c r="U2876" s="52"/>
      <c r="V2876" s="4295"/>
      <c r="W2876" s="1396"/>
      <c r="X2876" s="1396"/>
      <c r="Y2876" s="3265">
        <v>39600</v>
      </c>
      <c r="Z2876" s="3262">
        <v>39600</v>
      </c>
      <c r="AA2876" s="3262">
        <v>39600</v>
      </c>
      <c r="AB2876" s="3262">
        <v>39600</v>
      </c>
      <c r="AC2876" s="3267">
        <f>AC2875</f>
        <v>39600</v>
      </c>
      <c r="AD2876" s="3267">
        <v>39600</v>
      </c>
      <c r="AE2876" s="3478">
        <v>39600</v>
      </c>
      <c r="AF2876" s="2236">
        <f t="shared" si="317"/>
        <v>39600</v>
      </c>
      <c r="AG2876" s="1396"/>
      <c r="DG2876" s="573"/>
      <c r="DH2876" s="159"/>
      <c r="DI2876" s="1091"/>
      <c r="DJ2876" s="1187"/>
    </row>
    <row r="2877" spans="1:114" ht="15.75" hidden="1" customHeight="1" outlineLevel="1">
      <c r="A2877" s="453"/>
      <c r="C2877" s="51"/>
      <c r="D2877" s="4295"/>
      <c r="E2877" s="4295"/>
      <c r="F2877" s="4307" t="str">
        <f>$E$1890</f>
        <v>ASHP-SEER21_ROF_MF</v>
      </c>
      <c r="G2877" s="4307"/>
      <c r="H2877" s="4307"/>
      <c r="I2877" s="4307"/>
      <c r="J2877" s="1029" t="str">
        <f>$C$1890</f>
        <v>355150_2024_12_</v>
      </c>
      <c r="K2877" s="1754">
        <v>39600</v>
      </c>
      <c r="L2877" s="947">
        <f t="shared" si="316"/>
        <v>3.3</v>
      </c>
      <c r="M2877" s="1740" t="s">
        <v>2496</v>
      </c>
      <c r="P2877" s="261"/>
      <c r="Q2877" s="209"/>
      <c r="R2877" s="261"/>
      <c r="S2877" s="52"/>
      <c r="T2877" s="181"/>
      <c r="U2877" s="52"/>
      <c r="V2877" s="4295"/>
      <c r="W2877" s="1396">
        <v>39600</v>
      </c>
      <c r="X2877" s="1396">
        <v>39600</v>
      </c>
      <c r="Y2877" s="1396">
        <v>39600</v>
      </c>
      <c r="Z2877" s="1396">
        <v>39600</v>
      </c>
      <c r="AA2877" s="1396">
        <v>39600</v>
      </c>
      <c r="AB2877" s="1396">
        <v>39600</v>
      </c>
      <c r="AC2877" s="802">
        <v>39600</v>
      </c>
      <c r="AD2877" s="802">
        <v>39600</v>
      </c>
      <c r="AE2877" s="968">
        <v>39600</v>
      </c>
      <c r="AF2877" s="271">
        <f t="shared" si="317"/>
        <v>39600</v>
      </c>
      <c r="AG2877" s="1396"/>
      <c r="DG2877" s="573"/>
      <c r="DH2877" s="159"/>
      <c r="DI2877" s="1091"/>
      <c r="DJ2877" s="1187"/>
    </row>
    <row r="2878" spans="1:114" ht="15.75" hidden="1" customHeight="1" outlineLevel="1">
      <c r="A2878" s="453"/>
      <c r="C2878" s="51"/>
      <c r="D2878" s="4295"/>
      <c r="E2878" s="4295"/>
      <c r="F2878" s="4347" t="str">
        <f>$E$1892</f>
        <v>ASHP-SEER21_ROF_MF_CompE</v>
      </c>
      <c r="G2878" s="4347"/>
      <c r="H2878" s="4347"/>
      <c r="I2878" s="4347"/>
      <c r="J2878" s="3471" t="str">
        <f>$C$1892</f>
        <v>355151_2024_12_</v>
      </c>
      <c r="K2878" s="3375">
        <v>39600</v>
      </c>
      <c r="L2878" s="3488">
        <f t="shared" si="316"/>
        <v>3.3</v>
      </c>
      <c r="M2878" s="3293" t="s">
        <v>1945</v>
      </c>
      <c r="P2878" s="261"/>
      <c r="Q2878" s="209"/>
      <c r="R2878" s="261"/>
      <c r="S2878" s="52"/>
      <c r="T2878" s="181"/>
      <c r="U2878" s="52"/>
      <c r="V2878" s="4295"/>
      <c r="W2878" s="1396"/>
      <c r="X2878" s="1396"/>
      <c r="Y2878" s="3265">
        <v>39600</v>
      </c>
      <c r="Z2878" s="3262">
        <v>39600</v>
      </c>
      <c r="AA2878" s="3262">
        <v>39600</v>
      </c>
      <c r="AB2878" s="3262">
        <v>39600</v>
      </c>
      <c r="AC2878" s="3267">
        <f>AC2877</f>
        <v>39600</v>
      </c>
      <c r="AD2878" s="3267">
        <v>39600</v>
      </c>
      <c r="AE2878" s="3478">
        <v>39600</v>
      </c>
      <c r="AF2878" s="2236">
        <f t="shared" si="317"/>
        <v>39600</v>
      </c>
      <c r="AG2878" s="1396"/>
      <c r="DG2878" s="573"/>
      <c r="DH2878" s="159"/>
      <c r="DI2878" s="1091"/>
      <c r="DJ2878" s="1187"/>
    </row>
    <row r="2879" spans="1:114" ht="15" hidden="1" customHeight="1" outlineLevel="1">
      <c r="A2879" s="453"/>
      <c r="C2879" s="51"/>
      <c r="D2879" s="4295" t="s">
        <v>2120</v>
      </c>
      <c r="E2879" s="4295" t="s">
        <v>2121</v>
      </c>
      <c r="F2879" s="4307" t="str">
        <f>$E$1508</f>
        <v>ASHP-SEER15-Replace_CAC_ElectricHeat_ER1_SF</v>
      </c>
      <c r="G2879" s="4307"/>
      <c r="H2879" s="4307"/>
      <c r="I2879" s="4307"/>
      <c r="J2879" s="1029" t="str">
        <f>$C$1508</f>
        <v>352300_2024_12_</v>
      </c>
      <c r="K2879" s="1790">
        <v>869</v>
      </c>
      <c r="L2879" s="13"/>
      <c r="M2879" s="4375" t="s">
        <v>2504</v>
      </c>
      <c r="P2879" s="261"/>
      <c r="Q2879" s="209"/>
      <c r="R2879" s="261"/>
      <c r="S2879" s="52"/>
      <c r="T2879" s="181"/>
      <c r="U2879" s="52"/>
      <c r="V2879" s="4295" t="s">
        <v>2120</v>
      </c>
      <c r="W2879" s="1396">
        <v>869</v>
      </c>
      <c r="X2879" s="1396">
        <v>869</v>
      </c>
      <c r="Y2879" s="1396">
        <v>869</v>
      </c>
      <c r="Z2879" s="1396">
        <v>869</v>
      </c>
      <c r="AA2879" s="1396">
        <v>869</v>
      </c>
      <c r="AB2879" s="1396">
        <v>869</v>
      </c>
      <c r="AC2879" s="1396">
        <v>869</v>
      </c>
      <c r="AD2879" s="1396">
        <v>869</v>
      </c>
      <c r="AE2879" s="1396">
        <v>869</v>
      </c>
      <c r="AF2879" s="271">
        <f t="shared" si="317"/>
        <v>869</v>
      </c>
      <c r="AG2879" s="1396"/>
      <c r="DG2879" s="573"/>
      <c r="DH2879" s="159"/>
      <c r="DI2879" s="1091"/>
      <c r="DJ2879" s="1187"/>
    </row>
    <row r="2880" spans="1:114" ht="15" hidden="1" customHeight="1" outlineLevel="1">
      <c r="A2880" s="453"/>
      <c r="C2880" s="51"/>
      <c r="D2880" s="4295"/>
      <c r="E2880" s="4295"/>
      <c r="F2880" s="4307" t="str">
        <f>$E$1510</f>
        <v>ASHP-SEER15-Replace_CAC_ElectricHeat_ER2_SF</v>
      </c>
      <c r="G2880" s="4307"/>
      <c r="H2880" s="4307"/>
      <c r="I2880" s="4307"/>
      <c r="J2880" s="1029" t="str">
        <f>$C$1510</f>
        <v>352300_2024_12_</v>
      </c>
      <c r="K2880" s="1790">
        <v>869</v>
      </c>
      <c r="L2880" s="13"/>
      <c r="M2880" s="4376"/>
      <c r="P2880" s="261"/>
      <c r="Q2880" s="209"/>
      <c r="R2880" s="261"/>
      <c r="S2880" s="52"/>
      <c r="T2880" s="181"/>
      <c r="U2880" s="52"/>
      <c r="V2880" s="4295"/>
      <c r="W2880" s="1396">
        <v>869</v>
      </c>
      <c r="X2880" s="1396">
        <v>869</v>
      </c>
      <c r="Y2880" s="1396">
        <v>869</v>
      </c>
      <c r="Z2880" s="1396">
        <v>869</v>
      </c>
      <c r="AA2880" s="1396">
        <v>869</v>
      </c>
      <c r="AB2880" s="1396">
        <v>869</v>
      </c>
      <c r="AC2880" s="1396">
        <v>869</v>
      </c>
      <c r="AD2880" s="1396">
        <v>869</v>
      </c>
      <c r="AE2880" s="1396">
        <v>869</v>
      </c>
      <c r="AF2880" s="271">
        <f t="shared" si="317"/>
        <v>869</v>
      </c>
      <c r="AG2880" s="1396"/>
      <c r="DG2880" s="573"/>
      <c r="DH2880" s="159"/>
      <c r="DI2880" s="1091"/>
      <c r="DJ2880" s="1187"/>
    </row>
    <row r="2881" spans="1:114" ht="15" hidden="1" customHeight="1" outlineLevel="1">
      <c r="A2881" s="453"/>
      <c r="C2881" s="51"/>
      <c r="D2881" s="4295"/>
      <c r="E2881" s="4295"/>
      <c r="F2881" s="4307" t="str">
        <f>$E$1512</f>
        <v>ASHP-SEER15-Replace_CAC_NonElectricHeat_ER1_SF</v>
      </c>
      <c r="G2881" s="4307"/>
      <c r="H2881" s="4307"/>
      <c r="I2881" s="4307"/>
      <c r="J2881" s="1029" t="str">
        <f>$C$1512</f>
        <v>352310_2024_12_</v>
      </c>
      <c r="K2881" s="1790">
        <v>869</v>
      </c>
      <c r="L2881" s="13"/>
      <c r="M2881" s="4376"/>
      <c r="P2881" s="261"/>
      <c r="Q2881" s="209"/>
      <c r="R2881" s="261"/>
      <c r="S2881" s="52"/>
      <c r="T2881" s="181"/>
      <c r="U2881" s="52"/>
      <c r="V2881" s="4295"/>
      <c r="W2881" s="1396"/>
      <c r="X2881" s="1396"/>
      <c r="Y2881" s="1396"/>
      <c r="Z2881" s="1396"/>
      <c r="AA2881" s="1396"/>
      <c r="AB2881" s="1396"/>
      <c r="AC2881" s="833">
        <v>869</v>
      </c>
      <c r="AD2881" s="1396">
        <v>869</v>
      </c>
      <c r="AE2881" s="1396">
        <v>869</v>
      </c>
      <c r="AF2881" s="271">
        <f t="shared" si="317"/>
        <v>869</v>
      </c>
      <c r="AG2881" s="1396"/>
      <c r="DG2881" s="573"/>
      <c r="DH2881" s="159"/>
      <c r="DI2881" s="1091"/>
      <c r="DJ2881" s="1187"/>
    </row>
    <row r="2882" spans="1:114" ht="15" hidden="1" customHeight="1" outlineLevel="1">
      <c r="A2882" s="453"/>
      <c r="C2882" s="51"/>
      <c r="D2882" s="4295"/>
      <c r="E2882" s="4295"/>
      <c r="F2882" s="4307" t="str">
        <f>$E$1514</f>
        <v>ASHP-SEER15-Replace_CAC_NonElectricHeat_ER2_SF</v>
      </c>
      <c r="G2882" s="4307"/>
      <c r="H2882" s="4307"/>
      <c r="I2882" s="4307"/>
      <c r="J2882" s="1029" t="str">
        <f>$C$1514</f>
        <v>352310_2024_12_</v>
      </c>
      <c r="K2882" s="1790">
        <v>869</v>
      </c>
      <c r="L2882" s="13"/>
      <c r="M2882" s="4376"/>
      <c r="P2882" s="261"/>
      <c r="Q2882" s="209"/>
      <c r="R2882" s="261"/>
      <c r="S2882" s="52"/>
      <c r="T2882" s="181"/>
      <c r="U2882" s="52"/>
      <c r="V2882" s="4295"/>
      <c r="W2882" s="1396"/>
      <c r="X2882" s="1396"/>
      <c r="Y2882" s="1396"/>
      <c r="Z2882" s="1396"/>
      <c r="AA2882" s="1396"/>
      <c r="AB2882" s="1396"/>
      <c r="AC2882" s="833">
        <v>869</v>
      </c>
      <c r="AD2882" s="1396">
        <v>869</v>
      </c>
      <c r="AE2882" s="1396">
        <v>869</v>
      </c>
      <c r="AF2882" s="271">
        <f t="shared" si="317"/>
        <v>869</v>
      </c>
      <c r="AG2882" s="1396"/>
      <c r="DG2882" s="573"/>
      <c r="DH2882" s="159"/>
      <c r="DI2882" s="1091"/>
      <c r="DJ2882" s="1187"/>
    </row>
    <row r="2883" spans="1:114" ht="15" hidden="1" customHeight="1" outlineLevel="1">
      <c r="A2883" s="453"/>
      <c r="C2883" s="51"/>
      <c r="D2883" s="4295"/>
      <c r="E2883" s="4295"/>
      <c r="F2883" s="4307" t="str">
        <f>$E$1516</f>
        <v>ASHP-SEER15_ER1_SF</v>
      </c>
      <c r="G2883" s="4307"/>
      <c r="H2883" s="4307"/>
      <c r="I2883" s="4307"/>
      <c r="J2883" s="1029" t="str">
        <f>$C$1516</f>
        <v>352350_2024_12_</v>
      </c>
      <c r="K2883" s="1790">
        <v>869</v>
      </c>
      <c r="L2883" s="13"/>
      <c r="M2883" s="4376"/>
      <c r="P2883" s="261"/>
      <c r="Q2883" s="209"/>
      <c r="R2883" s="261"/>
      <c r="S2883" s="52"/>
      <c r="T2883" s="181"/>
      <c r="U2883" s="52"/>
      <c r="V2883" s="4295"/>
      <c r="W2883" s="1396">
        <v>869</v>
      </c>
      <c r="X2883" s="1396">
        <v>869</v>
      </c>
      <c r="Y2883" s="1396">
        <v>869</v>
      </c>
      <c r="Z2883" s="1396">
        <v>869</v>
      </c>
      <c r="AA2883" s="1396">
        <v>869</v>
      </c>
      <c r="AB2883" s="1396">
        <v>869</v>
      </c>
      <c r="AC2883" s="1396">
        <v>869</v>
      </c>
      <c r="AD2883" s="1396">
        <v>869</v>
      </c>
      <c r="AE2883" s="1396">
        <v>869</v>
      </c>
      <c r="AF2883" s="271">
        <f t="shared" si="317"/>
        <v>869</v>
      </c>
      <c r="AG2883" s="1396"/>
      <c r="DG2883" s="573"/>
      <c r="DH2883" s="159"/>
      <c r="DI2883" s="1091"/>
      <c r="DJ2883" s="1187"/>
    </row>
    <row r="2884" spans="1:114" ht="15" hidden="1" customHeight="1" outlineLevel="1">
      <c r="A2884" s="453"/>
      <c r="C2884" s="51"/>
      <c r="D2884" s="4295"/>
      <c r="E2884" s="4295"/>
      <c r="F2884" s="4307" t="str">
        <f>$E$1518</f>
        <v>ASHP-SEER15_ER2_SF</v>
      </c>
      <c r="G2884" s="4307"/>
      <c r="H2884" s="4307"/>
      <c r="I2884" s="4307"/>
      <c r="J2884" s="1029" t="str">
        <f>$C$1518</f>
        <v>352350_2024_12_</v>
      </c>
      <c r="K2884" s="1790">
        <v>869</v>
      </c>
      <c r="L2884" s="13"/>
      <c r="M2884" s="4376"/>
      <c r="P2884" s="261"/>
      <c r="Q2884" s="209"/>
      <c r="R2884" s="261"/>
      <c r="S2884" s="52"/>
      <c r="T2884" s="181"/>
      <c r="U2884" s="52"/>
      <c r="V2884" s="4295"/>
      <c r="W2884" s="1396">
        <v>869</v>
      </c>
      <c r="X2884" s="1396">
        <v>869</v>
      </c>
      <c r="Y2884" s="1396">
        <v>869</v>
      </c>
      <c r="Z2884" s="1396">
        <v>869</v>
      </c>
      <c r="AA2884" s="1396">
        <v>869</v>
      </c>
      <c r="AB2884" s="1396">
        <v>869</v>
      </c>
      <c r="AC2884" s="1396">
        <v>869</v>
      </c>
      <c r="AD2884" s="1396">
        <v>869</v>
      </c>
      <c r="AE2884" s="1396">
        <v>869</v>
      </c>
      <c r="AF2884" s="271">
        <f t="shared" si="317"/>
        <v>869</v>
      </c>
      <c r="AG2884" s="1396"/>
      <c r="DG2884" s="573"/>
      <c r="DH2884" s="159"/>
      <c r="DI2884" s="1091"/>
      <c r="DJ2884" s="1187"/>
    </row>
    <row r="2885" spans="1:114" ht="15" hidden="1" customHeight="1" outlineLevel="1">
      <c r="A2885" s="453"/>
      <c r="C2885" s="51"/>
      <c r="D2885" s="4295"/>
      <c r="E2885" s="4295"/>
      <c r="F2885" s="4307" t="str">
        <f>$E$1520</f>
        <v>ASHP-SEER15-Replace_CAC_ElectricHeat_ROF_SF</v>
      </c>
      <c r="G2885" s="4307"/>
      <c r="H2885" s="4307"/>
      <c r="I2885" s="4307"/>
      <c r="J2885" s="1029" t="str">
        <f>$C$1520</f>
        <v>352400_2024_12_</v>
      </c>
      <c r="K2885" s="1790">
        <v>869</v>
      </c>
      <c r="L2885" s="13"/>
      <c r="M2885" s="4376"/>
      <c r="P2885" s="261"/>
      <c r="Q2885" s="261"/>
      <c r="R2885" s="261"/>
      <c r="S2885" s="52"/>
      <c r="T2885" s="181"/>
      <c r="U2885" s="52"/>
      <c r="V2885" s="4295"/>
      <c r="W2885" s="1396">
        <v>869</v>
      </c>
      <c r="X2885" s="1396">
        <v>869</v>
      </c>
      <c r="Y2885" s="1396">
        <v>869</v>
      </c>
      <c r="Z2885" s="1396">
        <v>869</v>
      </c>
      <c r="AA2885" s="1396">
        <v>869</v>
      </c>
      <c r="AB2885" s="1396">
        <v>869</v>
      </c>
      <c r="AC2885" s="1396">
        <v>869</v>
      </c>
      <c r="AD2885" s="1396">
        <v>869</v>
      </c>
      <c r="AE2885" s="1396">
        <v>869</v>
      </c>
      <c r="AF2885" s="271">
        <f t="shared" si="317"/>
        <v>869</v>
      </c>
      <c r="AG2885" s="1396"/>
      <c r="DG2885" s="573"/>
      <c r="DH2885" s="159"/>
      <c r="DI2885" s="1091"/>
      <c r="DJ2885" s="1187"/>
    </row>
    <row r="2886" spans="1:114" ht="15" hidden="1" customHeight="1" outlineLevel="1">
      <c r="A2886" s="453"/>
      <c r="C2886" s="51"/>
      <c r="D2886" s="4295"/>
      <c r="E2886" s="4295"/>
      <c r="F2886" s="4307" t="str">
        <f>$E$1522</f>
        <v>ASHP-SEER15-Replace_CAC_NonElectricHeat_ROF_SF</v>
      </c>
      <c r="G2886" s="4307"/>
      <c r="H2886" s="4307"/>
      <c r="I2886" s="4307"/>
      <c r="J2886" s="1029" t="str">
        <f>$C$1522</f>
        <v>352410_2024_12_</v>
      </c>
      <c r="K2886" s="1790">
        <v>869</v>
      </c>
      <c r="L2886" s="13"/>
      <c r="M2886" s="4376"/>
      <c r="P2886" s="261"/>
      <c r="Q2886" s="261"/>
      <c r="R2886" s="261"/>
      <c r="S2886" s="52"/>
      <c r="T2886" s="181"/>
      <c r="U2886" s="52"/>
      <c r="V2886" s="4295"/>
      <c r="W2886" s="1396"/>
      <c r="X2886" s="1396"/>
      <c r="Y2886" s="1396"/>
      <c r="Z2886" s="1396"/>
      <c r="AA2886" s="1396"/>
      <c r="AB2886" s="1396"/>
      <c r="AC2886" s="833">
        <v>869</v>
      </c>
      <c r="AD2886" s="1396">
        <v>869</v>
      </c>
      <c r="AE2886" s="1396">
        <v>869</v>
      </c>
      <c r="AF2886" s="271">
        <f t="shared" si="317"/>
        <v>869</v>
      </c>
      <c r="AG2886" s="1396"/>
      <c r="DG2886" s="573"/>
      <c r="DH2886" s="159"/>
      <c r="DI2886" s="1091"/>
      <c r="DJ2886" s="1187"/>
    </row>
    <row r="2887" spans="1:114" ht="15" hidden="1" customHeight="1" outlineLevel="1">
      <c r="A2887" s="453"/>
      <c r="C2887" s="51"/>
      <c r="D2887" s="4295"/>
      <c r="E2887" s="4295"/>
      <c r="F2887" s="4347" t="str">
        <f>$E$1524</f>
        <v>ASHP-SEER15_ROF_SF</v>
      </c>
      <c r="G2887" s="4347"/>
      <c r="H2887" s="4347"/>
      <c r="I2887" s="4347"/>
      <c r="J2887" s="3471" t="str">
        <f>$C$1524</f>
        <v>352450_2024_12_</v>
      </c>
      <c r="K2887" s="3263">
        <v>869</v>
      </c>
      <c r="L2887" s="13"/>
      <c r="M2887" s="4376"/>
      <c r="P2887" s="261"/>
      <c r="Q2887" s="261"/>
      <c r="R2887" s="261"/>
      <c r="S2887" s="52"/>
      <c r="T2887" s="181"/>
      <c r="U2887" s="52"/>
      <c r="V2887" s="4295"/>
      <c r="W2887" s="3262">
        <v>869</v>
      </c>
      <c r="X2887" s="3262">
        <v>869</v>
      </c>
      <c r="Y2887" s="3262">
        <v>869</v>
      </c>
      <c r="Z2887" s="3262">
        <v>869</v>
      </c>
      <c r="AA2887" s="3262">
        <v>869</v>
      </c>
      <c r="AB2887" s="3262">
        <v>869</v>
      </c>
      <c r="AC2887" s="3262">
        <v>869</v>
      </c>
      <c r="AD2887" s="3262">
        <v>869</v>
      </c>
      <c r="AE2887" s="3262">
        <v>869</v>
      </c>
      <c r="AF2887" s="2236">
        <f t="shared" si="317"/>
        <v>869</v>
      </c>
      <c r="AG2887" s="1396"/>
      <c r="DG2887" s="573"/>
      <c r="DH2887" s="159"/>
      <c r="DI2887" s="1091"/>
      <c r="DJ2887" s="1187"/>
    </row>
    <row r="2888" spans="1:114" ht="15" hidden="1" customHeight="1" outlineLevel="1">
      <c r="A2888" s="453"/>
      <c r="C2888" s="51"/>
      <c r="D2888" s="4295"/>
      <c r="E2888" s="4295"/>
      <c r="F2888" s="4307" t="str">
        <f>$E$1526</f>
        <v>ASHP-SEER16-Replace_CAC_ElectricHeat_ER1_SF</v>
      </c>
      <c r="G2888" s="4307"/>
      <c r="H2888" s="4307"/>
      <c r="I2888" s="4307"/>
      <c r="J2888" s="1029" t="str">
        <f>$C$1526</f>
        <v>352500_2024_12_</v>
      </c>
      <c r="K2888" s="1790">
        <v>869</v>
      </c>
      <c r="L2888" s="13"/>
      <c r="M2888" s="4376"/>
      <c r="P2888" s="261"/>
      <c r="Q2888" s="261"/>
      <c r="R2888" s="261"/>
      <c r="S2888" s="52"/>
      <c r="T2888" s="181"/>
      <c r="U2888" s="52"/>
      <c r="V2888" s="4295"/>
      <c r="W2888" s="1396">
        <v>869</v>
      </c>
      <c r="X2888" s="1396">
        <v>869</v>
      </c>
      <c r="Y2888" s="1396">
        <v>869</v>
      </c>
      <c r="Z2888" s="1396">
        <v>869</v>
      </c>
      <c r="AA2888" s="1396">
        <v>869</v>
      </c>
      <c r="AB2888" s="1396">
        <v>869</v>
      </c>
      <c r="AC2888" s="1396">
        <v>869</v>
      </c>
      <c r="AD2888" s="1396">
        <v>869</v>
      </c>
      <c r="AE2888" s="1396">
        <v>869</v>
      </c>
      <c r="AF2888" s="271">
        <f t="shared" si="317"/>
        <v>869</v>
      </c>
      <c r="AG2888" s="1396"/>
      <c r="DG2888" s="573"/>
      <c r="DH2888" s="159"/>
      <c r="DI2888" s="1091"/>
      <c r="DJ2888" s="1187"/>
    </row>
    <row r="2889" spans="1:114" ht="15" hidden="1" customHeight="1" outlineLevel="1">
      <c r="A2889" s="453"/>
      <c r="C2889" s="51"/>
      <c r="D2889" s="4295"/>
      <c r="E2889" s="4295"/>
      <c r="F2889" s="4307" t="str">
        <f>$E$1528</f>
        <v>ASHP-SEER16-Replace_CAC_ElectricHeat_ER2_SF</v>
      </c>
      <c r="G2889" s="4307"/>
      <c r="H2889" s="4307"/>
      <c r="I2889" s="4307"/>
      <c r="J2889" s="1029" t="str">
        <f>$C$1528</f>
        <v>352500_2024_12_</v>
      </c>
      <c r="K2889" s="1790">
        <v>869</v>
      </c>
      <c r="L2889" s="13"/>
      <c r="M2889" s="4376"/>
      <c r="P2889" s="261"/>
      <c r="Q2889" s="261"/>
      <c r="R2889" s="261"/>
      <c r="S2889" s="52"/>
      <c r="T2889" s="181"/>
      <c r="U2889" s="52"/>
      <c r="V2889" s="4295"/>
      <c r="W2889" s="1396">
        <v>869</v>
      </c>
      <c r="X2889" s="1396">
        <v>869</v>
      </c>
      <c r="Y2889" s="1396">
        <v>869</v>
      </c>
      <c r="Z2889" s="1396">
        <v>869</v>
      </c>
      <c r="AA2889" s="1396">
        <v>869</v>
      </c>
      <c r="AB2889" s="1396">
        <v>869</v>
      </c>
      <c r="AC2889" s="1396">
        <v>869</v>
      </c>
      <c r="AD2889" s="1396">
        <v>869</v>
      </c>
      <c r="AE2889" s="1396">
        <v>869</v>
      </c>
      <c r="AF2889" s="271">
        <f t="shared" si="317"/>
        <v>869</v>
      </c>
      <c r="AG2889" s="1396"/>
      <c r="DG2889" s="573"/>
      <c r="DH2889" s="159"/>
      <c r="DI2889" s="1091"/>
      <c r="DJ2889" s="1187"/>
    </row>
    <row r="2890" spans="1:114" ht="15" hidden="1" customHeight="1" outlineLevel="1">
      <c r="A2890" s="453"/>
      <c r="C2890" s="51"/>
      <c r="D2890" s="4295"/>
      <c r="E2890" s="4295"/>
      <c r="F2890" s="4307" t="str">
        <f>$E$1530</f>
        <v>ASHP-SEER16-Replace_CAC_NonElectricHeat_ER1_SF</v>
      </c>
      <c r="G2890" s="4307"/>
      <c r="H2890" s="4307"/>
      <c r="I2890" s="4307"/>
      <c r="J2890" s="1029" t="str">
        <f>$C$1530</f>
        <v>352510_2024_12_</v>
      </c>
      <c r="K2890" s="1790">
        <v>869</v>
      </c>
      <c r="L2890" s="13"/>
      <c r="M2890" s="4376"/>
      <c r="P2890" s="261"/>
      <c r="Q2890" s="261"/>
      <c r="R2890" s="261"/>
      <c r="S2890" s="52"/>
      <c r="T2890" s="181"/>
      <c r="U2890" s="52"/>
      <c r="V2890" s="4295"/>
      <c r="W2890" s="1396"/>
      <c r="X2890" s="1396"/>
      <c r="Y2890" s="1396"/>
      <c r="Z2890" s="1396"/>
      <c r="AA2890" s="1396"/>
      <c r="AB2890" s="1396"/>
      <c r="AC2890" s="833">
        <v>869</v>
      </c>
      <c r="AD2890" s="1396">
        <v>869</v>
      </c>
      <c r="AE2890" s="1396">
        <v>869</v>
      </c>
      <c r="AF2890" s="271">
        <f t="shared" si="317"/>
        <v>869</v>
      </c>
      <c r="AG2890" s="1396"/>
      <c r="DG2890" s="573"/>
      <c r="DH2890" s="159"/>
      <c r="DI2890" s="1091"/>
      <c r="DJ2890" s="1187"/>
    </row>
    <row r="2891" spans="1:114" ht="15" hidden="1" customHeight="1" outlineLevel="1">
      <c r="A2891" s="453"/>
      <c r="C2891" s="51"/>
      <c r="D2891" s="4295"/>
      <c r="E2891" s="4295"/>
      <c r="F2891" s="4307" t="str">
        <f>$E$1532</f>
        <v>ASHP-SEER16-Replace_CAC_NonElectricHeat_ER2_SF</v>
      </c>
      <c r="G2891" s="4307"/>
      <c r="H2891" s="4307"/>
      <c r="I2891" s="4307"/>
      <c r="J2891" s="1029" t="str">
        <f>$C$1532</f>
        <v>352510_2024_12_</v>
      </c>
      <c r="K2891" s="1790">
        <v>869</v>
      </c>
      <c r="L2891" s="13"/>
      <c r="M2891" s="4376"/>
      <c r="P2891" s="261"/>
      <c r="Q2891" s="261"/>
      <c r="R2891" s="261"/>
      <c r="S2891" s="52"/>
      <c r="T2891" s="181"/>
      <c r="U2891" s="52"/>
      <c r="V2891" s="4295"/>
      <c r="W2891" s="1396"/>
      <c r="X2891" s="1396"/>
      <c r="Y2891" s="1396"/>
      <c r="Z2891" s="1396"/>
      <c r="AA2891" s="1396"/>
      <c r="AB2891" s="1396"/>
      <c r="AC2891" s="833">
        <v>869</v>
      </c>
      <c r="AD2891" s="1396">
        <v>869</v>
      </c>
      <c r="AE2891" s="1396">
        <v>869</v>
      </c>
      <c r="AF2891" s="271">
        <f t="shared" si="317"/>
        <v>869</v>
      </c>
      <c r="AG2891" s="1396"/>
      <c r="DG2891" s="573"/>
      <c r="DH2891" s="159"/>
      <c r="DI2891" s="1091"/>
      <c r="DJ2891" s="1187"/>
    </row>
    <row r="2892" spans="1:114" ht="15" hidden="1" customHeight="1" outlineLevel="1">
      <c r="A2892" s="453"/>
      <c r="C2892" s="51"/>
      <c r="D2892" s="4295"/>
      <c r="E2892" s="4295"/>
      <c r="F2892" s="4307" t="str">
        <f>$E$1534</f>
        <v>ASHP-SEER16_ER1_SF</v>
      </c>
      <c r="G2892" s="4307"/>
      <c r="H2892" s="4307"/>
      <c r="I2892" s="4307"/>
      <c r="J2892" s="1029" t="str">
        <f>$C$1534</f>
        <v>352550_2024_12_</v>
      </c>
      <c r="K2892" s="1790">
        <v>869</v>
      </c>
      <c r="L2892" s="13"/>
      <c r="M2892" s="4376"/>
      <c r="P2892" s="261"/>
      <c r="Q2892" s="261"/>
      <c r="R2892" s="261"/>
      <c r="S2892" s="52"/>
      <c r="T2892" s="181"/>
      <c r="U2892" s="52"/>
      <c r="V2892" s="4295"/>
      <c r="W2892" s="1396">
        <v>869</v>
      </c>
      <c r="X2892" s="1396">
        <v>869</v>
      </c>
      <c r="Y2892" s="1396">
        <v>869</v>
      </c>
      <c r="Z2892" s="1396">
        <v>869</v>
      </c>
      <c r="AA2892" s="1396">
        <v>869</v>
      </c>
      <c r="AB2892" s="1396">
        <v>869</v>
      </c>
      <c r="AC2892" s="1396">
        <v>869</v>
      </c>
      <c r="AD2892" s="1396">
        <v>869</v>
      </c>
      <c r="AE2892" s="1396">
        <v>869</v>
      </c>
      <c r="AF2892" s="271">
        <f t="shared" si="317"/>
        <v>869</v>
      </c>
      <c r="AG2892" s="1396"/>
      <c r="DG2892" s="573"/>
      <c r="DH2892" s="159"/>
      <c r="DI2892" s="1091"/>
      <c r="DJ2892" s="1187"/>
    </row>
    <row r="2893" spans="1:114" ht="15" hidden="1" customHeight="1" outlineLevel="1">
      <c r="A2893" s="453"/>
      <c r="C2893" s="51"/>
      <c r="D2893" s="4295"/>
      <c r="E2893" s="4295"/>
      <c r="F2893" s="4307" t="str">
        <f>$E$1536</f>
        <v>ASHP-SEER16_ER2_SF</v>
      </c>
      <c r="G2893" s="4307"/>
      <c r="H2893" s="4307"/>
      <c r="I2893" s="4307"/>
      <c r="J2893" s="1029" t="str">
        <f>$C$1536</f>
        <v>352550_2024_12_</v>
      </c>
      <c r="K2893" s="1790">
        <v>869</v>
      </c>
      <c r="L2893" s="262"/>
      <c r="M2893" s="4376"/>
      <c r="P2893" s="261"/>
      <c r="Q2893" s="261"/>
      <c r="R2893" s="261"/>
      <c r="S2893" s="52"/>
      <c r="T2893" s="181"/>
      <c r="U2893" s="52"/>
      <c r="V2893" s="4295"/>
      <c r="W2893" s="1396">
        <v>869</v>
      </c>
      <c r="X2893" s="1396">
        <v>869</v>
      </c>
      <c r="Y2893" s="1396">
        <v>869</v>
      </c>
      <c r="Z2893" s="1396">
        <v>869</v>
      </c>
      <c r="AA2893" s="1396">
        <v>869</v>
      </c>
      <c r="AB2893" s="1396">
        <v>869</v>
      </c>
      <c r="AC2893" s="1396">
        <v>869</v>
      </c>
      <c r="AD2893" s="1396">
        <v>869</v>
      </c>
      <c r="AE2893" s="1396">
        <v>869</v>
      </c>
      <c r="AF2893" s="271">
        <f t="shared" si="317"/>
        <v>869</v>
      </c>
      <c r="AG2893" s="1396"/>
      <c r="DG2893" s="573"/>
      <c r="DH2893" s="159"/>
      <c r="DI2893" s="1091"/>
      <c r="DJ2893" s="1187"/>
    </row>
    <row r="2894" spans="1:114" ht="15" hidden="1" customHeight="1" outlineLevel="1">
      <c r="A2894" s="453"/>
      <c r="C2894" s="51"/>
      <c r="D2894" s="4295"/>
      <c r="E2894" s="4295"/>
      <c r="F2894" s="4307" t="str">
        <f>$E$1538</f>
        <v>ASHP-SEER16-Replace_CAC_ElectricHeat_ROF_SF</v>
      </c>
      <c r="G2894" s="4307"/>
      <c r="H2894" s="4307"/>
      <c r="I2894" s="4307"/>
      <c r="J2894" s="1029" t="str">
        <f>$C$1538</f>
        <v>352600_2024_12_</v>
      </c>
      <c r="K2894" s="1790">
        <v>869</v>
      </c>
      <c r="L2894" s="262"/>
      <c r="M2894" s="4376"/>
      <c r="P2894" s="261"/>
      <c r="Q2894" s="261"/>
      <c r="R2894" s="261"/>
      <c r="S2894" s="52"/>
      <c r="T2894" s="181"/>
      <c r="U2894" s="52"/>
      <c r="V2894" s="4295"/>
      <c r="W2894" s="1396">
        <v>869</v>
      </c>
      <c r="X2894" s="1396">
        <v>869</v>
      </c>
      <c r="Y2894" s="1396">
        <v>869</v>
      </c>
      <c r="Z2894" s="1396">
        <v>869</v>
      </c>
      <c r="AA2894" s="1396">
        <v>869</v>
      </c>
      <c r="AB2894" s="1396">
        <v>869</v>
      </c>
      <c r="AC2894" s="1396">
        <v>869</v>
      </c>
      <c r="AD2894" s="1396">
        <v>869</v>
      </c>
      <c r="AE2894" s="1396">
        <v>869</v>
      </c>
      <c r="AF2894" s="271">
        <f t="shared" si="317"/>
        <v>869</v>
      </c>
      <c r="AG2894" s="1396"/>
      <c r="DG2894" s="573"/>
      <c r="DH2894" s="159"/>
      <c r="DI2894" s="1091"/>
      <c r="DJ2894" s="1187"/>
    </row>
    <row r="2895" spans="1:114" ht="15" hidden="1" customHeight="1" outlineLevel="1">
      <c r="A2895" s="453"/>
      <c r="C2895" s="51"/>
      <c r="D2895" s="4295"/>
      <c r="E2895" s="4295"/>
      <c r="F2895" s="4307" t="str">
        <f>$E$1540</f>
        <v>ASHP-SEER16-Replace_CAC_NonElectricHeat_ROF_SF</v>
      </c>
      <c r="G2895" s="4307"/>
      <c r="H2895" s="4307"/>
      <c r="I2895" s="4307"/>
      <c r="J2895" s="1029" t="str">
        <f>$C$1540</f>
        <v>352610_2024_12_</v>
      </c>
      <c r="K2895" s="1790">
        <v>869</v>
      </c>
      <c r="L2895" s="262"/>
      <c r="M2895" s="4376"/>
      <c r="P2895" s="261"/>
      <c r="Q2895" s="261"/>
      <c r="R2895" s="261"/>
      <c r="S2895" s="52"/>
      <c r="T2895" s="181"/>
      <c r="U2895" s="52"/>
      <c r="V2895" s="4295"/>
      <c r="W2895" s="1396"/>
      <c r="X2895" s="1396"/>
      <c r="Y2895" s="1396"/>
      <c r="Z2895" s="1396"/>
      <c r="AA2895" s="1396"/>
      <c r="AB2895" s="1396"/>
      <c r="AC2895" s="1396"/>
      <c r="AD2895" s="833">
        <v>869</v>
      </c>
      <c r="AE2895" s="1396">
        <v>869</v>
      </c>
      <c r="AF2895" s="271">
        <f t="shared" si="317"/>
        <v>869</v>
      </c>
      <c r="AG2895" s="1396"/>
      <c r="DG2895" s="573"/>
      <c r="DH2895" s="159"/>
      <c r="DI2895" s="1091"/>
      <c r="DJ2895" s="1187"/>
    </row>
    <row r="2896" spans="1:114" ht="15" hidden="1" customHeight="1" outlineLevel="1">
      <c r="A2896" s="453"/>
      <c r="C2896" s="51"/>
      <c r="D2896" s="4295"/>
      <c r="E2896" s="4295"/>
      <c r="F2896" s="4307" t="str">
        <f>$E$1542</f>
        <v>ASHP-SEER16_ROF_SF</v>
      </c>
      <c r="G2896" s="4307"/>
      <c r="H2896" s="4307"/>
      <c r="I2896" s="4307"/>
      <c r="J2896" s="1029" t="str">
        <f>$C$1542</f>
        <v>352650_2024_12_</v>
      </c>
      <c r="K2896" s="1790">
        <v>869</v>
      </c>
      <c r="L2896" s="262"/>
      <c r="M2896" s="4376"/>
      <c r="P2896" s="261"/>
      <c r="Q2896" s="261"/>
      <c r="R2896" s="261"/>
      <c r="S2896" s="52"/>
      <c r="T2896" s="181"/>
      <c r="U2896" s="52"/>
      <c r="V2896" s="4295"/>
      <c r="W2896" s="1396">
        <v>869</v>
      </c>
      <c r="X2896" s="1396">
        <v>869</v>
      </c>
      <c r="Y2896" s="1396">
        <v>869</v>
      </c>
      <c r="Z2896" s="1396">
        <v>869</v>
      </c>
      <c r="AA2896" s="1396">
        <v>869</v>
      </c>
      <c r="AB2896" s="1396">
        <v>869</v>
      </c>
      <c r="AC2896" s="1396">
        <v>869</v>
      </c>
      <c r="AD2896" s="1396">
        <v>869</v>
      </c>
      <c r="AE2896" s="1396">
        <v>869</v>
      </c>
      <c r="AF2896" s="271">
        <f t="shared" si="317"/>
        <v>869</v>
      </c>
      <c r="AG2896" s="1396"/>
      <c r="DG2896" s="573"/>
      <c r="DH2896" s="159"/>
      <c r="DI2896" s="1091"/>
      <c r="DJ2896" s="1187"/>
    </row>
    <row r="2897" spans="1:114" ht="15" hidden="1" customHeight="1" outlineLevel="1">
      <c r="A2897" s="453"/>
      <c r="C2897" s="51"/>
      <c r="D2897" s="4295"/>
      <c r="E2897" s="4295"/>
      <c r="F2897" s="4347" t="str">
        <f>$E$1544</f>
        <v>ASHP-SEER15_ER1_MF</v>
      </c>
      <c r="G2897" s="4347"/>
      <c r="H2897" s="4347"/>
      <c r="I2897" s="4347"/>
      <c r="J2897" s="3471" t="str">
        <f>$C$1544</f>
        <v>352700_2024_12_</v>
      </c>
      <c r="K2897" s="3263">
        <v>869</v>
      </c>
      <c r="L2897" s="262"/>
      <c r="M2897" s="4376"/>
      <c r="P2897" s="261"/>
      <c r="Q2897" s="261"/>
      <c r="R2897" s="261"/>
      <c r="S2897" s="52"/>
      <c r="T2897" s="181"/>
      <c r="U2897" s="52"/>
      <c r="V2897" s="4295"/>
      <c r="W2897" s="3262">
        <v>869</v>
      </c>
      <c r="X2897" s="3262">
        <v>869</v>
      </c>
      <c r="Y2897" s="3262">
        <v>869</v>
      </c>
      <c r="Z2897" s="3262">
        <v>869</v>
      </c>
      <c r="AA2897" s="3262">
        <v>869</v>
      </c>
      <c r="AB2897" s="3262">
        <v>869</v>
      </c>
      <c r="AC2897" s="3262">
        <v>869</v>
      </c>
      <c r="AD2897" s="3262">
        <v>869</v>
      </c>
      <c r="AE2897" s="3262">
        <v>869</v>
      </c>
      <c r="AF2897" s="2236">
        <f t="shared" si="317"/>
        <v>869</v>
      </c>
      <c r="AG2897" s="1396"/>
      <c r="DG2897" s="573"/>
      <c r="DH2897" s="159"/>
      <c r="DI2897" s="1091"/>
      <c r="DJ2897" s="1187"/>
    </row>
    <row r="2898" spans="1:114" ht="15" hidden="1" customHeight="1" outlineLevel="1">
      <c r="A2898" s="453"/>
      <c r="C2898" s="51"/>
      <c r="D2898" s="4295"/>
      <c r="E2898" s="4295"/>
      <c r="F2898" s="4347" t="str">
        <f>$E$1546</f>
        <v>ASHP-SEER15_ER2_MF</v>
      </c>
      <c r="G2898" s="4347"/>
      <c r="H2898" s="4347"/>
      <c r="I2898" s="4347"/>
      <c r="J2898" s="3471" t="str">
        <f>$C$1546</f>
        <v>352700_2024_12_</v>
      </c>
      <c r="K2898" s="3263">
        <v>869</v>
      </c>
      <c r="L2898" s="262"/>
      <c r="M2898" s="4376"/>
      <c r="P2898" s="261"/>
      <c r="Q2898" s="261"/>
      <c r="R2898" s="261"/>
      <c r="S2898" s="52"/>
      <c r="T2898" s="181"/>
      <c r="U2898" s="52"/>
      <c r="V2898" s="4295"/>
      <c r="W2898" s="3262">
        <v>869</v>
      </c>
      <c r="X2898" s="3262">
        <v>869</v>
      </c>
      <c r="Y2898" s="3262">
        <v>869</v>
      </c>
      <c r="Z2898" s="3262">
        <v>869</v>
      </c>
      <c r="AA2898" s="3262">
        <v>869</v>
      </c>
      <c r="AB2898" s="3262">
        <v>869</v>
      </c>
      <c r="AC2898" s="3262">
        <v>869</v>
      </c>
      <c r="AD2898" s="3262">
        <v>869</v>
      </c>
      <c r="AE2898" s="3262">
        <v>869</v>
      </c>
      <c r="AF2898" s="2236">
        <f t="shared" si="317"/>
        <v>869</v>
      </c>
      <c r="AG2898" s="1396"/>
      <c r="DG2898" s="573"/>
      <c r="DH2898" s="159"/>
      <c r="DI2898" s="1091"/>
      <c r="DJ2898" s="1187"/>
    </row>
    <row r="2899" spans="1:114" ht="15" hidden="1" customHeight="1" outlineLevel="1">
      <c r="A2899" s="453"/>
      <c r="C2899" s="51"/>
      <c r="D2899" s="4295"/>
      <c r="E2899" s="4295"/>
      <c r="F2899" s="4347" t="str">
        <f>$E$1548</f>
        <v>ASHP-SEER15_ER1_MF_CompE</v>
      </c>
      <c r="G2899" s="4347"/>
      <c r="H2899" s="4347"/>
      <c r="I2899" s="4347"/>
      <c r="J2899" s="3471" t="str">
        <f>$C$1548</f>
        <v>352701_2024_12_</v>
      </c>
      <c r="K2899" s="3263">
        <v>632</v>
      </c>
      <c r="L2899" s="262"/>
      <c r="M2899" s="4376"/>
      <c r="P2899" s="261"/>
      <c r="Q2899" s="261"/>
      <c r="R2899" s="261"/>
      <c r="S2899" s="52"/>
      <c r="T2899" s="181"/>
      <c r="U2899" s="52"/>
      <c r="V2899" s="4295"/>
      <c r="W2899" s="3262"/>
      <c r="X2899" s="3262"/>
      <c r="Y2899" s="3265">
        <v>632</v>
      </c>
      <c r="Z2899" s="3262">
        <v>632</v>
      </c>
      <c r="AA2899" s="3262">
        <v>632</v>
      </c>
      <c r="AB2899" s="3262">
        <v>632</v>
      </c>
      <c r="AC2899" s="3262">
        <v>632</v>
      </c>
      <c r="AD2899" s="3262">
        <v>632</v>
      </c>
      <c r="AE2899" s="3262">
        <v>632</v>
      </c>
      <c r="AF2899" s="2236">
        <f t="shared" si="317"/>
        <v>632</v>
      </c>
      <c r="AG2899" s="1396"/>
      <c r="DG2899" s="573"/>
      <c r="DH2899" s="159"/>
      <c r="DI2899" s="1091"/>
      <c r="DJ2899" s="1187"/>
    </row>
    <row r="2900" spans="1:114" ht="15" hidden="1" customHeight="1" outlineLevel="1">
      <c r="A2900" s="453"/>
      <c r="C2900" s="51"/>
      <c r="D2900" s="4295"/>
      <c r="E2900" s="4295"/>
      <c r="F2900" s="4347" t="str">
        <f>$E$1550</f>
        <v>ASHP-SEER15_ER2_MF_CompE</v>
      </c>
      <c r="G2900" s="4347"/>
      <c r="H2900" s="4347"/>
      <c r="I2900" s="4347"/>
      <c r="J2900" s="3471" t="str">
        <f>$C$1550</f>
        <v>352701_2024_12_</v>
      </c>
      <c r="K2900" s="3263">
        <v>632</v>
      </c>
      <c r="L2900" s="262"/>
      <c r="M2900" s="4376"/>
      <c r="P2900" s="261"/>
      <c r="Q2900" s="261"/>
      <c r="R2900" s="261"/>
      <c r="S2900" s="52"/>
      <c r="T2900" s="181"/>
      <c r="U2900" s="52"/>
      <c r="V2900" s="4295"/>
      <c r="W2900" s="3262"/>
      <c r="X2900" s="3262"/>
      <c r="Y2900" s="3265">
        <f>$K$2899</f>
        <v>632</v>
      </c>
      <c r="Z2900" s="3262">
        <f>$K$2899</f>
        <v>632</v>
      </c>
      <c r="AA2900" s="3262">
        <f>$K$2899</f>
        <v>632</v>
      </c>
      <c r="AB2900" s="3262">
        <v>632</v>
      </c>
      <c r="AC2900" s="3262">
        <f>$K$2899</f>
        <v>632</v>
      </c>
      <c r="AD2900" s="3262">
        <v>632</v>
      </c>
      <c r="AE2900" s="3262">
        <v>632</v>
      </c>
      <c r="AF2900" s="2236">
        <f t="shared" si="317"/>
        <v>632</v>
      </c>
      <c r="AG2900" s="1396"/>
      <c r="DG2900" s="573"/>
      <c r="DH2900" s="159"/>
      <c r="DI2900" s="1091"/>
      <c r="DJ2900" s="1187"/>
    </row>
    <row r="2901" spans="1:114" ht="15" hidden="1" customHeight="1" outlineLevel="1">
      <c r="A2901" s="453"/>
      <c r="C2901" s="51"/>
      <c r="D2901" s="4295"/>
      <c r="E2901" s="4295"/>
      <c r="F2901" s="4347" t="str">
        <f>$E$1552</f>
        <v>ASHP-SEER15-Replace_CAC_ElectricHeat_ER1_MF</v>
      </c>
      <c r="G2901" s="4347"/>
      <c r="H2901" s="4347"/>
      <c r="I2901" s="4347"/>
      <c r="J2901" s="3471" t="str">
        <f>$C$1552</f>
        <v>352750_2024_12_</v>
      </c>
      <c r="K2901" s="3263">
        <v>869</v>
      </c>
      <c r="L2901" s="262"/>
      <c r="M2901" s="4376"/>
      <c r="P2901" s="261"/>
      <c r="Q2901" s="261"/>
      <c r="R2901" s="261"/>
      <c r="S2901" s="52"/>
      <c r="T2901" s="181"/>
      <c r="U2901" s="52"/>
      <c r="V2901" s="4295"/>
      <c r="W2901" s="3262">
        <v>869</v>
      </c>
      <c r="X2901" s="3262">
        <v>869</v>
      </c>
      <c r="Y2901" s="3262">
        <v>869</v>
      </c>
      <c r="Z2901" s="3262">
        <v>869</v>
      </c>
      <c r="AA2901" s="3262">
        <v>869</v>
      </c>
      <c r="AB2901" s="3262">
        <v>869</v>
      </c>
      <c r="AC2901" s="3262">
        <v>869</v>
      </c>
      <c r="AD2901" s="3262">
        <v>869</v>
      </c>
      <c r="AE2901" s="3262">
        <v>869</v>
      </c>
      <c r="AF2901" s="2236">
        <f t="shared" si="317"/>
        <v>869</v>
      </c>
      <c r="AG2901" s="1396"/>
      <c r="DG2901" s="573"/>
      <c r="DH2901" s="159"/>
      <c r="DI2901" s="1091"/>
      <c r="DJ2901" s="1187"/>
    </row>
    <row r="2902" spans="1:114" ht="15" hidden="1" customHeight="1" outlineLevel="1">
      <c r="A2902" s="453"/>
      <c r="C2902" s="51"/>
      <c r="D2902" s="4295"/>
      <c r="E2902" s="4295"/>
      <c r="F2902" s="4347" t="str">
        <f>$E$1554</f>
        <v>ASHP-SEER15-Replace_CAC_ElectricHeat_ER2_MF</v>
      </c>
      <c r="G2902" s="4347"/>
      <c r="H2902" s="4347"/>
      <c r="I2902" s="4347"/>
      <c r="J2902" s="3471" t="str">
        <f>$C$1554</f>
        <v>352750_2024_12_</v>
      </c>
      <c r="K2902" s="3263">
        <v>869</v>
      </c>
      <c r="L2902" s="262"/>
      <c r="M2902" s="4376"/>
      <c r="P2902" s="261"/>
      <c r="Q2902" s="261"/>
      <c r="R2902" s="261"/>
      <c r="S2902" s="52"/>
      <c r="T2902" s="181"/>
      <c r="U2902" s="52"/>
      <c r="V2902" s="4295"/>
      <c r="W2902" s="3262">
        <v>869</v>
      </c>
      <c r="X2902" s="3262">
        <v>869</v>
      </c>
      <c r="Y2902" s="3262">
        <v>869</v>
      </c>
      <c r="Z2902" s="3262">
        <v>869</v>
      </c>
      <c r="AA2902" s="3262">
        <v>869</v>
      </c>
      <c r="AB2902" s="3262">
        <v>869</v>
      </c>
      <c r="AC2902" s="3262">
        <v>869</v>
      </c>
      <c r="AD2902" s="3262">
        <v>869</v>
      </c>
      <c r="AE2902" s="3262">
        <v>869</v>
      </c>
      <c r="AF2902" s="2236">
        <f t="shared" si="317"/>
        <v>869</v>
      </c>
      <c r="AG2902" s="1396"/>
      <c r="DG2902" s="573"/>
      <c r="DH2902" s="159"/>
      <c r="DI2902" s="1091"/>
      <c r="DJ2902" s="1187"/>
    </row>
    <row r="2903" spans="1:114" ht="15" hidden="1" customHeight="1" outlineLevel="1">
      <c r="A2903" s="453"/>
      <c r="C2903" s="51"/>
      <c r="D2903" s="4295"/>
      <c r="E2903" s="4295"/>
      <c r="F2903" s="4347" t="str">
        <f>$E$1556</f>
        <v>ASHP-SEER15-Replace_CAC_ElectricHeat_ER1_MF_CompE</v>
      </c>
      <c r="G2903" s="4347"/>
      <c r="H2903" s="4347"/>
      <c r="I2903" s="4347"/>
      <c r="J2903" s="3471" t="str">
        <f>$C$1556</f>
        <v>352751_2024_12_</v>
      </c>
      <c r="K2903" s="3263">
        <v>632</v>
      </c>
      <c r="L2903" s="262"/>
      <c r="M2903" s="4376"/>
      <c r="P2903" s="261"/>
      <c r="Q2903" s="261"/>
      <c r="R2903" s="261"/>
      <c r="S2903" s="52"/>
      <c r="T2903" s="181"/>
      <c r="U2903" s="52"/>
      <c r="V2903" s="4295"/>
      <c r="W2903" s="3262"/>
      <c r="X2903" s="3262"/>
      <c r="Y2903" s="3265">
        <f t="shared" ref="Y2903:AA2904" si="318">$K$2899</f>
        <v>632</v>
      </c>
      <c r="Z2903" s="3262">
        <f t="shared" si="318"/>
        <v>632</v>
      </c>
      <c r="AA2903" s="3262">
        <f t="shared" si="318"/>
        <v>632</v>
      </c>
      <c r="AB2903" s="3262">
        <v>632</v>
      </c>
      <c r="AC2903" s="3262">
        <f>$K$2899</f>
        <v>632</v>
      </c>
      <c r="AD2903" s="3262">
        <v>632</v>
      </c>
      <c r="AE2903" s="3262">
        <v>632</v>
      </c>
      <c r="AF2903" s="2236">
        <f t="shared" si="317"/>
        <v>632</v>
      </c>
      <c r="AG2903" s="1396"/>
      <c r="DG2903" s="573"/>
      <c r="DH2903" s="159"/>
      <c r="DI2903" s="1091"/>
      <c r="DJ2903" s="1187"/>
    </row>
    <row r="2904" spans="1:114" ht="15" hidden="1" customHeight="1" outlineLevel="1">
      <c r="A2904" s="453"/>
      <c r="C2904" s="51"/>
      <c r="D2904" s="4295"/>
      <c r="E2904" s="4295"/>
      <c r="F2904" s="4347" t="str">
        <f>$E$1558</f>
        <v>ASHP-SEER15-Replace_CAC_ElectricHeat_ER2_MF_CompE</v>
      </c>
      <c r="G2904" s="4347"/>
      <c r="H2904" s="4347"/>
      <c r="I2904" s="4347"/>
      <c r="J2904" s="3471" t="str">
        <f>$C$1558</f>
        <v>352751_2024_12_</v>
      </c>
      <c r="K2904" s="3263">
        <v>632</v>
      </c>
      <c r="L2904" s="262"/>
      <c r="M2904" s="4376"/>
      <c r="P2904" s="261"/>
      <c r="Q2904" s="261"/>
      <c r="R2904" s="261"/>
      <c r="S2904" s="52"/>
      <c r="T2904" s="181"/>
      <c r="U2904" s="52"/>
      <c r="V2904" s="4295"/>
      <c r="W2904" s="3262"/>
      <c r="X2904" s="3262"/>
      <c r="Y2904" s="3265">
        <f t="shared" si="318"/>
        <v>632</v>
      </c>
      <c r="Z2904" s="3262">
        <f t="shared" si="318"/>
        <v>632</v>
      </c>
      <c r="AA2904" s="3262">
        <f t="shared" si="318"/>
        <v>632</v>
      </c>
      <c r="AB2904" s="3262">
        <v>632</v>
      </c>
      <c r="AC2904" s="3262">
        <f>$K$2899</f>
        <v>632</v>
      </c>
      <c r="AD2904" s="3262">
        <v>632</v>
      </c>
      <c r="AE2904" s="3262">
        <v>632</v>
      </c>
      <c r="AF2904" s="2236">
        <f t="shared" si="317"/>
        <v>632</v>
      </c>
      <c r="AG2904" s="1396"/>
      <c r="DG2904" s="573"/>
      <c r="DH2904" s="159"/>
      <c r="DI2904" s="1091"/>
      <c r="DJ2904" s="1187"/>
    </row>
    <row r="2905" spans="1:114" ht="15" hidden="1" customHeight="1" outlineLevel="1">
      <c r="A2905" s="453"/>
      <c r="C2905" s="51"/>
      <c r="D2905" s="4295"/>
      <c r="E2905" s="4295"/>
      <c r="F2905" s="4347" t="str">
        <f>$E$1560</f>
        <v>ASHP-SEER15-Replace_CAC_NonElectricHeat_ER1_MF</v>
      </c>
      <c r="G2905" s="4347"/>
      <c r="H2905" s="4347"/>
      <c r="I2905" s="4347"/>
      <c r="J2905" s="3471" t="str">
        <f>$C$1560</f>
        <v>352760_2024_12_</v>
      </c>
      <c r="K2905" s="3263">
        <v>869</v>
      </c>
      <c r="L2905" s="262"/>
      <c r="M2905" s="4376"/>
      <c r="P2905" s="261"/>
      <c r="Q2905" s="261"/>
      <c r="R2905" s="261"/>
      <c r="S2905" s="52"/>
      <c r="T2905" s="181"/>
      <c r="U2905" s="52"/>
      <c r="V2905" s="4295"/>
      <c r="W2905" s="3262"/>
      <c r="X2905" s="3262"/>
      <c r="Y2905" s="3265"/>
      <c r="Z2905" s="3262"/>
      <c r="AA2905" s="3262"/>
      <c r="AB2905" s="3262"/>
      <c r="AC2905" s="3265">
        <v>869</v>
      </c>
      <c r="AD2905" s="3262">
        <v>869</v>
      </c>
      <c r="AE2905" s="3262">
        <v>869</v>
      </c>
      <c r="AF2905" s="2236">
        <f t="shared" si="317"/>
        <v>869</v>
      </c>
      <c r="AG2905" s="1396"/>
      <c r="DG2905" s="573"/>
      <c r="DH2905" s="159"/>
      <c r="DI2905" s="1091"/>
      <c r="DJ2905" s="1187"/>
    </row>
    <row r="2906" spans="1:114" ht="15" hidden="1" customHeight="1" outlineLevel="1">
      <c r="A2906" s="453"/>
      <c r="C2906" s="51"/>
      <c r="D2906" s="4295"/>
      <c r="E2906" s="4295"/>
      <c r="F2906" s="4347" t="str">
        <f>$E$1562</f>
        <v>ASHP-SEER15-Replace_CAC_NonElectricHeat_ER2_MF</v>
      </c>
      <c r="G2906" s="4347"/>
      <c r="H2906" s="4347"/>
      <c r="I2906" s="4347"/>
      <c r="J2906" s="3471" t="str">
        <f>$C$1562</f>
        <v>352760_2024_12_</v>
      </c>
      <c r="K2906" s="3263">
        <v>869</v>
      </c>
      <c r="L2906" s="262"/>
      <c r="M2906" s="4376"/>
      <c r="P2906" s="261"/>
      <c r="Q2906" s="261"/>
      <c r="R2906" s="261"/>
      <c r="S2906" s="52"/>
      <c r="T2906" s="181"/>
      <c r="U2906" s="52"/>
      <c r="V2906" s="4295"/>
      <c r="W2906" s="3262"/>
      <c r="X2906" s="3262"/>
      <c r="Y2906" s="3265"/>
      <c r="Z2906" s="3262"/>
      <c r="AA2906" s="3262"/>
      <c r="AB2906" s="3262"/>
      <c r="AC2906" s="3265">
        <v>869</v>
      </c>
      <c r="AD2906" s="3262">
        <v>869</v>
      </c>
      <c r="AE2906" s="3262">
        <v>869</v>
      </c>
      <c r="AF2906" s="2236">
        <f t="shared" si="317"/>
        <v>869</v>
      </c>
      <c r="AG2906" s="1396"/>
      <c r="DG2906" s="573"/>
      <c r="DH2906" s="159"/>
      <c r="DI2906" s="1091"/>
      <c r="DJ2906" s="1187"/>
    </row>
    <row r="2907" spans="1:114" ht="15" hidden="1" customHeight="1" outlineLevel="1">
      <c r="A2907" s="453"/>
      <c r="C2907" s="51"/>
      <c r="D2907" s="4295"/>
      <c r="E2907" s="4295"/>
      <c r="F2907" s="4347" t="str">
        <f>$E$1564</f>
        <v>ASHP-SEER15-Replace_CAC_NonElectricHeat_ER1_MF_CompE</v>
      </c>
      <c r="G2907" s="4347"/>
      <c r="H2907" s="4347"/>
      <c r="I2907" s="4347"/>
      <c r="J2907" s="3471" t="str">
        <f>$C$1564</f>
        <v>352761_2024_12_</v>
      </c>
      <c r="K2907" s="3263">
        <v>632</v>
      </c>
      <c r="L2907" s="262"/>
      <c r="M2907" s="4376"/>
      <c r="P2907" s="261"/>
      <c r="Q2907" s="261"/>
      <c r="R2907" s="261"/>
      <c r="S2907" s="52"/>
      <c r="T2907" s="181"/>
      <c r="U2907" s="52"/>
      <c r="V2907" s="4295"/>
      <c r="W2907" s="3262"/>
      <c r="X2907" s="3262"/>
      <c r="Y2907" s="3265"/>
      <c r="Z2907" s="3262"/>
      <c r="AA2907" s="3262"/>
      <c r="AB2907" s="3262"/>
      <c r="AC2907" s="3265">
        <f>$K$2899</f>
        <v>632</v>
      </c>
      <c r="AD2907" s="3262">
        <v>632</v>
      </c>
      <c r="AE2907" s="3262">
        <v>632</v>
      </c>
      <c r="AF2907" s="2236">
        <f t="shared" si="317"/>
        <v>632</v>
      </c>
      <c r="AG2907" s="1396"/>
      <c r="DG2907" s="573"/>
      <c r="DH2907" s="159"/>
      <c r="DI2907" s="1091"/>
      <c r="DJ2907" s="1187"/>
    </row>
    <row r="2908" spans="1:114" ht="15" hidden="1" customHeight="1" outlineLevel="1">
      <c r="A2908" s="453"/>
      <c r="C2908" s="51"/>
      <c r="D2908" s="4295"/>
      <c r="E2908" s="4295"/>
      <c r="F2908" s="4347" t="str">
        <f>$E$1566</f>
        <v>ASHP-SEER15-Replace_CAC_NonElectricHeat_ER2_MF_CompE</v>
      </c>
      <c r="G2908" s="4347"/>
      <c r="H2908" s="4347"/>
      <c r="I2908" s="4347"/>
      <c r="J2908" s="3471" t="str">
        <f>$C$1566</f>
        <v>352761_2024_12_</v>
      </c>
      <c r="K2908" s="3263">
        <v>632</v>
      </c>
      <c r="L2908" s="262"/>
      <c r="M2908" s="4376"/>
      <c r="P2908" s="261"/>
      <c r="Q2908" s="261"/>
      <c r="R2908" s="261"/>
      <c r="S2908" s="52"/>
      <c r="T2908" s="181"/>
      <c r="U2908" s="52"/>
      <c r="V2908" s="4295"/>
      <c r="W2908" s="3262"/>
      <c r="X2908" s="3262"/>
      <c r="Y2908" s="3265"/>
      <c r="Z2908" s="3262"/>
      <c r="AA2908" s="3262"/>
      <c r="AB2908" s="3262"/>
      <c r="AC2908" s="3265">
        <f>$K$2899</f>
        <v>632</v>
      </c>
      <c r="AD2908" s="3262">
        <v>632</v>
      </c>
      <c r="AE2908" s="3262">
        <v>632</v>
      </c>
      <c r="AF2908" s="2236">
        <f t="shared" si="317"/>
        <v>632</v>
      </c>
      <c r="AG2908" s="1396"/>
      <c r="DG2908" s="573"/>
      <c r="DH2908" s="159"/>
      <c r="DI2908" s="1091"/>
      <c r="DJ2908" s="1187"/>
    </row>
    <row r="2909" spans="1:114" ht="15" hidden="1" customHeight="1" outlineLevel="1">
      <c r="A2909" s="453"/>
      <c r="C2909" s="51"/>
      <c r="D2909" s="4295"/>
      <c r="E2909" s="4295"/>
      <c r="F2909" s="4347" t="str">
        <f>$E$1568</f>
        <v>ASHP-SEER15-Replace_CAC_ElectricHeat_ROF_MF</v>
      </c>
      <c r="G2909" s="4347"/>
      <c r="H2909" s="4347"/>
      <c r="I2909" s="4347"/>
      <c r="J2909" s="3471" t="str">
        <f>$C$1568</f>
        <v>352800_2024_12_</v>
      </c>
      <c r="K2909" s="3263">
        <v>869</v>
      </c>
      <c r="L2909" s="262"/>
      <c r="M2909" s="4376"/>
      <c r="P2909" s="261"/>
      <c r="Q2909" s="261"/>
      <c r="R2909" s="261"/>
      <c r="S2909" s="52"/>
      <c r="T2909" s="181"/>
      <c r="U2909" s="52"/>
      <c r="V2909" s="4295"/>
      <c r="W2909" s="3262">
        <v>869</v>
      </c>
      <c r="X2909" s="3262">
        <v>869</v>
      </c>
      <c r="Y2909" s="3262">
        <v>869</v>
      </c>
      <c r="Z2909" s="3262">
        <v>869</v>
      </c>
      <c r="AA2909" s="3262">
        <v>869</v>
      </c>
      <c r="AB2909" s="3262">
        <v>869</v>
      </c>
      <c r="AC2909" s="3262">
        <v>869</v>
      </c>
      <c r="AD2909" s="3262">
        <v>869</v>
      </c>
      <c r="AE2909" s="3262">
        <v>869</v>
      </c>
      <c r="AF2909" s="2236">
        <f t="shared" si="317"/>
        <v>869</v>
      </c>
      <c r="AG2909" s="1396"/>
      <c r="DG2909" s="573"/>
      <c r="DH2909" s="159"/>
      <c r="DI2909" s="1091"/>
      <c r="DJ2909" s="1187"/>
    </row>
    <row r="2910" spans="1:114" ht="15" hidden="1" customHeight="1" outlineLevel="1">
      <c r="A2910" s="453"/>
      <c r="C2910" s="51"/>
      <c r="D2910" s="4295"/>
      <c r="E2910" s="4295"/>
      <c r="F2910" s="4347" t="str">
        <f>$E$1570</f>
        <v>ASHP-SEER15-Replace_CAC_ElectricHeat_ROF_MF_CompE</v>
      </c>
      <c r="G2910" s="4347"/>
      <c r="H2910" s="4347"/>
      <c r="I2910" s="4347"/>
      <c r="J2910" s="3471" t="str">
        <f>$C$1570</f>
        <v>352801_2024_12_</v>
      </c>
      <c r="K2910" s="3263">
        <v>632</v>
      </c>
      <c r="L2910" s="262"/>
      <c r="M2910" s="4376"/>
      <c r="P2910" s="261"/>
      <c r="Q2910" s="261"/>
      <c r="R2910" s="261"/>
      <c r="S2910" s="52"/>
      <c r="T2910" s="181"/>
      <c r="U2910" s="52"/>
      <c r="V2910" s="4295"/>
      <c r="W2910" s="3262"/>
      <c r="X2910" s="3262"/>
      <c r="Y2910" s="3265">
        <f>$K$2899</f>
        <v>632</v>
      </c>
      <c r="Z2910" s="3262">
        <f>$K$2899</f>
        <v>632</v>
      </c>
      <c r="AA2910" s="3262">
        <f>$K$2899</f>
        <v>632</v>
      </c>
      <c r="AB2910" s="3262">
        <v>632</v>
      </c>
      <c r="AC2910" s="3262">
        <f>$K$2899</f>
        <v>632</v>
      </c>
      <c r="AD2910" s="3262">
        <v>632</v>
      </c>
      <c r="AE2910" s="3262">
        <v>632</v>
      </c>
      <c r="AF2910" s="2236">
        <f t="shared" si="317"/>
        <v>632</v>
      </c>
      <c r="AG2910" s="1396"/>
      <c r="DG2910" s="573"/>
      <c r="DH2910" s="159"/>
      <c r="DI2910" s="1091"/>
      <c r="DJ2910" s="1187"/>
    </row>
    <row r="2911" spans="1:114" ht="15" hidden="1" customHeight="1" outlineLevel="1">
      <c r="A2911" s="453"/>
      <c r="C2911" s="51"/>
      <c r="D2911" s="4295"/>
      <c r="E2911" s="4295"/>
      <c r="F2911" s="4347" t="str">
        <f>$E$1572</f>
        <v>ASHP-SEER15-Replace_CAC_NonElectricHeat_ROF_MF</v>
      </c>
      <c r="G2911" s="4347"/>
      <c r="H2911" s="4347"/>
      <c r="I2911" s="4347"/>
      <c r="J2911" s="3471" t="str">
        <f>$C$1572</f>
        <v>352810_2024_12_</v>
      </c>
      <c r="K2911" s="3263">
        <v>869</v>
      </c>
      <c r="L2911" s="262"/>
      <c r="M2911" s="4376"/>
      <c r="P2911" s="261"/>
      <c r="Q2911" s="261"/>
      <c r="R2911" s="261"/>
      <c r="S2911" s="52"/>
      <c r="T2911" s="181"/>
      <c r="U2911" s="52"/>
      <c r="V2911" s="4295"/>
      <c r="W2911" s="3262"/>
      <c r="X2911" s="3262"/>
      <c r="Y2911" s="3265"/>
      <c r="Z2911" s="3262"/>
      <c r="AA2911" s="3262"/>
      <c r="AB2911" s="3262"/>
      <c r="AC2911" s="3265">
        <v>869</v>
      </c>
      <c r="AD2911" s="3262">
        <v>869</v>
      </c>
      <c r="AE2911" s="3262">
        <v>869</v>
      </c>
      <c r="AF2911" s="2236">
        <f t="shared" si="317"/>
        <v>869</v>
      </c>
      <c r="AG2911" s="1396"/>
      <c r="DG2911" s="573"/>
      <c r="DH2911" s="159"/>
      <c r="DI2911" s="1091"/>
      <c r="DJ2911" s="1187"/>
    </row>
    <row r="2912" spans="1:114" ht="15" hidden="1" customHeight="1" outlineLevel="1">
      <c r="A2912" s="453"/>
      <c r="C2912" s="51"/>
      <c r="D2912" s="4295"/>
      <c r="E2912" s="4295"/>
      <c r="F2912" s="4347" t="str">
        <f>$E$1574</f>
        <v>ASHP-SEER15-Replace_CAC_NonElectricHeat_ROF_MF_CompE</v>
      </c>
      <c r="G2912" s="4347"/>
      <c r="H2912" s="4347"/>
      <c r="I2912" s="4347"/>
      <c r="J2912" s="3471" t="str">
        <f>$C$1574</f>
        <v>352811_2024_12_</v>
      </c>
      <c r="K2912" s="3263">
        <v>632</v>
      </c>
      <c r="L2912" s="262"/>
      <c r="M2912" s="4376"/>
      <c r="P2912" s="261"/>
      <c r="Q2912" s="261"/>
      <c r="R2912" s="261"/>
      <c r="S2912" s="52"/>
      <c r="T2912" s="181"/>
      <c r="U2912" s="52"/>
      <c r="V2912" s="4295"/>
      <c r="W2912" s="3262"/>
      <c r="X2912" s="3262"/>
      <c r="Y2912" s="3265"/>
      <c r="Z2912" s="3262"/>
      <c r="AA2912" s="3262"/>
      <c r="AB2912" s="3262"/>
      <c r="AC2912" s="3265">
        <f>$K$2899</f>
        <v>632</v>
      </c>
      <c r="AD2912" s="3262">
        <v>632</v>
      </c>
      <c r="AE2912" s="3262">
        <v>632</v>
      </c>
      <c r="AF2912" s="2236">
        <f t="shared" si="317"/>
        <v>632</v>
      </c>
      <c r="AG2912" s="1396"/>
      <c r="DG2912" s="573"/>
      <c r="DH2912" s="159"/>
      <c r="DI2912" s="1091"/>
      <c r="DJ2912" s="1187"/>
    </row>
    <row r="2913" spans="1:114" ht="15" hidden="1" customHeight="1" outlineLevel="1">
      <c r="A2913" s="453"/>
      <c r="C2913" s="51"/>
      <c r="D2913" s="4295"/>
      <c r="E2913" s="4295"/>
      <c r="F2913" s="4347" t="str">
        <f>$E$1576</f>
        <v>ASHP-SEER16_ER1_MF</v>
      </c>
      <c r="G2913" s="4347"/>
      <c r="H2913" s="4347"/>
      <c r="I2913" s="4347"/>
      <c r="J2913" s="3471" t="str">
        <f>$C$1576</f>
        <v>352850_2024_12_</v>
      </c>
      <c r="K2913" s="3263">
        <v>869</v>
      </c>
      <c r="L2913" s="262"/>
      <c r="M2913" s="4376"/>
      <c r="P2913" s="261"/>
      <c r="Q2913" s="261"/>
      <c r="R2913" s="261"/>
      <c r="S2913" s="52"/>
      <c r="T2913" s="181"/>
      <c r="U2913" s="52"/>
      <c r="V2913" s="4295"/>
      <c r="W2913" s="3262">
        <v>869</v>
      </c>
      <c r="X2913" s="3262">
        <v>869</v>
      </c>
      <c r="Y2913" s="3262">
        <v>869</v>
      </c>
      <c r="Z2913" s="3262">
        <v>869</v>
      </c>
      <c r="AA2913" s="3262">
        <v>869</v>
      </c>
      <c r="AB2913" s="3262">
        <v>869</v>
      </c>
      <c r="AC2913" s="3262">
        <v>869</v>
      </c>
      <c r="AD2913" s="3262">
        <v>869</v>
      </c>
      <c r="AE2913" s="3262">
        <v>869</v>
      </c>
      <c r="AF2913" s="2236">
        <f t="shared" si="317"/>
        <v>869</v>
      </c>
      <c r="AG2913" s="1396"/>
      <c r="DG2913" s="573"/>
      <c r="DH2913" s="159"/>
      <c r="DI2913" s="1091"/>
      <c r="DJ2913" s="1187"/>
    </row>
    <row r="2914" spans="1:114" ht="15" hidden="1" customHeight="1" outlineLevel="1">
      <c r="A2914" s="453"/>
      <c r="C2914" s="51"/>
      <c r="D2914" s="4295"/>
      <c r="E2914" s="4295"/>
      <c r="F2914" s="4347" t="str">
        <f>$E$1578</f>
        <v>ASHP-SEER16_ER2_MF</v>
      </c>
      <c r="G2914" s="4347"/>
      <c r="H2914" s="4347"/>
      <c r="I2914" s="4347"/>
      <c r="J2914" s="3471" t="str">
        <f>$C$1578</f>
        <v>352850_2024_12_</v>
      </c>
      <c r="K2914" s="3263">
        <v>869</v>
      </c>
      <c r="L2914" s="262"/>
      <c r="M2914" s="4376"/>
      <c r="P2914" s="261"/>
      <c r="Q2914" s="261"/>
      <c r="R2914" s="261"/>
      <c r="S2914" s="52"/>
      <c r="T2914" s="181"/>
      <c r="U2914" s="52"/>
      <c r="V2914" s="4295"/>
      <c r="W2914" s="3262">
        <v>869</v>
      </c>
      <c r="X2914" s="3262">
        <v>869</v>
      </c>
      <c r="Y2914" s="3262">
        <v>869</v>
      </c>
      <c r="Z2914" s="3262">
        <v>869</v>
      </c>
      <c r="AA2914" s="3262">
        <v>869</v>
      </c>
      <c r="AB2914" s="3262">
        <v>869</v>
      </c>
      <c r="AC2914" s="3262">
        <v>869</v>
      </c>
      <c r="AD2914" s="3262">
        <v>869</v>
      </c>
      <c r="AE2914" s="3262">
        <v>869</v>
      </c>
      <c r="AF2914" s="2236">
        <f t="shared" si="317"/>
        <v>869</v>
      </c>
      <c r="AG2914" s="1396"/>
      <c r="DG2914" s="573"/>
      <c r="DH2914" s="159"/>
      <c r="DI2914" s="1091"/>
      <c r="DJ2914" s="1187"/>
    </row>
    <row r="2915" spans="1:114" ht="15" hidden="1" customHeight="1" outlineLevel="1">
      <c r="A2915" s="453"/>
      <c r="C2915" s="51"/>
      <c r="D2915" s="4295"/>
      <c r="E2915" s="4295"/>
      <c r="F2915" s="4347" t="str">
        <f>$E$1580</f>
        <v>ASHP-SEER16_ER1_MF_CompE</v>
      </c>
      <c r="G2915" s="4347"/>
      <c r="H2915" s="4347"/>
      <c r="I2915" s="4347"/>
      <c r="J2915" s="3471" t="str">
        <f>$C$1580</f>
        <v>352851_2024_12_</v>
      </c>
      <c r="K2915" s="3263">
        <v>632</v>
      </c>
      <c r="L2915" s="262"/>
      <c r="M2915" s="4376"/>
      <c r="P2915" s="261"/>
      <c r="Q2915" s="261"/>
      <c r="R2915" s="261"/>
      <c r="S2915" s="52"/>
      <c r="T2915" s="181"/>
      <c r="U2915" s="52"/>
      <c r="V2915" s="4295"/>
      <c r="W2915" s="3262"/>
      <c r="X2915" s="3262"/>
      <c r="Y2915" s="3265">
        <f t="shared" ref="Y2915:AA2916" si="319">$K$2899</f>
        <v>632</v>
      </c>
      <c r="Z2915" s="3262">
        <f t="shared" si="319"/>
        <v>632</v>
      </c>
      <c r="AA2915" s="3262">
        <f t="shared" si="319"/>
        <v>632</v>
      </c>
      <c r="AB2915" s="3262">
        <v>632</v>
      </c>
      <c r="AC2915" s="3262">
        <f>$K$2899</f>
        <v>632</v>
      </c>
      <c r="AD2915" s="3262">
        <v>632</v>
      </c>
      <c r="AE2915" s="3262">
        <v>632</v>
      </c>
      <c r="AF2915" s="2236">
        <f t="shared" si="317"/>
        <v>632</v>
      </c>
      <c r="AG2915" s="1396"/>
      <c r="DG2915" s="573"/>
      <c r="DH2915" s="159"/>
      <c r="DI2915" s="1091"/>
      <c r="DJ2915" s="1187"/>
    </row>
    <row r="2916" spans="1:114" ht="15" hidden="1" customHeight="1" outlineLevel="1">
      <c r="A2916" s="453"/>
      <c r="C2916" s="51"/>
      <c r="D2916" s="4295"/>
      <c r="E2916" s="4295"/>
      <c r="F2916" s="4347" t="str">
        <f>$E$1582</f>
        <v>ASHP-SEER16_ER2_MF_CompE</v>
      </c>
      <c r="G2916" s="4347"/>
      <c r="H2916" s="4347"/>
      <c r="I2916" s="4347"/>
      <c r="J2916" s="3471" t="str">
        <f>$C$1582</f>
        <v>352851_2024_12_</v>
      </c>
      <c r="K2916" s="3263">
        <v>632</v>
      </c>
      <c r="L2916" s="262"/>
      <c r="M2916" s="4376"/>
      <c r="P2916" s="261"/>
      <c r="Q2916" s="261"/>
      <c r="R2916" s="261"/>
      <c r="S2916" s="52"/>
      <c r="T2916" s="181"/>
      <c r="U2916" s="52"/>
      <c r="V2916" s="4295"/>
      <c r="W2916" s="3262"/>
      <c r="X2916" s="3262"/>
      <c r="Y2916" s="3265">
        <f t="shared" si="319"/>
        <v>632</v>
      </c>
      <c r="Z2916" s="3262">
        <f t="shared" si="319"/>
        <v>632</v>
      </c>
      <c r="AA2916" s="3262">
        <f t="shared" si="319"/>
        <v>632</v>
      </c>
      <c r="AB2916" s="3262">
        <v>632</v>
      </c>
      <c r="AC2916" s="3262">
        <f>$K$2899</f>
        <v>632</v>
      </c>
      <c r="AD2916" s="3262">
        <v>632</v>
      </c>
      <c r="AE2916" s="3262">
        <v>632</v>
      </c>
      <c r="AF2916" s="2236">
        <f t="shared" si="317"/>
        <v>632</v>
      </c>
      <c r="AG2916" s="1396"/>
      <c r="DG2916" s="573"/>
      <c r="DH2916" s="159"/>
      <c r="DI2916" s="1091"/>
      <c r="DJ2916" s="1187"/>
    </row>
    <row r="2917" spans="1:114" ht="15" hidden="1" customHeight="1" outlineLevel="1">
      <c r="A2917" s="453"/>
      <c r="C2917" s="51"/>
      <c r="D2917" s="4295"/>
      <c r="E2917" s="4295"/>
      <c r="F2917" s="4347" t="str">
        <f>$E$1584</f>
        <v>ASHP-SEER16_ROF_MF</v>
      </c>
      <c r="G2917" s="4347"/>
      <c r="H2917" s="4347"/>
      <c r="I2917" s="4347"/>
      <c r="J2917" s="3471" t="str">
        <f>$C$1584</f>
        <v>352900_2024_12_</v>
      </c>
      <c r="K2917" s="3263">
        <v>869</v>
      </c>
      <c r="L2917" s="262"/>
      <c r="M2917" s="4376"/>
      <c r="P2917" s="261"/>
      <c r="Q2917" s="261"/>
      <c r="R2917" s="261"/>
      <c r="S2917" s="52"/>
      <c r="T2917" s="181"/>
      <c r="U2917" s="52"/>
      <c r="V2917" s="4295"/>
      <c r="W2917" s="3262">
        <v>869</v>
      </c>
      <c r="X2917" s="3262">
        <v>869</v>
      </c>
      <c r="Y2917" s="3262">
        <v>869</v>
      </c>
      <c r="Z2917" s="3262">
        <v>869</v>
      </c>
      <c r="AA2917" s="3262">
        <v>869</v>
      </c>
      <c r="AB2917" s="3262">
        <v>869</v>
      </c>
      <c r="AC2917" s="3262">
        <v>869</v>
      </c>
      <c r="AD2917" s="3262">
        <v>869</v>
      </c>
      <c r="AE2917" s="3262">
        <v>869</v>
      </c>
      <c r="AF2917" s="2236">
        <f t="shared" si="317"/>
        <v>869</v>
      </c>
      <c r="AG2917" s="1396"/>
      <c r="DG2917" s="573"/>
      <c r="DH2917" s="159"/>
      <c r="DI2917" s="1091"/>
      <c r="DJ2917" s="1187"/>
    </row>
    <row r="2918" spans="1:114" ht="15" hidden="1" customHeight="1" outlineLevel="1">
      <c r="A2918" s="453"/>
      <c r="C2918" s="51"/>
      <c r="D2918" s="4295"/>
      <c r="E2918" s="4295"/>
      <c r="F2918" s="4347" t="str">
        <f>$E$1586</f>
        <v>ASHP-SEER16_ROF_MF_CompE</v>
      </c>
      <c r="G2918" s="4347"/>
      <c r="H2918" s="4347"/>
      <c r="I2918" s="4347"/>
      <c r="J2918" s="3471" t="str">
        <f>$C$1586</f>
        <v>352901_2024_12_</v>
      </c>
      <c r="K2918" s="3263">
        <v>632</v>
      </c>
      <c r="L2918" s="262"/>
      <c r="M2918" s="4376"/>
      <c r="P2918" s="261"/>
      <c r="Q2918" s="261"/>
      <c r="R2918" s="261"/>
      <c r="S2918" s="52"/>
      <c r="T2918" s="181"/>
      <c r="U2918" s="52"/>
      <c r="V2918" s="4295"/>
      <c r="W2918" s="3262"/>
      <c r="X2918" s="3262"/>
      <c r="Y2918" s="3265">
        <f>$K$2899</f>
        <v>632</v>
      </c>
      <c r="Z2918" s="3262">
        <f>$K$2899</f>
        <v>632</v>
      </c>
      <c r="AA2918" s="3262">
        <f>$K$2899</f>
        <v>632</v>
      </c>
      <c r="AB2918" s="3262">
        <v>632</v>
      </c>
      <c r="AC2918" s="3262">
        <f>$K$2899</f>
        <v>632</v>
      </c>
      <c r="AD2918" s="3262">
        <v>632</v>
      </c>
      <c r="AE2918" s="3262">
        <v>632</v>
      </c>
      <c r="AF2918" s="2236">
        <f t="shared" si="317"/>
        <v>632</v>
      </c>
      <c r="AG2918" s="1396"/>
      <c r="DG2918" s="573"/>
      <c r="DH2918" s="159"/>
      <c r="DI2918" s="1091"/>
      <c r="DJ2918" s="1187"/>
    </row>
    <row r="2919" spans="1:114" ht="15" hidden="1" customHeight="1" outlineLevel="1">
      <c r="A2919" s="453"/>
      <c r="C2919" s="51"/>
      <c r="D2919" s="4295"/>
      <c r="E2919" s="4295"/>
      <c r="F2919" s="4347" t="str">
        <f>$E$1588</f>
        <v>ASHP-SEER16-Replace_CAC_ElectricHeat_ROF_MF</v>
      </c>
      <c r="G2919" s="4347"/>
      <c r="H2919" s="4347"/>
      <c r="I2919" s="4347"/>
      <c r="J2919" s="3471" t="str">
        <f>$C$1588</f>
        <v>352950_2024_12_</v>
      </c>
      <c r="K2919" s="3263">
        <v>869</v>
      </c>
      <c r="L2919" s="262"/>
      <c r="M2919" s="4376"/>
      <c r="P2919" s="261"/>
      <c r="Q2919" s="261"/>
      <c r="R2919" s="261"/>
      <c r="S2919" s="52"/>
      <c r="T2919" s="181"/>
      <c r="U2919" s="52"/>
      <c r="V2919" s="4295"/>
      <c r="W2919" s="3262">
        <v>869</v>
      </c>
      <c r="X2919" s="3262">
        <v>869</v>
      </c>
      <c r="Y2919" s="3262">
        <v>869</v>
      </c>
      <c r="Z2919" s="3262">
        <v>869</v>
      </c>
      <c r="AA2919" s="3262">
        <v>869</v>
      </c>
      <c r="AB2919" s="3262">
        <v>869</v>
      </c>
      <c r="AC2919" s="3262">
        <v>869</v>
      </c>
      <c r="AD2919" s="3262">
        <v>869</v>
      </c>
      <c r="AE2919" s="3262">
        <v>869</v>
      </c>
      <c r="AF2919" s="2236">
        <f t="shared" si="317"/>
        <v>869</v>
      </c>
      <c r="AG2919" s="1396"/>
      <c r="DG2919" s="573"/>
      <c r="DH2919" s="159"/>
      <c r="DI2919" s="1091"/>
      <c r="DJ2919" s="1187"/>
    </row>
    <row r="2920" spans="1:114" ht="15" hidden="1" customHeight="1" outlineLevel="1">
      <c r="A2920" s="453"/>
      <c r="C2920" s="51"/>
      <c r="D2920" s="4295"/>
      <c r="E2920" s="4295"/>
      <c r="F2920" s="4347" t="str">
        <f>$E$1590</f>
        <v>ASHP-SEER16-Replace_CAC_ElectricHeat_ROF_MF_CompE</v>
      </c>
      <c r="G2920" s="4347"/>
      <c r="H2920" s="4347"/>
      <c r="I2920" s="4347"/>
      <c r="J2920" s="3471" t="str">
        <f>$C$1590</f>
        <v>352951_2024_12_</v>
      </c>
      <c r="K2920" s="3263">
        <v>632</v>
      </c>
      <c r="L2920" s="262"/>
      <c r="M2920" s="4376"/>
      <c r="P2920" s="261"/>
      <c r="Q2920" s="261"/>
      <c r="R2920" s="261"/>
      <c r="S2920" s="52"/>
      <c r="T2920" s="181"/>
      <c r="U2920" s="52"/>
      <c r="V2920" s="4295"/>
      <c r="W2920" s="3262"/>
      <c r="X2920" s="3262"/>
      <c r="Y2920" s="3265">
        <f>$K$2899</f>
        <v>632</v>
      </c>
      <c r="Z2920" s="3262">
        <f>$K$2899</f>
        <v>632</v>
      </c>
      <c r="AA2920" s="3262">
        <f>$K$2899</f>
        <v>632</v>
      </c>
      <c r="AB2920" s="3262">
        <v>632</v>
      </c>
      <c r="AC2920" s="3262">
        <f>$K$2899</f>
        <v>632</v>
      </c>
      <c r="AD2920" s="3262">
        <v>632</v>
      </c>
      <c r="AE2920" s="3262">
        <v>632</v>
      </c>
      <c r="AF2920" s="2236">
        <f t="shared" si="317"/>
        <v>632</v>
      </c>
      <c r="AG2920" s="1396"/>
      <c r="DG2920" s="573"/>
      <c r="DH2920" s="159"/>
      <c r="DI2920" s="1091"/>
      <c r="DJ2920" s="1187"/>
    </row>
    <row r="2921" spans="1:114" ht="15" hidden="1" customHeight="1" outlineLevel="1">
      <c r="A2921" s="453"/>
      <c r="C2921" s="51"/>
      <c r="D2921" s="4295"/>
      <c r="E2921" s="4295"/>
      <c r="F2921" s="4347" t="str">
        <f>$E$1592</f>
        <v>ASHP-SEER16-Replace_CAC_NonElectricHeat_ROF_MF</v>
      </c>
      <c r="G2921" s="4347"/>
      <c r="H2921" s="4347"/>
      <c r="I2921" s="4347"/>
      <c r="J2921" s="3471" t="str">
        <f>$C$1592</f>
        <v>352960_2024_12_</v>
      </c>
      <c r="K2921" s="3263">
        <v>869</v>
      </c>
      <c r="L2921" s="262"/>
      <c r="M2921" s="4376"/>
      <c r="P2921" s="261"/>
      <c r="Q2921" s="261"/>
      <c r="R2921" s="261"/>
      <c r="S2921" s="52"/>
      <c r="T2921" s="181"/>
      <c r="U2921" s="52"/>
      <c r="V2921" s="4295"/>
      <c r="W2921" s="3262"/>
      <c r="X2921" s="3262"/>
      <c r="Y2921" s="3265"/>
      <c r="Z2921" s="3262"/>
      <c r="AA2921" s="3262"/>
      <c r="AB2921" s="3262"/>
      <c r="AC2921" s="3265">
        <v>869</v>
      </c>
      <c r="AD2921" s="3262">
        <v>869</v>
      </c>
      <c r="AE2921" s="3262">
        <v>869</v>
      </c>
      <c r="AF2921" s="2236">
        <f t="shared" si="317"/>
        <v>869</v>
      </c>
      <c r="AG2921" s="1396"/>
      <c r="DG2921" s="573"/>
      <c r="DH2921" s="159"/>
      <c r="DI2921" s="1091"/>
      <c r="DJ2921" s="1187"/>
    </row>
    <row r="2922" spans="1:114" ht="15" hidden="1" customHeight="1" outlineLevel="1">
      <c r="A2922" s="453"/>
      <c r="C2922" s="51"/>
      <c r="D2922" s="4295"/>
      <c r="E2922" s="4295"/>
      <c r="F2922" s="4347" t="str">
        <f>$E$1594</f>
        <v>ASHP-SEER16-Replace_CAC_NonElectricHeat_ROF_MF_CompE</v>
      </c>
      <c r="G2922" s="4347"/>
      <c r="H2922" s="4347"/>
      <c r="I2922" s="4347"/>
      <c r="J2922" s="3471" t="str">
        <f>$C$1594</f>
        <v>352961_2024_12_</v>
      </c>
      <c r="K2922" s="3263">
        <v>632</v>
      </c>
      <c r="L2922" s="262"/>
      <c r="M2922" s="4376"/>
      <c r="P2922" s="261"/>
      <c r="Q2922" s="261"/>
      <c r="R2922" s="261"/>
      <c r="S2922" s="52"/>
      <c r="T2922" s="181"/>
      <c r="U2922" s="52"/>
      <c r="V2922" s="4295"/>
      <c r="W2922" s="3262"/>
      <c r="X2922" s="3262"/>
      <c r="Y2922" s="3265"/>
      <c r="Z2922" s="3262"/>
      <c r="AA2922" s="3262"/>
      <c r="AB2922" s="3262"/>
      <c r="AC2922" s="3265">
        <f>$K$2899</f>
        <v>632</v>
      </c>
      <c r="AD2922" s="3262">
        <v>632</v>
      </c>
      <c r="AE2922" s="3262">
        <v>632</v>
      </c>
      <c r="AF2922" s="2236">
        <f t="shared" si="317"/>
        <v>632</v>
      </c>
      <c r="AG2922" s="1396"/>
      <c r="DG2922" s="573"/>
      <c r="DH2922" s="159"/>
      <c r="DI2922" s="1091"/>
      <c r="DJ2922" s="1187"/>
    </row>
    <row r="2923" spans="1:114" ht="15" hidden="1" customHeight="1" outlineLevel="1">
      <c r="A2923" s="453"/>
      <c r="C2923" s="51"/>
      <c r="D2923" s="4295"/>
      <c r="E2923" s="4295"/>
      <c r="F2923" s="4307" t="str">
        <f>$E$1596</f>
        <v>ASHP-SEER16-Replace_CAC_ElectricHeat_ER1_MF</v>
      </c>
      <c r="G2923" s="4307"/>
      <c r="H2923" s="4307"/>
      <c r="I2923" s="4307"/>
      <c r="J2923" s="1029" t="str">
        <f>$C$1596</f>
        <v>353000_2024_12_</v>
      </c>
      <c r="K2923" s="1790">
        <v>869</v>
      </c>
      <c r="L2923" s="262"/>
      <c r="M2923" s="4376"/>
      <c r="P2923" s="261"/>
      <c r="Q2923" s="261"/>
      <c r="R2923" s="261"/>
      <c r="S2923" s="52"/>
      <c r="T2923" s="181"/>
      <c r="U2923" s="52"/>
      <c r="V2923" s="4295"/>
      <c r="W2923" s="1396">
        <v>869</v>
      </c>
      <c r="X2923" s="1396">
        <v>869</v>
      </c>
      <c r="Y2923" s="1396">
        <v>869</v>
      </c>
      <c r="Z2923" s="1396">
        <v>869</v>
      </c>
      <c r="AA2923" s="1396">
        <v>869</v>
      </c>
      <c r="AB2923" s="1396">
        <v>869</v>
      </c>
      <c r="AC2923" s="1396">
        <v>869</v>
      </c>
      <c r="AD2923" s="1396">
        <v>869</v>
      </c>
      <c r="AE2923" s="1396">
        <v>869</v>
      </c>
      <c r="AF2923" s="271">
        <f t="shared" si="317"/>
        <v>869</v>
      </c>
      <c r="AG2923" s="1396"/>
      <c r="DG2923" s="573"/>
      <c r="DH2923" s="159"/>
      <c r="DI2923" s="1091"/>
      <c r="DJ2923" s="1187"/>
    </row>
    <row r="2924" spans="1:114" ht="15" hidden="1" customHeight="1" outlineLevel="1">
      <c r="A2924" s="453"/>
      <c r="C2924" s="51"/>
      <c r="D2924" s="4295"/>
      <c r="E2924" s="4295"/>
      <c r="F2924" s="4307" t="str">
        <f>$E$1598</f>
        <v>ASHP-SEER16-Replace_CAC_ElectricHeat_ER2_MF</v>
      </c>
      <c r="G2924" s="4307"/>
      <c r="H2924" s="4307"/>
      <c r="I2924" s="4307"/>
      <c r="J2924" s="1029" t="str">
        <f>$C$1598</f>
        <v>353000_2024_12_</v>
      </c>
      <c r="K2924" s="1790">
        <v>869</v>
      </c>
      <c r="L2924" s="262"/>
      <c r="M2924" s="4376"/>
      <c r="P2924" s="261"/>
      <c r="Q2924" s="261"/>
      <c r="R2924" s="261"/>
      <c r="S2924" s="52"/>
      <c r="T2924" s="181"/>
      <c r="U2924" s="52"/>
      <c r="V2924" s="4295"/>
      <c r="W2924" s="1396">
        <v>869</v>
      </c>
      <c r="X2924" s="1396">
        <v>869</v>
      </c>
      <c r="Y2924" s="1396">
        <v>869</v>
      </c>
      <c r="Z2924" s="1396">
        <v>869</v>
      </c>
      <c r="AA2924" s="1396">
        <v>869</v>
      </c>
      <c r="AB2924" s="1396">
        <v>869</v>
      </c>
      <c r="AC2924" s="1396">
        <v>869</v>
      </c>
      <c r="AD2924" s="1396">
        <v>869</v>
      </c>
      <c r="AE2924" s="1396">
        <v>869</v>
      </c>
      <c r="AF2924" s="271">
        <f t="shared" si="317"/>
        <v>869</v>
      </c>
      <c r="AG2924" s="1396"/>
      <c r="DG2924" s="573"/>
      <c r="DH2924" s="159"/>
      <c r="DI2924" s="1091"/>
      <c r="DJ2924" s="1187"/>
    </row>
    <row r="2925" spans="1:114" ht="15" hidden="1" customHeight="1" outlineLevel="1">
      <c r="A2925" s="453"/>
      <c r="C2925" s="51"/>
      <c r="D2925" s="4295"/>
      <c r="E2925" s="4295"/>
      <c r="F2925" s="4347" t="str">
        <f>$E$1600</f>
        <v>ASHP-SEER16-Replace_CAC_ElectricHeat_ER1_MF_CompE</v>
      </c>
      <c r="G2925" s="4347"/>
      <c r="H2925" s="4347"/>
      <c r="I2925" s="4347"/>
      <c r="J2925" s="3471" t="str">
        <f>$C$1600</f>
        <v>353001_2024_12_</v>
      </c>
      <c r="K2925" s="3263">
        <v>632</v>
      </c>
      <c r="L2925" s="262"/>
      <c r="M2925" s="4376"/>
      <c r="P2925" s="261"/>
      <c r="Q2925" s="261"/>
      <c r="R2925" s="261"/>
      <c r="S2925" s="52"/>
      <c r="T2925" s="181"/>
      <c r="U2925" s="52"/>
      <c r="V2925" s="4295"/>
      <c r="W2925" s="3262"/>
      <c r="X2925" s="3262"/>
      <c r="Y2925" s="3265">
        <f t="shared" ref="Y2925:AA2926" si="320">$K$2899</f>
        <v>632</v>
      </c>
      <c r="Z2925" s="3262">
        <f t="shared" si="320"/>
        <v>632</v>
      </c>
      <c r="AA2925" s="3262">
        <f t="shared" si="320"/>
        <v>632</v>
      </c>
      <c r="AB2925" s="3262">
        <v>632</v>
      </c>
      <c r="AC2925" s="3262">
        <f>$K$2899</f>
        <v>632</v>
      </c>
      <c r="AD2925" s="3262">
        <v>632</v>
      </c>
      <c r="AE2925" s="3262">
        <v>632</v>
      </c>
      <c r="AF2925" s="2236">
        <f t="shared" si="317"/>
        <v>632</v>
      </c>
      <c r="AG2925" s="1396"/>
      <c r="DG2925" s="573"/>
      <c r="DH2925" s="159"/>
      <c r="DI2925" s="1091"/>
      <c r="DJ2925" s="1187"/>
    </row>
    <row r="2926" spans="1:114" ht="15" hidden="1" customHeight="1" outlineLevel="1">
      <c r="A2926" s="453"/>
      <c r="C2926" s="51"/>
      <c r="D2926" s="4295"/>
      <c r="E2926" s="4295"/>
      <c r="F2926" s="4347" t="str">
        <f>$E$1602</f>
        <v>ASHP-SEER16-Replace_CAC_ElectricHeat_ER2_MF_CompE</v>
      </c>
      <c r="G2926" s="4347"/>
      <c r="H2926" s="4347"/>
      <c r="I2926" s="4347"/>
      <c r="J2926" s="3471" t="str">
        <f>$C$1602</f>
        <v>353001_2024_12_</v>
      </c>
      <c r="K2926" s="3263">
        <v>632</v>
      </c>
      <c r="L2926" s="262"/>
      <c r="M2926" s="4376"/>
      <c r="P2926" s="261"/>
      <c r="Q2926" s="261"/>
      <c r="R2926" s="261"/>
      <c r="S2926" s="52"/>
      <c r="T2926" s="181"/>
      <c r="U2926" s="52"/>
      <c r="V2926" s="4295"/>
      <c r="W2926" s="3262"/>
      <c r="X2926" s="3262"/>
      <c r="Y2926" s="3265">
        <f t="shared" si="320"/>
        <v>632</v>
      </c>
      <c r="Z2926" s="3262">
        <f t="shared" si="320"/>
        <v>632</v>
      </c>
      <c r="AA2926" s="3262">
        <f t="shared" si="320"/>
        <v>632</v>
      </c>
      <c r="AB2926" s="3262">
        <v>632</v>
      </c>
      <c r="AC2926" s="3262">
        <f>$K$2899</f>
        <v>632</v>
      </c>
      <c r="AD2926" s="3262">
        <v>632</v>
      </c>
      <c r="AE2926" s="3262">
        <v>632</v>
      </c>
      <c r="AF2926" s="2236">
        <f t="shared" si="317"/>
        <v>632</v>
      </c>
      <c r="AG2926" s="1396"/>
      <c r="DG2926" s="573"/>
      <c r="DH2926" s="159"/>
      <c r="DI2926" s="1091"/>
      <c r="DJ2926" s="1187"/>
    </row>
    <row r="2927" spans="1:114" ht="15" hidden="1" customHeight="1" outlineLevel="1">
      <c r="A2927" s="453"/>
      <c r="C2927" s="51"/>
      <c r="D2927" s="4295"/>
      <c r="E2927" s="4295"/>
      <c r="F2927" s="4347" t="str">
        <f>$E$1604</f>
        <v>ASHP-SEER16-Replace_CAC_NonElectricHeat_ER1_MF</v>
      </c>
      <c r="G2927" s="4347"/>
      <c r="H2927" s="4347"/>
      <c r="I2927" s="4347"/>
      <c r="J2927" s="3471" t="str">
        <f>$C$1604</f>
        <v>353010_2024_12_</v>
      </c>
      <c r="K2927" s="3263">
        <v>869</v>
      </c>
      <c r="L2927" s="262"/>
      <c r="M2927" s="4376"/>
      <c r="P2927" s="261"/>
      <c r="Q2927" s="261"/>
      <c r="R2927" s="261"/>
      <c r="S2927" s="52"/>
      <c r="T2927" s="181"/>
      <c r="U2927" s="52"/>
      <c r="V2927" s="4295"/>
      <c r="W2927" s="3262"/>
      <c r="X2927" s="3262"/>
      <c r="Y2927" s="3265"/>
      <c r="Z2927" s="3262"/>
      <c r="AA2927" s="3262"/>
      <c r="AB2927" s="3262"/>
      <c r="AC2927" s="3265">
        <v>869</v>
      </c>
      <c r="AD2927" s="3262">
        <v>869</v>
      </c>
      <c r="AE2927" s="3262">
        <v>869</v>
      </c>
      <c r="AF2927" s="2236">
        <f t="shared" si="317"/>
        <v>869</v>
      </c>
      <c r="AG2927" s="1396"/>
      <c r="DG2927" s="573"/>
      <c r="DH2927" s="159"/>
      <c r="DI2927" s="1091"/>
      <c r="DJ2927" s="1187"/>
    </row>
    <row r="2928" spans="1:114" ht="15" hidden="1" customHeight="1" outlineLevel="1">
      <c r="A2928" s="453"/>
      <c r="C2928" s="51"/>
      <c r="D2928" s="4295"/>
      <c r="E2928" s="4295"/>
      <c r="F2928" s="4347" t="str">
        <f>$E$1606</f>
        <v>ASHP-SEER16-Replace_CAC_NonElectricHeat_ER2_MF</v>
      </c>
      <c r="G2928" s="4347"/>
      <c r="H2928" s="4347"/>
      <c r="I2928" s="4347"/>
      <c r="J2928" s="3471" t="str">
        <f>$C$1606</f>
        <v>353010_2024_12_</v>
      </c>
      <c r="K2928" s="3263">
        <v>869</v>
      </c>
      <c r="L2928" s="262"/>
      <c r="M2928" s="4376"/>
      <c r="P2928" s="261"/>
      <c r="Q2928" s="261"/>
      <c r="R2928" s="261"/>
      <c r="S2928" s="52"/>
      <c r="T2928" s="181"/>
      <c r="U2928" s="52"/>
      <c r="V2928" s="4295"/>
      <c r="W2928" s="3262"/>
      <c r="X2928" s="3262"/>
      <c r="Y2928" s="3265"/>
      <c r="Z2928" s="3262"/>
      <c r="AA2928" s="3262"/>
      <c r="AB2928" s="3262"/>
      <c r="AC2928" s="3265">
        <v>869</v>
      </c>
      <c r="AD2928" s="3262">
        <v>869</v>
      </c>
      <c r="AE2928" s="3262">
        <v>869</v>
      </c>
      <c r="AF2928" s="2236">
        <f t="shared" si="317"/>
        <v>869</v>
      </c>
      <c r="AG2928" s="1396"/>
      <c r="DG2928" s="573"/>
      <c r="DH2928" s="159"/>
      <c r="DI2928" s="1091"/>
      <c r="DJ2928" s="1187"/>
    </row>
    <row r="2929" spans="1:114" ht="15" hidden="1" customHeight="1" outlineLevel="1">
      <c r="A2929" s="453"/>
      <c r="C2929" s="51"/>
      <c r="D2929" s="4295"/>
      <c r="E2929" s="4295"/>
      <c r="F2929" s="4347" t="str">
        <f>$E$1608</f>
        <v>ASHP-SEER16-Replace_CAC_NonElectricHeat_ER1_MF_CompE</v>
      </c>
      <c r="G2929" s="4347"/>
      <c r="H2929" s="4347"/>
      <c r="I2929" s="4347"/>
      <c r="J2929" s="3471" t="str">
        <f>$C$1608</f>
        <v>353011_2024_12_</v>
      </c>
      <c r="K2929" s="3263">
        <v>632</v>
      </c>
      <c r="L2929" s="262"/>
      <c r="M2929" s="4376"/>
      <c r="P2929" s="261"/>
      <c r="Q2929" s="261"/>
      <c r="R2929" s="261"/>
      <c r="S2929" s="52"/>
      <c r="T2929" s="181"/>
      <c r="U2929" s="52"/>
      <c r="V2929" s="4295"/>
      <c r="W2929" s="3262"/>
      <c r="X2929" s="3262"/>
      <c r="Y2929" s="3265"/>
      <c r="Z2929" s="3262"/>
      <c r="AA2929" s="3262"/>
      <c r="AB2929" s="3262"/>
      <c r="AC2929" s="3265">
        <f>$K$2899</f>
        <v>632</v>
      </c>
      <c r="AD2929" s="3262">
        <v>632</v>
      </c>
      <c r="AE2929" s="3262">
        <v>632</v>
      </c>
      <c r="AF2929" s="2236">
        <f t="shared" si="317"/>
        <v>632</v>
      </c>
      <c r="AG2929" s="1396"/>
      <c r="DG2929" s="573"/>
      <c r="DH2929" s="159"/>
      <c r="DI2929" s="1091"/>
      <c r="DJ2929" s="1187"/>
    </row>
    <row r="2930" spans="1:114" ht="15" hidden="1" customHeight="1" outlineLevel="1">
      <c r="A2930" s="453"/>
      <c r="C2930" s="51"/>
      <c r="D2930" s="4295"/>
      <c r="E2930" s="4295"/>
      <c r="F2930" s="4347" t="str">
        <f>$E$1610</f>
        <v>ASHP-SEER16-Replace_CAC_NonElectricHeat_ER2_MF_CompE</v>
      </c>
      <c r="G2930" s="4347"/>
      <c r="H2930" s="4347"/>
      <c r="I2930" s="4347"/>
      <c r="J2930" s="3471" t="str">
        <f>$C$1610</f>
        <v>353011_2024_12_</v>
      </c>
      <c r="K2930" s="3263">
        <v>632</v>
      </c>
      <c r="L2930" s="262"/>
      <c r="M2930" s="4376"/>
      <c r="P2930" s="261"/>
      <c r="Q2930" s="261"/>
      <c r="R2930" s="261"/>
      <c r="S2930" s="52"/>
      <c r="T2930" s="181"/>
      <c r="U2930" s="52"/>
      <c r="V2930" s="4295"/>
      <c r="W2930" s="3262"/>
      <c r="X2930" s="3262"/>
      <c r="Y2930" s="3265"/>
      <c r="Z2930" s="3262"/>
      <c r="AA2930" s="3262"/>
      <c r="AB2930" s="3262"/>
      <c r="AC2930" s="3265">
        <f>$K$2899</f>
        <v>632</v>
      </c>
      <c r="AD2930" s="3262">
        <v>632</v>
      </c>
      <c r="AE2930" s="3262">
        <v>632</v>
      </c>
      <c r="AF2930" s="2236">
        <f t="shared" si="317"/>
        <v>632</v>
      </c>
      <c r="AG2930" s="1396"/>
      <c r="DG2930" s="573"/>
      <c r="DH2930" s="159"/>
      <c r="DI2930" s="1091"/>
      <c r="DJ2930" s="1187"/>
    </row>
    <row r="2931" spans="1:114" ht="15" hidden="1" customHeight="1" outlineLevel="1">
      <c r="A2931" s="453"/>
      <c r="C2931" s="51"/>
      <c r="D2931" s="4295"/>
      <c r="E2931" s="4295"/>
      <c r="F2931" s="4347" t="str">
        <f>$E$1612</f>
        <v>ASHP-SEER15_ROF_MF</v>
      </c>
      <c r="G2931" s="4347"/>
      <c r="H2931" s="4347"/>
      <c r="I2931" s="4347"/>
      <c r="J2931" s="3471" t="str">
        <f>$C$1612</f>
        <v>353050_2024_12_</v>
      </c>
      <c r="K2931" s="3263">
        <v>869</v>
      </c>
      <c r="L2931" s="262"/>
      <c r="M2931" s="4376"/>
      <c r="P2931" s="261"/>
      <c r="Q2931" s="261"/>
      <c r="R2931" s="261"/>
      <c r="S2931" s="52"/>
      <c r="T2931" s="181"/>
      <c r="U2931" s="52"/>
      <c r="V2931" s="4295"/>
      <c r="W2931" s="3262">
        <v>869</v>
      </c>
      <c r="X2931" s="3262">
        <v>869</v>
      </c>
      <c r="Y2931" s="3262">
        <v>869</v>
      </c>
      <c r="Z2931" s="3262">
        <v>869</v>
      </c>
      <c r="AA2931" s="3262">
        <v>869</v>
      </c>
      <c r="AB2931" s="3262">
        <v>869</v>
      </c>
      <c r="AC2931" s="3262">
        <v>869</v>
      </c>
      <c r="AD2931" s="3262">
        <v>869</v>
      </c>
      <c r="AE2931" s="3262">
        <v>869</v>
      </c>
      <c r="AF2931" s="2236">
        <f t="shared" si="317"/>
        <v>869</v>
      </c>
      <c r="AG2931" s="1396"/>
      <c r="DG2931" s="573"/>
      <c r="DH2931" s="159"/>
      <c r="DI2931" s="1091"/>
      <c r="DJ2931" s="1187"/>
    </row>
    <row r="2932" spans="1:114" ht="15" hidden="1" customHeight="1" outlineLevel="1">
      <c r="A2932" s="453"/>
      <c r="C2932" s="51"/>
      <c r="D2932" s="4295"/>
      <c r="E2932" s="4295"/>
      <c r="F2932" s="4347" t="str">
        <f>$E$1614</f>
        <v>ASHP-SEER15_ROF_MF_CompE</v>
      </c>
      <c r="G2932" s="4347"/>
      <c r="H2932" s="4347"/>
      <c r="I2932" s="4347"/>
      <c r="J2932" s="3471" t="str">
        <f>$C$1614</f>
        <v>353051_2024_12_</v>
      </c>
      <c r="K2932" s="3263">
        <v>632</v>
      </c>
      <c r="L2932" s="262"/>
      <c r="M2932" s="4376"/>
      <c r="P2932" s="261"/>
      <c r="Q2932" s="261"/>
      <c r="R2932" s="261"/>
      <c r="S2932" s="52"/>
      <c r="T2932" s="181"/>
      <c r="U2932" s="52"/>
      <c r="V2932" s="4295"/>
      <c r="W2932" s="3262"/>
      <c r="X2932" s="3262"/>
      <c r="Y2932" s="3265">
        <f>$K$2899</f>
        <v>632</v>
      </c>
      <c r="Z2932" s="3262">
        <f>$K$2899</f>
        <v>632</v>
      </c>
      <c r="AA2932" s="3262">
        <f>$K$2899</f>
        <v>632</v>
      </c>
      <c r="AB2932" s="3262">
        <v>632</v>
      </c>
      <c r="AC2932" s="3262">
        <f>$K$2899</f>
        <v>632</v>
      </c>
      <c r="AD2932" s="3262">
        <v>632</v>
      </c>
      <c r="AE2932" s="3262">
        <v>632</v>
      </c>
      <c r="AF2932" s="2236">
        <f t="shared" si="317"/>
        <v>632</v>
      </c>
      <c r="AG2932" s="1396"/>
      <c r="DG2932" s="573"/>
      <c r="DH2932" s="159"/>
      <c r="DI2932" s="1091"/>
      <c r="DJ2932" s="1187"/>
    </row>
    <row r="2933" spans="1:114" ht="15" hidden="1" customHeight="1" outlineLevel="1">
      <c r="A2933" s="453"/>
      <c r="C2933" s="51"/>
      <c r="D2933" s="4295"/>
      <c r="E2933" s="4295"/>
      <c r="F2933" s="4307" t="str">
        <f>$E$1616</f>
        <v>ASHP-SEER17-Replace_CAC_ElectricHeat_ROF_SF</v>
      </c>
      <c r="G2933" s="4307"/>
      <c r="H2933" s="4307"/>
      <c r="I2933" s="4307"/>
      <c r="J2933" s="1029" t="str">
        <f>$C$1616</f>
        <v>353100_2024_12_</v>
      </c>
      <c r="K2933" s="1790">
        <v>869</v>
      </c>
      <c r="L2933" s="262"/>
      <c r="M2933" s="4376"/>
      <c r="P2933" s="261"/>
      <c r="Q2933" s="261"/>
      <c r="R2933" s="261"/>
      <c r="S2933" s="52"/>
      <c r="T2933" s="181"/>
      <c r="U2933" s="52"/>
      <c r="V2933" s="4295"/>
      <c r="W2933" s="1396">
        <v>869</v>
      </c>
      <c r="X2933" s="1396">
        <v>869</v>
      </c>
      <c r="Y2933" s="1396">
        <v>869</v>
      </c>
      <c r="Z2933" s="1396">
        <v>869</v>
      </c>
      <c r="AA2933" s="1396">
        <v>869</v>
      </c>
      <c r="AB2933" s="1396">
        <v>869</v>
      </c>
      <c r="AC2933" s="1396">
        <v>869</v>
      </c>
      <c r="AD2933" s="1396">
        <v>869</v>
      </c>
      <c r="AE2933" s="1396">
        <v>869</v>
      </c>
      <c r="AF2933" s="271">
        <f t="shared" si="317"/>
        <v>869</v>
      </c>
      <c r="AG2933" s="1396"/>
      <c r="DG2933" s="573"/>
      <c r="DH2933" s="159"/>
      <c r="DI2933" s="1091"/>
      <c r="DJ2933" s="1187"/>
    </row>
    <row r="2934" spans="1:114" ht="15" hidden="1" customHeight="1" outlineLevel="1">
      <c r="A2934" s="453"/>
      <c r="C2934" s="51"/>
      <c r="D2934" s="4295"/>
      <c r="E2934" s="4295"/>
      <c r="F2934" s="4307" t="str">
        <f>$E$1618</f>
        <v>ASHP-SEER17-Replace_CAC_NonElectricHeat_ROF_SF</v>
      </c>
      <c r="G2934" s="4307"/>
      <c r="H2934" s="4307"/>
      <c r="I2934" s="4307"/>
      <c r="J2934" s="1029" t="str">
        <f>$C$1618</f>
        <v>353110_2024_12_</v>
      </c>
      <c r="K2934" s="1790">
        <v>869</v>
      </c>
      <c r="L2934" s="262"/>
      <c r="M2934" s="4376"/>
      <c r="P2934" s="261"/>
      <c r="Q2934" s="261"/>
      <c r="R2934" s="261"/>
      <c r="S2934" s="52"/>
      <c r="T2934" s="181"/>
      <c r="U2934" s="52"/>
      <c r="V2934" s="4295"/>
      <c r="W2934" s="1396"/>
      <c r="X2934" s="1396"/>
      <c r="Y2934" s="1396"/>
      <c r="Z2934" s="1396"/>
      <c r="AA2934" s="1396"/>
      <c r="AB2934" s="1396"/>
      <c r="AC2934" s="1396"/>
      <c r="AD2934" s="833">
        <v>869</v>
      </c>
      <c r="AE2934" s="1396">
        <v>869</v>
      </c>
      <c r="AF2934" s="271">
        <f t="shared" si="317"/>
        <v>869</v>
      </c>
      <c r="AG2934" s="1396"/>
      <c r="DG2934" s="573"/>
      <c r="DH2934" s="159"/>
      <c r="DI2934" s="1091"/>
      <c r="DJ2934" s="1187"/>
    </row>
    <row r="2935" spans="1:114" ht="15" hidden="1" customHeight="1" outlineLevel="1">
      <c r="A2935" s="453"/>
      <c r="C2935" s="51"/>
      <c r="D2935" s="4295"/>
      <c r="E2935" s="4295"/>
      <c r="F2935" s="4347" t="str">
        <f>$E$1620</f>
        <v>ASHP-SEER17-Replace_CAC_ElectricHeat_ROF_MF</v>
      </c>
      <c r="G2935" s="4347"/>
      <c r="H2935" s="4347"/>
      <c r="I2935" s="4347"/>
      <c r="J2935" s="3471" t="str">
        <f>$C$1620</f>
        <v>353150_2024_12_</v>
      </c>
      <c r="K2935" s="3263">
        <v>869</v>
      </c>
      <c r="L2935" s="262"/>
      <c r="M2935" s="4376"/>
      <c r="P2935" s="261"/>
      <c r="Q2935" s="261"/>
      <c r="R2935" s="261"/>
      <c r="S2935" s="52"/>
      <c r="T2935" s="181"/>
      <c r="U2935" s="52"/>
      <c r="V2935" s="4295"/>
      <c r="W2935" s="3262">
        <v>869</v>
      </c>
      <c r="X2935" s="3262">
        <v>869</v>
      </c>
      <c r="Y2935" s="3262">
        <v>869</v>
      </c>
      <c r="Z2935" s="3262">
        <v>869</v>
      </c>
      <c r="AA2935" s="3262">
        <v>869</v>
      </c>
      <c r="AB2935" s="3262">
        <v>869</v>
      </c>
      <c r="AC2935" s="3262">
        <v>869</v>
      </c>
      <c r="AD2935" s="3262">
        <v>869</v>
      </c>
      <c r="AE2935" s="3262">
        <v>869</v>
      </c>
      <c r="AF2935" s="2236">
        <f t="shared" si="317"/>
        <v>869</v>
      </c>
      <c r="AG2935" s="1396"/>
      <c r="DG2935" s="573"/>
      <c r="DH2935" s="159"/>
      <c r="DI2935" s="1091"/>
      <c r="DJ2935" s="1187"/>
    </row>
    <row r="2936" spans="1:114" ht="15" hidden="1" customHeight="1" outlineLevel="1">
      <c r="A2936" s="453"/>
      <c r="C2936" s="51"/>
      <c r="D2936" s="4295"/>
      <c r="E2936" s="4295"/>
      <c r="F2936" s="4347" t="str">
        <f>$E$1622</f>
        <v>ASHP-SEER17-Replace_CAC_ElectricHeat_ROF_MF_CompE</v>
      </c>
      <c r="G2936" s="4347"/>
      <c r="H2936" s="4347"/>
      <c r="I2936" s="4347"/>
      <c r="J2936" s="3471" t="str">
        <f>$C$1622</f>
        <v>353151_2024_12_</v>
      </c>
      <c r="K2936" s="3263">
        <v>632</v>
      </c>
      <c r="L2936" s="262"/>
      <c r="M2936" s="4376"/>
      <c r="P2936" s="261"/>
      <c r="Q2936" s="261"/>
      <c r="R2936" s="261"/>
      <c r="S2936" s="52"/>
      <c r="T2936" s="181"/>
      <c r="U2936" s="52"/>
      <c r="V2936" s="4295"/>
      <c r="W2936" s="3262"/>
      <c r="X2936" s="3262"/>
      <c r="Y2936" s="3265">
        <f>$K$2899</f>
        <v>632</v>
      </c>
      <c r="Z2936" s="3262">
        <f>$K$2899</f>
        <v>632</v>
      </c>
      <c r="AA2936" s="3262">
        <f>$K$2899</f>
        <v>632</v>
      </c>
      <c r="AB2936" s="3262">
        <v>632</v>
      </c>
      <c r="AC2936" s="3262">
        <f>$K$2899</f>
        <v>632</v>
      </c>
      <c r="AD2936" s="3262">
        <v>632</v>
      </c>
      <c r="AE2936" s="3262">
        <v>632</v>
      </c>
      <c r="AF2936" s="2236">
        <f t="shared" si="317"/>
        <v>632</v>
      </c>
      <c r="AG2936" s="1396"/>
      <c r="DG2936" s="573"/>
      <c r="DH2936" s="159"/>
      <c r="DI2936" s="1091"/>
      <c r="DJ2936" s="1187"/>
    </row>
    <row r="2937" spans="1:114" ht="15" hidden="1" customHeight="1" outlineLevel="1">
      <c r="A2937" s="453"/>
      <c r="C2937" s="51"/>
      <c r="D2937" s="4295"/>
      <c r="E2937" s="4295"/>
      <c r="F2937" s="4347" t="str">
        <f>$E$1624</f>
        <v>ASHP-SEER17-Replace_CAC_NonElectricHeat_ROF_MF</v>
      </c>
      <c r="G2937" s="4347"/>
      <c r="H2937" s="4347"/>
      <c r="I2937" s="4347"/>
      <c r="J2937" s="3471" t="str">
        <f>$C$1624</f>
        <v>353160_2024_12_</v>
      </c>
      <c r="K2937" s="3263">
        <v>869</v>
      </c>
      <c r="L2937" s="262"/>
      <c r="M2937" s="4376"/>
      <c r="P2937" s="261"/>
      <c r="Q2937" s="261"/>
      <c r="R2937" s="261"/>
      <c r="S2937" s="52"/>
      <c r="T2937" s="181"/>
      <c r="U2937" s="52"/>
      <c r="V2937" s="4295"/>
      <c r="W2937" s="3262"/>
      <c r="X2937" s="3262"/>
      <c r="Y2937" s="3265"/>
      <c r="Z2937" s="3262"/>
      <c r="AA2937" s="3262"/>
      <c r="AB2937" s="3262"/>
      <c r="AC2937" s="3265">
        <v>869</v>
      </c>
      <c r="AD2937" s="3262">
        <v>869</v>
      </c>
      <c r="AE2937" s="3262">
        <v>869</v>
      </c>
      <c r="AF2937" s="2236">
        <f t="shared" si="317"/>
        <v>869</v>
      </c>
      <c r="AG2937" s="1396"/>
      <c r="DG2937" s="573"/>
      <c r="DH2937" s="159"/>
      <c r="DI2937" s="1091"/>
      <c r="DJ2937" s="1187"/>
    </row>
    <row r="2938" spans="1:114" ht="15" hidden="1" customHeight="1" outlineLevel="1">
      <c r="A2938" s="453"/>
      <c r="C2938" s="51"/>
      <c r="D2938" s="4295"/>
      <c r="E2938" s="4295"/>
      <c r="F2938" s="4347" t="str">
        <f>$E$1626</f>
        <v>ASHP-SEER17-Replace_CAC_NonElectricHeat_ROF_MF_CompE</v>
      </c>
      <c r="G2938" s="4347"/>
      <c r="H2938" s="4347"/>
      <c r="I2938" s="4347"/>
      <c r="J2938" s="3471" t="str">
        <f>$C$1626</f>
        <v>353161_2024_12_</v>
      </c>
      <c r="K2938" s="3263">
        <v>632</v>
      </c>
      <c r="L2938" s="262"/>
      <c r="M2938" s="4376"/>
      <c r="P2938" s="261"/>
      <c r="Q2938" s="261"/>
      <c r="R2938" s="261"/>
      <c r="S2938" s="52"/>
      <c r="T2938" s="181"/>
      <c r="U2938" s="52"/>
      <c r="V2938" s="4295"/>
      <c r="W2938" s="3262"/>
      <c r="X2938" s="3262"/>
      <c r="Y2938" s="3265"/>
      <c r="Z2938" s="3262"/>
      <c r="AA2938" s="3262"/>
      <c r="AB2938" s="3262"/>
      <c r="AC2938" s="3265">
        <f>$K$2899</f>
        <v>632</v>
      </c>
      <c r="AD2938" s="3262">
        <v>632</v>
      </c>
      <c r="AE2938" s="3262">
        <v>632</v>
      </c>
      <c r="AF2938" s="2236">
        <f t="shared" ref="AF2938:AF3001" si="321">IF(K2938&lt;&gt;"",K2938,"")</f>
        <v>632</v>
      </c>
      <c r="AG2938" s="1396"/>
      <c r="DG2938" s="573"/>
      <c r="DH2938" s="159"/>
      <c r="DI2938" s="1091"/>
      <c r="DJ2938" s="1187"/>
    </row>
    <row r="2939" spans="1:114" ht="15" hidden="1" customHeight="1" outlineLevel="1">
      <c r="A2939" s="453"/>
      <c r="C2939" s="51"/>
      <c r="D2939" s="4295"/>
      <c r="E2939" s="4295"/>
      <c r="F2939" s="4307" t="str">
        <f>$E$1628</f>
        <v>ASHP-SEER18-Replace_CAC_ElectricHeat_ROF_SF</v>
      </c>
      <c r="G2939" s="4307"/>
      <c r="H2939" s="4307"/>
      <c r="I2939" s="4307"/>
      <c r="J2939" s="1029" t="str">
        <f>$C$1628</f>
        <v>353200_2024_12_</v>
      </c>
      <c r="K2939" s="1790">
        <v>869</v>
      </c>
      <c r="L2939" s="262"/>
      <c r="M2939" s="4376"/>
      <c r="P2939" s="261"/>
      <c r="Q2939" s="261"/>
      <c r="R2939" s="261"/>
      <c r="S2939" s="52"/>
      <c r="T2939" s="181"/>
      <c r="U2939" s="52"/>
      <c r="V2939" s="4295"/>
      <c r="W2939" s="1396">
        <v>869</v>
      </c>
      <c r="X2939" s="1396">
        <v>869</v>
      </c>
      <c r="Y2939" s="1396">
        <v>869</v>
      </c>
      <c r="Z2939" s="1396">
        <v>869</v>
      </c>
      <c r="AA2939" s="1396">
        <v>869</v>
      </c>
      <c r="AB2939" s="1396">
        <v>869</v>
      </c>
      <c r="AC2939" s="1396">
        <v>869</v>
      </c>
      <c r="AD2939" s="1396">
        <v>869</v>
      </c>
      <c r="AE2939" s="1396">
        <v>869</v>
      </c>
      <c r="AF2939" s="271">
        <f t="shared" si="321"/>
        <v>869</v>
      </c>
      <c r="AG2939" s="1396"/>
      <c r="DG2939" s="573"/>
      <c r="DH2939" s="159"/>
      <c r="DI2939" s="1091"/>
      <c r="DJ2939" s="1187"/>
    </row>
    <row r="2940" spans="1:114" ht="15" hidden="1" customHeight="1" outlineLevel="1">
      <c r="A2940" s="453"/>
      <c r="C2940" s="51"/>
      <c r="D2940" s="4295"/>
      <c r="E2940" s="4295"/>
      <c r="F2940" s="4307" t="str">
        <f>$E$1630</f>
        <v>ASHP-SEER18-Replace_CAC_NonElectricHeat_ROF_SF</v>
      </c>
      <c r="G2940" s="4307"/>
      <c r="H2940" s="4307"/>
      <c r="I2940" s="4307"/>
      <c r="J2940" s="1029" t="str">
        <f>$C$1630</f>
        <v>353210_2024_12_</v>
      </c>
      <c r="K2940" s="1790">
        <v>869</v>
      </c>
      <c r="L2940" s="262"/>
      <c r="M2940" s="4376"/>
      <c r="P2940" s="261"/>
      <c r="Q2940" s="261"/>
      <c r="R2940" s="261"/>
      <c r="S2940" s="52"/>
      <c r="T2940" s="181"/>
      <c r="U2940" s="52"/>
      <c r="V2940" s="4295"/>
      <c r="W2940" s="1396"/>
      <c r="X2940" s="1396"/>
      <c r="Y2940" s="1396"/>
      <c r="Z2940" s="1396"/>
      <c r="AA2940" s="1396"/>
      <c r="AB2940" s="1396"/>
      <c r="AC2940" s="1396"/>
      <c r="AD2940" s="833">
        <v>869</v>
      </c>
      <c r="AE2940" s="1396">
        <v>869</v>
      </c>
      <c r="AF2940" s="271">
        <f t="shared" si="321"/>
        <v>869</v>
      </c>
      <c r="AG2940" s="1396"/>
      <c r="DG2940" s="573"/>
      <c r="DH2940" s="159"/>
      <c r="DI2940" s="1091"/>
      <c r="DJ2940" s="1187"/>
    </row>
    <row r="2941" spans="1:114" ht="15" hidden="1" customHeight="1" outlineLevel="1">
      <c r="A2941" s="453"/>
      <c r="C2941" s="51"/>
      <c r="D2941" s="4295"/>
      <c r="E2941" s="4295"/>
      <c r="F2941" s="4347" t="str">
        <f>$E$1632</f>
        <v>ASHP-SEER18-Replace_CAC_ElectricHeat_ROF_MF</v>
      </c>
      <c r="G2941" s="4347"/>
      <c r="H2941" s="4347"/>
      <c r="I2941" s="4347"/>
      <c r="J2941" s="3471" t="str">
        <f>$C$1632</f>
        <v>353250_2024_12_</v>
      </c>
      <c r="K2941" s="3263">
        <v>869</v>
      </c>
      <c r="L2941" s="262"/>
      <c r="M2941" s="4376"/>
      <c r="P2941" s="261"/>
      <c r="Q2941" s="261"/>
      <c r="R2941" s="261"/>
      <c r="S2941" s="52"/>
      <c r="T2941" s="181"/>
      <c r="U2941" s="52"/>
      <c r="V2941" s="4295"/>
      <c r="W2941" s="3262">
        <v>869</v>
      </c>
      <c r="X2941" s="3262">
        <v>869</v>
      </c>
      <c r="Y2941" s="3262">
        <v>869</v>
      </c>
      <c r="Z2941" s="3262">
        <v>869</v>
      </c>
      <c r="AA2941" s="3262">
        <v>869</v>
      </c>
      <c r="AB2941" s="3262">
        <v>869</v>
      </c>
      <c r="AC2941" s="3262">
        <v>869</v>
      </c>
      <c r="AD2941" s="3262">
        <v>869</v>
      </c>
      <c r="AE2941" s="3262">
        <v>869</v>
      </c>
      <c r="AF2941" s="2236">
        <f t="shared" si="321"/>
        <v>869</v>
      </c>
      <c r="AG2941" s="1396"/>
      <c r="DG2941" s="573"/>
      <c r="DH2941" s="159"/>
      <c r="DI2941" s="1091"/>
      <c r="DJ2941" s="1187"/>
    </row>
    <row r="2942" spans="1:114" ht="15" hidden="1" customHeight="1" outlineLevel="1">
      <c r="A2942" s="453"/>
      <c r="C2942" s="51"/>
      <c r="D2942" s="4295"/>
      <c r="E2942" s="4295"/>
      <c r="F2942" s="4347" t="str">
        <f>$E$1634</f>
        <v>ASHP-SEER18-Replace_CAC_ElectricHeat_ROF_MF_CompE</v>
      </c>
      <c r="G2942" s="4347"/>
      <c r="H2942" s="4347"/>
      <c r="I2942" s="4347"/>
      <c r="J2942" s="3471" t="str">
        <f>$C$1634</f>
        <v>353251_2024_12_</v>
      </c>
      <c r="K2942" s="3263">
        <v>632</v>
      </c>
      <c r="L2942" s="262"/>
      <c r="M2942" s="4376"/>
      <c r="P2942" s="261"/>
      <c r="Q2942" s="261"/>
      <c r="R2942" s="261"/>
      <c r="S2942" s="52"/>
      <c r="T2942" s="181"/>
      <c r="U2942" s="52"/>
      <c r="V2942" s="4295"/>
      <c r="W2942" s="3262"/>
      <c r="X2942" s="3262"/>
      <c r="Y2942" s="3265">
        <f>$K$2899</f>
        <v>632</v>
      </c>
      <c r="Z2942" s="3262">
        <f>$K$2899</f>
        <v>632</v>
      </c>
      <c r="AA2942" s="3262">
        <f>$K$2899</f>
        <v>632</v>
      </c>
      <c r="AB2942" s="3262">
        <v>632</v>
      </c>
      <c r="AC2942" s="3262">
        <f>$K$2899</f>
        <v>632</v>
      </c>
      <c r="AD2942" s="3262">
        <v>632</v>
      </c>
      <c r="AE2942" s="3262">
        <v>632</v>
      </c>
      <c r="AF2942" s="2236">
        <f t="shared" si="321"/>
        <v>632</v>
      </c>
      <c r="AG2942" s="1396"/>
      <c r="DG2942" s="573"/>
      <c r="DH2942" s="159"/>
      <c r="DI2942" s="1091"/>
      <c r="DJ2942" s="1187"/>
    </row>
    <row r="2943" spans="1:114" ht="15" hidden="1" customHeight="1" outlineLevel="1">
      <c r="A2943" s="453"/>
      <c r="C2943" s="51"/>
      <c r="D2943" s="4295"/>
      <c r="E2943" s="4295"/>
      <c r="F2943" s="4347" t="str">
        <f>$E$1636</f>
        <v>ASHP-SEER18-Replace_CAC_NonElectricHeat_ROF_MF</v>
      </c>
      <c r="G2943" s="4347"/>
      <c r="H2943" s="4347"/>
      <c r="I2943" s="4347"/>
      <c r="J2943" s="3471" t="str">
        <f>$C$1636</f>
        <v>353260_2024_12_</v>
      </c>
      <c r="K2943" s="3263">
        <v>869</v>
      </c>
      <c r="L2943" s="262"/>
      <c r="M2943" s="4376"/>
      <c r="P2943" s="261"/>
      <c r="Q2943" s="261"/>
      <c r="R2943" s="261"/>
      <c r="S2943" s="52"/>
      <c r="T2943" s="181"/>
      <c r="U2943" s="52"/>
      <c r="V2943" s="4295"/>
      <c r="W2943" s="3262"/>
      <c r="X2943" s="3262"/>
      <c r="Y2943" s="3265"/>
      <c r="Z2943" s="3262"/>
      <c r="AA2943" s="3262"/>
      <c r="AB2943" s="3262"/>
      <c r="AC2943" s="3265">
        <v>869</v>
      </c>
      <c r="AD2943" s="3262">
        <v>869</v>
      </c>
      <c r="AE2943" s="3262">
        <v>869</v>
      </c>
      <c r="AF2943" s="2236">
        <f t="shared" si="321"/>
        <v>869</v>
      </c>
      <c r="AG2943" s="1396"/>
      <c r="DG2943" s="573"/>
      <c r="DH2943" s="159"/>
      <c r="DI2943" s="1091"/>
      <c r="DJ2943" s="1187"/>
    </row>
    <row r="2944" spans="1:114" ht="15" hidden="1" customHeight="1" outlineLevel="1">
      <c r="A2944" s="453"/>
      <c r="C2944" s="51"/>
      <c r="D2944" s="4295"/>
      <c r="E2944" s="4295"/>
      <c r="F2944" s="4347" t="str">
        <f>$E$1638</f>
        <v>ASHP-SEER18-Replace_CAC_NonElectricHeat_ROF_MF_CompE</v>
      </c>
      <c r="G2944" s="4347"/>
      <c r="H2944" s="4347"/>
      <c r="I2944" s="4347"/>
      <c r="J2944" s="3471" t="str">
        <f>$C$1638</f>
        <v>353261_2024_12_</v>
      </c>
      <c r="K2944" s="3263">
        <v>632</v>
      </c>
      <c r="L2944" s="262"/>
      <c r="M2944" s="4376"/>
      <c r="P2944" s="261"/>
      <c r="Q2944" s="261"/>
      <c r="R2944" s="261"/>
      <c r="S2944" s="52"/>
      <c r="T2944" s="181"/>
      <c r="U2944" s="52"/>
      <c r="V2944" s="4295"/>
      <c r="W2944" s="3262"/>
      <c r="X2944" s="3262"/>
      <c r="Y2944" s="3265"/>
      <c r="Z2944" s="3262"/>
      <c r="AA2944" s="3262"/>
      <c r="AB2944" s="3262"/>
      <c r="AC2944" s="3265">
        <f>$K$2899</f>
        <v>632</v>
      </c>
      <c r="AD2944" s="3262">
        <v>632</v>
      </c>
      <c r="AE2944" s="3262">
        <v>632</v>
      </c>
      <c r="AF2944" s="2236">
        <f t="shared" si="321"/>
        <v>632</v>
      </c>
      <c r="AG2944" s="1396"/>
      <c r="DG2944" s="573"/>
      <c r="DH2944" s="159"/>
      <c r="DI2944" s="1091"/>
      <c r="DJ2944" s="1187"/>
    </row>
    <row r="2945" spans="1:114" ht="15" hidden="1" customHeight="1" outlineLevel="1">
      <c r="A2945" s="453"/>
      <c r="C2945" s="51"/>
      <c r="D2945" s="4295"/>
      <c r="E2945" s="4295"/>
      <c r="F2945" s="4307" t="str">
        <f>$E$1640</f>
        <v>ASHP-SEER19-Replace_CAC_ElectricHeat_ROF_SF</v>
      </c>
      <c r="G2945" s="4307"/>
      <c r="H2945" s="4307"/>
      <c r="I2945" s="4307"/>
      <c r="J2945" s="1029" t="str">
        <f>$C$1640</f>
        <v>353300_2024_12_</v>
      </c>
      <c r="K2945" s="1790">
        <v>869</v>
      </c>
      <c r="L2945" s="262"/>
      <c r="M2945" s="4376"/>
      <c r="P2945" s="261"/>
      <c r="Q2945" s="261"/>
      <c r="R2945" s="261"/>
      <c r="S2945" s="52"/>
      <c r="T2945" s="181"/>
      <c r="U2945" s="52"/>
      <c r="V2945" s="4295"/>
      <c r="W2945" s="1396">
        <v>869</v>
      </c>
      <c r="X2945" s="1396">
        <v>869</v>
      </c>
      <c r="Y2945" s="1396">
        <v>869</v>
      </c>
      <c r="Z2945" s="1396">
        <v>869</v>
      </c>
      <c r="AA2945" s="1396">
        <v>869</v>
      </c>
      <c r="AB2945" s="1396">
        <v>869</v>
      </c>
      <c r="AC2945" s="1396">
        <v>869</v>
      </c>
      <c r="AD2945" s="1396">
        <v>869</v>
      </c>
      <c r="AE2945" s="1396">
        <v>869</v>
      </c>
      <c r="AF2945" s="271">
        <f t="shared" si="321"/>
        <v>869</v>
      </c>
      <c r="AG2945" s="1396"/>
      <c r="DG2945" s="573"/>
      <c r="DH2945" s="159"/>
      <c r="DI2945" s="1091"/>
      <c r="DJ2945" s="1187"/>
    </row>
    <row r="2946" spans="1:114" ht="15" hidden="1" customHeight="1" outlineLevel="1">
      <c r="A2946" s="453"/>
      <c r="C2946" s="51"/>
      <c r="D2946" s="4295"/>
      <c r="E2946" s="4295"/>
      <c r="F2946" s="4307" t="str">
        <f>$E$1642</f>
        <v>ASHP-SEER19-Replace_CAC_NonElectricHeat_ROF_SF</v>
      </c>
      <c r="G2946" s="4307"/>
      <c r="H2946" s="4307"/>
      <c r="I2946" s="4307"/>
      <c r="J2946" s="1029" t="str">
        <f>$C$1642</f>
        <v>353310_2024_12_</v>
      </c>
      <c r="K2946" s="1790">
        <v>869</v>
      </c>
      <c r="L2946" s="262"/>
      <c r="M2946" s="4376"/>
      <c r="P2946" s="261"/>
      <c r="Q2946" s="261"/>
      <c r="R2946" s="261"/>
      <c r="S2946" s="52"/>
      <c r="T2946" s="181"/>
      <c r="U2946" s="52"/>
      <c r="V2946" s="4295"/>
      <c r="W2946" s="1396"/>
      <c r="X2946" s="1396"/>
      <c r="Y2946" s="1396"/>
      <c r="Z2946" s="1396"/>
      <c r="AA2946" s="1396"/>
      <c r="AB2946" s="1396"/>
      <c r="AC2946" s="1396"/>
      <c r="AD2946" s="833">
        <v>869</v>
      </c>
      <c r="AE2946" s="1396">
        <v>869</v>
      </c>
      <c r="AF2946" s="271">
        <f t="shared" si="321"/>
        <v>869</v>
      </c>
      <c r="AG2946" s="1396"/>
      <c r="DG2946" s="573"/>
      <c r="DH2946" s="159"/>
      <c r="DI2946" s="1091"/>
      <c r="DJ2946" s="1187"/>
    </row>
    <row r="2947" spans="1:114" ht="15" hidden="1" customHeight="1" outlineLevel="1">
      <c r="A2947" s="453"/>
      <c r="C2947" s="51"/>
      <c r="D2947" s="4295"/>
      <c r="E2947" s="4295"/>
      <c r="F2947" s="4347" t="str">
        <f>$E$1644</f>
        <v>ASHP-SEER19-Replace_CAC_ElectricHeat_ROF_MF</v>
      </c>
      <c r="G2947" s="4347"/>
      <c r="H2947" s="4347"/>
      <c r="I2947" s="4347"/>
      <c r="J2947" s="3471" t="str">
        <f>$C$1644</f>
        <v>353350_2024_12_</v>
      </c>
      <c r="K2947" s="3263">
        <v>869</v>
      </c>
      <c r="L2947" s="262"/>
      <c r="M2947" s="4376"/>
      <c r="P2947" s="261"/>
      <c r="Q2947" s="261"/>
      <c r="R2947" s="261"/>
      <c r="S2947" s="52"/>
      <c r="T2947" s="181"/>
      <c r="U2947" s="52"/>
      <c r="V2947" s="4295"/>
      <c r="W2947" s="3262">
        <v>869</v>
      </c>
      <c r="X2947" s="3262">
        <v>869</v>
      </c>
      <c r="Y2947" s="3262">
        <v>869</v>
      </c>
      <c r="Z2947" s="3262">
        <v>869</v>
      </c>
      <c r="AA2947" s="3262">
        <v>869</v>
      </c>
      <c r="AB2947" s="3262">
        <v>869</v>
      </c>
      <c r="AC2947" s="3262">
        <v>869</v>
      </c>
      <c r="AD2947" s="3262">
        <v>869</v>
      </c>
      <c r="AE2947" s="3262">
        <v>869</v>
      </c>
      <c r="AF2947" s="2236">
        <f t="shared" si="321"/>
        <v>869</v>
      </c>
      <c r="AG2947" s="1396"/>
      <c r="DG2947" s="573"/>
      <c r="DH2947" s="159"/>
      <c r="DI2947" s="1091"/>
      <c r="DJ2947" s="1187"/>
    </row>
    <row r="2948" spans="1:114" ht="15" hidden="1" customHeight="1" outlineLevel="1">
      <c r="A2948" s="453"/>
      <c r="C2948" s="51"/>
      <c r="D2948" s="4295"/>
      <c r="E2948" s="4295"/>
      <c r="F2948" s="4347" t="str">
        <f>$E$1646</f>
        <v>ASHP-SEER19-Replace_CAC_ElectricHeat_ROF_MF_CompE</v>
      </c>
      <c r="G2948" s="4347"/>
      <c r="H2948" s="4347"/>
      <c r="I2948" s="4347"/>
      <c r="J2948" s="3471" t="str">
        <f>$C$1646</f>
        <v>353351_2024_12_</v>
      </c>
      <c r="K2948" s="3263">
        <v>632</v>
      </c>
      <c r="L2948" s="262"/>
      <c r="M2948" s="4376"/>
      <c r="P2948" s="261"/>
      <c r="Q2948" s="261"/>
      <c r="R2948" s="261"/>
      <c r="S2948" s="52"/>
      <c r="T2948" s="181"/>
      <c r="U2948" s="52"/>
      <c r="V2948" s="4295"/>
      <c r="W2948" s="3262"/>
      <c r="X2948" s="3262"/>
      <c r="Y2948" s="3265">
        <f>$K$2899</f>
        <v>632</v>
      </c>
      <c r="Z2948" s="3262">
        <f>$K$2899</f>
        <v>632</v>
      </c>
      <c r="AA2948" s="3262">
        <f>$K$2899</f>
        <v>632</v>
      </c>
      <c r="AB2948" s="3262">
        <v>632</v>
      </c>
      <c r="AC2948" s="3262">
        <f>$K$2899</f>
        <v>632</v>
      </c>
      <c r="AD2948" s="3262">
        <v>632</v>
      </c>
      <c r="AE2948" s="3262">
        <v>632</v>
      </c>
      <c r="AF2948" s="2236">
        <f t="shared" si="321"/>
        <v>632</v>
      </c>
      <c r="AG2948" s="1396"/>
      <c r="DG2948" s="573"/>
      <c r="DH2948" s="159"/>
      <c r="DI2948" s="1091"/>
      <c r="DJ2948" s="1187"/>
    </row>
    <row r="2949" spans="1:114" ht="15" hidden="1" customHeight="1" outlineLevel="1">
      <c r="A2949" s="453"/>
      <c r="C2949" s="51"/>
      <c r="D2949" s="4295"/>
      <c r="E2949" s="4295"/>
      <c r="F2949" s="4347" t="str">
        <f>$E$1648</f>
        <v>ASHP-SEER19-Replace_CAC_NonElectricHeat_ROF_MF</v>
      </c>
      <c r="G2949" s="4347"/>
      <c r="H2949" s="4347"/>
      <c r="I2949" s="4347"/>
      <c r="J2949" s="3471" t="str">
        <f>$C$1648</f>
        <v>353360_2024_12_</v>
      </c>
      <c r="K2949" s="3263">
        <v>869</v>
      </c>
      <c r="L2949" s="262"/>
      <c r="M2949" s="4376"/>
      <c r="P2949" s="261"/>
      <c r="Q2949" s="261"/>
      <c r="R2949" s="261"/>
      <c r="S2949" s="52"/>
      <c r="T2949" s="181"/>
      <c r="U2949" s="52"/>
      <c r="V2949" s="4295"/>
      <c r="W2949" s="3262"/>
      <c r="X2949" s="3262"/>
      <c r="Y2949" s="3265"/>
      <c r="Z2949" s="3262"/>
      <c r="AA2949" s="3262"/>
      <c r="AB2949" s="3262"/>
      <c r="AC2949" s="3265">
        <v>869</v>
      </c>
      <c r="AD2949" s="3262">
        <v>869</v>
      </c>
      <c r="AE2949" s="3262">
        <v>869</v>
      </c>
      <c r="AF2949" s="2236">
        <f t="shared" si="321"/>
        <v>869</v>
      </c>
      <c r="AG2949" s="1396"/>
      <c r="DG2949" s="573"/>
      <c r="DH2949" s="159"/>
      <c r="DI2949" s="1091"/>
      <c r="DJ2949" s="1187"/>
    </row>
    <row r="2950" spans="1:114" ht="15" hidden="1" customHeight="1" outlineLevel="1">
      <c r="A2950" s="453"/>
      <c r="C2950" s="51"/>
      <c r="D2950" s="4295"/>
      <c r="E2950" s="4295"/>
      <c r="F2950" s="4347" t="str">
        <f>$E$1650</f>
        <v>ASHP-SEER19-Replace_CAC_NonElectricHeat_ROF_MF_CompE</v>
      </c>
      <c r="G2950" s="4347"/>
      <c r="H2950" s="4347"/>
      <c r="I2950" s="4347"/>
      <c r="J2950" s="3471" t="str">
        <f>$C$1650</f>
        <v>353361_2024_12_</v>
      </c>
      <c r="K2950" s="3263">
        <v>632</v>
      </c>
      <c r="L2950" s="262"/>
      <c r="M2950" s="4376"/>
      <c r="P2950" s="261"/>
      <c r="Q2950" s="261"/>
      <c r="R2950" s="261"/>
      <c r="S2950" s="52"/>
      <c r="T2950" s="181"/>
      <c r="U2950" s="52"/>
      <c r="V2950" s="4295"/>
      <c r="W2950" s="3262"/>
      <c r="X2950" s="3262"/>
      <c r="Y2950" s="3265"/>
      <c r="Z2950" s="3262"/>
      <c r="AA2950" s="3262"/>
      <c r="AB2950" s="3262"/>
      <c r="AC2950" s="3265">
        <f>$K$2899</f>
        <v>632</v>
      </c>
      <c r="AD2950" s="3262">
        <v>632</v>
      </c>
      <c r="AE2950" s="3262">
        <v>632</v>
      </c>
      <c r="AF2950" s="2236">
        <f t="shared" si="321"/>
        <v>632</v>
      </c>
      <c r="AG2950" s="1396"/>
      <c r="DG2950" s="573"/>
      <c r="DH2950" s="159"/>
      <c r="DI2950" s="1091"/>
      <c r="DJ2950" s="1187"/>
    </row>
    <row r="2951" spans="1:114" ht="15" hidden="1" customHeight="1" outlineLevel="1">
      <c r="A2951" s="453"/>
      <c r="C2951" s="51"/>
      <c r="D2951" s="4295"/>
      <c r="E2951" s="4295"/>
      <c r="F2951" s="4307" t="str">
        <f>$E$1652</f>
        <v>ASHP-SEER20-Replace_CAC_ElectricHeat_ER1_SF</v>
      </c>
      <c r="G2951" s="4307"/>
      <c r="H2951" s="4307"/>
      <c r="I2951" s="4307"/>
      <c r="J2951" s="1029" t="str">
        <f>$C$1652</f>
        <v>353400_2024_12_</v>
      </c>
      <c r="K2951" s="1790">
        <v>869</v>
      </c>
      <c r="L2951" s="262"/>
      <c r="M2951" s="4376"/>
      <c r="P2951" s="261"/>
      <c r="Q2951" s="261"/>
      <c r="R2951" s="261"/>
      <c r="S2951" s="52"/>
      <c r="T2951" s="181"/>
      <c r="U2951" s="52"/>
      <c r="V2951" s="4295"/>
      <c r="W2951" s="1396">
        <v>869</v>
      </c>
      <c r="X2951" s="1396">
        <v>869</v>
      </c>
      <c r="Y2951" s="1396">
        <v>869</v>
      </c>
      <c r="Z2951" s="1396">
        <v>869</v>
      </c>
      <c r="AA2951" s="1396">
        <v>869</v>
      </c>
      <c r="AB2951" s="1396">
        <v>869</v>
      </c>
      <c r="AC2951" s="1396">
        <v>869</v>
      </c>
      <c r="AD2951" s="1396">
        <v>869</v>
      </c>
      <c r="AE2951" s="1396">
        <v>869</v>
      </c>
      <c r="AF2951" s="271">
        <f t="shared" si="321"/>
        <v>869</v>
      </c>
      <c r="AG2951" s="1396"/>
      <c r="DG2951" s="573"/>
      <c r="DH2951" s="159"/>
      <c r="DI2951" s="1091"/>
      <c r="DJ2951" s="1187"/>
    </row>
    <row r="2952" spans="1:114" ht="15" hidden="1" customHeight="1" outlineLevel="1">
      <c r="A2952" s="453"/>
      <c r="C2952" s="51"/>
      <c r="D2952" s="4295"/>
      <c r="E2952" s="4295"/>
      <c r="F2952" s="4307" t="str">
        <f>$E$1654</f>
        <v>ASHP-SEER20-Replace_CAC_ElectricHeat_ER2_SF</v>
      </c>
      <c r="G2952" s="4307"/>
      <c r="H2952" s="4307"/>
      <c r="I2952" s="4307"/>
      <c r="J2952" s="1029" t="str">
        <f>$C$1654</f>
        <v>353400_2024_12_</v>
      </c>
      <c r="K2952" s="1790">
        <v>869</v>
      </c>
      <c r="L2952" s="262"/>
      <c r="M2952" s="4376"/>
      <c r="P2952" s="261"/>
      <c r="Q2952" s="261"/>
      <c r="R2952" s="261"/>
      <c r="S2952" s="52"/>
      <c r="T2952" s="181"/>
      <c r="U2952" s="52"/>
      <c r="V2952" s="4295"/>
      <c r="W2952" s="1396">
        <v>869</v>
      </c>
      <c r="X2952" s="1396">
        <v>869</v>
      </c>
      <c r="Y2952" s="1396">
        <v>869</v>
      </c>
      <c r="Z2952" s="1396">
        <v>869</v>
      </c>
      <c r="AA2952" s="1396">
        <v>869</v>
      </c>
      <c r="AB2952" s="1396">
        <v>869</v>
      </c>
      <c r="AC2952" s="1396">
        <v>869</v>
      </c>
      <c r="AD2952" s="1396">
        <v>869</v>
      </c>
      <c r="AE2952" s="1396">
        <v>869</v>
      </c>
      <c r="AF2952" s="271">
        <f t="shared" si="321"/>
        <v>869</v>
      </c>
      <c r="AG2952" s="1396"/>
      <c r="DG2952" s="573"/>
      <c r="DH2952" s="159"/>
      <c r="DI2952" s="1091"/>
      <c r="DJ2952" s="1187"/>
    </row>
    <row r="2953" spans="1:114" ht="15" hidden="1" customHeight="1" outlineLevel="1">
      <c r="A2953" s="453"/>
      <c r="C2953" s="51"/>
      <c r="D2953" s="4295"/>
      <c r="E2953" s="4295"/>
      <c r="F2953" s="4307" t="str">
        <f>$E$1656</f>
        <v>ASHP-SEER20-Replace_CAC_NonElectricHeat_ER1_SF</v>
      </c>
      <c r="G2953" s="4307"/>
      <c r="H2953" s="4307"/>
      <c r="I2953" s="4307"/>
      <c r="J2953" s="1029" t="str">
        <f>$C$1656</f>
        <v>353410_2024_12_</v>
      </c>
      <c r="K2953" s="1790">
        <v>869</v>
      </c>
      <c r="L2953" s="262"/>
      <c r="M2953" s="4376"/>
      <c r="P2953" s="261"/>
      <c r="Q2953" s="261"/>
      <c r="R2953" s="261"/>
      <c r="S2953" s="52"/>
      <c r="T2953" s="181"/>
      <c r="U2953" s="52"/>
      <c r="V2953" s="4295"/>
      <c r="W2953" s="1396"/>
      <c r="X2953" s="1396"/>
      <c r="Y2953" s="1396"/>
      <c r="Z2953" s="1396"/>
      <c r="AA2953" s="1396"/>
      <c r="AB2953" s="1396"/>
      <c r="AC2953" s="833">
        <v>869</v>
      </c>
      <c r="AD2953" s="1396">
        <v>869</v>
      </c>
      <c r="AE2953" s="1396">
        <v>869</v>
      </c>
      <c r="AF2953" s="271">
        <f t="shared" si="321"/>
        <v>869</v>
      </c>
      <c r="AG2953" s="1396"/>
      <c r="DG2953" s="573"/>
      <c r="DH2953" s="159"/>
      <c r="DI2953" s="1091"/>
      <c r="DJ2953" s="1187"/>
    </row>
    <row r="2954" spans="1:114" ht="15" hidden="1" customHeight="1" outlineLevel="1">
      <c r="A2954" s="453"/>
      <c r="C2954" s="51"/>
      <c r="D2954" s="4295"/>
      <c r="E2954" s="4295"/>
      <c r="F2954" s="4307" t="str">
        <f>$E$1658</f>
        <v>ASHP-SEER20-Replace_CAC_NonElectricHeat_ER2_SF</v>
      </c>
      <c r="G2954" s="4307"/>
      <c r="H2954" s="4307"/>
      <c r="I2954" s="4307"/>
      <c r="J2954" s="1029" t="str">
        <f>$C$1658</f>
        <v>353410_2024_12_</v>
      </c>
      <c r="K2954" s="1790">
        <v>869</v>
      </c>
      <c r="L2954" s="262"/>
      <c r="M2954" s="4376"/>
      <c r="P2954" s="261"/>
      <c r="Q2954" s="261"/>
      <c r="R2954" s="261"/>
      <c r="S2954" s="52"/>
      <c r="T2954" s="181"/>
      <c r="U2954" s="52"/>
      <c r="V2954" s="4295"/>
      <c r="W2954" s="1396"/>
      <c r="X2954" s="1396"/>
      <c r="Y2954" s="1396"/>
      <c r="Z2954" s="1396"/>
      <c r="AA2954" s="1396"/>
      <c r="AB2954" s="1396"/>
      <c r="AC2954" s="833">
        <v>869</v>
      </c>
      <c r="AD2954" s="1396">
        <v>869</v>
      </c>
      <c r="AE2954" s="1396">
        <v>869</v>
      </c>
      <c r="AF2954" s="271">
        <f t="shared" si="321"/>
        <v>869</v>
      </c>
      <c r="AG2954" s="1396"/>
      <c r="DG2954" s="573"/>
      <c r="DH2954" s="159"/>
      <c r="DI2954" s="1091"/>
      <c r="DJ2954" s="1187"/>
    </row>
    <row r="2955" spans="1:114" ht="15" hidden="1" customHeight="1" outlineLevel="1">
      <c r="A2955" s="453"/>
      <c r="C2955" s="51"/>
      <c r="D2955" s="4295"/>
      <c r="E2955" s="4295"/>
      <c r="F2955" s="4307" t="str">
        <f>$E$1660</f>
        <v>ASHP-SEER20-Replace_CAC_ElectricHeat_ROF_SF</v>
      </c>
      <c r="G2955" s="4307"/>
      <c r="H2955" s="4307"/>
      <c r="I2955" s="4307"/>
      <c r="J2955" s="1029" t="str">
        <f>$C$1660</f>
        <v>353450_2024_12_</v>
      </c>
      <c r="K2955" s="1790">
        <v>869</v>
      </c>
      <c r="L2955" s="262"/>
      <c r="M2955" s="4376"/>
      <c r="P2955" s="261"/>
      <c r="Q2955" s="261"/>
      <c r="R2955" s="261"/>
      <c r="S2955" s="52"/>
      <c r="T2955" s="181"/>
      <c r="U2955" s="52"/>
      <c r="V2955" s="4295"/>
      <c r="W2955" s="1396">
        <v>869</v>
      </c>
      <c r="X2955" s="1396">
        <v>869</v>
      </c>
      <c r="Y2955" s="1396">
        <v>869</v>
      </c>
      <c r="Z2955" s="1396">
        <v>869</v>
      </c>
      <c r="AA2955" s="1396">
        <v>869</v>
      </c>
      <c r="AB2955" s="1396">
        <v>869</v>
      </c>
      <c r="AC2955" s="1396">
        <v>869</v>
      </c>
      <c r="AD2955" s="1396">
        <v>869</v>
      </c>
      <c r="AE2955" s="1396">
        <v>869</v>
      </c>
      <c r="AF2955" s="271">
        <f t="shared" si="321"/>
        <v>869</v>
      </c>
      <c r="AG2955" s="1396"/>
      <c r="DG2955" s="573"/>
      <c r="DH2955" s="159"/>
      <c r="DI2955" s="1091"/>
      <c r="DJ2955" s="1187"/>
    </row>
    <row r="2956" spans="1:114" ht="15" hidden="1" customHeight="1" outlineLevel="1">
      <c r="A2956" s="453"/>
      <c r="C2956" s="51"/>
      <c r="D2956" s="4295"/>
      <c r="E2956" s="4295"/>
      <c r="F2956" s="4307" t="str">
        <f>$E$1662</f>
        <v>ASHP-SEER20-Replace_CAC_NonElectricHeat_ROF_SF</v>
      </c>
      <c r="G2956" s="4307"/>
      <c r="H2956" s="4307"/>
      <c r="I2956" s="4307"/>
      <c r="J2956" s="1029" t="str">
        <f>$C$1662</f>
        <v>353460_2024_12_</v>
      </c>
      <c r="K2956" s="1790">
        <v>869</v>
      </c>
      <c r="L2956" s="262"/>
      <c r="M2956" s="4376"/>
      <c r="P2956" s="261"/>
      <c r="Q2956" s="261"/>
      <c r="R2956" s="261"/>
      <c r="S2956" s="52"/>
      <c r="T2956" s="181"/>
      <c r="U2956" s="52"/>
      <c r="V2956" s="4295"/>
      <c r="W2956" s="1396"/>
      <c r="X2956" s="1396"/>
      <c r="Y2956" s="1396"/>
      <c r="Z2956" s="1396"/>
      <c r="AA2956" s="1396"/>
      <c r="AB2956" s="1396"/>
      <c r="AC2956" s="1396"/>
      <c r="AD2956" s="833">
        <v>869</v>
      </c>
      <c r="AE2956" s="1396">
        <v>869</v>
      </c>
      <c r="AF2956" s="271">
        <f t="shared" si="321"/>
        <v>869</v>
      </c>
      <c r="AG2956" s="1396"/>
      <c r="DG2956" s="573"/>
      <c r="DH2956" s="159"/>
      <c r="DI2956" s="1091"/>
      <c r="DJ2956" s="1187"/>
    </row>
    <row r="2957" spans="1:114" ht="15" hidden="1" customHeight="1" outlineLevel="1">
      <c r="A2957" s="453"/>
      <c r="C2957" s="51"/>
      <c r="D2957" s="4295"/>
      <c r="E2957" s="4295"/>
      <c r="F2957" s="4347" t="str">
        <f>$E$1664</f>
        <v>ASHP-SEER20-Replace_CAC_ElectricHeat_ROF_MF</v>
      </c>
      <c r="G2957" s="4347"/>
      <c r="H2957" s="4347"/>
      <c r="I2957" s="4347"/>
      <c r="J2957" s="3471" t="str">
        <f>$C$1664</f>
        <v>353500_2024_12_</v>
      </c>
      <c r="K2957" s="3263">
        <v>869</v>
      </c>
      <c r="L2957" s="262"/>
      <c r="M2957" s="4376"/>
      <c r="P2957" s="261"/>
      <c r="Q2957" s="209"/>
      <c r="R2957" s="261"/>
      <c r="S2957" s="52"/>
      <c r="T2957" s="181"/>
      <c r="U2957" s="52"/>
      <c r="V2957" s="4295"/>
      <c r="W2957" s="3262">
        <v>869</v>
      </c>
      <c r="X2957" s="3262">
        <v>869</v>
      </c>
      <c r="Y2957" s="3262">
        <v>869</v>
      </c>
      <c r="Z2957" s="3262">
        <v>869</v>
      </c>
      <c r="AA2957" s="3262">
        <v>869</v>
      </c>
      <c r="AB2957" s="3262">
        <v>869</v>
      </c>
      <c r="AC2957" s="3262">
        <v>869</v>
      </c>
      <c r="AD2957" s="3262">
        <v>869</v>
      </c>
      <c r="AE2957" s="3262">
        <v>869</v>
      </c>
      <c r="AF2957" s="2236">
        <f t="shared" si="321"/>
        <v>869</v>
      </c>
      <c r="AG2957" s="1396"/>
      <c r="DG2957" s="573"/>
      <c r="DH2957" s="159"/>
      <c r="DI2957" s="1091"/>
      <c r="DJ2957" s="1187"/>
    </row>
    <row r="2958" spans="1:114" ht="15" hidden="1" customHeight="1" outlineLevel="1">
      <c r="A2958" s="453"/>
      <c r="C2958" s="51"/>
      <c r="D2958" s="4295"/>
      <c r="E2958" s="4295"/>
      <c r="F2958" s="4347" t="str">
        <f>$E$1666</f>
        <v>ASHP-SEER20-Replace_CAC_ElectricHeat_ROF_MF_CompE</v>
      </c>
      <c r="G2958" s="4347"/>
      <c r="H2958" s="4347"/>
      <c r="I2958" s="4347"/>
      <c r="J2958" s="3471" t="str">
        <f>$C$1666</f>
        <v>353501_2024_12_</v>
      </c>
      <c r="K2958" s="3263">
        <v>632</v>
      </c>
      <c r="L2958" s="262"/>
      <c r="M2958" s="4376"/>
      <c r="P2958" s="261"/>
      <c r="Q2958" s="209"/>
      <c r="R2958" s="261"/>
      <c r="S2958" s="52"/>
      <c r="T2958" s="181"/>
      <c r="U2958" s="52"/>
      <c r="V2958" s="4295"/>
      <c r="W2958" s="3262"/>
      <c r="X2958" s="3262"/>
      <c r="Y2958" s="3265">
        <f>$K$2899</f>
        <v>632</v>
      </c>
      <c r="Z2958" s="3262">
        <f>$K$2899</f>
        <v>632</v>
      </c>
      <c r="AA2958" s="3262">
        <f>$K$2899</f>
        <v>632</v>
      </c>
      <c r="AB2958" s="3262">
        <v>632</v>
      </c>
      <c r="AC2958" s="3262">
        <f>$K$2899</f>
        <v>632</v>
      </c>
      <c r="AD2958" s="3262">
        <v>632</v>
      </c>
      <c r="AE2958" s="3262">
        <v>632</v>
      </c>
      <c r="AF2958" s="2236">
        <f t="shared" si="321"/>
        <v>632</v>
      </c>
      <c r="AG2958" s="1396"/>
      <c r="DG2958" s="573"/>
      <c r="DH2958" s="159"/>
      <c r="DI2958" s="1091"/>
      <c r="DJ2958" s="1187"/>
    </row>
    <row r="2959" spans="1:114" ht="15" hidden="1" customHeight="1" outlineLevel="1">
      <c r="A2959" s="453"/>
      <c r="C2959" s="51"/>
      <c r="D2959" s="4295"/>
      <c r="E2959" s="4295"/>
      <c r="F2959" s="4347" t="str">
        <f>$E$1668</f>
        <v>ASHP-SEER20-Replace_CAC_NonElectricHeat_ROF_MF</v>
      </c>
      <c r="G2959" s="4347"/>
      <c r="H2959" s="4347"/>
      <c r="I2959" s="4347"/>
      <c r="J2959" s="3471" t="str">
        <f>$C$1668</f>
        <v>353510_2024_12_</v>
      </c>
      <c r="K2959" s="3263">
        <v>869</v>
      </c>
      <c r="L2959" s="262"/>
      <c r="M2959" s="4376"/>
      <c r="P2959" s="261"/>
      <c r="Q2959" s="209"/>
      <c r="R2959" s="261"/>
      <c r="S2959" s="52"/>
      <c r="T2959" s="181"/>
      <c r="U2959" s="52"/>
      <c r="V2959" s="4295"/>
      <c r="W2959" s="3262"/>
      <c r="X2959" s="3262"/>
      <c r="Y2959" s="3265"/>
      <c r="Z2959" s="3262"/>
      <c r="AA2959" s="3262"/>
      <c r="AB2959" s="3262"/>
      <c r="AC2959" s="3265">
        <v>869</v>
      </c>
      <c r="AD2959" s="3262">
        <v>869</v>
      </c>
      <c r="AE2959" s="3262">
        <v>869</v>
      </c>
      <c r="AF2959" s="2236">
        <f t="shared" si="321"/>
        <v>869</v>
      </c>
      <c r="AG2959" s="1396"/>
      <c r="DG2959" s="573"/>
      <c r="DH2959" s="159"/>
      <c r="DI2959" s="1091"/>
      <c r="DJ2959" s="1187"/>
    </row>
    <row r="2960" spans="1:114" ht="15" hidden="1" customHeight="1" outlineLevel="1">
      <c r="A2960" s="453"/>
      <c r="C2960" s="51"/>
      <c r="D2960" s="4295"/>
      <c r="E2960" s="4295"/>
      <c r="F2960" s="4347" t="str">
        <f>$E$1670</f>
        <v>ASHP-SEER20-Replace_CAC_NonElectricHeat_ROF_MF_CompE</v>
      </c>
      <c r="G2960" s="4347"/>
      <c r="H2960" s="4347"/>
      <c r="I2960" s="4347"/>
      <c r="J2960" s="3471" t="str">
        <f>$C$1670</f>
        <v>353511_2024_12_</v>
      </c>
      <c r="K2960" s="3263">
        <v>632</v>
      </c>
      <c r="L2960" s="262"/>
      <c r="M2960" s="4376"/>
      <c r="P2960" s="261"/>
      <c r="Q2960" s="209"/>
      <c r="R2960" s="261"/>
      <c r="S2960" s="52"/>
      <c r="T2960" s="181"/>
      <c r="U2960" s="52"/>
      <c r="V2960" s="4295"/>
      <c r="W2960" s="3262"/>
      <c r="X2960" s="3262"/>
      <c r="Y2960" s="3265"/>
      <c r="Z2960" s="3262"/>
      <c r="AA2960" s="3262"/>
      <c r="AB2960" s="3262"/>
      <c r="AC2960" s="3265">
        <f>$K$2899</f>
        <v>632</v>
      </c>
      <c r="AD2960" s="3262">
        <v>632</v>
      </c>
      <c r="AE2960" s="3262">
        <v>632</v>
      </c>
      <c r="AF2960" s="2236">
        <f t="shared" si="321"/>
        <v>632</v>
      </c>
      <c r="AG2960" s="1396"/>
      <c r="DG2960" s="573"/>
      <c r="DH2960" s="159"/>
      <c r="DI2960" s="1091"/>
      <c r="DJ2960" s="1187"/>
    </row>
    <row r="2961" spans="1:114" ht="15" hidden="1" customHeight="1" outlineLevel="1">
      <c r="A2961" s="453"/>
      <c r="C2961" s="51"/>
      <c r="D2961" s="4295"/>
      <c r="E2961" s="4295"/>
      <c r="F2961" s="4307" t="str">
        <f>$E$1672</f>
        <v>ASHP-SEER21-Replace_CAC_ElectricHeat_ER1_SF</v>
      </c>
      <c r="G2961" s="4307"/>
      <c r="H2961" s="4307"/>
      <c r="I2961" s="4307"/>
      <c r="J2961" s="1029" t="str">
        <f>$C$1672</f>
        <v>353550_2024_12_</v>
      </c>
      <c r="K2961" s="1790">
        <v>869</v>
      </c>
      <c r="L2961" s="262"/>
      <c r="M2961" s="4376"/>
      <c r="P2961" s="261"/>
      <c r="Q2961" s="209"/>
      <c r="R2961" s="261"/>
      <c r="S2961" s="52"/>
      <c r="T2961" s="181"/>
      <c r="U2961" s="52"/>
      <c r="V2961" s="4295"/>
      <c r="W2961" s="1396">
        <v>869</v>
      </c>
      <c r="X2961" s="1396">
        <v>869</v>
      </c>
      <c r="Y2961" s="1396">
        <v>869</v>
      </c>
      <c r="Z2961" s="1396">
        <v>869</v>
      </c>
      <c r="AA2961" s="1396">
        <v>869</v>
      </c>
      <c r="AB2961" s="1396">
        <v>869</v>
      </c>
      <c r="AC2961" s="1396">
        <v>869</v>
      </c>
      <c r="AD2961" s="1396">
        <v>869</v>
      </c>
      <c r="AE2961" s="1396">
        <v>869</v>
      </c>
      <c r="AF2961" s="271">
        <f t="shared" si="321"/>
        <v>869</v>
      </c>
      <c r="AG2961" s="1396"/>
      <c r="DG2961" s="573"/>
      <c r="DH2961" s="159"/>
      <c r="DI2961" s="1091"/>
      <c r="DJ2961" s="1187"/>
    </row>
    <row r="2962" spans="1:114" ht="15" hidden="1" customHeight="1" outlineLevel="1">
      <c r="A2962" s="453"/>
      <c r="C2962" s="51"/>
      <c r="D2962" s="4295"/>
      <c r="E2962" s="4295"/>
      <c r="F2962" s="4307" t="str">
        <f>$E$1674</f>
        <v>ASHP-SEER21-Replace_CAC_ElectricHeat_ER2_SF</v>
      </c>
      <c r="G2962" s="4307"/>
      <c r="H2962" s="4307"/>
      <c r="I2962" s="4307"/>
      <c r="J2962" s="1029" t="str">
        <f>$C$1674</f>
        <v>353550_2024_12_</v>
      </c>
      <c r="K2962" s="1790">
        <v>869</v>
      </c>
      <c r="L2962" s="262"/>
      <c r="M2962" s="4376"/>
      <c r="P2962" s="261"/>
      <c r="Q2962" s="209"/>
      <c r="R2962" s="261"/>
      <c r="S2962" s="52"/>
      <c r="T2962" s="181"/>
      <c r="U2962" s="52"/>
      <c r="V2962" s="4295"/>
      <c r="W2962" s="1396">
        <v>869</v>
      </c>
      <c r="X2962" s="1396">
        <v>869</v>
      </c>
      <c r="Y2962" s="1396">
        <v>869</v>
      </c>
      <c r="Z2962" s="1396">
        <v>869</v>
      </c>
      <c r="AA2962" s="1396">
        <v>869</v>
      </c>
      <c r="AB2962" s="1396">
        <v>869</v>
      </c>
      <c r="AC2962" s="1396">
        <v>869</v>
      </c>
      <c r="AD2962" s="1396">
        <v>869</v>
      </c>
      <c r="AE2962" s="1396">
        <v>869</v>
      </c>
      <c r="AF2962" s="271">
        <f t="shared" si="321"/>
        <v>869</v>
      </c>
      <c r="AG2962" s="1396"/>
      <c r="DG2962" s="573"/>
      <c r="DH2962" s="159"/>
      <c r="DI2962" s="1091"/>
      <c r="DJ2962" s="1187"/>
    </row>
    <row r="2963" spans="1:114" ht="15" hidden="1" customHeight="1" outlineLevel="1">
      <c r="A2963" s="453"/>
      <c r="C2963" s="51"/>
      <c r="D2963" s="4295"/>
      <c r="E2963" s="4295"/>
      <c r="F2963" s="4307" t="str">
        <f>$E$1676</f>
        <v>ASHP-SEER21-Replace_CAC_NonElectricHeat_ER1_SF</v>
      </c>
      <c r="G2963" s="4307"/>
      <c r="H2963" s="4307"/>
      <c r="I2963" s="4307"/>
      <c r="J2963" s="1029" t="str">
        <f>$C$1676</f>
        <v>353560_2024_12_</v>
      </c>
      <c r="K2963" s="1790">
        <v>869</v>
      </c>
      <c r="L2963" s="262"/>
      <c r="M2963" s="4376"/>
      <c r="P2963" s="261"/>
      <c r="Q2963" s="209"/>
      <c r="R2963" s="261"/>
      <c r="S2963" s="52"/>
      <c r="T2963" s="181"/>
      <c r="U2963" s="52"/>
      <c r="V2963" s="4295"/>
      <c r="W2963" s="1396"/>
      <c r="X2963" s="1396"/>
      <c r="Y2963" s="1396"/>
      <c r="Z2963" s="1396"/>
      <c r="AA2963" s="1396"/>
      <c r="AB2963" s="1396"/>
      <c r="AC2963" s="833">
        <v>869</v>
      </c>
      <c r="AD2963" s="1396">
        <v>869</v>
      </c>
      <c r="AE2963" s="1396">
        <v>869</v>
      </c>
      <c r="AF2963" s="271">
        <f t="shared" si="321"/>
        <v>869</v>
      </c>
      <c r="AG2963" s="1396"/>
      <c r="DG2963" s="573"/>
      <c r="DH2963" s="159"/>
      <c r="DI2963" s="1091"/>
      <c r="DJ2963" s="1187"/>
    </row>
    <row r="2964" spans="1:114" ht="15" hidden="1" customHeight="1" outlineLevel="1">
      <c r="A2964" s="453"/>
      <c r="C2964" s="51"/>
      <c r="D2964" s="4295"/>
      <c r="E2964" s="4295"/>
      <c r="F2964" s="4307" t="str">
        <f>$E$1678</f>
        <v>ASHP-SEER21-Replace_CAC_NonElectricHeat_ER2_SF</v>
      </c>
      <c r="G2964" s="4307"/>
      <c r="H2964" s="4307"/>
      <c r="I2964" s="4307"/>
      <c r="J2964" s="1029" t="str">
        <f>$C$1678</f>
        <v>353560_2024_12_</v>
      </c>
      <c r="K2964" s="1790">
        <v>869</v>
      </c>
      <c r="L2964" s="262"/>
      <c r="M2964" s="4376"/>
      <c r="P2964" s="261"/>
      <c r="Q2964" s="209"/>
      <c r="R2964" s="261"/>
      <c r="S2964" s="52"/>
      <c r="T2964" s="181"/>
      <c r="U2964" s="52"/>
      <c r="V2964" s="4295"/>
      <c r="W2964" s="1396"/>
      <c r="X2964" s="1396"/>
      <c r="Y2964" s="1396"/>
      <c r="Z2964" s="1396"/>
      <c r="AA2964" s="1396"/>
      <c r="AB2964" s="1396"/>
      <c r="AC2964" s="833">
        <v>869</v>
      </c>
      <c r="AD2964" s="1396">
        <v>869</v>
      </c>
      <c r="AE2964" s="1396">
        <v>869</v>
      </c>
      <c r="AF2964" s="271">
        <f t="shared" si="321"/>
        <v>869</v>
      </c>
      <c r="AG2964" s="1396"/>
      <c r="DG2964" s="573"/>
      <c r="DH2964" s="159"/>
      <c r="DI2964" s="1091"/>
      <c r="DJ2964" s="1187"/>
    </row>
    <row r="2965" spans="1:114" ht="15" hidden="1" customHeight="1" outlineLevel="1">
      <c r="A2965" s="453"/>
      <c r="C2965" s="51"/>
      <c r="D2965" s="4295"/>
      <c r="E2965" s="4295"/>
      <c r="F2965" s="4307" t="str">
        <f>$E$1680</f>
        <v>ASHP-SEER21-Replace_CAC_ElectricHeat_ER1_MF</v>
      </c>
      <c r="G2965" s="4307"/>
      <c r="H2965" s="4307"/>
      <c r="I2965" s="4307"/>
      <c r="J2965" s="1029" t="str">
        <f>$C$1680</f>
        <v>353600_2024_12_</v>
      </c>
      <c r="K2965" s="1790">
        <v>869</v>
      </c>
      <c r="L2965" s="262"/>
      <c r="M2965" s="4376"/>
      <c r="P2965" s="261"/>
      <c r="Q2965" s="209"/>
      <c r="R2965" s="261"/>
      <c r="S2965" s="52"/>
      <c r="T2965" s="181"/>
      <c r="U2965" s="52"/>
      <c r="V2965" s="4295"/>
      <c r="W2965" s="1396">
        <v>869</v>
      </c>
      <c r="X2965" s="1396">
        <v>869</v>
      </c>
      <c r="Y2965" s="1396">
        <v>869</v>
      </c>
      <c r="Z2965" s="1396">
        <v>869</v>
      </c>
      <c r="AA2965" s="1396">
        <v>869</v>
      </c>
      <c r="AB2965" s="1396">
        <v>869</v>
      </c>
      <c r="AC2965" s="1396">
        <v>869</v>
      </c>
      <c r="AD2965" s="1396">
        <v>869</v>
      </c>
      <c r="AE2965" s="1396">
        <v>869</v>
      </c>
      <c r="AF2965" s="271">
        <f t="shared" si="321"/>
        <v>869</v>
      </c>
      <c r="AG2965" s="1396"/>
      <c r="DG2965" s="573"/>
      <c r="DH2965" s="159"/>
      <c r="DI2965" s="1091"/>
      <c r="DJ2965" s="1187"/>
    </row>
    <row r="2966" spans="1:114" ht="15" hidden="1" customHeight="1" outlineLevel="1">
      <c r="A2966" s="453"/>
      <c r="C2966" s="51"/>
      <c r="D2966" s="4295"/>
      <c r="E2966" s="4295"/>
      <c r="F2966" s="4307" t="str">
        <f>$E$1682</f>
        <v>ASHP-SEER21-Replace_CAC_ElectricHeat_ER2_MF</v>
      </c>
      <c r="G2966" s="4307"/>
      <c r="H2966" s="4307"/>
      <c r="I2966" s="4307"/>
      <c r="J2966" s="1029" t="str">
        <f>$C$1682</f>
        <v>353600_2024_12_</v>
      </c>
      <c r="K2966" s="1790">
        <v>869</v>
      </c>
      <c r="L2966" s="262"/>
      <c r="M2966" s="4376"/>
      <c r="P2966" s="261"/>
      <c r="Q2966" s="209"/>
      <c r="R2966" s="261"/>
      <c r="S2966" s="52"/>
      <c r="T2966" s="181"/>
      <c r="U2966" s="52"/>
      <c r="V2966" s="4295"/>
      <c r="W2966" s="1396">
        <v>869</v>
      </c>
      <c r="X2966" s="1396">
        <v>869</v>
      </c>
      <c r="Y2966" s="1396">
        <v>869</v>
      </c>
      <c r="Z2966" s="1396">
        <v>869</v>
      </c>
      <c r="AA2966" s="1396">
        <v>869</v>
      </c>
      <c r="AB2966" s="1396">
        <v>869</v>
      </c>
      <c r="AC2966" s="1396">
        <v>869</v>
      </c>
      <c r="AD2966" s="1396">
        <v>869</v>
      </c>
      <c r="AE2966" s="1396">
        <v>869</v>
      </c>
      <c r="AF2966" s="271">
        <f t="shared" si="321"/>
        <v>869</v>
      </c>
      <c r="AG2966" s="1396"/>
      <c r="DG2966" s="573"/>
      <c r="DH2966" s="159"/>
      <c r="DI2966" s="1091"/>
      <c r="DJ2966" s="1187"/>
    </row>
    <row r="2967" spans="1:114" ht="15" hidden="1" customHeight="1" outlineLevel="1">
      <c r="A2967" s="453"/>
      <c r="C2967" s="51"/>
      <c r="D2967" s="4295"/>
      <c r="E2967" s="4295"/>
      <c r="F2967" s="4347" t="str">
        <f>$E$1684</f>
        <v>ASHP-SEER21-Replace_CAC_ElectricHeat_ER1_MF_CompE</v>
      </c>
      <c r="G2967" s="4347"/>
      <c r="H2967" s="4347"/>
      <c r="I2967" s="4347"/>
      <c r="J2967" s="3471" t="str">
        <f>$C$1684</f>
        <v>353601_2024_12_</v>
      </c>
      <c r="K2967" s="3263">
        <v>632</v>
      </c>
      <c r="L2967" s="262"/>
      <c r="M2967" s="4376"/>
      <c r="P2967" s="261"/>
      <c r="Q2967" s="209"/>
      <c r="R2967" s="261"/>
      <c r="S2967" s="52"/>
      <c r="T2967" s="181"/>
      <c r="U2967" s="52"/>
      <c r="V2967" s="4295"/>
      <c r="W2967" s="3262"/>
      <c r="X2967" s="3262"/>
      <c r="Y2967" s="3265">
        <f t="shared" ref="Y2967:AA2968" si="322">$K$2899</f>
        <v>632</v>
      </c>
      <c r="Z2967" s="3262">
        <f t="shared" si="322"/>
        <v>632</v>
      </c>
      <c r="AA2967" s="3262">
        <f t="shared" si="322"/>
        <v>632</v>
      </c>
      <c r="AB2967" s="3262">
        <v>632</v>
      </c>
      <c r="AC2967" s="3262">
        <f>$K$2899</f>
        <v>632</v>
      </c>
      <c r="AD2967" s="3262">
        <v>632</v>
      </c>
      <c r="AE2967" s="3262">
        <v>632</v>
      </c>
      <c r="AF2967" s="2236">
        <f t="shared" si="321"/>
        <v>632</v>
      </c>
      <c r="AG2967" s="1396"/>
      <c r="DG2967" s="573"/>
      <c r="DH2967" s="159"/>
      <c r="DI2967" s="1091"/>
      <c r="DJ2967" s="1187"/>
    </row>
    <row r="2968" spans="1:114" ht="15" hidden="1" customHeight="1" outlineLevel="1">
      <c r="A2968" s="453"/>
      <c r="C2968" s="51"/>
      <c r="D2968" s="4295"/>
      <c r="E2968" s="4295"/>
      <c r="F2968" s="4347" t="str">
        <f>$E$1686</f>
        <v>ASHP-SEER21-Replace_CAC_ElectricHeat_ER2_MF_CompE</v>
      </c>
      <c r="G2968" s="4347"/>
      <c r="H2968" s="4347"/>
      <c r="I2968" s="4347"/>
      <c r="J2968" s="3471" t="str">
        <f>$C$1686</f>
        <v>353601_2024_12_</v>
      </c>
      <c r="K2968" s="3263">
        <v>632</v>
      </c>
      <c r="L2968" s="262"/>
      <c r="M2968" s="4376"/>
      <c r="P2968" s="261"/>
      <c r="Q2968" s="209"/>
      <c r="R2968" s="261"/>
      <c r="S2968" s="52"/>
      <c r="T2968" s="181"/>
      <c r="U2968" s="52"/>
      <c r="V2968" s="4295"/>
      <c r="W2968" s="3262"/>
      <c r="X2968" s="3262"/>
      <c r="Y2968" s="3265">
        <f t="shared" si="322"/>
        <v>632</v>
      </c>
      <c r="Z2968" s="3262">
        <f t="shared" si="322"/>
        <v>632</v>
      </c>
      <c r="AA2968" s="3262">
        <f t="shared" si="322"/>
        <v>632</v>
      </c>
      <c r="AB2968" s="3262">
        <v>632</v>
      </c>
      <c r="AC2968" s="3262">
        <f>$K$2899</f>
        <v>632</v>
      </c>
      <c r="AD2968" s="3262">
        <v>632</v>
      </c>
      <c r="AE2968" s="3262">
        <v>632</v>
      </c>
      <c r="AF2968" s="2236">
        <f t="shared" si="321"/>
        <v>632</v>
      </c>
      <c r="AG2968" s="1396"/>
      <c r="DG2968" s="573"/>
      <c r="DH2968" s="159"/>
      <c r="DI2968" s="1091"/>
      <c r="DJ2968" s="1187"/>
    </row>
    <row r="2969" spans="1:114" ht="15" hidden="1" customHeight="1" outlineLevel="1">
      <c r="A2969" s="453"/>
      <c r="C2969" s="51"/>
      <c r="D2969" s="4295"/>
      <c r="E2969" s="4295"/>
      <c r="F2969" s="4347" t="str">
        <f>$E$1688</f>
        <v>ASHP-SEER21-Replace_CAC_NonElectricHeat_ER1_MF</v>
      </c>
      <c r="G2969" s="4347"/>
      <c r="H2969" s="4347"/>
      <c r="I2969" s="4347"/>
      <c r="J2969" s="3471" t="str">
        <f>$C$1688</f>
        <v>353610_2024_12_</v>
      </c>
      <c r="K2969" s="3263">
        <v>869</v>
      </c>
      <c r="L2969" s="262"/>
      <c r="M2969" s="4376"/>
      <c r="P2969" s="261"/>
      <c r="Q2969" s="209"/>
      <c r="R2969" s="261"/>
      <c r="S2969" s="52"/>
      <c r="T2969" s="181"/>
      <c r="U2969" s="52"/>
      <c r="V2969" s="4295"/>
      <c r="W2969" s="3262"/>
      <c r="X2969" s="3262"/>
      <c r="Y2969" s="3265"/>
      <c r="Z2969" s="3262"/>
      <c r="AA2969" s="3262"/>
      <c r="AB2969" s="3262"/>
      <c r="AC2969" s="3265">
        <v>869</v>
      </c>
      <c r="AD2969" s="3262">
        <v>869</v>
      </c>
      <c r="AE2969" s="3262">
        <v>869</v>
      </c>
      <c r="AF2969" s="2236">
        <f t="shared" si="321"/>
        <v>869</v>
      </c>
      <c r="AG2969" s="1396"/>
      <c r="DG2969" s="573"/>
      <c r="DH2969" s="159"/>
      <c r="DI2969" s="1091"/>
      <c r="DJ2969" s="1187"/>
    </row>
    <row r="2970" spans="1:114" ht="15" hidden="1" customHeight="1" outlineLevel="1">
      <c r="A2970" s="453"/>
      <c r="C2970" s="51"/>
      <c r="D2970" s="4295"/>
      <c r="E2970" s="4295"/>
      <c r="F2970" s="4347" t="str">
        <f>$E$1690</f>
        <v>ASHP-SEER21-Replace_CAC_NonElectricHeat_ER2_MF</v>
      </c>
      <c r="G2970" s="4347"/>
      <c r="H2970" s="4347"/>
      <c r="I2970" s="4347"/>
      <c r="J2970" s="3471" t="str">
        <f>$C$1690</f>
        <v>353610_2024_12_</v>
      </c>
      <c r="K2970" s="3263">
        <v>869</v>
      </c>
      <c r="L2970" s="262"/>
      <c r="M2970" s="4376"/>
      <c r="P2970" s="261"/>
      <c r="Q2970" s="209"/>
      <c r="R2970" s="261"/>
      <c r="S2970" s="52"/>
      <c r="T2970" s="181"/>
      <c r="U2970" s="52"/>
      <c r="V2970" s="4295"/>
      <c r="W2970" s="3262"/>
      <c r="X2970" s="3262"/>
      <c r="Y2970" s="3265"/>
      <c r="Z2970" s="3262"/>
      <c r="AA2970" s="3262"/>
      <c r="AB2970" s="3262"/>
      <c r="AC2970" s="3265">
        <v>869</v>
      </c>
      <c r="AD2970" s="3262">
        <v>869</v>
      </c>
      <c r="AE2970" s="3262">
        <v>869</v>
      </c>
      <c r="AF2970" s="2236">
        <f t="shared" si="321"/>
        <v>869</v>
      </c>
      <c r="AG2970" s="1396"/>
      <c r="DG2970" s="573"/>
      <c r="DH2970" s="159"/>
      <c r="DI2970" s="1091"/>
      <c r="DJ2970" s="1187"/>
    </row>
    <row r="2971" spans="1:114" ht="15" hidden="1" customHeight="1" outlineLevel="1">
      <c r="A2971" s="453"/>
      <c r="C2971" s="51"/>
      <c r="D2971" s="4295"/>
      <c r="E2971" s="4295"/>
      <c r="F2971" s="4347" t="str">
        <f>$E$1692</f>
        <v>ASHP-SEER21-Replace_CAC_NonElectricHeat_ER1_MF_CompE</v>
      </c>
      <c r="G2971" s="4347"/>
      <c r="H2971" s="4347"/>
      <c r="I2971" s="4347"/>
      <c r="J2971" s="3471" t="str">
        <f>$C$1692</f>
        <v>353611_2024_12_</v>
      </c>
      <c r="K2971" s="3263">
        <v>632</v>
      </c>
      <c r="L2971" s="262"/>
      <c r="M2971" s="4376"/>
      <c r="P2971" s="261"/>
      <c r="Q2971" s="209"/>
      <c r="R2971" s="261"/>
      <c r="S2971" s="52"/>
      <c r="T2971" s="181"/>
      <c r="U2971" s="52"/>
      <c r="V2971" s="4295"/>
      <c r="W2971" s="3262"/>
      <c r="X2971" s="3262"/>
      <c r="Y2971" s="3265"/>
      <c r="Z2971" s="3262"/>
      <c r="AA2971" s="3262"/>
      <c r="AB2971" s="3262"/>
      <c r="AC2971" s="3265">
        <f>$K$2899</f>
        <v>632</v>
      </c>
      <c r="AD2971" s="3262">
        <v>632</v>
      </c>
      <c r="AE2971" s="3262">
        <v>632</v>
      </c>
      <c r="AF2971" s="2236">
        <f t="shared" si="321"/>
        <v>632</v>
      </c>
      <c r="AG2971" s="1396"/>
      <c r="DG2971" s="573"/>
      <c r="DH2971" s="159"/>
      <c r="DI2971" s="1091"/>
      <c r="DJ2971" s="1187"/>
    </row>
    <row r="2972" spans="1:114" ht="15" hidden="1" customHeight="1" outlineLevel="1">
      <c r="A2972" s="453"/>
      <c r="C2972" s="51"/>
      <c r="D2972" s="4295"/>
      <c r="E2972" s="4295"/>
      <c r="F2972" s="4347" t="str">
        <f>$E$1694</f>
        <v>ASHP-SEER21-Replace_CAC_NonElectricHeat_ER2_MF_CompE</v>
      </c>
      <c r="G2972" s="4347"/>
      <c r="H2972" s="4347"/>
      <c r="I2972" s="4347"/>
      <c r="J2972" s="3471" t="str">
        <f>$C$1694</f>
        <v>353611_2024_12_</v>
      </c>
      <c r="K2972" s="3263">
        <v>632</v>
      </c>
      <c r="L2972" s="262"/>
      <c r="M2972" s="4376"/>
      <c r="P2972" s="261"/>
      <c r="Q2972" s="209"/>
      <c r="R2972" s="261"/>
      <c r="S2972" s="52"/>
      <c r="T2972" s="181"/>
      <c r="U2972" s="52"/>
      <c r="V2972" s="4295"/>
      <c r="W2972" s="3262"/>
      <c r="X2972" s="3262"/>
      <c r="Y2972" s="3265"/>
      <c r="Z2972" s="3262"/>
      <c r="AA2972" s="3262"/>
      <c r="AB2972" s="3262"/>
      <c r="AC2972" s="3265">
        <f>$K$2899</f>
        <v>632</v>
      </c>
      <c r="AD2972" s="3262">
        <v>632</v>
      </c>
      <c r="AE2972" s="3262">
        <v>632</v>
      </c>
      <c r="AF2972" s="2236">
        <f t="shared" si="321"/>
        <v>632</v>
      </c>
      <c r="AG2972" s="1396"/>
      <c r="DG2972" s="573"/>
      <c r="DH2972" s="159"/>
      <c r="DI2972" s="1091"/>
      <c r="DJ2972" s="1187"/>
    </row>
    <row r="2973" spans="1:114" ht="15" hidden="1" customHeight="1" outlineLevel="1">
      <c r="A2973" s="453"/>
      <c r="C2973" s="51"/>
      <c r="D2973" s="4295"/>
      <c r="E2973" s="4295"/>
      <c r="F2973" s="4307" t="str">
        <f>$E$1696</f>
        <v>ASHP-SEER21-Replace_CAC_ElectricHeat_ROF_SF</v>
      </c>
      <c r="G2973" s="4307"/>
      <c r="H2973" s="4307"/>
      <c r="I2973" s="4307"/>
      <c r="J2973" s="1029" t="str">
        <f>$C$1696</f>
        <v>353650_2024_12_</v>
      </c>
      <c r="K2973" s="1790">
        <v>869</v>
      </c>
      <c r="L2973" s="262"/>
      <c r="M2973" s="4376"/>
      <c r="P2973" s="261"/>
      <c r="Q2973" s="209"/>
      <c r="R2973" s="261"/>
      <c r="S2973" s="52"/>
      <c r="T2973" s="181"/>
      <c r="U2973" s="52"/>
      <c r="V2973" s="4295"/>
      <c r="W2973" s="1396">
        <v>869</v>
      </c>
      <c r="X2973" s="1396">
        <v>869</v>
      </c>
      <c r="Y2973" s="1396">
        <v>869</v>
      </c>
      <c r="Z2973" s="1396">
        <v>869</v>
      </c>
      <c r="AA2973" s="1396">
        <v>869</v>
      </c>
      <c r="AB2973" s="1396">
        <v>869</v>
      </c>
      <c r="AC2973" s="1396">
        <v>869</v>
      </c>
      <c r="AD2973" s="1396">
        <v>869</v>
      </c>
      <c r="AE2973" s="1396">
        <v>869</v>
      </c>
      <c r="AF2973" s="271">
        <f t="shared" si="321"/>
        <v>869</v>
      </c>
      <c r="AG2973" s="1396"/>
      <c r="DG2973" s="573"/>
      <c r="DH2973" s="159"/>
      <c r="DI2973" s="1091"/>
      <c r="DJ2973" s="1187"/>
    </row>
    <row r="2974" spans="1:114" ht="15" hidden="1" customHeight="1" outlineLevel="1">
      <c r="A2974" s="453"/>
      <c r="C2974" s="51"/>
      <c r="D2974" s="4295"/>
      <c r="E2974" s="4295"/>
      <c r="F2974" s="4307" t="str">
        <f>$E$1698</f>
        <v>ASHP-SEER21-Replace_CAC_NonElectricHeat_ROF_SF</v>
      </c>
      <c r="G2974" s="4307"/>
      <c r="H2974" s="4307"/>
      <c r="I2974" s="4307"/>
      <c r="J2974" s="1029" t="str">
        <f>$C$1698</f>
        <v>353660_2024_12_</v>
      </c>
      <c r="K2974" s="1790">
        <v>869</v>
      </c>
      <c r="L2974" s="262"/>
      <c r="M2974" s="4376"/>
      <c r="P2974" s="261"/>
      <c r="Q2974" s="209"/>
      <c r="R2974" s="261"/>
      <c r="S2974" s="52"/>
      <c r="T2974" s="181"/>
      <c r="U2974" s="52"/>
      <c r="V2974" s="4295"/>
      <c r="W2974" s="1396"/>
      <c r="X2974" s="1396"/>
      <c r="Y2974" s="1396"/>
      <c r="Z2974" s="1396"/>
      <c r="AA2974" s="1396"/>
      <c r="AB2974" s="1396"/>
      <c r="AC2974" s="1396"/>
      <c r="AD2974" s="833">
        <v>869</v>
      </c>
      <c r="AE2974" s="1396">
        <v>869</v>
      </c>
      <c r="AF2974" s="271">
        <f t="shared" si="321"/>
        <v>869</v>
      </c>
      <c r="AG2974" s="1396"/>
      <c r="DG2974" s="573"/>
      <c r="DH2974" s="159"/>
      <c r="DI2974" s="1091"/>
      <c r="DJ2974" s="1187"/>
    </row>
    <row r="2975" spans="1:114" ht="15" hidden="1" customHeight="1" outlineLevel="1">
      <c r="A2975" s="453"/>
      <c r="C2975" s="51"/>
      <c r="D2975" s="4295"/>
      <c r="E2975" s="4295"/>
      <c r="F2975" s="4347" t="str">
        <f>$E$1700</f>
        <v>ASHP-SEER21+-Replace_CAC_ElectricHeat_ROF_MF</v>
      </c>
      <c r="G2975" s="4347"/>
      <c r="H2975" s="4347"/>
      <c r="I2975" s="4347"/>
      <c r="J2975" s="3471" t="str">
        <f>$C$1700</f>
        <v>353700_2024_12_</v>
      </c>
      <c r="K2975" s="3263">
        <v>869</v>
      </c>
      <c r="L2975" s="262"/>
      <c r="M2975" s="4376"/>
      <c r="S2975" s="52"/>
      <c r="T2975" s="52"/>
      <c r="U2975" s="52"/>
      <c r="V2975" s="4295"/>
      <c r="W2975" s="3262">
        <v>869</v>
      </c>
      <c r="X2975" s="3262">
        <v>869</v>
      </c>
      <c r="Y2975" s="3262">
        <v>869</v>
      </c>
      <c r="Z2975" s="3262">
        <v>869</v>
      </c>
      <c r="AA2975" s="3262">
        <v>869</v>
      </c>
      <c r="AB2975" s="3262">
        <v>869</v>
      </c>
      <c r="AC2975" s="3262">
        <v>869</v>
      </c>
      <c r="AD2975" s="3262">
        <v>869</v>
      </c>
      <c r="AE2975" s="3262">
        <v>869</v>
      </c>
      <c r="AF2975" s="2236">
        <f t="shared" si="321"/>
        <v>869</v>
      </c>
      <c r="AG2975" s="1396"/>
      <c r="DG2975" s="573"/>
      <c r="DH2975" s="159"/>
      <c r="DI2975" s="1091"/>
      <c r="DJ2975" s="1187"/>
    </row>
    <row r="2976" spans="1:114" ht="15" hidden="1" customHeight="1" outlineLevel="1">
      <c r="A2976" s="453"/>
      <c r="C2976" s="51"/>
      <c r="D2976" s="4295"/>
      <c r="E2976" s="4295"/>
      <c r="F2976" s="4347" t="str">
        <f>$E$1702</f>
        <v>ASHP-SEER21+-Replace_CAC_ElectricHeat_ROF_MF_CompE</v>
      </c>
      <c r="G2976" s="4347"/>
      <c r="H2976" s="4347"/>
      <c r="I2976" s="4347"/>
      <c r="J2976" s="3471" t="str">
        <f>$C$1702</f>
        <v>353701_2024_12_</v>
      </c>
      <c r="K2976" s="3263">
        <v>632</v>
      </c>
      <c r="L2976" s="262"/>
      <c r="M2976" s="4376"/>
      <c r="S2976" s="52"/>
      <c r="T2976" s="52"/>
      <c r="U2976" s="52"/>
      <c r="V2976" s="4295"/>
      <c r="W2976" s="3262"/>
      <c r="X2976" s="3262"/>
      <c r="Y2976" s="3265">
        <v>632</v>
      </c>
      <c r="Z2976" s="3262">
        <v>632</v>
      </c>
      <c r="AA2976" s="3262">
        <v>632</v>
      </c>
      <c r="AB2976" s="3262">
        <v>632</v>
      </c>
      <c r="AC2976" s="3262">
        <v>632</v>
      </c>
      <c r="AD2976" s="3262">
        <v>632</v>
      </c>
      <c r="AE2976" s="3262">
        <v>632</v>
      </c>
      <c r="AF2976" s="2236">
        <f t="shared" si="321"/>
        <v>632</v>
      </c>
      <c r="AG2976" s="1396"/>
      <c r="DG2976" s="573"/>
      <c r="DH2976" s="159"/>
      <c r="DI2976" s="1091"/>
      <c r="DJ2976" s="1187"/>
    </row>
    <row r="2977" spans="1:114" ht="15" hidden="1" customHeight="1" outlineLevel="1">
      <c r="A2977" s="453"/>
      <c r="C2977" s="51"/>
      <c r="D2977" s="4295"/>
      <c r="E2977" s="4295"/>
      <c r="F2977" s="4347" t="str">
        <f>$E$1704</f>
        <v>ASHP-SEER21+-Replace_CAC_NonElectricHeat_ROF_MF</v>
      </c>
      <c r="G2977" s="4347"/>
      <c r="H2977" s="4347"/>
      <c r="I2977" s="4347"/>
      <c r="J2977" s="3471" t="str">
        <f>$C$1704</f>
        <v>353710_2024_12_</v>
      </c>
      <c r="K2977" s="3263">
        <v>869</v>
      </c>
      <c r="L2977" s="262"/>
      <c r="M2977" s="4376"/>
      <c r="S2977" s="52"/>
      <c r="T2977" s="52"/>
      <c r="U2977" s="52"/>
      <c r="V2977" s="4295"/>
      <c r="W2977" s="3262"/>
      <c r="X2977" s="3262"/>
      <c r="Y2977" s="3265"/>
      <c r="Z2977" s="3262"/>
      <c r="AA2977" s="3262"/>
      <c r="AB2977" s="3262"/>
      <c r="AC2977" s="3265">
        <v>869</v>
      </c>
      <c r="AD2977" s="3262">
        <v>869</v>
      </c>
      <c r="AE2977" s="3262">
        <v>869</v>
      </c>
      <c r="AF2977" s="2236">
        <f t="shared" si="321"/>
        <v>869</v>
      </c>
      <c r="AG2977" s="1396"/>
      <c r="DG2977" s="573"/>
      <c r="DH2977" s="159"/>
      <c r="DI2977" s="1091"/>
      <c r="DJ2977" s="1187"/>
    </row>
    <row r="2978" spans="1:114" ht="15" hidden="1" customHeight="1" outlineLevel="1">
      <c r="A2978" s="453"/>
      <c r="C2978" s="51"/>
      <c r="D2978" s="4295"/>
      <c r="E2978" s="4295"/>
      <c r="F2978" s="4347" t="str">
        <f>$E$1706</f>
        <v>ASHP-SEER21+-Replace_CAC_NonElectricHeat_ROF_MF_CompE</v>
      </c>
      <c r="G2978" s="4347"/>
      <c r="H2978" s="4347"/>
      <c r="I2978" s="4347"/>
      <c r="J2978" s="3471" t="str">
        <f>$C$1706</f>
        <v>353711_2024_12_</v>
      </c>
      <c r="K2978" s="3263">
        <v>632</v>
      </c>
      <c r="L2978" s="262"/>
      <c r="M2978" s="4376"/>
      <c r="S2978" s="52"/>
      <c r="T2978" s="52"/>
      <c r="U2978" s="52"/>
      <c r="V2978" s="4295"/>
      <c r="W2978" s="3262"/>
      <c r="X2978" s="3262"/>
      <c r="Y2978" s="3265"/>
      <c r="Z2978" s="3262"/>
      <c r="AA2978" s="3262"/>
      <c r="AB2978" s="3262"/>
      <c r="AC2978" s="3265">
        <v>632</v>
      </c>
      <c r="AD2978" s="3262">
        <v>632</v>
      </c>
      <c r="AE2978" s="3262">
        <v>632</v>
      </c>
      <c r="AF2978" s="2236">
        <f t="shared" si="321"/>
        <v>632</v>
      </c>
      <c r="AG2978" s="1396"/>
      <c r="DG2978" s="573"/>
      <c r="DH2978" s="159"/>
      <c r="DI2978" s="1091"/>
      <c r="DJ2978" s="1187"/>
    </row>
    <row r="2979" spans="1:114" ht="15" hidden="1" customHeight="1" outlineLevel="1">
      <c r="A2979" s="453"/>
      <c r="C2979" s="51"/>
      <c r="D2979" s="4295"/>
      <c r="E2979" s="4295"/>
      <c r="F2979" s="4307" t="str">
        <f>$E$1708</f>
        <v>ASHP-SEER17_ER1_SF</v>
      </c>
      <c r="G2979" s="4307"/>
      <c r="H2979" s="4307"/>
      <c r="I2979" s="4307"/>
      <c r="J2979" s="1029" t="str">
        <f>$C$1708</f>
        <v>353750_2024_12_</v>
      </c>
      <c r="K2979" s="1790">
        <v>869</v>
      </c>
      <c r="L2979" s="262"/>
      <c r="M2979" s="4376"/>
      <c r="P2979" s="261"/>
      <c r="Q2979" s="209"/>
      <c r="R2979" s="261"/>
      <c r="S2979" s="52"/>
      <c r="T2979" s="181"/>
      <c r="U2979" s="52"/>
      <c r="V2979" s="4295"/>
      <c r="W2979" s="1396">
        <v>869</v>
      </c>
      <c r="X2979" s="1396">
        <v>869</v>
      </c>
      <c r="Y2979" s="1396">
        <v>869</v>
      </c>
      <c r="Z2979" s="1396">
        <v>869</v>
      </c>
      <c r="AA2979" s="1396">
        <v>869</v>
      </c>
      <c r="AB2979" s="1396">
        <v>869</v>
      </c>
      <c r="AC2979" s="1396">
        <v>869</v>
      </c>
      <c r="AD2979" s="1396">
        <v>869</v>
      </c>
      <c r="AE2979" s="1396">
        <v>869</v>
      </c>
      <c r="AF2979" s="271">
        <f t="shared" si="321"/>
        <v>869</v>
      </c>
      <c r="AG2979" s="1396"/>
      <c r="DG2979" s="573"/>
      <c r="DH2979" s="159"/>
      <c r="DI2979" s="1091"/>
      <c r="DJ2979" s="1187"/>
    </row>
    <row r="2980" spans="1:114" ht="15" hidden="1" customHeight="1" outlineLevel="1">
      <c r="A2980" s="453"/>
      <c r="C2980" s="51"/>
      <c r="D2980" s="4295"/>
      <c r="E2980" s="4295"/>
      <c r="F2980" s="4307" t="str">
        <f>$E$1710</f>
        <v>ASHP-SEER17_ER2_SF</v>
      </c>
      <c r="G2980" s="4307"/>
      <c r="H2980" s="4307"/>
      <c r="I2980" s="4307"/>
      <c r="J2980" s="1029" t="str">
        <f>$C$1710</f>
        <v>353750_2024_12_</v>
      </c>
      <c r="K2980" s="1790">
        <v>869</v>
      </c>
      <c r="L2980" s="262"/>
      <c r="M2980" s="4376"/>
      <c r="S2980" s="52"/>
      <c r="T2980" s="52"/>
      <c r="U2980" s="52"/>
      <c r="V2980" s="4295"/>
      <c r="W2980" s="1396">
        <v>869</v>
      </c>
      <c r="X2980" s="1396">
        <v>869</v>
      </c>
      <c r="Y2980" s="1396">
        <v>869</v>
      </c>
      <c r="Z2980" s="1396">
        <v>869</v>
      </c>
      <c r="AA2980" s="1396">
        <v>869</v>
      </c>
      <c r="AB2980" s="1396">
        <v>869</v>
      </c>
      <c r="AC2980" s="1396">
        <v>869</v>
      </c>
      <c r="AD2980" s="1396">
        <v>869</v>
      </c>
      <c r="AE2980" s="1396">
        <v>869</v>
      </c>
      <c r="AF2980" s="271">
        <f t="shared" si="321"/>
        <v>869</v>
      </c>
      <c r="AG2980" s="1396"/>
      <c r="DG2980" s="573"/>
      <c r="DH2980" s="159"/>
      <c r="DI2980" s="1091"/>
      <c r="DJ2980" s="1187"/>
    </row>
    <row r="2981" spans="1:114" ht="15" hidden="1" customHeight="1" outlineLevel="1">
      <c r="A2981" s="453"/>
      <c r="C2981" s="51"/>
      <c r="D2981" s="4295"/>
      <c r="E2981" s="4295"/>
      <c r="F2981" s="4307" t="str">
        <f>$E$1712</f>
        <v>ASHP-SEER17_ROF_SF</v>
      </c>
      <c r="G2981" s="4307"/>
      <c r="H2981" s="4307"/>
      <c r="I2981" s="4307"/>
      <c r="J2981" s="1029" t="str">
        <f>$C$1712</f>
        <v>353800_2024_12_</v>
      </c>
      <c r="K2981" s="1790">
        <v>869</v>
      </c>
      <c r="L2981" s="262"/>
      <c r="M2981" s="4376"/>
      <c r="P2981" s="261"/>
      <c r="Q2981" s="209"/>
      <c r="R2981" s="261"/>
      <c r="S2981" s="52"/>
      <c r="T2981" s="181"/>
      <c r="U2981" s="52"/>
      <c r="V2981" s="4295"/>
      <c r="W2981" s="1396">
        <v>869</v>
      </c>
      <c r="X2981" s="1396">
        <v>869</v>
      </c>
      <c r="Y2981" s="1396">
        <v>869</v>
      </c>
      <c r="Z2981" s="1396">
        <v>869</v>
      </c>
      <c r="AA2981" s="1396">
        <v>869</v>
      </c>
      <c r="AB2981" s="1396">
        <v>869</v>
      </c>
      <c r="AC2981" s="1396">
        <v>869</v>
      </c>
      <c r="AD2981" s="1396">
        <v>869</v>
      </c>
      <c r="AE2981" s="1396">
        <v>869</v>
      </c>
      <c r="AF2981" s="271">
        <f t="shared" si="321"/>
        <v>869</v>
      </c>
      <c r="AG2981" s="1396"/>
      <c r="DG2981" s="573"/>
      <c r="DH2981" s="159"/>
      <c r="DI2981" s="1091"/>
      <c r="DJ2981" s="1187"/>
    </row>
    <row r="2982" spans="1:114" ht="15" hidden="1" customHeight="1" outlineLevel="1">
      <c r="A2982" s="453"/>
      <c r="C2982" s="51"/>
      <c r="D2982" s="4295"/>
      <c r="E2982" s="4295"/>
      <c r="F2982" s="4307" t="str">
        <f>$E$1714</f>
        <v>ASHP-SEER18_ER1_SF</v>
      </c>
      <c r="G2982" s="4307"/>
      <c r="H2982" s="4307"/>
      <c r="I2982" s="4307"/>
      <c r="J2982" s="1029" t="str">
        <f>$C$1714</f>
        <v>353850_2024_12_</v>
      </c>
      <c r="K2982" s="1790">
        <v>869</v>
      </c>
      <c r="L2982" s="262"/>
      <c r="M2982" s="4376"/>
      <c r="S2982" s="52"/>
      <c r="T2982" s="52"/>
      <c r="U2982" s="52"/>
      <c r="V2982" s="4295"/>
      <c r="W2982" s="1396">
        <v>869</v>
      </c>
      <c r="X2982" s="1396">
        <v>869</v>
      </c>
      <c r="Y2982" s="1396">
        <v>869</v>
      </c>
      <c r="Z2982" s="1396">
        <v>869</v>
      </c>
      <c r="AA2982" s="1396">
        <v>869</v>
      </c>
      <c r="AB2982" s="1396">
        <v>869</v>
      </c>
      <c r="AC2982" s="1396">
        <v>869</v>
      </c>
      <c r="AD2982" s="1396">
        <v>869</v>
      </c>
      <c r="AE2982" s="1396">
        <v>869</v>
      </c>
      <c r="AF2982" s="271">
        <f t="shared" si="321"/>
        <v>869</v>
      </c>
      <c r="AG2982" s="1396"/>
      <c r="DG2982" s="573"/>
      <c r="DH2982" s="159"/>
      <c r="DI2982" s="1091"/>
      <c r="DJ2982" s="1187"/>
    </row>
    <row r="2983" spans="1:114" ht="15" hidden="1" customHeight="1" outlineLevel="1">
      <c r="A2983" s="453"/>
      <c r="C2983" s="51"/>
      <c r="D2983" s="4295"/>
      <c r="E2983" s="4295"/>
      <c r="F2983" s="4307" t="str">
        <f>$E$1716</f>
        <v>ASHP-SEER18_ER2_SF</v>
      </c>
      <c r="G2983" s="4307"/>
      <c r="H2983" s="4307"/>
      <c r="I2983" s="4307"/>
      <c r="J2983" s="1029" t="str">
        <f>$C$1716</f>
        <v>353850_2024_12_</v>
      </c>
      <c r="K2983" s="1790">
        <v>869</v>
      </c>
      <c r="L2983" s="262"/>
      <c r="M2983" s="4376"/>
      <c r="S2983" s="52"/>
      <c r="T2983" s="52"/>
      <c r="U2983" s="52"/>
      <c r="V2983" s="4295"/>
      <c r="W2983" s="1396">
        <v>869</v>
      </c>
      <c r="X2983" s="1396">
        <v>869</v>
      </c>
      <c r="Y2983" s="1396">
        <v>869</v>
      </c>
      <c r="Z2983" s="1396">
        <v>869</v>
      </c>
      <c r="AA2983" s="1396">
        <v>869</v>
      </c>
      <c r="AB2983" s="1396">
        <v>869</v>
      </c>
      <c r="AC2983" s="1396">
        <v>869</v>
      </c>
      <c r="AD2983" s="1396">
        <v>869</v>
      </c>
      <c r="AE2983" s="1396">
        <v>869</v>
      </c>
      <c r="AF2983" s="271">
        <f t="shared" si="321"/>
        <v>869</v>
      </c>
      <c r="AG2983" s="1396"/>
      <c r="DG2983" s="573"/>
      <c r="DH2983" s="159"/>
      <c r="DI2983" s="1091"/>
      <c r="DJ2983" s="1187"/>
    </row>
    <row r="2984" spans="1:114" ht="15" hidden="1" customHeight="1" outlineLevel="1">
      <c r="A2984" s="453"/>
      <c r="C2984" s="51"/>
      <c r="D2984" s="4295"/>
      <c r="E2984" s="4295"/>
      <c r="F2984" s="4307" t="str">
        <f>$E$1718</f>
        <v>ASHP-SEER18_ROF_SF</v>
      </c>
      <c r="G2984" s="4307"/>
      <c r="H2984" s="4307"/>
      <c r="I2984" s="4307"/>
      <c r="J2984" s="1029" t="str">
        <f>$C$1718</f>
        <v>353950_2024_12_</v>
      </c>
      <c r="K2984" s="1790">
        <v>869</v>
      </c>
      <c r="L2984" s="262"/>
      <c r="M2984" s="4376"/>
      <c r="P2984" s="261"/>
      <c r="Q2984" s="209"/>
      <c r="R2984" s="261"/>
      <c r="S2984" s="52"/>
      <c r="T2984" s="181"/>
      <c r="U2984" s="52"/>
      <c r="V2984" s="4295"/>
      <c r="W2984" s="1396">
        <v>869</v>
      </c>
      <c r="X2984" s="1396">
        <v>869</v>
      </c>
      <c r="Y2984" s="1396">
        <v>869</v>
      </c>
      <c r="Z2984" s="1396">
        <v>869</v>
      </c>
      <c r="AA2984" s="1396">
        <v>869</v>
      </c>
      <c r="AB2984" s="1396">
        <v>869</v>
      </c>
      <c r="AC2984" s="1396">
        <v>869</v>
      </c>
      <c r="AD2984" s="1396">
        <v>869</v>
      </c>
      <c r="AE2984" s="1396">
        <v>869</v>
      </c>
      <c r="AF2984" s="271">
        <f t="shared" si="321"/>
        <v>869</v>
      </c>
      <c r="AG2984" s="1396"/>
      <c r="DG2984" s="573"/>
      <c r="DH2984" s="159"/>
      <c r="DI2984" s="1091"/>
      <c r="DJ2984" s="1187"/>
    </row>
    <row r="2985" spans="1:114" ht="15" hidden="1" customHeight="1" outlineLevel="1">
      <c r="A2985" s="453"/>
      <c r="C2985" s="51"/>
      <c r="D2985" s="4295"/>
      <c r="E2985" s="4295"/>
      <c r="F2985" s="4307" t="str">
        <f>$E$1720</f>
        <v>ASHP-SEER19_ER1_SF</v>
      </c>
      <c r="G2985" s="4307"/>
      <c r="H2985" s="4307"/>
      <c r="I2985" s="4307"/>
      <c r="J2985" s="1029" t="str">
        <f>$C$1720</f>
        <v>354000_2024_12_</v>
      </c>
      <c r="K2985" s="1790">
        <v>869</v>
      </c>
      <c r="L2985" s="262"/>
      <c r="M2985" s="4376"/>
      <c r="S2985" s="52"/>
      <c r="T2985" s="52"/>
      <c r="U2985" s="52"/>
      <c r="V2985" s="4295"/>
      <c r="W2985" s="1396">
        <v>869</v>
      </c>
      <c r="X2985" s="1396">
        <v>869</v>
      </c>
      <c r="Y2985" s="1396">
        <v>869</v>
      </c>
      <c r="Z2985" s="1396">
        <v>869</v>
      </c>
      <c r="AA2985" s="1396">
        <v>869</v>
      </c>
      <c r="AB2985" s="1396">
        <v>869</v>
      </c>
      <c r="AC2985" s="1396">
        <v>869</v>
      </c>
      <c r="AD2985" s="1396">
        <v>869</v>
      </c>
      <c r="AE2985" s="1396">
        <v>869</v>
      </c>
      <c r="AF2985" s="271">
        <f t="shared" si="321"/>
        <v>869</v>
      </c>
      <c r="AG2985" s="1396"/>
      <c r="DG2985" s="573"/>
      <c r="DH2985" s="159"/>
      <c r="DI2985" s="1091"/>
      <c r="DJ2985" s="1187"/>
    </row>
    <row r="2986" spans="1:114" ht="15" hidden="1" customHeight="1" outlineLevel="1">
      <c r="A2986" s="453"/>
      <c r="C2986" s="51"/>
      <c r="D2986" s="4295"/>
      <c r="E2986" s="4295"/>
      <c r="F2986" s="4307" t="str">
        <f>$E$1722</f>
        <v>ASHP-SEER19_ER2_SF</v>
      </c>
      <c r="G2986" s="4307"/>
      <c r="H2986" s="4307"/>
      <c r="I2986" s="4307"/>
      <c r="J2986" s="1029" t="str">
        <f>$C$1722</f>
        <v>354000_2024_12_</v>
      </c>
      <c r="K2986" s="1790">
        <v>869</v>
      </c>
      <c r="L2986" s="262"/>
      <c r="M2986" s="4376"/>
      <c r="S2986" s="52"/>
      <c r="T2986" s="52"/>
      <c r="U2986" s="52"/>
      <c r="V2986" s="4295"/>
      <c r="W2986" s="1396">
        <v>869</v>
      </c>
      <c r="X2986" s="1396">
        <v>869</v>
      </c>
      <c r="Y2986" s="1396">
        <v>869</v>
      </c>
      <c r="Z2986" s="1396">
        <v>869</v>
      </c>
      <c r="AA2986" s="1396">
        <v>869</v>
      </c>
      <c r="AB2986" s="1396">
        <v>869</v>
      </c>
      <c r="AC2986" s="1396">
        <v>869</v>
      </c>
      <c r="AD2986" s="1396">
        <v>869</v>
      </c>
      <c r="AE2986" s="1396">
        <v>869</v>
      </c>
      <c r="AF2986" s="271">
        <f t="shared" si="321"/>
        <v>869</v>
      </c>
      <c r="AG2986" s="1396"/>
      <c r="DG2986" s="573"/>
      <c r="DH2986" s="159"/>
      <c r="DI2986" s="1091"/>
      <c r="DJ2986" s="1187"/>
    </row>
    <row r="2987" spans="1:114" ht="15" hidden="1" customHeight="1" outlineLevel="1">
      <c r="A2987" s="453"/>
      <c r="C2987" s="51"/>
      <c r="D2987" s="4295"/>
      <c r="E2987" s="4295"/>
      <c r="F2987" s="4307" t="str">
        <f>$E$1724</f>
        <v>ASHP-SEER19_ROF_SF</v>
      </c>
      <c r="G2987" s="4307"/>
      <c r="H2987" s="4307"/>
      <c r="I2987" s="4307"/>
      <c r="J2987" s="1029" t="str">
        <f>$C$1724</f>
        <v>354050_2024_12_</v>
      </c>
      <c r="K2987" s="1790">
        <v>869</v>
      </c>
      <c r="L2987" s="262"/>
      <c r="M2987" s="4376"/>
      <c r="P2987" s="261"/>
      <c r="Q2987" s="209"/>
      <c r="R2987" s="261"/>
      <c r="S2987" s="52"/>
      <c r="T2987" s="181"/>
      <c r="U2987" s="52"/>
      <c r="V2987" s="4295"/>
      <c r="W2987" s="1396">
        <v>869</v>
      </c>
      <c r="X2987" s="1396">
        <v>869</v>
      </c>
      <c r="Y2987" s="1396">
        <v>869</v>
      </c>
      <c r="Z2987" s="1396">
        <v>869</v>
      </c>
      <c r="AA2987" s="1396">
        <v>869</v>
      </c>
      <c r="AB2987" s="1396">
        <v>869</v>
      </c>
      <c r="AC2987" s="1396">
        <v>869</v>
      </c>
      <c r="AD2987" s="1396">
        <v>869</v>
      </c>
      <c r="AE2987" s="1396">
        <v>869</v>
      </c>
      <c r="AF2987" s="271">
        <f t="shared" si="321"/>
        <v>869</v>
      </c>
      <c r="AG2987" s="1396"/>
      <c r="DG2987" s="573"/>
      <c r="DH2987" s="159"/>
      <c r="DI2987" s="1091"/>
      <c r="DJ2987" s="1187"/>
    </row>
    <row r="2988" spans="1:114" ht="15" hidden="1" customHeight="1" outlineLevel="1">
      <c r="A2988" s="453"/>
      <c r="C2988" s="51"/>
      <c r="D2988" s="4295"/>
      <c r="E2988" s="4295"/>
      <c r="F2988" s="4307" t="str">
        <f>$E$1726</f>
        <v>ASHP-SEER17-Replace_CAC_ElectricHeat_ER1_SF</v>
      </c>
      <c r="G2988" s="4307"/>
      <c r="H2988" s="4307"/>
      <c r="I2988" s="4307"/>
      <c r="J2988" s="1029" t="str">
        <f>$C$1726</f>
        <v>354100_2024_12_</v>
      </c>
      <c r="K2988" s="1790">
        <v>869</v>
      </c>
      <c r="L2988" s="262"/>
      <c r="M2988" s="4376"/>
      <c r="P2988" s="261"/>
      <c r="Q2988" s="209"/>
      <c r="R2988" s="261"/>
      <c r="S2988" s="52"/>
      <c r="T2988" s="181"/>
      <c r="U2988" s="52"/>
      <c r="V2988" s="4295"/>
      <c r="W2988" s="1396">
        <v>869</v>
      </c>
      <c r="X2988" s="1396">
        <v>869</v>
      </c>
      <c r="Y2988" s="1396">
        <v>869</v>
      </c>
      <c r="Z2988" s="1396">
        <v>869</v>
      </c>
      <c r="AA2988" s="1396">
        <v>869</v>
      </c>
      <c r="AB2988" s="1396">
        <v>869</v>
      </c>
      <c r="AC2988" s="1396">
        <v>869</v>
      </c>
      <c r="AD2988" s="1396">
        <v>869</v>
      </c>
      <c r="AE2988" s="1396">
        <v>869</v>
      </c>
      <c r="AF2988" s="271">
        <f t="shared" si="321"/>
        <v>869</v>
      </c>
      <c r="AG2988" s="1396"/>
      <c r="DG2988" s="573"/>
      <c r="DH2988" s="159"/>
      <c r="DI2988" s="1091"/>
      <c r="DJ2988" s="1187"/>
    </row>
    <row r="2989" spans="1:114" ht="15" hidden="1" customHeight="1" outlineLevel="1">
      <c r="A2989" s="453"/>
      <c r="C2989" s="51"/>
      <c r="D2989" s="4295"/>
      <c r="E2989" s="4295"/>
      <c r="F2989" s="4307" t="str">
        <f>$E$1728</f>
        <v>ASHP-SEER17-Replace_CAC_ElectricHeat_ER2_SF</v>
      </c>
      <c r="G2989" s="4307"/>
      <c r="H2989" s="4307"/>
      <c r="I2989" s="4307"/>
      <c r="J2989" s="1029" t="str">
        <f>$C$1728</f>
        <v>354100_2024_12_</v>
      </c>
      <c r="K2989" s="1790">
        <v>869</v>
      </c>
      <c r="L2989" s="262"/>
      <c r="M2989" s="4376"/>
      <c r="P2989" s="261"/>
      <c r="Q2989" s="209"/>
      <c r="R2989" s="261"/>
      <c r="S2989" s="52"/>
      <c r="T2989" s="181"/>
      <c r="U2989" s="52"/>
      <c r="V2989" s="4295"/>
      <c r="W2989" s="1396">
        <v>869</v>
      </c>
      <c r="X2989" s="1396">
        <v>869</v>
      </c>
      <c r="Y2989" s="1396">
        <v>869</v>
      </c>
      <c r="Z2989" s="1396">
        <v>869</v>
      </c>
      <c r="AA2989" s="1396">
        <v>869</v>
      </c>
      <c r="AB2989" s="1396">
        <v>869</v>
      </c>
      <c r="AC2989" s="1396">
        <v>869</v>
      </c>
      <c r="AD2989" s="1396">
        <v>869</v>
      </c>
      <c r="AE2989" s="1396">
        <v>869</v>
      </c>
      <c r="AF2989" s="271">
        <f t="shared" si="321"/>
        <v>869</v>
      </c>
      <c r="AG2989" s="1396"/>
      <c r="DG2989" s="573"/>
      <c r="DH2989" s="159"/>
      <c r="DI2989" s="1091"/>
      <c r="DJ2989" s="1187"/>
    </row>
    <row r="2990" spans="1:114" ht="15" hidden="1" customHeight="1" outlineLevel="1">
      <c r="A2990" s="453"/>
      <c r="C2990" s="51"/>
      <c r="D2990" s="4295"/>
      <c r="E2990" s="4295"/>
      <c r="F2990" s="4307" t="str">
        <f>$E$1730</f>
        <v>ASHP-SEER17-Replace_CAC_NonElectricHeat_ER1_SF</v>
      </c>
      <c r="G2990" s="4307"/>
      <c r="H2990" s="4307"/>
      <c r="I2990" s="4307"/>
      <c r="J2990" s="1029" t="str">
        <f>$C$1730</f>
        <v>354110_2024_12_</v>
      </c>
      <c r="K2990" s="1790">
        <v>869</v>
      </c>
      <c r="L2990" s="262"/>
      <c r="M2990" s="4376"/>
      <c r="P2990" s="261"/>
      <c r="Q2990" s="209"/>
      <c r="R2990" s="261"/>
      <c r="S2990" s="52"/>
      <c r="T2990" s="181"/>
      <c r="U2990" s="52"/>
      <c r="V2990" s="4295"/>
      <c r="W2990" s="1396"/>
      <c r="X2990" s="1396"/>
      <c r="Y2990" s="1396"/>
      <c r="Z2990" s="1396"/>
      <c r="AA2990" s="1396"/>
      <c r="AB2990" s="1396"/>
      <c r="AC2990" s="833">
        <v>869</v>
      </c>
      <c r="AD2990" s="1396">
        <v>869</v>
      </c>
      <c r="AE2990" s="1396">
        <v>869</v>
      </c>
      <c r="AF2990" s="271">
        <f t="shared" si="321"/>
        <v>869</v>
      </c>
      <c r="AG2990" s="1396"/>
      <c r="DG2990" s="573"/>
      <c r="DH2990" s="159"/>
      <c r="DI2990" s="1091"/>
      <c r="DJ2990" s="1187"/>
    </row>
    <row r="2991" spans="1:114" ht="15" hidden="1" customHeight="1" outlineLevel="1">
      <c r="A2991" s="453"/>
      <c r="C2991" s="51"/>
      <c r="D2991" s="4295"/>
      <c r="E2991" s="4295"/>
      <c r="F2991" s="4307" t="str">
        <f>$E$1732</f>
        <v>ASHP-SEER17-Replace_CAC_NonElectricHeat_ER2_SF</v>
      </c>
      <c r="G2991" s="4307"/>
      <c r="H2991" s="4307"/>
      <c r="I2991" s="4307"/>
      <c r="J2991" s="1029" t="str">
        <f>$C$1732</f>
        <v>354110_2024_12_</v>
      </c>
      <c r="K2991" s="1790">
        <v>869</v>
      </c>
      <c r="L2991" s="262"/>
      <c r="M2991" s="4376"/>
      <c r="P2991" s="261"/>
      <c r="Q2991" s="209"/>
      <c r="R2991" s="261"/>
      <c r="S2991" s="52"/>
      <c r="T2991" s="181"/>
      <c r="U2991" s="52"/>
      <c r="V2991" s="4295"/>
      <c r="W2991" s="1396"/>
      <c r="X2991" s="1396"/>
      <c r="Y2991" s="1396"/>
      <c r="Z2991" s="1396"/>
      <c r="AA2991" s="1396"/>
      <c r="AB2991" s="1396"/>
      <c r="AC2991" s="833">
        <v>869</v>
      </c>
      <c r="AD2991" s="1396">
        <v>869</v>
      </c>
      <c r="AE2991" s="1396">
        <v>869</v>
      </c>
      <c r="AF2991" s="271">
        <f t="shared" si="321"/>
        <v>869</v>
      </c>
      <c r="AG2991" s="1396"/>
      <c r="DG2991" s="573"/>
      <c r="DH2991" s="159"/>
      <c r="DI2991" s="1091"/>
      <c r="DJ2991" s="1187"/>
    </row>
    <row r="2992" spans="1:114" ht="15" hidden="1" customHeight="1" outlineLevel="1">
      <c r="A2992" s="453"/>
      <c r="C2992" s="51"/>
      <c r="D2992" s="4295"/>
      <c r="E2992" s="4295"/>
      <c r="F2992" s="4307" t="str">
        <f>$E$1734</f>
        <v>ASHP-SEER17-Replace_CAC_ElectricHeat_ER1_MF</v>
      </c>
      <c r="G2992" s="4307"/>
      <c r="H2992" s="4307"/>
      <c r="I2992" s="4307"/>
      <c r="J2992" s="1029" t="str">
        <f>$C$1734</f>
        <v>354150_2024_12_</v>
      </c>
      <c r="K2992" s="1790">
        <v>869</v>
      </c>
      <c r="L2992" s="262"/>
      <c r="M2992" s="4376"/>
      <c r="P2992" s="261"/>
      <c r="Q2992" s="209"/>
      <c r="R2992" s="261"/>
      <c r="S2992" s="52"/>
      <c r="T2992" s="181"/>
      <c r="U2992" s="52"/>
      <c r="V2992" s="4295"/>
      <c r="W2992" s="1396">
        <v>869</v>
      </c>
      <c r="X2992" s="1396">
        <v>869</v>
      </c>
      <c r="Y2992" s="1396">
        <v>869</v>
      </c>
      <c r="Z2992" s="1396">
        <v>869</v>
      </c>
      <c r="AA2992" s="1396">
        <v>869</v>
      </c>
      <c r="AB2992" s="1396">
        <v>869</v>
      </c>
      <c r="AC2992" s="1396">
        <v>869</v>
      </c>
      <c r="AD2992" s="1396">
        <v>869</v>
      </c>
      <c r="AE2992" s="1396">
        <v>869</v>
      </c>
      <c r="AF2992" s="271">
        <f t="shared" si="321"/>
        <v>869</v>
      </c>
      <c r="AG2992" s="1396"/>
      <c r="DG2992" s="573"/>
      <c r="DH2992" s="159"/>
      <c r="DI2992" s="1091"/>
      <c r="DJ2992" s="1187"/>
    </row>
    <row r="2993" spans="1:114" ht="15" hidden="1" customHeight="1" outlineLevel="1">
      <c r="A2993" s="453"/>
      <c r="C2993" s="51"/>
      <c r="D2993" s="4295"/>
      <c r="E2993" s="4295"/>
      <c r="F2993" s="4307" t="str">
        <f>$E$1736</f>
        <v>ASHP-SEER17-Replace_CAC_ElectricHeat_ER2_MF</v>
      </c>
      <c r="G2993" s="4307"/>
      <c r="H2993" s="4307"/>
      <c r="I2993" s="4307"/>
      <c r="J2993" s="1029" t="str">
        <f>$C$1736</f>
        <v>354150_2024_12_</v>
      </c>
      <c r="K2993" s="1790">
        <v>869</v>
      </c>
      <c r="L2993" s="262"/>
      <c r="M2993" s="4364"/>
      <c r="P2993" s="261"/>
      <c r="Q2993" s="209"/>
      <c r="R2993" s="261"/>
      <c r="S2993" s="52"/>
      <c r="T2993" s="181"/>
      <c r="U2993" s="52"/>
      <c r="V2993" s="4295"/>
      <c r="W2993" s="1396">
        <v>869</v>
      </c>
      <c r="X2993" s="1396">
        <v>869</v>
      </c>
      <c r="Y2993" s="1396">
        <v>869</v>
      </c>
      <c r="Z2993" s="1396">
        <v>869</v>
      </c>
      <c r="AA2993" s="1396">
        <v>869</v>
      </c>
      <c r="AB2993" s="1396">
        <v>869</v>
      </c>
      <c r="AC2993" s="1396">
        <v>869</v>
      </c>
      <c r="AD2993" s="1396">
        <v>869</v>
      </c>
      <c r="AE2993" s="1396">
        <v>869</v>
      </c>
      <c r="AF2993" s="271">
        <f t="shared" si="321"/>
        <v>869</v>
      </c>
      <c r="AG2993" s="1396"/>
      <c r="DG2993" s="573"/>
      <c r="DH2993" s="159"/>
      <c r="DI2993" s="1091"/>
      <c r="DJ2993" s="1187"/>
    </row>
    <row r="2994" spans="1:114" ht="15" hidden="1" customHeight="1" outlineLevel="1">
      <c r="A2994" s="453"/>
      <c r="C2994" s="51"/>
      <c r="D2994" s="4295"/>
      <c r="E2994" s="4295"/>
      <c r="F2994" s="4347" t="str">
        <f>$E$1738</f>
        <v>ASHP-SEER17-Replace_CAC_ElectricHeat_ER1_MF_CompE</v>
      </c>
      <c r="G2994" s="4347"/>
      <c r="H2994" s="4347"/>
      <c r="I2994" s="4347"/>
      <c r="J2994" s="3471" t="str">
        <f>$C$1738</f>
        <v>354151_2024_12_</v>
      </c>
      <c r="K2994" s="3263">
        <v>632</v>
      </c>
      <c r="L2994" s="3479"/>
      <c r="M2994" s="3491" t="s">
        <v>1466</v>
      </c>
      <c r="P2994" s="261"/>
      <c r="Q2994" s="209"/>
      <c r="R2994" s="261"/>
      <c r="S2994" s="52"/>
      <c r="T2994" s="181"/>
      <c r="U2994" s="52"/>
      <c r="V2994" s="4295"/>
      <c r="W2994" s="3262"/>
      <c r="X2994" s="3262"/>
      <c r="Y2994" s="3265">
        <f t="shared" ref="Y2994:AA2995" si="323">$K$2899</f>
        <v>632</v>
      </c>
      <c r="Z2994" s="3262">
        <f t="shared" si="323"/>
        <v>632</v>
      </c>
      <c r="AA2994" s="3262">
        <f t="shared" si="323"/>
        <v>632</v>
      </c>
      <c r="AB2994" s="3262">
        <v>632</v>
      </c>
      <c r="AC2994" s="3262">
        <f>$K$2899</f>
        <v>632</v>
      </c>
      <c r="AD2994" s="3262">
        <v>632</v>
      </c>
      <c r="AE2994" s="3262">
        <v>632</v>
      </c>
      <c r="AF2994" s="2236">
        <f t="shared" si="321"/>
        <v>632</v>
      </c>
      <c r="AG2994" s="1396"/>
      <c r="DG2994" s="573"/>
      <c r="DH2994" s="159"/>
      <c r="DI2994" s="1091"/>
      <c r="DJ2994" s="1187"/>
    </row>
    <row r="2995" spans="1:114" ht="15" hidden="1" customHeight="1" outlineLevel="1">
      <c r="A2995" s="453"/>
      <c r="C2995" s="51"/>
      <c r="D2995" s="4295"/>
      <c r="E2995" s="4295"/>
      <c r="F2995" s="4347" t="str">
        <f>$E$1740</f>
        <v>ASHP-SEER17-Replace_CAC_ElectricHeat_ER2_MF_CompE</v>
      </c>
      <c r="G2995" s="4347"/>
      <c r="H2995" s="4347"/>
      <c r="I2995" s="4347"/>
      <c r="J2995" s="3471" t="str">
        <f>$C$1740</f>
        <v>354151_2024_12_</v>
      </c>
      <c r="K2995" s="3263">
        <v>632</v>
      </c>
      <c r="L2995" s="3479"/>
      <c r="M2995" s="3491" t="s">
        <v>1466</v>
      </c>
      <c r="P2995" s="261"/>
      <c r="Q2995" s="209"/>
      <c r="R2995" s="261"/>
      <c r="S2995" s="52"/>
      <c r="T2995" s="181"/>
      <c r="U2995" s="52"/>
      <c r="V2995" s="4295"/>
      <c r="W2995" s="3262"/>
      <c r="X2995" s="3262"/>
      <c r="Y2995" s="3265">
        <f t="shared" si="323"/>
        <v>632</v>
      </c>
      <c r="Z2995" s="3262">
        <f t="shared" si="323"/>
        <v>632</v>
      </c>
      <c r="AA2995" s="3262">
        <f t="shared" si="323"/>
        <v>632</v>
      </c>
      <c r="AB2995" s="3262">
        <v>632</v>
      </c>
      <c r="AC2995" s="3262">
        <f>$K$2899</f>
        <v>632</v>
      </c>
      <c r="AD2995" s="3262">
        <v>632</v>
      </c>
      <c r="AE2995" s="3262">
        <v>632</v>
      </c>
      <c r="AF2995" s="2236">
        <f t="shared" si="321"/>
        <v>632</v>
      </c>
      <c r="AG2995" s="1396"/>
      <c r="DG2995" s="573"/>
      <c r="DH2995" s="159"/>
      <c r="DI2995" s="1091"/>
      <c r="DJ2995" s="1187"/>
    </row>
    <row r="2996" spans="1:114" ht="15" hidden="1" customHeight="1" outlineLevel="1">
      <c r="A2996" s="453"/>
      <c r="C2996" s="51"/>
      <c r="D2996" s="4295"/>
      <c r="E2996" s="4295"/>
      <c r="F2996" s="4347" t="str">
        <f>$E$1742</f>
        <v>ASHP-SEER17-Replace_CAC_NonElectricHeat_ER1_MF</v>
      </c>
      <c r="G2996" s="4347"/>
      <c r="H2996" s="4347"/>
      <c r="I2996" s="4347"/>
      <c r="J2996" s="3471" t="str">
        <f>$C$1742</f>
        <v>354160_2024_12_</v>
      </c>
      <c r="K2996" s="3263">
        <v>869</v>
      </c>
      <c r="L2996" s="3479"/>
      <c r="M2996" s="2962" t="s">
        <v>2504</v>
      </c>
      <c r="P2996" s="261"/>
      <c r="Q2996" s="209"/>
      <c r="R2996" s="261"/>
      <c r="S2996" s="52"/>
      <c r="T2996" s="181"/>
      <c r="U2996" s="52"/>
      <c r="V2996" s="4295"/>
      <c r="W2996" s="3262"/>
      <c r="X2996" s="3262"/>
      <c r="Y2996" s="3265"/>
      <c r="Z2996" s="3262"/>
      <c r="AA2996" s="3262"/>
      <c r="AB2996" s="3262"/>
      <c r="AC2996" s="3265">
        <v>869</v>
      </c>
      <c r="AD2996" s="3262">
        <v>869</v>
      </c>
      <c r="AE2996" s="3262">
        <v>869</v>
      </c>
      <c r="AF2996" s="2236">
        <f t="shared" si="321"/>
        <v>869</v>
      </c>
      <c r="AG2996" s="1396"/>
      <c r="DG2996" s="573"/>
      <c r="DH2996" s="159"/>
      <c r="DI2996" s="1091"/>
      <c r="DJ2996" s="1187"/>
    </row>
    <row r="2997" spans="1:114" ht="15" hidden="1" customHeight="1" outlineLevel="1">
      <c r="A2997" s="453"/>
      <c r="C2997" s="51"/>
      <c r="D2997" s="4295"/>
      <c r="E2997" s="4295"/>
      <c r="F2997" s="4347" t="str">
        <f>$E$1744</f>
        <v>ASHP-SEER17-Replace_CAC_NonElectricHeat_ER2_MF</v>
      </c>
      <c r="G2997" s="4347"/>
      <c r="H2997" s="4347"/>
      <c r="I2997" s="4347"/>
      <c r="J2997" s="3471" t="str">
        <f>$C$1744</f>
        <v>354160_2024_12_</v>
      </c>
      <c r="K2997" s="3263">
        <v>869</v>
      </c>
      <c r="L2997" s="3479"/>
      <c r="M2997" s="2962" t="s">
        <v>2504</v>
      </c>
      <c r="P2997" s="261"/>
      <c r="Q2997" s="209"/>
      <c r="R2997" s="261"/>
      <c r="S2997" s="52"/>
      <c r="T2997" s="181"/>
      <c r="U2997" s="52"/>
      <c r="V2997" s="4295"/>
      <c r="W2997" s="3262"/>
      <c r="X2997" s="3262"/>
      <c r="Y2997" s="3265"/>
      <c r="Z2997" s="3262"/>
      <c r="AA2997" s="3262"/>
      <c r="AB2997" s="3262"/>
      <c r="AC2997" s="3265">
        <v>869</v>
      </c>
      <c r="AD2997" s="3262">
        <v>869</v>
      </c>
      <c r="AE2997" s="3262">
        <v>869</v>
      </c>
      <c r="AF2997" s="2236">
        <f t="shared" si="321"/>
        <v>869</v>
      </c>
      <c r="AG2997" s="1396"/>
      <c r="DG2997" s="573"/>
      <c r="DH2997" s="159"/>
      <c r="DI2997" s="1091"/>
      <c r="DJ2997" s="1187"/>
    </row>
    <row r="2998" spans="1:114" ht="15" hidden="1" customHeight="1" outlineLevel="1">
      <c r="A2998" s="453"/>
      <c r="C2998" s="51"/>
      <c r="D2998" s="4295"/>
      <c r="E2998" s="4295"/>
      <c r="F2998" s="4347" t="str">
        <f>$E$1746</f>
        <v>ASHP-SEER17-Replace_CAC_NonElectricHeat_ER1_MF_CompE</v>
      </c>
      <c r="G2998" s="4347"/>
      <c r="H2998" s="4347"/>
      <c r="I2998" s="4347"/>
      <c r="J2998" s="3471" t="str">
        <f>$C$1746</f>
        <v>354161_2024_12_</v>
      </c>
      <c r="K2998" s="3263">
        <v>632</v>
      </c>
      <c r="L2998" s="3479"/>
      <c r="M2998" s="3491" t="s">
        <v>1466</v>
      </c>
      <c r="P2998" s="261"/>
      <c r="Q2998" s="209"/>
      <c r="R2998" s="261"/>
      <c r="S2998" s="52"/>
      <c r="T2998" s="181"/>
      <c r="U2998" s="52"/>
      <c r="V2998" s="4295"/>
      <c r="W2998" s="3262"/>
      <c r="X2998" s="3262"/>
      <c r="Y2998" s="3265"/>
      <c r="Z2998" s="3262"/>
      <c r="AA2998" s="3262"/>
      <c r="AB2998" s="3262"/>
      <c r="AC2998" s="3265">
        <f>$K$2899</f>
        <v>632</v>
      </c>
      <c r="AD2998" s="3262">
        <v>632</v>
      </c>
      <c r="AE2998" s="3262">
        <v>632</v>
      </c>
      <c r="AF2998" s="2236">
        <f t="shared" si="321"/>
        <v>632</v>
      </c>
      <c r="AG2998" s="1396"/>
      <c r="DG2998" s="573"/>
      <c r="DH2998" s="159"/>
      <c r="DI2998" s="1091"/>
      <c r="DJ2998" s="1187"/>
    </row>
    <row r="2999" spans="1:114" ht="15" hidden="1" customHeight="1" outlineLevel="1">
      <c r="A2999" s="453"/>
      <c r="C2999" s="51"/>
      <c r="D2999" s="4295"/>
      <c r="E2999" s="4295"/>
      <c r="F2999" s="4347" t="str">
        <f>$E$1748</f>
        <v>ASHP-SEER17-Replace_CAC_NonElectricHeat_ER2_MF_CompE</v>
      </c>
      <c r="G2999" s="4347"/>
      <c r="H2999" s="4347"/>
      <c r="I2999" s="4347"/>
      <c r="J2999" s="3471" t="str">
        <f>$C$1748</f>
        <v>354161_2024_12_</v>
      </c>
      <c r="K2999" s="3263">
        <v>632</v>
      </c>
      <c r="L2999" s="3479"/>
      <c r="M2999" s="3491" t="s">
        <v>1466</v>
      </c>
      <c r="P2999" s="261"/>
      <c r="Q2999" s="209"/>
      <c r="R2999" s="261"/>
      <c r="S2999" s="52"/>
      <c r="T2999" s="181"/>
      <c r="U2999" s="52"/>
      <c r="V2999" s="4295"/>
      <c r="W2999" s="3262"/>
      <c r="X2999" s="3262"/>
      <c r="Y2999" s="3265"/>
      <c r="Z2999" s="3262"/>
      <c r="AA2999" s="3262"/>
      <c r="AB2999" s="3262"/>
      <c r="AC2999" s="3265">
        <f>$K$2899</f>
        <v>632</v>
      </c>
      <c r="AD2999" s="3262">
        <v>632</v>
      </c>
      <c r="AE2999" s="3262">
        <v>632</v>
      </c>
      <c r="AF2999" s="2236">
        <f t="shared" si="321"/>
        <v>632</v>
      </c>
      <c r="AG2999" s="1396"/>
      <c r="DG2999" s="573"/>
      <c r="DH2999" s="159"/>
      <c r="DI2999" s="1091"/>
      <c r="DJ2999" s="1187"/>
    </row>
    <row r="3000" spans="1:114" ht="15" hidden="1" customHeight="1" outlineLevel="1">
      <c r="A3000" s="453"/>
      <c r="C3000" s="51"/>
      <c r="D3000" s="4295"/>
      <c r="E3000" s="4295"/>
      <c r="F3000" s="4307" t="str">
        <f>$E$1750</f>
        <v>ASHP-SEER17_ER1_MF</v>
      </c>
      <c r="G3000" s="4307"/>
      <c r="H3000" s="4307"/>
      <c r="I3000" s="4307"/>
      <c r="J3000" s="1029" t="str">
        <f>$C$1750</f>
        <v>354200_2024_12_</v>
      </c>
      <c r="K3000" s="1790">
        <v>869</v>
      </c>
      <c r="L3000" s="262"/>
      <c r="M3000" s="1442" t="s">
        <v>2504</v>
      </c>
      <c r="P3000" s="261"/>
      <c r="Q3000" s="209"/>
      <c r="R3000" s="261"/>
      <c r="S3000" s="52"/>
      <c r="T3000" s="181"/>
      <c r="U3000" s="52"/>
      <c r="V3000" s="4295"/>
      <c r="W3000" s="1396">
        <v>869</v>
      </c>
      <c r="X3000" s="1396">
        <v>869</v>
      </c>
      <c r="Y3000" s="1396">
        <v>869</v>
      </c>
      <c r="Z3000" s="1396">
        <v>869</v>
      </c>
      <c r="AA3000" s="1396">
        <v>869</v>
      </c>
      <c r="AB3000" s="1396">
        <v>869</v>
      </c>
      <c r="AC3000" s="1396">
        <v>869</v>
      </c>
      <c r="AD3000" s="1396">
        <v>869</v>
      </c>
      <c r="AE3000" s="1396">
        <v>869</v>
      </c>
      <c r="AF3000" s="271">
        <f t="shared" si="321"/>
        <v>869</v>
      </c>
      <c r="AG3000" s="1396"/>
      <c r="DG3000" s="573"/>
      <c r="DH3000" s="159"/>
      <c r="DI3000" s="1091"/>
      <c r="DJ3000" s="1187"/>
    </row>
    <row r="3001" spans="1:114" ht="15" hidden="1" customHeight="1" outlineLevel="1">
      <c r="A3001" s="453"/>
      <c r="C3001" s="51"/>
      <c r="D3001" s="4295"/>
      <c r="E3001" s="4295"/>
      <c r="F3001" s="4307" t="str">
        <f>$E$1752</f>
        <v>ASHP-SEER17_ER2_MF</v>
      </c>
      <c r="G3001" s="4307"/>
      <c r="H3001" s="4307"/>
      <c r="I3001" s="4307"/>
      <c r="J3001" s="1029" t="str">
        <f>$C$1752</f>
        <v>354200_2024_12_</v>
      </c>
      <c r="K3001" s="1790">
        <v>869</v>
      </c>
      <c r="L3001" s="262"/>
      <c r="M3001" s="1442" t="s">
        <v>2504</v>
      </c>
      <c r="P3001" s="261"/>
      <c r="Q3001" s="209"/>
      <c r="R3001" s="261"/>
      <c r="S3001" s="52"/>
      <c r="T3001" s="181"/>
      <c r="U3001" s="52"/>
      <c r="V3001" s="4295"/>
      <c r="W3001" s="1396">
        <v>869</v>
      </c>
      <c r="X3001" s="1396">
        <v>869</v>
      </c>
      <c r="Y3001" s="1396">
        <v>869</v>
      </c>
      <c r="Z3001" s="1396">
        <v>869</v>
      </c>
      <c r="AA3001" s="1396">
        <v>869</v>
      </c>
      <c r="AB3001" s="1396">
        <v>869</v>
      </c>
      <c r="AC3001" s="1396">
        <v>869</v>
      </c>
      <c r="AD3001" s="1396">
        <v>869</v>
      </c>
      <c r="AE3001" s="1396">
        <v>869</v>
      </c>
      <c r="AF3001" s="271">
        <f t="shared" si="321"/>
        <v>869</v>
      </c>
      <c r="AG3001" s="1396"/>
      <c r="DG3001" s="573"/>
      <c r="DH3001" s="159"/>
      <c r="DI3001" s="1091"/>
      <c r="DJ3001" s="1187"/>
    </row>
    <row r="3002" spans="1:114" ht="15" hidden="1" customHeight="1" outlineLevel="1">
      <c r="A3002" s="453"/>
      <c r="C3002" s="51"/>
      <c r="D3002" s="4295"/>
      <c r="E3002" s="4295"/>
      <c r="F3002" s="4347" t="str">
        <f>$E$1754</f>
        <v>ASHP-SEER17_ER1_MF_CompE</v>
      </c>
      <c r="G3002" s="4347"/>
      <c r="H3002" s="4347"/>
      <c r="I3002" s="4347"/>
      <c r="J3002" s="3471" t="str">
        <f>$C$1754</f>
        <v>354201_2024_12_</v>
      </c>
      <c r="K3002" s="3263">
        <v>632</v>
      </c>
      <c r="L3002" s="3479"/>
      <c r="M3002" s="3491" t="s">
        <v>1466</v>
      </c>
      <c r="P3002" s="261"/>
      <c r="Q3002" s="209"/>
      <c r="R3002" s="261"/>
      <c r="S3002" s="52"/>
      <c r="T3002" s="181"/>
      <c r="U3002" s="52"/>
      <c r="V3002" s="4295"/>
      <c r="W3002" s="1396"/>
      <c r="X3002" s="1396"/>
      <c r="Y3002" s="3265">
        <f t="shared" ref="Y3002:AA3003" si="324">$K$2899</f>
        <v>632</v>
      </c>
      <c r="Z3002" s="3262">
        <f t="shared" si="324"/>
        <v>632</v>
      </c>
      <c r="AA3002" s="3262">
        <f t="shared" si="324"/>
        <v>632</v>
      </c>
      <c r="AB3002" s="3262">
        <v>632</v>
      </c>
      <c r="AC3002" s="3262">
        <f>$K$2899</f>
        <v>632</v>
      </c>
      <c r="AD3002" s="3262">
        <v>632</v>
      </c>
      <c r="AE3002" s="3262">
        <v>632</v>
      </c>
      <c r="AF3002" s="2236">
        <f t="shared" ref="AF3002:AF3065" si="325">IF(K3002&lt;&gt;"",K3002,"")</f>
        <v>632</v>
      </c>
      <c r="AG3002" s="1396"/>
      <c r="DG3002" s="573"/>
      <c r="DH3002" s="159"/>
      <c r="DI3002" s="1091"/>
      <c r="DJ3002" s="1187"/>
    </row>
    <row r="3003" spans="1:114" ht="15" hidden="1" customHeight="1" outlineLevel="1">
      <c r="A3003" s="453"/>
      <c r="C3003" s="51"/>
      <c r="D3003" s="4295"/>
      <c r="E3003" s="4295"/>
      <c r="F3003" s="4347" t="str">
        <f>$E$1756</f>
        <v>ASHP-SEER17_ER2_MF_CompE</v>
      </c>
      <c r="G3003" s="4347"/>
      <c r="H3003" s="4347"/>
      <c r="I3003" s="4347"/>
      <c r="J3003" s="3471" t="str">
        <f>$C$1756</f>
        <v>354201_2024_12_</v>
      </c>
      <c r="K3003" s="3263">
        <v>632</v>
      </c>
      <c r="L3003" s="3479"/>
      <c r="M3003" s="3491" t="s">
        <v>1466</v>
      </c>
      <c r="P3003" s="261"/>
      <c r="Q3003" s="209"/>
      <c r="R3003" s="261"/>
      <c r="S3003" s="52"/>
      <c r="T3003" s="181"/>
      <c r="U3003" s="52"/>
      <c r="V3003" s="4295"/>
      <c r="W3003" s="1396"/>
      <c r="X3003" s="1396"/>
      <c r="Y3003" s="3265">
        <f t="shared" si="324"/>
        <v>632</v>
      </c>
      <c r="Z3003" s="3262">
        <f t="shared" si="324"/>
        <v>632</v>
      </c>
      <c r="AA3003" s="3262">
        <f t="shared" si="324"/>
        <v>632</v>
      </c>
      <c r="AB3003" s="3262">
        <v>632</v>
      </c>
      <c r="AC3003" s="3262">
        <f>$K$2899</f>
        <v>632</v>
      </c>
      <c r="AD3003" s="3262">
        <v>632</v>
      </c>
      <c r="AE3003" s="3262">
        <v>632</v>
      </c>
      <c r="AF3003" s="2236">
        <f t="shared" si="325"/>
        <v>632</v>
      </c>
      <c r="AG3003" s="1396"/>
      <c r="DG3003" s="573"/>
      <c r="DH3003" s="159"/>
      <c r="DI3003" s="1091"/>
      <c r="DJ3003" s="1187"/>
    </row>
    <row r="3004" spans="1:114" ht="15" hidden="1" customHeight="1" outlineLevel="1">
      <c r="A3004" s="453"/>
      <c r="C3004" s="51"/>
      <c r="D3004" s="4295"/>
      <c r="E3004" s="4295"/>
      <c r="F3004" s="4307" t="str">
        <f>$E$1758</f>
        <v>ASHP-SEER18-Replace_CAC_ElectricHeat_ER1_SF</v>
      </c>
      <c r="G3004" s="4307"/>
      <c r="H3004" s="4307"/>
      <c r="I3004" s="4307"/>
      <c r="J3004" s="1029" t="str">
        <f>$C$1758</f>
        <v>354250_2024_12_</v>
      </c>
      <c r="K3004" s="1790">
        <v>869</v>
      </c>
      <c r="L3004" s="262"/>
      <c r="M3004" s="1442" t="s">
        <v>2504</v>
      </c>
      <c r="P3004" s="261"/>
      <c r="Q3004" s="209"/>
      <c r="R3004" s="261"/>
      <c r="S3004" s="52"/>
      <c r="T3004" s="181"/>
      <c r="U3004" s="52"/>
      <c r="V3004" s="4295"/>
      <c r="W3004" s="1396">
        <v>869</v>
      </c>
      <c r="X3004" s="1396">
        <v>869</v>
      </c>
      <c r="Y3004" s="1396">
        <v>869</v>
      </c>
      <c r="Z3004" s="1396">
        <v>869</v>
      </c>
      <c r="AA3004" s="1396">
        <v>869</v>
      </c>
      <c r="AB3004" s="1396">
        <v>869</v>
      </c>
      <c r="AC3004" s="1396">
        <v>869</v>
      </c>
      <c r="AD3004" s="1396">
        <v>869</v>
      </c>
      <c r="AE3004" s="1396">
        <v>869</v>
      </c>
      <c r="AF3004" s="271">
        <f t="shared" si="325"/>
        <v>869</v>
      </c>
      <c r="AG3004" s="1396"/>
      <c r="DG3004" s="573"/>
      <c r="DH3004" s="159"/>
      <c r="DI3004" s="1091"/>
      <c r="DJ3004" s="1187"/>
    </row>
    <row r="3005" spans="1:114" ht="15" hidden="1" customHeight="1" outlineLevel="1">
      <c r="A3005" s="453"/>
      <c r="C3005" s="51"/>
      <c r="D3005" s="4295"/>
      <c r="E3005" s="4295"/>
      <c r="F3005" s="4307" t="str">
        <f>$E$1760</f>
        <v>ASHP-SEER18-Replace_CAC_ElectricHeat_ER2_SF</v>
      </c>
      <c r="G3005" s="4307"/>
      <c r="H3005" s="4307"/>
      <c r="I3005" s="4307"/>
      <c r="J3005" s="1029" t="str">
        <f>$C$1760</f>
        <v>354250_2024_12_</v>
      </c>
      <c r="K3005" s="1790">
        <v>869</v>
      </c>
      <c r="L3005" s="262"/>
      <c r="M3005" s="1442" t="s">
        <v>2504</v>
      </c>
      <c r="P3005" s="261"/>
      <c r="Q3005" s="209"/>
      <c r="R3005" s="261"/>
      <c r="S3005" s="52"/>
      <c r="T3005" s="181"/>
      <c r="U3005" s="52"/>
      <c r="V3005" s="4295"/>
      <c r="W3005" s="1396">
        <v>869</v>
      </c>
      <c r="X3005" s="1396">
        <v>869</v>
      </c>
      <c r="Y3005" s="1396">
        <v>869</v>
      </c>
      <c r="Z3005" s="1396">
        <v>869</v>
      </c>
      <c r="AA3005" s="1396">
        <v>869</v>
      </c>
      <c r="AB3005" s="1396">
        <v>869</v>
      </c>
      <c r="AC3005" s="1396">
        <v>869</v>
      </c>
      <c r="AD3005" s="1396">
        <v>869</v>
      </c>
      <c r="AE3005" s="1396">
        <v>869</v>
      </c>
      <c r="AF3005" s="271">
        <f t="shared" si="325"/>
        <v>869</v>
      </c>
      <c r="AG3005" s="1396"/>
      <c r="DG3005" s="573"/>
      <c r="DH3005" s="159"/>
      <c r="DI3005" s="1091"/>
      <c r="DJ3005" s="1187"/>
    </row>
    <row r="3006" spans="1:114" ht="15" hidden="1" customHeight="1" outlineLevel="1">
      <c r="A3006" s="453"/>
      <c r="C3006" s="51"/>
      <c r="D3006" s="4295"/>
      <c r="E3006" s="4295"/>
      <c r="F3006" s="4307" t="str">
        <f>$E$1762</f>
        <v>ASHP-SEER18-Replace_CAC_NonElectricHeat_ER1_SF</v>
      </c>
      <c r="G3006" s="4307"/>
      <c r="H3006" s="4307"/>
      <c r="I3006" s="4307"/>
      <c r="J3006" s="1029" t="str">
        <f>$C$1762</f>
        <v>354260_2024_12_</v>
      </c>
      <c r="K3006" s="1790">
        <v>869</v>
      </c>
      <c r="L3006" s="262"/>
      <c r="M3006" s="1442" t="s">
        <v>2504</v>
      </c>
      <c r="P3006" s="261"/>
      <c r="Q3006" s="209"/>
      <c r="R3006" s="261"/>
      <c r="S3006" s="52"/>
      <c r="T3006" s="181"/>
      <c r="U3006" s="52"/>
      <c r="V3006" s="4295"/>
      <c r="W3006" s="1396"/>
      <c r="X3006" s="1396"/>
      <c r="Y3006" s="1396"/>
      <c r="Z3006" s="1396"/>
      <c r="AA3006" s="1396"/>
      <c r="AB3006" s="1396"/>
      <c r="AC3006" s="833">
        <v>869</v>
      </c>
      <c r="AD3006" s="1396">
        <v>869</v>
      </c>
      <c r="AE3006" s="1396">
        <v>869</v>
      </c>
      <c r="AF3006" s="271">
        <f t="shared" si="325"/>
        <v>869</v>
      </c>
      <c r="AG3006" s="1396"/>
      <c r="DG3006" s="573"/>
      <c r="DH3006" s="159"/>
      <c r="DI3006" s="1091"/>
      <c r="DJ3006" s="1187"/>
    </row>
    <row r="3007" spans="1:114" ht="15" hidden="1" customHeight="1" outlineLevel="1">
      <c r="A3007" s="453"/>
      <c r="C3007" s="51"/>
      <c r="D3007" s="4295"/>
      <c r="E3007" s="4295"/>
      <c r="F3007" s="4307" t="str">
        <f>$E$1764</f>
        <v>ASHP-SEER18-Replace_CAC_NonElectricHeat_ER2_SF</v>
      </c>
      <c r="G3007" s="4307"/>
      <c r="H3007" s="4307"/>
      <c r="I3007" s="4307"/>
      <c r="J3007" s="1029" t="str">
        <f>$C$1764</f>
        <v>354260_2024_12_</v>
      </c>
      <c r="K3007" s="1790">
        <v>869</v>
      </c>
      <c r="L3007" s="262"/>
      <c r="M3007" s="1442" t="s">
        <v>2504</v>
      </c>
      <c r="P3007" s="261"/>
      <c r="Q3007" s="209"/>
      <c r="R3007" s="261"/>
      <c r="S3007" s="52"/>
      <c r="T3007" s="181"/>
      <c r="U3007" s="52"/>
      <c r="V3007" s="4295"/>
      <c r="W3007" s="1396"/>
      <c r="X3007" s="1396"/>
      <c r="Y3007" s="1396"/>
      <c r="Z3007" s="1396"/>
      <c r="AA3007" s="1396"/>
      <c r="AB3007" s="1396"/>
      <c r="AC3007" s="833">
        <v>869</v>
      </c>
      <c r="AD3007" s="1396">
        <v>869</v>
      </c>
      <c r="AE3007" s="1396">
        <v>869</v>
      </c>
      <c r="AF3007" s="271">
        <f t="shared" si="325"/>
        <v>869</v>
      </c>
      <c r="AG3007" s="1396"/>
      <c r="DG3007" s="573"/>
      <c r="DH3007" s="159"/>
      <c r="DI3007" s="1091"/>
      <c r="DJ3007" s="1187"/>
    </row>
    <row r="3008" spans="1:114" ht="15" hidden="1" customHeight="1" outlineLevel="1">
      <c r="A3008" s="453"/>
      <c r="C3008" s="51"/>
      <c r="D3008" s="4295"/>
      <c r="E3008" s="4295"/>
      <c r="F3008" s="4307" t="str">
        <f>$E$1766</f>
        <v>ASHP-SEER18-Replace_CAC_ElectricHeat_ER1_MF</v>
      </c>
      <c r="G3008" s="4307"/>
      <c r="H3008" s="4307"/>
      <c r="I3008" s="4307"/>
      <c r="J3008" s="1029" t="str">
        <f>$C$1766</f>
        <v>354300_2024_12_</v>
      </c>
      <c r="K3008" s="1790">
        <v>869</v>
      </c>
      <c r="L3008" s="262"/>
      <c r="M3008" s="1442" t="s">
        <v>2504</v>
      </c>
      <c r="P3008" s="261"/>
      <c r="Q3008" s="209"/>
      <c r="R3008" s="261"/>
      <c r="S3008" s="52"/>
      <c r="T3008" s="181"/>
      <c r="U3008" s="52"/>
      <c r="V3008" s="4295"/>
      <c r="W3008" s="1396">
        <v>869</v>
      </c>
      <c r="X3008" s="1396">
        <v>869</v>
      </c>
      <c r="Y3008" s="1396">
        <v>869</v>
      </c>
      <c r="Z3008" s="1396">
        <v>869</v>
      </c>
      <c r="AA3008" s="1396">
        <v>869</v>
      </c>
      <c r="AB3008" s="1396">
        <v>869</v>
      </c>
      <c r="AC3008" s="1396">
        <v>869</v>
      </c>
      <c r="AD3008" s="1396">
        <v>869</v>
      </c>
      <c r="AE3008" s="1396">
        <v>869</v>
      </c>
      <c r="AF3008" s="271">
        <f t="shared" si="325"/>
        <v>869</v>
      </c>
      <c r="AG3008" s="1396"/>
      <c r="DG3008" s="573"/>
      <c r="DH3008" s="159"/>
      <c r="DI3008" s="1091"/>
      <c r="DJ3008" s="1187"/>
    </row>
    <row r="3009" spans="1:114" ht="15" hidden="1" customHeight="1" outlineLevel="1">
      <c r="A3009" s="453"/>
      <c r="C3009" s="51"/>
      <c r="D3009" s="4295"/>
      <c r="E3009" s="4295"/>
      <c r="F3009" s="4307" t="str">
        <f>$E$1768</f>
        <v>ASHP-SEER18-Replace_CAC_ElectricHeat_ER2_MF</v>
      </c>
      <c r="G3009" s="4307"/>
      <c r="H3009" s="4307"/>
      <c r="I3009" s="4307"/>
      <c r="J3009" s="1029" t="str">
        <f>$C$1768</f>
        <v>354300_2024_12_</v>
      </c>
      <c r="K3009" s="1790">
        <v>869</v>
      </c>
      <c r="L3009" s="262"/>
      <c r="M3009" s="1442" t="s">
        <v>2504</v>
      </c>
      <c r="P3009" s="261"/>
      <c r="Q3009" s="209"/>
      <c r="R3009" s="261"/>
      <c r="S3009" s="52"/>
      <c r="T3009" s="181"/>
      <c r="U3009" s="52"/>
      <c r="V3009" s="4295"/>
      <c r="W3009" s="1396">
        <v>869</v>
      </c>
      <c r="X3009" s="1396">
        <v>869</v>
      </c>
      <c r="Y3009" s="1396">
        <v>869</v>
      </c>
      <c r="Z3009" s="1396">
        <v>869</v>
      </c>
      <c r="AA3009" s="1396">
        <v>869</v>
      </c>
      <c r="AB3009" s="1396">
        <v>869</v>
      </c>
      <c r="AC3009" s="1396">
        <v>869</v>
      </c>
      <c r="AD3009" s="1396">
        <v>869</v>
      </c>
      <c r="AE3009" s="1396">
        <v>869</v>
      </c>
      <c r="AF3009" s="271">
        <f t="shared" si="325"/>
        <v>869</v>
      </c>
      <c r="AG3009" s="1396"/>
      <c r="DG3009" s="573"/>
      <c r="DH3009" s="159"/>
      <c r="DI3009" s="1091"/>
      <c r="DJ3009" s="1187"/>
    </row>
    <row r="3010" spans="1:114" ht="15" hidden="1" customHeight="1" outlineLevel="1">
      <c r="A3010" s="453"/>
      <c r="C3010" s="51"/>
      <c r="D3010" s="4295"/>
      <c r="E3010" s="4295"/>
      <c r="F3010" s="4347" t="str">
        <f>$E$1770</f>
        <v>ASHP-SEER18-Replace_CAC_ElectricHeat_ER1_MF_CompE</v>
      </c>
      <c r="G3010" s="4347"/>
      <c r="H3010" s="4347"/>
      <c r="I3010" s="4347"/>
      <c r="J3010" s="3471" t="str">
        <f>$C$1770</f>
        <v>354301_2024_12_</v>
      </c>
      <c r="K3010" s="3263">
        <v>632</v>
      </c>
      <c r="L3010" s="3479"/>
      <c r="M3010" s="3491" t="s">
        <v>1466</v>
      </c>
      <c r="P3010" s="261"/>
      <c r="Q3010" s="209"/>
      <c r="R3010" s="261"/>
      <c r="S3010" s="52"/>
      <c r="T3010" s="181"/>
      <c r="U3010" s="52"/>
      <c r="V3010" s="4295"/>
      <c r="W3010" s="1396"/>
      <c r="X3010" s="1396"/>
      <c r="Y3010" s="3265">
        <f t="shared" ref="Y3010:AA3011" si="326">$K$2899</f>
        <v>632</v>
      </c>
      <c r="Z3010" s="3262">
        <f t="shared" si="326"/>
        <v>632</v>
      </c>
      <c r="AA3010" s="3262">
        <f t="shared" si="326"/>
        <v>632</v>
      </c>
      <c r="AB3010" s="3262">
        <v>632</v>
      </c>
      <c r="AC3010" s="3262">
        <f>$K$2899</f>
        <v>632</v>
      </c>
      <c r="AD3010" s="3262">
        <v>632</v>
      </c>
      <c r="AE3010" s="3262">
        <v>632</v>
      </c>
      <c r="AF3010" s="2236">
        <f t="shared" si="325"/>
        <v>632</v>
      </c>
      <c r="AG3010" s="1396"/>
      <c r="DG3010" s="573"/>
      <c r="DH3010" s="159"/>
      <c r="DI3010" s="1091"/>
      <c r="DJ3010" s="1187"/>
    </row>
    <row r="3011" spans="1:114" ht="15" hidden="1" customHeight="1" outlineLevel="1">
      <c r="A3011" s="453"/>
      <c r="C3011" s="51"/>
      <c r="D3011" s="4295"/>
      <c r="E3011" s="4295"/>
      <c r="F3011" s="4347" t="str">
        <f>$E$1772</f>
        <v>ASHP-SEER18-Replace_CAC_ElectricHeat_ER2_MF_CompE</v>
      </c>
      <c r="G3011" s="4347"/>
      <c r="H3011" s="4347"/>
      <c r="I3011" s="4347"/>
      <c r="J3011" s="3471" t="str">
        <f>$C$1772</f>
        <v>354301_2024_12_</v>
      </c>
      <c r="K3011" s="3263">
        <v>632</v>
      </c>
      <c r="L3011" s="3479"/>
      <c r="M3011" s="3491" t="s">
        <v>1466</v>
      </c>
      <c r="P3011" s="261"/>
      <c r="Q3011" s="209"/>
      <c r="R3011" s="261"/>
      <c r="S3011" s="52"/>
      <c r="T3011" s="181"/>
      <c r="U3011" s="52"/>
      <c r="V3011" s="4295"/>
      <c r="W3011" s="1396"/>
      <c r="X3011" s="1396"/>
      <c r="Y3011" s="3265">
        <f t="shared" si="326"/>
        <v>632</v>
      </c>
      <c r="Z3011" s="3262">
        <f t="shared" si="326"/>
        <v>632</v>
      </c>
      <c r="AA3011" s="3262">
        <f t="shared" si="326"/>
        <v>632</v>
      </c>
      <c r="AB3011" s="3262">
        <v>632</v>
      </c>
      <c r="AC3011" s="3262">
        <f>$K$2899</f>
        <v>632</v>
      </c>
      <c r="AD3011" s="3262">
        <v>632</v>
      </c>
      <c r="AE3011" s="3262">
        <v>632</v>
      </c>
      <c r="AF3011" s="2236">
        <f t="shared" si="325"/>
        <v>632</v>
      </c>
      <c r="AG3011" s="1396"/>
      <c r="DG3011" s="573"/>
      <c r="DH3011" s="159"/>
      <c r="DI3011" s="1091"/>
      <c r="DJ3011" s="1187"/>
    </row>
    <row r="3012" spans="1:114" ht="15" hidden="1" customHeight="1" outlineLevel="1">
      <c r="A3012" s="453"/>
      <c r="C3012" s="51"/>
      <c r="D3012" s="4295"/>
      <c r="E3012" s="4295"/>
      <c r="F3012" s="4347" t="str">
        <f>$E$1774</f>
        <v>ASHP-SEER18-Replace_CAC_NonElectricHeat_ER1_MF</v>
      </c>
      <c r="G3012" s="4347"/>
      <c r="H3012" s="4347"/>
      <c r="I3012" s="4347"/>
      <c r="J3012" s="3471" t="str">
        <f>$C$1774</f>
        <v>354310_2024_12_</v>
      </c>
      <c r="K3012" s="3263">
        <v>869</v>
      </c>
      <c r="L3012" s="3479"/>
      <c r="M3012" s="2962" t="s">
        <v>2504</v>
      </c>
      <c r="P3012" s="261"/>
      <c r="Q3012" s="209"/>
      <c r="R3012" s="261"/>
      <c r="S3012" s="52"/>
      <c r="T3012" s="181"/>
      <c r="U3012" s="52"/>
      <c r="V3012" s="4295"/>
      <c r="W3012" s="1396"/>
      <c r="X3012" s="1396"/>
      <c r="Y3012" s="3265"/>
      <c r="Z3012" s="3262"/>
      <c r="AA3012" s="3262"/>
      <c r="AB3012" s="3262"/>
      <c r="AC3012" s="3265">
        <v>869</v>
      </c>
      <c r="AD3012" s="3262">
        <v>869</v>
      </c>
      <c r="AE3012" s="3262">
        <v>869</v>
      </c>
      <c r="AF3012" s="2236">
        <f t="shared" si="325"/>
        <v>869</v>
      </c>
      <c r="AG3012" s="1396"/>
      <c r="DG3012" s="573"/>
      <c r="DH3012" s="159"/>
      <c r="DI3012" s="1091"/>
      <c r="DJ3012" s="1187"/>
    </row>
    <row r="3013" spans="1:114" ht="15" hidden="1" customHeight="1" outlineLevel="1">
      <c r="A3013" s="453"/>
      <c r="C3013" s="51"/>
      <c r="D3013" s="4295"/>
      <c r="E3013" s="4295"/>
      <c r="F3013" s="4347" t="str">
        <f>$E$1776</f>
        <v>ASHP-SEER18-Replace_CAC_NonElectricHeat_ER2_MF</v>
      </c>
      <c r="G3013" s="4347"/>
      <c r="H3013" s="4347"/>
      <c r="I3013" s="4347"/>
      <c r="J3013" s="3471" t="str">
        <f>$C$1776</f>
        <v>354310_2024_12_</v>
      </c>
      <c r="K3013" s="3263">
        <v>869</v>
      </c>
      <c r="L3013" s="3479"/>
      <c r="M3013" s="2962" t="s">
        <v>2504</v>
      </c>
      <c r="P3013" s="261"/>
      <c r="Q3013" s="209"/>
      <c r="R3013" s="261"/>
      <c r="S3013" s="52"/>
      <c r="T3013" s="181"/>
      <c r="U3013" s="52"/>
      <c r="V3013" s="4295"/>
      <c r="W3013" s="1396"/>
      <c r="X3013" s="1396"/>
      <c r="Y3013" s="3265"/>
      <c r="Z3013" s="3262"/>
      <c r="AA3013" s="3262"/>
      <c r="AB3013" s="3262"/>
      <c r="AC3013" s="3265">
        <v>869</v>
      </c>
      <c r="AD3013" s="3262">
        <v>869</v>
      </c>
      <c r="AE3013" s="3262">
        <v>869</v>
      </c>
      <c r="AF3013" s="2236">
        <f t="shared" si="325"/>
        <v>869</v>
      </c>
      <c r="AG3013" s="1396"/>
      <c r="DG3013" s="573"/>
      <c r="DH3013" s="159"/>
      <c r="DI3013" s="1091"/>
      <c r="DJ3013" s="1187"/>
    </row>
    <row r="3014" spans="1:114" ht="15" hidden="1" customHeight="1" outlineLevel="1">
      <c r="A3014" s="453"/>
      <c r="C3014" s="51"/>
      <c r="D3014" s="4295"/>
      <c r="E3014" s="4295"/>
      <c r="F3014" s="4347" t="str">
        <f>$E$1778</f>
        <v>ASHP-SEER18-Replace_CAC_NonElectricHeat_ER1_MF_CompE</v>
      </c>
      <c r="G3014" s="4347"/>
      <c r="H3014" s="4347"/>
      <c r="I3014" s="4347"/>
      <c r="J3014" s="3471" t="str">
        <f>$C$1778</f>
        <v>354311_2024_12_</v>
      </c>
      <c r="K3014" s="3263">
        <v>632</v>
      </c>
      <c r="L3014" s="3479"/>
      <c r="M3014" s="3491" t="s">
        <v>1466</v>
      </c>
      <c r="P3014" s="261"/>
      <c r="Q3014" s="209"/>
      <c r="R3014" s="261"/>
      <c r="S3014" s="52"/>
      <c r="T3014" s="181"/>
      <c r="U3014" s="52"/>
      <c r="V3014" s="4295"/>
      <c r="W3014" s="1396"/>
      <c r="X3014" s="1396"/>
      <c r="Y3014" s="3265"/>
      <c r="Z3014" s="3262"/>
      <c r="AA3014" s="3262"/>
      <c r="AB3014" s="3262"/>
      <c r="AC3014" s="3265">
        <f>$K$2899</f>
        <v>632</v>
      </c>
      <c r="AD3014" s="3262">
        <v>632</v>
      </c>
      <c r="AE3014" s="3262">
        <v>632</v>
      </c>
      <c r="AF3014" s="2236">
        <f t="shared" si="325"/>
        <v>632</v>
      </c>
      <c r="AG3014" s="1396"/>
      <c r="DG3014" s="573"/>
      <c r="DH3014" s="159"/>
      <c r="DI3014" s="1091"/>
      <c r="DJ3014" s="1187"/>
    </row>
    <row r="3015" spans="1:114" ht="15" hidden="1" customHeight="1" outlineLevel="1">
      <c r="A3015" s="453"/>
      <c r="C3015" s="51"/>
      <c r="D3015" s="4295"/>
      <c r="E3015" s="4295"/>
      <c r="F3015" s="4347" t="str">
        <f>$E$1780</f>
        <v>ASHP-SEER18-Replace_CAC_NonElectricHeat_ER2_MF_CompE</v>
      </c>
      <c r="G3015" s="4347"/>
      <c r="H3015" s="4347"/>
      <c r="I3015" s="4347"/>
      <c r="J3015" s="3471" t="str">
        <f>$C$1780</f>
        <v>354311_2024_12_</v>
      </c>
      <c r="K3015" s="3263">
        <v>632</v>
      </c>
      <c r="L3015" s="3479"/>
      <c r="M3015" s="3491" t="s">
        <v>1466</v>
      </c>
      <c r="P3015" s="261"/>
      <c r="Q3015" s="209"/>
      <c r="R3015" s="261"/>
      <c r="S3015" s="52"/>
      <c r="T3015" s="181"/>
      <c r="U3015" s="52"/>
      <c r="V3015" s="4295"/>
      <c r="W3015" s="1396"/>
      <c r="X3015" s="1396"/>
      <c r="Y3015" s="3265"/>
      <c r="Z3015" s="3262"/>
      <c r="AA3015" s="3262"/>
      <c r="AB3015" s="3262"/>
      <c r="AC3015" s="3265">
        <f>$K$2899</f>
        <v>632</v>
      </c>
      <c r="AD3015" s="3262">
        <v>632</v>
      </c>
      <c r="AE3015" s="3262">
        <v>632</v>
      </c>
      <c r="AF3015" s="2236">
        <f t="shared" si="325"/>
        <v>632</v>
      </c>
      <c r="AG3015" s="1396"/>
      <c r="DG3015" s="573"/>
      <c r="DH3015" s="159"/>
      <c r="DI3015" s="1091"/>
      <c r="DJ3015" s="1187"/>
    </row>
    <row r="3016" spans="1:114" ht="15" hidden="1" customHeight="1" outlineLevel="1">
      <c r="A3016" s="453"/>
      <c r="C3016" s="51"/>
      <c r="D3016" s="4295"/>
      <c r="E3016" s="4295"/>
      <c r="F3016" s="4307" t="str">
        <f>$E$1782</f>
        <v>ASHP-SEER18_ER1_MF</v>
      </c>
      <c r="G3016" s="4307"/>
      <c r="H3016" s="4307"/>
      <c r="I3016" s="4307"/>
      <c r="J3016" s="1029" t="str">
        <f>$C$1782</f>
        <v>354350_2024_12_</v>
      </c>
      <c r="K3016" s="1790">
        <v>869</v>
      </c>
      <c r="L3016" s="262"/>
      <c r="M3016" s="1442" t="s">
        <v>2504</v>
      </c>
      <c r="P3016" s="261"/>
      <c r="Q3016" s="209"/>
      <c r="R3016" s="261"/>
      <c r="S3016" s="52"/>
      <c r="T3016" s="181"/>
      <c r="U3016" s="52"/>
      <c r="V3016" s="4295"/>
      <c r="W3016" s="1396">
        <v>869</v>
      </c>
      <c r="X3016" s="1396">
        <v>869</v>
      </c>
      <c r="Y3016" s="1396">
        <v>869</v>
      </c>
      <c r="Z3016" s="1396">
        <v>869</v>
      </c>
      <c r="AA3016" s="1396">
        <v>869</v>
      </c>
      <c r="AB3016" s="1396">
        <v>869</v>
      </c>
      <c r="AC3016" s="1396">
        <v>869</v>
      </c>
      <c r="AD3016" s="1396">
        <v>869</v>
      </c>
      <c r="AE3016" s="1396">
        <v>869</v>
      </c>
      <c r="AF3016" s="271">
        <f t="shared" si="325"/>
        <v>869</v>
      </c>
      <c r="AG3016" s="1396"/>
      <c r="DG3016" s="573"/>
      <c r="DH3016" s="159"/>
      <c r="DI3016" s="1091"/>
      <c r="DJ3016" s="1187"/>
    </row>
    <row r="3017" spans="1:114" ht="15" hidden="1" customHeight="1" outlineLevel="1">
      <c r="A3017" s="453"/>
      <c r="C3017" s="51"/>
      <c r="D3017" s="4295"/>
      <c r="E3017" s="4295"/>
      <c r="F3017" s="4307" t="str">
        <f>$E$1784</f>
        <v>ASHP-SEER18_ER2_MF</v>
      </c>
      <c r="G3017" s="4307"/>
      <c r="H3017" s="4307"/>
      <c r="I3017" s="4307"/>
      <c r="J3017" s="1029" t="str">
        <f>$C$1784</f>
        <v>354350_2024_12_</v>
      </c>
      <c r="K3017" s="1790">
        <v>869</v>
      </c>
      <c r="L3017" s="262"/>
      <c r="M3017" s="1442" t="s">
        <v>2504</v>
      </c>
      <c r="P3017" s="261"/>
      <c r="Q3017" s="209"/>
      <c r="R3017" s="261"/>
      <c r="S3017" s="52"/>
      <c r="T3017" s="181"/>
      <c r="U3017" s="52"/>
      <c r="V3017" s="4295"/>
      <c r="W3017" s="1396">
        <v>869</v>
      </c>
      <c r="X3017" s="1396">
        <v>869</v>
      </c>
      <c r="Y3017" s="1396">
        <v>869</v>
      </c>
      <c r="Z3017" s="1396">
        <v>869</v>
      </c>
      <c r="AA3017" s="1396">
        <v>869</v>
      </c>
      <c r="AB3017" s="1396">
        <v>869</v>
      </c>
      <c r="AC3017" s="1396">
        <v>869</v>
      </c>
      <c r="AD3017" s="1396">
        <v>869</v>
      </c>
      <c r="AE3017" s="1396">
        <v>869</v>
      </c>
      <c r="AF3017" s="271">
        <f t="shared" si="325"/>
        <v>869</v>
      </c>
      <c r="AG3017" s="1396"/>
      <c r="DG3017" s="573"/>
      <c r="DH3017" s="159"/>
      <c r="DI3017" s="1091"/>
      <c r="DJ3017" s="1187"/>
    </row>
    <row r="3018" spans="1:114" ht="15" hidden="1" customHeight="1" outlineLevel="1">
      <c r="A3018" s="453"/>
      <c r="C3018" s="51"/>
      <c r="D3018" s="4295"/>
      <c r="E3018" s="4295"/>
      <c r="F3018" s="4347" t="str">
        <f>$E$1786</f>
        <v>ASHP-SEER18_ER1_MF_CompE</v>
      </c>
      <c r="G3018" s="4347"/>
      <c r="H3018" s="4347"/>
      <c r="I3018" s="4347"/>
      <c r="J3018" s="3471" t="str">
        <f>$C$1786</f>
        <v>354351_2024_12_</v>
      </c>
      <c r="K3018" s="3263">
        <v>632</v>
      </c>
      <c r="L3018" s="3479"/>
      <c r="M3018" s="3491" t="s">
        <v>1466</v>
      </c>
      <c r="P3018" s="261"/>
      <c r="Q3018" s="209"/>
      <c r="R3018" s="261"/>
      <c r="S3018" s="52"/>
      <c r="T3018" s="181"/>
      <c r="U3018" s="52"/>
      <c r="V3018" s="4295"/>
      <c r="W3018" s="1396"/>
      <c r="X3018" s="1396"/>
      <c r="Y3018" s="3265">
        <f t="shared" ref="Y3018:AA3019" si="327">$K$2899</f>
        <v>632</v>
      </c>
      <c r="Z3018" s="3262">
        <f t="shared" si="327"/>
        <v>632</v>
      </c>
      <c r="AA3018" s="3262">
        <f t="shared" si="327"/>
        <v>632</v>
      </c>
      <c r="AB3018" s="3262">
        <v>632</v>
      </c>
      <c r="AC3018" s="3262">
        <f>$K$2899</f>
        <v>632</v>
      </c>
      <c r="AD3018" s="3262">
        <v>632</v>
      </c>
      <c r="AE3018" s="3262">
        <v>632</v>
      </c>
      <c r="AF3018" s="2236">
        <f t="shared" si="325"/>
        <v>632</v>
      </c>
      <c r="AG3018" s="1396"/>
      <c r="DG3018" s="573"/>
      <c r="DH3018" s="159"/>
      <c r="DI3018" s="1091"/>
      <c r="DJ3018" s="1187"/>
    </row>
    <row r="3019" spans="1:114" ht="15" hidden="1" customHeight="1" outlineLevel="1">
      <c r="A3019" s="453"/>
      <c r="C3019" s="51"/>
      <c r="D3019" s="4295"/>
      <c r="E3019" s="4295"/>
      <c r="F3019" s="4347" t="str">
        <f>$E$1788</f>
        <v>ASHP-SEER18_ER2_MF_CompE</v>
      </c>
      <c r="G3019" s="4347"/>
      <c r="H3019" s="4347"/>
      <c r="I3019" s="4347"/>
      <c r="J3019" s="3471" t="str">
        <f>$C$1788</f>
        <v>354351_2024_12_</v>
      </c>
      <c r="K3019" s="3263">
        <v>632</v>
      </c>
      <c r="L3019" s="3479"/>
      <c r="M3019" s="3491" t="s">
        <v>1466</v>
      </c>
      <c r="P3019" s="261"/>
      <c r="Q3019" s="209"/>
      <c r="R3019" s="261"/>
      <c r="S3019" s="52"/>
      <c r="T3019" s="181"/>
      <c r="U3019" s="52"/>
      <c r="V3019" s="4295"/>
      <c r="W3019" s="1396"/>
      <c r="X3019" s="1396"/>
      <c r="Y3019" s="3265">
        <f t="shared" si="327"/>
        <v>632</v>
      </c>
      <c r="Z3019" s="3262">
        <f t="shared" si="327"/>
        <v>632</v>
      </c>
      <c r="AA3019" s="3262">
        <f t="shared" si="327"/>
        <v>632</v>
      </c>
      <c r="AB3019" s="3262">
        <v>632</v>
      </c>
      <c r="AC3019" s="3262">
        <f>$K$2899</f>
        <v>632</v>
      </c>
      <c r="AD3019" s="3262">
        <v>632</v>
      </c>
      <c r="AE3019" s="3262">
        <v>632</v>
      </c>
      <c r="AF3019" s="2236">
        <f t="shared" si="325"/>
        <v>632</v>
      </c>
      <c r="AG3019" s="1396"/>
      <c r="DG3019" s="573"/>
      <c r="DH3019" s="159"/>
      <c r="DI3019" s="1091"/>
      <c r="DJ3019" s="1187"/>
    </row>
    <row r="3020" spans="1:114" ht="15" hidden="1" customHeight="1" outlineLevel="1">
      <c r="A3020" s="453"/>
      <c r="C3020" s="51"/>
      <c r="D3020" s="4295"/>
      <c r="E3020" s="4295"/>
      <c r="F3020" s="4307" t="str">
        <f>$E$1790</f>
        <v>ASHP-SEER19-Replace_CAC_ElectricHeat_ER1_SF</v>
      </c>
      <c r="G3020" s="4307"/>
      <c r="H3020" s="4307"/>
      <c r="I3020" s="4307"/>
      <c r="J3020" s="1029" t="str">
        <f>$C$1790</f>
        <v>354400_2024_12_</v>
      </c>
      <c r="K3020" s="1790">
        <v>869</v>
      </c>
      <c r="L3020" s="262"/>
      <c r="M3020" s="1442" t="s">
        <v>2504</v>
      </c>
      <c r="P3020" s="261"/>
      <c r="Q3020" s="209"/>
      <c r="R3020" s="261"/>
      <c r="S3020" s="52"/>
      <c r="T3020" s="181"/>
      <c r="U3020" s="52"/>
      <c r="V3020" s="4295"/>
      <c r="W3020" s="1396">
        <v>869</v>
      </c>
      <c r="X3020" s="1396">
        <v>869</v>
      </c>
      <c r="Y3020" s="1396">
        <v>869</v>
      </c>
      <c r="Z3020" s="1396">
        <v>869</v>
      </c>
      <c r="AA3020" s="1396">
        <v>869</v>
      </c>
      <c r="AB3020" s="1396">
        <v>869</v>
      </c>
      <c r="AC3020" s="1396">
        <v>869</v>
      </c>
      <c r="AD3020" s="1396">
        <v>869</v>
      </c>
      <c r="AE3020" s="1396">
        <v>869</v>
      </c>
      <c r="AF3020" s="271">
        <f t="shared" si="325"/>
        <v>869</v>
      </c>
      <c r="AG3020" s="1396"/>
      <c r="DG3020" s="573"/>
      <c r="DH3020" s="159"/>
      <c r="DI3020" s="1091"/>
      <c r="DJ3020" s="1187"/>
    </row>
    <row r="3021" spans="1:114" ht="15" hidden="1" customHeight="1" outlineLevel="1">
      <c r="A3021" s="453"/>
      <c r="C3021" s="51"/>
      <c r="D3021" s="4295"/>
      <c r="E3021" s="4295"/>
      <c r="F3021" s="4307" t="str">
        <f>$E$1792</f>
        <v>ASHP-SEER19-Replace_CAC_ElectricHeat_ER2_SF</v>
      </c>
      <c r="G3021" s="4307"/>
      <c r="H3021" s="4307"/>
      <c r="I3021" s="4307"/>
      <c r="J3021" s="1029" t="str">
        <f>$C$1792</f>
        <v>354400_2024_12_</v>
      </c>
      <c r="K3021" s="1790">
        <v>869</v>
      </c>
      <c r="L3021" s="262"/>
      <c r="M3021" s="1442" t="s">
        <v>2504</v>
      </c>
      <c r="P3021" s="261"/>
      <c r="Q3021" s="209"/>
      <c r="R3021" s="261"/>
      <c r="S3021" s="52"/>
      <c r="T3021" s="181"/>
      <c r="U3021" s="52"/>
      <c r="V3021" s="4295"/>
      <c r="W3021" s="1396">
        <v>869</v>
      </c>
      <c r="X3021" s="1396">
        <v>869</v>
      </c>
      <c r="Y3021" s="1396">
        <v>869</v>
      </c>
      <c r="Z3021" s="1396">
        <v>869</v>
      </c>
      <c r="AA3021" s="1396">
        <v>869</v>
      </c>
      <c r="AB3021" s="1396">
        <v>869</v>
      </c>
      <c r="AC3021" s="1396">
        <v>869</v>
      </c>
      <c r="AD3021" s="1396">
        <v>869</v>
      </c>
      <c r="AE3021" s="1396">
        <v>869</v>
      </c>
      <c r="AF3021" s="271">
        <f t="shared" si="325"/>
        <v>869</v>
      </c>
      <c r="AG3021" s="1396"/>
      <c r="DG3021" s="573"/>
      <c r="DH3021" s="159"/>
      <c r="DI3021" s="1091"/>
      <c r="DJ3021" s="1187"/>
    </row>
    <row r="3022" spans="1:114" ht="15" hidden="1" customHeight="1" outlineLevel="1">
      <c r="A3022" s="453"/>
      <c r="C3022" s="51"/>
      <c r="D3022" s="4295"/>
      <c r="E3022" s="4295"/>
      <c r="F3022" s="4307" t="str">
        <f>$E$1794</f>
        <v>ASHP-SEER19-Replace_CAC_NonElectricHeat_ER1_SF</v>
      </c>
      <c r="G3022" s="4307"/>
      <c r="H3022" s="4307"/>
      <c r="I3022" s="4307"/>
      <c r="J3022" s="1029" t="str">
        <f>$C$1794</f>
        <v>354410_2024_12_</v>
      </c>
      <c r="K3022" s="1790">
        <v>869</v>
      </c>
      <c r="L3022" s="262"/>
      <c r="M3022" s="1442" t="s">
        <v>2504</v>
      </c>
      <c r="P3022" s="261"/>
      <c r="Q3022" s="209"/>
      <c r="R3022" s="261"/>
      <c r="S3022" s="52"/>
      <c r="T3022" s="181"/>
      <c r="U3022" s="52"/>
      <c r="V3022" s="4295"/>
      <c r="W3022" s="1396"/>
      <c r="X3022" s="1396"/>
      <c r="Y3022" s="1396"/>
      <c r="Z3022" s="1396"/>
      <c r="AA3022" s="1396"/>
      <c r="AB3022" s="1396"/>
      <c r="AC3022" s="833">
        <v>869</v>
      </c>
      <c r="AD3022" s="1396">
        <v>869</v>
      </c>
      <c r="AE3022" s="1396">
        <v>869</v>
      </c>
      <c r="AF3022" s="271">
        <f t="shared" si="325"/>
        <v>869</v>
      </c>
      <c r="AG3022" s="1396"/>
      <c r="DG3022" s="573"/>
      <c r="DH3022" s="159"/>
      <c r="DI3022" s="1091"/>
      <c r="DJ3022" s="1187"/>
    </row>
    <row r="3023" spans="1:114" ht="15" hidden="1" customHeight="1" outlineLevel="1">
      <c r="A3023" s="453"/>
      <c r="C3023" s="51"/>
      <c r="D3023" s="4295"/>
      <c r="E3023" s="4295"/>
      <c r="F3023" s="4307" t="str">
        <f>$E$1796</f>
        <v>ASHP-SEER19-Replace_CAC_NonElectricHeat_ER2_SF</v>
      </c>
      <c r="G3023" s="4307"/>
      <c r="H3023" s="4307"/>
      <c r="I3023" s="4307"/>
      <c r="J3023" s="1029" t="str">
        <f>$C$1796</f>
        <v>354410_2024_12_</v>
      </c>
      <c r="K3023" s="1790">
        <v>869</v>
      </c>
      <c r="L3023" s="262"/>
      <c r="M3023" s="1442" t="s">
        <v>2504</v>
      </c>
      <c r="P3023" s="261"/>
      <c r="Q3023" s="209"/>
      <c r="R3023" s="261"/>
      <c r="S3023" s="52"/>
      <c r="T3023" s="181"/>
      <c r="U3023" s="52"/>
      <c r="V3023" s="4295"/>
      <c r="W3023" s="1396"/>
      <c r="X3023" s="1396"/>
      <c r="Y3023" s="1396"/>
      <c r="Z3023" s="1396"/>
      <c r="AA3023" s="1396"/>
      <c r="AB3023" s="1396"/>
      <c r="AC3023" s="833">
        <v>869</v>
      </c>
      <c r="AD3023" s="1396">
        <v>869</v>
      </c>
      <c r="AE3023" s="1396">
        <v>869</v>
      </c>
      <c r="AF3023" s="271">
        <f t="shared" si="325"/>
        <v>869</v>
      </c>
      <c r="AG3023" s="1396"/>
      <c r="DG3023" s="573"/>
      <c r="DH3023" s="159"/>
      <c r="DI3023" s="1091"/>
      <c r="DJ3023" s="1187"/>
    </row>
    <row r="3024" spans="1:114" ht="15" hidden="1" customHeight="1" outlineLevel="1">
      <c r="A3024" s="453"/>
      <c r="C3024" s="51"/>
      <c r="D3024" s="4295"/>
      <c r="E3024" s="4295"/>
      <c r="F3024" s="4307" t="str">
        <f>$E$1798</f>
        <v>ASHP-SEER19-Replace_CAC_ElectricHeat_ER1_MF</v>
      </c>
      <c r="G3024" s="4307"/>
      <c r="H3024" s="4307"/>
      <c r="I3024" s="4307"/>
      <c r="J3024" s="1029" t="str">
        <f>$C$1798</f>
        <v>354450_2024_12_</v>
      </c>
      <c r="K3024" s="1790">
        <v>869</v>
      </c>
      <c r="L3024" s="262"/>
      <c r="M3024" s="1442" t="s">
        <v>2504</v>
      </c>
      <c r="P3024" s="261"/>
      <c r="Q3024" s="209"/>
      <c r="R3024" s="261"/>
      <c r="S3024" s="52"/>
      <c r="T3024" s="181"/>
      <c r="U3024" s="52"/>
      <c r="V3024" s="4295"/>
      <c r="W3024" s="1396">
        <v>869</v>
      </c>
      <c r="X3024" s="1396">
        <v>869</v>
      </c>
      <c r="Y3024" s="1396">
        <v>869</v>
      </c>
      <c r="Z3024" s="1396">
        <v>869</v>
      </c>
      <c r="AA3024" s="1396">
        <v>869</v>
      </c>
      <c r="AB3024" s="1396">
        <v>869</v>
      </c>
      <c r="AC3024" s="1396">
        <v>869</v>
      </c>
      <c r="AD3024" s="1396">
        <v>869</v>
      </c>
      <c r="AE3024" s="1396">
        <v>869</v>
      </c>
      <c r="AF3024" s="271">
        <f t="shared" si="325"/>
        <v>869</v>
      </c>
      <c r="AG3024" s="1396"/>
      <c r="DG3024" s="573"/>
      <c r="DH3024" s="159"/>
      <c r="DI3024" s="1091"/>
      <c r="DJ3024" s="1187"/>
    </row>
    <row r="3025" spans="1:114" ht="15" hidden="1" customHeight="1" outlineLevel="1">
      <c r="A3025" s="453"/>
      <c r="C3025" s="51"/>
      <c r="D3025" s="4295"/>
      <c r="E3025" s="4295"/>
      <c r="F3025" s="4307" t="str">
        <f>$E$1800</f>
        <v>ASHP-SEER19-Replace_CAC_ElectricHeat_ER2_MF</v>
      </c>
      <c r="G3025" s="4307"/>
      <c r="H3025" s="4307"/>
      <c r="I3025" s="4307"/>
      <c r="J3025" s="1029" t="str">
        <f>$C$1800</f>
        <v>354450_2024_12_</v>
      </c>
      <c r="K3025" s="1790">
        <v>869</v>
      </c>
      <c r="L3025" s="262"/>
      <c r="M3025" s="1442" t="s">
        <v>2504</v>
      </c>
      <c r="P3025" s="261"/>
      <c r="Q3025" s="209"/>
      <c r="R3025" s="261"/>
      <c r="S3025" s="52"/>
      <c r="T3025" s="181"/>
      <c r="U3025" s="52"/>
      <c r="V3025" s="4295"/>
      <c r="W3025" s="1396">
        <v>869</v>
      </c>
      <c r="X3025" s="1396">
        <v>869</v>
      </c>
      <c r="Y3025" s="1396">
        <v>869</v>
      </c>
      <c r="Z3025" s="1396">
        <v>869</v>
      </c>
      <c r="AA3025" s="1396">
        <v>869</v>
      </c>
      <c r="AB3025" s="1396">
        <v>869</v>
      </c>
      <c r="AC3025" s="1396">
        <v>869</v>
      </c>
      <c r="AD3025" s="1396">
        <v>869</v>
      </c>
      <c r="AE3025" s="1396">
        <v>869</v>
      </c>
      <c r="AF3025" s="271">
        <f t="shared" si="325"/>
        <v>869</v>
      </c>
      <c r="AG3025" s="1396"/>
      <c r="DG3025" s="573"/>
      <c r="DH3025" s="159"/>
      <c r="DI3025" s="1091"/>
      <c r="DJ3025" s="1187"/>
    </row>
    <row r="3026" spans="1:114" ht="15" hidden="1" customHeight="1" outlineLevel="1">
      <c r="A3026" s="453"/>
      <c r="C3026" s="51"/>
      <c r="D3026" s="4295"/>
      <c r="E3026" s="4295"/>
      <c r="F3026" s="4347" t="str">
        <f>$E$1802</f>
        <v>ASHP-SEER19-Replace_CAC_ElectricHeat_ER1_MF_CompE</v>
      </c>
      <c r="G3026" s="4347"/>
      <c r="H3026" s="4347"/>
      <c r="I3026" s="4347"/>
      <c r="J3026" s="3471" t="str">
        <f>$C$1802</f>
        <v>354451_2024_12_</v>
      </c>
      <c r="K3026" s="3263">
        <v>632</v>
      </c>
      <c r="L3026" s="3479"/>
      <c r="M3026" s="3491" t="s">
        <v>1466</v>
      </c>
      <c r="P3026" s="261"/>
      <c r="Q3026" s="209"/>
      <c r="R3026" s="261"/>
      <c r="S3026" s="52"/>
      <c r="T3026" s="181"/>
      <c r="U3026" s="52"/>
      <c r="V3026" s="4295"/>
      <c r="W3026" s="1396"/>
      <c r="X3026" s="1396"/>
      <c r="Y3026" s="3265">
        <f t="shared" ref="Y3026:AA3027" si="328">$K$2899</f>
        <v>632</v>
      </c>
      <c r="Z3026" s="3262">
        <f t="shared" si="328"/>
        <v>632</v>
      </c>
      <c r="AA3026" s="3262">
        <f t="shared" si="328"/>
        <v>632</v>
      </c>
      <c r="AB3026" s="3262">
        <v>632</v>
      </c>
      <c r="AC3026" s="3262">
        <f>$K$2899</f>
        <v>632</v>
      </c>
      <c r="AD3026" s="3262">
        <v>632</v>
      </c>
      <c r="AE3026" s="3262">
        <v>632</v>
      </c>
      <c r="AF3026" s="2236">
        <f t="shared" si="325"/>
        <v>632</v>
      </c>
      <c r="AG3026" s="1396"/>
      <c r="DG3026" s="573"/>
      <c r="DH3026" s="159"/>
      <c r="DI3026" s="1091"/>
      <c r="DJ3026" s="1187"/>
    </row>
    <row r="3027" spans="1:114" ht="15" hidden="1" customHeight="1" outlineLevel="1">
      <c r="A3027" s="453"/>
      <c r="C3027" s="51"/>
      <c r="D3027" s="4295"/>
      <c r="E3027" s="4295"/>
      <c r="F3027" s="4347" t="str">
        <f>$E$1804</f>
        <v>ASHP-SEER19-Replace_CAC_ElectricHeat_ER2_MF_CompE</v>
      </c>
      <c r="G3027" s="4347"/>
      <c r="H3027" s="4347"/>
      <c r="I3027" s="4347"/>
      <c r="J3027" s="3471" t="str">
        <f>$C$1804</f>
        <v>354451_2024_12_</v>
      </c>
      <c r="K3027" s="3263">
        <v>632</v>
      </c>
      <c r="L3027" s="3479"/>
      <c r="M3027" s="3491" t="s">
        <v>1466</v>
      </c>
      <c r="P3027" s="261"/>
      <c r="Q3027" s="209"/>
      <c r="R3027" s="261"/>
      <c r="S3027" s="52"/>
      <c r="T3027" s="181"/>
      <c r="U3027" s="52"/>
      <c r="V3027" s="4295"/>
      <c r="W3027" s="1396"/>
      <c r="X3027" s="1396"/>
      <c r="Y3027" s="3265">
        <f t="shared" si="328"/>
        <v>632</v>
      </c>
      <c r="Z3027" s="3262">
        <f t="shared" si="328"/>
        <v>632</v>
      </c>
      <c r="AA3027" s="3262">
        <f t="shared" si="328"/>
        <v>632</v>
      </c>
      <c r="AB3027" s="3262">
        <v>632</v>
      </c>
      <c r="AC3027" s="3262">
        <f>$K$2899</f>
        <v>632</v>
      </c>
      <c r="AD3027" s="3262">
        <v>632</v>
      </c>
      <c r="AE3027" s="3262">
        <v>632</v>
      </c>
      <c r="AF3027" s="2236">
        <f t="shared" si="325"/>
        <v>632</v>
      </c>
      <c r="AG3027" s="1396"/>
      <c r="DG3027" s="573"/>
      <c r="DH3027" s="159"/>
      <c r="DI3027" s="1091"/>
      <c r="DJ3027" s="1187"/>
    </row>
    <row r="3028" spans="1:114" ht="15" hidden="1" customHeight="1" outlineLevel="1">
      <c r="A3028" s="453"/>
      <c r="C3028" s="51"/>
      <c r="D3028" s="4295"/>
      <c r="E3028" s="4295"/>
      <c r="F3028" s="4347" t="str">
        <f>$E$1806</f>
        <v>ASHP-SEER19-Replace_CAC_NonElectricHeat_ER1_MF</v>
      </c>
      <c r="G3028" s="4347"/>
      <c r="H3028" s="4347"/>
      <c r="I3028" s="4347"/>
      <c r="J3028" s="3471" t="str">
        <f>$C$1806</f>
        <v>354460_2024_12_</v>
      </c>
      <c r="K3028" s="3263">
        <v>869</v>
      </c>
      <c r="L3028" s="3479"/>
      <c r="M3028" s="2962" t="s">
        <v>2504</v>
      </c>
      <c r="P3028" s="261"/>
      <c r="Q3028" s="209"/>
      <c r="R3028" s="261"/>
      <c r="S3028" s="52"/>
      <c r="T3028" s="181"/>
      <c r="U3028" s="52"/>
      <c r="V3028" s="4295"/>
      <c r="W3028" s="1396"/>
      <c r="X3028" s="1396"/>
      <c r="Y3028" s="3265"/>
      <c r="Z3028" s="3262"/>
      <c r="AA3028" s="3262"/>
      <c r="AB3028" s="3262"/>
      <c r="AC3028" s="3265">
        <v>869</v>
      </c>
      <c r="AD3028" s="3262">
        <v>869</v>
      </c>
      <c r="AE3028" s="3262">
        <v>869</v>
      </c>
      <c r="AF3028" s="2236">
        <f t="shared" si="325"/>
        <v>869</v>
      </c>
      <c r="AG3028" s="1396"/>
      <c r="DG3028" s="573"/>
      <c r="DH3028" s="159"/>
      <c r="DI3028" s="1091"/>
      <c r="DJ3028" s="1187"/>
    </row>
    <row r="3029" spans="1:114" ht="15" hidden="1" customHeight="1" outlineLevel="1">
      <c r="A3029" s="453"/>
      <c r="C3029" s="51"/>
      <c r="D3029" s="4295"/>
      <c r="E3029" s="4295"/>
      <c r="F3029" s="4347" t="str">
        <f>$E$1808</f>
        <v>ASHP-SEER19-Replace_CAC_NonElectricHeat_ER2_MF</v>
      </c>
      <c r="G3029" s="4347"/>
      <c r="H3029" s="4347"/>
      <c r="I3029" s="4347"/>
      <c r="J3029" s="3471" t="str">
        <f>$C$1808</f>
        <v>354460_2024_12_</v>
      </c>
      <c r="K3029" s="3263">
        <v>869</v>
      </c>
      <c r="L3029" s="3479"/>
      <c r="M3029" s="2962" t="s">
        <v>2504</v>
      </c>
      <c r="P3029" s="261"/>
      <c r="Q3029" s="209"/>
      <c r="R3029" s="261"/>
      <c r="S3029" s="52"/>
      <c r="T3029" s="181"/>
      <c r="U3029" s="52"/>
      <c r="V3029" s="4295"/>
      <c r="W3029" s="1396"/>
      <c r="X3029" s="1396"/>
      <c r="Y3029" s="3265"/>
      <c r="Z3029" s="3262"/>
      <c r="AA3029" s="3262"/>
      <c r="AB3029" s="3262"/>
      <c r="AC3029" s="3265">
        <v>869</v>
      </c>
      <c r="AD3029" s="3262">
        <v>869</v>
      </c>
      <c r="AE3029" s="3262">
        <v>869</v>
      </c>
      <c r="AF3029" s="2236">
        <f t="shared" si="325"/>
        <v>869</v>
      </c>
      <c r="AG3029" s="1396"/>
      <c r="DG3029" s="573"/>
      <c r="DH3029" s="159"/>
      <c r="DI3029" s="1091"/>
      <c r="DJ3029" s="1187"/>
    </row>
    <row r="3030" spans="1:114" ht="15" hidden="1" customHeight="1" outlineLevel="1">
      <c r="A3030" s="453"/>
      <c r="C3030" s="51"/>
      <c r="D3030" s="4295"/>
      <c r="E3030" s="4295"/>
      <c r="F3030" s="4347" t="str">
        <f>$E$1810</f>
        <v>ASHP-SEER19-Replace_CAC_NonElectricHeat_ER1_MF_CompE</v>
      </c>
      <c r="G3030" s="4347"/>
      <c r="H3030" s="4347"/>
      <c r="I3030" s="4347"/>
      <c r="J3030" s="3471" t="str">
        <f>$C$1810</f>
        <v>354461_2024_12_</v>
      </c>
      <c r="K3030" s="3263">
        <v>632</v>
      </c>
      <c r="L3030" s="3479"/>
      <c r="M3030" s="3491" t="s">
        <v>1466</v>
      </c>
      <c r="P3030" s="261"/>
      <c r="Q3030" s="209"/>
      <c r="R3030" s="261"/>
      <c r="S3030" s="52"/>
      <c r="T3030" s="181"/>
      <c r="U3030" s="52"/>
      <c r="V3030" s="4295"/>
      <c r="W3030" s="1396"/>
      <c r="X3030" s="1396"/>
      <c r="Y3030" s="3265"/>
      <c r="Z3030" s="3262"/>
      <c r="AA3030" s="3262"/>
      <c r="AB3030" s="3262"/>
      <c r="AC3030" s="3265">
        <f>$K$2899</f>
        <v>632</v>
      </c>
      <c r="AD3030" s="3262">
        <v>632</v>
      </c>
      <c r="AE3030" s="3262">
        <v>632</v>
      </c>
      <c r="AF3030" s="2236">
        <f t="shared" si="325"/>
        <v>632</v>
      </c>
      <c r="AG3030" s="1396"/>
      <c r="DG3030" s="573"/>
      <c r="DH3030" s="159"/>
      <c r="DI3030" s="1091"/>
      <c r="DJ3030" s="1187"/>
    </row>
    <row r="3031" spans="1:114" ht="15" hidden="1" customHeight="1" outlineLevel="1">
      <c r="A3031" s="453"/>
      <c r="C3031" s="51"/>
      <c r="D3031" s="4295"/>
      <c r="E3031" s="4295"/>
      <c r="F3031" s="4347" t="str">
        <f>$E$1812</f>
        <v>ASHP-SEER19-Replace_CAC_NonElectricHeat_ER2_MF_CompE</v>
      </c>
      <c r="G3031" s="4347"/>
      <c r="H3031" s="4347"/>
      <c r="I3031" s="4347"/>
      <c r="J3031" s="3471" t="str">
        <f>$C$1812</f>
        <v>354461_2024_12_</v>
      </c>
      <c r="K3031" s="3263">
        <v>632</v>
      </c>
      <c r="L3031" s="3479"/>
      <c r="M3031" s="3491" t="s">
        <v>1466</v>
      </c>
      <c r="P3031" s="261"/>
      <c r="Q3031" s="209"/>
      <c r="R3031" s="261"/>
      <c r="S3031" s="52"/>
      <c r="T3031" s="181"/>
      <c r="U3031" s="52"/>
      <c r="V3031" s="4295"/>
      <c r="W3031" s="1396"/>
      <c r="X3031" s="1396"/>
      <c r="Y3031" s="3265"/>
      <c r="Z3031" s="3262"/>
      <c r="AA3031" s="3262"/>
      <c r="AB3031" s="3262"/>
      <c r="AC3031" s="3265">
        <f>$K$2899</f>
        <v>632</v>
      </c>
      <c r="AD3031" s="3262">
        <v>632</v>
      </c>
      <c r="AE3031" s="3262">
        <v>632</v>
      </c>
      <c r="AF3031" s="2236">
        <f t="shared" si="325"/>
        <v>632</v>
      </c>
      <c r="AG3031" s="1396"/>
      <c r="DG3031" s="573"/>
      <c r="DH3031" s="159"/>
      <c r="DI3031" s="1091"/>
      <c r="DJ3031" s="1187"/>
    </row>
    <row r="3032" spans="1:114" ht="15" hidden="1" customHeight="1" outlineLevel="1">
      <c r="A3032" s="453"/>
      <c r="C3032" s="51"/>
      <c r="D3032" s="4295"/>
      <c r="E3032" s="4295"/>
      <c r="F3032" s="4307" t="str">
        <f>$E$1814</f>
        <v>ASHP-SEER19_ER1_MF</v>
      </c>
      <c r="G3032" s="4307"/>
      <c r="H3032" s="4307"/>
      <c r="I3032" s="4307"/>
      <c r="J3032" s="1029" t="str">
        <f>$C$1814</f>
        <v>354500_2024_12_</v>
      </c>
      <c r="K3032" s="1790">
        <v>869</v>
      </c>
      <c r="L3032" s="262"/>
      <c r="M3032" s="1442" t="s">
        <v>2504</v>
      </c>
      <c r="P3032" s="261"/>
      <c r="Q3032" s="209"/>
      <c r="R3032" s="261"/>
      <c r="S3032" s="52"/>
      <c r="T3032" s="181"/>
      <c r="U3032" s="52"/>
      <c r="V3032" s="4295"/>
      <c r="W3032" s="1396">
        <v>869</v>
      </c>
      <c r="X3032" s="1396">
        <v>869</v>
      </c>
      <c r="Y3032" s="1396">
        <v>869</v>
      </c>
      <c r="Z3032" s="1396">
        <v>869</v>
      </c>
      <c r="AA3032" s="1396">
        <v>869</v>
      </c>
      <c r="AB3032" s="1396">
        <v>869</v>
      </c>
      <c r="AC3032" s="1396">
        <v>869</v>
      </c>
      <c r="AD3032" s="1396">
        <v>869</v>
      </c>
      <c r="AE3032" s="1396">
        <v>869</v>
      </c>
      <c r="AF3032" s="271">
        <f t="shared" si="325"/>
        <v>869</v>
      </c>
      <c r="AG3032" s="1396"/>
      <c r="DG3032" s="573"/>
      <c r="DH3032" s="159"/>
      <c r="DI3032" s="1091"/>
      <c r="DJ3032" s="1187"/>
    </row>
    <row r="3033" spans="1:114" ht="15" hidden="1" customHeight="1" outlineLevel="1">
      <c r="A3033" s="453"/>
      <c r="C3033" s="51"/>
      <c r="D3033" s="4295"/>
      <c r="E3033" s="4295"/>
      <c r="F3033" s="4307" t="str">
        <f>$E$1816</f>
        <v>ASHP-SEER19_ER2_MF</v>
      </c>
      <c r="G3033" s="4307"/>
      <c r="H3033" s="4307"/>
      <c r="I3033" s="4307"/>
      <c r="J3033" s="1029" t="str">
        <f>$C$1816</f>
        <v>354500_2024_12_</v>
      </c>
      <c r="K3033" s="1790">
        <v>869</v>
      </c>
      <c r="L3033" s="262"/>
      <c r="M3033" s="1442" t="s">
        <v>2504</v>
      </c>
      <c r="P3033" s="261"/>
      <c r="Q3033" s="209"/>
      <c r="R3033" s="261"/>
      <c r="S3033" s="52"/>
      <c r="T3033" s="181"/>
      <c r="U3033" s="52"/>
      <c r="V3033" s="4295"/>
      <c r="W3033" s="1396">
        <v>869</v>
      </c>
      <c r="X3033" s="1396">
        <v>869</v>
      </c>
      <c r="Y3033" s="1396">
        <v>869</v>
      </c>
      <c r="Z3033" s="1396">
        <v>869</v>
      </c>
      <c r="AA3033" s="1396">
        <v>869</v>
      </c>
      <c r="AB3033" s="1396">
        <v>869</v>
      </c>
      <c r="AC3033" s="1396">
        <v>869</v>
      </c>
      <c r="AD3033" s="1396">
        <v>869</v>
      </c>
      <c r="AE3033" s="1396">
        <v>869</v>
      </c>
      <c r="AF3033" s="271">
        <f t="shared" si="325"/>
        <v>869</v>
      </c>
      <c r="AG3033" s="1396"/>
      <c r="DG3033" s="573"/>
      <c r="DH3033" s="159"/>
      <c r="DI3033" s="1091"/>
      <c r="DJ3033" s="1187"/>
    </row>
    <row r="3034" spans="1:114" ht="15" hidden="1" customHeight="1" outlineLevel="1">
      <c r="A3034" s="453"/>
      <c r="C3034" s="51"/>
      <c r="D3034" s="4295"/>
      <c r="E3034" s="4295"/>
      <c r="F3034" s="4347" t="str">
        <f>$E$1818</f>
        <v>ASHP-SEER19_ER1_MF_CompE</v>
      </c>
      <c r="G3034" s="4347"/>
      <c r="H3034" s="4347"/>
      <c r="I3034" s="4347"/>
      <c r="J3034" s="3471" t="str">
        <f>$C$1818</f>
        <v>354501_2024_12_</v>
      </c>
      <c r="K3034" s="3263">
        <v>632</v>
      </c>
      <c r="L3034" s="3479"/>
      <c r="M3034" s="3491" t="s">
        <v>1466</v>
      </c>
      <c r="P3034" s="261"/>
      <c r="Q3034" s="209"/>
      <c r="R3034" s="261"/>
      <c r="S3034" s="52"/>
      <c r="T3034" s="181"/>
      <c r="U3034" s="52"/>
      <c r="V3034" s="4295"/>
      <c r="W3034" s="1396"/>
      <c r="X3034" s="1396"/>
      <c r="Y3034" s="3265">
        <f t="shared" ref="Y3034:AA3035" si="329">$K$2899</f>
        <v>632</v>
      </c>
      <c r="Z3034" s="3262">
        <f t="shared" si="329"/>
        <v>632</v>
      </c>
      <c r="AA3034" s="3262">
        <f t="shared" si="329"/>
        <v>632</v>
      </c>
      <c r="AB3034" s="3262">
        <v>632</v>
      </c>
      <c r="AC3034" s="3262">
        <f>$K$2899</f>
        <v>632</v>
      </c>
      <c r="AD3034" s="3262">
        <v>632</v>
      </c>
      <c r="AE3034" s="3262">
        <v>632</v>
      </c>
      <c r="AF3034" s="2236">
        <f t="shared" si="325"/>
        <v>632</v>
      </c>
      <c r="AG3034" s="1396"/>
      <c r="DG3034" s="573"/>
      <c r="DH3034" s="159"/>
      <c r="DI3034" s="1091"/>
      <c r="DJ3034" s="1187"/>
    </row>
    <row r="3035" spans="1:114" ht="15" hidden="1" customHeight="1" outlineLevel="1">
      <c r="A3035" s="453"/>
      <c r="C3035" s="51"/>
      <c r="D3035" s="4295"/>
      <c r="E3035" s="4295"/>
      <c r="F3035" s="4347" t="str">
        <f>$E$1820</f>
        <v>ASHP-SEER19_ER2_MF_CompE</v>
      </c>
      <c r="G3035" s="4347"/>
      <c r="H3035" s="4347"/>
      <c r="I3035" s="4347"/>
      <c r="J3035" s="3471" t="str">
        <f>$C$1820</f>
        <v>354501_2024_12_</v>
      </c>
      <c r="K3035" s="3263">
        <v>632</v>
      </c>
      <c r="L3035" s="3479"/>
      <c r="M3035" s="3491" t="s">
        <v>1466</v>
      </c>
      <c r="P3035" s="261"/>
      <c r="Q3035" s="209"/>
      <c r="R3035" s="261"/>
      <c r="S3035" s="52"/>
      <c r="T3035" s="181"/>
      <c r="U3035" s="52"/>
      <c r="V3035" s="4295"/>
      <c r="W3035" s="1396"/>
      <c r="X3035" s="1396"/>
      <c r="Y3035" s="3265">
        <f t="shared" si="329"/>
        <v>632</v>
      </c>
      <c r="Z3035" s="3262">
        <f t="shared" si="329"/>
        <v>632</v>
      </c>
      <c r="AA3035" s="3262">
        <f t="shared" si="329"/>
        <v>632</v>
      </c>
      <c r="AB3035" s="3262">
        <v>632</v>
      </c>
      <c r="AC3035" s="3262">
        <f>$K$2899</f>
        <v>632</v>
      </c>
      <c r="AD3035" s="3262">
        <v>632</v>
      </c>
      <c r="AE3035" s="3262">
        <v>632</v>
      </c>
      <c r="AF3035" s="2236">
        <f t="shared" si="325"/>
        <v>632</v>
      </c>
      <c r="AG3035" s="1396"/>
      <c r="DG3035" s="573"/>
      <c r="DH3035" s="159"/>
      <c r="DI3035" s="1091"/>
      <c r="DJ3035" s="1187"/>
    </row>
    <row r="3036" spans="1:114" ht="15" hidden="1" customHeight="1" outlineLevel="1">
      <c r="A3036" s="453"/>
      <c r="C3036" s="51"/>
      <c r="D3036" s="4295"/>
      <c r="E3036" s="4295"/>
      <c r="F3036" s="4307" t="str">
        <f>$E$1822</f>
        <v>ASHP-SEER20_ER1_SF</v>
      </c>
      <c r="G3036" s="4307"/>
      <c r="H3036" s="4307"/>
      <c r="I3036" s="4307"/>
      <c r="J3036" s="1029" t="str">
        <f>$C$1822</f>
        <v>354550_2024_12_</v>
      </c>
      <c r="K3036" s="1790">
        <v>869</v>
      </c>
      <c r="L3036" s="262"/>
      <c r="M3036" s="1442" t="s">
        <v>2504</v>
      </c>
      <c r="P3036" s="261"/>
      <c r="Q3036" s="209"/>
      <c r="R3036" s="261"/>
      <c r="S3036" s="52"/>
      <c r="T3036" s="181"/>
      <c r="U3036" s="52"/>
      <c r="V3036" s="4295"/>
      <c r="W3036" s="1396">
        <v>869</v>
      </c>
      <c r="X3036" s="1396">
        <v>869</v>
      </c>
      <c r="Y3036" s="1396">
        <v>869</v>
      </c>
      <c r="Z3036" s="1396">
        <v>869</v>
      </c>
      <c r="AA3036" s="1396">
        <v>869</v>
      </c>
      <c r="AB3036" s="1396">
        <v>869</v>
      </c>
      <c r="AC3036" s="1396">
        <v>869</v>
      </c>
      <c r="AD3036" s="1396">
        <v>869</v>
      </c>
      <c r="AE3036" s="1396">
        <v>869</v>
      </c>
      <c r="AF3036" s="271">
        <f t="shared" si="325"/>
        <v>869</v>
      </c>
      <c r="AG3036" s="1396"/>
      <c r="DG3036" s="573"/>
      <c r="DH3036" s="159"/>
      <c r="DI3036" s="1091"/>
      <c r="DJ3036" s="1187"/>
    </row>
    <row r="3037" spans="1:114" ht="15" hidden="1" customHeight="1" outlineLevel="1">
      <c r="A3037" s="453"/>
      <c r="C3037" s="51"/>
      <c r="D3037" s="4295"/>
      <c r="E3037" s="4295"/>
      <c r="F3037" s="4307" t="str">
        <f>$E$1824</f>
        <v>ASHP-SEER20_ER2_SF</v>
      </c>
      <c r="G3037" s="4307"/>
      <c r="H3037" s="4307"/>
      <c r="I3037" s="4307"/>
      <c r="J3037" s="1029" t="str">
        <f>$C$1824</f>
        <v>354550_2024_12_</v>
      </c>
      <c r="K3037" s="1790">
        <v>869</v>
      </c>
      <c r="L3037" s="262"/>
      <c r="M3037" s="1442" t="s">
        <v>2504</v>
      </c>
      <c r="P3037" s="261"/>
      <c r="Q3037" s="209"/>
      <c r="R3037" s="261"/>
      <c r="S3037" s="52"/>
      <c r="T3037" s="181"/>
      <c r="U3037" s="52"/>
      <c r="V3037" s="4295"/>
      <c r="W3037" s="1396">
        <v>869</v>
      </c>
      <c r="X3037" s="1396">
        <v>869</v>
      </c>
      <c r="Y3037" s="1396">
        <v>869</v>
      </c>
      <c r="Z3037" s="1396">
        <v>869</v>
      </c>
      <c r="AA3037" s="1396">
        <v>869</v>
      </c>
      <c r="AB3037" s="1396">
        <v>869</v>
      </c>
      <c r="AC3037" s="1396">
        <v>869</v>
      </c>
      <c r="AD3037" s="1396">
        <v>869</v>
      </c>
      <c r="AE3037" s="1396">
        <v>869</v>
      </c>
      <c r="AF3037" s="271">
        <f t="shared" si="325"/>
        <v>869</v>
      </c>
      <c r="AG3037" s="1396"/>
      <c r="DG3037" s="573"/>
      <c r="DH3037" s="159"/>
      <c r="DI3037" s="1091"/>
      <c r="DJ3037" s="1187"/>
    </row>
    <row r="3038" spans="1:114" ht="15" hidden="1" customHeight="1" outlineLevel="1">
      <c r="A3038" s="453"/>
      <c r="C3038" s="51"/>
      <c r="D3038" s="4295"/>
      <c r="E3038" s="4295"/>
      <c r="F3038" s="4307" t="str">
        <f>$E$1826</f>
        <v>ASHP-SEER20_ROF_SF</v>
      </c>
      <c r="G3038" s="4307"/>
      <c r="H3038" s="4307"/>
      <c r="I3038" s="4307"/>
      <c r="J3038" s="1029" t="str">
        <f>$C$1826</f>
        <v>354600_2024_12_</v>
      </c>
      <c r="K3038" s="1790">
        <v>869</v>
      </c>
      <c r="L3038" s="262"/>
      <c r="M3038" s="1442" t="s">
        <v>2504</v>
      </c>
      <c r="P3038" s="261"/>
      <c r="Q3038" s="209"/>
      <c r="R3038" s="261"/>
      <c r="S3038" s="52"/>
      <c r="T3038" s="181"/>
      <c r="U3038" s="52"/>
      <c r="V3038" s="4295"/>
      <c r="W3038" s="1396">
        <v>869</v>
      </c>
      <c r="X3038" s="1396">
        <v>869</v>
      </c>
      <c r="Y3038" s="1396">
        <v>869</v>
      </c>
      <c r="Z3038" s="1396">
        <v>869</v>
      </c>
      <c r="AA3038" s="1396">
        <v>869</v>
      </c>
      <c r="AB3038" s="1396">
        <v>869</v>
      </c>
      <c r="AC3038" s="1396">
        <v>869</v>
      </c>
      <c r="AD3038" s="1396">
        <v>869</v>
      </c>
      <c r="AE3038" s="1396">
        <v>869</v>
      </c>
      <c r="AF3038" s="271">
        <f t="shared" si="325"/>
        <v>869</v>
      </c>
      <c r="AG3038" s="1396"/>
      <c r="DG3038" s="573"/>
      <c r="DH3038" s="159"/>
      <c r="DI3038" s="1091"/>
      <c r="DJ3038" s="1187"/>
    </row>
    <row r="3039" spans="1:114" ht="15" hidden="1" customHeight="1" outlineLevel="1">
      <c r="A3039" s="453"/>
      <c r="C3039" s="51"/>
      <c r="D3039" s="4295"/>
      <c r="E3039" s="4295"/>
      <c r="F3039" s="4307" t="str">
        <f>$E$1828</f>
        <v>ASHP-SEER20-Replace_CAC_ElectricHeat_ER1_MF</v>
      </c>
      <c r="G3039" s="4307"/>
      <c r="H3039" s="4307"/>
      <c r="I3039" s="4307"/>
      <c r="J3039" s="1029" t="str">
        <f>$C$1828</f>
        <v>354650_2024_12_</v>
      </c>
      <c r="K3039" s="1790">
        <v>869</v>
      </c>
      <c r="L3039" s="262"/>
      <c r="M3039" s="1442" t="s">
        <v>2504</v>
      </c>
      <c r="P3039" s="261"/>
      <c r="Q3039" s="209"/>
      <c r="R3039" s="261"/>
      <c r="S3039" s="52"/>
      <c r="T3039" s="181"/>
      <c r="U3039" s="52"/>
      <c r="V3039" s="4295"/>
      <c r="W3039" s="1396">
        <v>869</v>
      </c>
      <c r="X3039" s="1396">
        <v>869</v>
      </c>
      <c r="Y3039" s="1396">
        <v>869</v>
      </c>
      <c r="Z3039" s="1396">
        <v>869</v>
      </c>
      <c r="AA3039" s="1396">
        <v>869</v>
      </c>
      <c r="AB3039" s="1396">
        <v>869</v>
      </c>
      <c r="AC3039" s="1396">
        <v>869</v>
      </c>
      <c r="AD3039" s="1396">
        <v>869</v>
      </c>
      <c r="AE3039" s="1396">
        <v>869</v>
      </c>
      <c r="AF3039" s="271">
        <f t="shared" si="325"/>
        <v>869</v>
      </c>
      <c r="AG3039" s="1396"/>
      <c r="DG3039" s="573"/>
      <c r="DH3039" s="159"/>
      <c r="DI3039" s="1091"/>
      <c r="DJ3039" s="1187"/>
    </row>
    <row r="3040" spans="1:114" ht="15" hidden="1" customHeight="1" outlineLevel="1">
      <c r="A3040" s="453"/>
      <c r="C3040" s="51"/>
      <c r="D3040" s="4295"/>
      <c r="E3040" s="4295"/>
      <c r="F3040" s="4307" t="str">
        <f>$E$1830</f>
        <v>ASHP-SEER20-Replace_CAC_ElectricHeat_ER2_MF</v>
      </c>
      <c r="G3040" s="4307"/>
      <c r="H3040" s="4307"/>
      <c r="I3040" s="4307"/>
      <c r="J3040" s="1029" t="str">
        <f>$C$1830</f>
        <v>354650_2024_12_</v>
      </c>
      <c r="K3040" s="1790">
        <v>869</v>
      </c>
      <c r="L3040" s="262"/>
      <c r="M3040" s="1442" t="s">
        <v>2504</v>
      </c>
      <c r="P3040" s="261"/>
      <c r="Q3040" s="209"/>
      <c r="R3040" s="261"/>
      <c r="S3040" s="52"/>
      <c r="T3040" s="181"/>
      <c r="U3040" s="52"/>
      <c r="V3040" s="4295"/>
      <c r="W3040" s="1396">
        <v>869</v>
      </c>
      <c r="X3040" s="1396">
        <v>869</v>
      </c>
      <c r="Y3040" s="1396">
        <v>869</v>
      </c>
      <c r="Z3040" s="1396">
        <v>869</v>
      </c>
      <c r="AA3040" s="1396">
        <v>869</v>
      </c>
      <c r="AB3040" s="1396">
        <v>869</v>
      </c>
      <c r="AC3040" s="1396">
        <v>869</v>
      </c>
      <c r="AD3040" s="1396">
        <v>869</v>
      </c>
      <c r="AE3040" s="1396">
        <v>869</v>
      </c>
      <c r="AF3040" s="271">
        <f t="shared" si="325"/>
        <v>869</v>
      </c>
      <c r="AG3040" s="1396"/>
      <c r="DG3040" s="573"/>
      <c r="DH3040" s="159"/>
      <c r="DI3040" s="1091"/>
      <c r="DJ3040" s="1187"/>
    </row>
    <row r="3041" spans="1:114" ht="15" hidden="1" customHeight="1" outlineLevel="1">
      <c r="A3041" s="453"/>
      <c r="C3041" s="51"/>
      <c r="D3041" s="4295"/>
      <c r="E3041" s="4295"/>
      <c r="F3041" s="4347" t="str">
        <f>$E$1832</f>
        <v>ASHP-SEER20-Replace_CAC_ElectricHeat_ER1_MF_CompE</v>
      </c>
      <c r="G3041" s="4347"/>
      <c r="H3041" s="4347"/>
      <c r="I3041" s="4347"/>
      <c r="J3041" s="3471" t="str">
        <f>$C$1832</f>
        <v>354651_2024_12_</v>
      </c>
      <c r="K3041" s="3263">
        <v>632</v>
      </c>
      <c r="L3041" s="3479"/>
      <c r="M3041" s="3491" t="s">
        <v>1466</v>
      </c>
      <c r="P3041" s="261"/>
      <c r="Q3041" s="209"/>
      <c r="R3041" s="261"/>
      <c r="S3041" s="52"/>
      <c r="T3041" s="181"/>
      <c r="U3041" s="52"/>
      <c r="V3041" s="4295"/>
      <c r="W3041" s="1396"/>
      <c r="X3041" s="1396"/>
      <c r="Y3041" s="3265">
        <f t="shared" ref="Y3041:AA3042" si="330">$K$2899</f>
        <v>632</v>
      </c>
      <c r="Z3041" s="3262">
        <f t="shared" si="330"/>
        <v>632</v>
      </c>
      <c r="AA3041" s="3262">
        <f t="shared" si="330"/>
        <v>632</v>
      </c>
      <c r="AB3041" s="3262">
        <v>632</v>
      </c>
      <c r="AC3041" s="3262">
        <f>$K$2899</f>
        <v>632</v>
      </c>
      <c r="AD3041" s="3262">
        <v>632</v>
      </c>
      <c r="AE3041" s="3262">
        <v>632</v>
      </c>
      <c r="AF3041" s="2236">
        <f t="shared" si="325"/>
        <v>632</v>
      </c>
      <c r="AG3041" s="1396"/>
      <c r="DG3041" s="573"/>
      <c r="DH3041" s="159"/>
      <c r="DI3041" s="1091"/>
      <c r="DJ3041" s="1187"/>
    </row>
    <row r="3042" spans="1:114" ht="15" hidden="1" customHeight="1" outlineLevel="1">
      <c r="A3042" s="453"/>
      <c r="C3042" s="51"/>
      <c r="D3042" s="4295"/>
      <c r="E3042" s="4295"/>
      <c r="F3042" s="4347" t="str">
        <f>$E$1834</f>
        <v>ASHP-SEER20-Replace_CAC_ElectricHeat_ER2_MF_CompE</v>
      </c>
      <c r="G3042" s="4347"/>
      <c r="H3042" s="4347"/>
      <c r="I3042" s="4347"/>
      <c r="J3042" s="3471" t="str">
        <f>$C$1834</f>
        <v>354651_2024_12_</v>
      </c>
      <c r="K3042" s="3263">
        <v>632</v>
      </c>
      <c r="L3042" s="3479"/>
      <c r="M3042" s="3491" t="s">
        <v>1466</v>
      </c>
      <c r="P3042" s="261"/>
      <c r="Q3042" s="209"/>
      <c r="R3042" s="261"/>
      <c r="S3042" s="52"/>
      <c r="T3042" s="181"/>
      <c r="U3042" s="52"/>
      <c r="V3042" s="4295"/>
      <c r="W3042" s="1396"/>
      <c r="X3042" s="1396"/>
      <c r="Y3042" s="3265">
        <f t="shared" si="330"/>
        <v>632</v>
      </c>
      <c r="Z3042" s="3262">
        <f t="shared" si="330"/>
        <v>632</v>
      </c>
      <c r="AA3042" s="3262">
        <f t="shared" si="330"/>
        <v>632</v>
      </c>
      <c r="AB3042" s="3262">
        <v>632</v>
      </c>
      <c r="AC3042" s="3262">
        <f>$K$2899</f>
        <v>632</v>
      </c>
      <c r="AD3042" s="3262">
        <v>632</v>
      </c>
      <c r="AE3042" s="3262">
        <v>632</v>
      </c>
      <c r="AF3042" s="2236">
        <f t="shared" si="325"/>
        <v>632</v>
      </c>
      <c r="AG3042" s="1396"/>
      <c r="DG3042" s="573"/>
      <c r="DH3042" s="159"/>
      <c r="DI3042" s="1091"/>
      <c r="DJ3042" s="1187"/>
    </row>
    <row r="3043" spans="1:114" ht="15" hidden="1" customHeight="1" outlineLevel="1">
      <c r="A3043" s="453"/>
      <c r="C3043" s="51"/>
      <c r="D3043" s="4295"/>
      <c r="E3043" s="4295"/>
      <c r="F3043" s="4347" t="str">
        <f>$E$1836</f>
        <v>ASHP-SEER20-Replace_CAC_NonElectricHeat_ER1_MF</v>
      </c>
      <c r="G3043" s="4347"/>
      <c r="H3043" s="4347"/>
      <c r="I3043" s="4347"/>
      <c r="J3043" s="3471" t="str">
        <f>$C$1836</f>
        <v>354660_2024_12_</v>
      </c>
      <c r="K3043" s="3263">
        <v>869</v>
      </c>
      <c r="L3043" s="3479"/>
      <c r="M3043" s="2962" t="s">
        <v>2504</v>
      </c>
      <c r="P3043" s="261"/>
      <c r="Q3043" s="209"/>
      <c r="R3043" s="261"/>
      <c r="S3043" s="52"/>
      <c r="T3043" s="181"/>
      <c r="U3043" s="52"/>
      <c r="V3043" s="4295"/>
      <c r="W3043" s="1396"/>
      <c r="X3043" s="1396"/>
      <c r="Y3043" s="3265"/>
      <c r="Z3043" s="3262"/>
      <c r="AA3043" s="3262"/>
      <c r="AB3043" s="3262"/>
      <c r="AC3043" s="3265">
        <v>869</v>
      </c>
      <c r="AD3043" s="3262">
        <v>869</v>
      </c>
      <c r="AE3043" s="3262">
        <v>869</v>
      </c>
      <c r="AF3043" s="2236">
        <f t="shared" si="325"/>
        <v>869</v>
      </c>
      <c r="AG3043" s="1396"/>
      <c r="DG3043" s="573"/>
      <c r="DH3043" s="159"/>
      <c r="DI3043" s="1091"/>
      <c r="DJ3043" s="1187"/>
    </row>
    <row r="3044" spans="1:114" ht="15" hidden="1" customHeight="1" outlineLevel="1">
      <c r="A3044" s="453"/>
      <c r="C3044" s="51"/>
      <c r="D3044" s="4295"/>
      <c r="E3044" s="4295"/>
      <c r="F3044" s="4347" t="str">
        <f>$E$1838</f>
        <v>ASHP-SEER20-Replace_CAC_NonElectricHeat_ER2_MF</v>
      </c>
      <c r="G3044" s="4347"/>
      <c r="H3044" s="4347"/>
      <c r="I3044" s="4347"/>
      <c r="J3044" s="3471" t="str">
        <f>$C$1838</f>
        <v>354660_2024_12_</v>
      </c>
      <c r="K3044" s="3263">
        <v>869</v>
      </c>
      <c r="L3044" s="3479"/>
      <c r="M3044" s="2962" t="s">
        <v>2504</v>
      </c>
      <c r="P3044" s="261"/>
      <c r="Q3044" s="209"/>
      <c r="R3044" s="261"/>
      <c r="S3044" s="52"/>
      <c r="T3044" s="181"/>
      <c r="U3044" s="52"/>
      <c r="V3044" s="4295"/>
      <c r="W3044" s="1396"/>
      <c r="X3044" s="1396"/>
      <c r="Y3044" s="3265"/>
      <c r="Z3044" s="3262"/>
      <c r="AA3044" s="3262"/>
      <c r="AB3044" s="3262"/>
      <c r="AC3044" s="3265">
        <v>869</v>
      </c>
      <c r="AD3044" s="3262">
        <v>869</v>
      </c>
      <c r="AE3044" s="3262">
        <v>869</v>
      </c>
      <c r="AF3044" s="2236">
        <f t="shared" si="325"/>
        <v>869</v>
      </c>
      <c r="AG3044" s="1396"/>
      <c r="DG3044" s="573"/>
      <c r="DH3044" s="159"/>
      <c r="DI3044" s="1091"/>
      <c r="DJ3044" s="1187"/>
    </row>
    <row r="3045" spans="1:114" ht="15" hidden="1" customHeight="1" outlineLevel="1">
      <c r="A3045" s="453"/>
      <c r="C3045" s="51"/>
      <c r="D3045" s="4295"/>
      <c r="E3045" s="4295"/>
      <c r="F3045" s="4347" t="str">
        <f>$E$1840</f>
        <v>ASHP-SEER20-Replace_CAC_NonElectricHeat_ER1_MF_CompE</v>
      </c>
      <c r="G3045" s="4347"/>
      <c r="H3045" s="4347"/>
      <c r="I3045" s="4347"/>
      <c r="J3045" s="3471" t="str">
        <f>$C$1840</f>
        <v>354661_2024_12_</v>
      </c>
      <c r="K3045" s="3263">
        <v>632</v>
      </c>
      <c r="L3045" s="3479"/>
      <c r="M3045" s="3491" t="s">
        <v>1466</v>
      </c>
      <c r="P3045" s="261"/>
      <c r="Q3045" s="209"/>
      <c r="R3045" s="261"/>
      <c r="S3045" s="52"/>
      <c r="T3045" s="181"/>
      <c r="U3045" s="52"/>
      <c r="V3045" s="4295"/>
      <c r="W3045" s="1396"/>
      <c r="X3045" s="1396"/>
      <c r="Y3045" s="3265"/>
      <c r="Z3045" s="3262"/>
      <c r="AA3045" s="3262"/>
      <c r="AB3045" s="3262"/>
      <c r="AC3045" s="3265">
        <f>$K$2899</f>
        <v>632</v>
      </c>
      <c r="AD3045" s="3262">
        <v>632</v>
      </c>
      <c r="AE3045" s="3262">
        <v>632</v>
      </c>
      <c r="AF3045" s="2236">
        <f t="shared" si="325"/>
        <v>632</v>
      </c>
      <c r="AG3045" s="1396"/>
      <c r="DG3045" s="573"/>
      <c r="DH3045" s="159"/>
      <c r="DI3045" s="1091"/>
      <c r="DJ3045" s="1187"/>
    </row>
    <row r="3046" spans="1:114" ht="15" hidden="1" customHeight="1" outlineLevel="1">
      <c r="A3046" s="453"/>
      <c r="C3046" s="51"/>
      <c r="D3046" s="4295"/>
      <c r="E3046" s="4295"/>
      <c r="F3046" s="4347" t="str">
        <f>$E$1842</f>
        <v>ASHP-SEER20-Replace_CAC_NonElectricHeat_ER2_MF_CompE</v>
      </c>
      <c r="G3046" s="4347"/>
      <c r="H3046" s="4347"/>
      <c r="I3046" s="4347"/>
      <c r="J3046" s="3471" t="str">
        <f>$C$1842</f>
        <v>354661_2024_12_</v>
      </c>
      <c r="K3046" s="3263">
        <v>632</v>
      </c>
      <c r="L3046" s="3479"/>
      <c r="M3046" s="3491" t="s">
        <v>1466</v>
      </c>
      <c r="P3046" s="261"/>
      <c r="Q3046" s="209"/>
      <c r="R3046" s="261"/>
      <c r="S3046" s="52"/>
      <c r="T3046" s="181"/>
      <c r="U3046" s="52"/>
      <c r="V3046" s="4295"/>
      <c r="W3046" s="1396"/>
      <c r="X3046" s="1396"/>
      <c r="Y3046" s="3265"/>
      <c r="Z3046" s="3262"/>
      <c r="AA3046" s="3262"/>
      <c r="AB3046" s="3262"/>
      <c r="AC3046" s="3265">
        <f>$K$2899</f>
        <v>632</v>
      </c>
      <c r="AD3046" s="3262">
        <v>632</v>
      </c>
      <c r="AE3046" s="3262">
        <v>632</v>
      </c>
      <c r="AF3046" s="2236">
        <f t="shared" si="325"/>
        <v>632</v>
      </c>
      <c r="AG3046" s="1396"/>
      <c r="DG3046" s="573"/>
      <c r="DH3046" s="159"/>
      <c r="DI3046" s="1091"/>
      <c r="DJ3046" s="1187"/>
    </row>
    <row r="3047" spans="1:114" ht="15" hidden="1" customHeight="1" outlineLevel="1">
      <c r="A3047" s="453"/>
      <c r="C3047" s="51"/>
      <c r="D3047" s="4295"/>
      <c r="E3047" s="4295"/>
      <c r="F3047" s="4307" t="str">
        <f>$E$1844</f>
        <v>ASHP-SEER20_ER1_MF</v>
      </c>
      <c r="G3047" s="4307"/>
      <c r="H3047" s="4307"/>
      <c r="I3047" s="4307"/>
      <c r="J3047" s="1029" t="str">
        <f>$C$1844</f>
        <v>354700_2024_12_</v>
      </c>
      <c r="K3047" s="1790">
        <v>869</v>
      </c>
      <c r="L3047" s="262"/>
      <c r="M3047" s="1442" t="s">
        <v>2504</v>
      </c>
      <c r="P3047" s="261"/>
      <c r="Q3047" s="209"/>
      <c r="R3047" s="261"/>
      <c r="S3047" s="52"/>
      <c r="T3047" s="181"/>
      <c r="U3047" s="52"/>
      <c r="V3047" s="4295"/>
      <c r="W3047" s="1396">
        <v>869</v>
      </c>
      <c r="X3047" s="1396">
        <v>869</v>
      </c>
      <c r="Y3047" s="1396">
        <v>869</v>
      </c>
      <c r="Z3047" s="1396">
        <v>869</v>
      </c>
      <c r="AA3047" s="1396">
        <v>869</v>
      </c>
      <c r="AB3047" s="1396">
        <v>869</v>
      </c>
      <c r="AC3047" s="1396">
        <v>869</v>
      </c>
      <c r="AD3047" s="1396">
        <v>869</v>
      </c>
      <c r="AE3047" s="1396">
        <v>869</v>
      </c>
      <c r="AF3047" s="271">
        <f t="shared" si="325"/>
        <v>869</v>
      </c>
      <c r="AG3047" s="1396"/>
      <c r="DG3047" s="573"/>
      <c r="DH3047" s="159"/>
      <c r="DI3047" s="1091"/>
      <c r="DJ3047" s="1187"/>
    </row>
    <row r="3048" spans="1:114" ht="15" hidden="1" customHeight="1" outlineLevel="1">
      <c r="A3048" s="453"/>
      <c r="C3048" s="51"/>
      <c r="D3048" s="4295"/>
      <c r="E3048" s="4295"/>
      <c r="F3048" s="4307" t="str">
        <f>$E$1846</f>
        <v>ASHP-SEER20_ER2_MF</v>
      </c>
      <c r="G3048" s="4307"/>
      <c r="H3048" s="4307"/>
      <c r="I3048" s="4307"/>
      <c r="J3048" s="1029" t="str">
        <f>$C$1846</f>
        <v>354700_2024_12_</v>
      </c>
      <c r="K3048" s="1790">
        <v>869</v>
      </c>
      <c r="L3048" s="262"/>
      <c r="M3048" s="1442" t="s">
        <v>2504</v>
      </c>
      <c r="P3048" s="261"/>
      <c r="Q3048" s="209"/>
      <c r="R3048" s="261"/>
      <c r="S3048" s="52"/>
      <c r="T3048" s="181"/>
      <c r="U3048" s="52"/>
      <c r="V3048" s="4295"/>
      <c r="W3048" s="1396">
        <v>869</v>
      </c>
      <c r="X3048" s="1396">
        <v>869</v>
      </c>
      <c r="Y3048" s="1396">
        <v>869</v>
      </c>
      <c r="Z3048" s="1396">
        <v>869</v>
      </c>
      <c r="AA3048" s="1396">
        <v>869</v>
      </c>
      <c r="AB3048" s="1396">
        <v>869</v>
      </c>
      <c r="AC3048" s="1396">
        <v>869</v>
      </c>
      <c r="AD3048" s="1396">
        <v>869</v>
      </c>
      <c r="AE3048" s="1396">
        <v>869</v>
      </c>
      <c r="AF3048" s="271">
        <f t="shared" si="325"/>
        <v>869</v>
      </c>
      <c r="AG3048" s="1396"/>
      <c r="DG3048" s="573"/>
      <c r="DH3048" s="159"/>
      <c r="DI3048" s="1091"/>
      <c r="DJ3048" s="1187"/>
    </row>
    <row r="3049" spans="1:114" ht="15" hidden="1" customHeight="1" outlineLevel="1">
      <c r="A3049" s="453"/>
      <c r="C3049" s="51"/>
      <c r="D3049" s="4295"/>
      <c r="E3049" s="4295"/>
      <c r="F3049" s="4347" t="str">
        <f>$E$1848</f>
        <v>ASHP-SEER20_ER1_MF_CompE</v>
      </c>
      <c r="G3049" s="4347"/>
      <c r="H3049" s="4347"/>
      <c r="I3049" s="4347"/>
      <c r="J3049" s="3471" t="str">
        <f>$C$1848</f>
        <v>354701_2024_12_</v>
      </c>
      <c r="K3049" s="3263">
        <v>632</v>
      </c>
      <c r="L3049" s="3479"/>
      <c r="M3049" s="3491" t="s">
        <v>1466</v>
      </c>
      <c r="P3049" s="261"/>
      <c r="Q3049" s="209"/>
      <c r="R3049" s="261"/>
      <c r="S3049" s="52"/>
      <c r="T3049" s="181"/>
      <c r="U3049" s="52"/>
      <c r="V3049" s="4295"/>
      <c r="W3049" s="1396"/>
      <c r="X3049" s="1396"/>
      <c r="Y3049" s="3265">
        <f t="shared" ref="Y3049:AA3050" si="331">$K$2899</f>
        <v>632</v>
      </c>
      <c r="Z3049" s="3262">
        <f t="shared" si="331"/>
        <v>632</v>
      </c>
      <c r="AA3049" s="3262">
        <f t="shared" si="331"/>
        <v>632</v>
      </c>
      <c r="AB3049" s="3262">
        <v>632</v>
      </c>
      <c r="AC3049" s="3262">
        <f>$K$2899</f>
        <v>632</v>
      </c>
      <c r="AD3049" s="3262">
        <v>632</v>
      </c>
      <c r="AE3049" s="3262">
        <v>632</v>
      </c>
      <c r="AF3049" s="2236">
        <f t="shared" si="325"/>
        <v>632</v>
      </c>
      <c r="AG3049" s="1396"/>
      <c r="DG3049" s="573"/>
      <c r="DH3049" s="159"/>
      <c r="DI3049" s="1091"/>
      <c r="DJ3049" s="1187"/>
    </row>
    <row r="3050" spans="1:114" ht="15" hidden="1" customHeight="1" outlineLevel="1">
      <c r="A3050" s="453"/>
      <c r="C3050" s="51"/>
      <c r="D3050" s="4295"/>
      <c r="E3050" s="4295"/>
      <c r="F3050" s="4347" t="str">
        <f>$E$1850</f>
        <v>ASHP-SEER20_ER2_MF_CompE</v>
      </c>
      <c r="G3050" s="4347"/>
      <c r="H3050" s="4347"/>
      <c r="I3050" s="4347"/>
      <c r="J3050" s="3471" t="str">
        <f>$C$1850</f>
        <v>354701_2024_12_</v>
      </c>
      <c r="K3050" s="3263">
        <v>632</v>
      </c>
      <c r="L3050" s="3479"/>
      <c r="M3050" s="3491" t="s">
        <v>1466</v>
      </c>
      <c r="P3050" s="261"/>
      <c r="Q3050" s="209"/>
      <c r="R3050" s="261"/>
      <c r="S3050" s="52"/>
      <c r="T3050" s="181"/>
      <c r="U3050" s="52"/>
      <c r="V3050" s="4295"/>
      <c r="W3050" s="1396"/>
      <c r="X3050" s="1396"/>
      <c r="Y3050" s="3265">
        <f t="shared" si="331"/>
        <v>632</v>
      </c>
      <c r="Z3050" s="3262">
        <f t="shared" si="331"/>
        <v>632</v>
      </c>
      <c r="AA3050" s="3262">
        <f t="shared" si="331"/>
        <v>632</v>
      </c>
      <c r="AB3050" s="3262">
        <v>632</v>
      </c>
      <c r="AC3050" s="3262">
        <f>$K$2899</f>
        <v>632</v>
      </c>
      <c r="AD3050" s="3262">
        <v>632</v>
      </c>
      <c r="AE3050" s="3262">
        <v>632</v>
      </c>
      <c r="AF3050" s="2236">
        <f t="shared" si="325"/>
        <v>632</v>
      </c>
      <c r="AG3050" s="1396"/>
      <c r="DG3050" s="573"/>
      <c r="DH3050" s="159"/>
      <c r="DI3050" s="1091"/>
      <c r="DJ3050" s="1187"/>
    </row>
    <row r="3051" spans="1:114" ht="15" hidden="1" customHeight="1" outlineLevel="1">
      <c r="A3051" s="453"/>
      <c r="C3051" s="51"/>
      <c r="D3051" s="4295"/>
      <c r="E3051" s="4295"/>
      <c r="F3051" s="4307" t="str">
        <f>$E$1852</f>
        <v>ASHP-SEER21_ER1_SF</v>
      </c>
      <c r="G3051" s="4307"/>
      <c r="H3051" s="4307"/>
      <c r="I3051" s="4307"/>
      <c r="J3051" s="1029" t="str">
        <f>$C$1852</f>
        <v>354750_2024_12_</v>
      </c>
      <c r="K3051" s="1790">
        <v>869</v>
      </c>
      <c r="L3051" s="262"/>
      <c r="M3051" s="1442" t="s">
        <v>2504</v>
      </c>
      <c r="P3051" s="261"/>
      <c r="Q3051" s="209"/>
      <c r="R3051" s="261"/>
      <c r="S3051" s="52"/>
      <c r="T3051" s="181"/>
      <c r="U3051" s="52"/>
      <c r="V3051" s="4295"/>
      <c r="W3051" s="1396">
        <v>869</v>
      </c>
      <c r="X3051" s="1396">
        <v>869</v>
      </c>
      <c r="Y3051" s="1396">
        <v>869</v>
      </c>
      <c r="Z3051" s="1396">
        <v>869</v>
      </c>
      <c r="AA3051" s="1396">
        <v>869</v>
      </c>
      <c r="AB3051" s="1396">
        <v>869</v>
      </c>
      <c r="AC3051" s="1396">
        <v>869</v>
      </c>
      <c r="AD3051" s="1396">
        <v>869</v>
      </c>
      <c r="AE3051" s="1396">
        <v>869</v>
      </c>
      <c r="AF3051" s="271">
        <f t="shared" si="325"/>
        <v>869</v>
      </c>
      <c r="AG3051" s="1396"/>
      <c r="DG3051" s="573"/>
      <c r="DH3051" s="159"/>
      <c r="DI3051" s="1091"/>
      <c r="DJ3051" s="1187"/>
    </row>
    <row r="3052" spans="1:114" ht="15" hidden="1" customHeight="1" outlineLevel="1">
      <c r="A3052" s="453"/>
      <c r="C3052" s="51"/>
      <c r="D3052" s="4295"/>
      <c r="E3052" s="4295"/>
      <c r="F3052" s="4307" t="str">
        <f>$E$1854</f>
        <v>ASHP-SEER21_ER2_SF</v>
      </c>
      <c r="G3052" s="4307"/>
      <c r="H3052" s="4307"/>
      <c r="I3052" s="4307"/>
      <c r="J3052" s="1029" t="str">
        <f>$C$1854</f>
        <v>354750_2024_12_</v>
      </c>
      <c r="K3052" s="1790">
        <v>869</v>
      </c>
      <c r="L3052" s="262"/>
      <c r="M3052" s="1442" t="s">
        <v>2504</v>
      </c>
      <c r="P3052" s="261"/>
      <c r="Q3052" s="209"/>
      <c r="R3052" s="261"/>
      <c r="S3052" s="52"/>
      <c r="T3052" s="181"/>
      <c r="U3052" s="52"/>
      <c r="V3052" s="4295"/>
      <c r="W3052" s="1396">
        <v>869</v>
      </c>
      <c r="X3052" s="1396">
        <v>869</v>
      </c>
      <c r="Y3052" s="1396">
        <v>869</v>
      </c>
      <c r="Z3052" s="1396">
        <v>869</v>
      </c>
      <c r="AA3052" s="1396">
        <v>869</v>
      </c>
      <c r="AB3052" s="1396">
        <v>869</v>
      </c>
      <c r="AC3052" s="1396">
        <v>869</v>
      </c>
      <c r="AD3052" s="1396">
        <v>869</v>
      </c>
      <c r="AE3052" s="1396">
        <v>869</v>
      </c>
      <c r="AF3052" s="271">
        <f t="shared" si="325"/>
        <v>869</v>
      </c>
      <c r="AG3052" s="1396"/>
      <c r="DG3052" s="573"/>
      <c r="DH3052" s="159"/>
      <c r="DI3052" s="1091"/>
      <c r="DJ3052" s="1187"/>
    </row>
    <row r="3053" spans="1:114" ht="15" hidden="1" customHeight="1" outlineLevel="1">
      <c r="A3053" s="453"/>
      <c r="C3053" s="51"/>
      <c r="D3053" s="4295"/>
      <c r="E3053" s="4295"/>
      <c r="F3053" s="4307" t="str">
        <f>$E$1856</f>
        <v>ASHP-SEER21_ROF_SF</v>
      </c>
      <c r="G3053" s="4307"/>
      <c r="H3053" s="4307"/>
      <c r="I3053" s="4307"/>
      <c r="J3053" s="1029" t="str">
        <f>$C$1856</f>
        <v>354800_2024_12_</v>
      </c>
      <c r="K3053" s="1790">
        <v>869</v>
      </c>
      <c r="L3053" s="262"/>
      <c r="M3053" s="1442" t="s">
        <v>2504</v>
      </c>
      <c r="P3053" s="261"/>
      <c r="Q3053" s="209"/>
      <c r="R3053" s="261"/>
      <c r="S3053" s="52"/>
      <c r="T3053" s="181"/>
      <c r="U3053" s="52"/>
      <c r="V3053" s="4295"/>
      <c r="W3053" s="1396">
        <v>869</v>
      </c>
      <c r="X3053" s="1396">
        <v>869</v>
      </c>
      <c r="Y3053" s="1396">
        <v>869</v>
      </c>
      <c r="Z3053" s="1396">
        <v>869</v>
      </c>
      <c r="AA3053" s="1396">
        <v>869</v>
      </c>
      <c r="AB3053" s="1396">
        <v>869</v>
      </c>
      <c r="AC3053" s="1396">
        <v>869</v>
      </c>
      <c r="AD3053" s="1396">
        <v>869</v>
      </c>
      <c r="AE3053" s="1396">
        <v>869</v>
      </c>
      <c r="AF3053" s="271">
        <f t="shared" si="325"/>
        <v>869</v>
      </c>
      <c r="AG3053" s="1396"/>
      <c r="DG3053" s="573"/>
      <c r="DH3053" s="159"/>
      <c r="DI3053" s="1091"/>
      <c r="DJ3053" s="1187"/>
    </row>
    <row r="3054" spans="1:114" ht="15" hidden="1" customHeight="1" outlineLevel="1">
      <c r="A3054" s="453"/>
      <c r="C3054" s="51"/>
      <c r="D3054" s="4295"/>
      <c r="E3054" s="4295"/>
      <c r="F3054" s="4307" t="str">
        <f>$E$1858</f>
        <v>ASHP-SEER21-Replace_CAC_ElectricHeat_ROF_MF</v>
      </c>
      <c r="G3054" s="4307"/>
      <c r="H3054" s="4307"/>
      <c r="I3054" s="4307"/>
      <c r="J3054" s="1029" t="str">
        <f>$C$1858</f>
        <v>354850_2024_12_</v>
      </c>
      <c r="K3054" s="1790">
        <v>869</v>
      </c>
      <c r="L3054" s="262"/>
      <c r="M3054" s="1742" t="s">
        <v>1466</v>
      </c>
      <c r="P3054" s="261"/>
      <c r="Q3054" s="209"/>
      <c r="R3054" s="261"/>
      <c r="S3054" s="52"/>
      <c r="T3054" s="181"/>
      <c r="U3054" s="52"/>
      <c r="V3054" s="4295"/>
      <c r="W3054" s="1396">
        <v>869</v>
      </c>
      <c r="X3054" s="1396">
        <v>869</v>
      </c>
      <c r="Y3054" s="1396">
        <v>869</v>
      </c>
      <c r="Z3054" s="1396">
        <v>869</v>
      </c>
      <c r="AA3054" s="1396">
        <v>869</v>
      </c>
      <c r="AB3054" s="1396">
        <v>869</v>
      </c>
      <c r="AC3054" s="1396">
        <v>869</v>
      </c>
      <c r="AD3054" s="1396">
        <v>869</v>
      </c>
      <c r="AE3054" s="1396">
        <v>869</v>
      </c>
      <c r="AF3054" s="271">
        <f t="shared" si="325"/>
        <v>869</v>
      </c>
      <c r="AG3054" s="1396"/>
      <c r="DG3054" s="573"/>
      <c r="DH3054" s="159"/>
      <c r="DI3054" s="1091"/>
      <c r="DJ3054" s="1187"/>
    </row>
    <row r="3055" spans="1:114" ht="15" hidden="1" customHeight="1" outlineLevel="1">
      <c r="A3055" s="453"/>
      <c r="C3055" s="51"/>
      <c r="D3055" s="4295"/>
      <c r="E3055" s="4295"/>
      <c r="F3055" s="4347" t="str">
        <f>$E$1860</f>
        <v>ASHP-SEER21-Replace_CAC_ElectricHeat_ROF_MF_CompE</v>
      </c>
      <c r="G3055" s="4347"/>
      <c r="H3055" s="4347"/>
      <c r="I3055" s="4347"/>
      <c r="J3055" s="3471" t="str">
        <f>$C$1860</f>
        <v>354851_2024_12_</v>
      </c>
      <c r="K3055" s="3263">
        <v>632</v>
      </c>
      <c r="L3055" s="3479"/>
      <c r="M3055" s="3491" t="s">
        <v>1466</v>
      </c>
      <c r="P3055" s="261"/>
      <c r="Q3055" s="209"/>
      <c r="R3055" s="261"/>
      <c r="S3055" s="52"/>
      <c r="T3055" s="181"/>
      <c r="U3055" s="52"/>
      <c r="V3055" s="4295"/>
      <c r="W3055" s="1396"/>
      <c r="X3055" s="1396"/>
      <c r="Y3055" s="3265">
        <f>$K$2899</f>
        <v>632</v>
      </c>
      <c r="Z3055" s="3262">
        <f>$K$2899</f>
        <v>632</v>
      </c>
      <c r="AA3055" s="3262">
        <f>$K$2899</f>
        <v>632</v>
      </c>
      <c r="AB3055" s="3262">
        <v>632</v>
      </c>
      <c r="AC3055" s="3262">
        <f>$K$2899</f>
        <v>632</v>
      </c>
      <c r="AD3055" s="3262">
        <v>632</v>
      </c>
      <c r="AE3055" s="3262">
        <v>632</v>
      </c>
      <c r="AF3055" s="2236">
        <f t="shared" si="325"/>
        <v>632</v>
      </c>
      <c r="AG3055" s="1396"/>
      <c r="DG3055" s="573"/>
      <c r="DH3055" s="159"/>
      <c r="DI3055" s="1091"/>
      <c r="DJ3055" s="1187"/>
    </row>
    <row r="3056" spans="1:114" ht="15" hidden="1" customHeight="1" outlineLevel="1">
      <c r="A3056" s="453"/>
      <c r="C3056" s="51"/>
      <c r="D3056" s="4295"/>
      <c r="E3056" s="4295"/>
      <c r="F3056" s="4347" t="str">
        <f>$E$1862</f>
        <v>ASHP-SEER21-Replace_CAC_NonElectricHeat_ROF_MF</v>
      </c>
      <c r="G3056" s="4347"/>
      <c r="H3056" s="4347"/>
      <c r="I3056" s="4347"/>
      <c r="J3056" s="3471" t="str">
        <f>$C$1862</f>
        <v>354860_2024_12_</v>
      </c>
      <c r="K3056" s="3263">
        <v>869</v>
      </c>
      <c r="L3056" s="3479"/>
      <c r="M3056" s="2962" t="s">
        <v>2504</v>
      </c>
      <c r="P3056" s="261"/>
      <c r="Q3056" s="209"/>
      <c r="R3056" s="261"/>
      <c r="S3056" s="52"/>
      <c r="T3056" s="181"/>
      <c r="U3056" s="52"/>
      <c r="V3056" s="4295"/>
      <c r="W3056" s="1396"/>
      <c r="X3056" s="1396"/>
      <c r="Y3056" s="3265"/>
      <c r="Z3056" s="3262"/>
      <c r="AA3056" s="3262"/>
      <c r="AB3056" s="3262"/>
      <c r="AC3056" s="3265">
        <v>869</v>
      </c>
      <c r="AD3056" s="3262">
        <v>869</v>
      </c>
      <c r="AE3056" s="3262">
        <v>869</v>
      </c>
      <c r="AF3056" s="2236">
        <f t="shared" si="325"/>
        <v>869</v>
      </c>
      <c r="AG3056" s="1396"/>
      <c r="DG3056" s="573"/>
      <c r="DH3056" s="159"/>
      <c r="DI3056" s="1091"/>
      <c r="DJ3056" s="1187"/>
    </row>
    <row r="3057" spans="1:114" ht="15" hidden="1" customHeight="1" outlineLevel="1">
      <c r="A3057" s="453"/>
      <c r="C3057" s="51"/>
      <c r="D3057" s="4295"/>
      <c r="E3057" s="4295"/>
      <c r="F3057" s="4347" t="str">
        <f>$E$1864</f>
        <v>ASHP-SEER21-Replace_CAC_NonElectricHeat_ROF_MF_CompE</v>
      </c>
      <c r="G3057" s="4347"/>
      <c r="H3057" s="4347"/>
      <c r="I3057" s="4347"/>
      <c r="J3057" s="3471" t="str">
        <f>$C$1864</f>
        <v>354861_2024_12_</v>
      </c>
      <c r="K3057" s="3263">
        <v>632</v>
      </c>
      <c r="L3057" s="3479"/>
      <c r="M3057" s="3491" t="s">
        <v>1466</v>
      </c>
      <c r="P3057" s="261"/>
      <c r="Q3057" s="209"/>
      <c r="R3057" s="261"/>
      <c r="S3057" s="52"/>
      <c r="T3057" s="181"/>
      <c r="U3057" s="52"/>
      <c r="V3057" s="4295"/>
      <c r="W3057" s="1396"/>
      <c r="X3057" s="1396"/>
      <c r="Y3057" s="3265"/>
      <c r="Z3057" s="3262"/>
      <c r="AA3057" s="3262"/>
      <c r="AB3057" s="3262"/>
      <c r="AC3057" s="3265">
        <f>$K$2899</f>
        <v>632</v>
      </c>
      <c r="AD3057" s="3262">
        <v>632</v>
      </c>
      <c r="AE3057" s="3262">
        <v>632</v>
      </c>
      <c r="AF3057" s="2236">
        <f t="shared" si="325"/>
        <v>632</v>
      </c>
      <c r="AG3057" s="1396"/>
      <c r="DG3057" s="573"/>
      <c r="DH3057" s="159"/>
      <c r="DI3057" s="1091"/>
      <c r="DJ3057" s="1187"/>
    </row>
    <row r="3058" spans="1:114" ht="15" hidden="1" customHeight="1" outlineLevel="1">
      <c r="A3058" s="453"/>
      <c r="C3058" s="51"/>
      <c r="D3058" s="4295"/>
      <c r="E3058" s="4295"/>
      <c r="F3058" s="4307" t="str">
        <f>$E$1866</f>
        <v>ASHP-SEER21_ER1_MF</v>
      </c>
      <c r="G3058" s="4307"/>
      <c r="H3058" s="4307"/>
      <c r="I3058" s="4307"/>
      <c r="J3058" s="1029" t="str">
        <f>$C$1866</f>
        <v>354900_2024_12_</v>
      </c>
      <c r="K3058" s="1790">
        <v>869</v>
      </c>
      <c r="L3058" s="262"/>
      <c r="M3058" s="1742" t="s">
        <v>1466</v>
      </c>
      <c r="P3058" s="261"/>
      <c r="Q3058" s="209"/>
      <c r="R3058" s="261"/>
      <c r="S3058" s="52"/>
      <c r="T3058" s="181"/>
      <c r="U3058" s="52"/>
      <c r="V3058" s="4295"/>
      <c r="W3058" s="1396">
        <v>869</v>
      </c>
      <c r="X3058" s="1396">
        <v>869</v>
      </c>
      <c r="Y3058" s="1396">
        <v>869</v>
      </c>
      <c r="Z3058" s="1396">
        <v>869</v>
      </c>
      <c r="AA3058" s="1396">
        <v>869</v>
      </c>
      <c r="AB3058" s="1396">
        <v>869</v>
      </c>
      <c r="AC3058" s="1396">
        <v>869</v>
      </c>
      <c r="AD3058" s="1396">
        <v>869</v>
      </c>
      <c r="AE3058" s="1396">
        <v>869</v>
      </c>
      <c r="AF3058" s="271">
        <f t="shared" si="325"/>
        <v>869</v>
      </c>
      <c r="AG3058" s="1396"/>
      <c r="DG3058" s="573"/>
      <c r="DH3058" s="159"/>
      <c r="DI3058" s="1091"/>
      <c r="DJ3058" s="1187"/>
    </row>
    <row r="3059" spans="1:114" ht="15" hidden="1" customHeight="1" outlineLevel="1">
      <c r="A3059" s="453"/>
      <c r="C3059" s="51"/>
      <c r="D3059" s="4295"/>
      <c r="E3059" s="4295"/>
      <c r="F3059" s="4307" t="str">
        <f>$E$1868</f>
        <v>ASHP-SEER21_ER2_MF</v>
      </c>
      <c r="G3059" s="4307"/>
      <c r="H3059" s="4307"/>
      <c r="I3059" s="4307"/>
      <c r="J3059" s="1029" t="str">
        <f>$C$1868</f>
        <v>354900_2024_12_</v>
      </c>
      <c r="K3059" s="1790">
        <v>869</v>
      </c>
      <c r="L3059" s="262"/>
      <c r="M3059" s="1442" t="s">
        <v>2504</v>
      </c>
      <c r="P3059" s="261"/>
      <c r="Q3059" s="209"/>
      <c r="R3059" s="261"/>
      <c r="S3059" s="52"/>
      <c r="T3059" s="181"/>
      <c r="U3059" s="52"/>
      <c r="V3059" s="4295"/>
      <c r="W3059" s="1396">
        <v>869</v>
      </c>
      <c r="X3059" s="1396">
        <v>869</v>
      </c>
      <c r="Y3059" s="1396">
        <v>869</v>
      </c>
      <c r="Z3059" s="1396">
        <v>869</v>
      </c>
      <c r="AA3059" s="1396">
        <v>869</v>
      </c>
      <c r="AB3059" s="1396">
        <v>869</v>
      </c>
      <c r="AC3059" s="1396">
        <v>869</v>
      </c>
      <c r="AD3059" s="1396">
        <v>869</v>
      </c>
      <c r="AE3059" s="1396">
        <v>869</v>
      </c>
      <c r="AF3059" s="271">
        <f t="shared" si="325"/>
        <v>869</v>
      </c>
      <c r="AG3059" s="1396"/>
      <c r="DG3059" s="573"/>
      <c r="DH3059" s="159"/>
      <c r="DI3059" s="1091"/>
      <c r="DJ3059" s="1187"/>
    </row>
    <row r="3060" spans="1:114" ht="15" hidden="1" customHeight="1" outlineLevel="1">
      <c r="A3060" s="453"/>
      <c r="C3060" s="51"/>
      <c r="D3060" s="4295"/>
      <c r="E3060" s="4295"/>
      <c r="F3060" s="4347" t="str">
        <f>$E$1870</f>
        <v>ASHP-SEER21_ER1_MF_CompE</v>
      </c>
      <c r="G3060" s="4347"/>
      <c r="H3060" s="4347"/>
      <c r="I3060" s="4347"/>
      <c r="J3060" s="3471" t="str">
        <f>$C$1870</f>
        <v>354901_2024_12_</v>
      </c>
      <c r="K3060" s="3263">
        <v>632</v>
      </c>
      <c r="L3060" s="3479"/>
      <c r="M3060" s="3491" t="s">
        <v>1466</v>
      </c>
      <c r="N3060" s="635"/>
      <c r="O3060" s="635"/>
      <c r="P3060" s="261"/>
      <c r="Q3060" s="209"/>
      <c r="R3060" s="261"/>
      <c r="S3060" s="52"/>
      <c r="T3060" s="181"/>
      <c r="U3060" s="52"/>
      <c r="V3060" s="4295"/>
      <c r="W3060" s="1396"/>
      <c r="X3060" s="1396"/>
      <c r="Y3060" s="3265">
        <f t="shared" ref="Y3060:AA3061" si="332">$K$2899</f>
        <v>632</v>
      </c>
      <c r="Z3060" s="3262">
        <f t="shared" si="332"/>
        <v>632</v>
      </c>
      <c r="AA3060" s="3262">
        <f t="shared" si="332"/>
        <v>632</v>
      </c>
      <c r="AB3060" s="3262">
        <v>632</v>
      </c>
      <c r="AC3060" s="3262">
        <f>$K$2899</f>
        <v>632</v>
      </c>
      <c r="AD3060" s="3262">
        <v>632</v>
      </c>
      <c r="AE3060" s="3262">
        <v>632</v>
      </c>
      <c r="AF3060" s="2236">
        <f t="shared" si="325"/>
        <v>632</v>
      </c>
      <c r="AG3060" s="1396"/>
      <c r="DG3060" s="573"/>
      <c r="DH3060" s="159"/>
      <c r="DI3060" s="1091"/>
      <c r="DJ3060" s="1187"/>
    </row>
    <row r="3061" spans="1:114" ht="15" hidden="1" customHeight="1" outlineLevel="1">
      <c r="A3061" s="453"/>
      <c r="C3061" s="51"/>
      <c r="D3061" s="4295"/>
      <c r="E3061" s="4295"/>
      <c r="F3061" s="4347" t="str">
        <f>$E$1872</f>
        <v>ASHP-SEER21_ER2_MF_CompE</v>
      </c>
      <c r="G3061" s="4347"/>
      <c r="H3061" s="4347"/>
      <c r="I3061" s="4347"/>
      <c r="J3061" s="3471" t="str">
        <f>$C$1872</f>
        <v>354901_2024_12_</v>
      </c>
      <c r="K3061" s="3263">
        <v>632</v>
      </c>
      <c r="L3061" s="3479"/>
      <c r="M3061" s="3491" t="s">
        <v>1466</v>
      </c>
      <c r="N3061" s="635"/>
      <c r="O3061" s="635"/>
      <c r="P3061" s="261"/>
      <c r="Q3061" s="209"/>
      <c r="R3061" s="261"/>
      <c r="S3061" s="52"/>
      <c r="T3061" s="181"/>
      <c r="U3061" s="52"/>
      <c r="V3061" s="4295"/>
      <c r="W3061" s="1396"/>
      <c r="X3061" s="1396"/>
      <c r="Y3061" s="3265">
        <f t="shared" si="332"/>
        <v>632</v>
      </c>
      <c r="Z3061" s="3262">
        <f t="shared" si="332"/>
        <v>632</v>
      </c>
      <c r="AA3061" s="3262">
        <f t="shared" si="332"/>
        <v>632</v>
      </c>
      <c r="AB3061" s="3262">
        <v>632</v>
      </c>
      <c r="AC3061" s="3262">
        <f>$K$2899</f>
        <v>632</v>
      </c>
      <c r="AD3061" s="3262">
        <v>632</v>
      </c>
      <c r="AE3061" s="3262">
        <v>632</v>
      </c>
      <c r="AF3061" s="2236">
        <f t="shared" si="325"/>
        <v>632</v>
      </c>
      <c r="AG3061" s="1396"/>
      <c r="DG3061" s="573"/>
      <c r="DH3061" s="159"/>
      <c r="DI3061" s="1091"/>
      <c r="DJ3061" s="1187"/>
    </row>
    <row r="3062" spans="1:114" ht="15" hidden="1" customHeight="1" outlineLevel="1">
      <c r="A3062" s="453"/>
      <c r="C3062" s="51"/>
      <c r="D3062" s="4295"/>
      <c r="E3062" s="4295"/>
      <c r="F3062" s="4307" t="str">
        <f>$E$1874</f>
        <v>ASHP-SEER17_ROF_MF</v>
      </c>
      <c r="G3062" s="4307"/>
      <c r="H3062" s="4307"/>
      <c r="I3062" s="4307"/>
      <c r="J3062" s="1029" t="str">
        <f>$C$1874</f>
        <v>354950_2024_12_</v>
      </c>
      <c r="K3062" s="1790">
        <v>869</v>
      </c>
      <c r="L3062" s="262"/>
      <c r="M3062" s="1442" t="s">
        <v>2504</v>
      </c>
      <c r="P3062" s="261"/>
      <c r="Q3062" s="209"/>
      <c r="R3062" s="261"/>
      <c r="S3062" s="52"/>
      <c r="T3062" s="181"/>
      <c r="U3062" s="52"/>
      <c r="V3062" s="4295"/>
      <c r="W3062" s="1396">
        <v>869</v>
      </c>
      <c r="X3062" s="1396">
        <v>869</v>
      </c>
      <c r="Y3062" s="1396">
        <v>869</v>
      </c>
      <c r="Z3062" s="1396">
        <v>869</v>
      </c>
      <c r="AA3062" s="1396">
        <v>869</v>
      </c>
      <c r="AB3062" s="1396">
        <v>869</v>
      </c>
      <c r="AC3062" s="1396">
        <v>869</v>
      </c>
      <c r="AD3062" s="1396">
        <v>869</v>
      </c>
      <c r="AE3062" s="1396">
        <v>869</v>
      </c>
      <c r="AF3062" s="271">
        <f t="shared" si="325"/>
        <v>869</v>
      </c>
      <c r="AG3062" s="1396"/>
      <c r="DG3062" s="573"/>
      <c r="DH3062" s="159"/>
      <c r="DI3062" s="1091"/>
      <c r="DJ3062" s="1187"/>
    </row>
    <row r="3063" spans="1:114" ht="15" hidden="1" customHeight="1" outlineLevel="1">
      <c r="A3063" s="453"/>
      <c r="C3063" s="51"/>
      <c r="D3063" s="4295"/>
      <c r="E3063" s="4295"/>
      <c r="F3063" s="4347" t="str">
        <f>$E$1876</f>
        <v>ASHP-SEER17_ROF_MF_CompE</v>
      </c>
      <c r="G3063" s="4347"/>
      <c r="H3063" s="4347"/>
      <c r="I3063" s="4347"/>
      <c r="J3063" s="3471" t="str">
        <f>$C$1876</f>
        <v>354951_2024_12_</v>
      </c>
      <c r="K3063" s="3263">
        <v>632</v>
      </c>
      <c r="L3063" s="3479"/>
      <c r="M3063" s="3491" t="s">
        <v>1466</v>
      </c>
      <c r="N3063" s="635"/>
      <c r="P3063" s="261"/>
      <c r="Q3063" s="209"/>
      <c r="R3063" s="261"/>
      <c r="S3063" s="52"/>
      <c r="T3063" s="181"/>
      <c r="U3063" s="52"/>
      <c r="V3063" s="4295"/>
      <c r="W3063" s="1396"/>
      <c r="X3063" s="1396"/>
      <c r="Y3063" s="3265">
        <f>$K$2899</f>
        <v>632</v>
      </c>
      <c r="Z3063" s="3262">
        <f>$K$2899</f>
        <v>632</v>
      </c>
      <c r="AA3063" s="3262">
        <f>$K$2899</f>
        <v>632</v>
      </c>
      <c r="AB3063" s="3262">
        <v>632</v>
      </c>
      <c r="AC3063" s="3262">
        <f>$K$2899</f>
        <v>632</v>
      </c>
      <c r="AD3063" s="3262">
        <v>632</v>
      </c>
      <c r="AE3063" s="3262">
        <v>632</v>
      </c>
      <c r="AF3063" s="2236">
        <f t="shared" si="325"/>
        <v>632</v>
      </c>
      <c r="AG3063" s="1396"/>
      <c r="DG3063" s="573"/>
      <c r="DH3063" s="159"/>
      <c r="DI3063" s="1091"/>
      <c r="DJ3063" s="1187"/>
    </row>
    <row r="3064" spans="1:114" ht="15" hidden="1" customHeight="1" outlineLevel="1">
      <c r="A3064" s="453"/>
      <c r="C3064" s="51"/>
      <c r="D3064" s="4295"/>
      <c r="E3064" s="4295"/>
      <c r="F3064" s="4307" t="str">
        <f>$E$1878</f>
        <v>ASHP-SEER18_ROF_MF</v>
      </c>
      <c r="G3064" s="4307"/>
      <c r="H3064" s="4307"/>
      <c r="I3064" s="4307"/>
      <c r="J3064" s="1029" t="str">
        <f>$C$1878</f>
        <v>355000_2024_12_</v>
      </c>
      <c r="K3064" s="1790">
        <v>869</v>
      </c>
      <c r="L3064" s="262"/>
      <c r="M3064" s="1442" t="s">
        <v>2504</v>
      </c>
      <c r="S3064" s="52"/>
      <c r="T3064" s="52"/>
      <c r="U3064" s="52"/>
      <c r="V3064" s="4295"/>
      <c r="W3064" s="1396">
        <v>869</v>
      </c>
      <c r="X3064" s="1396">
        <v>869</v>
      </c>
      <c r="Y3064" s="1396">
        <v>869</v>
      </c>
      <c r="Z3064" s="1396">
        <v>869</v>
      </c>
      <c r="AA3064" s="1396">
        <v>869</v>
      </c>
      <c r="AB3064" s="1396">
        <v>869</v>
      </c>
      <c r="AC3064" s="1396">
        <v>869</v>
      </c>
      <c r="AD3064" s="1396">
        <v>869</v>
      </c>
      <c r="AE3064" s="1396">
        <v>869</v>
      </c>
      <c r="AF3064" s="271">
        <f t="shared" si="325"/>
        <v>869</v>
      </c>
      <c r="AG3064" s="1396"/>
      <c r="DG3064" s="573"/>
      <c r="DH3064" s="159"/>
      <c r="DI3064" s="1091"/>
      <c r="DJ3064" s="1187"/>
    </row>
    <row r="3065" spans="1:114" ht="15" hidden="1" customHeight="1" outlineLevel="1">
      <c r="A3065" s="453"/>
      <c r="C3065" s="51"/>
      <c r="D3065" s="4295"/>
      <c r="E3065" s="4295"/>
      <c r="F3065" s="4347" t="str">
        <f>$E$1880</f>
        <v>ASHP-SEER18_ROF_MF_CompE</v>
      </c>
      <c r="G3065" s="4347"/>
      <c r="H3065" s="4347"/>
      <c r="I3065" s="4347"/>
      <c r="J3065" s="3471" t="str">
        <f>$C$1880</f>
        <v>355001_2024_12_</v>
      </c>
      <c r="K3065" s="3263">
        <v>632</v>
      </c>
      <c r="L3065" s="3479"/>
      <c r="M3065" s="3491" t="s">
        <v>1466</v>
      </c>
      <c r="S3065" s="52"/>
      <c r="T3065" s="52"/>
      <c r="U3065" s="52"/>
      <c r="V3065" s="4295"/>
      <c r="W3065" s="1396"/>
      <c r="X3065" s="1396"/>
      <c r="Y3065" s="3265">
        <f>$K$2899</f>
        <v>632</v>
      </c>
      <c r="Z3065" s="3262">
        <f>$K$2899</f>
        <v>632</v>
      </c>
      <c r="AA3065" s="3262">
        <f>$K$2899</f>
        <v>632</v>
      </c>
      <c r="AB3065" s="3262">
        <v>632</v>
      </c>
      <c r="AC3065" s="3262">
        <f>$K$2899</f>
        <v>632</v>
      </c>
      <c r="AD3065" s="3262">
        <v>632</v>
      </c>
      <c r="AE3065" s="3262">
        <v>632</v>
      </c>
      <c r="AF3065" s="2236">
        <f t="shared" si="325"/>
        <v>632</v>
      </c>
      <c r="AG3065" s="1396"/>
      <c r="DG3065" s="573"/>
      <c r="DH3065" s="159"/>
      <c r="DI3065" s="1091"/>
      <c r="DJ3065" s="1187"/>
    </row>
    <row r="3066" spans="1:114" ht="15" hidden="1" customHeight="1" outlineLevel="1">
      <c r="A3066" s="453"/>
      <c r="C3066" s="51"/>
      <c r="D3066" s="4295"/>
      <c r="E3066" s="4295"/>
      <c r="F3066" s="4307" t="str">
        <f>$E$1882</f>
        <v>ASHP-SEER19_ROF_MF</v>
      </c>
      <c r="G3066" s="4307"/>
      <c r="H3066" s="4307"/>
      <c r="I3066" s="4307"/>
      <c r="J3066" s="1029" t="str">
        <f>$C$1882</f>
        <v>355050_2024_12_</v>
      </c>
      <c r="K3066" s="1790">
        <v>869</v>
      </c>
      <c r="L3066" s="262"/>
      <c r="M3066" s="1442" t="s">
        <v>2504</v>
      </c>
      <c r="S3066" s="52"/>
      <c r="T3066" s="52"/>
      <c r="U3066" s="52"/>
      <c r="V3066" s="4295"/>
      <c r="W3066" s="1396">
        <v>869</v>
      </c>
      <c r="X3066" s="1396">
        <v>869</v>
      </c>
      <c r="Y3066" s="1396">
        <v>869</v>
      </c>
      <c r="Z3066" s="1396">
        <v>869</v>
      </c>
      <c r="AA3066" s="1396">
        <v>869</v>
      </c>
      <c r="AB3066" s="1396">
        <v>869</v>
      </c>
      <c r="AC3066" s="1396">
        <v>869</v>
      </c>
      <c r="AD3066" s="1396">
        <v>869</v>
      </c>
      <c r="AE3066" s="1396">
        <v>869</v>
      </c>
      <c r="AF3066" s="271">
        <f t="shared" ref="AF3066:AF3129" si="333">IF(K3066&lt;&gt;"",K3066,"")</f>
        <v>869</v>
      </c>
      <c r="AG3066" s="1396"/>
      <c r="DG3066" s="573"/>
      <c r="DH3066" s="159"/>
      <c r="DI3066" s="1091"/>
      <c r="DJ3066" s="1187"/>
    </row>
    <row r="3067" spans="1:114" ht="15" hidden="1" customHeight="1" outlineLevel="1">
      <c r="A3067" s="453"/>
      <c r="C3067" s="51"/>
      <c r="D3067" s="4295"/>
      <c r="E3067" s="4295"/>
      <c r="F3067" s="4347" t="str">
        <f>$E$1884</f>
        <v>ASHP-SEER19_ROF_MF_CompE</v>
      </c>
      <c r="G3067" s="4347"/>
      <c r="H3067" s="4347"/>
      <c r="I3067" s="4347"/>
      <c r="J3067" s="3471" t="str">
        <f>$C$1884</f>
        <v>355051_2024_12_</v>
      </c>
      <c r="K3067" s="3263">
        <v>632</v>
      </c>
      <c r="L3067" s="3479"/>
      <c r="M3067" s="3491" t="s">
        <v>1466</v>
      </c>
      <c r="S3067" s="52"/>
      <c r="T3067" s="52"/>
      <c r="U3067" s="52"/>
      <c r="V3067" s="4295"/>
      <c r="W3067" s="1396"/>
      <c r="X3067" s="1396"/>
      <c r="Y3067" s="3265">
        <f>$K$2899</f>
        <v>632</v>
      </c>
      <c r="Z3067" s="3262">
        <f>$K$2899</f>
        <v>632</v>
      </c>
      <c r="AA3067" s="3262">
        <f>$K$2899</f>
        <v>632</v>
      </c>
      <c r="AB3067" s="3262">
        <v>632</v>
      </c>
      <c r="AC3067" s="3262">
        <f>$K$2899</f>
        <v>632</v>
      </c>
      <c r="AD3067" s="3262">
        <v>632</v>
      </c>
      <c r="AE3067" s="3262">
        <v>632</v>
      </c>
      <c r="AF3067" s="2236">
        <f t="shared" si="333"/>
        <v>632</v>
      </c>
      <c r="AG3067" s="1396"/>
      <c r="DG3067" s="573"/>
      <c r="DH3067" s="159"/>
      <c r="DI3067" s="1091"/>
      <c r="DJ3067" s="1187"/>
    </row>
    <row r="3068" spans="1:114" ht="15" hidden="1" customHeight="1" outlineLevel="1">
      <c r="A3068" s="453"/>
      <c r="C3068" s="51"/>
      <c r="D3068" s="4295"/>
      <c r="E3068" s="4295"/>
      <c r="F3068" s="4307" t="str">
        <f>$E$1886</f>
        <v>ASHP-SEER20_ROF_MF</v>
      </c>
      <c r="G3068" s="4307"/>
      <c r="H3068" s="4307"/>
      <c r="I3068" s="4307"/>
      <c r="J3068" s="1029" t="str">
        <f>$C$1886</f>
        <v>355100_2024_12_</v>
      </c>
      <c r="K3068" s="1790">
        <v>869</v>
      </c>
      <c r="L3068" s="262"/>
      <c r="M3068" s="1442" t="s">
        <v>2504</v>
      </c>
      <c r="P3068" s="261"/>
      <c r="Q3068" s="209"/>
      <c r="R3068" s="261"/>
      <c r="S3068" s="52"/>
      <c r="T3068" s="181"/>
      <c r="U3068" s="52"/>
      <c r="V3068" s="4295"/>
      <c r="W3068" s="1396">
        <v>869</v>
      </c>
      <c r="X3068" s="1396">
        <v>869</v>
      </c>
      <c r="Y3068" s="1396">
        <v>869</v>
      </c>
      <c r="Z3068" s="1396">
        <v>869</v>
      </c>
      <c r="AA3068" s="1396">
        <v>869</v>
      </c>
      <c r="AB3068" s="1396">
        <v>869</v>
      </c>
      <c r="AC3068" s="1396">
        <v>869</v>
      </c>
      <c r="AD3068" s="1396">
        <v>869</v>
      </c>
      <c r="AE3068" s="1396">
        <v>869</v>
      </c>
      <c r="AF3068" s="271">
        <f t="shared" si="333"/>
        <v>869</v>
      </c>
      <c r="AG3068" s="1396"/>
      <c r="DG3068" s="573"/>
      <c r="DH3068" s="159"/>
      <c r="DI3068" s="1091"/>
      <c r="DJ3068" s="1187"/>
    </row>
    <row r="3069" spans="1:114" ht="15" hidden="1" customHeight="1" outlineLevel="1">
      <c r="A3069" s="453"/>
      <c r="C3069" s="51"/>
      <c r="D3069" s="4295"/>
      <c r="E3069" s="4295"/>
      <c r="F3069" s="4347" t="str">
        <f>$E$1888</f>
        <v>ASHP-SEER20_ROF_MF_CompE</v>
      </c>
      <c r="G3069" s="4347"/>
      <c r="H3069" s="4347"/>
      <c r="I3069" s="4347"/>
      <c r="J3069" s="3471" t="str">
        <f>$C$1888</f>
        <v>355101_2024_12_</v>
      </c>
      <c r="K3069" s="3263">
        <v>632</v>
      </c>
      <c r="L3069" s="3479"/>
      <c r="M3069" s="3491" t="s">
        <v>1466</v>
      </c>
      <c r="P3069" s="261"/>
      <c r="Q3069" s="209"/>
      <c r="R3069" s="261"/>
      <c r="S3069" s="52"/>
      <c r="T3069" s="181"/>
      <c r="U3069" s="52"/>
      <c r="V3069" s="4295"/>
      <c r="W3069" s="1396"/>
      <c r="X3069" s="1396"/>
      <c r="Y3069" s="3265">
        <f>$K$2899</f>
        <v>632</v>
      </c>
      <c r="Z3069" s="3262">
        <f>$K$2899</f>
        <v>632</v>
      </c>
      <c r="AA3069" s="3262">
        <f>$K$2899</f>
        <v>632</v>
      </c>
      <c r="AB3069" s="3262">
        <v>632</v>
      </c>
      <c r="AC3069" s="3262">
        <f>$K$2899</f>
        <v>632</v>
      </c>
      <c r="AD3069" s="3262">
        <v>632</v>
      </c>
      <c r="AE3069" s="3262">
        <v>632</v>
      </c>
      <c r="AF3069" s="2236">
        <f t="shared" si="333"/>
        <v>632</v>
      </c>
      <c r="AG3069" s="1396"/>
      <c r="DG3069" s="573"/>
      <c r="DH3069" s="159"/>
      <c r="DI3069" s="1091"/>
      <c r="DJ3069" s="1187"/>
    </row>
    <row r="3070" spans="1:114" ht="15.75" hidden="1" customHeight="1" outlineLevel="1">
      <c r="A3070" s="453"/>
      <c r="C3070" s="51"/>
      <c r="D3070" s="4295"/>
      <c r="E3070" s="4295"/>
      <c r="F3070" s="4307" t="str">
        <f>$E$1890</f>
        <v>ASHP-SEER21_ROF_MF</v>
      </c>
      <c r="G3070" s="4307"/>
      <c r="H3070" s="4307"/>
      <c r="I3070" s="4307"/>
      <c r="J3070" s="1029" t="str">
        <f>$C$1890</f>
        <v>355150_2024_12_</v>
      </c>
      <c r="K3070" s="1790">
        <v>869</v>
      </c>
      <c r="L3070" s="262"/>
      <c r="M3070" s="1442" t="s">
        <v>2504</v>
      </c>
      <c r="P3070" s="261"/>
      <c r="Q3070" s="209"/>
      <c r="R3070" s="261"/>
      <c r="S3070" s="52"/>
      <c r="T3070" s="181"/>
      <c r="U3070" s="52"/>
      <c r="V3070" s="4295"/>
      <c r="W3070" s="1396">
        <v>869</v>
      </c>
      <c r="X3070" s="1396">
        <v>869</v>
      </c>
      <c r="Y3070" s="1396">
        <v>869</v>
      </c>
      <c r="Z3070" s="1396">
        <v>869</v>
      </c>
      <c r="AA3070" s="1396">
        <v>869</v>
      </c>
      <c r="AB3070" s="1396">
        <v>869</v>
      </c>
      <c r="AC3070" s="1396">
        <v>869</v>
      </c>
      <c r="AD3070" s="1396">
        <v>869</v>
      </c>
      <c r="AE3070" s="1396">
        <v>869</v>
      </c>
      <c r="AF3070" s="271">
        <f t="shared" si="333"/>
        <v>869</v>
      </c>
      <c r="AG3070" s="1396"/>
      <c r="DG3070" s="573"/>
      <c r="DH3070" s="159"/>
      <c r="DI3070" s="1091"/>
      <c r="DJ3070" s="1187"/>
    </row>
    <row r="3071" spans="1:114" ht="15.75" hidden="1" customHeight="1" outlineLevel="1">
      <c r="A3071" s="453"/>
      <c r="C3071" s="51"/>
      <c r="D3071" s="4295"/>
      <c r="E3071" s="4295"/>
      <c r="F3071" s="4347" t="str">
        <f>$E$1892</f>
        <v>ASHP-SEER21_ROF_MF_CompE</v>
      </c>
      <c r="G3071" s="4347"/>
      <c r="H3071" s="4347"/>
      <c r="I3071" s="4347"/>
      <c r="J3071" s="3471" t="str">
        <f>$C$1892</f>
        <v>355151_2024_12_</v>
      </c>
      <c r="K3071" s="3263">
        <v>632</v>
      </c>
      <c r="L3071" s="3479"/>
      <c r="M3071" s="3491" t="s">
        <v>1466</v>
      </c>
      <c r="P3071" s="261"/>
      <c r="Q3071" s="209"/>
      <c r="R3071" s="261"/>
      <c r="S3071" s="52"/>
      <c r="T3071" s="181"/>
      <c r="U3071" s="52"/>
      <c r="V3071" s="4295"/>
      <c r="W3071" s="1396"/>
      <c r="X3071" s="1396"/>
      <c r="Y3071" s="3265">
        <f>$K$2899</f>
        <v>632</v>
      </c>
      <c r="Z3071" s="3262">
        <f>$K$2899</f>
        <v>632</v>
      </c>
      <c r="AA3071" s="3262">
        <f>$K$2899</f>
        <v>632</v>
      </c>
      <c r="AB3071" s="3262">
        <v>632</v>
      </c>
      <c r="AC3071" s="3262">
        <f>$K$2899</f>
        <v>632</v>
      </c>
      <c r="AD3071" s="3262">
        <v>632</v>
      </c>
      <c r="AE3071" s="3262">
        <v>632</v>
      </c>
      <c r="AF3071" s="2236">
        <f t="shared" si="333"/>
        <v>632</v>
      </c>
      <c r="AG3071" s="1396"/>
      <c r="DG3071" s="573"/>
      <c r="DH3071" s="159"/>
      <c r="DI3071" s="1091"/>
      <c r="DJ3071" s="1187"/>
    </row>
    <row r="3072" spans="1:114" ht="15" hidden="1" customHeight="1" outlineLevel="1">
      <c r="A3072" s="453"/>
      <c r="C3072" s="51"/>
      <c r="D3072" s="4303" t="s">
        <v>2122</v>
      </c>
      <c r="E3072" s="4295" t="s">
        <v>2123</v>
      </c>
      <c r="F3072" s="4307" t="str">
        <f>$E$1508</f>
        <v>ASHP-SEER15-Replace_CAC_ElectricHeat_ER1_SF</v>
      </c>
      <c r="G3072" s="4307"/>
      <c r="H3072" s="4307"/>
      <c r="I3072" s="4307"/>
      <c r="J3072" s="1029" t="str">
        <f>$C$1508</f>
        <v>352300_2024_12_</v>
      </c>
      <c r="K3072" s="916">
        <v>7.6796044292718904</v>
      </c>
      <c r="L3072" s="13"/>
      <c r="M3072" s="1740" t="s">
        <v>1934</v>
      </c>
      <c r="P3072" s="261"/>
      <c r="Q3072" s="261"/>
      <c r="R3072" s="261"/>
      <c r="S3072" s="52"/>
      <c r="T3072" s="181"/>
      <c r="U3072" s="52"/>
      <c r="V3072" s="4295" t="s">
        <v>2124</v>
      </c>
      <c r="W3072" s="1396">
        <v>6.8</v>
      </c>
      <c r="X3072" s="833">
        <v>8.33</v>
      </c>
      <c r="Y3072" s="1396">
        <v>8.33</v>
      </c>
      <c r="Z3072" s="1396">
        <v>8.33</v>
      </c>
      <c r="AA3072" s="1396">
        <v>8.33</v>
      </c>
      <c r="AB3072" s="212">
        <v>7.2250895092808101</v>
      </c>
      <c r="AC3072" s="212">
        <v>8.1543772216897246</v>
      </c>
      <c r="AD3072" s="969">
        <v>7.4467291759226644</v>
      </c>
      <c r="AE3072" s="969">
        <v>7.6796044292718904</v>
      </c>
      <c r="AF3072" s="271">
        <f t="shared" si="333"/>
        <v>7.6796044292718904</v>
      </c>
      <c r="AG3072" s="1396"/>
      <c r="DG3072" s="573"/>
      <c r="DH3072" s="159"/>
      <c r="DI3072" s="1091"/>
      <c r="DJ3072" s="1187"/>
    </row>
    <row r="3073" spans="1:114" ht="15" hidden="1" customHeight="1" outlineLevel="1">
      <c r="A3073" s="453"/>
      <c r="C3073" s="51"/>
      <c r="D3073" s="4303"/>
      <c r="E3073" s="4295"/>
      <c r="F3073" s="4307" t="str">
        <f>$E$1510</f>
        <v>ASHP-SEER15-Replace_CAC_ElectricHeat_ER2_SF</v>
      </c>
      <c r="G3073" s="4307"/>
      <c r="H3073" s="4307"/>
      <c r="I3073" s="4307"/>
      <c r="J3073" s="1029" t="str">
        <f>$C$1510</f>
        <v>352300_2024_12_</v>
      </c>
      <c r="K3073" s="1795">
        <v>13.4</v>
      </c>
      <c r="L3073" s="13"/>
      <c r="M3073" s="1378" t="s">
        <v>1941</v>
      </c>
      <c r="P3073" s="261"/>
      <c r="Q3073" s="261"/>
      <c r="R3073" s="261"/>
      <c r="S3073" s="52"/>
      <c r="T3073" s="181"/>
      <c r="U3073" s="52"/>
      <c r="V3073" s="4295"/>
      <c r="W3073" s="1396">
        <v>13</v>
      </c>
      <c r="X3073" s="1396">
        <v>13</v>
      </c>
      <c r="Y3073" s="1396">
        <v>13</v>
      </c>
      <c r="Z3073" s="1396">
        <v>13</v>
      </c>
      <c r="AA3073" s="1396">
        <v>13</v>
      </c>
      <c r="AB3073" s="211">
        <v>13</v>
      </c>
      <c r="AC3073" s="211">
        <v>13</v>
      </c>
      <c r="AD3073" s="970">
        <v>13</v>
      </c>
      <c r="AE3073" s="1101">
        <v>14</v>
      </c>
      <c r="AF3073" s="271">
        <f t="shared" si="333"/>
        <v>13.4</v>
      </c>
      <c r="AG3073" s="1396"/>
      <c r="DG3073" s="573"/>
      <c r="DH3073" s="159"/>
      <c r="DI3073" s="1091"/>
      <c r="DJ3073" s="1187"/>
    </row>
    <row r="3074" spans="1:114" ht="15" hidden="1" customHeight="1" outlineLevel="1">
      <c r="A3074" s="453"/>
      <c r="C3074" s="51"/>
      <c r="D3074" s="4303"/>
      <c r="E3074" s="4295"/>
      <c r="F3074" s="4307" t="str">
        <f>$E$1512</f>
        <v>ASHP-SEER15-Replace_CAC_NonElectricHeat_ER1_SF</v>
      </c>
      <c r="G3074" s="4307"/>
      <c r="H3074" s="4307"/>
      <c r="I3074" s="4307"/>
      <c r="J3074" s="1029" t="str">
        <f>$C$1512</f>
        <v>352310_2024_12_</v>
      </c>
      <c r="K3074" s="916">
        <v>7.6796044292718904</v>
      </c>
      <c r="L3074" s="13"/>
      <c r="M3074" s="1378" t="s">
        <v>1945</v>
      </c>
      <c r="P3074" s="261"/>
      <c r="Q3074" s="261"/>
      <c r="R3074" s="261"/>
      <c r="S3074" s="52"/>
      <c r="T3074" s="181"/>
      <c r="U3074" s="52"/>
      <c r="V3074" s="4295"/>
      <c r="W3074" s="1396"/>
      <c r="X3074" s="1396"/>
      <c r="Y3074" s="1396"/>
      <c r="Z3074" s="1396"/>
      <c r="AA3074" s="1396"/>
      <c r="AB3074" s="211"/>
      <c r="AC3074" s="212">
        <v>8.1543772216897246</v>
      </c>
      <c r="AD3074" s="969">
        <v>7.4467291759226644</v>
      </c>
      <c r="AE3074" s="1101">
        <v>7.6796044292718904</v>
      </c>
      <c r="AF3074" s="271">
        <f t="shared" si="333"/>
        <v>7.6796044292718904</v>
      </c>
      <c r="AG3074" s="1396"/>
      <c r="DG3074" s="573"/>
      <c r="DH3074" s="159"/>
      <c r="DI3074" s="1091"/>
      <c r="DJ3074" s="1187"/>
    </row>
    <row r="3075" spans="1:114" ht="15" hidden="1" customHeight="1" outlineLevel="1">
      <c r="A3075" s="453"/>
      <c r="C3075" s="51"/>
      <c r="D3075" s="4303"/>
      <c r="E3075" s="4295"/>
      <c r="F3075" s="4307" t="str">
        <f>$E$1514</f>
        <v>ASHP-SEER15-Replace_CAC_NonElectricHeat_ER2_SF</v>
      </c>
      <c r="G3075" s="4307"/>
      <c r="H3075" s="4307"/>
      <c r="I3075" s="4307"/>
      <c r="J3075" s="1029" t="str">
        <f>$C$1514</f>
        <v>352310_2024_12_</v>
      </c>
      <c r="K3075" s="1795">
        <v>13.4</v>
      </c>
      <c r="L3075" s="13"/>
      <c r="M3075" s="1378" t="s">
        <v>1941</v>
      </c>
      <c r="P3075" s="261"/>
      <c r="Q3075" s="261"/>
      <c r="R3075" s="261"/>
      <c r="S3075" s="52"/>
      <c r="T3075" s="181"/>
      <c r="U3075" s="52"/>
      <c r="V3075" s="4295"/>
      <c r="W3075" s="1396"/>
      <c r="X3075" s="1396"/>
      <c r="Y3075" s="1396"/>
      <c r="Z3075" s="1396"/>
      <c r="AA3075" s="1396"/>
      <c r="AB3075" s="211"/>
      <c r="AC3075" s="212">
        <v>13</v>
      </c>
      <c r="AD3075" s="970">
        <v>13</v>
      </c>
      <c r="AE3075" s="1101">
        <v>14</v>
      </c>
      <c r="AF3075" s="271">
        <f t="shared" si="333"/>
        <v>13.4</v>
      </c>
      <c r="AG3075" s="1396"/>
      <c r="DG3075" s="573"/>
      <c r="DH3075" s="159"/>
      <c r="DI3075" s="1091"/>
      <c r="DJ3075" s="1187"/>
    </row>
    <row r="3076" spans="1:114" ht="15" hidden="1" customHeight="1" outlineLevel="1">
      <c r="A3076" s="453"/>
      <c r="C3076" s="51"/>
      <c r="D3076" s="4303"/>
      <c r="E3076" s="4295"/>
      <c r="F3076" s="4307" t="str">
        <f>$E$1516</f>
        <v>ASHP-SEER15_ER1_SF</v>
      </c>
      <c r="G3076" s="4307"/>
      <c r="H3076" s="4307"/>
      <c r="I3076" s="4307"/>
      <c r="J3076" s="1029" t="str">
        <f>$C$1516</f>
        <v>352350_2024_12_</v>
      </c>
      <c r="K3076" s="916">
        <v>7.6796044292718904</v>
      </c>
      <c r="L3076" s="13"/>
      <c r="M3076" s="1740" t="s">
        <v>1945</v>
      </c>
      <c r="P3076" s="261"/>
      <c r="Q3076" s="261"/>
      <c r="R3076" s="261"/>
      <c r="S3076" s="52"/>
      <c r="T3076" s="181"/>
      <c r="U3076" s="52"/>
      <c r="V3076" s="4295"/>
      <c r="W3076" s="1396">
        <v>7.2</v>
      </c>
      <c r="X3076" s="833">
        <v>8.33</v>
      </c>
      <c r="Y3076" s="1396">
        <v>8.33</v>
      </c>
      <c r="Z3076" s="1396">
        <v>8.33</v>
      </c>
      <c r="AA3076" s="1396">
        <v>8.33</v>
      </c>
      <c r="AB3076" s="212">
        <v>7.4709062755842588</v>
      </c>
      <c r="AC3076" s="212">
        <v>8.380670139147373</v>
      </c>
      <c r="AD3076" s="969">
        <v>7.4467291759226644</v>
      </c>
      <c r="AE3076" s="1101">
        <v>7.6796044292718904</v>
      </c>
      <c r="AF3076" s="271">
        <f t="shared" si="333"/>
        <v>7.6796044292718904</v>
      </c>
      <c r="AG3076" s="1396"/>
      <c r="DG3076" s="573"/>
      <c r="DH3076" s="159"/>
      <c r="DI3076" s="1091"/>
      <c r="DJ3076" s="1187"/>
    </row>
    <row r="3077" spans="1:114" ht="15" hidden="1" customHeight="1" outlineLevel="1">
      <c r="A3077" s="453"/>
      <c r="C3077" s="51"/>
      <c r="D3077" s="4303"/>
      <c r="E3077" s="4295"/>
      <c r="F3077" s="4307" t="str">
        <f>$E$1518</f>
        <v>ASHP-SEER15_ER2_SF</v>
      </c>
      <c r="G3077" s="4307"/>
      <c r="H3077" s="4307"/>
      <c r="I3077" s="4307"/>
      <c r="J3077" s="1029" t="str">
        <f>$C$1518</f>
        <v>352350_2024_12_</v>
      </c>
      <c r="K3077" s="1795">
        <v>14.3</v>
      </c>
      <c r="L3077" s="13"/>
      <c r="M3077" s="1378" t="s">
        <v>1941</v>
      </c>
      <c r="P3077" s="261"/>
      <c r="Q3077" s="261"/>
      <c r="R3077" s="261"/>
      <c r="S3077" s="52"/>
      <c r="T3077" s="181"/>
      <c r="U3077" s="52"/>
      <c r="V3077" s="4295"/>
      <c r="W3077" s="1396">
        <v>14</v>
      </c>
      <c r="X3077" s="1396">
        <v>14</v>
      </c>
      <c r="Y3077" s="1396">
        <v>14</v>
      </c>
      <c r="Z3077" s="1396">
        <v>14</v>
      </c>
      <c r="AA3077" s="1396">
        <v>14</v>
      </c>
      <c r="AB3077" s="211">
        <v>14</v>
      </c>
      <c r="AC3077" s="211">
        <v>14</v>
      </c>
      <c r="AD3077" s="970">
        <v>14</v>
      </c>
      <c r="AE3077" s="1101">
        <v>15</v>
      </c>
      <c r="AF3077" s="271">
        <f t="shared" si="333"/>
        <v>14.3</v>
      </c>
      <c r="AG3077" s="1396"/>
      <c r="DG3077" s="573"/>
      <c r="DH3077" s="159"/>
      <c r="DI3077" s="1091"/>
      <c r="DJ3077" s="1187"/>
    </row>
    <row r="3078" spans="1:114" ht="15" hidden="1" customHeight="1" outlineLevel="1">
      <c r="A3078" s="453"/>
      <c r="C3078" s="51"/>
      <c r="D3078" s="4303"/>
      <c r="E3078" s="4295"/>
      <c r="F3078" s="4307" t="str">
        <f>$E$1520</f>
        <v>ASHP-SEER15-Replace_CAC_ElectricHeat_ROF_SF</v>
      </c>
      <c r="G3078" s="4307"/>
      <c r="H3078" s="4307"/>
      <c r="I3078" s="4307"/>
      <c r="J3078" s="1029" t="str">
        <f>$C$1520</f>
        <v>352400_2024_12_</v>
      </c>
      <c r="K3078" s="1795">
        <v>13.4</v>
      </c>
      <c r="L3078" s="13"/>
      <c r="M3078" s="1378" t="s">
        <v>1941</v>
      </c>
      <c r="P3078" s="261"/>
      <c r="Q3078" s="261"/>
      <c r="R3078" s="261"/>
      <c r="S3078" s="52"/>
      <c r="T3078" s="181"/>
      <c r="U3078" s="52"/>
      <c r="V3078" s="4295"/>
      <c r="W3078" s="1396">
        <v>13</v>
      </c>
      <c r="X3078" s="1396">
        <v>13</v>
      </c>
      <c r="Y3078" s="1396">
        <v>13</v>
      </c>
      <c r="Z3078" s="1396">
        <v>13</v>
      </c>
      <c r="AA3078" s="1396">
        <v>13</v>
      </c>
      <c r="AB3078" s="211">
        <v>13</v>
      </c>
      <c r="AC3078" s="211">
        <v>13</v>
      </c>
      <c r="AD3078" s="970">
        <v>13</v>
      </c>
      <c r="AE3078" s="1101">
        <v>14</v>
      </c>
      <c r="AF3078" s="271">
        <f t="shared" si="333"/>
        <v>13.4</v>
      </c>
      <c r="AG3078" s="1396"/>
      <c r="DG3078" s="573"/>
      <c r="DH3078" s="159"/>
      <c r="DI3078" s="1091"/>
      <c r="DJ3078" s="1187"/>
    </row>
    <row r="3079" spans="1:114" ht="15" hidden="1" customHeight="1" outlineLevel="1">
      <c r="A3079" s="453"/>
      <c r="C3079" s="51"/>
      <c r="D3079" s="4303"/>
      <c r="E3079" s="4295"/>
      <c r="F3079" s="4307" t="str">
        <f>$E$1522</f>
        <v>ASHP-SEER15-Replace_CAC_NonElectricHeat_ROF_SF</v>
      </c>
      <c r="G3079" s="4307"/>
      <c r="H3079" s="4307"/>
      <c r="I3079" s="4307"/>
      <c r="J3079" s="1029" t="str">
        <f>$C$1522</f>
        <v>352410_2024_12_</v>
      </c>
      <c r="K3079" s="1795">
        <v>13.4</v>
      </c>
      <c r="L3079" s="13"/>
      <c r="M3079" s="1378" t="s">
        <v>1941</v>
      </c>
      <c r="P3079" s="261"/>
      <c r="Q3079" s="261"/>
      <c r="R3079" s="261"/>
      <c r="S3079" s="52"/>
      <c r="T3079" s="181"/>
      <c r="U3079" s="52"/>
      <c r="V3079" s="4295"/>
      <c r="W3079" s="1396"/>
      <c r="X3079" s="1396"/>
      <c r="Y3079" s="1396"/>
      <c r="Z3079" s="1396"/>
      <c r="AA3079" s="1396"/>
      <c r="AB3079" s="211"/>
      <c r="AC3079" s="212">
        <v>13</v>
      </c>
      <c r="AD3079" s="970">
        <v>13</v>
      </c>
      <c r="AE3079" s="1101">
        <v>14</v>
      </c>
      <c r="AF3079" s="271">
        <f t="shared" si="333"/>
        <v>13.4</v>
      </c>
      <c r="AG3079" s="1396"/>
      <c r="DG3079" s="573"/>
      <c r="DH3079" s="159"/>
      <c r="DI3079" s="1091"/>
      <c r="DJ3079" s="1187"/>
    </row>
    <row r="3080" spans="1:114" ht="15" hidden="1" customHeight="1" outlineLevel="1">
      <c r="A3080" s="453"/>
      <c r="C3080" s="51"/>
      <c r="D3080" s="4303"/>
      <c r="E3080" s="4295"/>
      <c r="F3080" s="4347" t="str">
        <f>$E$1524</f>
        <v>ASHP-SEER15_ROF_SF</v>
      </c>
      <c r="G3080" s="4347"/>
      <c r="H3080" s="4347"/>
      <c r="I3080" s="4347"/>
      <c r="J3080" s="3471" t="str">
        <f>$C$1524</f>
        <v>352450_2024_12_</v>
      </c>
      <c r="K3080" s="2283">
        <v>14.3</v>
      </c>
      <c r="L3080" s="3492"/>
      <c r="M3080" s="2425" t="s">
        <v>1941</v>
      </c>
      <c r="P3080" s="261"/>
      <c r="Q3080" s="261"/>
      <c r="R3080" s="261"/>
      <c r="S3080" s="52"/>
      <c r="T3080" s="181"/>
      <c r="U3080" s="52"/>
      <c r="V3080" s="4295"/>
      <c r="W3080" s="3262">
        <v>14</v>
      </c>
      <c r="X3080" s="3262">
        <v>14</v>
      </c>
      <c r="Y3080" s="3262">
        <v>14</v>
      </c>
      <c r="Z3080" s="3262">
        <v>14</v>
      </c>
      <c r="AA3080" s="3262">
        <v>14</v>
      </c>
      <c r="AB3080" s="3286">
        <v>14</v>
      </c>
      <c r="AC3080" s="3286">
        <v>14</v>
      </c>
      <c r="AD3080" s="3484">
        <v>14</v>
      </c>
      <c r="AE3080" s="3493">
        <v>15</v>
      </c>
      <c r="AF3080" s="2236">
        <f t="shared" si="333"/>
        <v>14.3</v>
      </c>
      <c r="AG3080" s="1396"/>
      <c r="DG3080" s="573"/>
      <c r="DH3080" s="159"/>
      <c r="DI3080" s="1091"/>
      <c r="DJ3080" s="1187"/>
    </row>
    <row r="3081" spans="1:114" ht="15" hidden="1" customHeight="1" outlineLevel="1">
      <c r="A3081" s="453"/>
      <c r="C3081" s="51"/>
      <c r="D3081" s="4303"/>
      <c r="E3081" s="4295"/>
      <c r="F3081" s="4307" t="str">
        <f>$E$1526</f>
        <v>ASHP-SEER16-Replace_CAC_ElectricHeat_ER1_SF</v>
      </c>
      <c r="G3081" s="4307"/>
      <c r="H3081" s="4307"/>
      <c r="I3081" s="4307"/>
      <c r="J3081" s="1029" t="str">
        <f>$C$1526</f>
        <v>352500_2024_12_</v>
      </c>
      <c r="K3081" s="1757">
        <v>7.6515995433604935</v>
      </c>
      <c r="L3081" s="13"/>
      <c r="M3081" s="1609" t="s">
        <v>1950</v>
      </c>
      <c r="P3081" s="261"/>
      <c r="Q3081" s="261"/>
      <c r="R3081" s="261"/>
      <c r="S3081" s="52"/>
      <c r="T3081" s="181"/>
      <c r="U3081" s="52"/>
      <c r="V3081" s="4295"/>
      <c r="W3081" s="1396">
        <v>6.8</v>
      </c>
      <c r="X3081" s="833">
        <v>8.33</v>
      </c>
      <c r="Y3081" s="1396">
        <v>8.33</v>
      </c>
      <c r="Z3081" s="1396">
        <v>8.33</v>
      </c>
      <c r="AA3081" s="1396">
        <v>8.33</v>
      </c>
      <c r="AB3081" s="212">
        <v>7.3736145314130352</v>
      </c>
      <c r="AC3081" s="212">
        <v>8.1664591605461361</v>
      </c>
      <c r="AD3081" s="969">
        <v>7.4938049011994181</v>
      </c>
      <c r="AE3081" s="969">
        <v>7.7836347406448336</v>
      </c>
      <c r="AF3081" s="271">
        <f t="shared" si="333"/>
        <v>7.6515995433604935</v>
      </c>
      <c r="AG3081" s="1396"/>
      <c r="DG3081" s="573"/>
      <c r="DH3081" s="159"/>
      <c r="DI3081" s="1091"/>
      <c r="DJ3081" s="1187"/>
    </row>
    <row r="3082" spans="1:114" ht="15" hidden="1" customHeight="1" outlineLevel="1">
      <c r="A3082" s="453"/>
      <c r="C3082" s="51"/>
      <c r="D3082" s="4303"/>
      <c r="E3082" s="4295"/>
      <c r="F3082" s="4307" t="str">
        <f>$E$1528</f>
        <v>ASHP-SEER16-Replace_CAC_ElectricHeat_ER2_SF</v>
      </c>
      <c r="G3082" s="4307"/>
      <c r="H3082" s="4307"/>
      <c r="I3082" s="4307"/>
      <c r="J3082" s="1029" t="str">
        <f>$C$1528</f>
        <v>352500_2024_12_</v>
      </c>
      <c r="K3082" s="1795">
        <v>13.4</v>
      </c>
      <c r="L3082" s="13"/>
      <c r="M3082" s="1378" t="s">
        <v>1941</v>
      </c>
      <c r="P3082" s="261"/>
      <c r="Q3082" s="261"/>
      <c r="R3082" s="261"/>
      <c r="S3082" s="52"/>
      <c r="T3082" s="181"/>
      <c r="U3082" s="52"/>
      <c r="V3082" s="4295"/>
      <c r="W3082" s="1396">
        <v>13</v>
      </c>
      <c r="X3082" s="1396">
        <v>13</v>
      </c>
      <c r="Y3082" s="1396">
        <v>13</v>
      </c>
      <c r="Z3082" s="1396">
        <v>13</v>
      </c>
      <c r="AA3082" s="1396">
        <v>13</v>
      </c>
      <c r="AB3082" s="211">
        <v>13</v>
      </c>
      <c r="AC3082" s="211">
        <v>13</v>
      </c>
      <c r="AD3082" s="970">
        <v>13</v>
      </c>
      <c r="AE3082" s="1101">
        <v>14</v>
      </c>
      <c r="AF3082" s="271">
        <f t="shared" si="333"/>
        <v>13.4</v>
      </c>
      <c r="AG3082" s="1396"/>
      <c r="DG3082" s="573"/>
      <c r="DH3082" s="159"/>
      <c r="DI3082" s="1091"/>
      <c r="DJ3082" s="1187"/>
    </row>
    <row r="3083" spans="1:114" ht="15" hidden="1" customHeight="1" outlineLevel="1">
      <c r="A3083" s="453"/>
      <c r="C3083" s="51"/>
      <c r="D3083" s="4303"/>
      <c r="E3083" s="4295"/>
      <c r="F3083" s="4307" t="str">
        <f>$E$1530</f>
        <v>ASHP-SEER16-Replace_CAC_NonElectricHeat_ER1_SF</v>
      </c>
      <c r="G3083" s="4307"/>
      <c r="H3083" s="4307"/>
      <c r="I3083" s="4307"/>
      <c r="J3083" s="1029" t="str">
        <f>$C$1530</f>
        <v>352510_2024_12_</v>
      </c>
      <c r="K3083" s="1757">
        <v>7.6515995433604935</v>
      </c>
      <c r="L3083" s="13"/>
      <c r="M3083" s="1609" t="s">
        <v>1950</v>
      </c>
      <c r="P3083" s="261"/>
      <c r="Q3083" s="261"/>
      <c r="R3083" s="261"/>
      <c r="S3083" s="52"/>
      <c r="T3083" s="181"/>
      <c r="U3083" s="52"/>
      <c r="V3083" s="4295"/>
      <c r="W3083" s="1396"/>
      <c r="X3083" s="1396"/>
      <c r="Y3083" s="1396"/>
      <c r="Z3083" s="1396"/>
      <c r="AA3083" s="1396"/>
      <c r="AB3083" s="211"/>
      <c r="AC3083" s="212">
        <v>8.1664591605461361</v>
      </c>
      <c r="AD3083" s="969">
        <v>7.4938049011994181</v>
      </c>
      <c r="AE3083" s="969">
        <v>7.7836347406448336</v>
      </c>
      <c r="AF3083" s="271">
        <f t="shared" si="333"/>
        <v>7.6515995433604935</v>
      </c>
      <c r="AG3083" s="1396"/>
      <c r="DG3083" s="573"/>
      <c r="DH3083" s="159"/>
      <c r="DI3083" s="1091"/>
      <c r="DJ3083" s="1187"/>
    </row>
    <row r="3084" spans="1:114" ht="15" hidden="1" customHeight="1" outlineLevel="1">
      <c r="A3084" s="453"/>
      <c r="C3084" s="51"/>
      <c r="D3084" s="4303"/>
      <c r="E3084" s="4295"/>
      <c r="F3084" s="4307" t="str">
        <f>$E$1532</f>
        <v>ASHP-SEER16-Replace_CAC_NonElectricHeat_ER2_SF</v>
      </c>
      <c r="G3084" s="4307"/>
      <c r="H3084" s="4307"/>
      <c r="I3084" s="4307"/>
      <c r="J3084" s="1029" t="str">
        <f>$C$1532</f>
        <v>352510_2024_12_</v>
      </c>
      <c r="K3084" s="1795">
        <v>13.4</v>
      </c>
      <c r="L3084" s="13"/>
      <c r="M3084" s="1378" t="s">
        <v>1941</v>
      </c>
      <c r="P3084" s="261"/>
      <c r="Q3084" s="261"/>
      <c r="R3084" s="261"/>
      <c r="S3084" s="52"/>
      <c r="T3084" s="181"/>
      <c r="U3084" s="52"/>
      <c r="V3084" s="4295"/>
      <c r="W3084" s="1396"/>
      <c r="X3084" s="1396"/>
      <c r="Y3084" s="1396"/>
      <c r="Z3084" s="1396"/>
      <c r="AA3084" s="1396"/>
      <c r="AB3084" s="211"/>
      <c r="AC3084" s="212">
        <v>13</v>
      </c>
      <c r="AD3084" s="970">
        <v>13</v>
      </c>
      <c r="AE3084" s="1101">
        <v>14</v>
      </c>
      <c r="AF3084" s="271">
        <f t="shared" si="333"/>
        <v>13.4</v>
      </c>
      <c r="AG3084" s="1396"/>
      <c r="DG3084" s="573"/>
      <c r="DH3084" s="159"/>
      <c r="DI3084" s="1091"/>
      <c r="DJ3084" s="1187"/>
    </row>
    <row r="3085" spans="1:114" ht="15" hidden="1" customHeight="1" outlineLevel="1">
      <c r="A3085" s="453"/>
      <c r="C3085" s="51"/>
      <c r="D3085" s="4303"/>
      <c r="E3085" s="4295"/>
      <c r="F3085" s="4307" t="str">
        <f>$E$1534</f>
        <v>ASHP-SEER16_ER1_SF</v>
      </c>
      <c r="G3085" s="4307"/>
      <c r="H3085" s="4307"/>
      <c r="I3085" s="4307"/>
      <c r="J3085" s="1029" t="str">
        <f>$C$1534</f>
        <v>352550_2024_12_</v>
      </c>
      <c r="K3085" s="1757">
        <v>7.6515995433604935</v>
      </c>
      <c r="L3085" s="13"/>
      <c r="M3085" s="1609" t="s">
        <v>1950</v>
      </c>
      <c r="P3085" s="261"/>
      <c r="Q3085" s="261"/>
      <c r="R3085" s="261"/>
      <c r="S3085" s="52"/>
      <c r="T3085" s="181"/>
      <c r="U3085" s="52"/>
      <c r="V3085" s="4295"/>
      <c r="W3085" s="1396">
        <v>7.2</v>
      </c>
      <c r="X3085" s="833">
        <v>8.33</v>
      </c>
      <c r="Y3085" s="1396">
        <v>8.33</v>
      </c>
      <c r="Z3085" s="1396">
        <v>8.33</v>
      </c>
      <c r="AA3085" s="1396">
        <v>8.33</v>
      </c>
      <c r="AB3085" s="212">
        <v>7.7898582649437182</v>
      </c>
      <c r="AC3085" s="212">
        <v>8.4255600602484932</v>
      </c>
      <c r="AD3085" s="969">
        <v>7.4938049011994181</v>
      </c>
      <c r="AE3085" s="969">
        <v>7.7836347406448336</v>
      </c>
      <c r="AF3085" s="271">
        <f t="shared" si="333"/>
        <v>7.6515995433604935</v>
      </c>
      <c r="AG3085" s="1396"/>
      <c r="DG3085" s="573"/>
      <c r="DH3085" s="159"/>
      <c r="DI3085" s="1091"/>
      <c r="DJ3085" s="1187"/>
    </row>
    <row r="3086" spans="1:114" ht="15" hidden="1" customHeight="1" outlineLevel="1">
      <c r="A3086" s="453"/>
      <c r="C3086" s="51"/>
      <c r="D3086" s="4303"/>
      <c r="E3086" s="4295"/>
      <c r="F3086" s="4307" t="str">
        <f>$E$1536</f>
        <v>ASHP-SEER16_ER2_SF</v>
      </c>
      <c r="G3086" s="4307"/>
      <c r="H3086" s="4307"/>
      <c r="I3086" s="4307"/>
      <c r="J3086" s="1029" t="str">
        <f>$C$1536</f>
        <v>352550_2024_12_</v>
      </c>
      <c r="K3086" s="1795">
        <v>14.3</v>
      </c>
      <c r="L3086" s="13"/>
      <c r="M3086" s="1378" t="s">
        <v>1941</v>
      </c>
      <c r="P3086" s="261"/>
      <c r="Q3086" s="261"/>
      <c r="R3086" s="261"/>
      <c r="S3086" s="52"/>
      <c r="T3086" s="181"/>
      <c r="U3086" s="52"/>
      <c r="V3086" s="4295"/>
      <c r="W3086" s="1396">
        <v>14</v>
      </c>
      <c r="X3086" s="1396">
        <v>14</v>
      </c>
      <c r="Y3086" s="1396">
        <v>14</v>
      </c>
      <c r="Z3086" s="1396">
        <v>14</v>
      </c>
      <c r="AA3086" s="1396">
        <v>14</v>
      </c>
      <c r="AB3086" s="211">
        <v>14</v>
      </c>
      <c r="AC3086" s="211">
        <v>14</v>
      </c>
      <c r="AD3086" s="970">
        <v>14</v>
      </c>
      <c r="AE3086" s="1101">
        <v>15</v>
      </c>
      <c r="AF3086" s="271">
        <f t="shared" si="333"/>
        <v>14.3</v>
      </c>
      <c r="AG3086" s="1396"/>
      <c r="DG3086" s="573"/>
      <c r="DH3086" s="159"/>
      <c r="DI3086" s="1091"/>
      <c r="DJ3086" s="1187"/>
    </row>
    <row r="3087" spans="1:114" ht="15" hidden="1" customHeight="1" outlineLevel="1">
      <c r="A3087" s="453"/>
      <c r="C3087" s="51"/>
      <c r="D3087" s="4303"/>
      <c r="E3087" s="4295"/>
      <c r="F3087" s="4307" t="str">
        <f>$E$1538</f>
        <v>ASHP-SEER16-Replace_CAC_ElectricHeat_ROF_SF</v>
      </c>
      <c r="G3087" s="4307"/>
      <c r="H3087" s="4307"/>
      <c r="I3087" s="4307"/>
      <c r="J3087" s="1029" t="str">
        <f>$C$1538</f>
        <v>352600_2024_12_</v>
      </c>
      <c r="K3087" s="1795">
        <v>13.4</v>
      </c>
      <c r="L3087" s="13"/>
      <c r="M3087" s="1378" t="s">
        <v>1941</v>
      </c>
      <c r="P3087" s="261"/>
      <c r="Q3087" s="261"/>
      <c r="R3087" s="261"/>
      <c r="S3087" s="52"/>
      <c r="T3087" s="181"/>
      <c r="U3087" s="52"/>
      <c r="V3087" s="4295"/>
      <c r="W3087" s="1396">
        <v>13</v>
      </c>
      <c r="X3087" s="1396">
        <v>13</v>
      </c>
      <c r="Y3087" s="1396">
        <v>13</v>
      </c>
      <c r="Z3087" s="1396">
        <v>13</v>
      </c>
      <c r="AA3087" s="1396">
        <v>13</v>
      </c>
      <c r="AB3087" s="211">
        <v>13</v>
      </c>
      <c r="AC3087" s="211">
        <v>13</v>
      </c>
      <c r="AD3087" s="970">
        <v>13</v>
      </c>
      <c r="AE3087" s="1101">
        <v>14</v>
      </c>
      <c r="AF3087" s="271">
        <f t="shared" si="333"/>
        <v>13.4</v>
      </c>
      <c r="AG3087" s="1396"/>
      <c r="DG3087" s="573"/>
      <c r="DH3087" s="159"/>
      <c r="DI3087" s="1091"/>
      <c r="DJ3087" s="1187"/>
    </row>
    <row r="3088" spans="1:114" ht="15" hidden="1" customHeight="1" outlineLevel="1">
      <c r="A3088" s="453"/>
      <c r="C3088" s="51"/>
      <c r="D3088" s="4303"/>
      <c r="E3088" s="4295"/>
      <c r="F3088" s="4307" t="str">
        <f>$E$1540</f>
        <v>ASHP-SEER16-Replace_CAC_NonElectricHeat_ROF_SF</v>
      </c>
      <c r="G3088" s="4307"/>
      <c r="H3088" s="4307"/>
      <c r="I3088" s="4307"/>
      <c r="J3088" s="1029" t="str">
        <f>$C$1540</f>
        <v>352610_2024_12_</v>
      </c>
      <c r="K3088" s="1795">
        <v>13.4</v>
      </c>
      <c r="L3088" s="13"/>
      <c r="M3088" s="1378" t="s">
        <v>1941</v>
      </c>
      <c r="P3088" s="261"/>
      <c r="Q3088" s="261"/>
      <c r="R3088" s="261"/>
      <c r="S3088" s="52"/>
      <c r="T3088" s="181"/>
      <c r="U3088" s="52"/>
      <c r="V3088" s="4295"/>
      <c r="W3088" s="1396"/>
      <c r="X3088" s="1396"/>
      <c r="Y3088" s="1396"/>
      <c r="Z3088" s="1396"/>
      <c r="AA3088" s="1396"/>
      <c r="AB3088" s="211"/>
      <c r="AC3088" s="211"/>
      <c r="AD3088" s="969">
        <v>13</v>
      </c>
      <c r="AE3088" s="1101">
        <v>14</v>
      </c>
      <c r="AF3088" s="271">
        <f t="shared" si="333"/>
        <v>13.4</v>
      </c>
      <c r="AG3088" s="1396"/>
      <c r="DG3088" s="573"/>
      <c r="DH3088" s="159"/>
      <c r="DI3088" s="1091"/>
      <c r="DJ3088" s="1187"/>
    </row>
    <row r="3089" spans="1:114" ht="15" hidden="1" customHeight="1" outlineLevel="1">
      <c r="A3089" s="453"/>
      <c r="C3089" s="51"/>
      <c r="D3089" s="4303"/>
      <c r="E3089" s="4295"/>
      <c r="F3089" s="4307" t="str">
        <f>$E$1542</f>
        <v>ASHP-SEER16_ROF_SF</v>
      </c>
      <c r="G3089" s="4307"/>
      <c r="H3089" s="4307"/>
      <c r="I3089" s="4307"/>
      <c r="J3089" s="1029" t="str">
        <f>$C$1542</f>
        <v>352650_2024_12_</v>
      </c>
      <c r="K3089" s="1795">
        <v>14.3</v>
      </c>
      <c r="L3089" s="13"/>
      <c r="M3089" s="1378" t="s">
        <v>1941</v>
      </c>
      <c r="P3089" s="261"/>
      <c r="Q3089" s="261"/>
      <c r="R3089" s="261"/>
      <c r="S3089" s="52"/>
      <c r="T3089" s="181"/>
      <c r="U3089" s="52"/>
      <c r="V3089" s="4295"/>
      <c r="W3089" s="1396">
        <v>14</v>
      </c>
      <c r="X3089" s="1396">
        <v>14</v>
      </c>
      <c r="Y3089" s="1396">
        <v>14</v>
      </c>
      <c r="Z3089" s="1396">
        <v>14</v>
      </c>
      <c r="AA3089" s="1396">
        <v>14</v>
      </c>
      <c r="AB3089" s="211">
        <v>14</v>
      </c>
      <c r="AC3089" s="211">
        <v>14</v>
      </c>
      <c r="AD3089" s="970">
        <v>14</v>
      </c>
      <c r="AE3089" s="1101">
        <v>15</v>
      </c>
      <c r="AF3089" s="271">
        <f t="shared" si="333"/>
        <v>14.3</v>
      </c>
      <c r="AG3089" s="1396"/>
      <c r="DG3089" s="573"/>
      <c r="DH3089" s="159"/>
      <c r="DI3089" s="1091"/>
      <c r="DJ3089" s="1187"/>
    </row>
    <row r="3090" spans="1:114" ht="15" hidden="1" customHeight="1" outlineLevel="1">
      <c r="A3090" s="453"/>
      <c r="C3090" s="51"/>
      <c r="D3090" s="4303"/>
      <c r="E3090" s="4295"/>
      <c r="F3090" s="4307" t="str">
        <f>$E$1544</f>
        <v>ASHP-SEER15_ER1_MF</v>
      </c>
      <c r="G3090" s="4307"/>
      <c r="H3090" s="4307"/>
      <c r="I3090" s="4307"/>
      <c r="J3090" s="3471" t="str">
        <f>$C$1544</f>
        <v>352700_2024_12_</v>
      </c>
      <c r="K3090" s="916">
        <v>7.383168127728446</v>
      </c>
      <c r="L3090" s="262"/>
      <c r="M3090" s="1740" t="s">
        <v>1937</v>
      </c>
      <c r="P3090" s="261"/>
      <c r="Q3090" s="261"/>
      <c r="R3090" s="261"/>
      <c r="S3090" s="52"/>
      <c r="T3090" s="181"/>
      <c r="U3090" s="52"/>
      <c r="V3090" s="4295"/>
      <c r="W3090" s="1396">
        <v>7.2</v>
      </c>
      <c r="X3090" s="833">
        <v>8.33</v>
      </c>
      <c r="Y3090" s="1396">
        <v>8.33</v>
      </c>
      <c r="Z3090" s="1396">
        <v>8.33</v>
      </c>
      <c r="AA3090" s="1396">
        <v>8.33</v>
      </c>
      <c r="AB3090" s="212">
        <v>7.4463820519283335</v>
      </c>
      <c r="AC3090" s="212">
        <v>8.3235581631061049</v>
      </c>
      <c r="AD3090" s="969">
        <v>7.383168127728446</v>
      </c>
      <c r="AE3090" s="970">
        <v>7.383168127728446</v>
      </c>
      <c r="AF3090" s="271">
        <f t="shared" si="333"/>
        <v>7.383168127728446</v>
      </c>
      <c r="AG3090" s="1396"/>
      <c r="DG3090" s="573"/>
      <c r="DH3090" s="159"/>
      <c r="DI3090" s="1091"/>
      <c r="DJ3090" s="1187"/>
    </row>
    <row r="3091" spans="1:114" ht="15" hidden="1" customHeight="1" outlineLevel="1">
      <c r="A3091" s="453"/>
      <c r="C3091" s="51"/>
      <c r="D3091" s="4303"/>
      <c r="E3091" s="4295"/>
      <c r="F3091" s="4347" t="str">
        <f>$E$1546</f>
        <v>ASHP-SEER15_ER2_MF</v>
      </c>
      <c r="G3091" s="4347"/>
      <c r="H3091" s="4347"/>
      <c r="I3091" s="4347"/>
      <c r="J3091" s="3471" t="str">
        <f>$C$1546</f>
        <v>352700_2024_12_</v>
      </c>
      <c r="K3091" s="2283">
        <v>14.3</v>
      </c>
      <c r="L3091" s="3492"/>
      <c r="M3091" s="2425" t="s">
        <v>1941</v>
      </c>
      <c r="N3091" s="635"/>
      <c r="P3091" s="261"/>
      <c r="Q3091" s="261"/>
      <c r="R3091" s="261"/>
      <c r="S3091" s="52"/>
      <c r="T3091" s="181"/>
      <c r="U3091" s="52"/>
      <c r="V3091" s="4295"/>
      <c r="W3091" s="3262">
        <v>14</v>
      </c>
      <c r="X3091" s="3262">
        <v>14</v>
      </c>
      <c r="Y3091" s="3262">
        <v>14</v>
      </c>
      <c r="Z3091" s="3262">
        <v>14</v>
      </c>
      <c r="AA3091" s="3262">
        <v>14</v>
      </c>
      <c r="AB3091" s="3286">
        <v>14</v>
      </c>
      <c r="AC3091" s="3286">
        <v>14</v>
      </c>
      <c r="AD3091" s="3484">
        <v>14</v>
      </c>
      <c r="AE3091" s="3493">
        <v>15</v>
      </c>
      <c r="AF3091" s="2236">
        <f t="shared" si="333"/>
        <v>14.3</v>
      </c>
      <c r="AG3091" s="1396"/>
      <c r="DG3091" s="573"/>
      <c r="DH3091" s="159"/>
      <c r="DI3091" s="1091"/>
      <c r="DJ3091" s="1187"/>
    </row>
    <row r="3092" spans="1:114" ht="15" hidden="1" customHeight="1" outlineLevel="1">
      <c r="A3092" s="453"/>
      <c r="C3092" s="51"/>
      <c r="D3092" s="4303"/>
      <c r="E3092" s="4295"/>
      <c r="F3092" s="4347" t="str">
        <f>$E$1548</f>
        <v>ASHP-SEER15_ER1_MF_CompE</v>
      </c>
      <c r="G3092" s="4347"/>
      <c r="H3092" s="4347"/>
      <c r="I3092" s="4347"/>
      <c r="J3092" s="3471" t="str">
        <f>$C$1548</f>
        <v>352701_2024_12_</v>
      </c>
      <c r="K3092" s="3337">
        <v>7.383168127728446</v>
      </c>
      <c r="L3092" s="3479"/>
      <c r="M3092" s="3293" t="s">
        <v>1937</v>
      </c>
      <c r="N3092" s="635"/>
      <c r="P3092" s="261"/>
      <c r="Q3092" s="261"/>
      <c r="R3092" s="261"/>
      <c r="S3092" s="52"/>
      <c r="T3092" s="181"/>
      <c r="U3092" s="52"/>
      <c r="V3092" s="4295"/>
      <c r="W3092" s="3262"/>
      <c r="X3092" s="3262"/>
      <c r="Y3092" s="3265">
        <v>8.33</v>
      </c>
      <c r="Z3092" s="3262">
        <v>8.33</v>
      </c>
      <c r="AA3092" s="3262">
        <v>8.33</v>
      </c>
      <c r="AB3092" s="3285">
        <v>7.4463820519283335</v>
      </c>
      <c r="AC3092" s="3286">
        <v>7.4463820519283335</v>
      </c>
      <c r="AD3092" s="3482">
        <v>7.383168127728446</v>
      </c>
      <c r="AE3092" s="3484">
        <v>7.383168127728446</v>
      </c>
      <c r="AF3092" s="2236">
        <f t="shared" si="333"/>
        <v>7.383168127728446</v>
      </c>
      <c r="AG3092" s="1396"/>
      <c r="DG3092" s="573"/>
      <c r="DH3092" s="159"/>
      <c r="DI3092" s="1091"/>
      <c r="DJ3092" s="1187"/>
    </row>
    <row r="3093" spans="1:114" ht="15" hidden="1" customHeight="1" outlineLevel="1">
      <c r="A3093" s="453"/>
      <c r="C3093" s="51"/>
      <c r="D3093" s="4303"/>
      <c r="E3093" s="4295"/>
      <c r="F3093" s="4347" t="str">
        <f>$E$1550</f>
        <v>ASHP-SEER15_ER2_MF_CompE</v>
      </c>
      <c r="G3093" s="4347"/>
      <c r="H3093" s="4347"/>
      <c r="I3093" s="4347"/>
      <c r="J3093" s="3471" t="str">
        <f>$C$1550</f>
        <v>352701_2024_12_</v>
      </c>
      <c r="K3093" s="2283">
        <v>14.3</v>
      </c>
      <c r="L3093" s="3492"/>
      <c r="M3093" s="2425" t="s">
        <v>1941</v>
      </c>
      <c r="N3093" s="635"/>
      <c r="P3093" s="261"/>
      <c r="Q3093" s="261"/>
      <c r="R3093" s="261"/>
      <c r="S3093" s="52"/>
      <c r="T3093" s="181"/>
      <c r="U3093" s="52"/>
      <c r="V3093" s="4295"/>
      <c r="W3093" s="3262"/>
      <c r="X3093" s="3262"/>
      <c r="Y3093" s="3265">
        <v>14</v>
      </c>
      <c r="Z3093" s="3262">
        <v>14</v>
      </c>
      <c r="AA3093" s="3262">
        <v>14</v>
      </c>
      <c r="AB3093" s="3286">
        <v>14</v>
      </c>
      <c r="AC3093" s="3286">
        <v>14</v>
      </c>
      <c r="AD3093" s="3484">
        <v>14</v>
      </c>
      <c r="AE3093" s="3493">
        <v>15</v>
      </c>
      <c r="AF3093" s="2236">
        <f t="shared" si="333"/>
        <v>14.3</v>
      </c>
      <c r="AG3093" s="1396"/>
      <c r="DG3093" s="573"/>
      <c r="DH3093" s="159"/>
      <c r="DI3093" s="1091"/>
      <c r="DJ3093" s="1187"/>
    </row>
    <row r="3094" spans="1:114" ht="15" hidden="1" customHeight="1" outlineLevel="1">
      <c r="A3094" s="453"/>
      <c r="C3094" s="51"/>
      <c r="D3094" s="4303"/>
      <c r="E3094" s="4295"/>
      <c r="F3094" s="4347" t="str">
        <f>$E$1552</f>
        <v>ASHP-SEER15-Replace_CAC_ElectricHeat_ER1_MF</v>
      </c>
      <c r="G3094" s="4347"/>
      <c r="H3094" s="4347"/>
      <c r="I3094" s="4347"/>
      <c r="J3094" s="3471" t="str">
        <f>$C$1552</f>
        <v>352750_2024_12_</v>
      </c>
      <c r="K3094" s="3337">
        <v>7.383168127728446</v>
      </c>
      <c r="L3094" s="3479"/>
      <c r="M3094" s="3293" t="s">
        <v>1937</v>
      </c>
      <c r="N3094" s="635"/>
      <c r="P3094" s="261"/>
      <c r="Q3094" s="261"/>
      <c r="R3094" s="261"/>
      <c r="S3094" s="52"/>
      <c r="T3094" s="181"/>
      <c r="U3094" s="52"/>
      <c r="V3094" s="4295"/>
      <c r="W3094" s="3262">
        <v>6.8</v>
      </c>
      <c r="X3094" s="3265">
        <v>8.33</v>
      </c>
      <c r="Y3094" s="3262">
        <v>8.33</v>
      </c>
      <c r="Z3094" s="3262">
        <v>8.33</v>
      </c>
      <c r="AA3094" s="3262">
        <v>8.33</v>
      </c>
      <c r="AB3094" s="3285">
        <v>7.4436972862639159</v>
      </c>
      <c r="AC3094" s="3285">
        <v>8.402496453661275</v>
      </c>
      <c r="AD3094" s="3482">
        <v>7.383168127728446</v>
      </c>
      <c r="AE3094" s="3484">
        <v>7.383168127728446</v>
      </c>
      <c r="AF3094" s="2236">
        <f t="shared" si="333"/>
        <v>7.383168127728446</v>
      </c>
      <c r="AG3094" s="1396"/>
      <c r="DG3094" s="573"/>
      <c r="DH3094" s="159"/>
      <c r="DI3094" s="1091"/>
      <c r="DJ3094" s="1187"/>
    </row>
    <row r="3095" spans="1:114" ht="15" hidden="1" customHeight="1" outlineLevel="1">
      <c r="A3095" s="453"/>
      <c r="C3095" s="51"/>
      <c r="D3095" s="4303"/>
      <c r="E3095" s="4295"/>
      <c r="F3095" s="4347" t="str">
        <f>$E$1554</f>
        <v>ASHP-SEER15-Replace_CAC_ElectricHeat_ER2_MF</v>
      </c>
      <c r="G3095" s="4347"/>
      <c r="H3095" s="4347"/>
      <c r="I3095" s="4347"/>
      <c r="J3095" s="3471" t="str">
        <f>$C$1554</f>
        <v>352750_2024_12_</v>
      </c>
      <c r="K3095" s="2283">
        <v>13.4</v>
      </c>
      <c r="L3095" s="3492"/>
      <c r="M3095" s="2425" t="s">
        <v>1941</v>
      </c>
      <c r="N3095" s="635"/>
      <c r="P3095" s="261"/>
      <c r="Q3095" s="261"/>
      <c r="R3095" s="261"/>
      <c r="S3095" s="52"/>
      <c r="T3095" s="181"/>
      <c r="U3095" s="52"/>
      <c r="V3095" s="4295"/>
      <c r="W3095" s="3262">
        <v>13</v>
      </c>
      <c r="X3095" s="3262">
        <v>13</v>
      </c>
      <c r="Y3095" s="3262">
        <v>13</v>
      </c>
      <c r="Z3095" s="3262">
        <v>13</v>
      </c>
      <c r="AA3095" s="3262">
        <v>13</v>
      </c>
      <c r="AB3095" s="3286">
        <v>13</v>
      </c>
      <c r="AC3095" s="3286">
        <v>13</v>
      </c>
      <c r="AD3095" s="3484">
        <v>13</v>
      </c>
      <c r="AE3095" s="3493">
        <v>14</v>
      </c>
      <c r="AF3095" s="2236">
        <f t="shared" si="333"/>
        <v>13.4</v>
      </c>
      <c r="AG3095" s="1396"/>
      <c r="DG3095" s="573"/>
      <c r="DH3095" s="159"/>
      <c r="DI3095" s="1091"/>
      <c r="DJ3095" s="1187"/>
    </row>
    <row r="3096" spans="1:114" ht="15" hidden="1" customHeight="1" outlineLevel="1">
      <c r="A3096" s="453"/>
      <c r="C3096" s="51"/>
      <c r="D3096" s="4303"/>
      <c r="E3096" s="4295"/>
      <c r="F3096" s="4347" t="str">
        <f>$E$1556</f>
        <v>ASHP-SEER15-Replace_CAC_ElectricHeat_ER1_MF_CompE</v>
      </c>
      <c r="G3096" s="4347"/>
      <c r="H3096" s="4347"/>
      <c r="I3096" s="4347"/>
      <c r="J3096" s="3471" t="str">
        <f>$C$1556</f>
        <v>352751_2024_12_</v>
      </c>
      <c r="K3096" s="3337">
        <v>7.383168127728446</v>
      </c>
      <c r="L3096" s="3479"/>
      <c r="M3096" s="2425" t="s">
        <v>1945</v>
      </c>
      <c r="N3096" s="635"/>
      <c r="P3096" s="261"/>
      <c r="Q3096" s="261"/>
      <c r="R3096" s="261"/>
      <c r="S3096" s="52"/>
      <c r="T3096" s="181"/>
      <c r="U3096" s="52"/>
      <c r="V3096" s="4295"/>
      <c r="W3096" s="3262"/>
      <c r="X3096" s="3262"/>
      <c r="Y3096" s="3265">
        <v>8.33</v>
      </c>
      <c r="Z3096" s="3262">
        <v>8.33</v>
      </c>
      <c r="AA3096" s="3262">
        <v>8.33</v>
      </c>
      <c r="AB3096" s="3285">
        <v>7.4436972862639159</v>
      </c>
      <c r="AC3096" s="3286">
        <v>7.4436972862639159</v>
      </c>
      <c r="AD3096" s="3482">
        <v>7.383168127728446</v>
      </c>
      <c r="AE3096" s="3484">
        <v>7.383168127728446</v>
      </c>
      <c r="AF3096" s="2236">
        <f t="shared" si="333"/>
        <v>7.383168127728446</v>
      </c>
      <c r="AG3096" s="1396"/>
      <c r="DG3096" s="573"/>
      <c r="DH3096" s="159"/>
      <c r="DI3096" s="1091"/>
      <c r="DJ3096" s="1187"/>
    </row>
    <row r="3097" spans="1:114" ht="15" hidden="1" customHeight="1" outlineLevel="1">
      <c r="A3097" s="453"/>
      <c r="C3097" s="51"/>
      <c r="D3097" s="4303"/>
      <c r="E3097" s="4295"/>
      <c r="F3097" s="4347" t="str">
        <f>$E$1558</f>
        <v>ASHP-SEER15-Replace_CAC_ElectricHeat_ER2_MF_CompE</v>
      </c>
      <c r="G3097" s="4347"/>
      <c r="H3097" s="4347"/>
      <c r="I3097" s="4347"/>
      <c r="J3097" s="3471" t="str">
        <f>$C$1558</f>
        <v>352751_2024_12_</v>
      </c>
      <c r="K3097" s="2283">
        <v>13.4</v>
      </c>
      <c r="L3097" s="3492"/>
      <c r="M3097" s="2425" t="s">
        <v>1941</v>
      </c>
      <c r="N3097" s="635"/>
      <c r="P3097" s="261"/>
      <c r="Q3097" s="261"/>
      <c r="R3097" s="261"/>
      <c r="S3097" s="52"/>
      <c r="T3097" s="181"/>
      <c r="U3097" s="52"/>
      <c r="V3097" s="4295"/>
      <c r="W3097" s="3262"/>
      <c r="X3097" s="3262"/>
      <c r="Y3097" s="3265">
        <v>13</v>
      </c>
      <c r="Z3097" s="3262">
        <v>13</v>
      </c>
      <c r="AA3097" s="3262">
        <v>13</v>
      </c>
      <c r="AB3097" s="3286">
        <v>13</v>
      </c>
      <c r="AC3097" s="3286">
        <v>13</v>
      </c>
      <c r="AD3097" s="3484">
        <v>13</v>
      </c>
      <c r="AE3097" s="3493">
        <v>14</v>
      </c>
      <c r="AF3097" s="2236">
        <f t="shared" si="333"/>
        <v>13.4</v>
      </c>
      <c r="AG3097" s="1396"/>
      <c r="DG3097" s="573"/>
      <c r="DH3097" s="159"/>
      <c r="DI3097" s="1091"/>
      <c r="DJ3097" s="1187"/>
    </row>
    <row r="3098" spans="1:114" ht="15" hidden="1" customHeight="1" outlineLevel="1">
      <c r="A3098" s="453"/>
      <c r="C3098" s="51"/>
      <c r="D3098" s="4303"/>
      <c r="E3098" s="4295"/>
      <c r="F3098" s="4347" t="str">
        <f>$E$1560</f>
        <v>ASHP-SEER15-Replace_CAC_NonElectricHeat_ER1_MF</v>
      </c>
      <c r="G3098" s="4347"/>
      <c r="H3098" s="4347"/>
      <c r="I3098" s="4347"/>
      <c r="J3098" s="3471" t="str">
        <f>$C$1560</f>
        <v>352760_2024_12_</v>
      </c>
      <c r="K3098" s="3337">
        <v>7.383168127728446</v>
      </c>
      <c r="L3098" s="3479"/>
      <c r="M3098" s="2425" t="s">
        <v>1945</v>
      </c>
      <c r="N3098" s="635"/>
      <c r="P3098" s="261"/>
      <c r="Q3098" s="261"/>
      <c r="R3098" s="261"/>
      <c r="S3098" s="52"/>
      <c r="T3098" s="181"/>
      <c r="U3098" s="52"/>
      <c r="V3098" s="4295"/>
      <c r="W3098" s="3262"/>
      <c r="X3098" s="3262"/>
      <c r="Y3098" s="3265"/>
      <c r="Z3098" s="3262"/>
      <c r="AA3098" s="3262"/>
      <c r="AB3098" s="3286"/>
      <c r="AC3098" s="3285">
        <v>8.402496453661275</v>
      </c>
      <c r="AD3098" s="3482">
        <v>7.383168127728446</v>
      </c>
      <c r="AE3098" s="3484">
        <v>7.383168127728446</v>
      </c>
      <c r="AF3098" s="2236">
        <f t="shared" si="333"/>
        <v>7.383168127728446</v>
      </c>
      <c r="AG3098" s="1396"/>
      <c r="DG3098" s="573"/>
      <c r="DH3098" s="159"/>
      <c r="DI3098" s="1091"/>
      <c r="DJ3098" s="1187"/>
    </row>
    <row r="3099" spans="1:114" ht="15" hidden="1" customHeight="1" outlineLevel="1">
      <c r="A3099" s="453"/>
      <c r="C3099" s="51"/>
      <c r="D3099" s="4303"/>
      <c r="E3099" s="4295"/>
      <c r="F3099" s="4347" t="str">
        <f>$E$1562</f>
        <v>ASHP-SEER15-Replace_CAC_NonElectricHeat_ER2_MF</v>
      </c>
      <c r="G3099" s="4347"/>
      <c r="H3099" s="4347"/>
      <c r="I3099" s="4347"/>
      <c r="J3099" s="3471" t="str">
        <f>$C$1562</f>
        <v>352760_2024_12_</v>
      </c>
      <c r="K3099" s="2283">
        <v>13.4</v>
      </c>
      <c r="L3099" s="3492"/>
      <c r="M3099" s="2425" t="s">
        <v>1941</v>
      </c>
      <c r="N3099" s="635"/>
      <c r="P3099" s="261"/>
      <c r="Q3099" s="261"/>
      <c r="R3099" s="261"/>
      <c r="S3099" s="52"/>
      <c r="T3099" s="181"/>
      <c r="U3099" s="52"/>
      <c r="V3099" s="4295"/>
      <c r="W3099" s="3262"/>
      <c r="X3099" s="3262"/>
      <c r="Y3099" s="3265"/>
      <c r="Z3099" s="3262"/>
      <c r="AA3099" s="3262"/>
      <c r="AB3099" s="3286"/>
      <c r="AC3099" s="3285">
        <v>13</v>
      </c>
      <c r="AD3099" s="3484">
        <v>13</v>
      </c>
      <c r="AE3099" s="3493">
        <v>14</v>
      </c>
      <c r="AF3099" s="2236">
        <f t="shared" si="333"/>
        <v>13.4</v>
      </c>
      <c r="AG3099" s="1396"/>
      <c r="DG3099" s="573"/>
      <c r="DH3099" s="159"/>
      <c r="DI3099" s="1091"/>
      <c r="DJ3099" s="1187"/>
    </row>
    <row r="3100" spans="1:114" ht="15" hidden="1" customHeight="1" outlineLevel="1">
      <c r="A3100" s="453"/>
      <c r="C3100" s="51"/>
      <c r="D3100" s="4303"/>
      <c r="E3100" s="4295"/>
      <c r="F3100" s="4347" t="str">
        <f>$E$1564</f>
        <v>ASHP-SEER15-Replace_CAC_NonElectricHeat_ER1_MF_CompE</v>
      </c>
      <c r="G3100" s="4347"/>
      <c r="H3100" s="4347"/>
      <c r="I3100" s="4347"/>
      <c r="J3100" s="3471" t="str">
        <f>$C$1564</f>
        <v>352761_2024_12_</v>
      </c>
      <c r="K3100" s="3337">
        <v>7.383168127728446</v>
      </c>
      <c r="L3100" s="3479"/>
      <c r="M3100" s="2425" t="s">
        <v>1945</v>
      </c>
      <c r="N3100" s="635"/>
      <c r="P3100" s="261"/>
      <c r="Q3100" s="261"/>
      <c r="R3100" s="261"/>
      <c r="S3100" s="52"/>
      <c r="T3100" s="181"/>
      <c r="U3100" s="52"/>
      <c r="V3100" s="4295"/>
      <c r="W3100" s="3262"/>
      <c r="X3100" s="3262"/>
      <c r="Y3100" s="3265"/>
      <c r="Z3100" s="3262"/>
      <c r="AA3100" s="3262"/>
      <c r="AB3100" s="3286"/>
      <c r="AC3100" s="3285">
        <v>7.4436972862639159</v>
      </c>
      <c r="AD3100" s="3482">
        <v>7.383168127728446</v>
      </c>
      <c r="AE3100" s="3484">
        <v>7.383168127728446</v>
      </c>
      <c r="AF3100" s="2236">
        <f t="shared" si="333"/>
        <v>7.383168127728446</v>
      </c>
      <c r="AG3100" s="1396"/>
      <c r="DG3100" s="573"/>
      <c r="DH3100" s="159"/>
      <c r="DI3100" s="1091"/>
      <c r="DJ3100" s="1187"/>
    </row>
    <row r="3101" spans="1:114" ht="15" hidden="1" customHeight="1" outlineLevel="1">
      <c r="A3101" s="453"/>
      <c r="C3101" s="51"/>
      <c r="D3101" s="4303"/>
      <c r="E3101" s="4295"/>
      <c r="F3101" s="4347" t="str">
        <f>$E$1566</f>
        <v>ASHP-SEER15-Replace_CAC_NonElectricHeat_ER2_MF_CompE</v>
      </c>
      <c r="G3101" s="4347"/>
      <c r="H3101" s="4347"/>
      <c r="I3101" s="4347"/>
      <c r="J3101" s="3471" t="str">
        <f>$C$1566</f>
        <v>352761_2024_12_</v>
      </c>
      <c r="K3101" s="2283">
        <v>13.4</v>
      </c>
      <c r="L3101" s="3492"/>
      <c r="M3101" s="2425" t="s">
        <v>1941</v>
      </c>
      <c r="N3101" s="635"/>
      <c r="P3101" s="261"/>
      <c r="Q3101" s="261"/>
      <c r="R3101" s="261"/>
      <c r="S3101" s="52"/>
      <c r="T3101" s="181"/>
      <c r="U3101" s="52"/>
      <c r="V3101" s="4295"/>
      <c r="W3101" s="3262"/>
      <c r="X3101" s="3262"/>
      <c r="Y3101" s="3265"/>
      <c r="Z3101" s="3262"/>
      <c r="AA3101" s="3262"/>
      <c r="AB3101" s="3286"/>
      <c r="AC3101" s="3285">
        <v>13</v>
      </c>
      <c r="AD3101" s="3484">
        <v>13</v>
      </c>
      <c r="AE3101" s="3493">
        <v>14</v>
      </c>
      <c r="AF3101" s="2236">
        <f t="shared" si="333"/>
        <v>13.4</v>
      </c>
      <c r="AG3101" s="1396"/>
      <c r="DG3101" s="573"/>
      <c r="DH3101" s="159"/>
      <c r="DI3101" s="1091"/>
      <c r="DJ3101" s="1187"/>
    </row>
    <row r="3102" spans="1:114" ht="15" hidden="1" customHeight="1" outlineLevel="1">
      <c r="A3102" s="453"/>
      <c r="C3102" s="51"/>
      <c r="D3102" s="4303"/>
      <c r="E3102" s="4295"/>
      <c r="F3102" s="4347" t="str">
        <f>$E$1568</f>
        <v>ASHP-SEER15-Replace_CAC_ElectricHeat_ROF_MF</v>
      </c>
      <c r="G3102" s="4347"/>
      <c r="H3102" s="4347"/>
      <c r="I3102" s="4347"/>
      <c r="J3102" s="3471" t="str">
        <f>$C$1568</f>
        <v>352800_2024_12_</v>
      </c>
      <c r="K3102" s="2283">
        <v>13.4</v>
      </c>
      <c r="L3102" s="3492"/>
      <c r="M3102" s="2425" t="s">
        <v>1941</v>
      </c>
      <c r="N3102" s="635"/>
      <c r="P3102" s="261"/>
      <c r="Q3102" s="261"/>
      <c r="R3102" s="261"/>
      <c r="S3102" s="52"/>
      <c r="T3102" s="181"/>
      <c r="U3102" s="52"/>
      <c r="V3102" s="4295"/>
      <c r="W3102" s="3262">
        <v>13</v>
      </c>
      <c r="X3102" s="3262">
        <v>13</v>
      </c>
      <c r="Y3102" s="3262">
        <v>13</v>
      </c>
      <c r="Z3102" s="3262">
        <v>13</v>
      </c>
      <c r="AA3102" s="3262">
        <v>13</v>
      </c>
      <c r="AB3102" s="3286">
        <v>13</v>
      </c>
      <c r="AC3102" s="3286">
        <v>13</v>
      </c>
      <c r="AD3102" s="3484">
        <v>13</v>
      </c>
      <c r="AE3102" s="3493">
        <v>14</v>
      </c>
      <c r="AF3102" s="2236">
        <f t="shared" si="333"/>
        <v>13.4</v>
      </c>
      <c r="AG3102" s="1396"/>
      <c r="DG3102" s="573"/>
      <c r="DH3102" s="159"/>
      <c r="DI3102" s="1091"/>
      <c r="DJ3102" s="1187"/>
    </row>
    <row r="3103" spans="1:114" ht="15" hidden="1" customHeight="1" outlineLevel="1">
      <c r="A3103" s="453"/>
      <c r="C3103" s="51"/>
      <c r="D3103" s="4303"/>
      <c r="E3103" s="4295"/>
      <c r="F3103" s="4347" t="str">
        <f>$E$1570</f>
        <v>ASHP-SEER15-Replace_CAC_ElectricHeat_ROF_MF_CompE</v>
      </c>
      <c r="G3103" s="4347"/>
      <c r="H3103" s="4347"/>
      <c r="I3103" s="4347"/>
      <c r="J3103" s="3471" t="str">
        <f>$C$1570</f>
        <v>352801_2024_12_</v>
      </c>
      <c r="K3103" s="2283">
        <v>13.4</v>
      </c>
      <c r="L3103" s="3492"/>
      <c r="M3103" s="2425" t="s">
        <v>1941</v>
      </c>
      <c r="N3103" s="635"/>
      <c r="P3103" s="261"/>
      <c r="Q3103" s="261"/>
      <c r="R3103" s="261"/>
      <c r="S3103" s="52"/>
      <c r="T3103" s="181"/>
      <c r="U3103" s="52"/>
      <c r="V3103" s="4295"/>
      <c r="W3103" s="3262"/>
      <c r="X3103" s="3262"/>
      <c r="Y3103" s="3265">
        <v>13</v>
      </c>
      <c r="Z3103" s="3262">
        <v>13</v>
      </c>
      <c r="AA3103" s="3262">
        <v>13</v>
      </c>
      <c r="AB3103" s="3286">
        <v>13</v>
      </c>
      <c r="AC3103" s="3286">
        <v>13</v>
      </c>
      <c r="AD3103" s="3484">
        <v>13</v>
      </c>
      <c r="AE3103" s="3493">
        <v>14</v>
      </c>
      <c r="AF3103" s="2236">
        <f t="shared" si="333"/>
        <v>13.4</v>
      </c>
      <c r="AG3103" s="1396"/>
      <c r="DG3103" s="573"/>
      <c r="DH3103" s="159"/>
      <c r="DI3103" s="1091"/>
      <c r="DJ3103" s="1187"/>
    </row>
    <row r="3104" spans="1:114" ht="15" hidden="1" customHeight="1" outlineLevel="1">
      <c r="A3104" s="453"/>
      <c r="C3104" s="51"/>
      <c r="D3104" s="4303"/>
      <c r="E3104" s="4295"/>
      <c r="F3104" s="4347" t="str">
        <f>$E$1572</f>
        <v>ASHP-SEER15-Replace_CAC_NonElectricHeat_ROF_MF</v>
      </c>
      <c r="G3104" s="4347"/>
      <c r="H3104" s="4347"/>
      <c r="I3104" s="4347"/>
      <c r="J3104" s="3471" t="str">
        <f>$C$1572</f>
        <v>352810_2024_12_</v>
      </c>
      <c r="K3104" s="2283">
        <v>13.4</v>
      </c>
      <c r="L3104" s="3492"/>
      <c r="M3104" s="2425" t="s">
        <v>1941</v>
      </c>
      <c r="N3104" s="635"/>
      <c r="P3104" s="261"/>
      <c r="Q3104" s="261"/>
      <c r="R3104" s="261"/>
      <c r="S3104" s="52"/>
      <c r="T3104" s="181"/>
      <c r="U3104" s="52"/>
      <c r="V3104" s="4295"/>
      <c r="W3104" s="3262"/>
      <c r="X3104" s="3262"/>
      <c r="Y3104" s="3265"/>
      <c r="Z3104" s="3262"/>
      <c r="AA3104" s="3262"/>
      <c r="AB3104" s="3286"/>
      <c r="AC3104" s="3285">
        <v>13</v>
      </c>
      <c r="AD3104" s="3484">
        <v>13</v>
      </c>
      <c r="AE3104" s="3493">
        <v>14</v>
      </c>
      <c r="AF3104" s="2236">
        <f t="shared" si="333"/>
        <v>13.4</v>
      </c>
      <c r="AG3104" s="1396"/>
      <c r="DG3104" s="573"/>
      <c r="DH3104" s="159"/>
      <c r="DI3104" s="1091"/>
      <c r="DJ3104" s="1187"/>
    </row>
    <row r="3105" spans="1:114" ht="15" hidden="1" customHeight="1" outlineLevel="1">
      <c r="A3105" s="453"/>
      <c r="C3105" s="51"/>
      <c r="D3105" s="4303"/>
      <c r="E3105" s="4295"/>
      <c r="F3105" s="4347" t="str">
        <f>$E$1574</f>
        <v>ASHP-SEER15-Replace_CAC_NonElectricHeat_ROF_MF_CompE</v>
      </c>
      <c r="G3105" s="4347"/>
      <c r="H3105" s="4347"/>
      <c r="I3105" s="4347"/>
      <c r="J3105" s="3471" t="str">
        <f>$C$1574</f>
        <v>352811_2024_12_</v>
      </c>
      <c r="K3105" s="2283">
        <v>13.4</v>
      </c>
      <c r="L3105" s="3492"/>
      <c r="M3105" s="2425" t="s">
        <v>1941</v>
      </c>
      <c r="N3105" s="635"/>
      <c r="P3105" s="261"/>
      <c r="Q3105" s="261"/>
      <c r="R3105" s="261"/>
      <c r="S3105" s="52"/>
      <c r="T3105" s="181"/>
      <c r="U3105" s="52"/>
      <c r="V3105" s="4295"/>
      <c r="W3105" s="3262"/>
      <c r="X3105" s="3262"/>
      <c r="Y3105" s="3265"/>
      <c r="Z3105" s="3262"/>
      <c r="AA3105" s="3262"/>
      <c r="AB3105" s="3286"/>
      <c r="AC3105" s="3285">
        <v>13</v>
      </c>
      <c r="AD3105" s="3484">
        <v>13</v>
      </c>
      <c r="AE3105" s="3493">
        <v>14</v>
      </c>
      <c r="AF3105" s="2236">
        <f t="shared" si="333"/>
        <v>13.4</v>
      </c>
      <c r="AG3105" s="1396"/>
      <c r="DG3105" s="573"/>
      <c r="DH3105" s="159"/>
      <c r="DI3105" s="1091"/>
      <c r="DJ3105" s="1187"/>
    </row>
    <row r="3106" spans="1:114" ht="15" hidden="1" customHeight="1" outlineLevel="1">
      <c r="A3106" s="453"/>
      <c r="C3106" s="51"/>
      <c r="D3106" s="4303"/>
      <c r="E3106" s="4295"/>
      <c r="F3106" s="4347" t="str">
        <f>$E$1576</f>
        <v>ASHP-SEER16_ER1_MF</v>
      </c>
      <c r="G3106" s="4347"/>
      <c r="H3106" s="4347"/>
      <c r="I3106" s="4347"/>
      <c r="J3106" s="3471" t="str">
        <f>$C$1576</f>
        <v>352850_2024_12_</v>
      </c>
      <c r="K3106" s="3337">
        <v>7.9529639856088918</v>
      </c>
      <c r="L3106" s="3479"/>
      <c r="M3106" s="3293" t="s">
        <v>1937</v>
      </c>
      <c r="N3106" s="635"/>
      <c r="P3106" s="261"/>
      <c r="Q3106" s="261"/>
      <c r="R3106" s="261"/>
      <c r="S3106" s="52"/>
      <c r="T3106" s="181"/>
      <c r="U3106" s="52"/>
      <c r="V3106" s="4295"/>
      <c r="W3106" s="3262">
        <v>7.2</v>
      </c>
      <c r="X3106" s="3265">
        <v>8.33</v>
      </c>
      <c r="Y3106" s="3262">
        <v>8.33</v>
      </c>
      <c r="Z3106" s="3262">
        <v>8.33</v>
      </c>
      <c r="AA3106" s="3262">
        <v>8.33</v>
      </c>
      <c r="AB3106" s="3286">
        <v>8.33</v>
      </c>
      <c r="AC3106" s="3285">
        <v>8.1723559416639002</v>
      </c>
      <c r="AD3106" s="3482">
        <v>7.9529639856088918</v>
      </c>
      <c r="AE3106" s="3484">
        <v>7.9529639856088918</v>
      </c>
      <c r="AF3106" s="2236">
        <f t="shared" si="333"/>
        <v>7.9529639856088918</v>
      </c>
      <c r="AG3106" s="1396"/>
      <c r="DG3106" s="573"/>
      <c r="DH3106" s="159"/>
      <c r="DI3106" s="1091"/>
      <c r="DJ3106" s="1187"/>
    </row>
    <row r="3107" spans="1:114" ht="15" hidden="1" customHeight="1" outlineLevel="1">
      <c r="A3107" s="453"/>
      <c r="C3107" s="51"/>
      <c r="D3107" s="4303"/>
      <c r="E3107" s="4295"/>
      <c r="F3107" s="4347" t="str">
        <f>$E$1578</f>
        <v>ASHP-SEER16_ER2_MF</v>
      </c>
      <c r="G3107" s="4347"/>
      <c r="H3107" s="4347"/>
      <c r="I3107" s="4347"/>
      <c r="J3107" s="3471" t="str">
        <f>$C$1578</f>
        <v>352850_2024_12_</v>
      </c>
      <c r="K3107" s="2283">
        <v>14.3</v>
      </c>
      <c r="L3107" s="3492"/>
      <c r="M3107" s="2425" t="s">
        <v>1941</v>
      </c>
      <c r="N3107" s="635"/>
      <c r="P3107" s="261"/>
      <c r="Q3107" s="261"/>
      <c r="R3107" s="261"/>
      <c r="S3107" s="52"/>
      <c r="T3107" s="181"/>
      <c r="U3107" s="52"/>
      <c r="V3107" s="4295"/>
      <c r="W3107" s="3262">
        <v>14</v>
      </c>
      <c r="X3107" s="3262">
        <v>14</v>
      </c>
      <c r="Y3107" s="3262">
        <v>14</v>
      </c>
      <c r="Z3107" s="3262">
        <v>14</v>
      </c>
      <c r="AA3107" s="3262">
        <v>14</v>
      </c>
      <c r="AB3107" s="3286">
        <v>14</v>
      </c>
      <c r="AC3107" s="3286">
        <v>14</v>
      </c>
      <c r="AD3107" s="3484">
        <v>14</v>
      </c>
      <c r="AE3107" s="3493">
        <v>15</v>
      </c>
      <c r="AF3107" s="2236">
        <f t="shared" si="333"/>
        <v>14.3</v>
      </c>
      <c r="AG3107" s="1396"/>
      <c r="DG3107" s="573"/>
      <c r="DH3107" s="159"/>
      <c r="DI3107" s="1091"/>
      <c r="DJ3107" s="1187"/>
    </row>
    <row r="3108" spans="1:114" ht="15" hidden="1" customHeight="1" outlineLevel="1">
      <c r="A3108" s="453"/>
      <c r="C3108" s="51"/>
      <c r="D3108" s="4303"/>
      <c r="E3108" s="4295"/>
      <c r="F3108" s="4347" t="str">
        <f>$E$1580</f>
        <v>ASHP-SEER16_ER1_MF_CompE</v>
      </c>
      <c r="G3108" s="4347"/>
      <c r="H3108" s="4347"/>
      <c r="I3108" s="4347"/>
      <c r="J3108" s="3471" t="str">
        <f>$C$1580</f>
        <v>352851_2024_12_</v>
      </c>
      <c r="K3108" s="3337">
        <v>7.9529639856088918</v>
      </c>
      <c r="L3108" s="3479"/>
      <c r="M3108" s="3293" t="s">
        <v>1937</v>
      </c>
      <c r="N3108" s="635"/>
      <c r="P3108" s="261"/>
      <c r="Q3108" s="261"/>
      <c r="R3108" s="261"/>
      <c r="S3108" s="52"/>
      <c r="T3108" s="181"/>
      <c r="U3108" s="52"/>
      <c r="V3108" s="4295"/>
      <c r="W3108" s="3262"/>
      <c r="X3108" s="3262"/>
      <c r="Y3108" s="3265">
        <v>8.33</v>
      </c>
      <c r="Z3108" s="3262">
        <v>8.33</v>
      </c>
      <c r="AA3108" s="3262">
        <v>8.33</v>
      </c>
      <c r="AB3108" s="3286">
        <v>8.33</v>
      </c>
      <c r="AC3108" s="3286">
        <v>8.33</v>
      </c>
      <c r="AD3108" s="3482">
        <v>7.9529639856088918</v>
      </c>
      <c r="AE3108" s="3484">
        <v>7.9529639856088918</v>
      </c>
      <c r="AF3108" s="2236">
        <f t="shared" si="333"/>
        <v>7.9529639856088918</v>
      </c>
      <c r="AG3108" s="1396"/>
      <c r="DG3108" s="573"/>
      <c r="DH3108" s="159"/>
      <c r="DI3108" s="1091"/>
      <c r="DJ3108" s="1187"/>
    </row>
    <row r="3109" spans="1:114" ht="15" hidden="1" customHeight="1" outlineLevel="1">
      <c r="A3109" s="453"/>
      <c r="C3109" s="51"/>
      <c r="D3109" s="4303"/>
      <c r="E3109" s="4295"/>
      <c r="F3109" s="4347" t="str">
        <f>$E$1582</f>
        <v>ASHP-SEER16_ER2_MF_CompE</v>
      </c>
      <c r="G3109" s="4347"/>
      <c r="H3109" s="4347"/>
      <c r="I3109" s="4347"/>
      <c r="J3109" s="3471" t="str">
        <f>$C$1582</f>
        <v>352851_2024_12_</v>
      </c>
      <c r="K3109" s="2283">
        <v>14.3</v>
      </c>
      <c r="L3109" s="3492"/>
      <c r="M3109" s="2425" t="s">
        <v>1941</v>
      </c>
      <c r="N3109" s="635"/>
      <c r="P3109" s="261"/>
      <c r="Q3109" s="261"/>
      <c r="R3109" s="261"/>
      <c r="S3109" s="52"/>
      <c r="T3109" s="181"/>
      <c r="U3109" s="52"/>
      <c r="V3109" s="4295"/>
      <c r="W3109" s="3262"/>
      <c r="X3109" s="3262"/>
      <c r="Y3109" s="3265">
        <v>14</v>
      </c>
      <c r="Z3109" s="3262">
        <v>14</v>
      </c>
      <c r="AA3109" s="3262">
        <v>14</v>
      </c>
      <c r="AB3109" s="3286">
        <v>14</v>
      </c>
      <c r="AC3109" s="3286">
        <v>14</v>
      </c>
      <c r="AD3109" s="3484">
        <v>14</v>
      </c>
      <c r="AE3109" s="3493">
        <v>15</v>
      </c>
      <c r="AF3109" s="2236">
        <f t="shared" si="333"/>
        <v>14.3</v>
      </c>
      <c r="AG3109" s="1396"/>
      <c r="DG3109" s="573"/>
      <c r="DH3109" s="159"/>
      <c r="DI3109" s="1091"/>
      <c r="DJ3109" s="1187"/>
    </row>
    <row r="3110" spans="1:114" ht="15" hidden="1" customHeight="1" outlineLevel="1">
      <c r="A3110" s="453"/>
      <c r="C3110" s="51"/>
      <c r="D3110" s="4303"/>
      <c r="E3110" s="4295"/>
      <c r="F3110" s="4347" t="str">
        <f>$E$1584</f>
        <v>ASHP-SEER16_ROF_MF</v>
      </c>
      <c r="G3110" s="4347"/>
      <c r="H3110" s="4347"/>
      <c r="I3110" s="4347"/>
      <c r="J3110" s="3471" t="str">
        <f>$C$1584</f>
        <v>352900_2024_12_</v>
      </c>
      <c r="K3110" s="2283">
        <v>14.3</v>
      </c>
      <c r="L3110" s="3492"/>
      <c r="M3110" s="2425" t="s">
        <v>1941</v>
      </c>
      <c r="N3110" s="635"/>
      <c r="P3110" s="261"/>
      <c r="Q3110" s="261"/>
      <c r="R3110" s="261"/>
      <c r="S3110" s="52"/>
      <c r="T3110" s="181"/>
      <c r="U3110" s="52"/>
      <c r="V3110" s="4295"/>
      <c r="W3110" s="3262">
        <v>14</v>
      </c>
      <c r="X3110" s="3262">
        <v>14</v>
      </c>
      <c r="Y3110" s="3262">
        <v>14</v>
      </c>
      <c r="Z3110" s="3262">
        <v>14</v>
      </c>
      <c r="AA3110" s="3262">
        <v>14</v>
      </c>
      <c r="AB3110" s="3286">
        <v>14</v>
      </c>
      <c r="AC3110" s="3286">
        <v>14</v>
      </c>
      <c r="AD3110" s="3484">
        <v>14</v>
      </c>
      <c r="AE3110" s="3493">
        <v>15</v>
      </c>
      <c r="AF3110" s="2236">
        <f t="shared" si="333"/>
        <v>14.3</v>
      </c>
      <c r="AG3110" s="1396"/>
      <c r="DG3110" s="573"/>
      <c r="DH3110" s="159"/>
      <c r="DI3110" s="1091"/>
      <c r="DJ3110" s="1187"/>
    </row>
    <row r="3111" spans="1:114" ht="15" hidden="1" customHeight="1" outlineLevel="1">
      <c r="A3111" s="453"/>
      <c r="C3111" s="51"/>
      <c r="D3111" s="4303"/>
      <c r="E3111" s="4295"/>
      <c r="F3111" s="4347" t="str">
        <f>$E$1586</f>
        <v>ASHP-SEER16_ROF_MF_CompE</v>
      </c>
      <c r="G3111" s="4347"/>
      <c r="H3111" s="4347"/>
      <c r="I3111" s="4347"/>
      <c r="J3111" s="3471" t="str">
        <f>$C$1586</f>
        <v>352901_2024_12_</v>
      </c>
      <c r="K3111" s="2283">
        <v>14.3</v>
      </c>
      <c r="L3111" s="3492"/>
      <c r="M3111" s="2425" t="s">
        <v>1941</v>
      </c>
      <c r="N3111" s="635"/>
      <c r="P3111" s="261"/>
      <c r="Q3111" s="261"/>
      <c r="R3111" s="261"/>
      <c r="S3111" s="52"/>
      <c r="T3111" s="181"/>
      <c r="U3111" s="52"/>
      <c r="V3111" s="4295"/>
      <c r="W3111" s="3262"/>
      <c r="X3111" s="3262"/>
      <c r="Y3111" s="3265">
        <v>14</v>
      </c>
      <c r="Z3111" s="3262">
        <v>14</v>
      </c>
      <c r="AA3111" s="3262">
        <v>14</v>
      </c>
      <c r="AB3111" s="3286">
        <v>14</v>
      </c>
      <c r="AC3111" s="3286">
        <v>14</v>
      </c>
      <c r="AD3111" s="3484">
        <v>14</v>
      </c>
      <c r="AE3111" s="3493">
        <v>15</v>
      </c>
      <c r="AF3111" s="2236">
        <f t="shared" si="333"/>
        <v>14.3</v>
      </c>
      <c r="AG3111" s="1396"/>
      <c r="DG3111" s="573"/>
      <c r="DH3111" s="159"/>
      <c r="DI3111" s="1091"/>
      <c r="DJ3111" s="1187"/>
    </row>
    <row r="3112" spans="1:114" ht="15" hidden="1" customHeight="1" outlineLevel="1">
      <c r="A3112" s="453"/>
      <c r="C3112" s="51"/>
      <c r="D3112" s="4303"/>
      <c r="E3112" s="4295"/>
      <c r="F3112" s="4347" t="str">
        <f>$E$1588</f>
        <v>ASHP-SEER16-Replace_CAC_ElectricHeat_ROF_MF</v>
      </c>
      <c r="G3112" s="4347"/>
      <c r="H3112" s="4347"/>
      <c r="I3112" s="4347"/>
      <c r="J3112" s="3471" t="str">
        <f>$C$1588</f>
        <v>352950_2024_12_</v>
      </c>
      <c r="K3112" s="2283">
        <v>13.4</v>
      </c>
      <c r="L3112" s="3492"/>
      <c r="M3112" s="2425" t="s">
        <v>1941</v>
      </c>
      <c r="N3112" s="635"/>
      <c r="P3112" s="261"/>
      <c r="Q3112" s="261"/>
      <c r="R3112" s="261"/>
      <c r="S3112" s="52"/>
      <c r="T3112" s="181"/>
      <c r="U3112" s="52"/>
      <c r="V3112" s="4295"/>
      <c r="W3112" s="3262">
        <v>13</v>
      </c>
      <c r="X3112" s="3262">
        <v>13</v>
      </c>
      <c r="Y3112" s="3262">
        <v>13</v>
      </c>
      <c r="Z3112" s="3262">
        <v>13</v>
      </c>
      <c r="AA3112" s="3262">
        <v>13</v>
      </c>
      <c r="AB3112" s="3286">
        <v>13</v>
      </c>
      <c r="AC3112" s="3286">
        <v>13</v>
      </c>
      <c r="AD3112" s="3484">
        <v>13</v>
      </c>
      <c r="AE3112" s="3493">
        <v>14</v>
      </c>
      <c r="AF3112" s="2236">
        <f t="shared" si="333"/>
        <v>13.4</v>
      </c>
      <c r="AG3112" s="1396"/>
      <c r="DG3112" s="573"/>
      <c r="DH3112" s="159"/>
      <c r="DI3112" s="1091"/>
      <c r="DJ3112" s="1187"/>
    </row>
    <row r="3113" spans="1:114" ht="15" hidden="1" customHeight="1" outlineLevel="1">
      <c r="A3113" s="453"/>
      <c r="C3113" s="51"/>
      <c r="D3113" s="4303"/>
      <c r="E3113" s="4295"/>
      <c r="F3113" s="4347" t="str">
        <f>$E$1590</f>
        <v>ASHP-SEER16-Replace_CAC_ElectricHeat_ROF_MF_CompE</v>
      </c>
      <c r="G3113" s="4347"/>
      <c r="H3113" s="4347"/>
      <c r="I3113" s="4347"/>
      <c r="J3113" s="3471" t="str">
        <f>$C$1590</f>
        <v>352951_2024_12_</v>
      </c>
      <c r="K3113" s="2283">
        <v>13.4</v>
      </c>
      <c r="L3113" s="3492"/>
      <c r="M3113" s="2425" t="s">
        <v>1941</v>
      </c>
      <c r="N3113" s="635"/>
      <c r="P3113" s="261"/>
      <c r="Q3113" s="261"/>
      <c r="R3113" s="261"/>
      <c r="S3113" s="52"/>
      <c r="T3113" s="181"/>
      <c r="U3113" s="52"/>
      <c r="V3113" s="4295"/>
      <c r="W3113" s="3262"/>
      <c r="X3113" s="3262"/>
      <c r="Y3113" s="3265">
        <v>13</v>
      </c>
      <c r="Z3113" s="3262">
        <v>13</v>
      </c>
      <c r="AA3113" s="3262">
        <v>13</v>
      </c>
      <c r="AB3113" s="3286">
        <v>13</v>
      </c>
      <c r="AC3113" s="3286">
        <v>13</v>
      </c>
      <c r="AD3113" s="3484">
        <v>13</v>
      </c>
      <c r="AE3113" s="3493">
        <v>14</v>
      </c>
      <c r="AF3113" s="2236">
        <f t="shared" si="333"/>
        <v>13.4</v>
      </c>
      <c r="AG3113" s="1396"/>
      <c r="DG3113" s="573"/>
      <c r="DH3113" s="159"/>
      <c r="DI3113" s="1091"/>
      <c r="DJ3113" s="1187"/>
    </row>
    <row r="3114" spans="1:114" ht="15" hidden="1" customHeight="1" outlineLevel="1">
      <c r="A3114" s="453"/>
      <c r="C3114" s="51"/>
      <c r="D3114" s="4303"/>
      <c r="E3114" s="4295"/>
      <c r="F3114" s="4347" t="str">
        <f>$E$1592</f>
        <v>ASHP-SEER16-Replace_CAC_NonElectricHeat_ROF_MF</v>
      </c>
      <c r="G3114" s="4347"/>
      <c r="H3114" s="4347"/>
      <c r="I3114" s="4347"/>
      <c r="J3114" s="3471" t="str">
        <f>$C$1592</f>
        <v>352960_2024_12_</v>
      </c>
      <c r="K3114" s="2283">
        <v>13.4</v>
      </c>
      <c r="L3114" s="3492"/>
      <c r="M3114" s="2425" t="s">
        <v>1941</v>
      </c>
      <c r="N3114" s="635"/>
      <c r="P3114" s="261"/>
      <c r="Q3114" s="261"/>
      <c r="R3114" s="261"/>
      <c r="S3114" s="52"/>
      <c r="T3114" s="181"/>
      <c r="U3114" s="52"/>
      <c r="V3114" s="4295"/>
      <c r="W3114" s="3262"/>
      <c r="X3114" s="3262"/>
      <c r="Y3114" s="3265"/>
      <c r="Z3114" s="3262"/>
      <c r="AA3114" s="3262"/>
      <c r="AB3114" s="3286"/>
      <c r="AC3114" s="3285">
        <v>13</v>
      </c>
      <c r="AD3114" s="3484">
        <v>13</v>
      </c>
      <c r="AE3114" s="3493">
        <v>14</v>
      </c>
      <c r="AF3114" s="2236">
        <f t="shared" si="333"/>
        <v>13.4</v>
      </c>
      <c r="AG3114" s="1396"/>
      <c r="DG3114" s="573"/>
      <c r="DH3114" s="159"/>
      <c r="DI3114" s="1091"/>
      <c r="DJ3114" s="1187"/>
    </row>
    <row r="3115" spans="1:114" ht="15" hidden="1" customHeight="1" outlineLevel="1">
      <c r="A3115" s="453"/>
      <c r="C3115" s="51"/>
      <c r="D3115" s="4303"/>
      <c r="E3115" s="4295"/>
      <c r="F3115" s="4347" t="str">
        <f>$E$1594</f>
        <v>ASHP-SEER16-Replace_CAC_NonElectricHeat_ROF_MF_CompE</v>
      </c>
      <c r="G3115" s="4347"/>
      <c r="H3115" s="4347"/>
      <c r="I3115" s="4347"/>
      <c r="J3115" s="3471" t="str">
        <f>$C$1594</f>
        <v>352961_2024_12_</v>
      </c>
      <c r="K3115" s="2283">
        <v>13.4</v>
      </c>
      <c r="L3115" s="3492"/>
      <c r="M3115" s="2425" t="s">
        <v>1941</v>
      </c>
      <c r="N3115" s="635"/>
      <c r="P3115" s="261"/>
      <c r="Q3115" s="261"/>
      <c r="R3115" s="261"/>
      <c r="S3115" s="52"/>
      <c r="T3115" s="181"/>
      <c r="U3115" s="52"/>
      <c r="V3115" s="4295"/>
      <c r="W3115" s="3262"/>
      <c r="X3115" s="3262"/>
      <c r="Y3115" s="3265"/>
      <c r="Z3115" s="3262"/>
      <c r="AA3115" s="3262"/>
      <c r="AB3115" s="3286"/>
      <c r="AC3115" s="3285">
        <v>13</v>
      </c>
      <c r="AD3115" s="3484">
        <v>13</v>
      </c>
      <c r="AE3115" s="3493">
        <v>14</v>
      </c>
      <c r="AF3115" s="2236">
        <f t="shared" si="333"/>
        <v>13.4</v>
      </c>
      <c r="AG3115" s="1396"/>
      <c r="DG3115" s="573"/>
      <c r="DH3115" s="159"/>
      <c r="DI3115" s="1091"/>
      <c r="DJ3115" s="1187"/>
    </row>
    <row r="3116" spans="1:114" ht="15" hidden="1" customHeight="1" outlineLevel="1">
      <c r="A3116" s="453"/>
      <c r="C3116" s="51"/>
      <c r="D3116" s="4303"/>
      <c r="E3116" s="4295"/>
      <c r="F3116" s="4307" t="str">
        <f>$E$1596</f>
        <v>ASHP-SEER16-Replace_CAC_ElectricHeat_ER1_MF</v>
      </c>
      <c r="G3116" s="4307"/>
      <c r="H3116" s="4307"/>
      <c r="I3116" s="4307"/>
      <c r="J3116" s="1029" t="str">
        <f>$C$1596</f>
        <v>353000_2024_12_</v>
      </c>
      <c r="K3116" s="916">
        <v>7.9529639856088918</v>
      </c>
      <c r="L3116" s="262"/>
      <c r="M3116" s="1740" t="s">
        <v>1937</v>
      </c>
      <c r="P3116" s="261"/>
      <c r="Q3116" s="261"/>
      <c r="R3116" s="261"/>
      <c r="S3116" s="52"/>
      <c r="T3116" s="181"/>
      <c r="U3116" s="52"/>
      <c r="V3116" s="4295"/>
      <c r="W3116" s="1396">
        <v>6.8</v>
      </c>
      <c r="X3116" s="833">
        <v>8.33</v>
      </c>
      <c r="Y3116" s="1396">
        <v>8.33</v>
      </c>
      <c r="Z3116" s="1396">
        <v>8.33</v>
      </c>
      <c r="AA3116" s="1396">
        <v>8.33</v>
      </c>
      <c r="AB3116" s="211">
        <v>8.33</v>
      </c>
      <c r="AC3116" s="212">
        <v>6.7219971629290205</v>
      </c>
      <c r="AD3116" s="969">
        <v>7.9529639856088918</v>
      </c>
      <c r="AE3116" s="970">
        <v>7.9529639856088918</v>
      </c>
      <c r="AF3116" s="271">
        <f t="shared" si="333"/>
        <v>7.9529639856088918</v>
      </c>
      <c r="AG3116" s="1396"/>
      <c r="DG3116" s="573"/>
      <c r="DH3116" s="159"/>
      <c r="DI3116" s="1091"/>
      <c r="DJ3116" s="1187"/>
    </row>
    <row r="3117" spans="1:114" ht="15" hidden="1" customHeight="1" outlineLevel="1">
      <c r="A3117" s="453"/>
      <c r="C3117" s="51"/>
      <c r="D3117" s="4303"/>
      <c r="E3117" s="4295"/>
      <c r="F3117" s="4307" t="str">
        <f>$E$1598</f>
        <v>ASHP-SEER16-Replace_CAC_ElectricHeat_ER2_MF</v>
      </c>
      <c r="G3117" s="4307"/>
      <c r="H3117" s="4307"/>
      <c r="I3117" s="4307"/>
      <c r="J3117" s="1029" t="str">
        <f>$C$1598</f>
        <v>353000_2024_12_</v>
      </c>
      <c r="K3117" s="1795">
        <v>13.4</v>
      </c>
      <c r="L3117" s="13"/>
      <c r="M3117" s="1378" t="s">
        <v>1941</v>
      </c>
      <c r="P3117" s="261"/>
      <c r="Q3117" s="261"/>
      <c r="R3117" s="261"/>
      <c r="S3117" s="52"/>
      <c r="T3117" s="181"/>
      <c r="U3117" s="52"/>
      <c r="V3117" s="4295"/>
      <c r="W3117" s="1396">
        <v>13</v>
      </c>
      <c r="X3117" s="1396">
        <v>13</v>
      </c>
      <c r="Y3117" s="1396">
        <v>13</v>
      </c>
      <c r="Z3117" s="1396">
        <v>13</v>
      </c>
      <c r="AA3117" s="1396">
        <v>13</v>
      </c>
      <c r="AB3117" s="211">
        <v>13</v>
      </c>
      <c r="AC3117" s="211">
        <v>13</v>
      </c>
      <c r="AD3117" s="970">
        <v>13</v>
      </c>
      <c r="AE3117" s="1101">
        <v>14</v>
      </c>
      <c r="AF3117" s="271">
        <f t="shared" si="333"/>
        <v>13.4</v>
      </c>
      <c r="AG3117" s="1396"/>
      <c r="DG3117" s="573"/>
      <c r="DH3117" s="159"/>
      <c r="DI3117" s="1091"/>
      <c r="DJ3117" s="1187"/>
    </row>
    <row r="3118" spans="1:114" ht="15" hidden="1" customHeight="1" outlineLevel="1">
      <c r="A3118" s="453"/>
      <c r="C3118" s="51"/>
      <c r="D3118" s="4303"/>
      <c r="E3118" s="4295"/>
      <c r="F3118" s="4347" t="str">
        <f>$E$1600</f>
        <v>ASHP-SEER16-Replace_CAC_ElectricHeat_ER1_MF_CompE</v>
      </c>
      <c r="G3118" s="4347"/>
      <c r="H3118" s="4347"/>
      <c r="I3118" s="4347"/>
      <c r="J3118" s="3471" t="str">
        <f>$C$1600</f>
        <v>353001_2024_12_</v>
      </c>
      <c r="K3118" s="3337">
        <v>7.9529639856088918</v>
      </c>
      <c r="L3118" s="3479"/>
      <c r="M3118" s="3293" t="s">
        <v>1937</v>
      </c>
      <c r="P3118" s="261"/>
      <c r="Q3118" s="261"/>
      <c r="R3118" s="261"/>
      <c r="S3118" s="52"/>
      <c r="T3118" s="181"/>
      <c r="U3118" s="52"/>
      <c r="V3118" s="4295"/>
      <c r="W3118" s="3262"/>
      <c r="X3118" s="3262"/>
      <c r="Y3118" s="3265">
        <v>8.33</v>
      </c>
      <c r="Z3118" s="3262">
        <v>8.33</v>
      </c>
      <c r="AA3118" s="3262">
        <v>8.33</v>
      </c>
      <c r="AB3118" s="3286">
        <v>8.33</v>
      </c>
      <c r="AC3118" s="3286">
        <v>8.33</v>
      </c>
      <c r="AD3118" s="3482">
        <v>7.9529639856088918</v>
      </c>
      <c r="AE3118" s="3484">
        <v>7.9529639856088918</v>
      </c>
      <c r="AF3118" s="2236">
        <f t="shared" si="333"/>
        <v>7.9529639856088918</v>
      </c>
      <c r="AG3118" s="1396"/>
      <c r="DG3118" s="573"/>
      <c r="DH3118" s="159"/>
      <c r="DI3118" s="1091"/>
      <c r="DJ3118" s="1187"/>
    </row>
    <row r="3119" spans="1:114" ht="15" hidden="1" customHeight="1" outlineLevel="1">
      <c r="A3119" s="453"/>
      <c r="C3119" s="51"/>
      <c r="D3119" s="4303"/>
      <c r="E3119" s="4295"/>
      <c r="F3119" s="4347" t="str">
        <f>$E$1602</f>
        <v>ASHP-SEER16-Replace_CAC_ElectricHeat_ER2_MF_CompE</v>
      </c>
      <c r="G3119" s="4347"/>
      <c r="H3119" s="4347"/>
      <c r="I3119" s="4347"/>
      <c r="J3119" s="3471" t="str">
        <f>$C$1602</f>
        <v>353001_2024_12_</v>
      </c>
      <c r="K3119" s="2283">
        <v>13.4</v>
      </c>
      <c r="L3119" s="3492"/>
      <c r="M3119" s="2425" t="s">
        <v>1941</v>
      </c>
      <c r="P3119" s="261"/>
      <c r="Q3119" s="261"/>
      <c r="R3119" s="261"/>
      <c r="S3119" s="52"/>
      <c r="T3119" s="181"/>
      <c r="U3119" s="52"/>
      <c r="V3119" s="4295"/>
      <c r="W3119" s="3262"/>
      <c r="X3119" s="3262"/>
      <c r="Y3119" s="3265">
        <v>13</v>
      </c>
      <c r="Z3119" s="3262">
        <v>13</v>
      </c>
      <c r="AA3119" s="3262">
        <v>13</v>
      </c>
      <c r="AB3119" s="3286">
        <v>13</v>
      </c>
      <c r="AC3119" s="3286">
        <v>13</v>
      </c>
      <c r="AD3119" s="3484">
        <v>13</v>
      </c>
      <c r="AE3119" s="3493">
        <v>14</v>
      </c>
      <c r="AF3119" s="2236">
        <f t="shared" si="333"/>
        <v>13.4</v>
      </c>
      <c r="AG3119" s="1396"/>
      <c r="DG3119" s="573"/>
      <c r="DH3119" s="159"/>
      <c r="DI3119" s="1091"/>
      <c r="DJ3119" s="1187"/>
    </row>
    <row r="3120" spans="1:114" ht="15" hidden="1" customHeight="1" outlineLevel="1">
      <c r="A3120" s="453"/>
      <c r="C3120" s="51"/>
      <c r="D3120" s="4303"/>
      <c r="E3120" s="4295"/>
      <c r="F3120" s="4347" t="str">
        <f>$E$1604</f>
        <v>ASHP-SEER16-Replace_CAC_NonElectricHeat_ER1_MF</v>
      </c>
      <c r="G3120" s="4347"/>
      <c r="H3120" s="4347"/>
      <c r="I3120" s="4347"/>
      <c r="J3120" s="3471" t="str">
        <f>$C$1604</f>
        <v>353010_2024_12_</v>
      </c>
      <c r="K3120" s="3337">
        <v>7.9529639856088918</v>
      </c>
      <c r="L3120" s="3479"/>
      <c r="M3120" s="2425" t="s">
        <v>1945</v>
      </c>
      <c r="P3120" s="261"/>
      <c r="Q3120" s="261"/>
      <c r="R3120" s="261"/>
      <c r="S3120" s="52"/>
      <c r="T3120" s="181"/>
      <c r="U3120" s="52"/>
      <c r="V3120" s="4295"/>
      <c r="W3120" s="3262"/>
      <c r="X3120" s="3262"/>
      <c r="Y3120" s="3265"/>
      <c r="Z3120" s="3262"/>
      <c r="AA3120" s="3262"/>
      <c r="AB3120" s="3286"/>
      <c r="AC3120" s="3285">
        <v>6.7219971629290205</v>
      </c>
      <c r="AD3120" s="3482">
        <v>7.9529639856088918</v>
      </c>
      <c r="AE3120" s="3484">
        <v>7.9529639856088918</v>
      </c>
      <c r="AF3120" s="2236">
        <f t="shared" si="333"/>
        <v>7.9529639856088918</v>
      </c>
      <c r="AG3120" s="1396"/>
      <c r="DG3120" s="573"/>
      <c r="DH3120" s="159"/>
      <c r="DI3120" s="1091"/>
      <c r="DJ3120" s="1187"/>
    </row>
    <row r="3121" spans="1:114" ht="15" hidden="1" customHeight="1" outlineLevel="1">
      <c r="A3121" s="453"/>
      <c r="C3121" s="51"/>
      <c r="D3121" s="4303"/>
      <c r="E3121" s="4295"/>
      <c r="F3121" s="4347" t="str">
        <f>$E$1606</f>
        <v>ASHP-SEER16-Replace_CAC_NonElectricHeat_ER2_MF</v>
      </c>
      <c r="G3121" s="4347"/>
      <c r="H3121" s="4347"/>
      <c r="I3121" s="4347"/>
      <c r="J3121" s="3471" t="str">
        <f>$C$1606</f>
        <v>353010_2024_12_</v>
      </c>
      <c r="K3121" s="2283">
        <v>13.4</v>
      </c>
      <c r="L3121" s="3492"/>
      <c r="M3121" s="2425" t="s">
        <v>1941</v>
      </c>
      <c r="P3121" s="261"/>
      <c r="Q3121" s="261"/>
      <c r="R3121" s="261"/>
      <c r="S3121" s="52"/>
      <c r="T3121" s="181"/>
      <c r="U3121" s="52"/>
      <c r="V3121" s="4295"/>
      <c r="W3121" s="3262"/>
      <c r="X3121" s="3262"/>
      <c r="Y3121" s="3265"/>
      <c r="Z3121" s="3262"/>
      <c r="AA3121" s="3262"/>
      <c r="AB3121" s="3286"/>
      <c r="AC3121" s="3285">
        <v>13</v>
      </c>
      <c r="AD3121" s="3484">
        <v>13</v>
      </c>
      <c r="AE3121" s="3493">
        <v>14</v>
      </c>
      <c r="AF3121" s="2236">
        <f t="shared" si="333"/>
        <v>13.4</v>
      </c>
      <c r="AG3121" s="1396"/>
      <c r="DG3121" s="573"/>
      <c r="DH3121" s="159"/>
      <c r="DI3121" s="1091"/>
      <c r="DJ3121" s="1187"/>
    </row>
    <row r="3122" spans="1:114" ht="15" hidden="1" customHeight="1" outlineLevel="1">
      <c r="A3122" s="453"/>
      <c r="C3122" s="51"/>
      <c r="D3122" s="4303"/>
      <c r="E3122" s="4295"/>
      <c r="F3122" s="4347" t="str">
        <f>$E$1608</f>
        <v>ASHP-SEER16-Replace_CAC_NonElectricHeat_ER1_MF_CompE</v>
      </c>
      <c r="G3122" s="4347"/>
      <c r="H3122" s="4347"/>
      <c r="I3122" s="4347"/>
      <c r="J3122" s="3471" t="str">
        <f>$C$1608</f>
        <v>353011_2024_12_</v>
      </c>
      <c r="K3122" s="3337">
        <v>7.9529639856088918</v>
      </c>
      <c r="L3122" s="3479"/>
      <c r="M3122" s="2425" t="s">
        <v>1945</v>
      </c>
      <c r="P3122" s="261"/>
      <c r="Q3122" s="261"/>
      <c r="R3122" s="261"/>
      <c r="S3122" s="52"/>
      <c r="T3122" s="181"/>
      <c r="U3122" s="52"/>
      <c r="V3122" s="4295"/>
      <c r="W3122" s="3262"/>
      <c r="X3122" s="3262"/>
      <c r="Y3122" s="3265"/>
      <c r="Z3122" s="3262"/>
      <c r="AA3122" s="3262"/>
      <c r="AB3122" s="3286"/>
      <c r="AC3122" s="3285">
        <v>8.33</v>
      </c>
      <c r="AD3122" s="3482">
        <v>7.9529639856088918</v>
      </c>
      <c r="AE3122" s="3484">
        <v>7.9529639856088918</v>
      </c>
      <c r="AF3122" s="2236">
        <f t="shared" si="333"/>
        <v>7.9529639856088918</v>
      </c>
      <c r="AG3122" s="1396"/>
      <c r="DG3122" s="573"/>
      <c r="DH3122" s="159"/>
      <c r="DI3122" s="1091"/>
      <c r="DJ3122" s="1187"/>
    </row>
    <row r="3123" spans="1:114" ht="15" hidden="1" customHeight="1" outlineLevel="1">
      <c r="A3123" s="453"/>
      <c r="C3123" s="51"/>
      <c r="D3123" s="4303"/>
      <c r="E3123" s="4295"/>
      <c r="F3123" s="4347" t="str">
        <f>$E$1610</f>
        <v>ASHP-SEER16-Replace_CAC_NonElectricHeat_ER2_MF_CompE</v>
      </c>
      <c r="G3123" s="4347"/>
      <c r="H3123" s="4347"/>
      <c r="I3123" s="4347"/>
      <c r="J3123" s="3471" t="str">
        <f>$C$1610</f>
        <v>353011_2024_12_</v>
      </c>
      <c r="K3123" s="2283">
        <v>13.4</v>
      </c>
      <c r="L3123" s="3492"/>
      <c r="M3123" s="2425" t="s">
        <v>1941</v>
      </c>
      <c r="P3123" s="261"/>
      <c r="Q3123" s="261"/>
      <c r="R3123" s="261"/>
      <c r="S3123" s="52"/>
      <c r="T3123" s="181"/>
      <c r="U3123" s="52"/>
      <c r="V3123" s="4295"/>
      <c r="W3123" s="3262"/>
      <c r="X3123" s="3262"/>
      <c r="Y3123" s="3265"/>
      <c r="Z3123" s="3262"/>
      <c r="AA3123" s="3262"/>
      <c r="AB3123" s="3286"/>
      <c r="AC3123" s="3285">
        <v>13</v>
      </c>
      <c r="AD3123" s="3484">
        <v>13</v>
      </c>
      <c r="AE3123" s="3493">
        <v>14</v>
      </c>
      <c r="AF3123" s="2236">
        <f t="shared" si="333"/>
        <v>13.4</v>
      </c>
      <c r="AG3123" s="1396"/>
      <c r="DG3123" s="573"/>
      <c r="DH3123" s="159"/>
      <c r="DI3123" s="1091"/>
      <c r="DJ3123" s="1187"/>
    </row>
    <row r="3124" spans="1:114" ht="15" hidden="1" customHeight="1" outlineLevel="1">
      <c r="A3124" s="453"/>
      <c r="C3124" s="51"/>
      <c r="D3124" s="4303"/>
      <c r="E3124" s="4295"/>
      <c r="F3124" s="4347" t="str">
        <f>$E$1612</f>
        <v>ASHP-SEER15_ROF_MF</v>
      </c>
      <c r="G3124" s="4347"/>
      <c r="H3124" s="4347"/>
      <c r="I3124" s="4347"/>
      <c r="J3124" s="3471" t="str">
        <f>$C$1612</f>
        <v>353050_2024_12_</v>
      </c>
      <c r="K3124" s="2283">
        <v>14.3</v>
      </c>
      <c r="L3124" s="3492"/>
      <c r="M3124" s="2425" t="s">
        <v>1941</v>
      </c>
      <c r="P3124" s="261"/>
      <c r="Q3124" s="261"/>
      <c r="R3124" s="261"/>
      <c r="S3124" s="52"/>
      <c r="T3124" s="181"/>
      <c r="U3124" s="52"/>
      <c r="V3124" s="4295"/>
      <c r="W3124" s="3262">
        <v>14</v>
      </c>
      <c r="X3124" s="3262">
        <v>14</v>
      </c>
      <c r="Y3124" s="3262">
        <v>14</v>
      </c>
      <c r="Z3124" s="3262">
        <v>14</v>
      </c>
      <c r="AA3124" s="3262">
        <v>14</v>
      </c>
      <c r="AB3124" s="3286">
        <v>14</v>
      </c>
      <c r="AC3124" s="3286">
        <v>14</v>
      </c>
      <c r="AD3124" s="3484">
        <v>14</v>
      </c>
      <c r="AE3124" s="3493">
        <v>15</v>
      </c>
      <c r="AF3124" s="2236">
        <f t="shared" si="333"/>
        <v>14.3</v>
      </c>
      <c r="AG3124" s="1396"/>
      <c r="DG3124" s="573"/>
      <c r="DH3124" s="159"/>
      <c r="DI3124" s="1091"/>
      <c r="DJ3124" s="1187"/>
    </row>
    <row r="3125" spans="1:114" ht="15" hidden="1" customHeight="1" outlineLevel="1">
      <c r="A3125" s="453"/>
      <c r="C3125" s="51"/>
      <c r="D3125" s="4303"/>
      <c r="E3125" s="4295"/>
      <c r="F3125" s="4347" t="str">
        <f>$E$1614</f>
        <v>ASHP-SEER15_ROF_MF_CompE</v>
      </c>
      <c r="G3125" s="4347"/>
      <c r="H3125" s="4347"/>
      <c r="I3125" s="4347"/>
      <c r="J3125" s="3471" t="str">
        <f>$C$1614</f>
        <v>353051_2024_12_</v>
      </c>
      <c r="K3125" s="2283">
        <v>14.3</v>
      </c>
      <c r="L3125" s="3492"/>
      <c r="M3125" s="2425" t="s">
        <v>1941</v>
      </c>
      <c r="P3125" s="261"/>
      <c r="Q3125" s="261"/>
      <c r="R3125" s="261"/>
      <c r="S3125" s="52"/>
      <c r="T3125" s="181"/>
      <c r="U3125" s="52"/>
      <c r="V3125" s="4295"/>
      <c r="W3125" s="3262"/>
      <c r="X3125" s="3262"/>
      <c r="Y3125" s="3265">
        <v>14</v>
      </c>
      <c r="Z3125" s="3262">
        <v>14</v>
      </c>
      <c r="AA3125" s="3262">
        <v>14</v>
      </c>
      <c r="AB3125" s="3286">
        <v>14</v>
      </c>
      <c r="AC3125" s="3286">
        <v>14</v>
      </c>
      <c r="AD3125" s="3484">
        <v>14</v>
      </c>
      <c r="AE3125" s="3493">
        <v>15</v>
      </c>
      <c r="AF3125" s="2236">
        <f t="shared" si="333"/>
        <v>14.3</v>
      </c>
      <c r="AG3125" s="1396"/>
      <c r="DG3125" s="573"/>
      <c r="DH3125" s="159"/>
      <c r="DI3125" s="1091"/>
      <c r="DJ3125" s="1187"/>
    </row>
    <row r="3126" spans="1:114" ht="15" hidden="1" customHeight="1" outlineLevel="1">
      <c r="A3126" s="453"/>
      <c r="C3126" s="51"/>
      <c r="D3126" s="4303"/>
      <c r="E3126" s="4295"/>
      <c r="F3126" s="4307" t="str">
        <f>$E$1616</f>
        <v>ASHP-SEER17-Replace_CAC_ElectricHeat_ROF_SF</v>
      </c>
      <c r="G3126" s="4307"/>
      <c r="H3126" s="4307"/>
      <c r="I3126" s="4307"/>
      <c r="J3126" s="1029" t="str">
        <f>$C$1616</f>
        <v>353100_2024_12_</v>
      </c>
      <c r="K3126" s="1795">
        <v>13.4</v>
      </c>
      <c r="L3126" s="13"/>
      <c r="M3126" s="1378" t="s">
        <v>1941</v>
      </c>
      <c r="P3126" s="261"/>
      <c r="Q3126" s="261"/>
      <c r="R3126" s="261"/>
      <c r="S3126" s="52"/>
      <c r="T3126" s="181"/>
      <c r="U3126" s="52"/>
      <c r="V3126" s="4295"/>
      <c r="W3126" s="1396">
        <v>6.8</v>
      </c>
      <c r="X3126" s="833">
        <v>8.33</v>
      </c>
      <c r="Y3126" s="833">
        <v>13</v>
      </c>
      <c r="Z3126" s="1396">
        <v>13</v>
      </c>
      <c r="AA3126" s="1396">
        <v>13</v>
      </c>
      <c r="AB3126" s="211">
        <v>13</v>
      </c>
      <c r="AC3126" s="211">
        <v>13</v>
      </c>
      <c r="AD3126" s="970">
        <v>13</v>
      </c>
      <c r="AE3126" s="1101">
        <v>14</v>
      </c>
      <c r="AF3126" s="271">
        <f t="shared" si="333"/>
        <v>13.4</v>
      </c>
      <c r="AG3126" s="1396"/>
      <c r="DG3126" s="573"/>
      <c r="DH3126" s="159"/>
      <c r="DI3126" s="1091"/>
      <c r="DJ3126" s="1187"/>
    </row>
    <row r="3127" spans="1:114" ht="15" hidden="1" customHeight="1" outlineLevel="1">
      <c r="A3127" s="453"/>
      <c r="C3127" s="51"/>
      <c r="D3127" s="4303"/>
      <c r="E3127" s="4295"/>
      <c r="F3127" s="4307" t="str">
        <f>$E$1618</f>
        <v>ASHP-SEER17-Replace_CAC_NonElectricHeat_ROF_SF</v>
      </c>
      <c r="G3127" s="4307"/>
      <c r="H3127" s="4307"/>
      <c r="I3127" s="4307"/>
      <c r="J3127" s="1029" t="str">
        <f>$C$1618</f>
        <v>353110_2024_12_</v>
      </c>
      <c r="K3127" s="1795">
        <v>13.4</v>
      </c>
      <c r="L3127" s="13"/>
      <c r="M3127" s="1378" t="s">
        <v>1941</v>
      </c>
      <c r="P3127" s="261"/>
      <c r="Q3127" s="261"/>
      <c r="R3127" s="261"/>
      <c r="S3127" s="52"/>
      <c r="T3127" s="181"/>
      <c r="U3127" s="52"/>
      <c r="V3127" s="4295"/>
      <c r="W3127" s="1396"/>
      <c r="X3127" s="1396"/>
      <c r="Y3127" s="1396"/>
      <c r="Z3127" s="1396"/>
      <c r="AA3127" s="1396"/>
      <c r="AB3127" s="211"/>
      <c r="AC3127" s="211"/>
      <c r="AD3127" s="969">
        <v>13</v>
      </c>
      <c r="AE3127" s="1101">
        <v>14</v>
      </c>
      <c r="AF3127" s="271">
        <f t="shared" si="333"/>
        <v>13.4</v>
      </c>
      <c r="AG3127" s="1396"/>
      <c r="DG3127" s="573"/>
      <c r="DH3127" s="159"/>
      <c r="DI3127" s="1091"/>
      <c r="DJ3127" s="1187"/>
    </row>
    <row r="3128" spans="1:114" ht="15" hidden="1" customHeight="1" outlineLevel="1">
      <c r="A3128" s="453"/>
      <c r="C3128" s="51"/>
      <c r="D3128" s="4303"/>
      <c r="E3128" s="4295"/>
      <c r="F3128" s="4347" t="str">
        <f>$E$1620</f>
        <v>ASHP-SEER17-Replace_CAC_ElectricHeat_ROF_MF</v>
      </c>
      <c r="G3128" s="4347"/>
      <c r="H3128" s="4347"/>
      <c r="I3128" s="4347"/>
      <c r="J3128" s="3471" t="str">
        <f>$C$1620</f>
        <v>353150_2024_12_</v>
      </c>
      <c r="K3128" s="2283">
        <v>13.4</v>
      </c>
      <c r="L3128" s="3492"/>
      <c r="M3128" s="2425" t="s">
        <v>1941</v>
      </c>
      <c r="P3128" s="261"/>
      <c r="Q3128" s="261"/>
      <c r="R3128" s="261"/>
      <c r="S3128" s="52"/>
      <c r="T3128" s="181"/>
      <c r="U3128" s="52"/>
      <c r="V3128" s="4295"/>
      <c r="W3128" s="3262">
        <v>6.8</v>
      </c>
      <c r="X3128" s="3265">
        <v>8.33</v>
      </c>
      <c r="Y3128" s="3265">
        <v>13</v>
      </c>
      <c r="Z3128" s="3262">
        <v>13</v>
      </c>
      <c r="AA3128" s="3262">
        <v>13</v>
      </c>
      <c r="AB3128" s="3286">
        <v>13</v>
      </c>
      <c r="AC3128" s="3286">
        <v>13</v>
      </c>
      <c r="AD3128" s="3484">
        <v>13</v>
      </c>
      <c r="AE3128" s="3493">
        <v>14</v>
      </c>
      <c r="AF3128" s="2236">
        <f t="shared" si="333"/>
        <v>13.4</v>
      </c>
      <c r="AG3128" s="1396"/>
      <c r="DG3128" s="573"/>
      <c r="DH3128" s="159"/>
      <c r="DI3128" s="1091"/>
      <c r="DJ3128" s="1187"/>
    </row>
    <row r="3129" spans="1:114" ht="15" hidden="1" customHeight="1" outlineLevel="1">
      <c r="A3129" s="453"/>
      <c r="C3129" s="51"/>
      <c r="D3129" s="4303"/>
      <c r="E3129" s="4295"/>
      <c r="F3129" s="4347" t="str">
        <f>$E$1622</f>
        <v>ASHP-SEER17-Replace_CAC_ElectricHeat_ROF_MF_CompE</v>
      </c>
      <c r="G3129" s="4347"/>
      <c r="H3129" s="4347"/>
      <c r="I3129" s="4347"/>
      <c r="J3129" s="3471" t="str">
        <f>$C$1622</f>
        <v>353151_2024_12_</v>
      </c>
      <c r="K3129" s="2283">
        <v>13.4</v>
      </c>
      <c r="L3129" s="3492"/>
      <c r="M3129" s="2425" t="s">
        <v>1941</v>
      </c>
      <c r="P3129" s="261"/>
      <c r="Q3129" s="261"/>
      <c r="R3129" s="261"/>
      <c r="S3129" s="52"/>
      <c r="T3129" s="181"/>
      <c r="U3129" s="52"/>
      <c r="V3129" s="4295"/>
      <c r="W3129" s="3262"/>
      <c r="X3129" s="3265"/>
      <c r="Y3129" s="3265">
        <v>13</v>
      </c>
      <c r="Z3129" s="3262">
        <v>13</v>
      </c>
      <c r="AA3129" s="3262">
        <v>13</v>
      </c>
      <c r="AB3129" s="3286">
        <v>13</v>
      </c>
      <c r="AC3129" s="3286">
        <v>13</v>
      </c>
      <c r="AD3129" s="3484">
        <v>13</v>
      </c>
      <c r="AE3129" s="3493">
        <v>14</v>
      </c>
      <c r="AF3129" s="2236">
        <f t="shared" si="333"/>
        <v>13.4</v>
      </c>
      <c r="AG3129" s="1396"/>
      <c r="DG3129" s="573"/>
      <c r="DH3129" s="159"/>
      <c r="DI3129" s="1091"/>
      <c r="DJ3129" s="1187"/>
    </row>
    <row r="3130" spans="1:114" ht="15" hidden="1" customHeight="1" outlineLevel="1">
      <c r="A3130" s="453"/>
      <c r="C3130" s="51"/>
      <c r="D3130" s="4303"/>
      <c r="E3130" s="4295"/>
      <c r="F3130" s="4347" t="str">
        <f>$E$1624</f>
        <v>ASHP-SEER17-Replace_CAC_NonElectricHeat_ROF_MF</v>
      </c>
      <c r="G3130" s="4347"/>
      <c r="H3130" s="4347"/>
      <c r="I3130" s="4347"/>
      <c r="J3130" s="3471" t="str">
        <f>$C$1624</f>
        <v>353160_2024_12_</v>
      </c>
      <c r="K3130" s="2283">
        <v>13.4</v>
      </c>
      <c r="L3130" s="3492"/>
      <c r="M3130" s="2425" t="s">
        <v>1941</v>
      </c>
      <c r="P3130" s="261"/>
      <c r="Q3130" s="261"/>
      <c r="R3130" s="261"/>
      <c r="S3130" s="52"/>
      <c r="T3130" s="181"/>
      <c r="U3130" s="52"/>
      <c r="V3130" s="4295"/>
      <c r="W3130" s="3262"/>
      <c r="X3130" s="3265"/>
      <c r="Y3130" s="3265"/>
      <c r="Z3130" s="3262"/>
      <c r="AA3130" s="3262"/>
      <c r="AB3130" s="3286"/>
      <c r="AC3130" s="3285">
        <v>13</v>
      </c>
      <c r="AD3130" s="3484">
        <v>13</v>
      </c>
      <c r="AE3130" s="3493">
        <v>14</v>
      </c>
      <c r="AF3130" s="2236">
        <f t="shared" ref="AF3130:AF3193" si="334">IF(K3130&lt;&gt;"",K3130,"")</f>
        <v>13.4</v>
      </c>
      <c r="AG3130" s="1396"/>
      <c r="DG3130" s="573"/>
      <c r="DH3130" s="159"/>
      <c r="DI3130" s="1091"/>
      <c r="DJ3130" s="1187"/>
    </row>
    <row r="3131" spans="1:114" ht="15" hidden="1" customHeight="1" outlineLevel="1">
      <c r="A3131" s="453"/>
      <c r="C3131" s="51"/>
      <c r="D3131" s="4303"/>
      <c r="E3131" s="4295"/>
      <c r="F3131" s="4347" t="str">
        <f>$E$1626</f>
        <v>ASHP-SEER17-Replace_CAC_NonElectricHeat_ROF_MF_CompE</v>
      </c>
      <c r="G3131" s="4347"/>
      <c r="H3131" s="4347"/>
      <c r="I3131" s="4347"/>
      <c r="J3131" s="3471" t="str">
        <f>$C$1626</f>
        <v>353161_2024_12_</v>
      </c>
      <c r="K3131" s="2283">
        <v>13.4</v>
      </c>
      <c r="L3131" s="3492"/>
      <c r="M3131" s="2425" t="s">
        <v>1941</v>
      </c>
      <c r="P3131" s="261"/>
      <c r="Q3131" s="261"/>
      <c r="R3131" s="261"/>
      <c r="S3131" s="52"/>
      <c r="T3131" s="181"/>
      <c r="U3131" s="52"/>
      <c r="V3131" s="4295"/>
      <c r="W3131" s="3262"/>
      <c r="X3131" s="3265"/>
      <c r="Y3131" s="3265"/>
      <c r="Z3131" s="3262"/>
      <c r="AA3131" s="3262"/>
      <c r="AB3131" s="3286"/>
      <c r="AC3131" s="3285">
        <v>13</v>
      </c>
      <c r="AD3131" s="3484">
        <v>13</v>
      </c>
      <c r="AE3131" s="3493">
        <v>14</v>
      </c>
      <c r="AF3131" s="2236">
        <f t="shared" si="334"/>
        <v>13.4</v>
      </c>
      <c r="AG3131" s="1396"/>
      <c r="DG3131" s="573"/>
      <c r="DH3131" s="159"/>
      <c r="DI3131" s="1091"/>
      <c r="DJ3131" s="1187"/>
    </row>
    <row r="3132" spans="1:114" ht="15" hidden="1" customHeight="1" outlineLevel="1">
      <c r="A3132" s="453"/>
      <c r="C3132" s="51"/>
      <c r="D3132" s="4303"/>
      <c r="E3132" s="4295"/>
      <c r="F3132" s="4307" t="str">
        <f>$E$1628</f>
        <v>ASHP-SEER18-Replace_CAC_ElectricHeat_ROF_SF</v>
      </c>
      <c r="G3132" s="4307"/>
      <c r="H3132" s="4307"/>
      <c r="I3132" s="4307"/>
      <c r="J3132" s="1029" t="str">
        <f>$C$1628</f>
        <v>353200_2024_12_</v>
      </c>
      <c r="K3132" s="1795">
        <v>13.4</v>
      </c>
      <c r="L3132" s="13"/>
      <c r="M3132" s="1378" t="s">
        <v>1941</v>
      </c>
      <c r="P3132" s="261"/>
      <c r="Q3132" s="261"/>
      <c r="R3132" s="261"/>
      <c r="S3132" s="52"/>
      <c r="T3132" s="181"/>
      <c r="U3132" s="52"/>
      <c r="V3132" s="4295"/>
      <c r="W3132" s="1396">
        <v>6.8</v>
      </c>
      <c r="X3132" s="833">
        <v>8.33</v>
      </c>
      <c r="Y3132" s="833">
        <v>13</v>
      </c>
      <c r="Z3132" s="1396">
        <v>13</v>
      </c>
      <c r="AA3132" s="1396">
        <v>13</v>
      </c>
      <c r="AB3132" s="211">
        <v>13</v>
      </c>
      <c r="AC3132" s="211">
        <v>13</v>
      </c>
      <c r="AD3132" s="970">
        <v>13</v>
      </c>
      <c r="AE3132" s="1101">
        <v>14</v>
      </c>
      <c r="AF3132" s="271">
        <f t="shared" si="334"/>
        <v>13.4</v>
      </c>
      <c r="AG3132" s="1396"/>
      <c r="DG3132" s="573"/>
      <c r="DH3132" s="159"/>
      <c r="DI3132" s="1091"/>
      <c r="DJ3132" s="1187"/>
    </row>
    <row r="3133" spans="1:114" ht="15" hidden="1" customHeight="1" outlineLevel="1">
      <c r="A3133" s="453"/>
      <c r="C3133" s="51"/>
      <c r="D3133" s="4303"/>
      <c r="E3133" s="4295"/>
      <c r="F3133" s="4307" t="str">
        <f>$E$1630</f>
        <v>ASHP-SEER18-Replace_CAC_NonElectricHeat_ROF_SF</v>
      </c>
      <c r="G3133" s="4307"/>
      <c r="H3133" s="4307"/>
      <c r="I3133" s="4307"/>
      <c r="J3133" s="1029" t="str">
        <f>$C$1630</f>
        <v>353210_2024_12_</v>
      </c>
      <c r="K3133" s="1795">
        <v>13.4</v>
      </c>
      <c r="L3133" s="13"/>
      <c r="M3133" s="1378" t="s">
        <v>1941</v>
      </c>
      <c r="P3133" s="261"/>
      <c r="Q3133" s="261"/>
      <c r="R3133" s="261"/>
      <c r="S3133" s="52"/>
      <c r="T3133" s="181"/>
      <c r="U3133" s="52"/>
      <c r="V3133" s="4295"/>
      <c r="W3133" s="1396"/>
      <c r="X3133" s="1396"/>
      <c r="Y3133" s="1396"/>
      <c r="Z3133" s="1396"/>
      <c r="AA3133" s="1396"/>
      <c r="AB3133" s="211"/>
      <c r="AC3133" s="211"/>
      <c r="AD3133" s="969">
        <v>13</v>
      </c>
      <c r="AE3133" s="1101">
        <v>14</v>
      </c>
      <c r="AF3133" s="271">
        <f t="shared" si="334"/>
        <v>13.4</v>
      </c>
      <c r="AG3133" s="1396"/>
      <c r="DG3133" s="573"/>
      <c r="DH3133" s="159"/>
      <c r="DI3133" s="1091"/>
      <c r="DJ3133" s="1187"/>
    </row>
    <row r="3134" spans="1:114" ht="15" hidden="1" customHeight="1" outlineLevel="1">
      <c r="A3134" s="453"/>
      <c r="C3134" s="51"/>
      <c r="D3134" s="4303"/>
      <c r="E3134" s="4295"/>
      <c r="F3134" s="4347" t="str">
        <f>$E$1632</f>
        <v>ASHP-SEER18-Replace_CAC_ElectricHeat_ROF_MF</v>
      </c>
      <c r="G3134" s="4347"/>
      <c r="H3134" s="4347"/>
      <c r="I3134" s="4347"/>
      <c r="J3134" s="3471" t="str">
        <f>$C$1632</f>
        <v>353250_2024_12_</v>
      </c>
      <c r="K3134" s="2283">
        <v>13.4</v>
      </c>
      <c r="L3134" s="3492"/>
      <c r="M3134" s="2425" t="s">
        <v>1941</v>
      </c>
      <c r="P3134" s="261"/>
      <c r="Q3134" s="261"/>
      <c r="R3134" s="261"/>
      <c r="S3134" s="52"/>
      <c r="T3134" s="181"/>
      <c r="U3134" s="52"/>
      <c r="V3134" s="4295"/>
      <c r="W3134" s="3262">
        <v>6.8</v>
      </c>
      <c r="X3134" s="3265">
        <v>8.33</v>
      </c>
      <c r="Y3134" s="3265">
        <v>13</v>
      </c>
      <c r="Z3134" s="3262">
        <v>13</v>
      </c>
      <c r="AA3134" s="3262">
        <v>13</v>
      </c>
      <c r="AB3134" s="3286">
        <v>13</v>
      </c>
      <c r="AC3134" s="3286">
        <v>13</v>
      </c>
      <c r="AD3134" s="3484">
        <v>13</v>
      </c>
      <c r="AE3134" s="3493">
        <v>14</v>
      </c>
      <c r="AF3134" s="2236">
        <f t="shared" si="334"/>
        <v>13.4</v>
      </c>
      <c r="AG3134" s="1396"/>
      <c r="DG3134" s="573"/>
      <c r="DH3134" s="159"/>
      <c r="DI3134" s="1091"/>
      <c r="DJ3134" s="1187"/>
    </row>
    <row r="3135" spans="1:114" ht="15" hidden="1" customHeight="1" outlineLevel="1">
      <c r="A3135" s="453"/>
      <c r="C3135" s="51"/>
      <c r="D3135" s="4303"/>
      <c r="E3135" s="4295"/>
      <c r="F3135" s="4347" t="str">
        <f>$E$1634</f>
        <v>ASHP-SEER18-Replace_CAC_ElectricHeat_ROF_MF_CompE</v>
      </c>
      <c r="G3135" s="4347"/>
      <c r="H3135" s="4347"/>
      <c r="I3135" s="4347"/>
      <c r="J3135" s="3471" t="str">
        <f>$C$1634</f>
        <v>353251_2024_12_</v>
      </c>
      <c r="K3135" s="2283">
        <v>13.4</v>
      </c>
      <c r="L3135" s="3492"/>
      <c r="M3135" s="2425" t="s">
        <v>1941</v>
      </c>
      <c r="P3135" s="261"/>
      <c r="Q3135" s="261"/>
      <c r="R3135" s="261"/>
      <c r="S3135" s="52"/>
      <c r="T3135" s="181"/>
      <c r="U3135" s="52"/>
      <c r="V3135" s="4295"/>
      <c r="W3135" s="3262"/>
      <c r="X3135" s="3265"/>
      <c r="Y3135" s="3265">
        <v>13</v>
      </c>
      <c r="Z3135" s="3262">
        <v>13</v>
      </c>
      <c r="AA3135" s="3262">
        <v>13</v>
      </c>
      <c r="AB3135" s="3286">
        <v>13</v>
      </c>
      <c r="AC3135" s="3286">
        <v>13</v>
      </c>
      <c r="AD3135" s="3484">
        <v>13</v>
      </c>
      <c r="AE3135" s="3493">
        <v>14</v>
      </c>
      <c r="AF3135" s="2236">
        <f t="shared" si="334"/>
        <v>13.4</v>
      </c>
      <c r="AG3135" s="1396"/>
      <c r="DG3135" s="573"/>
      <c r="DH3135" s="159"/>
      <c r="DI3135" s="1091"/>
      <c r="DJ3135" s="1187"/>
    </row>
    <row r="3136" spans="1:114" ht="15" hidden="1" customHeight="1" outlineLevel="1">
      <c r="A3136" s="453"/>
      <c r="C3136" s="51"/>
      <c r="D3136" s="4303"/>
      <c r="E3136" s="4295"/>
      <c r="F3136" s="4347" t="str">
        <f>$E$1636</f>
        <v>ASHP-SEER18-Replace_CAC_NonElectricHeat_ROF_MF</v>
      </c>
      <c r="G3136" s="4347"/>
      <c r="H3136" s="4347"/>
      <c r="I3136" s="4347"/>
      <c r="J3136" s="3471" t="str">
        <f>$C$1636</f>
        <v>353260_2024_12_</v>
      </c>
      <c r="K3136" s="2283">
        <v>13.4</v>
      </c>
      <c r="L3136" s="3492"/>
      <c r="M3136" s="2425" t="s">
        <v>1941</v>
      </c>
      <c r="P3136" s="261"/>
      <c r="Q3136" s="261"/>
      <c r="R3136" s="261"/>
      <c r="S3136" s="52"/>
      <c r="T3136" s="181"/>
      <c r="U3136" s="52"/>
      <c r="V3136" s="4295"/>
      <c r="W3136" s="3262"/>
      <c r="X3136" s="3265"/>
      <c r="Y3136" s="3265"/>
      <c r="Z3136" s="3262"/>
      <c r="AA3136" s="3262"/>
      <c r="AB3136" s="3286"/>
      <c r="AC3136" s="3285">
        <v>13</v>
      </c>
      <c r="AD3136" s="3484">
        <v>13</v>
      </c>
      <c r="AE3136" s="3493">
        <v>14</v>
      </c>
      <c r="AF3136" s="2236">
        <f t="shared" si="334"/>
        <v>13.4</v>
      </c>
      <c r="AG3136" s="1396"/>
      <c r="DG3136" s="573"/>
      <c r="DH3136" s="159"/>
      <c r="DI3136" s="1091"/>
      <c r="DJ3136" s="1187"/>
    </row>
    <row r="3137" spans="1:114" ht="15" hidden="1" customHeight="1" outlineLevel="1">
      <c r="A3137" s="453"/>
      <c r="C3137" s="51"/>
      <c r="D3137" s="4303"/>
      <c r="E3137" s="4295"/>
      <c r="F3137" s="4347" t="str">
        <f>$E$1638</f>
        <v>ASHP-SEER18-Replace_CAC_NonElectricHeat_ROF_MF_CompE</v>
      </c>
      <c r="G3137" s="4347"/>
      <c r="H3137" s="4347"/>
      <c r="I3137" s="4347"/>
      <c r="J3137" s="3471" t="str">
        <f>$C$1638</f>
        <v>353261_2024_12_</v>
      </c>
      <c r="K3137" s="2283">
        <v>13.4</v>
      </c>
      <c r="L3137" s="3492"/>
      <c r="M3137" s="2425" t="s">
        <v>1941</v>
      </c>
      <c r="P3137" s="261"/>
      <c r="Q3137" s="261"/>
      <c r="R3137" s="261"/>
      <c r="S3137" s="52"/>
      <c r="T3137" s="181"/>
      <c r="U3137" s="52"/>
      <c r="V3137" s="4295"/>
      <c r="W3137" s="3262"/>
      <c r="X3137" s="3265"/>
      <c r="Y3137" s="3265"/>
      <c r="Z3137" s="3262"/>
      <c r="AA3137" s="3262"/>
      <c r="AB3137" s="3286"/>
      <c r="AC3137" s="3285">
        <v>13</v>
      </c>
      <c r="AD3137" s="3484">
        <v>13</v>
      </c>
      <c r="AE3137" s="3493">
        <v>14</v>
      </c>
      <c r="AF3137" s="2236">
        <f t="shared" si="334"/>
        <v>13.4</v>
      </c>
      <c r="AG3137" s="1396"/>
      <c r="DG3137" s="573"/>
      <c r="DH3137" s="159"/>
      <c r="DI3137" s="1091"/>
      <c r="DJ3137" s="1187"/>
    </row>
    <row r="3138" spans="1:114" ht="15" hidden="1" customHeight="1" outlineLevel="1">
      <c r="A3138" s="453"/>
      <c r="C3138" s="51"/>
      <c r="D3138" s="4303"/>
      <c r="E3138" s="4295"/>
      <c r="F3138" s="4307" t="str">
        <f>$E$1640</f>
        <v>ASHP-SEER19-Replace_CAC_ElectricHeat_ROF_SF</v>
      </c>
      <c r="G3138" s="4307"/>
      <c r="H3138" s="4307"/>
      <c r="I3138" s="4307"/>
      <c r="J3138" s="1029" t="str">
        <f>$C$1640</f>
        <v>353300_2024_12_</v>
      </c>
      <c r="K3138" s="1795">
        <v>13.4</v>
      </c>
      <c r="L3138" s="13"/>
      <c r="M3138" s="1378" t="s">
        <v>1941</v>
      </c>
      <c r="P3138" s="261"/>
      <c r="Q3138" s="261"/>
      <c r="R3138" s="261"/>
      <c r="S3138" s="52"/>
      <c r="T3138" s="181"/>
      <c r="U3138" s="52"/>
      <c r="V3138" s="4295"/>
      <c r="W3138" s="1396">
        <v>6.8</v>
      </c>
      <c r="X3138" s="833">
        <v>8.33</v>
      </c>
      <c r="Y3138" s="833">
        <v>13</v>
      </c>
      <c r="Z3138" s="1396">
        <v>13</v>
      </c>
      <c r="AA3138" s="1396">
        <v>13</v>
      </c>
      <c r="AB3138" s="211">
        <v>13</v>
      </c>
      <c r="AC3138" s="211">
        <v>13</v>
      </c>
      <c r="AD3138" s="970">
        <v>13</v>
      </c>
      <c r="AE3138" s="1101">
        <v>14</v>
      </c>
      <c r="AF3138" s="271">
        <f t="shared" si="334"/>
        <v>13.4</v>
      </c>
      <c r="AG3138" s="1396"/>
      <c r="DG3138" s="573"/>
      <c r="DH3138" s="159"/>
      <c r="DI3138" s="1091"/>
      <c r="DJ3138" s="1187"/>
    </row>
    <row r="3139" spans="1:114" ht="15" hidden="1" customHeight="1" outlineLevel="1">
      <c r="A3139" s="453"/>
      <c r="C3139" s="51"/>
      <c r="D3139" s="4303"/>
      <c r="E3139" s="4295"/>
      <c r="F3139" s="4307" t="str">
        <f>$E$1642</f>
        <v>ASHP-SEER19-Replace_CAC_NonElectricHeat_ROF_SF</v>
      </c>
      <c r="G3139" s="4307"/>
      <c r="H3139" s="4307"/>
      <c r="I3139" s="4307"/>
      <c r="J3139" s="1029" t="str">
        <f>$C$1642</f>
        <v>353310_2024_12_</v>
      </c>
      <c r="K3139" s="1795">
        <v>13.4</v>
      </c>
      <c r="L3139" s="13"/>
      <c r="M3139" s="1378" t="s">
        <v>1941</v>
      </c>
      <c r="P3139" s="261"/>
      <c r="Q3139" s="261"/>
      <c r="R3139" s="261"/>
      <c r="S3139" s="52"/>
      <c r="T3139" s="181"/>
      <c r="U3139" s="52"/>
      <c r="V3139" s="4295"/>
      <c r="W3139" s="1396"/>
      <c r="X3139" s="1396"/>
      <c r="Y3139" s="1396"/>
      <c r="Z3139" s="1396"/>
      <c r="AA3139" s="1396"/>
      <c r="AB3139" s="211"/>
      <c r="AC3139" s="211"/>
      <c r="AD3139" s="969">
        <v>13</v>
      </c>
      <c r="AE3139" s="1101">
        <v>14</v>
      </c>
      <c r="AF3139" s="271">
        <f t="shared" si="334"/>
        <v>13.4</v>
      </c>
      <c r="AG3139" s="1396"/>
      <c r="DG3139" s="573"/>
      <c r="DH3139" s="159"/>
      <c r="DI3139" s="1091"/>
      <c r="DJ3139" s="1187"/>
    </row>
    <row r="3140" spans="1:114" ht="15" hidden="1" customHeight="1" outlineLevel="1">
      <c r="A3140" s="453"/>
      <c r="C3140" s="51"/>
      <c r="D3140" s="4303"/>
      <c r="E3140" s="4295"/>
      <c r="F3140" s="4347" t="str">
        <f>$E$1644</f>
        <v>ASHP-SEER19-Replace_CAC_ElectricHeat_ROF_MF</v>
      </c>
      <c r="G3140" s="4347"/>
      <c r="H3140" s="4347"/>
      <c r="I3140" s="4347"/>
      <c r="J3140" s="3471" t="str">
        <f>$C$1644</f>
        <v>353350_2024_12_</v>
      </c>
      <c r="K3140" s="2283">
        <v>13.4</v>
      </c>
      <c r="L3140" s="3492"/>
      <c r="M3140" s="2425" t="s">
        <v>1941</v>
      </c>
      <c r="P3140" s="261"/>
      <c r="Q3140" s="261"/>
      <c r="R3140" s="261"/>
      <c r="S3140" s="52"/>
      <c r="T3140" s="181"/>
      <c r="U3140" s="52"/>
      <c r="V3140" s="4295"/>
      <c r="W3140" s="3262">
        <v>6.8</v>
      </c>
      <c r="X3140" s="3265">
        <v>8.33</v>
      </c>
      <c r="Y3140" s="3265">
        <v>13</v>
      </c>
      <c r="Z3140" s="3262">
        <v>13</v>
      </c>
      <c r="AA3140" s="3262">
        <v>13</v>
      </c>
      <c r="AB3140" s="3286">
        <v>13</v>
      </c>
      <c r="AC3140" s="3286">
        <v>13</v>
      </c>
      <c r="AD3140" s="3484">
        <v>13</v>
      </c>
      <c r="AE3140" s="3493">
        <v>14</v>
      </c>
      <c r="AF3140" s="2236">
        <f t="shared" si="334"/>
        <v>13.4</v>
      </c>
      <c r="AG3140" s="1396"/>
      <c r="DG3140" s="573"/>
      <c r="DH3140" s="159"/>
      <c r="DI3140" s="1091"/>
      <c r="DJ3140" s="1187"/>
    </row>
    <row r="3141" spans="1:114" ht="15" hidden="1" customHeight="1" outlineLevel="1">
      <c r="A3141" s="453"/>
      <c r="C3141" s="51"/>
      <c r="D3141" s="4303"/>
      <c r="E3141" s="4295"/>
      <c r="F3141" s="4347" t="str">
        <f>$E$1646</f>
        <v>ASHP-SEER19-Replace_CAC_ElectricHeat_ROF_MF_CompE</v>
      </c>
      <c r="G3141" s="4347"/>
      <c r="H3141" s="4347"/>
      <c r="I3141" s="4347"/>
      <c r="J3141" s="3471" t="str">
        <f>$C$1646</f>
        <v>353351_2024_12_</v>
      </c>
      <c r="K3141" s="2283">
        <v>13.4</v>
      </c>
      <c r="L3141" s="3492"/>
      <c r="M3141" s="2425" t="s">
        <v>1941</v>
      </c>
      <c r="P3141" s="261"/>
      <c r="Q3141" s="261"/>
      <c r="R3141" s="261"/>
      <c r="S3141" s="52"/>
      <c r="T3141" s="181"/>
      <c r="U3141" s="52"/>
      <c r="V3141" s="4295"/>
      <c r="W3141" s="3262"/>
      <c r="X3141" s="3265"/>
      <c r="Y3141" s="3265">
        <v>13</v>
      </c>
      <c r="Z3141" s="3262">
        <v>13</v>
      </c>
      <c r="AA3141" s="3262">
        <v>13</v>
      </c>
      <c r="AB3141" s="3286">
        <v>13</v>
      </c>
      <c r="AC3141" s="3286">
        <v>13</v>
      </c>
      <c r="AD3141" s="3484">
        <v>13</v>
      </c>
      <c r="AE3141" s="3493">
        <v>14</v>
      </c>
      <c r="AF3141" s="2236">
        <f t="shared" si="334"/>
        <v>13.4</v>
      </c>
      <c r="AG3141" s="1396"/>
      <c r="DG3141" s="573"/>
      <c r="DH3141" s="159"/>
      <c r="DI3141" s="1091"/>
      <c r="DJ3141" s="1187"/>
    </row>
    <row r="3142" spans="1:114" ht="15" hidden="1" customHeight="1" outlineLevel="1">
      <c r="A3142" s="453"/>
      <c r="C3142" s="51"/>
      <c r="D3142" s="4303"/>
      <c r="E3142" s="4295"/>
      <c r="F3142" s="4347" t="str">
        <f>$E$1648</f>
        <v>ASHP-SEER19-Replace_CAC_NonElectricHeat_ROF_MF</v>
      </c>
      <c r="G3142" s="4347"/>
      <c r="H3142" s="4347"/>
      <c r="I3142" s="4347"/>
      <c r="J3142" s="3471" t="str">
        <f>$C$1648</f>
        <v>353360_2024_12_</v>
      </c>
      <c r="K3142" s="2283">
        <v>13.4</v>
      </c>
      <c r="L3142" s="3492"/>
      <c r="M3142" s="2425" t="s">
        <v>1941</v>
      </c>
      <c r="P3142" s="261"/>
      <c r="Q3142" s="261"/>
      <c r="R3142" s="261"/>
      <c r="S3142" s="52"/>
      <c r="T3142" s="181"/>
      <c r="U3142" s="52"/>
      <c r="V3142" s="4295"/>
      <c r="W3142" s="3262"/>
      <c r="X3142" s="3265"/>
      <c r="Y3142" s="3265"/>
      <c r="Z3142" s="3262"/>
      <c r="AA3142" s="3262"/>
      <c r="AB3142" s="3286"/>
      <c r="AC3142" s="3285">
        <v>13</v>
      </c>
      <c r="AD3142" s="3484">
        <v>13</v>
      </c>
      <c r="AE3142" s="3493">
        <v>14</v>
      </c>
      <c r="AF3142" s="2236">
        <f t="shared" si="334"/>
        <v>13.4</v>
      </c>
      <c r="AG3142" s="1396"/>
      <c r="DG3142" s="573"/>
      <c r="DH3142" s="159"/>
      <c r="DI3142" s="1091"/>
      <c r="DJ3142" s="1187"/>
    </row>
    <row r="3143" spans="1:114" ht="15" hidden="1" customHeight="1" outlineLevel="1">
      <c r="A3143" s="453"/>
      <c r="C3143" s="51"/>
      <c r="D3143" s="4303"/>
      <c r="E3143" s="4295"/>
      <c r="F3143" s="4347" t="str">
        <f>$E$1650</f>
        <v>ASHP-SEER19-Replace_CAC_NonElectricHeat_ROF_MF_CompE</v>
      </c>
      <c r="G3143" s="4347"/>
      <c r="H3143" s="4347"/>
      <c r="I3143" s="4347"/>
      <c r="J3143" s="3471" t="str">
        <f>$C$1650</f>
        <v>353361_2024_12_</v>
      </c>
      <c r="K3143" s="2283">
        <v>13.4</v>
      </c>
      <c r="L3143" s="3492"/>
      <c r="M3143" s="2425" t="s">
        <v>1941</v>
      </c>
      <c r="P3143" s="261"/>
      <c r="Q3143" s="261"/>
      <c r="R3143" s="261"/>
      <c r="S3143" s="52"/>
      <c r="T3143" s="181"/>
      <c r="U3143" s="52"/>
      <c r="V3143" s="4295"/>
      <c r="W3143" s="3262"/>
      <c r="X3143" s="3265"/>
      <c r="Y3143" s="3265"/>
      <c r="Z3143" s="3262"/>
      <c r="AA3143" s="3262"/>
      <c r="AB3143" s="3286"/>
      <c r="AC3143" s="3285">
        <v>13</v>
      </c>
      <c r="AD3143" s="3484">
        <v>13</v>
      </c>
      <c r="AE3143" s="3493">
        <v>14</v>
      </c>
      <c r="AF3143" s="2236">
        <f t="shared" si="334"/>
        <v>13.4</v>
      </c>
      <c r="AG3143" s="1396"/>
      <c r="DG3143" s="573"/>
      <c r="DH3143" s="159"/>
      <c r="DI3143" s="1091"/>
      <c r="DJ3143" s="1187"/>
    </row>
    <row r="3144" spans="1:114" ht="15" hidden="1" customHeight="1" outlineLevel="1">
      <c r="A3144" s="453"/>
      <c r="C3144" s="51"/>
      <c r="D3144" s="4303"/>
      <c r="E3144" s="4295"/>
      <c r="F3144" s="4307" t="str">
        <f>$E$1652</f>
        <v>ASHP-SEER20-Replace_CAC_ElectricHeat_ER1_SF</v>
      </c>
      <c r="G3144" s="4307"/>
      <c r="H3144" s="4307"/>
      <c r="I3144" s="4307"/>
      <c r="J3144" s="1029" t="str">
        <f>$C$1652</f>
        <v>353400_2024_12_</v>
      </c>
      <c r="K3144" s="1757">
        <v>8.0952251540374363</v>
      </c>
      <c r="L3144" s="262"/>
      <c r="M3144" s="1609" t="s">
        <v>1950</v>
      </c>
      <c r="P3144" s="261"/>
      <c r="Q3144" s="261"/>
      <c r="R3144" s="261"/>
      <c r="S3144" s="52"/>
      <c r="T3144" s="181"/>
      <c r="U3144" s="52"/>
      <c r="V3144" s="4295"/>
      <c r="W3144" s="1396">
        <v>6.8</v>
      </c>
      <c r="X3144" s="833">
        <v>8.33</v>
      </c>
      <c r="Y3144" s="1396">
        <v>8.33</v>
      </c>
      <c r="Z3144" s="1396">
        <v>8.33</v>
      </c>
      <c r="AA3144" s="1396">
        <v>8.33</v>
      </c>
      <c r="AB3144" s="211">
        <v>8.33</v>
      </c>
      <c r="AC3144" s="212">
        <v>8.3166278348954581</v>
      </c>
      <c r="AD3144" s="969">
        <v>7.6241123100090684</v>
      </c>
      <c r="AE3144" s="969">
        <v>7.876368789413509</v>
      </c>
      <c r="AF3144" s="271">
        <f t="shared" si="334"/>
        <v>8.0952251540374363</v>
      </c>
      <c r="AG3144" s="1396"/>
      <c r="DG3144" s="573"/>
      <c r="DH3144" s="159"/>
      <c r="DI3144" s="1091"/>
      <c r="DJ3144" s="1187"/>
    </row>
    <row r="3145" spans="1:114" ht="15" hidden="1" customHeight="1" outlineLevel="1">
      <c r="A3145" s="453"/>
      <c r="C3145" s="51"/>
      <c r="D3145" s="4303"/>
      <c r="E3145" s="4295"/>
      <c r="F3145" s="4307" t="str">
        <f>$E$1654</f>
        <v>ASHP-SEER20-Replace_CAC_ElectricHeat_ER2_SF</v>
      </c>
      <c r="G3145" s="4307"/>
      <c r="H3145" s="4307"/>
      <c r="I3145" s="4307"/>
      <c r="J3145" s="1029" t="str">
        <f>$C$1654</f>
        <v>353400_2024_12_</v>
      </c>
      <c r="K3145" s="1795">
        <v>13.4</v>
      </c>
      <c r="L3145" s="13"/>
      <c r="M3145" s="1378" t="s">
        <v>1941</v>
      </c>
      <c r="P3145" s="261"/>
      <c r="Q3145" s="261"/>
      <c r="R3145" s="261"/>
      <c r="S3145" s="52"/>
      <c r="T3145" s="181"/>
      <c r="U3145" s="52"/>
      <c r="V3145" s="4295"/>
      <c r="W3145" s="1396">
        <v>13</v>
      </c>
      <c r="X3145" s="1396">
        <v>13</v>
      </c>
      <c r="Y3145" s="1396">
        <v>13</v>
      </c>
      <c r="Z3145" s="1396">
        <v>13</v>
      </c>
      <c r="AA3145" s="1396">
        <v>13</v>
      </c>
      <c r="AB3145" s="211">
        <v>13</v>
      </c>
      <c r="AC3145" s="211">
        <v>13</v>
      </c>
      <c r="AD3145" s="970">
        <v>13</v>
      </c>
      <c r="AE3145" s="1101">
        <v>14</v>
      </c>
      <c r="AF3145" s="271">
        <f t="shared" si="334"/>
        <v>13.4</v>
      </c>
      <c r="AG3145" s="1396"/>
      <c r="DG3145" s="573"/>
      <c r="DH3145" s="159"/>
      <c r="DI3145" s="1091"/>
      <c r="DJ3145" s="1187"/>
    </row>
    <row r="3146" spans="1:114" ht="15" hidden="1" customHeight="1" outlineLevel="1">
      <c r="A3146" s="453"/>
      <c r="C3146" s="51"/>
      <c r="D3146" s="4303"/>
      <c r="E3146" s="4295"/>
      <c r="F3146" s="4307" t="str">
        <f>$E$1656</f>
        <v>ASHP-SEER20-Replace_CAC_NonElectricHeat_ER1_SF</v>
      </c>
      <c r="G3146" s="4307"/>
      <c r="H3146" s="4307"/>
      <c r="I3146" s="4307"/>
      <c r="J3146" s="1029" t="str">
        <f>$C$1656</f>
        <v>353410_2024_12_</v>
      </c>
      <c r="K3146" s="1757">
        <v>8.0952251540374363</v>
      </c>
      <c r="L3146" s="262"/>
      <c r="M3146" s="1609" t="s">
        <v>1950</v>
      </c>
      <c r="P3146" s="261"/>
      <c r="Q3146" s="261"/>
      <c r="R3146" s="261"/>
      <c r="S3146" s="52"/>
      <c r="T3146" s="181"/>
      <c r="U3146" s="52"/>
      <c r="V3146" s="4295"/>
      <c r="W3146" s="1396"/>
      <c r="X3146" s="1396"/>
      <c r="Y3146" s="1396"/>
      <c r="Z3146" s="1396"/>
      <c r="AA3146" s="1396"/>
      <c r="AB3146" s="211"/>
      <c r="AC3146" s="212">
        <v>8.3166278348954581</v>
      </c>
      <c r="AD3146" s="969">
        <v>7.6241123100090684</v>
      </c>
      <c r="AE3146" s="969">
        <v>7.876368789413509</v>
      </c>
      <c r="AF3146" s="271">
        <f t="shared" si="334"/>
        <v>8.0952251540374363</v>
      </c>
      <c r="AG3146" s="1396"/>
      <c r="DG3146" s="573"/>
      <c r="DH3146" s="159"/>
      <c r="DI3146" s="1091"/>
      <c r="DJ3146" s="1187"/>
    </row>
    <row r="3147" spans="1:114" ht="15" hidden="1" customHeight="1" outlineLevel="1">
      <c r="A3147" s="453"/>
      <c r="C3147" s="51"/>
      <c r="D3147" s="4303"/>
      <c r="E3147" s="4295"/>
      <c r="F3147" s="4307" t="str">
        <f>$E$1658</f>
        <v>ASHP-SEER20-Replace_CAC_NonElectricHeat_ER2_SF</v>
      </c>
      <c r="G3147" s="4307"/>
      <c r="H3147" s="4307"/>
      <c r="I3147" s="4307"/>
      <c r="J3147" s="1029" t="str">
        <f>$C$1658</f>
        <v>353410_2024_12_</v>
      </c>
      <c r="K3147" s="1795">
        <v>13.4</v>
      </c>
      <c r="L3147" s="13"/>
      <c r="M3147" s="1378" t="s">
        <v>1941</v>
      </c>
      <c r="P3147" s="261"/>
      <c r="Q3147" s="261"/>
      <c r="R3147" s="261"/>
      <c r="S3147" s="52"/>
      <c r="T3147" s="181"/>
      <c r="U3147" s="52"/>
      <c r="V3147" s="4295"/>
      <c r="W3147" s="1396"/>
      <c r="X3147" s="1396"/>
      <c r="Y3147" s="1396"/>
      <c r="Z3147" s="1396"/>
      <c r="AA3147" s="1396"/>
      <c r="AB3147" s="211"/>
      <c r="AC3147" s="212">
        <v>13</v>
      </c>
      <c r="AD3147" s="970">
        <v>13</v>
      </c>
      <c r="AE3147" s="1101">
        <v>14</v>
      </c>
      <c r="AF3147" s="271">
        <f t="shared" si="334"/>
        <v>13.4</v>
      </c>
      <c r="AG3147" s="1396"/>
      <c r="DG3147" s="573"/>
      <c r="DH3147" s="159"/>
      <c r="DI3147" s="1091"/>
      <c r="DJ3147" s="1187"/>
    </row>
    <row r="3148" spans="1:114" ht="15" hidden="1" customHeight="1" outlineLevel="1">
      <c r="A3148" s="453"/>
      <c r="C3148" s="51"/>
      <c r="D3148" s="4303"/>
      <c r="E3148" s="4295"/>
      <c r="F3148" s="4307" t="str">
        <f>$E$1660</f>
        <v>ASHP-SEER20-Replace_CAC_ElectricHeat_ROF_SF</v>
      </c>
      <c r="G3148" s="4307"/>
      <c r="H3148" s="4307"/>
      <c r="I3148" s="4307"/>
      <c r="J3148" s="1029" t="str">
        <f>$C$1660</f>
        <v>353450_2024_12_</v>
      </c>
      <c r="K3148" s="1795">
        <v>13.4</v>
      </c>
      <c r="L3148" s="13"/>
      <c r="M3148" s="1378" t="s">
        <v>1941</v>
      </c>
      <c r="P3148" s="261"/>
      <c r="Q3148" s="261"/>
      <c r="R3148" s="261"/>
      <c r="S3148" s="52"/>
      <c r="T3148" s="181"/>
      <c r="U3148" s="52"/>
      <c r="V3148" s="4295"/>
      <c r="W3148" s="1396">
        <v>13</v>
      </c>
      <c r="X3148" s="1396">
        <v>13</v>
      </c>
      <c r="Y3148" s="1396">
        <v>13</v>
      </c>
      <c r="Z3148" s="1396">
        <v>13</v>
      </c>
      <c r="AA3148" s="1396">
        <v>13</v>
      </c>
      <c r="AB3148" s="211">
        <v>13</v>
      </c>
      <c r="AC3148" s="211">
        <v>13</v>
      </c>
      <c r="AD3148" s="970">
        <v>13</v>
      </c>
      <c r="AE3148" s="1101">
        <v>14</v>
      </c>
      <c r="AF3148" s="271">
        <f t="shared" si="334"/>
        <v>13.4</v>
      </c>
      <c r="AG3148" s="1396"/>
      <c r="DG3148" s="573"/>
      <c r="DH3148" s="159"/>
      <c r="DI3148" s="1091"/>
      <c r="DJ3148" s="1187"/>
    </row>
    <row r="3149" spans="1:114" ht="15" hidden="1" customHeight="1" outlineLevel="1">
      <c r="A3149" s="453"/>
      <c r="C3149" s="51"/>
      <c r="D3149" s="4303"/>
      <c r="E3149" s="4295"/>
      <c r="F3149" s="4307" t="str">
        <f>$E$1662</f>
        <v>ASHP-SEER20-Replace_CAC_NonElectricHeat_ROF_SF</v>
      </c>
      <c r="G3149" s="4307"/>
      <c r="H3149" s="4307"/>
      <c r="I3149" s="4307"/>
      <c r="J3149" s="1029" t="str">
        <f>$C$1662</f>
        <v>353460_2024_12_</v>
      </c>
      <c r="K3149" s="1795">
        <v>13.4</v>
      </c>
      <c r="L3149" s="13"/>
      <c r="M3149" s="1378" t="s">
        <v>1941</v>
      </c>
      <c r="P3149" s="261"/>
      <c r="Q3149" s="261"/>
      <c r="R3149" s="261"/>
      <c r="S3149" s="52"/>
      <c r="T3149" s="181"/>
      <c r="U3149" s="52"/>
      <c r="V3149" s="4295"/>
      <c r="W3149" s="1396"/>
      <c r="X3149" s="1396"/>
      <c r="Y3149" s="1396"/>
      <c r="Z3149" s="1396"/>
      <c r="AA3149" s="1396"/>
      <c r="AB3149" s="211"/>
      <c r="AC3149" s="211"/>
      <c r="AD3149" s="969">
        <v>13</v>
      </c>
      <c r="AE3149" s="1101">
        <v>14</v>
      </c>
      <c r="AF3149" s="271">
        <f t="shared" si="334"/>
        <v>13.4</v>
      </c>
      <c r="AG3149" s="1396"/>
      <c r="DG3149" s="573"/>
      <c r="DH3149" s="159"/>
      <c r="DI3149" s="1091"/>
      <c r="DJ3149" s="1187"/>
    </row>
    <row r="3150" spans="1:114" ht="15" hidden="1" customHeight="1" outlineLevel="1">
      <c r="A3150" s="453"/>
      <c r="C3150" s="51"/>
      <c r="D3150" s="4303"/>
      <c r="E3150" s="4295"/>
      <c r="F3150" s="4347" t="str">
        <f>$E$1664</f>
        <v>ASHP-SEER20-Replace_CAC_ElectricHeat_ROF_MF</v>
      </c>
      <c r="G3150" s="4347"/>
      <c r="H3150" s="4347"/>
      <c r="I3150" s="4347"/>
      <c r="J3150" s="3471" t="str">
        <f>$C$1664</f>
        <v>353500_2024_12_</v>
      </c>
      <c r="K3150" s="2283">
        <v>13.4</v>
      </c>
      <c r="L3150" s="3492"/>
      <c r="M3150" s="2425" t="s">
        <v>1941</v>
      </c>
      <c r="P3150" s="261"/>
      <c r="Q3150" s="261"/>
      <c r="R3150" s="261"/>
      <c r="S3150" s="52"/>
      <c r="T3150" s="181"/>
      <c r="U3150" s="52"/>
      <c r="V3150" s="4295"/>
      <c r="W3150" s="3262">
        <v>13</v>
      </c>
      <c r="X3150" s="3262">
        <v>13</v>
      </c>
      <c r="Y3150" s="3262">
        <v>13</v>
      </c>
      <c r="Z3150" s="3262">
        <v>13</v>
      </c>
      <c r="AA3150" s="3262">
        <v>13</v>
      </c>
      <c r="AB3150" s="3286">
        <v>13</v>
      </c>
      <c r="AC3150" s="3286">
        <v>13</v>
      </c>
      <c r="AD3150" s="3484">
        <v>13</v>
      </c>
      <c r="AE3150" s="3493">
        <v>14</v>
      </c>
      <c r="AF3150" s="2236">
        <f t="shared" si="334"/>
        <v>13.4</v>
      </c>
      <c r="AG3150" s="1396"/>
      <c r="DG3150" s="573"/>
      <c r="DH3150" s="159"/>
      <c r="DI3150" s="1091"/>
      <c r="DJ3150" s="1187"/>
    </row>
    <row r="3151" spans="1:114" ht="15" hidden="1" customHeight="1" outlineLevel="1">
      <c r="A3151" s="453"/>
      <c r="C3151" s="51"/>
      <c r="D3151" s="4303"/>
      <c r="E3151" s="4295"/>
      <c r="F3151" s="4347" t="str">
        <f>$E$1666</f>
        <v>ASHP-SEER20-Replace_CAC_ElectricHeat_ROF_MF_CompE</v>
      </c>
      <c r="G3151" s="4347"/>
      <c r="H3151" s="4347"/>
      <c r="I3151" s="4347"/>
      <c r="J3151" s="3471" t="str">
        <f>$C$1666</f>
        <v>353501_2024_12_</v>
      </c>
      <c r="K3151" s="2283">
        <v>13.4</v>
      </c>
      <c r="L3151" s="3492"/>
      <c r="M3151" s="2425" t="s">
        <v>1941</v>
      </c>
      <c r="P3151" s="261"/>
      <c r="Q3151" s="261"/>
      <c r="R3151" s="261"/>
      <c r="S3151" s="52"/>
      <c r="T3151" s="181"/>
      <c r="U3151" s="52"/>
      <c r="V3151" s="4295"/>
      <c r="W3151" s="3262"/>
      <c r="X3151" s="3262"/>
      <c r="Y3151" s="3265">
        <v>13</v>
      </c>
      <c r="Z3151" s="3262">
        <v>13</v>
      </c>
      <c r="AA3151" s="3262">
        <v>13</v>
      </c>
      <c r="AB3151" s="3286">
        <v>13</v>
      </c>
      <c r="AC3151" s="3286">
        <v>13</v>
      </c>
      <c r="AD3151" s="3484">
        <v>13</v>
      </c>
      <c r="AE3151" s="3493">
        <v>14</v>
      </c>
      <c r="AF3151" s="2236">
        <f t="shared" si="334"/>
        <v>13.4</v>
      </c>
      <c r="AG3151" s="1396"/>
      <c r="DG3151" s="573"/>
      <c r="DH3151" s="159"/>
      <c r="DI3151" s="1091"/>
      <c r="DJ3151" s="1187"/>
    </row>
    <row r="3152" spans="1:114" ht="15" hidden="1" customHeight="1" outlineLevel="1">
      <c r="A3152" s="453"/>
      <c r="C3152" s="51"/>
      <c r="D3152" s="4303"/>
      <c r="E3152" s="4295"/>
      <c r="F3152" s="4347" t="str">
        <f>$E$1668</f>
        <v>ASHP-SEER20-Replace_CAC_NonElectricHeat_ROF_MF</v>
      </c>
      <c r="G3152" s="4347"/>
      <c r="H3152" s="4347"/>
      <c r="I3152" s="4347"/>
      <c r="J3152" s="3471" t="str">
        <f>$C$1668</f>
        <v>353510_2024_12_</v>
      </c>
      <c r="K3152" s="2283">
        <v>13.4</v>
      </c>
      <c r="L3152" s="3492"/>
      <c r="M3152" s="2425" t="s">
        <v>1941</v>
      </c>
      <c r="P3152" s="261"/>
      <c r="Q3152" s="261"/>
      <c r="R3152" s="261"/>
      <c r="S3152" s="52"/>
      <c r="T3152" s="181"/>
      <c r="U3152" s="52"/>
      <c r="V3152" s="4295"/>
      <c r="W3152" s="3262"/>
      <c r="X3152" s="3262"/>
      <c r="Y3152" s="3265"/>
      <c r="Z3152" s="3262"/>
      <c r="AA3152" s="3262"/>
      <c r="AB3152" s="3286"/>
      <c r="AC3152" s="3285">
        <v>13</v>
      </c>
      <c r="AD3152" s="3484">
        <v>13</v>
      </c>
      <c r="AE3152" s="3493">
        <v>14</v>
      </c>
      <c r="AF3152" s="2236">
        <f t="shared" si="334"/>
        <v>13.4</v>
      </c>
      <c r="AG3152" s="1396"/>
      <c r="DG3152" s="573"/>
      <c r="DH3152" s="159"/>
      <c r="DI3152" s="1091"/>
      <c r="DJ3152" s="1187"/>
    </row>
    <row r="3153" spans="1:114" ht="15" hidden="1" customHeight="1" outlineLevel="1">
      <c r="A3153" s="453"/>
      <c r="C3153" s="51"/>
      <c r="D3153" s="4303"/>
      <c r="E3153" s="4295"/>
      <c r="F3153" s="4347" t="str">
        <f>$E$1670</f>
        <v>ASHP-SEER20-Replace_CAC_NonElectricHeat_ROF_MF_CompE</v>
      </c>
      <c r="G3153" s="4347"/>
      <c r="H3153" s="4347"/>
      <c r="I3153" s="4347"/>
      <c r="J3153" s="3471" t="str">
        <f>$C$1670</f>
        <v>353511_2024_12_</v>
      </c>
      <c r="K3153" s="2283">
        <v>13.4</v>
      </c>
      <c r="L3153" s="3492"/>
      <c r="M3153" s="2425" t="s">
        <v>1941</v>
      </c>
      <c r="P3153" s="261"/>
      <c r="Q3153" s="261"/>
      <c r="R3153" s="261"/>
      <c r="S3153" s="52"/>
      <c r="T3153" s="181"/>
      <c r="U3153" s="52"/>
      <c r="V3153" s="4295"/>
      <c r="W3153" s="3262"/>
      <c r="X3153" s="3262"/>
      <c r="Y3153" s="3265"/>
      <c r="Z3153" s="3262"/>
      <c r="AA3153" s="3262"/>
      <c r="AB3153" s="3286"/>
      <c r="AC3153" s="3285">
        <v>13</v>
      </c>
      <c r="AD3153" s="3484">
        <v>13</v>
      </c>
      <c r="AE3153" s="3493">
        <v>14</v>
      </c>
      <c r="AF3153" s="2236">
        <f t="shared" si="334"/>
        <v>13.4</v>
      </c>
      <c r="AG3153" s="1396"/>
      <c r="DG3153" s="573"/>
      <c r="DH3153" s="159"/>
      <c r="DI3153" s="1091"/>
      <c r="DJ3153" s="1187"/>
    </row>
    <row r="3154" spans="1:114" ht="15" hidden="1" customHeight="1" outlineLevel="1">
      <c r="A3154" s="453"/>
      <c r="C3154" s="51"/>
      <c r="D3154" s="4303"/>
      <c r="E3154" s="4295"/>
      <c r="F3154" s="4307" t="str">
        <f>$E$1672</f>
        <v>ASHP-SEER21-Replace_CAC_ElectricHeat_ER1_SF</v>
      </c>
      <c r="G3154" s="4307"/>
      <c r="H3154" s="4307"/>
      <c r="I3154" s="4307"/>
      <c r="J3154" s="1029" t="str">
        <f>$C$1672</f>
        <v>353550_2024_12_</v>
      </c>
      <c r="K3154" s="1757">
        <v>8.344911767808382</v>
      </c>
      <c r="L3154" s="262"/>
      <c r="M3154" s="1609" t="s">
        <v>1950</v>
      </c>
      <c r="P3154" s="261"/>
      <c r="Q3154" s="209"/>
      <c r="R3154" s="261"/>
      <c r="S3154" s="52"/>
      <c r="T3154" s="181"/>
      <c r="U3154" s="52"/>
      <c r="V3154" s="4295"/>
      <c r="W3154" s="1396">
        <v>6.8</v>
      </c>
      <c r="X3154" s="833">
        <v>8.33</v>
      </c>
      <c r="Y3154" s="1396">
        <v>8.33</v>
      </c>
      <c r="Z3154" s="1396">
        <v>8.33</v>
      </c>
      <c r="AA3154" s="1396">
        <v>8.33</v>
      </c>
      <c r="AB3154" s="211">
        <v>8.33</v>
      </c>
      <c r="AC3154" s="212">
        <v>8.4603597630441261</v>
      </c>
      <c r="AD3154" s="969">
        <v>7.6464902009468165</v>
      </c>
      <c r="AE3154" s="969">
        <v>8.1664994015949581</v>
      </c>
      <c r="AF3154" s="271">
        <f t="shared" si="334"/>
        <v>8.344911767808382</v>
      </c>
      <c r="AG3154" s="1396"/>
      <c r="DG3154" s="573"/>
      <c r="DH3154" s="159"/>
      <c r="DI3154" s="1091"/>
      <c r="DJ3154" s="1187"/>
    </row>
    <row r="3155" spans="1:114" ht="15" hidden="1" customHeight="1" outlineLevel="1">
      <c r="A3155" s="453"/>
      <c r="C3155" s="51"/>
      <c r="D3155" s="4303"/>
      <c r="E3155" s="4295"/>
      <c r="F3155" s="4307" t="str">
        <f>$E$1674</f>
        <v>ASHP-SEER21-Replace_CAC_ElectricHeat_ER2_SF</v>
      </c>
      <c r="G3155" s="4307"/>
      <c r="H3155" s="4307"/>
      <c r="I3155" s="4307"/>
      <c r="J3155" s="1029" t="str">
        <f>$C$1674</f>
        <v>353550_2024_12_</v>
      </c>
      <c r="K3155" s="1795">
        <v>13.4</v>
      </c>
      <c r="L3155" s="13"/>
      <c r="M3155" s="1378" t="s">
        <v>1941</v>
      </c>
      <c r="P3155" s="261"/>
      <c r="Q3155" s="209"/>
      <c r="R3155" s="261"/>
      <c r="S3155" s="52"/>
      <c r="T3155" s="181"/>
      <c r="U3155" s="52"/>
      <c r="V3155" s="4295"/>
      <c r="W3155" s="1396">
        <v>13</v>
      </c>
      <c r="X3155" s="1396">
        <v>13</v>
      </c>
      <c r="Y3155" s="1396">
        <v>13</v>
      </c>
      <c r="Z3155" s="1396">
        <v>13</v>
      </c>
      <c r="AA3155" s="1396">
        <v>13</v>
      </c>
      <c r="AB3155" s="211">
        <v>13</v>
      </c>
      <c r="AC3155" s="211">
        <v>13</v>
      </c>
      <c r="AD3155" s="970">
        <v>13</v>
      </c>
      <c r="AE3155" s="1101">
        <v>14</v>
      </c>
      <c r="AF3155" s="271">
        <f t="shared" si="334"/>
        <v>13.4</v>
      </c>
      <c r="AG3155" s="1396"/>
      <c r="DG3155" s="573"/>
      <c r="DH3155" s="159"/>
      <c r="DI3155" s="1091"/>
      <c r="DJ3155" s="1187"/>
    </row>
    <row r="3156" spans="1:114" ht="15" hidden="1" customHeight="1" outlineLevel="1">
      <c r="A3156" s="453"/>
      <c r="C3156" s="51"/>
      <c r="D3156" s="4303"/>
      <c r="E3156" s="4295"/>
      <c r="F3156" s="4307" t="str">
        <f>$E$1676</f>
        <v>ASHP-SEER21-Replace_CAC_NonElectricHeat_ER1_SF</v>
      </c>
      <c r="G3156" s="4307"/>
      <c r="H3156" s="4307"/>
      <c r="I3156" s="4307"/>
      <c r="J3156" s="1029" t="str">
        <f>$C$1676</f>
        <v>353560_2024_12_</v>
      </c>
      <c r="K3156" s="1757">
        <v>8.344911767808382</v>
      </c>
      <c r="L3156" s="262"/>
      <c r="M3156" s="1609" t="s">
        <v>1950</v>
      </c>
      <c r="P3156" s="261"/>
      <c r="Q3156" s="209"/>
      <c r="R3156" s="261"/>
      <c r="S3156" s="52"/>
      <c r="T3156" s="181"/>
      <c r="U3156" s="52"/>
      <c r="V3156" s="4295"/>
      <c r="W3156" s="1396"/>
      <c r="X3156" s="1396"/>
      <c r="Y3156" s="1396"/>
      <c r="Z3156" s="1396"/>
      <c r="AA3156" s="1396"/>
      <c r="AB3156" s="211"/>
      <c r="AC3156" s="212">
        <v>8.4603597630441261</v>
      </c>
      <c r="AD3156" s="969">
        <v>7.6464902009468165</v>
      </c>
      <c r="AE3156" s="969">
        <v>8.1664994015949581</v>
      </c>
      <c r="AF3156" s="271">
        <f t="shared" si="334"/>
        <v>8.344911767808382</v>
      </c>
      <c r="AG3156" s="1396"/>
      <c r="DG3156" s="573"/>
      <c r="DH3156" s="159"/>
      <c r="DI3156" s="1091"/>
      <c r="DJ3156" s="1187"/>
    </row>
    <row r="3157" spans="1:114" ht="15" hidden="1" customHeight="1" outlineLevel="1">
      <c r="A3157" s="453"/>
      <c r="C3157" s="51"/>
      <c r="D3157" s="4303"/>
      <c r="E3157" s="4295"/>
      <c r="F3157" s="4307" t="str">
        <f>$E$1678</f>
        <v>ASHP-SEER21-Replace_CAC_NonElectricHeat_ER2_SF</v>
      </c>
      <c r="G3157" s="4307"/>
      <c r="H3157" s="4307"/>
      <c r="I3157" s="4307"/>
      <c r="J3157" s="1029" t="str">
        <f>$C$1678</f>
        <v>353560_2024_12_</v>
      </c>
      <c r="K3157" s="1795">
        <v>13.4</v>
      </c>
      <c r="L3157" s="13"/>
      <c r="M3157" s="1378" t="s">
        <v>1941</v>
      </c>
      <c r="P3157" s="261"/>
      <c r="Q3157" s="209"/>
      <c r="R3157" s="261"/>
      <c r="S3157" s="52"/>
      <c r="T3157" s="181"/>
      <c r="U3157" s="52"/>
      <c r="V3157" s="4295"/>
      <c r="W3157" s="1396"/>
      <c r="X3157" s="1396"/>
      <c r="Y3157" s="1396"/>
      <c r="Z3157" s="1396"/>
      <c r="AA3157" s="1396"/>
      <c r="AB3157" s="211"/>
      <c r="AC3157" s="212">
        <v>13</v>
      </c>
      <c r="AD3157" s="970">
        <v>13</v>
      </c>
      <c r="AE3157" s="1101">
        <v>14</v>
      </c>
      <c r="AF3157" s="271">
        <f t="shared" si="334"/>
        <v>13.4</v>
      </c>
      <c r="AG3157" s="1396"/>
      <c r="DG3157" s="573"/>
      <c r="DH3157" s="159"/>
      <c r="DI3157" s="1091"/>
      <c r="DJ3157" s="1187"/>
    </row>
    <row r="3158" spans="1:114" ht="15" hidden="1" customHeight="1" outlineLevel="1">
      <c r="A3158" s="453"/>
      <c r="C3158" s="51"/>
      <c r="D3158" s="4303"/>
      <c r="E3158" s="4295"/>
      <c r="F3158" s="4307" t="str">
        <f>$E$1680</f>
        <v>ASHP-SEER21-Replace_CAC_ElectricHeat_ER1_MF</v>
      </c>
      <c r="G3158" s="4307"/>
      <c r="H3158" s="4307"/>
      <c r="I3158" s="4307"/>
      <c r="J3158" s="1029" t="str">
        <f>$C$1680</f>
        <v>353600_2024_12_</v>
      </c>
      <c r="K3158" s="916">
        <v>8.33</v>
      </c>
      <c r="L3158" s="262"/>
      <c r="M3158" s="1378" t="s">
        <v>2505</v>
      </c>
      <c r="P3158" s="261"/>
      <c r="Q3158" s="209"/>
      <c r="R3158" s="261"/>
      <c r="S3158" s="52"/>
      <c r="T3158" s="181"/>
      <c r="U3158" s="52"/>
      <c r="V3158" s="4295"/>
      <c r="W3158" s="1396">
        <v>6.8</v>
      </c>
      <c r="X3158" s="833">
        <v>8.33</v>
      </c>
      <c r="Y3158" s="1396">
        <v>8.33</v>
      </c>
      <c r="Z3158" s="1396">
        <v>8.33</v>
      </c>
      <c r="AA3158" s="1396">
        <v>8.33</v>
      </c>
      <c r="AB3158" s="211">
        <v>8.33</v>
      </c>
      <c r="AC3158" s="211">
        <v>8.33</v>
      </c>
      <c r="AD3158" s="970">
        <v>8.33</v>
      </c>
      <c r="AE3158" s="970">
        <v>8.33</v>
      </c>
      <c r="AF3158" s="271">
        <f t="shared" si="334"/>
        <v>8.33</v>
      </c>
      <c r="AG3158" s="1396"/>
      <c r="DG3158" s="573"/>
      <c r="DH3158" s="159"/>
      <c r="DI3158" s="1091"/>
      <c r="DJ3158" s="1187"/>
    </row>
    <row r="3159" spans="1:114" ht="15" hidden="1" customHeight="1" outlineLevel="1">
      <c r="A3159" s="453"/>
      <c r="C3159" s="51"/>
      <c r="D3159" s="4303"/>
      <c r="E3159" s="4295"/>
      <c r="F3159" s="4307" t="str">
        <f>$E$1682</f>
        <v>ASHP-SEER21-Replace_CAC_ElectricHeat_ER2_MF</v>
      </c>
      <c r="G3159" s="4307"/>
      <c r="H3159" s="4307"/>
      <c r="I3159" s="4307"/>
      <c r="J3159" s="1029" t="str">
        <f>$C$1682</f>
        <v>353600_2024_12_</v>
      </c>
      <c r="K3159" s="1795">
        <v>13.4</v>
      </c>
      <c r="L3159" s="13"/>
      <c r="M3159" s="1378" t="s">
        <v>1941</v>
      </c>
      <c r="P3159" s="261"/>
      <c r="Q3159" s="209"/>
      <c r="R3159" s="261"/>
      <c r="S3159" s="52"/>
      <c r="T3159" s="181"/>
      <c r="U3159" s="52"/>
      <c r="V3159" s="4295"/>
      <c r="W3159" s="1396">
        <v>13</v>
      </c>
      <c r="X3159" s="1396">
        <v>13</v>
      </c>
      <c r="Y3159" s="1396">
        <v>13</v>
      </c>
      <c r="Z3159" s="1396">
        <v>13</v>
      </c>
      <c r="AA3159" s="1396">
        <v>13</v>
      </c>
      <c r="AB3159" s="211">
        <v>13</v>
      </c>
      <c r="AC3159" s="211">
        <v>13</v>
      </c>
      <c r="AD3159" s="970">
        <v>13</v>
      </c>
      <c r="AE3159" s="1101">
        <v>14</v>
      </c>
      <c r="AF3159" s="271">
        <f t="shared" si="334"/>
        <v>13.4</v>
      </c>
      <c r="AG3159" s="1396"/>
      <c r="DG3159" s="573"/>
      <c r="DH3159" s="159"/>
      <c r="DI3159" s="1091"/>
      <c r="DJ3159" s="1187"/>
    </row>
    <row r="3160" spans="1:114" ht="15" hidden="1" customHeight="1" outlineLevel="1">
      <c r="A3160" s="453"/>
      <c r="C3160" s="51"/>
      <c r="D3160" s="4303"/>
      <c r="E3160" s="4295"/>
      <c r="F3160" s="4347" t="str">
        <f>$E$1684</f>
        <v>ASHP-SEER21-Replace_CAC_ElectricHeat_ER1_MF_CompE</v>
      </c>
      <c r="G3160" s="4347"/>
      <c r="H3160" s="4347"/>
      <c r="I3160" s="4347"/>
      <c r="J3160" s="3471" t="str">
        <f>$C$1684</f>
        <v>353601_2024_12_</v>
      </c>
      <c r="K3160" s="3337">
        <v>8.33</v>
      </c>
      <c r="L3160" s="3479"/>
      <c r="M3160" s="2425" t="s">
        <v>2505</v>
      </c>
      <c r="P3160" s="261"/>
      <c r="Q3160" s="209"/>
      <c r="R3160" s="261"/>
      <c r="S3160" s="52"/>
      <c r="T3160" s="181"/>
      <c r="U3160" s="52"/>
      <c r="V3160" s="4295"/>
      <c r="W3160" s="1396"/>
      <c r="X3160" s="1396"/>
      <c r="Y3160" s="3265">
        <v>8.33</v>
      </c>
      <c r="Z3160" s="3262">
        <v>8.33</v>
      </c>
      <c r="AA3160" s="3262">
        <v>8.33</v>
      </c>
      <c r="AB3160" s="3286">
        <v>8.33</v>
      </c>
      <c r="AC3160" s="3286">
        <v>8.33</v>
      </c>
      <c r="AD3160" s="3484">
        <v>8.33</v>
      </c>
      <c r="AE3160" s="3484">
        <v>8.33</v>
      </c>
      <c r="AF3160" s="2236">
        <f t="shared" si="334"/>
        <v>8.33</v>
      </c>
      <c r="AG3160" s="1396"/>
      <c r="DG3160" s="573"/>
      <c r="DH3160" s="159"/>
      <c r="DI3160" s="1091"/>
      <c r="DJ3160" s="1187"/>
    </row>
    <row r="3161" spans="1:114" ht="15" hidden="1" customHeight="1" outlineLevel="1">
      <c r="A3161" s="453"/>
      <c r="C3161" s="51"/>
      <c r="D3161" s="4303"/>
      <c r="E3161" s="4295"/>
      <c r="F3161" s="4347" t="str">
        <f>$E$1686</f>
        <v>ASHP-SEER21-Replace_CAC_ElectricHeat_ER2_MF_CompE</v>
      </c>
      <c r="G3161" s="4347"/>
      <c r="H3161" s="4347"/>
      <c r="I3161" s="4347"/>
      <c r="J3161" s="3471" t="str">
        <f>$C$1686</f>
        <v>353601_2024_12_</v>
      </c>
      <c r="K3161" s="2283">
        <v>13.4</v>
      </c>
      <c r="L3161" s="3492"/>
      <c r="M3161" s="2425" t="s">
        <v>1941</v>
      </c>
      <c r="P3161" s="261"/>
      <c r="Q3161" s="209"/>
      <c r="R3161" s="261"/>
      <c r="S3161" s="52"/>
      <c r="T3161" s="181"/>
      <c r="U3161" s="52"/>
      <c r="V3161" s="4295"/>
      <c r="W3161" s="1396"/>
      <c r="X3161" s="1396"/>
      <c r="Y3161" s="3265">
        <v>13</v>
      </c>
      <c r="Z3161" s="3262">
        <v>13</v>
      </c>
      <c r="AA3161" s="3262">
        <v>13</v>
      </c>
      <c r="AB3161" s="3286">
        <v>13</v>
      </c>
      <c r="AC3161" s="3286">
        <v>13</v>
      </c>
      <c r="AD3161" s="3484">
        <v>13</v>
      </c>
      <c r="AE3161" s="3493">
        <v>14</v>
      </c>
      <c r="AF3161" s="2236">
        <f t="shared" si="334"/>
        <v>13.4</v>
      </c>
      <c r="AG3161" s="1396"/>
      <c r="DG3161" s="573"/>
      <c r="DH3161" s="159"/>
      <c r="DI3161" s="1091"/>
      <c r="DJ3161" s="1187"/>
    </row>
    <row r="3162" spans="1:114" ht="15" hidden="1" customHeight="1" outlineLevel="1">
      <c r="A3162" s="453"/>
      <c r="C3162" s="51"/>
      <c r="D3162" s="4303"/>
      <c r="E3162" s="4295"/>
      <c r="F3162" s="4347" t="str">
        <f>$E$1688</f>
        <v>ASHP-SEER21-Replace_CAC_NonElectricHeat_ER1_MF</v>
      </c>
      <c r="G3162" s="4347"/>
      <c r="H3162" s="4347"/>
      <c r="I3162" s="4347"/>
      <c r="J3162" s="3471" t="str">
        <f>$C$1688</f>
        <v>353610_2024_12_</v>
      </c>
      <c r="K3162" s="3337">
        <v>8.33</v>
      </c>
      <c r="L3162" s="3479"/>
      <c r="M3162" s="2425" t="s">
        <v>1945</v>
      </c>
      <c r="P3162" s="261"/>
      <c r="Q3162" s="209"/>
      <c r="R3162" s="261"/>
      <c r="S3162" s="52"/>
      <c r="T3162" s="181"/>
      <c r="U3162" s="52"/>
      <c r="V3162" s="4295"/>
      <c r="W3162" s="1396"/>
      <c r="X3162" s="1396"/>
      <c r="Y3162" s="3265"/>
      <c r="Z3162" s="3262"/>
      <c r="AA3162" s="3262"/>
      <c r="AB3162" s="3286"/>
      <c r="AC3162" s="3285">
        <v>8.33</v>
      </c>
      <c r="AD3162" s="3484">
        <v>8.33</v>
      </c>
      <c r="AE3162" s="3484">
        <v>8.33</v>
      </c>
      <c r="AF3162" s="2236">
        <f t="shared" si="334"/>
        <v>8.33</v>
      </c>
      <c r="AG3162" s="1396"/>
      <c r="DG3162" s="573"/>
      <c r="DH3162" s="159"/>
      <c r="DI3162" s="1091"/>
      <c r="DJ3162" s="1187"/>
    </row>
    <row r="3163" spans="1:114" ht="15" hidden="1" customHeight="1" outlineLevel="1">
      <c r="A3163" s="453"/>
      <c r="C3163" s="51"/>
      <c r="D3163" s="4303"/>
      <c r="E3163" s="4295"/>
      <c r="F3163" s="4347" t="str">
        <f>$E$1690</f>
        <v>ASHP-SEER21-Replace_CAC_NonElectricHeat_ER2_MF</v>
      </c>
      <c r="G3163" s="4347"/>
      <c r="H3163" s="4347"/>
      <c r="I3163" s="4347"/>
      <c r="J3163" s="3471" t="str">
        <f>$C$1690</f>
        <v>353610_2024_12_</v>
      </c>
      <c r="K3163" s="2283">
        <v>13.4</v>
      </c>
      <c r="L3163" s="3492"/>
      <c r="M3163" s="2425" t="s">
        <v>1941</v>
      </c>
      <c r="P3163" s="261"/>
      <c r="Q3163" s="209"/>
      <c r="R3163" s="261"/>
      <c r="S3163" s="52"/>
      <c r="T3163" s="181"/>
      <c r="U3163" s="52"/>
      <c r="V3163" s="4295"/>
      <c r="W3163" s="1396"/>
      <c r="X3163" s="1396"/>
      <c r="Y3163" s="3265"/>
      <c r="Z3163" s="3262"/>
      <c r="AA3163" s="3262"/>
      <c r="AB3163" s="3286"/>
      <c r="AC3163" s="3285">
        <v>13</v>
      </c>
      <c r="AD3163" s="3484">
        <v>13</v>
      </c>
      <c r="AE3163" s="3493">
        <v>14</v>
      </c>
      <c r="AF3163" s="2236">
        <f t="shared" si="334"/>
        <v>13.4</v>
      </c>
      <c r="AG3163" s="1396"/>
      <c r="DG3163" s="573"/>
      <c r="DH3163" s="159"/>
      <c r="DI3163" s="1091"/>
      <c r="DJ3163" s="1187"/>
    </row>
    <row r="3164" spans="1:114" ht="15" hidden="1" customHeight="1" outlineLevel="1">
      <c r="A3164" s="453"/>
      <c r="C3164" s="51"/>
      <c r="D3164" s="4303"/>
      <c r="E3164" s="4295"/>
      <c r="F3164" s="4347" t="str">
        <f>$E$1692</f>
        <v>ASHP-SEER21-Replace_CAC_NonElectricHeat_ER1_MF_CompE</v>
      </c>
      <c r="G3164" s="4347"/>
      <c r="H3164" s="4347"/>
      <c r="I3164" s="4347"/>
      <c r="J3164" s="3471" t="str">
        <f>$C$1692</f>
        <v>353611_2024_12_</v>
      </c>
      <c r="K3164" s="3337">
        <v>8.33</v>
      </c>
      <c r="L3164" s="3479"/>
      <c r="M3164" s="2425" t="s">
        <v>1945</v>
      </c>
      <c r="P3164" s="261"/>
      <c r="Q3164" s="209"/>
      <c r="R3164" s="261"/>
      <c r="S3164" s="52"/>
      <c r="T3164" s="181"/>
      <c r="U3164" s="52"/>
      <c r="V3164" s="4295"/>
      <c r="W3164" s="1396"/>
      <c r="X3164" s="1396"/>
      <c r="Y3164" s="3265"/>
      <c r="Z3164" s="3262"/>
      <c r="AA3164" s="3262"/>
      <c r="AB3164" s="3286"/>
      <c r="AC3164" s="3285">
        <v>8.33</v>
      </c>
      <c r="AD3164" s="3484">
        <v>8.33</v>
      </c>
      <c r="AE3164" s="3484">
        <v>8.33</v>
      </c>
      <c r="AF3164" s="2236">
        <f t="shared" si="334"/>
        <v>8.33</v>
      </c>
      <c r="AG3164" s="1396"/>
      <c r="DG3164" s="573"/>
      <c r="DH3164" s="159"/>
      <c r="DI3164" s="1091"/>
      <c r="DJ3164" s="1187"/>
    </row>
    <row r="3165" spans="1:114" ht="15" hidden="1" customHeight="1" outlineLevel="1">
      <c r="A3165" s="453"/>
      <c r="C3165" s="51"/>
      <c r="D3165" s="4303"/>
      <c r="E3165" s="4295"/>
      <c r="F3165" s="4347" t="str">
        <f>$E$1694</f>
        <v>ASHP-SEER21-Replace_CAC_NonElectricHeat_ER2_MF_CompE</v>
      </c>
      <c r="G3165" s="4347"/>
      <c r="H3165" s="4347"/>
      <c r="I3165" s="4347"/>
      <c r="J3165" s="3471" t="str">
        <f>$C$1694</f>
        <v>353611_2024_12_</v>
      </c>
      <c r="K3165" s="2283">
        <v>13.4</v>
      </c>
      <c r="L3165" s="3492"/>
      <c r="M3165" s="2425" t="s">
        <v>1941</v>
      </c>
      <c r="P3165" s="261"/>
      <c r="Q3165" s="209"/>
      <c r="R3165" s="261"/>
      <c r="S3165" s="52"/>
      <c r="T3165" s="181"/>
      <c r="U3165" s="52"/>
      <c r="V3165" s="4295"/>
      <c r="W3165" s="1396"/>
      <c r="X3165" s="1396"/>
      <c r="Y3165" s="3265"/>
      <c r="Z3165" s="3262"/>
      <c r="AA3165" s="3262"/>
      <c r="AB3165" s="3286"/>
      <c r="AC3165" s="3285">
        <v>13</v>
      </c>
      <c r="AD3165" s="3484">
        <v>13</v>
      </c>
      <c r="AE3165" s="3493">
        <v>14</v>
      </c>
      <c r="AF3165" s="2236">
        <f t="shared" si="334"/>
        <v>13.4</v>
      </c>
      <c r="AG3165" s="1396"/>
      <c r="DG3165" s="573"/>
      <c r="DH3165" s="159"/>
      <c r="DI3165" s="1091"/>
      <c r="DJ3165" s="1187"/>
    </row>
    <row r="3166" spans="1:114" ht="15" hidden="1" customHeight="1" outlineLevel="1">
      <c r="A3166" s="453"/>
      <c r="C3166" s="51"/>
      <c r="D3166" s="4303"/>
      <c r="E3166" s="4295"/>
      <c r="F3166" s="4307" t="str">
        <f>$E$1696</f>
        <v>ASHP-SEER21-Replace_CAC_ElectricHeat_ROF_SF</v>
      </c>
      <c r="G3166" s="4307"/>
      <c r="H3166" s="4307"/>
      <c r="I3166" s="4307"/>
      <c r="J3166" s="1029" t="str">
        <f>$C$1696</f>
        <v>353650_2024_12_</v>
      </c>
      <c r="K3166" s="1795">
        <v>13.4</v>
      </c>
      <c r="L3166" s="13"/>
      <c r="M3166" s="1378" t="s">
        <v>1941</v>
      </c>
      <c r="P3166" s="261"/>
      <c r="Q3166" s="209"/>
      <c r="R3166" s="261"/>
      <c r="S3166" s="52"/>
      <c r="T3166" s="181"/>
      <c r="U3166" s="52"/>
      <c r="V3166" s="4295"/>
      <c r="W3166" s="1396">
        <v>13</v>
      </c>
      <c r="X3166" s="1396">
        <v>13</v>
      </c>
      <c r="Y3166" s="1396">
        <v>13</v>
      </c>
      <c r="Z3166" s="1396">
        <v>13</v>
      </c>
      <c r="AA3166" s="1396">
        <v>13</v>
      </c>
      <c r="AB3166" s="211">
        <v>13</v>
      </c>
      <c r="AC3166" s="211">
        <v>13</v>
      </c>
      <c r="AD3166" s="970">
        <v>13</v>
      </c>
      <c r="AE3166" s="1101">
        <v>14</v>
      </c>
      <c r="AF3166" s="271">
        <f t="shared" si="334"/>
        <v>13.4</v>
      </c>
      <c r="AG3166" s="1396"/>
      <c r="DG3166" s="573"/>
      <c r="DH3166" s="159"/>
      <c r="DI3166" s="1091"/>
      <c r="DJ3166" s="1187"/>
    </row>
    <row r="3167" spans="1:114" ht="15" hidden="1" customHeight="1" outlineLevel="1">
      <c r="A3167" s="453"/>
      <c r="C3167" s="51"/>
      <c r="D3167" s="4303"/>
      <c r="E3167" s="4295"/>
      <c r="F3167" s="4307" t="str">
        <f>$E$1698</f>
        <v>ASHP-SEER21-Replace_CAC_NonElectricHeat_ROF_SF</v>
      </c>
      <c r="G3167" s="4307"/>
      <c r="H3167" s="4307"/>
      <c r="I3167" s="4307"/>
      <c r="J3167" s="1029" t="str">
        <f>$C$1698</f>
        <v>353660_2024_12_</v>
      </c>
      <c r="K3167" s="1795">
        <v>13.4</v>
      </c>
      <c r="L3167" s="13"/>
      <c r="M3167" s="1378" t="s">
        <v>1941</v>
      </c>
      <c r="P3167" s="261"/>
      <c r="Q3167" s="209"/>
      <c r="R3167" s="261"/>
      <c r="S3167" s="52"/>
      <c r="T3167" s="181"/>
      <c r="U3167" s="52"/>
      <c r="V3167" s="4295"/>
      <c r="W3167" s="1396"/>
      <c r="X3167" s="1396"/>
      <c r="Y3167" s="1396"/>
      <c r="Z3167" s="1396"/>
      <c r="AA3167" s="1396"/>
      <c r="AB3167" s="211"/>
      <c r="AC3167" s="211"/>
      <c r="AD3167" s="969">
        <v>13</v>
      </c>
      <c r="AE3167" s="1101">
        <v>14</v>
      </c>
      <c r="AF3167" s="271">
        <f t="shared" si="334"/>
        <v>13.4</v>
      </c>
      <c r="AG3167" s="1396"/>
      <c r="DG3167" s="573"/>
      <c r="DH3167" s="159"/>
      <c r="DI3167" s="1091"/>
      <c r="DJ3167" s="1187"/>
    </row>
    <row r="3168" spans="1:114" ht="15" hidden="1" customHeight="1" outlineLevel="1">
      <c r="A3168" s="453"/>
      <c r="C3168" s="51"/>
      <c r="D3168" s="4303"/>
      <c r="E3168" s="4295"/>
      <c r="F3168" s="4347" t="str">
        <f>$E$1700</f>
        <v>ASHP-SEER21+-Replace_CAC_ElectricHeat_ROF_MF</v>
      </c>
      <c r="G3168" s="4347"/>
      <c r="H3168" s="4347"/>
      <c r="I3168" s="4347"/>
      <c r="J3168" s="3471" t="str">
        <f>$C$1700</f>
        <v>353700_2024_12_</v>
      </c>
      <c r="K3168" s="2283">
        <v>13.4</v>
      </c>
      <c r="L3168" s="3492"/>
      <c r="M3168" s="2425" t="s">
        <v>1941</v>
      </c>
      <c r="P3168" s="261"/>
      <c r="Q3168" s="209"/>
      <c r="R3168" s="261"/>
      <c r="S3168" s="52"/>
      <c r="T3168" s="181"/>
      <c r="U3168" s="52"/>
      <c r="V3168" s="4295"/>
      <c r="W3168" s="3262">
        <v>13</v>
      </c>
      <c r="X3168" s="3262">
        <v>13</v>
      </c>
      <c r="Y3168" s="3262">
        <v>13</v>
      </c>
      <c r="Z3168" s="3262">
        <v>13</v>
      </c>
      <c r="AA3168" s="3262">
        <v>13</v>
      </c>
      <c r="AB3168" s="3286">
        <v>13</v>
      </c>
      <c r="AC3168" s="3286">
        <v>13</v>
      </c>
      <c r="AD3168" s="3484">
        <v>13</v>
      </c>
      <c r="AE3168" s="3493">
        <v>14</v>
      </c>
      <c r="AF3168" s="2236">
        <f t="shared" si="334"/>
        <v>13.4</v>
      </c>
      <c r="AG3168" s="1396"/>
      <c r="DG3168" s="573"/>
      <c r="DH3168" s="159"/>
      <c r="DI3168" s="1091"/>
      <c r="DJ3168" s="1187"/>
    </row>
    <row r="3169" spans="1:114" ht="15" hidden="1" customHeight="1" outlineLevel="1">
      <c r="A3169" s="453"/>
      <c r="C3169" s="51"/>
      <c r="D3169" s="4303"/>
      <c r="E3169" s="4295"/>
      <c r="F3169" s="4347" t="str">
        <f>$E$1702</f>
        <v>ASHP-SEER21+-Replace_CAC_ElectricHeat_ROF_MF_CompE</v>
      </c>
      <c r="G3169" s="4347"/>
      <c r="H3169" s="4347"/>
      <c r="I3169" s="4347"/>
      <c r="J3169" s="3471" t="str">
        <f>$C$1702</f>
        <v>353701_2024_12_</v>
      </c>
      <c r="K3169" s="2283">
        <v>13.4</v>
      </c>
      <c r="L3169" s="3492"/>
      <c r="M3169" s="2425" t="s">
        <v>1941</v>
      </c>
      <c r="P3169" s="261"/>
      <c r="Q3169" s="209"/>
      <c r="R3169" s="261"/>
      <c r="S3169" s="52"/>
      <c r="T3169" s="181"/>
      <c r="U3169" s="52"/>
      <c r="V3169" s="4295"/>
      <c r="W3169" s="3262"/>
      <c r="X3169" s="3262"/>
      <c r="Y3169" s="3265">
        <v>13</v>
      </c>
      <c r="Z3169" s="3262">
        <v>13</v>
      </c>
      <c r="AA3169" s="3262">
        <v>13</v>
      </c>
      <c r="AB3169" s="3286">
        <v>13</v>
      </c>
      <c r="AC3169" s="3286">
        <v>13</v>
      </c>
      <c r="AD3169" s="3484">
        <v>13</v>
      </c>
      <c r="AE3169" s="3493">
        <v>14</v>
      </c>
      <c r="AF3169" s="2236">
        <f t="shared" si="334"/>
        <v>13.4</v>
      </c>
      <c r="AG3169" s="1396"/>
      <c r="DG3169" s="573"/>
      <c r="DH3169" s="159"/>
      <c r="DI3169" s="1091"/>
      <c r="DJ3169" s="1187"/>
    </row>
    <row r="3170" spans="1:114" ht="15" hidden="1" customHeight="1" outlineLevel="1">
      <c r="A3170" s="453"/>
      <c r="C3170" s="51"/>
      <c r="D3170" s="4303"/>
      <c r="E3170" s="4295"/>
      <c r="F3170" s="4347" t="str">
        <f>$E$1704</f>
        <v>ASHP-SEER21+-Replace_CAC_NonElectricHeat_ROF_MF</v>
      </c>
      <c r="G3170" s="4347"/>
      <c r="H3170" s="4347"/>
      <c r="I3170" s="4347"/>
      <c r="J3170" s="3471" t="str">
        <f>$C$1704</f>
        <v>353710_2024_12_</v>
      </c>
      <c r="K3170" s="2283">
        <v>13.4</v>
      </c>
      <c r="L3170" s="3492"/>
      <c r="M3170" s="2425" t="s">
        <v>1941</v>
      </c>
      <c r="P3170" s="261"/>
      <c r="Q3170" s="209"/>
      <c r="R3170" s="261"/>
      <c r="S3170" s="52"/>
      <c r="T3170" s="181"/>
      <c r="U3170" s="52"/>
      <c r="V3170" s="4295"/>
      <c r="W3170" s="3262"/>
      <c r="X3170" s="3262"/>
      <c r="Y3170" s="3265"/>
      <c r="Z3170" s="3262"/>
      <c r="AA3170" s="3262"/>
      <c r="AB3170" s="3286"/>
      <c r="AC3170" s="3285">
        <v>13</v>
      </c>
      <c r="AD3170" s="3484">
        <v>13</v>
      </c>
      <c r="AE3170" s="3493">
        <v>14</v>
      </c>
      <c r="AF3170" s="2236">
        <f t="shared" si="334"/>
        <v>13.4</v>
      </c>
      <c r="AG3170" s="1396"/>
      <c r="DG3170" s="573"/>
      <c r="DH3170" s="159"/>
      <c r="DI3170" s="1091"/>
      <c r="DJ3170" s="1187"/>
    </row>
    <row r="3171" spans="1:114" ht="15" hidden="1" customHeight="1" outlineLevel="1">
      <c r="A3171" s="453"/>
      <c r="C3171" s="51"/>
      <c r="D3171" s="4303"/>
      <c r="E3171" s="4295"/>
      <c r="F3171" s="4347" t="str">
        <f>$E$1706</f>
        <v>ASHP-SEER21+-Replace_CAC_NonElectricHeat_ROF_MF_CompE</v>
      </c>
      <c r="G3171" s="4347"/>
      <c r="H3171" s="4347"/>
      <c r="I3171" s="4347"/>
      <c r="J3171" s="3471" t="str">
        <f>$C$1706</f>
        <v>353711_2024_12_</v>
      </c>
      <c r="K3171" s="2283">
        <v>13.4</v>
      </c>
      <c r="L3171" s="3492"/>
      <c r="M3171" s="2425" t="s">
        <v>1941</v>
      </c>
      <c r="P3171" s="261"/>
      <c r="Q3171" s="209"/>
      <c r="R3171" s="261"/>
      <c r="S3171" s="52"/>
      <c r="T3171" s="181"/>
      <c r="U3171" s="52"/>
      <c r="V3171" s="4295"/>
      <c r="W3171" s="3262"/>
      <c r="X3171" s="3262"/>
      <c r="Y3171" s="3265"/>
      <c r="Z3171" s="3262"/>
      <c r="AA3171" s="3262"/>
      <c r="AB3171" s="3286"/>
      <c r="AC3171" s="3285">
        <v>13</v>
      </c>
      <c r="AD3171" s="3484">
        <v>13</v>
      </c>
      <c r="AE3171" s="3493">
        <v>14</v>
      </c>
      <c r="AF3171" s="2236">
        <f t="shared" si="334"/>
        <v>13.4</v>
      </c>
      <c r="AG3171" s="1396"/>
      <c r="DG3171" s="573"/>
      <c r="DH3171" s="159"/>
      <c r="DI3171" s="1091"/>
      <c r="DJ3171" s="1187"/>
    </row>
    <row r="3172" spans="1:114" ht="15" hidden="1" customHeight="1" outlineLevel="1">
      <c r="A3172" s="453"/>
      <c r="C3172" s="51"/>
      <c r="D3172" s="4303"/>
      <c r="E3172" s="4295"/>
      <c r="F3172" s="4307" t="str">
        <f>$E$1708</f>
        <v>ASHP-SEER17_ER1_SF</v>
      </c>
      <c r="G3172" s="4307"/>
      <c r="H3172" s="4307"/>
      <c r="I3172" s="4307"/>
      <c r="J3172" s="1029" t="str">
        <f>$C$1708</f>
        <v>353750_2024_12_</v>
      </c>
      <c r="K3172" s="1757">
        <v>7.6579274764443417</v>
      </c>
      <c r="L3172" s="262"/>
      <c r="M3172" s="1609" t="s">
        <v>1950</v>
      </c>
      <c r="S3172" s="52"/>
      <c r="T3172" s="52"/>
      <c r="U3172" s="52"/>
      <c r="V3172" s="4295"/>
      <c r="W3172" s="1396">
        <v>7.2</v>
      </c>
      <c r="X3172" s="833">
        <v>8.33</v>
      </c>
      <c r="Y3172" s="1396">
        <v>8.33</v>
      </c>
      <c r="Z3172" s="1396">
        <v>8.33</v>
      </c>
      <c r="AA3172" s="1396">
        <v>8.33</v>
      </c>
      <c r="AB3172" s="211">
        <v>8.33</v>
      </c>
      <c r="AC3172" s="212">
        <v>8.7303880814835253</v>
      </c>
      <c r="AD3172" s="969">
        <v>7.8746004975378812</v>
      </c>
      <c r="AE3172" s="969">
        <v>7.8131110840647606</v>
      </c>
      <c r="AF3172" s="271">
        <f t="shared" si="334"/>
        <v>7.6579274764443417</v>
      </c>
      <c r="AG3172" s="1396"/>
      <c r="DG3172" s="573"/>
      <c r="DH3172" s="159"/>
      <c r="DI3172" s="1091"/>
      <c r="DJ3172" s="1187"/>
    </row>
    <row r="3173" spans="1:114" ht="15" hidden="1" customHeight="1" outlineLevel="1">
      <c r="A3173" s="453"/>
      <c r="C3173" s="51"/>
      <c r="D3173" s="4303"/>
      <c r="E3173" s="4295"/>
      <c r="F3173" s="4307" t="str">
        <f>$E$1710</f>
        <v>ASHP-SEER17_ER2_SF</v>
      </c>
      <c r="G3173" s="4307"/>
      <c r="H3173" s="4307"/>
      <c r="I3173" s="4307"/>
      <c r="J3173" s="1029" t="str">
        <f>$C$1710</f>
        <v>353750_2024_12_</v>
      </c>
      <c r="K3173" s="1795">
        <v>14.3</v>
      </c>
      <c r="L3173" s="13"/>
      <c r="M3173" s="1378" t="s">
        <v>1941</v>
      </c>
      <c r="P3173" s="261"/>
      <c r="Q3173" s="209"/>
      <c r="R3173" s="261"/>
      <c r="S3173" s="52"/>
      <c r="T3173" s="181"/>
      <c r="U3173" s="52"/>
      <c r="V3173" s="4295"/>
      <c r="W3173" s="1396">
        <v>14</v>
      </c>
      <c r="X3173" s="1396">
        <v>14</v>
      </c>
      <c r="Y3173" s="1396">
        <v>14</v>
      </c>
      <c r="Z3173" s="1396">
        <v>14</v>
      </c>
      <c r="AA3173" s="1396">
        <v>14</v>
      </c>
      <c r="AB3173" s="211">
        <v>14</v>
      </c>
      <c r="AC3173" s="211">
        <v>14</v>
      </c>
      <c r="AD3173" s="970">
        <v>14</v>
      </c>
      <c r="AE3173" s="1101">
        <v>15</v>
      </c>
      <c r="AF3173" s="271">
        <f t="shared" si="334"/>
        <v>14.3</v>
      </c>
      <c r="AG3173" s="1396"/>
      <c r="DG3173" s="573"/>
      <c r="DH3173" s="159"/>
      <c r="DI3173" s="1091"/>
      <c r="DJ3173" s="1187"/>
    </row>
    <row r="3174" spans="1:114" ht="15" hidden="1" customHeight="1" outlineLevel="1">
      <c r="A3174" s="453"/>
      <c r="C3174" s="51"/>
      <c r="D3174" s="4303"/>
      <c r="E3174" s="4295"/>
      <c r="F3174" s="4307" t="str">
        <f>$E$1712</f>
        <v>ASHP-SEER17_ROF_SF</v>
      </c>
      <c r="G3174" s="4307"/>
      <c r="H3174" s="4307"/>
      <c r="I3174" s="4307"/>
      <c r="J3174" s="1029" t="str">
        <f>$C$1712</f>
        <v>353800_2024_12_</v>
      </c>
      <c r="K3174" s="1795">
        <v>14.3</v>
      </c>
      <c r="L3174" s="13"/>
      <c r="M3174" s="1378" t="s">
        <v>1941</v>
      </c>
      <c r="S3174" s="52"/>
      <c r="T3174" s="52"/>
      <c r="U3174" s="52"/>
      <c r="V3174" s="4295"/>
      <c r="W3174" s="1396">
        <v>14</v>
      </c>
      <c r="X3174" s="1396">
        <v>14</v>
      </c>
      <c r="Y3174" s="1396">
        <v>14</v>
      </c>
      <c r="Z3174" s="1396">
        <v>14</v>
      </c>
      <c r="AA3174" s="1396">
        <v>14</v>
      </c>
      <c r="AB3174" s="211">
        <v>14</v>
      </c>
      <c r="AC3174" s="211">
        <v>14</v>
      </c>
      <c r="AD3174" s="970">
        <v>14</v>
      </c>
      <c r="AE3174" s="1101">
        <v>15</v>
      </c>
      <c r="AF3174" s="271">
        <f t="shared" si="334"/>
        <v>14.3</v>
      </c>
      <c r="AG3174" s="1396"/>
      <c r="DG3174" s="573"/>
      <c r="DH3174" s="159"/>
      <c r="DI3174" s="1091"/>
      <c r="DJ3174" s="1187"/>
    </row>
    <row r="3175" spans="1:114" ht="15" hidden="1" customHeight="1" outlineLevel="1">
      <c r="A3175" s="453"/>
      <c r="C3175" s="51"/>
      <c r="D3175" s="4303"/>
      <c r="E3175" s="4295"/>
      <c r="F3175" s="4307" t="str">
        <f>$E$1714</f>
        <v>ASHP-SEER18_ER1_SF</v>
      </c>
      <c r="G3175" s="4307"/>
      <c r="H3175" s="4307"/>
      <c r="I3175" s="4307"/>
      <c r="J3175" s="1029" t="str">
        <f>$C$1714</f>
        <v>353850_2024_12_</v>
      </c>
      <c r="K3175" s="1757">
        <v>7.6829345969611094</v>
      </c>
      <c r="L3175" s="262"/>
      <c r="M3175" s="1609" t="s">
        <v>1950</v>
      </c>
      <c r="P3175" s="261"/>
      <c r="Q3175" s="209"/>
      <c r="R3175" s="261"/>
      <c r="S3175" s="52"/>
      <c r="T3175" s="181"/>
      <c r="U3175" s="52"/>
      <c r="V3175" s="4295"/>
      <c r="W3175" s="1396">
        <v>7.2</v>
      </c>
      <c r="X3175" s="833">
        <v>8.33</v>
      </c>
      <c r="Y3175" s="1396">
        <v>8.33</v>
      </c>
      <c r="Z3175" s="1396">
        <v>8.33</v>
      </c>
      <c r="AA3175" s="1396">
        <v>8.33</v>
      </c>
      <c r="AB3175" s="212">
        <v>7.9029574060126802</v>
      </c>
      <c r="AC3175" s="212">
        <v>8.5136840013184276</v>
      </c>
      <c r="AD3175" s="969">
        <v>7.8596801773401781</v>
      </c>
      <c r="AE3175" s="969">
        <v>7.902671937780064</v>
      </c>
      <c r="AF3175" s="271">
        <f t="shared" si="334"/>
        <v>7.6829345969611094</v>
      </c>
      <c r="AG3175" s="1396"/>
      <c r="DG3175" s="573"/>
      <c r="DH3175" s="159"/>
      <c r="DI3175" s="1091"/>
      <c r="DJ3175" s="1187"/>
    </row>
    <row r="3176" spans="1:114" ht="15" hidden="1" customHeight="1" outlineLevel="1">
      <c r="A3176" s="453"/>
      <c r="C3176" s="51"/>
      <c r="D3176" s="4303"/>
      <c r="E3176" s="4295"/>
      <c r="F3176" s="4307" t="str">
        <f>$E$1716</f>
        <v>ASHP-SEER18_ER2_SF</v>
      </c>
      <c r="G3176" s="4307"/>
      <c r="H3176" s="4307"/>
      <c r="I3176" s="4307"/>
      <c r="J3176" s="1029" t="str">
        <f>$C$1716</f>
        <v>353850_2024_12_</v>
      </c>
      <c r="K3176" s="1795">
        <v>14.3</v>
      </c>
      <c r="L3176" s="13"/>
      <c r="M3176" s="1378" t="s">
        <v>1941</v>
      </c>
      <c r="S3176" s="52"/>
      <c r="T3176" s="52"/>
      <c r="U3176" s="52"/>
      <c r="V3176" s="4295"/>
      <c r="W3176" s="1396">
        <v>14</v>
      </c>
      <c r="X3176" s="1396">
        <v>14</v>
      </c>
      <c r="Y3176" s="1396">
        <v>14</v>
      </c>
      <c r="Z3176" s="1396">
        <v>14</v>
      </c>
      <c r="AA3176" s="1396">
        <v>14</v>
      </c>
      <c r="AB3176" s="211">
        <v>14</v>
      </c>
      <c r="AC3176" s="211">
        <v>14</v>
      </c>
      <c r="AD3176" s="970">
        <v>14</v>
      </c>
      <c r="AE3176" s="1101">
        <v>15</v>
      </c>
      <c r="AF3176" s="271">
        <f t="shared" si="334"/>
        <v>14.3</v>
      </c>
      <c r="AG3176" s="1396"/>
      <c r="DG3176" s="573"/>
      <c r="DH3176" s="159"/>
      <c r="DI3176" s="1091"/>
      <c r="DJ3176" s="1187"/>
    </row>
    <row r="3177" spans="1:114" ht="15" hidden="1" customHeight="1" outlineLevel="1">
      <c r="A3177" s="453"/>
      <c r="C3177" s="51"/>
      <c r="D3177" s="4303"/>
      <c r="E3177" s="4295"/>
      <c r="F3177" s="4307" t="str">
        <f>$E$1718</f>
        <v>ASHP-SEER18_ROF_SF</v>
      </c>
      <c r="G3177" s="4307"/>
      <c r="H3177" s="4307"/>
      <c r="I3177" s="4307"/>
      <c r="J3177" s="1029" t="str">
        <f>$C$1718</f>
        <v>353950_2024_12_</v>
      </c>
      <c r="K3177" s="1795">
        <v>14.3</v>
      </c>
      <c r="L3177" s="13"/>
      <c r="M3177" s="1378" t="s">
        <v>1941</v>
      </c>
      <c r="P3177" s="261"/>
      <c r="Q3177" s="209"/>
      <c r="R3177" s="261"/>
      <c r="S3177" s="52"/>
      <c r="T3177" s="181"/>
      <c r="U3177" s="52"/>
      <c r="V3177" s="4295"/>
      <c r="W3177" s="1396">
        <v>14</v>
      </c>
      <c r="X3177" s="1396">
        <v>14</v>
      </c>
      <c r="Y3177" s="1396">
        <v>14</v>
      </c>
      <c r="Z3177" s="1396">
        <v>14</v>
      </c>
      <c r="AA3177" s="1396">
        <v>14</v>
      </c>
      <c r="AB3177" s="211">
        <v>14</v>
      </c>
      <c r="AC3177" s="211">
        <v>14</v>
      </c>
      <c r="AD3177" s="970">
        <v>14</v>
      </c>
      <c r="AE3177" s="1101">
        <v>15</v>
      </c>
      <c r="AF3177" s="271">
        <f t="shared" si="334"/>
        <v>14.3</v>
      </c>
      <c r="AG3177" s="1396"/>
      <c r="DG3177" s="573"/>
      <c r="DH3177" s="159"/>
      <c r="DI3177" s="1091"/>
      <c r="DJ3177" s="1187"/>
    </row>
    <row r="3178" spans="1:114" ht="15" hidden="1" customHeight="1" outlineLevel="1">
      <c r="A3178" s="453"/>
      <c r="C3178" s="51"/>
      <c r="D3178" s="4303"/>
      <c r="E3178" s="4295"/>
      <c r="F3178" s="4307" t="str">
        <f>$E$1720</f>
        <v>ASHP-SEER19_ER1_SF</v>
      </c>
      <c r="G3178" s="4307"/>
      <c r="H3178" s="4307"/>
      <c r="I3178" s="4307"/>
      <c r="J3178" s="1029" t="str">
        <f>$C$1720</f>
        <v>354000_2024_12_</v>
      </c>
      <c r="K3178" s="1757">
        <v>8.290923757513843</v>
      </c>
      <c r="L3178" s="262"/>
      <c r="M3178" s="1609" t="s">
        <v>1950</v>
      </c>
      <c r="P3178" s="261"/>
      <c r="Q3178" s="209"/>
      <c r="R3178" s="261"/>
      <c r="S3178" s="52"/>
      <c r="T3178" s="181"/>
      <c r="U3178" s="52"/>
      <c r="V3178" s="4295"/>
      <c r="W3178" s="1396">
        <v>7.2</v>
      </c>
      <c r="X3178" s="833">
        <v>8.33</v>
      </c>
      <c r="Y3178" s="1396">
        <v>8.33</v>
      </c>
      <c r="Z3178" s="1396">
        <v>8.33</v>
      </c>
      <c r="AA3178" s="1396">
        <v>8.33</v>
      </c>
      <c r="AB3178" s="211">
        <v>8.33</v>
      </c>
      <c r="AC3178" s="212">
        <v>9.0504969801676332</v>
      </c>
      <c r="AD3178" s="969">
        <v>7.7408755535350018</v>
      </c>
      <c r="AE3178" s="969">
        <v>8.1217030042955347</v>
      </c>
      <c r="AF3178" s="271">
        <f t="shared" si="334"/>
        <v>8.290923757513843</v>
      </c>
      <c r="AG3178" s="1396"/>
      <c r="DG3178" s="573"/>
      <c r="DH3178" s="159"/>
      <c r="DI3178" s="1091"/>
      <c r="DJ3178" s="1187"/>
    </row>
    <row r="3179" spans="1:114" ht="15" hidden="1" customHeight="1" outlineLevel="1">
      <c r="A3179" s="453"/>
      <c r="C3179" s="51"/>
      <c r="D3179" s="4303"/>
      <c r="E3179" s="4295"/>
      <c r="F3179" s="4307" t="str">
        <f>$E$1722</f>
        <v>ASHP-SEER19_ER2_SF</v>
      </c>
      <c r="G3179" s="4307"/>
      <c r="H3179" s="4307"/>
      <c r="I3179" s="4307"/>
      <c r="J3179" s="1029" t="str">
        <f>$C$1722</f>
        <v>354000_2024_12_</v>
      </c>
      <c r="K3179" s="1795">
        <v>14.3</v>
      </c>
      <c r="L3179" s="13"/>
      <c r="M3179" s="1378" t="s">
        <v>1941</v>
      </c>
      <c r="S3179" s="52"/>
      <c r="T3179" s="52"/>
      <c r="U3179" s="52"/>
      <c r="V3179" s="4295"/>
      <c r="W3179" s="1396">
        <v>14</v>
      </c>
      <c r="X3179" s="1396">
        <v>14</v>
      </c>
      <c r="Y3179" s="1396">
        <v>14</v>
      </c>
      <c r="Z3179" s="1396">
        <v>14</v>
      </c>
      <c r="AA3179" s="1396">
        <v>14</v>
      </c>
      <c r="AB3179" s="211">
        <v>14</v>
      </c>
      <c r="AC3179" s="211">
        <v>14</v>
      </c>
      <c r="AD3179" s="970">
        <v>14</v>
      </c>
      <c r="AE3179" s="1101">
        <v>15</v>
      </c>
      <c r="AF3179" s="271">
        <f t="shared" si="334"/>
        <v>14.3</v>
      </c>
      <c r="AG3179" s="1396"/>
      <c r="DG3179" s="573"/>
      <c r="DH3179" s="159"/>
      <c r="DI3179" s="1091"/>
      <c r="DJ3179" s="1187"/>
    </row>
    <row r="3180" spans="1:114" ht="15" hidden="1" customHeight="1" outlineLevel="1">
      <c r="A3180" s="453"/>
      <c r="C3180" s="51"/>
      <c r="D3180" s="4303"/>
      <c r="E3180" s="4295"/>
      <c r="F3180" s="4307" t="str">
        <f>$E$1724</f>
        <v>ASHP-SEER19_ROF_SF</v>
      </c>
      <c r="G3180" s="4307"/>
      <c r="H3180" s="4307"/>
      <c r="I3180" s="4307"/>
      <c r="J3180" s="1029" t="str">
        <f>$C$1724</f>
        <v>354050_2024_12_</v>
      </c>
      <c r="K3180" s="1795">
        <v>14.3</v>
      </c>
      <c r="L3180" s="13"/>
      <c r="M3180" s="1378" t="s">
        <v>1941</v>
      </c>
      <c r="S3180" s="52"/>
      <c r="T3180" s="52"/>
      <c r="U3180" s="52"/>
      <c r="V3180" s="4295"/>
      <c r="W3180" s="1396">
        <v>14</v>
      </c>
      <c r="X3180" s="1396">
        <v>14</v>
      </c>
      <c r="Y3180" s="1396">
        <v>14</v>
      </c>
      <c r="Z3180" s="1396">
        <v>14</v>
      </c>
      <c r="AA3180" s="1396">
        <v>14</v>
      </c>
      <c r="AB3180" s="211">
        <v>14</v>
      </c>
      <c r="AC3180" s="211">
        <v>14</v>
      </c>
      <c r="AD3180" s="970">
        <v>14</v>
      </c>
      <c r="AE3180" s="1101">
        <v>15</v>
      </c>
      <c r="AF3180" s="271">
        <f t="shared" si="334"/>
        <v>14.3</v>
      </c>
      <c r="AG3180" s="1396"/>
      <c r="DG3180" s="573"/>
      <c r="DH3180" s="159"/>
      <c r="DI3180" s="1091"/>
      <c r="DJ3180" s="1187"/>
    </row>
    <row r="3181" spans="1:114" ht="15" hidden="1" customHeight="1" outlineLevel="1">
      <c r="A3181" s="453"/>
      <c r="C3181" s="51"/>
      <c r="D3181" s="4303"/>
      <c r="E3181" s="4295"/>
      <c r="F3181" s="4307" t="str">
        <f>$E$1726</f>
        <v>ASHP-SEER17-Replace_CAC_ElectricHeat_ER1_SF</v>
      </c>
      <c r="G3181" s="4307"/>
      <c r="H3181" s="4307"/>
      <c r="I3181" s="4307"/>
      <c r="J3181" s="1029" t="str">
        <f>$C$1726</f>
        <v>354100_2024_12_</v>
      </c>
      <c r="K3181" s="1757">
        <v>7.6579274764443417</v>
      </c>
      <c r="L3181" s="262"/>
      <c r="M3181" s="1609" t="s">
        <v>1950</v>
      </c>
      <c r="S3181" s="52"/>
      <c r="T3181" s="52"/>
      <c r="U3181" s="52"/>
      <c r="V3181" s="4295"/>
      <c r="W3181" s="1396">
        <v>6.8</v>
      </c>
      <c r="X3181" s="833">
        <v>8.33</v>
      </c>
      <c r="Y3181" s="1396">
        <v>8.33</v>
      </c>
      <c r="Z3181" s="1396">
        <v>8.33</v>
      </c>
      <c r="AA3181" s="1396">
        <v>8.33</v>
      </c>
      <c r="AB3181" s="211">
        <v>8.33</v>
      </c>
      <c r="AC3181" s="212">
        <v>8.0559951349156371</v>
      </c>
      <c r="AD3181" s="969">
        <v>7.8746004975378812</v>
      </c>
      <c r="AE3181" s="969">
        <v>7.8131110840647606</v>
      </c>
      <c r="AF3181" s="271">
        <f t="shared" si="334"/>
        <v>7.6579274764443417</v>
      </c>
      <c r="AG3181" s="1396"/>
      <c r="DG3181" s="573"/>
      <c r="DH3181" s="159"/>
      <c r="DI3181" s="1091"/>
      <c r="DJ3181" s="1187"/>
    </row>
    <row r="3182" spans="1:114" ht="15" hidden="1" customHeight="1" outlineLevel="1">
      <c r="A3182" s="453"/>
      <c r="C3182" s="51"/>
      <c r="D3182" s="4303"/>
      <c r="E3182" s="4295"/>
      <c r="F3182" s="4307" t="str">
        <f>$E$1728</f>
        <v>ASHP-SEER17-Replace_CAC_ElectricHeat_ER2_SF</v>
      </c>
      <c r="G3182" s="4307"/>
      <c r="H3182" s="4307"/>
      <c r="I3182" s="4307"/>
      <c r="J3182" s="1029" t="str">
        <f>$C$1728</f>
        <v>354100_2024_12_</v>
      </c>
      <c r="K3182" s="1795">
        <v>13.4</v>
      </c>
      <c r="L3182" s="13"/>
      <c r="M3182" s="1378" t="s">
        <v>1941</v>
      </c>
      <c r="S3182" s="52"/>
      <c r="T3182" s="52"/>
      <c r="U3182" s="52"/>
      <c r="V3182" s="4295"/>
      <c r="W3182" s="1396">
        <v>13</v>
      </c>
      <c r="X3182" s="1396">
        <v>13</v>
      </c>
      <c r="Y3182" s="1396">
        <v>13</v>
      </c>
      <c r="Z3182" s="1396">
        <v>13</v>
      </c>
      <c r="AA3182" s="1396">
        <v>13</v>
      </c>
      <c r="AB3182" s="211">
        <v>13</v>
      </c>
      <c r="AC3182" s="211">
        <v>13</v>
      </c>
      <c r="AD3182" s="970">
        <v>13</v>
      </c>
      <c r="AE3182" s="1101">
        <v>14</v>
      </c>
      <c r="AF3182" s="271">
        <f t="shared" si="334"/>
        <v>13.4</v>
      </c>
      <c r="AG3182" s="1396"/>
      <c r="DG3182" s="573"/>
      <c r="DH3182" s="159"/>
      <c r="DI3182" s="1091"/>
      <c r="DJ3182" s="1187"/>
    </row>
    <row r="3183" spans="1:114" ht="15" hidden="1" customHeight="1" outlineLevel="1">
      <c r="A3183" s="453"/>
      <c r="C3183" s="51"/>
      <c r="D3183" s="4303"/>
      <c r="E3183" s="4295"/>
      <c r="F3183" s="4307" t="str">
        <f>$E$1730</f>
        <v>ASHP-SEER17-Replace_CAC_NonElectricHeat_ER1_SF</v>
      </c>
      <c r="G3183" s="4307"/>
      <c r="H3183" s="4307"/>
      <c r="I3183" s="4307"/>
      <c r="J3183" s="1029" t="str">
        <f>$C$1730</f>
        <v>354110_2024_12_</v>
      </c>
      <c r="K3183" s="1757">
        <v>7.6579274764443417</v>
      </c>
      <c r="L3183" s="262"/>
      <c r="M3183" s="1609" t="s">
        <v>1950</v>
      </c>
      <c r="S3183" s="52"/>
      <c r="T3183" s="52"/>
      <c r="U3183" s="52"/>
      <c r="V3183" s="4295"/>
      <c r="W3183" s="1396"/>
      <c r="X3183" s="1396"/>
      <c r="Y3183" s="1396"/>
      <c r="Z3183" s="1396"/>
      <c r="AA3183" s="1396"/>
      <c r="AB3183" s="211"/>
      <c r="AC3183" s="212">
        <v>8.0559951349156371</v>
      </c>
      <c r="AD3183" s="969">
        <v>7.8746004975378812</v>
      </c>
      <c r="AE3183" s="969">
        <v>7.8131110840647606</v>
      </c>
      <c r="AF3183" s="271">
        <f t="shared" si="334"/>
        <v>7.6579274764443417</v>
      </c>
      <c r="AG3183" s="1396"/>
      <c r="DG3183" s="573"/>
      <c r="DH3183" s="159"/>
      <c r="DI3183" s="1091"/>
      <c r="DJ3183" s="1187"/>
    </row>
    <row r="3184" spans="1:114" ht="15" hidden="1" customHeight="1" outlineLevel="1">
      <c r="A3184" s="453"/>
      <c r="C3184" s="51"/>
      <c r="D3184" s="4303"/>
      <c r="E3184" s="4295"/>
      <c r="F3184" s="4307" t="str">
        <f>$E$1732</f>
        <v>ASHP-SEER17-Replace_CAC_NonElectricHeat_ER2_SF</v>
      </c>
      <c r="G3184" s="4307"/>
      <c r="H3184" s="4307"/>
      <c r="I3184" s="4307"/>
      <c r="J3184" s="1029" t="str">
        <f>$C$1732</f>
        <v>354110_2024_12_</v>
      </c>
      <c r="K3184" s="1795">
        <v>13.4</v>
      </c>
      <c r="L3184" s="13"/>
      <c r="M3184" s="1378" t="s">
        <v>1941</v>
      </c>
      <c r="S3184" s="52"/>
      <c r="T3184" s="52"/>
      <c r="U3184" s="52"/>
      <c r="V3184" s="4295"/>
      <c r="W3184" s="1396"/>
      <c r="X3184" s="1396"/>
      <c r="Y3184" s="1396"/>
      <c r="Z3184" s="1396"/>
      <c r="AA3184" s="1396"/>
      <c r="AB3184" s="211"/>
      <c r="AC3184" s="212">
        <v>13</v>
      </c>
      <c r="AD3184" s="970">
        <v>13</v>
      </c>
      <c r="AE3184" s="1101">
        <v>14</v>
      </c>
      <c r="AF3184" s="271">
        <f t="shared" si="334"/>
        <v>13.4</v>
      </c>
      <c r="AG3184" s="1396"/>
      <c r="DG3184" s="573"/>
      <c r="DH3184" s="159"/>
      <c r="DI3184" s="1091"/>
      <c r="DJ3184" s="1187"/>
    </row>
    <row r="3185" spans="1:114" ht="15" hidden="1" customHeight="1" outlineLevel="1">
      <c r="A3185" s="453"/>
      <c r="C3185" s="51"/>
      <c r="D3185" s="4303"/>
      <c r="E3185" s="4295"/>
      <c r="F3185" s="4307" t="str">
        <f>$E$1734</f>
        <v>ASHP-SEER17-Replace_CAC_ElectricHeat_ER1_MF</v>
      </c>
      <c r="G3185" s="4307"/>
      <c r="H3185" s="4307"/>
      <c r="I3185" s="4307"/>
      <c r="J3185" s="1029" t="str">
        <f>$C$1734</f>
        <v>354150_2024_12_</v>
      </c>
      <c r="K3185" s="916">
        <v>8.33</v>
      </c>
      <c r="L3185" s="262"/>
      <c r="M3185" s="1378" t="s">
        <v>2505</v>
      </c>
      <c r="S3185" s="52"/>
      <c r="T3185" s="52"/>
      <c r="U3185" s="52"/>
      <c r="V3185" s="4295"/>
      <c r="W3185" s="1396">
        <v>6.8</v>
      </c>
      <c r="X3185" s="833">
        <v>8.33</v>
      </c>
      <c r="Y3185" s="1396">
        <v>8.33</v>
      </c>
      <c r="Z3185" s="1396">
        <v>8.33</v>
      </c>
      <c r="AA3185" s="1396">
        <v>8.33</v>
      </c>
      <c r="AB3185" s="211">
        <v>8.33</v>
      </c>
      <c r="AC3185" s="211">
        <v>8.33</v>
      </c>
      <c r="AD3185" s="970">
        <v>8.33</v>
      </c>
      <c r="AE3185" s="970">
        <v>8.33</v>
      </c>
      <c r="AF3185" s="271">
        <f t="shared" si="334"/>
        <v>8.33</v>
      </c>
      <c r="AG3185" s="1396"/>
      <c r="DG3185" s="573"/>
      <c r="DH3185" s="159"/>
      <c r="DI3185" s="1091"/>
      <c r="DJ3185" s="1187"/>
    </row>
    <row r="3186" spans="1:114" ht="15" hidden="1" customHeight="1" outlineLevel="1">
      <c r="A3186" s="453"/>
      <c r="C3186" s="51"/>
      <c r="D3186" s="4303"/>
      <c r="E3186" s="4295"/>
      <c r="F3186" s="4307" t="str">
        <f>$E$1736</f>
        <v>ASHP-SEER17-Replace_CAC_ElectricHeat_ER2_MF</v>
      </c>
      <c r="G3186" s="4307"/>
      <c r="H3186" s="4307"/>
      <c r="I3186" s="4307"/>
      <c r="J3186" s="1029" t="str">
        <f>$C$1736</f>
        <v>354150_2024_12_</v>
      </c>
      <c r="K3186" s="1795">
        <v>13.4</v>
      </c>
      <c r="L3186" s="13"/>
      <c r="M3186" s="1378" t="s">
        <v>1941</v>
      </c>
      <c r="S3186" s="52"/>
      <c r="T3186" s="52"/>
      <c r="U3186" s="52"/>
      <c r="V3186" s="4295"/>
      <c r="W3186" s="1396">
        <v>13</v>
      </c>
      <c r="X3186" s="1396">
        <v>13</v>
      </c>
      <c r="Y3186" s="1396">
        <v>13</v>
      </c>
      <c r="Z3186" s="1396">
        <v>13</v>
      </c>
      <c r="AA3186" s="1396">
        <v>13</v>
      </c>
      <c r="AB3186" s="211">
        <v>13</v>
      </c>
      <c r="AC3186" s="211">
        <v>13</v>
      </c>
      <c r="AD3186" s="970">
        <v>13</v>
      </c>
      <c r="AE3186" s="1101">
        <v>14</v>
      </c>
      <c r="AF3186" s="271">
        <f t="shared" si="334"/>
        <v>13.4</v>
      </c>
      <c r="AG3186" s="1396"/>
      <c r="DG3186" s="573"/>
      <c r="DH3186" s="159"/>
      <c r="DI3186" s="1091"/>
      <c r="DJ3186" s="1187"/>
    </row>
    <row r="3187" spans="1:114" ht="15" hidden="1" customHeight="1" outlineLevel="1">
      <c r="A3187" s="453"/>
      <c r="C3187" s="51"/>
      <c r="D3187" s="4303"/>
      <c r="E3187" s="4295"/>
      <c r="F3187" s="4307" t="str">
        <f>$E$1738</f>
        <v>ASHP-SEER17-Replace_CAC_ElectricHeat_ER1_MF_CompE</v>
      </c>
      <c r="G3187" s="4307"/>
      <c r="H3187" s="4307"/>
      <c r="I3187" s="4307"/>
      <c r="J3187" s="3471" t="str">
        <f>$C$1738</f>
        <v>354151_2024_12_</v>
      </c>
      <c r="K3187" s="916">
        <v>8.33</v>
      </c>
      <c r="L3187" s="262"/>
      <c r="M3187" s="1378" t="s">
        <v>2505</v>
      </c>
      <c r="S3187" s="52"/>
      <c r="T3187" s="52"/>
      <c r="U3187" s="52"/>
      <c r="V3187" s="4295"/>
      <c r="W3187" s="1396"/>
      <c r="X3187" s="1396"/>
      <c r="Y3187" s="833">
        <v>8.33</v>
      </c>
      <c r="Z3187" s="1396">
        <v>8.33</v>
      </c>
      <c r="AA3187" s="1396">
        <v>8.33</v>
      </c>
      <c r="AB3187" s="211">
        <v>8.33</v>
      </c>
      <c r="AC3187" s="211">
        <v>8.33</v>
      </c>
      <c r="AD3187" s="970">
        <v>8.33</v>
      </c>
      <c r="AE3187" s="970">
        <v>8.33</v>
      </c>
      <c r="AF3187" s="271">
        <f t="shared" si="334"/>
        <v>8.33</v>
      </c>
      <c r="AG3187" s="1396"/>
      <c r="DG3187" s="573"/>
      <c r="DH3187" s="159"/>
      <c r="DI3187" s="1091"/>
      <c r="DJ3187" s="1187"/>
    </row>
    <row r="3188" spans="1:114" ht="15" hidden="1" customHeight="1" outlineLevel="1">
      <c r="A3188" s="453"/>
      <c r="C3188" s="51"/>
      <c r="D3188" s="4303"/>
      <c r="E3188" s="4295"/>
      <c r="F3188" s="4307" t="str">
        <f>$E$1740</f>
        <v>ASHP-SEER17-Replace_CAC_ElectricHeat_ER2_MF_CompE</v>
      </c>
      <c r="G3188" s="4307"/>
      <c r="H3188" s="4307"/>
      <c r="I3188" s="4307"/>
      <c r="J3188" s="3471" t="str">
        <f>$C$1740</f>
        <v>354151_2024_12_</v>
      </c>
      <c r="K3188" s="1795">
        <v>13.4</v>
      </c>
      <c r="L3188" s="13"/>
      <c r="M3188" s="1378" t="s">
        <v>1941</v>
      </c>
      <c r="S3188" s="52"/>
      <c r="T3188" s="52"/>
      <c r="U3188" s="52"/>
      <c r="V3188" s="4295"/>
      <c r="W3188" s="1396"/>
      <c r="X3188" s="1396"/>
      <c r="Y3188" s="833">
        <v>13</v>
      </c>
      <c r="Z3188" s="1396">
        <v>13</v>
      </c>
      <c r="AA3188" s="1396">
        <v>13</v>
      </c>
      <c r="AB3188" s="211">
        <v>13</v>
      </c>
      <c r="AC3188" s="211">
        <v>13</v>
      </c>
      <c r="AD3188" s="970">
        <v>13</v>
      </c>
      <c r="AE3188" s="1101">
        <v>14</v>
      </c>
      <c r="AF3188" s="271">
        <f t="shared" si="334"/>
        <v>13.4</v>
      </c>
      <c r="AG3188" s="1396"/>
      <c r="DG3188" s="573"/>
      <c r="DH3188" s="159"/>
      <c r="DI3188" s="1091"/>
      <c r="DJ3188" s="1187"/>
    </row>
    <row r="3189" spans="1:114" ht="15" hidden="1" customHeight="1" outlineLevel="1">
      <c r="A3189" s="453"/>
      <c r="C3189" s="51"/>
      <c r="D3189" s="4303"/>
      <c r="E3189" s="4295"/>
      <c r="F3189" s="4347" t="str">
        <f>$E$1742</f>
        <v>ASHP-SEER17-Replace_CAC_NonElectricHeat_ER1_MF</v>
      </c>
      <c r="G3189" s="4347"/>
      <c r="H3189" s="4347"/>
      <c r="I3189" s="4347"/>
      <c r="J3189" s="3471" t="str">
        <f>$C$1742</f>
        <v>354160_2024_12_</v>
      </c>
      <c r="K3189" s="3337">
        <v>8.33</v>
      </c>
      <c r="L3189" s="3479"/>
      <c r="M3189" s="2425" t="s">
        <v>1945</v>
      </c>
      <c r="S3189" s="52"/>
      <c r="T3189" s="52"/>
      <c r="U3189" s="52"/>
      <c r="V3189" s="4295"/>
      <c r="W3189" s="1396"/>
      <c r="X3189" s="1396"/>
      <c r="Y3189" s="833"/>
      <c r="Z3189" s="1396"/>
      <c r="AA3189" s="1396"/>
      <c r="AB3189" s="211"/>
      <c r="AC3189" s="3285">
        <v>8.33</v>
      </c>
      <c r="AD3189" s="3484">
        <v>8.33</v>
      </c>
      <c r="AE3189" s="3484">
        <v>8.33</v>
      </c>
      <c r="AF3189" s="2236">
        <f t="shared" si="334"/>
        <v>8.33</v>
      </c>
      <c r="AG3189" s="1396"/>
      <c r="DG3189" s="573"/>
      <c r="DH3189" s="159"/>
      <c r="DI3189" s="1091"/>
      <c r="DJ3189" s="1187"/>
    </row>
    <row r="3190" spans="1:114" ht="15" hidden="1" customHeight="1" outlineLevel="1">
      <c r="A3190" s="453"/>
      <c r="C3190" s="51"/>
      <c r="D3190" s="4303"/>
      <c r="E3190" s="4295"/>
      <c r="F3190" s="4347" t="str">
        <f>$E$1744</f>
        <v>ASHP-SEER17-Replace_CAC_NonElectricHeat_ER2_MF</v>
      </c>
      <c r="G3190" s="4347"/>
      <c r="H3190" s="4347"/>
      <c r="I3190" s="4347"/>
      <c r="J3190" s="3471" t="str">
        <f>$C$1744</f>
        <v>354160_2024_12_</v>
      </c>
      <c r="K3190" s="2283">
        <v>13.4</v>
      </c>
      <c r="L3190" s="3492"/>
      <c r="M3190" s="2425" t="s">
        <v>1941</v>
      </c>
      <c r="S3190" s="52"/>
      <c r="T3190" s="52"/>
      <c r="U3190" s="52"/>
      <c r="V3190" s="4295"/>
      <c r="W3190" s="1396"/>
      <c r="X3190" s="1396"/>
      <c r="Y3190" s="833"/>
      <c r="Z3190" s="1396"/>
      <c r="AA3190" s="1396"/>
      <c r="AB3190" s="211"/>
      <c r="AC3190" s="3285">
        <v>13</v>
      </c>
      <c r="AD3190" s="3484">
        <v>13</v>
      </c>
      <c r="AE3190" s="3493">
        <v>14</v>
      </c>
      <c r="AF3190" s="2236">
        <f t="shared" si="334"/>
        <v>13.4</v>
      </c>
      <c r="AG3190" s="1396"/>
      <c r="DG3190" s="573"/>
      <c r="DH3190" s="159"/>
      <c r="DI3190" s="1091"/>
      <c r="DJ3190" s="1187"/>
    </row>
    <row r="3191" spans="1:114" ht="15" hidden="1" customHeight="1" outlineLevel="1">
      <c r="A3191" s="453"/>
      <c r="C3191" s="51"/>
      <c r="D3191" s="4303"/>
      <c r="E3191" s="4295"/>
      <c r="F3191" s="4347" t="str">
        <f>$E$1746</f>
        <v>ASHP-SEER17-Replace_CAC_NonElectricHeat_ER1_MF_CompE</v>
      </c>
      <c r="G3191" s="4347"/>
      <c r="H3191" s="4347"/>
      <c r="I3191" s="4347"/>
      <c r="J3191" s="3471" t="str">
        <f>$C$1746</f>
        <v>354161_2024_12_</v>
      </c>
      <c r="K3191" s="3337">
        <v>8.33</v>
      </c>
      <c r="L3191" s="3479"/>
      <c r="M3191" s="2425" t="s">
        <v>1945</v>
      </c>
      <c r="S3191" s="52"/>
      <c r="T3191" s="52"/>
      <c r="U3191" s="52"/>
      <c r="V3191" s="4295"/>
      <c r="W3191" s="1396"/>
      <c r="X3191" s="1396"/>
      <c r="Y3191" s="833"/>
      <c r="Z3191" s="1396"/>
      <c r="AA3191" s="1396"/>
      <c r="AB3191" s="211"/>
      <c r="AC3191" s="3285">
        <v>8.33</v>
      </c>
      <c r="AD3191" s="3484">
        <v>8.33</v>
      </c>
      <c r="AE3191" s="3484">
        <v>8.33</v>
      </c>
      <c r="AF3191" s="2236">
        <f t="shared" si="334"/>
        <v>8.33</v>
      </c>
      <c r="AG3191" s="1396"/>
      <c r="DG3191" s="573"/>
      <c r="DH3191" s="159"/>
      <c r="DI3191" s="1091"/>
      <c r="DJ3191" s="1187"/>
    </row>
    <row r="3192" spans="1:114" ht="15" hidden="1" customHeight="1" outlineLevel="1">
      <c r="A3192" s="453"/>
      <c r="C3192" s="51"/>
      <c r="D3192" s="4303"/>
      <c r="E3192" s="4295"/>
      <c r="F3192" s="4347" t="str">
        <f>$E$1748</f>
        <v>ASHP-SEER17-Replace_CAC_NonElectricHeat_ER2_MF_CompE</v>
      </c>
      <c r="G3192" s="4347"/>
      <c r="H3192" s="4347"/>
      <c r="I3192" s="4347"/>
      <c r="J3192" s="3471" t="str">
        <f>$C$1748</f>
        <v>354161_2024_12_</v>
      </c>
      <c r="K3192" s="2283">
        <v>13.4</v>
      </c>
      <c r="L3192" s="3492"/>
      <c r="M3192" s="2425" t="s">
        <v>1941</v>
      </c>
      <c r="S3192" s="52"/>
      <c r="T3192" s="52"/>
      <c r="U3192" s="52"/>
      <c r="V3192" s="4295"/>
      <c r="W3192" s="1396"/>
      <c r="X3192" s="1396"/>
      <c r="Y3192" s="833"/>
      <c r="Z3192" s="1396"/>
      <c r="AA3192" s="1396"/>
      <c r="AB3192" s="211"/>
      <c r="AC3192" s="3285">
        <v>13</v>
      </c>
      <c r="AD3192" s="3484">
        <v>13</v>
      </c>
      <c r="AE3192" s="3493">
        <v>14</v>
      </c>
      <c r="AF3192" s="2236">
        <f t="shared" si="334"/>
        <v>13.4</v>
      </c>
      <c r="AG3192" s="1396"/>
      <c r="DG3192" s="573"/>
      <c r="DH3192" s="159"/>
      <c r="DI3192" s="1091"/>
      <c r="DJ3192" s="1187"/>
    </row>
    <row r="3193" spans="1:114" ht="15" hidden="1" customHeight="1" outlineLevel="1">
      <c r="A3193" s="453"/>
      <c r="C3193" s="51"/>
      <c r="D3193" s="4303"/>
      <c r="E3193" s="4295"/>
      <c r="F3193" s="4307" t="str">
        <f>$E$1750</f>
        <v>ASHP-SEER17_ER1_MF</v>
      </c>
      <c r="G3193" s="4307"/>
      <c r="H3193" s="4307"/>
      <c r="I3193" s="4307"/>
      <c r="J3193" s="1029" t="str">
        <f>$C$1750</f>
        <v>354200_2024_12_</v>
      </c>
      <c r="K3193" s="916">
        <v>8.33</v>
      </c>
      <c r="L3193" s="262"/>
      <c r="M3193" s="1378" t="s">
        <v>2505</v>
      </c>
      <c r="S3193" s="52"/>
      <c r="T3193" s="52"/>
      <c r="U3193" s="52"/>
      <c r="V3193" s="4295"/>
      <c r="W3193" s="1396">
        <v>7.2</v>
      </c>
      <c r="X3193" s="833">
        <v>8.33</v>
      </c>
      <c r="Y3193" s="1396">
        <v>8.33</v>
      </c>
      <c r="Z3193" s="1396">
        <v>8.33</v>
      </c>
      <c r="AA3193" s="1396">
        <v>8.33</v>
      </c>
      <c r="AB3193" s="211">
        <v>8.33</v>
      </c>
      <c r="AC3193" s="211">
        <v>8.33</v>
      </c>
      <c r="AD3193" s="970">
        <v>8.33</v>
      </c>
      <c r="AE3193" s="970">
        <v>8.33</v>
      </c>
      <c r="AF3193" s="271">
        <f t="shared" si="334"/>
        <v>8.33</v>
      </c>
      <c r="AG3193" s="1396"/>
      <c r="DG3193" s="573"/>
      <c r="DH3193" s="159"/>
      <c r="DI3193" s="1091"/>
      <c r="DJ3193" s="1187"/>
    </row>
    <row r="3194" spans="1:114" ht="15" hidden="1" customHeight="1" outlineLevel="1">
      <c r="A3194" s="453"/>
      <c r="C3194" s="51"/>
      <c r="D3194" s="4303"/>
      <c r="E3194" s="4295"/>
      <c r="F3194" s="4307" t="str">
        <f>$E$1752</f>
        <v>ASHP-SEER17_ER2_MF</v>
      </c>
      <c r="G3194" s="4307"/>
      <c r="H3194" s="4307"/>
      <c r="I3194" s="4307"/>
      <c r="J3194" s="1029" t="str">
        <f>$C$1752</f>
        <v>354200_2024_12_</v>
      </c>
      <c r="K3194" s="1795">
        <v>14.3</v>
      </c>
      <c r="L3194" s="13"/>
      <c r="M3194" s="1378" t="s">
        <v>1941</v>
      </c>
      <c r="S3194" s="52"/>
      <c r="T3194" s="52"/>
      <c r="U3194" s="52"/>
      <c r="V3194" s="4295"/>
      <c r="W3194" s="1396">
        <v>14</v>
      </c>
      <c r="X3194" s="1396">
        <v>14</v>
      </c>
      <c r="Y3194" s="1396">
        <v>14</v>
      </c>
      <c r="Z3194" s="1396">
        <v>14</v>
      </c>
      <c r="AA3194" s="1396">
        <v>14</v>
      </c>
      <c r="AB3194" s="211">
        <v>14</v>
      </c>
      <c r="AC3194" s="211">
        <v>14</v>
      </c>
      <c r="AD3194" s="970">
        <v>14</v>
      </c>
      <c r="AE3194" s="1101">
        <v>15</v>
      </c>
      <c r="AF3194" s="271">
        <f t="shared" ref="AF3194:AF3257" si="335">IF(K3194&lt;&gt;"",K3194,"")</f>
        <v>14.3</v>
      </c>
      <c r="AG3194" s="1396"/>
      <c r="DG3194" s="573"/>
      <c r="DH3194" s="159"/>
      <c r="DI3194" s="1091"/>
      <c r="DJ3194" s="1187"/>
    </row>
    <row r="3195" spans="1:114" ht="15" hidden="1" customHeight="1" outlineLevel="1">
      <c r="A3195" s="453"/>
      <c r="C3195" s="51"/>
      <c r="D3195" s="4303"/>
      <c r="E3195" s="4295"/>
      <c r="F3195" s="4347" t="str">
        <f>$E$1754</f>
        <v>ASHP-SEER17_ER1_MF_CompE</v>
      </c>
      <c r="G3195" s="4347"/>
      <c r="H3195" s="4347"/>
      <c r="I3195" s="4347"/>
      <c r="J3195" s="3471" t="str">
        <f>$C$1754</f>
        <v>354201_2024_12_</v>
      </c>
      <c r="K3195" s="3337">
        <v>8.33</v>
      </c>
      <c r="L3195" s="3479"/>
      <c r="M3195" s="2425" t="s">
        <v>2505</v>
      </c>
      <c r="S3195" s="52"/>
      <c r="T3195" s="52"/>
      <c r="U3195" s="52"/>
      <c r="V3195" s="4295"/>
      <c r="W3195" s="1396"/>
      <c r="X3195" s="1396"/>
      <c r="Y3195" s="3265">
        <v>8.33</v>
      </c>
      <c r="Z3195" s="3262">
        <v>8.33</v>
      </c>
      <c r="AA3195" s="3262">
        <v>8.33</v>
      </c>
      <c r="AB3195" s="3286">
        <v>8.33</v>
      </c>
      <c r="AC3195" s="3286">
        <v>8.33</v>
      </c>
      <c r="AD3195" s="3484">
        <v>8.33</v>
      </c>
      <c r="AE3195" s="3484">
        <v>8.33</v>
      </c>
      <c r="AF3195" s="2236">
        <f t="shared" si="335"/>
        <v>8.33</v>
      </c>
      <c r="AG3195" s="1396"/>
      <c r="DG3195" s="573"/>
      <c r="DH3195" s="159"/>
      <c r="DI3195" s="1091"/>
      <c r="DJ3195" s="1187"/>
    </row>
    <row r="3196" spans="1:114" ht="15" hidden="1" customHeight="1" outlineLevel="1">
      <c r="A3196" s="453"/>
      <c r="C3196" s="51"/>
      <c r="D3196" s="4303"/>
      <c r="E3196" s="4295"/>
      <c r="F3196" s="4347" t="str">
        <f>$E$1756</f>
        <v>ASHP-SEER17_ER2_MF_CompE</v>
      </c>
      <c r="G3196" s="4347"/>
      <c r="H3196" s="4347"/>
      <c r="I3196" s="4347"/>
      <c r="J3196" s="3471" t="str">
        <f>$C$1756</f>
        <v>354201_2024_12_</v>
      </c>
      <c r="K3196" s="2283">
        <v>14.3</v>
      </c>
      <c r="L3196" s="3492"/>
      <c r="M3196" s="2425" t="s">
        <v>1941</v>
      </c>
      <c r="S3196" s="52"/>
      <c r="T3196" s="52"/>
      <c r="U3196" s="52"/>
      <c r="V3196" s="4295"/>
      <c r="W3196" s="1396"/>
      <c r="X3196" s="1396"/>
      <c r="Y3196" s="3265">
        <v>14</v>
      </c>
      <c r="Z3196" s="3262">
        <v>14</v>
      </c>
      <c r="AA3196" s="3262">
        <v>14</v>
      </c>
      <c r="AB3196" s="3286">
        <v>14</v>
      </c>
      <c r="AC3196" s="3286">
        <v>14</v>
      </c>
      <c r="AD3196" s="3484">
        <v>14</v>
      </c>
      <c r="AE3196" s="3493">
        <v>15</v>
      </c>
      <c r="AF3196" s="2236">
        <f t="shared" si="335"/>
        <v>14.3</v>
      </c>
      <c r="AG3196" s="1396"/>
      <c r="DG3196" s="573"/>
      <c r="DH3196" s="159"/>
      <c r="DI3196" s="1091"/>
      <c r="DJ3196" s="1187"/>
    </row>
    <row r="3197" spans="1:114" ht="15" hidden="1" customHeight="1" outlineLevel="1">
      <c r="A3197" s="453"/>
      <c r="C3197" s="51"/>
      <c r="D3197" s="4303"/>
      <c r="E3197" s="4295"/>
      <c r="F3197" s="4307" t="str">
        <f>$E$1758</f>
        <v>ASHP-SEER18-Replace_CAC_ElectricHeat_ER1_SF</v>
      </c>
      <c r="G3197" s="4307"/>
      <c r="H3197" s="4307"/>
      <c r="I3197" s="4307"/>
      <c r="J3197" s="1029" t="str">
        <f>$C$1758</f>
        <v>354250_2024_12_</v>
      </c>
      <c r="K3197" s="1757">
        <v>7.6829345969611094</v>
      </c>
      <c r="L3197" s="262"/>
      <c r="M3197" s="1609" t="s">
        <v>1950</v>
      </c>
      <c r="S3197" s="52"/>
      <c r="T3197" s="52"/>
      <c r="U3197" s="52"/>
      <c r="V3197" s="4295"/>
      <c r="W3197" s="1396">
        <v>6.8</v>
      </c>
      <c r="X3197" s="833">
        <v>8.33</v>
      </c>
      <c r="Y3197" s="1396">
        <v>8.33</v>
      </c>
      <c r="Z3197" s="1396">
        <v>8.33</v>
      </c>
      <c r="AA3197" s="1396">
        <v>8.33</v>
      </c>
      <c r="AB3197" s="212">
        <v>7.6973343211156395</v>
      </c>
      <c r="AC3197" s="212">
        <v>8.4215383390942158</v>
      </c>
      <c r="AD3197" s="969">
        <v>7.8596801773401781</v>
      </c>
      <c r="AE3197" s="969">
        <v>7.902671937780064</v>
      </c>
      <c r="AF3197" s="271">
        <f t="shared" si="335"/>
        <v>7.6829345969611094</v>
      </c>
      <c r="AG3197" s="1396"/>
      <c r="DG3197" s="573"/>
      <c r="DH3197" s="159"/>
      <c r="DI3197" s="1091"/>
      <c r="DJ3197" s="1187"/>
    </row>
    <row r="3198" spans="1:114" ht="15" hidden="1" customHeight="1" outlineLevel="1">
      <c r="A3198" s="453"/>
      <c r="C3198" s="51"/>
      <c r="D3198" s="4303"/>
      <c r="E3198" s="4295"/>
      <c r="F3198" s="4307" t="str">
        <f>$E$1760</f>
        <v>ASHP-SEER18-Replace_CAC_ElectricHeat_ER2_SF</v>
      </c>
      <c r="G3198" s="4307"/>
      <c r="H3198" s="4307"/>
      <c r="I3198" s="4307"/>
      <c r="J3198" s="1029" t="str">
        <f>$C$1760</f>
        <v>354250_2024_12_</v>
      </c>
      <c r="K3198" s="1795">
        <v>13.4</v>
      </c>
      <c r="L3198" s="13"/>
      <c r="M3198" s="1378" t="s">
        <v>1941</v>
      </c>
      <c r="S3198" s="52"/>
      <c r="T3198" s="52"/>
      <c r="U3198" s="52"/>
      <c r="V3198" s="4295"/>
      <c r="W3198" s="1396">
        <v>13</v>
      </c>
      <c r="X3198" s="1396">
        <v>13</v>
      </c>
      <c r="Y3198" s="1396">
        <v>13</v>
      </c>
      <c r="Z3198" s="1396">
        <v>13</v>
      </c>
      <c r="AA3198" s="1396">
        <v>13</v>
      </c>
      <c r="AB3198" s="211">
        <v>13</v>
      </c>
      <c r="AC3198" s="211">
        <v>13</v>
      </c>
      <c r="AD3198" s="970">
        <v>13</v>
      </c>
      <c r="AE3198" s="1101">
        <v>14</v>
      </c>
      <c r="AF3198" s="271">
        <f t="shared" si="335"/>
        <v>13.4</v>
      </c>
      <c r="AG3198" s="1396"/>
      <c r="DG3198" s="573"/>
      <c r="DH3198" s="159"/>
      <c r="DI3198" s="1091"/>
      <c r="DJ3198" s="1187"/>
    </row>
    <row r="3199" spans="1:114" ht="15" hidden="1" customHeight="1" outlineLevel="1">
      <c r="A3199" s="453"/>
      <c r="C3199" s="51"/>
      <c r="D3199" s="4303"/>
      <c r="E3199" s="4295"/>
      <c r="F3199" s="4307" t="str">
        <f>$E$1762</f>
        <v>ASHP-SEER18-Replace_CAC_NonElectricHeat_ER1_SF</v>
      </c>
      <c r="G3199" s="4307"/>
      <c r="H3199" s="4307"/>
      <c r="I3199" s="4307"/>
      <c r="J3199" s="1029" t="str">
        <f>$C$1762</f>
        <v>354260_2024_12_</v>
      </c>
      <c r="K3199" s="1757">
        <v>7.6829345969611094</v>
      </c>
      <c r="L3199" s="262"/>
      <c r="M3199" s="1609" t="s">
        <v>1950</v>
      </c>
      <c r="S3199" s="52"/>
      <c r="T3199" s="52"/>
      <c r="U3199" s="52"/>
      <c r="V3199" s="4295"/>
      <c r="W3199" s="1396"/>
      <c r="X3199" s="1396"/>
      <c r="Y3199" s="1396"/>
      <c r="Z3199" s="1396"/>
      <c r="AA3199" s="1396"/>
      <c r="AB3199" s="211"/>
      <c r="AC3199" s="212">
        <v>8.4215383390942158</v>
      </c>
      <c r="AD3199" s="969">
        <v>7.8596801773401781</v>
      </c>
      <c r="AE3199" s="969">
        <v>7.902671937780064</v>
      </c>
      <c r="AF3199" s="271">
        <f t="shared" si="335"/>
        <v>7.6829345969611094</v>
      </c>
      <c r="AG3199" s="1396"/>
      <c r="DG3199" s="573"/>
      <c r="DH3199" s="159"/>
      <c r="DI3199" s="1091"/>
      <c r="DJ3199" s="1187"/>
    </row>
    <row r="3200" spans="1:114" ht="15" hidden="1" customHeight="1" outlineLevel="1">
      <c r="A3200" s="453"/>
      <c r="C3200" s="51"/>
      <c r="D3200" s="4303"/>
      <c r="E3200" s="4295"/>
      <c r="F3200" s="4307" t="str">
        <f>$E$1764</f>
        <v>ASHP-SEER18-Replace_CAC_NonElectricHeat_ER2_SF</v>
      </c>
      <c r="G3200" s="4307"/>
      <c r="H3200" s="4307"/>
      <c r="I3200" s="4307"/>
      <c r="J3200" s="1029" t="str">
        <f>$C$1764</f>
        <v>354260_2024_12_</v>
      </c>
      <c r="K3200" s="1795">
        <v>13.4</v>
      </c>
      <c r="L3200" s="13"/>
      <c r="M3200" s="1378" t="s">
        <v>1941</v>
      </c>
      <c r="S3200" s="52"/>
      <c r="T3200" s="52"/>
      <c r="U3200" s="52"/>
      <c r="V3200" s="4295"/>
      <c r="W3200" s="1396"/>
      <c r="X3200" s="1396"/>
      <c r="Y3200" s="1396"/>
      <c r="Z3200" s="1396"/>
      <c r="AA3200" s="1396"/>
      <c r="AB3200" s="211"/>
      <c r="AC3200" s="212">
        <v>13</v>
      </c>
      <c r="AD3200" s="970">
        <v>13</v>
      </c>
      <c r="AE3200" s="1101">
        <v>14</v>
      </c>
      <c r="AF3200" s="271">
        <f t="shared" si="335"/>
        <v>13.4</v>
      </c>
      <c r="AG3200" s="1396"/>
      <c r="DG3200" s="573"/>
      <c r="DH3200" s="159"/>
      <c r="DI3200" s="1091"/>
      <c r="DJ3200" s="1187"/>
    </row>
    <row r="3201" spans="1:114" ht="15" hidden="1" customHeight="1" outlineLevel="1">
      <c r="A3201" s="453"/>
      <c r="C3201" s="51"/>
      <c r="D3201" s="4303"/>
      <c r="E3201" s="4295"/>
      <c r="F3201" s="4307" t="str">
        <f>$E$1766</f>
        <v>ASHP-SEER18-Replace_CAC_ElectricHeat_ER1_MF</v>
      </c>
      <c r="G3201" s="4307"/>
      <c r="H3201" s="4307"/>
      <c r="I3201" s="4307"/>
      <c r="J3201" s="1029" t="str">
        <f>$C$1766</f>
        <v>354300_2024_12_</v>
      </c>
      <c r="K3201" s="916">
        <v>5.4170996929996953</v>
      </c>
      <c r="L3201" s="262"/>
      <c r="M3201" s="1740" t="s">
        <v>1938</v>
      </c>
      <c r="S3201" s="52"/>
      <c r="T3201" s="52"/>
      <c r="U3201" s="52"/>
      <c r="V3201" s="4295"/>
      <c r="W3201" s="1396">
        <v>6.8</v>
      </c>
      <c r="X3201" s="833">
        <v>8.33</v>
      </c>
      <c r="Y3201" s="1396">
        <v>8.33</v>
      </c>
      <c r="Z3201" s="1396">
        <v>8.33</v>
      </c>
      <c r="AA3201" s="1396">
        <v>8.33</v>
      </c>
      <c r="AB3201" s="212">
        <v>6.541205533836111</v>
      </c>
      <c r="AC3201" s="212">
        <v>5.4170996929996953</v>
      </c>
      <c r="AD3201" s="970">
        <v>5.4170996929996953</v>
      </c>
      <c r="AE3201" s="970">
        <v>5.4170996929996953</v>
      </c>
      <c r="AF3201" s="271">
        <f t="shared" si="335"/>
        <v>5.4170996929996953</v>
      </c>
      <c r="AG3201" s="1396"/>
      <c r="DG3201" s="573"/>
      <c r="DH3201" s="159"/>
      <c r="DI3201" s="1091"/>
      <c r="DJ3201" s="1187"/>
    </row>
    <row r="3202" spans="1:114" ht="15" hidden="1" customHeight="1" outlineLevel="1">
      <c r="A3202" s="453"/>
      <c r="C3202" s="51"/>
      <c r="D3202" s="4303"/>
      <c r="E3202" s="4295"/>
      <c r="F3202" s="4307" t="str">
        <f>$E$1768</f>
        <v>ASHP-SEER18-Replace_CAC_ElectricHeat_ER2_MF</v>
      </c>
      <c r="G3202" s="4307"/>
      <c r="H3202" s="4307"/>
      <c r="I3202" s="4307"/>
      <c r="J3202" s="1029" t="str">
        <f>$C$1768</f>
        <v>354300_2024_12_</v>
      </c>
      <c r="K3202" s="1795">
        <v>13.4</v>
      </c>
      <c r="L3202" s="13"/>
      <c r="M3202" s="1378" t="s">
        <v>1941</v>
      </c>
      <c r="S3202" s="52"/>
      <c r="T3202" s="52"/>
      <c r="U3202" s="52"/>
      <c r="V3202" s="4295"/>
      <c r="W3202" s="1396">
        <v>13</v>
      </c>
      <c r="X3202" s="1396">
        <v>13</v>
      </c>
      <c r="Y3202" s="1396">
        <v>13</v>
      </c>
      <c r="Z3202" s="1396">
        <v>13</v>
      </c>
      <c r="AA3202" s="1396">
        <v>13</v>
      </c>
      <c r="AB3202" s="211">
        <v>13</v>
      </c>
      <c r="AC3202" s="211">
        <v>13</v>
      </c>
      <c r="AD3202" s="970">
        <v>13</v>
      </c>
      <c r="AE3202" s="1101">
        <v>14</v>
      </c>
      <c r="AF3202" s="271">
        <f t="shared" si="335"/>
        <v>13.4</v>
      </c>
      <c r="AG3202" s="1396"/>
      <c r="DG3202" s="573"/>
      <c r="DH3202" s="159"/>
      <c r="DI3202" s="1091"/>
      <c r="DJ3202" s="1187"/>
    </row>
    <row r="3203" spans="1:114" ht="15" hidden="1" customHeight="1" outlineLevel="1">
      <c r="A3203" s="453"/>
      <c r="C3203" s="51"/>
      <c r="D3203" s="4303"/>
      <c r="E3203" s="4295"/>
      <c r="F3203" s="4347" t="str">
        <f>$E$1770</f>
        <v>ASHP-SEER18-Replace_CAC_ElectricHeat_ER1_MF_CompE</v>
      </c>
      <c r="G3203" s="4347"/>
      <c r="H3203" s="4347"/>
      <c r="I3203" s="4347"/>
      <c r="J3203" s="3471" t="str">
        <f>$C$1770</f>
        <v>354301_2024_12_</v>
      </c>
      <c r="K3203" s="3337">
        <v>8.33</v>
      </c>
      <c r="L3203" s="3479"/>
      <c r="M3203" s="2425" t="s">
        <v>2505</v>
      </c>
      <c r="S3203" s="52"/>
      <c r="T3203" s="52"/>
      <c r="U3203" s="52"/>
      <c r="V3203" s="4295"/>
      <c r="W3203" s="1396"/>
      <c r="X3203" s="1396"/>
      <c r="Y3203" s="3265">
        <v>8.33</v>
      </c>
      <c r="Z3203" s="3262">
        <v>8.33</v>
      </c>
      <c r="AA3203" s="3262">
        <v>8.33</v>
      </c>
      <c r="AB3203" s="3286">
        <v>8.33</v>
      </c>
      <c r="AC3203" s="3286">
        <v>8.33</v>
      </c>
      <c r="AD3203" s="3484">
        <v>8.33</v>
      </c>
      <c r="AE3203" s="3484">
        <v>8.33</v>
      </c>
      <c r="AF3203" s="2236">
        <f t="shared" si="335"/>
        <v>8.33</v>
      </c>
      <c r="AG3203" s="1396"/>
      <c r="DG3203" s="573"/>
      <c r="DH3203" s="159"/>
      <c r="DI3203" s="1091"/>
      <c r="DJ3203" s="1187"/>
    </row>
    <row r="3204" spans="1:114" ht="15" hidden="1" customHeight="1" outlineLevel="1">
      <c r="A3204" s="453"/>
      <c r="C3204" s="51"/>
      <c r="D3204" s="4303"/>
      <c r="E3204" s="4295"/>
      <c r="F3204" s="4347" t="str">
        <f>$E$1772</f>
        <v>ASHP-SEER18-Replace_CAC_ElectricHeat_ER2_MF_CompE</v>
      </c>
      <c r="G3204" s="4347"/>
      <c r="H3204" s="4347"/>
      <c r="I3204" s="4347"/>
      <c r="J3204" s="3471" t="str">
        <f>$C$1772</f>
        <v>354301_2024_12_</v>
      </c>
      <c r="K3204" s="2283">
        <v>13.4</v>
      </c>
      <c r="L3204" s="3492"/>
      <c r="M3204" s="2425" t="s">
        <v>1941</v>
      </c>
      <c r="S3204" s="52"/>
      <c r="T3204" s="52"/>
      <c r="U3204" s="52"/>
      <c r="V3204" s="4295"/>
      <c r="W3204" s="1396"/>
      <c r="X3204" s="1396"/>
      <c r="Y3204" s="3265">
        <v>13</v>
      </c>
      <c r="Z3204" s="3262">
        <v>13</v>
      </c>
      <c r="AA3204" s="3262">
        <v>13</v>
      </c>
      <c r="AB3204" s="3286">
        <v>13</v>
      </c>
      <c r="AC3204" s="3286">
        <v>13</v>
      </c>
      <c r="AD3204" s="3484">
        <v>13</v>
      </c>
      <c r="AE3204" s="3493">
        <v>14</v>
      </c>
      <c r="AF3204" s="2236">
        <f t="shared" si="335"/>
        <v>13.4</v>
      </c>
      <c r="AG3204" s="1396"/>
      <c r="DG3204" s="573"/>
      <c r="DH3204" s="159"/>
      <c r="DI3204" s="1091"/>
      <c r="DJ3204" s="1187"/>
    </row>
    <row r="3205" spans="1:114" ht="15" hidden="1" customHeight="1" outlineLevel="1">
      <c r="A3205" s="453"/>
      <c r="C3205" s="51"/>
      <c r="D3205" s="4303"/>
      <c r="E3205" s="4295"/>
      <c r="F3205" s="4347" t="str">
        <f>$E$1774</f>
        <v>ASHP-SEER18-Replace_CAC_NonElectricHeat_ER1_MF</v>
      </c>
      <c r="G3205" s="4347"/>
      <c r="H3205" s="4347"/>
      <c r="I3205" s="4347"/>
      <c r="J3205" s="3471" t="str">
        <f>$C$1774</f>
        <v>354310_2024_12_</v>
      </c>
      <c r="K3205" s="3337">
        <v>5.4170996929996953</v>
      </c>
      <c r="L3205" s="3479"/>
      <c r="M3205" s="2425" t="s">
        <v>1945</v>
      </c>
      <c r="S3205" s="52"/>
      <c r="T3205" s="52"/>
      <c r="U3205" s="52"/>
      <c r="V3205" s="4295"/>
      <c r="W3205" s="1396"/>
      <c r="X3205" s="1396"/>
      <c r="Y3205" s="3265"/>
      <c r="Z3205" s="3262"/>
      <c r="AA3205" s="3262"/>
      <c r="AB3205" s="3286"/>
      <c r="AC3205" s="3285">
        <v>5.4170996929996953</v>
      </c>
      <c r="AD3205" s="3484">
        <v>5.4170996929996953</v>
      </c>
      <c r="AE3205" s="3484">
        <v>5.4170996929996953</v>
      </c>
      <c r="AF3205" s="2236">
        <f t="shared" si="335"/>
        <v>5.4170996929996953</v>
      </c>
      <c r="AG3205" s="1396"/>
      <c r="DG3205" s="573"/>
      <c r="DH3205" s="159"/>
      <c r="DI3205" s="1091"/>
      <c r="DJ3205" s="1187"/>
    </row>
    <row r="3206" spans="1:114" ht="15" hidden="1" customHeight="1" outlineLevel="1">
      <c r="A3206" s="453"/>
      <c r="C3206" s="51"/>
      <c r="D3206" s="4303"/>
      <c r="E3206" s="4295"/>
      <c r="F3206" s="4347" t="str">
        <f>$E$1776</f>
        <v>ASHP-SEER18-Replace_CAC_NonElectricHeat_ER2_MF</v>
      </c>
      <c r="G3206" s="4347"/>
      <c r="H3206" s="4347"/>
      <c r="I3206" s="4347"/>
      <c r="J3206" s="3471" t="str">
        <f>$C$1776</f>
        <v>354310_2024_12_</v>
      </c>
      <c r="K3206" s="2283">
        <v>13.4</v>
      </c>
      <c r="L3206" s="3492"/>
      <c r="M3206" s="2425" t="s">
        <v>1941</v>
      </c>
      <c r="S3206" s="52"/>
      <c r="T3206" s="52"/>
      <c r="U3206" s="52"/>
      <c r="V3206" s="4295"/>
      <c r="W3206" s="1396"/>
      <c r="X3206" s="1396"/>
      <c r="Y3206" s="3265"/>
      <c r="Z3206" s="3262"/>
      <c r="AA3206" s="3262"/>
      <c r="AB3206" s="3286"/>
      <c r="AC3206" s="3285">
        <v>13</v>
      </c>
      <c r="AD3206" s="3484">
        <v>13</v>
      </c>
      <c r="AE3206" s="3493">
        <v>14</v>
      </c>
      <c r="AF3206" s="2236">
        <f t="shared" si="335"/>
        <v>13.4</v>
      </c>
      <c r="AG3206" s="1396"/>
      <c r="DG3206" s="573"/>
      <c r="DH3206" s="159"/>
      <c r="DI3206" s="1091"/>
      <c r="DJ3206" s="1187"/>
    </row>
    <row r="3207" spans="1:114" ht="15" hidden="1" customHeight="1" outlineLevel="1">
      <c r="A3207" s="453"/>
      <c r="C3207" s="51"/>
      <c r="D3207" s="4303"/>
      <c r="E3207" s="4295"/>
      <c r="F3207" s="4347" t="str">
        <f>$E$1778</f>
        <v>ASHP-SEER18-Replace_CAC_NonElectricHeat_ER1_MF_CompE</v>
      </c>
      <c r="G3207" s="4347"/>
      <c r="H3207" s="4347"/>
      <c r="I3207" s="4347"/>
      <c r="J3207" s="3471" t="str">
        <f>$C$1778</f>
        <v>354311_2024_12_</v>
      </c>
      <c r="K3207" s="3337">
        <v>8.33</v>
      </c>
      <c r="L3207" s="3479"/>
      <c r="M3207" s="2425" t="s">
        <v>1945</v>
      </c>
      <c r="S3207" s="52"/>
      <c r="T3207" s="52"/>
      <c r="U3207" s="52"/>
      <c r="V3207" s="4295"/>
      <c r="W3207" s="1396"/>
      <c r="X3207" s="1396"/>
      <c r="Y3207" s="3265"/>
      <c r="Z3207" s="3262"/>
      <c r="AA3207" s="3262"/>
      <c r="AB3207" s="3286"/>
      <c r="AC3207" s="3285">
        <v>8.33</v>
      </c>
      <c r="AD3207" s="3484">
        <v>8.33</v>
      </c>
      <c r="AE3207" s="3484">
        <v>8.33</v>
      </c>
      <c r="AF3207" s="2236">
        <f t="shared" si="335"/>
        <v>8.33</v>
      </c>
      <c r="AG3207" s="1396"/>
      <c r="DG3207" s="573"/>
      <c r="DH3207" s="159"/>
      <c r="DI3207" s="1091"/>
      <c r="DJ3207" s="1187"/>
    </row>
    <row r="3208" spans="1:114" ht="15" hidden="1" customHeight="1" outlineLevel="1">
      <c r="A3208" s="453"/>
      <c r="C3208" s="51"/>
      <c r="D3208" s="4303"/>
      <c r="E3208" s="4295"/>
      <c r="F3208" s="4347" t="str">
        <f>$E$1780</f>
        <v>ASHP-SEER18-Replace_CAC_NonElectricHeat_ER2_MF_CompE</v>
      </c>
      <c r="G3208" s="4347"/>
      <c r="H3208" s="4347"/>
      <c r="I3208" s="4347"/>
      <c r="J3208" s="3471" t="str">
        <f>$C$1780</f>
        <v>354311_2024_12_</v>
      </c>
      <c r="K3208" s="2283">
        <v>13.4</v>
      </c>
      <c r="L3208" s="3492"/>
      <c r="M3208" s="2425" t="s">
        <v>1941</v>
      </c>
      <c r="S3208" s="52"/>
      <c r="T3208" s="52"/>
      <c r="U3208" s="52"/>
      <c r="V3208" s="4295"/>
      <c r="W3208" s="1396"/>
      <c r="X3208" s="1396"/>
      <c r="Y3208" s="3265"/>
      <c r="Z3208" s="3262"/>
      <c r="AA3208" s="3262"/>
      <c r="AB3208" s="3286"/>
      <c r="AC3208" s="3285">
        <v>13</v>
      </c>
      <c r="AD3208" s="3484">
        <v>13</v>
      </c>
      <c r="AE3208" s="3493">
        <v>14</v>
      </c>
      <c r="AF3208" s="2236">
        <f t="shared" si="335"/>
        <v>13.4</v>
      </c>
      <c r="AG3208" s="1396"/>
      <c r="DG3208" s="573"/>
      <c r="DH3208" s="159"/>
      <c r="DI3208" s="1091"/>
      <c r="DJ3208" s="1187"/>
    </row>
    <row r="3209" spans="1:114" ht="15" hidden="1" customHeight="1" outlineLevel="1">
      <c r="A3209" s="453"/>
      <c r="C3209" s="51"/>
      <c r="D3209" s="4303"/>
      <c r="E3209" s="4295"/>
      <c r="F3209" s="4307" t="str">
        <f>$E$1782</f>
        <v>ASHP-SEER18_ER1_MF</v>
      </c>
      <c r="G3209" s="4307"/>
      <c r="H3209" s="4307"/>
      <c r="I3209" s="4307"/>
      <c r="J3209" s="1029" t="str">
        <f>$C$1782</f>
        <v>354350_2024_12_</v>
      </c>
      <c r="K3209" s="916">
        <v>6.6622274415102947</v>
      </c>
      <c r="L3209" s="262"/>
      <c r="M3209" s="1740" t="s">
        <v>1937</v>
      </c>
      <c r="S3209" s="52"/>
      <c r="T3209" s="52"/>
      <c r="U3209" s="52"/>
      <c r="V3209" s="4295"/>
      <c r="W3209" s="1396">
        <v>7.2</v>
      </c>
      <c r="X3209" s="833">
        <v>8.33</v>
      </c>
      <c r="Y3209" s="1396">
        <v>8.33</v>
      </c>
      <c r="Z3209" s="1396">
        <v>8.33</v>
      </c>
      <c r="AA3209" s="1396">
        <v>8.33</v>
      </c>
      <c r="AB3209" s="211">
        <v>8.33</v>
      </c>
      <c r="AC3209" s="212">
        <v>8.402496453661275</v>
      </c>
      <c r="AD3209" s="969">
        <v>6.6622274415102947</v>
      </c>
      <c r="AE3209" s="970">
        <v>6.6622274415102947</v>
      </c>
      <c r="AF3209" s="271">
        <f t="shared" si="335"/>
        <v>6.6622274415102947</v>
      </c>
      <c r="AG3209" s="1396"/>
      <c r="DG3209" s="573"/>
      <c r="DH3209" s="159"/>
      <c r="DI3209" s="1091"/>
      <c r="DJ3209" s="1187"/>
    </row>
    <row r="3210" spans="1:114" ht="15" hidden="1" customHeight="1" outlineLevel="1">
      <c r="A3210" s="453"/>
      <c r="C3210" s="51"/>
      <c r="D3210" s="4303"/>
      <c r="E3210" s="4295"/>
      <c r="F3210" s="4307" t="str">
        <f>$E$1784</f>
        <v>ASHP-SEER18_ER2_MF</v>
      </c>
      <c r="G3210" s="4307"/>
      <c r="H3210" s="4307"/>
      <c r="I3210" s="4307"/>
      <c r="J3210" s="1029" t="str">
        <f>$C$1784</f>
        <v>354350_2024_12_</v>
      </c>
      <c r="K3210" s="1795">
        <v>14.3</v>
      </c>
      <c r="L3210" s="13"/>
      <c r="M3210" s="1378" t="s">
        <v>1941</v>
      </c>
      <c r="S3210" s="52"/>
      <c r="T3210" s="52"/>
      <c r="U3210" s="52"/>
      <c r="V3210" s="4295"/>
      <c r="W3210" s="1396">
        <v>14</v>
      </c>
      <c r="X3210" s="1396">
        <v>14</v>
      </c>
      <c r="Y3210" s="1396">
        <v>14</v>
      </c>
      <c r="Z3210" s="1396">
        <v>14</v>
      </c>
      <c r="AA3210" s="1396">
        <v>14</v>
      </c>
      <c r="AB3210" s="211">
        <v>14</v>
      </c>
      <c r="AC3210" s="211">
        <v>14</v>
      </c>
      <c r="AD3210" s="970">
        <v>14</v>
      </c>
      <c r="AE3210" s="1101">
        <v>15</v>
      </c>
      <c r="AF3210" s="271">
        <f t="shared" si="335"/>
        <v>14.3</v>
      </c>
      <c r="AG3210" s="1396"/>
      <c r="DG3210" s="573"/>
      <c r="DH3210" s="159"/>
      <c r="DI3210" s="1091"/>
      <c r="DJ3210" s="1187"/>
    </row>
    <row r="3211" spans="1:114" ht="15" hidden="1" customHeight="1" outlineLevel="1">
      <c r="A3211" s="453"/>
      <c r="C3211" s="51"/>
      <c r="D3211" s="4303"/>
      <c r="E3211" s="4295"/>
      <c r="F3211" s="4347" t="str">
        <f>$E$1786</f>
        <v>ASHP-SEER18_ER1_MF_CompE</v>
      </c>
      <c r="G3211" s="4347"/>
      <c r="H3211" s="4347"/>
      <c r="I3211" s="4347"/>
      <c r="J3211" s="3471" t="str">
        <f>$C$1786</f>
        <v>354351_2024_12_</v>
      </c>
      <c r="K3211" s="3337">
        <v>6.6622274415102947</v>
      </c>
      <c r="L3211" s="3479"/>
      <c r="M3211" s="3293" t="s">
        <v>1937</v>
      </c>
      <c r="S3211" s="52"/>
      <c r="T3211" s="52"/>
      <c r="U3211" s="52"/>
      <c r="V3211" s="4295"/>
      <c r="W3211" s="1396"/>
      <c r="X3211" s="1396"/>
      <c r="Y3211" s="3265">
        <v>8.33</v>
      </c>
      <c r="Z3211" s="3262">
        <v>8.33</v>
      </c>
      <c r="AA3211" s="3262">
        <v>8.33</v>
      </c>
      <c r="AB3211" s="3286">
        <v>8.33</v>
      </c>
      <c r="AC3211" s="3286">
        <v>8.33</v>
      </c>
      <c r="AD3211" s="3482">
        <v>6.6622274415102947</v>
      </c>
      <c r="AE3211" s="3484">
        <v>6.6622274415102947</v>
      </c>
      <c r="AF3211" s="2236">
        <f t="shared" si="335"/>
        <v>6.6622274415102947</v>
      </c>
      <c r="AG3211" s="1396"/>
      <c r="DG3211" s="573"/>
      <c r="DH3211" s="159"/>
      <c r="DI3211" s="1091"/>
      <c r="DJ3211" s="1187"/>
    </row>
    <row r="3212" spans="1:114" ht="15" hidden="1" customHeight="1" outlineLevel="1">
      <c r="A3212" s="453"/>
      <c r="C3212" s="51"/>
      <c r="D3212" s="4303"/>
      <c r="E3212" s="4295"/>
      <c r="F3212" s="4347" t="str">
        <f>$E$1788</f>
        <v>ASHP-SEER18_ER2_MF_CompE</v>
      </c>
      <c r="G3212" s="4347"/>
      <c r="H3212" s="4347"/>
      <c r="I3212" s="4347"/>
      <c r="J3212" s="3471" t="str">
        <f>$C$1788</f>
        <v>354351_2024_12_</v>
      </c>
      <c r="K3212" s="2283">
        <v>14.3</v>
      </c>
      <c r="L3212" s="3492"/>
      <c r="M3212" s="2425" t="s">
        <v>1941</v>
      </c>
      <c r="S3212" s="52"/>
      <c r="T3212" s="52"/>
      <c r="U3212" s="52"/>
      <c r="V3212" s="4295"/>
      <c r="W3212" s="1396"/>
      <c r="X3212" s="1396"/>
      <c r="Y3212" s="3265">
        <v>14</v>
      </c>
      <c r="Z3212" s="3262">
        <v>14</v>
      </c>
      <c r="AA3212" s="3262">
        <v>14</v>
      </c>
      <c r="AB3212" s="3286">
        <v>14</v>
      </c>
      <c r="AC3212" s="3286">
        <v>14</v>
      </c>
      <c r="AD3212" s="3484">
        <v>14</v>
      </c>
      <c r="AE3212" s="3493">
        <v>15</v>
      </c>
      <c r="AF3212" s="2236">
        <f t="shared" si="335"/>
        <v>14.3</v>
      </c>
      <c r="AG3212" s="1396"/>
      <c r="DG3212" s="573"/>
      <c r="DH3212" s="159"/>
      <c r="DI3212" s="1091"/>
      <c r="DJ3212" s="1187"/>
    </row>
    <row r="3213" spans="1:114" ht="15" hidden="1" customHeight="1" outlineLevel="1">
      <c r="A3213" s="453"/>
      <c r="C3213" s="51"/>
      <c r="D3213" s="4303"/>
      <c r="E3213" s="4295"/>
      <c r="F3213" s="4307" t="str">
        <f>$E$1790</f>
        <v>ASHP-SEER19-Replace_CAC_ElectricHeat_ER1_SF</v>
      </c>
      <c r="G3213" s="4307"/>
      <c r="H3213" s="4307"/>
      <c r="I3213" s="4307"/>
      <c r="J3213" s="1029" t="str">
        <f>$C$1790</f>
        <v>354400_2024_12_</v>
      </c>
      <c r="K3213" s="1757">
        <v>8.290923757513843</v>
      </c>
      <c r="L3213" s="262"/>
      <c r="M3213" s="1609" t="s">
        <v>1950</v>
      </c>
      <c r="S3213" s="52"/>
      <c r="T3213" s="52"/>
      <c r="U3213" s="52"/>
      <c r="V3213" s="4295"/>
      <c r="W3213" s="1396">
        <v>6.8</v>
      </c>
      <c r="X3213" s="833">
        <v>8.33</v>
      </c>
      <c r="Y3213" s="1396">
        <v>8.33</v>
      </c>
      <c r="Z3213" s="1396">
        <v>8.33</v>
      </c>
      <c r="AA3213" s="1396">
        <v>8.33</v>
      </c>
      <c r="AB3213" s="211">
        <v>8.33</v>
      </c>
      <c r="AC3213" s="212">
        <v>8.5327178544626143</v>
      </c>
      <c r="AD3213" s="969">
        <v>7.7408755535350018</v>
      </c>
      <c r="AE3213" s="969">
        <v>8.1217030042955347</v>
      </c>
      <c r="AF3213" s="271">
        <f t="shared" si="335"/>
        <v>8.290923757513843</v>
      </c>
      <c r="AG3213" s="1396"/>
      <c r="DG3213" s="573"/>
      <c r="DH3213" s="159"/>
      <c r="DI3213" s="1091"/>
      <c r="DJ3213" s="1187"/>
    </row>
    <row r="3214" spans="1:114" ht="15" hidden="1" customHeight="1" outlineLevel="1">
      <c r="A3214" s="453"/>
      <c r="C3214" s="51"/>
      <c r="D3214" s="4303"/>
      <c r="E3214" s="4295"/>
      <c r="F3214" s="4307" t="str">
        <f>$E$1792</f>
        <v>ASHP-SEER19-Replace_CAC_ElectricHeat_ER2_SF</v>
      </c>
      <c r="G3214" s="4307"/>
      <c r="H3214" s="4307"/>
      <c r="I3214" s="4307"/>
      <c r="J3214" s="1029" t="str">
        <f>$C$1792</f>
        <v>354400_2024_12_</v>
      </c>
      <c r="K3214" s="1795">
        <v>13.4</v>
      </c>
      <c r="L3214" s="13"/>
      <c r="M3214" s="1378" t="s">
        <v>1941</v>
      </c>
      <c r="S3214" s="52"/>
      <c r="T3214" s="52"/>
      <c r="U3214" s="52"/>
      <c r="V3214" s="4295"/>
      <c r="W3214" s="1396">
        <v>13</v>
      </c>
      <c r="X3214" s="1396">
        <v>13</v>
      </c>
      <c r="Y3214" s="1396">
        <v>13</v>
      </c>
      <c r="Z3214" s="1396">
        <v>13</v>
      </c>
      <c r="AA3214" s="1396">
        <v>13</v>
      </c>
      <c r="AB3214" s="211">
        <v>13</v>
      </c>
      <c r="AC3214" s="211">
        <v>13</v>
      </c>
      <c r="AD3214" s="970">
        <v>13</v>
      </c>
      <c r="AE3214" s="1101">
        <v>14</v>
      </c>
      <c r="AF3214" s="271">
        <f t="shared" si="335"/>
        <v>13.4</v>
      </c>
      <c r="AG3214" s="1396"/>
      <c r="DG3214" s="573"/>
      <c r="DH3214" s="159"/>
      <c r="DI3214" s="1091"/>
      <c r="DJ3214" s="1187"/>
    </row>
    <row r="3215" spans="1:114" ht="15" hidden="1" customHeight="1" outlineLevel="1">
      <c r="A3215" s="453"/>
      <c r="C3215" s="51"/>
      <c r="D3215" s="4303"/>
      <c r="E3215" s="4295"/>
      <c r="F3215" s="4307" t="str">
        <f>$E$1794</f>
        <v>ASHP-SEER19-Replace_CAC_NonElectricHeat_ER1_SF</v>
      </c>
      <c r="G3215" s="4307"/>
      <c r="H3215" s="4307"/>
      <c r="I3215" s="4307"/>
      <c r="J3215" s="1029" t="str">
        <f>$C$1794</f>
        <v>354410_2024_12_</v>
      </c>
      <c r="K3215" s="1757">
        <v>8.290923757513843</v>
      </c>
      <c r="L3215" s="262"/>
      <c r="M3215" s="1609" t="s">
        <v>1950</v>
      </c>
      <c r="S3215" s="52"/>
      <c r="T3215" s="52"/>
      <c r="U3215" s="52"/>
      <c r="V3215" s="4295"/>
      <c r="W3215" s="1396"/>
      <c r="X3215" s="1396"/>
      <c r="Y3215" s="1396"/>
      <c r="Z3215" s="1396"/>
      <c r="AA3215" s="1396"/>
      <c r="AB3215" s="211"/>
      <c r="AC3215" s="212">
        <v>8.5327178544626143</v>
      </c>
      <c r="AD3215" s="970">
        <v>8.5327178544626143</v>
      </c>
      <c r="AE3215" s="969">
        <v>8.1217030042955347</v>
      </c>
      <c r="AF3215" s="271">
        <f t="shared" si="335"/>
        <v>8.290923757513843</v>
      </c>
      <c r="AG3215" s="1396"/>
      <c r="DG3215" s="573"/>
      <c r="DH3215" s="159"/>
      <c r="DI3215" s="1091"/>
      <c r="DJ3215" s="1187"/>
    </row>
    <row r="3216" spans="1:114" ht="15" hidden="1" customHeight="1" outlineLevel="1">
      <c r="A3216" s="453"/>
      <c r="C3216" s="51"/>
      <c r="D3216" s="4303"/>
      <c r="E3216" s="4295"/>
      <c r="F3216" s="4307" t="str">
        <f>$E$1796</f>
        <v>ASHP-SEER19-Replace_CAC_NonElectricHeat_ER2_SF</v>
      </c>
      <c r="G3216" s="4307"/>
      <c r="H3216" s="4307"/>
      <c r="I3216" s="4307"/>
      <c r="J3216" s="1029" t="str">
        <f>$C$1796</f>
        <v>354410_2024_12_</v>
      </c>
      <c r="K3216" s="1795">
        <v>13.4</v>
      </c>
      <c r="L3216" s="13"/>
      <c r="M3216" s="1378" t="s">
        <v>1941</v>
      </c>
      <c r="S3216" s="52"/>
      <c r="T3216" s="52"/>
      <c r="U3216" s="52"/>
      <c r="V3216" s="4295"/>
      <c r="W3216" s="1396"/>
      <c r="X3216" s="1396"/>
      <c r="Y3216" s="1396"/>
      <c r="Z3216" s="1396"/>
      <c r="AA3216" s="1396"/>
      <c r="AB3216" s="211"/>
      <c r="AC3216" s="212">
        <v>13</v>
      </c>
      <c r="AD3216" s="970">
        <v>13</v>
      </c>
      <c r="AE3216" s="1101">
        <v>14</v>
      </c>
      <c r="AF3216" s="271">
        <f t="shared" si="335"/>
        <v>13.4</v>
      </c>
      <c r="AG3216" s="1396"/>
      <c r="DG3216" s="573"/>
      <c r="DH3216" s="159"/>
      <c r="DI3216" s="1091"/>
      <c r="DJ3216" s="1187"/>
    </row>
    <row r="3217" spans="1:114" ht="15" hidden="1" customHeight="1" outlineLevel="1">
      <c r="A3217" s="453"/>
      <c r="C3217" s="51"/>
      <c r="D3217" s="4303"/>
      <c r="E3217" s="4295"/>
      <c r="F3217" s="4307" t="str">
        <f>$E$1798</f>
        <v>ASHP-SEER19-Replace_CAC_ElectricHeat_ER1_MF</v>
      </c>
      <c r="G3217" s="4307"/>
      <c r="H3217" s="4307"/>
      <c r="I3217" s="4307"/>
      <c r="J3217" s="1029" t="str">
        <f>$C$1798</f>
        <v>354450_2024_12_</v>
      </c>
      <c r="K3217" s="916">
        <v>8.33</v>
      </c>
      <c r="L3217" s="262"/>
      <c r="M3217" s="1378" t="s">
        <v>2505</v>
      </c>
      <c r="S3217" s="52"/>
      <c r="T3217" s="52"/>
      <c r="U3217" s="52"/>
      <c r="V3217" s="4295"/>
      <c r="W3217" s="1396">
        <v>6.8</v>
      </c>
      <c r="X3217" s="833">
        <v>8.33</v>
      </c>
      <c r="Y3217" s="1396">
        <v>8.33</v>
      </c>
      <c r="Z3217" s="1396">
        <v>8.33</v>
      </c>
      <c r="AA3217" s="1396">
        <v>8.33</v>
      </c>
      <c r="AB3217" s="211">
        <v>8.33</v>
      </c>
      <c r="AC3217" s="211">
        <v>8.33</v>
      </c>
      <c r="AD3217" s="970">
        <v>8.33</v>
      </c>
      <c r="AE3217" s="970">
        <v>8.33</v>
      </c>
      <c r="AF3217" s="271">
        <f t="shared" si="335"/>
        <v>8.33</v>
      </c>
      <c r="AG3217" s="1396"/>
      <c r="DG3217" s="573"/>
      <c r="DH3217" s="159"/>
      <c r="DI3217" s="1091"/>
      <c r="DJ3217" s="1187"/>
    </row>
    <row r="3218" spans="1:114" ht="15" hidden="1" customHeight="1" outlineLevel="1">
      <c r="A3218" s="453"/>
      <c r="C3218" s="51"/>
      <c r="D3218" s="4303"/>
      <c r="E3218" s="4295"/>
      <c r="F3218" s="4307" t="str">
        <f>$E$1800</f>
        <v>ASHP-SEER19-Replace_CAC_ElectricHeat_ER2_MF</v>
      </c>
      <c r="G3218" s="4307"/>
      <c r="H3218" s="4307"/>
      <c r="I3218" s="4307"/>
      <c r="J3218" s="1029" t="str">
        <f>$C$1800</f>
        <v>354450_2024_12_</v>
      </c>
      <c r="K3218" s="1795">
        <v>13.4</v>
      </c>
      <c r="L3218" s="13"/>
      <c r="M3218" s="1378" t="s">
        <v>1941</v>
      </c>
      <c r="S3218" s="52"/>
      <c r="T3218" s="52"/>
      <c r="U3218" s="52"/>
      <c r="V3218" s="4295"/>
      <c r="W3218" s="1396">
        <v>13</v>
      </c>
      <c r="X3218" s="1396">
        <v>13</v>
      </c>
      <c r="Y3218" s="1396">
        <v>13</v>
      </c>
      <c r="Z3218" s="1396">
        <v>13</v>
      </c>
      <c r="AA3218" s="1396">
        <v>13</v>
      </c>
      <c r="AB3218" s="211">
        <v>13</v>
      </c>
      <c r="AC3218" s="211">
        <v>13</v>
      </c>
      <c r="AD3218" s="970">
        <v>13</v>
      </c>
      <c r="AE3218" s="1101">
        <v>14</v>
      </c>
      <c r="AF3218" s="271">
        <f t="shared" si="335"/>
        <v>13.4</v>
      </c>
      <c r="AG3218" s="1396"/>
      <c r="DG3218" s="573"/>
      <c r="DH3218" s="159"/>
      <c r="DI3218" s="1091"/>
      <c r="DJ3218" s="1187"/>
    </row>
    <row r="3219" spans="1:114" ht="15" hidden="1" customHeight="1" outlineLevel="1">
      <c r="A3219" s="453"/>
      <c r="C3219" s="51"/>
      <c r="D3219" s="4303"/>
      <c r="E3219" s="4295"/>
      <c r="F3219" s="4347" t="str">
        <f>$E$1802</f>
        <v>ASHP-SEER19-Replace_CAC_ElectricHeat_ER1_MF_CompE</v>
      </c>
      <c r="G3219" s="4347"/>
      <c r="H3219" s="4347"/>
      <c r="I3219" s="4347"/>
      <c r="J3219" s="3471" t="str">
        <f>$C$1802</f>
        <v>354451_2024_12_</v>
      </c>
      <c r="K3219" s="3337">
        <v>8.33</v>
      </c>
      <c r="L3219" s="3479"/>
      <c r="M3219" s="2425" t="s">
        <v>2505</v>
      </c>
      <c r="S3219" s="52"/>
      <c r="T3219" s="52"/>
      <c r="U3219" s="52"/>
      <c r="V3219" s="4295"/>
      <c r="W3219" s="1396"/>
      <c r="X3219" s="1396"/>
      <c r="Y3219" s="3265">
        <v>8.33</v>
      </c>
      <c r="Z3219" s="3262">
        <v>8.33</v>
      </c>
      <c r="AA3219" s="3262">
        <v>8.33</v>
      </c>
      <c r="AB3219" s="3286">
        <v>8.33</v>
      </c>
      <c r="AC3219" s="3286">
        <v>8.33</v>
      </c>
      <c r="AD3219" s="3484">
        <v>8.33</v>
      </c>
      <c r="AE3219" s="3484">
        <v>8.33</v>
      </c>
      <c r="AF3219" s="2236">
        <f t="shared" si="335"/>
        <v>8.33</v>
      </c>
      <c r="AG3219" s="1396"/>
      <c r="DG3219" s="573"/>
      <c r="DH3219" s="159"/>
      <c r="DI3219" s="1091"/>
      <c r="DJ3219" s="1187"/>
    </row>
    <row r="3220" spans="1:114" ht="15" hidden="1" customHeight="1" outlineLevel="1">
      <c r="A3220" s="453"/>
      <c r="C3220" s="51"/>
      <c r="D3220" s="4303"/>
      <c r="E3220" s="4295"/>
      <c r="F3220" s="4347" t="str">
        <f>$E$1804</f>
        <v>ASHP-SEER19-Replace_CAC_ElectricHeat_ER2_MF_CompE</v>
      </c>
      <c r="G3220" s="4347"/>
      <c r="H3220" s="4347"/>
      <c r="I3220" s="4347"/>
      <c r="J3220" s="3471" t="str">
        <f>$C$1804</f>
        <v>354451_2024_12_</v>
      </c>
      <c r="K3220" s="2283">
        <v>13.4</v>
      </c>
      <c r="L3220" s="3492"/>
      <c r="M3220" s="2425" t="s">
        <v>1941</v>
      </c>
      <c r="S3220" s="52"/>
      <c r="T3220" s="52"/>
      <c r="U3220" s="52"/>
      <c r="V3220" s="4295"/>
      <c r="W3220" s="1396"/>
      <c r="X3220" s="1396"/>
      <c r="Y3220" s="3265">
        <v>13</v>
      </c>
      <c r="Z3220" s="3262">
        <v>13</v>
      </c>
      <c r="AA3220" s="3262">
        <v>13</v>
      </c>
      <c r="AB3220" s="3286">
        <v>13</v>
      </c>
      <c r="AC3220" s="3286">
        <v>13</v>
      </c>
      <c r="AD3220" s="3484">
        <v>13</v>
      </c>
      <c r="AE3220" s="3493">
        <v>14</v>
      </c>
      <c r="AF3220" s="2236">
        <f t="shared" si="335"/>
        <v>13.4</v>
      </c>
      <c r="AG3220" s="1396"/>
      <c r="DG3220" s="573"/>
      <c r="DH3220" s="159"/>
      <c r="DI3220" s="1091"/>
      <c r="DJ3220" s="1187"/>
    </row>
    <row r="3221" spans="1:114" ht="15" hidden="1" customHeight="1" outlineLevel="1">
      <c r="A3221" s="453"/>
      <c r="C3221" s="51"/>
      <c r="D3221" s="4303"/>
      <c r="E3221" s="4295"/>
      <c r="F3221" s="4347" t="str">
        <f>$E$1806</f>
        <v>ASHP-SEER19-Replace_CAC_NonElectricHeat_ER1_MF</v>
      </c>
      <c r="G3221" s="4347"/>
      <c r="H3221" s="4347"/>
      <c r="I3221" s="4347"/>
      <c r="J3221" s="3471" t="str">
        <f>$C$1806</f>
        <v>354460_2024_12_</v>
      </c>
      <c r="K3221" s="3337">
        <v>8.33</v>
      </c>
      <c r="L3221" s="3479"/>
      <c r="M3221" s="2425" t="s">
        <v>1945</v>
      </c>
      <c r="S3221" s="52"/>
      <c r="T3221" s="52"/>
      <c r="U3221" s="52"/>
      <c r="V3221" s="4295"/>
      <c r="W3221" s="1396"/>
      <c r="X3221" s="1396"/>
      <c r="Y3221" s="3265"/>
      <c r="Z3221" s="3262"/>
      <c r="AA3221" s="3262"/>
      <c r="AB3221" s="3286"/>
      <c r="AC3221" s="3285">
        <v>8.33</v>
      </c>
      <c r="AD3221" s="3484">
        <v>8.33</v>
      </c>
      <c r="AE3221" s="3484">
        <v>8.33</v>
      </c>
      <c r="AF3221" s="2236">
        <f t="shared" si="335"/>
        <v>8.33</v>
      </c>
      <c r="AG3221" s="1396"/>
      <c r="DG3221" s="573"/>
      <c r="DH3221" s="159"/>
      <c r="DI3221" s="1091"/>
      <c r="DJ3221" s="1187"/>
    </row>
    <row r="3222" spans="1:114" ht="15" hidden="1" customHeight="1" outlineLevel="1">
      <c r="A3222" s="453"/>
      <c r="C3222" s="51"/>
      <c r="D3222" s="4303"/>
      <c r="E3222" s="4295"/>
      <c r="F3222" s="4347" t="str">
        <f>$E$1808</f>
        <v>ASHP-SEER19-Replace_CAC_NonElectricHeat_ER2_MF</v>
      </c>
      <c r="G3222" s="4347"/>
      <c r="H3222" s="4347"/>
      <c r="I3222" s="4347"/>
      <c r="J3222" s="3471" t="str">
        <f>$C$1808</f>
        <v>354460_2024_12_</v>
      </c>
      <c r="K3222" s="2283">
        <v>13.4</v>
      </c>
      <c r="L3222" s="3492"/>
      <c r="M3222" s="2425" t="s">
        <v>1941</v>
      </c>
      <c r="S3222" s="52"/>
      <c r="T3222" s="52"/>
      <c r="U3222" s="52"/>
      <c r="V3222" s="4295"/>
      <c r="W3222" s="1396"/>
      <c r="X3222" s="1396"/>
      <c r="Y3222" s="3265"/>
      <c r="Z3222" s="3262"/>
      <c r="AA3222" s="3262"/>
      <c r="AB3222" s="3286"/>
      <c r="AC3222" s="3285">
        <v>13</v>
      </c>
      <c r="AD3222" s="3484">
        <v>13</v>
      </c>
      <c r="AE3222" s="3493">
        <v>14</v>
      </c>
      <c r="AF3222" s="2236">
        <f t="shared" si="335"/>
        <v>13.4</v>
      </c>
      <c r="AG3222" s="1396"/>
      <c r="DG3222" s="573"/>
      <c r="DH3222" s="159"/>
      <c r="DI3222" s="1091"/>
      <c r="DJ3222" s="1187"/>
    </row>
    <row r="3223" spans="1:114" ht="15" hidden="1" customHeight="1" outlineLevel="1">
      <c r="A3223" s="453"/>
      <c r="C3223" s="51"/>
      <c r="D3223" s="4303"/>
      <c r="E3223" s="4295"/>
      <c r="F3223" s="4347" t="str">
        <f>$E$1810</f>
        <v>ASHP-SEER19-Replace_CAC_NonElectricHeat_ER1_MF_CompE</v>
      </c>
      <c r="G3223" s="4347"/>
      <c r="H3223" s="4347"/>
      <c r="I3223" s="4347"/>
      <c r="J3223" s="3471" t="str">
        <f>$C$1810</f>
        <v>354461_2024_12_</v>
      </c>
      <c r="K3223" s="3337">
        <v>8.33</v>
      </c>
      <c r="L3223" s="3479"/>
      <c r="M3223" s="2425" t="s">
        <v>1945</v>
      </c>
      <c r="S3223" s="52"/>
      <c r="T3223" s="52"/>
      <c r="U3223" s="52"/>
      <c r="V3223" s="4295"/>
      <c r="W3223" s="1396"/>
      <c r="X3223" s="1396"/>
      <c r="Y3223" s="3265"/>
      <c r="Z3223" s="3262"/>
      <c r="AA3223" s="3262"/>
      <c r="AB3223" s="3286"/>
      <c r="AC3223" s="3285">
        <v>8.33</v>
      </c>
      <c r="AD3223" s="3484">
        <v>8.33</v>
      </c>
      <c r="AE3223" s="3484">
        <v>8.33</v>
      </c>
      <c r="AF3223" s="2236">
        <f t="shared" si="335"/>
        <v>8.33</v>
      </c>
      <c r="AG3223" s="1396"/>
      <c r="DG3223" s="573"/>
      <c r="DH3223" s="159"/>
      <c r="DI3223" s="1091"/>
      <c r="DJ3223" s="1187"/>
    </row>
    <row r="3224" spans="1:114" ht="15" hidden="1" customHeight="1" outlineLevel="1">
      <c r="A3224" s="453"/>
      <c r="C3224" s="51"/>
      <c r="D3224" s="4303"/>
      <c r="E3224" s="4295"/>
      <c r="F3224" s="4347" t="str">
        <f>$E$1812</f>
        <v>ASHP-SEER19-Replace_CAC_NonElectricHeat_ER2_MF_CompE</v>
      </c>
      <c r="G3224" s="4347"/>
      <c r="H3224" s="4347"/>
      <c r="I3224" s="4347"/>
      <c r="J3224" s="3471" t="str">
        <f>$C$1812</f>
        <v>354461_2024_12_</v>
      </c>
      <c r="K3224" s="2283">
        <v>13.4</v>
      </c>
      <c r="L3224" s="3492"/>
      <c r="M3224" s="2425" t="s">
        <v>1941</v>
      </c>
      <c r="S3224" s="52"/>
      <c r="T3224" s="52"/>
      <c r="U3224" s="52"/>
      <c r="V3224" s="4295"/>
      <c r="W3224" s="1396"/>
      <c r="X3224" s="1396"/>
      <c r="Y3224" s="3265"/>
      <c r="Z3224" s="3262"/>
      <c r="AA3224" s="3262"/>
      <c r="AB3224" s="3286"/>
      <c r="AC3224" s="3285">
        <v>13</v>
      </c>
      <c r="AD3224" s="3484">
        <v>13</v>
      </c>
      <c r="AE3224" s="3493">
        <v>14</v>
      </c>
      <c r="AF3224" s="2236">
        <f t="shared" si="335"/>
        <v>13.4</v>
      </c>
      <c r="AG3224" s="1396"/>
      <c r="DG3224" s="573"/>
      <c r="DH3224" s="159"/>
      <c r="DI3224" s="1091"/>
      <c r="DJ3224" s="1187"/>
    </row>
    <row r="3225" spans="1:114" ht="15" hidden="1" customHeight="1" outlineLevel="1">
      <c r="A3225" s="453"/>
      <c r="C3225" s="51"/>
      <c r="D3225" s="4303"/>
      <c r="E3225" s="4295"/>
      <c r="F3225" s="4307" t="str">
        <f>$E$1814</f>
        <v>ASHP-SEER19_ER1_MF</v>
      </c>
      <c r="G3225" s="4307"/>
      <c r="H3225" s="4307"/>
      <c r="I3225" s="4307"/>
      <c r="J3225" s="1029" t="str">
        <f>$C$1814</f>
        <v>354500_2024_12_</v>
      </c>
      <c r="K3225" s="916">
        <v>8.33</v>
      </c>
      <c r="L3225" s="262"/>
      <c r="M3225" s="1378" t="s">
        <v>2505</v>
      </c>
      <c r="S3225" s="52"/>
      <c r="T3225" s="52"/>
      <c r="U3225" s="52"/>
      <c r="V3225" s="4295"/>
      <c r="W3225" s="1396">
        <v>7.2</v>
      </c>
      <c r="X3225" s="833">
        <v>8.33</v>
      </c>
      <c r="Y3225" s="1396">
        <v>8.33</v>
      </c>
      <c r="Z3225" s="1396">
        <v>8.33</v>
      </c>
      <c r="AA3225" s="1396">
        <v>8.33</v>
      </c>
      <c r="AB3225" s="211">
        <v>8.33</v>
      </c>
      <c r="AC3225" s="211">
        <v>8.33</v>
      </c>
      <c r="AD3225" s="970">
        <v>8.33</v>
      </c>
      <c r="AE3225" s="970">
        <v>8.33</v>
      </c>
      <c r="AF3225" s="271">
        <f t="shared" si="335"/>
        <v>8.33</v>
      </c>
      <c r="AG3225" s="1396"/>
      <c r="DG3225" s="573"/>
      <c r="DH3225" s="159"/>
      <c r="DI3225" s="1091"/>
      <c r="DJ3225" s="1187"/>
    </row>
    <row r="3226" spans="1:114" ht="15" hidden="1" customHeight="1" outlineLevel="1">
      <c r="A3226" s="453"/>
      <c r="C3226" s="51"/>
      <c r="D3226" s="4303"/>
      <c r="E3226" s="4295"/>
      <c r="F3226" s="4307" t="str">
        <f>$E$1816</f>
        <v>ASHP-SEER19_ER2_MF</v>
      </c>
      <c r="G3226" s="4307"/>
      <c r="H3226" s="4307"/>
      <c r="I3226" s="4307"/>
      <c r="J3226" s="1029" t="str">
        <f>$C$1816</f>
        <v>354500_2024_12_</v>
      </c>
      <c r="K3226" s="1795">
        <v>14.3</v>
      </c>
      <c r="L3226" s="13"/>
      <c r="M3226" s="1378" t="s">
        <v>1941</v>
      </c>
      <c r="S3226" s="52"/>
      <c r="T3226" s="52"/>
      <c r="U3226" s="52"/>
      <c r="V3226" s="4295"/>
      <c r="W3226" s="1396">
        <v>14</v>
      </c>
      <c r="X3226" s="1396">
        <v>14</v>
      </c>
      <c r="Y3226" s="1396">
        <v>14</v>
      </c>
      <c r="Z3226" s="1396">
        <v>14</v>
      </c>
      <c r="AA3226" s="1396">
        <v>14</v>
      </c>
      <c r="AB3226" s="211">
        <v>14</v>
      </c>
      <c r="AC3226" s="211">
        <v>14</v>
      </c>
      <c r="AD3226" s="970">
        <v>14</v>
      </c>
      <c r="AE3226" s="1101">
        <v>15</v>
      </c>
      <c r="AF3226" s="271">
        <f t="shared" si="335"/>
        <v>14.3</v>
      </c>
      <c r="AG3226" s="1396"/>
      <c r="DG3226" s="573"/>
      <c r="DH3226" s="159"/>
      <c r="DI3226" s="1091"/>
      <c r="DJ3226" s="1187"/>
    </row>
    <row r="3227" spans="1:114" ht="15" hidden="1" customHeight="1" outlineLevel="1">
      <c r="A3227" s="453"/>
      <c r="C3227" s="51"/>
      <c r="D3227" s="4303"/>
      <c r="E3227" s="4295"/>
      <c r="F3227" s="4347" t="str">
        <f>$E$1818</f>
        <v>ASHP-SEER19_ER1_MF_CompE</v>
      </c>
      <c r="G3227" s="4347"/>
      <c r="H3227" s="4347"/>
      <c r="I3227" s="4347"/>
      <c r="J3227" s="3471" t="str">
        <f>$C$1818</f>
        <v>354501_2024_12_</v>
      </c>
      <c r="K3227" s="3337">
        <v>8.33</v>
      </c>
      <c r="L3227" s="3479"/>
      <c r="M3227" s="2425" t="s">
        <v>2505</v>
      </c>
      <c r="S3227" s="52"/>
      <c r="T3227" s="52"/>
      <c r="U3227" s="52"/>
      <c r="V3227" s="4295"/>
      <c r="W3227" s="1396"/>
      <c r="X3227" s="1396"/>
      <c r="Y3227" s="3265">
        <v>8.33</v>
      </c>
      <c r="Z3227" s="3262">
        <v>8.33</v>
      </c>
      <c r="AA3227" s="3262">
        <v>8.33</v>
      </c>
      <c r="AB3227" s="3286">
        <v>8.33</v>
      </c>
      <c r="AC3227" s="3286">
        <v>8.33</v>
      </c>
      <c r="AD3227" s="3484">
        <v>8.33</v>
      </c>
      <c r="AE3227" s="3484">
        <v>8.33</v>
      </c>
      <c r="AF3227" s="2236">
        <f t="shared" si="335"/>
        <v>8.33</v>
      </c>
      <c r="AG3227" s="1396"/>
      <c r="DG3227" s="573"/>
      <c r="DH3227" s="159"/>
      <c r="DI3227" s="1091"/>
      <c r="DJ3227" s="1187"/>
    </row>
    <row r="3228" spans="1:114" ht="15" hidden="1" customHeight="1" outlineLevel="1">
      <c r="A3228" s="453"/>
      <c r="C3228" s="51"/>
      <c r="D3228" s="4303"/>
      <c r="E3228" s="4295"/>
      <c r="F3228" s="4347" t="str">
        <f>$E$1820</f>
        <v>ASHP-SEER19_ER2_MF_CompE</v>
      </c>
      <c r="G3228" s="4347"/>
      <c r="H3228" s="4347"/>
      <c r="I3228" s="4347"/>
      <c r="J3228" s="3471" t="str">
        <f>$C$1820</f>
        <v>354501_2024_12_</v>
      </c>
      <c r="K3228" s="2283">
        <v>14.3</v>
      </c>
      <c r="L3228" s="3492"/>
      <c r="M3228" s="2425" t="s">
        <v>1941</v>
      </c>
      <c r="S3228" s="52"/>
      <c r="T3228" s="52"/>
      <c r="U3228" s="52"/>
      <c r="V3228" s="4295"/>
      <c r="W3228" s="1396"/>
      <c r="X3228" s="1396"/>
      <c r="Y3228" s="3265">
        <v>14</v>
      </c>
      <c r="Z3228" s="3262">
        <v>14</v>
      </c>
      <c r="AA3228" s="3262">
        <v>14</v>
      </c>
      <c r="AB3228" s="3286">
        <v>14</v>
      </c>
      <c r="AC3228" s="3286">
        <v>14</v>
      </c>
      <c r="AD3228" s="3484">
        <v>14</v>
      </c>
      <c r="AE3228" s="3493">
        <v>15</v>
      </c>
      <c r="AF3228" s="2236">
        <f t="shared" si="335"/>
        <v>14.3</v>
      </c>
      <c r="AG3228" s="1396"/>
      <c r="DG3228" s="573"/>
      <c r="DH3228" s="159"/>
      <c r="DI3228" s="1091"/>
      <c r="DJ3228" s="1187"/>
    </row>
    <row r="3229" spans="1:114" ht="15" hidden="1" customHeight="1" outlineLevel="1">
      <c r="A3229" s="453"/>
      <c r="C3229" s="51"/>
      <c r="D3229" s="4303"/>
      <c r="E3229" s="4295"/>
      <c r="F3229" s="4307" t="str">
        <f>$E$1822</f>
        <v>ASHP-SEER20_ER1_SF</v>
      </c>
      <c r="G3229" s="4307"/>
      <c r="H3229" s="4307"/>
      <c r="I3229" s="4307"/>
      <c r="J3229" s="1029" t="str">
        <f>$C$1822</f>
        <v>354550_2024_12_</v>
      </c>
      <c r="K3229" s="1757">
        <v>8.0952251540374363</v>
      </c>
      <c r="L3229" s="262"/>
      <c r="M3229" s="1609" t="s">
        <v>1950</v>
      </c>
      <c r="S3229" s="52"/>
      <c r="T3229" s="52"/>
      <c r="U3229" s="52"/>
      <c r="V3229" s="4295"/>
      <c r="W3229" s="1396">
        <v>7.2</v>
      </c>
      <c r="X3229" s="833">
        <v>8.33</v>
      </c>
      <c r="Y3229" s="1396">
        <v>8.33</v>
      </c>
      <c r="Z3229" s="1396">
        <v>8.33</v>
      </c>
      <c r="AA3229" s="1396">
        <v>8.33</v>
      </c>
      <c r="AB3229" s="211">
        <v>8.33</v>
      </c>
      <c r="AC3229" s="211">
        <v>8.33</v>
      </c>
      <c r="AD3229" s="969">
        <v>7.6241123100090684</v>
      </c>
      <c r="AE3229" s="969">
        <v>7.876368789413509</v>
      </c>
      <c r="AF3229" s="271">
        <f t="shared" si="335"/>
        <v>8.0952251540374363</v>
      </c>
      <c r="AG3229" s="1396"/>
      <c r="DG3229" s="573"/>
      <c r="DH3229" s="159"/>
      <c r="DI3229" s="1091"/>
      <c r="DJ3229" s="1187"/>
    </row>
    <row r="3230" spans="1:114" ht="15" hidden="1" customHeight="1" outlineLevel="1">
      <c r="A3230" s="453"/>
      <c r="C3230" s="51"/>
      <c r="D3230" s="4303"/>
      <c r="E3230" s="4295"/>
      <c r="F3230" s="4307" t="str">
        <f>$E$1824</f>
        <v>ASHP-SEER20_ER2_SF</v>
      </c>
      <c r="G3230" s="4307"/>
      <c r="H3230" s="4307"/>
      <c r="I3230" s="4307"/>
      <c r="J3230" s="1029" t="str">
        <f>$C$1824</f>
        <v>354550_2024_12_</v>
      </c>
      <c r="K3230" s="1795">
        <v>14.3</v>
      </c>
      <c r="L3230" s="13"/>
      <c r="M3230" s="1378" t="s">
        <v>1941</v>
      </c>
      <c r="S3230" s="52"/>
      <c r="T3230" s="52"/>
      <c r="U3230" s="52"/>
      <c r="V3230" s="4295"/>
      <c r="W3230" s="1396">
        <v>14</v>
      </c>
      <c r="X3230" s="1396">
        <v>14</v>
      </c>
      <c r="Y3230" s="1396">
        <v>14</v>
      </c>
      <c r="Z3230" s="1396">
        <v>14</v>
      </c>
      <c r="AA3230" s="1396">
        <v>14</v>
      </c>
      <c r="AB3230" s="211">
        <v>14</v>
      </c>
      <c r="AC3230" s="211">
        <v>14</v>
      </c>
      <c r="AD3230" s="970">
        <v>14</v>
      </c>
      <c r="AE3230" s="1101">
        <v>15</v>
      </c>
      <c r="AF3230" s="271">
        <f t="shared" si="335"/>
        <v>14.3</v>
      </c>
      <c r="AG3230" s="1396"/>
      <c r="DG3230" s="573"/>
      <c r="DH3230" s="159"/>
      <c r="DI3230" s="1091"/>
      <c r="DJ3230" s="1187"/>
    </row>
    <row r="3231" spans="1:114" ht="15" hidden="1" customHeight="1" outlineLevel="1">
      <c r="A3231" s="453"/>
      <c r="C3231" s="51"/>
      <c r="D3231" s="4303"/>
      <c r="E3231" s="4295"/>
      <c r="F3231" s="4307" t="str">
        <f>$E$1826</f>
        <v>ASHP-SEER20_ROF_SF</v>
      </c>
      <c r="G3231" s="4307"/>
      <c r="H3231" s="4307"/>
      <c r="I3231" s="4307"/>
      <c r="J3231" s="1029" t="str">
        <f>$C$1826</f>
        <v>354600_2024_12_</v>
      </c>
      <c r="K3231" s="1795">
        <v>14.3</v>
      </c>
      <c r="L3231" s="13"/>
      <c r="M3231" s="1378" t="s">
        <v>1941</v>
      </c>
      <c r="S3231" s="52"/>
      <c r="T3231" s="52"/>
      <c r="U3231" s="52"/>
      <c r="V3231" s="4295"/>
      <c r="W3231" s="1396">
        <v>14</v>
      </c>
      <c r="X3231" s="1396">
        <v>14</v>
      </c>
      <c r="Y3231" s="1396">
        <v>14</v>
      </c>
      <c r="Z3231" s="1396">
        <v>14</v>
      </c>
      <c r="AA3231" s="1396">
        <v>14</v>
      </c>
      <c r="AB3231" s="211">
        <v>14</v>
      </c>
      <c r="AC3231" s="211">
        <v>14</v>
      </c>
      <c r="AD3231" s="970">
        <v>14</v>
      </c>
      <c r="AE3231" s="1101">
        <v>15</v>
      </c>
      <c r="AF3231" s="271">
        <f t="shared" si="335"/>
        <v>14.3</v>
      </c>
      <c r="AG3231" s="1396"/>
      <c r="DG3231" s="573"/>
      <c r="DH3231" s="159"/>
      <c r="DI3231" s="1091"/>
      <c r="DJ3231" s="1187"/>
    </row>
    <row r="3232" spans="1:114" ht="15" hidden="1" customHeight="1" outlineLevel="1">
      <c r="A3232" s="453"/>
      <c r="C3232" s="51"/>
      <c r="D3232" s="4303"/>
      <c r="E3232" s="4295"/>
      <c r="F3232" s="4307" t="str">
        <f>$E$1828</f>
        <v>ASHP-SEER20-Replace_CAC_ElectricHeat_ER1_MF</v>
      </c>
      <c r="G3232" s="4307"/>
      <c r="H3232" s="4307"/>
      <c r="I3232" s="4307"/>
      <c r="J3232" s="1029" t="str">
        <f>$C$1828</f>
        <v>354650_2024_12_</v>
      </c>
      <c r="K3232" s="916">
        <v>8.33</v>
      </c>
      <c r="L3232" s="262"/>
      <c r="M3232" s="1378" t="s">
        <v>2505</v>
      </c>
      <c r="S3232" s="52"/>
      <c r="T3232" s="52"/>
      <c r="U3232" s="52"/>
      <c r="V3232" s="4295"/>
      <c r="W3232" s="1396">
        <v>6.8</v>
      </c>
      <c r="X3232" s="833">
        <v>8.33</v>
      </c>
      <c r="Y3232" s="1396">
        <v>8.33</v>
      </c>
      <c r="Z3232" s="1396">
        <v>8.33</v>
      </c>
      <c r="AA3232" s="1396">
        <v>8.33</v>
      </c>
      <c r="AB3232" s="211">
        <v>8.33</v>
      </c>
      <c r="AC3232" s="211">
        <v>8.33</v>
      </c>
      <c r="AD3232" s="970">
        <v>8.33</v>
      </c>
      <c r="AE3232" s="970">
        <v>8.33</v>
      </c>
      <c r="AF3232" s="271">
        <f t="shared" si="335"/>
        <v>8.33</v>
      </c>
      <c r="AG3232" s="1396"/>
      <c r="DG3232" s="573"/>
      <c r="DH3232" s="159"/>
      <c r="DI3232" s="1091"/>
      <c r="DJ3232" s="1187"/>
    </row>
    <row r="3233" spans="1:114" ht="15" hidden="1" customHeight="1" outlineLevel="1">
      <c r="A3233" s="453"/>
      <c r="C3233" s="51"/>
      <c r="D3233" s="4303"/>
      <c r="E3233" s="4295"/>
      <c r="F3233" s="4307" t="str">
        <f>$E$1830</f>
        <v>ASHP-SEER20-Replace_CAC_ElectricHeat_ER2_MF</v>
      </c>
      <c r="G3233" s="4307"/>
      <c r="H3233" s="4307"/>
      <c r="I3233" s="4307"/>
      <c r="J3233" s="1029" t="str">
        <f>$C$1830</f>
        <v>354650_2024_12_</v>
      </c>
      <c r="K3233" s="1795">
        <v>13.4</v>
      </c>
      <c r="L3233" s="13"/>
      <c r="M3233" s="1378" t="s">
        <v>1941</v>
      </c>
      <c r="S3233" s="52"/>
      <c r="T3233" s="52"/>
      <c r="U3233" s="52"/>
      <c r="V3233" s="4295"/>
      <c r="W3233" s="1396">
        <v>13</v>
      </c>
      <c r="X3233" s="1396">
        <v>13</v>
      </c>
      <c r="Y3233" s="1396">
        <v>13</v>
      </c>
      <c r="Z3233" s="1396">
        <v>13</v>
      </c>
      <c r="AA3233" s="1396">
        <v>13</v>
      </c>
      <c r="AB3233" s="211">
        <v>13</v>
      </c>
      <c r="AC3233" s="211">
        <v>13</v>
      </c>
      <c r="AD3233" s="970">
        <v>13</v>
      </c>
      <c r="AE3233" s="1101">
        <v>14</v>
      </c>
      <c r="AF3233" s="271">
        <f t="shared" si="335"/>
        <v>13.4</v>
      </c>
      <c r="AG3233" s="1396"/>
      <c r="DG3233" s="573"/>
      <c r="DH3233" s="159"/>
      <c r="DI3233" s="1091"/>
      <c r="DJ3233" s="1187"/>
    </row>
    <row r="3234" spans="1:114" ht="15" hidden="1" customHeight="1" outlineLevel="1">
      <c r="A3234" s="453"/>
      <c r="C3234" s="51"/>
      <c r="D3234" s="4303"/>
      <c r="E3234" s="4295"/>
      <c r="F3234" s="4347" t="str">
        <f>$E$1832</f>
        <v>ASHP-SEER20-Replace_CAC_ElectricHeat_ER1_MF_CompE</v>
      </c>
      <c r="G3234" s="4347"/>
      <c r="H3234" s="4347"/>
      <c r="I3234" s="4347"/>
      <c r="J3234" s="3471" t="str">
        <f>$C$1832</f>
        <v>354651_2024_12_</v>
      </c>
      <c r="K3234" s="3337">
        <v>8.33</v>
      </c>
      <c r="L3234" s="3479"/>
      <c r="M3234" s="2425" t="s">
        <v>2505</v>
      </c>
      <c r="S3234" s="52"/>
      <c r="T3234" s="52"/>
      <c r="U3234" s="52"/>
      <c r="V3234" s="4295"/>
      <c r="W3234" s="1396"/>
      <c r="X3234" s="1396"/>
      <c r="Y3234" s="3265">
        <v>8.33</v>
      </c>
      <c r="Z3234" s="3262">
        <v>8.33</v>
      </c>
      <c r="AA3234" s="3262">
        <v>8.33</v>
      </c>
      <c r="AB3234" s="3286">
        <v>8.33</v>
      </c>
      <c r="AC3234" s="3286">
        <v>8.33</v>
      </c>
      <c r="AD3234" s="3484">
        <v>8.33</v>
      </c>
      <c r="AE3234" s="3484">
        <v>8.33</v>
      </c>
      <c r="AF3234" s="2236">
        <f t="shared" si="335"/>
        <v>8.33</v>
      </c>
      <c r="AG3234" s="1396"/>
      <c r="DG3234" s="573"/>
      <c r="DH3234" s="159"/>
      <c r="DI3234" s="1091"/>
      <c r="DJ3234" s="1187"/>
    </row>
    <row r="3235" spans="1:114" ht="15" hidden="1" customHeight="1" outlineLevel="1">
      <c r="A3235" s="453"/>
      <c r="C3235" s="51"/>
      <c r="D3235" s="4303"/>
      <c r="E3235" s="4295"/>
      <c r="F3235" s="4347" t="str">
        <f>$E$1834</f>
        <v>ASHP-SEER20-Replace_CAC_ElectricHeat_ER2_MF_CompE</v>
      </c>
      <c r="G3235" s="4347"/>
      <c r="H3235" s="4347"/>
      <c r="I3235" s="4347"/>
      <c r="J3235" s="3471" t="str">
        <f>$C$1834</f>
        <v>354651_2024_12_</v>
      </c>
      <c r="K3235" s="2283">
        <v>13.4</v>
      </c>
      <c r="L3235" s="3492"/>
      <c r="M3235" s="2425" t="s">
        <v>1941</v>
      </c>
      <c r="S3235" s="52"/>
      <c r="T3235" s="52"/>
      <c r="U3235" s="52"/>
      <c r="V3235" s="4295"/>
      <c r="W3235" s="1396"/>
      <c r="X3235" s="1396"/>
      <c r="Y3235" s="3265">
        <v>13</v>
      </c>
      <c r="Z3235" s="3262">
        <v>13</v>
      </c>
      <c r="AA3235" s="3262">
        <v>13</v>
      </c>
      <c r="AB3235" s="3286">
        <v>13</v>
      </c>
      <c r="AC3235" s="3286">
        <v>13</v>
      </c>
      <c r="AD3235" s="3484">
        <v>13</v>
      </c>
      <c r="AE3235" s="3493">
        <v>14</v>
      </c>
      <c r="AF3235" s="2236">
        <f t="shared" si="335"/>
        <v>13.4</v>
      </c>
      <c r="AG3235" s="1396"/>
      <c r="DG3235" s="573"/>
      <c r="DH3235" s="159"/>
      <c r="DI3235" s="1091"/>
      <c r="DJ3235" s="1187"/>
    </row>
    <row r="3236" spans="1:114" ht="15" hidden="1" customHeight="1" outlineLevel="1">
      <c r="A3236" s="453"/>
      <c r="C3236" s="51"/>
      <c r="D3236" s="4303"/>
      <c r="E3236" s="4295"/>
      <c r="F3236" s="4347" t="str">
        <f>$E$1836</f>
        <v>ASHP-SEER20-Replace_CAC_NonElectricHeat_ER1_MF</v>
      </c>
      <c r="G3236" s="4347"/>
      <c r="H3236" s="4347"/>
      <c r="I3236" s="4347"/>
      <c r="J3236" s="3471" t="str">
        <f>$C$1836</f>
        <v>354660_2024_12_</v>
      </c>
      <c r="K3236" s="3337">
        <v>8.33</v>
      </c>
      <c r="L3236" s="3479"/>
      <c r="M3236" s="2425" t="s">
        <v>1945</v>
      </c>
      <c r="S3236" s="52"/>
      <c r="T3236" s="52"/>
      <c r="U3236" s="52"/>
      <c r="V3236" s="4295"/>
      <c r="W3236" s="1396"/>
      <c r="X3236" s="1396"/>
      <c r="Y3236" s="3265"/>
      <c r="Z3236" s="3262"/>
      <c r="AA3236" s="3262"/>
      <c r="AB3236" s="3286"/>
      <c r="AC3236" s="3285">
        <v>8.33</v>
      </c>
      <c r="AD3236" s="3484">
        <v>8.33</v>
      </c>
      <c r="AE3236" s="3484">
        <v>8.33</v>
      </c>
      <c r="AF3236" s="2236">
        <f t="shared" si="335"/>
        <v>8.33</v>
      </c>
      <c r="AG3236" s="1396"/>
      <c r="DG3236" s="573"/>
      <c r="DH3236" s="159"/>
      <c r="DI3236" s="1091"/>
      <c r="DJ3236" s="1187"/>
    </row>
    <row r="3237" spans="1:114" ht="15" hidden="1" customHeight="1" outlineLevel="1">
      <c r="A3237" s="453"/>
      <c r="C3237" s="51"/>
      <c r="D3237" s="4303"/>
      <c r="E3237" s="4295"/>
      <c r="F3237" s="4347" t="str">
        <f>$E$1838</f>
        <v>ASHP-SEER20-Replace_CAC_NonElectricHeat_ER2_MF</v>
      </c>
      <c r="G3237" s="4347"/>
      <c r="H3237" s="4347"/>
      <c r="I3237" s="4347"/>
      <c r="J3237" s="3471" t="str">
        <f>$C$1838</f>
        <v>354660_2024_12_</v>
      </c>
      <c r="K3237" s="2283">
        <v>13.4</v>
      </c>
      <c r="L3237" s="3492"/>
      <c r="M3237" s="2425" t="s">
        <v>1941</v>
      </c>
      <c r="S3237" s="52"/>
      <c r="T3237" s="52"/>
      <c r="U3237" s="52"/>
      <c r="V3237" s="4295"/>
      <c r="W3237" s="1396"/>
      <c r="X3237" s="1396"/>
      <c r="Y3237" s="3265"/>
      <c r="Z3237" s="3262"/>
      <c r="AA3237" s="3262"/>
      <c r="AB3237" s="3286"/>
      <c r="AC3237" s="3285">
        <v>13</v>
      </c>
      <c r="AD3237" s="3484">
        <v>13</v>
      </c>
      <c r="AE3237" s="3493">
        <v>14</v>
      </c>
      <c r="AF3237" s="2236">
        <f t="shared" si="335"/>
        <v>13.4</v>
      </c>
      <c r="AG3237" s="1396"/>
      <c r="DG3237" s="573"/>
      <c r="DH3237" s="159"/>
      <c r="DI3237" s="1091"/>
      <c r="DJ3237" s="1187"/>
    </row>
    <row r="3238" spans="1:114" ht="15" hidden="1" customHeight="1" outlineLevel="1">
      <c r="A3238" s="453"/>
      <c r="C3238" s="51"/>
      <c r="D3238" s="4303"/>
      <c r="E3238" s="4295"/>
      <c r="F3238" s="4347" t="str">
        <f>$E$1840</f>
        <v>ASHP-SEER20-Replace_CAC_NonElectricHeat_ER1_MF_CompE</v>
      </c>
      <c r="G3238" s="4347"/>
      <c r="H3238" s="4347"/>
      <c r="I3238" s="4347"/>
      <c r="J3238" s="3471" t="str">
        <f>$C$1840</f>
        <v>354661_2024_12_</v>
      </c>
      <c r="K3238" s="3337">
        <v>8.33</v>
      </c>
      <c r="L3238" s="3479"/>
      <c r="M3238" s="2425" t="s">
        <v>1945</v>
      </c>
      <c r="S3238" s="52"/>
      <c r="T3238" s="52"/>
      <c r="U3238" s="52"/>
      <c r="V3238" s="4295"/>
      <c r="W3238" s="1396"/>
      <c r="X3238" s="1396"/>
      <c r="Y3238" s="3265"/>
      <c r="Z3238" s="3262"/>
      <c r="AA3238" s="3262"/>
      <c r="AB3238" s="3286"/>
      <c r="AC3238" s="3285">
        <v>8.33</v>
      </c>
      <c r="AD3238" s="3484">
        <v>8.33</v>
      </c>
      <c r="AE3238" s="3484">
        <v>8.33</v>
      </c>
      <c r="AF3238" s="2236">
        <f t="shared" si="335"/>
        <v>8.33</v>
      </c>
      <c r="AG3238" s="1396"/>
      <c r="DG3238" s="573"/>
      <c r="DH3238" s="159"/>
      <c r="DI3238" s="1091"/>
      <c r="DJ3238" s="1187"/>
    </row>
    <row r="3239" spans="1:114" ht="15" hidden="1" customHeight="1" outlineLevel="1">
      <c r="A3239" s="453"/>
      <c r="C3239" s="51"/>
      <c r="D3239" s="4303"/>
      <c r="E3239" s="4295"/>
      <c r="F3239" s="4347" t="str">
        <f>$E$1842</f>
        <v>ASHP-SEER20-Replace_CAC_NonElectricHeat_ER2_MF_CompE</v>
      </c>
      <c r="G3239" s="4347"/>
      <c r="H3239" s="4347"/>
      <c r="I3239" s="4347"/>
      <c r="J3239" s="3471" t="str">
        <f>$C$1842</f>
        <v>354661_2024_12_</v>
      </c>
      <c r="K3239" s="2283">
        <v>13.4</v>
      </c>
      <c r="L3239" s="3492"/>
      <c r="M3239" s="2425" t="s">
        <v>1941</v>
      </c>
      <c r="S3239" s="52"/>
      <c r="T3239" s="52"/>
      <c r="U3239" s="52"/>
      <c r="V3239" s="4295"/>
      <c r="W3239" s="1396"/>
      <c r="X3239" s="1396"/>
      <c r="Y3239" s="3265"/>
      <c r="Z3239" s="3262"/>
      <c r="AA3239" s="3262"/>
      <c r="AB3239" s="3286"/>
      <c r="AC3239" s="3285">
        <v>13</v>
      </c>
      <c r="AD3239" s="3484">
        <v>13</v>
      </c>
      <c r="AE3239" s="3493">
        <v>14</v>
      </c>
      <c r="AF3239" s="2236">
        <f t="shared" si="335"/>
        <v>13.4</v>
      </c>
      <c r="AG3239" s="1396"/>
      <c r="DG3239" s="573"/>
      <c r="DH3239" s="159"/>
      <c r="DI3239" s="1091"/>
      <c r="DJ3239" s="1187"/>
    </row>
    <row r="3240" spans="1:114" ht="15" hidden="1" customHeight="1" outlineLevel="1">
      <c r="A3240" s="453"/>
      <c r="C3240" s="51"/>
      <c r="D3240" s="4303"/>
      <c r="E3240" s="4295"/>
      <c r="F3240" s="4307" t="str">
        <f>$E$1844</f>
        <v>ASHP-SEER20_ER1_MF</v>
      </c>
      <c r="G3240" s="4307"/>
      <c r="H3240" s="4307"/>
      <c r="I3240" s="4307"/>
      <c r="J3240" s="1029" t="str">
        <f>$C$1844</f>
        <v>354700_2024_12_</v>
      </c>
      <c r="K3240" s="916">
        <v>8.33</v>
      </c>
      <c r="L3240" s="262"/>
      <c r="M3240" s="1378" t="s">
        <v>2505</v>
      </c>
      <c r="S3240" s="52"/>
      <c r="T3240" s="52"/>
      <c r="U3240" s="52"/>
      <c r="V3240" s="4295"/>
      <c r="W3240" s="1396">
        <v>7.2</v>
      </c>
      <c r="X3240" s="833">
        <v>8.33</v>
      </c>
      <c r="Y3240" s="1396">
        <v>8.33</v>
      </c>
      <c r="Z3240" s="1396">
        <v>8.33</v>
      </c>
      <c r="AA3240" s="1396">
        <v>8.33</v>
      </c>
      <c r="AB3240" s="211">
        <v>8.33</v>
      </c>
      <c r="AC3240" s="211">
        <v>8.33</v>
      </c>
      <c r="AD3240" s="970">
        <v>8.33</v>
      </c>
      <c r="AE3240" s="970">
        <v>8.33</v>
      </c>
      <c r="AF3240" s="271">
        <f t="shared" si="335"/>
        <v>8.33</v>
      </c>
      <c r="AG3240" s="1396"/>
      <c r="DG3240" s="573"/>
      <c r="DH3240" s="159"/>
      <c r="DI3240" s="1091"/>
      <c r="DJ3240" s="1187"/>
    </row>
    <row r="3241" spans="1:114" ht="15" hidden="1" customHeight="1" outlineLevel="1">
      <c r="A3241" s="453"/>
      <c r="C3241" s="51"/>
      <c r="D3241" s="4303"/>
      <c r="E3241" s="4295"/>
      <c r="F3241" s="4307" t="str">
        <f>$E$1846</f>
        <v>ASHP-SEER20_ER2_MF</v>
      </c>
      <c r="G3241" s="4307"/>
      <c r="H3241" s="4307"/>
      <c r="I3241" s="4307"/>
      <c r="J3241" s="1029" t="str">
        <f>$C$1846</f>
        <v>354700_2024_12_</v>
      </c>
      <c r="K3241" s="1795">
        <v>14.3</v>
      </c>
      <c r="L3241" s="13"/>
      <c r="M3241" s="1378" t="s">
        <v>1941</v>
      </c>
      <c r="S3241" s="52"/>
      <c r="T3241" s="52"/>
      <c r="U3241" s="52"/>
      <c r="V3241" s="4295"/>
      <c r="W3241" s="1396">
        <v>14</v>
      </c>
      <c r="X3241" s="1396">
        <v>14</v>
      </c>
      <c r="Y3241" s="1396">
        <v>14</v>
      </c>
      <c r="Z3241" s="1396">
        <v>14</v>
      </c>
      <c r="AA3241" s="1396">
        <v>14</v>
      </c>
      <c r="AB3241" s="211">
        <v>14</v>
      </c>
      <c r="AC3241" s="211">
        <v>14</v>
      </c>
      <c r="AD3241" s="970">
        <v>14</v>
      </c>
      <c r="AE3241" s="1101">
        <v>15</v>
      </c>
      <c r="AF3241" s="271">
        <f t="shared" si="335"/>
        <v>14.3</v>
      </c>
      <c r="AG3241" s="1396"/>
      <c r="DG3241" s="573"/>
      <c r="DH3241" s="159"/>
      <c r="DI3241" s="1091"/>
      <c r="DJ3241" s="1187"/>
    </row>
    <row r="3242" spans="1:114" ht="15" hidden="1" customHeight="1" outlineLevel="1">
      <c r="A3242" s="453"/>
      <c r="C3242" s="51"/>
      <c r="D3242" s="4303"/>
      <c r="E3242" s="4295"/>
      <c r="F3242" s="4347" t="str">
        <f>$E$1848</f>
        <v>ASHP-SEER20_ER1_MF_CompE</v>
      </c>
      <c r="G3242" s="4347"/>
      <c r="H3242" s="4347"/>
      <c r="I3242" s="4347"/>
      <c r="J3242" s="3471" t="str">
        <f>$C$1848</f>
        <v>354701_2024_12_</v>
      </c>
      <c r="K3242" s="3337">
        <v>8.33</v>
      </c>
      <c r="L3242" s="3479"/>
      <c r="M3242" s="2425" t="s">
        <v>2505</v>
      </c>
      <c r="S3242" s="52"/>
      <c r="T3242" s="52"/>
      <c r="U3242" s="52"/>
      <c r="V3242" s="4295"/>
      <c r="W3242" s="1396"/>
      <c r="X3242" s="1396"/>
      <c r="Y3242" s="3265">
        <v>8.33</v>
      </c>
      <c r="Z3242" s="3262">
        <v>8.33</v>
      </c>
      <c r="AA3242" s="3262">
        <v>8.33</v>
      </c>
      <c r="AB3242" s="3286">
        <v>8.33</v>
      </c>
      <c r="AC3242" s="3286">
        <v>8.33</v>
      </c>
      <c r="AD3242" s="3484">
        <v>8.33</v>
      </c>
      <c r="AE3242" s="3484">
        <v>8.33</v>
      </c>
      <c r="AF3242" s="2236">
        <f t="shared" si="335"/>
        <v>8.33</v>
      </c>
      <c r="AG3242" s="1396"/>
      <c r="DG3242" s="573"/>
      <c r="DH3242" s="159"/>
      <c r="DI3242" s="1091"/>
      <c r="DJ3242" s="1187"/>
    </row>
    <row r="3243" spans="1:114" ht="15" hidden="1" customHeight="1" outlineLevel="1">
      <c r="A3243" s="453"/>
      <c r="C3243" s="51"/>
      <c r="D3243" s="4303"/>
      <c r="E3243" s="4295"/>
      <c r="F3243" s="4347" t="str">
        <f>$E$1850</f>
        <v>ASHP-SEER20_ER2_MF_CompE</v>
      </c>
      <c r="G3243" s="4347"/>
      <c r="H3243" s="4347"/>
      <c r="I3243" s="4347"/>
      <c r="J3243" s="3471" t="str">
        <f>$C$1850</f>
        <v>354701_2024_12_</v>
      </c>
      <c r="K3243" s="2283">
        <v>14.3</v>
      </c>
      <c r="L3243" s="3492"/>
      <c r="M3243" s="2425" t="s">
        <v>1941</v>
      </c>
      <c r="S3243" s="52"/>
      <c r="T3243" s="52"/>
      <c r="U3243" s="52"/>
      <c r="V3243" s="4295"/>
      <c r="W3243" s="1396"/>
      <c r="X3243" s="1396"/>
      <c r="Y3243" s="3265">
        <v>14</v>
      </c>
      <c r="Z3243" s="3262">
        <v>14</v>
      </c>
      <c r="AA3243" s="3262">
        <v>14</v>
      </c>
      <c r="AB3243" s="3286">
        <v>14</v>
      </c>
      <c r="AC3243" s="3286">
        <v>14</v>
      </c>
      <c r="AD3243" s="3484">
        <v>14</v>
      </c>
      <c r="AE3243" s="3493">
        <v>15</v>
      </c>
      <c r="AF3243" s="2236">
        <f t="shared" si="335"/>
        <v>14.3</v>
      </c>
      <c r="AG3243" s="1396"/>
      <c r="DG3243" s="573"/>
      <c r="DH3243" s="159"/>
      <c r="DI3243" s="1091"/>
      <c r="DJ3243" s="1187"/>
    </row>
    <row r="3244" spans="1:114" ht="15" hidden="1" customHeight="1" outlineLevel="1">
      <c r="A3244" s="453"/>
      <c r="C3244" s="51"/>
      <c r="D3244" s="4303"/>
      <c r="E3244" s="4295"/>
      <c r="F3244" s="4307" t="str">
        <f>$E$1852</f>
        <v>ASHP-SEER21_ER1_SF</v>
      </c>
      <c r="G3244" s="4307"/>
      <c r="H3244" s="4307"/>
      <c r="I3244" s="4307"/>
      <c r="J3244" s="1029" t="str">
        <f>$C$1852</f>
        <v>354750_2024_12_</v>
      </c>
      <c r="K3244" s="1757">
        <v>8.344911767808382</v>
      </c>
      <c r="L3244" s="262"/>
      <c r="M3244" s="1609" t="s">
        <v>1950</v>
      </c>
      <c r="S3244" s="52"/>
      <c r="T3244" s="52"/>
      <c r="U3244" s="52"/>
      <c r="V3244" s="4295"/>
      <c r="W3244" s="1396">
        <v>7.2</v>
      </c>
      <c r="X3244" s="833">
        <v>8.33</v>
      </c>
      <c r="Y3244" s="1396">
        <v>8.33</v>
      </c>
      <c r="Z3244" s="1396">
        <v>8.33</v>
      </c>
      <c r="AA3244" s="1396">
        <v>8.33</v>
      </c>
      <c r="AB3244" s="211">
        <v>8.33</v>
      </c>
      <c r="AC3244" s="212">
        <v>8.4729048312395783</v>
      </c>
      <c r="AD3244" s="969">
        <v>7.6464902009468165</v>
      </c>
      <c r="AE3244" s="969">
        <v>8.1664994015949581</v>
      </c>
      <c r="AF3244" s="271">
        <f t="shared" si="335"/>
        <v>8.344911767808382</v>
      </c>
      <c r="AG3244" s="1396"/>
      <c r="DG3244" s="573"/>
      <c r="DH3244" s="159"/>
      <c r="DI3244" s="1091"/>
      <c r="DJ3244" s="1187"/>
    </row>
    <row r="3245" spans="1:114" ht="15" hidden="1" customHeight="1" outlineLevel="1">
      <c r="A3245" s="453"/>
      <c r="C3245" s="51"/>
      <c r="D3245" s="4303"/>
      <c r="E3245" s="4295"/>
      <c r="F3245" s="4307" t="str">
        <f>$E$1854</f>
        <v>ASHP-SEER21_ER2_SF</v>
      </c>
      <c r="G3245" s="4307"/>
      <c r="H3245" s="4307"/>
      <c r="I3245" s="4307"/>
      <c r="J3245" s="1029" t="str">
        <f>$C$1854</f>
        <v>354750_2024_12_</v>
      </c>
      <c r="K3245" s="1795">
        <v>14.3</v>
      </c>
      <c r="L3245" s="13"/>
      <c r="M3245" s="1378" t="s">
        <v>1941</v>
      </c>
      <c r="S3245" s="52"/>
      <c r="T3245" s="52"/>
      <c r="U3245" s="52"/>
      <c r="V3245" s="4295"/>
      <c r="W3245" s="1396">
        <v>14</v>
      </c>
      <c r="X3245" s="1396">
        <v>14</v>
      </c>
      <c r="Y3245" s="1396">
        <v>14</v>
      </c>
      <c r="Z3245" s="1396">
        <v>14</v>
      </c>
      <c r="AA3245" s="1396">
        <v>14</v>
      </c>
      <c r="AB3245" s="211">
        <v>14</v>
      </c>
      <c r="AC3245" s="211">
        <v>14</v>
      </c>
      <c r="AD3245" s="970">
        <v>14</v>
      </c>
      <c r="AE3245" s="1101">
        <v>15</v>
      </c>
      <c r="AF3245" s="271">
        <f t="shared" si="335"/>
        <v>14.3</v>
      </c>
      <c r="AG3245" s="1396"/>
      <c r="DG3245" s="573"/>
      <c r="DH3245" s="159"/>
      <c r="DI3245" s="1091"/>
      <c r="DJ3245" s="1187"/>
    </row>
    <row r="3246" spans="1:114" ht="15" hidden="1" customHeight="1" outlineLevel="1">
      <c r="A3246" s="453"/>
      <c r="C3246" s="51"/>
      <c r="D3246" s="4303"/>
      <c r="E3246" s="4295"/>
      <c r="F3246" s="4307" t="str">
        <f>$E$1856</f>
        <v>ASHP-SEER21_ROF_SF</v>
      </c>
      <c r="G3246" s="4307"/>
      <c r="H3246" s="4307"/>
      <c r="I3246" s="4307"/>
      <c r="J3246" s="1029" t="str">
        <f>$C$1856</f>
        <v>354800_2024_12_</v>
      </c>
      <c r="K3246" s="1795">
        <v>14.3</v>
      </c>
      <c r="L3246" s="13"/>
      <c r="M3246" s="1378" t="s">
        <v>1941</v>
      </c>
      <c r="S3246" s="52"/>
      <c r="T3246" s="52"/>
      <c r="U3246" s="52"/>
      <c r="V3246" s="4295"/>
      <c r="W3246" s="1396">
        <v>14</v>
      </c>
      <c r="X3246" s="1396">
        <v>14</v>
      </c>
      <c r="Y3246" s="1396">
        <v>14</v>
      </c>
      <c r="Z3246" s="1396">
        <v>14</v>
      </c>
      <c r="AA3246" s="1396">
        <v>14</v>
      </c>
      <c r="AB3246" s="211">
        <v>14</v>
      </c>
      <c r="AC3246" s="211">
        <v>14</v>
      </c>
      <c r="AD3246" s="970">
        <v>14</v>
      </c>
      <c r="AE3246" s="1101">
        <v>15</v>
      </c>
      <c r="AF3246" s="271">
        <f t="shared" si="335"/>
        <v>14.3</v>
      </c>
      <c r="AG3246" s="1396"/>
      <c r="DG3246" s="573"/>
      <c r="DH3246" s="159"/>
      <c r="DI3246" s="1091"/>
      <c r="DJ3246" s="1187"/>
    </row>
    <row r="3247" spans="1:114" ht="15" hidden="1" customHeight="1" outlineLevel="1">
      <c r="A3247" s="453"/>
      <c r="C3247" s="51"/>
      <c r="D3247" s="4303"/>
      <c r="E3247" s="4295"/>
      <c r="F3247" s="4307" t="str">
        <f>$E$1858</f>
        <v>ASHP-SEER21-Replace_CAC_ElectricHeat_ROF_MF</v>
      </c>
      <c r="G3247" s="4307"/>
      <c r="H3247" s="4307"/>
      <c r="I3247" s="4307"/>
      <c r="J3247" s="1029" t="str">
        <f>$C$1858</f>
        <v>354850_2024_12_</v>
      </c>
      <c r="K3247" s="1795">
        <v>13.4</v>
      </c>
      <c r="L3247" s="13"/>
      <c r="M3247" s="1378" t="s">
        <v>1941</v>
      </c>
      <c r="S3247" s="52"/>
      <c r="T3247" s="52"/>
      <c r="U3247" s="52"/>
      <c r="V3247" s="4295"/>
      <c r="W3247" s="1396">
        <v>13</v>
      </c>
      <c r="X3247" s="1396">
        <v>13</v>
      </c>
      <c r="Y3247" s="1396">
        <v>13</v>
      </c>
      <c r="Z3247" s="1396">
        <v>13</v>
      </c>
      <c r="AA3247" s="1396">
        <v>13</v>
      </c>
      <c r="AB3247" s="211">
        <v>13</v>
      </c>
      <c r="AC3247" s="211">
        <v>13</v>
      </c>
      <c r="AD3247" s="970">
        <v>13</v>
      </c>
      <c r="AE3247" s="1101">
        <v>14</v>
      </c>
      <c r="AF3247" s="271">
        <f t="shared" si="335"/>
        <v>13.4</v>
      </c>
      <c r="AG3247" s="1396"/>
      <c r="DG3247" s="573"/>
      <c r="DH3247" s="159"/>
      <c r="DI3247" s="1091"/>
      <c r="DJ3247" s="1187"/>
    </row>
    <row r="3248" spans="1:114" ht="15" hidden="1" customHeight="1" outlineLevel="1">
      <c r="A3248" s="453"/>
      <c r="C3248" s="51"/>
      <c r="D3248" s="4303"/>
      <c r="E3248" s="4295"/>
      <c r="F3248" s="4347" t="str">
        <f>$E$1860</f>
        <v>ASHP-SEER21-Replace_CAC_ElectricHeat_ROF_MF_CompE</v>
      </c>
      <c r="G3248" s="4347"/>
      <c r="H3248" s="4347"/>
      <c r="I3248" s="4347"/>
      <c r="J3248" s="3471" t="str">
        <f>$C$1860</f>
        <v>354851_2024_12_</v>
      </c>
      <c r="K3248" s="2283">
        <v>13.4</v>
      </c>
      <c r="L3248" s="3492"/>
      <c r="M3248" s="2425" t="s">
        <v>1941</v>
      </c>
      <c r="S3248" s="52"/>
      <c r="T3248" s="52"/>
      <c r="U3248" s="52"/>
      <c r="V3248" s="4295"/>
      <c r="W3248" s="1396"/>
      <c r="X3248" s="1396"/>
      <c r="Y3248" s="3265">
        <v>13</v>
      </c>
      <c r="Z3248" s="3262">
        <v>13</v>
      </c>
      <c r="AA3248" s="3262">
        <v>13</v>
      </c>
      <c r="AB3248" s="3286">
        <v>13</v>
      </c>
      <c r="AC3248" s="3286">
        <v>13</v>
      </c>
      <c r="AD3248" s="3484">
        <v>13</v>
      </c>
      <c r="AE3248" s="3493">
        <v>14</v>
      </c>
      <c r="AF3248" s="2236">
        <f t="shared" si="335"/>
        <v>13.4</v>
      </c>
      <c r="AG3248" s="1396"/>
      <c r="DG3248" s="573"/>
      <c r="DH3248" s="159"/>
      <c r="DI3248" s="1091"/>
      <c r="DJ3248" s="1187"/>
    </row>
    <row r="3249" spans="1:114" ht="15" hidden="1" customHeight="1" outlineLevel="1">
      <c r="A3249" s="453"/>
      <c r="C3249" s="51"/>
      <c r="D3249" s="4303"/>
      <c r="E3249" s="4295"/>
      <c r="F3249" s="4347" t="str">
        <f>$E$1862</f>
        <v>ASHP-SEER21-Replace_CAC_NonElectricHeat_ROF_MF</v>
      </c>
      <c r="G3249" s="4347"/>
      <c r="H3249" s="4347"/>
      <c r="I3249" s="4347"/>
      <c r="J3249" s="3471" t="str">
        <f>$C$1862</f>
        <v>354860_2024_12_</v>
      </c>
      <c r="K3249" s="2283">
        <v>13.4</v>
      </c>
      <c r="L3249" s="3492"/>
      <c r="M3249" s="2425" t="s">
        <v>1941</v>
      </c>
      <c r="S3249" s="52"/>
      <c r="T3249" s="52"/>
      <c r="U3249" s="52"/>
      <c r="V3249" s="4295"/>
      <c r="W3249" s="1396"/>
      <c r="X3249" s="1396"/>
      <c r="Y3249" s="3265"/>
      <c r="Z3249" s="3262"/>
      <c r="AA3249" s="3262"/>
      <c r="AB3249" s="3286"/>
      <c r="AC3249" s="3285">
        <v>13</v>
      </c>
      <c r="AD3249" s="3484">
        <v>13</v>
      </c>
      <c r="AE3249" s="3493">
        <v>14</v>
      </c>
      <c r="AF3249" s="2236">
        <f t="shared" si="335"/>
        <v>13.4</v>
      </c>
      <c r="AG3249" s="1396"/>
      <c r="DG3249" s="573"/>
      <c r="DH3249" s="159"/>
      <c r="DI3249" s="1091"/>
      <c r="DJ3249" s="1187"/>
    </row>
    <row r="3250" spans="1:114" ht="15" hidden="1" customHeight="1" outlineLevel="1">
      <c r="A3250" s="453"/>
      <c r="C3250" s="51"/>
      <c r="D3250" s="4303"/>
      <c r="E3250" s="4295"/>
      <c r="F3250" s="4347" t="str">
        <f>$E$1864</f>
        <v>ASHP-SEER21-Replace_CAC_NonElectricHeat_ROF_MF_CompE</v>
      </c>
      <c r="G3250" s="4347"/>
      <c r="H3250" s="4347"/>
      <c r="I3250" s="4347"/>
      <c r="J3250" s="3471" t="str">
        <f>$C$1864</f>
        <v>354861_2024_12_</v>
      </c>
      <c r="K3250" s="2283">
        <v>13.4</v>
      </c>
      <c r="L3250" s="3492"/>
      <c r="M3250" s="2425" t="s">
        <v>1941</v>
      </c>
      <c r="S3250" s="52"/>
      <c r="T3250" s="52"/>
      <c r="U3250" s="52"/>
      <c r="V3250" s="4295"/>
      <c r="W3250" s="1396"/>
      <c r="X3250" s="1396"/>
      <c r="Y3250" s="3265"/>
      <c r="Z3250" s="3262"/>
      <c r="AA3250" s="3262"/>
      <c r="AB3250" s="3286"/>
      <c r="AC3250" s="3285">
        <v>13</v>
      </c>
      <c r="AD3250" s="3484">
        <v>13</v>
      </c>
      <c r="AE3250" s="3493">
        <v>14</v>
      </c>
      <c r="AF3250" s="2236">
        <f t="shared" si="335"/>
        <v>13.4</v>
      </c>
      <c r="AG3250" s="1396"/>
      <c r="DG3250" s="573"/>
      <c r="DH3250" s="159"/>
      <c r="DI3250" s="1091"/>
      <c r="DJ3250" s="1187"/>
    </row>
    <row r="3251" spans="1:114" ht="15" hidden="1" customHeight="1" outlineLevel="1">
      <c r="A3251" s="453"/>
      <c r="C3251" s="51"/>
      <c r="D3251" s="4303"/>
      <c r="E3251" s="4295"/>
      <c r="F3251" s="4307" t="str">
        <f>$E$1866</f>
        <v>ASHP-SEER21_ER1_MF</v>
      </c>
      <c r="G3251" s="4307"/>
      <c r="H3251" s="4307"/>
      <c r="I3251" s="4307"/>
      <c r="J3251" s="1029" t="str">
        <f>$C$1866</f>
        <v>354900_2024_12_</v>
      </c>
      <c r="K3251" s="916">
        <v>8.33</v>
      </c>
      <c r="L3251" s="262"/>
      <c r="M3251" s="1378" t="s">
        <v>2505</v>
      </c>
      <c r="S3251" s="52"/>
      <c r="T3251" s="52"/>
      <c r="U3251" s="52"/>
      <c r="V3251" s="4295"/>
      <c r="W3251" s="1396">
        <v>7.2</v>
      </c>
      <c r="X3251" s="833">
        <v>8.33</v>
      </c>
      <c r="Y3251" s="1396">
        <v>8.33</v>
      </c>
      <c r="Z3251" s="1396">
        <v>8.33</v>
      </c>
      <c r="AA3251" s="1396">
        <v>8.33</v>
      </c>
      <c r="AB3251" s="211">
        <v>8.33</v>
      </c>
      <c r="AC3251" s="211">
        <v>8.33</v>
      </c>
      <c r="AD3251" s="970">
        <v>8.33</v>
      </c>
      <c r="AE3251" s="970">
        <v>8.33</v>
      </c>
      <c r="AF3251" s="271">
        <f t="shared" si="335"/>
        <v>8.33</v>
      </c>
      <c r="AG3251" s="1396"/>
      <c r="DG3251" s="573"/>
      <c r="DH3251" s="159"/>
      <c r="DI3251" s="1091"/>
      <c r="DJ3251" s="1187"/>
    </row>
    <row r="3252" spans="1:114" ht="15" hidden="1" customHeight="1" outlineLevel="1">
      <c r="A3252" s="453"/>
      <c r="C3252" s="51"/>
      <c r="D3252" s="4303"/>
      <c r="E3252" s="4295"/>
      <c r="F3252" s="4307" t="str">
        <f>$E$1868</f>
        <v>ASHP-SEER21_ER2_MF</v>
      </c>
      <c r="G3252" s="4307"/>
      <c r="H3252" s="4307"/>
      <c r="I3252" s="4307"/>
      <c r="J3252" s="1029" t="str">
        <f>$C$1868</f>
        <v>354900_2024_12_</v>
      </c>
      <c r="K3252" s="1795">
        <v>14.3</v>
      </c>
      <c r="L3252" s="13"/>
      <c r="M3252" s="1378" t="s">
        <v>1941</v>
      </c>
      <c r="S3252" s="52"/>
      <c r="T3252" s="52"/>
      <c r="U3252" s="52"/>
      <c r="V3252" s="4295"/>
      <c r="W3252" s="1396">
        <v>14</v>
      </c>
      <c r="X3252" s="1396">
        <v>14</v>
      </c>
      <c r="Y3252" s="1396">
        <v>14</v>
      </c>
      <c r="Z3252" s="1396">
        <v>14</v>
      </c>
      <c r="AA3252" s="1396">
        <v>14</v>
      </c>
      <c r="AB3252" s="211">
        <v>14</v>
      </c>
      <c r="AC3252" s="211">
        <v>14</v>
      </c>
      <c r="AD3252" s="970">
        <v>14</v>
      </c>
      <c r="AE3252" s="1101">
        <v>15</v>
      </c>
      <c r="AF3252" s="271">
        <f t="shared" si="335"/>
        <v>14.3</v>
      </c>
      <c r="AG3252" s="1396"/>
      <c r="DG3252" s="573"/>
      <c r="DH3252" s="159"/>
      <c r="DI3252" s="1091"/>
      <c r="DJ3252" s="1187"/>
    </row>
    <row r="3253" spans="1:114" ht="15" hidden="1" customHeight="1" outlineLevel="1">
      <c r="A3253" s="453"/>
      <c r="C3253" s="51"/>
      <c r="D3253" s="4303"/>
      <c r="E3253" s="4295"/>
      <c r="F3253" s="4347" t="str">
        <f>$E$1870</f>
        <v>ASHP-SEER21_ER1_MF_CompE</v>
      </c>
      <c r="G3253" s="4347"/>
      <c r="H3253" s="4347"/>
      <c r="I3253" s="4347"/>
      <c r="J3253" s="3471" t="str">
        <f>$C$1870</f>
        <v>354901_2024_12_</v>
      </c>
      <c r="K3253" s="3337">
        <v>8.33</v>
      </c>
      <c r="L3253" s="3479"/>
      <c r="M3253" s="2425" t="s">
        <v>2505</v>
      </c>
      <c r="S3253" s="52"/>
      <c r="T3253" s="52"/>
      <c r="U3253" s="52"/>
      <c r="V3253" s="4295"/>
      <c r="W3253" s="1396"/>
      <c r="X3253" s="1396"/>
      <c r="Y3253" s="3265">
        <v>8.33</v>
      </c>
      <c r="Z3253" s="3262">
        <v>8.33</v>
      </c>
      <c r="AA3253" s="3262">
        <v>8.33</v>
      </c>
      <c r="AB3253" s="3286">
        <v>8.33</v>
      </c>
      <c r="AC3253" s="3286">
        <v>8.33</v>
      </c>
      <c r="AD3253" s="3484">
        <v>8.33</v>
      </c>
      <c r="AE3253" s="3484">
        <v>8.33</v>
      </c>
      <c r="AF3253" s="2236">
        <f t="shared" si="335"/>
        <v>8.33</v>
      </c>
      <c r="AG3253" s="1396"/>
      <c r="DG3253" s="573"/>
      <c r="DH3253" s="159"/>
      <c r="DI3253" s="1091"/>
      <c r="DJ3253" s="1187"/>
    </row>
    <row r="3254" spans="1:114" ht="15" hidden="1" customHeight="1" outlineLevel="1">
      <c r="A3254" s="453"/>
      <c r="C3254" s="51"/>
      <c r="D3254" s="4303"/>
      <c r="E3254" s="4295"/>
      <c r="F3254" s="4347" t="str">
        <f>$E$1872</f>
        <v>ASHP-SEER21_ER2_MF_CompE</v>
      </c>
      <c r="G3254" s="4347"/>
      <c r="H3254" s="4347"/>
      <c r="I3254" s="4347"/>
      <c r="J3254" s="3471" t="str">
        <f>$C$1872</f>
        <v>354901_2024_12_</v>
      </c>
      <c r="K3254" s="2283">
        <v>14.3</v>
      </c>
      <c r="L3254" s="3492"/>
      <c r="M3254" s="2425" t="s">
        <v>1941</v>
      </c>
      <c r="S3254" s="52"/>
      <c r="T3254" s="52"/>
      <c r="U3254" s="52"/>
      <c r="V3254" s="4295"/>
      <c r="W3254" s="1396"/>
      <c r="X3254" s="1396"/>
      <c r="Y3254" s="3265">
        <v>14</v>
      </c>
      <c r="Z3254" s="3262">
        <v>14</v>
      </c>
      <c r="AA3254" s="3262">
        <v>14</v>
      </c>
      <c r="AB3254" s="3286">
        <v>14</v>
      </c>
      <c r="AC3254" s="3286">
        <v>14</v>
      </c>
      <c r="AD3254" s="3484">
        <v>14</v>
      </c>
      <c r="AE3254" s="3493">
        <v>15</v>
      </c>
      <c r="AF3254" s="2236">
        <f t="shared" si="335"/>
        <v>14.3</v>
      </c>
      <c r="AG3254" s="1396"/>
      <c r="DG3254" s="573"/>
      <c r="DH3254" s="159"/>
      <c r="DI3254" s="1091"/>
      <c r="DJ3254" s="1187"/>
    </row>
    <row r="3255" spans="1:114" ht="15" hidden="1" customHeight="1" outlineLevel="1">
      <c r="A3255" s="453"/>
      <c r="C3255" s="51"/>
      <c r="D3255" s="4303"/>
      <c r="E3255" s="4295"/>
      <c r="F3255" s="4307" t="str">
        <f>$E$1874</f>
        <v>ASHP-SEER17_ROF_MF</v>
      </c>
      <c r="G3255" s="4307"/>
      <c r="H3255" s="4307"/>
      <c r="I3255" s="4307"/>
      <c r="J3255" s="1029" t="str">
        <f>$C$1874</f>
        <v>354950_2024_12_</v>
      </c>
      <c r="K3255" s="1795">
        <v>14.3</v>
      </c>
      <c r="L3255" s="13"/>
      <c r="M3255" s="1378" t="s">
        <v>1941</v>
      </c>
      <c r="P3255" s="261"/>
      <c r="Q3255" s="209"/>
      <c r="R3255" s="261"/>
      <c r="S3255" s="52"/>
      <c r="T3255" s="181"/>
      <c r="U3255" s="52"/>
      <c r="V3255" s="4295"/>
      <c r="W3255" s="1396">
        <v>14</v>
      </c>
      <c r="X3255" s="1396">
        <v>14</v>
      </c>
      <c r="Y3255" s="1396">
        <v>14</v>
      </c>
      <c r="Z3255" s="1396">
        <v>14</v>
      </c>
      <c r="AA3255" s="1396">
        <v>14</v>
      </c>
      <c r="AB3255" s="211">
        <v>14</v>
      </c>
      <c r="AC3255" s="211">
        <v>14</v>
      </c>
      <c r="AD3255" s="970">
        <v>14</v>
      </c>
      <c r="AE3255" s="1101">
        <v>15</v>
      </c>
      <c r="AF3255" s="271">
        <f t="shared" si="335"/>
        <v>14.3</v>
      </c>
      <c r="AG3255" s="1396"/>
      <c r="DG3255" s="573"/>
      <c r="DH3255" s="159"/>
      <c r="DI3255" s="1091"/>
      <c r="DJ3255" s="1187"/>
    </row>
    <row r="3256" spans="1:114" ht="15" hidden="1" customHeight="1" outlineLevel="1">
      <c r="A3256" s="453"/>
      <c r="C3256" s="51"/>
      <c r="D3256" s="4303"/>
      <c r="E3256" s="4295"/>
      <c r="F3256" s="4347" t="str">
        <f>$E$1876</f>
        <v>ASHP-SEER17_ROF_MF_CompE</v>
      </c>
      <c r="G3256" s="4347"/>
      <c r="H3256" s="4347"/>
      <c r="I3256" s="4347"/>
      <c r="J3256" s="3471" t="str">
        <f>$C$1876</f>
        <v>354951_2024_12_</v>
      </c>
      <c r="K3256" s="2283">
        <v>14.3</v>
      </c>
      <c r="L3256" s="3492"/>
      <c r="M3256" s="2425" t="s">
        <v>1941</v>
      </c>
      <c r="P3256" s="261"/>
      <c r="Q3256" s="209"/>
      <c r="R3256" s="261"/>
      <c r="S3256" s="52"/>
      <c r="T3256" s="181"/>
      <c r="U3256" s="52"/>
      <c r="V3256" s="4295"/>
      <c r="W3256" s="1396"/>
      <c r="X3256" s="1396"/>
      <c r="Y3256" s="3265">
        <v>14</v>
      </c>
      <c r="Z3256" s="3262">
        <v>14</v>
      </c>
      <c r="AA3256" s="3262">
        <v>14</v>
      </c>
      <c r="AB3256" s="3286">
        <v>14</v>
      </c>
      <c r="AC3256" s="3286">
        <v>14</v>
      </c>
      <c r="AD3256" s="3484">
        <v>14</v>
      </c>
      <c r="AE3256" s="3493">
        <v>15</v>
      </c>
      <c r="AF3256" s="2236">
        <f t="shared" si="335"/>
        <v>14.3</v>
      </c>
      <c r="AG3256" s="1396"/>
      <c r="DG3256" s="573"/>
      <c r="DH3256" s="159"/>
      <c r="DI3256" s="1091"/>
      <c r="DJ3256" s="1187"/>
    </row>
    <row r="3257" spans="1:114" ht="15" hidden="1" customHeight="1" outlineLevel="1">
      <c r="A3257" s="453"/>
      <c r="C3257" s="51"/>
      <c r="D3257" s="4303"/>
      <c r="E3257" s="4295"/>
      <c r="F3257" s="4307" t="str">
        <f>$E$1878</f>
        <v>ASHP-SEER18_ROF_MF</v>
      </c>
      <c r="G3257" s="4307"/>
      <c r="H3257" s="4307"/>
      <c r="I3257" s="4307"/>
      <c r="J3257" s="1029" t="str">
        <f>$C$1878</f>
        <v>355000_2024_12_</v>
      </c>
      <c r="K3257" s="1795">
        <v>14.3</v>
      </c>
      <c r="L3257" s="13"/>
      <c r="M3257" s="1378" t="s">
        <v>1941</v>
      </c>
      <c r="P3257" s="261"/>
      <c r="Q3257" s="209"/>
      <c r="R3257" s="261"/>
      <c r="S3257" s="52"/>
      <c r="T3257" s="181"/>
      <c r="U3257" s="52"/>
      <c r="V3257" s="4295"/>
      <c r="W3257" s="1396">
        <v>14</v>
      </c>
      <c r="X3257" s="1396">
        <v>14</v>
      </c>
      <c r="Y3257" s="1396">
        <v>14</v>
      </c>
      <c r="Z3257" s="1396">
        <v>14</v>
      </c>
      <c r="AA3257" s="1396">
        <v>14</v>
      </c>
      <c r="AB3257" s="211">
        <v>14</v>
      </c>
      <c r="AC3257" s="211">
        <v>14</v>
      </c>
      <c r="AD3257" s="970">
        <v>14</v>
      </c>
      <c r="AE3257" s="1101">
        <v>15</v>
      </c>
      <c r="AF3257" s="271">
        <f t="shared" si="335"/>
        <v>14.3</v>
      </c>
      <c r="AG3257" s="1396"/>
      <c r="DG3257" s="573"/>
      <c r="DH3257" s="159"/>
      <c r="DI3257" s="1091"/>
      <c r="DJ3257" s="1187"/>
    </row>
    <row r="3258" spans="1:114" ht="15" hidden="1" customHeight="1" outlineLevel="1">
      <c r="A3258" s="453"/>
      <c r="C3258" s="51"/>
      <c r="D3258" s="4303"/>
      <c r="E3258" s="4295"/>
      <c r="F3258" s="4347" t="str">
        <f>$E$1880</f>
        <v>ASHP-SEER18_ROF_MF_CompE</v>
      </c>
      <c r="G3258" s="4347"/>
      <c r="H3258" s="4347"/>
      <c r="I3258" s="4347"/>
      <c r="J3258" s="3471" t="str">
        <f>$C$1880</f>
        <v>355001_2024_12_</v>
      </c>
      <c r="K3258" s="2283">
        <v>14.3</v>
      </c>
      <c r="L3258" s="3492"/>
      <c r="M3258" s="2425" t="s">
        <v>1941</v>
      </c>
      <c r="P3258" s="261"/>
      <c r="Q3258" s="209"/>
      <c r="R3258" s="261"/>
      <c r="S3258" s="52"/>
      <c r="T3258" s="181"/>
      <c r="U3258" s="52"/>
      <c r="V3258" s="4295"/>
      <c r="W3258" s="1396"/>
      <c r="X3258" s="1396"/>
      <c r="Y3258" s="3265">
        <v>14</v>
      </c>
      <c r="Z3258" s="3262">
        <v>14</v>
      </c>
      <c r="AA3258" s="3262">
        <v>14</v>
      </c>
      <c r="AB3258" s="3286">
        <v>14</v>
      </c>
      <c r="AC3258" s="3286">
        <v>14</v>
      </c>
      <c r="AD3258" s="3484">
        <v>14</v>
      </c>
      <c r="AE3258" s="3493">
        <v>15</v>
      </c>
      <c r="AF3258" s="2236">
        <f t="shared" ref="AF3258:AF3321" si="336">IF(K3258&lt;&gt;"",K3258,"")</f>
        <v>14.3</v>
      </c>
      <c r="AG3258" s="1396"/>
      <c r="DG3258" s="573"/>
      <c r="DH3258" s="159"/>
      <c r="DI3258" s="1091"/>
      <c r="DJ3258" s="1187"/>
    </row>
    <row r="3259" spans="1:114" ht="15" hidden="1" customHeight="1" outlineLevel="1">
      <c r="A3259" s="453"/>
      <c r="C3259" s="51"/>
      <c r="D3259" s="4303"/>
      <c r="E3259" s="4295"/>
      <c r="F3259" s="4307" t="str">
        <f>$E$1882</f>
        <v>ASHP-SEER19_ROF_MF</v>
      </c>
      <c r="G3259" s="4307"/>
      <c r="H3259" s="4307"/>
      <c r="I3259" s="4307"/>
      <c r="J3259" s="1029" t="str">
        <f>$C$1882</f>
        <v>355050_2024_12_</v>
      </c>
      <c r="K3259" s="1795">
        <v>14.3</v>
      </c>
      <c r="L3259" s="13"/>
      <c r="M3259" s="1378" t="s">
        <v>1941</v>
      </c>
      <c r="S3259" s="52"/>
      <c r="T3259" s="52"/>
      <c r="U3259" s="52"/>
      <c r="V3259" s="4295"/>
      <c r="W3259" s="1396">
        <v>14</v>
      </c>
      <c r="X3259" s="1396">
        <v>14</v>
      </c>
      <c r="Y3259" s="1396">
        <v>14</v>
      </c>
      <c r="Z3259" s="1396">
        <v>14</v>
      </c>
      <c r="AA3259" s="1396">
        <v>14</v>
      </c>
      <c r="AB3259" s="211">
        <v>14</v>
      </c>
      <c r="AC3259" s="211">
        <v>14</v>
      </c>
      <c r="AD3259" s="970">
        <v>14</v>
      </c>
      <c r="AE3259" s="1101">
        <v>15</v>
      </c>
      <c r="AF3259" s="271">
        <f t="shared" si="336"/>
        <v>14.3</v>
      </c>
      <c r="AG3259" s="1396"/>
      <c r="DG3259" s="573"/>
      <c r="DH3259" s="159"/>
      <c r="DI3259" s="1091"/>
      <c r="DJ3259" s="1187"/>
    </row>
    <row r="3260" spans="1:114" ht="15" hidden="1" customHeight="1" outlineLevel="1">
      <c r="A3260" s="453"/>
      <c r="C3260" s="51"/>
      <c r="D3260" s="4303"/>
      <c r="E3260" s="4295"/>
      <c r="F3260" s="4347" t="str">
        <f>$E$1884</f>
        <v>ASHP-SEER19_ROF_MF_CompE</v>
      </c>
      <c r="G3260" s="4347"/>
      <c r="H3260" s="4347"/>
      <c r="I3260" s="4347"/>
      <c r="J3260" s="3471" t="str">
        <f>$C$1884</f>
        <v>355051_2024_12_</v>
      </c>
      <c r="K3260" s="2283">
        <v>14.3</v>
      </c>
      <c r="L3260" s="3492"/>
      <c r="M3260" s="2425" t="s">
        <v>1941</v>
      </c>
      <c r="S3260" s="52"/>
      <c r="T3260" s="52"/>
      <c r="U3260" s="52"/>
      <c r="V3260" s="4295"/>
      <c r="W3260" s="1396"/>
      <c r="X3260" s="1396"/>
      <c r="Y3260" s="3265">
        <v>14</v>
      </c>
      <c r="Z3260" s="3262">
        <v>14</v>
      </c>
      <c r="AA3260" s="3262">
        <v>14</v>
      </c>
      <c r="AB3260" s="3286">
        <v>14</v>
      </c>
      <c r="AC3260" s="3286">
        <v>14</v>
      </c>
      <c r="AD3260" s="3484">
        <v>14</v>
      </c>
      <c r="AE3260" s="3493">
        <v>15</v>
      </c>
      <c r="AF3260" s="2236">
        <f t="shared" si="336"/>
        <v>14.3</v>
      </c>
      <c r="AG3260" s="1396"/>
      <c r="DG3260" s="573"/>
      <c r="DH3260" s="159"/>
      <c r="DI3260" s="1091"/>
      <c r="DJ3260" s="1187"/>
    </row>
    <row r="3261" spans="1:114" ht="15" hidden="1" customHeight="1" outlineLevel="1">
      <c r="A3261" s="453"/>
      <c r="C3261" s="51"/>
      <c r="D3261" s="4303"/>
      <c r="E3261" s="4295"/>
      <c r="F3261" s="4307" t="str">
        <f>$E$1886</f>
        <v>ASHP-SEER20_ROF_MF</v>
      </c>
      <c r="G3261" s="4307"/>
      <c r="H3261" s="4307"/>
      <c r="I3261" s="4307"/>
      <c r="J3261" s="1029" t="str">
        <f>$C$1886</f>
        <v>355100_2024_12_</v>
      </c>
      <c r="K3261" s="1795">
        <v>14.3</v>
      </c>
      <c r="L3261" s="13"/>
      <c r="M3261" s="1378" t="s">
        <v>1941</v>
      </c>
      <c r="S3261" s="52"/>
      <c r="T3261" s="52"/>
      <c r="U3261" s="52"/>
      <c r="V3261" s="4295"/>
      <c r="W3261" s="1396">
        <v>14</v>
      </c>
      <c r="X3261" s="1396">
        <v>14</v>
      </c>
      <c r="Y3261" s="1396">
        <v>14</v>
      </c>
      <c r="Z3261" s="1396">
        <v>14</v>
      </c>
      <c r="AA3261" s="1396">
        <v>14</v>
      </c>
      <c r="AB3261" s="211">
        <v>14</v>
      </c>
      <c r="AC3261" s="211">
        <v>14</v>
      </c>
      <c r="AD3261" s="970">
        <v>14</v>
      </c>
      <c r="AE3261" s="1101">
        <v>15</v>
      </c>
      <c r="AF3261" s="271">
        <f t="shared" si="336"/>
        <v>14.3</v>
      </c>
      <c r="AG3261" s="1396"/>
      <c r="DG3261" s="573"/>
      <c r="DH3261" s="159"/>
      <c r="DI3261" s="1091"/>
      <c r="DJ3261" s="1187"/>
    </row>
    <row r="3262" spans="1:114" ht="15" hidden="1" customHeight="1" outlineLevel="1">
      <c r="A3262" s="453"/>
      <c r="C3262" s="51"/>
      <c r="D3262" s="4303"/>
      <c r="E3262" s="4295"/>
      <c r="F3262" s="4347" t="str">
        <f>$E$1888</f>
        <v>ASHP-SEER20_ROF_MF_CompE</v>
      </c>
      <c r="G3262" s="4347"/>
      <c r="H3262" s="4347"/>
      <c r="I3262" s="4347"/>
      <c r="J3262" s="3471" t="str">
        <f>$C$1888</f>
        <v>355101_2024_12_</v>
      </c>
      <c r="K3262" s="2283">
        <v>14.3</v>
      </c>
      <c r="L3262" s="3492"/>
      <c r="M3262" s="2425" t="s">
        <v>1941</v>
      </c>
      <c r="S3262" s="52"/>
      <c r="T3262" s="52"/>
      <c r="U3262" s="52"/>
      <c r="V3262" s="4295"/>
      <c r="W3262" s="1396"/>
      <c r="X3262" s="1396"/>
      <c r="Y3262" s="3265">
        <v>14</v>
      </c>
      <c r="Z3262" s="3262">
        <v>14</v>
      </c>
      <c r="AA3262" s="3262">
        <v>14</v>
      </c>
      <c r="AB3262" s="3286">
        <v>14</v>
      </c>
      <c r="AC3262" s="3286">
        <v>14</v>
      </c>
      <c r="AD3262" s="3484">
        <v>14</v>
      </c>
      <c r="AE3262" s="3493">
        <v>15</v>
      </c>
      <c r="AF3262" s="2236">
        <f t="shared" si="336"/>
        <v>14.3</v>
      </c>
      <c r="AG3262" s="1396"/>
      <c r="DG3262" s="573"/>
      <c r="DH3262" s="159"/>
      <c r="DI3262" s="1091"/>
      <c r="DJ3262" s="1187"/>
    </row>
    <row r="3263" spans="1:114" ht="15.75" hidden="1" customHeight="1" outlineLevel="1">
      <c r="A3263" s="453"/>
      <c r="C3263" s="51"/>
      <c r="D3263" s="4303"/>
      <c r="E3263" s="4295"/>
      <c r="F3263" s="4307" t="str">
        <f>$E$1890</f>
        <v>ASHP-SEER21_ROF_MF</v>
      </c>
      <c r="G3263" s="4307"/>
      <c r="H3263" s="4307"/>
      <c r="I3263" s="4307"/>
      <c r="J3263" s="1029" t="str">
        <f>$C$1890</f>
        <v>355150_2024_12_</v>
      </c>
      <c r="K3263" s="1795">
        <v>14.3</v>
      </c>
      <c r="L3263" s="13"/>
      <c r="M3263" s="1378" t="s">
        <v>1941</v>
      </c>
      <c r="P3263" s="261"/>
      <c r="Q3263" s="209"/>
      <c r="R3263" s="261"/>
      <c r="S3263" s="52"/>
      <c r="T3263" s="181"/>
      <c r="U3263" s="52"/>
      <c r="V3263" s="4295"/>
      <c r="W3263" s="1396">
        <v>14</v>
      </c>
      <c r="X3263" s="1396">
        <v>14</v>
      </c>
      <c r="Y3263" s="1396">
        <v>14</v>
      </c>
      <c r="Z3263" s="1396">
        <v>14</v>
      </c>
      <c r="AA3263" s="1396">
        <v>14</v>
      </c>
      <c r="AB3263" s="211">
        <v>14</v>
      </c>
      <c r="AC3263" s="211">
        <v>14</v>
      </c>
      <c r="AD3263" s="970">
        <v>14</v>
      </c>
      <c r="AE3263" s="1101">
        <v>15</v>
      </c>
      <c r="AF3263" s="271">
        <f t="shared" si="336"/>
        <v>14.3</v>
      </c>
      <c r="AG3263" s="1396"/>
      <c r="DG3263" s="573"/>
      <c r="DH3263" s="159"/>
      <c r="DI3263" s="1091"/>
      <c r="DJ3263" s="1187"/>
    </row>
    <row r="3264" spans="1:114" ht="15.75" hidden="1" customHeight="1" outlineLevel="1">
      <c r="A3264" s="453"/>
      <c r="C3264" s="51"/>
      <c r="D3264" s="4303"/>
      <c r="E3264" s="4295"/>
      <c r="F3264" s="4347" t="str">
        <f>$E$1892</f>
        <v>ASHP-SEER21_ROF_MF_CompE</v>
      </c>
      <c r="G3264" s="4347"/>
      <c r="H3264" s="4347"/>
      <c r="I3264" s="4347"/>
      <c r="J3264" s="3471" t="str">
        <f>$C$1892</f>
        <v>355151_2024_12_</v>
      </c>
      <c r="K3264" s="2283">
        <v>14.3</v>
      </c>
      <c r="L3264" s="3479"/>
      <c r="M3264" s="2425" t="s">
        <v>1941</v>
      </c>
      <c r="P3264" s="261"/>
      <c r="Q3264" s="209"/>
      <c r="R3264" s="261"/>
      <c r="S3264" s="52"/>
      <c r="T3264" s="181"/>
      <c r="U3264" s="52"/>
      <c r="V3264" s="4295"/>
      <c r="W3264" s="1396"/>
      <c r="X3264" s="1396"/>
      <c r="Y3264" s="3265">
        <v>14</v>
      </c>
      <c r="Z3264" s="3262">
        <v>14</v>
      </c>
      <c r="AA3264" s="3262">
        <v>14</v>
      </c>
      <c r="AB3264" s="3286">
        <v>14</v>
      </c>
      <c r="AC3264" s="3286">
        <v>14</v>
      </c>
      <c r="AD3264" s="3484">
        <v>14</v>
      </c>
      <c r="AE3264" s="3482">
        <v>15</v>
      </c>
      <c r="AF3264" s="2236">
        <f t="shared" si="336"/>
        <v>14.3</v>
      </c>
      <c r="AG3264" s="1396"/>
      <c r="DG3264" s="573"/>
      <c r="DH3264" s="159"/>
      <c r="DI3264" s="1091"/>
      <c r="DJ3264" s="1187"/>
    </row>
    <row r="3265" spans="1:114" ht="15" hidden="1" customHeight="1" outlineLevel="1">
      <c r="A3265" s="453"/>
      <c r="C3265" s="51"/>
      <c r="D3265" s="4295" t="s">
        <v>2125</v>
      </c>
      <c r="E3265" s="4295" t="s">
        <v>2506</v>
      </c>
      <c r="F3265" s="4307" t="str">
        <f>$E$1508</f>
        <v>ASHP-SEER15-Replace_CAC_ElectricHeat_ER1_SF</v>
      </c>
      <c r="G3265" s="4307"/>
      <c r="H3265" s="4307"/>
      <c r="I3265" s="4307"/>
      <c r="J3265" s="1029" t="str">
        <f>$C$1508</f>
        <v>352300_2024_12_</v>
      </c>
      <c r="K3265" s="1758">
        <v>15.126497005988021</v>
      </c>
      <c r="L3265" s="13"/>
      <c r="M3265" s="1378" t="s">
        <v>1934</v>
      </c>
      <c r="P3265" s="261"/>
      <c r="Q3265" s="261"/>
      <c r="R3265" s="261"/>
      <c r="S3265" s="52"/>
      <c r="T3265" s="181"/>
      <c r="U3265" s="52"/>
      <c r="V3265" s="4295" t="s">
        <v>2128</v>
      </c>
      <c r="W3265" s="1396">
        <v>15.1</v>
      </c>
      <c r="X3265" s="833">
        <v>15.12</v>
      </c>
      <c r="Y3265" s="833">
        <v>15.11</v>
      </c>
      <c r="Z3265" s="1396">
        <v>15.11</v>
      </c>
      <c r="AA3265" s="1396">
        <v>15.11</v>
      </c>
      <c r="AB3265" s="212">
        <v>15.12889344262295</v>
      </c>
      <c r="AC3265" s="212">
        <v>15.121398305084742</v>
      </c>
      <c r="AD3265" s="212">
        <v>15.131096196868006</v>
      </c>
      <c r="AE3265" s="212">
        <v>15.126497005988021</v>
      </c>
      <c r="AF3265" s="271">
        <f t="shared" si="336"/>
        <v>15.126497005988021</v>
      </c>
      <c r="AG3265" s="1396"/>
      <c r="DG3265" s="573"/>
      <c r="DH3265" s="159"/>
      <c r="DI3265" s="1091"/>
      <c r="DJ3265" s="1187"/>
    </row>
    <row r="3266" spans="1:114" ht="15" hidden="1" customHeight="1" outlineLevel="1">
      <c r="A3266" s="453"/>
      <c r="C3266" s="51"/>
      <c r="D3266" s="4295"/>
      <c r="E3266" s="4295"/>
      <c r="F3266" s="4307" t="str">
        <f>$E$1510</f>
        <v>ASHP-SEER15-Replace_CAC_ElectricHeat_ER2_SF</v>
      </c>
      <c r="G3266" s="4307"/>
      <c r="H3266" s="4307"/>
      <c r="I3266" s="4307"/>
      <c r="J3266" s="1029" t="str">
        <f>$C$1510</f>
        <v>352300_2024_12_</v>
      </c>
      <c r="K3266" s="1758">
        <v>15.126497005988021</v>
      </c>
      <c r="L3266" s="13"/>
      <c r="M3266" s="1740" t="s">
        <v>1945</v>
      </c>
      <c r="P3266" s="261"/>
      <c r="Q3266" s="261"/>
      <c r="R3266" s="261"/>
      <c r="S3266" s="52"/>
      <c r="T3266" s="181"/>
      <c r="U3266" s="52"/>
      <c r="V3266" s="4295"/>
      <c r="W3266" s="1396">
        <v>15.1</v>
      </c>
      <c r="X3266" s="833">
        <v>15.12</v>
      </c>
      <c r="Y3266" s="833">
        <v>15.11</v>
      </c>
      <c r="Z3266" s="1396">
        <v>15.11</v>
      </c>
      <c r="AA3266" s="1396">
        <v>15.11</v>
      </c>
      <c r="AB3266" s="212">
        <v>15.12889344262295</v>
      </c>
      <c r="AC3266" s="212">
        <f>AC3265</f>
        <v>15.121398305084742</v>
      </c>
      <c r="AD3266" s="212">
        <v>15.131096196868006</v>
      </c>
      <c r="AE3266" s="212">
        <v>15.126497005988021</v>
      </c>
      <c r="AF3266" s="271">
        <f t="shared" si="336"/>
        <v>15.126497005988021</v>
      </c>
      <c r="AG3266" s="1396"/>
      <c r="DG3266" s="573"/>
      <c r="DH3266" s="159"/>
      <c r="DI3266" s="1091"/>
      <c r="DJ3266" s="1187"/>
    </row>
    <row r="3267" spans="1:114" ht="15" hidden="1" customHeight="1" outlineLevel="1">
      <c r="A3267" s="453"/>
      <c r="C3267" s="51"/>
      <c r="D3267" s="4295"/>
      <c r="E3267" s="4295"/>
      <c r="F3267" s="4307" t="str">
        <f>$E$1512</f>
        <v>ASHP-SEER15-Replace_CAC_NonElectricHeat_ER1_SF</v>
      </c>
      <c r="G3267" s="4307"/>
      <c r="H3267" s="4307"/>
      <c r="I3267" s="4307"/>
      <c r="J3267" s="1029" t="str">
        <f>$C$1512</f>
        <v>352310_2024_12_</v>
      </c>
      <c r="K3267" s="1758">
        <v>15.126497005988021</v>
      </c>
      <c r="L3267" s="13"/>
      <c r="M3267" s="1740" t="s">
        <v>1945</v>
      </c>
      <c r="P3267" s="261"/>
      <c r="Q3267" s="261"/>
      <c r="R3267" s="261"/>
      <c r="S3267" s="52"/>
      <c r="T3267" s="181"/>
      <c r="U3267" s="52"/>
      <c r="V3267" s="4295"/>
      <c r="W3267" s="1396"/>
      <c r="X3267" s="833"/>
      <c r="Y3267" s="833"/>
      <c r="Z3267" s="1396"/>
      <c r="AA3267" s="1396"/>
      <c r="AB3267" s="212"/>
      <c r="AC3267" s="212">
        <v>15.121398305084742</v>
      </c>
      <c r="AD3267" s="212">
        <v>15.131096196868006</v>
      </c>
      <c r="AE3267" s="212">
        <v>15.126497005988021</v>
      </c>
      <c r="AF3267" s="271">
        <f t="shared" si="336"/>
        <v>15.126497005988021</v>
      </c>
      <c r="AG3267" s="1396"/>
      <c r="DG3267" s="573"/>
      <c r="DH3267" s="159"/>
      <c r="DI3267" s="1091"/>
      <c r="DJ3267" s="1187"/>
    </row>
    <row r="3268" spans="1:114" ht="15" hidden="1" customHeight="1" outlineLevel="1">
      <c r="A3268" s="453"/>
      <c r="C3268" s="51"/>
      <c r="D3268" s="4295"/>
      <c r="E3268" s="4295"/>
      <c r="F3268" s="4307" t="str">
        <f>$E$1514</f>
        <v>ASHP-SEER15-Replace_CAC_NonElectricHeat_ER2_SF</v>
      </c>
      <c r="G3268" s="4307"/>
      <c r="H3268" s="4307"/>
      <c r="I3268" s="4307"/>
      <c r="J3268" s="1029" t="str">
        <f>$C$1514</f>
        <v>352310_2024_12_</v>
      </c>
      <c r="K3268" s="1758">
        <v>15.126497005988021</v>
      </c>
      <c r="L3268" s="13"/>
      <c r="M3268" s="1740" t="s">
        <v>1945</v>
      </c>
      <c r="P3268" s="261"/>
      <c r="Q3268" s="261"/>
      <c r="R3268" s="261"/>
      <c r="S3268" s="52"/>
      <c r="T3268" s="181"/>
      <c r="U3268" s="52"/>
      <c r="V3268" s="4295"/>
      <c r="W3268" s="1396"/>
      <c r="X3268" s="833"/>
      <c r="Y3268" s="833"/>
      <c r="Z3268" s="1396"/>
      <c r="AA3268" s="1396"/>
      <c r="AB3268" s="212"/>
      <c r="AC3268" s="212">
        <f>AC3267</f>
        <v>15.121398305084742</v>
      </c>
      <c r="AD3268" s="212">
        <v>15.131096196868006</v>
      </c>
      <c r="AE3268" s="212">
        <v>15.126497005988021</v>
      </c>
      <c r="AF3268" s="271">
        <f t="shared" si="336"/>
        <v>15.126497005988021</v>
      </c>
      <c r="AG3268" s="1396"/>
      <c r="DG3268" s="573"/>
      <c r="DH3268" s="159"/>
      <c r="DI3268" s="1091"/>
      <c r="DJ3268" s="1187"/>
    </row>
    <row r="3269" spans="1:114" ht="15" hidden="1" customHeight="1" outlineLevel="1">
      <c r="A3269" s="453"/>
      <c r="C3269" s="51"/>
      <c r="D3269" s="4295"/>
      <c r="E3269" s="4295"/>
      <c r="F3269" s="4307" t="str">
        <f>$E$1516</f>
        <v>ASHP-SEER15_ER1_SF</v>
      </c>
      <c r="G3269" s="4307"/>
      <c r="H3269" s="4307"/>
      <c r="I3269" s="4307"/>
      <c r="J3269" s="1029" t="str">
        <f>$C$1516</f>
        <v>352350_2024_12_</v>
      </c>
      <c r="K3269" s="1758">
        <v>15.126497005988021</v>
      </c>
      <c r="L3269" s="13"/>
      <c r="M3269" s="1740" t="s">
        <v>1945</v>
      </c>
      <c r="P3269" s="261"/>
      <c r="Q3269" s="261"/>
      <c r="R3269" s="261"/>
      <c r="S3269" s="52"/>
      <c r="T3269" s="181"/>
      <c r="U3269" s="52"/>
      <c r="V3269" s="4295"/>
      <c r="W3269" s="1396">
        <v>15.1</v>
      </c>
      <c r="X3269" s="833">
        <v>15.12</v>
      </c>
      <c r="Y3269" s="833">
        <v>15.12</v>
      </c>
      <c r="Z3269" s="1396">
        <v>15.12</v>
      </c>
      <c r="AA3269" s="1396">
        <v>15.12</v>
      </c>
      <c r="AB3269" s="212">
        <v>15.124074074074072</v>
      </c>
      <c r="AC3269" s="212">
        <v>15.142532467532467</v>
      </c>
      <c r="AD3269" s="212">
        <v>15.131096196868006</v>
      </c>
      <c r="AE3269" s="212">
        <v>15.126497005988021</v>
      </c>
      <c r="AF3269" s="271">
        <f t="shared" si="336"/>
        <v>15.126497005988021</v>
      </c>
      <c r="AG3269" s="1396"/>
      <c r="DG3269" s="573"/>
      <c r="DH3269" s="159"/>
      <c r="DI3269" s="1091"/>
      <c r="DJ3269" s="1187"/>
    </row>
    <row r="3270" spans="1:114" ht="15" hidden="1" customHeight="1" outlineLevel="1">
      <c r="A3270" s="453"/>
      <c r="C3270" s="51"/>
      <c r="D3270" s="4295"/>
      <c r="E3270" s="4295"/>
      <c r="F3270" s="4307" t="str">
        <f>$E$1518</f>
        <v>ASHP-SEER15_ER2_SF</v>
      </c>
      <c r="G3270" s="4307"/>
      <c r="H3270" s="4307"/>
      <c r="I3270" s="4307"/>
      <c r="J3270" s="1029" t="str">
        <f>$C$1518</f>
        <v>352350_2024_12_</v>
      </c>
      <c r="K3270" s="1758">
        <v>15.126497005988021</v>
      </c>
      <c r="L3270" s="13"/>
      <c r="M3270" s="1740" t="s">
        <v>1945</v>
      </c>
      <c r="P3270" s="261"/>
      <c r="Q3270" s="261"/>
      <c r="R3270" s="261"/>
      <c r="S3270" s="52"/>
      <c r="T3270" s="181"/>
      <c r="U3270" s="52"/>
      <c r="V3270" s="4295"/>
      <c r="W3270" s="1396">
        <v>15.1</v>
      </c>
      <c r="X3270" s="833">
        <v>15.12</v>
      </c>
      <c r="Y3270" s="833">
        <v>15.12</v>
      </c>
      <c r="Z3270" s="1396">
        <v>15.12</v>
      </c>
      <c r="AA3270" s="1396">
        <v>15.12</v>
      </c>
      <c r="AB3270" s="212">
        <v>15.124074074074072</v>
      </c>
      <c r="AC3270" s="212">
        <f>AC3269</f>
        <v>15.142532467532467</v>
      </c>
      <c r="AD3270" s="212">
        <v>15.131096196868006</v>
      </c>
      <c r="AE3270" s="212">
        <v>15.126497005988021</v>
      </c>
      <c r="AF3270" s="271">
        <f t="shared" si="336"/>
        <v>15.126497005988021</v>
      </c>
      <c r="AG3270" s="1396"/>
      <c r="DG3270" s="573"/>
      <c r="DH3270" s="159"/>
      <c r="DI3270" s="1091"/>
      <c r="DJ3270" s="1187"/>
    </row>
    <row r="3271" spans="1:114" ht="15" hidden="1" customHeight="1" outlineLevel="1">
      <c r="A3271" s="453"/>
      <c r="C3271" s="51"/>
      <c r="D3271" s="4295"/>
      <c r="E3271" s="4295"/>
      <c r="F3271" s="4307" t="str">
        <f>$E$1520</f>
        <v>ASHP-SEER15-Replace_CAC_ElectricHeat_ROF_SF</v>
      </c>
      <c r="G3271" s="4307"/>
      <c r="H3271" s="4307"/>
      <c r="I3271" s="4307"/>
      <c r="J3271" s="1029" t="str">
        <f>$C$1520</f>
        <v>352400_2024_12_</v>
      </c>
      <c r="K3271" s="1758">
        <v>15.136274509803922</v>
      </c>
      <c r="L3271" s="262"/>
      <c r="M3271" s="1740" t="s">
        <v>1934</v>
      </c>
      <c r="P3271" s="261"/>
      <c r="Q3271" s="261"/>
      <c r="R3271" s="261"/>
      <c r="S3271" s="52"/>
      <c r="T3271" s="181"/>
      <c r="U3271" s="52"/>
      <c r="V3271" s="4295"/>
      <c r="W3271" s="1396">
        <v>15.2</v>
      </c>
      <c r="X3271" s="833">
        <v>15.12</v>
      </c>
      <c r="Y3271" s="833">
        <v>15.11</v>
      </c>
      <c r="Z3271" s="1396">
        <v>15.11</v>
      </c>
      <c r="AA3271" s="1396">
        <v>15.11</v>
      </c>
      <c r="AB3271" s="212">
        <v>15.185106382978724</v>
      </c>
      <c r="AC3271" s="212">
        <v>15.138888888888889</v>
      </c>
      <c r="AD3271" s="212">
        <v>15.185779816513762</v>
      </c>
      <c r="AE3271" s="212">
        <v>15.136274509803922</v>
      </c>
      <c r="AF3271" s="271">
        <f t="shared" si="336"/>
        <v>15.136274509803922</v>
      </c>
      <c r="AG3271" s="1396"/>
      <c r="DG3271" s="573"/>
      <c r="DH3271" s="159"/>
      <c r="DI3271" s="1091"/>
      <c r="DJ3271" s="1187"/>
    </row>
    <row r="3272" spans="1:114" ht="15" hidden="1" customHeight="1" outlineLevel="1">
      <c r="A3272" s="453"/>
      <c r="C3272" s="51"/>
      <c r="D3272" s="4295"/>
      <c r="E3272" s="4295"/>
      <c r="F3272" s="4307" t="str">
        <f>$E$1522</f>
        <v>ASHP-SEER15-Replace_CAC_NonElectricHeat_ROF_SF</v>
      </c>
      <c r="G3272" s="4307"/>
      <c r="H3272" s="4307"/>
      <c r="I3272" s="4307"/>
      <c r="J3272" s="1029" t="str">
        <f>$C$1522</f>
        <v>352410_2024_12_</v>
      </c>
      <c r="K3272" s="1758">
        <v>15.136274509803922</v>
      </c>
      <c r="L3272" s="262"/>
      <c r="M3272" s="1740" t="s">
        <v>1945</v>
      </c>
      <c r="P3272" s="261"/>
      <c r="Q3272" s="261"/>
      <c r="R3272" s="261"/>
      <c r="S3272" s="52"/>
      <c r="T3272" s="181"/>
      <c r="U3272" s="52"/>
      <c r="V3272" s="4295"/>
      <c r="W3272" s="1396"/>
      <c r="X3272" s="833"/>
      <c r="Y3272" s="833"/>
      <c r="Z3272" s="1396"/>
      <c r="AA3272" s="1396"/>
      <c r="AB3272" s="212"/>
      <c r="AC3272" s="212">
        <v>15.138888888888889</v>
      </c>
      <c r="AD3272" s="212">
        <v>15.185779816513762</v>
      </c>
      <c r="AE3272" s="212">
        <v>15.136274509803922</v>
      </c>
      <c r="AF3272" s="271">
        <f t="shared" si="336"/>
        <v>15.136274509803922</v>
      </c>
      <c r="AG3272" s="1396"/>
      <c r="DG3272" s="573"/>
      <c r="DH3272" s="159"/>
      <c r="DI3272" s="1091"/>
      <c r="DJ3272" s="1187"/>
    </row>
    <row r="3273" spans="1:114" ht="15" hidden="1" customHeight="1" outlineLevel="1">
      <c r="A3273" s="453"/>
      <c r="C3273" s="51"/>
      <c r="D3273" s="4295"/>
      <c r="E3273" s="4295"/>
      <c r="F3273" s="4347" t="str">
        <f>$E$1524</f>
        <v>ASHP-SEER15_ROF_SF</v>
      </c>
      <c r="G3273" s="4347"/>
      <c r="H3273" s="4347"/>
      <c r="I3273" s="4347"/>
      <c r="J3273" s="3471" t="str">
        <f>$C$1524</f>
        <v>352450_2024_12_</v>
      </c>
      <c r="K3273" s="3283">
        <v>15.136274509803922</v>
      </c>
      <c r="L3273" s="3479"/>
      <c r="M3273" s="3293" t="s">
        <v>1945</v>
      </c>
      <c r="P3273" s="261"/>
      <c r="Q3273" s="261"/>
      <c r="R3273" s="261"/>
      <c r="S3273" s="52"/>
      <c r="T3273" s="181"/>
      <c r="U3273" s="52"/>
      <c r="V3273" s="4295"/>
      <c r="W3273" s="3262">
        <v>15.1</v>
      </c>
      <c r="X3273" s="3265">
        <v>15.12</v>
      </c>
      <c r="Y3273" s="3265">
        <v>15.17</v>
      </c>
      <c r="Z3273" s="3262">
        <v>15.17</v>
      </c>
      <c r="AA3273" s="3262">
        <v>15.17</v>
      </c>
      <c r="AB3273" s="3286">
        <v>15.17</v>
      </c>
      <c r="AC3273" s="3285">
        <v>15.076785714285716</v>
      </c>
      <c r="AD3273" s="3285">
        <v>15.185779816513762</v>
      </c>
      <c r="AE3273" s="3285">
        <v>15.136274509803922</v>
      </c>
      <c r="AF3273" s="2236">
        <f t="shared" si="336"/>
        <v>15.136274509803922</v>
      </c>
      <c r="AG3273" s="1396"/>
      <c r="DG3273" s="573"/>
      <c r="DH3273" s="159"/>
      <c r="DI3273" s="1091"/>
      <c r="DJ3273" s="1187"/>
    </row>
    <row r="3274" spans="1:114" ht="15" hidden="1" customHeight="1" outlineLevel="1">
      <c r="A3274" s="453"/>
      <c r="C3274" s="51"/>
      <c r="D3274" s="4295"/>
      <c r="E3274" s="4295"/>
      <c r="F3274" s="4307" t="str">
        <f>$E$1526</f>
        <v>ASHP-SEER16-Replace_CAC_ElectricHeat_ER1_SF</v>
      </c>
      <c r="G3274" s="4307"/>
      <c r="H3274" s="4307"/>
      <c r="I3274" s="4307"/>
      <c r="J3274" s="1029" t="str">
        <f>$C$1526</f>
        <v>352500_2024_12_</v>
      </c>
      <c r="K3274" s="916">
        <v>16.050092936802972</v>
      </c>
      <c r="L3274" s="262"/>
      <c r="M3274" s="1739" t="s">
        <v>1934</v>
      </c>
      <c r="P3274" s="261"/>
      <c r="Q3274" s="261"/>
      <c r="R3274" s="261"/>
      <c r="S3274" s="52"/>
      <c r="T3274" s="181"/>
      <c r="U3274" s="52"/>
      <c r="V3274" s="4295"/>
      <c r="W3274" s="1396">
        <v>16</v>
      </c>
      <c r="X3274" s="1396">
        <v>16</v>
      </c>
      <c r="Y3274" s="1396">
        <v>16</v>
      </c>
      <c r="Z3274" s="1396">
        <v>16</v>
      </c>
      <c r="AA3274" s="1396">
        <v>16</v>
      </c>
      <c r="AB3274" s="212">
        <v>16.252500000000001</v>
      </c>
      <c r="AC3274" s="212">
        <v>16.068085106382977</v>
      </c>
      <c r="AD3274" s="969">
        <v>16.062186978297163</v>
      </c>
      <c r="AE3274" s="969">
        <v>16.050092936802972</v>
      </c>
      <c r="AF3274" s="271">
        <f t="shared" si="336"/>
        <v>16.050092936802972</v>
      </c>
      <c r="AG3274" s="1396"/>
      <c r="DG3274" s="573"/>
      <c r="DH3274" s="159"/>
      <c r="DI3274" s="1091"/>
      <c r="DJ3274" s="1187"/>
    </row>
    <row r="3275" spans="1:114" ht="15" hidden="1" customHeight="1" outlineLevel="1">
      <c r="A3275" s="453"/>
      <c r="C3275" s="51"/>
      <c r="D3275" s="4295"/>
      <c r="E3275" s="4295"/>
      <c r="F3275" s="4307" t="str">
        <f>$E$1528</f>
        <v>ASHP-SEER16-Replace_CAC_ElectricHeat_ER2_SF</v>
      </c>
      <c r="G3275" s="4307"/>
      <c r="H3275" s="4307"/>
      <c r="I3275" s="4307"/>
      <c r="J3275" s="1029" t="str">
        <f>$C$1528</f>
        <v>352500_2024_12_</v>
      </c>
      <c r="K3275" s="916">
        <v>16.050092936802972</v>
      </c>
      <c r="L3275" s="262"/>
      <c r="M3275" s="1739" t="s">
        <v>1945</v>
      </c>
      <c r="P3275" s="261"/>
      <c r="Q3275" s="261"/>
      <c r="R3275" s="261"/>
      <c r="S3275" s="52"/>
      <c r="T3275" s="181"/>
      <c r="U3275" s="52"/>
      <c r="V3275" s="4295"/>
      <c r="W3275" s="1396">
        <v>16</v>
      </c>
      <c r="X3275" s="1396">
        <v>16</v>
      </c>
      <c r="Y3275" s="1396">
        <v>16</v>
      </c>
      <c r="Z3275" s="1396">
        <v>16</v>
      </c>
      <c r="AA3275" s="1396">
        <v>16</v>
      </c>
      <c r="AB3275" s="212">
        <v>16.252500000000001</v>
      </c>
      <c r="AC3275" s="212">
        <f>AC3274</f>
        <v>16.068085106382977</v>
      </c>
      <c r="AD3275" s="969">
        <v>16.062186978297163</v>
      </c>
      <c r="AE3275" s="969">
        <v>16.050092936802972</v>
      </c>
      <c r="AF3275" s="271">
        <f t="shared" si="336"/>
        <v>16.050092936802972</v>
      </c>
      <c r="AG3275" s="1396"/>
      <c r="DG3275" s="573"/>
      <c r="DH3275" s="159"/>
      <c r="DI3275" s="1091"/>
      <c r="DJ3275" s="1187"/>
    </row>
    <row r="3276" spans="1:114" ht="15" hidden="1" customHeight="1" outlineLevel="1">
      <c r="A3276" s="453"/>
      <c r="C3276" s="51"/>
      <c r="D3276" s="4295"/>
      <c r="E3276" s="4295"/>
      <c r="F3276" s="4307" t="str">
        <f>$E$1530</f>
        <v>ASHP-SEER16-Replace_CAC_NonElectricHeat_ER1_SF</v>
      </c>
      <c r="G3276" s="4307"/>
      <c r="H3276" s="4307"/>
      <c r="I3276" s="4307"/>
      <c r="J3276" s="1029" t="str">
        <f>$C$1530</f>
        <v>352510_2024_12_</v>
      </c>
      <c r="K3276" s="916">
        <v>16.050092936802972</v>
      </c>
      <c r="L3276" s="262"/>
      <c r="M3276" s="1740" t="s">
        <v>1945</v>
      </c>
      <c r="P3276" s="261"/>
      <c r="Q3276" s="261"/>
      <c r="R3276" s="261"/>
      <c r="S3276" s="52"/>
      <c r="T3276" s="181"/>
      <c r="U3276" s="52"/>
      <c r="V3276" s="4295"/>
      <c r="W3276" s="1396"/>
      <c r="X3276" s="1396"/>
      <c r="Y3276" s="1396"/>
      <c r="Z3276" s="1396"/>
      <c r="AA3276" s="1396"/>
      <c r="AB3276" s="212"/>
      <c r="AC3276" s="212">
        <v>16.068085106382977</v>
      </c>
      <c r="AD3276" s="969">
        <v>16.062186978297163</v>
      </c>
      <c r="AE3276" s="969">
        <v>16.050092936802972</v>
      </c>
      <c r="AF3276" s="271">
        <f t="shared" si="336"/>
        <v>16.050092936802972</v>
      </c>
      <c r="AG3276" s="1396"/>
      <c r="DG3276" s="573"/>
      <c r="DH3276" s="159"/>
      <c r="DI3276" s="1091"/>
      <c r="DJ3276" s="1187"/>
    </row>
    <row r="3277" spans="1:114" ht="15" hidden="1" customHeight="1" outlineLevel="1">
      <c r="A3277" s="453"/>
      <c r="C3277" s="51"/>
      <c r="D3277" s="4295"/>
      <c r="E3277" s="4295"/>
      <c r="F3277" s="4307" t="str">
        <f>$E$1532</f>
        <v>ASHP-SEER16-Replace_CAC_NonElectricHeat_ER2_SF</v>
      </c>
      <c r="G3277" s="4307"/>
      <c r="H3277" s="4307"/>
      <c r="I3277" s="4307"/>
      <c r="J3277" s="1029" t="str">
        <f>$C$1532</f>
        <v>352510_2024_12_</v>
      </c>
      <c r="K3277" s="916">
        <v>16.050092936802972</v>
      </c>
      <c r="L3277" s="262"/>
      <c r="M3277" s="1740" t="s">
        <v>1945</v>
      </c>
      <c r="P3277" s="261"/>
      <c r="Q3277" s="261"/>
      <c r="R3277" s="261"/>
      <c r="S3277" s="52"/>
      <c r="T3277" s="181"/>
      <c r="U3277" s="52"/>
      <c r="V3277" s="4295"/>
      <c r="W3277" s="1396"/>
      <c r="X3277" s="1396"/>
      <c r="Y3277" s="1396"/>
      <c r="Z3277" s="1396"/>
      <c r="AA3277" s="1396"/>
      <c r="AB3277" s="212"/>
      <c r="AC3277" s="212">
        <f>AC3276</f>
        <v>16.068085106382977</v>
      </c>
      <c r="AD3277" s="969">
        <v>16.062186978297163</v>
      </c>
      <c r="AE3277" s="969">
        <v>16.050092936802972</v>
      </c>
      <c r="AF3277" s="271">
        <f t="shared" si="336"/>
        <v>16.050092936802972</v>
      </c>
      <c r="AG3277" s="1396"/>
      <c r="DG3277" s="573"/>
      <c r="DH3277" s="159"/>
      <c r="DI3277" s="1091"/>
      <c r="DJ3277" s="1187"/>
    </row>
    <row r="3278" spans="1:114" ht="15" hidden="1" customHeight="1" outlineLevel="1">
      <c r="A3278" s="453"/>
      <c r="C3278" s="51"/>
      <c r="D3278" s="4295"/>
      <c r="E3278" s="4295"/>
      <c r="F3278" s="4307" t="str">
        <f>$E$1534</f>
        <v>ASHP-SEER16_ER1_SF</v>
      </c>
      <c r="G3278" s="4307"/>
      <c r="H3278" s="4307"/>
      <c r="I3278" s="4307"/>
      <c r="J3278" s="1029" t="str">
        <f>$C$1534</f>
        <v>352550_2024_12_</v>
      </c>
      <c r="K3278" s="916">
        <v>16.050092936802972</v>
      </c>
      <c r="L3278" s="262"/>
      <c r="M3278" s="1739" t="s">
        <v>1945</v>
      </c>
      <c r="P3278" s="261"/>
      <c r="Q3278" s="261"/>
      <c r="R3278" s="261"/>
      <c r="S3278" s="52"/>
      <c r="T3278" s="181"/>
      <c r="U3278" s="52"/>
      <c r="V3278" s="4295"/>
      <c r="W3278" s="1396">
        <v>16</v>
      </c>
      <c r="X3278" s="1396">
        <v>16</v>
      </c>
      <c r="Y3278" s="1396">
        <v>16</v>
      </c>
      <c r="Z3278" s="1396">
        <v>16</v>
      </c>
      <c r="AA3278" s="1396">
        <v>16</v>
      </c>
      <c r="AB3278" s="212">
        <v>16.354460093896712</v>
      </c>
      <c r="AC3278" s="212">
        <v>16.110638297872342</v>
      </c>
      <c r="AD3278" s="969">
        <v>16.062186978297163</v>
      </c>
      <c r="AE3278" s="969">
        <v>16.050092936802972</v>
      </c>
      <c r="AF3278" s="271">
        <f t="shared" si="336"/>
        <v>16.050092936802972</v>
      </c>
      <c r="AG3278" s="1396"/>
      <c r="DG3278" s="573"/>
      <c r="DH3278" s="159"/>
      <c r="DI3278" s="1091"/>
      <c r="DJ3278" s="1187"/>
    </row>
    <row r="3279" spans="1:114" ht="15" hidden="1" customHeight="1" outlineLevel="1">
      <c r="A3279" s="453"/>
      <c r="C3279" s="51"/>
      <c r="D3279" s="4295"/>
      <c r="E3279" s="4295"/>
      <c r="F3279" s="4307" t="str">
        <f>$E$1536</f>
        <v>ASHP-SEER16_ER2_SF</v>
      </c>
      <c r="G3279" s="4307"/>
      <c r="H3279" s="4307"/>
      <c r="I3279" s="4307"/>
      <c r="J3279" s="1029" t="str">
        <f>$C$1536</f>
        <v>352550_2024_12_</v>
      </c>
      <c r="K3279" s="916">
        <v>16.050092936802972</v>
      </c>
      <c r="L3279" s="262"/>
      <c r="M3279" s="1739" t="s">
        <v>1945</v>
      </c>
      <c r="P3279" s="261"/>
      <c r="Q3279" s="261"/>
      <c r="R3279" s="261"/>
      <c r="S3279" s="52"/>
      <c r="T3279" s="181"/>
      <c r="U3279" s="52"/>
      <c r="V3279" s="4295"/>
      <c r="W3279" s="1396">
        <v>16</v>
      </c>
      <c r="X3279" s="1396">
        <v>16</v>
      </c>
      <c r="Y3279" s="1396">
        <v>16</v>
      </c>
      <c r="Z3279" s="1396">
        <v>16</v>
      </c>
      <c r="AA3279" s="1396">
        <v>16</v>
      </c>
      <c r="AB3279" s="212">
        <v>16.354460093896712</v>
      </c>
      <c r="AC3279" s="212">
        <f>AC3278</f>
        <v>16.110638297872342</v>
      </c>
      <c r="AD3279" s="969">
        <v>16.062186978297163</v>
      </c>
      <c r="AE3279" s="969">
        <v>16.050092936802972</v>
      </c>
      <c r="AF3279" s="271">
        <f t="shared" si="336"/>
        <v>16.050092936802972</v>
      </c>
      <c r="AG3279" s="1396"/>
      <c r="DG3279" s="573"/>
      <c r="DH3279" s="159"/>
      <c r="DI3279" s="1091"/>
      <c r="DJ3279" s="1187"/>
    </row>
    <row r="3280" spans="1:114" ht="15" hidden="1" customHeight="1" outlineLevel="1">
      <c r="A3280" s="453"/>
      <c r="C3280" s="51"/>
      <c r="D3280" s="4295"/>
      <c r="E3280" s="4295"/>
      <c r="F3280" s="4307" t="str">
        <f>$E$1538</f>
        <v>ASHP-SEER16-Replace_CAC_ElectricHeat_ROF_SF</v>
      </c>
      <c r="G3280" s="4307"/>
      <c r="H3280" s="4307"/>
      <c r="I3280" s="4307"/>
      <c r="J3280" s="1029" t="str">
        <f>$C$1538</f>
        <v>352600_2024_12_</v>
      </c>
      <c r="K3280" s="916">
        <v>16.04718309859155</v>
      </c>
      <c r="L3280" s="262"/>
      <c r="M3280" s="1739" t="s">
        <v>1937</v>
      </c>
      <c r="P3280" s="261"/>
      <c r="Q3280" s="261"/>
      <c r="R3280" s="261"/>
      <c r="S3280" s="52"/>
      <c r="T3280" s="181"/>
      <c r="U3280" s="52"/>
      <c r="V3280" s="4295"/>
      <c r="W3280" s="1396">
        <v>16</v>
      </c>
      <c r="X3280" s="1396">
        <v>16</v>
      </c>
      <c r="Y3280" s="1396">
        <v>16</v>
      </c>
      <c r="Z3280" s="1396">
        <v>16</v>
      </c>
      <c r="AA3280" s="1396">
        <v>16</v>
      </c>
      <c r="AB3280" s="212">
        <v>16.166666666666668</v>
      </c>
      <c r="AC3280" s="212">
        <v>16.534177215189874</v>
      </c>
      <c r="AD3280" s="969">
        <v>16.060243902439023</v>
      </c>
      <c r="AE3280" s="969">
        <v>16.04718309859155</v>
      </c>
      <c r="AF3280" s="271">
        <f t="shared" si="336"/>
        <v>16.04718309859155</v>
      </c>
      <c r="AG3280" s="1396"/>
      <c r="DG3280" s="573"/>
      <c r="DH3280" s="159"/>
      <c r="DI3280" s="1091"/>
      <c r="DJ3280" s="1187"/>
    </row>
    <row r="3281" spans="1:114" ht="15" hidden="1" customHeight="1" outlineLevel="1">
      <c r="A3281" s="453"/>
      <c r="C3281" s="51"/>
      <c r="D3281" s="4295"/>
      <c r="E3281" s="4295"/>
      <c r="F3281" s="4307" t="str">
        <f>$E$1540</f>
        <v>ASHP-SEER16-Replace_CAC_NonElectricHeat_ROF_SF</v>
      </c>
      <c r="G3281" s="4307"/>
      <c r="H3281" s="4307"/>
      <c r="I3281" s="4307"/>
      <c r="J3281" s="1029" t="str">
        <f>$C$1540</f>
        <v>352610_2024_12_</v>
      </c>
      <c r="K3281" s="916">
        <v>16.04718309859155</v>
      </c>
      <c r="L3281" s="262"/>
      <c r="M3281" s="1739" t="s">
        <v>1945</v>
      </c>
      <c r="P3281" s="261"/>
      <c r="Q3281" s="261"/>
      <c r="R3281" s="261"/>
      <c r="S3281" s="52"/>
      <c r="T3281" s="181"/>
      <c r="U3281" s="52"/>
      <c r="V3281" s="4295"/>
      <c r="W3281" s="1396"/>
      <c r="X3281" s="1396"/>
      <c r="Y3281" s="1396"/>
      <c r="Z3281" s="1396"/>
      <c r="AA3281" s="1396"/>
      <c r="AB3281" s="212"/>
      <c r="AC3281" s="212"/>
      <c r="AD3281" s="969">
        <v>16.060243902439023</v>
      </c>
      <c r="AE3281" s="969">
        <v>16.04718309859155</v>
      </c>
      <c r="AF3281" s="271">
        <f t="shared" si="336"/>
        <v>16.04718309859155</v>
      </c>
      <c r="AG3281" s="1396"/>
      <c r="DG3281" s="573"/>
      <c r="DH3281" s="159"/>
      <c r="DI3281" s="1091"/>
      <c r="DJ3281" s="1187"/>
    </row>
    <row r="3282" spans="1:114" ht="15" hidden="1" customHeight="1" outlineLevel="1">
      <c r="A3282" s="453"/>
      <c r="C3282" s="51"/>
      <c r="D3282" s="4295"/>
      <c r="E3282" s="4295"/>
      <c r="F3282" s="4307" t="str">
        <f>$E$1542</f>
        <v>ASHP-SEER16_ROF_SF</v>
      </c>
      <c r="G3282" s="4307"/>
      <c r="H3282" s="4307"/>
      <c r="I3282" s="4307"/>
      <c r="J3282" s="1029" t="str">
        <f>$C$1542</f>
        <v>352650_2024_12_</v>
      </c>
      <c r="K3282" s="916">
        <v>16.04718309859155</v>
      </c>
      <c r="L3282" s="262"/>
      <c r="M3282" s="1739" t="s">
        <v>1937</v>
      </c>
      <c r="P3282" s="261"/>
      <c r="Q3282" s="261"/>
      <c r="R3282" s="261"/>
      <c r="S3282" s="52"/>
      <c r="T3282" s="181"/>
      <c r="U3282" s="52"/>
      <c r="V3282" s="4295"/>
      <c r="W3282" s="1396">
        <v>16</v>
      </c>
      <c r="X3282" s="1396">
        <v>16</v>
      </c>
      <c r="Y3282" s="1396">
        <v>16</v>
      </c>
      <c r="Z3282" s="1396">
        <v>16</v>
      </c>
      <c r="AA3282" s="1396">
        <v>16</v>
      </c>
      <c r="AB3282" s="211">
        <v>16</v>
      </c>
      <c r="AC3282" s="212">
        <v>16.039473684210527</v>
      </c>
      <c r="AD3282" s="969">
        <v>16.060243902439023</v>
      </c>
      <c r="AE3282" s="969">
        <v>16.04718309859155</v>
      </c>
      <c r="AF3282" s="271">
        <f t="shared" si="336"/>
        <v>16.04718309859155</v>
      </c>
      <c r="AG3282" s="1396"/>
      <c r="DG3282" s="573"/>
      <c r="DH3282" s="159"/>
      <c r="DI3282" s="1091"/>
      <c r="DJ3282" s="1187"/>
    </row>
    <row r="3283" spans="1:114" ht="15" hidden="1" customHeight="1" outlineLevel="1">
      <c r="A3283" s="453"/>
      <c r="C3283" s="51"/>
      <c r="D3283" s="4295"/>
      <c r="E3283" s="4295"/>
      <c r="F3283" s="4347" t="str">
        <f>$E$1544</f>
        <v>ASHP-SEER15_ER1_MF</v>
      </c>
      <c r="G3283" s="4347"/>
      <c r="H3283" s="4347"/>
      <c r="I3283" s="4347"/>
      <c r="J3283" s="3471" t="str">
        <f>$C$1544</f>
        <v>352700_2024_12_</v>
      </c>
      <c r="K3283" s="3337">
        <v>15.05</v>
      </c>
      <c r="L3283" s="3479"/>
      <c r="M3283" s="3481" t="s">
        <v>1937</v>
      </c>
      <c r="P3283" s="261"/>
      <c r="Q3283" s="261"/>
      <c r="R3283" s="261"/>
      <c r="S3283" s="52"/>
      <c r="T3283" s="181"/>
      <c r="U3283" s="52"/>
      <c r="V3283" s="4295"/>
      <c r="W3283" s="3262">
        <v>15.1</v>
      </c>
      <c r="X3283" s="3262">
        <v>15.1</v>
      </c>
      <c r="Y3283" s="3262">
        <v>15.1</v>
      </c>
      <c r="Z3283" s="3262">
        <v>15.1</v>
      </c>
      <c r="AA3283" s="3262">
        <v>15.1</v>
      </c>
      <c r="AB3283" s="3285">
        <v>15.125</v>
      </c>
      <c r="AC3283" s="3285">
        <v>15.125</v>
      </c>
      <c r="AD3283" s="3482">
        <v>15.05</v>
      </c>
      <c r="AE3283" s="3484">
        <v>15.05</v>
      </c>
      <c r="AF3283" s="2236">
        <f t="shared" si="336"/>
        <v>15.05</v>
      </c>
      <c r="AG3283" s="1396"/>
      <c r="DG3283" s="573"/>
      <c r="DH3283" s="159"/>
      <c r="DI3283" s="1091"/>
      <c r="DJ3283" s="1187"/>
    </row>
    <row r="3284" spans="1:114" ht="15" hidden="1" customHeight="1" outlineLevel="1">
      <c r="A3284" s="453"/>
      <c r="C3284" s="51"/>
      <c r="D3284" s="4295"/>
      <c r="E3284" s="4295"/>
      <c r="F3284" s="4347" t="str">
        <f>$E$1546</f>
        <v>ASHP-SEER15_ER2_MF</v>
      </c>
      <c r="G3284" s="4347"/>
      <c r="H3284" s="4347"/>
      <c r="I3284" s="4347"/>
      <c r="J3284" s="3471" t="str">
        <f>$C$1546</f>
        <v>352700_2024_12_</v>
      </c>
      <c r="K3284" s="3337">
        <v>15.05</v>
      </c>
      <c r="L3284" s="3479"/>
      <c r="M3284" s="3481" t="s">
        <v>1937</v>
      </c>
      <c r="P3284" s="261"/>
      <c r="Q3284" s="261"/>
      <c r="R3284" s="261"/>
      <c r="S3284" s="52"/>
      <c r="T3284" s="181"/>
      <c r="U3284" s="52"/>
      <c r="V3284" s="4295"/>
      <c r="W3284" s="3262">
        <v>15.1</v>
      </c>
      <c r="X3284" s="3262">
        <v>15.1</v>
      </c>
      <c r="Y3284" s="3262">
        <v>15.1</v>
      </c>
      <c r="Z3284" s="3262">
        <v>15.1</v>
      </c>
      <c r="AA3284" s="3262">
        <v>15.1</v>
      </c>
      <c r="AB3284" s="3285">
        <v>15.125</v>
      </c>
      <c r="AC3284" s="3285">
        <f>AC3283</f>
        <v>15.125</v>
      </c>
      <c r="AD3284" s="3482">
        <v>15.05</v>
      </c>
      <c r="AE3284" s="3484">
        <v>15.05</v>
      </c>
      <c r="AF3284" s="2236">
        <f t="shared" si="336"/>
        <v>15.05</v>
      </c>
      <c r="AG3284" s="1396"/>
      <c r="DG3284" s="573"/>
      <c r="DH3284" s="159"/>
      <c r="DI3284" s="1091"/>
      <c r="DJ3284" s="1187"/>
    </row>
    <row r="3285" spans="1:114" ht="15" hidden="1" customHeight="1" outlineLevel="1">
      <c r="A3285" s="453"/>
      <c r="C3285" s="51"/>
      <c r="D3285" s="4295"/>
      <c r="E3285" s="4295"/>
      <c r="F3285" s="4347" t="str">
        <f>$E$1548</f>
        <v>ASHP-SEER15_ER1_MF_CompE</v>
      </c>
      <c r="G3285" s="4347"/>
      <c r="H3285" s="4347"/>
      <c r="I3285" s="4347"/>
      <c r="J3285" s="3471" t="str">
        <f>$C$1548</f>
        <v>352701_2024_12_</v>
      </c>
      <c r="K3285" s="3337">
        <v>15.05</v>
      </c>
      <c r="L3285" s="3479"/>
      <c r="M3285" s="3293" t="s">
        <v>1945</v>
      </c>
      <c r="P3285" s="261"/>
      <c r="Q3285" s="261"/>
      <c r="R3285" s="261"/>
      <c r="S3285" s="52"/>
      <c r="T3285" s="181"/>
      <c r="U3285" s="52"/>
      <c r="V3285" s="4295"/>
      <c r="W3285" s="3262"/>
      <c r="X3285" s="3262"/>
      <c r="Y3285" s="3265">
        <v>15.1</v>
      </c>
      <c r="Z3285" s="3262">
        <v>15.1</v>
      </c>
      <c r="AA3285" s="3262">
        <v>15.1</v>
      </c>
      <c r="AB3285" s="3285">
        <v>15.125</v>
      </c>
      <c r="AC3285" s="3286">
        <f>AC3284</f>
        <v>15.125</v>
      </c>
      <c r="AD3285" s="3482">
        <v>15.05</v>
      </c>
      <c r="AE3285" s="3484">
        <v>15.05</v>
      </c>
      <c r="AF3285" s="2236">
        <f t="shared" si="336"/>
        <v>15.05</v>
      </c>
      <c r="AG3285" s="1396"/>
      <c r="DG3285" s="573"/>
      <c r="DH3285" s="159"/>
      <c r="DI3285" s="1091"/>
      <c r="DJ3285" s="1187"/>
    </row>
    <row r="3286" spans="1:114" ht="15" hidden="1" customHeight="1" outlineLevel="1">
      <c r="A3286" s="453"/>
      <c r="C3286" s="51"/>
      <c r="D3286" s="4295"/>
      <c r="E3286" s="4295"/>
      <c r="F3286" s="4347" t="str">
        <f>$E$1550</f>
        <v>ASHP-SEER15_ER2_MF_CompE</v>
      </c>
      <c r="G3286" s="4347"/>
      <c r="H3286" s="4347"/>
      <c r="I3286" s="4347"/>
      <c r="J3286" s="3471" t="str">
        <f>$C$1550</f>
        <v>352701_2024_12_</v>
      </c>
      <c r="K3286" s="3337">
        <v>15.05</v>
      </c>
      <c r="L3286" s="3479"/>
      <c r="M3286" s="3293" t="s">
        <v>1945</v>
      </c>
      <c r="P3286" s="261"/>
      <c r="Q3286" s="261"/>
      <c r="R3286" s="261"/>
      <c r="S3286" s="52"/>
      <c r="T3286" s="181"/>
      <c r="U3286" s="52"/>
      <c r="V3286" s="4295"/>
      <c r="W3286" s="3262"/>
      <c r="X3286" s="3262"/>
      <c r="Y3286" s="3265">
        <v>15.1</v>
      </c>
      <c r="Z3286" s="3262">
        <v>15.1</v>
      </c>
      <c r="AA3286" s="3262">
        <v>15.1</v>
      </c>
      <c r="AB3286" s="3285">
        <v>15.125</v>
      </c>
      <c r="AC3286" s="3286">
        <f>AC3285</f>
        <v>15.125</v>
      </c>
      <c r="AD3286" s="3482">
        <v>15.05</v>
      </c>
      <c r="AE3286" s="3484">
        <v>15.05</v>
      </c>
      <c r="AF3286" s="2236">
        <f t="shared" si="336"/>
        <v>15.05</v>
      </c>
      <c r="AG3286" s="1396"/>
      <c r="DG3286" s="573"/>
      <c r="DH3286" s="159"/>
      <c r="DI3286" s="1091"/>
      <c r="DJ3286" s="1187"/>
    </row>
    <row r="3287" spans="1:114" ht="15" hidden="1" customHeight="1" outlineLevel="1">
      <c r="A3287" s="453"/>
      <c r="C3287" s="51"/>
      <c r="D3287" s="4295"/>
      <c r="E3287" s="4295"/>
      <c r="F3287" s="4347" t="str">
        <f>$E$1552</f>
        <v>ASHP-SEER15-Replace_CAC_ElectricHeat_ER1_MF</v>
      </c>
      <c r="G3287" s="4347"/>
      <c r="H3287" s="4347"/>
      <c r="I3287" s="4347"/>
      <c r="J3287" s="3471" t="str">
        <f>$C$1552</f>
        <v>352750_2024_12_</v>
      </c>
      <c r="K3287" s="3337">
        <v>15.05</v>
      </c>
      <c r="L3287" s="3479"/>
      <c r="M3287" s="3481" t="s">
        <v>1937</v>
      </c>
      <c r="P3287" s="261"/>
      <c r="Q3287" s="261"/>
      <c r="R3287" s="261"/>
      <c r="S3287" s="52"/>
      <c r="T3287" s="181"/>
      <c r="U3287" s="52"/>
      <c r="V3287" s="4295"/>
      <c r="W3287" s="3262">
        <v>15.1</v>
      </c>
      <c r="X3287" s="3262">
        <v>15.1</v>
      </c>
      <c r="Y3287" s="3262">
        <v>15.1</v>
      </c>
      <c r="Z3287" s="3262">
        <v>15.1</v>
      </c>
      <c r="AA3287" s="3262">
        <v>15.1</v>
      </c>
      <c r="AB3287" s="3285">
        <v>15.25</v>
      </c>
      <c r="AC3287" s="3285">
        <v>15.375</v>
      </c>
      <c r="AD3287" s="3482">
        <v>15.05</v>
      </c>
      <c r="AE3287" s="3484">
        <v>15.05</v>
      </c>
      <c r="AF3287" s="2236">
        <f t="shared" si="336"/>
        <v>15.05</v>
      </c>
      <c r="AG3287" s="1396"/>
      <c r="DG3287" s="573"/>
      <c r="DH3287" s="159"/>
      <c r="DI3287" s="1091"/>
      <c r="DJ3287" s="1187"/>
    </row>
    <row r="3288" spans="1:114" ht="15" hidden="1" customHeight="1" outlineLevel="1">
      <c r="A3288" s="453"/>
      <c r="C3288" s="51"/>
      <c r="D3288" s="4295"/>
      <c r="E3288" s="4295"/>
      <c r="F3288" s="4347" t="str">
        <f>$E$1554</f>
        <v>ASHP-SEER15-Replace_CAC_ElectricHeat_ER2_MF</v>
      </c>
      <c r="G3288" s="4347"/>
      <c r="H3288" s="4347"/>
      <c r="I3288" s="4347"/>
      <c r="J3288" s="3471" t="str">
        <f>$C$1554</f>
        <v>352750_2024_12_</v>
      </c>
      <c r="K3288" s="3337">
        <v>15.05</v>
      </c>
      <c r="L3288" s="3479"/>
      <c r="M3288" s="3481" t="s">
        <v>1937</v>
      </c>
      <c r="P3288" s="261"/>
      <c r="Q3288" s="261"/>
      <c r="R3288" s="261"/>
      <c r="S3288" s="52"/>
      <c r="T3288" s="181"/>
      <c r="U3288" s="52"/>
      <c r="V3288" s="4295"/>
      <c r="W3288" s="3262">
        <v>15.1</v>
      </c>
      <c r="X3288" s="3262">
        <v>15.1</v>
      </c>
      <c r="Y3288" s="3262">
        <v>15.1</v>
      </c>
      <c r="Z3288" s="3262">
        <v>15.1</v>
      </c>
      <c r="AA3288" s="3262">
        <v>15.1</v>
      </c>
      <c r="AB3288" s="3285">
        <v>15.1</v>
      </c>
      <c r="AC3288" s="3285">
        <f>AC3287</f>
        <v>15.375</v>
      </c>
      <c r="AD3288" s="3482">
        <v>15.05</v>
      </c>
      <c r="AE3288" s="3484">
        <v>15.05</v>
      </c>
      <c r="AF3288" s="2236">
        <f t="shared" si="336"/>
        <v>15.05</v>
      </c>
      <c r="AG3288" s="1396"/>
      <c r="DG3288" s="573"/>
      <c r="DH3288" s="159"/>
      <c r="DI3288" s="1091"/>
      <c r="DJ3288" s="1187"/>
    </row>
    <row r="3289" spans="1:114" ht="15" hidden="1" customHeight="1" outlineLevel="1">
      <c r="A3289" s="453"/>
      <c r="C3289" s="51"/>
      <c r="D3289" s="4295"/>
      <c r="E3289" s="4295"/>
      <c r="F3289" s="4347" t="str">
        <f>$E$1556</f>
        <v>ASHP-SEER15-Replace_CAC_ElectricHeat_ER1_MF_CompE</v>
      </c>
      <c r="G3289" s="4347"/>
      <c r="H3289" s="4347"/>
      <c r="I3289" s="4347"/>
      <c r="J3289" s="3471" t="str">
        <f>$C$1556</f>
        <v>352751_2024_12_</v>
      </c>
      <c r="K3289" s="3337">
        <v>15.05</v>
      </c>
      <c r="L3289" s="3479"/>
      <c r="M3289" s="3293" t="s">
        <v>1945</v>
      </c>
      <c r="P3289" s="261"/>
      <c r="Q3289" s="261"/>
      <c r="R3289" s="261"/>
      <c r="S3289" s="52"/>
      <c r="T3289" s="181"/>
      <c r="U3289" s="52"/>
      <c r="V3289" s="4295"/>
      <c r="W3289" s="3262"/>
      <c r="X3289" s="3262"/>
      <c r="Y3289" s="3265">
        <v>15.1</v>
      </c>
      <c r="Z3289" s="3262">
        <v>15.1</v>
      </c>
      <c r="AA3289" s="3262">
        <v>15.1</v>
      </c>
      <c r="AB3289" s="3285">
        <v>15.1</v>
      </c>
      <c r="AC3289" s="3286">
        <v>15.1</v>
      </c>
      <c r="AD3289" s="3482">
        <v>15.05</v>
      </c>
      <c r="AE3289" s="3484">
        <v>15.05</v>
      </c>
      <c r="AF3289" s="2236">
        <f t="shared" si="336"/>
        <v>15.05</v>
      </c>
      <c r="AG3289" s="1396"/>
      <c r="DG3289" s="573"/>
      <c r="DH3289" s="159"/>
      <c r="DI3289" s="1091"/>
      <c r="DJ3289" s="1187"/>
    </row>
    <row r="3290" spans="1:114" ht="15" hidden="1" customHeight="1" outlineLevel="1">
      <c r="A3290" s="453"/>
      <c r="C3290" s="51"/>
      <c r="D3290" s="4295"/>
      <c r="E3290" s="4295"/>
      <c r="F3290" s="4347" t="str">
        <f>$E$1558</f>
        <v>ASHP-SEER15-Replace_CAC_ElectricHeat_ER2_MF_CompE</v>
      </c>
      <c r="G3290" s="4347"/>
      <c r="H3290" s="4347"/>
      <c r="I3290" s="4347"/>
      <c r="J3290" s="3471" t="str">
        <f>$C$1558</f>
        <v>352751_2024_12_</v>
      </c>
      <c r="K3290" s="3337">
        <v>15.05</v>
      </c>
      <c r="L3290" s="3479"/>
      <c r="M3290" s="3293" t="s">
        <v>1945</v>
      </c>
      <c r="P3290" s="261"/>
      <c r="Q3290" s="261"/>
      <c r="R3290" s="261"/>
      <c r="S3290" s="52"/>
      <c r="T3290" s="181"/>
      <c r="U3290" s="52"/>
      <c r="V3290" s="4295"/>
      <c r="W3290" s="3262"/>
      <c r="X3290" s="3262"/>
      <c r="Y3290" s="3265">
        <v>15.1</v>
      </c>
      <c r="Z3290" s="3262">
        <v>15.1</v>
      </c>
      <c r="AA3290" s="3262">
        <v>15.1</v>
      </c>
      <c r="AB3290" s="3285">
        <v>15.1</v>
      </c>
      <c r="AC3290" s="3286">
        <v>15.1</v>
      </c>
      <c r="AD3290" s="3482">
        <v>15.05</v>
      </c>
      <c r="AE3290" s="3484">
        <v>15.05</v>
      </c>
      <c r="AF3290" s="2236">
        <f t="shared" si="336"/>
        <v>15.05</v>
      </c>
      <c r="AG3290" s="1396"/>
      <c r="DG3290" s="573"/>
      <c r="DH3290" s="159"/>
      <c r="DI3290" s="1091"/>
      <c r="DJ3290" s="1187"/>
    </row>
    <row r="3291" spans="1:114" ht="15" hidden="1" customHeight="1" outlineLevel="1">
      <c r="A3291" s="453"/>
      <c r="C3291" s="51"/>
      <c r="D3291" s="4295"/>
      <c r="E3291" s="4295"/>
      <c r="F3291" s="4347" t="str">
        <f>$E$1560</f>
        <v>ASHP-SEER15-Replace_CAC_NonElectricHeat_ER1_MF</v>
      </c>
      <c r="G3291" s="4347"/>
      <c r="H3291" s="4347"/>
      <c r="I3291" s="4347"/>
      <c r="J3291" s="3471" t="str">
        <f>$C$1560</f>
        <v>352760_2024_12_</v>
      </c>
      <c r="K3291" s="3337">
        <v>15.05</v>
      </c>
      <c r="L3291" s="3479"/>
      <c r="M3291" s="3293" t="s">
        <v>1945</v>
      </c>
      <c r="P3291" s="261"/>
      <c r="Q3291" s="261"/>
      <c r="R3291" s="261"/>
      <c r="S3291" s="52"/>
      <c r="T3291" s="181"/>
      <c r="U3291" s="52"/>
      <c r="V3291" s="4295"/>
      <c r="W3291" s="3262"/>
      <c r="X3291" s="3262"/>
      <c r="Y3291" s="3265"/>
      <c r="Z3291" s="3262"/>
      <c r="AA3291" s="3262"/>
      <c r="AB3291" s="3285"/>
      <c r="AC3291" s="3285">
        <v>15.375</v>
      </c>
      <c r="AD3291" s="3482">
        <v>15.05</v>
      </c>
      <c r="AE3291" s="3484">
        <v>15.05</v>
      </c>
      <c r="AF3291" s="2236">
        <f t="shared" si="336"/>
        <v>15.05</v>
      </c>
      <c r="AG3291" s="1396"/>
      <c r="DG3291" s="573"/>
      <c r="DH3291" s="159"/>
      <c r="DI3291" s="1091"/>
      <c r="DJ3291" s="1187"/>
    </row>
    <row r="3292" spans="1:114" ht="15" hidden="1" customHeight="1" outlineLevel="1">
      <c r="A3292" s="453"/>
      <c r="C3292" s="51"/>
      <c r="D3292" s="4295"/>
      <c r="E3292" s="4295"/>
      <c r="F3292" s="4347" t="str">
        <f>$E$1562</f>
        <v>ASHP-SEER15-Replace_CAC_NonElectricHeat_ER2_MF</v>
      </c>
      <c r="G3292" s="4347"/>
      <c r="H3292" s="4347"/>
      <c r="I3292" s="4347"/>
      <c r="J3292" s="3471" t="str">
        <f>$C$1562</f>
        <v>352760_2024_12_</v>
      </c>
      <c r="K3292" s="3337">
        <v>15.05</v>
      </c>
      <c r="L3292" s="3479"/>
      <c r="M3292" s="3293" t="s">
        <v>1945</v>
      </c>
      <c r="P3292" s="261"/>
      <c r="Q3292" s="261"/>
      <c r="R3292" s="261"/>
      <c r="S3292" s="52"/>
      <c r="T3292" s="181"/>
      <c r="U3292" s="52"/>
      <c r="V3292" s="4295"/>
      <c r="W3292" s="3262"/>
      <c r="X3292" s="3262"/>
      <c r="Y3292" s="3265"/>
      <c r="Z3292" s="3262"/>
      <c r="AA3292" s="3262"/>
      <c r="AB3292" s="3285"/>
      <c r="AC3292" s="3285">
        <f>AC3291</f>
        <v>15.375</v>
      </c>
      <c r="AD3292" s="3482">
        <v>15.05</v>
      </c>
      <c r="AE3292" s="3484">
        <v>15.05</v>
      </c>
      <c r="AF3292" s="2236">
        <f t="shared" si="336"/>
        <v>15.05</v>
      </c>
      <c r="AG3292" s="1396"/>
      <c r="DG3292" s="573"/>
      <c r="DH3292" s="159"/>
      <c r="DI3292" s="1091"/>
      <c r="DJ3292" s="1187"/>
    </row>
    <row r="3293" spans="1:114" ht="15" hidden="1" customHeight="1" outlineLevel="1">
      <c r="A3293" s="453"/>
      <c r="C3293" s="51"/>
      <c r="D3293" s="4295"/>
      <c r="E3293" s="4295"/>
      <c r="F3293" s="4347" t="str">
        <f>$E$1564</f>
        <v>ASHP-SEER15-Replace_CAC_NonElectricHeat_ER1_MF_CompE</v>
      </c>
      <c r="G3293" s="4347"/>
      <c r="H3293" s="4347"/>
      <c r="I3293" s="4347"/>
      <c r="J3293" s="3471" t="str">
        <f>$C$1564</f>
        <v>352761_2024_12_</v>
      </c>
      <c r="K3293" s="3337">
        <v>15.05</v>
      </c>
      <c r="L3293" s="3479"/>
      <c r="M3293" s="3293" t="s">
        <v>1945</v>
      </c>
      <c r="P3293" s="261"/>
      <c r="Q3293" s="261"/>
      <c r="R3293" s="261"/>
      <c r="S3293" s="52"/>
      <c r="T3293" s="181"/>
      <c r="U3293" s="52"/>
      <c r="V3293" s="4295"/>
      <c r="W3293" s="3262"/>
      <c r="X3293" s="3262"/>
      <c r="Y3293" s="3265"/>
      <c r="Z3293" s="3262"/>
      <c r="AA3293" s="3262"/>
      <c r="AB3293" s="3285"/>
      <c r="AC3293" s="3285">
        <v>15.1</v>
      </c>
      <c r="AD3293" s="3482">
        <v>15.05</v>
      </c>
      <c r="AE3293" s="3484">
        <v>15.05</v>
      </c>
      <c r="AF3293" s="2236">
        <f t="shared" si="336"/>
        <v>15.05</v>
      </c>
      <c r="AG3293" s="1396"/>
      <c r="DG3293" s="573"/>
      <c r="DH3293" s="159"/>
      <c r="DI3293" s="1091"/>
      <c r="DJ3293" s="1187"/>
    </row>
    <row r="3294" spans="1:114" ht="15" hidden="1" customHeight="1" outlineLevel="1">
      <c r="A3294" s="453"/>
      <c r="C3294" s="51"/>
      <c r="D3294" s="4295"/>
      <c r="E3294" s="4295"/>
      <c r="F3294" s="4347" t="str">
        <f>$E$1566</f>
        <v>ASHP-SEER15-Replace_CAC_NonElectricHeat_ER2_MF_CompE</v>
      </c>
      <c r="G3294" s="4347"/>
      <c r="H3294" s="4347"/>
      <c r="I3294" s="4347"/>
      <c r="J3294" s="3471" t="str">
        <f>$C$1566</f>
        <v>352761_2024_12_</v>
      </c>
      <c r="K3294" s="3337">
        <v>15.05</v>
      </c>
      <c r="L3294" s="3479"/>
      <c r="M3294" s="3293" t="s">
        <v>1945</v>
      </c>
      <c r="P3294" s="261"/>
      <c r="Q3294" s="261"/>
      <c r="R3294" s="261"/>
      <c r="S3294" s="52"/>
      <c r="T3294" s="181"/>
      <c r="U3294" s="52"/>
      <c r="V3294" s="4295"/>
      <c r="W3294" s="3262"/>
      <c r="X3294" s="3262"/>
      <c r="Y3294" s="3265"/>
      <c r="Z3294" s="3262"/>
      <c r="AA3294" s="3262"/>
      <c r="AB3294" s="3285"/>
      <c r="AC3294" s="3285">
        <v>15.1</v>
      </c>
      <c r="AD3294" s="3482">
        <v>15.05</v>
      </c>
      <c r="AE3294" s="3484">
        <v>15.05</v>
      </c>
      <c r="AF3294" s="2236">
        <f t="shared" si="336"/>
        <v>15.05</v>
      </c>
      <c r="AG3294" s="1396"/>
      <c r="DG3294" s="573"/>
      <c r="DH3294" s="159"/>
      <c r="DI3294" s="1091"/>
      <c r="DJ3294" s="1187"/>
    </row>
    <row r="3295" spans="1:114" ht="15" hidden="1" customHeight="1" outlineLevel="1">
      <c r="A3295" s="453"/>
      <c r="C3295" s="51"/>
      <c r="D3295" s="4295"/>
      <c r="E3295" s="4295"/>
      <c r="F3295" s="4347" t="str">
        <f>$E$1568</f>
        <v>ASHP-SEER15-Replace_CAC_ElectricHeat_ROF_MF</v>
      </c>
      <c r="G3295" s="4347"/>
      <c r="H3295" s="4347"/>
      <c r="I3295" s="4347"/>
      <c r="J3295" s="3471" t="str">
        <f>$C$1568</f>
        <v>352800_2024_12_</v>
      </c>
      <c r="K3295" s="3337">
        <v>15</v>
      </c>
      <c r="L3295" s="3479"/>
      <c r="M3295" s="3481" t="s">
        <v>1937</v>
      </c>
      <c r="P3295" s="261"/>
      <c r="Q3295" s="261"/>
      <c r="R3295" s="261"/>
      <c r="S3295" s="52"/>
      <c r="T3295" s="181"/>
      <c r="U3295" s="52"/>
      <c r="V3295" s="4295"/>
      <c r="W3295" s="3262">
        <v>15.2</v>
      </c>
      <c r="X3295" s="3262">
        <v>15.2</v>
      </c>
      <c r="Y3295" s="3262">
        <v>15.2</v>
      </c>
      <c r="Z3295" s="3262">
        <v>15.2</v>
      </c>
      <c r="AA3295" s="3262">
        <v>15.2</v>
      </c>
      <c r="AB3295" s="3286">
        <v>15.2</v>
      </c>
      <c r="AC3295" s="3286">
        <v>15.2</v>
      </c>
      <c r="AD3295" s="3482">
        <v>15</v>
      </c>
      <c r="AE3295" s="3484">
        <v>15</v>
      </c>
      <c r="AF3295" s="2236">
        <f t="shared" si="336"/>
        <v>15</v>
      </c>
      <c r="AG3295" s="1396"/>
      <c r="DG3295" s="573"/>
      <c r="DH3295" s="159"/>
      <c r="DI3295" s="1091"/>
      <c r="DJ3295" s="1187"/>
    </row>
    <row r="3296" spans="1:114" ht="15" hidden="1" customHeight="1" outlineLevel="1">
      <c r="A3296" s="453"/>
      <c r="C3296" s="51"/>
      <c r="D3296" s="4295"/>
      <c r="E3296" s="4295"/>
      <c r="F3296" s="4347" t="str">
        <f>$E$1570</f>
        <v>ASHP-SEER15-Replace_CAC_ElectricHeat_ROF_MF_CompE</v>
      </c>
      <c r="G3296" s="4347"/>
      <c r="H3296" s="4347"/>
      <c r="I3296" s="4347"/>
      <c r="J3296" s="3471" t="str">
        <f>$C$1570</f>
        <v>352801_2024_12_</v>
      </c>
      <c r="K3296" s="3337">
        <v>15</v>
      </c>
      <c r="L3296" s="3479"/>
      <c r="M3296" s="3293" t="s">
        <v>1945</v>
      </c>
      <c r="P3296" s="261"/>
      <c r="Q3296" s="261"/>
      <c r="R3296" s="261"/>
      <c r="S3296" s="52"/>
      <c r="T3296" s="181"/>
      <c r="U3296" s="52"/>
      <c r="V3296" s="4295"/>
      <c r="W3296" s="3262"/>
      <c r="X3296" s="3262"/>
      <c r="Y3296" s="3265">
        <v>15.2</v>
      </c>
      <c r="Z3296" s="3262">
        <v>15.2</v>
      </c>
      <c r="AA3296" s="3262">
        <v>15.2</v>
      </c>
      <c r="AB3296" s="3286">
        <v>15.2</v>
      </c>
      <c r="AC3296" s="3286">
        <v>15.2</v>
      </c>
      <c r="AD3296" s="3482">
        <v>15</v>
      </c>
      <c r="AE3296" s="3484">
        <v>15</v>
      </c>
      <c r="AF3296" s="2236">
        <f t="shared" si="336"/>
        <v>15</v>
      </c>
      <c r="AG3296" s="1396"/>
      <c r="DG3296" s="573"/>
      <c r="DH3296" s="159"/>
      <c r="DI3296" s="1091"/>
      <c r="DJ3296" s="1187"/>
    </row>
    <row r="3297" spans="1:114" ht="15" hidden="1" customHeight="1" outlineLevel="1">
      <c r="A3297" s="453"/>
      <c r="C3297" s="51"/>
      <c r="D3297" s="4295"/>
      <c r="E3297" s="4295"/>
      <c r="F3297" s="4347" t="str">
        <f>$E$1572</f>
        <v>ASHP-SEER15-Replace_CAC_NonElectricHeat_ROF_MF</v>
      </c>
      <c r="G3297" s="4347"/>
      <c r="H3297" s="4347"/>
      <c r="I3297" s="4347"/>
      <c r="J3297" s="3471" t="str">
        <f>$C$1572</f>
        <v>352810_2024_12_</v>
      </c>
      <c r="K3297" s="3337">
        <v>15</v>
      </c>
      <c r="L3297" s="3479"/>
      <c r="M3297" s="3293" t="s">
        <v>1945</v>
      </c>
      <c r="P3297" s="261"/>
      <c r="Q3297" s="261"/>
      <c r="R3297" s="261"/>
      <c r="S3297" s="52"/>
      <c r="T3297" s="181"/>
      <c r="U3297" s="52"/>
      <c r="V3297" s="4295"/>
      <c r="W3297" s="3262"/>
      <c r="X3297" s="3262"/>
      <c r="Y3297" s="3265"/>
      <c r="Z3297" s="3262"/>
      <c r="AA3297" s="3262"/>
      <c r="AB3297" s="3286"/>
      <c r="AC3297" s="3285">
        <v>15.2</v>
      </c>
      <c r="AD3297" s="3482">
        <v>15</v>
      </c>
      <c r="AE3297" s="3484">
        <v>15</v>
      </c>
      <c r="AF3297" s="2236">
        <f t="shared" si="336"/>
        <v>15</v>
      </c>
      <c r="AG3297" s="1396"/>
      <c r="DG3297" s="573"/>
      <c r="DH3297" s="159"/>
      <c r="DI3297" s="1091"/>
      <c r="DJ3297" s="1187"/>
    </row>
    <row r="3298" spans="1:114" ht="15" hidden="1" customHeight="1" outlineLevel="1">
      <c r="A3298" s="453"/>
      <c r="C3298" s="51"/>
      <c r="D3298" s="4295"/>
      <c r="E3298" s="4295"/>
      <c r="F3298" s="4347" t="str">
        <f>$E$1574</f>
        <v>ASHP-SEER15-Replace_CAC_NonElectricHeat_ROF_MF_CompE</v>
      </c>
      <c r="G3298" s="4347"/>
      <c r="H3298" s="4347"/>
      <c r="I3298" s="4347"/>
      <c r="J3298" s="3471" t="str">
        <f>$C$1574</f>
        <v>352811_2024_12_</v>
      </c>
      <c r="K3298" s="3337">
        <v>15</v>
      </c>
      <c r="L3298" s="3479"/>
      <c r="M3298" s="3293" t="s">
        <v>1945</v>
      </c>
      <c r="P3298" s="261"/>
      <c r="Q3298" s="261"/>
      <c r="R3298" s="261"/>
      <c r="S3298" s="52"/>
      <c r="T3298" s="181"/>
      <c r="U3298" s="52"/>
      <c r="V3298" s="4295"/>
      <c r="W3298" s="3262"/>
      <c r="X3298" s="3262"/>
      <c r="Y3298" s="3265"/>
      <c r="Z3298" s="3262"/>
      <c r="AA3298" s="3262"/>
      <c r="AB3298" s="3286"/>
      <c r="AC3298" s="3285">
        <v>15.2</v>
      </c>
      <c r="AD3298" s="3482">
        <v>15</v>
      </c>
      <c r="AE3298" s="3484">
        <v>15</v>
      </c>
      <c r="AF3298" s="2236">
        <f t="shared" si="336"/>
        <v>15</v>
      </c>
      <c r="AG3298" s="1396"/>
      <c r="DG3298" s="573"/>
      <c r="DH3298" s="159"/>
      <c r="DI3298" s="1091"/>
      <c r="DJ3298" s="1187"/>
    </row>
    <row r="3299" spans="1:114" ht="15" hidden="1" customHeight="1" outlineLevel="1">
      <c r="A3299" s="453"/>
      <c r="C3299" s="51"/>
      <c r="D3299" s="4295"/>
      <c r="E3299" s="4295"/>
      <c r="F3299" s="4347" t="str">
        <f>$E$1576</f>
        <v>ASHP-SEER16_ER1_MF</v>
      </c>
      <c r="G3299" s="4347"/>
      <c r="H3299" s="4347"/>
      <c r="I3299" s="4347"/>
      <c r="J3299" s="3471" t="str">
        <f>$C$1576</f>
        <v>352850_2024_12_</v>
      </c>
      <c r="K3299" s="3283">
        <v>16</v>
      </c>
      <c r="L3299" s="3479"/>
      <c r="M3299" s="3293" t="s">
        <v>1937</v>
      </c>
      <c r="P3299" s="261"/>
      <c r="Q3299" s="261"/>
      <c r="R3299" s="261"/>
      <c r="S3299" s="52"/>
      <c r="T3299" s="181"/>
      <c r="U3299" s="52"/>
      <c r="V3299" s="4295"/>
      <c r="W3299" s="3262">
        <v>16</v>
      </c>
      <c r="X3299" s="3262">
        <v>16</v>
      </c>
      <c r="Y3299" s="3262">
        <v>16</v>
      </c>
      <c r="Z3299" s="3262">
        <v>16</v>
      </c>
      <c r="AA3299" s="3262">
        <v>16</v>
      </c>
      <c r="AB3299" s="3286">
        <v>16</v>
      </c>
      <c r="AC3299" s="3285">
        <v>16</v>
      </c>
      <c r="AD3299" s="3286">
        <v>16</v>
      </c>
      <c r="AE3299" s="3286">
        <v>16</v>
      </c>
      <c r="AF3299" s="2236">
        <f t="shared" si="336"/>
        <v>16</v>
      </c>
      <c r="AG3299" s="1396"/>
      <c r="DG3299" s="573"/>
      <c r="DH3299" s="159"/>
      <c r="DI3299" s="1091"/>
      <c r="DJ3299" s="1187"/>
    </row>
    <row r="3300" spans="1:114" ht="15" hidden="1" customHeight="1" outlineLevel="1">
      <c r="A3300" s="453"/>
      <c r="C3300" s="51"/>
      <c r="D3300" s="4295"/>
      <c r="E3300" s="4295"/>
      <c r="F3300" s="4347" t="str">
        <f>$E$1578</f>
        <v>ASHP-SEER16_ER2_MF</v>
      </c>
      <c r="G3300" s="4347"/>
      <c r="H3300" s="4347"/>
      <c r="I3300" s="4347"/>
      <c r="J3300" s="3471" t="str">
        <f>$C$1578</f>
        <v>352850_2024_12_</v>
      </c>
      <c r="K3300" s="3283">
        <v>16</v>
      </c>
      <c r="L3300" s="3479"/>
      <c r="M3300" s="3293" t="s">
        <v>1937</v>
      </c>
      <c r="P3300" s="261"/>
      <c r="Q3300" s="261"/>
      <c r="R3300" s="261"/>
      <c r="S3300" s="52"/>
      <c r="T3300" s="181"/>
      <c r="U3300" s="52"/>
      <c r="V3300" s="4295"/>
      <c r="W3300" s="3262">
        <v>16</v>
      </c>
      <c r="X3300" s="3262">
        <v>16</v>
      </c>
      <c r="Y3300" s="3262">
        <v>16</v>
      </c>
      <c r="Z3300" s="3262">
        <v>16</v>
      </c>
      <c r="AA3300" s="3262">
        <v>16</v>
      </c>
      <c r="AB3300" s="3286">
        <v>16</v>
      </c>
      <c r="AC3300" s="3285">
        <f>AC3299</f>
        <v>16</v>
      </c>
      <c r="AD3300" s="3286">
        <v>16</v>
      </c>
      <c r="AE3300" s="3286">
        <v>16</v>
      </c>
      <c r="AF3300" s="2236">
        <f t="shared" si="336"/>
        <v>16</v>
      </c>
      <c r="AG3300" s="1396"/>
      <c r="DG3300" s="573"/>
      <c r="DH3300" s="159"/>
      <c r="DI3300" s="1091"/>
      <c r="DJ3300" s="1187"/>
    </row>
    <row r="3301" spans="1:114" ht="15" hidden="1" customHeight="1" outlineLevel="1">
      <c r="A3301" s="453"/>
      <c r="C3301" s="51"/>
      <c r="D3301" s="4295"/>
      <c r="E3301" s="4295"/>
      <c r="F3301" s="4347" t="str">
        <f>$E$1580</f>
        <v>ASHP-SEER16_ER1_MF_CompE</v>
      </c>
      <c r="G3301" s="4347"/>
      <c r="H3301" s="4347"/>
      <c r="I3301" s="4347"/>
      <c r="J3301" s="3471" t="str">
        <f>$C$1580</f>
        <v>352851_2024_12_</v>
      </c>
      <c r="K3301" s="3283">
        <v>16</v>
      </c>
      <c r="L3301" s="3479"/>
      <c r="M3301" s="3293" t="s">
        <v>1945</v>
      </c>
      <c r="P3301" s="261"/>
      <c r="Q3301" s="261"/>
      <c r="R3301" s="261"/>
      <c r="S3301" s="52"/>
      <c r="T3301" s="181"/>
      <c r="U3301" s="52"/>
      <c r="V3301" s="4295"/>
      <c r="W3301" s="3262"/>
      <c r="X3301" s="3262"/>
      <c r="Y3301" s="3265">
        <v>16</v>
      </c>
      <c r="Z3301" s="3262">
        <v>16</v>
      </c>
      <c r="AA3301" s="3262">
        <v>16</v>
      </c>
      <c r="AB3301" s="3286">
        <v>16</v>
      </c>
      <c r="AC3301" s="3286">
        <v>16</v>
      </c>
      <c r="AD3301" s="3286">
        <v>16</v>
      </c>
      <c r="AE3301" s="3286">
        <v>16</v>
      </c>
      <c r="AF3301" s="2236">
        <f t="shared" si="336"/>
        <v>16</v>
      </c>
      <c r="AG3301" s="1396"/>
      <c r="DG3301" s="573"/>
      <c r="DH3301" s="159"/>
      <c r="DI3301" s="1091"/>
      <c r="DJ3301" s="1187"/>
    </row>
    <row r="3302" spans="1:114" ht="15" hidden="1" customHeight="1" outlineLevel="1">
      <c r="A3302" s="453"/>
      <c r="C3302" s="51"/>
      <c r="D3302" s="4295"/>
      <c r="E3302" s="4295"/>
      <c r="F3302" s="4347" t="str">
        <f>$E$1582</f>
        <v>ASHP-SEER16_ER2_MF_CompE</v>
      </c>
      <c r="G3302" s="4347"/>
      <c r="H3302" s="4347"/>
      <c r="I3302" s="4347"/>
      <c r="J3302" s="3471" t="str">
        <f>$C$1582</f>
        <v>352851_2024_12_</v>
      </c>
      <c r="K3302" s="3283">
        <v>16</v>
      </c>
      <c r="L3302" s="3479"/>
      <c r="M3302" s="3293" t="s">
        <v>1945</v>
      </c>
      <c r="P3302" s="261"/>
      <c r="Q3302" s="261"/>
      <c r="R3302" s="261"/>
      <c r="S3302" s="52"/>
      <c r="T3302" s="181"/>
      <c r="U3302" s="52"/>
      <c r="V3302" s="4295"/>
      <c r="W3302" s="3262"/>
      <c r="X3302" s="3262"/>
      <c r="Y3302" s="3265">
        <v>16</v>
      </c>
      <c r="Z3302" s="3262">
        <v>16</v>
      </c>
      <c r="AA3302" s="3262">
        <v>16</v>
      </c>
      <c r="AB3302" s="3286">
        <v>16</v>
      </c>
      <c r="AC3302" s="3286">
        <v>16</v>
      </c>
      <c r="AD3302" s="3286">
        <v>16</v>
      </c>
      <c r="AE3302" s="3286">
        <v>16</v>
      </c>
      <c r="AF3302" s="2236">
        <f t="shared" si="336"/>
        <v>16</v>
      </c>
      <c r="AG3302" s="1396"/>
      <c r="DG3302" s="573"/>
      <c r="DH3302" s="159"/>
      <c r="DI3302" s="1091"/>
      <c r="DJ3302" s="1187"/>
    </row>
    <row r="3303" spans="1:114" ht="15" hidden="1" customHeight="1" outlineLevel="1">
      <c r="A3303" s="453"/>
      <c r="C3303" s="51"/>
      <c r="D3303" s="4295"/>
      <c r="E3303" s="4295"/>
      <c r="F3303" s="4347" t="str">
        <f>$E$1584</f>
        <v>ASHP-SEER16_ROF_MF</v>
      </c>
      <c r="G3303" s="4347"/>
      <c r="H3303" s="4347"/>
      <c r="I3303" s="4347"/>
      <c r="J3303" s="3471" t="str">
        <f>$C$1584</f>
        <v>352900_2024_12_</v>
      </c>
      <c r="K3303" s="3283">
        <v>16</v>
      </c>
      <c r="L3303" s="3479"/>
      <c r="M3303" s="3293" t="s">
        <v>1937</v>
      </c>
      <c r="P3303" s="261"/>
      <c r="Q3303" s="261"/>
      <c r="R3303" s="261"/>
      <c r="S3303" s="52"/>
      <c r="T3303" s="181"/>
      <c r="U3303" s="52"/>
      <c r="V3303" s="4295"/>
      <c r="W3303" s="3262">
        <v>16</v>
      </c>
      <c r="X3303" s="3262">
        <v>16</v>
      </c>
      <c r="Y3303" s="3262">
        <v>16</v>
      </c>
      <c r="Z3303" s="3262">
        <v>16</v>
      </c>
      <c r="AA3303" s="3262">
        <v>16</v>
      </c>
      <c r="AB3303" s="3286">
        <v>16</v>
      </c>
      <c r="AC3303" s="3285">
        <v>16</v>
      </c>
      <c r="AD3303" s="3286">
        <v>16</v>
      </c>
      <c r="AE3303" s="3286">
        <v>16</v>
      </c>
      <c r="AF3303" s="2236">
        <f t="shared" si="336"/>
        <v>16</v>
      </c>
      <c r="AG3303" s="1396"/>
      <c r="DG3303" s="573"/>
      <c r="DH3303" s="159"/>
      <c r="DI3303" s="1091"/>
      <c r="DJ3303" s="1187"/>
    </row>
    <row r="3304" spans="1:114" ht="15" hidden="1" customHeight="1" outlineLevel="1">
      <c r="A3304" s="453"/>
      <c r="C3304" s="51"/>
      <c r="D3304" s="4295"/>
      <c r="E3304" s="4295"/>
      <c r="F3304" s="4347" t="str">
        <f>$E$1586</f>
        <v>ASHP-SEER16_ROF_MF_CompE</v>
      </c>
      <c r="G3304" s="4347"/>
      <c r="H3304" s="4347"/>
      <c r="I3304" s="4347"/>
      <c r="J3304" s="3471" t="str">
        <f>$C$1586</f>
        <v>352901_2024_12_</v>
      </c>
      <c r="K3304" s="3283">
        <v>16</v>
      </c>
      <c r="L3304" s="3479"/>
      <c r="M3304" s="3293" t="s">
        <v>1945</v>
      </c>
      <c r="P3304" s="261"/>
      <c r="Q3304" s="261"/>
      <c r="R3304" s="261"/>
      <c r="S3304" s="52"/>
      <c r="T3304" s="181"/>
      <c r="U3304" s="52"/>
      <c r="V3304" s="4295"/>
      <c r="W3304" s="3262"/>
      <c r="X3304" s="3262"/>
      <c r="Y3304" s="3265">
        <v>16</v>
      </c>
      <c r="Z3304" s="3262">
        <v>16</v>
      </c>
      <c r="AA3304" s="3262">
        <v>16</v>
      </c>
      <c r="AB3304" s="3286">
        <v>16</v>
      </c>
      <c r="AC3304" s="3286">
        <v>16</v>
      </c>
      <c r="AD3304" s="3286">
        <v>16</v>
      </c>
      <c r="AE3304" s="3286">
        <v>16</v>
      </c>
      <c r="AF3304" s="2236">
        <f t="shared" si="336"/>
        <v>16</v>
      </c>
      <c r="AG3304" s="1396"/>
      <c r="DG3304" s="573"/>
      <c r="DH3304" s="159"/>
      <c r="DI3304" s="1091"/>
      <c r="DJ3304" s="1187"/>
    </row>
    <row r="3305" spans="1:114" ht="15" hidden="1" customHeight="1" outlineLevel="1">
      <c r="A3305" s="453"/>
      <c r="C3305" s="51"/>
      <c r="D3305" s="4295"/>
      <c r="E3305" s="4295"/>
      <c r="F3305" s="4347" t="str">
        <f>$E$1588</f>
        <v>ASHP-SEER16-Replace_CAC_ElectricHeat_ROF_MF</v>
      </c>
      <c r="G3305" s="4347"/>
      <c r="H3305" s="4347"/>
      <c r="I3305" s="4347"/>
      <c r="J3305" s="3471" t="str">
        <f>$C$1588</f>
        <v>352950_2024_12_</v>
      </c>
      <c r="K3305" s="3337">
        <v>16</v>
      </c>
      <c r="L3305" s="3479"/>
      <c r="M3305" s="3293" t="s">
        <v>1937</v>
      </c>
      <c r="P3305" s="261"/>
      <c r="Q3305" s="261"/>
      <c r="R3305" s="261"/>
      <c r="S3305" s="52"/>
      <c r="T3305" s="181"/>
      <c r="U3305" s="52"/>
      <c r="V3305" s="4295"/>
      <c r="W3305" s="3262">
        <v>16</v>
      </c>
      <c r="X3305" s="3262">
        <v>16</v>
      </c>
      <c r="Y3305" s="3262">
        <v>16</v>
      </c>
      <c r="Z3305" s="3262">
        <v>16</v>
      </c>
      <c r="AA3305" s="3262">
        <v>16</v>
      </c>
      <c r="AB3305" s="3285">
        <v>17</v>
      </c>
      <c r="AC3305" s="3286">
        <v>17</v>
      </c>
      <c r="AD3305" s="3482">
        <v>16</v>
      </c>
      <c r="AE3305" s="3484">
        <v>16</v>
      </c>
      <c r="AF3305" s="2236">
        <f t="shared" si="336"/>
        <v>16</v>
      </c>
      <c r="AG3305" s="1396"/>
      <c r="DG3305" s="573"/>
      <c r="DH3305" s="159"/>
      <c r="DI3305" s="1091"/>
      <c r="DJ3305" s="1187"/>
    </row>
    <row r="3306" spans="1:114" ht="15" hidden="1" customHeight="1" outlineLevel="1">
      <c r="A3306" s="453"/>
      <c r="C3306" s="51"/>
      <c r="D3306" s="4295"/>
      <c r="E3306" s="4295"/>
      <c r="F3306" s="4347" t="str">
        <f>$E$1590</f>
        <v>ASHP-SEER16-Replace_CAC_ElectricHeat_ROF_MF_CompE</v>
      </c>
      <c r="G3306" s="4347"/>
      <c r="H3306" s="4347"/>
      <c r="I3306" s="4347"/>
      <c r="J3306" s="3471" t="str">
        <f>$C$1590</f>
        <v>352951_2024_12_</v>
      </c>
      <c r="K3306" s="3337">
        <v>16</v>
      </c>
      <c r="L3306" s="3479"/>
      <c r="M3306" s="3293" t="s">
        <v>1945</v>
      </c>
      <c r="P3306" s="261"/>
      <c r="Q3306" s="261"/>
      <c r="R3306" s="261"/>
      <c r="S3306" s="52"/>
      <c r="T3306" s="181"/>
      <c r="U3306" s="52"/>
      <c r="V3306" s="4295"/>
      <c r="W3306" s="3262"/>
      <c r="X3306" s="3262"/>
      <c r="Y3306" s="3265">
        <v>16</v>
      </c>
      <c r="Z3306" s="3262">
        <v>16</v>
      </c>
      <c r="AA3306" s="3262">
        <v>16</v>
      </c>
      <c r="AB3306" s="3285">
        <v>17</v>
      </c>
      <c r="AC3306" s="3286">
        <f>AC3305</f>
        <v>17</v>
      </c>
      <c r="AD3306" s="3482">
        <v>16</v>
      </c>
      <c r="AE3306" s="3484">
        <v>16</v>
      </c>
      <c r="AF3306" s="2236">
        <f t="shared" si="336"/>
        <v>16</v>
      </c>
      <c r="AG3306" s="1396"/>
      <c r="DG3306" s="573"/>
      <c r="DH3306" s="159"/>
      <c r="DI3306" s="1091"/>
      <c r="DJ3306" s="1187"/>
    </row>
    <row r="3307" spans="1:114" ht="15" hidden="1" customHeight="1" outlineLevel="1">
      <c r="A3307" s="453"/>
      <c r="C3307" s="51"/>
      <c r="D3307" s="4295"/>
      <c r="E3307" s="4295"/>
      <c r="F3307" s="4347" t="str">
        <f>$E$1592</f>
        <v>ASHP-SEER16-Replace_CAC_NonElectricHeat_ROF_MF</v>
      </c>
      <c r="G3307" s="4347"/>
      <c r="H3307" s="4347"/>
      <c r="I3307" s="4347"/>
      <c r="J3307" s="3471" t="str">
        <f>$C$1592</f>
        <v>352960_2024_12_</v>
      </c>
      <c r="K3307" s="3337">
        <v>16</v>
      </c>
      <c r="L3307" s="3479"/>
      <c r="M3307" s="3293" t="s">
        <v>1945</v>
      </c>
      <c r="P3307" s="261"/>
      <c r="Q3307" s="261"/>
      <c r="R3307" s="261"/>
      <c r="S3307" s="52"/>
      <c r="T3307" s="181"/>
      <c r="U3307" s="52"/>
      <c r="V3307" s="4295"/>
      <c r="W3307" s="3262"/>
      <c r="X3307" s="3262"/>
      <c r="Y3307" s="3265"/>
      <c r="Z3307" s="3262"/>
      <c r="AA3307" s="3262"/>
      <c r="AB3307" s="3285"/>
      <c r="AC3307" s="3285">
        <v>17</v>
      </c>
      <c r="AD3307" s="3482">
        <v>16</v>
      </c>
      <c r="AE3307" s="3484">
        <v>16</v>
      </c>
      <c r="AF3307" s="2236">
        <f t="shared" si="336"/>
        <v>16</v>
      </c>
      <c r="AG3307" s="1396"/>
      <c r="DG3307" s="573"/>
      <c r="DH3307" s="159"/>
      <c r="DI3307" s="1091"/>
      <c r="DJ3307" s="1187"/>
    </row>
    <row r="3308" spans="1:114" ht="15" hidden="1" customHeight="1" outlineLevel="1">
      <c r="A3308" s="453"/>
      <c r="C3308" s="51"/>
      <c r="D3308" s="4295"/>
      <c r="E3308" s="4295"/>
      <c r="F3308" s="4347" t="str">
        <f>$E$1594</f>
        <v>ASHP-SEER16-Replace_CAC_NonElectricHeat_ROF_MF_CompE</v>
      </c>
      <c r="G3308" s="4347"/>
      <c r="H3308" s="4347"/>
      <c r="I3308" s="4347"/>
      <c r="J3308" s="3471" t="str">
        <f>$C$1594</f>
        <v>352961_2024_12_</v>
      </c>
      <c r="K3308" s="3337">
        <v>16</v>
      </c>
      <c r="L3308" s="3479"/>
      <c r="M3308" s="3293" t="s">
        <v>1945</v>
      </c>
      <c r="P3308" s="261"/>
      <c r="Q3308" s="261"/>
      <c r="R3308" s="261"/>
      <c r="S3308" s="52"/>
      <c r="T3308" s="181"/>
      <c r="U3308" s="52"/>
      <c r="V3308" s="4295"/>
      <c r="W3308" s="3262"/>
      <c r="X3308" s="3262"/>
      <c r="Y3308" s="3265"/>
      <c r="Z3308" s="3262"/>
      <c r="AA3308" s="3262"/>
      <c r="AB3308" s="3285"/>
      <c r="AC3308" s="3285">
        <f>AC3307</f>
        <v>17</v>
      </c>
      <c r="AD3308" s="3482">
        <v>16</v>
      </c>
      <c r="AE3308" s="3484">
        <v>16</v>
      </c>
      <c r="AF3308" s="2236">
        <f t="shared" si="336"/>
        <v>16</v>
      </c>
      <c r="AG3308" s="1396"/>
      <c r="DG3308" s="573"/>
      <c r="DH3308" s="159"/>
      <c r="DI3308" s="1091"/>
      <c r="DJ3308" s="1187"/>
    </row>
    <row r="3309" spans="1:114" ht="15" hidden="1" customHeight="1" outlineLevel="1">
      <c r="A3309" s="453"/>
      <c r="C3309" s="51"/>
      <c r="D3309" s="4295"/>
      <c r="E3309" s="4295"/>
      <c r="F3309" s="4307" t="str">
        <f>$E$1596</f>
        <v>ASHP-SEER16-Replace_CAC_ElectricHeat_ER1_MF</v>
      </c>
      <c r="G3309" s="4307"/>
      <c r="H3309" s="4307"/>
      <c r="I3309" s="4307"/>
      <c r="J3309" s="1029" t="str">
        <f>$C$1596</f>
        <v>353000_2024_12_</v>
      </c>
      <c r="K3309" s="1758">
        <v>16</v>
      </c>
      <c r="L3309" s="262"/>
      <c r="M3309" s="1740" t="s">
        <v>1937</v>
      </c>
      <c r="P3309" s="261"/>
      <c r="Q3309" s="261"/>
      <c r="R3309" s="261"/>
      <c r="S3309" s="52"/>
      <c r="T3309" s="181"/>
      <c r="U3309" s="52"/>
      <c r="V3309" s="4295"/>
      <c r="W3309" s="1396">
        <v>16</v>
      </c>
      <c r="X3309" s="1396">
        <v>16</v>
      </c>
      <c r="Y3309" s="1396">
        <v>16</v>
      </c>
      <c r="Z3309" s="1396">
        <v>16</v>
      </c>
      <c r="AA3309" s="1396">
        <v>16</v>
      </c>
      <c r="AB3309" s="212">
        <v>16.5</v>
      </c>
      <c r="AC3309" s="212">
        <v>16</v>
      </c>
      <c r="AD3309" s="211">
        <v>16</v>
      </c>
      <c r="AE3309" s="211">
        <v>16</v>
      </c>
      <c r="AF3309" s="271">
        <f t="shared" si="336"/>
        <v>16</v>
      </c>
      <c r="AG3309" s="1396"/>
      <c r="DG3309" s="573"/>
      <c r="DH3309" s="159"/>
      <c r="DI3309" s="1091"/>
      <c r="DJ3309" s="1187"/>
    </row>
    <row r="3310" spans="1:114" ht="15" hidden="1" customHeight="1" outlineLevel="1">
      <c r="A3310" s="453"/>
      <c r="C3310" s="51"/>
      <c r="D3310" s="4295"/>
      <c r="E3310" s="4295"/>
      <c r="F3310" s="4307" t="str">
        <f>$E$1598</f>
        <v>ASHP-SEER16-Replace_CAC_ElectricHeat_ER2_MF</v>
      </c>
      <c r="G3310" s="4307"/>
      <c r="H3310" s="4307"/>
      <c r="I3310" s="4307"/>
      <c r="J3310" s="1029" t="str">
        <f>$C$1598</f>
        <v>353000_2024_12_</v>
      </c>
      <c r="K3310" s="1758">
        <v>16</v>
      </c>
      <c r="L3310" s="262"/>
      <c r="M3310" s="1740" t="s">
        <v>1937</v>
      </c>
      <c r="P3310" s="261"/>
      <c r="Q3310" s="261"/>
      <c r="R3310" s="261"/>
      <c r="S3310" s="52"/>
      <c r="T3310" s="181"/>
      <c r="U3310" s="52"/>
      <c r="V3310" s="4295"/>
      <c r="W3310" s="1396">
        <v>16</v>
      </c>
      <c r="X3310" s="1396">
        <v>16</v>
      </c>
      <c r="Y3310" s="1396">
        <v>16</v>
      </c>
      <c r="Z3310" s="1396">
        <v>16</v>
      </c>
      <c r="AA3310" s="1396">
        <v>16</v>
      </c>
      <c r="AB3310" s="212">
        <v>16.5</v>
      </c>
      <c r="AC3310" s="212">
        <f>AC3309</f>
        <v>16</v>
      </c>
      <c r="AD3310" s="211">
        <v>16</v>
      </c>
      <c r="AE3310" s="211">
        <v>16</v>
      </c>
      <c r="AF3310" s="271">
        <f t="shared" si="336"/>
        <v>16</v>
      </c>
      <c r="AG3310" s="1396"/>
      <c r="DG3310" s="573"/>
      <c r="DH3310" s="159"/>
      <c r="DI3310" s="1091"/>
      <c r="DJ3310" s="1187"/>
    </row>
    <row r="3311" spans="1:114" ht="15" hidden="1" customHeight="1" outlineLevel="1">
      <c r="A3311" s="453"/>
      <c r="C3311" s="51"/>
      <c r="D3311" s="4295"/>
      <c r="E3311" s="4295"/>
      <c r="F3311" s="4347" t="str">
        <f>$E$1600</f>
        <v>ASHP-SEER16-Replace_CAC_ElectricHeat_ER1_MF_CompE</v>
      </c>
      <c r="G3311" s="4347"/>
      <c r="H3311" s="4347"/>
      <c r="I3311" s="4347"/>
      <c r="J3311" s="3471" t="str">
        <f>$C$1600</f>
        <v>353001_2024_12_</v>
      </c>
      <c r="K3311" s="3283">
        <v>16</v>
      </c>
      <c r="L3311" s="3479"/>
      <c r="M3311" s="3293" t="s">
        <v>1945</v>
      </c>
      <c r="P3311" s="261"/>
      <c r="Q3311" s="261"/>
      <c r="R3311" s="261"/>
      <c r="S3311" s="52"/>
      <c r="T3311" s="181"/>
      <c r="U3311" s="52"/>
      <c r="V3311" s="4295"/>
      <c r="W3311" s="3262"/>
      <c r="X3311" s="3262"/>
      <c r="Y3311" s="3265">
        <v>16</v>
      </c>
      <c r="Z3311" s="3262">
        <v>16</v>
      </c>
      <c r="AA3311" s="3262">
        <v>16</v>
      </c>
      <c r="AB3311" s="3285">
        <v>16.5</v>
      </c>
      <c r="AC3311" s="3286">
        <f>AC3310</f>
        <v>16</v>
      </c>
      <c r="AD3311" s="3286">
        <v>16</v>
      </c>
      <c r="AE3311" s="3286">
        <v>16</v>
      </c>
      <c r="AF3311" s="2236">
        <f t="shared" si="336"/>
        <v>16</v>
      </c>
      <c r="AG3311" s="1396"/>
      <c r="DG3311" s="573"/>
      <c r="DH3311" s="159"/>
      <c r="DI3311" s="1091"/>
      <c r="DJ3311" s="1187"/>
    </row>
    <row r="3312" spans="1:114" ht="15" hidden="1" customHeight="1" outlineLevel="1">
      <c r="A3312" s="453"/>
      <c r="C3312" s="51"/>
      <c r="D3312" s="4295"/>
      <c r="E3312" s="4295"/>
      <c r="F3312" s="4347" t="str">
        <f>$E$1602</f>
        <v>ASHP-SEER16-Replace_CAC_ElectricHeat_ER2_MF_CompE</v>
      </c>
      <c r="G3312" s="4347"/>
      <c r="H3312" s="4347"/>
      <c r="I3312" s="4347"/>
      <c r="J3312" s="3471" t="str">
        <f>$C$1602</f>
        <v>353001_2024_12_</v>
      </c>
      <c r="K3312" s="3283">
        <v>16</v>
      </c>
      <c r="L3312" s="3479"/>
      <c r="M3312" s="3293" t="s">
        <v>1945</v>
      </c>
      <c r="P3312" s="261"/>
      <c r="Q3312" s="261"/>
      <c r="R3312" s="261"/>
      <c r="S3312" s="52"/>
      <c r="T3312" s="181"/>
      <c r="U3312" s="52"/>
      <c r="V3312" s="4295"/>
      <c r="W3312" s="3262"/>
      <c r="X3312" s="3262"/>
      <c r="Y3312" s="3265">
        <v>16</v>
      </c>
      <c r="Z3312" s="3262">
        <v>16</v>
      </c>
      <c r="AA3312" s="3262">
        <v>16</v>
      </c>
      <c r="AB3312" s="3285">
        <v>16.5</v>
      </c>
      <c r="AC3312" s="3286">
        <f>AC3311</f>
        <v>16</v>
      </c>
      <c r="AD3312" s="3286">
        <v>16</v>
      </c>
      <c r="AE3312" s="3286">
        <v>16</v>
      </c>
      <c r="AF3312" s="2236">
        <f t="shared" si="336"/>
        <v>16</v>
      </c>
      <c r="AG3312" s="1396"/>
      <c r="DG3312" s="573"/>
      <c r="DH3312" s="159"/>
      <c r="DI3312" s="1091"/>
      <c r="DJ3312" s="1187"/>
    </row>
    <row r="3313" spans="1:114" ht="15" hidden="1" customHeight="1" outlineLevel="1">
      <c r="A3313" s="453"/>
      <c r="C3313" s="51"/>
      <c r="D3313" s="4295"/>
      <c r="E3313" s="4295"/>
      <c r="F3313" s="4347" t="str">
        <f>$E$1604</f>
        <v>ASHP-SEER16-Replace_CAC_NonElectricHeat_ER1_MF</v>
      </c>
      <c r="G3313" s="4347"/>
      <c r="H3313" s="4347"/>
      <c r="I3313" s="4347"/>
      <c r="J3313" s="3471" t="str">
        <f>$C$1604</f>
        <v>353010_2024_12_</v>
      </c>
      <c r="K3313" s="3283">
        <v>16</v>
      </c>
      <c r="L3313" s="3479"/>
      <c r="M3313" s="3293" t="s">
        <v>1945</v>
      </c>
      <c r="P3313" s="261"/>
      <c r="Q3313" s="261"/>
      <c r="R3313" s="261"/>
      <c r="S3313" s="52"/>
      <c r="T3313" s="181"/>
      <c r="U3313" s="52"/>
      <c r="V3313" s="4295"/>
      <c r="W3313" s="3262"/>
      <c r="X3313" s="3262"/>
      <c r="Y3313" s="3265"/>
      <c r="Z3313" s="3262"/>
      <c r="AA3313" s="3262"/>
      <c r="AB3313" s="3285"/>
      <c r="AC3313" s="3285">
        <v>16</v>
      </c>
      <c r="AD3313" s="3286">
        <v>16</v>
      </c>
      <c r="AE3313" s="3286">
        <v>16</v>
      </c>
      <c r="AF3313" s="2236">
        <f t="shared" si="336"/>
        <v>16</v>
      </c>
      <c r="AG3313" s="1396"/>
      <c r="DG3313" s="573"/>
      <c r="DH3313" s="159"/>
      <c r="DI3313" s="1091"/>
      <c r="DJ3313" s="1187"/>
    </row>
    <row r="3314" spans="1:114" ht="15" hidden="1" customHeight="1" outlineLevel="1">
      <c r="A3314" s="453"/>
      <c r="C3314" s="51"/>
      <c r="D3314" s="4295"/>
      <c r="E3314" s="4295"/>
      <c r="F3314" s="4347" t="str">
        <f>$E$1606</f>
        <v>ASHP-SEER16-Replace_CAC_NonElectricHeat_ER2_MF</v>
      </c>
      <c r="G3314" s="4347"/>
      <c r="H3314" s="4347"/>
      <c r="I3314" s="4347"/>
      <c r="J3314" s="3471" t="str">
        <f>$C$1606</f>
        <v>353010_2024_12_</v>
      </c>
      <c r="K3314" s="3283">
        <v>16</v>
      </c>
      <c r="L3314" s="3479"/>
      <c r="M3314" s="3293" t="s">
        <v>1945</v>
      </c>
      <c r="P3314" s="261"/>
      <c r="Q3314" s="261"/>
      <c r="R3314" s="261"/>
      <c r="S3314" s="52"/>
      <c r="T3314" s="181"/>
      <c r="U3314" s="52"/>
      <c r="V3314" s="4295"/>
      <c r="W3314" s="3262"/>
      <c r="X3314" s="3262"/>
      <c r="Y3314" s="3265"/>
      <c r="Z3314" s="3262"/>
      <c r="AA3314" s="3262"/>
      <c r="AB3314" s="3285"/>
      <c r="AC3314" s="3285">
        <f>AC3313</f>
        <v>16</v>
      </c>
      <c r="AD3314" s="3286">
        <v>16</v>
      </c>
      <c r="AE3314" s="3286">
        <v>16</v>
      </c>
      <c r="AF3314" s="2236">
        <f t="shared" si="336"/>
        <v>16</v>
      </c>
      <c r="AG3314" s="1396"/>
      <c r="DG3314" s="573"/>
      <c r="DH3314" s="159"/>
      <c r="DI3314" s="1091"/>
      <c r="DJ3314" s="1187"/>
    </row>
    <row r="3315" spans="1:114" ht="15" hidden="1" customHeight="1" outlineLevel="1">
      <c r="A3315" s="453"/>
      <c r="C3315" s="51"/>
      <c r="D3315" s="4295"/>
      <c r="E3315" s="4295"/>
      <c r="F3315" s="4347" t="str">
        <f>$E$1608</f>
        <v>ASHP-SEER16-Replace_CAC_NonElectricHeat_ER1_MF_CompE</v>
      </c>
      <c r="G3315" s="4347"/>
      <c r="H3315" s="4347"/>
      <c r="I3315" s="4347"/>
      <c r="J3315" s="3471" t="str">
        <f>$C$1608</f>
        <v>353011_2024_12_</v>
      </c>
      <c r="K3315" s="3283">
        <v>16</v>
      </c>
      <c r="L3315" s="3479"/>
      <c r="M3315" s="3293" t="s">
        <v>1945</v>
      </c>
      <c r="P3315" s="261"/>
      <c r="Q3315" s="261"/>
      <c r="R3315" s="261"/>
      <c r="S3315" s="52"/>
      <c r="T3315" s="181"/>
      <c r="U3315" s="52"/>
      <c r="V3315" s="4295"/>
      <c r="W3315" s="3262"/>
      <c r="X3315" s="3262"/>
      <c r="Y3315" s="3265"/>
      <c r="Z3315" s="3262"/>
      <c r="AA3315" s="3262"/>
      <c r="AB3315" s="3285"/>
      <c r="AC3315" s="3285">
        <f>AC3314</f>
        <v>16</v>
      </c>
      <c r="AD3315" s="3286">
        <v>16</v>
      </c>
      <c r="AE3315" s="3286">
        <v>16</v>
      </c>
      <c r="AF3315" s="2236">
        <f t="shared" si="336"/>
        <v>16</v>
      </c>
      <c r="AG3315" s="1396"/>
      <c r="DG3315" s="573"/>
      <c r="DH3315" s="159"/>
      <c r="DI3315" s="1091"/>
      <c r="DJ3315" s="1187"/>
    </row>
    <row r="3316" spans="1:114" ht="15" hidden="1" customHeight="1" outlineLevel="1">
      <c r="A3316" s="453"/>
      <c r="C3316" s="51"/>
      <c r="D3316" s="4295"/>
      <c r="E3316" s="4295"/>
      <c r="F3316" s="4347" t="str">
        <f>$E$1610</f>
        <v>ASHP-SEER16-Replace_CAC_NonElectricHeat_ER2_MF_CompE</v>
      </c>
      <c r="G3316" s="4347"/>
      <c r="H3316" s="4347"/>
      <c r="I3316" s="4347"/>
      <c r="J3316" s="3471" t="str">
        <f>$C$1610</f>
        <v>353011_2024_12_</v>
      </c>
      <c r="K3316" s="3283">
        <v>16</v>
      </c>
      <c r="L3316" s="3479"/>
      <c r="M3316" s="3293" t="s">
        <v>1945</v>
      </c>
      <c r="P3316" s="261"/>
      <c r="Q3316" s="261"/>
      <c r="R3316" s="261"/>
      <c r="S3316" s="52"/>
      <c r="T3316" s="181"/>
      <c r="U3316" s="52"/>
      <c r="V3316" s="4295"/>
      <c r="W3316" s="3262"/>
      <c r="X3316" s="3262"/>
      <c r="Y3316" s="3265"/>
      <c r="Z3316" s="3262"/>
      <c r="AA3316" s="3262"/>
      <c r="AB3316" s="3285"/>
      <c r="AC3316" s="3285">
        <f>AC3315</f>
        <v>16</v>
      </c>
      <c r="AD3316" s="3286">
        <v>16</v>
      </c>
      <c r="AE3316" s="3286">
        <v>16</v>
      </c>
      <c r="AF3316" s="2236">
        <f t="shared" si="336"/>
        <v>16</v>
      </c>
      <c r="AG3316" s="1396"/>
      <c r="DG3316" s="573"/>
      <c r="DH3316" s="159"/>
      <c r="DI3316" s="1091"/>
      <c r="DJ3316" s="1187"/>
    </row>
    <row r="3317" spans="1:114" ht="15" hidden="1" customHeight="1" outlineLevel="1">
      <c r="A3317" s="453"/>
      <c r="C3317" s="51"/>
      <c r="D3317" s="4295"/>
      <c r="E3317" s="4295"/>
      <c r="F3317" s="4347" t="str">
        <f>$E$1612</f>
        <v>ASHP-SEER15_ROF_MF</v>
      </c>
      <c r="G3317" s="4347"/>
      <c r="H3317" s="4347"/>
      <c r="I3317" s="4347"/>
      <c r="J3317" s="3471" t="str">
        <f>$C$1612</f>
        <v>353050_2024_12_</v>
      </c>
      <c r="K3317" s="3283">
        <v>15</v>
      </c>
      <c r="L3317" s="3479"/>
      <c r="M3317" s="3293" t="s">
        <v>1937</v>
      </c>
      <c r="P3317" s="261"/>
      <c r="Q3317" s="261"/>
      <c r="R3317" s="261"/>
      <c r="S3317" s="52"/>
      <c r="T3317" s="181"/>
      <c r="U3317" s="52"/>
      <c r="V3317" s="4295"/>
      <c r="W3317" s="3262">
        <v>15.1</v>
      </c>
      <c r="X3317" s="3262">
        <v>15.1</v>
      </c>
      <c r="Y3317" s="3262">
        <v>15.1</v>
      </c>
      <c r="Z3317" s="3262">
        <v>15.1</v>
      </c>
      <c r="AA3317" s="3262">
        <v>15.1</v>
      </c>
      <c r="AB3317" s="3286">
        <v>15.1</v>
      </c>
      <c r="AC3317" s="3285">
        <v>15</v>
      </c>
      <c r="AD3317" s="3286">
        <v>15</v>
      </c>
      <c r="AE3317" s="3286">
        <v>15</v>
      </c>
      <c r="AF3317" s="2236">
        <f t="shared" si="336"/>
        <v>15</v>
      </c>
      <c r="AG3317" s="1396"/>
      <c r="DG3317" s="573"/>
      <c r="DH3317" s="159"/>
      <c r="DI3317" s="1091"/>
      <c r="DJ3317" s="1187"/>
    </row>
    <row r="3318" spans="1:114" ht="15" hidden="1" customHeight="1" outlineLevel="1">
      <c r="A3318" s="453"/>
      <c r="C3318" s="51"/>
      <c r="D3318" s="4295"/>
      <c r="E3318" s="4295"/>
      <c r="F3318" s="4347" t="str">
        <f>$E$1614</f>
        <v>ASHP-SEER15_ROF_MF_CompE</v>
      </c>
      <c r="G3318" s="4347"/>
      <c r="H3318" s="4347"/>
      <c r="I3318" s="4347"/>
      <c r="J3318" s="3471" t="str">
        <f>$C$1614</f>
        <v>353051_2024_12_</v>
      </c>
      <c r="K3318" s="3337">
        <v>15</v>
      </c>
      <c r="L3318" s="3479"/>
      <c r="M3318" s="3481" t="s">
        <v>1937</v>
      </c>
      <c r="P3318" s="261"/>
      <c r="Q3318" s="261"/>
      <c r="R3318" s="261"/>
      <c r="S3318" s="52"/>
      <c r="T3318" s="181"/>
      <c r="U3318" s="52"/>
      <c r="V3318" s="4295"/>
      <c r="W3318" s="3262"/>
      <c r="X3318" s="3262"/>
      <c r="Y3318" s="3265">
        <v>15.1</v>
      </c>
      <c r="Z3318" s="3262">
        <v>15.1</v>
      </c>
      <c r="AA3318" s="3262">
        <v>15.1</v>
      </c>
      <c r="AB3318" s="3286">
        <v>15.1</v>
      </c>
      <c r="AC3318" s="3286">
        <v>15.1</v>
      </c>
      <c r="AD3318" s="3482">
        <v>15</v>
      </c>
      <c r="AE3318" s="3484">
        <v>15</v>
      </c>
      <c r="AF3318" s="2236">
        <f t="shared" si="336"/>
        <v>15</v>
      </c>
      <c r="AG3318" s="1396"/>
      <c r="DG3318" s="573"/>
      <c r="DH3318" s="159"/>
      <c r="DI3318" s="1091"/>
      <c r="DJ3318" s="1187"/>
    </row>
    <row r="3319" spans="1:114" ht="15" hidden="1" customHeight="1" outlineLevel="1">
      <c r="A3319" s="453"/>
      <c r="C3319" s="51"/>
      <c r="D3319" s="4295"/>
      <c r="E3319" s="4295"/>
      <c r="F3319" s="4307" t="str">
        <f>$E$1616</f>
        <v>ASHP-SEER17-Replace_CAC_ElectricHeat_ROF_SF</v>
      </c>
      <c r="G3319" s="4307"/>
      <c r="H3319" s="4307"/>
      <c r="I3319" s="4307"/>
      <c r="J3319" s="1029" t="str">
        <f>$C$1616</f>
        <v>353100_2024_12_</v>
      </c>
      <c r="K3319" s="916">
        <v>17.149666666666668</v>
      </c>
      <c r="L3319" s="262"/>
      <c r="M3319" s="1739" t="s">
        <v>1934</v>
      </c>
      <c r="P3319" s="261"/>
      <c r="Q3319" s="261"/>
      <c r="R3319" s="261"/>
      <c r="S3319" s="52"/>
      <c r="T3319" s="181"/>
      <c r="U3319" s="52"/>
      <c r="V3319" s="4295"/>
      <c r="W3319" s="1396">
        <v>17</v>
      </c>
      <c r="X3319" s="1396">
        <v>17</v>
      </c>
      <c r="Y3319" s="833">
        <v>17</v>
      </c>
      <c r="Z3319" s="1396">
        <v>17</v>
      </c>
      <c r="AA3319" s="1396">
        <v>17</v>
      </c>
      <c r="AB3319" s="211">
        <v>17</v>
      </c>
      <c r="AC3319" s="212">
        <v>17.3</v>
      </c>
      <c r="AD3319" s="969">
        <v>17.237142857142857</v>
      </c>
      <c r="AE3319" s="969">
        <v>17.149666666666668</v>
      </c>
      <c r="AF3319" s="271">
        <f t="shared" si="336"/>
        <v>17.149666666666668</v>
      </c>
      <c r="AG3319" s="1396"/>
      <c r="DG3319" s="573"/>
      <c r="DH3319" s="159"/>
      <c r="DI3319" s="1091"/>
      <c r="DJ3319" s="1187"/>
    </row>
    <row r="3320" spans="1:114" ht="15" hidden="1" customHeight="1" outlineLevel="1">
      <c r="A3320" s="453"/>
      <c r="C3320" s="51"/>
      <c r="D3320" s="4295"/>
      <c r="E3320" s="4295"/>
      <c r="F3320" s="4307" t="str">
        <f>$E$1618</f>
        <v>ASHP-SEER17-Replace_CAC_NonElectricHeat_ROF_SF</v>
      </c>
      <c r="G3320" s="4307"/>
      <c r="H3320" s="4307"/>
      <c r="I3320" s="4307"/>
      <c r="J3320" s="1029" t="str">
        <f>$C$1618</f>
        <v>353110_2024_12_</v>
      </c>
      <c r="K3320" s="916">
        <v>17.149666666666668</v>
      </c>
      <c r="L3320" s="262"/>
      <c r="M3320" s="1739" t="s">
        <v>1945</v>
      </c>
      <c r="P3320" s="261"/>
      <c r="Q3320" s="261"/>
      <c r="R3320" s="261"/>
      <c r="S3320" s="52"/>
      <c r="T3320" s="181"/>
      <c r="U3320" s="52"/>
      <c r="V3320" s="4295"/>
      <c r="W3320" s="1396"/>
      <c r="X3320" s="1396"/>
      <c r="Y3320" s="1396"/>
      <c r="Z3320" s="1396"/>
      <c r="AA3320" s="1396"/>
      <c r="AB3320" s="211"/>
      <c r="AC3320" s="211"/>
      <c r="AD3320" s="969">
        <v>17.237142857142857</v>
      </c>
      <c r="AE3320" s="969">
        <v>17.149666666666668</v>
      </c>
      <c r="AF3320" s="271">
        <f t="shared" si="336"/>
        <v>17.149666666666668</v>
      </c>
      <c r="AG3320" s="1396"/>
      <c r="DG3320" s="573"/>
      <c r="DH3320" s="159"/>
      <c r="DI3320" s="1091"/>
      <c r="DJ3320" s="1187"/>
    </row>
    <row r="3321" spans="1:114" ht="15" hidden="1" customHeight="1" outlineLevel="1">
      <c r="A3321" s="453"/>
      <c r="C3321" s="51"/>
      <c r="D3321" s="4295"/>
      <c r="E3321" s="4295"/>
      <c r="F3321" s="4347" t="str">
        <f>$E$1620</f>
        <v>ASHP-SEER17-Replace_CAC_ElectricHeat_ROF_MF</v>
      </c>
      <c r="G3321" s="4347"/>
      <c r="H3321" s="4347"/>
      <c r="I3321" s="4347"/>
      <c r="J3321" s="3471" t="str">
        <f>$C$1620</f>
        <v>353150_2024_12_</v>
      </c>
      <c r="K3321" s="3283">
        <v>17</v>
      </c>
      <c r="L3321" s="3479"/>
      <c r="M3321" s="3293" t="s">
        <v>2507</v>
      </c>
      <c r="P3321" s="261"/>
      <c r="Q3321" s="261"/>
      <c r="R3321" s="261"/>
      <c r="S3321" s="52"/>
      <c r="T3321" s="181"/>
      <c r="U3321" s="52"/>
      <c r="V3321" s="4295"/>
      <c r="W3321" s="3262">
        <v>17</v>
      </c>
      <c r="X3321" s="3262">
        <v>17</v>
      </c>
      <c r="Y3321" s="3265">
        <v>17</v>
      </c>
      <c r="Z3321" s="3262">
        <v>17</v>
      </c>
      <c r="AA3321" s="3262">
        <v>17</v>
      </c>
      <c r="AB3321" s="3286">
        <v>17</v>
      </c>
      <c r="AC3321" s="3286">
        <v>17</v>
      </c>
      <c r="AD3321" s="3286">
        <v>17</v>
      </c>
      <c r="AE3321" s="3286">
        <v>17</v>
      </c>
      <c r="AF3321" s="2236">
        <f t="shared" si="336"/>
        <v>17</v>
      </c>
      <c r="AG3321" s="1396"/>
      <c r="DG3321" s="573"/>
      <c r="DH3321" s="159"/>
      <c r="DI3321" s="1091"/>
      <c r="DJ3321" s="1187"/>
    </row>
    <row r="3322" spans="1:114" ht="15" hidden="1" customHeight="1" outlineLevel="1">
      <c r="A3322" s="453"/>
      <c r="C3322" s="51"/>
      <c r="D3322" s="4295"/>
      <c r="E3322" s="4295"/>
      <c r="F3322" s="4347" t="str">
        <f>$E$1622</f>
        <v>ASHP-SEER17-Replace_CAC_ElectricHeat_ROF_MF_CompE</v>
      </c>
      <c r="G3322" s="4347"/>
      <c r="H3322" s="4347"/>
      <c r="I3322" s="4347"/>
      <c r="J3322" s="3471" t="str">
        <f>$C$1622</f>
        <v>353151_2024_12_</v>
      </c>
      <c r="K3322" s="3283">
        <v>17</v>
      </c>
      <c r="L3322" s="3479"/>
      <c r="M3322" s="3293" t="s">
        <v>1945</v>
      </c>
      <c r="P3322" s="261"/>
      <c r="Q3322" s="261"/>
      <c r="R3322" s="261"/>
      <c r="S3322" s="52"/>
      <c r="T3322" s="181"/>
      <c r="U3322" s="52"/>
      <c r="V3322" s="4295"/>
      <c r="W3322" s="3262"/>
      <c r="X3322" s="3262"/>
      <c r="Y3322" s="3265">
        <v>17</v>
      </c>
      <c r="Z3322" s="3262">
        <v>17</v>
      </c>
      <c r="AA3322" s="3262">
        <v>17</v>
      </c>
      <c r="AB3322" s="3286">
        <v>17</v>
      </c>
      <c r="AC3322" s="3286">
        <v>17</v>
      </c>
      <c r="AD3322" s="3286">
        <v>17</v>
      </c>
      <c r="AE3322" s="3286">
        <v>17</v>
      </c>
      <c r="AF3322" s="2236">
        <f t="shared" ref="AF3322:AF3385" si="337">IF(K3322&lt;&gt;"",K3322,"")</f>
        <v>17</v>
      </c>
      <c r="AG3322" s="1396"/>
      <c r="DG3322" s="573"/>
      <c r="DH3322" s="159"/>
      <c r="DI3322" s="1091"/>
      <c r="DJ3322" s="1187"/>
    </row>
    <row r="3323" spans="1:114" ht="15" hidden="1" customHeight="1" outlineLevel="1">
      <c r="A3323" s="453"/>
      <c r="C3323" s="51"/>
      <c r="D3323" s="4295"/>
      <c r="E3323" s="4295"/>
      <c r="F3323" s="4347" t="str">
        <f>$E$1624</f>
        <v>ASHP-SEER17-Replace_CAC_NonElectricHeat_ROF_MF</v>
      </c>
      <c r="G3323" s="4347"/>
      <c r="H3323" s="4347"/>
      <c r="I3323" s="4347"/>
      <c r="J3323" s="3471" t="str">
        <f>$C$1624</f>
        <v>353160_2024_12_</v>
      </c>
      <c r="K3323" s="3283">
        <v>17</v>
      </c>
      <c r="L3323" s="3479"/>
      <c r="M3323" s="3293" t="s">
        <v>1945</v>
      </c>
      <c r="P3323" s="261"/>
      <c r="Q3323" s="261"/>
      <c r="R3323" s="261"/>
      <c r="S3323" s="52"/>
      <c r="T3323" s="181"/>
      <c r="U3323" s="52"/>
      <c r="V3323" s="4295"/>
      <c r="W3323" s="3262"/>
      <c r="X3323" s="3262"/>
      <c r="Y3323" s="3265"/>
      <c r="Z3323" s="3262"/>
      <c r="AA3323" s="3262"/>
      <c r="AB3323" s="3286"/>
      <c r="AC3323" s="3285">
        <v>17</v>
      </c>
      <c r="AD3323" s="3286">
        <v>17</v>
      </c>
      <c r="AE3323" s="3286">
        <v>17</v>
      </c>
      <c r="AF3323" s="2236">
        <f t="shared" si="337"/>
        <v>17</v>
      </c>
      <c r="AG3323" s="1396"/>
      <c r="DG3323" s="573"/>
      <c r="DH3323" s="159"/>
      <c r="DI3323" s="1091"/>
      <c r="DJ3323" s="1187"/>
    </row>
    <row r="3324" spans="1:114" ht="15" hidden="1" customHeight="1" outlineLevel="1">
      <c r="A3324" s="453"/>
      <c r="C3324" s="51"/>
      <c r="D3324" s="4295"/>
      <c r="E3324" s="4295"/>
      <c r="F3324" s="4347" t="str">
        <f>$E$1626</f>
        <v>ASHP-SEER17-Replace_CAC_NonElectricHeat_ROF_MF_CompE</v>
      </c>
      <c r="G3324" s="4347"/>
      <c r="H3324" s="4347"/>
      <c r="I3324" s="4347"/>
      <c r="J3324" s="3471" t="str">
        <f>$C$1626</f>
        <v>353161_2024_12_</v>
      </c>
      <c r="K3324" s="3283">
        <v>17</v>
      </c>
      <c r="L3324" s="3479"/>
      <c r="M3324" s="3293" t="s">
        <v>1945</v>
      </c>
      <c r="P3324" s="261"/>
      <c r="Q3324" s="261"/>
      <c r="R3324" s="261"/>
      <c r="S3324" s="52"/>
      <c r="T3324" s="181"/>
      <c r="U3324" s="52"/>
      <c r="V3324" s="4295"/>
      <c r="W3324" s="3262"/>
      <c r="X3324" s="3262"/>
      <c r="Y3324" s="3265"/>
      <c r="Z3324" s="3262"/>
      <c r="AA3324" s="3262"/>
      <c r="AB3324" s="3286"/>
      <c r="AC3324" s="3285">
        <v>17</v>
      </c>
      <c r="AD3324" s="3286">
        <v>17</v>
      </c>
      <c r="AE3324" s="3286">
        <v>17</v>
      </c>
      <c r="AF3324" s="2236">
        <f t="shared" si="337"/>
        <v>17</v>
      </c>
      <c r="AG3324" s="1396"/>
      <c r="DG3324" s="573"/>
      <c r="DH3324" s="159"/>
      <c r="DI3324" s="1091"/>
      <c r="DJ3324" s="1187"/>
    </row>
    <row r="3325" spans="1:114" ht="15" hidden="1" customHeight="1" outlineLevel="1">
      <c r="A3325" s="453"/>
      <c r="C3325" s="51"/>
      <c r="D3325" s="4295"/>
      <c r="E3325" s="4295"/>
      <c r="F3325" s="4307" t="str">
        <f>$E$1628</f>
        <v>ASHP-SEER18-Replace_CAC_ElectricHeat_ROF_SF</v>
      </c>
      <c r="G3325" s="4307"/>
      <c r="H3325" s="4307"/>
      <c r="I3325" s="4307"/>
      <c r="J3325" s="1029" t="str">
        <f>$C$1628</f>
        <v>353200_2024_12_</v>
      </c>
      <c r="K3325" s="916">
        <v>18.027777777777779</v>
      </c>
      <c r="L3325" s="262"/>
      <c r="M3325" s="1739" t="s">
        <v>1934</v>
      </c>
      <c r="P3325" s="261"/>
      <c r="Q3325" s="261"/>
      <c r="R3325" s="261"/>
      <c r="S3325" s="52"/>
      <c r="T3325" s="181"/>
      <c r="U3325" s="52"/>
      <c r="V3325" s="4295"/>
      <c r="W3325" s="1396">
        <v>18</v>
      </c>
      <c r="X3325" s="1396">
        <v>18</v>
      </c>
      <c r="Y3325" s="833">
        <v>18</v>
      </c>
      <c r="Z3325" s="1396">
        <v>18</v>
      </c>
      <c r="AA3325" s="1396">
        <v>18</v>
      </c>
      <c r="AB3325" s="212">
        <v>19</v>
      </c>
      <c r="AC3325" s="212">
        <v>17.736216216216217</v>
      </c>
      <c r="AD3325" s="969">
        <v>17.872340425531913</v>
      </c>
      <c r="AE3325" s="969">
        <v>18.027777777777779</v>
      </c>
      <c r="AF3325" s="271">
        <f t="shared" si="337"/>
        <v>18.027777777777779</v>
      </c>
      <c r="AG3325" s="1396"/>
      <c r="DG3325" s="573"/>
      <c r="DH3325" s="159"/>
      <c r="DI3325" s="1091"/>
      <c r="DJ3325" s="1187"/>
    </row>
    <row r="3326" spans="1:114" ht="15" hidden="1" customHeight="1" outlineLevel="1">
      <c r="A3326" s="453"/>
      <c r="C3326" s="51"/>
      <c r="D3326" s="4295"/>
      <c r="E3326" s="4295"/>
      <c r="F3326" s="4307" t="str">
        <f>$E$1630</f>
        <v>ASHP-SEER18-Replace_CAC_NonElectricHeat_ROF_SF</v>
      </c>
      <c r="G3326" s="4307"/>
      <c r="H3326" s="4307"/>
      <c r="I3326" s="4307"/>
      <c r="J3326" s="1029" t="str">
        <f>$C$1630</f>
        <v>353210_2024_12_</v>
      </c>
      <c r="K3326" s="916">
        <v>18.027777777777779</v>
      </c>
      <c r="L3326" s="262"/>
      <c r="M3326" s="1739" t="s">
        <v>1945</v>
      </c>
      <c r="P3326" s="261"/>
      <c r="Q3326" s="261"/>
      <c r="R3326" s="261"/>
      <c r="S3326" s="52"/>
      <c r="T3326" s="181"/>
      <c r="U3326" s="52"/>
      <c r="V3326" s="4295"/>
      <c r="W3326" s="1396"/>
      <c r="X3326" s="1396"/>
      <c r="Y3326" s="1396"/>
      <c r="Z3326" s="1396"/>
      <c r="AA3326" s="1396"/>
      <c r="AB3326" s="211"/>
      <c r="AC3326" s="211"/>
      <c r="AD3326" s="969">
        <v>17.872340425531913</v>
      </c>
      <c r="AE3326" s="969">
        <v>18.027777777777779</v>
      </c>
      <c r="AF3326" s="271">
        <f t="shared" si="337"/>
        <v>18.027777777777779</v>
      </c>
      <c r="AG3326" s="1396"/>
      <c r="DG3326" s="573"/>
      <c r="DH3326" s="159"/>
      <c r="DI3326" s="1091"/>
      <c r="DJ3326" s="1187"/>
    </row>
    <row r="3327" spans="1:114" ht="15" hidden="1" customHeight="1" outlineLevel="1">
      <c r="A3327" s="453"/>
      <c r="C3327" s="51"/>
      <c r="D3327" s="4295"/>
      <c r="E3327" s="4295"/>
      <c r="F3327" s="4347" t="str">
        <f>$E$1632</f>
        <v>ASHP-SEER18-Replace_CAC_ElectricHeat_ROF_MF</v>
      </c>
      <c r="G3327" s="4347"/>
      <c r="H3327" s="4347"/>
      <c r="I3327" s="4347"/>
      <c r="J3327" s="3471" t="str">
        <f>$C$1632</f>
        <v>353250_2024_12_</v>
      </c>
      <c r="K3327" s="3283">
        <v>18</v>
      </c>
      <c r="L3327" s="3479"/>
      <c r="M3327" s="3293" t="s">
        <v>1938</v>
      </c>
      <c r="P3327" s="261"/>
      <c r="Q3327" s="261"/>
      <c r="R3327" s="261"/>
      <c r="S3327" s="52"/>
      <c r="T3327" s="181"/>
      <c r="U3327" s="52"/>
      <c r="V3327" s="4295"/>
      <c r="W3327" s="3262">
        <v>18</v>
      </c>
      <c r="X3327" s="3262">
        <v>18</v>
      </c>
      <c r="Y3327" s="3265">
        <v>18</v>
      </c>
      <c r="Z3327" s="3262">
        <v>18</v>
      </c>
      <c r="AA3327" s="3262">
        <v>18</v>
      </c>
      <c r="AB3327" s="3285">
        <v>19</v>
      </c>
      <c r="AC3327" s="3285">
        <v>18</v>
      </c>
      <c r="AD3327" s="3286">
        <v>18</v>
      </c>
      <c r="AE3327" s="3286">
        <v>18</v>
      </c>
      <c r="AF3327" s="2236">
        <f t="shared" si="337"/>
        <v>18</v>
      </c>
      <c r="AG3327" s="1396"/>
      <c r="DG3327" s="573"/>
      <c r="DH3327" s="159"/>
      <c r="DI3327" s="1091"/>
      <c r="DJ3327" s="1187"/>
    </row>
    <row r="3328" spans="1:114" ht="15" hidden="1" customHeight="1" outlineLevel="1">
      <c r="A3328" s="453"/>
      <c r="C3328" s="51"/>
      <c r="D3328" s="4295"/>
      <c r="E3328" s="4295"/>
      <c r="F3328" s="4347" t="str">
        <f>$E$1634</f>
        <v>ASHP-SEER18-Replace_CAC_ElectricHeat_ROF_MF_CompE</v>
      </c>
      <c r="G3328" s="4347"/>
      <c r="H3328" s="4347"/>
      <c r="I3328" s="4347"/>
      <c r="J3328" s="3471" t="str">
        <f>$C$1634</f>
        <v>353251_2024_12_</v>
      </c>
      <c r="K3328" s="3283">
        <v>18</v>
      </c>
      <c r="L3328" s="3479"/>
      <c r="M3328" s="3293" t="s">
        <v>1945</v>
      </c>
      <c r="P3328" s="261"/>
      <c r="Q3328" s="261"/>
      <c r="R3328" s="261"/>
      <c r="S3328" s="52"/>
      <c r="T3328" s="181"/>
      <c r="U3328" s="52"/>
      <c r="V3328" s="4295"/>
      <c r="W3328" s="3262"/>
      <c r="X3328" s="3262"/>
      <c r="Y3328" s="3265">
        <v>18</v>
      </c>
      <c r="Z3328" s="3262">
        <v>18</v>
      </c>
      <c r="AA3328" s="3262">
        <v>18</v>
      </c>
      <c r="AB3328" s="3285">
        <v>19</v>
      </c>
      <c r="AC3328" s="3286">
        <f>AC3327</f>
        <v>18</v>
      </c>
      <c r="AD3328" s="3286">
        <v>18</v>
      </c>
      <c r="AE3328" s="3286">
        <v>18</v>
      </c>
      <c r="AF3328" s="2236">
        <f t="shared" si="337"/>
        <v>18</v>
      </c>
      <c r="AG3328" s="1396"/>
      <c r="DG3328" s="573"/>
      <c r="DH3328" s="159"/>
      <c r="DI3328" s="1091"/>
      <c r="DJ3328" s="1187"/>
    </row>
    <row r="3329" spans="1:114" ht="15" hidden="1" customHeight="1" outlineLevel="1">
      <c r="A3329" s="453"/>
      <c r="C3329" s="51"/>
      <c r="D3329" s="4295"/>
      <c r="E3329" s="4295"/>
      <c r="F3329" s="4347" t="str">
        <f>$E$1636</f>
        <v>ASHP-SEER18-Replace_CAC_NonElectricHeat_ROF_MF</v>
      </c>
      <c r="G3329" s="4347"/>
      <c r="H3329" s="4347"/>
      <c r="I3329" s="4347"/>
      <c r="J3329" s="3471" t="str">
        <f>$C$1636</f>
        <v>353260_2024_12_</v>
      </c>
      <c r="K3329" s="3283">
        <v>18</v>
      </c>
      <c r="L3329" s="3479"/>
      <c r="M3329" s="3293" t="s">
        <v>1945</v>
      </c>
      <c r="P3329" s="261"/>
      <c r="Q3329" s="261"/>
      <c r="R3329" s="261"/>
      <c r="S3329" s="52"/>
      <c r="T3329" s="181"/>
      <c r="U3329" s="52"/>
      <c r="V3329" s="4295"/>
      <c r="W3329" s="3262"/>
      <c r="X3329" s="3262"/>
      <c r="Y3329" s="3265"/>
      <c r="Z3329" s="3262"/>
      <c r="AA3329" s="3262"/>
      <c r="AB3329" s="3285"/>
      <c r="AC3329" s="3285">
        <v>18</v>
      </c>
      <c r="AD3329" s="3286">
        <v>18</v>
      </c>
      <c r="AE3329" s="3286">
        <v>18</v>
      </c>
      <c r="AF3329" s="2236">
        <f t="shared" si="337"/>
        <v>18</v>
      </c>
      <c r="AG3329" s="1396"/>
      <c r="DG3329" s="573"/>
      <c r="DH3329" s="159"/>
      <c r="DI3329" s="1091"/>
      <c r="DJ3329" s="1187"/>
    </row>
    <row r="3330" spans="1:114" ht="15" hidden="1" customHeight="1" outlineLevel="1">
      <c r="A3330" s="453"/>
      <c r="C3330" s="51"/>
      <c r="D3330" s="4295"/>
      <c r="E3330" s="4295"/>
      <c r="F3330" s="4347" t="str">
        <f>$E$1638</f>
        <v>ASHP-SEER18-Replace_CAC_NonElectricHeat_ROF_MF_CompE</v>
      </c>
      <c r="G3330" s="4347"/>
      <c r="H3330" s="4347"/>
      <c r="I3330" s="4347"/>
      <c r="J3330" s="3471" t="str">
        <f>$C$1638</f>
        <v>353261_2024_12_</v>
      </c>
      <c r="K3330" s="3283">
        <v>18</v>
      </c>
      <c r="L3330" s="3479"/>
      <c r="M3330" s="3293" t="s">
        <v>1945</v>
      </c>
      <c r="P3330" s="261"/>
      <c r="Q3330" s="261"/>
      <c r="R3330" s="261"/>
      <c r="S3330" s="52"/>
      <c r="T3330" s="181"/>
      <c r="U3330" s="52"/>
      <c r="V3330" s="4295"/>
      <c r="W3330" s="3262"/>
      <c r="X3330" s="3262"/>
      <c r="Y3330" s="3265"/>
      <c r="Z3330" s="3262"/>
      <c r="AA3330" s="3262"/>
      <c r="AB3330" s="3285"/>
      <c r="AC3330" s="3285">
        <f>AC3329</f>
        <v>18</v>
      </c>
      <c r="AD3330" s="3286">
        <v>18</v>
      </c>
      <c r="AE3330" s="3286">
        <v>18</v>
      </c>
      <c r="AF3330" s="2236">
        <f t="shared" si="337"/>
        <v>18</v>
      </c>
      <c r="AG3330" s="1396"/>
      <c r="DG3330" s="573"/>
      <c r="DH3330" s="159"/>
      <c r="DI3330" s="1091"/>
      <c r="DJ3330" s="1187"/>
    </row>
    <row r="3331" spans="1:114" ht="15" hidden="1" customHeight="1" outlineLevel="1">
      <c r="A3331" s="453"/>
      <c r="C3331" s="51"/>
      <c r="D3331" s="4295"/>
      <c r="E3331" s="4295"/>
      <c r="F3331" s="4307" t="str">
        <f>$E$1640</f>
        <v>ASHP-SEER19-Replace_CAC_ElectricHeat_ROF_SF</v>
      </c>
      <c r="G3331" s="4307"/>
      <c r="H3331" s="4307"/>
      <c r="I3331" s="4307"/>
      <c r="J3331" s="1029" t="str">
        <f>$C$1640</f>
        <v>353300_2024_12_</v>
      </c>
      <c r="K3331" s="916">
        <v>19.28846153846154</v>
      </c>
      <c r="L3331" s="262"/>
      <c r="M3331" s="1739" t="s">
        <v>1937</v>
      </c>
      <c r="P3331" s="261"/>
      <c r="Q3331" s="261"/>
      <c r="R3331" s="261"/>
      <c r="S3331" s="52"/>
      <c r="T3331" s="181"/>
      <c r="U3331" s="52"/>
      <c r="V3331" s="4295"/>
      <c r="W3331" s="1396">
        <v>19</v>
      </c>
      <c r="X3331" s="1396">
        <v>19</v>
      </c>
      <c r="Y3331" s="833">
        <v>19</v>
      </c>
      <c r="Z3331" s="1396">
        <v>19</v>
      </c>
      <c r="AA3331" s="1396">
        <v>19</v>
      </c>
      <c r="AB3331" s="211">
        <v>19</v>
      </c>
      <c r="AC3331" s="211">
        <v>19</v>
      </c>
      <c r="AD3331" s="969">
        <v>19.28846153846154</v>
      </c>
      <c r="AE3331" s="970">
        <v>19.28846153846154</v>
      </c>
      <c r="AF3331" s="271">
        <f t="shared" si="337"/>
        <v>19.28846153846154</v>
      </c>
      <c r="AG3331" s="1396"/>
      <c r="DG3331" s="573"/>
      <c r="DH3331" s="159"/>
      <c r="DI3331" s="1091"/>
      <c r="DJ3331" s="1187"/>
    </row>
    <row r="3332" spans="1:114" ht="15" hidden="1" customHeight="1" outlineLevel="1">
      <c r="A3332" s="453"/>
      <c r="C3332" s="51"/>
      <c r="D3332" s="4295"/>
      <c r="E3332" s="4295"/>
      <c r="F3332" s="4307" t="str">
        <f>$E$1642</f>
        <v>ASHP-SEER19-Replace_CAC_NonElectricHeat_ROF_SF</v>
      </c>
      <c r="G3332" s="4307"/>
      <c r="H3332" s="4307"/>
      <c r="I3332" s="4307"/>
      <c r="J3332" s="1029" t="str">
        <f>$C$1642</f>
        <v>353310_2024_12_</v>
      </c>
      <c r="K3332" s="916">
        <v>19.28846153846154</v>
      </c>
      <c r="L3332" s="262"/>
      <c r="M3332" s="1739" t="s">
        <v>1945</v>
      </c>
      <c r="P3332" s="261"/>
      <c r="Q3332" s="261"/>
      <c r="R3332" s="261"/>
      <c r="S3332" s="52"/>
      <c r="T3332" s="181"/>
      <c r="U3332" s="52"/>
      <c r="V3332" s="4295"/>
      <c r="W3332" s="1396"/>
      <c r="X3332" s="1396"/>
      <c r="Y3332" s="1396"/>
      <c r="Z3332" s="1396"/>
      <c r="AA3332" s="1396"/>
      <c r="AB3332" s="211"/>
      <c r="AC3332" s="211"/>
      <c r="AD3332" s="969">
        <v>19.28846153846154</v>
      </c>
      <c r="AE3332" s="970">
        <v>19.28846153846154</v>
      </c>
      <c r="AF3332" s="271">
        <f t="shared" si="337"/>
        <v>19.28846153846154</v>
      </c>
      <c r="AG3332" s="1396"/>
      <c r="DG3332" s="573"/>
      <c r="DH3332" s="159"/>
      <c r="DI3332" s="1091"/>
      <c r="DJ3332" s="1187"/>
    </row>
    <row r="3333" spans="1:114" ht="15" hidden="1" customHeight="1" outlineLevel="1">
      <c r="A3333" s="453"/>
      <c r="C3333" s="51"/>
      <c r="D3333" s="4295"/>
      <c r="E3333" s="4295"/>
      <c r="F3333" s="4347" t="str">
        <f>$E$1644</f>
        <v>ASHP-SEER19-Replace_CAC_ElectricHeat_ROF_MF</v>
      </c>
      <c r="G3333" s="4347"/>
      <c r="H3333" s="4347"/>
      <c r="I3333" s="4347"/>
      <c r="J3333" s="3471" t="str">
        <f>$C$1644</f>
        <v>353350_2024_12_</v>
      </c>
      <c r="K3333" s="3283">
        <v>19.5</v>
      </c>
      <c r="L3333" s="3479"/>
      <c r="M3333" s="3293" t="s">
        <v>1938</v>
      </c>
      <c r="P3333" s="261"/>
      <c r="Q3333" s="261"/>
      <c r="R3333" s="261"/>
      <c r="S3333" s="52"/>
      <c r="T3333" s="181"/>
      <c r="U3333" s="52"/>
      <c r="V3333" s="4295"/>
      <c r="W3333" s="3262">
        <v>19</v>
      </c>
      <c r="X3333" s="3262">
        <v>19</v>
      </c>
      <c r="Y3333" s="3265">
        <v>19</v>
      </c>
      <c r="Z3333" s="3262">
        <v>19</v>
      </c>
      <c r="AA3333" s="3262">
        <v>19</v>
      </c>
      <c r="AB3333" s="3286">
        <v>19</v>
      </c>
      <c r="AC3333" s="3285">
        <v>19.5</v>
      </c>
      <c r="AD3333" s="3286">
        <v>19.5</v>
      </c>
      <c r="AE3333" s="3286">
        <v>19.5</v>
      </c>
      <c r="AF3333" s="2236">
        <f t="shared" si="337"/>
        <v>19.5</v>
      </c>
      <c r="AG3333" s="1396"/>
      <c r="DG3333" s="573"/>
      <c r="DH3333" s="159"/>
      <c r="DI3333" s="1091"/>
      <c r="DJ3333" s="1187"/>
    </row>
    <row r="3334" spans="1:114" ht="15" hidden="1" customHeight="1" outlineLevel="1">
      <c r="A3334" s="453"/>
      <c r="C3334" s="51"/>
      <c r="D3334" s="4295"/>
      <c r="E3334" s="4295"/>
      <c r="F3334" s="4347" t="str">
        <f>$E$1646</f>
        <v>ASHP-SEER19-Replace_CAC_ElectricHeat_ROF_MF_CompE</v>
      </c>
      <c r="G3334" s="4347"/>
      <c r="H3334" s="4347"/>
      <c r="I3334" s="4347"/>
      <c r="J3334" s="3471" t="str">
        <f>$C$1646</f>
        <v>353351_2024_12_</v>
      </c>
      <c r="K3334" s="3283">
        <v>19</v>
      </c>
      <c r="L3334" s="3479"/>
      <c r="M3334" s="3293" t="s">
        <v>1945</v>
      </c>
      <c r="P3334" s="261"/>
      <c r="Q3334" s="261"/>
      <c r="R3334" s="261"/>
      <c r="S3334" s="52"/>
      <c r="T3334" s="181"/>
      <c r="U3334" s="52"/>
      <c r="V3334" s="4295"/>
      <c r="W3334" s="3262"/>
      <c r="X3334" s="3262"/>
      <c r="Y3334" s="3265">
        <v>19</v>
      </c>
      <c r="Z3334" s="3262">
        <v>19</v>
      </c>
      <c r="AA3334" s="3262">
        <v>19</v>
      </c>
      <c r="AB3334" s="3286">
        <v>19</v>
      </c>
      <c r="AC3334" s="3286">
        <v>19</v>
      </c>
      <c r="AD3334" s="3286">
        <v>19</v>
      </c>
      <c r="AE3334" s="3286">
        <v>19</v>
      </c>
      <c r="AF3334" s="2236">
        <f t="shared" si="337"/>
        <v>19</v>
      </c>
      <c r="AG3334" s="1396"/>
      <c r="DG3334" s="573"/>
      <c r="DH3334" s="159"/>
      <c r="DI3334" s="1091"/>
      <c r="DJ3334" s="1187"/>
    </row>
    <row r="3335" spans="1:114" ht="15" hidden="1" customHeight="1" outlineLevel="1">
      <c r="A3335" s="453"/>
      <c r="C3335" s="51"/>
      <c r="D3335" s="4295"/>
      <c r="E3335" s="4295"/>
      <c r="F3335" s="4347" t="str">
        <f>$E$1648</f>
        <v>ASHP-SEER19-Replace_CAC_NonElectricHeat_ROF_MF</v>
      </c>
      <c r="G3335" s="4347"/>
      <c r="H3335" s="4347"/>
      <c r="I3335" s="4347"/>
      <c r="J3335" s="3471" t="str">
        <f>$C$1648</f>
        <v>353360_2024_12_</v>
      </c>
      <c r="K3335" s="3283">
        <v>19.5</v>
      </c>
      <c r="L3335" s="3479"/>
      <c r="M3335" s="3293" t="s">
        <v>1945</v>
      </c>
      <c r="P3335" s="261"/>
      <c r="Q3335" s="261"/>
      <c r="R3335" s="261"/>
      <c r="S3335" s="52"/>
      <c r="T3335" s="181"/>
      <c r="U3335" s="52"/>
      <c r="V3335" s="4295"/>
      <c r="W3335" s="3262"/>
      <c r="X3335" s="3262"/>
      <c r="Y3335" s="3265"/>
      <c r="Z3335" s="3262"/>
      <c r="AA3335" s="3262"/>
      <c r="AB3335" s="3286"/>
      <c r="AC3335" s="3285">
        <v>19.5</v>
      </c>
      <c r="AD3335" s="3286">
        <v>19.5</v>
      </c>
      <c r="AE3335" s="3286">
        <v>19.5</v>
      </c>
      <c r="AF3335" s="2236">
        <f t="shared" si="337"/>
        <v>19.5</v>
      </c>
      <c r="AG3335" s="1396"/>
      <c r="DG3335" s="573"/>
      <c r="DH3335" s="159"/>
      <c r="DI3335" s="1091"/>
      <c r="DJ3335" s="1187"/>
    </row>
    <row r="3336" spans="1:114" ht="15" hidden="1" customHeight="1" outlineLevel="1">
      <c r="A3336" s="453"/>
      <c r="C3336" s="51"/>
      <c r="D3336" s="4295"/>
      <c r="E3336" s="4295"/>
      <c r="F3336" s="4347" t="str">
        <f>$E$1650</f>
        <v>ASHP-SEER19-Replace_CAC_NonElectricHeat_ROF_MF_CompE</v>
      </c>
      <c r="G3336" s="4347"/>
      <c r="H3336" s="4347"/>
      <c r="I3336" s="4347"/>
      <c r="J3336" s="3471" t="str">
        <f>$C$1650</f>
        <v>353361_2024_12_</v>
      </c>
      <c r="K3336" s="3283">
        <v>19</v>
      </c>
      <c r="L3336" s="3479"/>
      <c r="M3336" s="3293" t="s">
        <v>1945</v>
      </c>
      <c r="P3336" s="261"/>
      <c r="Q3336" s="261"/>
      <c r="R3336" s="261"/>
      <c r="S3336" s="52"/>
      <c r="T3336" s="181"/>
      <c r="U3336" s="52"/>
      <c r="V3336" s="4295"/>
      <c r="W3336" s="3262"/>
      <c r="X3336" s="3262"/>
      <c r="Y3336" s="3265"/>
      <c r="Z3336" s="3262"/>
      <c r="AA3336" s="3262"/>
      <c r="AB3336" s="3286"/>
      <c r="AC3336" s="3285">
        <v>19</v>
      </c>
      <c r="AD3336" s="3286">
        <v>19</v>
      </c>
      <c r="AE3336" s="3286">
        <v>19</v>
      </c>
      <c r="AF3336" s="2236">
        <f t="shared" si="337"/>
        <v>19</v>
      </c>
      <c r="AG3336" s="1396"/>
      <c r="DG3336" s="573"/>
      <c r="DH3336" s="159"/>
      <c r="DI3336" s="1091"/>
      <c r="DJ3336" s="1187"/>
    </row>
    <row r="3337" spans="1:114" ht="15" hidden="1" customHeight="1" outlineLevel="1">
      <c r="A3337" s="453"/>
      <c r="C3337" s="51"/>
      <c r="D3337" s="4295"/>
      <c r="E3337" s="4295"/>
      <c r="F3337" s="4307" t="str">
        <f>$E$1652</f>
        <v>ASHP-SEER20-Replace_CAC_ElectricHeat_ER1_SF</v>
      </c>
      <c r="G3337" s="4307"/>
      <c r="H3337" s="4307"/>
      <c r="I3337" s="4307"/>
      <c r="J3337" s="1029" t="str">
        <f>$C$1652</f>
        <v>353400_2024_12_</v>
      </c>
      <c r="K3337" s="916">
        <v>20.048611111111107</v>
      </c>
      <c r="L3337" s="262"/>
      <c r="M3337" s="1739" t="s">
        <v>1937</v>
      </c>
      <c r="P3337" s="261"/>
      <c r="Q3337" s="261"/>
      <c r="R3337" s="261"/>
      <c r="S3337" s="52"/>
      <c r="T3337" s="181"/>
      <c r="U3337" s="52"/>
      <c r="V3337" s="4295"/>
      <c r="W3337" s="1396">
        <v>20</v>
      </c>
      <c r="X3337" s="1396">
        <v>20</v>
      </c>
      <c r="Y3337" s="1396">
        <v>20</v>
      </c>
      <c r="Z3337" s="1396">
        <v>20</v>
      </c>
      <c r="AA3337" s="1396">
        <v>20</v>
      </c>
      <c r="AB3337" s="211">
        <v>20</v>
      </c>
      <c r="AC3337" s="212">
        <v>20</v>
      </c>
      <c r="AD3337" s="969">
        <v>20.033333333333335</v>
      </c>
      <c r="AE3337" s="969">
        <v>20.048611111111107</v>
      </c>
      <c r="AF3337" s="271">
        <f t="shared" si="337"/>
        <v>20.048611111111107</v>
      </c>
      <c r="AG3337" s="1396"/>
      <c r="DG3337" s="573"/>
      <c r="DH3337" s="159"/>
      <c r="DI3337" s="1091"/>
      <c r="DJ3337" s="1187"/>
    </row>
    <row r="3338" spans="1:114" ht="15" hidden="1" customHeight="1" outlineLevel="1">
      <c r="A3338" s="453"/>
      <c r="C3338" s="51"/>
      <c r="D3338" s="4295"/>
      <c r="E3338" s="4295"/>
      <c r="F3338" s="4307" t="str">
        <f>$E$1654</f>
        <v>ASHP-SEER20-Replace_CAC_ElectricHeat_ER2_SF</v>
      </c>
      <c r="G3338" s="4307"/>
      <c r="H3338" s="4307"/>
      <c r="I3338" s="4307"/>
      <c r="J3338" s="1029" t="str">
        <f>$C$1654</f>
        <v>353400_2024_12_</v>
      </c>
      <c r="K3338" s="916">
        <v>20.048611111111107</v>
      </c>
      <c r="L3338" s="262"/>
      <c r="M3338" s="1739" t="s">
        <v>1937</v>
      </c>
      <c r="P3338" s="261"/>
      <c r="Q3338" s="261"/>
      <c r="R3338" s="261"/>
      <c r="S3338" s="52"/>
      <c r="T3338" s="181"/>
      <c r="U3338" s="52"/>
      <c r="V3338" s="4295"/>
      <c r="W3338" s="1396">
        <v>20</v>
      </c>
      <c r="X3338" s="1396">
        <v>20</v>
      </c>
      <c r="Y3338" s="1396">
        <v>20</v>
      </c>
      <c r="Z3338" s="1396">
        <v>20</v>
      </c>
      <c r="AA3338" s="1396">
        <v>20</v>
      </c>
      <c r="AB3338" s="211">
        <v>20</v>
      </c>
      <c r="AC3338" s="212">
        <f>AC3337</f>
        <v>20</v>
      </c>
      <c r="AD3338" s="969">
        <v>20.033333333333335</v>
      </c>
      <c r="AE3338" s="969">
        <v>20.048611111111107</v>
      </c>
      <c r="AF3338" s="271">
        <f t="shared" si="337"/>
        <v>20.048611111111107</v>
      </c>
      <c r="AG3338" s="1396"/>
      <c r="DG3338" s="573"/>
      <c r="DH3338" s="159"/>
      <c r="DI3338" s="1091"/>
      <c r="DJ3338" s="1187"/>
    </row>
    <row r="3339" spans="1:114" ht="15" hidden="1" customHeight="1" outlineLevel="1">
      <c r="A3339" s="453"/>
      <c r="C3339" s="51"/>
      <c r="D3339" s="4295"/>
      <c r="E3339" s="4295"/>
      <c r="F3339" s="4307" t="str">
        <f>$E$1656</f>
        <v>ASHP-SEER20-Replace_CAC_NonElectricHeat_ER1_SF</v>
      </c>
      <c r="G3339" s="4307"/>
      <c r="H3339" s="4307"/>
      <c r="I3339" s="4307"/>
      <c r="J3339" s="1029" t="str">
        <f>$C$1656</f>
        <v>353410_2024_12_</v>
      </c>
      <c r="K3339" s="916">
        <v>20.048611111111107</v>
      </c>
      <c r="L3339" s="262"/>
      <c r="M3339" s="1740" t="s">
        <v>1945</v>
      </c>
      <c r="P3339" s="261"/>
      <c r="Q3339" s="261"/>
      <c r="R3339" s="261"/>
      <c r="S3339" s="52"/>
      <c r="T3339" s="181"/>
      <c r="U3339" s="52"/>
      <c r="V3339" s="4295"/>
      <c r="W3339" s="1396"/>
      <c r="X3339" s="1396"/>
      <c r="Y3339" s="1396"/>
      <c r="Z3339" s="1396"/>
      <c r="AA3339" s="1396"/>
      <c r="AB3339" s="211"/>
      <c r="AC3339" s="212">
        <v>20</v>
      </c>
      <c r="AD3339" s="969">
        <v>20.033333333333335</v>
      </c>
      <c r="AE3339" s="969">
        <v>20.048611111111107</v>
      </c>
      <c r="AF3339" s="271">
        <f t="shared" si="337"/>
        <v>20.048611111111107</v>
      </c>
      <c r="AG3339" s="1396"/>
      <c r="DG3339" s="573"/>
      <c r="DH3339" s="159"/>
      <c r="DI3339" s="1091"/>
      <c r="DJ3339" s="1187"/>
    </row>
    <row r="3340" spans="1:114" ht="15" hidden="1" customHeight="1" outlineLevel="1">
      <c r="A3340" s="453"/>
      <c r="C3340" s="51"/>
      <c r="D3340" s="4295"/>
      <c r="E3340" s="4295"/>
      <c r="F3340" s="4307" t="str">
        <f>$E$1658</f>
        <v>ASHP-SEER20-Replace_CAC_NonElectricHeat_ER2_SF</v>
      </c>
      <c r="G3340" s="4307"/>
      <c r="H3340" s="4307"/>
      <c r="I3340" s="4307"/>
      <c r="J3340" s="1029" t="str">
        <f>$C$1658</f>
        <v>353410_2024_12_</v>
      </c>
      <c r="K3340" s="916">
        <v>20.048611111111107</v>
      </c>
      <c r="L3340" s="262"/>
      <c r="M3340" s="1740" t="s">
        <v>1945</v>
      </c>
      <c r="P3340" s="261"/>
      <c r="Q3340" s="261"/>
      <c r="R3340" s="261"/>
      <c r="S3340" s="52"/>
      <c r="T3340" s="181"/>
      <c r="U3340" s="52"/>
      <c r="V3340" s="4295"/>
      <c r="W3340" s="1396"/>
      <c r="X3340" s="1396"/>
      <c r="Y3340" s="1396"/>
      <c r="Z3340" s="1396"/>
      <c r="AA3340" s="1396"/>
      <c r="AB3340" s="211"/>
      <c r="AC3340" s="212">
        <f>AC3339</f>
        <v>20</v>
      </c>
      <c r="AD3340" s="969">
        <v>20.033333333333335</v>
      </c>
      <c r="AE3340" s="969">
        <v>20.048611111111107</v>
      </c>
      <c r="AF3340" s="271">
        <f t="shared" si="337"/>
        <v>20.048611111111107</v>
      </c>
      <c r="AG3340" s="1396"/>
      <c r="DG3340" s="573"/>
      <c r="DH3340" s="159"/>
      <c r="DI3340" s="1091"/>
      <c r="DJ3340" s="1187"/>
    </row>
    <row r="3341" spans="1:114" ht="15" hidden="1" customHeight="1" outlineLevel="1">
      <c r="A3341" s="453"/>
      <c r="C3341" s="51"/>
      <c r="D3341" s="4295"/>
      <c r="E3341" s="4295"/>
      <c r="F3341" s="4307" t="str">
        <f>$E$1660</f>
        <v>ASHP-SEER20-Replace_CAC_ElectricHeat_ROF_SF</v>
      </c>
      <c r="G3341" s="4307"/>
      <c r="H3341" s="4307"/>
      <c r="I3341" s="4307"/>
      <c r="J3341" s="1029" t="str">
        <f>$C$1660</f>
        <v>353450_2024_12_</v>
      </c>
      <c r="K3341" s="916">
        <v>20.089285714285715</v>
      </c>
      <c r="L3341" s="262"/>
      <c r="M3341" s="1739" t="s">
        <v>1937</v>
      </c>
      <c r="P3341" s="261"/>
      <c r="Q3341" s="261"/>
      <c r="R3341" s="261"/>
      <c r="S3341" s="52"/>
      <c r="T3341" s="181"/>
      <c r="U3341" s="52"/>
      <c r="V3341" s="4295"/>
      <c r="W3341" s="1396">
        <v>20</v>
      </c>
      <c r="X3341" s="1396">
        <v>20</v>
      </c>
      <c r="Y3341" s="1396">
        <v>20</v>
      </c>
      <c r="Z3341" s="1396">
        <v>20</v>
      </c>
      <c r="AA3341" s="1396">
        <v>20</v>
      </c>
      <c r="AB3341" s="211">
        <v>20</v>
      </c>
      <c r="AC3341" s="212">
        <v>20</v>
      </c>
      <c r="AD3341" s="969">
        <v>20.089285714285715</v>
      </c>
      <c r="AE3341" s="970">
        <v>20.089285714285715</v>
      </c>
      <c r="AF3341" s="271">
        <f t="shared" si="337"/>
        <v>20.089285714285715</v>
      </c>
      <c r="AG3341" s="1396"/>
      <c r="DG3341" s="573"/>
      <c r="DH3341" s="159"/>
      <c r="DI3341" s="1091"/>
      <c r="DJ3341" s="1187"/>
    </row>
    <row r="3342" spans="1:114" ht="15" hidden="1" customHeight="1" outlineLevel="1">
      <c r="A3342" s="453"/>
      <c r="C3342" s="51"/>
      <c r="D3342" s="4295"/>
      <c r="E3342" s="4295"/>
      <c r="F3342" s="4307" t="str">
        <f>$E$1662</f>
        <v>ASHP-SEER20-Replace_CAC_NonElectricHeat_ROF_SF</v>
      </c>
      <c r="G3342" s="4307"/>
      <c r="H3342" s="4307"/>
      <c r="I3342" s="4307"/>
      <c r="J3342" s="1029" t="str">
        <f>$C$1662</f>
        <v>353460_2024_12_</v>
      </c>
      <c r="K3342" s="916">
        <v>20.089285714285715</v>
      </c>
      <c r="L3342" s="262"/>
      <c r="M3342" s="1739" t="s">
        <v>1945</v>
      </c>
      <c r="P3342" s="261"/>
      <c r="Q3342" s="261"/>
      <c r="R3342" s="261"/>
      <c r="S3342" s="52"/>
      <c r="T3342" s="181"/>
      <c r="U3342" s="52"/>
      <c r="V3342" s="4295"/>
      <c r="W3342" s="1396"/>
      <c r="X3342" s="1396"/>
      <c r="Y3342" s="1396"/>
      <c r="Z3342" s="1396"/>
      <c r="AA3342" s="1396"/>
      <c r="AB3342" s="211"/>
      <c r="AC3342" s="211"/>
      <c r="AD3342" s="969">
        <v>20.089285714285715</v>
      </c>
      <c r="AE3342" s="970">
        <v>20.089285714285715</v>
      </c>
      <c r="AF3342" s="271">
        <f t="shared" si="337"/>
        <v>20.089285714285715</v>
      </c>
      <c r="AG3342" s="1396"/>
      <c r="DG3342" s="573"/>
      <c r="DH3342" s="159"/>
      <c r="DI3342" s="1091"/>
      <c r="DJ3342" s="1187"/>
    </row>
    <row r="3343" spans="1:114" ht="15" hidden="1" customHeight="1" outlineLevel="1">
      <c r="A3343" s="453"/>
      <c r="C3343" s="51"/>
      <c r="D3343" s="4295"/>
      <c r="E3343" s="4295"/>
      <c r="F3343" s="4347" t="str">
        <f>$E$1664</f>
        <v>ASHP-SEER20-Replace_CAC_ElectricHeat_ROF_MF</v>
      </c>
      <c r="G3343" s="4347"/>
      <c r="H3343" s="4347"/>
      <c r="I3343" s="4347"/>
      <c r="J3343" s="3471" t="str">
        <f>$C$1664</f>
        <v>353500_2024_12_</v>
      </c>
      <c r="K3343" s="3283">
        <v>20</v>
      </c>
      <c r="L3343" s="3479"/>
      <c r="M3343" s="3293" t="s">
        <v>2507</v>
      </c>
      <c r="P3343" s="261"/>
      <c r="Q3343" s="261"/>
      <c r="R3343" s="261"/>
      <c r="S3343" s="52"/>
      <c r="T3343" s="181"/>
      <c r="U3343" s="52"/>
      <c r="V3343" s="4295"/>
      <c r="W3343" s="3262">
        <v>20</v>
      </c>
      <c r="X3343" s="3262">
        <v>20</v>
      </c>
      <c r="Y3343" s="3262">
        <v>20</v>
      </c>
      <c r="Z3343" s="3262">
        <v>20</v>
      </c>
      <c r="AA3343" s="3262">
        <v>20</v>
      </c>
      <c r="AB3343" s="3286">
        <v>20</v>
      </c>
      <c r="AC3343" s="3286">
        <v>20</v>
      </c>
      <c r="AD3343" s="3286">
        <v>20</v>
      </c>
      <c r="AE3343" s="3286">
        <v>20</v>
      </c>
      <c r="AF3343" s="2236">
        <f t="shared" si="337"/>
        <v>20</v>
      </c>
      <c r="AG3343" s="1396"/>
      <c r="DG3343" s="573"/>
      <c r="DH3343" s="159"/>
      <c r="DI3343" s="1091"/>
      <c r="DJ3343" s="1187"/>
    </row>
    <row r="3344" spans="1:114" ht="15" hidden="1" customHeight="1" outlineLevel="1">
      <c r="A3344" s="453"/>
      <c r="C3344" s="51"/>
      <c r="D3344" s="4295"/>
      <c r="E3344" s="4295"/>
      <c r="F3344" s="4347" t="str">
        <f>$E$1666</f>
        <v>ASHP-SEER20-Replace_CAC_ElectricHeat_ROF_MF_CompE</v>
      </c>
      <c r="G3344" s="4347"/>
      <c r="H3344" s="4347"/>
      <c r="I3344" s="4347"/>
      <c r="J3344" s="3471" t="str">
        <f>$C$1666</f>
        <v>353501_2024_12_</v>
      </c>
      <c r="K3344" s="3283">
        <v>20</v>
      </c>
      <c r="L3344" s="3479"/>
      <c r="M3344" s="3293" t="s">
        <v>1945</v>
      </c>
      <c r="P3344" s="261"/>
      <c r="Q3344" s="261"/>
      <c r="R3344" s="261"/>
      <c r="S3344" s="52"/>
      <c r="T3344" s="181"/>
      <c r="U3344" s="52"/>
      <c r="V3344" s="4295"/>
      <c r="W3344" s="3262"/>
      <c r="X3344" s="3262"/>
      <c r="Y3344" s="3265">
        <v>20</v>
      </c>
      <c r="Z3344" s="3262">
        <v>20</v>
      </c>
      <c r="AA3344" s="3262">
        <v>20</v>
      </c>
      <c r="AB3344" s="3286">
        <v>20</v>
      </c>
      <c r="AC3344" s="3286">
        <v>20</v>
      </c>
      <c r="AD3344" s="3286">
        <v>20</v>
      </c>
      <c r="AE3344" s="3286">
        <v>20</v>
      </c>
      <c r="AF3344" s="2236">
        <f t="shared" si="337"/>
        <v>20</v>
      </c>
      <c r="AG3344" s="1396"/>
      <c r="DG3344" s="573"/>
      <c r="DH3344" s="159"/>
      <c r="DI3344" s="1091"/>
      <c r="DJ3344" s="1187"/>
    </row>
    <row r="3345" spans="1:114" ht="15" hidden="1" customHeight="1" outlineLevel="1">
      <c r="A3345" s="453"/>
      <c r="C3345" s="51"/>
      <c r="D3345" s="4295"/>
      <c r="E3345" s="4295"/>
      <c r="F3345" s="4347" t="str">
        <f>$E$1668</f>
        <v>ASHP-SEER20-Replace_CAC_NonElectricHeat_ROF_MF</v>
      </c>
      <c r="G3345" s="4347"/>
      <c r="H3345" s="4347"/>
      <c r="I3345" s="4347"/>
      <c r="J3345" s="3471" t="str">
        <f>$C$1668</f>
        <v>353510_2024_12_</v>
      </c>
      <c r="K3345" s="3283">
        <v>20</v>
      </c>
      <c r="L3345" s="3479"/>
      <c r="M3345" s="3293" t="s">
        <v>1945</v>
      </c>
      <c r="P3345" s="261"/>
      <c r="Q3345" s="261"/>
      <c r="R3345" s="261"/>
      <c r="S3345" s="52"/>
      <c r="T3345" s="181"/>
      <c r="U3345" s="52"/>
      <c r="V3345" s="4295"/>
      <c r="W3345" s="3262"/>
      <c r="X3345" s="3262"/>
      <c r="Y3345" s="3265"/>
      <c r="Z3345" s="3262"/>
      <c r="AA3345" s="3262"/>
      <c r="AB3345" s="3286"/>
      <c r="AC3345" s="3285">
        <v>20</v>
      </c>
      <c r="AD3345" s="3286">
        <v>20</v>
      </c>
      <c r="AE3345" s="3286">
        <v>20</v>
      </c>
      <c r="AF3345" s="2236">
        <f t="shared" si="337"/>
        <v>20</v>
      </c>
      <c r="AG3345" s="1396"/>
      <c r="DG3345" s="573"/>
      <c r="DH3345" s="159"/>
      <c r="DI3345" s="1091"/>
      <c r="DJ3345" s="1187"/>
    </row>
    <row r="3346" spans="1:114" ht="15" hidden="1" customHeight="1" outlineLevel="1">
      <c r="A3346" s="453"/>
      <c r="C3346" s="51"/>
      <c r="D3346" s="4295"/>
      <c r="E3346" s="4295"/>
      <c r="F3346" s="4347" t="str">
        <f>$E$1670</f>
        <v>ASHP-SEER20-Replace_CAC_NonElectricHeat_ROF_MF_CompE</v>
      </c>
      <c r="G3346" s="4347"/>
      <c r="H3346" s="4347"/>
      <c r="I3346" s="4347"/>
      <c r="J3346" s="3471" t="str">
        <f>$C$1670</f>
        <v>353511_2024_12_</v>
      </c>
      <c r="K3346" s="3283">
        <v>20</v>
      </c>
      <c r="L3346" s="3479"/>
      <c r="M3346" s="3293" t="s">
        <v>1945</v>
      </c>
      <c r="P3346" s="261"/>
      <c r="Q3346" s="261"/>
      <c r="R3346" s="261"/>
      <c r="S3346" s="52"/>
      <c r="T3346" s="181"/>
      <c r="U3346" s="52"/>
      <c r="V3346" s="4295"/>
      <c r="W3346" s="3262"/>
      <c r="X3346" s="3262"/>
      <c r="Y3346" s="3265"/>
      <c r="Z3346" s="3262"/>
      <c r="AA3346" s="3262"/>
      <c r="AB3346" s="3286"/>
      <c r="AC3346" s="3285">
        <v>20</v>
      </c>
      <c r="AD3346" s="3286">
        <v>20</v>
      </c>
      <c r="AE3346" s="3286">
        <v>20</v>
      </c>
      <c r="AF3346" s="2236">
        <f t="shared" si="337"/>
        <v>20</v>
      </c>
      <c r="AG3346" s="1396"/>
      <c r="DG3346" s="573"/>
      <c r="DH3346" s="159"/>
      <c r="DI3346" s="1091"/>
      <c r="DJ3346" s="1187"/>
    </row>
    <row r="3347" spans="1:114" ht="15" hidden="1" customHeight="1" outlineLevel="1">
      <c r="A3347" s="453"/>
      <c r="C3347" s="51"/>
      <c r="D3347" s="4295"/>
      <c r="E3347" s="4295"/>
      <c r="F3347" s="4307" t="str">
        <f>$E$1672</f>
        <v>ASHP-SEER21-Replace_CAC_ElectricHeat_ER1_SF</v>
      </c>
      <c r="G3347" s="4307"/>
      <c r="H3347" s="4307"/>
      <c r="I3347" s="4307"/>
      <c r="J3347" s="1029" t="str">
        <f>$C$1672</f>
        <v>353550_2024_12_</v>
      </c>
      <c r="K3347" s="916">
        <v>21.617021276595743</v>
      </c>
      <c r="L3347" s="262"/>
      <c r="M3347" s="1739" t="s">
        <v>1937</v>
      </c>
      <c r="P3347" s="261"/>
      <c r="Q3347" s="209"/>
      <c r="R3347" s="261"/>
      <c r="S3347" s="52"/>
      <c r="T3347" s="181"/>
      <c r="U3347" s="52"/>
      <c r="V3347" s="4295"/>
      <c r="W3347" s="1396">
        <v>21</v>
      </c>
      <c r="X3347" s="1396">
        <v>21</v>
      </c>
      <c r="Y3347" s="1396">
        <v>21</v>
      </c>
      <c r="Z3347" s="1396">
        <v>21</v>
      </c>
      <c r="AA3347" s="1396">
        <v>21</v>
      </c>
      <c r="AB3347" s="211">
        <v>21</v>
      </c>
      <c r="AC3347" s="212">
        <v>21.65909090909091</v>
      </c>
      <c r="AD3347" s="969">
        <v>21.551136363636363</v>
      </c>
      <c r="AE3347" s="969">
        <v>21.617021276595743</v>
      </c>
      <c r="AF3347" s="271">
        <f t="shared" si="337"/>
        <v>21.617021276595743</v>
      </c>
      <c r="AG3347" s="1396"/>
      <c r="DG3347" s="573"/>
      <c r="DH3347" s="159"/>
      <c r="DI3347" s="1091"/>
      <c r="DJ3347" s="1187"/>
    </row>
    <row r="3348" spans="1:114" ht="15" hidden="1" customHeight="1" outlineLevel="1">
      <c r="A3348" s="453"/>
      <c r="C3348" s="51"/>
      <c r="D3348" s="4295"/>
      <c r="E3348" s="4295"/>
      <c r="F3348" s="4307" t="str">
        <f>$E$1674</f>
        <v>ASHP-SEER21-Replace_CAC_ElectricHeat_ER2_SF</v>
      </c>
      <c r="G3348" s="4307"/>
      <c r="H3348" s="4307"/>
      <c r="I3348" s="4307"/>
      <c r="J3348" s="1029" t="str">
        <f>$C$1674</f>
        <v>353550_2024_12_</v>
      </c>
      <c r="K3348" s="916">
        <v>21.617021276595743</v>
      </c>
      <c r="L3348" s="262"/>
      <c r="M3348" s="1739" t="s">
        <v>1937</v>
      </c>
      <c r="P3348" s="261"/>
      <c r="Q3348" s="209"/>
      <c r="R3348" s="261"/>
      <c r="S3348" s="52"/>
      <c r="T3348" s="181"/>
      <c r="U3348" s="52"/>
      <c r="V3348" s="4295"/>
      <c r="W3348" s="1396">
        <v>21</v>
      </c>
      <c r="X3348" s="1396">
        <v>21</v>
      </c>
      <c r="Y3348" s="1396">
        <v>21</v>
      </c>
      <c r="Z3348" s="1396">
        <v>21</v>
      </c>
      <c r="AA3348" s="1396">
        <v>21</v>
      </c>
      <c r="AB3348" s="211">
        <v>21</v>
      </c>
      <c r="AC3348" s="212">
        <f>AC3347</f>
        <v>21.65909090909091</v>
      </c>
      <c r="AD3348" s="969">
        <v>21.551136363636363</v>
      </c>
      <c r="AE3348" s="969">
        <v>21.617021276595743</v>
      </c>
      <c r="AF3348" s="271">
        <f t="shared" si="337"/>
        <v>21.617021276595743</v>
      </c>
      <c r="AG3348" s="1396"/>
      <c r="DG3348" s="573"/>
      <c r="DH3348" s="159"/>
      <c r="DI3348" s="1091"/>
      <c r="DJ3348" s="1187"/>
    </row>
    <row r="3349" spans="1:114" ht="15" hidden="1" customHeight="1" outlineLevel="1">
      <c r="A3349" s="453"/>
      <c r="C3349" s="51"/>
      <c r="D3349" s="4295"/>
      <c r="E3349" s="4295"/>
      <c r="F3349" s="4307" t="str">
        <f>$E$1676</f>
        <v>ASHP-SEER21-Replace_CAC_NonElectricHeat_ER1_SF</v>
      </c>
      <c r="G3349" s="4307"/>
      <c r="H3349" s="4307"/>
      <c r="I3349" s="4307"/>
      <c r="J3349" s="1029" t="str">
        <f>$C$1676</f>
        <v>353560_2024_12_</v>
      </c>
      <c r="K3349" s="916">
        <v>21.617021276595743</v>
      </c>
      <c r="L3349" s="262"/>
      <c r="M3349" s="1740" t="s">
        <v>1945</v>
      </c>
      <c r="P3349" s="261"/>
      <c r="Q3349" s="209"/>
      <c r="R3349" s="261"/>
      <c r="S3349" s="52"/>
      <c r="T3349" s="181"/>
      <c r="U3349" s="52"/>
      <c r="V3349" s="4295"/>
      <c r="W3349" s="1396"/>
      <c r="X3349" s="1396"/>
      <c r="Y3349" s="1396"/>
      <c r="Z3349" s="1396"/>
      <c r="AA3349" s="1396"/>
      <c r="AB3349" s="211"/>
      <c r="AC3349" s="212">
        <v>21.65909090909091</v>
      </c>
      <c r="AD3349" s="969">
        <v>21.551136363636363</v>
      </c>
      <c r="AE3349" s="969">
        <v>21.617021276595743</v>
      </c>
      <c r="AF3349" s="271">
        <f t="shared" si="337"/>
        <v>21.617021276595743</v>
      </c>
      <c r="AG3349" s="1396"/>
      <c r="DG3349" s="573"/>
      <c r="DH3349" s="159"/>
      <c r="DI3349" s="1091"/>
      <c r="DJ3349" s="1187"/>
    </row>
    <row r="3350" spans="1:114" ht="15" hidden="1" customHeight="1" outlineLevel="1">
      <c r="A3350" s="453"/>
      <c r="C3350" s="51"/>
      <c r="D3350" s="4295"/>
      <c r="E3350" s="4295"/>
      <c r="F3350" s="4307" t="str">
        <f>$E$1678</f>
        <v>ASHP-SEER21-Replace_CAC_NonElectricHeat_ER2_SF</v>
      </c>
      <c r="G3350" s="4307"/>
      <c r="H3350" s="4307"/>
      <c r="I3350" s="4307"/>
      <c r="J3350" s="1029" t="str">
        <f>$C$1678</f>
        <v>353560_2024_12_</v>
      </c>
      <c r="K3350" s="916">
        <v>21.617021276595743</v>
      </c>
      <c r="L3350" s="262"/>
      <c r="M3350" s="1740" t="s">
        <v>1945</v>
      </c>
      <c r="P3350" s="261"/>
      <c r="Q3350" s="209"/>
      <c r="R3350" s="261"/>
      <c r="S3350" s="52"/>
      <c r="T3350" s="181"/>
      <c r="U3350" s="52"/>
      <c r="V3350" s="4295"/>
      <c r="W3350" s="1396"/>
      <c r="X3350" s="1396"/>
      <c r="Y3350" s="1396"/>
      <c r="Z3350" s="1396"/>
      <c r="AA3350" s="1396"/>
      <c r="AB3350" s="211"/>
      <c r="AC3350" s="212">
        <f>AC3349</f>
        <v>21.65909090909091</v>
      </c>
      <c r="AD3350" s="969">
        <v>21.551136363636363</v>
      </c>
      <c r="AE3350" s="969">
        <v>21.617021276595743</v>
      </c>
      <c r="AF3350" s="271">
        <f t="shared" si="337"/>
        <v>21.617021276595743</v>
      </c>
      <c r="AG3350" s="1396"/>
      <c r="DG3350" s="573"/>
      <c r="DH3350" s="159"/>
      <c r="DI3350" s="1091"/>
      <c r="DJ3350" s="1187"/>
    </row>
    <row r="3351" spans="1:114" ht="15" hidden="1" customHeight="1" outlineLevel="1">
      <c r="A3351" s="453"/>
      <c r="C3351" s="51"/>
      <c r="D3351" s="4295"/>
      <c r="E3351" s="4295"/>
      <c r="F3351" s="4307" t="str">
        <f>$E$1680</f>
        <v>ASHP-SEER21-Replace_CAC_ElectricHeat_ER1_MF</v>
      </c>
      <c r="G3351" s="4307"/>
      <c r="H3351" s="4307"/>
      <c r="I3351" s="4307"/>
      <c r="J3351" s="1029" t="str">
        <f>$C$1680</f>
        <v>353600_2024_12_</v>
      </c>
      <c r="K3351" s="1758">
        <v>21</v>
      </c>
      <c r="L3351" s="262"/>
      <c r="M3351" s="1740" t="s">
        <v>2507</v>
      </c>
      <c r="P3351" s="261"/>
      <c r="Q3351" s="209"/>
      <c r="R3351" s="261"/>
      <c r="S3351" s="52"/>
      <c r="T3351" s="181"/>
      <c r="U3351" s="52"/>
      <c r="V3351" s="4295"/>
      <c r="W3351" s="1396">
        <v>21</v>
      </c>
      <c r="X3351" s="1396">
        <v>21</v>
      </c>
      <c r="Y3351" s="1396">
        <v>21</v>
      </c>
      <c r="Z3351" s="1396">
        <v>21</v>
      </c>
      <c r="AA3351" s="1396">
        <v>21</v>
      </c>
      <c r="AB3351" s="211">
        <v>21</v>
      </c>
      <c r="AC3351" s="211">
        <v>21</v>
      </c>
      <c r="AD3351" s="211">
        <v>21</v>
      </c>
      <c r="AE3351" s="211">
        <v>21</v>
      </c>
      <c r="AF3351" s="271">
        <f t="shared" si="337"/>
        <v>21</v>
      </c>
      <c r="AG3351" s="1396"/>
      <c r="DG3351" s="573"/>
      <c r="DH3351" s="159"/>
      <c r="DI3351" s="1091"/>
      <c r="DJ3351" s="1187"/>
    </row>
    <row r="3352" spans="1:114" ht="15" hidden="1" customHeight="1" outlineLevel="1">
      <c r="A3352" s="453"/>
      <c r="C3352" s="51"/>
      <c r="D3352" s="4295"/>
      <c r="E3352" s="4295"/>
      <c r="F3352" s="4307" t="str">
        <f>$E$1682</f>
        <v>ASHP-SEER21-Replace_CAC_ElectricHeat_ER2_MF</v>
      </c>
      <c r="G3352" s="4307"/>
      <c r="H3352" s="4307"/>
      <c r="I3352" s="4307"/>
      <c r="J3352" s="1029" t="str">
        <f>$C$1682</f>
        <v>353600_2024_12_</v>
      </c>
      <c r="K3352" s="1758">
        <v>21</v>
      </c>
      <c r="L3352" s="262"/>
      <c r="M3352" s="1740" t="s">
        <v>2507</v>
      </c>
      <c r="P3352" s="261"/>
      <c r="Q3352" s="209"/>
      <c r="R3352" s="261"/>
      <c r="S3352" s="52"/>
      <c r="T3352" s="181"/>
      <c r="U3352" s="52"/>
      <c r="V3352" s="4295"/>
      <c r="W3352" s="1396">
        <v>21</v>
      </c>
      <c r="X3352" s="1396">
        <v>21</v>
      </c>
      <c r="Y3352" s="1396">
        <v>21</v>
      </c>
      <c r="Z3352" s="1396">
        <v>21</v>
      </c>
      <c r="AA3352" s="1396">
        <v>21</v>
      </c>
      <c r="AB3352" s="211">
        <v>21</v>
      </c>
      <c r="AC3352" s="211">
        <v>21</v>
      </c>
      <c r="AD3352" s="211">
        <v>21</v>
      </c>
      <c r="AE3352" s="211">
        <v>21</v>
      </c>
      <c r="AF3352" s="271">
        <f t="shared" si="337"/>
        <v>21</v>
      </c>
      <c r="AG3352" s="1396"/>
      <c r="DG3352" s="573"/>
      <c r="DH3352" s="159"/>
      <c r="DI3352" s="1091"/>
      <c r="DJ3352" s="1187"/>
    </row>
    <row r="3353" spans="1:114" ht="15" hidden="1" customHeight="1" outlineLevel="1">
      <c r="A3353" s="453"/>
      <c r="C3353" s="51"/>
      <c r="D3353" s="4295"/>
      <c r="E3353" s="4295"/>
      <c r="F3353" s="4347" t="str">
        <f>$E$1684</f>
        <v>ASHP-SEER21-Replace_CAC_ElectricHeat_ER1_MF_CompE</v>
      </c>
      <c r="G3353" s="4347"/>
      <c r="H3353" s="4347"/>
      <c r="I3353" s="4347"/>
      <c r="J3353" s="3471" t="str">
        <f>$C$1684</f>
        <v>353601_2024_12_</v>
      </c>
      <c r="K3353" s="3283">
        <v>21</v>
      </c>
      <c r="L3353" s="3479"/>
      <c r="M3353" s="3293" t="s">
        <v>1945</v>
      </c>
      <c r="P3353" s="261"/>
      <c r="Q3353" s="209"/>
      <c r="R3353" s="261"/>
      <c r="S3353" s="52"/>
      <c r="T3353" s="181"/>
      <c r="U3353" s="52"/>
      <c r="V3353" s="4295"/>
      <c r="W3353" s="3262"/>
      <c r="X3353" s="3262"/>
      <c r="Y3353" s="3265">
        <v>21</v>
      </c>
      <c r="Z3353" s="3262">
        <v>21</v>
      </c>
      <c r="AA3353" s="3262">
        <v>21</v>
      </c>
      <c r="AB3353" s="3286">
        <v>21</v>
      </c>
      <c r="AC3353" s="3286">
        <v>21</v>
      </c>
      <c r="AD3353" s="3286">
        <v>21</v>
      </c>
      <c r="AE3353" s="3286">
        <v>21</v>
      </c>
      <c r="AF3353" s="2236">
        <f t="shared" si="337"/>
        <v>21</v>
      </c>
      <c r="AG3353" s="1396"/>
      <c r="DG3353" s="573"/>
      <c r="DH3353" s="159"/>
      <c r="DI3353" s="1091"/>
      <c r="DJ3353" s="1187"/>
    </row>
    <row r="3354" spans="1:114" ht="15" hidden="1" customHeight="1" outlineLevel="1">
      <c r="A3354" s="453"/>
      <c r="C3354" s="51"/>
      <c r="D3354" s="4295"/>
      <c r="E3354" s="4295"/>
      <c r="F3354" s="4347" t="str">
        <f>$E$1686</f>
        <v>ASHP-SEER21-Replace_CAC_ElectricHeat_ER2_MF_CompE</v>
      </c>
      <c r="G3354" s="4347"/>
      <c r="H3354" s="4347"/>
      <c r="I3354" s="4347"/>
      <c r="J3354" s="3471" t="str">
        <f>$C$1686</f>
        <v>353601_2024_12_</v>
      </c>
      <c r="K3354" s="3283">
        <v>21</v>
      </c>
      <c r="L3354" s="3479"/>
      <c r="M3354" s="3293" t="s">
        <v>1945</v>
      </c>
      <c r="P3354" s="261"/>
      <c r="Q3354" s="209"/>
      <c r="R3354" s="261"/>
      <c r="S3354" s="52"/>
      <c r="T3354" s="181"/>
      <c r="U3354" s="52"/>
      <c r="V3354" s="4295"/>
      <c r="W3354" s="3262"/>
      <c r="X3354" s="3262"/>
      <c r="Y3354" s="3265">
        <v>21</v>
      </c>
      <c r="Z3354" s="3262">
        <v>21</v>
      </c>
      <c r="AA3354" s="3262">
        <v>21</v>
      </c>
      <c r="AB3354" s="3286">
        <v>21</v>
      </c>
      <c r="AC3354" s="3286">
        <v>21</v>
      </c>
      <c r="AD3354" s="3286">
        <v>21</v>
      </c>
      <c r="AE3354" s="3286">
        <v>21</v>
      </c>
      <c r="AF3354" s="2236">
        <f t="shared" si="337"/>
        <v>21</v>
      </c>
      <c r="AG3354" s="1396"/>
      <c r="DG3354" s="573"/>
      <c r="DH3354" s="159"/>
      <c r="DI3354" s="1091"/>
      <c r="DJ3354" s="1187"/>
    </row>
    <row r="3355" spans="1:114" ht="15" hidden="1" customHeight="1" outlineLevel="1">
      <c r="A3355" s="453"/>
      <c r="C3355" s="51"/>
      <c r="D3355" s="4295"/>
      <c r="E3355" s="4295"/>
      <c r="F3355" s="4347" t="str">
        <f>$E$1688</f>
        <v>ASHP-SEER21-Replace_CAC_NonElectricHeat_ER1_MF</v>
      </c>
      <c r="G3355" s="4347"/>
      <c r="H3355" s="4347"/>
      <c r="I3355" s="4347"/>
      <c r="J3355" s="3471" t="str">
        <f>$C$1688</f>
        <v>353610_2024_12_</v>
      </c>
      <c r="K3355" s="3283">
        <v>21</v>
      </c>
      <c r="L3355" s="3479"/>
      <c r="M3355" s="3293" t="s">
        <v>1945</v>
      </c>
      <c r="P3355" s="261"/>
      <c r="Q3355" s="209"/>
      <c r="R3355" s="261"/>
      <c r="S3355" s="52"/>
      <c r="T3355" s="181"/>
      <c r="U3355" s="52"/>
      <c r="V3355" s="4295"/>
      <c r="W3355" s="3262"/>
      <c r="X3355" s="3262"/>
      <c r="Y3355" s="3265"/>
      <c r="Z3355" s="3262"/>
      <c r="AA3355" s="3262"/>
      <c r="AB3355" s="3286"/>
      <c r="AC3355" s="3285">
        <v>21</v>
      </c>
      <c r="AD3355" s="3286">
        <v>21</v>
      </c>
      <c r="AE3355" s="3286">
        <v>21</v>
      </c>
      <c r="AF3355" s="2236">
        <f t="shared" si="337"/>
        <v>21</v>
      </c>
      <c r="AG3355" s="1396"/>
      <c r="DG3355" s="573"/>
      <c r="DH3355" s="159"/>
      <c r="DI3355" s="1091"/>
      <c r="DJ3355" s="1187"/>
    </row>
    <row r="3356" spans="1:114" ht="15" hidden="1" customHeight="1" outlineLevel="1">
      <c r="A3356" s="453"/>
      <c r="C3356" s="51"/>
      <c r="D3356" s="4295"/>
      <c r="E3356" s="4295"/>
      <c r="F3356" s="4347" t="str">
        <f>$E$1690</f>
        <v>ASHP-SEER21-Replace_CAC_NonElectricHeat_ER2_MF</v>
      </c>
      <c r="G3356" s="4347"/>
      <c r="H3356" s="4347"/>
      <c r="I3356" s="4347"/>
      <c r="J3356" s="3471" t="str">
        <f>$C$1690</f>
        <v>353610_2024_12_</v>
      </c>
      <c r="K3356" s="3283">
        <v>21</v>
      </c>
      <c r="L3356" s="3479"/>
      <c r="M3356" s="3293" t="s">
        <v>1945</v>
      </c>
      <c r="P3356" s="261"/>
      <c r="Q3356" s="209"/>
      <c r="R3356" s="261"/>
      <c r="S3356" s="52"/>
      <c r="T3356" s="181"/>
      <c r="U3356" s="52"/>
      <c r="V3356" s="4295"/>
      <c r="W3356" s="3262"/>
      <c r="X3356" s="3262"/>
      <c r="Y3356" s="3265"/>
      <c r="Z3356" s="3262"/>
      <c r="AA3356" s="3262"/>
      <c r="AB3356" s="3286"/>
      <c r="AC3356" s="3285">
        <v>21</v>
      </c>
      <c r="AD3356" s="3286">
        <v>21</v>
      </c>
      <c r="AE3356" s="3286">
        <v>21</v>
      </c>
      <c r="AF3356" s="2236">
        <f t="shared" si="337"/>
        <v>21</v>
      </c>
      <c r="AG3356" s="1396"/>
      <c r="DG3356" s="573"/>
      <c r="DH3356" s="159"/>
      <c r="DI3356" s="1091"/>
      <c r="DJ3356" s="1187"/>
    </row>
    <row r="3357" spans="1:114" ht="15" hidden="1" customHeight="1" outlineLevel="1">
      <c r="A3357" s="453"/>
      <c r="C3357" s="51"/>
      <c r="D3357" s="4295"/>
      <c r="E3357" s="4295"/>
      <c r="F3357" s="4347" t="str">
        <f>$E$1692</f>
        <v>ASHP-SEER21-Replace_CAC_NonElectricHeat_ER1_MF_CompE</v>
      </c>
      <c r="G3357" s="4347"/>
      <c r="H3357" s="4347"/>
      <c r="I3357" s="4347"/>
      <c r="J3357" s="3471" t="str">
        <f>$C$1692</f>
        <v>353611_2024_12_</v>
      </c>
      <c r="K3357" s="3283">
        <v>21</v>
      </c>
      <c r="L3357" s="3479"/>
      <c r="M3357" s="3293" t="s">
        <v>1945</v>
      </c>
      <c r="P3357" s="261"/>
      <c r="Q3357" s="209"/>
      <c r="R3357" s="261"/>
      <c r="S3357" s="52"/>
      <c r="T3357" s="181"/>
      <c r="U3357" s="52"/>
      <c r="V3357" s="4295"/>
      <c r="W3357" s="3262"/>
      <c r="X3357" s="3262"/>
      <c r="Y3357" s="3265"/>
      <c r="Z3357" s="3262"/>
      <c r="AA3357" s="3262"/>
      <c r="AB3357" s="3286"/>
      <c r="AC3357" s="3285">
        <v>21</v>
      </c>
      <c r="AD3357" s="3286">
        <v>21</v>
      </c>
      <c r="AE3357" s="3286">
        <v>21</v>
      </c>
      <c r="AF3357" s="2236">
        <f t="shared" si="337"/>
        <v>21</v>
      </c>
      <c r="AG3357" s="1396"/>
      <c r="DG3357" s="573"/>
      <c r="DH3357" s="159"/>
      <c r="DI3357" s="1091"/>
      <c r="DJ3357" s="1187"/>
    </row>
    <row r="3358" spans="1:114" ht="15" hidden="1" customHeight="1" outlineLevel="1">
      <c r="A3358" s="453"/>
      <c r="C3358" s="51"/>
      <c r="D3358" s="4295"/>
      <c r="E3358" s="4295"/>
      <c r="F3358" s="4347" t="str">
        <f>$E$1694</f>
        <v>ASHP-SEER21-Replace_CAC_NonElectricHeat_ER2_MF_CompE</v>
      </c>
      <c r="G3358" s="4347"/>
      <c r="H3358" s="4347"/>
      <c r="I3358" s="4347"/>
      <c r="J3358" s="3471" t="str">
        <f>$C$1694</f>
        <v>353611_2024_12_</v>
      </c>
      <c r="K3358" s="3283">
        <v>21</v>
      </c>
      <c r="L3358" s="3479"/>
      <c r="M3358" s="3293" t="s">
        <v>1945</v>
      </c>
      <c r="P3358" s="261"/>
      <c r="Q3358" s="209"/>
      <c r="R3358" s="261"/>
      <c r="S3358" s="52"/>
      <c r="T3358" s="181"/>
      <c r="U3358" s="52"/>
      <c r="V3358" s="4295"/>
      <c r="W3358" s="3262"/>
      <c r="X3358" s="3262"/>
      <c r="Y3358" s="3265"/>
      <c r="Z3358" s="3262"/>
      <c r="AA3358" s="3262"/>
      <c r="AB3358" s="3286"/>
      <c r="AC3358" s="3285">
        <v>21</v>
      </c>
      <c r="AD3358" s="3286">
        <v>21</v>
      </c>
      <c r="AE3358" s="3286">
        <v>21</v>
      </c>
      <c r="AF3358" s="2236">
        <f t="shared" si="337"/>
        <v>21</v>
      </c>
      <c r="AG3358" s="1396"/>
      <c r="DG3358" s="573"/>
      <c r="DH3358" s="159"/>
      <c r="DI3358" s="1091"/>
      <c r="DJ3358" s="1187"/>
    </row>
    <row r="3359" spans="1:114" ht="15" hidden="1" customHeight="1" outlineLevel="1">
      <c r="A3359" s="453"/>
      <c r="C3359" s="51"/>
      <c r="D3359" s="4295"/>
      <c r="E3359" s="4295"/>
      <c r="F3359" s="4307" t="str">
        <f>$E$1696</f>
        <v>ASHP-SEER21-Replace_CAC_ElectricHeat_ROF_SF</v>
      </c>
      <c r="G3359" s="4307"/>
      <c r="H3359" s="4307"/>
      <c r="I3359" s="4307"/>
      <c r="J3359" s="1029" t="str">
        <f>$C$1696</f>
        <v>353650_2024_12_</v>
      </c>
      <c r="K3359" s="916">
        <v>21.727272727272723</v>
      </c>
      <c r="L3359" s="262"/>
      <c r="M3359" s="1739" t="s">
        <v>1934</v>
      </c>
      <c r="P3359" s="261"/>
      <c r="Q3359" s="209"/>
      <c r="R3359" s="261"/>
      <c r="S3359" s="52"/>
      <c r="T3359" s="181"/>
      <c r="U3359" s="52"/>
      <c r="V3359" s="4295"/>
      <c r="W3359" s="1396">
        <v>21</v>
      </c>
      <c r="X3359" s="1396">
        <v>21</v>
      </c>
      <c r="Y3359" s="1396">
        <v>21</v>
      </c>
      <c r="Z3359" s="1396">
        <v>21</v>
      </c>
      <c r="AA3359" s="1396">
        <v>21</v>
      </c>
      <c r="AB3359" s="211">
        <v>21</v>
      </c>
      <c r="AC3359" s="212">
        <v>21.5</v>
      </c>
      <c r="AD3359" s="969">
        <v>21.59375</v>
      </c>
      <c r="AE3359" s="969">
        <v>21.727272727272723</v>
      </c>
      <c r="AF3359" s="271">
        <f t="shared" si="337"/>
        <v>21.727272727272723</v>
      </c>
      <c r="AG3359" s="1396"/>
      <c r="DG3359" s="573"/>
      <c r="DH3359" s="159"/>
      <c r="DI3359" s="1091"/>
      <c r="DJ3359" s="1187"/>
    </row>
    <row r="3360" spans="1:114" ht="15" hidden="1" customHeight="1" outlineLevel="1">
      <c r="A3360" s="453"/>
      <c r="C3360" s="51"/>
      <c r="D3360" s="4295"/>
      <c r="E3360" s="4295"/>
      <c r="F3360" s="4307" t="str">
        <f>$E$1698</f>
        <v>ASHP-SEER21-Replace_CAC_NonElectricHeat_ROF_SF</v>
      </c>
      <c r="G3360" s="4307"/>
      <c r="H3360" s="4307"/>
      <c r="I3360" s="4307"/>
      <c r="J3360" s="1029" t="str">
        <f>$C$1698</f>
        <v>353660_2024_12_</v>
      </c>
      <c r="K3360" s="916">
        <v>21.727272727272723</v>
      </c>
      <c r="L3360" s="262"/>
      <c r="M3360" s="1739" t="s">
        <v>1945</v>
      </c>
      <c r="P3360" s="261"/>
      <c r="Q3360" s="209"/>
      <c r="R3360" s="261"/>
      <c r="S3360" s="52"/>
      <c r="T3360" s="181"/>
      <c r="U3360" s="52"/>
      <c r="V3360" s="4295"/>
      <c r="W3360" s="1396"/>
      <c r="X3360" s="1396"/>
      <c r="Y3360" s="1396"/>
      <c r="Z3360" s="1396"/>
      <c r="AA3360" s="1396"/>
      <c r="AB3360" s="211"/>
      <c r="AC3360" s="211"/>
      <c r="AD3360" s="969">
        <v>21.59375</v>
      </c>
      <c r="AE3360" s="969">
        <v>21.727272727272723</v>
      </c>
      <c r="AF3360" s="271">
        <f t="shared" si="337"/>
        <v>21.727272727272723</v>
      </c>
      <c r="AG3360" s="1396"/>
      <c r="DG3360" s="573"/>
      <c r="DH3360" s="159"/>
      <c r="DI3360" s="1091"/>
      <c r="DJ3360" s="1187"/>
    </row>
    <row r="3361" spans="1:114" ht="15" hidden="1" customHeight="1" outlineLevel="1">
      <c r="A3361" s="453"/>
      <c r="C3361" s="51"/>
      <c r="D3361" s="4295"/>
      <c r="E3361" s="4295"/>
      <c r="F3361" s="4347" t="str">
        <f>$E$1700</f>
        <v>ASHP-SEER21+-Replace_CAC_ElectricHeat_ROF_MF</v>
      </c>
      <c r="G3361" s="4347"/>
      <c r="H3361" s="4347"/>
      <c r="I3361" s="4347"/>
      <c r="J3361" s="3471" t="str">
        <f>$C$1700</f>
        <v>353700_2024_12_</v>
      </c>
      <c r="K3361" s="3283">
        <v>21</v>
      </c>
      <c r="L3361" s="3479"/>
      <c r="M3361" s="3293" t="s">
        <v>2507</v>
      </c>
      <c r="P3361" s="261"/>
      <c r="Q3361" s="209"/>
      <c r="R3361" s="261"/>
      <c r="S3361" s="52"/>
      <c r="T3361" s="181"/>
      <c r="U3361" s="52"/>
      <c r="V3361" s="4295"/>
      <c r="W3361" s="3262">
        <v>21</v>
      </c>
      <c r="X3361" s="3262">
        <v>21</v>
      </c>
      <c r="Y3361" s="3262">
        <v>21</v>
      </c>
      <c r="Z3361" s="3262">
        <v>21</v>
      </c>
      <c r="AA3361" s="3262">
        <v>21</v>
      </c>
      <c r="AB3361" s="3286">
        <v>21</v>
      </c>
      <c r="AC3361" s="3286">
        <v>21</v>
      </c>
      <c r="AD3361" s="3286">
        <v>21</v>
      </c>
      <c r="AE3361" s="3286">
        <v>21</v>
      </c>
      <c r="AF3361" s="2236">
        <f t="shared" si="337"/>
        <v>21</v>
      </c>
      <c r="AG3361" s="1396"/>
      <c r="DG3361" s="573"/>
      <c r="DH3361" s="159"/>
      <c r="DI3361" s="1091"/>
      <c r="DJ3361" s="1187"/>
    </row>
    <row r="3362" spans="1:114" ht="15" hidden="1" customHeight="1" outlineLevel="1">
      <c r="A3362" s="453"/>
      <c r="C3362" s="51"/>
      <c r="D3362" s="4295"/>
      <c r="E3362" s="4295"/>
      <c r="F3362" s="4347" t="str">
        <f>$E$1702</f>
        <v>ASHP-SEER21+-Replace_CAC_ElectricHeat_ROF_MF_CompE</v>
      </c>
      <c r="G3362" s="4347"/>
      <c r="H3362" s="4347"/>
      <c r="I3362" s="4347"/>
      <c r="J3362" s="3471" t="str">
        <f>$C$1702</f>
        <v>353701_2024_12_</v>
      </c>
      <c r="K3362" s="3283">
        <v>21</v>
      </c>
      <c r="L3362" s="3479"/>
      <c r="M3362" s="3293" t="s">
        <v>1945</v>
      </c>
      <c r="P3362" s="261"/>
      <c r="Q3362" s="209"/>
      <c r="R3362" s="261"/>
      <c r="S3362" s="52"/>
      <c r="T3362" s="181"/>
      <c r="U3362" s="52"/>
      <c r="V3362" s="4295"/>
      <c r="W3362" s="3262"/>
      <c r="X3362" s="3262"/>
      <c r="Y3362" s="3265">
        <v>21</v>
      </c>
      <c r="Z3362" s="3262">
        <v>21</v>
      </c>
      <c r="AA3362" s="3262">
        <v>21</v>
      </c>
      <c r="AB3362" s="3286">
        <v>21</v>
      </c>
      <c r="AC3362" s="3286">
        <v>21</v>
      </c>
      <c r="AD3362" s="3286">
        <v>21</v>
      </c>
      <c r="AE3362" s="3286">
        <v>21</v>
      </c>
      <c r="AF3362" s="2236">
        <f t="shared" si="337"/>
        <v>21</v>
      </c>
      <c r="AG3362" s="1396"/>
      <c r="DG3362" s="573"/>
      <c r="DH3362" s="159"/>
      <c r="DI3362" s="1091"/>
      <c r="DJ3362" s="1187"/>
    </row>
    <row r="3363" spans="1:114" ht="15" hidden="1" customHeight="1" outlineLevel="1">
      <c r="A3363" s="453"/>
      <c r="C3363" s="51"/>
      <c r="D3363" s="4295"/>
      <c r="E3363" s="4295"/>
      <c r="F3363" s="4347" t="str">
        <f>$E$1704</f>
        <v>ASHP-SEER21+-Replace_CAC_NonElectricHeat_ROF_MF</v>
      </c>
      <c r="G3363" s="4347"/>
      <c r="H3363" s="4347"/>
      <c r="I3363" s="4347"/>
      <c r="J3363" s="3471" t="str">
        <f>$C$1704</f>
        <v>353710_2024_12_</v>
      </c>
      <c r="K3363" s="3283">
        <v>21</v>
      </c>
      <c r="L3363" s="3479"/>
      <c r="M3363" s="3293" t="s">
        <v>1945</v>
      </c>
      <c r="P3363" s="261"/>
      <c r="Q3363" s="209"/>
      <c r="R3363" s="261"/>
      <c r="S3363" s="52"/>
      <c r="T3363" s="181"/>
      <c r="U3363" s="52"/>
      <c r="V3363" s="4295"/>
      <c r="W3363" s="3262"/>
      <c r="X3363" s="3262"/>
      <c r="Y3363" s="3265"/>
      <c r="Z3363" s="3262"/>
      <c r="AA3363" s="3262"/>
      <c r="AB3363" s="3286"/>
      <c r="AC3363" s="3285">
        <v>21</v>
      </c>
      <c r="AD3363" s="3286">
        <v>21</v>
      </c>
      <c r="AE3363" s="3286">
        <v>21</v>
      </c>
      <c r="AF3363" s="2236">
        <f t="shared" si="337"/>
        <v>21</v>
      </c>
      <c r="AG3363" s="1396"/>
      <c r="DG3363" s="573"/>
      <c r="DH3363" s="159"/>
      <c r="DI3363" s="1091"/>
      <c r="DJ3363" s="1187"/>
    </row>
    <row r="3364" spans="1:114" ht="15" hidden="1" customHeight="1" outlineLevel="1">
      <c r="A3364" s="453"/>
      <c r="C3364" s="51"/>
      <c r="D3364" s="4295"/>
      <c r="E3364" s="4295"/>
      <c r="F3364" s="4347" t="str">
        <f>$E$1706</f>
        <v>ASHP-SEER21+-Replace_CAC_NonElectricHeat_ROF_MF_CompE</v>
      </c>
      <c r="G3364" s="4347"/>
      <c r="H3364" s="4347"/>
      <c r="I3364" s="4347"/>
      <c r="J3364" s="3471" t="str">
        <f>$C$1706</f>
        <v>353711_2024_12_</v>
      </c>
      <c r="K3364" s="3283">
        <v>21</v>
      </c>
      <c r="L3364" s="3479"/>
      <c r="M3364" s="3293" t="s">
        <v>1945</v>
      </c>
      <c r="P3364" s="261"/>
      <c r="Q3364" s="209"/>
      <c r="R3364" s="261"/>
      <c r="S3364" s="52"/>
      <c r="T3364" s="181"/>
      <c r="U3364" s="52"/>
      <c r="V3364" s="4295"/>
      <c r="W3364" s="3262"/>
      <c r="X3364" s="3262"/>
      <c r="Y3364" s="3265"/>
      <c r="Z3364" s="3262"/>
      <c r="AA3364" s="3262"/>
      <c r="AB3364" s="3286"/>
      <c r="AC3364" s="3285">
        <v>21</v>
      </c>
      <c r="AD3364" s="3286">
        <v>21</v>
      </c>
      <c r="AE3364" s="3286">
        <v>21</v>
      </c>
      <c r="AF3364" s="2236">
        <f t="shared" si="337"/>
        <v>21</v>
      </c>
      <c r="AG3364" s="1396"/>
      <c r="DG3364" s="573"/>
      <c r="DH3364" s="159"/>
      <c r="DI3364" s="1091"/>
      <c r="DJ3364" s="1187"/>
    </row>
    <row r="3365" spans="1:114" ht="15" hidden="1" customHeight="1" outlineLevel="1">
      <c r="A3365" s="453"/>
      <c r="C3365" s="51"/>
      <c r="D3365" s="4295"/>
      <c r="E3365" s="4295"/>
      <c r="F3365" s="4307" t="str">
        <f>$E$1708</f>
        <v>ASHP-SEER17_ER1_SF</v>
      </c>
      <c r="G3365" s="4307"/>
      <c r="H3365" s="4307"/>
      <c r="I3365" s="4307"/>
      <c r="J3365" s="1029" t="str">
        <f>$C$1708</f>
        <v>353750_2024_12_</v>
      </c>
      <c r="K3365" s="916">
        <v>17.255828877005346</v>
      </c>
      <c r="L3365" s="262"/>
      <c r="M3365" s="1739" t="s">
        <v>1937</v>
      </c>
      <c r="S3365" s="52"/>
      <c r="T3365" s="52"/>
      <c r="U3365" s="52"/>
      <c r="V3365" s="4295"/>
      <c r="W3365" s="1396">
        <v>17</v>
      </c>
      <c r="X3365" s="1396">
        <v>17</v>
      </c>
      <c r="Y3365" s="1396">
        <v>17</v>
      </c>
      <c r="Z3365" s="1396">
        <v>17</v>
      </c>
      <c r="AA3365" s="1396">
        <v>17</v>
      </c>
      <c r="AB3365" s="211">
        <v>17</v>
      </c>
      <c r="AC3365" s="212">
        <v>17.142857142857142</v>
      </c>
      <c r="AD3365" s="969">
        <v>17.195075757575758</v>
      </c>
      <c r="AE3365" s="969">
        <v>17.255828877005346</v>
      </c>
      <c r="AF3365" s="271">
        <f t="shared" si="337"/>
        <v>17.255828877005346</v>
      </c>
      <c r="AG3365" s="1396"/>
      <c r="DG3365" s="573"/>
      <c r="DH3365" s="159"/>
      <c r="DI3365" s="1091"/>
      <c r="DJ3365" s="1187"/>
    </row>
    <row r="3366" spans="1:114" ht="15" hidden="1" customHeight="1" outlineLevel="1">
      <c r="A3366" s="453"/>
      <c r="C3366" s="51"/>
      <c r="D3366" s="4295"/>
      <c r="E3366" s="4295"/>
      <c r="F3366" s="4307" t="str">
        <f>$E$1710</f>
        <v>ASHP-SEER17_ER2_SF</v>
      </c>
      <c r="G3366" s="4307"/>
      <c r="H3366" s="4307"/>
      <c r="I3366" s="4307"/>
      <c r="J3366" s="1029" t="str">
        <f>$C$1710</f>
        <v>353750_2024_12_</v>
      </c>
      <c r="K3366" s="916">
        <v>17.255828877005346</v>
      </c>
      <c r="L3366" s="262"/>
      <c r="M3366" s="1739" t="s">
        <v>1937</v>
      </c>
      <c r="P3366" s="261"/>
      <c r="Q3366" s="209"/>
      <c r="R3366" s="261"/>
      <c r="S3366" s="52"/>
      <c r="T3366" s="181"/>
      <c r="U3366" s="52"/>
      <c r="V3366" s="4295"/>
      <c r="W3366" s="1396">
        <v>17</v>
      </c>
      <c r="X3366" s="1396">
        <v>17</v>
      </c>
      <c r="Y3366" s="1396">
        <v>17</v>
      </c>
      <c r="Z3366" s="1396">
        <v>17</v>
      </c>
      <c r="AA3366" s="1396">
        <v>17</v>
      </c>
      <c r="AB3366" s="211">
        <v>17</v>
      </c>
      <c r="AC3366" s="212">
        <f>AC3365</f>
        <v>17.142857142857142</v>
      </c>
      <c r="AD3366" s="969">
        <v>17.195075757575758</v>
      </c>
      <c r="AE3366" s="969">
        <v>17.255828877005346</v>
      </c>
      <c r="AF3366" s="271">
        <f t="shared" si="337"/>
        <v>17.255828877005346</v>
      </c>
      <c r="AG3366" s="1396"/>
      <c r="DG3366" s="573"/>
      <c r="DH3366" s="159"/>
      <c r="DI3366" s="1091"/>
      <c r="DJ3366" s="1187"/>
    </row>
    <row r="3367" spans="1:114" ht="15" hidden="1" customHeight="1" outlineLevel="1">
      <c r="A3367" s="453"/>
      <c r="C3367" s="51"/>
      <c r="D3367" s="4295"/>
      <c r="E3367" s="4295"/>
      <c r="F3367" s="4307" t="str">
        <f>$E$1712</f>
        <v>ASHP-SEER17_ROF_SF</v>
      </c>
      <c r="G3367" s="4307"/>
      <c r="H3367" s="4307"/>
      <c r="I3367" s="4307"/>
      <c r="J3367" s="1029" t="str">
        <f>$C$1712</f>
        <v>353800_2024_12_</v>
      </c>
      <c r="K3367" s="916">
        <v>17.149666666666668</v>
      </c>
      <c r="L3367" s="262"/>
      <c r="M3367" s="1739" t="s">
        <v>1934</v>
      </c>
      <c r="S3367" s="52"/>
      <c r="T3367" s="52"/>
      <c r="U3367" s="52"/>
      <c r="V3367" s="4295"/>
      <c r="W3367" s="1396">
        <v>17</v>
      </c>
      <c r="X3367" s="1396">
        <v>17</v>
      </c>
      <c r="Y3367" s="1396">
        <v>17</v>
      </c>
      <c r="Z3367" s="1396">
        <v>17</v>
      </c>
      <c r="AA3367" s="1396">
        <v>17</v>
      </c>
      <c r="AB3367" s="211">
        <v>17</v>
      </c>
      <c r="AC3367" s="212">
        <v>17.795238095238094</v>
      </c>
      <c r="AD3367" s="969">
        <v>17.237142857142857</v>
      </c>
      <c r="AE3367" s="969">
        <v>17.149666666666668</v>
      </c>
      <c r="AF3367" s="271">
        <f t="shared" si="337"/>
        <v>17.149666666666668</v>
      </c>
      <c r="AG3367" s="1396"/>
      <c r="DG3367" s="573"/>
      <c r="DH3367" s="159"/>
      <c r="DI3367" s="1091"/>
      <c r="DJ3367" s="1187"/>
    </row>
    <row r="3368" spans="1:114" ht="15" hidden="1" customHeight="1" outlineLevel="1">
      <c r="A3368" s="453"/>
      <c r="C3368" s="51"/>
      <c r="D3368" s="4295"/>
      <c r="E3368" s="4295"/>
      <c r="F3368" s="4307" t="str">
        <f>$E$1714</f>
        <v>ASHP-SEER18_ER1_SF</v>
      </c>
      <c r="G3368" s="4307"/>
      <c r="H3368" s="4307"/>
      <c r="I3368" s="4307"/>
      <c r="J3368" s="1029" t="str">
        <f>$C$1714</f>
        <v>353850_2024_12_</v>
      </c>
      <c r="K3368" s="916">
        <v>18.045275590551181</v>
      </c>
      <c r="L3368" s="262"/>
      <c r="M3368" s="1739" t="s">
        <v>1937</v>
      </c>
      <c r="P3368" s="261"/>
      <c r="Q3368" s="209"/>
      <c r="R3368" s="261"/>
      <c r="S3368" s="52"/>
      <c r="T3368" s="181"/>
      <c r="U3368" s="52"/>
      <c r="V3368" s="4295"/>
      <c r="W3368" s="1396">
        <v>18</v>
      </c>
      <c r="X3368" s="1396">
        <v>18</v>
      </c>
      <c r="Y3368" s="1396">
        <v>18</v>
      </c>
      <c r="Z3368" s="1396">
        <v>18</v>
      </c>
      <c r="AA3368" s="1396">
        <v>18</v>
      </c>
      <c r="AB3368" s="212">
        <v>18.991935483870968</v>
      </c>
      <c r="AC3368" s="212">
        <v>17.920289855072465</v>
      </c>
      <c r="AD3368" s="969">
        <v>18.023684210526316</v>
      </c>
      <c r="AE3368" s="969">
        <v>18.045275590551181</v>
      </c>
      <c r="AF3368" s="271">
        <f t="shared" si="337"/>
        <v>18.045275590551181</v>
      </c>
      <c r="AG3368" s="1396"/>
      <c r="DG3368" s="573"/>
      <c r="DH3368" s="159"/>
      <c r="DI3368" s="1091"/>
      <c r="DJ3368" s="1187"/>
    </row>
    <row r="3369" spans="1:114" ht="15" hidden="1" customHeight="1" outlineLevel="1">
      <c r="A3369" s="453"/>
      <c r="C3369" s="51"/>
      <c r="D3369" s="4295"/>
      <c r="E3369" s="4295"/>
      <c r="F3369" s="4307" t="str">
        <f>$E$1716</f>
        <v>ASHP-SEER18_ER2_SF</v>
      </c>
      <c r="G3369" s="4307"/>
      <c r="H3369" s="4307"/>
      <c r="I3369" s="4307"/>
      <c r="J3369" s="1029" t="str">
        <f>$C$1716</f>
        <v>353850_2024_12_</v>
      </c>
      <c r="K3369" s="916">
        <v>18.045275590551181</v>
      </c>
      <c r="L3369" s="262"/>
      <c r="M3369" s="1739" t="s">
        <v>1937</v>
      </c>
      <c r="S3369" s="52"/>
      <c r="T3369" s="52"/>
      <c r="U3369" s="52"/>
      <c r="V3369" s="4295"/>
      <c r="W3369" s="1396">
        <v>18</v>
      </c>
      <c r="X3369" s="1396">
        <v>18</v>
      </c>
      <c r="Y3369" s="1396">
        <v>18</v>
      </c>
      <c r="Z3369" s="1396">
        <v>18</v>
      </c>
      <c r="AA3369" s="1396">
        <v>18</v>
      </c>
      <c r="AB3369" s="212">
        <v>18.991935483870968</v>
      </c>
      <c r="AC3369" s="212">
        <f>AC3368</f>
        <v>17.920289855072465</v>
      </c>
      <c r="AD3369" s="969">
        <v>18.023684210526316</v>
      </c>
      <c r="AE3369" s="969">
        <v>18.045275590551181</v>
      </c>
      <c r="AF3369" s="271">
        <f t="shared" si="337"/>
        <v>18.045275590551181</v>
      </c>
      <c r="AG3369" s="1396"/>
      <c r="DG3369" s="573"/>
      <c r="DH3369" s="159"/>
      <c r="DI3369" s="1091"/>
      <c r="DJ3369" s="1187"/>
    </row>
    <row r="3370" spans="1:114" ht="15" hidden="1" customHeight="1" outlineLevel="1">
      <c r="A3370" s="453"/>
      <c r="C3370" s="51"/>
      <c r="D3370" s="4295"/>
      <c r="E3370" s="4295"/>
      <c r="F3370" s="4307" t="str">
        <f>$E$1718</f>
        <v>ASHP-SEER18_ROF_SF</v>
      </c>
      <c r="G3370" s="4307"/>
      <c r="H3370" s="4307"/>
      <c r="I3370" s="4307"/>
      <c r="J3370" s="1029" t="str">
        <f>$C$1718</f>
        <v>353950_2024_12_</v>
      </c>
      <c r="K3370" s="916">
        <v>18.027777777777779</v>
      </c>
      <c r="L3370" s="262"/>
      <c r="M3370" s="1739" t="s">
        <v>1934</v>
      </c>
      <c r="P3370" s="261"/>
      <c r="Q3370" s="209"/>
      <c r="R3370" s="261"/>
      <c r="S3370" s="52"/>
      <c r="T3370" s="181"/>
      <c r="U3370" s="52"/>
      <c r="V3370" s="4295"/>
      <c r="W3370" s="1396">
        <v>18</v>
      </c>
      <c r="X3370" s="1396">
        <v>18</v>
      </c>
      <c r="Y3370" s="1396">
        <v>18</v>
      </c>
      <c r="Z3370" s="1396">
        <v>18</v>
      </c>
      <c r="AA3370" s="1396">
        <v>18</v>
      </c>
      <c r="AB3370" s="211">
        <v>18</v>
      </c>
      <c r="AC3370" s="212">
        <v>18.203125</v>
      </c>
      <c r="AD3370" s="969">
        <v>17.872340425531913</v>
      </c>
      <c r="AE3370" s="969">
        <v>18.027777777777779</v>
      </c>
      <c r="AF3370" s="271">
        <f t="shared" si="337"/>
        <v>18.027777777777779</v>
      </c>
      <c r="AG3370" s="1396"/>
      <c r="DG3370" s="573"/>
      <c r="DH3370" s="159"/>
      <c r="DI3370" s="1091"/>
      <c r="DJ3370" s="1187"/>
    </row>
    <row r="3371" spans="1:114" ht="15" hidden="1" customHeight="1" outlineLevel="1">
      <c r="A3371" s="453"/>
      <c r="C3371" s="51"/>
      <c r="D3371" s="4295"/>
      <c r="E3371" s="4295"/>
      <c r="F3371" s="4307" t="str">
        <f>$E$1720</f>
        <v>ASHP-SEER19_ER1_SF</v>
      </c>
      <c r="G3371" s="4307"/>
      <c r="H3371" s="4307"/>
      <c r="I3371" s="4307"/>
      <c r="J3371" s="1029" t="str">
        <f>$C$1720</f>
        <v>354000_2024_12_</v>
      </c>
      <c r="K3371" s="916">
        <v>19.195652173913039</v>
      </c>
      <c r="L3371" s="262"/>
      <c r="M3371" s="1739" t="s">
        <v>1934</v>
      </c>
      <c r="P3371" s="261"/>
      <c r="Q3371" s="209"/>
      <c r="R3371" s="261"/>
      <c r="S3371" s="52"/>
      <c r="T3371" s="181"/>
      <c r="U3371" s="52"/>
      <c r="V3371" s="4295"/>
      <c r="W3371" s="1396">
        <v>19</v>
      </c>
      <c r="X3371" s="1396">
        <v>19</v>
      </c>
      <c r="Y3371" s="1396">
        <v>19</v>
      </c>
      <c r="Z3371" s="1396">
        <v>19</v>
      </c>
      <c r="AA3371" s="1396">
        <v>19</v>
      </c>
      <c r="AB3371" s="211">
        <v>19</v>
      </c>
      <c r="AC3371" s="212">
        <v>19.100000000000001</v>
      </c>
      <c r="AD3371" s="969">
        <v>19.132352941176471</v>
      </c>
      <c r="AE3371" s="969">
        <v>19.195652173913039</v>
      </c>
      <c r="AF3371" s="271">
        <f t="shared" si="337"/>
        <v>19.195652173913039</v>
      </c>
      <c r="AG3371" s="1396"/>
      <c r="DG3371" s="573"/>
      <c r="DH3371" s="159"/>
      <c r="DI3371" s="1091"/>
      <c r="DJ3371" s="1187"/>
    </row>
    <row r="3372" spans="1:114" ht="15" hidden="1" customHeight="1" outlineLevel="1">
      <c r="A3372" s="453"/>
      <c r="C3372" s="51"/>
      <c r="D3372" s="4295"/>
      <c r="E3372" s="4295"/>
      <c r="F3372" s="4307" t="str">
        <f>$E$1722</f>
        <v>ASHP-SEER19_ER2_SF</v>
      </c>
      <c r="G3372" s="4307"/>
      <c r="H3372" s="4307"/>
      <c r="I3372" s="4307"/>
      <c r="J3372" s="1029" t="str">
        <f>$C$1722</f>
        <v>354000_2024_12_</v>
      </c>
      <c r="K3372" s="916">
        <v>19.195652173913039</v>
      </c>
      <c r="L3372" s="262"/>
      <c r="M3372" s="1739" t="s">
        <v>1945</v>
      </c>
      <c r="S3372" s="52"/>
      <c r="T3372" s="52"/>
      <c r="U3372" s="52"/>
      <c r="V3372" s="4295"/>
      <c r="W3372" s="1396">
        <v>19</v>
      </c>
      <c r="X3372" s="1396">
        <v>19</v>
      </c>
      <c r="Y3372" s="1396">
        <v>19</v>
      </c>
      <c r="Z3372" s="1396">
        <v>19</v>
      </c>
      <c r="AA3372" s="1396">
        <v>19</v>
      </c>
      <c r="AB3372" s="211">
        <v>19</v>
      </c>
      <c r="AC3372" s="212">
        <f>AC3371</f>
        <v>19.100000000000001</v>
      </c>
      <c r="AD3372" s="969">
        <v>19.132352941176471</v>
      </c>
      <c r="AE3372" s="969">
        <v>19.195652173913039</v>
      </c>
      <c r="AF3372" s="271">
        <f t="shared" si="337"/>
        <v>19.195652173913039</v>
      </c>
      <c r="AG3372" s="1396"/>
      <c r="DG3372" s="573"/>
      <c r="DH3372" s="159"/>
      <c r="DI3372" s="1091"/>
      <c r="DJ3372" s="1187"/>
    </row>
    <row r="3373" spans="1:114" ht="15" hidden="1" customHeight="1" outlineLevel="1">
      <c r="A3373" s="453"/>
      <c r="C3373" s="51"/>
      <c r="D3373" s="4295"/>
      <c r="E3373" s="4295"/>
      <c r="F3373" s="4307" t="str">
        <f>$E$1724</f>
        <v>ASHP-SEER19_ROF_SF</v>
      </c>
      <c r="G3373" s="4307"/>
      <c r="H3373" s="4307"/>
      <c r="I3373" s="4307"/>
      <c r="J3373" s="1029" t="str">
        <f>$C$1724</f>
        <v>354050_2024_12_</v>
      </c>
      <c r="K3373" s="916">
        <v>19.28846153846154</v>
      </c>
      <c r="L3373" s="262"/>
      <c r="M3373" s="1739" t="s">
        <v>1937</v>
      </c>
      <c r="S3373" s="52"/>
      <c r="T3373" s="52"/>
      <c r="U3373" s="52"/>
      <c r="V3373" s="4295"/>
      <c r="W3373" s="1396">
        <v>19</v>
      </c>
      <c r="X3373" s="1396">
        <v>19</v>
      </c>
      <c r="Y3373" s="1396">
        <v>19</v>
      </c>
      <c r="Z3373" s="1396">
        <v>19</v>
      </c>
      <c r="AA3373" s="1396">
        <v>19</v>
      </c>
      <c r="AB3373" s="211">
        <v>19</v>
      </c>
      <c r="AC3373" s="212">
        <v>19.033333333333335</v>
      </c>
      <c r="AD3373" s="969">
        <v>19.28846153846154</v>
      </c>
      <c r="AE3373" s="970">
        <v>19.28846153846154</v>
      </c>
      <c r="AF3373" s="271">
        <f t="shared" si="337"/>
        <v>19.28846153846154</v>
      </c>
      <c r="AG3373" s="1396"/>
      <c r="DG3373" s="573"/>
      <c r="DH3373" s="159"/>
      <c r="DI3373" s="1091"/>
      <c r="DJ3373" s="1187"/>
    </row>
    <row r="3374" spans="1:114" ht="15" hidden="1" customHeight="1" outlineLevel="1">
      <c r="A3374" s="453"/>
      <c r="C3374" s="51"/>
      <c r="D3374" s="4295"/>
      <c r="E3374" s="4295"/>
      <c r="F3374" s="4307" t="str">
        <f>$E$1726</f>
        <v>ASHP-SEER17-Replace_CAC_ElectricHeat_ER1_SF</v>
      </c>
      <c r="G3374" s="4307"/>
      <c r="H3374" s="4307"/>
      <c r="I3374" s="4307"/>
      <c r="J3374" s="1029" t="str">
        <f>$C$1726</f>
        <v>354100_2024_12_</v>
      </c>
      <c r="K3374" s="916">
        <v>17.255828877005346</v>
      </c>
      <c r="L3374" s="262"/>
      <c r="M3374" s="1739" t="s">
        <v>1937</v>
      </c>
      <c r="S3374" s="52"/>
      <c r="T3374" s="52"/>
      <c r="U3374" s="52"/>
      <c r="V3374" s="4295"/>
      <c r="W3374" s="1396">
        <v>17</v>
      </c>
      <c r="X3374" s="1396">
        <v>17</v>
      </c>
      <c r="Y3374" s="1396">
        <v>17</v>
      </c>
      <c r="Z3374" s="1396">
        <v>17</v>
      </c>
      <c r="AA3374" s="1396">
        <v>17</v>
      </c>
      <c r="AB3374" s="211">
        <v>17</v>
      </c>
      <c r="AC3374" s="212">
        <v>17.136363636363637</v>
      </c>
      <c r="AD3374" s="969">
        <v>17.195075757575758</v>
      </c>
      <c r="AE3374" s="969">
        <v>17.255828877005346</v>
      </c>
      <c r="AF3374" s="271">
        <f t="shared" si="337"/>
        <v>17.255828877005346</v>
      </c>
      <c r="AG3374" s="1396"/>
      <c r="DG3374" s="573"/>
      <c r="DH3374" s="159"/>
      <c r="DI3374" s="1091"/>
      <c r="DJ3374" s="1187"/>
    </row>
    <row r="3375" spans="1:114" ht="15" hidden="1" customHeight="1" outlineLevel="1">
      <c r="A3375" s="453"/>
      <c r="C3375" s="51"/>
      <c r="D3375" s="4295"/>
      <c r="E3375" s="4295"/>
      <c r="F3375" s="4307" t="str">
        <f>$E$1728</f>
        <v>ASHP-SEER17-Replace_CAC_ElectricHeat_ER2_SF</v>
      </c>
      <c r="G3375" s="4307"/>
      <c r="H3375" s="4307"/>
      <c r="I3375" s="4307"/>
      <c r="J3375" s="1029" t="str">
        <f>$C$1728</f>
        <v>354100_2024_12_</v>
      </c>
      <c r="K3375" s="916">
        <v>17.255828877005346</v>
      </c>
      <c r="L3375" s="262"/>
      <c r="M3375" s="1739" t="s">
        <v>1937</v>
      </c>
      <c r="S3375" s="52"/>
      <c r="T3375" s="52"/>
      <c r="U3375" s="52"/>
      <c r="V3375" s="4295"/>
      <c r="W3375" s="1396">
        <v>17</v>
      </c>
      <c r="X3375" s="1396">
        <v>17</v>
      </c>
      <c r="Y3375" s="1396">
        <v>17</v>
      </c>
      <c r="Z3375" s="1396">
        <v>17</v>
      </c>
      <c r="AA3375" s="1396">
        <v>17</v>
      </c>
      <c r="AB3375" s="211">
        <v>17</v>
      </c>
      <c r="AC3375" s="212">
        <f>AC3374</f>
        <v>17.136363636363637</v>
      </c>
      <c r="AD3375" s="969">
        <v>17.195075757575758</v>
      </c>
      <c r="AE3375" s="969">
        <v>17.255828877005346</v>
      </c>
      <c r="AF3375" s="271">
        <f t="shared" si="337"/>
        <v>17.255828877005346</v>
      </c>
      <c r="AG3375" s="1396"/>
      <c r="DG3375" s="573"/>
      <c r="DH3375" s="159"/>
      <c r="DI3375" s="1091"/>
      <c r="DJ3375" s="1187"/>
    </row>
    <row r="3376" spans="1:114" ht="15" hidden="1" customHeight="1" outlineLevel="1">
      <c r="A3376" s="453"/>
      <c r="C3376" s="51"/>
      <c r="D3376" s="4295"/>
      <c r="E3376" s="4295"/>
      <c r="F3376" s="4307" t="str">
        <f>$E$1730</f>
        <v>ASHP-SEER17-Replace_CAC_NonElectricHeat_ER1_SF</v>
      </c>
      <c r="G3376" s="4307"/>
      <c r="H3376" s="4307"/>
      <c r="I3376" s="4307"/>
      <c r="J3376" s="1029" t="str">
        <f>$C$1730</f>
        <v>354110_2024_12_</v>
      </c>
      <c r="K3376" s="916">
        <v>17.255828877005346</v>
      </c>
      <c r="L3376" s="262"/>
      <c r="M3376" s="1740" t="s">
        <v>1945</v>
      </c>
      <c r="S3376" s="52"/>
      <c r="T3376" s="52"/>
      <c r="U3376" s="52"/>
      <c r="V3376" s="4295"/>
      <c r="W3376" s="1396"/>
      <c r="X3376" s="1396"/>
      <c r="Y3376" s="1396"/>
      <c r="Z3376" s="1396"/>
      <c r="AA3376" s="1396"/>
      <c r="AB3376" s="211"/>
      <c r="AC3376" s="212">
        <v>17.136363636363637</v>
      </c>
      <c r="AD3376" s="969">
        <v>17.195075757575758</v>
      </c>
      <c r="AE3376" s="969">
        <v>17.255828877005346</v>
      </c>
      <c r="AF3376" s="271">
        <f t="shared" si="337"/>
        <v>17.255828877005346</v>
      </c>
      <c r="AG3376" s="1396"/>
      <c r="DG3376" s="573"/>
      <c r="DH3376" s="159"/>
      <c r="DI3376" s="1091"/>
      <c r="DJ3376" s="1187"/>
    </row>
    <row r="3377" spans="1:114" ht="15" hidden="1" customHeight="1" outlineLevel="1">
      <c r="A3377" s="453"/>
      <c r="C3377" s="51"/>
      <c r="D3377" s="4295"/>
      <c r="E3377" s="4295"/>
      <c r="F3377" s="4307" t="str">
        <f>$E$1732</f>
        <v>ASHP-SEER17-Replace_CAC_NonElectricHeat_ER2_SF</v>
      </c>
      <c r="G3377" s="4307"/>
      <c r="H3377" s="4307"/>
      <c r="I3377" s="4307"/>
      <c r="J3377" s="1029" t="str">
        <f>$C$1732</f>
        <v>354110_2024_12_</v>
      </c>
      <c r="K3377" s="916">
        <v>17.255828877005346</v>
      </c>
      <c r="L3377" s="262"/>
      <c r="M3377" s="1740" t="s">
        <v>1945</v>
      </c>
      <c r="S3377" s="52"/>
      <c r="T3377" s="52"/>
      <c r="U3377" s="52"/>
      <c r="V3377" s="4295"/>
      <c r="W3377" s="1396"/>
      <c r="X3377" s="1396"/>
      <c r="Y3377" s="1396"/>
      <c r="Z3377" s="1396"/>
      <c r="AA3377" s="1396"/>
      <c r="AB3377" s="211"/>
      <c r="AC3377" s="212">
        <f>AC3376</f>
        <v>17.136363636363637</v>
      </c>
      <c r="AD3377" s="969">
        <v>17.195075757575758</v>
      </c>
      <c r="AE3377" s="969">
        <v>17.255828877005346</v>
      </c>
      <c r="AF3377" s="271">
        <f t="shared" si="337"/>
        <v>17.255828877005346</v>
      </c>
      <c r="AG3377" s="1396"/>
      <c r="DG3377" s="573"/>
      <c r="DH3377" s="159"/>
      <c r="DI3377" s="1091"/>
      <c r="DJ3377" s="1187"/>
    </row>
    <row r="3378" spans="1:114" ht="15" hidden="1" customHeight="1" outlineLevel="1">
      <c r="A3378" s="453"/>
      <c r="C3378" s="51"/>
      <c r="D3378" s="4295"/>
      <c r="E3378" s="4295"/>
      <c r="F3378" s="4307" t="str">
        <f>$E$1734</f>
        <v>ASHP-SEER17-Replace_CAC_ElectricHeat_ER1_MF</v>
      </c>
      <c r="G3378" s="4307"/>
      <c r="H3378" s="4307"/>
      <c r="I3378" s="4307"/>
      <c r="J3378" s="1029" t="str">
        <f>$C$1734</f>
        <v>354150_2024_12_</v>
      </c>
      <c r="K3378" s="1758">
        <v>17</v>
      </c>
      <c r="L3378" s="262"/>
      <c r="M3378" s="1740" t="s">
        <v>2507</v>
      </c>
      <c r="S3378" s="52"/>
      <c r="T3378" s="52"/>
      <c r="U3378" s="52"/>
      <c r="V3378" s="4295"/>
      <c r="W3378" s="1396">
        <v>17</v>
      </c>
      <c r="X3378" s="1396">
        <v>17</v>
      </c>
      <c r="Y3378" s="1396">
        <v>17</v>
      </c>
      <c r="Z3378" s="1396">
        <v>17</v>
      </c>
      <c r="AA3378" s="1396">
        <v>17</v>
      </c>
      <c r="AB3378" s="211">
        <v>17</v>
      </c>
      <c r="AC3378" s="211">
        <v>17</v>
      </c>
      <c r="AD3378" s="211">
        <v>17</v>
      </c>
      <c r="AE3378" s="211">
        <v>17</v>
      </c>
      <c r="AF3378" s="271">
        <f t="shared" si="337"/>
        <v>17</v>
      </c>
      <c r="AG3378" s="1396"/>
      <c r="DG3378" s="573"/>
      <c r="DH3378" s="159"/>
      <c r="DI3378" s="1091"/>
      <c r="DJ3378" s="1187"/>
    </row>
    <row r="3379" spans="1:114" ht="15" hidden="1" customHeight="1" outlineLevel="1">
      <c r="A3379" s="453"/>
      <c r="C3379" s="51"/>
      <c r="D3379" s="4295"/>
      <c r="E3379" s="4295"/>
      <c r="F3379" s="4307" t="str">
        <f>$E$1736</f>
        <v>ASHP-SEER17-Replace_CAC_ElectricHeat_ER2_MF</v>
      </c>
      <c r="G3379" s="4307"/>
      <c r="H3379" s="4307"/>
      <c r="I3379" s="4307"/>
      <c r="J3379" s="1029" t="str">
        <f>$C$1736</f>
        <v>354150_2024_12_</v>
      </c>
      <c r="K3379" s="1758">
        <v>17</v>
      </c>
      <c r="L3379" s="262"/>
      <c r="M3379" s="1740" t="s">
        <v>2507</v>
      </c>
      <c r="S3379" s="52"/>
      <c r="T3379" s="52"/>
      <c r="U3379" s="52"/>
      <c r="V3379" s="4295"/>
      <c r="W3379" s="1396">
        <v>17</v>
      </c>
      <c r="X3379" s="1396">
        <v>17</v>
      </c>
      <c r="Y3379" s="1396">
        <v>17</v>
      </c>
      <c r="Z3379" s="1396">
        <v>17</v>
      </c>
      <c r="AA3379" s="1396">
        <v>17</v>
      </c>
      <c r="AB3379" s="211">
        <v>17</v>
      </c>
      <c r="AC3379" s="211">
        <v>17</v>
      </c>
      <c r="AD3379" s="211">
        <v>17</v>
      </c>
      <c r="AE3379" s="211">
        <v>17</v>
      </c>
      <c r="AF3379" s="271">
        <f t="shared" si="337"/>
        <v>17</v>
      </c>
      <c r="AG3379" s="1396"/>
      <c r="DG3379" s="573"/>
      <c r="DH3379" s="159"/>
      <c r="DI3379" s="1091"/>
      <c r="DJ3379" s="1187"/>
    </row>
    <row r="3380" spans="1:114" ht="15" hidden="1" customHeight="1" outlineLevel="1">
      <c r="A3380" s="453"/>
      <c r="C3380" s="51"/>
      <c r="D3380" s="4295"/>
      <c r="E3380" s="4295"/>
      <c r="F3380" s="4347" t="str">
        <f>$E$1738</f>
        <v>ASHP-SEER17-Replace_CAC_ElectricHeat_ER1_MF_CompE</v>
      </c>
      <c r="G3380" s="4347"/>
      <c r="H3380" s="4347"/>
      <c r="I3380" s="4347"/>
      <c r="J3380" s="3471" t="str">
        <f>$C$1738</f>
        <v>354151_2024_12_</v>
      </c>
      <c r="K3380" s="3283">
        <v>17</v>
      </c>
      <c r="L3380" s="3479"/>
      <c r="M3380" s="3293" t="s">
        <v>1945</v>
      </c>
      <c r="S3380" s="52"/>
      <c r="T3380" s="52"/>
      <c r="U3380" s="52"/>
      <c r="V3380" s="4295"/>
      <c r="W3380" s="3262"/>
      <c r="X3380" s="3262"/>
      <c r="Y3380" s="3265">
        <v>17</v>
      </c>
      <c r="Z3380" s="3262">
        <v>17</v>
      </c>
      <c r="AA3380" s="3262">
        <v>17</v>
      </c>
      <c r="AB3380" s="3286">
        <v>17</v>
      </c>
      <c r="AC3380" s="3286">
        <v>17</v>
      </c>
      <c r="AD3380" s="3286">
        <v>17</v>
      </c>
      <c r="AE3380" s="3286">
        <v>17</v>
      </c>
      <c r="AF3380" s="2236">
        <f t="shared" si="337"/>
        <v>17</v>
      </c>
      <c r="AG3380" s="1396"/>
      <c r="DG3380" s="573"/>
      <c r="DH3380" s="159"/>
      <c r="DI3380" s="1091"/>
      <c r="DJ3380" s="1187"/>
    </row>
    <row r="3381" spans="1:114" ht="15" hidden="1" customHeight="1" outlineLevel="1">
      <c r="A3381" s="453"/>
      <c r="C3381" s="51"/>
      <c r="D3381" s="4295"/>
      <c r="E3381" s="4295"/>
      <c r="F3381" s="4347" t="str">
        <f>$E$1740</f>
        <v>ASHP-SEER17-Replace_CAC_ElectricHeat_ER2_MF_CompE</v>
      </c>
      <c r="G3381" s="4347"/>
      <c r="H3381" s="4347"/>
      <c r="I3381" s="4347"/>
      <c r="J3381" s="3471" t="str">
        <f>$C$1740</f>
        <v>354151_2024_12_</v>
      </c>
      <c r="K3381" s="3283">
        <v>17</v>
      </c>
      <c r="L3381" s="3479"/>
      <c r="M3381" s="3293" t="s">
        <v>1945</v>
      </c>
      <c r="S3381" s="52"/>
      <c r="T3381" s="52"/>
      <c r="U3381" s="52"/>
      <c r="V3381" s="4295"/>
      <c r="W3381" s="3262"/>
      <c r="X3381" s="3262"/>
      <c r="Y3381" s="3265">
        <v>17</v>
      </c>
      <c r="Z3381" s="3262">
        <v>17</v>
      </c>
      <c r="AA3381" s="3262">
        <v>17</v>
      </c>
      <c r="AB3381" s="3286">
        <v>17</v>
      </c>
      <c r="AC3381" s="3286">
        <v>17</v>
      </c>
      <c r="AD3381" s="3286">
        <v>17</v>
      </c>
      <c r="AE3381" s="3286">
        <v>17</v>
      </c>
      <c r="AF3381" s="2236">
        <f t="shared" si="337"/>
        <v>17</v>
      </c>
      <c r="AG3381" s="1396"/>
      <c r="DG3381" s="573"/>
      <c r="DH3381" s="159"/>
      <c r="DI3381" s="1091"/>
      <c r="DJ3381" s="1187"/>
    </row>
    <row r="3382" spans="1:114" ht="15" hidden="1" customHeight="1" outlineLevel="1">
      <c r="A3382" s="453"/>
      <c r="C3382" s="51"/>
      <c r="D3382" s="4295"/>
      <c r="E3382" s="4295"/>
      <c r="F3382" s="4347" t="str">
        <f>$E$1742</f>
        <v>ASHP-SEER17-Replace_CAC_NonElectricHeat_ER1_MF</v>
      </c>
      <c r="G3382" s="4347"/>
      <c r="H3382" s="4347"/>
      <c r="I3382" s="4347"/>
      <c r="J3382" s="3471" t="str">
        <f>$C$1742</f>
        <v>354160_2024_12_</v>
      </c>
      <c r="K3382" s="3283">
        <v>17</v>
      </c>
      <c r="L3382" s="3479"/>
      <c r="M3382" s="3293" t="s">
        <v>1945</v>
      </c>
      <c r="S3382" s="52"/>
      <c r="T3382" s="52"/>
      <c r="U3382" s="52"/>
      <c r="V3382" s="4295"/>
      <c r="W3382" s="3262"/>
      <c r="X3382" s="3262"/>
      <c r="Y3382" s="3265"/>
      <c r="Z3382" s="3262"/>
      <c r="AA3382" s="3262"/>
      <c r="AB3382" s="3286"/>
      <c r="AC3382" s="3285">
        <v>17</v>
      </c>
      <c r="AD3382" s="3286">
        <v>17</v>
      </c>
      <c r="AE3382" s="3286">
        <v>17</v>
      </c>
      <c r="AF3382" s="2236">
        <f t="shared" si="337"/>
        <v>17</v>
      </c>
      <c r="AG3382" s="1396"/>
      <c r="DG3382" s="573"/>
      <c r="DH3382" s="159"/>
      <c r="DI3382" s="1091"/>
      <c r="DJ3382" s="1187"/>
    </row>
    <row r="3383" spans="1:114" ht="15" hidden="1" customHeight="1" outlineLevel="1">
      <c r="A3383" s="453"/>
      <c r="C3383" s="51"/>
      <c r="D3383" s="4295"/>
      <c r="E3383" s="4295"/>
      <c r="F3383" s="4347" t="str">
        <f>$E$1744</f>
        <v>ASHP-SEER17-Replace_CAC_NonElectricHeat_ER2_MF</v>
      </c>
      <c r="G3383" s="4347"/>
      <c r="H3383" s="4347"/>
      <c r="I3383" s="4347"/>
      <c r="J3383" s="3471" t="str">
        <f>$C$1744</f>
        <v>354160_2024_12_</v>
      </c>
      <c r="K3383" s="3283">
        <v>17</v>
      </c>
      <c r="L3383" s="3479"/>
      <c r="M3383" s="3293" t="s">
        <v>1945</v>
      </c>
      <c r="S3383" s="52"/>
      <c r="T3383" s="52"/>
      <c r="U3383" s="52"/>
      <c r="V3383" s="4295"/>
      <c r="W3383" s="3262"/>
      <c r="X3383" s="3262"/>
      <c r="Y3383" s="3265"/>
      <c r="Z3383" s="3262"/>
      <c r="AA3383" s="3262"/>
      <c r="AB3383" s="3286"/>
      <c r="AC3383" s="3285">
        <v>17</v>
      </c>
      <c r="AD3383" s="3286">
        <v>17</v>
      </c>
      <c r="AE3383" s="3286">
        <v>17</v>
      </c>
      <c r="AF3383" s="2236">
        <f t="shared" si="337"/>
        <v>17</v>
      </c>
      <c r="AG3383" s="1396"/>
      <c r="DG3383" s="573"/>
      <c r="DH3383" s="159"/>
      <c r="DI3383" s="1091"/>
      <c r="DJ3383" s="1187"/>
    </row>
    <row r="3384" spans="1:114" ht="15" hidden="1" customHeight="1" outlineLevel="1">
      <c r="A3384" s="453"/>
      <c r="C3384" s="51"/>
      <c r="D3384" s="4295"/>
      <c r="E3384" s="4295"/>
      <c r="F3384" s="4347" t="str">
        <f>$E$1746</f>
        <v>ASHP-SEER17-Replace_CAC_NonElectricHeat_ER1_MF_CompE</v>
      </c>
      <c r="G3384" s="4347"/>
      <c r="H3384" s="4347"/>
      <c r="I3384" s="4347"/>
      <c r="J3384" s="3471" t="str">
        <f>$C$1746</f>
        <v>354161_2024_12_</v>
      </c>
      <c r="K3384" s="3283">
        <v>17</v>
      </c>
      <c r="L3384" s="3479"/>
      <c r="M3384" s="3293" t="s">
        <v>1945</v>
      </c>
      <c r="S3384" s="52"/>
      <c r="T3384" s="52"/>
      <c r="U3384" s="52"/>
      <c r="V3384" s="4295"/>
      <c r="W3384" s="3262"/>
      <c r="X3384" s="3262"/>
      <c r="Y3384" s="3265"/>
      <c r="Z3384" s="3262"/>
      <c r="AA3384" s="3262"/>
      <c r="AB3384" s="3286"/>
      <c r="AC3384" s="3285">
        <v>17</v>
      </c>
      <c r="AD3384" s="3286">
        <v>17</v>
      </c>
      <c r="AE3384" s="3286">
        <v>17</v>
      </c>
      <c r="AF3384" s="2236">
        <f t="shared" si="337"/>
        <v>17</v>
      </c>
      <c r="AG3384" s="1396"/>
      <c r="DG3384" s="573"/>
      <c r="DH3384" s="159"/>
      <c r="DI3384" s="1091"/>
      <c r="DJ3384" s="1187"/>
    </row>
    <row r="3385" spans="1:114" ht="15" hidden="1" customHeight="1" outlineLevel="1">
      <c r="A3385" s="453"/>
      <c r="C3385" s="51"/>
      <c r="D3385" s="4295"/>
      <c r="E3385" s="4295"/>
      <c r="F3385" s="4347" t="str">
        <f>$E$1748</f>
        <v>ASHP-SEER17-Replace_CAC_NonElectricHeat_ER2_MF_CompE</v>
      </c>
      <c r="G3385" s="4347"/>
      <c r="H3385" s="4347"/>
      <c r="I3385" s="4347"/>
      <c r="J3385" s="3471" t="str">
        <f>$C$1748</f>
        <v>354161_2024_12_</v>
      </c>
      <c r="K3385" s="3283">
        <v>17</v>
      </c>
      <c r="L3385" s="3479"/>
      <c r="M3385" s="3293" t="s">
        <v>1945</v>
      </c>
      <c r="S3385" s="52"/>
      <c r="T3385" s="52"/>
      <c r="U3385" s="52"/>
      <c r="V3385" s="4295"/>
      <c r="W3385" s="3262"/>
      <c r="X3385" s="3262"/>
      <c r="Y3385" s="3265"/>
      <c r="Z3385" s="3262"/>
      <c r="AA3385" s="3262"/>
      <c r="AB3385" s="3286"/>
      <c r="AC3385" s="3285">
        <v>17</v>
      </c>
      <c r="AD3385" s="3286">
        <v>17</v>
      </c>
      <c r="AE3385" s="3286">
        <v>17</v>
      </c>
      <c r="AF3385" s="2236">
        <f t="shared" si="337"/>
        <v>17</v>
      </c>
      <c r="AG3385" s="1396"/>
      <c r="DG3385" s="573"/>
      <c r="DH3385" s="159"/>
      <c r="DI3385" s="1091"/>
      <c r="DJ3385" s="1187"/>
    </row>
    <row r="3386" spans="1:114" ht="15" hidden="1" customHeight="1" outlineLevel="1">
      <c r="A3386" s="453"/>
      <c r="C3386" s="51"/>
      <c r="D3386" s="4295"/>
      <c r="E3386" s="4295"/>
      <c r="F3386" s="4307" t="str">
        <f>$E$1750</f>
        <v>ASHP-SEER17_ER1_MF</v>
      </c>
      <c r="G3386" s="4307"/>
      <c r="H3386" s="4307"/>
      <c r="I3386" s="4307"/>
      <c r="J3386" s="1029" t="str">
        <f>$C$1750</f>
        <v>354200_2024_12_</v>
      </c>
      <c r="K3386" s="1758">
        <v>17</v>
      </c>
      <c r="L3386" s="262"/>
      <c r="M3386" s="1740" t="s">
        <v>2507</v>
      </c>
      <c r="S3386" s="52"/>
      <c r="T3386" s="52"/>
      <c r="U3386" s="52"/>
      <c r="V3386" s="4295"/>
      <c r="W3386" s="1396">
        <v>17</v>
      </c>
      <c r="X3386" s="1396">
        <v>17</v>
      </c>
      <c r="Y3386" s="1396">
        <v>17</v>
      </c>
      <c r="Z3386" s="1396">
        <v>17</v>
      </c>
      <c r="AA3386" s="1396">
        <v>17</v>
      </c>
      <c r="AB3386" s="211">
        <v>17</v>
      </c>
      <c r="AC3386" s="211">
        <v>17</v>
      </c>
      <c r="AD3386" s="211">
        <v>17</v>
      </c>
      <c r="AE3386" s="211">
        <v>17</v>
      </c>
      <c r="AF3386" s="271">
        <f t="shared" ref="AF3386:AF3449" si="338">IF(K3386&lt;&gt;"",K3386,"")</f>
        <v>17</v>
      </c>
      <c r="AG3386" s="1396"/>
      <c r="DG3386" s="573"/>
      <c r="DH3386" s="159"/>
      <c r="DI3386" s="1091"/>
      <c r="DJ3386" s="1187"/>
    </row>
    <row r="3387" spans="1:114" ht="15" hidden="1" customHeight="1" outlineLevel="1">
      <c r="A3387" s="453"/>
      <c r="C3387" s="51"/>
      <c r="D3387" s="4295"/>
      <c r="E3387" s="4295"/>
      <c r="F3387" s="4307" t="str">
        <f>$E$1752</f>
        <v>ASHP-SEER17_ER2_MF</v>
      </c>
      <c r="G3387" s="4307"/>
      <c r="H3387" s="4307"/>
      <c r="I3387" s="4307"/>
      <c r="J3387" s="1029" t="str">
        <f>$C$1752</f>
        <v>354200_2024_12_</v>
      </c>
      <c r="K3387" s="1758">
        <v>17</v>
      </c>
      <c r="L3387" s="262"/>
      <c r="M3387" s="1740" t="s">
        <v>2507</v>
      </c>
      <c r="S3387" s="52"/>
      <c r="T3387" s="52"/>
      <c r="U3387" s="52"/>
      <c r="V3387" s="4295"/>
      <c r="W3387" s="1396">
        <v>17</v>
      </c>
      <c r="X3387" s="1396">
        <v>17</v>
      </c>
      <c r="Y3387" s="1396">
        <v>17</v>
      </c>
      <c r="Z3387" s="1396">
        <v>17</v>
      </c>
      <c r="AA3387" s="1396">
        <v>17</v>
      </c>
      <c r="AB3387" s="211">
        <v>17</v>
      </c>
      <c r="AC3387" s="211">
        <v>17</v>
      </c>
      <c r="AD3387" s="211">
        <v>17</v>
      </c>
      <c r="AE3387" s="211">
        <v>17</v>
      </c>
      <c r="AF3387" s="271">
        <f t="shared" si="338"/>
        <v>17</v>
      </c>
      <c r="AG3387" s="1396"/>
      <c r="DG3387" s="573"/>
      <c r="DH3387" s="159"/>
      <c r="DI3387" s="1091"/>
      <c r="DJ3387" s="1187"/>
    </row>
    <row r="3388" spans="1:114" ht="15" hidden="1" customHeight="1" outlineLevel="1">
      <c r="A3388" s="453"/>
      <c r="C3388" s="51"/>
      <c r="D3388" s="4295"/>
      <c r="E3388" s="4295"/>
      <c r="F3388" s="4347" t="str">
        <f>$E$1754</f>
        <v>ASHP-SEER17_ER1_MF_CompE</v>
      </c>
      <c r="G3388" s="4347"/>
      <c r="H3388" s="4347"/>
      <c r="I3388" s="4347"/>
      <c r="J3388" s="3471" t="str">
        <f>$C$1754</f>
        <v>354201_2024_12_</v>
      </c>
      <c r="K3388" s="3283">
        <v>17</v>
      </c>
      <c r="L3388" s="3479"/>
      <c r="M3388" s="3293" t="s">
        <v>1945</v>
      </c>
      <c r="S3388" s="52"/>
      <c r="T3388" s="52"/>
      <c r="U3388" s="52"/>
      <c r="V3388" s="4295"/>
      <c r="W3388" s="1396"/>
      <c r="X3388" s="1396"/>
      <c r="Y3388" s="3265">
        <v>17</v>
      </c>
      <c r="Z3388" s="3262">
        <v>17</v>
      </c>
      <c r="AA3388" s="3262">
        <v>17</v>
      </c>
      <c r="AB3388" s="3286">
        <v>17</v>
      </c>
      <c r="AC3388" s="3286">
        <v>17</v>
      </c>
      <c r="AD3388" s="3286">
        <v>17</v>
      </c>
      <c r="AE3388" s="3286">
        <v>17</v>
      </c>
      <c r="AF3388" s="2236">
        <f t="shared" si="338"/>
        <v>17</v>
      </c>
      <c r="AG3388" s="1396"/>
      <c r="DG3388" s="573"/>
      <c r="DH3388" s="159"/>
      <c r="DI3388" s="1091"/>
      <c r="DJ3388" s="1187"/>
    </row>
    <row r="3389" spans="1:114" ht="15" hidden="1" customHeight="1" outlineLevel="1">
      <c r="A3389" s="453"/>
      <c r="C3389" s="51"/>
      <c r="D3389" s="4295"/>
      <c r="E3389" s="4295"/>
      <c r="F3389" s="4347" t="str">
        <f>$E$1756</f>
        <v>ASHP-SEER17_ER2_MF_CompE</v>
      </c>
      <c r="G3389" s="4347"/>
      <c r="H3389" s="4347"/>
      <c r="I3389" s="4347"/>
      <c r="J3389" s="3471" t="str">
        <f>$C$1756</f>
        <v>354201_2024_12_</v>
      </c>
      <c r="K3389" s="3283">
        <v>17</v>
      </c>
      <c r="L3389" s="3479"/>
      <c r="M3389" s="3293" t="s">
        <v>1945</v>
      </c>
      <c r="S3389" s="52"/>
      <c r="T3389" s="52"/>
      <c r="U3389" s="52"/>
      <c r="V3389" s="4295"/>
      <c r="W3389" s="1396"/>
      <c r="X3389" s="1396"/>
      <c r="Y3389" s="3265">
        <v>17</v>
      </c>
      <c r="Z3389" s="3262">
        <v>17</v>
      </c>
      <c r="AA3389" s="3262">
        <v>17</v>
      </c>
      <c r="AB3389" s="3286">
        <v>17</v>
      </c>
      <c r="AC3389" s="3286">
        <v>17</v>
      </c>
      <c r="AD3389" s="3286">
        <v>17</v>
      </c>
      <c r="AE3389" s="3286">
        <v>17</v>
      </c>
      <c r="AF3389" s="2236">
        <f t="shared" si="338"/>
        <v>17</v>
      </c>
      <c r="AG3389" s="1396"/>
      <c r="DG3389" s="573"/>
      <c r="DH3389" s="159"/>
      <c r="DI3389" s="1091"/>
      <c r="DJ3389" s="1187"/>
    </row>
    <row r="3390" spans="1:114" ht="15" hidden="1" customHeight="1" outlineLevel="1">
      <c r="A3390" s="453"/>
      <c r="C3390" s="51"/>
      <c r="D3390" s="4295"/>
      <c r="E3390" s="4295"/>
      <c r="F3390" s="4307" t="str">
        <f>$E$1758</f>
        <v>ASHP-SEER18-Replace_CAC_ElectricHeat_ER1_SF</v>
      </c>
      <c r="G3390" s="4307"/>
      <c r="H3390" s="4307"/>
      <c r="I3390" s="4307"/>
      <c r="J3390" s="1029" t="str">
        <f>$C$1758</f>
        <v>354250_2024_12_</v>
      </c>
      <c r="K3390" s="916">
        <v>18.045275590551181</v>
      </c>
      <c r="L3390" s="262"/>
      <c r="M3390" s="1739" t="s">
        <v>1937</v>
      </c>
      <c r="S3390" s="52"/>
      <c r="T3390" s="52"/>
      <c r="U3390" s="52"/>
      <c r="V3390" s="4295"/>
      <c r="W3390" s="1396">
        <v>18</v>
      </c>
      <c r="X3390" s="1396">
        <v>18</v>
      </c>
      <c r="Y3390" s="1396">
        <v>18</v>
      </c>
      <c r="Z3390" s="1396">
        <v>18</v>
      </c>
      <c r="AA3390" s="1396">
        <v>18</v>
      </c>
      <c r="AB3390" s="212">
        <v>18.582558139534882</v>
      </c>
      <c r="AC3390" s="212">
        <v>17.967652173913041</v>
      </c>
      <c r="AD3390" s="969">
        <v>18.023684210526316</v>
      </c>
      <c r="AE3390" s="969">
        <v>18.045275590551181</v>
      </c>
      <c r="AF3390" s="271">
        <f t="shared" si="338"/>
        <v>18.045275590551181</v>
      </c>
      <c r="AG3390" s="1396"/>
      <c r="DG3390" s="573"/>
      <c r="DH3390" s="159"/>
      <c r="DI3390" s="1091"/>
      <c r="DJ3390" s="1187"/>
    </row>
    <row r="3391" spans="1:114" ht="15" hidden="1" customHeight="1" outlineLevel="1">
      <c r="A3391" s="453"/>
      <c r="C3391" s="51"/>
      <c r="D3391" s="4295"/>
      <c r="E3391" s="4295"/>
      <c r="F3391" s="4307" t="str">
        <f>$E$1760</f>
        <v>ASHP-SEER18-Replace_CAC_ElectricHeat_ER2_SF</v>
      </c>
      <c r="G3391" s="4307"/>
      <c r="H3391" s="4307"/>
      <c r="I3391" s="4307"/>
      <c r="J3391" s="1029" t="str">
        <f>$C$1760</f>
        <v>354250_2024_12_</v>
      </c>
      <c r="K3391" s="916">
        <v>18.045275590551181</v>
      </c>
      <c r="L3391" s="262"/>
      <c r="M3391" s="1739" t="s">
        <v>1937</v>
      </c>
      <c r="S3391" s="52"/>
      <c r="T3391" s="52"/>
      <c r="U3391" s="52"/>
      <c r="V3391" s="4295"/>
      <c r="W3391" s="1396">
        <v>18</v>
      </c>
      <c r="X3391" s="1396">
        <v>18</v>
      </c>
      <c r="Y3391" s="1396">
        <v>18</v>
      </c>
      <c r="Z3391" s="1396">
        <v>18</v>
      </c>
      <c r="AA3391" s="1396">
        <v>18</v>
      </c>
      <c r="AB3391" s="212">
        <v>18.582558139534882</v>
      </c>
      <c r="AC3391" s="212">
        <f>AC3390</f>
        <v>17.967652173913041</v>
      </c>
      <c r="AD3391" s="969">
        <v>18.023684210526316</v>
      </c>
      <c r="AE3391" s="969">
        <v>18.045275590551181</v>
      </c>
      <c r="AF3391" s="271">
        <f t="shared" si="338"/>
        <v>18.045275590551181</v>
      </c>
      <c r="AG3391" s="1396"/>
      <c r="DG3391" s="573"/>
      <c r="DH3391" s="159"/>
      <c r="DI3391" s="1091"/>
      <c r="DJ3391" s="1187"/>
    </row>
    <row r="3392" spans="1:114" ht="15" hidden="1" customHeight="1" outlineLevel="1">
      <c r="A3392" s="453"/>
      <c r="C3392" s="51"/>
      <c r="D3392" s="4295"/>
      <c r="E3392" s="4295"/>
      <c r="F3392" s="4307" t="str">
        <f>$E$1762</f>
        <v>ASHP-SEER18-Replace_CAC_NonElectricHeat_ER1_SF</v>
      </c>
      <c r="G3392" s="4307"/>
      <c r="H3392" s="4307"/>
      <c r="I3392" s="4307"/>
      <c r="J3392" s="1029" t="str">
        <f>$C$1762</f>
        <v>354260_2024_12_</v>
      </c>
      <c r="K3392" s="916">
        <v>18.045275590551181</v>
      </c>
      <c r="L3392" s="262"/>
      <c r="M3392" s="1740" t="s">
        <v>1945</v>
      </c>
      <c r="S3392" s="52"/>
      <c r="T3392" s="52"/>
      <c r="U3392" s="52"/>
      <c r="V3392" s="4295"/>
      <c r="W3392" s="1396"/>
      <c r="X3392" s="1396"/>
      <c r="Y3392" s="1396"/>
      <c r="Z3392" s="1396"/>
      <c r="AA3392" s="1396"/>
      <c r="AB3392" s="212"/>
      <c r="AC3392" s="212">
        <v>17.967652173913041</v>
      </c>
      <c r="AD3392" s="969">
        <v>18.023684210526316</v>
      </c>
      <c r="AE3392" s="969">
        <v>18.045275590551181</v>
      </c>
      <c r="AF3392" s="271">
        <f t="shared" si="338"/>
        <v>18.045275590551181</v>
      </c>
      <c r="AG3392" s="1396"/>
      <c r="DG3392" s="573"/>
      <c r="DH3392" s="159"/>
      <c r="DI3392" s="1091"/>
      <c r="DJ3392" s="1187"/>
    </row>
    <row r="3393" spans="1:114" ht="15" hidden="1" customHeight="1" outlineLevel="1">
      <c r="A3393" s="453"/>
      <c r="C3393" s="51"/>
      <c r="D3393" s="4295"/>
      <c r="E3393" s="4295"/>
      <c r="F3393" s="4307" t="str">
        <f>$E$1764</f>
        <v>ASHP-SEER18-Replace_CAC_NonElectricHeat_ER2_SF</v>
      </c>
      <c r="G3393" s="4307"/>
      <c r="H3393" s="4307"/>
      <c r="I3393" s="4307"/>
      <c r="J3393" s="1029" t="str">
        <f>$C$1764</f>
        <v>354260_2024_12_</v>
      </c>
      <c r="K3393" s="916">
        <v>18.045275590551181</v>
      </c>
      <c r="L3393" s="262"/>
      <c r="M3393" s="1740" t="s">
        <v>1945</v>
      </c>
      <c r="S3393" s="52"/>
      <c r="T3393" s="52"/>
      <c r="U3393" s="52"/>
      <c r="V3393" s="4295"/>
      <c r="W3393" s="1396"/>
      <c r="X3393" s="1396"/>
      <c r="Y3393" s="1396"/>
      <c r="Z3393" s="1396"/>
      <c r="AA3393" s="1396"/>
      <c r="AB3393" s="212"/>
      <c r="AC3393" s="212">
        <f>AC3392</f>
        <v>17.967652173913041</v>
      </c>
      <c r="AD3393" s="969">
        <v>18.023684210526316</v>
      </c>
      <c r="AE3393" s="969">
        <v>18.045275590551181</v>
      </c>
      <c r="AF3393" s="271">
        <f t="shared" si="338"/>
        <v>18.045275590551181</v>
      </c>
      <c r="AG3393" s="1396"/>
      <c r="DG3393" s="573"/>
      <c r="DH3393" s="159"/>
      <c r="DI3393" s="1091"/>
      <c r="DJ3393" s="1187"/>
    </row>
    <row r="3394" spans="1:114" ht="15" hidden="1" customHeight="1" outlineLevel="1">
      <c r="A3394" s="453"/>
      <c r="C3394" s="51"/>
      <c r="D3394" s="4295"/>
      <c r="E3394" s="4295"/>
      <c r="F3394" s="4307" t="str">
        <f>$E$1766</f>
        <v>ASHP-SEER18-Replace_CAC_ElectricHeat_ER1_MF</v>
      </c>
      <c r="G3394" s="4307"/>
      <c r="H3394" s="4307"/>
      <c r="I3394" s="4307"/>
      <c r="J3394" s="1029" t="str">
        <f>$C$1766</f>
        <v>354300_2024_12_</v>
      </c>
      <c r="K3394" s="1758">
        <v>18</v>
      </c>
      <c r="L3394" s="262"/>
      <c r="M3394" s="1740" t="s">
        <v>1938</v>
      </c>
      <c r="S3394" s="52"/>
      <c r="T3394" s="52"/>
      <c r="U3394" s="52"/>
      <c r="V3394" s="4295"/>
      <c r="W3394" s="1396">
        <v>18</v>
      </c>
      <c r="X3394" s="1396">
        <v>18</v>
      </c>
      <c r="Y3394" s="1396">
        <v>18</v>
      </c>
      <c r="Z3394" s="1396">
        <v>18</v>
      </c>
      <c r="AA3394" s="1396">
        <v>18</v>
      </c>
      <c r="AB3394" s="212">
        <v>18</v>
      </c>
      <c r="AC3394" s="212">
        <v>18</v>
      </c>
      <c r="AD3394" s="211">
        <v>18</v>
      </c>
      <c r="AE3394" s="211">
        <v>18</v>
      </c>
      <c r="AF3394" s="271">
        <f t="shared" si="338"/>
        <v>18</v>
      </c>
      <c r="AG3394" s="1396"/>
      <c r="DG3394" s="573"/>
      <c r="DH3394" s="159"/>
      <c r="DI3394" s="1091"/>
      <c r="DJ3394" s="1187"/>
    </row>
    <row r="3395" spans="1:114" ht="15" hidden="1" customHeight="1" outlineLevel="1">
      <c r="A3395" s="453"/>
      <c r="C3395" s="51"/>
      <c r="D3395" s="4295"/>
      <c r="E3395" s="4295"/>
      <c r="F3395" s="4307" t="str">
        <f>$E$1768</f>
        <v>ASHP-SEER18-Replace_CAC_ElectricHeat_ER2_MF</v>
      </c>
      <c r="G3395" s="4307"/>
      <c r="H3395" s="4307"/>
      <c r="I3395" s="4307"/>
      <c r="J3395" s="1029" t="str">
        <f>$C$1768</f>
        <v>354300_2024_12_</v>
      </c>
      <c r="K3395" s="1758">
        <v>18</v>
      </c>
      <c r="L3395" s="262"/>
      <c r="M3395" s="1740" t="s">
        <v>1938</v>
      </c>
      <c r="S3395" s="52"/>
      <c r="T3395" s="52"/>
      <c r="U3395" s="52"/>
      <c r="V3395" s="4295"/>
      <c r="W3395" s="1396">
        <v>18</v>
      </c>
      <c r="X3395" s="1396">
        <v>18</v>
      </c>
      <c r="Y3395" s="1396">
        <v>18</v>
      </c>
      <c r="Z3395" s="1396">
        <v>18</v>
      </c>
      <c r="AA3395" s="1396">
        <v>18</v>
      </c>
      <c r="AB3395" s="212">
        <v>18</v>
      </c>
      <c r="AC3395" s="212">
        <f>AC3394</f>
        <v>18</v>
      </c>
      <c r="AD3395" s="211">
        <v>18</v>
      </c>
      <c r="AE3395" s="211">
        <v>18</v>
      </c>
      <c r="AF3395" s="271">
        <f t="shared" si="338"/>
        <v>18</v>
      </c>
      <c r="AG3395" s="1396"/>
      <c r="DG3395" s="573"/>
      <c r="DH3395" s="159"/>
      <c r="DI3395" s="1091"/>
      <c r="DJ3395" s="1187"/>
    </row>
    <row r="3396" spans="1:114" ht="15" hidden="1" customHeight="1" outlineLevel="1">
      <c r="A3396" s="453"/>
      <c r="C3396" s="51"/>
      <c r="D3396" s="4295"/>
      <c r="E3396" s="4295"/>
      <c r="F3396" s="4347" t="str">
        <f>$E$1770</f>
        <v>ASHP-SEER18-Replace_CAC_ElectricHeat_ER1_MF_CompE</v>
      </c>
      <c r="G3396" s="4347"/>
      <c r="H3396" s="4347"/>
      <c r="I3396" s="4347"/>
      <c r="J3396" s="3471" t="str">
        <f>$C$1770</f>
        <v>354301_2024_12_</v>
      </c>
      <c r="K3396" s="3283">
        <v>18</v>
      </c>
      <c r="L3396" s="3479"/>
      <c r="M3396" s="3293" t="s">
        <v>1945</v>
      </c>
      <c r="S3396" s="52"/>
      <c r="T3396" s="52"/>
      <c r="U3396" s="52"/>
      <c r="V3396" s="4295"/>
      <c r="W3396" s="3262"/>
      <c r="X3396" s="3262"/>
      <c r="Y3396" s="3265">
        <v>18</v>
      </c>
      <c r="Z3396" s="3262">
        <v>18</v>
      </c>
      <c r="AA3396" s="3262">
        <v>18</v>
      </c>
      <c r="AB3396" s="3285">
        <v>18</v>
      </c>
      <c r="AC3396" s="3286">
        <f>AC3395</f>
        <v>18</v>
      </c>
      <c r="AD3396" s="3286">
        <v>18</v>
      </c>
      <c r="AE3396" s="3286">
        <v>18</v>
      </c>
      <c r="AF3396" s="2236">
        <f t="shared" si="338"/>
        <v>18</v>
      </c>
      <c r="AG3396" s="1396"/>
      <c r="DG3396" s="573"/>
      <c r="DH3396" s="159"/>
      <c r="DI3396" s="1091"/>
      <c r="DJ3396" s="1187"/>
    </row>
    <row r="3397" spans="1:114" ht="15" hidden="1" customHeight="1" outlineLevel="1">
      <c r="A3397" s="453"/>
      <c r="C3397" s="51"/>
      <c r="D3397" s="4295"/>
      <c r="E3397" s="4295"/>
      <c r="F3397" s="4347" t="str">
        <f>$E$1772</f>
        <v>ASHP-SEER18-Replace_CAC_ElectricHeat_ER2_MF_CompE</v>
      </c>
      <c r="G3397" s="4347"/>
      <c r="H3397" s="4347"/>
      <c r="I3397" s="4347"/>
      <c r="J3397" s="3471" t="str">
        <f>$C$1772</f>
        <v>354301_2024_12_</v>
      </c>
      <c r="K3397" s="3283">
        <v>18</v>
      </c>
      <c r="L3397" s="3479"/>
      <c r="M3397" s="3293" t="s">
        <v>1945</v>
      </c>
      <c r="S3397" s="52"/>
      <c r="T3397" s="52"/>
      <c r="U3397" s="52"/>
      <c r="V3397" s="4295"/>
      <c r="W3397" s="3262"/>
      <c r="X3397" s="3262"/>
      <c r="Y3397" s="3265">
        <v>18</v>
      </c>
      <c r="Z3397" s="3262">
        <v>18</v>
      </c>
      <c r="AA3397" s="3262">
        <v>18</v>
      </c>
      <c r="AB3397" s="3285">
        <v>18</v>
      </c>
      <c r="AC3397" s="3286">
        <f>AC3396</f>
        <v>18</v>
      </c>
      <c r="AD3397" s="3286">
        <v>18</v>
      </c>
      <c r="AE3397" s="3286">
        <v>18</v>
      </c>
      <c r="AF3397" s="2236">
        <f t="shared" si="338"/>
        <v>18</v>
      </c>
      <c r="AG3397" s="1396"/>
      <c r="DG3397" s="573"/>
      <c r="DH3397" s="159"/>
      <c r="DI3397" s="1091"/>
      <c r="DJ3397" s="1187"/>
    </row>
    <row r="3398" spans="1:114" ht="15" hidden="1" customHeight="1" outlineLevel="1">
      <c r="A3398" s="453"/>
      <c r="C3398" s="51"/>
      <c r="D3398" s="4295"/>
      <c r="E3398" s="4295"/>
      <c r="F3398" s="4347" t="str">
        <f>$E$1774</f>
        <v>ASHP-SEER18-Replace_CAC_NonElectricHeat_ER1_MF</v>
      </c>
      <c r="G3398" s="4347"/>
      <c r="H3398" s="4347"/>
      <c r="I3398" s="4347"/>
      <c r="J3398" s="3471" t="str">
        <f>$C$1774</f>
        <v>354310_2024_12_</v>
      </c>
      <c r="K3398" s="3283">
        <v>18</v>
      </c>
      <c r="L3398" s="3479"/>
      <c r="M3398" s="3293" t="s">
        <v>1945</v>
      </c>
      <c r="S3398" s="52"/>
      <c r="T3398" s="52"/>
      <c r="U3398" s="52"/>
      <c r="V3398" s="4295"/>
      <c r="W3398" s="3262"/>
      <c r="X3398" s="3262"/>
      <c r="Y3398" s="3265"/>
      <c r="Z3398" s="3262"/>
      <c r="AA3398" s="3262"/>
      <c r="AB3398" s="3285"/>
      <c r="AC3398" s="3285">
        <v>18</v>
      </c>
      <c r="AD3398" s="3286">
        <v>18</v>
      </c>
      <c r="AE3398" s="3286">
        <v>18</v>
      </c>
      <c r="AF3398" s="2236">
        <f t="shared" si="338"/>
        <v>18</v>
      </c>
      <c r="AG3398" s="1396"/>
      <c r="DG3398" s="573"/>
      <c r="DH3398" s="159"/>
      <c r="DI3398" s="1091"/>
      <c r="DJ3398" s="1187"/>
    </row>
    <row r="3399" spans="1:114" ht="15" hidden="1" customHeight="1" outlineLevel="1">
      <c r="A3399" s="453"/>
      <c r="C3399" s="51"/>
      <c r="D3399" s="4295"/>
      <c r="E3399" s="4295"/>
      <c r="F3399" s="4347" t="str">
        <f>$E$1776</f>
        <v>ASHP-SEER18-Replace_CAC_NonElectricHeat_ER2_MF</v>
      </c>
      <c r="G3399" s="4347"/>
      <c r="H3399" s="4347"/>
      <c r="I3399" s="4347"/>
      <c r="J3399" s="3471" t="str">
        <f>$C$1776</f>
        <v>354310_2024_12_</v>
      </c>
      <c r="K3399" s="3283">
        <v>18</v>
      </c>
      <c r="L3399" s="3479"/>
      <c r="M3399" s="3293" t="s">
        <v>1945</v>
      </c>
      <c r="S3399" s="52"/>
      <c r="T3399" s="52"/>
      <c r="U3399" s="52"/>
      <c r="V3399" s="4295"/>
      <c r="W3399" s="3262"/>
      <c r="X3399" s="3262"/>
      <c r="Y3399" s="3265"/>
      <c r="Z3399" s="3262"/>
      <c r="AA3399" s="3262"/>
      <c r="AB3399" s="3285"/>
      <c r="AC3399" s="3285">
        <f>AC3398</f>
        <v>18</v>
      </c>
      <c r="AD3399" s="3286">
        <v>18</v>
      </c>
      <c r="AE3399" s="3286">
        <v>18</v>
      </c>
      <c r="AF3399" s="2236">
        <f t="shared" si="338"/>
        <v>18</v>
      </c>
      <c r="AG3399" s="1396"/>
      <c r="DG3399" s="573"/>
      <c r="DH3399" s="159"/>
      <c r="DI3399" s="1091"/>
      <c r="DJ3399" s="1187"/>
    </row>
    <row r="3400" spans="1:114" ht="15" hidden="1" customHeight="1" outlineLevel="1">
      <c r="A3400" s="453"/>
      <c r="C3400" s="51"/>
      <c r="D3400" s="4295"/>
      <c r="E3400" s="4295"/>
      <c r="F3400" s="4347" t="str">
        <f>$E$1778</f>
        <v>ASHP-SEER18-Replace_CAC_NonElectricHeat_ER1_MF_CompE</v>
      </c>
      <c r="G3400" s="4347"/>
      <c r="H3400" s="4347"/>
      <c r="I3400" s="4347"/>
      <c r="J3400" s="3471" t="str">
        <f>$C$1778</f>
        <v>354311_2024_12_</v>
      </c>
      <c r="K3400" s="3283">
        <v>18</v>
      </c>
      <c r="L3400" s="3479"/>
      <c r="M3400" s="3293" t="s">
        <v>1945</v>
      </c>
      <c r="S3400" s="52"/>
      <c r="T3400" s="52"/>
      <c r="U3400" s="52"/>
      <c r="V3400" s="4295"/>
      <c r="W3400" s="3262"/>
      <c r="X3400" s="3262"/>
      <c r="Y3400" s="3265"/>
      <c r="Z3400" s="3262"/>
      <c r="AA3400" s="3262"/>
      <c r="AB3400" s="3285"/>
      <c r="AC3400" s="3285">
        <f>AC3399</f>
        <v>18</v>
      </c>
      <c r="AD3400" s="3286">
        <v>18</v>
      </c>
      <c r="AE3400" s="3286">
        <v>18</v>
      </c>
      <c r="AF3400" s="2236">
        <f t="shared" si="338"/>
        <v>18</v>
      </c>
      <c r="AG3400" s="1396"/>
      <c r="DG3400" s="573"/>
      <c r="DH3400" s="159"/>
      <c r="DI3400" s="1091"/>
      <c r="DJ3400" s="1187"/>
    </row>
    <row r="3401" spans="1:114" ht="15" hidden="1" customHeight="1" outlineLevel="1">
      <c r="A3401" s="453"/>
      <c r="C3401" s="51"/>
      <c r="D3401" s="4295"/>
      <c r="E3401" s="4295"/>
      <c r="F3401" s="4347" t="str">
        <f>$E$1780</f>
        <v>ASHP-SEER18-Replace_CAC_NonElectricHeat_ER2_MF_CompE</v>
      </c>
      <c r="G3401" s="4347"/>
      <c r="H3401" s="4347"/>
      <c r="I3401" s="4347"/>
      <c r="J3401" s="3471" t="str">
        <f>$C$1780</f>
        <v>354311_2024_12_</v>
      </c>
      <c r="K3401" s="3283">
        <v>18</v>
      </c>
      <c r="L3401" s="3479"/>
      <c r="M3401" s="3293" t="s">
        <v>1945</v>
      </c>
      <c r="S3401" s="52"/>
      <c r="T3401" s="52"/>
      <c r="U3401" s="52"/>
      <c r="V3401" s="4295"/>
      <c r="W3401" s="3262"/>
      <c r="X3401" s="3262"/>
      <c r="Y3401" s="3265"/>
      <c r="Z3401" s="3262"/>
      <c r="AA3401" s="3262"/>
      <c r="AB3401" s="3285"/>
      <c r="AC3401" s="3285">
        <f>AC3400</f>
        <v>18</v>
      </c>
      <c r="AD3401" s="3286">
        <v>18</v>
      </c>
      <c r="AE3401" s="3286">
        <v>18</v>
      </c>
      <c r="AF3401" s="2236">
        <f t="shared" si="338"/>
        <v>18</v>
      </c>
      <c r="AG3401" s="1396"/>
      <c r="DG3401" s="573"/>
      <c r="DH3401" s="159"/>
      <c r="DI3401" s="1091"/>
      <c r="DJ3401" s="1187"/>
    </row>
    <row r="3402" spans="1:114" ht="15" hidden="1" customHeight="1" outlineLevel="1">
      <c r="A3402" s="453"/>
      <c r="C3402" s="51"/>
      <c r="D3402" s="4295"/>
      <c r="E3402" s="4295"/>
      <c r="F3402" s="4307" t="str">
        <f>$E$1782</f>
        <v>ASHP-SEER18_ER1_MF</v>
      </c>
      <c r="G3402" s="4307"/>
      <c r="H3402" s="4307"/>
      <c r="I3402" s="4307"/>
      <c r="J3402" s="1029" t="str">
        <f>$C$1782</f>
        <v>354350_2024_12_</v>
      </c>
      <c r="K3402" s="916">
        <v>18</v>
      </c>
      <c r="L3402" s="262"/>
      <c r="M3402" s="1739" t="s">
        <v>1937</v>
      </c>
      <c r="S3402" s="52"/>
      <c r="T3402" s="52"/>
      <c r="U3402" s="52"/>
      <c r="V3402" s="4295"/>
      <c r="W3402" s="1396">
        <v>18</v>
      </c>
      <c r="X3402" s="1396">
        <v>18</v>
      </c>
      <c r="Y3402" s="1396">
        <v>18</v>
      </c>
      <c r="Z3402" s="1396">
        <v>18</v>
      </c>
      <c r="AA3402" s="1396">
        <v>18</v>
      </c>
      <c r="AB3402" s="1396">
        <v>18</v>
      </c>
      <c r="AC3402" s="212">
        <v>18.5</v>
      </c>
      <c r="AD3402" s="969">
        <v>18</v>
      </c>
      <c r="AE3402" s="970">
        <v>18</v>
      </c>
      <c r="AF3402" s="271">
        <f t="shared" si="338"/>
        <v>18</v>
      </c>
      <c r="AG3402" s="1396"/>
      <c r="DG3402" s="573"/>
      <c r="DH3402" s="159"/>
      <c r="DI3402" s="1091"/>
      <c r="DJ3402" s="1187"/>
    </row>
    <row r="3403" spans="1:114" ht="15" hidden="1" customHeight="1" outlineLevel="1">
      <c r="A3403" s="453"/>
      <c r="C3403" s="51"/>
      <c r="D3403" s="4295"/>
      <c r="E3403" s="4295"/>
      <c r="F3403" s="4307" t="str">
        <f>$E$1784</f>
        <v>ASHP-SEER18_ER2_MF</v>
      </c>
      <c r="G3403" s="4307"/>
      <c r="H3403" s="4307"/>
      <c r="I3403" s="4307"/>
      <c r="J3403" s="1029" t="str">
        <f>$C$1784</f>
        <v>354350_2024_12_</v>
      </c>
      <c r="K3403" s="916">
        <v>18</v>
      </c>
      <c r="L3403" s="262"/>
      <c r="M3403" s="1739" t="s">
        <v>1937</v>
      </c>
      <c r="S3403" s="52"/>
      <c r="T3403" s="52"/>
      <c r="U3403" s="52"/>
      <c r="V3403" s="4295"/>
      <c r="W3403" s="1396">
        <v>18</v>
      </c>
      <c r="X3403" s="1396">
        <v>18</v>
      </c>
      <c r="Y3403" s="1396">
        <v>18</v>
      </c>
      <c r="Z3403" s="1396">
        <v>18</v>
      </c>
      <c r="AA3403" s="1396">
        <v>18</v>
      </c>
      <c r="AB3403" s="1396">
        <v>18</v>
      </c>
      <c r="AC3403" s="212">
        <f>AC3402</f>
        <v>18.5</v>
      </c>
      <c r="AD3403" s="969">
        <v>18</v>
      </c>
      <c r="AE3403" s="970">
        <v>18</v>
      </c>
      <c r="AF3403" s="271">
        <f t="shared" si="338"/>
        <v>18</v>
      </c>
      <c r="AG3403" s="1396"/>
      <c r="DG3403" s="573"/>
      <c r="DH3403" s="159"/>
      <c r="DI3403" s="1091"/>
      <c r="DJ3403" s="1187"/>
    </row>
    <row r="3404" spans="1:114" ht="15" hidden="1" customHeight="1" outlineLevel="1">
      <c r="A3404" s="453"/>
      <c r="C3404" s="51"/>
      <c r="D3404" s="4295"/>
      <c r="E3404" s="4295"/>
      <c r="F3404" s="4347" t="str">
        <f>$E$1786</f>
        <v>ASHP-SEER18_ER1_MF_CompE</v>
      </c>
      <c r="G3404" s="4347"/>
      <c r="H3404" s="4347"/>
      <c r="I3404" s="4347"/>
      <c r="J3404" s="3471" t="str">
        <f>$C$1786</f>
        <v>354351_2024_12_</v>
      </c>
      <c r="K3404" s="3283">
        <v>18</v>
      </c>
      <c r="L3404" s="3479"/>
      <c r="M3404" s="3293" t="s">
        <v>1945</v>
      </c>
      <c r="S3404" s="52"/>
      <c r="T3404" s="52"/>
      <c r="U3404" s="52"/>
      <c r="V3404" s="4295"/>
      <c r="W3404" s="1396"/>
      <c r="X3404" s="1396"/>
      <c r="Y3404" s="3265">
        <v>18</v>
      </c>
      <c r="Z3404" s="3262">
        <v>18</v>
      </c>
      <c r="AA3404" s="3262">
        <v>18</v>
      </c>
      <c r="AB3404" s="3262">
        <v>18</v>
      </c>
      <c r="AC3404" s="3286">
        <v>18</v>
      </c>
      <c r="AD3404" s="3286">
        <v>18</v>
      </c>
      <c r="AE3404" s="3286">
        <v>18</v>
      </c>
      <c r="AF3404" s="2236">
        <f t="shared" si="338"/>
        <v>18</v>
      </c>
      <c r="AG3404" s="1396"/>
      <c r="DG3404" s="573"/>
      <c r="DH3404" s="159"/>
      <c r="DI3404" s="1091"/>
      <c r="DJ3404" s="1187"/>
    </row>
    <row r="3405" spans="1:114" ht="15" hidden="1" customHeight="1" outlineLevel="1">
      <c r="A3405" s="453"/>
      <c r="C3405" s="51"/>
      <c r="D3405" s="4295"/>
      <c r="E3405" s="4295"/>
      <c r="F3405" s="4347" t="str">
        <f>$E$1788</f>
        <v>ASHP-SEER18_ER2_MF_CompE</v>
      </c>
      <c r="G3405" s="4347"/>
      <c r="H3405" s="4347"/>
      <c r="I3405" s="4347"/>
      <c r="J3405" s="3471" t="str">
        <f>$C$1788</f>
        <v>354351_2024_12_</v>
      </c>
      <c r="K3405" s="3283">
        <v>18</v>
      </c>
      <c r="L3405" s="3479"/>
      <c r="M3405" s="3293" t="s">
        <v>1945</v>
      </c>
      <c r="S3405" s="52"/>
      <c r="T3405" s="52"/>
      <c r="U3405" s="52"/>
      <c r="V3405" s="4295"/>
      <c r="W3405" s="1396"/>
      <c r="X3405" s="1396"/>
      <c r="Y3405" s="3265">
        <v>18</v>
      </c>
      <c r="Z3405" s="3262">
        <v>18</v>
      </c>
      <c r="AA3405" s="3262">
        <v>18</v>
      </c>
      <c r="AB3405" s="3262">
        <v>18</v>
      </c>
      <c r="AC3405" s="3286">
        <f>AC3404</f>
        <v>18</v>
      </c>
      <c r="AD3405" s="3286">
        <v>18</v>
      </c>
      <c r="AE3405" s="3286">
        <v>18</v>
      </c>
      <c r="AF3405" s="2236">
        <f t="shared" si="338"/>
        <v>18</v>
      </c>
      <c r="AG3405" s="1396"/>
      <c r="DG3405" s="573"/>
      <c r="DH3405" s="159"/>
      <c r="DI3405" s="1091"/>
      <c r="DJ3405" s="1187"/>
    </row>
    <row r="3406" spans="1:114" ht="15" hidden="1" customHeight="1" outlineLevel="1">
      <c r="A3406" s="453"/>
      <c r="C3406" s="51"/>
      <c r="D3406" s="4295"/>
      <c r="E3406" s="4295"/>
      <c r="F3406" s="4307" t="str">
        <f>$E$1790</f>
        <v>ASHP-SEER19-Replace_CAC_ElectricHeat_ER1_SF</v>
      </c>
      <c r="G3406" s="4307"/>
      <c r="H3406" s="4307"/>
      <c r="I3406" s="4307"/>
      <c r="J3406" s="1029" t="str">
        <f>$C$1790</f>
        <v>354400_2024_12_</v>
      </c>
      <c r="K3406" s="916">
        <v>19.195652173913039</v>
      </c>
      <c r="L3406" s="262"/>
      <c r="M3406" s="1739" t="s">
        <v>1934</v>
      </c>
      <c r="S3406" s="52"/>
      <c r="T3406" s="52"/>
      <c r="U3406" s="52"/>
      <c r="V3406" s="4295"/>
      <c r="W3406" s="1396">
        <v>19</v>
      </c>
      <c r="X3406" s="1396">
        <v>19</v>
      </c>
      <c r="Y3406" s="1396">
        <v>19</v>
      </c>
      <c r="Z3406" s="1396">
        <v>19</v>
      </c>
      <c r="AA3406" s="1396">
        <v>19</v>
      </c>
      <c r="AB3406" s="1396">
        <v>19</v>
      </c>
      <c r="AC3406" s="212">
        <v>19.125</v>
      </c>
      <c r="AD3406" s="969">
        <v>19.132352941176471</v>
      </c>
      <c r="AE3406" s="969">
        <v>19.195652173913039</v>
      </c>
      <c r="AF3406" s="271">
        <f t="shared" si="338"/>
        <v>19.195652173913039</v>
      </c>
      <c r="AG3406" s="1396"/>
      <c r="DG3406" s="573"/>
      <c r="DH3406" s="159"/>
      <c r="DI3406" s="1091"/>
      <c r="DJ3406" s="1187"/>
    </row>
    <row r="3407" spans="1:114" ht="15" hidden="1" customHeight="1" outlineLevel="1">
      <c r="A3407" s="453"/>
      <c r="C3407" s="51"/>
      <c r="D3407" s="4295"/>
      <c r="E3407" s="4295"/>
      <c r="F3407" s="4307" t="str">
        <f>$E$1792</f>
        <v>ASHP-SEER19-Replace_CAC_ElectricHeat_ER2_SF</v>
      </c>
      <c r="G3407" s="4307"/>
      <c r="H3407" s="4307"/>
      <c r="I3407" s="4307"/>
      <c r="J3407" s="1029" t="str">
        <f>$C$1792</f>
        <v>354400_2024_12_</v>
      </c>
      <c r="K3407" s="916">
        <v>19.195652173913039</v>
      </c>
      <c r="L3407" s="262"/>
      <c r="M3407" s="1739" t="s">
        <v>1945</v>
      </c>
      <c r="S3407" s="52"/>
      <c r="T3407" s="52"/>
      <c r="U3407" s="52"/>
      <c r="V3407" s="4295"/>
      <c r="W3407" s="1396">
        <v>19</v>
      </c>
      <c r="X3407" s="1396">
        <v>19</v>
      </c>
      <c r="Y3407" s="1396">
        <v>19</v>
      </c>
      <c r="Z3407" s="1396">
        <v>19</v>
      </c>
      <c r="AA3407" s="1396">
        <v>19</v>
      </c>
      <c r="AB3407" s="1396">
        <v>19</v>
      </c>
      <c r="AC3407" s="212">
        <f>AC3406</f>
        <v>19.125</v>
      </c>
      <c r="AD3407" s="969">
        <v>19.132352941176471</v>
      </c>
      <c r="AE3407" s="969">
        <v>19.195652173913039</v>
      </c>
      <c r="AF3407" s="271">
        <f t="shared" si="338"/>
        <v>19.195652173913039</v>
      </c>
      <c r="AG3407" s="1396"/>
      <c r="DG3407" s="573"/>
      <c r="DH3407" s="159"/>
      <c r="DI3407" s="1091"/>
      <c r="DJ3407" s="1187"/>
    </row>
    <row r="3408" spans="1:114" ht="15" hidden="1" customHeight="1" outlineLevel="1">
      <c r="A3408" s="453"/>
      <c r="C3408" s="51"/>
      <c r="D3408" s="4295"/>
      <c r="E3408" s="4295"/>
      <c r="F3408" s="4307" t="str">
        <f>$E$1794</f>
        <v>ASHP-SEER19-Replace_CAC_NonElectricHeat_ER1_SF</v>
      </c>
      <c r="G3408" s="4307"/>
      <c r="H3408" s="4307"/>
      <c r="I3408" s="4307"/>
      <c r="J3408" s="1029" t="str">
        <f>$C$1794</f>
        <v>354410_2024_12_</v>
      </c>
      <c r="K3408" s="1758">
        <v>19.195652173913039</v>
      </c>
      <c r="L3408" s="262"/>
      <c r="M3408" s="1740" t="s">
        <v>1945</v>
      </c>
      <c r="S3408" s="52"/>
      <c r="T3408" s="52"/>
      <c r="U3408" s="52"/>
      <c r="V3408" s="4295"/>
      <c r="W3408" s="1396"/>
      <c r="X3408" s="1396"/>
      <c r="Y3408" s="1396"/>
      <c r="Z3408" s="1396"/>
      <c r="AA3408" s="1396"/>
      <c r="AB3408" s="1396"/>
      <c r="AC3408" s="212">
        <v>19.125</v>
      </c>
      <c r="AD3408" s="211">
        <v>19.125</v>
      </c>
      <c r="AE3408" s="212">
        <v>19.195652173913039</v>
      </c>
      <c r="AF3408" s="271">
        <f t="shared" si="338"/>
        <v>19.195652173913039</v>
      </c>
      <c r="AG3408" s="1396"/>
      <c r="DG3408" s="573"/>
      <c r="DH3408" s="159"/>
      <c r="DI3408" s="1091"/>
      <c r="DJ3408" s="1187"/>
    </row>
    <row r="3409" spans="1:114" ht="15" hidden="1" customHeight="1" outlineLevel="1">
      <c r="A3409" s="453"/>
      <c r="C3409" s="51"/>
      <c r="D3409" s="4295"/>
      <c r="E3409" s="4295"/>
      <c r="F3409" s="4307" t="str">
        <f>$E$1796</f>
        <v>ASHP-SEER19-Replace_CAC_NonElectricHeat_ER2_SF</v>
      </c>
      <c r="G3409" s="4307"/>
      <c r="H3409" s="4307"/>
      <c r="I3409" s="4307"/>
      <c r="J3409" s="1029" t="str">
        <f>$C$1796</f>
        <v>354410_2024_12_</v>
      </c>
      <c r="K3409" s="1758">
        <v>19.195652173913039</v>
      </c>
      <c r="L3409" s="262"/>
      <c r="M3409" s="1740" t="s">
        <v>1945</v>
      </c>
      <c r="S3409" s="52"/>
      <c r="T3409" s="52"/>
      <c r="U3409" s="52"/>
      <c r="V3409" s="4295"/>
      <c r="W3409" s="1396"/>
      <c r="X3409" s="1396"/>
      <c r="Y3409" s="1396"/>
      <c r="Z3409" s="1396"/>
      <c r="AA3409" s="1396"/>
      <c r="AB3409" s="1396"/>
      <c r="AC3409" s="212">
        <f>AC3408</f>
        <v>19.125</v>
      </c>
      <c r="AD3409" s="211">
        <v>19.125</v>
      </c>
      <c r="AE3409" s="212">
        <v>19.195652173913039</v>
      </c>
      <c r="AF3409" s="271">
        <f t="shared" si="338"/>
        <v>19.195652173913039</v>
      </c>
      <c r="AG3409" s="1396"/>
      <c r="DG3409" s="573"/>
      <c r="DH3409" s="159"/>
      <c r="DI3409" s="1091"/>
      <c r="DJ3409" s="1187"/>
    </row>
    <row r="3410" spans="1:114" ht="15" hidden="1" customHeight="1" outlineLevel="1">
      <c r="A3410" s="453"/>
      <c r="C3410" s="51"/>
      <c r="D3410" s="4295"/>
      <c r="E3410" s="4295"/>
      <c r="F3410" s="4307" t="str">
        <f>$E$1798</f>
        <v>ASHP-SEER19-Replace_CAC_ElectricHeat_ER1_MF</v>
      </c>
      <c r="G3410" s="4307"/>
      <c r="H3410" s="4307"/>
      <c r="I3410" s="4307"/>
      <c r="J3410" s="1029" t="str">
        <f>$C$1798</f>
        <v>354450_2024_12_</v>
      </c>
      <c r="K3410" s="1758">
        <v>19</v>
      </c>
      <c r="L3410" s="262"/>
      <c r="M3410" s="1740" t="s">
        <v>2507</v>
      </c>
      <c r="S3410" s="52"/>
      <c r="T3410" s="52"/>
      <c r="U3410" s="52"/>
      <c r="V3410" s="4295"/>
      <c r="W3410" s="1396">
        <v>19</v>
      </c>
      <c r="X3410" s="1396">
        <v>19</v>
      </c>
      <c r="Y3410" s="1396">
        <v>19</v>
      </c>
      <c r="Z3410" s="1396">
        <v>19</v>
      </c>
      <c r="AA3410" s="1396">
        <v>19</v>
      </c>
      <c r="AB3410" s="1396">
        <v>19</v>
      </c>
      <c r="AC3410" s="211">
        <v>19</v>
      </c>
      <c r="AD3410" s="211">
        <v>19</v>
      </c>
      <c r="AE3410" s="211">
        <v>19</v>
      </c>
      <c r="AF3410" s="271">
        <f t="shared" si="338"/>
        <v>19</v>
      </c>
      <c r="AG3410" s="1396"/>
      <c r="DG3410" s="573"/>
      <c r="DH3410" s="159"/>
      <c r="DI3410" s="1091"/>
      <c r="DJ3410" s="1187"/>
    </row>
    <row r="3411" spans="1:114" ht="15" hidden="1" customHeight="1" outlineLevel="1">
      <c r="A3411" s="453"/>
      <c r="C3411" s="51"/>
      <c r="D3411" s="4295"/>
      <c r="E3411" s="4295"/>
      <c r="F3411" s="4307" t="str">
        <f>$E$1800</f>
        <v>ASHP-SEER19-Replace_CAC_ElectricHeat_ER2_MF</v>
      </c>
      <c r="G3411" s="4307"/>
      <c r="H3411" s="4307"/>
      <c r="I3411" s="4307"/>
      <c r="J3411" s="1029" t="str">
        <f>$C$1800</f>
        <v>354450_2024_12_</v>
      </c>
      <c r="K3411" s="1758">
        <v>19</v>
      </c>
      <c r="L3411" s="262"/>
      <c r="M3411" s="1740" t="s">
        <v>2507</v>
      </c>
      <c r="S3411" s="52"/>
      <c r="T3411" s="52"/>
      <c r="U3411" s="52"/>
      <c r="V3411" s="4295"/>
      <c r="W3411" s="1396">
        <v>19</v>
      </c>
      <c r="X3411" s="1396">
        <v>19</v>
      </c>
      <c r="Y3411" s="1396">
        <v>19</v>
      </c>
      <c r="Z3411" s="1396">
        <v>19</v>
      </c>
      <c r="AA3411" s="1396">
        <v>19</v>
      </c>
      <c r="AB3411" s="1396">
        <v>19</v>
      </c>
      <c r="AC3411" s="211">
        <v>19</v>
      </c>
      <c r="AD3411" s="211">
        <v>19</v>
      </c>
      <c r="AE3411" s="211">
        <v>19</v>
      </c>
      <c r="AF3411" s="271">
        <f t="shared" si="338"/>
        <v>19</v>
      </c>
      <c r="AG3411" s="1396"/>
      <c r="DG3411" s="573"/>
      <c r="DH3411" s="159"/>
      <c r="DI3411" s="1091"/>
      <c r="DJ3411" s="1187"/>
    </row>
    <row r="3412" spans="1:114" ht="15" hidden="1" customHeight="1" outlineLevel="1">
      <c r="A3412" s="453"/>
      <c r="C3412" s="51"/>
      <c r="D3412" s="4295"/>
      <c r="E3412" s="4295"/>
      <c r="F3412" s="4347" t="str">
        <f>$E$1802</f>
        <v>ASHP-SEER19-Replace_CAC_ElectricHeat_ER1_MF_CompE</v>
      </c>
      <c r="G3412" s="4347"/>
      <c r="H3412" s="4347"/>
      <c r="I3412" s="4347"/>
      <c r="J3412" s="3471" t="str">
        <f>$C$1802</f>
        <v>354451_2024_12_</v>
      </c>
      <c r="K3412" s="3283">
        <v>19</v>
      </c>
      <c r="L3412" s="3479"/>
      <c r="M3412" s="3293" t="s">
        <v>1945</v>
      </c>
      <c r="S3412" s="52"/>
      <c r="T3412" s="52"/>
      <c r="U3412" s="52"/>
      <c r="V3412" s="4295"/>
      <c r="W3412" s="3262"/>
      <c r="X3412" s="3262"/>
      <c r="Y3412" s="3265">
        <v>19</v>
      </c>
      <c r="Z3412" s="3262">
        <v>19</v>
      </c>
      <c r="AA3412" s="3262">
        <v>19</v>
      </c>
      <c r="AB3412" s="3262">
        <v>19</v>
      </c>
      <c r="AC3412" s="3286">
        <v>19</v>
      </c>
      <c r="AD3412" s="3286">
        <v>19</v>
      </c>
      <c r="AE3412" s="3286">
        <v>19</v>
      </c>
      <c r="AF3412" s="2236">
        <f t="shared" si="338"/>
        <v>19</v>
      </c>
      <c r="AG3412" s="1396"/>
      <c r="DG3412" s="573"/>
      <c r="DH3412" s="159"/>
      <c r="DI3412" s="1091"/>
      <c r="DJ3412" s="1187"/>
    </row>
    <row r="3413" spans="1:114" ht="15" hidden="1" customHeight="1" outlineLevel="1">
      <c r="A3413" s="453"/>
      <c r="C3413" s="51"/>
      <c r="D3413" s="4295"/>
      <c r="E3413" s="4295"/>
      <c r="F3413" s="4347" t="str">
        <f>$E$1804</f>
        <v>ASHP-SEER19-Replace_CAC_ElectricHeat_ER2_MF_CompE</v>
      </c>
      <c r="G3413" s="4347"/>
      <c r="H3413" s="4347"/>
      <c r="I3413" s="4347"/>
      <c r="J3413" s="3471" t="str">
        <f>$C$1804</f>
        <v>354451_2024_12_</v>
      </c>
      <c r="K3413" s="3283">
        <v>19</v>
      </c>
      <c r="L3413" s="3479"/>
      <c r="M3413" s="3293" t="s">
        <v>1945</v>
      </c>
      <c r="S3413" s="52"/>
      <c r="T3413" s="52"/>
      <c r="U3413" s="52"/>
      <c r="V3413" s="4295"/>
      <c r="W3413" s="3262"/>
      <c r="X3413" s="3262"/>
      <c r="Y3413" s="3265">
        <v>19</v>
      </c>
      <c r="Z3413" s="3262">
        <v>19</v>
      </c>
      <c r="AA3413" s="3262">
        <v>19</v>
      </c>
      <c r="AB3413" s="3262">
        <v>19</v>
      </c>
      <c r="AC3413" s="3286">
        <v>19</v>
      </c>
      <c r="AD3413" s="3286">
        <v>19</v>
      </c>
      <c r="AE3413" s="3286">
        <v>19</v>
      </c>
      <c r="AF3413" s="2236">
        <f t="shared" si="338"/>
        <v>19</v>
      </c>
      <c r="AG3413" s="1396"/>
      <c r="DG3413" s="573"/>
      <c r="DH3413" s="159"/>
      <c r="DI3413" s="1091"/>
      <c r="DJ3413" s="1187"/>
    </row>
    <row r="3414" spans="1:114" ht="15" hidden="1" customHeight="1" outlineLevel="1">
      <c r="A3414" s="453"/>
      <c r="C3414" s="51"/>
      <c r="D3414" s="4295"/>
      <c r="E3414" s="4295"/>
      <c r="F3414" s="4347" t="str">
        <f>$E$1806</f>
        <v>ASHP-SEER19-Replace_CAC_NonElectricHeat_ER1_MF</v>
      </c>
      <c r="G3414" s="4347"/>
      <c r="H3414" s="4347"/>
      <c r="I3414" s="4347"/>
      <c r="J3414" s="3471" t="str">
        <f>$C$1806</f>
        <v>354460_2024_12_</v>
      </c>
      <c r="K3414" s="3283">
        <v>19</v>
      </c>
      <c r="L3414" s="3479"/>
      <c r="M3414" s="3293" t="s">
        <v>1945</v>
      </c>
      <c r="S3414" s="52"/>
      <c r="T3414" s="52"/>
      <c r="U3414" s="52"/>
      <c r="V3414" s="4295"/>
      <c r="W3414" s="3262"/>
      <c r="X3414" s="3262"/>
      <c r="Y3414" s="3265"/>
      <c r="Z3414" s="3262"/>
      <c r="AA3414" s="3262"/>
      <c r="AB3414" s="3262"/>
      <c r="AC3414" s="3285">
        <v>19</v>
      </c>
      <c r="AD3414" s="3286">
        <v>19</v>
      </c>
      <c r="AE3414" s="3286">
        <v>19</v>
      </c>
      <c r="AF3414" s="2236">
        <f t="shared" si="338"/>
        <v>19</v>
      </c>
      <c r="AG3414" s="1396"/>
      <c r="DG3414" s="573"/>
      <c r="DH3414" s="159"/>
      <c r="DI3414" s="1091"/>
      <c r="DJ3414" s="1187"/>
    </row>
    <row r="3415" spans="1:114" ht="15" hidden="1" customHeight="1" outlineLevel="1">
      <c r="A3415" s="453"/>
      <c r="C3415" s="51"/>
      <c r="D3415" s="4295"/>
      <c r="E3415" s="4295"/>
      <c r="F3415" s="4347" t="str">
        <f>$E$1808</f>
        <v>ASHP-SEER19-Replace_CAC_NonElectricHeat_ER2_MF</v>
      </c>
      <c r="G3415" s="4347"/>
      <c r="H3415" s="4347"/>
      <c r="I3415" s="4347"/>
      <c r="J3415" s="3471" t="str">
        <f>$C$1808</f>
        <v>354460_2024_12_</v>
      </c>
      <c r="K3415" s="3283">
        <v>19</v>
      </c>
      <c r="L3415" s="3479"/>
      <c r="M3415" s="3293" t="s">
        <v>1945</v>
      </c>
      <c r="S3415" s="52"/>
      <c r="T3415" s="52"/>
      <c r="U3415" s="52"/>
      <c r="V3415" s="4295"/>
      <c r="W3415" s="3262"/>
      <c r="X3415" s="3262"/>
      <c r="Y3415" s="3265"/>
      <c r="Z3415" s="3262"/>
      <c r="AA3415" s="3262"/>
      <c r="AB3415" s="3262"/>
      <c r="AC3415" s="3285">
        <v>19</v>
      </c>
      <c r="AD3415" s="3286">
        <v>19</v>
      </c>
      <c r="AE3415" s="3286">
        <v>19</v>
      </c>
      <c r="AF3415" s="2236">
        <f t="shared" si="338"/>
        <v>19</v>
      </c>
      <c r="AG3415" s="1396"/>
      <c r="DG3415" s="573"/>
      <c r="DH3415" s="159"/>
      <c r="DI3415" s="1091"/>
      <c r="DJ3415" s="1187"/>
    </row>
    <row r="3416" spans="1:114" ht="15" hidden="1" customHeight="1" outlineLevel="1">
      <c r="A3416" s="453"/>
      <c r="C3416" s="51"/>
      <c r="D3416" s="4295"/>
      <c r="E3416" s="4295"/>
      <c r="F3416" s="4347" t="str">
        <f>$E$1810</f>
        <v>ASHP-SEER19-Replace_CAC_NonElectricHeat_ER1_MF_CompE</v>
      </c>
      <c r="G3416" s="4347"/>
      <c r="H3416" s="4347"/>
      <c r="I3416" s="4347"/>
      <c r="J3416" s="3471" t="str">
        <f>$C$1810</f>
        <v>354461_2024_12_</v>
      </c>
      <c r="K3416" s="3283">
        <v>19</v>
      </c>
      <c r="L3416" s="3479"/>
      <c r="M3416" s="3293" t="s">
        <v>1945</v>
      </c>
      <c r="S3416" s="52"/>
      <c r="T3416" s="52"/>
      <c r="U3416" s="52"/>
      <c r="V3416" s="4295"/>
      <c r="W3416" s="3262"/>
      <c r="X3416" s="3262"/>
      <c r="Y3416" s="3265"/>
      <c r="Z3416" s="3262"/>
      <c r="AA3416" s="3262"/>
      <c r="AB3416" s="3262"/>
      <c r="AC3416" s="3285">
        <v>19</v>
      </c>
      <c r="AD3416" s="3286">
        <v>19</v>
      </c>
      <c r="AE3416" s="3286">
        <v>19</v>
      </c>
      <c r="AF3416" s="2236">
        <f t="shared" si="338"/>
        <v>19</v>
      </c>
      <c r="AG3416" s="1396"/>
      <c r="DG3416" s="573"/>
      <c r="DH3416" s="159"/>
      <c r="DI3416" s="1091"/>
      <c r="DJ3416" s="1187"/>
    </row>
    <row r="3417" spans="1:114" ht="15" hidden="1" customHeight="1" outlineLevel="1">
      <c r="A3417" s="453"/>
      <c r="C3417" s="51"/>
      <c r="D3417" s="4295"/>
      <c r="E3417" s="4295"/>
      <c r="F3417" s="4347" t="str">
        <f>$E$1812</f>
        <v>ASHP-SEER19-Replace_CAC_NonElectricHeat_ER2_MF_CompE</v>
      </c>
      <c r="G3417" s="4347"/>
      <c r="H3417" s="4347"/>
      <c r="I3417" s="4347"/>
      <c r="J3417" s="3471" t="str">
        <f>$C$1812</f>
        <v>354461_2024_12_</v>
      </c>
      <c r="K3417" s="3283">
        <v>19</v>
      </c>
      <c r="L3417" s="3479"/>
      <c r="M3417" s="3293" t="s">
        <v>1945</v>
      </c>
      <c r="S3417" s="52"/>
      <c r="T3417" s="52"/>
      <c r="U3417" s="52"/>
      <c r="V3417" s="4295"/>
      <c r="W3417" s="3262"/>
      <c r="X3417" s="3262"/>
      <c r="Y3417" s="3265"/>
      <c r="Z3417" s="3262"/>
      <c r="AA3417" s="3262"/>
      <c r="AB3417" s="3262"/>
      <c r="AC3417" s="3285">
        <v>19</v>
      </c>
      <c r="AD3417" s="3286">
        <v>19</v>
      </c>
      <c r="AE3417" s="3286">
        <v>19</v>
      </c>
      <c r="AF3417" s="2236">
        <f t="shared" si="338"/>
        <v>19</v>
      </c>
      <c r="AG3417" s="1396"/>
      <c r="DG3417" s="573"/>
      <c r="DH3417" s="159"/>
      <c r="DI3417" s="1091"/>
      <c r="DJ3417" s="1187"/>
    </row>
    <row r="3418" spans="1:114" ht="15" hidden="1" customHeight="1" outlineLevel="1">
      <c r="A3418" s="453"/>
      <c r="C3418" s="51"/>
      <c r="D3418" s="4295"/>
      <c r="E3418" s="4295"/>
      <c r="F3418" s="4307" t="str">
        <f>$E$1814</f>
        <v>ASHP-SEER19_ER1_MF</v>
      </c>
      <c r="G3418" s="4307"/>
      <c r="H3418" s="4307"/>
      <c r="I3418" s="4307"/>
      <c r="J3418" s="1029" t="str">
        <f>$C$1814</f>
        <v>354500_2024_12_</v>
      </c>
      <c r="K3418" s="1758">
        <v>19</v>
      </c>
      <c r="L3418" s="262"/>
      <c r="M3418" s="1740" t="s">
        <v>2507</v>
      </c>
      <c r="S3418" s="52"/>
      <c r="T3418" s="52"/>
      <c r="U3418" s="52"/>
      <c r="V3418" s="4295"/>
      <c r="W3418" s="1396">
        <v>19</v>
      </c>
      <c r="X3418" s="1396">
        <v>19</v>
      </c>
      <c r="Y3418" s="1396">
        <v>19</v>
      </c>
      <c r="Z3418" s="1396">
        <v>19</v>
      </c>
      <c r="AA3418" s="1396">
        <v>19</v>
      </c>
      <c r="AB3418" s="1396">
        <v>19</v>
      </c>
      <c r="AC3418" s="211">
        <v>19</v>
      </c>
      <c r="AD3418" s="211">
        <v>19</v>
      </c>
      <c r="AE3418" s="211">
        <v>19</v>
      </c>
      <c r="AF3418" s="271">
        <f t="shared" si="338"/>
        <v>19</v>
      </c>
      <c r="AG3418" s="1396"/>
      <c r="DG3418" s="573"/>
      <c r="DH3418" s="159"/>
      <c r="DI3418" s="1091"/>
      <c r="DJ3418" s="1187"/>
    </row>
    <row r="3419" spans="1:114" ht="15" hidden="1" customHeight="1" outlineLevel="1">
      <c r="A3419" s="453"/>
      <c r="C3419" s="51"/>
      <c r="D3419" s="4295"/>
      <c r="E3419" s="4295"/>
      <c r="F3419" s="4307" t="str">
        <f>$E$1816</f>
        <v>ASHP-SEER19_ER2_MF</v>
      </c>
      <c r="G3419" s="4307"/>
      <c r="H3419" s="4307"/>
      <c r="I3419" s="4307"/>
      <c r="J3419" s="1029" t="str">
        <f>$C$1816</f>
        <v>354500_2024_12_</v>
      </c>
      <c r="K3419" s="1758">
        <v>19</v>
      </c>
      <c r="L3419" s="262"/>
      <c r="M3419" s="1740" t="s">
        <v>2507</v>
      </c>
      <c r="S3419" s="52"/>
      <c r="T3419" s="52"/>
      <c r="U3419" s="52"/>
      <c r="V3419" s="4295"/>
      <c r="W3419" s="1396">
        <v>19</v>
      </c>
      <c r="X3419" s="1396">
        <v>19</v>
      </c>
      <c r="Y3419" s="1396">
        <v>19</v>
      </c>
      <c r="Z3419" s="1396">
        <v>19</v>
      </c>
      <c r="AA3419" s="1396">
        <v>19</v>
      </c>
      <c r="AB3419" s="1396">
        <v>19</v>
      </c>
      <c r="AC3419" s="211">
        <v>19</v>
      </c>
      <c r="AD3419" s="211">
        <v>19</v>
      </c>
      <c r="AE3419" s="211">
        <v>19</v>
      </c>
      <c r="AF3419" s="271">
        <f t="shared" si="338"/>
        <v>19</v>
      </c>
      <c r="AG3419" s="1396"/>
      <c r="DG3419" s="573"/>
      <c r="DH3419" s="159"/>
      <c r="DI3419" s="1091"/>
      <c r="DJ3419" s="1187"/>
    </row>
    <row r="3420" spans="1:114" ht="15" hidden="1" customHeight="1" outlineLevel="1">
      <c r="A3420" s="453"/>
      <c r="C3420" s="51"/>
      <c r="D3420" s="4295"/>
      <c r="E3420" s="4295"/>
      <c r="F3420" s="4347" t="str">
        <f>$E$1818</f>
        <v>ASHP-SEER19_ER1_MF_CompE</v>
      </c>
      <c r="G3420" s="4347"/>
      <c r="H3420" s="4347"/>
      <c r="I3420" s="4347"/>
      <c r="J3420" s="3471" t="str">
        <f>$C$1818</f>
        <v>354501_2024_12_</v>
      </c>
      <c r="K3420" s="3283">
        <v>19</v>
      </c>
      <c r="L3420" s="3479"/>
      <c r="M3420" s="3293" t="s">
        <v>1945</v>
      </c>
      <c r="S3420" s="52"/>
      <c r="T3420" s="52"/>
      <c r="U3420" s="52"/>
      <c r="V3420" s="4295"/>
      <c r="W3420" s="1396"/>
      <c r="X3420" s="1396"/>
      <c r="Y3420" s="3265">
        <v>19</v>
      </c>
      <c r="Z3420" s="3262">
        <v>19</v>
      </c>
      <c r="AA3420" s="3262">
        <v>19</v>
      </c>
      <c r="AB3420" s="3262">
        <v>19</v>
      </c>
      <c r="AC3420" s="3286">
        <v>19</v>
      </c>
      <c r="AD3420" s="3286">
        <v>19</v>
      </c>
      <c r="AE3420" s="3286">
        <v>19</v>
      </c>
      <c r="AF3420" s="2236">
        <f t="shared" si="338"/>
        <v>19</v>
      </c>
      <c r="AG3420" s="1396"/>
      <c r="DG3420" s="573"/>
      <c r="DH3420" s="159"/>
      <c r="DI3420" s="1091"/>
      <c r="DJ3420" s="1187"/>
    </row>
    <row r="3421" spans="1:114" ht="15" hidden="1" customHeight="1" outlineLevel="1">
      <c r="A3421" s="453"/>
      <c r="C3421" s="51"/>
      <c r="D3421" s="4295"/>
      <c r="E3421" s="4295"/>
      <c r="F3421" s="4347" t="str">
        <f>$E$1820</f>
        <v>ASHP-SEER19_ER2_MF_CompE</v>
      </c>
      <c r="G3421" s="4347"/>
      <c r="H3421" s="4347"/>
      <c r="I3421" s="4347"/>
      <c r="J3421" s="3471" t="str">
        <f>$C$1820</f>
        <v>354501_2024_12_</v>
      </c>
      <c r="K3421" s="3283">
        <v>19</v>
      </c>
      <c r="L3421" s="3479"/>
      <c r="M3421" s="3293" t="s">
        <v>1945</v>
      </c>
      <c r="S3421" s="52"/>
      <c r="T3421" s="52"/>
      <c r="U3421" s="52"/>
      <c r="V3421" s="4295"/>
      <c r="W3421" s="1396"/>
      <c r="X3421" s="1396"/>
      <c r="Y3421" s="3265">
        <v>19</v>
      </c>
      <c r="Z3421" s="3262">
        <v>19</v>
      </c>
      <c r="AA3421" s="3262">
        <v>19</v>
      </c>
      <c r="AB3421" s="3262">
        <v>19</v>
      </c>
      <c r="AC3421" s="3286">
        <v>19</v>
      </c>
      <c r="AD3421" s="3286">
        <v>19</v>
      </c>
      <c r="AE3421" s="3286">
        <v>19</v>
      </c>
      <c r="AF3421" s="2236">
        <f t="shared" si="338"/>
        <v>19</v>
      </c>
      <c r="AG3421" s="1396"/>
      <c r="DG3421" s="573"/>
      <c r="DH3421" s="159"/>
      <c r="DI3421" s="1091"/>
      <c r="DJ3421" s="1187"/>
    </row>
    <row r="3422" spans="1:114" ht="15" hidden="1" customHeight="1" outlineLevel="1">
      <c r="A3422" s="453"/>
      <c r="C3422" s="51"/>
      <c r="D3422" s="4295"/>
      <c r="E3422" s="4295"/>
      <c r="F3422" s="4307" t="str">
        <f>$E$1822</f>
        <v>ASHP-SEER20_ER1_SF</v>
      </c>
      <c r="G3422" s="4307"/>
      <c r="H3422" s="4307"/>
      <c r="I3422" s="4307"/>
      <c r="J3422" s="1029" t="str">
        <f>$C$1822</f>
        <v>354550_2024_12_</v>
      </c>
      <c r="K3422" s="1758">
        <v>20.048611111111107</v>
      </c>
      <c r="L3422" s="262"/>
      <c r="M3422" s="1739" t="s">
        <v>1937</v>
      </c>
      <c r="S3422" s="52"/>
      <c r="T3422" s="52"/>
      <c r="U3422" s="52"/>
      <c r="V3422" s="4295"/>
      <c r="W3422" s="1396">
        <v>20</v>
      </c>
      <c r="X3422" s="1396">
        <v>20</v>
      </c>
      <c r="Y3422" s="1396">
        <v>20</v>
      </c>
      <c r="Z3422" s="1396">
        <v>20</v>
      </c>
      <c r="AA3422" s="1396">
        <v>20</v>
      </c>
      <c r="AB3422" s="1396">
        <v>20</v>
      </c>
      <c r="AC3422" s="211">
        <v>20</v>
      </c>
      <c r="AD3422" s="212">
        <v>20.033333333333335</v>
      </c>
      <c r="AE3422" s="212">
        <v>20.048611111111107</v>
      </c>
      <c r="AF3422" s="271">
        <f t="shared" si="338"/>
        <v>20.048611111111107</v>
      </c>
      <c r="AG3422" s="1396"/>
      <c r="DG3422" s="573"/>
      <c r="DH3422" s="159"/>
      <c r="DI3422" s="1091"/>
      <c r="DJ3422" s="1187"/>
    </row>
    <row r="3423" spans="1:114" ht="15" hidden="1" customHeight="1" outlineLevel="1">
      <c r="A3423" s="453"/>
      <c r="C3423" s="51"/>
      <c r="D3423" s="4295"/>
      <c r="E3423" s="4295"/>
      <c r="F3423" s="4307" t="str">
        <f>$E$1824</f>
        <v>ASHP-SEER20_ER2_SF</v>
      </c>
      <c r="G3423" s="4307"/>
      <c r="H3423" s="4307"/>
      <c r="I3423" s="4307"/>
      <c r="J3423" s="1029" t="str">
        <f>$C$1824</f>
        <v>354550_2024_12_</v>
      </c>
      <c r="K3423" s="1758">
        <v>20.048611111111107</v>
      </c>
      <c r="L3423" s="262"/>
      <c r="M3423" s="1739" t="s">
        <v>1937</v>
      </c>
      <c r="S3423" s="52"/>
      <c r="T3423" s="52"/>
      <c r="U3423" s="52"/>
      <c r="V3423" s="4295"/>
      <c r="W3423" s="1396">
        <v>20</v>
      </c>
      <c r="X3423" s="1396">
        <v>20</v>
      </c>
      <c r="Y3423" s="1396">
        <v>20</v>
      </c>
      <c r="Z3423" s="1396">
        <v>20</v>
      </c>
      <c r="AA3423" s="1396">
        <v>20</v>
      </c>
      <c r="AB3423" s="1396">
        <v>20</v>
      </c>
      <c r="AC3423" s="211">
        <f>AC3422</f>
        <v>20</v>
      </c>
      <c r="AD3423" s="212">
        <v>20.033333333333335</v>
      </c>
      <c r="AE3423" s="212">
        <v>20.048611111111107</v>
      </c>
      <c r="AF3423" s="271">
        <f t="shared" si="338"/>
        <v>20.048611111111107</v>
      </c>
      <c r="AG3423" s="1396"/>
      <c r="DG3423" s="573"/>
      <c r="DH3423" s="159"/>
      <c r="DI3423" s="1091"/>
      <c r="DJ3423" s="1187"/>
    </row>
    <row r="3424" spans="1:114" ht="15" hidden="1" customHeight="1" outlineLevel="1">
      <c r="A3424" s="453"/>
      <c r="C3424" s="51"/>
      <c r="D3424" s="4295"/>
      <c r="E3424" s="4295"/>
      <c r="F3424" s="4307" t="str">
        <f>$E$1826</f>
        <v>ASHP-SEER20_ROF_SF</v>
      </c>
      <c r="G3424" s="4307"/>
      <c r="H3424" s="4307"/>
      <c r="I3424" s="4307"/>
      <c r="J3424" s="1029" t="str">
        <f>$C$1826</f>
        <v>354600_2024_12_</v>
      </c>
      <c r="K3424" s="1758">
        <v>20.089285714285715</v>
      </c>
      <c r="L3424" s="262"/>
      <c r="M3424" s="1739" t="s">
        <v>1937</v>
      </c>
      <c r="S3424" s="52"/>
      <c r="T3424" s="52"/>
      <c r="U3424" s="52"/>
      <c r="V3424" s="4295"/>
      <c r="W3424" s="1396">
        <v>20</v>
      </c>
      <c r="X3424" s="1396">
        <v>20</v>
      </c>
      <c r="Y3424" s="1396">
        <v>20</v>
      </c>
      <c r="Z3424" s="1396">
        <v>20</v>
      </c>
      <c r="AA3424" s="1396">
        <v>20</v>
      </c>
      <c r="AB3424" s="1396">
        <v>20</v>
      </c>
      <c r="AC3424" s="212">
        <v>20.066666666666666</v>
      </c>
      <c r="AD3424" s="212">
        <v>20.089285714285715</v>
      </c>
      <c r="AE3424" s="211">
        <v>20.089285714285715</v>
      </c>
      <c r="AF3424" s="271">
        <f t="shared" si="338"/>
        <v>20.089285714285715</v>
      </c>
      <c r="AG3424" s="1396"/>
      <c r="DG3424" s="573"/>
      <c r="DH3424" s="159"/>
      <c r="DI3424" s="1091"/>
      <c r="DJ3424" s="1187"/>
    </row>
    <row r="3425" spans="1:114" ht="15" hidden="1" customHeight="1" outlineLevel="1">
      <c r="A3425" s="453"/>
      <c r="C3425" s="51"/>
      <c r="D3425" s="4295"/>
      <c r="E3425" s="4295"/>
      <c r="F3425" s="4307" t="str">
        <f>$E$1828</f>
        <v>ASHP-SEER20-Replace_CAC_ElectricHeat_ER1_MF</v>
      </c>
      <c r="G3425" s="4307"/>
      <c r="H3425" s="4307"/>
      <c r="I3425" s="4307"/>
      <c r="J3425" s="1029" t="str">
        <f>$C$1828</f>
        <v>354650_2024_12_</v>
      </c>
      <c r="K3425" s="1758">
        <v>20</v>
      </c>
      <c r="L3425" s="262"/>
      <c r="M3425" s="1740" t="s">
        <v>2507</v>
      </c>
      <c r="S3425" s="52"/>
      <c r="T3425" s="52"/>
      <c r="U3425" s="52"/>
      <c r="V3425" s="4295"/>
      <c r="W3425" s="1396">
        <v>20</v>
      </c>
      <c r="X3425" s="1396">
        <v>20</v>
      </c>
      <c r="Y3425" s="1396">
        <v>20</v>
      </c>
      <c r="Z3425" s="1396">
        <v>20</v>
      </c>
      <c r="AA3425" s="1396">
        <v>20</v>
      </c>
      <c r="AB3425" s="1396">
        <v>20</v>
      </c>
      <c r="AC3425" s="211">
        <v>20</v>
      </c>
      <c r="AD3425" s="211">
        <v>20</v>
      </c>
      <c r="AE3425" s="211">
        <v>20</v>
      </c>
      <c r="AF3425" s="271">
        <f t="shared" si="338"/>
        <v>20</v>
      </c>
      <c r="AG3425" s="1396"/>
      <c r="DG3425" s="573"/>
      <c r="DH3425" s="159"/>
      <c r="DI3425" s="1091"/>
      <c r="DJ3425" s="1187"/>
    </row>
    <row r="3426" spans="1:114" ht="15" hidden="1" customHeight="1" outlineLevel="1">
      <c r="A3426" s="453"/>
      <c r="C3426" s="51"/>
      <c r="D3426" s="4295"/>
      <c r="E3426" s="4295"/>
      <c r="F3426" s="4307" t="str">
        <f>$E$1830</f>
        <v>ASHP-SEER20-Replace_CAC_ElectricHeat_ER2_MF</v>
      </c>
      <c r="G3426" s="4307"/>
      <c r="H3426" s="4307"/>
      <c r="I3426" s="4307"/>
      <c r="J3426" s="1029" t="str">
        <f>$C$1830</f>
        <v>354650_2024_12_</v>
      </c>
      <c r="K3426" s="1758">
        <v>20</v>
      </c>
      <c r="L3426" s="262"/>
      <c r="M3426" s="1741" t="s">
        <v>2507</v>
      </c>
      <c r="S3426" s="52"/>
      <c r="T3426" s="52"/>
      <c r="U3426" s="52"/>
      <c r="V3426" s="4295"/>
      <c r="W3426" s="1396">
        <v>20</v>
      </c>
      <c r="X3426" s="1396">
        <v>20</v>
      </c>
      <c r="Y3426" s="1396">
        <v>20</v>
      </c>
      <c r="Z3426" s="1396">
        <v>20</v>
      </c>
      <c r="AA3426" s="1396">
        <v>20</v>
      </c>
      <c r="AB3426" s="1396">
        <v>20</v>
      </c>
      <c r="AC3426" s="211">
        <v>20</v>
      </c>
      <c r="AD3426" s="211">
        <v>20</v>
      </c>
      <c r="AE3426" s="211">
        <v>20</v>
      </c>
      <c r="AF3426" s="271">
        <f t="shared" si="338"/>
        <v>20</v>
      </c>
      <c r="AG3426" s="1396"/>
      <c r="DG3426" s="573"/>
      <c r="DH3426" s="159"/>
      <c r="DI3426" s="1091"/>
      <c r="DJ3426" s="1187"/>
    </row>
    <row r="3427" spans="1:114" ht="15" hidden="1" customHeight="1" outlineLevel="1">
      <c r="A3427" s="453"/>
      <c r="C3427" s="51"/>
      <c r="D3427" s="4295"/>
      <c r="E3427" s="4295"/>
      <c r="F3427" s="4347" t="str">
        <f>$E$1832</f>
        <v>ASHP-SEER20-Replace_CAC_ElectricHeat_ER1_MF_CompE</v>
      </c>
      <c r="G3427" s="4347"/>
      <c r="H3427" s="4347"/>
      <c r="I3427" s="4347"/>
      <c r="J3427" s="3471" t="str">
        <f>$C$1832</f>
        <v>354651_2024_12_</v>
      </c>
      <c r="K3427" s="3283">
        <v>20</v>
      </c>
      <c r="L3427" s="3479"/>
      <c r="M3427" s="3293" t="s">
        <v>1945</v>
      </c>
      <c r="S3427" s="52"/>
      <c r="T3427" s="52"/>
      <c r="U3427" s="52"/>
      <c r="V3427" s="4295"/>
      <c r="W3427" s="3262"/>
      <c r="X3427" s="3262"/>
      <c r="Y3427" s="3265">
        <v>20</v>
      </c>
      <c r="Z3427" s="3262">
        <v>20</v>
      </c>
      <c r="AA3427" s="3262">
        <v>20</v>
      </c>
      <c r="AB3427" s="3262">
        <v>20</v>
      </c>
      <c r="AC3427" s="3286">
        <v>20</v>
      </c>
      <c r="AD3427" s="3286">
        <v>20</v>
      </c>
      <c r="AE3427" s="3286">
        <v>20</v>
      </c>
      <c r="AF3427" s="2236">
        <f t="shared" si="338"/>
        <v>20</v>
      </c>
      <c r="AG3427" s="1396"/>
      <c r="DG3427" s="573"/>
      <c r="DH3427" s="159"/>
      <c r="DI3427" s="1091"/>
      <c r="DJ3427" s="1187"/>
    </row>
    <row r="3428" spans="1:114" ht="15" hidden="1" customHeight="1" outlineLevel="1">
      <c r="A3428" s="453"/>
      <c r="C3428" s="51"/>
      <c r="D3428" s="4295"/>
      <c r="E3428" s="4295"/>
      <c r="F3428" s="4347" t="str">
        <f>$E$1834</f>
        <v>ASHP-SEER20-Replace_CAC_ElectricHeat_ER2_MF_CompE</v>
      </c>
      <c r="G3428" s="4347"/>
      <c r="H3428" s="4347"/>
      <c r="I3428" s="4347"/>
      <c r="J3428" s="3471" t="str">
        <f>$C$1834</f>
        <v>354651_2024_12_</v>
      </c>
      <c r="K3428" s="3283">
        <v>20</v>
      </c>
      <c r="L3428" s="3479"/>
      <c r="M3428" s="3293" t="s">
        <v>1945</v>
      </c>
      <c r="S3428" s="52"/>
      <c r="T3428" s="52"/>
      <c r="U3428" s="52"/>
      <c r="V3428" s="4295"/>
      <c r="W3428" s="3262"/>
      <c r="X3428" s="3262"/>
      <c r="Y3428" s="3265">
        <v>20</v>
      </c>
      <c r="Z3428" s="3262">
        <v>20</v>
      </c>
      <c r="AA3428" s="3262">
        <v>20</v>
      </c>
      <c r="AB3428" s="3262">
        <v>20</v>
      </c>
      <c r="AC3428" s="3286">
        <v>20</v>
      </c>
      <c r="AD3428" s="3286">
        <v>20</v>
      </c>
      <c r="AE3428" s="3286">
        <v>20</v>
      </c>
      <c r="AF3428" s="2236">
        <f t="shared" si="338"/>
        <v>20</v>
      </c>
      <c r="AG3428" s="1396"/>
      <c r="DG3428" s="573"/>
      <c r="DH3428" s="159"/>
      <c r="DI3428" s="1091"/>
      <c r="DJ3428" s="1187"/>
    </row>
    <row r="3429" spans="1:114" ht="15" hidden="1" customHeight="1" outlineLevel="1">
      <c r="A3429" s="453"/>
      <c r="C3429" s="51"/>
      <c r="D3429" s="4295"/>
      <c r="E3429" s="4295"/>
      <c r="F3429" s="4347" t="str">
        <f>$E$1836</f>
        <v>ASHP-SEER20-Replace_CAC_NonElectricHeat_ER1_MF</v>
      </c>
      <c r="G3429" s="4347"/>
      <c r="H3429" s="4347"/>
      <c r="I3429" s="4347"/>
      <c r="J3429" s="3471" t="str">
        <f>$C$1836</f>
        <v>354660_2024_12_</v>
      </c>
      <c r="K3429" s="3283">
        <v>20</v>
      </c>
      <c r="L3429" s="3479"/>
      <c r="M3429" s="3293" t="s">
        <v>1945</v>
      </c>
      <c r="S3429" s="52"/>
      <c r="T3429" s="52"/>
      <c r="U3429" s="52"/>
      <c r="V3429" s="4295"/>
      <c r="W3429" s="3262"/>
      <c r="X3429" s="3262"/>
      <c r="Y3429" s="3265"/>
      <c r="Z3429" s="3262"/>
      <c r="AA3429" s="3262"/>
      <c r="AB3429" s="3262"/>
      <c r="AC3429" s="3285">
        <v>20</v>
      </c>
      <c r="AD3429" s="3286">
        <v>20</v>
      </c>
      <c r="AE3429" s="3286">
        <v>20</v>
      </c>
      <c r="AF3429" s="2236">
        <f t="shared" si="338"/>
        <v>20</v>
      </c>
      <c r="AG3429" s="1396"/>
      <c r="DG3429" s="573"/>
      <c r="DH3429" s="159"/>
      <c r="DI3429" s="1091"/>
      <c r="DJ3429" s="1187"/>
    </row>
    <row r="3430" spans="1:114" ht="15" hidden="1" customHeight="1" outlineLevel="1">
      <c r="A3430" s="453"/>
      <c r="C3430" s="51"/>
      <c r="D3430" s="4295"/>
      <c r="E3430" s="4295"/>
      <c r="F3430" s="4347" t="str">
        <f>$E$1838</f>
        <v>ASHP-SEER20-Replace_CAC_NonElectricHeat_ER2_MF</v>
      </c>
      <c r="G3430" s="4347"/>
      <c r="H3430" s="4347"/>
      <c r="I3430" s="4347"/>
      <c r="J3430" s="3471" t="str">
        <f>$C$1838</f>
        <v>354660_2024_12_</v>
      </c>
      <c r="K3430" s="3283">
        <v>20</v>
      </c>
      <c r="L3430" s="3479"/>
      <c r="M3430" s="3293" t="s">
        <v>1945</v>
      </c>
      <c r="S3430" s="52"/>
      <c r="T3430" s="52"/>
      <c r="U3430" s="52"/>
      <c r="V3430" s="4295"/>
      <c r="W3430" s="3262"/>
      <c r="X3430" s="3262"/>
      <c r="Y3430" s="3265"/>
      <c r="Z3430" s="3262"/>
      <c r="AA3430" s="3262"/>
      <c r="AB3430" s="3262"/>
      <c r="AC3430" s="3285">
        <v>20</v>
      </c>
      <c r="AD3430" s="3286">
        <v>20</v>
      </c>
      <c r="AE3430" s="3286">
        <v>20</v>
      </c>
      <c r="AF3430" s="2236">
        <f t="shared" si="338"/>
        <v>20</v>
      </c>
      <c r="AG3430" s="1396"/>
      <c r="DG3430" s="573"/>
      <c r="DH3430" s="159"/>
      <c r="DI3430" s="1091"/>
      <c r="DJ3430" s="1187"/>
    </row>
    <row r="3431" spans="1:114" ht="15" hidden="1" customHeight="1" outlineLevel="1">
      <c r="A3431" s="453"/>
      <c r="C3431" s="51"/>
      <c r="D3431" s="4295"/>
      <c r="E3431" s="4295"/>
      <c r="F3431" s="4347" t="str">
        <f>$E$1840</f>
        <v>ASHP-SEER20-Replace_CAC_NonElectricHeat_ER1_MF_CompE</v>
      </c>
      <c r="G3431" s="4347"/>
      <c r="H3431" s="4347"/>
      <c r="I3431" s="4347"/>
      <c r="J3431" s="3471" t="str">
        <f>$C$1840</f>
        <v>354661_2024_12_</v>
      </c>
      <c r="K3431" s="3283">
        <v>20</v>
      </c>
      <c r="L3431" s="3479"/>
      <c r="M3431" s="3293" t="s">
        <v>1945</v>
      </c>
      <c r="S3431" s="52"/>
      <c r="T3431" s="52"/>
      <c r="U3431" s="52"/>
      <c r="V3431" s="4295"/>
      <c r="W3431" s="3262"/>
      <c r="X3431" s="3262"/>
      <c r="Y3431" s="3265"/>
      <c r="Z3431" s="3262"/>
      <c r="AA3431" s="3262"/>
      <c r="AB3431" s="3262"/>
      <c r="AC3431" s="3285">
        <v>20</v>
      </c>
      <c r="AD3431" s="3286">
        <v>20</v>
      </c>
      <c r="AE3431" s="3286">
        <v>20</v>
      </c>
      <c r="AF3431" s="2236">
        <f t="shared" si="338"/>
        <v>20</v>
      </c>
      <c r="AG3431" s="1396"/>
      <c r="DG3431" s="573"/>
      <c r="DH3431" s="159"/>
      <c r="DI3431" s="1091"/>
      <c r="DJ3431" s="1187"/>
    </row>
    <row r="3432" spans="1:114" ht="15" hidden="1" customHeight="1" outlineLevel="1">
      <c r="A3432" s="453"/>
      <c r="C3432" s="51"/>
      <c r="D3432" s="4295"/>
      <c r="E3432" s="4295"/>
      <c r="F3432" s="4347" t="str">
        <f>$E$1842</f>
        <v>ASHP-SEER20-Replace_CAC_NonElectricHeat_ER2_MF_CompE</v>
      </c>
      <c r="G3432" s="4347"/>
      <c r="H3432" s="4347"/>
      <c r="I3432" s="4347"/>
      <c r="J3432" s="3471" t="str">
        <f>$C$1842</f>
        <v>354661_2024_12_</v>
      </c>
      <c r="K3432" s="3283">
        <v>20</v>
      </c>
      <c r="L3432" s="3479"/>
      <c r="M3432" s="3293" t="s">
        <v>1945</v>
      </c>
      <c r="S3432" s="52"/>
      <c r="T3432" s="52"/>
      <c r="U3432" s="52"/>
      <c r="V3432" s="4295"/>
      <c r="W3432" s="3262"/>
      <c r="X3432" s="3262"/>
      <c r="Y3432" s="3265"/>
      <c r="Z3432" s="3262"/>
      <c r="AA3432" s="3262"/>
      <c r="AB3432" s="3262"/>
      <c r="AC3432" s="3285">
        <v>20</v>
      </c>
      <c r="AD3432" s="3286">
        <v>20</v>
      </c>
      <c r="AE3432" s="3286">
        <v>20</v>
      </c>
      <c r="AF3432" s="2236">
        <f t="shared" si="338"/>
        <v>20</v>
      </c>
      <c r="AG3432" s="1396"/>
      <c r="DG3432" s="573"/>
      <c r="DH3432" s="159"/>
      <c r="DI3432" s="1091"/>
      <c r="DJ3432" s="1187"/>
    </row>
    <row r="3433" spans="1:114" ht="15" hidden="1" customHeight="1" outlineLevel="1">
      <c r="A3433" s="453"/>
      <c r="C3433" s="51"/>
      <c r="D3433" s="4295"/>
      <c r="E3433" s="4295"/>
      <c r="F3433" s="4307" t="str">
        <f>$E$1844</f>
        <v>ASHP-SEER20_ER1_MF</v>
      </c>
      <c r="G3433" s="4307"/>
      <c r="H3433" s="4307"/>
      <c r="I3433" s="4307"/>
      <c r="J3433" s="1029" t="str">
        <f>$C$1844</f>
        <v>354700_2024_12_</v>
      </c>
      <c r="K3433" s="1758">
        <v>20</v>
      </c>
      <c r="L3433" s="262"/>
      <c r="M3433" s="1741" t="s">
        <v>2507</v>
      </c>
      <c r="S3433" s="52"/>
      <c r="T3433" s="52"/>
      <c r="U3433" s="52"/>
      <c r="V3433" s="4295"/>
      <c r="W3433" s="1396">
        <v>20</v>
      </c>
      <c r="X3433" s="1396">
        <v>20</v>
      </c>
      <c r="Y3433" s="1396">
        <v>20</v>
      </c>
      <c r="Z3433" s="1396">
        <v>20</v>
      </c>
      <c r="AA3433" s="1396">
        <v>20</v>
      </c>
      <c r="AB3433" s="1396">
        <v>20</v>
      </c>
      <c r="AC3433" s="211">
        <v>20</v>
      </c>
      <c r="AD3433" s="211">
        <v>20</v>
      </c>
      <c r="AE3433" s="211">
        <v>20</v>
      </c>
      <c r="AF3433" s="271">
        <f t="shared" si="338"/>
        <v>20</v>
      </c>
      <c r="AG3433" s="1396"/>
      <c r="DG3433" s="573"/>
      <c r="DH3433" s="159"/>
      <c r="DI3433" s="1091"/>
      <c r="DJ3433" s="1187"/>
    </row>
    <row r="3434" spans="1:114" ht="15" hidden="1" customHeight="1" outlineLevel="1">
      <c r="A3434" s="453"/>
      <c r="C3434" s="51"/>
      <c r="D3434" s="4295"/>
      <c r="E3434" s="4295"/>
      <c r="F3434" s="4307" t="str">
        <f>$E$1846</f>
        <v>ASHP-SEER20_ER2_MF</v>
      </c>
      <c r="G3434" s="4307"/>
      <c r="H3434" s="4307"/>
      <c r="I3434" s="4307"/>
      <c r="J3434" s="1029" t="str">
        <f>$C$1846</f>
        <v>354700_2024_12_</v>
      </c>
      <c r="K3434" s="1758">
        <v>20</v>
      </c>
      <c r="L3434" s="262"/>
      <c r="M3434" s="1741" t="s">
        <v>2507</v>
      </c>
      <c r="S3434" s="52"/>
      <c r="T3434" s="52"/>
      <c r="U3434" s="52"/>
      <c r="V3434" s="4295"/>
      <c r="W3434" s="1396">
        <v>20</v>
      </c>
      <c r="X3434" s="1396">
        <v>20</v>
      </c>
      <c r="Y3434" s="1396">
        <v>20</v>
      </c>
      <c r="Z3434" s="1396">
        <v>20</v>
      </c>
      <c r="AA3434" s="1396">
        <v>20</v>
      </c>
      <c r="AB3434" s="1396">
        <v>20</v>
      </c>
      <c r="AC3434" s="211">
        <v>20</v>
      </c>
      <c r="AD3434" s="211">
        <v>20</v>
      </c>
      <c r="AE3434" s="211">
        <v>20</v>
      </c>
      <c r="AF3434" s="271">
        <f t="shared" si="338"/>
        <v>20</v>
      </c>
      <c r="AG3434" s="1396"/>
      <c r="DG3434" s="573"/>
      <c r="DH3434" s="159"/>
      <c r="DI3434" s="1091"/>
      <c r="DJ3434" s="1187"/>
    </row>
    <row r="3435" spans="1:114" ht="15" hidden="1" customHeight="1" outlineLevel="1">
      <c r="A3435" s="453"/>
      <c r="C3435" s="51"/>
      <c r="D3435" s="4295"/>
      <c r="E3435" s="4295"/>
      <c r="F3435" s="4347" t="str">
        <f>$E$1848</f>
        <v>ASHP-SEER20_ER1_MF_CompE</v>
      </c>
      <c r="G3435" s="4347"/>
      <c r="H3435" s="4347"/>
      <c r="I3435" s="4347"/>
      <c r="J3435" s="3471" t="str">
        <f>$C$1848</f>
        <v>354701_2024_12_</v>
      </c>
      <c r="K3435" s="3283">
        <v>20</v>
      </c>
      <c r="L3435" s="3479"/>
      <c r="M3435" s="3293" t="s">
        <v>1945</v>
      </c>
      <c r="S3435" s="52"/>
      <c r="T3435" s="52"/>
      <c r="U3435" s="52"/>
      <c r="V3435" s="4295"/>
      <c r="W3435" s="1396"/>
      <c r="X3435" s="1396"/>
      <c r="Y3435" s="3265">
        <v>20</v>
      </c>
      <c r="Z3435" s="3262">
        <v>20</v>
      </c>
      <c r="AA3435" s="3262">
        <v>20</v>
      </c>
      <c r="AB3435" s="3262">
        <v>20</v>
      </c>
      <c r="AC3435" s="3286">
        <v>20</v>
      </c>
      <c r="AD3435" s="3286">
        <v>20</v>
      </c>
      <c r="AE3435" s="3286">
        <v>20</v>
      </c>
      <c r="AF3435" s="2236">
        <f t="shared" si="338"/>
        <v>20</v>
      </c>
      <c r="AG3435" s="1396"/>
      <c r="DG3435" s="573"/>
      <c r="DH3435" s="159"/>
      <c r="DI3435" s="1091"/>
      <c r="DJ3435" s="1187"/>
    </row>
    <row r="3436" spans="1:114" ht="15" hidden="1" customHeight="1" outlineLevel="1">
      <c r="A3436" s="453"/>
      <c r="C3436" s="51"/>
      <c r="D3436" s="4295"/>
      <c r="E3436" s="4295"/>
      <c r="F3436" s="4347" t="str">
        <f>$E$1850</f>
        <v>ASHP-SEER20_ER2_MF_CompE</v>
      </c>
      <c r="G3436" s="4347"/>
      <c r="H3436" s="4347"/>
      <c r="I3436" s="4347"/>
      <c r="J3436" s="3471" t="str">
        <f>$C$1850</f>
        <v>354701_2024_12_</v>
      </c>
      <c r="K3436" s="3283">
        <v>20</v>
      </c>
      <c r="L3436" s="3479"/>
      <c r="M3436" s="3293" t="s">
        <v>1945</v>
      </c>
      <c r="S3436" s="52"/>
      <c r="T3436" s="52"/>
      <c r="U3436" s="52"/>
      <c r="V3436" s="4295"/>
      <c r="W3436" s="1396"/>
      <c r="X3436" s="1396"/>
      <c r="Y3436" s="3265">
        <v>20</v>
      </c>
      <c r="Z3436" s="3262">
        <v>20</v>
      </c>
      <c r="AA3436" s="3262">
        <v>20</v>
      </c>
      <c r="AB3436" s="3262">
        <v>20</v>
      </c>
      <c r="AC3436" s="3286">
        <v>20</v>
      </c>
      <c r="AD3436" s="3286">
        <v>20</v>
      </c>
      <c r="AE3436" s="3286">
        <v>20</v>
      </c>
      <c r="AF3436" s="2236">
        <f t="shared" si="338"/>
        <v>20</v>
      </c>
      <c r="AG3436" s="1396"/>
      <c r="DG3436" s="573"/>
      <c r="DH3436" s="159"/>
      <c r="DI3436" s="1091"/>
      <c r="DJ3436" s="1187"/>
    </row>
    <row r="3437" spans="1:114" ht="15" hidden="1" customHeight="1" outlineLevel="1">
      <c r="A3437" s="453"/>
      <c r="C3437" s="51"/>
      <c r="D3437" s="4295"/>
      <c r="E3437" s="4295"/>
      <c r="F3437" s="4307" t="str">
        <f>$E$1852</f>
        <v>ASHP-SEER21_ER1_SF</v>
      </c>
      <c r="G3437" s="4307"/>
      <c r="H3437" s="4307"/>
      <c r="I3437" s="4307"/>
      <c r="J3437" s="1029" t="str">
        <f>$C$1852</f>
        <v>354750_2024_12_</v>
      </c>
      <c r="K3437" s="916">
        <v>21.617021276595743</v>
      </c>
      <c r="L3437" s="262"/>
      <c r="M3437" s="1739" t="s">
        <v>1937</v>
      </c>
      <c r="S3437" s="52"/>
      <c r="T3437" s="52"/>
      <c r="U3437" s="52"/>
      <c r="V3437" s="4295"/>
      <c r="W3437" s="1396">
        <v>21</v>
      </c>
      <c r="X3437" s="1396">
        <v>21</v>
      </c>
      <c r="Y3437" s="1396">
        <v>21</v>
      </c>
      <c r="Z3437" s="1396">
        <v>21</v>
      </c>
      <c r="AA3437" s="1396">
        <v>21</v>
      </c>
      <c r="AB3437" s="1396">
        <v>21</v>
      </c>
      <c r="AC3437" s="212">
        <v>21.846153846153847</v>
      </c>
      <c r="AD3437" s="969">
        <v>21.551136363636363</v>
      </c>
      <c r="AE3437" s="969">
        <v>21.617021276595743</v>
      </c>
      <c r="AF3437" s="271">
        <f t="shared" si="338"/>
        <v>21.617021276595743</v>
      </c>
      <c r="AG3437" s="1396"/>
      <c r="DG3437" s="573"/>
      <c r="DH3437" s="159"/>
      <c r="DI3437" s="1091"/>
      <c r="DJ3437" s="1187"/>
    </row>
    <row r="3438" spans="1:114" ht="15" hidden="1" customHeight="1" outlineLevel="1">
      <c r="A3438" s="453"/>
      <c r="C3438" s="51"/>
      <c r="D3438" s="4295"/>
      <c r="E3438" s="4295"/>
      <c r="F3438" s="4307" t="str">
        <f>$E$1854</f>
        <v>ASHP-SEER21_ER2_SF</v>
      </c>
      <c r="G3438" s="4307"/>
      <c r="H3438" s="4307"/>
      <c r="I3438" s="4307"/>
      <c r="J3438" s="1029" t="str">
        <f>$C$1854</f>
        <v>354750_2024_12_</v>
      </c>
      <c r="K3438" s="916">
        <v>21.617021276595743</v>
      </c>
      <c r="L3438" s="262"/>
      <c r="M3438" s="1739" t="s">
        <v>1937</v>
      </c>
      <c r="S3438" s="52"/>
      <c r="T3438" s="52"/>
      <c r="U3438" s="52"/>
      <c r="V3438" s="4295"/>
      <c r="W3438" s="1396">
        <v>21</v>
      </c>
      <c r="X3438" s="1396">
        <v>21</v>
      </c>
      <c r="Y3438" s="1396">
        <v>21</v>
      </c>
      <c r="Z3438" s="1396">
        <v>21</v>
      </c>
      <c r="AA3438" s="1396">
        <v>21</v>
      </c>
      <c r="AB3438" s="1396">
        <v>21</v>
      </c>
      <c r="AC3438" s="212">
        <f>AC3437</f>
        <v>21.846153846153847</v>
      </c>
      <c r="AD3438" s="969">
        <v>21.551136363636363</v>
      </c>
      <c r="AE3438" s="969">
        <v>21.617021276595743</v>
      </c>
      <c r="AF3438" s="271">
        <f t="shared" si="338"/>
        <v>21.617021276595743</v>
      </c>
      <c r="AG3438" s="1396"/>
      <c r="DG3438" s="573"/>
      <c r="DH3438" s="159"/>
      <c r="DI3438" s="1091"/>
      <c r="DJ3438" s="1187"/>
    </row>
    <row r="3439" spans="1:114" ht="15" hidden="1" customHeight="1" outlineLevel="1">
      <c r="A3439" s="453"/>
      <c r="C3439" s="51"/>
      <c r="D3439" s="4295"/>
      <c r="E3439" s="4295"/>
      <c r="F3439" s="4307" t="str">
        <f>$E$1856</f>
        <v>ASHP-SEER21_ROF_SF</v>
      </c>
      <c r="G3439" s="4307"/>
      <c r="H3439" s="4307"/>
      <c r="I3439" s="4307"/>
      <c r="J3439" s="1029" t="str">
        <f>$C$1856</f>
        <v>354800_2024_12_</v>
      </c>
      <c r="K3439" s="916">
        <v>21.727272727272723</v>
      </c>
      <c r="L3439" s="262"/>
      <c r="M3439" s="1739" t="s">
        <v>1934</v>
      </c>
      <c r="S3439" s="52"/>
      <c r="T3439" s="52"/>
      <c r="U3439" s="52"/>
      <c r="V3439" s="4295"/>
      <c r="W3439" s="1396">
        <v>21</v>
      </c>
      <c r="X3439" s="1396">
        <v>21</v>
      </c>
      <c r="Y3439" s="1396">
        <v>21</v>
      </c>
      <c r="Z3439" s="1396">
        <v>21</v>
      </c>
      <c r="AA3439" s="1396">
        <v>21</v>
      </c>
      <c r="AB3439" s="1396">
        <v>21</v>
      </c>
      <c r="AC3439" s="212">
        <v>21.375</v>
      </c>
      <c r="AD3439" s="969">
        <v>21.59375</v>
      </c>
      <c r="AE3439" s="969">
        <v>21.727272727272723</v>
      </c>
      <c r="AF3439" s="271">
        <f t="shared" si="338"/>
        <v>21.727272727272723</v>
      </c>
      <c r="AG3439" s="1396"/>
      <c r="DG3439" s="573"/>
      <c r="DH3439" s="159"/>
      <c r="DI3439" s="1091"/>
      <c r="DJ3439" s="1187"/>
    </row>
    <row r="3440" spans="1:114" ht="15" hidden="1" customHeight="1" outlineLevel="1">
      <c r="A3440" s="453"/>
      <c r="C3440" s="51"/>
      <c r="D3440" s="4295"/>
      <c r="E3440" s="4295"/>
      <c r="F3440" s="4307" t="str">
        <f>$E$1858</f>
        <v>ASHP-SEER21-Replace_CAC_ElectricHeat_ROF_MF</v>
      </c>
      <c r="G3440" s="4307"/>
      <c r="H3440" s="4307"/>
      <c r="I3440" s="4307"/>
      <c r="J3440" s="1029" t="str">
        <f>$C$1858</f>
        <v>354850_2024_12_</v>
      </c>
      <c r="K3440" s="1758">
        <v>21</v>
      </c>
      <c r="L3440" s="262"/>
      <c r="M3440" s="1741" t="s">
        <v>2507</v>
      </c>
      <c r="S3440" s="52"/>
      <c r="T3440" s="52"/>
      <c r="U3440" s="52"/>
      <c r="V3440" s="4295"/>
      <c r="W3440" s="1396">
        <v>21</v>
      </c>
      <c r="X3440" s="1396">
        <v>21</v>
      </c>
      <c r="Y3440" s="1396">
        <v>21</v>
      </c>
      <c r="Z3440" s="1396">
        <v>21</v>
      </c>
      <c r="AA3440" s="1396">
        <v>21</v>
      </c>
      <c r="AB3440" s="1396">
        <v>21</v>
      </c>
      <c r="AC3440" s="211">
        <v>21</v>
      </c>
      <c r="AD3440" s="211">
        <v>21</v>
      </c>
      <c r="AE3440" s="211">
        <v>21</v>
      </c>
      <c r="AF3440" s="271">
        <f t="shared" si="338"/>
        <v>21</v>
      </c>
      <c r="AG3440" s="1396"/>
      <c r="DG3440" s="573"/>
      <c r="DH3440" s="159"/>
      <c r="DI3440" s="1091"/>
      <c r="DJ3440" s="1187"/>
    </row>
    <row r="3441" spans="1:114" ht="15" hidden="1" customHeight="1" outlineLevel="1">
      <c r="A3441" s="453"/>
      <c r="C3441" s="51"/>
      <c r="D3441" s="4295"/>
      <c r="E3441" s="4295"/>
      <c r="F3441" s="4347" t="str">
        <f>$E$1860</f>
        <v>ASHP-SEER21-Replace_CAC_ElectricHeat_ROF_MF_CompE</v>
      </c>
      <c r="G3441" s="4347"/>
      <c r="H3441" s="4347"/>
      <c r="I3441" s="4347"/>
      <c r="J3441" s="3471" t="str">
        <f>$C$1860</f>
        <v>354851_2024_12_</v>
      </c>
      <c r="K3441" s="3283">
        <v>21</v>
      </c>
      <c r="L3441" s="3479"/>
      <c r="M3441" s="3293" t="s">
        <v>1945</v>
      </c>
      <c r="S3441" s="52"/>
      <c r="T3441" s="52"/>
      <c r="U3441" s="52"/>
      <c r="V3441" s="4295"/>
      <c r="W3441" s="1396"/>
      <c r="X3441" s="1396"/>
      <c r="Y3441" s="3265">
        <v>21</v>
      </c>
      <c r="Z3441" s="3262">
        <v>21</v>
      </c>
      <c r="AA3441" s="3262">
        <v>21</v>
      </c>
      <c r="AB3441" s="3262">
        <v>21</v>
      </c>
      <c r="AC3441" s="3286">
        <v>21</v>
      </c>
      <c r="AD3441" s="3286">
        <v>21</v>
      </c>
      <c r="AE3441" s="3286">
        <v>21</v>
      </c>
      <c r="AF3441" s="2236">
        <f t="shared" si="338"/>
        <v>21</v>
      </c>
      <c r="AG3441" s="1396"/>
      <c r="DG3441" s="573"/>
      <c r="DH3441" s="159"/>
      <c r="DI3441" s="1091"/>
      <c r="DJ3441" s="1187"/>
    </row>
    <row r="3442" spans="1:114" ht="15" hidden="1" customHeight="1" outlineLevel="1">
      <c r="A3442" s="453"/>
      <c r="C3442" s="51"/>
      <c r="D3442" s="4295"/>
      <c r="E3442" s="4295"/>
      <c r="F3442" s="4347" t="str">
        <f>$E$1862</f>
        <v>ASHP-SEER21-Replace_CAC_NonElectricHeat_ROF_MF</v>
      </c>
      <c r="G3442" s="4347"/>
      <c r="H3442" s="4347"/>
      <c r="I3442" s="4347"/>
      <c r="J3442" s="3471" t="str">
        <f>$C$1862</f>
        <v>354860_2024_12_</v>
      </c>
      <c r="K3442" s="3283">
        <v>21</v>
      </c>
      <c r="L3442" s="3479"/>
      <c r="M3442" s="3293" t="s">
        <v>1945</v>
      </c>
      <c r="S3442" s="52"/>
      <c r="T3442" s="52"/>
      <c r="U3442" s="52"/>
      <c r="V3442" s="4295"/>
      <c r="W3442" s="1396"/>
      <c r="X3442" s="1396"/>
      <c r="Y3442" s="3265"/>
      <c r="Z3442" s="3262"/>
      <c r="AA3442" s="3262"/>
      <c r="AB3442" s="3262"/>
      <c r="AC3442" s="3285">
        <v>21</v>
      </c>
      <c r="AD3442" s="3286">
        <v>21</v>
      </c>
      <c r="AE3442" s="3286">
        <v>21</v>
      </c>
      <c r="AF3442" s="2236">
        <f t="shared" si="338"/>
        <v>21</v>
      </c>
      <c r="AG3442" s="1396"/>
      <c r="DG3442" s="573"/>
      <c r="DH3442" s="159"/>
      <c r="DI3442" s="1091"/>
      <c r="DJ3442" s="1187"/>
    </row>
    <row r="3443" spans="1:114" ht="15" hidden="1" customHeight="1" outlineLevel="1">
      <c r="A3443" s="453"/>
      <c r="C3443" s="51"/>
      <c r="D3443" s="4295"/>
      <c r="E3443" s="4295"/>
      <c r="F3443" s="4347" t="str">
        <f>$E$1864</f>
        <v>ASHP-SEER21-Replace_CAC_NonElectricHeat_ROF_MF_CompE</v>
      </c>
      <c r="G3443" s="4347"/>
      <c r="H3443" s="4347"/>
      <c r="I3443" s="4347"/>
      <c r="J3443" s="3471" t="str">
        <f>$C$1864</f>
        <v>354861_2024_12_</v>
      </c>
      <c r="K3443" s="3283">
        <v>21</v>
      </c>
      <c r="L3443" s="3479"/>
      <c r="M3443" s="3293" t="s">
        <v>1945</v>
      </c>
      <c r="S3443" s="52"/>
      <c r="T3443" s="52"/>
      <c r="U3443" s="52"/>
      <c r="V3443" s="4295"/>
      <c r="W3443" s="1396"/>
      <c r="X3443" s="1396"/>
      <c r="Y3443" s="3265"/>
      <c r="Z3443" s="3262"/>
      <c r="AA3443" s="3262"/>
      <c r="AB3443" s="3262"/>
      <c r="AC3443" s="3285">
        <v>21</v>
      </c>
      <c r="AD3443" s="3286">
        <v>21</v>
      </c>
      <c r="AE3443" s="3286">
        <v>21</v>
      </c>
      <c r="AF3443" s="2236">
        <f t="shared" si="338"/>
        <v>21</v>
      </c>
      <c r="AG3443" s="1396"/>
      <c r="DG3443" s="573"/>
      <c r="DH3443" s="159"/>
      <c r="DI3443" s="1091"/>
      <c r="DJ3443" s="1187"/>
    </row>
    <row r="3444" spans="1:114" ht="15" hidden="1" customHeight="1" outlineLevel="1">
      <c r="A3444" s="453"/>
      <c r="C3444" s="51"/>
      <c r="D3444" s="4295"/>
      <c r="E3444" s="4295"/>
      <c r="F3444" s="4307" t="str">
        <f>$E$1866</f>
        <v>ASHP-SEER21_ER1_MF</v>
      </c>
      <c r="G3444" s="4307"/>
      <c r="H3444" s="4307"/>
      <c r="I3444" s="4307"/>
      <c r="J3444" s="1029" t="str">
        <f>$C$1866</f>
        <v>354900_2024_12_</v>
      </c>
      <c r="K3444" s="1758">
        <v>21</v>
      </c>
      <c r="L3444" s="262"/>
      <c r="M3444" s="1741" t="s">
        <v>2507</v>
      </c>
      <c r="S3444" s="52"/>
      <c r="T3444" s="52"/>
      <c r="U3444" s="52"/>
      <c r="V3444" s="4295"/>
      <c r="W3444" s="1396">
        <v>21</v>
      </c>
      <c r="X3444" s="1396">
        <v>21</v>
      </c>
      <c r="Y3444" s="1396">
        <v>21</v>
      </c>
      <c r="Z3444" s="1396">
        <v>21</v>
      </c>
      <c r="AA3444" s="1396">
        <v>21</v>
      </c>
      <c r="AB3444" s="1396">
        <v>21</v>
      </c>
      <c r="AC3444" s="211">
        <v>21</v>
      </c>
      <c r="AD3444" s="211">
        <v>21</v>
      </c>
      <c r="AE3444" s="211">
        <v>21</v>
      </c>
      <c r="AF3444" s="271">
        <f t="shared" si="338"/>
        <v>21</v>
      </c>
      <c r="AG3444" s="1396"/>
      <c r="DG3444" s="573"/>
      <c r="DH3444" s="159"/>
      <c r="DI3444" s="1091"/>
      <c r="DJ3444" s="1187"/>
    </row>
    <row r="3445" spans="1:114" ht="15" hidden="1" customHeight="1" outlineLevel="1">
      <c r="A3445" s="453"/>
      <c r="C3445" s="51"/>
      <c r="D3445" s="4295"/>
      <c r="E3445" s="4295"/>
      <c r="F3445" s="4307" t="str">
        <f>$E$1868</f>
        <v>ASHP-SEER21_ER2_MF</v>
      </c>
      <c r="G3445" s="4307"/>
      <c r="H3445" s="4307"/>
      <c r="I3445" s="4307"/>
      <c r="J3445" s="1029" t="str">
        <f>$C$1868</f>
        <v>354900_2024_12_</v>
      </c>
      <c r="K3445" s="1758">
        <v>21</v>
      </c>
      <c r="L3445" s="262"/>
      <c r="M3445" s="1741" t="s">
        <v>2507</v>
      </c>
      <c r="S3445" s="52"/>
      <c r="T3445" s="52"/>
      <c r="U3445" s="52"/>
      <c r="V3445" s="4295"/>
      <c r="W3445" s="1396">
        <v>21</v>
      </c>
      <c r="X3445" s="1396">
        <v>21</v>
      </c>
      <c r="Y3445" s="1396">
        <v>21</v>
      </c>
      <c r="Z3445" s="1396">
        <v>21</v>
      </c>
      <c r="AA3445" s="1396">
        <v>21</v>
      </c>
      <c r="AB3445" s="1396">
        <v>21</v>
      </c>
      <c r="AC3445" s="211">
        <v>21</v>
      </c>
      <c r="AD3445" s="211">
        <v>21</v>
      </c>
      <c r="AE3445" s="211">
        <v>21</v>
      </c>
      <c r="AF3445" s="271">
        <f t="shared" si="338"/>
        <v>21</v>
      </c>
      <c r="AG3445" s="1396"/>
      <c r="DG3445" s="573"/>
      <c r="DH3445" s="159"/>
      <c r="DI3445" s="1091"/>
      <c r="DJ3445" s="1187"/>
    </row>
    <row r="3446" spans="1:114" ht="15" hidden="1" customHeight="1" outlineLevel="1">
      <c r="A3446" s="453"/>
      <c r="C3446" s="51"/>
      <c r="D3446" s="4295"/>
      <c r="E3446" s="4295"/>
      <c r="F3446" s="4347" t="str">
        <f>$E$1870</f>
        <v>ASHP-SEER21_ER1_MF_CompE</v>
      </c>
      <c r="G3446" s="4347"/>
      <c r="H3446" s="4347"/>
      <c r="I3446" s="4347"/>
      <c r="J3446" s="3471" t="str">
        <f>$C$1870</f>
        <v>354901_2024_12_</v>
      </c>
      <c r="K3446" s="3283">
        <v>21</v>
      </c>
      <c r="L3446" s="3479"/>
      <c r="M3446" s="3293" t="s">
        <v>1945</v>
      </c>
      <c r="S3446" s="52"/>
      <c r="T3446" s="52"/>
      <c r="U3446" s="52"/>
      <c r="V3446" s="4295"/>
      <c r="W3446" s="1396"/>
      <c r="X3446" s="1396"/>
      <c r="Y3446" s="3265">
        <v>21</v>
      </c>
      <c r="Z3446" s="3262">
        <v>21</v>
      </c>
      <c r="AA3446" s="3262">
        <v>21</v>
      </c>
      <c r="AB3446" s="3262">
        <v>21</v>
      </c>
      <c r="AC3446" s="3286">
        <v>21</v>
      </c>
      <c r="AD3446" s="3286">
        <v>21</v>
      </c>
      <c r="AE3446" s="3286">
        <v>21</v>
      </c>
      <c r="AF3446" s="2236">
        <f t="shared" si="338"/>
        <v>21</v>
      </c>
      <c r="AG3446" s="1396"/>
      <c r="DG3446" s="573"/>
      <c r="DH3446" s="159"/>
      <c r="DI3446" s="1091"/>
      <c r="DJ3446" s="1187"/>
    </row>
    <row r="3447" spans="1:114" ht="15" hidden="1" customHeight="1" outlineLevel="1">
      <c r="A3447" s="453"/>
      <c r="C3447" s="51"/>
      <c r="D3447" s="4295"/>
      <c r="E3447" s="4295"/>
      <c r="F3447" s="4347" t="str">
        <f>$E$1872</f>
        <v>ASHP-SEER21_ER2_MF_CompE</v>
      </c>
      <c r="G3447" s="4347"/>
      <c r="H3447" s="4347"/>
      <c r="I3447" s="4347"/>
      <c r="J3447" s="3471" t="str">
        <f>$C$1872</f>
        <v>354901_2024_12_</v>
      </c>
      <c r="K3447" s="3283">
        <v>21</v>
      </c>
      <c r="L3447" s="3479"/>
      <c r="M3447" s="3293" t="s">
        <v>1945</v>
      </c>
      <c r="S3447" s="52"/>
      <c r="T3447" s="52"/>
      <c r="U3447" s="52"/>
      <c r="V3447" s="4295"/>
      <c r="W3447" s="1396"/>
      <c r="X3447" s="1396"/>
      <c r="Y3447" s="3265">
        <v>21</v>
      </c>
      <c r="Z3447" s="3262">
        <v>21</v>
      </c>
      <c r="AA3447" s="3262">
        <v>21</v>
      </c>
      <c r="AB3447" s="3262">
        <v>21</v>
      </c>
      <c r="AC3447" s="3286">
        <v>21</v>
      </c>
      <c r="AD3447" s="3286">
        <v>21</v>
      </c>
      <c r="AE3447" s="3286">
        <v>21</v>
      </c>
      <c r="AF3447" s="2236">
        <f t="shared" si="338"/>
        <v>21</v>
      </c>
      <c r="AG3447" s="1396"/>
      <c r="DG3447" s="573"/>
      <c r="DH3447" s="159"/>
      <c r="DI3447" s="1091"/>
      <c r="DJ3447" s="1187"/>
    </row>
    <row r="3448" spans="1:114" ht="15" hidden="1" customHeight="1" outlineLevel="1">
      <c r="A3448" s="453"/>
      <c r="C3448" s="51"/>
      <c r="D3448" s="4295"/>
      <c r="E3448" s="4295"/>
      <c r="F3448" s="4307" t="str">
        <f>$E$1874</f>
        <v>ASHP-SEER17_ROF_MF</v>
      </c>
      <c r="G3448" s="4307"/>
      <c r="H3448" s="4307"/>
      <c r="I3448" s="4307"/>
      <c r="J3448" s="1029" t="str">
        <f>$C$1874</f>
        <v>354950_2024_12_</v>
      </c>
      <c r="K3448" s="1758">
        <v>17</v>
      </c>
      <c r="L3448" s="262"/>
      <c r="M3448" s="1741" t="s">
        <v>2507</v>
      </c>
      <c r="P3448" s="261"/>
      <c r="Q3448" s="209"/>
      <c r="R3448" s="261"/>
      <c r="S3448" s="52"/>
      <c r="T3448" s="181"/>
      <c r="U3448" s="52"/>
      <c r="V3448" s="4295"/>
      <c r="W3448" s="1396">
        <v>17</v>
      </c>
      <c r="X3448" s="1396">
        <v>17</v>
      </c>
      <c r="Y3448" s="1396">
        <v>17</v>
      </c>
      <c r="Z3448" s="1396">
        <v>17</v>
      </c>
      <c r="AA3448" s="1396">
        <v>17</v>
      </c>
      <c r="AB3448" s="1396">
        <v>17</v>
      </c>
      <c r="AC3448" s="211">
        <v>17</v>
      </c>
      <c r="AD3448" s="211">
        <v>17</v>
      </c>
      <c r="AE3448" s="211">
        <v>17</v>
      </c>
      <c r="AF3448" s="271">
        <f t="shared" si="338"/>
        <v>17</v>
      </c>
      <c r="AG3448" s="1396"/>
      <c r="DG3448" s="573"/>
      <c r="DH3448" s="159"/>
      <c r="DI3448" s="1091"/>
      <c r="DJ3448" s="1187"/>
    </row>
    <row r="3449" spans="1:114" ht="15" hidden="1" customHeight="1" outlineLevel="1">
      <c r="A3449" s="453"/>
      <c r="C3449" s="51"/>
      <c r="D3449" s="4295"/>
      <c r="E3449" s="4295"/>
      <c r="F3449" s="4347" t="str">
        <f>$E$1876</f>
        <v>ASHP-SEER17_ROF_MF_CompE</v>
      </c>
      <c r="G3449" s="4347"/>
      <c r="H3449" s="4347"/>
      <c r="I3449" s="4347"/>
      <c r="J3449" s="3471" t="str">
        <f>$C$1876</f>
        <v>354951_2024_12_</v>
      </c>
      <c r="K3449" s="3283">
        <v>17</v>
      </c>
      <c r="L3449" s="3479"/>
      <c r="M3449" s="3293" t="s">
        <v>1945</v>
      </c>
      <c r="P3449" s="261"/>
      <c r="Q3449" s="209"/>
      <c r="R3449" s="261"/>
      <c r="S3449" s="52"/>
      <c r="T3449" s="181"/>
      <c r="U3449" s="52"/>
      <c r="V3449" s="4295"/>
      <c r="W3449" s="1396"/>
      <c r="X3449" s="1396"/>
      <c r="Y3449" s="3265">
        <v>17</v>
      </c>
      <c r="Z3449" s="3262">
        <v>17</v>
      </c>
      <c r="AA3449" s="3262">
        <v>17</v>
      </c>
      <c r="AB3449" s="3262">
        <v>17</v>
      </c>
      <c r="AC3449" s="3286">
        <v>17</v>
      </c>
      <c r="AD3449" s="3286">
        <v>17</v>
      </c>
      <c r="AE3449" s="3286">
        <v>17</v>
      </c>
      <c r="AF3449" s="2236">
        <f t="shared" si="338"/>
        <v>17</v>
      </c>
      <c r="AG3449" s="1396"/>
      <c r="DG3449" s="573"/>
      <c r="DH3449" s="159"/>
      <c r="DI3449" s="1091"/>
      <c r="DJ3449" s="1187"/>
    </row>
    <row r="3450" spans="1:114" ht="15" hidden="1" customHeight="1" outlineLevel="1">
      <c r="A3450" s="453"/>
      <c r="C3450" s="51"/>
      <c r="D3450" s="4295"/>
      <c r="E3450" s="4295"/>
      <c r="F3450" s="4307" t="str">
        <f>$E$1878</f>
        <v>ASHP-SEER18_ROF_MF</v>
      </c>
      <c r="G3450" s="4307"/>
      <c r="H3450" s="4307"/>
      <c r="I3450" s="4307"/>
      <c r="J3450" s="1029" t="str">
        <f>$C$1878</f>
        <v>355000_2024_12_</v>
      </c>
      <c r="K3450" s="1758">
        <v>18</v>
      </c>
      <c r="L3450" s="262"/>
      <c r="M3450" s="1741" t="s">
        <v>2507</v>
      </c>
      <c r="P3450" s="261"/>
      <c r="Q3450" s="209"/>
      <c r="R3450" s="261"/>
      <c r="S3450" s="52"/>
      <c r="T3450" s="181"/>
      <c r="U3450" s="52"/>
      <c r="V3450" s="4295"/>
      <c r="W3450" s="1396">
        <v>18</v>
      </c>
      <c r="X3450" s="1396">
        <v>18</v>
      </c>
      <c r="Y3450" s="1396">
        <v>18</v>
      </c>
      <c r="Z3450" s="1396">
        <v>18</v>
      </c>
      <c r="AA3450" s="1396">
        <v>18</v>
      </c>
      <c r="AB3450" s="1396">
        <v>18</v>
      </c>
      <c r="AC3450" s="211">
        <v>18</v>
      </c>
      <c r="AD3450" s="211">
        <v>18</v>
      </c>
      <c r="AE3450" s="211">
        <v>18</v>
      </c>
      <c r="AF3450" s="271">
        <f t="shared" ref="AF3450:AF3513" si="339">IF(K3450&lt;&gt;"",K3450,"")</f>
        <v>18</v>
      </c>
      <c r="AG3450" s="1396"/>
      <c r="DG3450" s="573"/>
      <c r="DH3450" s="159"/>
      <c r="DI3450" s="1091"/>
      <c r="DJ3450" s="1187"/>
    </row>
    <row r="3451" spans="1:114" ht="15" hidden="1" customHeight="1" outlineLevel="1">
      <c r="A3451" s="453"/>
      <c r="C3451" s="51"/>
      <c r="D3451" s="4295"/>
      <c r="E3451" s="4295"/>
      <c r="F3451" s="4347" t="str">
        <f>$E$1880</f>
        <v>ASHP-SEER18_ROF_MF_CompE</v>
      </c>
      <c r="G3451" s="4347"/>
      <c r="H3451" s="4347"/>
      <c r="I3451" s="4347"/>
      <c r="J3451" s="3471" t="str">
        <f>$C$1880</f>
        <v>355001_2024_12_</v>
      </c>
      <c r="K3451" s="3283">
        <v>18</v>
      </c>
      <c r="L3451" s="3479"/>
      <c r="M3451" s="3293" t="s">
        <v>1945</v>
      </c>
      <c r="P3451" s="261"/>
      <c r="Q3451" s="209"/>
      <c r="R3451" s="261"/>
      <c r="S3451" s="52"/>
      <c r="T3451" s="181"/>
      <c r="U3451" s="52"/>
      <c r="V3451" s="4295"/>
      <c r="W3451" s="1396"/>
      <c r="X3451" s="1396"/>
      <c r="Y3451" s="3265">
        <v>18</v>
      </c>
      <c r="Z3451" s="3262">
        <v>18</v>
      </c>
      <c r="AA3451" s="3262">
        <v>18</v>
      </c>
      <c r="AB3451" s="3262">
        <v>18</v>
      </c>
      <c r="AC3451" s="3286">
        <v>18</v>
      </c>
      <c r="AD3451" s="3286">
        <v>18</v>
      </c>
      <c r="AE3451" s="3286">
        <v>18</v>
      </c>
      <c r="AF3451" s="2236">
        <f t="shared" si="339"/>
        <v>18</v>
      </c>
      <c r="AG3451" s="1396"/>
      <c r="DG3451" s="573"/>
      <c r="DH3451" s="159"/>
      <c r="DI3451" s="1091"/>
      <c r="DJ3451" s="1187"/>
    </row>
    <row r="3452" spans="1:114" ht="15" hidden="1" customHeight="1" outlineLevel="1">
      <c r="A3452" s="453"/>
      <c r="C3452" s="51"/>
      <c r="D3452" s="4295"/>
      <c r="E3452" s="4295"/>
      <c r="F3452" s="4307" t="str">
        <f>$E$1882</f>
        <v>ASHP-SEER19_ROF_MF</v>
      </c>
      <c r="G3452" s="4307"/>
      <c r="H3452" s="4307"/>
      <c r="I3452" s="4307"/>
      <c r="J3452" s="1029" t="str">
        <f>$C$1882</f>
        <v>355050_2024_12_</v>
      </c>
      <c r="K3452" s="1758">
        <v>19</v>
      </c>
      <c r="L3452" s="262"/>
      <c r="M3452" s="1741" t="s">
        <v>2507</v>
      </c>
      <c r="S3452" s="52"/>
      <c r="T3452" s="52"/>
      <c r="U3452" s="52"/>
      <c r="V3452" s="4295"/>
      <c r="W3452" s="1396">
        <v>19</v>
      </c>
      <c r="X3452" s="1396">
        <v>19</v>
      </c>
      <c r="Y3452" s="1396">
        <v>19</v>
      </c>
      <c r="Z3452" s="1396">
        <v>19</v>
      </c>
      <c r="AA3452" s="1396">
        <v>19</v>
      </c>
      <c r="AB3452" s="1396">
        <v>19</v>
      </c>
      <c r="AC3452" s="211">
        <v>19</v>
      </c>
      <c r="AD3452" s="211">
        <v>19</v>
      </c>
      <c r="AE3452" s="211">
        <v>19</v>
      </c>
      <c r="AF3452" s="271">
        <f t="shared" si="339"/>
        <v>19</v>
      </c>
      <c r="AG3452" s="1396"/>
      <c r="DG3452" s="573"/>
      <c r="DH3452" s="159"/>
      <c r="DI3452" s="1091"/>
      <c r="DJ3452" s="1187"/>
    </row>
    <row r="3453" spans="1:114" ht="15" hidden="1" customHeight="1" outlineLevel="1">
      <c r="A3453" s="453"/>
      <c r="C3453" s="51"/>
      <c r="D3453" s="4295"/>
      <c r="E3453" s="4295"/>
      <c r="F3453" s="4347" t="str">
        <f>$E$1884</f>
        <v>ASHP-SEER19_ROF_MF_CompE</v>
      </c>
      <c r="G3453" s="4347"/>
      <c r="H3453" s="4347"/>
      <c r="I3453" s="4347"/>
      <c r="J3453" s="3471" t="str">
        <f>$C$1884</f>
        <v>355051_2024_12_</v>
      </c>
      <c r="K3453" s="3283">
        <v>19</v>
      </c>
      <c r="L3453" s="3479"/>
      <c r="M3453" s="3293" t="s">
        <v>1945</v>
      </c>
      <c r="S3453" s="52"/>
      <c r="T3453" s="52"/>
      <c r="U3453" s="52"/>
      <c r="V3453" s="4295"/>
      <c r="W3453" s="1396"/>
      <c r="X3453" s="1396"/>
      <c r="Y3453" s="3265">
        <v>19</v>
      </c>
      <c r="Z3453" s="3262">
        <v>19</v>
      </c>
      <c r="AA3453" s="3262">
        <v>19</v>
      </c>
      <c r="AB3453" s="3262">
        <v>19</v>
      </c>
      <c r="AC3453" s="3286">
        <v>19</v>
      </c>
      <c r="AD3453" s="3286">
        <v>19</v>
      </c>
      <c r="AE3453" s="3286">
        <v>19</v>
      </c>
      <c r="AF3453" s="2236">
        <f t="shared" si="339"/>
        <v>19</v>
      </c>
      <c r="AG3453" s="1396"/>
      <c r="DG3453" s="573"/>
      <c r="DH3453" s="159"/>
      <c r="DI3453" s="1091"/>
      <c r="DJ3453" s="1187"/>
    </row>
    <row r="3454" spans="1:114" ht="15" hidden="1" customHeight="1" outlineLevel="1">
      <c r="A3454" s="453"/>
      <c r="C3454" s="51"/>
      <c r="D3454" s="4295"/>
      <c r="E3454" s="4295"/>
      <c r="F3454" s="4307" t="str">
        <f>$E$1886</f>
        <v>ASHP-SEER20_ROF_MF</v>
      </c>
      <c r="G3454" s="4307"/>
      <c r="H3454" s="4307"/>
      <c r="I3454" s="4307"/>
      <c r="J3454" s="1029" t="str">
        <f>$C$1886</f>
        <v>355100_2024_12_</v>
      </c>
      <c r="K3454" s="1758">
        <v>20</v>
      </c>
      <c r="L3454" s="262"/>
      <c r="M3454" s="1741" t="s">
        <v>2507</v>
      </c>
      <c r="S3454" s="52"/>
      <c r="T3454" s="52"/>
      <c r="U3454" s="52"/>
      <c r="V3454" s="4295"/>
      <c r="W3454" s="1396">
        <v>20</v>
      </c>
      <c r="X3454" s="1396">
        <v>20</v>
      </c>
      <c r="Y3454" s="1396">
        <v>20</v>
      </c>
      <c r="Z3454" s="1396">
        <v>20</v>
      </c>
      <c r="AA3454" s="1396">
        <v>20</v>
      </c>
      <c r="AB3454" s="1396">
        <v>20</v>
      </c>
      <c r="AC3454" s="211">
        <v>20</v>
      </c>
      <c r="AD3454" s="211">
        <v>20</v>
      </c>
      <c r="AE3454" s="211">
        <v>20</v>
      </c>
      <c r="AF3454" s="271">
        <f t="shared" si="339"/>
        <v>20</v>
      </c>
      <c r="AG3454" s="1396"/>
      <c r="DG3454" s="573"/>
      <c r="DH3454" s="159"/>
      <c r="DI3454" s="1091"/>
      <c r="DJ3454" s="1187"/>
    </row>
    <row r="3455" spans="1:114" ht="15" hidden="1" customHeight="1" outlineLevel="1">
      <c r="A3455" s="453"/>
      <c r="C3455" s="51"/>
      <c r="D3455" s="4295"/>
      <c r="E3455" s="4295"/>
      <c r="F3455" s="4347" t="str">
        <f>$E$1888</f>
        <v>ASHP-SEER20_ROF_MF_CompE</v>
      </c>
      <c r="G3455" s="4347"/>
      <c r="H3455" s="4347"/>
      <c r="I3455" s="4347"/>
      <c r="J3455" s="3471" t="str">
        <f>$C$1888</f>
        <v>355101_2024_12_</v>
      </c>
      <c r="K3455" s="3283">
        <v>20</v>
      </c>
      <c r="L3455" s="3479"/>
      <c r="M3455" s="3293" t="s">
        <v>1945</v>
      </c>
      <c r="S3455" s="52"/>
      <c r="T3455" s="52"/>
      <c r="U3455" s="52"/>
      <c r="V3455" s="4295"/>
      <c r="W3455" s="1396"/>
      <c r="X3455" s="1396"/>
      <c r="Y3455" s="3265">
        <v>20</v>
      </c>
      <c r="Z3455" s="3262">
        <v>20</v>
      </c>
      <c r="AA3455" s="3262">
        <v>20</v>
      </c>
      <c r="AB3455" s="3262">
        <v>20</v>
      </c>
      <c r="AC3455" s="3286">
        <v>20</v>
      </c>
      <c r="AD3455" s="3286">
        <v>20</v>
      </c>
      <c r="AE3455" s="3286">
        <v>20</v>
      </c>
      <c r="AF3455" s="2236">
        <f t="shared" si="339"/>
        <v>20</v>
      </c>
      <c r="AG3455" s="1396"/>
      <c r="DG3455" s="573"/>
      <c r="DH3455" s="159"/>
      <c r="DI3455" s="1091"/>
      <c r="DJ3455" s="1187"/>
    </row>
    <row r="3456" spans="1:114" ht="15.75" hidden="1" customHeight="1" outlineLevel="1">
      <c r="A3456" s="453"/>
      <c r="C3456" s="51"/>
      <c r="D3456" s="4295"/>
      <c r="E3456" s="4295"/>
      <c r="F3456" s="4307" t="str">
        <f>$E$1890</f>
        <v>ASHP-SEER21_ROF_MF</v>
      </c>
      <c r="G3456" s="4307"/>
      <c r="H3456" s="4307"/>
      <c r="I3456" s="4307"/>
      <c r="J3456" s="1029" t="str">
        <f>$C$1890</f>
        <v>355150_2024_12_</v>
      </c>
      <c r="K3456" s="1758">
        <v>21</v>
      </c>
      <c r="L3456" s="262"/>
      <c r="M3456" s="1741" t="s">
        <v>2507</v>
      </c>
      <c r="P3456" s="261"/>
      <c r="Q3456" s="209"/>
      <c r="R3456" s="261"/>
      <c r="S3456" s="52"/>
      <c r="T3456" s="181"/>
      <c r="U3456" s="52"/>
      <c r="V3456" s="4295"/>
      <c r="W3456" s="1396">
        <v>21</v>
      </c>
      <c r="X3456" s="1396">
        <v>21</v>
      </c>
      <c r="Y3456" s="1396">
        <v>21</v>
      </c>
      <c r="Z3456" s="1396">
        <v>21</v>
      </c>
      <c r="AA3456" s="1396">
        <v>21</v>
      </c>
      <c r="AB3456" s="1396">
        <v>21</v>
      </c>
      <c r="AC3456" s="211">
        <v>21</v>
      </c>
      <c r="AD3456" s="211">
        <v>21</v>
      </c>
      <c r="AE3456" s="211">
        <v>21</v>
      </c>
      <c r="AF3456" s="271">
        <f t="shared" si="339"/>
        <v>21</v>
      </c>
      <c r="AG3456" s="1396"/>
      <c r="DG3456" s="573"/>
      <c r="DH3456" s="159"/>
      <c r="DI3456" s="1091"/>
      <c r="DJ3456" s="1187"/>
    </row>
    <row r="3457" spans="1:114" ht="15.75" hidden="1" customHeight="1" outlineLevel="1">
      <c r="A3457" s="453"/>
      <c r="C3457" s="51"/>
      <c r="D3457" s="4295"/>
      <c r="E3457" s="4295"/>
      <c r="F3457" s="4347" t="str">
        <f>$E$1892</f>
        <v>ASHP-SEER21_ROF_MF_CompE</v>
      </c>
      <c r="G3457" s="4347"/>
      <c r="H3457" s="4347"/>
      <c r="I3457" s="4347"/>
      <c r="J3457" s="3471" t="str">
        <f>$C$1892</f>
        <v>355151_2024_12_</v>
      </c>
      <c r="K3457" s="3283">
        <v>21</v>
      </c>
      <c r="L3457" s="3479"/>
      <c r="M3457" s="3483" t="s">
        <v>1945</v>
      </c>
      <c r="P3457" s="261"/>
      <c r="Q3457" s="209"/>
      <c r="R3457" s="261"/>
      <c r="S3457" s="52"/>
      <c r="T3457" s="181"/>
      <c r="U3457" s="52"/>
      <c r="V3457" s="4295"/>
      <c r="W3457" s="1396"/>
      <c r="X3457" s="1396"/>
      <c r="Y3457" s="3265">
        <v>21</v>
      </c>
      <c r="Z3457" s="3262">
        <v>21</v>
      </c>
      <c r="AA3457" s="3262">
        <v>21</v>
      </c>
      <c r="AB3457" s="3262">
        <v>21</v>
      </c>
      <c r="AC3457" s="3286">
        <v>21</v>
      </c>
      <c r="AD3457" s="3286">
        <v>21</v>
      </c>
      <c r="AE3457" s="3286">
        <v>21</v>
      </c>
      <c r="AF3457" s="2236">
        <f t="shared" si="339"/>
        <v>21</v>
      </c>
      <c r="AG3457" s="1396"/>
      <c r="DG3457" s="573"/>
      <c r="DH3457" s="159"/>
      <c r="DI3457" s="1091"/>
      <c r="DJ3457" s="1187"/>
    </row>
    <row r="3458" spans="1:114" ht="15" hidden="1" customHeight="1" outlineLevel="1">
      <c r="A3458" s="453"/>
      <c r="C3458" s="51"/>
      <c r="D3458" s="4303" t="s">
        <v>1089</v>
      </c>
      <c r="E3458" s="4295" t="s">
        <v>2068</v>
      </c>
      <c r="F3458" s="4307" t="str">
        <f>$E$1508</f>
        <v>ASHP-SEER15-Replace_CAC_ElectricHeat_ER1_SF</v>
      </c>
      <c r="G3458" s="4307"/>
      <c r="H3458" s="4307"/>
      <c r="I3458" s="4307"/>
      <c r="J3458" s="1029" t="str">
        <f>$C$1508</f>
        <v>352300_2024_12_</v>
      </c>
      <c r="K3458" s="1775">
        <v>1</v>
      </c>
      <c r="L3458" s="13"/>
      <c r="M3458" s="1378"/>
      <c r="P3458" s="261"/>
      <c r="Q3458" s="261"/>
      <c r="R3458" s="261"/>
      <c r="S3458" s="52"/>
      <c r="T3458" s="181"/>
      <c r="U3458" s="52"/>
      <c r="V3458" s="4295" t="s">
        <v>1089</v>
      </c>
      <c r="W3458" s="241">
        <v>1</v>
      </c>
      <c r="X3458" s="241">
        <v>1</v>
      </c>
      <c r="Y3458" s="241">
        <v>1</v>
      </c>
      <c r="Z3458" s="241">
        <v>1</v>
      </c>
      <c r="AA3458" s="241">
        <v>1</v>
      </c>
      <c r="AB3458" s="241">
        <v>1</v>
      </c>
      <c r="AC3458" s="241">
        <v>1</v>
      </c>
      <c r="AD3458" s="241">
        <v>1</v>
      </c>
      <c r="AE3458" s="241">
        <v>1</v>
      </c>
      <c r="AF3458" s="271">
        <f t="shared" si="339"/>
        <v>1</v>
      </c>
      <c r="AG3458" s="241"/>
      <c r="DG3458" s="573"/>
      <c r="DH3458" s="159"/>
      <c r="DI3458" s="1091"/>
      <c r="DJ3458" s="1187"/>
    </row>
    <row r="3459" spans="1:114" ht="15" hidden="1" customHeight="1" outlineLevel="1">
      <c r="A3459" s="453"/>
      <c r="C3459" s="51"/>
      <c r="D3459" s="4303"/>
      <c r="E3459" s="4295"/>
      <c r="F3459" s="4307" t="str">
        <f>$E$1510</f>
        <v>ASHP-SEER15-Replace_CAC_ElectricHeat_ER2_SF</v>
      </c>
      <c r="G3459" s="4307"/>
      <c r="H3459" s="4307"/>
      <c r="I3459" s="4307"/>
      <c r="J3459" s="1029" t="str">
        <f>$C$1510</f>
        <v>352300_2024_12_</v>
      </c>
      <c r="K3459" s="1775">
        <v>1</v>
      </c>
      <c r="L3459" s="13"/>
      <c r="M3459" s="1378"/>
      <c r="P3459" s="261"/>
      <c r="Q3459" s="261"/>
      <c r="R3459" s="261"/>
      <c r="S3459" s="52"/>
      <c r="T3459" s="181"/>
      <c r="U3459" s="52"/>
      <c r="V3459" s="4295"/>
      <c r="W3459" s="241">
        <v>1</v>
      </c>
      <c r="X3459" s="241">
        <v>1</v>
      </c>
      <c r="Y3459" s="241">
        <v>1</v>
      </c>
      <c r="Z3459" s="241">
        <v>1</v>
      </c>
      <c r="AA3459" s="241">
        <v>1</v>
      </c>
      <c r="AB3459" s="241">
        <v>1</v>
      </c>
      <c r="AC3459" s="241">
        <v>1</v>
      </c>
      <c r="AD3459" s="241">
        <v>1</v>
      </c>
      <c r="AE3459" s="241">
        <v>1</v>
      </c>
      <c r="AF3459" s="271">
        <f t="shared" si="339"/>
        <v>1</v>
      </c>
      <c r="AG3459" s="241"/>
      <c r="DG3459" s="573"/>
      <c r="DH3459" s="159"/>
      <c r="DI3459" s="1091"/>
      <c r="DJ3459" s="1187"/>
    </row>
    <row r="3460" spans="1:114" ht="15" hidden="1" customHeight="1" outlineLevel="1">
      <c r="A3460" s="453"/>
      <c r="C3460" s="51"/>
      <c r="D3460" s="4303"/>
      <c r="E3460" s="4295"/>
      <c r="F3460" s="4307" t="str">
        <f>$E$1512</f>
        <v>ASHP-SEER15-Replace_CAC_NonElectricHeat_ER1_SF</v>
      </c>
      <c r="G3460" s="4307"/>
      <c r="H3460" s="4307"/>
      <c r="I3460" s="4307"/>
      <c r="J3460" s="1029" t="str">
        <f>$C$1512</f>
        <v>352310_2024_12_</v>
      </c>
      <c r="K3460" s="1775">
        <v>1</v>
      </c>
      <c r="L3460" s="13"/>
      <c r="M3460" s="1378"/>
      <c r="P3460" s="261"/>
      <c r="Q3460" s="261"/>
      <c r="R3460" s="261"/>
      <c r="S3460" s="52"/>
      <c r="T3460" s="181"/>
      <c r="U3460" s="52"/>
      <c r="V3460" s="4295"/>
      <c r="W3460" s="241"/>
      <c r="X3460" s="241"/>
      <c r="Y3460" s="241"/>
      <c r="Z3460" s="241"/>
      <c r="AA3460" s="241"/>
      <c r="AB3460" s="241"/>
      <c r="AC3460" s="239">
        <v>1</v>
      </c>
      <c r="AD3460" s="241">
        <v>1</v>
      </c>
      <c r="AE3460" s="241">
        <v>1</v>
      </c>
      <c r="AF3460" s="271">
        <f t="shared" si="339"/>
        <v>1</v>
      </c>
      <c r="AG3460" s="241"/>
      <c r="DG3460" s="573"/>
      <c r="DH3460" s="159"/>
      <c r="DI3460" s="1091"/>
      <c r="DJ3460" s="1187"/>
    </row>
    <row r="3461" spans="1:114" ht="15" hidden="1" customHeight="1" outlineLevel="1">
      <c r="A3461" s="453"/>
      <c r="C3461" s="51"/>
      <c r="D3461" s="4303"/>
      <c r="E3461" s="4295"/>
      <c r="F3461" s="4307" t="str">
        <f>$E$1514</f>
        <v>ASHP-SEER15-Replace_CAC_NonElectricHeat_ER2_SF</v>
      </c>
      <c r="G3461" s="4307"/>
      <c r="H3461" s="4307"/>
      <c r="I3461" s="4307"/>
      <c r="J3461" s="1029" t="str">
        <f>$C$1514</f>
        <v>352310_2024_12_</v>
      </c>
      <c r="K3461" s="1775">
        <v>1</v>
      </c>
      <c r="L3461" s="13"/>
      <c r="M3461" s="1378"/>
      <c r="P3461" s="261"/>
      <c r="Q3461" s="261"/>
      <c r="R3461" s="261"/>
      <c r="S3461" s="52"/>
      <c r="T3461" s="181"/>
      <c r="U3461" s="52"/>
      <c r="V3461" s="4295"/>
      <c r="W3461" s="241"/>
      <c r="X3461" s="241"/>
      <c r="Y3461" s="241"/>
      <c r="Z3461" s="241"/>
      <c r="AA3461" s="241"/>
      <c r="AB3461" s="241"/>
      <c r="AC3461" s="239">
        <v>1</v>
      </c>
      <c r="AD3461" s="241">
        <v>1</v>
      </c>
      <c r="AE3461" s="241">
        <v>1</v>
      </c>
      <c r="AF3461" s="271">
        <f t="shared" si="339"/>
        <v>1</v>
      </c>
      <c r="AG3461" s="241"/>
      <c r="DG3461" s="573"/>
      <c r="DH3461" s="159"/>
      <c r="DI3461" s="1091"/>
      <c r="DJ3461" s="1187"/>
    </row>
    <row r="3462" spans="1:114" ht="15" hidden="1" customHeight="1" outlineLevel="1">
      <c r="A3462" s="453"/>
      <c r="C3462" s="51"/>
      <c r="D3462" s="4303"/>
      <c r="E3462" s="4295"/>
      <c r="F3462" s="4307" t="str">
        <f>$E$1516</f>
        <v>ASHP-SEER15_ER1_SF</v>
      </c>
      <c r="G3462" s="4307"/>
      <c r="H3462" s="4307"/>
      <c r="I3462" s="4307"/>
      <c r="J3462" s="1029" t="str">
        <f>$C$1516</f>
        <v>352350_2024_12_</v>
      </c>
      <c r="K3462" s="1775">
        <v>1</v>
      </c>
      <c r="L3462" s="13"/>
      <c r="M3462" s="1378"/>
      <c r="P3462" s="261"/>
      <c r="Q3462" s="261"/>
      <c r="R3462" s="261"/>
      <c r="S3462" s="52"/>
      <c r="T3462" s="181"/>
      <c r="U3462" s="52"/>
      <c r="V3462" s="4295"/>
      <c r="W3462" s="241">
        <v>1</v>
      </c>
      <c r="X3462" s="241">
        <v>1</v>
      </c>
      <c r="Y3462" s="241">
        <v>1</v>
      </c>
      <c r="Z3462" s="241">
        <v>1</v>
      </c>
      <c r="AA3462" s="241">
        <v>1</v>
      </c>
      <c r="AB3462" s="241">
        <v>1</v>
      </c>
      <c r="AC3462" s="241">
        <v>1</v>
      </c>
      <c r="AD3462" s="241">
        <v>1</v>
      </c>
      <c r="AE3462" s="241">
        <v>1</v>
      </c>
      <c r="AF3462" s="271">
        <f t="shared" si="339"/>
        <v>1</v>
      </c>
      <c r="AG3462" s="241"/>
      <c r="DG3462" s="573"/>
      <c r="DH3462" s="159"/>
      <c r="DI3462" s="1091"/>
      <c r="DJ3462" s="1187"/>
    </row>
    <row r="3463" spans="1:114" ht="15" hidden="1" customHeight="1" outlineLevel="1">
      <c r="A3463" s="453"/>
      <c r="C3463" s="51"/>
      <c r="D3463" s="4303"/>
      <c r="E3463" s="4295"/>
      <c r="F3463" s="4307" t="str">
        <f>$E$1518</f>
        <v>ASHP-SEER15_ER2_SF</v>
      </c>
      <c r="G3463" s="4307"/>
      <c r="H3463" s="4307"/>
      <c r="I3463" s="4307"/>
      <c r="J3463" s="1029" t="str">
        <f>$C$1518</f>
        <v>352350_2024_12_</v>
      </c>
      <c r="K3463" s="1775">
        <v>1</v>
      </c>
      <c r="L3463" s="13"/>
      <c r="M3463" s="1378"/>
      <c r="P3463" s="261"/>
      <c r="Q3463" s="261"/>
      <c r="R3463" s="261"/>
      <c r="S3463" s="52"/>
      <c r="T3463" s="181"/>
      <c r="U3463" s="52"/>
      <c r="V3463" s="4295"/>
      <c r="W3463" s="241">
        <v>1</v>
      </c>
      <c r="X3463" s="241">
        <v>1</v>
      </c>
      <c r="Y3463" s="241">
        <v>1</v>
      </c>
      <c r="Z3463" s="241">
        <v>1</v>
      </c>
      <c r="AA3463" s="241">
        <v>1</v>
      </c>
      <c r="AB3463" s="241">
        <v>1</v>
      </c>
      <c r="AC3463" s="241">
        <v>1</v>
      </c>
      <c r="AD3463" s="241">
        <v>1</v>
      </c>
      <c r="AE3463" s="241">
        <v>1</v>
      </c>
      <c r="AF3463" s="271">
        <f t="shared" si="339"/>
        <v>1</v>
      </c>
      <c r="AG3463" s="241"/>
      <c r="DG3463" s="573"/>
      <c r="DH3463" s="159"/>
      <c r="DI3463" s="1091"/>
      <c r="DJ3463" s="1187"/>
    </row>
    <row r="3464" spans="1:114" ht="15" hidden="1" customHeight="1" outlineLevel="1">
      <c r="A3464" s="453"/>
      <c r="C3464" s="51"/>
      <c r="D3464" s="4303"/>
      <c r="E3464" s="4295"/>
      <c r="F3464" s="4307" t="str">
        <f>$E$1520</f>
        <v>ASHP-SEER15-Replace_CAC_ElectricHeat_ROF_SF</v>
      </c>
      <c r="G3464" s="4307"/>
      <c r="H3464" s="4307"/>
      <c r="I3464" s="4307"/>
      <c r="J3464" s="1029" t="str">
        <f>$C$1520</f>
        <v>352400_2024_12_</v>
      </c>
      <c r="K3464" s="1775">
        <v>1</v>
      </c>
      <c r="L3464" s="13"/>
      <c r="M3464" s="1378"/>
      <c r="P3464" s="261"/>
      <c r="Q3464" s="261"/>
      <c r="R3464" s="261"/>
      <c r="S3464" s="52"/>
      <c r="T3464" s="181"/>
      <c r="U3464" s="52"/>
      <c r="V3464" s="4295"/>
      <c r="W3464" s="241">
        <v>1</v>
      </c>
      <c r="X3464" s="241">
        <v>1</v>
      </c>
      <c r="Y3464" s="241">
        <v>1</v>
      </c>
      <c r="Z3464" s="241">
        <v>1</v>
      </c>
      <c r="AA3464" s="241">
        <v>1</v>
      </c>
      <c r="AB3464" s="241">
        <v>1</v>
      </c>
      <c r="AC3464" s="241">
        <v>1</v>
      </c>
      <c r="AD3464" s="241">
        <v>1</v>
      </c>
      <c r="AE3464" s="241">
        <v>1</v>
      </c>
      <c r="AF3464" s="271">
        <f t="shared" si="339"/>
        <v>1</v>
      </c>
      <c r="AG3464" s="241"/>
      <c r="DG3464" s="573"/>
      <c r="DH3464" s="159"/>
      <c r="DI3464" s="1091"/>
      <c r="DJ3464" s="1187"/>
    </row>
    <row r="3465" spans="1:114" ht="15" hidden="1" customHeight="1" outlineLevel="1">
      <c r="A3465" s="453"/>
      <c r="C3465" s="51"/>
      <c r="D3465" s="4303"/>
      <c r="E3465" s="4295"/>
      <c r="F3465" s="4307" t="str">
        <f>$E$1522</f>
        <v>ASHP-SEER15-Replace_CAC_NonElectricHeat_ROF_SF</v>
      </c>
      <c r="G3465" s="4307"/>
      <c r="H3465" s="4307"/>
      <c r="I3465" s="4307"/>
      <c r="J3465" s="1029" t="str">
        <f>$C$1522</f>
        <v>352410_2024_12_</v>
      </c>
      <c r="K3465" s="1775">
        <v>1</v>
      </c>
      <c r="L3465" s="13"/>
      <c r="M3465" s="1378"/>
      <c r="P3465" s="261"/>
      <c r="Q3465" s="261"/>
      <c r="R3465" s="261"/>
      <c r="S3465" s="52"/>
      <c r="T3465" s="181"/>
      <c r="U3465" s="52"/>
      <c r="V3465" s="4295"/>
      <c r="W3465" s="241"/>
      <c r="X3465" s="241"/>
      <c r="Y3465" s="241"/>
      <c r="Z3465" s="241"/>
      <c r="AA3465" s="241"/>
      <c r="AB3465" s="241"/>
      <c r="AC3465" s="239">
        <v>1</v>
      </c>
      <c r="AD3465" s="241">
        <v>1</v>
      </c>
      <c r="AE3465" s="241">
        <v>1</v>
      </c>
      <c r="AF3465" s="271">
        <f t="shared" si="339"/>
        <v>1</v>
      </c>
      <c r="AG3465" s="241"/>
      <c r="DG3465" s="573"/>
      <c r="DH3465" s="159"/>
      <c r="DI3465" s="1091"/>
      <c r="DJ3465" s="1187"/>
    </row>
    <row r="3466" spans="1:114" ht="15" hidden="1" customHeight="1" outlineLevel="1">
      <c r="A3466" s="453"/>
      <c r="C3466" s="51"/>
      <c r="D3466" s="4303"/>
      <c r="E3466" s="4295"/>
      <c r="F3466" s="4347" t="str">
        <f>$E$1524</f>
        <v>ASHP-SEER15_ROF_SF</v>
      </c>
      <c r="G3466" s="4347"/>
      <c r="H3466" s="4347"/>
      <c r="I3466" s="4347"/>
      <c r="J3466" s="3471" t="str">
        <f>$C$1524</f>
        <v>352450_2024_12_</v>
      </c>
      <c r="K3466" s="3376">
        <v>1</v>
      </c>
      <c r="L3466" s="13"/>
      <c r="M3466" s="1378"/>
      <c r="P3466" s="261"/>
      <c r="Q3466" s="261"/>
      <c r="R3466" s="261"/>
      <c r="S3466" s="52"/>
      <c r="T3466" s="181"/>
      <c r="U3466" s="52"/>
      <c r="V3466" s="4295"/>
      <c r="W3466" s="3380">
        <v>1</v>
      </c>
      <c r="X3466" s="3380">
        <v>1</v>
      </c>
      <c r="Y3466" s="3380">
        <v>1</v>
      </c>
      <c r="Z3466" s="3380">
        <v>1</v>
      </c>
      <c r="AA3466" s="3380">
        <v>1</v>
      </c>
      <c r="AB3466" s="3380">
        <v>1</v>
      </c>
      <c r="AC3466" s="3380">
        <v>1</v>
      </c>
      <c r="AD3466" s="3380">
        <v>1</v>
      </c>
      <c r="AE3466" s="3380">
        <v>1</v>
      </c>
      <c r="AF3466" s="2236">
        <f t="shared" si="339"/>
        <v>1</v>
      </c>
      <c r="AG3466" s="241"/>
      <c r="DG3466" s="573"/>
      <c r="DH3466" s="159"/>
      <c r="DI3466" s="1091"/>
      <c r="DJ3466" s="1187"/>
    </row>
    <row r="3467" spans="1:114" ht="15" hidden="1" customHeight="1" outlineLevel="1">
      <c r="A3467" s="453"/>
      <c r="C3467" s="51"/>
      <c r="D3467" s="4303"/>
      <c r="E3467" s="4295"/>
      <c r="F3467" s="4307" t="str">
        <f>$E$1526</f>
        <v>ASHP-SEER16-Replace_CAC_ElectricHeat_ER1_SF</v>
      </c>
      <c r="G3467" s="4307"/>
      <c r="H3467" s="4307"/>
      <c r="I3467" s="4307"/>
      <c r="J3467" s="1029" t="str">
        <f>$C$1526</f>
        <v>352500_2024_12_</v>
      </c>
      <c r="K3467" s="1775">
        <v>1</v>
      </c>
      <c r="L3467" s="13"/>
      <c r="M3467" s="1378"/>
      <c r="P3467" s="261"/>
      <c r="Q3467" s="261"/>
      <c r="R3467" s="261"/>
      <c r="S3467" s="52"/>
      <c r="T3467" s="181"/>
      <c r="U3467" s="52"/>
      <c r="V3467" s="4295"/>
      <c r="W3467" s="241">
        <v>1</v>
      </c>
      <c r="X3467" s="241">
        <v>1</v>
      </c>
      <c r="Y3467" s="241">
        <v>1</v>
      </c>
      <c r="Z3467" s="241">
        <v>1</v>
      </c>
      <c r="AA3467" s="241">
        <v>1</v>
      </c>
      <c r="AB3467" s="241">
        <v>1</v>
      </c>
      <c r="AC3467" s="241">
        <v>1</v>
      </c>
      <c r="AD3467" s="241">
        <v>1</v>
      </c>
      <c r="AE3467" s="241">
        <v>1</v>
      </c>
      <c r="AF3467" s="271">
        <f t="shared" si="339"/>
        <v>1</v>
      </c>
      <c r="AG3467" s="241"/>
      <c r="DG3467" s="573"/>
      <c r="DH3467" s="159"/>
      <c r="DI3467" s="1091"/>
      <c r="DJ3467" s="1187"/>
    </row>
    <row r="3468" spans="1:114" ht="15" hidden="1" customHeight="1" outlineLevel="1">
      <c r="A3468" s="453"/>
      <c r="C3468" s="51"/>
      <c r="D3468" s="4303"/>
      <c r="E3468" s="4295"/>
      <c r="F3468" s="4307" t="str">
        <f>$E$1528</f>
        <v>ASHP-SEER16-Replace_CAC_ElectricHeat_ER2_SF</v>
      </c>
      <c r="G3468" s="4307"/>
      <c r="H3468" s="4307"/>
      <c r="I3468" s="4307"/>
      <c r="J3468" s="1029" t="str">
        <f>$C$1528</f>
        <v>352500_2024_12_</v>
      </c>
      <c r="K3468" s="1775">
        <v>1</v>
      </c>
      <c r="L3468" s="13"/>
      <c r="M3468" s="1378"/>
      <c r="P3468" s="261"/>
      <c r="Q3468" s="261"/>
      <c r="R3468" s="261"/>
      <c r="S3468" s="52"/>
      <c r="T3468" s="181"/>
      <c r="U3468" s="52"/>
      <c r="V3468" s="4295"/>
      <c r="W3468" s="241">
        <v>1</v>
      </c>
      <c r="X3468" s="241">
        <v>1</v>
      </c>
      <c r="Y3468" s="241">
        <v>1</v>
      </c>
      <c r="Z3468" s="241">
        <v>1</v>
      </c>
      <c r="AA3468" s="241">
        <v>1</v>
      </c>
      <c r="AB3468" s="241">
        <v>1</v>
      </c>
      <c r="AC3468" s="241">
        <v>1</v>
      </c>
      <c r="AD3468" s="241">
        <v>1</v>
      </c>
      <c r="AE3468" s="241">
        <v>1</v>
      </c>
      <c r="AF3468" s="271">
        <f t="shared" si="339"/>
        <v>1</v>
      </c>
      <c r="AG3468" s="241"/>
      <c r="DG3468" s="573"/>
      <c r="DH3468" s="159"/>
      <c r="DI3468" s="1091"/>
      <c r="DJ3468" s="1187"/>
    </row>
    <row r="3469" spans="1:114" ht="15" hidden="1" customHeight="1" outlineLevel="1">
      <c r="A3469" s="453"/>
      <c r="C3469" s="51"/>
      <c r="D3469" s="4303"/>
      <c r="E3469" s="4295"/>
      <c r="F3469" s="4307" t="str">
        <f>$E$1530</f>
        <v>ASHP-SEER16-Replace_CAC_NonElectricHeat_ER1_SF</v>
      </c>
      <c r="G3469" s="4307"/>
      <c r="H3469" s="4307"/>
      <c r="I3469" s="4307"/>
      <c r="J3469" s="1029" t="str">
        <f>$C$1530</f>
        <v>352510_2024_12_</v>
      </c>
      <c r="K3469" s="1775">
        <v>1</v>
      </c>
      <c r="L3469" s="13"/>
      <c r="M3469" s="1378"/>
      <c r="P3469" s="261"/>
      <c r="Q3469" s="261"/>
      <c r="R3469" s="261"/>
      <c r="S3469" s="52"/>
      <c r="T3469" s="181"/>
      <c r="U3469" s="52"/>
      <c r="V3469" s="4295"/>
      <c r="W3469" s="241"/>
      <c r="X3469" s="241"/>
      <c r="Y3469" s="241"/>
      <c r="Z3469" s="241"/>
      <c r="AA3469" s="241"/>
      <c r="AB3469" s="241"/>
      <c r="AC3469" s="239">
        <v>1</v>
      </c>
      <c r="AD3469" s="241">
        <v>1</v>
      </c>
      <c r="AE3469" s="241">
        <v>1</v>
      </c>
      <c r="AF3469" s="271">
        <f t="shared" si="339"/>
        <v>1</v>
      </c>
      <c r="AG3469" s="241"/>
      <c r="DG3469" s="573"/>
      <c r="DH3469" s="159"/>
      <c r="DI3469" s="1091"/>
      <c r="DJ3469" s="1187"/>
    </row>
    <row r="3470" spans="1:114" ht="15" hidden="1" customHeight="1" outlineLevel="1">
      <c r="A3470" s="453"/>
      <c r="C3470" s="51"/>
      <c r="D3470" s="4303"/>
      <c r="E3470" s="4295"/>
      <c r="F3470" s="4307" t="str">
        <f>$E$1532</f>
        <v>ASHP-SEER16-Replace_CAC_NonElectricHeat_ER2_SF</v>
      </c>
      <c r="G3470" s="4307"/>
      <c r="H3470" s="4307"/>
      <c r="I3470" s="4307"/>
      <c r="J3470" s="1029" t="str">
        <f>$C$1532</f>
        <v>352510_2024_12_</v>
      </c>
      <c r="K3470" s="1775">
        <v>1</v>
      </c>
      <c r="L3470" s="13"/>
      <c r="M3470" s="1378"/>
      <c r="P3470" s="261"/>
      <c r="Q3470" s="261"/>
      <c r="R3470" s="261"/>
      <c r="S3470" s="52"/>
      <c r="T3470" s="181"/>
      <c r="U3470" s="52"/>
      <c r="V3470" s="4295"/>
      <c r="W3470" s="241"/>
      <c r="X3470" s="241"/>
      <c r="Y3470" s="241"/>
      <c r="Z3470" s="241"/>
      <c r="AA3470" s="241"/>
      <c r="AB3470" s="241"/>
      <c r="AC3470" s="239">
        <v>1</v>
      </c>
      <c r="AD3470" s="241">
        <v>1</v>
      </c>
      <c r="AE3470" s="241">
        <v>1</v>
      </c>
      <c r="AF3470" s="271">
        <f t="shared" si="339"/>
        <v>1</v>
      </c>
      <c r="AG3470" s="241"/>
      <c r="DG3470" s="573"/>
      <c r="DH3470" s="159"/>
      <c r="DI3470" s="1091"/>
      <c r="DJ3470" s="1187"/>
    </row>
    <row r="3471" spans="1:114" ht="15" hidden="1" customHeight="1" outlineLevel="1">
      <c r="A3471" s="453"/>
      <c r="C3471" s="51"/>
      <c r="D3471" s="4303"/>
      <c r="E3471" s="4295"/>
      <c r="F3471" s="4307" t="str">
        <f>$E$1534</f>
        <v>ASHP-SEER16_ER1_SF</v>
      </c>
      <c r="G3471" s="4307"/>
      <c r="H3471" s="4307"/>
      <c r="I3471" s="4307"/>
      <c r="J3471" s="1029" t="str">
        <f>$C$1534</f>
        <v>352550_2024_12_</v>
      </c>
      <c r="K3471" s="1775">
        <v>1</v>
      </c>
      <c r="L3471" s="13"/>
      <c r="M3471" s="1378"/>
      <c r="P3471" s="261"/>
      <c r="Q3471" s="261"/>
      <c r="R3471" s="261"/>
      <c r="S3471" s="52"/>
      <c r="T3471" s="181"/>
      <c r="U3471" s="52"/>
      <c r="V3471" s="4295"/>
      <c r="W3471" s="241">
        <v>1</v>
      </c>
      <c r="X3471" s="241">
        <v>1</v>
      </c>
      <c r="Y3471" s="241">
        <v>1</v>
      </c>
      <c r="Z3471" s="241">
        <v>1</v>
      </c>
      <c r="AA3471" s="241">
        <v>1</v>
      </c>
      <c r="AB3471" s="241">
        <v>1</v>
      </c>
      <c r="AC3471" s="241">
        <v>1</v>
      </c>
      <c r="AD3471" s="241">
        <v>1</v>
      </c>
      <c r="AE3471" s="241">
        <v>1</v>
      </c>
      <c r="AF3471" s="271">
        <f t="shared" si="339"/>
        <v>1</v>
      </c>
      <c r="AG3471" s="241"/>
      <c r="DG3471" s="573"/>
      <c r="DH3471" s="159"/>
      <c r="DI3471" s="1091"/>
      <c r="DJ3471" s="1187"/>
    </row>
    <row r="3472" spans="1:114" ht="15" hidden="1" customHeight="1" outlineLevel="1">
      <c r="A3472" s="453"/>
      <c r="C3472" s="51"/>
      <c r="D3472" s="4303"/>
      <c r="E3472" s="4295"/>
      <c r="F3472" s="4307" t="str">
        <f>$E$1536</f>
        <v>ASHP-SEER16_ER2_SF</v>
      </c>
      <c r="G3472" s="4307"/>
      <c r="H3472" s="4307"/>
      <c r="I3472" s="4307"/>
      <c r="J3472" s="1029" t="str">
        <f>$C$1536</f>
        <v>352550_2024_12_</v>
      </c>
      <c r="K3472" s="1775">
        <v>1</v>
      </c>
      <c r="L3472" s="262"/>
      <c r="M3472" s="1378"/>
      <c r="P3472" s="261"/>
      <c r="Q3472" s="261"/>
      <c r="R3472" s="261"/>
      <c r="S3472" s="52"/>
      <c r="T3472" s="181"/>
      <c r="U3472" s="52"/>
      <c r="V3472" s="4295"/>
      <c r="W3472" s="241">
        <v>1</v>
      </c>
      <c r="X3472" s="241">
        <v>1</v>
      </c>
      <c r="Y3472" s="241">
        <v>1</v>
      </c>
      <c r="Z3472" s="241">
        <v>1</v>
      </c>
      <c r="AA3472" s="241">
        <v>1</v>
      </c>
      <c r="AB3472" s="241">
        <v>1</v>
      </c>
      <c r="AC3472" s="241">
        <v>1</v>
      </c>
      <c r="AD3472" s="241">
        <v>1</v>
      </c>
      <c r="AE3472" s="241">
        <v>1</v>
      </c>
      <c r="AF3472" s="271">
        <f t="shared" si="339"/>
        <v>1</v>
      </c>
      <c r="AG3472" s="241"/>
      <c r="DG3472" s="573"/>
      <c r="DH3472" s="159"/>
      <c r="DI3472" s="1091"/>
      <c r="DJ3472" s="1187"/>
    </row>
    <row r="3473" spans="1:114" ht="15" hidden="1" customHeight="1" outlineLevel="1">
      <c r="A3473" s="453"/>
      <c r="C3473" s="51"/>
      <c r="D3473" s="4303"/>
      <c r="E3473" s="4295"/>
      <c r="F3473" s="4307" t="str">
        <f>$E$1538</f>
        <v>ASHP-SEER16-Replace_CAC_ElectricHeat_ROF_SF</v>
      </c>
      <c r="G3473" s="4307"/>
      <c r="H3473" s="4307"/>
      <c r="I3473" s="4307"/>
      <c r="J3473" s="1029" t="str">
        <f>$C$1538</f>
        <v>352600_2024_12_</v>
      </c>
      <c r="K3473" s="1775">
        <v>1</v>
      </c>
      <c r="L3473" s="262"/>
      <c r="M3473" s="1378"/>
      <c r="P3473" s="261"/>
      <c r="Q3473" s="261"/>
      <c r="R3473" s="261"/>
      <c r="S3473" s="52"/>
      <c r="T3473" s="181"/>
      <c r="U3473" s="52"/>
      <c r="V3473" s="4295"/>
      <c r="W3473" s="241">
        <v>1</v>
      </c>
      <c r="X3473" s="241">
        <v>1</v>
      </c>
      <c r="Y3473" s="241">
        <v>1</v>
      </c>
      <c r="Z3473" s="241">
        <v>1</v>
      </c>
      <c r="AA3473" s="241">
        <v>1</v>
      </c>
      <c r="AB3473" s="241">
        <v>1</v>
      </c>
      <c r="AC3473" s="241">
        <v>1</v>
      </c>
      <c r="AD3473" s="241">
        <v>1</v>
      </c>
      <c r="AE3473" s="241">
        <v>1</v>
      </c>
      <c r="AF3473" s="271">
        <f t="shared" si="339"/>
        <v>1</v>
      </c>
      <c r="AG3473" s="241"/>
      <c r="DG3473" s="573"/>
      <c r="DH3473" s="159"/>
      <c r="DI3473" s="1091"/>
      <c r="DJ3473" s="1187"/>
    </row>
    <row r="3474" spans="1:114" ht="15" hidden="1" customHeight="1" outlineLevel="1">
      <c r="A3474" s="453"/>
      <c r="C3474" s="51"/>
      <c r="D3474" s="4303"/>
      <c r="E3474" s="4295"/>
      <c r="F3474" s="4307" t="str">
        <f>$E$1540</f>
        <v>ASHP-SEER16-Replace_CAC_NonElectricHeat_ROF_SF</v>
      </c>
      <c r="G3474" s="4307"/>
      <c r="H3474" s="4307"/>
      <c r="I3474" s="4307"/>
      <c r="J3474" s="1029" t="str">
        <f>$C$1540</f>
        <v>352610_2024_12_</v>
      </c>
      <c r="K3474" s="1775">
        <v>1</v>
      </c>
      <c r="L3474" s="262"/>
      <c r="M3474" s="1378"/>
      <c r="P3474" s="261"/>
      <c r="Q3474" s="261"/>
      <c r="R3474" s="261"/>
      <c r="S3474" s="52"/>
      <c r="T3474" s="181"/>
      <c r="U3474" s="52"/>
      <c r="V3474" s="4295"/>
      <c r="W3474" s="241"/>
      <c r="X3474" s="241"/>
      <c r="Y3474" s="241"/>
      <c r="Z3474" s="241"/>
      <c r="AA3474" s="241"/>
      <c r="AB3474" s="241"/>
      <c r="AC3474" s="241"/>
      <c r="AD3474" s="239">
        <v>1</v>
      </c>
      <c r="AE3474" s="241">
        <v>1</v>
      </c>
      <c r="AF3474" s="271">
        <f t="shared" si="339"/>
        <v>1</v>
      </c>
      <c r="AG3474" s="241"/>
      <c r="DG3474" s="573"/>
      <c r="DH3474" s="159"/>
      <c r="DI3474" s="1091"/>
      <c r="DJ3474" s="1187"/>
    </row>
    <row r="3475" spans="1:114" ht="15" hidden="1" customHeight="1" outlineLevel="1">
      <c r="A3475" s="453"/>
      <c r="C3475" s="51"/>
      <c r="D3475" s="4303"/>
      <c r="E3475" s="4295"/>
      <c r="F3475" s="4307" t="str">
        <f>$E$1542</f>
        <v>ASHP-SEER16_ROF_SF</v>
      </c>
      <c r="G3475" s="4307"/>
      <c r="H3475" s="4307"/>
      <c r="I3475" s="4307"/>
      <c r="J3475" s="1029" t="str">
        <f>$C$1542</f>
        <v>352650_2024_12_</v>
      </c>
      <c r="K3475" s="1775">
        <v>1</v>
      </c>
      <c r="L3475" s="262"/>
      <c r="M3475" s="1378"/>
      <c r="P3475" s="261"/>
      <c r="Q3475" s="261"/>
      <c r="R3475" s="261"/>
      <c r="S3475" s="52"/>
      <c r="T3475" s="181"/>
      <c r="U3475" s="52"/>
      <c r="V3475" s="4295"/>
      <c r="W3475" s="241">
        <v>1</v>
      </c>
      <c r="X3475" s="241">
        <v>1</v>
      </c>
      <c r="Y3475" s="241">
        <v>1</v>
      </c>
      <c r="Z3475" s="241">
        <v>1</v>
      </c>
      <c r="AA3475" s="241">
        <v>1</v>
      </c>
      <c r="AB3475" s="241">
        <v>1</v>
      </c>
      <c r="AC3475" s="241">
        <v>1</v>
      </c>
      <c r="AD3475" s="241">
        <v>1</v>
      </c>
      <c r="AE3475" s="241">
        <v>1</v>
      </c>
      <c r="AF3475" s="271">
        <f t="shared" si="339"/>
        <v>1</v>
      </c>
      <c r="AG3475" s="241"/>
      <c r="DG3475" s="573"/>
      <c r="DH3475" s="159"/>
      <c r="DI3475" s="1091"/>
      <c r="DJ3475" s="1187"/>
    </row>
    <row r="3476" spans="1:114" ht="15" hidden="1" customHeight="1" outlineLevel="1">
      <c r="A3476" s="453"/>
      <c r="C3476" s="51"/>
      <c r="D3476" s="4303"/>
      <c r="E3476" s="4295"/>
      <c r="F3476" s="4347" t="str">
        <f>$E$1544</f>
        <v>ASHP-SEER15_ER1_MF</v>
      </c>
      <c r="G3476" s="4347"/>
      <c r="H3476" s="4347"/>
      <c r="I3476" s="4347"/>
      <c r="J3476" s="3471" t="str">
        <f>$C$1544</f>
        <v>352700_2024_12_</v>
      </c>
      <c r="K3476" s="3376">
        <v>1</v>
      </c>
      <c r="L3476" s="262"/>
      <c r="M3476" s="1442"/>
      <c r="P3476" s="261"/>
      <c r="Q3476" s="261"/>
      <c r="R3476" s="261"/>
      <c r="S3476" s="52"/>
      <c r="T3476" s="181"/>
      <c r="U3476" s="52"/>
      <c r="V3476" s="4295"/>
      <c r="W3476" s="3380">
        <v>0.65</v>
      </c>
      <c r="X3476" s="3380">
        <v>0.65</v>
      </c>
      <c r="Y3476" s="3380">
        <v>0.65</v>
      </c>
      <c r="Z3476" s="3380">
        <v>0.65</v>
      </c>
      <c r="AA3476" s="3380">
        <v>0.65</v>
      </c>
      <c r="AB3476" s="3380">
        <v>0.65</v>
      </c>
      <c r="AC3476" s="3380">
        <v>0.65</v>
      </c>
      <c r="AD3476" s="3379">
        <v>1</v>
      </c>
      <c r="AE3476" s="3380">
        <v>1</v>
      </c>
      <c r="AF3476" s="2236">
        <f t="shared" si="339"/>
        <v>1</v>
      </c>
      <c r="AG3476" s="241"/>
      <c r="DG3476" s="573"/>
      <c r="DH3476" s="159"/>
      <c r="DI3476" s="1091"/>
      <c r="DJ3476" s="1187"/>
    </row>
    <row r="3477" spans="1:114" ht="15" hidden="1" customHeight="1" outlineLevel="1">
      <c r="A3477" s="453"/>
      <c r="C3477" s="51"/>
      <c r="D3477" s="4303"/>
      <c r="E3477" s="4295"/>
      <c r="F3477" s="4347" t="str">
        <f>$E$1546</f>
        <v>ASHP-SEER15_ER2_MF</v>
      </c>
      <c r="G3477" s="4347"/>
      <c r="H3477" s="4347"/>
      <c r="I3477" s="4347"/>
      <c r="J3477" s="3471" t="str">
        <f>$C$1546</f>
        <v>352700_2024_12_</v>
      </c>
      <c r="K3477" s="3376">
        <v>1</v>
      </c>
      <c r="L3477" s="262"/>
      <c r="M3477" s="1442"/>
      <c r="P3477" s="261"/>
      <c r="Q3477" s="261"/>
      <c r="R3477" s="261"/>
      <c r="S3477" s="52"/>
      <c r="T3477" s="181"/>
      <c r="U3477" s="52"/>
      <c r="V3477" s="4295"/>
      <c r="W3477" s="3380">
        <v>0.65</v>
      </c>
      <c r="X3477" s="3380">
        <v>0.65</v>
      </c>
      <c r="Y3477" s="3380">
        <v>0.65</v>
      </c>
      <c r="Z3477" s="3380">
        <v>0.65</v>
      </c>
      <c r="AA3477" s="3380">
        <v>0.65</v>
      </c>
      <c r="AB3477" s="3380">
        <v>0.65</v>
      </c>
      <c r="AC3477" s="3380">
        <v>0.65</v>
      </c>
      <c r="AD3477" s="3379">
        <v>1</v>
      </c>
      <c r="AE3477" s="3380">
        <v>1</v>
      </c>
      <c r="AF3477" s="2236">
        <f t="shared" si="339"/>
        <v>1</v>
      </c>
      <c r="AG3477" s="241"/>
      <c r="DG3477" s="573"/>
      <c r="DH3477" s="159"/>
      <c r="DI3477" s="1091"/>
      <c r="DJ3477" s="1187"/>
    </row>
    <row r="3478" spans="1:114" ht="15" hidden="1" customHeight="1" outlineLevel="1">
      <c r="A3478" s="453"/>
      <c r="C3478" s="51"/>
      <c r="D3478" s="4303"/>
      <c r="E3478" s="4295"/>
      <c r="F3478" s="4347" t="str">
        <f>$E$1548</f>
        <v>ASHP-SEER15_ER1_MF_CompE</v>
      </c>
      <c r="G3478" s="4347"/>
      <c r="H3478" s="4347"/>
      <c r="I3478" s="4347"/>
      <c r="J3478" s="3471" t="str">
        <f>$C$1548</f>
        <v>352701_2024_12_</v>
      </c>
      <c r="K3478" s="3376">
        <v>1</v>
      </c>
      <c r="L3478" s="262"/>
      <c r="M3478" s="1442"/>
      <c r="P3478" s="261"/>
      <c r="Q3478" s="261"/>
      <c r="R3478" s="261"/>
      <c r="S3478" s="52"/>
      <c r="T3478" s="181"/>
      <c r="U3478" s="52"/>
      <c r="V3478" s="4295"/>
      <c r="W3478" s="3380"/>
      <c r="X3478" s="3380"/>
      <c r="Y3478" s="3379">
        <v>0.65</v>
      </c>
      <c r="Z3478" s="3380">
        <v>0.65</v>
      </c>
      <c r="AA3478" s="3380">
        <v>0.65</v>
      </c>
      <c r="AB3478" s="3380">
        <v>0.65</v>
      </c>
      <c r="AC3478" s="3380">
        <f>AC3476</f>
        <v>0.65</v>
      </c>
      <c r="AD3478" s="3380">
        <v>0.65</v>
      </c>
      <c r="AE3478" s="3379">
        <v>1</v>
      </c>
      <c r="AF3478" s="2236">
        <f t="shared" si="339"/>
        <v>1</v>
      </c>
      <c r="AG3478" s="241"/>
      <c r="DG3478" s="573"/>
      <c r="DH3478" s="159"/>
      <c r="DI3478" s="1091"/>
      <c r="DJ3478" s="1187"/>
    </row>
    <row r="3479" spans="1:114" ht="15" hidden="1" customHeight="1" outlineLevel="1">
      <c r="A3479" s="453"/>
      <c r="C3479" s="51"/>
      <c r="D3479" s="4303"/>
      <c r="E3479" s="4295"/>
      <c r="F3479" s="4347" t="str">
        <f>$E$1550</f>
        <v>ASHP-SEER15_ER2_MF_CompE</v>
      </c>
      <c r="G3479" s="4347"/>
      <c r="H3479" s="4347"/>
      <c r="I3479" s="4347"/>
      <c r="J3479" s="3471" t="str">
        <f>$C$1550</f>
        <v>352701_2024_12_</v>
      </c>
      <c r="K3479" s="3376">
        <v>1</v>
      </c>
      <c r="L3479" s="262"/>
      <c r="M3479" s="1442"/>
      <c r="P3479" s="261"/>
      <c r="Q3479" s="261"/>
      <c r="R3479" s="261"/>
      <c r="S3479" s="52"/>
      <c r="T3479" s="181"/>
      <c r="U3479" s="52"/>
      <c r="V3479" s="4295"/>
      <c r="W3479" s="3380"/>
      <c r="X3479" s="3380"/>
      <c r="Y3479" s="3379">
        <v>0.65</v>
      </c>
      <c r="Z3479" s="3380">
        <v>0.65</v>
      </c>
      <c r="AA3479" s="3380">
        <v>0.65</v>
      </c>
      <c r="AB3479" s="3380">
        <v>0.65</v>
      </c>
      <c r="AC3479" s="3380">
        <f>AC3477</f>
        <v>0.65</v>
      </c>
      <c r="AD3479" s="3380">
        <v>0.65</v>
      </c>
      <c r="AE3479" s="3379">
        <v>1</v>
      </c>
      <c r="AF3479" s="2236">
        <f t="shared" si="339"/>
        <v>1</v>
      </c>
      <c r="AG3479" s="241"/>
      <c r="DG3479" s="573"/>
      <c r="DH3479" s="159"/>
      <c r="DI3479" s="1091"/>
      <c r="DJ3479" s="1187"/>
    </row>
    <row r="3480" spans="1:114" ht="15" hidden="1" customHeight="1" outlineLevel="1">
      <c r="A3480" s="453"/>
      <c r="C3480" s="51"/>
      <c r="D3480" s="4303"/>
      <c r="E3480" s="4295"/>
      <c r="F3480" s="4347" t="str">
        <f>$E$1552</f>
        <v>ASHP-SEER15-Replace_CAC_ElectricHeat_ER1_MF</v>
      </c>
      <c r="G3480" s="4347"/>
      <c r="H3480" s="4347"/>
      <c r="I3480" s="4347"/>
      <c r="J3480" s="3471" t="str">
        <f>$C$1552</f>
        <v>352750_2024_12_</v>
      </c>
      <c r="K3480" s="3376">
        <v>1</v>
      </c>
      <c r="L3480" s="262"/>
      <c r="M3480" s="1442"/>
      <c r="P3480" s="261"/>
      <c r="Q3480" s="261"/>
      <c r="R3480" s="261"/>
      <c r="S3480" s="52"/>
      <c r="T3480" s="181"/>
      <c r="U3480" s="52"/>
      <c r="V3480" s="4295"/>
      <c r="W3480" s="3380">
        <v>0.65</v>
      </c>
      <c r="X3480" s="3380">
        <v>0.65</v>
      </c>
      <c r="Y3480" s="3380">
        <v>0.65</v>
      </c>
      <c r="Z3480" s="3380">
        <v>0.65</v>
      </c>
      <c r="AA3480" s="3380">
        <v>0.65</v>
      </c>
      <c r="AB3480" s="3380">
        <v>0.65</v>
      </c>
      <c r="AC3480" s="3380">
        <v>0.65</v>
      </c>
      <c r="AD3480" s="3379">
        <v>1</v>
      </c>
      <c r="AE3480" s="3380">
        <v>1</v>
      </c>
      <c r="AF3480" s="2236">
        <f t="shared" si="339"/>
        <v>1</v>
      </c>
      <c r="AG3480" s="241"/>
      <c r="DG3480" s="573"/>
      <c r="DH3480" s="159"/>
      <c r="DI3480" s="1091"/>
      <c r="DJ3480" s="1187"/>
    </row>
    <row r="3481" spans="1:114" ht="15" hidden="1" customHeight="1" outlineLevel="1">
      <c r="A3481" s="453"/>
      <c r="C3481" s="51"/>
      <c r="D3481" s="4303"/>
      <c r="E3481" s="4295"/>
      <c r="F3481" s="4347" t="str">
        <f>$E$1554</f>
        <v>ASHP-SEER15-Replace_CAC_ElectricHeat_ER2_MF</v>
      </c>
      <c r="G3481" s="4347"/>
      <c r="H3481" s="4347"/>
      <c r="I3481" s="4347"/>
      <c r="J3481" s="3471" t="str">
        <f>$C$1554</f>
        <v>352750_2024_12_</v>
      </c>
      <c r="K3481" s="3376">
        <v>1</v>
      </c>
      <c r="L3481" s="262"/>
      <c r="M3481" s="1442"/>
      <c r="P3481" s="261"/>
      <c r="Q3481" s="261"/>
      <c r="R3481" s="261"/>
      <c r="S3481" s="52"/>
      <c r="T3481" s="181"/>
      <c r="U3481" s="52"/>
      <c r="V3481" s="4295"/>
      <c r="W3481" s="3380">
        <v>0.65</v>
      </c>
      <c r="X3481" s="3380">
        <v>0.65</v>
      </c>
      <c r="Y3481" s="3380">
        <v>0.65</v>
      </c>
      <c r="Z3481" s="3380">
        <v>0.65</v>
      </c>
      <c r="AA3481" s="3380">
        <v>0.65</v>
      </c>
      <c r="AB3481" s="3380">
        <v>0.65</v>
      </c>
      <c r="AC3481" s="3380">
        <v>0.65</v>
      </c>
      <c r="AD3481" s="3379">
        <v>1</v>
      </c>
      <c r="AE3481" s="3380">
        <v>1</v>
      </c>
      <c r="AF3481" s="2236">
        <f t="shared" si="339"/>
        <v>1</v>
      </c>
      <c r="AG3481" s="241"/>
      <c r="DG3481" s="573"/>
      <c r="DH3481" s="159"/>
      <c r="DI3481" s="1091"/>
      <c r="DJ3481" s="1187"/>
    </row>
    <row r="3482" spans="1:114" ht="15" hidden="1" customHeight="1" outlineLevel="1">
      <c r="A3482" s="453"/>
      <c r="C3482" s="51"/>
      <c r="D3482" s="4303"/>
      <c r="E3482" s="4295"/>
      <c r="F3482" s="4347" t="str">
        <f>$E$1556</f>
        <v>ASHP-SEER15-Replace_CAC_ElectricHeat_ER1_MF_CompE</v>
      </c>
      <c r="G3482" s="4347"/>
      <c r="H3482" s="4347"/>
      <c r="I3482" s="4347"/>
      <c r="J3482" s="3471" t="str">
        <f>$C$1556</f>
        <v>352751_2024_12_</v>
      </c>
      <c r="K3482" s="3376">
        <v>1</v>
      </c>
      <c r="L3482" s="262"/>
      <c r="M3482" s="1442"/>
      <c r="P3482" s="261"/>
      <c r="Q3482" s="261"/>
      <c r="R3482" s="261"/>
      <c r="S3482" s="52"/>
      <c r="T3482" s="181"/>
      <c r="U3482" s="52"/>
      <c r="V3482" s="4295"/>
      <c r="W3482" s="3380"/>
      <c r="X3482" s="3380"/>
      <c r="Y3482" s="3379">
        <v>0.65</v>
      </c>
      <c r="Z3482" s="3380">
        <v>0.65</v>
      </c>
      <c r="AA3482" s="3380">
        <v>0.65</v>
      </c>
      <c r="AB3482" s="3380">
        <v>0.65</v>
      </c>
      <c r="AC3482" s="3380">
        <f>AC3480</f>
        <v>0.65</v>
      </c>
      <c r="AD3482" s="3379">
        <v>1</v>
      </c>
      <c r="AE3482" s="3380">
        <v>1</v>
      </c>
      <c r="AF3482" s="2236">
        <f t="shared" si="339"/>
        <v>1</v>
      </c>
      <c r="AG3482" s="241"/>
      <c r="DG3482" s="573"/>
      <c r="DH3482" s="159"/>
      <c r="DI3482" s="1091"/>
      <c r="DJ3482" s="1187"/>
    </row>
    <row r="3483" spans="1:114" ht="15" hidden="1" customHeight="1" outlineLevel="1">
      <c r="A3483" s="453"/>
      <c r="C3483" s="51"/>
      <c r="D3483" s="4303"/>
      <c r="E3483" s="4295"/>
      <c r="F3483" s="4347" t="str">
        <f>$E$1558</f>
        <v>ASHP-SEER15-Replace_CAC_ElectricHeat_ER2_MF_CompE</v>
      </c>
      <c r="G3483" s="4347"/>
      <c r="H3483" s="4347"/>
      <c r="I3483" s="4347"/>
      <c r="J3483" s="3471" t="str">
        <f>$C$1558</f>
        <v>352751_2024_12_</v>
      </c>
      <c r="K3483" s="3376">
        <v>1</v>
      </c>
      <c r="L3483" s="262"/>
      <c r="M3483" s="1442"/>
      <c r="P3483" s="261"/>
      <c r="Q3483" s="261"/>
      <c r="R3483" s="261"/>
      <c r="S3483" s="52"/>
      <c r="T3483" s="181"/>
      <c r="U3483" s="52"/>
      <c r="V3483" s="4295"/>
      <c r="W3483" s="3380"/>
      <c r="X3483" s="3380"/>
      <c r="Y3483" s="3379">
        <v>0.65</v>
      </c>
      <c r="Z3483" s="3380">
        <v>0.65</v>
      </c>
      <c r="AA3483" s="3380">
        <v>0.65</v>
      </c>
      <c r="AB3483" s="3380">
        <v>0.65</v>
      </c>
      <c r="AC3483" s="3380">
        <f>AC3481</f>
        <v>0.65</v>
      </c>
      <c r="AD3483" s="3379">
        <v>1</v>
      </c>
      <c r="AE3483" s="3380">
        <v>1</v>
      </c>
      <c r="AF3483" s="2236">
        <f t="shared" si="339"/>
        <v>1</v>
      </c>
      <c r="AG3483" s="241"/>
      <c r="DG3483" s="573"/>
      <c r="DH3483" s="159"/>
      <c r="DI3483" s="1091"/>
      <c r="DJ3483" s="1187"/>
    </row>
    <row r="3484" spans="1:114" ht="15" hidden="1" customHeight="1" outlineLevel="1">
      <c r="A3484" s="453"/>
      <c r="C3484" s="51"/>
      <c r="D3484" s="4303"/>
      <c r="E3484" s="4295"/>
      <c r="F3484" s="4347" t="str">
        <f>$E$1560</f>
        <v>ASHP-SEER15-Replace_CAC_NonElectricHeat_ER1_MF</v>
      </c>
      <c r="G3484" s="4347"/>
      <c r="H3484" s="4347"/>
      <c r="I3484" s="4347"/>
      <c r="J3484" s="3471" t="str">
        <f>$C$1560</f>
        <v>352760_2024_12_</v>
      </c>
      <c r="K3484" s="3376">
        <v>1</v>
      </c>
      <c r="L3484" s="262"/>
      <c r="M3484" s="1442"/>
      <c r="P3484" s="261"/>
      <c r="Q3484" s="261"/>
      <c r="R3484" s="261"/>
      <c r="S3484" s="52"/>
      <c r="T3484" s="181"/>
      <c r="U3484" s="52"/>
      <c r="V3484" s="4295"/>
      <c r="W3484" s="3380"/>
      <c r="X3484" s="3380"/>
      <c r="Y3484" s="3379"/>
      <c r="Z3484" s="3380"/>
      <c r="AA3484" s="3380"/>
      <c r="AB3484" s="3380"/>
      <c r="AC3484" s="3379">
        <v>0.65</v>
      </c>
      <c r="AD3484" s="3379">
        <v>1</v>
      </c>
      <c r="AE3484" s="3380">
        <v>1</v>
      </c>
      <c r="AF3484" s="2236">
        <f t="shared" si="339"/>
        <v>1</v>
      </c>
      <c r="AG3484" s="241"/>
      <c r="DG3484" s="573"/>
      <c r="DH3484" s="159"/>
      <c r="DI3484" s="1091"/>
      <c r="DJ3484" s="1187"/>
    </row>
    <row r="3485" spans="1:114" ht="15" hidden="1" customHeight="1" outlineLevel="1">
      <c r="A3485" s="453"/>
      <c r="C3485" s="51"/>
      <c r="D3485" s="4303"/>
      <c r="E3485" s="4295"/>
      <c r="F3485" s="4347" t="str">
        <f>$E$1562</f>
        <v>ASHP-SEER15-Replace_CAC_NonElectricHeat_ER2_MF</v>
      </c>
      <c r="G3485" s="4347"/>
      <c r="H3485" s="4347"/>
      <c r="I3485" s="4347"/>
      <c r="J3485" s="3471" t="str">
        <f>$C$1562</f>
        <v>352760_2024_12_</v>
      </c>
      <c r="K3485" s="3376">
        <v>1</v>
      </c>
      <c r="L3485" s="262"/>
      <c r="M3485" s="1442"/>
      <c r="P3485" s="261"/>
      <c r="Q3485" s="261"/>
      <c r="R3485" s="261"/>
      <c r="S3485" s="52"/>
      <c r="T3485" s="181"/>
      <c r="U3485" s="52"/>
      <c r="V3485" s="4295"/>
      <c r="W3485" s="3380"/>
      <c r="X3485" s="3380"/>
      <c r="Y3485" s="3379"/>
      <c r="Z3485" s="3380"/>
      <c r="AA3485" s="3380"/>
      <c r="AB3485" s="3380"/>
      <c r="AC3485" s="3379">
        <v>0.65</v>
      </c>
      <c r="AD3485" s="3379">
        <v>1</v>
      </c>
      <c r="AE3485" s="3380">
        <v>1</v>
      </c>
      <c r="AF3485" s="2236">
        <f t="shared" si="339"/>
        <v>1</v>
      </c>
      <c r="AG3485" s="241"/>
      <c r="DG3485" s="573"/>
      <c r="DH3485" s="159"/>
      <c r="DI3485" s="1091"/>
      <c r="DJ3485" s="1187"/>
    </row>
    <row r="3486" spans="1:114" ht="15" hidden="1" customHeight="1" outlineLevel="1">
      <c r="A3486" s="453"/>
      <c r="C3486" s="51"/>
      <c r="D3486" s="4303"/>
      <c r="E3486" s="4295"/>
      <c r="F3486" s="4347" t="str">
        <f>$E$1564</f>
        <v>ASHP-SEER15-Replace_CAC_NonElectricHeat_ER1_MF_CompE</v>
      </c>
      <c r="G3486" s="4347"/>
      <c r="H3486" s="4347"/>
      <c r="I3486" s="4347"/>
      <c r="J3486" s="3471" t="str">
        <f>$C$1564</f>
        <v>352761_2024_12_</v>
      </c>
      <c r="K3486" s="3376">
        <v>1</v>
      </c>
      <c r="L3486" s="262"/>
      <c r="M3486" s="1442"/>
      <c r="P3486" s="261"/>
      <c r="Q3486" s="261"/>
      <c r="R3486" s="261"/>
      <c r="S3486" s="52"/>
      <c r="T3486" s="181"/>
      <c r="U3486" s="52"/>
      <c r="V3486" s="4295"/>
      <c r="W3486" s="3380"/>
      <c r="X3486" s="3380"/>
      <c r="Y3486" s="3379"/>
      <c r="Z3486" s="3380"/>
      <c r="AA3486" s="3380"/>
      <c r="AB3486" s="3380"/>
      <c r="AC3486" s="3379">
        <f>AC3484</f>
        <v>0.65</v>
      </c>
      <c r="AD3486" s="3379">
        <v>1</v>
      </c>
      <c r="AE3486" s="3380">
        <v>1</v>
      </c>
      <c r="AF3486" s="2236">
        <f t="shared" si="339"/>
        <v>1</v>
      </c>
      <c r="AG3486" s="241"/>
      <c r="DG3486" s="573"/>
      <c r="DH3486" s="159"/>
      <c r="DI3486" s="1091"/>
      <c r="DJ3486" s="1187"/>
    </row>
    <row r="3487" spans="1:114" ht="15" hidden="1" customHeight="1" outlineLevel="1">
      <c r="A3487" s="453"/>
      <c r="C3487" s="51"/>
      <c r="D3487" s="4303"/>
      <c r="E3487" s="4295"/>
      <c r="F3487" s="4347" t="str">
        <f>$E$1566</f>
        <v>ASHP-SEER15-Replace_CAC_NonElectricHeat_ER2_MF_CompE</v>
      </c>
      <c r="G3487" s="4347"/>
      <c r="H3487" s="4347"/>
      <c r="I3487" s="4347"/>
      <c r="J3487" s="3471" t="str">
        <f>$C$1566</f>
        <v>352761_2024_12_</v>
      </c>
      <c r="K3487" s="3376">
        <v>1</v>
      </c>
      <c r="L3487" s="262"/>
      <c r="M3487" s="1442"/>
      <c r="P3487" s="261"/>
      <c r="Q3487" s="261"/>
      <c r="R3487" s="261"/>
      <c r="S3487" s="52"/>
      <c r="T3487" s="181"/>
      <c r="U3487" s="52"/>
      <c r="V3487" s="4295"/>
      <c r="W3487" s="3380"/>
      <c r="X3487" s="3380"/>
      <c r="Y3487" s="3379"/>
      <c r="Z3487" s="3380"/>
      <c r="AA3487" s="3380"/>
      <c r="AB3487" s="3380"/>
      <c r="AC3487" s="3379">
        <f>AC3485</f>
        <v>0.65</v>
      </c>
      <c r="AD3487" s="3379">
        <v>1</v>
      </c>
      <c r="AE3487" s="3380">
        <v>1</v>
      </c>
      <c r="AF3487" s="2236">
        <f t="shared" si="339"/>
        <v>1</v>
      </c>
      <c r="AG3487" s="241"/>
      <c r="DG3487" s="573"/>
      <c r="DH3487" s="159"/>
      <c r="DI3487" s="1091"/>
      <c r="DJ3487" s="1187"/>
    </row>
    <row r="3488" spans="1:114" ht="15" hidden="1" customHeight="1" outlineLevel="1">
      <c r="A3488" s="453"/>
      <c r="C3488" s="51"/>
      <c r="D3488" s="4303"/>
      <c r="E3488" s="4295"/>
      <c r="F3488" s="4347" t="str">
        <f>$E$1568</f>
        <v>ASHP-SEER15-Replace_CAC_ElectricHeat_ROF_MF</v>
      </c>
      <c r="G3488" s="4347"/>
      <c r="H3488" s="4347"/>
      <c r="I3488" s="4347"/>
      <c r="J3488" s="3471" t="str">
        <f>$C$1568</f>
        <v>352800_2024_12_</v>
      </c>
      <c r="K3488" s="3376">
        <v>1</v>
      </c>
      <c r="L3488" s="262"/>
      <c r="M3488" s="1442"/>
      <c r="P3488" s="261"/>
      <c r="Q3488" s="261"/>
      <c r="R3488" s="261"/>
      <c r="S3488" s="52"/>
      <c r="T3488" s="181"/>
      <c r="U3488" s="52"/>
      <c r="V3488" s="4295"/>
      <c r="W3488" s="3380">
        <v>0.65</v>
      </c>
      <c r="X3488" s="3380">
        <v>0.65</v>
      </c>
      <c r="Y3488" s="3380">
        <v>0.65</v>
      </c>
      <c r="Z3488" s="3380">
        <v>0.65</v>
      </c>
      <c r="AA3488" s="3380">
        <v>0.65</v>
      </c>
      <c r="AB3488" s="3380">
        <v>0.65</v>
      </c>
      <c r="AC3488" s="3380">
        <v>0.65</v>
      </c>
      <c r="AD3488" s="3379">
        <v>1</v>
      </c>
      <c r="AE3488" s="3380">
        <v>1</v>
      </c>
      <c r="AF3488" s="2236">
        <f t="shared" si="339"/>
        <v>1</v>
      </c>
      <c r="AG3488" s="241"/>
      <c r="DG3488" s="573"/>
      <c r="DH3488" s="159"/>
      <c r="DI3488" s="1091"/>
      <c r="DJ3488" s="1187"/>
    </row>
    <row r="3489" spans="1:114" ht="15" hidden="1" customHeight="1" outlineLevel="1">
      <c r="A3489" s="453"/>
      <c r="C3489" s="51"/>
      <c r="D3489" s="4303"/>
      <c r="E3489" s="4295"/>
      <c r="F3489" s="4347" t="str">
        <f>$E$1570</f>
        <v>ASHP-SEER15-Replace_CAC_ElectricHeat_ROF_MF_CompE</v>
      </c>
      <c r="G3489" s="4347"/>
      <c r="H3489" s="4347"/>
      <c r="I3489" s="4347"/>
      <c r="J3489" s="3471" t="str">
        <f>$C$1570</f>
        <v>352801_2024_12_</v>
      </c>
      <c r="K3489" s="3376">
        <v>1</v>
      </c>
      <c r="L3489" s="262"/>
      <c r="M3489" s="1442"/>
      <c r="P3489" s="261"/>
      <c r="Q3489" s="261"/>
      <c r="R3489" s="261"/>
      <c r="S3489" s="52"/>
      <c r="T3489" s="181"/>
      <c r="U3489" s="52"/>
      <c r="V3489" s="4295"/>
      <c r="W3489" s="3380"/>
      <c r="X3489" s="3380"/>
      <c r="Y3489" s="3379">
        <v>1</v>
      </c>
      <c r="Z3489" s="3380">
        <v>1</v>
      </c>
      <c r="AA3489" s="3380">
        <v>1</v>
      </c>
      <c r="AB3489" s="3380">
        <v>1</v>
      </c>
      <c r="AC3489" s="3379">
        <v>0.65</v>
      </c>
      <c r="AD3489" s="3379">
        <v>1</v>
      </c>
      <c r="AE3489" s="3380">
        <v>1</v>
      </c>
      <c r="AF3489" s="2236">
        <f t="shared" si="339"/>
        <v>1</v>
      </c>
      <c r="AG3489" s="241"/>
      <c r="DG3489" s="573"/>
      <c r="DH3489" s="159"/>
      <c r="DI3489" s="1091"/>
      <c r="DJ3489" s="1187"/>
    </row>
    <row r="3490" spans="1:114" ht="15" hidden="1" customHeight="1" outlineLevel="1">
      <c r="A3490" s="453"/>
      <c r="C3490" s="51"/>
      <c r="D3490" s="4303"/>
      <c r="E3490" s="4295"/>
      <c r="F3490" s="4347" t="str">
        <f>$E$1572</f>
        <v>ASHP-SEER15-Replace_CAC_NonElectricHeat_ROF_MF</v>
      </c>
      <c r="G3490" s="4347"/>
      <c r="H3490" s="4347"/>
      <c r="I3490" s="4347"/>
      <c r="J3490" s="3471" t="str">
        <f>$C$1572</f>
        <v>352810_2024_12_</v>
      </c>
      <c r="K3490" s="3376">
        <v>1</v>
      </c>
      <c r="L3490" s="262"/>
      <c r="M3490" s="1442"/>
      <c r="P3490" s="261"/>
      <c r="Q3490" s="261"/>
      <c r="R3490" s="261"/>
      <c r="S3490" s="52"/>
      <c r="T3490" s="181"/>
      <c r="U3490" s="52"/>
      <c r="V3490" s="4295"/>
      <c r="W3490" s="3380"/>
      <c r="X3490" s="3380"/>
      <c r="Y3490" s="3379"/>
      <c r="Z3490" s="3380"/>
      <c r="AA3490" s="3380"/>
      <c r="AB3490" s="3380"/>
      <c r="AC3490" s="3379">
        <v>0.65</v>
      </c>
      <c r="AD3490" s="3379">
        <v>1</v>
      </c>
      <c r="AE3490" s="3380">
        <v>1</v>
      </c>
      <c r="AF3490" s="2236">
        <f t="shared" si="339"/>
        <v>1</v>
      </c>
      <c r="AG3490" s="241"/>
      <c r="DG3490" s="573"/>
      <c r="DH3490" s="159"/>
      <c r="DI3490" s="1091"/>
      <c r="DJ3490" s="1187"/>
    </row>
    <row r="3491" spans="1:114" ht="15" hidden="1" customHeight="1" outlineLevel="1">
      <c r="A3491" s="453"/>
      <c r="C3491" s="51"/>
      <c r="D3491" s="4303"/>
      <c r="E3491" s="4295"/>
      <c r="F3491" s="4347" t="str">
        <f>$E$1574</f>
        <v>ASHP-SEER15-Replace_CAC_NonElectricHeat_ROF_MF_CompE</v>
      </c>
      <c r="G3491" s="4347"/>
      <c r="H3491" s="4347"/>
      <c r="I3491" s="4347"/>
      <c r="J3491" s="3471" t="str">
        <f>$C$1574</f>
        <v>352811_2024_12_</v>
      </c>
      <c r="K3491" s="3376">
        <v>1</v>
      </c>
      <c r="L3491" s="262"/>
      <c r="M3491" s="1442"/>
      <c r="P3491" s="261"/>
      <c r="Q3491" s="261"/>
      <c r="R3491" s="261"/>
      <c r="S3491" s="52"/>
      <c r="T3491" s="181"/>
      <c r="U3491" s="52"/>
      <c r="V3491" s="4295"/>
      <c r="W3491" s="3380"/>
      <c r="X3491" s="3380"/>
      <c r="Y3491" s="3379"/>
      <c r="Z3491" s="3380"/>
      <c r="AA3491" s="3380"/>
      <c r="AB3491" s="3380"/>
      <c r="AC3491" s="3379">
        <v>0.65</v>
      </c>
      <c r="AD3491" s="3379">
        <v>1</v>
      </c>
      <c r="AE3491" s="3380">
        <v>1</v>
      </c>
      <c r="AF3491" s="2236">
        <f t="shared" si="339"/>
        <v>1</v>
      </c>
      <c r="AG3491" s="241"/>
      <c r="DG3491" s="573"/>
      <c r="DH3491" s="159"/>
      <c r="DI3491" s="1091"/>
      <c r="DJ3491" s="1187"/>
    </row>
    <row r="3492" spans="1:114" ht="15" hidden="1" customHeight="1" outlineLevel="1">
      <c r="A3492" s="453"/>
      <c r="C3492" s="51"/>
      <c r="D3492" s="4303"/>
      <c r="E3492" s="4295"/>
      <c r="F3492" s="4347" t="str">
        <f>$E$1576</f>
        <v>ASHP-SEER16_ER1_MF</v>
      </c>
      <c r="G3492" s="4347"/>
      <c r="H3492" s="4347"/>
      <c r="I3492" s="4347"/>
      <c r="J3492" s="3471" t="str">
        <f>$C$1576</f>
        <v>352850_2024_12_</v>
      </c>
      <c r="K3492" s="3376">
        <v>1</v>
      </c>
      <c r="L3492" s="262"/>
      <c r="M3492" s="1442"/>
      <c r="P3492" s="261"/>
      <c r="Q3492" s="261"/>
      <c r="R3492" s="261"/>
      <c r="S3492" s="52"/>
      <c r="T3492" s="181"/>
      <c r="U3492" s="52"/>
      <c r="V3492" s="4295"/>
      <c r="W3492" s="3380">
        <v>0.65</v>
      </c>
      <c r="X3492" s="3380">
        <v>0.65</v>
      </c>
      <c r="Y3492" s="3380">
        <v>0.65</v>
      </c>
      <c r="Z3492" s="3380">
        <v>0.65</v>
      </c>
      <c r="AA3492" s="3380">
        <v>0.65</v>
      </c>
      <c r="AB3492" s="3380">
        <v>0.65</v>
      </c>
      <c r="AC3492" s="3380">
        <v>0.65</v>
      </c>
      <c r="AD3492" s="3379">
        <v>1</v>
      </c>
      <c r="AE3492" s="3380">
        <v>1</v>
      </c>
      <c r="AF3492" s="2236">
        <f t="shared" si="339"/>
        <v>1</v>
      </c>
      <c r="AG3492" s="241"/>
      <c r="DG3492" s="573"/>
      <c r="DH3492" s="159"/>
      <c r="DI3492" s="1091"/>
      <c r="DJ3492" s="1187"/>
    </row>
    <row r="3493" spans="1:114" ht="15" hidden="1" customHeight="1" outlineLevel="1">
      <c r="A3493" s="453"/>
      <c r="C3493" s="51"/>
      <c r="D3493" s="4303"/>
      <c r="E3493" s="4295"/>
      <c r="F3493" s="4347" t="str">
        <f>$E$1578</f>
        <v>ASHP-SEER16_ER2_MF</v>
      </c>
      <c r="G3493" s="4347"/>
      <c r="H3493" s="4347"/>
      <c r="I3493" s="4347"/>
      <c r="J3493" s="3471" t="str">
        <f>$C$1578</f>
        <v>352850_2024_12_</v>
      </c>
      <c r="K3493" s="3376">
        <v>1</v>
      </c>
      <c r="L3493" s="262"/>
      <c r="M3493" s="1442"/>
      <c r="P3493" s="261"/>
      <c r="Q3493" s="261"/>
      <c r="R3493" s="261"/>
      <c r="S3493" s="52"/>
      <c r="T3493" s="181"/>
      <c r="U3493" s="52"/>
      <c r="V3493" s="4295"/>
      <c r="W3493" s="3380">
        <v>0.65</v>
      </c>
      <c r="X3493" s="3380">
        <v>0.65</v>
      </c>
      <c r="Y3493" s="3380">
        <v>0.65</v>
      </c>
      <c r="Z3493" s="3380">
        <v>0.65</v>
      </c>
      <c r="AA3493" s="3380">
        <v>0.65</v>
      </c>
      <c r="AB3493" s="3380">
        <v>0.65</v>
      </c>
      <c r="AC3493" s="3380">
        <v>0.65</v>
      </c>
      <c r="AD3493" s="3379">
        <v>1</v>
      </c>
      <c r="AE3493" s="3380">
        <v>1</v>
      </c>
      <c r="AF3493" s="2236">
        <f t="shared" si="339"/>
        <v>1</v>
      </c>
      <c r="AG3493" s="241"/>
      <c r="DG3493" s="573"/>
      <c r="DH3493" s="159"/>
      <c r="DI3493" s="1091"/>
      <c r="DJ3493" s="1187"/>
    </row>
    <row r="3494" spans="1:114" ht="15" hidden="1" customHeight="1" outlineLevel="1">
      <c r="A3494" s="453"/>
      <c r="C3494" s="51"/>
      <c r="D3494" s="4303"/>
      <c r="E3494" s="4295"/>
      <c r="F3494" s="4347" t="str">
        <f>$E$1580</f>
        <v>ASHP-SEER16_ER1_MF_CompE</v>
      </c>
      <c r="G3494" s="4347"/>
      <c r="H3494" s="4347"/>
      <c r="I3494" s="4347"/>
      <c r="J3494" s="3471" t="str">
        <f>$C$1580</f>
        <v>352851_2024_12_</v>
      </c>
      <c r="K3494" s="3376">
        <v>1</v>
      </c>
      <c r="L3494" s="262"/>
      <c r="M3494" s="1442"/>
      <c r="P3494" s="261"/>
      <c r="Q3494" s="261"/>
      <c r="R3494" s="261"/>
      <c r="S3494" s="52"/>
      <c r="T3494" s="181"/>
      <c r="U3494" s="52"/>
      <c r="V3494" s="4295"/>
      <c r="W3494" s="3380"/>
      <c r="X3494" s="3380"/>
      <c r="Y3494" s="3379">
        <v>0.65</v>
      </c>
      <c r="Z3494" s="3380">
        <v>0.65</v>
      </c>
      <c r="AA3494" s="3380">
        <v>0.65</v>
      </c>
      <c r="AB3494" s="3380">
        <v>0.65</v>
      </c>
      <c r="AC3494" s="3380">
        <f>AC3492</f>
        <v>0.65</v>
      </c>
      <c r="AD3494" s="3379">
        <v>1</v>
      </c>
      <c r="AE3494" s="3380">
        <v>1</v>
      </c>
      <c r="AF3494" s="2236">
        <f t="shared" si="339"/>
        <v>1</v>
      </c>
      <c r="AG3494" s="241"/>
      <c r="DG3494" s="573"/>
      <c r="DH3494" s="159"/>
      <c r="DI3494" s="1091"/>
      <c r="DJ3494" s="1187"/>
    </row>
    <row r="3495" spans="1:114" ht="15" hidden="1" customHeight="1" outlineLevel="1">
      <c r="A3495" s="453"/>
      <c r="C3495" s="51"/>
      <c r="D3495" s="4303"/>
      <c r="E3495" s="4295"/>
      <c r="F3495" s="4347" t="str">
        <f>$E$1582</f>
        <v>ASHP-SEER16_ER2_MF_CompE</v>
      </c>
      <c r="G3495" s="4347"/>
      <c r="H3495" s="4347"/>
      <c r="I3495" s="4347"/>
      <c r="J3495" s="3471" t="str">
        <f>$C$1582</f>
        <v>352851_2024_12_</v>
      </c>
      <c r="K3495" s="3376">
        <v>1</v>
      </c>
      <c r="L3495" s="262"/>
      <c r="M3495" s="1442"/>
      <c r="P3495" s="261"/>
      <c r="Q3495" s="261"/>
      <c r="R3495" s="261"/>
      <c r="S3495" s="52"/>
      <c r="T3495" s="181"/>
      <c r="U3495" s="52"/>
      <c r="V3495" s="4295"/>
      <c r="W3495" s="3380"/>
      <c r="X3495" s="3380"/>
      <c r="Y3495" s="3379">
        <v>0.65</v>
      </c>
      <c r="Z3495" s="3380">
        <v>0.65</v>
      </c>
      <c r="AA3495" s="3380">
        <v>0.65</v>
      </c>
      <c r="AB3495" s="3380">
        <v>0.65</v>
      </c>
      <c r="AC3495" s="3380">
        <f>AC3493</f>
        <v>0.65</v>
      </c>
      <c r="AD3495" s="3379">
        <v>1</v>
      </c>
      <c r="AE3495" s="3380">
        <v>1</v>
      </c>
      <c r="AF3495" s="2236">
        <f t="shared" si="339"/>
        <v>1</v>
      </c>
      <c r="AG3495" s="241"/>
      <c r="DG3495" s="573"/>
      <c r="DH3495" s="159"/>
      <c r="DI3495" s="1091"/>
      <c r="DJ3495" s="1187"/>
    </row>
    <row r="3496" spans="1:114" ht="15" hidden="1" customHeight="1" outlineLevel="1">
      <c r="A3496" s="453"/>
      <c r="C3496" s="51"/>
      <c r="D3496" s="4303"/>
      <c r="E3496" s="4295"/>
      <c r="F3496" s="4347" t="str">
        <f>$E$1584</f>
        <v>ASHP-SEER16_ROF_MF</v>
      </c>
      <c r="G3496" s="4347"/>
      <c r="H3496" s="4347"/>
      <c r="I3496" s="4347"/>
      <c r="J3496" s="3471" t="str">
        <f>$C$1584</f>
        <v>352900_2024_12_</v>
      </c>
      <c r="K3496" s="3376">
        <v>1</v>
      </c>
      <c r="L3496" s="262"/>
      <c r="M3496" s="1442"/>
      <c r="P3496" s="261"/>
      <c r="Q3496" s="261"/>
      <c r="R3496" s="261"/>
      <c r="S3496" s="52"/>
      <c r="T3496" s="181"/>
      <c r="U3496" s="52"/>
      <c r="V3496" s="4295"/>
      <c r="W3496" s="3380">
        <v>0.65</v>
      </c>
      <c r="X3496" s="3380">
        <v>0.65</v>
      </c>
      <c r="Y3496" s="3380">
        <v>0.65</v>
      </c>
      <c r="Z3496" s="3380">
        <v>0.65</v>
      </c>
      <c r="AA3496" s="3380">
        <v>0.65</v>
      </c>
      <c r="AB3496" s="3380">
        <v>0.65</v>
      </c>
      <c r="AC3496" s="3380">
        <v>0.65</v>
      </c>
      <c r="AD3496" s="3379">
        <v>1</v>
      </c>
      <c r="AE3496" s="3380">
        <v>1</v>
      </c>
      <c r="AF3496" s="2236">
        <f t="shared" si="339"/>
        <v>1</v>
      </c>
      <c r="AG3496" s="241"/>
      <c r="DG3496" s="573"/>
      <c r="DH3496" s="159"/>
      <c r="DI3496" s="1091"/>
      <c r="DJ3496" s="1187"/>
    </row>
    <row r="3497" spans="1:114" ht="15" hidden="1" customHeight="1" outlineLevel="1">
      <c r="A3497" s="453"/>
      <c r="C3497" s="51"/>
      <c r="D3497" s="4303"/>
      <c r="E3497" s="4295"/>
      <c r="F3497" s="4347" t="str">
        <f>$E$1586</f>
        <v>ASHP-SEER16_ROF_MF_CompE</v>
      </c>
      <c r="G3497" s="4347"/>
      <c r="H3497" s="4347"/>
      <c r="I3497" s="4347"/>
      <c r="J3497" s="3471" t="str">
        <f>$C$1586</f>
        <v>352901_2024_12_</v>
      </c>
      <c r="K3497" s="3376">
        <v>1</v>
      </c>
      <c r="L3497" s="262"/>
      <c r="M3497" s="1442"/>
      <c r="P3497" s="261"/>
      <c r="Q3497" s="261"/>
      <c r="R3497" s="261"/>
      <c r="S3497" s="52"/>
      <c r="T3497" s="181"/>
      <c r="U3497" s="52"/>
      <c r="V3497" s="4295"/>
      <c r="W3497" s="3380"/>
      <c r="X3497" s="3380"/>
      <c r="Y3497" s="3379">
        <v>0.65</v>
      </c>
      <c r="Z3497" s="3380">
        <v>0.65</v>
      </c>
      <c r="AA3497" s="3380">
        <v>0.65</v>
      </c>
      <c r="AB3497" s="3380">
        <v>0.65</v>
      </c>
      <c r="AC3497" s="3380">
        <f>AC3496</f>
        <v>0.65</v>
      </c>
      <c r="AD3497" s="3379">
        <v>1</v>
      </c>
      <c r="AE3497" s="3380">
        <v>1</v>
      </c>
      <c r="AF3497" s="2236">
        <f t="shared" si="339"/>
        <v>1</v>
      </c>
      <c r="AG3497" s="241"/>
      <c r="DG3497" s="573"/>
      <c r="DH3497" s="159"/>
      <c r="DI3497" s="1091"/>
      <c r="DJ3497" s="1187"/>
    </row>
    <row r="3498" spans="1:114" ht="15" hidden="1" customHeight="1" outlineLevel="1">
      <c r="A3498" s="453"/>
      <c r="C3498" s="51"/>
      <c r="D3498" s="4303"/>
      <c r="E3498" s="4295"/>
      <c r="F3498" s="4347" t="str">
        <f>$E$1588</f>
        <v>ASHP-SEER16-Replace_CAC_ElectricHeat_ROF_MF</v>
      </c>
      <c r="G3498" s="4347"/>
      <c r="H3498" s="4347"/>
      <c r="I3498" s="4347"/>
      <c r="J3498" s="3471" t="str">
        <f>$C$1588</f>
        <v>352950_2024_12_</v>
      </c>
      <c r="K3498" s="3376">
        <v>1</v>
      </c>
      <c r="L3498" s="262"/>
      <c r="M3498" s="1442"/>
      <c r="P3498" s="261"/>
      <c r="Q3498" s="261"/>
      <c r="R3498" s="261"/>
      <c r="S3498" s="52"/>
      <c r="T3498" s="181"/>
      <c r="U3498" s="52"/>
      <c r="V3498" s="4295"/>
      <c r="W3498" s="3380">
        <v>0.65</v>
      </c>
      <c r="X3498" s="3380">
        <v>0.65</v>
      </c>
      <c r="Y3498" s="3380">
        <v>0.65</v>
      </c>
      <c r="Z3498" s="3380">
        <v>0.65</v>
      </c>
      <c r="AA3498" s="3380">
        <v>0.65</v>
      </c>
      <c r="AB3498" s="3380">
        <v>0.65</v>
      </c>
      <c r="AC3498" s="3380">
        <v>0.65</v>
      </c>
      <c r="AD3498" s="3379">
        <v>1</v>
      </c>
      <c r="AE3498" s="3380">
        <v>1</v>
      </c>
      <c r="AF3498" s="2236">
        <f t="shared" si="339"/>
        <v>1</v>
      </c>
      <c r="AG3498" s="241"/>
      <c r="DG3498" s="573"/>
      <c r="DH3498" s="159"/>
      <c r="DI3498" s="1091"/>
      <c r="DJ3498" s="1187"/>
    </row>
    <row r="3499" spans="1:114" ht="15" hidden="1" customHeight="1" outlineLevel="1">
      <c r="A3499" s="453"/>
      <c r="C3499" s="51"/>
      <c r="D3499" s="4303"/>
      <c r="E3499" s="4295"/>
      <c r="F3499" s="4347" t="str">
        <f>$E$1590</f>
        <v>ASHP-SEER16-Replace_CAC_ElectricHeat_ROF_MF_CompE</v>
      </c>
      <c r="G3499" s="4347"/>
      <c r="H3499" s="4347"/>
      <c r="I3499" s="4347"/>
      <c r="J3499" s="3471" t="str">
        <f>$C$1590</f>
        <v>352951_2024_12_</v>
      </c>
      <c r="K3499" s="3376">
        <v>1</v>
      </c>
      <c r="L3499" s="262"/>
      <c r="M3499" s="1442"/>
      <c r="P3499" s="261"/>
      <c r="Q3499" s="261"/>
      <c r="R3499" s="261"/>
      <c r="S3499" s="52"/>
      <c r="T3499" s="181"/>
      <c r="U3499" s="52"/>
      <c r="V3499" s="4295"/>
      <c r="W3499" s="3380"/>
      <c r="X3499" s="3380"/>
      <c r="Y3499" s="3379">
        <v>0.65</v>
      </c>
      <c r="Z3499" s="3380">
        <v>0.65</v>
      </c>
      <c r="AA3499" s="3380">
        <v>0.65</v>
      </c>
      <c r="AB3499" s="3380">
        <v>0.65</v>
      </c>
      <c r="AC3499" s="3380">
        <f>AC3498</f>
        <v>0.65</v>
      </c>
      <c r="AD3499" s="3379">
        <v>1</v>
      </c>
      <c r="AE3499" s="3380">
        <v>1</v>
      </c>
      <c r="AF3499" s="2236">
        <f t="shared" si="339"/>
        <v>1</v>
      </c>
      <c r="AG3499" s="241"/>
      <c r="DG3499" s="573"/>
      <c r="DH3499" s="159"/>
      <c r="DI3499" s="1091"/>
      <c r="DJ3499" s="1187"/>
    </row>
    <row r="3500" spans="1:114" ht="15" hidden="1" customHeight="1" outlineLevel="1">
      <c r="A3500" s="453"/>
      <c r="C3500" s="51"/>
      <c r="D3500" s="4303"/>
      <c r="E3500" s="4295"/>
      <c r="F3500" s="4347" t="str">
        <f>$E$1592</f>
        <v>ASHP-SEER16-Replace_CAC_NonElectricHeat_ROF_MF</v>
      </c>
      <c r="G3500" s="4347"/>
      <c r="H3500" s="4347"/>
      <c r="I3500" s="4347"/>
      <c r="J3500" s="3471" t="str">
        <f>$C$1592</f>
        <v>352960_2024_12_</v>
      </c>
      <c r="K3500" s="3376">
        <v>1</v>
      </c>
      <c r="L3500" s="262"/>
      <c r="M3500" s="1442"/>
      <c r="P3500" s="261"/>
      <c r="Q3500" s="261"/>
      <c r="R3500" s="261"/>
      <c r="S3500" s="52"/>
      <c r="T3500" s="181"/>
      <c r="U3500" s="52"/>
      <c r="V3500" s="4295"/>
      <c r="W3500" s="3380"/>
      <c r="X3500" s="3380"/>
      <c r="Y3500" s="3379"/>
      <c r="Z3500" s="3380"/>
      <c r="AA3500" s="3380"/>
      <c r="AB3500" s="3380"/>
      <c r="AC3500" s="3379">
        <v>0.65</v>
      </c>
      <c r="AD3500" s="3379">
        <v>1</v>
      </c>
      <c r="AE3500" s="3380">
        <v>1</v>
      </c>
      <c r="AF3500" s="2236">
        <f t="shared" si="339"/>
        <v>1</v>
      </c>
      <c r="AG3500" s="241"/>
      <c r="DG3500" s="573"/>
      <c r="DH3500" s="159"/>
      <c r="DI3500" s="1091"/>
      <c r="DJ3500" s="1187"/>
    </row>
    <row r="3501" spans="1:114" ht="15" hidden="1" customHeight="1" outlineLevel="1">
      <c r="A3501" s="453"/>
      <c r="C3501" s="51"/>
      <c r="D3501" s="4303"/>
      <c r="E3501" s="4295"/>
      <c r="F3501" s="4347" t="str">
        <f>$E$1594</f>
        <v>ASHP-SEER16-Replace_CAC_NonElectricHeat_ROF_MF_CompE</v>
      </c>
      <c r="G3501" s="4347"/>
      <c r="H3501" s="4347"/>
      <c r="I3501" s="4347"/>
      <c r="J3501" s="3471" t="str">
        <f>$C$1594</f>
        <v>352961_2024_12_</v>
      </c>
      <c r="K3501" s="3376">
        <v>1</v>
      </c>
      <c r="L3501" s="262"/>
      <c r="M3501" s="1442"/>
      <c r="P3501" s="261"/>
      <c r="Q3501" s="261"/>
      <c r="R3501" s="261"/>
      <c r="S3501" s="52"/>
      <c r="T3501" s="181"/>
      <c r="U3501" s="52"/>
      <c r="V3501" s="4295"/>
      <c r="W3501" s="3380"/>
      <c r="X3501" s="3380"/>
      <c r="Y3501" s="3379"/>
      <c r="Z3501" s="3380"/>
      <c r="AA3501" s="3380"/>
      <c r="AB3501" s="3380"/>
      <c r="AC3501" s="3379">
        <f>AC3500</f>
        <v>0.65</v>
      </c>
      <c r="AD3501" s="3379">
        <v>1</v>
      </c>
      <c r="AE3501" s="3380">
        <v>1</v>
      </c>
      <c r="AF3501" s="2236">
        <f t="shared" si="339"/>
        <v>1</v>
      </c>
      <c r="AG3501" s="241"/>
      <c r="DG3501" s="573"/>
      <c r="DH3501" s="159"/>
      <c r="DI3501" s="1091"/>
      <c r="DJ3501" s="1187"/>
    </row>
    <row r="3502" spans="1:114" ht="15" hidden="1" customHeight="1" outlineLevel="1">
      <c r="A3502" s="453"/>
      <c r="C3502" s="51"/>
      <c r="D3502" s="4303"/>
      <c r="E3502" s="4295"/>
      <c r="F3502" s="4307" t="str">
        <f>$E$1596</f>
        <v>ASHP-SEER16-Replace_CAC_ElectricHeat_ER1_MF</v>
      </c>
      <c r="G3502" s="4307"/>
      <c r="H3502" s="4307"/>
      <c r="I3502" s="4307"/>
      <c r="J3502" s="1029" t="str">
        <f>$C$1596</f>
        <v>353000_2024_12_</v>
      </c>
      <c r="K3502" s="1775">
        <v>1</v>
      </c>
      <c r="L3502" s="262"/>
      <c r="M3502" s="1442"/>
      <c r="P3502" s="261"/>
      <c r="Q3502" s="261"/>
      <c r="R3502" s="261"/>
      <c r="S3502" s="52"/>
      <c r="T3502" s="181"/>
      <c r="U3502" s="52"/>
      <c r="V3502" s="4295"/>
      <c r="W3502" s="241">
        <v>0.65</v>
      </c>
      <c r="X3502" s="241">
        <v>0.65</v>
      </c>
      <c r="Y3502" s="241">
        <v>0.65</v>
      </c>
      <c r="Z3502" s="241">
        <v>0.65</v>
      </c>
      <c r="AA3502" s="241">
        <v>0.65</v>
      </c>
      <c r="AB3502" s="241">
        <v>0.65</v>
      </c>
      <c r="AC3502" s="241">
        <v>0.65</v>
      </c>
      <c r="AD3502" s="239">
        <v>1</v>
      </c>
      <c r="AE3502" s="241">
        <v>1</v>
      </c>
      <c r="AF3502" s="271">
        <f t="shared" si="339"/>
        <v>1</v>
      </c>
      <c r="AG3502" s="241"/>
      <c r="DG3502" s="573"/>
      <c r="DH3502" s="159"/>
      <c r="DI3502" s="1091"/>
      <c r="DJ3502" s="1187"/>
    </row>
    <row r="3503" spans="1:114" ht="15" hidden="1" customHeight="1" outlineLevel="1">
      <c r="A3503" s="453"/>
      <c r="C3503" s="51"/>
      <c r="D3503" s="4303"/>
      <c r="E3503" s="4295"/>
      <c r="F3503" s="4307" t="str">
        <f>$E$1598</f>
        <v>ASHP-SEER16-Replace_CAC_ElectricHeat_ER2_MF</v>
      </c>
      <c r="G3503" s="4307"/>
      <c r="H3503" s="4307"/>
      <c r="I3503" s="4307"/>
      <c r="J3503" s="1029" t="str">
        <f>$C$1598</f>
        <v>353000_2024_12_</v>
      </c>
      <c r="K3503" s="1775">
        <v>1</v>
      </c>
      <c r="L3503" s="262"/>
      <c r="M3503" s="1442"/>
      <c r="P3503" s="261"/>
      <c r="Q3503" s="261"/>
      <c r="R3503" s="261"/>
      <c r="S3503" s="52"/>
      <c r="T3503" s="181"/>
      <c r="U3503" s="52"/>
      <c r="V3503" s="4295"/>
      <c r="W3503" s="241">
        <v>0.65</v>
      </c>
      <c r="X3503" s="241">
        <v>0.65</v>
      </c>
      <c r="Y3503" s="241">
        <v>0.65</v>
      </c>
      <c r="Z3503" s="241">
        <v>0.65</v>
      </c>
      <c r="AA3503" s="241">
        <v>0.65</v>
      </c>
      <c r="AB3503" s="241">
        <v>0.65</v>
      </c>
      <c r="AC3503" s="241">
        <v>0.65</v>
      </c>
      <c r="AD3503" s="239">
        <v>1</v>
      </c>
      <c r="AE3503" s="241">
        <v>1</v>
      </c>
      <c r="AF3503" s="271">
        <f t="shared" si="339"/>
        <v>1</v>
      </c>
      <c r="AG3503" s="241"/>
      <c r="DG3503" s="573"/>
      <c r="DH3503" s="159"/>
      <c r="DI3503" s="1091"/>
      <c r="DJ3503" s="1187"/>
    </row>
    <row r="3504" spans="1:114" ht="15" hidden="1" customHeight="1" outlineLevel="1">
      <c r="A3504" s="453"/>
      <c r="C3504" s="51"/>
      <c r="D3504" s="4303"/>
      <c r="E3504" s="4295"/>
      <c r="F3504" s="4347" t="str">
        <f>$E$1600</f>
        <v>ASHP-SEER16-Replace_CAC_ElectricHeat_ER1_MF_CompE</v>
      </c>
      <c r="G3504" s="4347"/>
      <c r="H3504" s="4347"/>
      <c r="I3504" s="4347"/>
      <c r="J3504" s="3471" t="str">
        <f>$C$1600</f>
        <v>353001_2024_12_</v>
      </c>
      <c r="K3504" s="3376">
        <v>1</v>
      </c>
      <c r="L3504" s="262"/>
      <c r="M3504" s="1442"/>
      <c r="P3504" s="261"/>
      <c r="Q3504" s="261"/>
      <c r="R3504" s="261"/>
      <c r="S3504" s="52"/>
      <c r="T3504" s="181"/>
      <c r="U3504" s="52"/>
      <c r="V3504" s="4295"/>
      <c r="W3504" s="3380"/>
      <c r="X3504" s="3380"/>
      <c r="Y3504" s="3379">
        <v>0.65</v>
      </c>
      <c r="Z3504" s="3380">
        <v>0.65</v>
      </c>
      <c r="AA3504" s="3380">
        <v>0.65</v>
      </c>
      <c r="AB3504" s="3380">
        <v>0.65</v>
      </c>
      <c r="AC3504" s="3380">
        <f>AC3502</f>
        <v>0.65</v>
      </c>
      <c r="AD3504" s="3380">
        <v>0.65</v>
      </c>
      <c r="AE3504" s="3379">
        <v>1</v>
      </c>
      <c r="AF3504" s="2236">
        <f t="shared" si="339"/>
        <v>1</v>
      </c>
      <c r="AG3504" s="241"/>
      <c r="DG3504" s="573"/>
      <c r="DH3504" s="159"/>
      <c r="DI3504" s="1091"/>
      <c r="DJ3504" s="1187"/>
    </row>
    <row r="3505" spans="1:114" ht="15" hidden="1" customHeight="1" outlineLevel="1">
      <c r="A3505" s="453"/>
      <c r="C3505" s="51"/>
      <c r="D3505" s="4303"/>
      <c r="E3505" s="4295"/>
      <c r="F3505" s="4347" t="str">
        <f>$E$1602</f>
        <v>ASHP-SEER16-Replace_CAC_ElectricHeat_ER2_MF_CompE</v>
      </c>
      <c r="G3505" s="4347"/>
      <c r="H3505" s="4347"/>
      <c r="I3505" s="4347"/>
      <c r="J3505" s="3471" t="str">
        <f>$C$1602</f>
        <v>353001_2024_12_</v>
      </c>
      <c r="K3505" s="3376">
        <v>1</v>
      </c>
      <c r="L3505" s="262"/>
      <c r="M3505" s="1442"/>
      <c r="P3505" s="261"/>
      <c r="Q3505" s="261"/>
      <c r="R3505" s="261"/>
      <c r="S3505" s="52"/>
      <c r="T3505" s="181"/>
      <c r="U3505" s="52"/>
      <c r="V3505" s="4295"/>
      <c r="W3505" s="3380"/>
      <c r="X3505" s="3380"/>
      <c r="Y3505" s="3379">
        <v>0.65</v>
      </c>
      <c r="Z3505" s="3380">
        <v>0.65</v>
      </c>
      <c r="AA3505" s="3380">
        <v>0.65</v>
      </c>
      <c r="AB3505" s="3380">
        <v>0.65</v>
      </c>
      <c r="AC3505" s="3380">
        <f>AC3503</f>
        <v>0.65</v>
      </c>
      <c r="AD3505" s="3380">
        <v>0.65</v>
      </c>
      <c r="AE3505" s="3379">
        <v>1</v>
      </c>
      <c r="AF3505" s="2236">
        <f t="shared" si="339"/>
        <v>1</v>
      </c>
      <c r="AG3505" s="241"/>
      <c r="DG3505" s="573"/>
      <c r="DH3505" s="159"/>
      <c r="DI3505" s="1091"/>
      <c r="DJ3505" s="1187"/>
    </row>
    <row r="3506" spans="1:114" ht="15" hidden="1" customHeight="1" outlineLevel="1">
      <c r="A3506" s="453"/>
      <c r="C3506" s="51"/>
      <c r="D3506" s="4303"/>
      <c r="E3506" s="4295"/>
      <c r="F3506" s="4347" t="str">
        <f>$E$1604</f>
        <v>ASHP-SEER16-Replace_CAC_NonElectricHeat_ER1_MF</v>
      </c>
      <c r="G3506" s="4347"/>
      <c r="H3506" s="4347"/>
      <c r="I3506" s="4347"/>
      <c r="J3506" s="3471" t="str">
        <f>$C$1604</f>
        <v>353010_2024_12_</v>
      </c>
      <c r="K3506" s="3376">
        <v>1</v>
      </c>
      <c r="L3506" s="262"/>
      <c r="M3506" s="1442"/>
      <c r="P3506" s="261"/>
      <c r="Q3506" s="261"/>
      <c r="R3506" s="261"/>
      <c r="S3506" s="52"/>
      <c r="T3506" s="181"/>
      <c r="U3506" s="52"/>
      <c r="V3506" s="4295"/>
      <c r="W3506" s="3380"/>
      <c r="X3506" s="3380"/>
      <c r="Y3506" s="3379"/>
      <c r="Z3506" s="3380"/>
      <c r="AA3506" s="3380"/>
      <c r="AB3506" s="3380"/>
      <c r="AC3506" s="3379">
        <f>AC3505</f>
        <v>0.65</v>
      </c>
      <c r="AD3506" s="3380">
        <v>0.65</v>
      </c>
      <c r="AE3506" s="3379">
        <v>1</v>
      </c>
      <c r="AF3506" s="2236">
        <f t="shared" si="339"/>
        <v>1</v>
      </c>
      <c r="AG3506" s="241"/>
      <c r="DG3506" s="573"/>
      <c r="DH3506" s="159"/>
      <c r="DI3506" s="1091"/>
      <c r="DJ3506" s="1187"/>
    </row>
    <row r="3507" spans="1:114" ht="15" hidden="1" customHeight="1" outlineLevel="1">
      <c r="A3507" s="453"/>
      <c r="C3507" s="51"/>
      <c r="D3507" s="4303"/>
      <c r="E3507" s="4295"/>
      <c r="F3507" s="4347" t="str">
        <f>$E$1606</f>
        <v>ASHP-SEER16-Replace_CAC_NonElectricHeat_ER2_MF</v>
      </c>
      <c r="G3507" s="4347"/>
      <c r="H3507" s="4347"/>
      <c r="I3507" s="4347"/>
      <c r="J3507" s="3471" t="str">
        <f>$C$1606</f>
        <v>353010_2024_12_</v>
      </c>
      <c r="K3507" s="3376">
        <v>1</v>
      </c>
      <c r="L3507" s="262"/>
      <c r="M3507" s="1442"/>
      <c r="P3507" s="261"/>
      <c r="Q3507" s="261"/>
      <c r="R3507" s="261"/>
      <c r="S3507" s="52"/>
      <c r="T3507" s="181"/>
      <c r="U3507" s="52"/>
      <c r="V3507" s="4295"/>
      <c r="W3507" s="3380"/>
      <c r="X3507" s="3380"/>
      <c r="Y3507" s="3379"/>
      <c r="Z3507" s="3380"/>
      <c r="AA3507" s="3380"/>
      <c r="AB3507" s="3380"/>
      <c r="AC3507" s="3379">
        <f>AC3506</f>
        <v>0.65</v>
      </c>
      <c r="AD3507" s="3380">
        <v>0.65</v>
      </c>
      <c r="AE3507" s="3379">
        <v>1</v>
      </c>
      <c r="AF3507" s="2236">
        <f t="shared" si="339"/>
        <v>1</v>
      </c>
      <c r="AG3507" s="241"/>
      <c r="DG3507" s="573"/>
      <c r="DH3507" s="159"/>
      <c r="DI3507" s="1091"/>
      <c r="DJ3507" s="1187"/>
    </row>
    <row r="3508" spans="1:114" ht="15" hidden="1" customHeight="1" outlineLevel="1">
      <c r="A3508" s="453"/>
      <c r="C3508" s="51"/>
      <c r="D3508" s="4303"/>
      <c r="E3508" s="4295"/>
      <c r="F3508" s="4347" t="str">
        <f>$E$1608</f>
        <v>ASHP-SEER16-Replace_CAC_NonElectricHeat_ER1_MF_CompE</v>
      </c>
      <c r="G3508" s="4347"/>
      <c r="H3508" s="4347"/>
      <c r="I3508" s="4347"/>
      <c r="J3508" s="3471" t="str">
        <f>$C$1608</f>
        <v>353011_2024_12_</v>
      </c>
      <c r="K3508" s="3376">
        <v>1</v>
      </c>
      <c r="L3508" s="262"/>
      <c r="M3508" s="1442"/>
      <c r="P3508" s="261"/>
      <c r="Q3508" s="261"/>
      <c r="R3508" s="261"/>
      <c r="S3508" s="52"/>
      <c r="T3508" s="181"/>
      <c r="U3508" s="52"/>
      <c r="V3508" s="4295"/>
      <c r="W3508" s="3380"/>
      <c r="X3508" s="3380"/>
      <c r="Y3508" s="3379"/>
      <c r="Z3508" s="3380"/>
      <c r="AA3508" s="3380"/>
      <c r="AB3508" s="3380"/>
      <c r="AC3508" s="3379">
        <f>AC3507</f>
        <v>0.65</v>
      </c>
      <c r="AD3508" s="3380">
        <v>0.65</v>
      </c>
      <c r="AE3508" s="3379">
        <v>1</v>
      </c>
      <c r="AF3508" s="2236">
        <f t="shared" si="339"/>
        <v>1</v>
      </c>
      <c r="AG3508" s="241"/>
      <c r="DG3508" s="573"/>
      <c r="DH3508" s="159"/>
      <c r="DI3508" s="1091"/>
      <c r="DJ3508" s="1187"/>
    </row>
    <row r="3509" spans="1:114" ht="15" hidden="1" customHeight="1" outlineLevel="1">
      <c r="A3509" s="453"/>
      <c r="C3509" s="51"/>
      <c r="D3509" s="4303"/>
      <c r="E3509" s="4295"/>
      <c r="F3509" s="4347" t="str">
        <f>$E$1610</f>
        <v>ASHP-SEER16-Replace_CAC_NonElectricHeat_ER2_MF_CompE</v>
      </c>
      <c r="G3509" s="4347"/>
      <c r="H3509" s="4347"/>
      <c r="I3509" s="4347"/>
      <c r="J3509" s="3471" t="str">
        <f>$C$1610</f>
        <v>353011_2024_12_</v>
      </c>
      <c r="K3509" s="3376">
        <v>1</v>
      </c>
      <c r="L3509" s="262"/>
      <c r="M3509" s="1442"/>
      <c r="P3509" s="261"/>
      <c r="Q3509" s="261"/>
      <c r="R3509" s="261"/>
      <c r="S3509" s="52"/>
      <c r="T3509" s="181"/>
      <c r="U3509" s="52"/>
      <c r="V3509" s="4295"/>
      <c r="W3509" s="3380"/>
      <c r="X3509" s="3380"/>
      <c r="Y3509" s="3379"/>
      <c r="Z3509" s="3380"/>
      <c r="AA3509" s="3380"/>
      <c r="AB3509" s="3380"/>
      <c r="AC3509" s="3379">
        <f>AC3508</f>
        <v>0.65</v>
      </c>
      <c r="AD3509" s="3380">
        <v>0.65</v>
      </c>
      <c r="AE3509" s="3379">
        <v>1</v>
      </c>
      <c r="AF3509" s="2236">
        <f t="shared" si="339"/>
        <v>1</v>
      </c>
      <c r="AG3509" s="241"/>
      <c r="DG3509" s="573"/>
      <c r="DH3509" s="159"/>
      <c r="DI3509" s="1091"/>
      <c r="DJ3509" s="1187"/>
    </row>
    <row r="3510" spans="1:114" ht="15" hidden="1" customHeight="1" outlineLevel="1">
      <c r="A3510" s="453"/>
      <c r="C3510" s="51"/>
      <c r="D3510" s="4303"/>
      <c r="E3510" s="4295"/>
      <c r="F3510" s="4347" t="str">
        <f>$E$1612</f>
        <v>ASHP-SEER15_ROF_MF</v>
      </c>
      <c r="G3510" s="4347"/>
      <c r="H3510" s="4347"/>
      <c r="I3510" s="4347"/>
      <c r="J3510" s="3471" t="str">
        <f>$C$1612</f>
        <v>353050_2024_12_</v>
      </c>
      <c r="K3510" s="3376">
        <v>1</v>
      </c>
      <c r="L3510" s="262"/>
      <c r="M3510" s="1442"/>
      <c r="P3510" s="261"/>
      <c r="Q3510" s="261"/>
      <c r="R3510" s="261"/>
      <c r="S3510" s="52"/>
      <c r="T3510" s="181"/>
      <c r="U3510" s="52"/>
      <c r="V3510" s="4295"/>
      <c r="W3510" s="3380">
        <v>0.65</v>
      </c>
      <c r="X3510" s="3380">
        <v>0.65</v>
      </c>
      <c r="Y3510" s="3380">
        <v>0.65</v>
      </c>
      <c r="Z3510" s="3380">
        <v>0.65</v>
      </c>
      <c r="AA3510" s="3380">
        <v>0.65</v>
      </c>
      <c r="AB3510" s="3380">
        <v>0.65</v>
      </c>
      <c r="AC3510" s="3380">
        <v>0.65</v>
      </c>
      <c r="AD3510" s="3379">
        <v>1</v>
      </c>
      <c r="AE3510" s="3380">
        <v>1</v>
      </c>
      <c r="AF3510" s="2236">
        <f t="shared" si="339"/>
        <v>1</v>
      </c>
      <c r="AG3510" s="241"/>
      <c r="DG3510" s="573"/>
      <c r="DH3510" s="159"/>
      <c r="DI3510" s="1091"/>
      <c r="DJ3510" s="1187"/>
    </row>
    <row r="3511" spans="1:114" ht="15" hidden="1" customHeight="1" outlineLevel="1">
      <c r="A3511" s="453"/>
      <c r="C3511" s="51"/>
      <c r="D3511" s="4303"/>
      <c r="E3511" s="4295"/>
      <c r="F3511" s="4347" t="str">
        <f>$E$1614</f>
        <v>ASHP-SEER15_ROF_MF_CompE</v>
      </c>
      <c r="G3511" s="4347"/>
      <c r="H3511" s="4347"/>
      <c r="I3511" s="4347"/>
      <c r="J3511" s="3471" t="str">
        <f>$C$1614</f>
        <v>353051_2024_12_</v>
      </c>
      <c r="K3511" s="3376">
        <v>1</v>
      </c>
      <c r="L3511" s="262"/>
      <c r="M3511" s="1442"/>
      <c r="P3511" s="261"/>
      <c r="Q3511" s="261"/>
      <c r="R3511" s="261"/>
      <c r="S3511" s="52"/>
      <c r="T3511" s="181"/>
      <c r="U3511" s="52"/>
      <c r="V3511" s="4295"/>
      <c r="W3511" s="3380"/>
      <c r="X3511" s="3380"/>
      <c r="Y3511" s="3379">
        <v>0.65</v>
      </c>
      <c r="Z3511" s="3380">
        <v>0.65</v>
      </c>
      <c r="AA3511" s="3380">
        <v>0.65</v>
      </c>
      <c r="AB3511" s="3380">
        <v>0.65</v>
      </c>
      <c r="AC3511" s="3380">
        <f>AC3510</f>
        <v>0.65</v>
      </c>
      <c r="AD3511" s="3379">
        <v>1</v>
      </c>
      <c r="AE3511" s="3380">
        <v>1</v>
      </c>
      <c r="AF3511" s="2236">
        <f t="shared" si="339"/>
        <v>1</v>
      </c>
      <c r="AG3511" s="241"/>
      <c r="DG3511" s="573"/>
      <c r="DH3511" s="159"/>
      <c r="DI3511" s="1091"/>
      <c r="DJ3511" s="1187"/>
    </row>
    <row r="3512" spans="1:114" ht="15" hidden="1" customHeight="1" outlineLevel="1">
      <c r="A3512" s="453"/>
      <c r="C3512" s="51"/>
      <c r="D3512" s="4303"/>
      <c r="E3512" s="4295"/>
      <c r="F3512" s="4307" t="str">
        <f>$E$1616</f>
        <v>ASHP-SEER17-Replace_CAC_ElectricHeat_ROF_SF</v>
      </c>
      <c r="G3512" s="4307"/>
      <c r="H3512" s="4307"/>
      <c r="I3512" s="4307"/>
      <c r="J3512" s="1029" t="str">
        <f>$C$1616</f>
        <v>353100_2024_12_</v>
      </c>
      <c r="K3512" s="1775">
        <v>1</v>
      </c>
      <c r="L3512" s="262"/>
      <c r="M3512" s="1442"/>
      <c r="P3512" s="261"/>
      <c r="Q3512" s="261"/>
      <c r="R3512" s="261"/>
      <c r="S3512" s="52"/>
      <c r="T3512" s="181"/>
      <c r="U3512" s="52"/>
      <c r="V3512" s="4295"/>
      <c r="W3512" s="241">
        <v>1</v>
      </c>
      <c r="X3512" s="241">
        <v>1</v>
      </c>
      <c r="Y3512" s="241">
        <v>1</v>
      </c>
      <c r="Z3512" s="241">
        <v>1</v>
      </c>
      <c r="AA3512" s="241">
        <v>1</v>
      </c>
      <c r="AB3512" s="241">
        <v>1</v>
      </c>
      <c r="AC3512" s="241">
        <v>1</v>
      </c>
      <c r="AD3512" s="241">
        <v>1</v>
      </c>
      <c r="AE3512" s="241">
        <v>1</v>
      </c>
      <c r="AF3512" s="271">
        <f t="shared" si="339"/>
        <v>1</v>
      </c>
      <c r="AG3512" s="241"/>
      <c r="DG3512" s="573"/>
      <c r="DH3512" s="159"/>
      <c r="DI3512" s="1091"/>
      <c r="DJ3512" s="1187"/>
    </row>
    <row r="3513" spans="1:114" ht="15" hidden="1" customHeight="1" outlineLevel="1">
      <c r="A3513" s="453"/>
      <c r="C3513" s="51"/>
      <c r="D3513" s="4303"/>
      <c r="E3513" s="4295"/>
      <c r="F3513" s="4307" t="str">
        <f>$E$1618</f>
        <v>ASHP-SEER17-Replace_CAC_NonElectricHeat_ROF_SF</v>
      </c>
      <c r="G3513" s="4307"/>
      <c r="H3513" s="4307"/>
      <c r="I3513" s="4307"/>
      <c r="J3513" s="1029" t="str">
        <f>$C$1618</f>
        <v>353110_2024_12_</v>
      </c>
      <c r="K3513" s="1775">
        <v>1</v>
      </c>
      <c r="L3513" s="262"/>
      <c r="M3513" s="1378"/>
      <c r="P3513" s="261"/>
      <c r="Q3513" s="261"/>
      <c r="R3513" s="261"/>
      <c r="S3513" s="52"/>
      <c r="T3513" s="181"/>
      <c r="U3513" s="52"/>
      <c r="V3513" s="4295"/>
      <c r="W3513" s="241"/>
      <c r="X3513" s="241"/>
      <c r="Y3513" s="241"/>
      <c r="Z3513" s="241"/>
      <c r="AA3513" s="241"/>
      <c r="AB3513" s="241"/>
      <c r="AC3513" s="241"/>
      <c r="AD3513" s="239">
        <v>1</v>
      </c>
      <c r="AE3513" s="241">
        <v>1</v>
      </c>
      <c r="AF3513" s="271">
        <f t="shared" si="339"/>
        <v>1</v>
      </c>
      <c r="AG3513" s="241"/>
      <c r="DG3513" s="573"/>
      <c r="DH3513" s="159"/>
      <c r="DI3513" s="1091"/>
      <c r="DJ3513" s="1187"/>
    </row>
    <row r="3514" spans="1:114" ht="15" hidden="1" customHeight="1" outlineLevel="1">
      <c r="A3514" s="453"/>
      <c r="C3514" s="51"/>
      <c r="D3514" s="4303"/>
      <c r="E3514" s="4295"/>
      <c r="F3514" s="4347" t="str">
        <f>$E$1620</f>
        <v>ASHP-SEER17-Replace_CAC_ElectricHeat_ROF_MF</v>
      </c>
      <c r="G3514" s="4347"/>
      <c r="H3514" s="4347"/>
      <c r="I3514" s="4347"/>
      <c r="J3514" s="3471" t="str">
        <f>$C$1620</f>
        <v>353150_2024_12_</v>
      </c>
      <c r="K3514" s="3376">
        <v>0.65</v>
      </c>
      <c r="L3514" s="262"/>
      <c r="M3514" s="1442"/>
      <c r="P3514" s="261"/>
      <c r="Q3514" s="261"/>
      <c r="R3514" s="261"/>
      <c r="S3514" s="52"/>
      <c r="T3514" s="181"/>
      <c r="U3514" s="52"/>
      <c r="V3514" s="4295"/>
      <c r="W3514" s="3380">
        <v>0.65</v>
      </c>
      <c r="X3514" s="3380">
        <v>0.65</v>
      </c>
      <c r="Y3514" s="3380">
        <v>0.65</v>
      </c>
      <c r="Z3514" s="3380">
        <v>0.65</v>
      </c>
      <c r="AA3514" s="3380">
        <v>0.65</v>
      </c>
      <c r="AB3514" s="3380">
        <v>0.65</v>
      </c>
      <c r="AC3514" s="3380">
        <v>0.65</v>
      </c>
      <c r="AD3514" s="3380">
        <v>0.65</v>
      </c>
      <c r="AE3514" s="3380">
        <v>0.65</v>
      </c>
      <c r="AF3514" s="2236">
        <f t="shared" ref="AF3514:AF3577" si="340">IF(K3514&lt;&gt;"",K3514,"")</f>
        <v>0.65</v>
      </c>
      <c r="AG3514" s="241"/>
      <c r="DG3514" s="573"/>
      <c r="DH3514" s="159"/>
      <c r="DI3514" s="1091"/>
      <c r="DJ3514" s="1187"/>
    </row>
    <row r="3515" spans="1:114" ht="15" hidden="1" customHeight="1" outlineLevel="1">
      <c r="A3515" s="453"/>
      <c r="C3515" s="51"/>
      <c r="D3515" s="4303"/>
      <c r="E3515" s="4295"/>
      <c r="F3515" s="4347" t="str">
        <f>$E$1622</f>
        <v>ASHP-SEER17-Replace_CAC_ElectricHeat_ROF_MF_CompE</v>
      </c>
      <c r="G3515" s="4347"/>
      <c r="H3515" s="4347"/>
      <c r="I3515" s="4347"/>
      <c r="J3515" s="3471" t="str">
        <f>$C$1622</f>
        <v>353151_2024_12_</v>
      </c>
      <c r="K3515" s="3376">
        <v>0.65</v>
      </c>
      <c r="L3515" s="262"/>
      <c r="M3515" s="1442"/>
      <c r="P3515" s="261"/>
      <c r="Q3515" s="261"/>
      <c r="R3515" s="261"/>
      <c r="S3515" s="52"/>
      <c r="T3515" s="181"/>
      <c r="U3515" s="52"/>
      <c r="V3515" s="4295"/>
      <c r="W3515" s="3380"/>
      <c r="X3515" s="3380"/>
      <c r="Y3515" s="3379">
        <v>0.65</v>
      </c>
      <c r="Z3515" s="3380">
        <v>0.65</v>
      </c>
      <c r="AA3515" s="3380">
        <v>0.65</v>
      </c>
      <c r="AB3515" s="3380">
        <v>0.65</v>
      </c>
      <c r="AC3515" s="3380">
        <f>AC3514</f>
        <v>0.65</v>
      </c>
      <c r="AD3515" s="3380">
        <v>0.65</v>
      </c>
      <c r="AE3515" s="3380">
        <v>0.65</v>
      </c>
      <c r="AF3515" s="2236">
        <f t="shared" si="340"/>
        <v>0.65</v>
      </c>
      <c r="AG3515" s="241"/>
      <c r="DG3515" s="573"/>
      <c r="DH3515" s="159"/>
      <c r="DI3515" s="1091"/>
      <c r="DJ3515" s="1187"/>
    </row>
    <row r="3516" spans="1:114" ht="15" hidden="1" customHeight="1" outlineLevel="1">
      <c r="A3516" s="453"/>
      <c r="C3516" s="51"/>
      <c r="D3516" s="4303"/>
      <c r="E3516" s="4295"/>
      <c r="F3516" s="4347" t="str">
        <f>$E$1624</f>
        <v>ASHP-SEER17-Replace_CAC_NonElectricHeat_ROF_MF</v>
      </c>
      <c r="G3516" s="4347"/>
      <c r="H3516" s="4347"/>
      <c r="I3516" s="4347"/>
      <c r="J3516" s="3471" t="str">
        <f>$C$1624</f>
        <v>353160_2024_12_</v>
      </c>
      <c r="K3516" s="3376">
        <v>0.65</v>
      </c>
      <c r="L3516" s="262"/>
      <c r="M3516" s="1442"/>
      <c r="P3516" s="261"/>
      <c r="Q3516" s="261"/>
      <c r="R3516" s="261"/>
      <c r="S3516" s="52"/>
      <c r="T3516" s="181"/>
      <c r="U3516" s="52"/>
      <c r="V3516" s="4295"/>
      <c r="W3516" s="3380"/>
      <c r="X3516" s="3380"/>
      <c r="Y3516" s="3379"/>
      <c r="Z3516" s="3380"/>
      <c r="AA3516" s="3380"/>
      <c r="AB3516" s="3380"/>
      <c r="AC3516" s="3379">
        <f>AC3515</f>
        <v>0.65</v>
      </c>
      <c r="AD3516" s="3380">
        <v>0.65</v>
      </c>
      <c r="AE3516" s="3380">
        <v>0.65</v>
      </c>
      <c r="AF3516" s="2236">
        <f t="shared" si="340"/>
        <v>0.65</v>
      </c>
      <c r="AG3516" s="241"/>
      <c r="DG3516" s="573"/>
      <c r="DH3516" s="159"/>
      <c r="DI3516" s="1091"/>
      <c r="DJ3516" s="1187"/>
    </row>
    <row r="3517" spans="1:114" ht="15" hidden="1" customHeight="1" outlineLevel="1">
      <c r="A3517" s="453"/>
      <c r="C3517" s="51"/>
      <c r="D3517" s="4303"/>
      <c r="E3517" s="4295"/>
      <c r="F3517" s="4347" t="str">
        <f>$E$1626</f>
        <v>ASHP-SEER17-Replace_CAC_NonElectricHeat_ROF_MF_CompE</v>
      </c>
      <c r="G3517" s="4347"/>
      <c r="H3517" s="4347"/>
      <c r="I3517" s="4347"/>
      <c r="J3517" s="3471" t="str">
        <f>$C$1626</f>
        <v>353161_2024_12_</v>
      </c>
      <c r="K3517" s="3376">
        <v>0.65</v>
      </c>
      <c r="L3517" s="262"/>
      <c r="M3517" s="1442"/>
      <c r="P3517" s="261"/>
      <c r="Q3517" s="261"/>
      <c r="R3517" s="261"/>
      <c r="S3517" s="52"/>
      <c r="T3517" s="181"/>
      <c r="U3517" s="52"/>
      <c r="V3517" s="4295"/>
      <c r="W3517" s="3380"/>
      <c r="X3517" s="3380"/>
      <c r="Y3517" s="3379"/>
      <c r="Z3517" s="3380"/>
      <c r="AA3517" s="3380"/>
      <c r="AB3517" s="3380"/>
      <c r="AC3517" s="3379">
        <f>AC3516</f>
        <v>0.65</v>
      </c>
      <c r="AD3517" s="3380">
        <v>0.65</v>
      </c>
      <c r="AE3517" s="3380">
        <v>0.65</v>
      </c>
      <c r="AF3517" s="2236">
        <f t="shared" si="340"/>
        <v>0.65</v>
      </c>
      <c r="AG3517" s="241"/>
      <c r="DG3517" s="573"/>
      <c r="DH3517" s="159"/>
      <c r="DI3517" s="1091"/>
      <c r="DJ3517" s="1187"/>
    </row>
    <row r="3518" spans="1:114" ht="15" hidden="1" customHeight="1" outlineLevel="1">
      <c r="A3518" s="453"/>
      <c r="C3518" s="51"/>
      <c r="D3518" s="4303"/>
      <c r="E3518" s="4295"/>
      <c r="F3518" s="4307" t="str">
        <f>$E$1628</f>
        <v>ASHP-SEER18-Replace_CAC_ElectricHeat_ROF_SF</v>
      </c>
      <c r="G3518" s="4307"/>
      <c r="H3518" s="4307"/>
      <c r="I3518" s="4307"/>
      <c r="J3518" s="1029" t="str">
        <f>$C$1628</f>
        <v>353200_2024_12_</v>
      </c>
      <c r="K3518" s="1775">
        <v>1</v>
      </c>
      <c r="L3518" s="262"/>
      <c r="M3518" s="1442"/>
      <c r="P3518" s="261"/>
      <c r="Q3518" s="261"/>
      <c r="R3518" s="261"/>
      <c r="S3518" s="52"/>
      <c r="T3518" s="181"/>
      <c r="U3518" s="52"/>
      <c r="V3518" s="4295"/>
      <c r="W3518" s="241">
        <v>1</v>
      </c>
      <c r="X3518" s="241">
        <v>1</v>
      </c>
      <c r="Y3518" s="241">
        <v>1</v>
      </c>
      <c r="Z3518" s="241">
        <v>1</v>
      </c>
      <c r="AA3518" s="241">
        <v>1</v>
      </c>
      <c r="AB3518" s="241">
        <v>1</v>
      </c>
      <c r="AC3518" s="241">
        <v>1</v>
      </c>
      <c r="AD3518" s="241">
        <v>1</v>
      </c>
      <c r="AE3518" s="241">
        <v>1</v>
      </c>
      <c r="AF3518" s="271">
        <f t="shared" si="340"/>
        <v>1</v>
      </c>
      <c r="AG3518" s="241"/>
      <c r="DG3518" s="573"/>
      <c r="DH3518" s="159"/>
      <c r="DI3518" s="1091"/>
      <c r="DJ3518" s="1187"/>
    </row>
    <row r="3519" spans="1:114" ht="15" hidden="1" customHeight="1" outlineLevel="1">
      <c r="A3519" s="453"/>
      <c r="C3519" s="51"/>
      <c r="D3519" s="4303"/>
      <c r="E3519" s="4295"/>
      <c r="F3519" s="4307" t="str">
        <f>$E$1630</f>
        <v>ASHP-SEER18-Replace_CAC_NonElectricHeat_ROF_SF</v>
      </c>
      <c r="G3519" s="4307"/>
      <c r="H3519" s="4307"/>
      <c r="I3519" s="4307"/>
      <c r="J3519" s="1029" t="str">
        <f>$C$1630</f>
        <v>353210_2024_12_</v>
      </c>
      <c r="K3519" s="1775">
        <v>1</v>
      </c>
      <c r="L3519" s="262"/>
      <c r="M3519" s="1378"/>
      <c r="P3519" s="261"/>
      <c r="Q3519" s="261"/>
      <c r="R3519" s="261"/>
      <c r="S3519" s="52"/>
      <c r="T3519" s="181"/>
      <c r="U3519" s="52"/>
      <c r="V3519" s="4295"/>
      <c r="W3519" s="241"/>
      <c r="X3519" s="241"/>
      <c r="Y3519" s="241"/>
      <c r="Z3519" s="241"/>
      <c r="AA3519" s="241"/>
      <c r="AB3519" s="241"/>
      <c r="AC3519" s="241"/>
      <c r="AD3519" s="239">
        <v>1</v>
      </c>
      <c r="AE3519" s="241">
        <v>1</v>
      </c>
      <c r="AF3519" s="271">
        <f t="shared" si="340"/>
        <v>1</v>
      </c>
      <c r="AG3519" s="241"/>
      <c r="DG3519" s="573"/>
      <c r="DH3519" s="159"/>
      <c r="DI3519" s="1091"/>
      <c r="DJ3519" s="1187"/>
    </row>
    <row r="3520" spans="1:114" ht="15" hidden="1" customHeight="1" outlineLevel="1">
      <c r="A3520" s="453"/>
      <c r="C3520" s="51"/>
      <c r="D3520" s="4303"/>
      <c r="E3520" s="4295"/>
      <c r="F3520" s="4347" t="str">
        <f>$E$1632</f>
        <v>ASHP-SEER18-Replace_CAC_ElectricHeat_ROF_MF</v>
      </c>
      <c r="G3520" s="4347"/>
      <c r="H3520" s="4347"/>
      <c r="I3520" s="4347"/>
      <c r="J3520" s="3471" t="str">
        <f>$C$1632</f>
        <v>353250_2024_12_</v>
      </c>
      <c r="K3520" s="3376">
        <v>1</v>
      </c>
      <c r="L3520" s="262"/>
      <c r="M3520" s="1442"/>
      <c r="P3520" s="261"/>
      <c r="Q3520" s="261"/>
      <c r="R3520" s="261"/>
      <c r="S3520" s="52"/>
      <c r="T3520" s="181"/>
      <c r="U3520" s="52"/>
      <c r="V3520" s="4295"/>
      <c r="W3520" s="3380">
        <v>0.65</v>
      </c>
      <c r="X3520" s="3380">
        <v>0.65</v>
      </c>
      <c r="Y3520" s="3380">
        <v>0.65</v>
      </c>
      <c r="Z3520" s="3380">
        <v>0.65</v>
      </c>
      <c r="AA3520" s="3380">
        <v>0.65</v>
      </c>
      <c r="AB3520" s="3380">
        <v>0.65</v>
      </c>
      <c r="AC3520" s="3380">
        <v>0.65</v>
      </c>
      <c r="AD3520" s="3379">
        <v>1</v>
      </c>
      <c r="AE3520" s="3380">
        <v>1</v>
      </c>
      <c r="AF3520" s="2236">
        <f t="shared" si="340"/>
        <v>1</v>
      </c>
      <c r="AG3520" s="241"/>
      <c r="DG3520" s="573"/>
      <c r="DH3520" s="159"/>
      <c r="DI3520" s="1091"/>
      <c r="DJ3520" s="1187"/>
    </row>
    <row r="3521" spans="1:114" ht="15" hidden="1" customHeight="1" outlineLevel="1">
      <c r="A3521" s="453"/>
      <c r="C3521" s="51"/>
      <c r="D3521" s="4303"/>
      <c r="E3521" s="4295"/>
      <c r="F3521" s="4347" t="str">
        <f>$E$1634</f>
        <v>ASHP-SEER18-Replace_CAC_ElectricHeat_ROF_MF_CompE</v>
      </c>
      <c r="G3521" s="4347"/>
      <c r="H3521" s="4347"/>
      <c r="I3521" s="4347"/>
      <c r="J3521" s="3471" t="str">
        <f>$C$1634</f>
        <v>353251_2024_12_</v>
      </c>
      <c r="K3521" s="3376">
        <v>1</v>
      </c>
      <c r="L3521" s="262"/>
      <c r="M3521" s="1442"/>
      <c r="P3521" s="261"/>
      <c r="Q3521" s="261"/>
      <c r="R3521" s="261"/>
      <c r="S3521" s="52"/>
      <c r="T3521" s="181"/>
      <c r="U3521" s="52"/>
      <c r="V3521" s="4295"/>
      <c r="W3521" s="3380"/>
      <c r="X3521" s="3380"/>
      <c r="Y3521" s="3379">
        <v>0.65</v>
      </c>
      <c r="Z3521" s="3380">
        <v>0.65</v>
      </c>
      <c r="AA3521" s="3380">
        <v>0.65</v>
      </c>
      <c r="AB3521" s="3380">
        <v>0.65</v>
      </c>
      <c r="AC3521" s="3380">
        <f>AC3520</f>
        <v>0.65</v>
      </c>
      <c r="AD3521" s="3379">
        <v>1</v>
      </c>
      <c r="AE3521" s="3380">
        <v>1</v>
      </c>
      <c r="AF3521" s="2236">
        <f t="shared" si="340"/>
        <v>1</v>
      </c>
      <c r="AG3521" s="241"/>
      <c r="DG3521" s="573"/>
      <c r="DH3521" s="159"/>
      <c r="DI3521" s="1091"/>
      <c r="DJ3521" s="1187"/>
    </row>
    <row r="3522" spans="1:114" ht="15" hidden="1" customHeight="1" outlineLevel="1">
      <c r="A3522" s="453"/>
      <c r="C3522" s="51"/>
      <c r="D3522" s="4303"/>
      <c r="E3522" s="4295"/>
      <c r="F3522" s="4347" t="str">
        <f>$E$1636</f>
        <v>ASHP-SEER18-Replace_CAC_NonElectricHeat_ROF_MF</v>
      </c>
      <c r="G3522" s="4347"/>
      <c r="H3522" s="4347"/>
      <c r="I3522" s="4347"/>
      <c r="J3522" s="3471" t="str">
        <f>$C$1636</f>
        <v>353260_2024_12_</v>
      </c>
      <c r="K3522" s="3376">
        <v>1</v>
      </c>
      <c r="L3522" s="262"/>
      <c r="M3522" s="1442"/>
      <c r="P3522" s="261"/>
      <c r="Q3522" s="261"/>
      <c r="R3522" s="261"/>
      <c r="S3522" s="52"/>
      <c r="T3522" s="181"/>
      <c r="U3522" s="52"/>
      <c r="V3522" s="4295"/>
      <c r="W3522" s="3380"/>
      <c r="X3522" s="3380"/>
      <c r="Y3522" s="3379"/>
      <c r="Z3522" s="3380"/>
      <c r="AA3522" s="3380"/>
      <c r="AB3522" s="3380"/>
      <c r="AC3522" s="3379">
        <f>AC3521</f>
        <v>0.65</v>
      </c>
      <c r="AD3522" s="3379">
        <v>1</v>
      </c>
      <c r="AE3522" s="3380">
        <v>1</v>
      </c>
      <c r="AF3522" s="2236">
        <f t="shared" si="340"/>
        <v>1</v>
      </c>
      <c r="AG3522" s="241"/>
      <c r="DG3522" s="573"/>
      <c r="DH3522" s="159"/>
      <c r="DI3522" s="1091"/>
      <c r="DJ3522" s="1187"/>
    </row>
    <row r="3523" spans="1:114" ht="15" hidden="1" customHeight="1" outlineLevel="1">
      <c r="A3523" s="453"/>
      <c r="C3523" s="51"/>
      <c r="D3523" s="4303"/>
      <c r="E3523" s="4295"/>
      <c r="F3523" s="4347" t="str">
        <f>$E$1638</f>
        <v>ASHP-SEER18-Replace_CAC_NonElectricHeat_ROF_MF_CompE</v>
      </c>
      <c r="G3523" s="4347"/>
      <c r="H3523" s="4347"/>
      <c r="I3523" s="4347"/>
      <c r="J3523" s="3471" t="str">
        <f>$C$1638</f>
        <v>353261_2024_12_</v>
      </c>
      <c r="K3523" s="3376">
        <v>1</v>
      </c>
      <c r="L3523" s="262"/>
      <c r="M3523" s="1442"/>
      <c r="P3523" s="261"/>
      <c r="Q3523" s="261"/>
      <c r="R3523" s="261"/>
      <c r="S3523" s="52"/>
      <c r="T3523" s="181"/>
      <c r="U3523" s="52"/>
      <c r="V3523" s="4295"/>
      <c r="W3523" s="3380"/>
      <c r="X3523" s="3380"/>
      <c r="Y3523" s="3379"/>
      <c r="Z3523" s="3380"/>
      <c r="AA3523" s="3380"/>
      <c r="AB3523" s="3380"/>
      <c r="AC3523" s="3379">
        <f>AC3522</f>
        <v>0.65</v>
      </c>
      <c r="AD3523" s="3379">
        <v>1</v>
      </c>
      <c r="AE3523" s="3380">
        <v>1</v>
      </c>
      <c r="AF3523" s="2236">
        <f t="shared" si="340"/>
        <v>1</v>
      </c>
      <c r="AG3523" s="241"/>
      <c r="DG3523" s="573"/>
      <c r="DH3523" s="159"/>
      <c r="DI3523" s="1091"/>
      <c r="DJ3523" s="1187"/>
    </row>
    <row r="3524" spans="1:114" ht="15" hidden="1" customHeight="1" outlineLevel="1">
      <c r="A3524" s="453"/>
      <c r="C3524" s="51"/>
      <c r="D3524" s="4303"/>
      <c r="E3524" s="4295"/>
      <c r="F3524" s="4307" t="str">
        <f>$E$1640</f>
        <v>ASHP-SEER19-Replace_CAC_ElectricHeat_ROF_SF</v>
      </c>
      <c r="G3524" s="4307"/>
      <c r="H3524" s="4307"/>
      <c r="I3524" s="4307"/>
      <c r="J3524" s="1029" t="str">
        <f>$C$1640</f>
        <v>353300_2024_12_</v>
      </c>
      <c r="K3524" s="1775">
        <v>1</v>
      </c>
      <c r="L3524" s="262"/>
      <c r="M3524" s="1442"/>
      <c r="P3524" s="261"/>
      <c r="Q3524" s="261"/>
      <c r="R3524" s="261"/>
      <c r="S3524" s="52"/>
      <c r="T3524" s="181"/>
      <c r="U3524" s="52"/>
      <c r="V3524" s="4295"/>
      <c r="W3524" s="241">
        <v>1</v>
      </c>
      <c r="X3524" s="241">
        <v>1</v>
      </c>
      <c r="Y3524" s="241">
        <v>1</v>
      </c>
      <c r="Z3524" s="241">
        <v>1</v>
      </c>
      <c r="AA3524" s="241">
        <v>1</v>
      </c>
      <c r="AB3524" s="241">
        <v>1</v>
      </c>
      <c r="AC3524" s="241">
        <v>1</v>
      </c>
      <c r="AD3524" s="241">
        <v>1</v>
      </c>
      <c r="AE3524" s="241">
        <v>1</v>
      </c>
      <c r="AF3524" s="271">
        <f t="shared" si="340"/>
        <v>1</v>
      </c>
      <c r="AG3524" s="241"/>
      <c r="DG3524" s="573"/>
      <c r="DH3524" s="159"/>
      <c r="DI3524" s="1091"/>
      <c r="DJ3524" s="1187"/>
    </row>
    <row r="3525" spans="1:114" ht="15" hidden="1" customHeight="1" outlineLevel="1">
      <c r="A3525" s="453"/>
      <c r="C3525" s="51"/>
      <c r="D3525" s="4303"/>
      <c r="E3525" s="4295"/>
      <c r="F3525" s="4307" t="str">
        <f>$E$1642</f>
        <v>ASHP-SEER19-Replace_CAC_NonElectricHeat_ROF_SF</v>
      </c>
      <c r="G3525" s="4307"/>
      <c r="H3525" s="4307"/>
      <c r="I3525" s="4307"/>
      <c r="J3525" s="1029" t="str">
        <f>$C$1642</f>
        <v>353310_2024_12_</v>
      </c>
      <c r="K3525" s="1775">
        <v>1</v>
      </c>
      <c r="L3525" s="262"/>
      <c r="M3525" s="1378"/>
      <c r="P3525" s="261"/>
      <c r="Q3525" s="261"/>
      <c r="R3525" s="261"/>
      <c r="S3525" s="52"/>
      <c r="T3525" s="181"/>
      <c r="U3525" s="52"/>
      <c r="V3525" s="4295"/>
      <c r="W3525" s="241"/>
      <c r="X3525" s="241"/>
      <c r="Y3525" s="241"/>
      <c r="Z3525" s="241"/>
      <c r="AA3525" s="241"/>
      <c r="AB3525" s="241"/>
      <c r="AC3525" s="241"/>
      <c r="AD3525" s="239">
        <v>1</v>
      </c>
      <c r="AE3525" s="241">
        <v>1</v>
      </c>
      <c r="AF3525" s="271">
        <f t="shared" si="340"/>
        <v>1</v>
      </c>
      <c r="AG3525" s="241"/>
      <c r="DG3525" s="573"/>
      <c r="DH3525" s="159"/>
      <c r="DI3525" s="1091"/>
      <c r="DJ3525" s="1187"/>
    </row>
    <row r="3526" spans="1:114" ht="15" hidden="1" customHeight="1" outlineLevel="1">
      <c r="A3526" s="453"/>
      <c r="C3526" s="51"/>
      <c r="D3526" s="4303"/>
      <c r="E3526" s="4295"/>
      <c r="F3526" s="4347" t="str">
        <f>$E$1644</f>
        <v>ASHP-SEER19-Replace_CAC_ElectricHeat_ROF_MF</v>
      </c>
      <c r="G3526" s="4347"/>
      <c r="H3526" s="4347"/>
      <c r="I3526" s="4347"/>
      <c r="J3526" s="3471" t="str">
        <f>$C$1644</f>
        <v>353350_2024_12_</v>
      </c>
      <c r="K3526" s="3376">
        <v>0.65</v>
      </c>
      <c r="L3526" s="262"/>
      <c r="M3526" s="1442"/>
      <c r="P3526" s="261"/>
      <c r="Q3526" s="261"/>
      <c r="R3526" s="261"/>
      <c r="S3526" s="52"/>
      <c r="T3526" s="181"/>
      <c r="U3526" s="52"/>
      <c r="V3526" s="4295"/>
      <c r="W3526" s="3380">
        <v>0.65</v>
      </c>
      <c r="X3526" s="3380">
        <v>0.65</v>
      </c>
      <c r="Y3526" s="3380">
        <v>0.65</v>
      </c>
      <c r="Z3526" s="3380">
        <v>0.65</v>
      </c>
      <c r="AA3526" s="3380">
        <v>0.65</v>
      </c>
      <c r="AB3526" s="3380">
        <v>0.65</v>
      </c>
      <c r="AC3526" s="3380">
        <v>0.65</v>
      </c>
      <c r="AD3526" s="3380">
        <v>0.65</v>
      </c>
      <c r="AE3526" s="3380">
        <v>0.65</v>
      </c>
      <c r="AF3526" s="2236">
        <f t="shared" si="340"/>
        <v>0.65</v>
      </c>
      <c r="AG3526" s="241"/>
      <c r="DG3526" s="573"/>
      <c r="DH3526" s="159"/>
      <c r="DI3526" s="1091"/>
      <c r="DJ3526" s="1187"/>
    </row>
    <row r="3527" spans="1:114" ht="15" hidden="1" customHeight="1" outlineLevel="1">
      <c r="A3527" s="453"/>
      <c r="C3527" s="51"/>
      <c r="D3527" s="4303"/>
      <c r="E3527" s="4295"/>
      <c r="F3527" s="4347" t="str">
        <f>$E$1646</f>
        <v>ASHP-SEER19-Replace_CAC_ElectricHeat_ROF_MF_CompE</v>
      </c>
      <c r="G3527" s="4347"/>
      <c r="H3527" s="4347"/>
      <c r="I3527" s="4347"/>
      <c r="J3527" s="3471" t="str">
        <f>$C$1646</f>
        <v>353351_2024_12_</v>
      </c>
      <c r="K3527" s="3376">
        <v>0.65</v>
      </c>
      <c r="L3527" s="262"/>
      <c r="M3527" s="1442"/>
      <c r="P3527" s="261"/>
      <c r="Q3527" s="261"/>
      <c r="R3527" s="261"/>
      <c r="S3527" s="52"/>
      <c r="T3527" s="181"/>
      <c r="U3527" s="52"/>
      <c r="V3527" s="4295"/>
      <c r="W3527" s="3380"/>
      <c r="X3527" s="3380"/>
      <c r="Y3527" s="3379">
        <v>0.65</v>
      </c>
      <c r="Z3527" s="3380">
        <v>0.65</v>
      </c>
      <c r="AA3527" s="3380">
        <v>0.65</v>
      </c>
      <c r="AB3527" s="3380">
        <v>0.65</v>
      </c>
      <c r="AC3527" s="3380">
        <f>AC3526</f>
        <v>0.65</v>
      </c>
      <c r="AD3527" s="3380">
        <v>0.65</v>
      </c>
      <c r="AE3527" s="3380">
        <v>0.65</v>
      </c>
      <c r="AF3527" s="2236">
        <f t="shared" si="340"/>
        <v>0.65</v>
      </c>
      <c r="AG3527" s="241"/>
      <c r="DG3527" s="573"/>
      <c r="DH3527" s="159"/>
      <c r="DI3527" s="1091"/>
      <c r="DJ3527" s="1187"/>
    </row>
    <row r="3528" spans="1:114" ht="15" hidden="1" customHeight="1" outlineLevel="1">
      <c r="A3528" s="453"/>
      <c r="C3528" s="51"/>
      <c r="D3528" s="4303"/>
      <c r="E3528" s="4295"/>
      <c r="F3528" s="4347" t="str">
        <f>$E$1648</f>
        <v>ASHP-SEER19-Replace_CAC_NonElectricHeat_ROF_MF</v>
      </c>
      <c r="G3528" s="4347"/>
      <c r="H3528" s="4347"/>
      <c r="I3528" s="4347"/>
      <c r="J3528" s="3471" t="str">
        <f>$C$1648</f>
        <v>353360_2024_12_</v>
      </c>
      <c r="K3528" s="3376">
        <v>0.65</v>
      </c>
      <c r="L3528" s="262"/>
      <c r="M3528" s="1442"/>
      <c r="P3528" s="261"/>
      <c r="Q3528" s="261"/>
      <c r="R3528" s="261"/>
      <c r="S3528" s="52"/>
      <c r="T3528" s="181"/>
      <c r="U3528" s="52"/>
      <c r="V3528" s="4295"/>
      <c r="W3528" s="3380"/>
      <c r="X3528" s="3380"/>
      <c r="Y3528" s="3379"/>
      <c r="Z3528" s="3380"/>
      <c r="AA3528" s="3380"/>
      <c r="AB3528" s="3380"/>
      <c r="AC3528" s="3379">
        <f>AC3527</f>
        <v>0.65</v>
      </c>
      <c r="AD3528" s="3380">
        <v>0.65</v>
      </c>
      <c r="AE3528" s="3380">
        <v>0.65</v>
      </c>
      <c r="AF3528" s="2236">
        <f t="shared" si="340"/>
        <v>0.65</v>
      </c>
      <c r="AG3528" s="241"/>
      <c r="DG3528" s="573"/>
      <c r="DH3528" s="159"/>
      <c r="DI3528" s="1091"/>
      <c r="DJ3528" s="1187"/>
    </row>
    <row r="3529" spans="1:114" ht="15" hidden="1" customHeight="1" outlineLevel="1">
      <c r="A3529" s="453"/>
      <c r="C3529" s="51"/>
      <c r="D3529" s="4303"/>
      <c r="E3529" s="4295"/>
      <c r="F3529" s="4347" t="str">
        <f>$E$1650</f>
        <v>ASHP-SEER19-Replace_CAC_NonElectricHeat_ROF_MF_CompE</v>
      </c>
      <c r="G3529" s="4347"/>
      <c r="H3529" s="4347"/>
      <c r="I3529" s="4347"/>
      <c r="J3529" s="3471" t="str">
        <f>$C$1650</f>
        <v>353361_2024_12_</v>
      </c>
      <c r="K3529" s="3376">
        <v>0.65</v>
      </c>
      <c r="L3529" s="262"/>
      <c r="M3529" s="1442"/>
      <c r="P3529" s="261"/>
      <c r="Q3529" s="261"/>
      <c r="R3529" s="261"/>
      <c r="S3529" s="52"/>
      <c r="T3529" s="181"/>
      <c r="U3529" s="52"/>
      <c r="V3529" s="4295"/>
      <c r="W3529" s="3380"/>
      <c r="X3529" s="3380"/>
      <c r="Y3529" s="3379"/>
      <c r="Z3529" s="3380"/>
      <c r="AA3529" s="3380"/>
      <c r="AB3529" s="3380"/>
      <c r="AC3529" s="3379">
        <f>AC3528</f>
        <v>0.65</v>
      </c>
      <c r="AD3529" s="3380">
        <v>0.65</v>
      </c>
      <c r="AE3529" s="3380">
        <v>0.65</v>
      </c>
      <c r="AF3529" s="2236">
        <f t="shared" si="340"/>
        <v>0.65</v>
      </c>
      <c r="AG3529" s="241"/>
      <c r="DG3529" s="573"/>
      <c r="DH3529" s="159"/>
      <c r="DI3529" s="1091"/>
      <c r="DJ3529" s="1187"/>
    </row>
    <row r="3530" spans="1:114" ht="15" hidden="1" customHeight="1" outlineLevel="1">
      <c r="A3530" s="453"/>
      <c r="C3530" s="51"/>
      <c r="D3530" s="4303"/>
      <c r="E3530" s="4295"/>
      <c r="F3530" s="4307" t="str">
        <f>$E$1652</f>
        <v>ASHP-SEER20-Replace_CAC_ElectricHeat_ER1_SF</v>
      </c>
      <c r="G3530" s="4307"/>
      <c r="H3530" s="4307"/>
      <c r="I3530" s="4307"/>
      <c r="J3530" s="1029" t="str">
        <f>$C$1652</f>
        <v>353400_2024_12_</v>
      </c>
      <c r="K3530" s="1775">
        <v>1</v>
      </c>
      <c r="L3530" s="262"/>
      <c r="M3530" s="1442"/>
      <c r="P3530" s="261"/>
      <c r="Q3530" s="261"/>
      <c r="R3530" s="261"/>
      <c r="S3530" s="52"/>
      <c r="T3530" s="181"/>
      <c r="U3530" s="52"/>
      <c r="V3530" s="4295"/>
      <c r="W3530" s="241">
        <v>1</v>
      </c>
      <c r="X3530" s="241">
        <v>1</v>
      </c>
      <c r="Y3530" s="241">
        <v>1</v>
      </c>
      <c r="Z3530" s="241">
        <v>1</v>
      </c>
      <c r="AA3530" s="241">
        <v>1</v>
      </c>
      <c r="AB3530" s="241">
        <v>1</v>
      </c>
      <c r="AC3530" s="241">
        <v>1</v>
      </c>
      <c r="AD3530" s="241">
        <v>1</v>
      </c>
      <c r="AE3530" s="241">
        <v>1</v>
      </c>
      <c r="AF3530" s="271">
        <f t="shared" si="340"/>
        <v>1</v>
      </c>
      <c r="AG3530" s="241"/>
      <c r="DG3530" s="573"/>
      <c r="DH3530" s="159"/>
      <c r="DI3530" s="1091"/>
      <c r="DJ3530" s="1187"/>
    </row>
    <row r="3531" spans="1:114" ht="15" hidden="1" customHeight="1" outlineLevel="1">
      <c r="A3531" s="453"/>
      <c r="C3531" s="51"/>
      <c r="D3531" s="4303"/>
      <c r="E3531" s="4295"/>
      <c r="F3531" s="4307" t="str">
        <f>$E$1654</f>
        <v>ASHP-SEER20-Replace_CAC_ElectricHeat_ER2_SF</v>
      </c>
      <c r="G3531" s="4307"/>
      <c r="H3531" s="4307"/>
      <c r="I3531" s="4307"/>
      <c r="J3531" s="1029" t="str">
        <f>$C$1654</f>
        <v>353400_2024_12_</v>
      </c>
      <c r="K3531" s="1775">
        <v>1</v>
      </c>
      <c r="L3531" s="262"/>
      <c r="M3531" s="1442"/>
      <c r="P3531" s="261"/>
      <c r="Q3531" s="261"/>
      <c r="R3531" s="261"/>
      <c r="S3531" s="52"/>
      <c r="T3531" s="181"/>
      <c r="U3531" s="52"/>
      <c r="V3531" s="4295"/>
      <c r="W3531" s="241">
        <v>1</v>
      </c>
      <c r="X3531" s="241">
        <v>1</v>
      </c>
      <c r="Y3531" s="241">
        <v>1</v>
      </c>
      <c r="Z3531" s="241">
        <v>1</v>
      </c>
      <c r="AA3531" s="241">
        <v>1</v>
      </c>
      <c r="AB3531" s="241">
        <v>1</v>
      </c>
      <c r="AC3531" s="241">
        <v>1</v>
      </c>
      <c r="AD3531" s="241">
        <v>1</v>
      </c>
      <c r="AE3531" s="241">
        <v>1</v>
      </c>
      <c r="AF3531" s="271">
        <f t="shared" si="340"/>
        <v>1</v>
      </c>
      <c r="AG3531" s="241"/>
      <c r="DG3531" s="573"/>
      <c r="DH3531" s="159"/>
      <c r="DI3531" s="1091"/>
      <c r="DJ3531" s="1187"/>
    </row>
    <row r="3532" spans="1:114" ht="15" hidden="1" customHeight="1" outlineLevel="1">
      <c r="A3532" s="453"/>
      <c r="C3532" s="51"/>
      <c r="D3532" s="4303"/>
      <c r="E3532" s="4295"/>
      <c r="F3532" s="4307" t="str">
        <f>$E$1656</f>
        <v>ASHP-SEER20-Replace_CAC_NonElectricHeat_ER1_SF</v>
      </c>
      <c r="G3532" s="4307"/>
      <c r="H3532" s="4307"/>
      <c r="I3532" s="4307"/>
      <c r="J3532" s="1029" t="str">
        <f>$C$1656</f>
        <v>353410_2024_12_</v>
      </c>
      <c r="K3532" s="1775">
        <v>1</v>
      </c>
      <c r="L3532" s="262"/>
      <c r="M3532" s="1442"/>
      <c r="P3532" s="261"/>
      <c r="Q3532" s="261"/>
      <c r="R3532" s="261"/>
      <c r="S3532" s="52"/>
      <c r="T3532" s="181"/>
      <c r="U3532" s="52"/>
      <c r="V3532" s="4295"/>
      <c r="W3532" s="241"/>
      <c r="X3532" s="241"/>
      <c r="Y3532" s="241"/>
      <c r="Z3532" s="241"/>
      <c r="AA3532" s="241"/>
      <c r="AB3532" s="241"/>
      <c r="AC3532" s="239">
        <v>1</v>
      </c>
      <c r="AD3532" s="241">
        <v>1</v>
      </c>
      <c r="AE3532" s="241">
        <v>1</v>
      </c>
      <c r="AF3532" s="271">
        <f t="shared" si="340"/>
        <v>1</v>
      </c>
      <c r="AG3532" s="241"/>
      <c r="DG3532" s="573"/>
      <c r="DH3532" s="159"/>
      <c r="DI3532" s="1091"/>
      <c r="DJ3532" s="1187"/>
    </row>
    <row r="3533" spans="1:114" ht="15" hidden="1" customHeight="1" outlineLevel="1">
      <c r="A3533" s="453"/>
      <c r="C3533" s="51"/>
      <c r="D3533" s="4303"/>
      <c r="E3533" s="4295"/>
      <c r="F3533" s="4307" t="str">
        <f>$E$1658</f>
        <v>ASHP-SEER20-Replace_CAC_NonElectricHeat_ER2_SF</v>
      </c>
      <c r="G3533" s="4307"/>
      <c r="H3533" s="4307"/>
      <c r="I3533" s="4307"/>
      <c r="J3533" s="1029" t="str">
        <f>$C$1658</f>
        <v>353410_2024_12_</v>
      </c>
      <c r="K3533" s="1775">
        <v>1</v>
      </c>
      <c r="L3533" s="262"/>
      <c r="M3533" s="1442"/>
      <c r="P3533" s="261"/>
      <c r="Q3533" s="261"/>
      <c r="R3533" s="261"/>
      <c r="S3533" s="52"/>
      <c r="T3533" s="181"/>
      <c r="U3533" s="52"/>
      <c r="V3533" s="4295"/>
      <c r="W3533" s="241"/>
      <c r="X3533" s="241"/>
      <c r="Y3533" s="241"/>
      <c r="Z3533" s="241"/>
      <c r="AA3533" s="241"/>
      <c r="AB3533" s="241"/>
      <c r="AC3533" s="239">
        <v>1</v>
      </c>
      <c r="AD3533" s="241">
        <v>1</v>
      </c>
      <c r="AE3533" s="241">
        <v>1</v>
      </c>
      <c r="AF3533" s="271">
        <f t="shared" si="340"/>
        <v>1</v>
      </c>
      <c r="AG3533" s="241"/>
      <c r="DG3533" s="573"/>
      <c r="DH3533" s="159"/>
      <c r="DI3533" s="1091"/>
      <c r="DJ3533" s="1187"/>
    </row>
    <row r="3534" spans="1:114" ht="15" hidden="1" customHeight="1" outlineLevel="1">
      <c r="A3534" s="453"/>
      <c r="C3534" s="51"/>
      <c r="D3534" s="4303"/>
      <c r="E3534" s="4295"/>
      <c r="F3534" s="4307" t="str">
        <f>$E$1660</f>
        <v>ASHP-SEER20-Replace_CAC_ElectricHeat_ROF_SF</v>
      </c>
      <c r="G3534" s="4307"/>
      <c r="H3534" s="4307"/>
      <c r="I3534" s="4307"/>
      <c r="J3534" s="1029" t="str">
        <f>$C$1660</f>
        <v>353450_2024_12_</v>
      </c>
      <c r="K3534" s="1775">
        <v>1</v>
      </c>
      <c r="L3534" s="262"/>
      <c r="M3534" s="1442"/>
      <c r="P3534" s="261"/>
      <c r="Q3534" s="261"/>
      <c r="R3534" s="261"/>
      <c r="S3534" s="52"/>
      <c r="T3534" s="181"/>
      <c r="U3534" s="52"/>
      <c r="V3534" s="4295"/>
      <c r="W3534" s="241">
        <v>1</v>
      </c>
      <c r="X3534" s="241">
        <v>1</v>
      </c>
      <c r="Y3534" s="241">
        <v>1</v>
      </c>
      <c r="Z3534" s="241">
        <v>1</v>
      </c>
      <c r="AA3534" s="241">
        <v>1</v>
      </c>
      <c r="AB3534" s="241">
        <v>1</v>
      </c>
      <c r="AC3534" s="241">
        <v>1</v>
      </c>
      <c r="AD3534" s="241">
        <v>1</v>
      </c>
      <c r="AE3534" s="241">
        <v>1</v>
      </c>
      <c r="AF3534" s="271">
        <f t="shared" si="340"/>
        <v>1</v>
      </c>
      <c r="AG3534" s="241"/>
      <c r="DG3534" s="573"/>
      <c r="DH3534" s="159"/>
      <c r="DI3534" s="1091"/>
      <c r="DJ3534" s="1187"/>
    </row>
    <row r="3535" spans="1:114" ht="15" hidden="1" customHeight="1" outlineLevel="1">
      <c r="A3535" s="453"/>
      <c r="C3535" s="51"/>
      <c r="D3535" s="4303"/>
      <c r="E3535" s="4295"/>
      <c r="F3535" s="4307" t="str">
        <f>$E$1662</f>
        <v>ASHP-SEER20-Replace_CAC_NonElectricHeat_ROF_SF</v>
      </c>
      <c r="G3535" s="4307"/>
      <c r="H3535" s="4307"/>
      <c r="I3535" s="4307"/>
      <c r="J3535" s="1029" t="str">
        <f>$C$1662</f>
        <v>353460_2024_12_</v>
      </c>
      <c r="K3535" s="1775">
        <v>1</v>
      </c>
      <c r="L3535" s="262"/>
      <c r="M3535" s="1378"/>
      <c r="P3535" s="261"/>
      <c r="Q3535" s="261"/>
      <c r="R3535" s="261"/>
      <c r="S3535" s="52"/>
      <c r="T3535" s="181"/>
      <c r="U3535" s="52"/>
      <c r="V3535" s="4295"/>
      <c r="W3535" s="241"/>
      <c r="X3535" s="241"/>
      <c r="Y3535" s="241"/>
      <c r="Z3535" s="241"/>
      <c r="AA3535" s="241"/>
      <c r="AB3535" s="241"/>
      <c r="AC3535" s="241"/>
      <c r="AD3535" s="239">
        <v>1</v>
      </c>
      <c r="AE3535" s="241">
        <v>1</v>
      </c>
      <c r="AF3535" s="271">
        <f t="shared" si="340"/>
        <v>1</v>
      </c>
      <c r="AG3535" s="241"/>
      <c r="DG3535" s="573"/>
      <c r="DH3535" s="159"/>
      <c r="DI3535" s="1091"/>
      <c r="DJ3535" s="1187"/>
    </row>
    <row r="3536" spans="1:114" ht="15" hidden="1" customHeight="1" outlineLevel="1">
      <c r="A3536" s="453"/>
      <c r="C3536" s="51"/>
      <c r="D3536" s="4303"/>
      <c r="E3536" s="4295"/>
      <c r="F3536" s="4347" t="str">
        <f>$E$1664</f>
        <v>ASHP-SEER20-Replace_CAC_ElectricHeat_ROF_MF</v>
      </c>
      <c r="G3536" s="4347"/>
      <c r="H3536" s="4347"/>
      <c r="I3536" s="4347"/>
      <c r="J3536" s="3471" t="str">
        <f>$C$1664</f>
        <v>353500_2024_12_</v>
      </c>
      <c r="K3536" s="3376">
        <v>0.65</v>
      </c>
      <c r="L3536" s="262"/>
      <c r="M3536" s="1442"/>
      <c r="P3536" s="261"/>
      <c r="Q3536" s="209"/>
      <c r="R3536" s="261"/>
      <c r="S3536" s="52"/>
      <c r="T3536" s="181"/>
      <c r="U3536" s="52"/>
      <c r="V3536" s="4295"/>
      <c r="W3536" s="3380">
        <v>0.65</v>
      </c>
      <c r="X3536" s="3380">
        <v>0.65</v>
      </c>
      <c r="Y3536" s="3380">
        <v>0.65</v>
      </c>
      <c r="Z3536" s="3380">
        <v>0.65</v>
      </c>
      <c r="AA3536" s="3380">
        <v>0.65</v>
      </c>
      <c r="AB3536" s="3380">
        <v>0.65</v>
      </c>
      <c r="AC3536" s="3380">
        <v>0.65</v>
      </c>
      <c r="AD3536" s="3380">
        <v>0.65</v>
      </c>
      <c r="AE3536" s="3380">
        <v>0.65</v>
      </c>
      <c r="AF3536" s="2236">
        <f t="shared" si="340"/>
        <v>0.65</v>
      </c>
      <c r="AG3536" s="241"/>
      <c r="DG3536" s="573"/>
      <c r="DH3536" s="159"/>
      <c r="DI3536" s="1091"/>
      <c r="DJ3536" s="1187"/>
    </row>
    <row r="3537" spans="1:114" ht="15" hidden="1" customHeight="1" outlineLevel="1">
      <c r="A3537" s="453"/>
      <c r="C3537" s="51"/>
      <c r="D3537" s="4303"/>
      <c r="E3537" s="4295"/>
      <c r="F3537" s="4347" t="str">
        <f>$E$1666</f>
        <v>ASHP-SEER20-Replace_CAC_ElectricHeat_ROF_MF_CompE</v>
      </c>
      <c r="G3537" s="4347"/>
      <c r="H3537" s="4347"/>
      <c r="I3537" s="4347"/>
      <c r="J3537" s="3471" t="str">
        <f>$C$1666</f>
        <v>353501_2024_12_</v>
      </c>
      <c r="K3537" s="3376">
        <v>0.65</v>
      </c>
      <c r="L3537" s="262"/>
      <c r="M3537" s="1442"/>
      <c r="P3537" s="261"/>
      <c r="Q3537" s="209"/>
      <c r="R3537" s="261"/>
      <c r="S3537" s="52"/>
      <c r="T3537" s="181"/>
      <c r="U3537" s="52"/>
      <c r="V3537" s="4295"/>
      <c r="W3537" s="3380"/>
      <c r="X3537" s="3380"/>
      <c r="Y3537" s="3379">
        <v>0.65</v>
      </c>
      <c r="Z3537" s="3380">
        <v>0.65</v>
      </c>
      <c r="AA3537" s="3380">
        <v>0.65</v>
      </c>
      <c r="AB3537" s="3380">
        <v>0.65</v>
      </c>
      <c r="AC3537" s="3380">
        <f>AC3536</f>
        <v>0.65</v>
      </c>
      <c r="AD3537" s="3380">
        <v>0.65</v>
      </c>
      <c r="AE3537" s="3380">
        <v>0.65</v>
      </c>
      <c r="AF3537" s="2236">
        <f t="shared" si="340"/>
        <v>0.65</v>
      </c>
      <c r="AG3537" s="241"/>
      <c r="DG3537" s="573"/>
      <c r="DH3537" s="159"/>
      <c r="DI3537" s="1091"/>
      <c r="DJ3537" s="1187"/>
    </row>
    <row r="3538" spans="1:114" ht="15" hidden="1" customHeight="1" outlineLevel="1">
      <c r="A3538" s="453"/>
      <c r="C3538" s="51"/>
      <c r="D3538" s="4303"/>
      <c r="E3538" s="4295"/>
      <c r="F3538" s="4347" t="str">
        <f>$E$1668</f>
        <v>ASHP-SEER20-Replace_CAC_NonElectricHeat_ROF_MF</v>
      </c>
      <c r="G3538" s="4347"/>
      <c r="H3538" s="4347"/>
      <c r="I3538" s="4347"/>
      <c r="J3538" s="3471" t="str">
        <f>$C$1668</f>
        <v>353510_2024_12_</v>
      </c>
      <c r="K3538" s="3376">
        <v>0.65</v>
      </c>
      <c r="L3538" s="262"/>
      <c r="M3538" s="1442"/>
      <c r="P3538" s="261"/>
      <c r="Q3538" s="209"/>
      <c r="R3538" s="261"/>
      <c r="S3538" s="52"/>
      <c r="T3538" s="181"/>
      <c r="U3538" s="52"/>
      <c r="V3538" s="4295"/>
      <c r="W3538" s="3380"/>
      <c r="X3538" s="3380"/>
      <c r="Y3538" s="3379"/>
      <c r="Z3538" s="3380"/>
      <c r="AA3538" s="3380"/>
      <c r="AB3538" s="3380"/>
      <c r="AC3538" s="3379">
        <f>AC3537</f>
        <v>0.65</v>
      </c>
      <c r="AD3538" s="3380">
        <v>0.65</v>
      </c>
      <c r="AE3538" s="3380">
        <v>0.65</v>
      </c>
      <c r="AF3538" s="2236">
        <f t="shared" si="340"/>
        <v>0.65</v>
      </c>
      <c r="AG3538" s="241"/>
      <c r="DG3538" s="573"/>
      <c r="DH3538" s="159"/>
      <c r="DI3538" s="1091"/>
      <c r="DJ3538" s="1187"/>
    </row>
    <row r="3539" spans="1:114" ht="15" hidden="1" customHeight="1" outlineLevel="1">
      <c r="A3539" s="453"/>
      <c r="C3539" s="51"/>
      <c r="D3539" s="4303"/>
      <c r="E3539" s="4295"/>
      <c r="F3539" s="4347" t="str">
        <f>$E$1670</f>
        <v>ASHP-SEER20-Replace_CAC_NonElectricHeat_ROF_MF_CompE</v>
      </c>
      <c r="G3539" s="4347"/>
      <c r="H3539" s="4347"/>
      <c r="I3539" s="4347"/>
      <c r="J3539" s="3471" t="str">
        <f>$C$1670</f>
        <v>353511_2024_12_</v>
      </c>
      <c r="K3539" s="3376">
        <v>0.65</v>
      </c>
      <c r="L3539" s="262"/>
      <c r="M3539" s="1442"/>
      <c r="P3539" s="261"/>
      <c r="Q3539" s="209"/>
      <c r="R3539" s="261"/>
      <c r="S3539" s="52"/>
      <c r="T3539" s="181"/>
      <c r="U3539" s="52"/>
      <c r="V3539" s="4295"/>
      <c r="W3539" s="3380"/>
      <c r="X3539" s="3380"/>
      <c r="Y3539" s="3379"/>
      <c r="Z3539" s="3380"/>
      <c r="AA3539" s="3380"/>
      <c r="AB3539" s="3380"/>
      <c r="AC3539" s="3379">
        <f>AC3538</f>
        <v>0.65</v>
      </c>
      <c r="AD3539" s="3380">
        <v>0.65</v>
      </c>
      <c r="AE3539" s="3380">
        <v>0.65</v>
      </c>
      <c r="AF3539" s="2236">
        <f t="shared" si="340"/>
        <v>0.65</v>
      </c>
      <c r="AG3539" s="241"/>
      <c r="DG3539" s="573"/>
      <c r="DH3539" s="159"/>
      <c r="DI3539" s="1091"/>
      <c r="DJ3539" s="1187"/>
    </row>
    <row r="3540" spans="1:114" ht="15" hidden="1" customHeight="1" outlineLevel="1">
      <c r="A3540" s="453"/>
      <c r="C3540" s="51"/>
      <c r="D3540" s="4303"/>
      <c r="E3540" s="4295"/>
      <c r="F3540" s="4307" t="str">
        <f>$E$1672</f>
        <v>ASHP-SEER21-Replace_CAC_ElectricHeat_ER1_SF</v>
      </c>
      <c r="G3540" s="4307"/>
      <c r="H3540" s="4307"/>
      <c r="I3540" s="4307"/>
      <c r="J3540" s="1029" t="str">
        <f>$C$1672</f>
        <v>353550_2024_12_</v>
      </c>
      <c r="K3540" s="1775">
        <v>1</v>
      </c>
      <c r="L3540" s="262"/>
      <c r="M3540" s="1442"/>
      <c r="P3540" s="261"/>
      <c r="Q3540" s="209"/>
      <c r="R3540" s="261"/>
      <c r="S3540" s="52"/>
      <c r="T3540" s="181"/>
      <c r="U3540" s="52"/>
      <c r="V3540" s="4295"/>
      <c r="W3540" s="241">
        <v>1</v>
      </c>
      <c r="X3540" s="241">
        <v>1</v>
      </c>
      <c r="Y3540" s="241">
        <v>1</v>
      </c>
      <c r="Z3540" s="241">
        <v>1</v>
      </c>
      <c r="AA3540" s="241">
        <v>1</v>
      </c>
      <c r="AB3540" s="241">
        <v>1</v>
      </c>
      <c r="AC3540" s="241">
        <v>1</v>
      </c>
      <c r="AD3540" s="241">
        <v>1</v>
      </c>
      <c r="AE3540" s="241">
        <v>1</v>
      </c>
      <c r="AF3540" s="271">
        <f t="shared" si="340"/>
        <v>1</v>
      </c>
      <c r="AG3540" s="241"/>
      <c r="DG3540" s="573"/>
      <c r="DH3540" s="159"/>
      <c r="DI3540" s="1091"/>
      <c r="DJ3540" s="1187"/>
    </row>
    <row r="3541" spans="1:114" ht="15" hidden="1" customHeight="1" outlineLevel="1">
      <c r="A3541" s="453"/>
      <c r="C3541" s="51"/>
      <c r="D3541" s="4303"/>
      <c r="E3541" s="4295"/>
      <c r="F3541" s="4307" t="str">
        <f>$E$1674</f>
        <v>ASHP-SEER21-Replace_CAC_ElectricHeat_ER2_SF</v>
      </c>
      <c r="G3541" s="4307"/>
      <c r="H3541" s="4307"/>
      <c r="I3541" s="4307"/>
      <c r="J3541" s="1029" t="str">
        <f>$C$1674</f>
        <v>353550_2024_12_</v>
      </c>
      <c r="K3541" s="1775">
        <v>1</v>
      </c>
      <c r="L3541" s="262"/>
      <c r="M3541" s="1442"/>
      <c r="P3541" s="261"/>
      <c r="Q3541" s="209"/>
      <c r="R3541" s="261"/>
      <c r="S3541" s="52"/>
      <c r="T3541" s="181"/>
      <c r="U3541" s="52"/>
      <c r="V3541" s="4295"/>
      <c r="W3541" s="241">
        <v>1</v>
      </c>
      <c r="X3541" s="241">
        <v>1</v>
      </c>
      <c r="Y3541" s="241">
        <v>1</v>
      </c>
      <c r="Z3541" s="241">
        <v>1</v>
      </c>
      <c r="AA3541" s="241">
        <v>1</v>
      </c>
      <c r="AB3541" s="241">
        <v>1</v>
      </c>
      <c r="AC3541" s="241">
        <v>1</v>
      </c>
      <c r="AD3541" s="241">
        <v>1</v>
      </c>
      <c r="AE3541" s="241">
        <v>1</v>
      </c>
      <c r="AF3541" s="271">
        <f t="shared" si="340"/>
        <v>1</v>
      </c>
      <c r="AG3541" s="241"/>
      <c r="DG3541" s="573"/>
      <c r="DH3541" s="159"/>
      <c r="DI3541" s="1091"/>
      <c r="DJ3541" s="1187"/>
    </row>
    <row r="3542" spans="1:114" ht="15" hidden="1" customHeight="1" outlineLevel="1">
      <c r="A3542" s="453"/>
      <c r="C3542" s="51"/>
      <c r="D3542" s="4303"/>
      <c r="E3542" s="4295"/>
      <c r="F3542" s="4307" t="str">
        <f>$E$1676</f>
        <v>ASHP-SEER21-Replace_CAC_NonElectricHeat_ER1_SF</v>
      </c>
      <c r="G3542" s="4307"/>
      <c r="H3542" s="4307"/>
      <c r="I3542" s="4307"/>
      <c r="J3542" s="1029" t="str">
        <f>$C$1676</f>
        <v>353560_2024_12_</v>
      </c>
      <c r="K3542" s="1775">
        <v>1</v>
      </c>
      <c r="L3542" s="262"/>
      <c r="M3542" s="1442"/>
      <c r="P3542" s="261"/>
      <c r="Q3542" s="209"/>
      <c r="R3542" s="261"/>
      <c r="S3542" s="52"/>
      <c r="T3542" s="181"/>
      <c r="U3542" s="52"/>
      <c r="V3542" s="4295"/>
      <c r="W3542" s="241"/>
      <c r="X3542" s="241"/>
      <c r="Y3542" s="241"/>
      <c r="Z3542" s="241"/>
      <c r="AA3542" s="241"/>
      <c r="AB3542" s="241"/>
      <c r="AC3542" s="239">
        <v>1</v>
      </c>
      <c r="AD3542" s="241">
        <v>1</v>
      </c>
      <c r="AE3542" s="241">
        <v>1</v>
      </c>
      <c r="AF3542" s="271">
        <f t="shared" si="340"/>
        <v>1</v>
      </c>
      <c r="AG3542" s="241"/>
      <c r="DG3542" s="573"/>
      <c r="DH3542" s="159"/>
      <c r="DI3542" s="1091"/>
      <c r="DJ3542" s="1187"/>
    </row>
    <row r="3543" spans="1:114" ht="15" hidden="1" customHeight="1" outlineLevel="1">
      <c r="A3543" s="453"/>
      <c r="C3543" s="51"/>
      <c r="D3543" s="4303"/>
      <c r="E3543" s="4295"/>
      <c r="F3543" s="4307" t="str">
        <f>$E$1678</f>
        <v>ASHP-SEER21-Replace_CAC_NonElectricHeat_ER2_SF</v>
      </c>
      <c r="G3543" s="4307"/>
      <c r="H3543" s="4307"/>
      <c r="I3543" s="4307"/>
      <c r="J3543" s="1029" t="str">
        <f>$C$1678</f>
        <v>353560_2024_12_</v>
      </c>
      <c r="K3543" s="1775">
        <v>1</v>
      </c>
      <c r="L3543" s="262"/>
      <c r="M3543" s="1442"/>
      <c r="P3543" s="261"/>
      <c r="Q3543" s="209"/>
      <c r="R3543" s="261"/>
      <c r="S3543" s="52"/>
      <c r="T3543" s="181"/>
      <c r="U3543" s="52"/>
      <c r="V3543" s="4295"/>
      <c r="W3543" s="241"/>
      <c r="X3543" s="241"/>
      <c r="Y3543" s="241"/>
      <c r="Z3543" s="241"/>
      <c r="AA3543" s="241"/>
      <c r="AB3543" s="241"/>
      <c r="AC3543" s="239">
        <v>1</v>
      </c>
      <c r="AD3543" s="241">
        <v>1</v>
      </c>
      <c r="AE3543" s="241">
        <v>1</v>
      </c>
      <c r="AF3543" s="271">
        <f t="shared" si="340"/>
        <v>1</v>
      </c>
      <c r="AG3543" s="241"/>
      <c r="DG3543" s="573"/>
      <c r="DH3543" s="159"/>
      <c r="DI3543" s="1091"/>
      <c r="DJ3543" s="1187"/>
    </row>
    <row r="3544" spans="1:114" ht="15" hidden="1" customHeight="1" outlineLevel="1">
      <c r="A3544" s="453"/>
      <c r="C3544" s="51"/>
      <c r="D3544" s="4303"/>
      <c r="E3544" s="4295"/>
      <c r="F3544" s="4307" t="str">
        <f>$E$1680</f>
        <v>ASHP-SEER21-Replace_CAC_ElectricHeat_ER1_MF</v>
      </c>
      <c r="G3544" s="4307"/>
      <c r="H3544" s="4307"/>
      <c r="I3544" s="4307"/>
      <c r="J3544" s="1029" t="str">
        <f>$C$1680</f>
        <v>353600_2024_12_</v>
      </c>
      <c r="K3544" s="1775">
        <v>0.65</v>
      </c>
      <c r="L3544" s="262"/>
      <c r="M3544" s="1442"/>
      <c r="P3544" s="261"/>
      <c r="Q3544" s="209"/>
      <c r="R3544" s="261"/>
      <c r="S3544" s="52"/>
      <c r="T3544" s="181"/>
      <c r="U3544" s="52"/>
      <c r="V3544" s="4295"/>
      <c r="W3544" s="241">
        <v>0.65</v>
      </c>
      <c r="X3544" s="241">
        <v>0.65</v>
      </c>
      <c r="Y3544" s="241">
        <v>0.65</v>
      </c>
      <c r="Z3544" s="241">
        <v>0.65</v>
      </c>
      <c r="AA3544" s="241">
        <v>0.65</v>
      </c>
      <c r="AB3544" s="241">
        <v>0.65</v>
      </c>
      <c r="AC3544" s="241">
        <v>0.65</v>
      </c>
      <c r="AD3544" s="241">
        <v>0.65</v>
      </c>
      <c r="AE3544" s="241">
        <v>0.65</v>
      </c>
      <c r="AF3544" s="271">
        <f t="shared" si="340"/>
        <v>0.65</v>
      </c>
      <c r="AG3544" s="241"/>
      <c r="DG3544" s="573"/>
      <c r="DH3544" s="159"/>
      <c r="DI3544" s="1091"/>
      <c r="DJ3544" s="1187"/>
    </row>
    <row r="3545" spans="1:114" ht="15" hidden="1" customHeight="1" outlineLevel="1">
      <c r="A3545" s="453"/>
      <c r="C3545" s="51"/>
      <c r="D3545" s="4303"/>
      <c r="E3545" s="4295"/>
      <c r="F3545" s="4307" t="str">
        <f>$E$1682</f>
        <v>ASHP-SEER21-Replace_CAC_ElectricHeat_ER2_MF</v>
      </c>
      <c r="G3545" s="4307"/>
      <c r="H3545" s="4307"/>
      <c r="I3545" s="4307"/>
      <c r="J3545" s="1029" t="str">
        <f>$C$1682</f>
        <v>353600_2024_12_</v>
      </c>
      <c r="K3545" s="1775">
        <v>0.65</v>
      </c>
      <c r="L3545" s="262"/>
      <c r="M3545" s="1442"/>
      <c r="P3545" s="261"/>
      <c r="Q3545" s="209"/>
      <c r="R3545" s="261"/>
      <c r="S3545" s="52"/>
      <c r="T3545" s="181"/>
      <c r="U3545" s="52"/>
      <c r="V3545" s="4295"/>
      <c r="W3545" s="241">
        <v>0.65</v>
      </c>
      <c r="X3545" s="241">
        <v>0.65</v>
      </c>
      <c r="Y3545" s="241">
        <v>0.65</v>
      </c>
      <c r="Z3545" s="241">
        <v>0.65</v>
      </c>
      <c r="AA3545" s="241">
        <v>0.65</v>
      </c>
      <c r="AB3545" s="241">
        <v>0.65</v>
      </c>
      <c r="AC3545" s="241">
        <v>0.65</v>
      </c>
      <c r="AD3545" s="241">
        <v>0.65</v>
      </c>
      <c r="AE3545" s="241">
        <v>0.65</v>
      </c>
      <c r="AF3545" s="271">
        <f t="shared" si="340"/>
        <v>0.65</v>
      </c>
      <c r="AG3545" s="241"/>
      <c r="DG3545" s="573"/>
      <c r="DH3545" s="159"/>
      <c r="DI3545" s="1091"/>
      <c r="DJ3545" s="1187"/>
    </row>
    <row r="3546" spans="1:114" ht="15" hidden="1" customHeight="1" outlineLevel="1">
      <c r="A3546" s="453"/>
      <c r="C3546" s="51"/>
      <c r="D3546" s="4303"/>
      <c r="E3546" s="4295"/>
      <c r="F3546" s="4347" t="str">
        <f>$E$1684</f>
        <v>ASHP-SEER21-Replace_CAC_ElectricHeat_ER1_MF_CompE</v>
      </c>
      <c r="G3546" s="4347"/>
      <c r="H3546" s="4347"/>
      <c r="I3546" s="4347"/>
      <c r="J3546" s="3471" t="str">
        <f>$C$1684</f>
        <v>353601_2024_12_</v>
      </c>
      <c r="K3546" s="3376">
        <v>0.65</v>
      </c>
      <c r="L3546" s="262"/>
      <c r="M3546" s="1442"/>
      <c r="P3546" s="261"/>
      <c r="Q3546" s="209"/>
      <c r="R3546" s="261"/>
      <c r="S3546" s="52"/>
      <c r="T3546" s="181"/>
      <c r="U3546" s="52"/>
      <c r="V3546" s="4295"/>
      <c r="W3546" s="3380"/>
      <c r="X3546" s="3380"/>
      <c r="Y3546" s="3379">
        <v>0.65</v>
      </c>
      <c r="Z3546" s="3380">
        <v>0.65</v>
      </c>
      <c r="AA3546" s="3380">
        <v>0.65</v>
      </c>
      <c r="AB3546" s="3380">
        <v>0.65</v>
      </c>
      <c r="AC3546" s="3380">
        <f>AC3544</f>
        <v>0.65</v>
      </c>
      <c r="AD3546" s="3380">
        <v>0.65</v>
      </c>
      <c r="AE3546" s="3380">
        <v>0.65</v>
      </c>
      <c r="AF3546" s="2236">
        <f t="shared" si="340"/>
        <v>0.65</v>
      </c>
      <c r="AG3546" s="241"/>
      <c r="DG3546" s="573"/>
      <c r="DH3546" s="159"/>
      <c r="DI3546" s="1091"/>
      <c r="DJ3546" s="1187"/>
    </row>
    <row r="3547" spans="1:114" ht="15" hidden="1" customHeight="1" outlineLevel="1">
      <c r="A3547" s="453"/>
      <c r="C3547" s="51"/>
      <c r="D3547" s="4303"/>
      <c r="E3547" s="4295"/>
      <c r="F3547" s="4347" t="str">
        <f>$E$1686</f>
        <v>ASHP-SEER21-Replace_CAC_ElectricHeat_ER2_MF_CompE</v>
      </c>
      <c r="G3547" s="4347"/>
      <c r="H3547" s="4347"/>
      <c r="I3547" s="4347"/>
      <c r="J3547" s="3471" t="str">
        <f>$C$1686</f>
        <v>353601_2024_12_</v>
      </c>
      <c r="K3547" s="3376">
        <v>0.65</v>
      </c>
      <c r="L3547" s="262"/>
      <c r="M3547" s="1442"/>
      <c r="P3547" s="261"/>
      <c r="Q3547" s="209"/>
      <c r="R3547" s="261"/>
      <c r="S3547" s="52"/>
      <c r="T3547" s="181"/>
      <c r="U3547" s="52"/>
      <c r="V3547" s="4295"/>
      <c r="W3547" s="3380"/>
      <c r="X3547" s="3380"/>
      <c r="Y3547" s="3379">
        <v>0.65</v>
      </c>
      <c r="Z3547" s="3380">
        <v>0.65</v>
      </c>
      <c r="AA3547" s="3380">
        <v>0.65</v>
      </c>
      <c r="AB3547" s="3380">
        <v>0.65</v>
      </c>
      <c r="AC3547" s="3380">
        <f>AC3545</f>
        <v>0.65</v>
      </c>
      <c r="AD3547" s="3380">
        <v>0.65</v>
      </c>
      <c r="AE3547" s="3380">
        <v>0.65</v>
      </c>
      <c r="AF3547" s="2236">
        <f t="shared" si="340"/>
        <v>0.65</v>
      </c>
      <c r="AG3547" s="241"/>
      <c r="DG3547" s="573"/>
      <c r="DH3547" s="159"/>
      <c r="DI3547" s="1091"/>
      <c r="DJ3547" s="1187"/>
    </row>
    <row r="3548" spans="1:114" ht="15" hidden="1" customHeight="1" outlineLevel="1">
      <c r="A3548" s="453"/>
      <c r="C3548" s="51"/>
      <c r="D3548" s="4303"/>
      <c r="E3548" s="4295"/>
      <c r="F3548" s="4347" t="str">
        <f>$E$1688</f>
        <v>ASHP-SEER21-Replace_CAC_NonElectricHeat_ER1_MF</v>
      </c>
      <c r="G3548" s="4347"/>
      <c r="H3548" s="4347"/>
      <c r="I3548" s="4347"/>
      <c r="J3548" s="3471" t="str">
        <f>$C$1688</f>
        <v>353610_2024_12_</v>
      </c>
      <c r="K3548" s="3376">
        <v>0.65</v>
      </c>
      <c r="L3548" s="262"/>
      <c r="M3548" s="1442"/>
      <c r="P3548" s="261"/>
      <c r="Q3548" s="209"/>
      <c r="R3548" s="261"/>
      <c r="S3548" s="52"/>
      <c r="T3548" s="181"/>
      <c r="U3548" s="52"/>
      <c r="V3548" s="4295"/>
      <c r="W3548" s="3380"/>
      <c r="X3548" s="3380"/>
      <c r="Y3548" s="3379"/>
      <c r="Z3548" s="3380"/>
      <c r="AA3548" s="3380"/>
      <c r="AB3548" s="3380"/>
      <c r="AC3548" s="3379">
        <f>AC3547</f>
        <v>0.65</v>
      </c>
      <c r="AD3548" s="3380">
        <v>0.65</v>
      </c>
      <c r="AE3548" s="3380">
        <v>0.65</v>
      </c>
      <c r="AF3548" s="2236">
        <f t="shared" si="340"/>
        <v>0.65</v>
      </c>
      <c r="AG3548" s="241"/>
      <c r="DG3548" s="573"/>
      <c r="DH3548" s="159"/>
      <c r="DI3548" s="1091"/>
      <c r="DJ3548" s="1187"/>
    </row>
    <row r="3549" spans="1:114" ht="15" hidden="1" customHeight="1" outlineLevel="1">
      <c r="A3549" s="453"/>
      <c r="C3549" s="51"/>
      <c r="D3549" s="4303"/>
      <c r="E3549" s="4295"/>
      <c r="F3549" s="4347" t="str">
        <f>$E$1690</f>
        <v>ASHP-SEER21-Replace_CAC_NonElectricHeat_ER2_MF</v>
      </c>
      <c r="G3549" s="4347"/>
      <c r="H3549" s="4347"/>
      <c r="I3549" s="4347"/>
      <c r="J3549" s="3471" t="str">
        <f>$C$1690</f>
        <v>353610_2024_12_</v>
      </c>
      <c r="K3549" s="3376">
        <v>0.65</v>
      </c>
      <c r="L3549" s="262"/>
      <c r="M3549" s="1442"/>
      <c r="P3549" s="261"/>
      <c r="Q3549" s="209"/>
      <c r="R3549" s="261"/>
      <c r="S3549" s="52"/>
      <c r="T3549" s="181"/>
      <c r="U3549" s="52"/>
      <c r="V3549" s="4295"/>
      <c r="W3549" s="3380"/>
      <c r="X3549" s="3380"/>
      <c r="Y3549" s="3379"/>
      <c r="Z3549" s="3380"/>
      <c r="AA3549" s="3380"/>
      <c r="AB3549" s="3380"/>
      <c r="AC3549" s="3379">
        <f>AC3548</f>
        <v>0.65</v>
      </c>
      <c r="AD3549" s="3380">
        <v>0.65</v>
      </c>
      <c r="AE3549" s="3380">
        <v>0.65</v>
      </c>
      <c r="AF3549" s="2236">
        <f t="shared" si="340"/>
        <v>0.65</v>
      </c>
      <c r="AG3549" s="241"/>
      <c r="DG3549" s="573"/>
      <c r="DH3549" s="159"/>
      <c r="DI3549" s="1091"/>
      <c r="DJ3549" s="1187"/>
    </row>
    <row r="3550" spans="1:114" ht="15" hidden="1" customHeight="1" outlineLevel="1">
      <c r="A3550" s="453"/>
      <c r="C3550" s="51"/>
      <c r="D3550" s="4303"/>
      <c r="E3550" s="4295"/>
      <c r="F3550" s="4347" t="str">
        <f>$E$1692</f>
        <v>ASHP-SEER21-Replace_CAC_NonElectricHeat_ER1_MF_CompE</v>
      </c>
      <c r="G3550" s="4347"/>
      <c r="H3550" s="4347"/>
      <c r="I3550" s="4347"/>
      <c r="J3550" s="3471" t="str">
        <f>$C$1692</f>
        <v>353611_2024_12_</v>
      </c>
      <c r="K3550" s="3376">
        <v>0.65</v>
      </c>
      <c r="L3550" s="262"/>
      <c r="M3550" s="1442"/>
      <c r="P3550" s="261"/>
      <c r="Q3550" s="209"/>
      <c r="R3550" s="261"/>
      <c r="S3550" s="52"/>
      <c r="T3550" s="181"/>
      <c r="U3550" s="52"/>
      <c r="V3550" s="4295"/>
      <c r="W3550" s="3380"/>
      <c r="X3550" s="3380"/>
      <c r="Y3550" s="3379"/>
      <c r="Z3550" s="3380"/>
      <c r="AA3550" s="3380"/>
      <c r="AB3550" s="3380"/>
      <c r="AC3550" s="3379">
        <f>AC3549</f>
        <v>0.65</v>
      </c>
      <c r="AD3550" s="3380">
        <v>0.65</v>
      </c>
      <c r="AE3550" s="3380">
        <v>0.65</v>
      </c>
      <c r="AF3550" s="2236">
        <f t="shared" si="340"/>
        <v>0.65</v>
      </c>
      <c r="AG3550" s="241"/>
      <c r="DG3550" s="573"/>
      <c r="DH3550" s="159"/>
      <c r="DI3550" s="1091"/>
      <c r="DJ3550" s="1187"/>
    </row>
    <row r="3551" spans="1:114" ht="15" hidden="1" customHeight="1" outlineLevel="1">
      <c r="A3551" s="453"/>
      <c r="C3551" s="51"/>
      <c r="D3551" s="4303"/>
      <c r="E3551" s="4295"/>
      <c r="F3551" s="4347" t="str">
        <f>$E$1694</f>
        <v>ASHP-SEER21-Replace_CAC_NonElectricHeat_ER2_MF_CompE</v>
      </c>
      <c r="G3551" s="4347"/>
      <c r="H3551" s="4347"/>
      <c r="I3551" s="4347"/>
      <c r="J3551" s="3471" t="str">
        <f>$C$1694</f>
        <v>353611_2024_12_</v>
      </c>
      <c r="K3551" s="3376">
        <v>0.65</v>
      </c>
      <c r="L3551" s="262"/>
      <c r="M3551" s="1442"/>
      <c r="P3551" s="261"/>
      <c r="Q3551" s="209"/>
      <c r="R3551" s="261"/>
      <c r="S3551" s="52"/>
      <c r="T3551" s="181"/>
      <c r="U3551" s="52"/>
      <c r="V3551" s="4295"/>
      <c r="W3551" s="3380"/>
      <c r="X3551" s="3380"/>
      <c r="Y3551" s="3379"/>
      <c r="Z3551" s="3380"/>
      <c r="AA3551" s="3380"/>
      <c r="AB3551" s="3380"/>
      <c r="AC3551" s="3379">
        <f>AC3550</f>
        <v>0.65</v>
      </c>
      <c r="AD3551" s="3380">
        <v>0.65</v>
      </c>
      <c r="AE3551" s="3380">
        <v>0.65</v>
      </c>
      <c r="AF3551" s="2236">
        <f t="shared" si="340"/>
        <v>0.65</v>
      </c>
      <c r="AG3551" s="241"/>
      <c r="DG3551" s="573"/>
      <c r="DH3551" s="159"/>
      <c r="DI3551" s="1091"/>
      <c r="DJ3551" s="1187"/>
    </row>
    <row r="3552" spans="1:114" ht="15" hidden="1" customHeight="1" outlineLevel="1">
      <c r="A3552" s="453"/>
      <c r="C3552" s="51"/>
      <c r="D3552" s="4303"/>
      <c r="E3552" s="4295"/>
      <c r="F3552" s="4307" t="str">
        <f>$E$1696</f>
        <v>ASHP-SEER21-Replace_CAC_ElectricHeat_ROF_SF</v>
      </c>
      <c r="G3552" s="4307"/>
      <c r="H3552" s="4307"/>
      <c r="I3552" s="4307"/>
      <c r="J3552" s="1029" t="str">
        <f>$C$1696</f>
        <v>353650_2024_12_</v>
      </c>
      <c r="K3552" s="1775">
        <v>1</v>
      </c>
      <c r="L3552" s="262"/>
      <c r="M3552" s="1442"/>
      <c r="P3552" s="261"/>
      <c r="Q3552" s="209"/>
      <c r="R3552" s="261"/>
      <c r="S3552" s="52"/>
      <c r="T3552" s="181"/>
      <c r="U3552" s="52"/>
      <c r="V3552" s="4295"/>
      <c r="W3552" s="241">
        <v>1</v>
      </c>
      <c r="X3552" s="241">
        <v>1</v>
      </c>
      <c r="Y3552" s="241">
        <v>1</v>
      </c>
      <c r="Z3552" s="241">
        <v>1</v>
      </c>
      <c r="AA3552" s="241">
        <v>1</v>
      </c>
      <c r="AB3552" s="241">
        <v>1</v>
      </c>
      <c r="AC3552" s="241">
        <v>1</v>
      </c>
      <c r="AD3552" s="241">
        <v>1</v>
      </c>
      <c r="AE3552" s="241">
        <v>1</v>
      </c>
      <c r="AF3552" s="271">
        <f t="shared" si="340"/>
        <v>1</v>
      </c>
      <c r="AG3552" s="241"/>
      <c r="DG3552" s="573"/>
      <c r="DH3552" s="159"/>
      <c r="DI3552" s="1091"/>
      <c r="DJ3552" s="1187"/>
    </row>
    <row r="3553" spans="1:114" ht="15" hidden="1" customHeight="1" outlineLevel="1">
      <c r="A3553" s="453"/>
      <c r="C3553" s="51"/>
      <c r="D3553" s="4303"/>
      <c r="E3553" s="4295"/>
      <c r="F3553" s="4307" t="str">
        <f>$E$1698</f>
        <v>ASHP-SEER21-Replace_CAC_NonElectricHeat_ROF_SF</v>
      </c>
      <c r="G3553" s="4307"/>
      <c r="H3553" s="4307"/>
      <c r="I3553" s="4307"/>
      <c r="J3553" s="1029" t="str">
        <f>$C$1698</f>
        <v>353660_2024_12_</v>
      </c>
      <c r="K3553" s="1775">
        <v>1</v>
      </c>
      <c r="L3553" s="262"/>
      <c r="M3553" s="1378"/>
      <c r="P3553" s="261"/>
      <c r="Q3553" s="209"/>
      <c r="R3553" s="261"/>
      <c r="S3553" s="52"/>
      <c r="T3553" s="181"/>
      <c r="U3553" s="52"/>
      <c r="V3553" s="4295"/>
      <c r="W3553" s="241"/>
      <c r="X3553" s="241"/>
      <c r="Y3553" s="241"/>
      <c r="Z3553" s="241"/>
      <c r="AA3553" s="241"/>
      <c r="AB3553" s="241"/>
      <c r="AC3553" s="241"/>
      <c r="AD3553" s="239">
        <v>1</v>
      </c>
      <c r="AE3553" s="241">
        <v>1</v>
      </c>
      <c r="AF3553" s="271">
        <f t="shared" si="340"/>
        <v>1</v>
      </c>
      <c r="AG3553" s="241"/>
      <c r="DG3553" s="573"/>
      <c r="DH3553" s="159"/>
      <c r="DI3553" s="1091"/>
      <c r="DJ3553" s="1187"/>
    </row>
    <row r="3554" spans="1:114" ht="15" hidden="1" customHeight="1" outlineLevel="1">
      <c r="A3554" s="453"/>
      <c r="C3554" s="51"/>
      <c r="D3554" s="4303"/>
      <c r="E3554" s="4295"/>
      <c r="F3554" s="4347" t="str">
        <f>$E$1700</f>
        <v>ASHP-SEER21+-Replace_CAC_ElectricHeat_ROF_MF</v>
      </c>
      <c r="G3554" s="4347"/>
      <c r="H3554" s="4347"/>
      <c r="I3554" s="4347"/>
      <c r="J3554" s="3471" t="str">
        <f>$C$1700</f>
        <v>353700_2024_12_</v>
      </c>
      <c r="K3554" s="3376">
        <v>0.65</v>
      </c>
      <c r="L3554" s="262"/>
      <c r="M3554" s="1442"/>
      <c r="S3554" s="52"/>
      <c r="T3554" s="52"/>
      <c r="U3554" s="52"/>
      <c r="V3554" s="4295"/>
      <c r="W3554" s="3380">
        <v>0.65</v>
      </c>
      <c r="X3554" s="3380">
        <v>0.65</v>
      </c>
      <c r="Y3554" s="3380">
        <v>0.65</v>
      </c>
      <c r="Z3554" s="3380">
        <v>0.65</v>
      </c>
      <c r="AA3554" s="3380">
        <v>0.65</v>
      </c>
      <c r="AB3554" s="3380">
        <v>0.65</v>
      </c>
      <c r="AC3554" s="3380">
        <v>0.65</v>
      </c>
      <c r="AD3554" s="3380">
        <v>0.65</v>
      </c>
      <c r="AE3554" s="3380">
        <v>0.65</v>
      </c>
      <c r="AF3554" s="2236">
        <f t="shared" si="340"/>
        <v>0.65</v>
      </c>
      <c r="AG3554" s="241"/>
      <c r="DG3554" s="573"/>
      <c r="DH3554" s="159"/>
      <c r="DI3554" s="1091"/>
      <c r="DJ3554" s="1187"/>
    </row>
    <row r="3555" spans="1:114" ht="15" hidden="1" customHeight="1" outlineLevel="1">
      <c r="A3555" s="453"/>
      <c r="C3555" s="51"/>
      <c r="D3555" s="4303"/>
      <c r="E3555" s="4295"/>
      <c r="F3555" s="4347" t="str">
        <f>$E$1702</f>
        <v>ASHP-SEER21+-Replace_CAC_ElectricHeat_ROF_MF_CompE</v>
      </c>
      <c r="G3555" s="4347"/>
      <c r="H3555" s="4347"/>
      <c r="I3555" s="4347"/>
      <c r="J3555" s="3471" t="str">
        <f>$C$1702</f>
        <v>353701_2024_12_</v>
      </c>
      <c r="K3555" s="3376">
        <v>0.65</v>
      </c>
      <c r="L3555" s="262"/>
      <c r="M3555" s="1442"/>
      <c r="S3555" s="52"/>
      <c r="T3555" s="52"/>
      <c r="U3555" s="52"/>
      <c r="V3555" s="4295"/>
      <c r="W3555" s="3380"/>
      <c r="X3555" s="3380"/>
      <c r="Y3555" s="3379">
        <v>0.65</v>
      </c>
      <c r="Z3555" s="3380">
        <v>0.65</v>
      </c>
      <c r="AA3555" s="3380">
        <v>0.65</v>
      </c>
      <c r="AB3555" s="3380">
        <v>0.65</v>
      </c>
      <c r="AC3555" s="3380">
        <v>0.65</v>
      </c>
      <c r="AD3555" s="3380">
        <v>0.65</v>
      </c>
      <c r="AE3555" s="3380">
        <v>0.65</v>
      </c>
      <c r="AF3555" s="2236">
        <f t="shared" si="340"/>
        <v>0.65</v>
      </c>
      <c r="AG3555" s="241"/>
      <c r="DG3555" s="573"/>
      <c r="DH3555" s="159"/>
      <c r="DI3555" s="1091"/>
      <c r="DJ3555" s="1187"/>
    </row>
    <row r="3556" spans="1:114" ht="15" hidden="1" customHeight="1" outlineLevel="1">
      <c r="A3556" s="453"/>
      <c r="C3556" s="51"/>
      <c r="D3556" s="4303"/>
      <c r="E3556" s="4295"/>
      <c r="F3556" s="4347" t="str">
        <f>$E$1704</f>
        <v>ASHP-SEER21+-Replace_CAC_NonElectricHeat_ROF_MF</v>
      </c>
      <c r="G3556" s="4347"/>
      <c r="H3556" s="4347"/>
      <c r="I3556" s="4347"/>
      <c r="J3556" s="3471" t="str">
        <f>$C$1704</f>
        <v>353710_2024_12_</v>
      </c>
      <c r="K3556" s="3376">
        <v>0.65</v>
      </c>
      <c r="L3556" s="262"/>
      <c r="M3556" s="1442"/>
      <c r="S3556" s="52"/>
      <c r="T3556" s="52"/>
      <c r="U3556" s="52"/>
      <c r="V3556" s="4295"/>
      <c r="W3556" s="3380"/>
      <c r="X3556" s="3380"/>
      <c r="Y3556" s="3379"/>
      <c r="Z3556" s="3380"/>
      <c r="AA3556" s="3380"/>
      <c r="AB3556" s="3380"/>
      <c r="AC3556" s="3379">
        <f>AC3555</f>
        <v>0.65</v>
      </c>
      <c r="AD3556" s="3380">
        <v>0.65</v>
      </c>
      <c r="AE3556" s="3380">
        <v>0.65</v>
      </c>
      <c r="AF3556" s="2236">
        <f t="shared" si="340"/>
        <v>0.65</v>
      </c>
      <c r="AG3556" s="241"/>
      <c r="DG3556" s="573"/>
      <c r="DH3556" s="159"/>
      <c r="DI3556" s="1091"/>
      <c r="DJ3556" s="1187"/>
    </row>
    <row r="3557" spans="1:114" ht="15" hidden="1" customHeight="1" outlineLevel="1">
      <c r="A3557" s="453"/>
      <c r="C3557" s="51"/>
      <c r="D3557" s="4303"/>
      <c r="E3557" s="4295"/>
      <c r="F3557" s="4347" t="str">
        <f>$E$1706</f>
        <v>ASHP-SEER21+-Replace_CAC_NonElectricHeat_ROF_MF_CompE</v>
      </c>
      <c r="G3557" s="4347"/>
      <c r="H3557" s="4347"/>
      <c r="I3557" s="4347"/>
      <c r="J3557" s="3471" t="str">
        <f>$C$1706</f>
        <v>353711_2024_12_</v>
      </c>
      <c r="K3557" s="3376">
        <v>0.65</v>
      </c>
      <c r="L3557" s="262"/>
      <c r="M3557" s="1442"/>
      <c r="S3557" s="52"/>
      <c r="T3557" s="52"/>
      <c r="U3557" s="52"/>
      <c r="V3557" s="4295"/>
      <c r="W3557" s="3380"/>
      <c r="X3557" s="3380"/>
      <c r="Y3557" s="3379"/>
      <c r="Z3557" s="3380"/>
      <c r="AA3557" s="3380"/>
      <c r="AB3557" s="3380"/>
      <c r="AC3557" s="3379">
        <f>AC3556</f>
        <v>0.65</v>
      </c>
      <c r="AD3557" s="3380">
        <v>0.65</v>
      </c>
      <c r="AE3557" s="3380">
        <v>0.65</v>
      </c>
      <c r="AF3557" s="2236">
        <f t="shared" si="340"/>
        <v>0.65</v>
      </c>
      <c r="AG3557" s="241"/>
      <c r="DG3557" s="573"/>
      <c r="DH3557" s="159"/>
      <c r="DI3557" s="1091"/>
      <c r="DJ3557" s="1187"/>
    </row>
    <row r="3558" spans="1:114" ht="15" hidden="1" customHeight="1" outlineLevel="1">
      <c r="A3558" s="453"/>
      <c r="C3558" s="51"/>
      <c r="D3558" s="4303"/>
      <c r="E3558" s="4295"/>
      <c r="F3558" s="4307" t="str">
        <f>$E$1708</f>
        <v>ASHP-SEER17_ER1_SF</v>
      </c>
      <c r="G3558" s="4307"/>
      <c r="H3558" s="4307"/>
      <c r="I3558" s="4307"/>
      <c r="J3558" s="1029" t="str">
        <f>$C$1708</f>
        <v>353750_2024_12_</v>
      </c>
      <c r="K3558" s="1775">
        <v>1</v>
      </c>
      <c r="L3558" s="262"/>
      <c r="M3558" s="1378"/>
      <c r="P3558" s="261"/>
      <c r="Q3558" s="209"/>
      <c r="R3558" s="261"/>
      <c r="S3558" s="52"/>
      <c r="T3558" s="181"/>
      <c r="U3558" s="52"/>
      <c r="V3558" s="4295"/>
      <c r="W3558" s="241">
        <v>1</v>
      </c>
      <c r="X3558" s="241">
        <v>1</v>
      </c>
      <c r="Y3558" s="241">
        <v>1</v>
      </c>
      <c r="Z3558" s="241">
        <v>1</v>
      </c>
      <c r="AA3558" s="241">
        <v>1</v>
      </c>
      <c r="AB3558" s="241">
        <v>1</v>
      </c>
      <c r="AC3558" s="241">
        <v>1</v>
      </c>
      <c r="AD3558" s="241">
        <v>1</v>
      </c>
      <c r="AE3558" s="241">
        <v>1</v>
      </c>
      <c r="AF3558" s="271">
        <f t="shared" si="340"/>
        <v>1</v>
      </c>
      <c r="AG3558" s="241"/>
      <c r="DG3558" s="573"/>
      <c r="DH3558" s="159"/>
      <c r="DI3558" s="1091"/>
      <c r="DJ3558" s="1187"/>
    </row>
    <row r="3559" spans="1:114" ht="15" hidden="1" customHeight="1" outlineLevel="1">
      <c r="A3559" s="453"/>
      <c r="C3559" s="51"/>
      <c r="D3559" s="4303"/>
      <c r="E3559" s="4295"/>
      <c r="F3559" s="4307" t="str">
        <f>$E$1710</f>
        <v>ASHP-SEER17_ER2_SF</v>
      </c>
      <c r="G3559" s="4307"/>
      <c r="H3559" s="4307"/>
      <c r="I3559" s="4307"/>
      <c r="J3559" s="1029" t="str">
        <f>$C$1710</f>
        <v>353750_2024_12_</v>
      </c>
      <c r="K3559" s="1775">
        <v>1</v>
      </c>
      <c r="L3559" s="262"/>
      <c r="M3559" s="1378"/>
      <c r="S3559" s="52"/>
      <c r="T3559" s="52"/>
      <c r="U3559" s="52"/>
      <c r="V3559" s="4295"/>
      <c r="W3559" s="241">
        <v>1</v>
      </c>
      <c r="X3559" s="241">
        <v>1</v>
      </c>
      <c r="Y3559" s="241">
        <v>1</v>
      </c>
      <c r="Z3559" s="241">
        <v>1</v>
      </c>
      <c r="AA3559" s="241">
        <v>1</v>
      </c>
      <c r="AB3559" s="241">
        <v>1</v>
      </c>
      <c r="AC3559" s="241">
        <v>1</v>
      </c>
      <c r="AD3559" s="241">
        <v>1</v>
      </c>
      <c r="AE3559" s="241">
        <v>1</v>
      </c>
      <c r="AF3559" s="271">
        <f t="shared" si="340"/>
        <v>1</v>
      </c>
      <c r="AG3559" s="241"/>
      <c r="DG3559" s="573"/>
      <c r="DH3559" s="159"/>
      <c r="DI3559" s="1091"/>
      <c r="DJ3559" s="1187"/>
    </row>
    <row r="3560" spans="1:114" ht="15" hidden="1" customHeight="1" outlineLevel="1">
      <c r="A3560" s="453"/>
      <c r="C3560" s="51"/>
      <c r="D3560" s="4303"/>
      <c r="E3560" s="4295"/>
      <c r="F3560" s="4307" t="str">
        <f>$E$1712</f>
        <v>ASHP-SEER17_ROF_SF</v>
      </c>
      <c r="G3560" s="4307"/>
      <c r="H3560" s="4307"/>
      <c r="I3560" s="4307"/>
      <c r="J3560" s="1029" t="str">
        <f>$C$1712</f>
        <v>353800_2024_12_</v>
      </c>
      <c r="K3560" s="1775">
        <v>1</v>
      </c>
      <c r="L3560" s="262"/>
      <c r="M3560" s="1378"/>
      <c r="P3560" s="261"/>
      <c r="Q3560" s="209"/>
      <c r="R3560" s="261"/>
      <c r="S3560" s="52"/>
      <c r="T3560" s="181"/>
      <c r="U3560" s="52"/>
      <c r="V3560" s="4295"/>
      <c r="W3560" s="241">
        <v>1</v>
      </c>
      <c r="X3560" s="241">
        <v>1</v>
      </c>
      <c r="Y3560" s="241">
        <v>1</v>
      </c>
      <c r="Z3560" s="241">
        <v>1</v>
      </c>
      <c r="AA3560" s="241">
        <v>1</v>
      </c>
      <c r="AB3560" s="241">
        <v>1</v>
      </c>
      <c r="AC3560" s="241">
        <v>1</v>
      </c>
      <c r="AD3560" s="241">
        <v>1</v>
      </c>
      <c r="AE3560" s="241">
        <v>1</v>
      </c>
      <c r="AF3560" s="271">
        <f t="shared" si="340"/>
        <v>1</v>
      </c>
      <c r="AG3560" s="241"/>
      <c r="DG3560" s="573"/>
      <c r="DH3560" s="159"/>
      <c r="DI3560" s="1091"/>
      <c r="DJ3560" s="1187"/>
    </row>
    <row r="3561" spans="1:114" ht="15" hidden="1" customHeight="1" outlineLevel="1">
      <c r="A3561" s="453"/>
      <c r="C3561" s="51"/>
      <c r="D3561" s="4303"/>
      <c r="E3561" s="4295"/>
      <c r="F3561" s="4307" t="str">
        <f>$E$1714</f>
        <v>ASHP-SEER18_ER1_SF</v>
      </c>
      <c r="G3561" s="4307"/>
      <c r="H3561" s="4307"/>
      <c r="I3561" s="4307"/>
      <c r="J3561" s="1029" t="str">
        <f>$C$1714</f>
        <v>353850_2024_12_</v>
      </c>
      <c r="K3561" s="1775">
        <v>1</v>
      </c>
      <c r="L3561" s="262"/>
      <c r="M3561" s="1378"/>
      <c r="S3561" s="52"/>
      <c r="T3561" s="52"/>
      <c r="U3561" s="52"/>
      <c r="V3561" s="4295"/>
      <c r="W3561" s="241">
        <v>1</v>
      </c>
      <c r="X3561" s="241">
        <v>1</v>
      </c>
      <c r="Y3561" s="241">
        <v>1</v>
      </c>
      <c r="Z3561" s="241">
        <v>1</v>
      </c>
      <c r="AA3561" s="241">
        <v>1</v>
      </c>
      <c r="AB3561" s="241">
        <v>1</v>
      </c>
      <c r="AC3561" s="241">
        <v>1</v>
      </c>
      <c r="AD3561" s="241">
        <v>1</v>
      </c>
      <c r="AE3561" s="241">
        <v>1</v>
      </c>
      <c r="AF3561" s="271">
        <f t="shared" si="340"/>
        <v>1</v>
      </c>
      <c r="AG3561" s="241"/>
      <c r="DG3561" s="573"/>
      <c r="DH3561" s="159"/>
      <c r="DI3561" s="1091"/>
      <c r="DJ3561" s="1187"/>
    </row>
    <row r="3562" spans="1:114" ht="15" hidden="1" customHeight="1" outlineLevel="1">
      <c r="A3562" s="453"/>
      <c r="C3562" s="51"/>
      <c r="D3562" s="4303"/>
      <c r="E3562" s="4295"/>
      <c r="F3562" s="4307" t="str">
        <f>$E$1716</f>
        <v>ASHP-SEER18_ER2_SF</v>
      </c>
      <c r="G3562" s="4307"/>
      <c r="H3562" s="4307"/>
      <c r="I3562" s="4307"/>
      <c r="J3562" s="1029" t="str">
        <f>$C$1716</f>
        <v>353850_2024_12_</v>
      </c>
      <c r="K3562" s="1775">
        <v>1</v>
      </c>
      <c r="L3562" s="262"/>
      <c r="M3562" s="1378"/>
      <c r="S3562" s="52"/>
      <c r="T3562" s="52"/>
      <c r="U3562" s="52"/>
      <c r="V3562" s="4295"/>
      <c r="W3562" s="241">
        <v>1</v>
      </c>
      <c r="X3562" s="241">
        <v>1</v>
      </c>
      <c r="Y3562" s="241">
        <v>1</v>
      </c>
      <c r="Z3562" s="241">
        <v>1</v>
      </c>
      <c r="AA3562" s="241">
        <v>1</v>
      </c>
      <c r="AB3562" s="241">
        <v>1</v>
      </c>
      <c r="AC3562" s="241">
        <v>1</v>
      </c>
      <c r="AD3562" s="241">
        <v>1</v>
      </c>
      <c r="AE3562" s="241">
        <v>1</v>
      </c>
      <c r="AF3562" s="271">
        <f t="shared" si="340"/>
        <v>1</v>
      </c>
      <c r="AG3562" s="241"/>
      <c r="DG3562" s="573"/>
      <c r="DH3562" s="159"/>
      <c r="DI3562" s="1091"/>
      <c r="DJ3562" s="1187"/>
    </row>
    <row r="3563" spans="1:114" ht="15" hidden="1" customHeight="1" outlineLevel="1">
      <c r="A3563" s="453"/>
      <c r="C3563" s="51"/>
      <c r="D3563" s="4303"/>
      <c r="E3563" s="4295"/>
      <c r="F3563" s="4307" t="str">
        <f>$E$1718</f>
        <v>ASHP-SEER18_ROF_SF</v>
      </c>
      <c r="G3563" s="4307"/>
      <c r="H3563" s="4307"/>
      <c r="I3563" s="4307"/>
      <c r="J3563" s="1029" t="str">
        <f>$C$1718</f>
        <v>353950_2024_12_</v>
      </c>
      <c r="K3563" s="1775">
        <v>1</v>
      </c>
      <c r="L3563" s="262"/>
      <c r="M3563" s="1378"/>
      <c r="P3563" s="261"/>
      <c r="Q3563" s="209"/>
      <c r="R3563" s="261"/>
      <c r="S3563" s="52"/>
      <c r="T3563" s="181"/>
      <c r="U3563" s="52"/>
      <c r="V3563" s="4295"/>
      <c r="W3563" s="241">
        <v>1</v>
      </c>
      <c r="X3563" s="241">
        <v>1</v>
      </c>
      <c r="Y3563" s="241">
        <v>1</v>
      </c>
      <c r="Z3563" s="241">
        <v>1</v>
      </c>
      <c r="AA3563" s="241">
        <v>1</v>
      </c>
      <c r="AB3563" s="241">
        <v>1</v>
      </c>
      <c r="AC3563" s="241">
        <v>1</v>
      </c>
      <c r="AD3563" s="241">
        <v>1</v>
      </c>
      <c r="AE3563" s="241">
        <v>1</v>
      </c>
      <c r="AF3563" s="271">
        <f t="shared" si="340"/>
        <v>1</v>
      </c>
      <c r="AG3563" s="241"/>
      <c r="DG3563" s="573"/>
      <c r="DH3563" s="159"/>
      <c r="DI3563" s="1091"/>
      <c r="DJ3563" s="1187"/>
    </row>
    <row r="3564" spans="1:114" ht="15" hidden="1" customHeight="1" outlineLevel="1">
      <c r="A3564" s="453"/>
      <c r="C3564" s="51"/>
      <c r="D3564" s="4303"/>
      <c r="E3564" s="4295"/>
      <c r="F3564" s="4307" t="str">
        <f>$E$1720</f>
        <v>ASHP-SEER19_ER1_SF</v>
      </c>
      <c r="G3564" s="4307"/>
      <c r="H3564" s="4307"/>
      <c r="I3564" s="4307"/>
      <c r="J3564" s="1029" t="str">
        <f>$C$1720</f>
        <v>354000_2024_12_</v>
      </c>
      <c r="K3564" s="1775">
        <v>1</v>
      </c>
      <c r="L3564" s="262"/>
      <c r="M3564" s="1378"/>
      <c r="S3564" s="52"/>
      <c r="T3564" s="52"/>
      <c r="U3564" s="52"/>
      <c r="V3564" s="4295"/>
      <c r="W3564" s="241">
        <v>1</v>
      </c>
      <c r="X3564" s="241">
        <v>1</v>
      </c>
      <c r="Y3564" s="241">
        <v>1</v>
      </c>
      <c r="Z3564" s="241">
        <v>1</v>
      </c>
      <c r="AA3564" s="241">
        <v>1</v>
      </c>
      <c r="AB3564" s="241">
        <v>1</v>
      </c>
      <c r="AC3564" s="241">
        <v>1</v>
      </c>
      <c r="AD3564" s="241">
        <v>1</v>
      </c>
      <c r="AE3564" s="241">
        <v>1</v>
      </c>
      <c r="AF3564" s="271">
        <f t="shared" si="340"/>
        <v>1</v>
      </c>
      <c r="AG3564" s="241"/>
      <c r="DG3564" s="573"/>
      <c r="DH3564" s="159"/>
      <c r="DI3564" s="1091"/>
      <c r="DJ3564" s="1187"/>
    </row>
    <row r="3565" spans="1:114" ht="15" hidden="1" customHeight="1" outlineLevel="1">
      <c r="A3565" s="453"/>
      <c r="C3565" s="51"/>
      <c r="D3565" s="4303"/>
      <c r="E3565" s="4295"/>
      <c r="F3565" s="4307" t="str">
        <f>$E$1722</f>
        <v>ASHP-SEER19_ER2_SF</v>
      </c>
      <c r="G3565" s="4307"/>
      <c r="H3565" s="4307"/>
      <c r="I3565" s="4307"/>
      <c r="J3565" s="1029" t="str">
        <f>$C$1722</f>
        <v>354000_2024_12_</v>
      </c>
      <c r="K3565" s="1775">
        <v>1</v>
      </c>
      <c r="L3565" s="262"/>
      <c r="M3565" s="1378"/>
      <c r="S3565" s="52"/>
      <c r="T3565" s="52"/>
      <c r="U3565" s="52"/>
      <c r="V3565" s="4295"/>
      <c r="W3565" s="241">
        <v>1</v>
      </c>
      <c r="X3565" s="241">
        <v>1</v>
      </c>
      <c r="Y3565" s="241">
        <v>1</v>
      </c>
      <c r="Z3565" s="241">
        <v>1</v>
      </c>
      <c r="AA3565" s="241">
        <v>1</v>
      </c>
      <c r="AB3565" s="241">
        <v>1</v>
      </c>
      <c r="AC3565" s="241">
        <v>1</v>
      </c>
      <c r="AD3565" s="241">
        <v>1</v>
      </c>
      <c r="AE3565" s="241">
        <v>1</v>
      </c>
      <c r="AF3565" s="271">
        <f t="shared" si="340"/>
        <v>1</v>
      </c>
      <c r="AG3565" s="241"/>
      <c r="DG3565" s="573"/>
      <c r="DH3565" s="159"/>
      <c r="DI3565" s="1091"/>
      <c r="DJ3565" s="1187"/>
    </row>
    <row r="3566" spans="1:114" ht="15" hidden="1" customHeight="1" outlineLevel="1">
      <c r="A3566" s="453"/>
      <c r="C3566" s="51"/>
      <c r="D3566" s="4303"/>
      <c r="E3566" s="4295"/>
      <c r="F3566" s="4307" t="str">
        <f>$E$1724</f>
        <v>ASHP-SEER19_ROF_SF</v>
      </c>
      <c r="G3566" s="4307"/>
      <c r="H3566" s="4307"/>
      <c r="I3566" s="4307"/>
      <c r="J3566" s="1029" t="str">
        <f>$C$1724</f>
        <v>354050_2024_12_</v>
      </c>
      <c r="K3566" s="1775">
        <v>1</v>
      </c>
      <c r="L3566" s="262"/>
      <c r="M3566" s="1378"/>
      <c r="P3566" s="261"/>
      <c r="Q3566" s="209"/>
      <c r="R3566" s="261"/>
      <c r="S3566" s="52"/>
      <c r="T3566" s="181"/>
      <c r="U3566" s="52"/>
      <c r="V3566" s="4295"/>
      <c r="W3566" s="241">
        <v>1</v>
      </c>
      <c r="X3566" s="241">
        <v>1</v>
      </c>
      <c r="Y3566" s="241">
        <v>1</v>
      </c>
      <c r="Z3566" s="241">
        <v>1</v>
      </c>
      <c r="AA3566" s="241">
        <v>1</v>
      </c>
      <c r="AB3566" s="241">
        <v>1</v>
      </c>
      <c r="AC3566" s="241">
        <v>1</v>
      </c>
      <c r="AD3566" s="241">
        <v>1</v>
      </c>
      <c r="AE3566" s="241">
        <v>1</v>
      </c>
      <c r="AF3566" s="271">
        <f t="shared" si="340"/>
        <v>1</v>
      </c>
      <c r="AG3566" s="241"/>
      <c r="DG3566" s="573"/>
      <c r="DH3566" s="159"/>
      <c r="DI3566" s="1091"/>
      <c r="DJ3566" s="1187"/>
    </row>
    <row r="3567" spans="1:114" ht="15" hidden="1" customHeight="1" outlineLevel="1">
      <c r="A3567" s="453"/>
      <c r="C3567" s="51"/>
      <c r="D3567" s="4303"/>
      <c r="E3567" s="4295"/>
      <c r="F3567" s="4307" t="str">
        <f>$E$1726</f>
        <v>ASHP-SEER17-Replace_CAC_ElectricHeat_ER1_SF</v>
      </c>
      <c r="G3567" s="4307"/>
      <c r="H3567" s="4307"/>
      <c r="I3567" s="4307"/>
      <c r="J3567" s="1029" t="str">
        <f>$C$1726</f>
        <v>354100_2024_12_</v>
      </c>
      <c r="K3567" s="1775">
        <v>1</v>
      </c>
      <c r="L3567" s="262"/>
      <c r="M3567" s="1378"/>
      <c r="P3567" s="261"/>
      <c r="Q3567" s="209"/>
      <c r="R3567" s="261"/>
      <c r="S3567" s="52"/>
      <c r="T3567" s="181"/>
      <c r="U3567" s="52"/>
      <c r="V3567" s="4295"/>
      <c r="W3567" s="241">
        <v>1</v>
      </c>
      <c r="X3567" s="241">
        <v>1</v>
      </c>
      <c r="Y3567" s="241">
        <v>1</v>
      </c>
      <c r="Z3567" s="241">
        <v>1</v>
      </c>
      <c r="AA3567" s="241">
        <v>1</v>
      </c>
      <c r="AB3567" s="241">
        <v>1</v>
      </c>
      <c r="AC3567" s="241">
        <v>1</v>
      </c>
      <c r="AD3567" s="241">
        <v>1</v>
      </c>
      <c r="AE3567" s="241">
        <v>1</v>
      </c>
      <c r="AF3567" s="271">
        <f t="shared" si="340"/>
        <v>1</v>
      </c>
      <c r="AG3567" s="241"/>
      <c r="DG3567" s="573"/>
      <c r="DH3567" s="159"/>
      <c r="DI3567" s="1091"/>
      <c r="DJ3567" s="1187"/>
    </row>
    <row r="3568" spans="1:114" ht="15" hidden="1" customHeight="1" outlineLevel="1">
      <c r="A3568" s="453"/>
      <c r="C3568" s="51"/>
      <c r="D3568" s="4303"/>
      <c r="E3568" s="4295"/>
      <c r="F3568" s="4307" t="str">
        <f>$E$1728</f>
        <v>ASHP-SEER17-Replace_CAC_ElectricHeat_ER2_SF</v>
      </c>
      <c r="G3568" s="4307"/>
      <c r="H3568" s="4307"/>
      <c r="I3568" s="4307"/>
      <c r="J3568" s="1029" t="str">
        <f>$C$1728</f>
        <v>354100_2024_12_</v>
      </c>
      <c r="K3568" s="1775">
        <v>1</v>
      </c>
      <c r="L3568" s="262"/>
      <c r="M3568" s="1378"/>
      <c r="P3568" s="261"/>
      <c r="Q3568" s="209"/>
      <c r="R3568" s="261"/>
      <c r="S3568" s="52"/>
      <c r="T3568" s="181"/>
      <c r="U3568" s="52"/>
      <c r="V3568" s="4295"/>
      <c r="W3568" s="241">
        <v>1</v>
      </c>
      <c r="X3568" s="241">
        <v>1</v>
      </c>
      <c r="Y3568" s="241">
        <v>1</v>
      </c>
      <c r="Z3568" s="241">
        <v>1</v>
      </c>
      <c r="AA3568" s="241">
        <v>1</v>
      </c>
      <c r="AB3568" s="241">
        <v>1</v>
      </c>
      <c r="AC3568" s="241">
        <v>1</v>
      </c>
      <c r="AD3568" s="241">
        <v>1</v>
      </c>
      <c r="AE3568" s="241">
        <v>1</v>
      </c>
      <c r="AF3568" s="271">
        <f t="shared" si="340"/>
        <v>1</v>
      </c>
      <c r="AG3568" s="241"/>
      <c r="DG3568" s="573"/>
      <c r="DH3568" s="159"/>
      <c r="DI3568" s="1091"/>
      <c r="DJ3568" s="1187"/>
    </row>
    <row r="3569" spans="1:114" ht="15" hidden="1" customHeight="1" outlineLevel="1">
      <c r="A3569" s="453"/>
      <c r="C3569" s="51"/>
      <c r="D3569" s="4303"/>
      <c r="E3569" s="4295"/>
      <c r="F3569" s="4307" t="str">
        <f>$E$1730</f>
        <v>ASHP-SEER17-Replace_CAC_NonElectricHeat_ER1_SF</v>
      </c>
      <c r="G3569" s="4307"/>
      <c r="H3569" s="4307"/>
      <c r="I3569" s="4307"/>
      <c r="J3569" s="1029" t="str">
        <f>$C$1730</f>
        <v>354110_2024_12_</v>
      </c>
      <c r="K3569" s="1775">
        <v>1</v>
      </c>
      <c r="L3569" s="262"/>
      <c r="M3569" s="1378"/>
      <c r="P3569" s="261"/>
      <c r="Q3569" s="209"/>
      <c r="R3569" s="261"/>
      <c r="S3569" s="52"/>
      <c r="T3569" s="181"/>
      <c r="U3569" s="52"/>
      <c r="V3569" s="4295"/>
      <c r="W3569" s="241"/>
      <c r="X3569" s="241"/>
      <c r="Y3569" s="241"/>
      <c r="Z3569" s="241"/>
      <c r="AA3569" s="241"/>
      <c r="AB3569" s="241"/>
      <c r="AC3569" s="239">
        <v>1</v>
      </c>
      <c r="AD3569" s="241">
        <v>1</v>
      </c>
      <c r="AE3569" s="241">
        <v>1</v>
      </c>
      <c r="AF3569" s="271">
        <f t="shared" si="340"/>
        <v>1</v>
      </c>
      <c r="AG3569" s="241"/>
      <c r="DG3569" s="573"/>
      <c r="DH3569" s="159"/>
      <c r="DI3569" s="1091"/>
      <c r="DJ3569" s="1187"/>
    </row>
    <row r="3570" spans="1:114" ht="15" hidden="1" customHeight="1" outlineLevel="1">
      <c r="A3570" s="453"/>
      <c r="C3570" s="51"/>
      <c r="D3570" s="4303"/>
      <c r="E3570" s="4295"/>
      <c r="F3570" s="4307" t="str">
        <f>$E$1732</f>
        <v>ASHP-SEER17-Replace_CAC_NonElectricHeat_ER2_SF</v>
      </c>
      <c r="G3570" s="4307"/>
      <c r="H3570" s="4307"/>
      <c r="I3570" s="4307"/>
      <c r="J3570" s="1029" t="str">
        <f>$C$1732</f>
        <v>354110_2024_12_</v>
      </c>
      <c r="K3570" s="1775">
        <v>1</v>
      </c>
      <c r="L3570" s="262"/>
      <c r="M3570" s="1378"/>
      <c r="P3570" s="261"/>
      <c r="Q3570" s="209"/>
      <c r="R3570" s="261"/>
      <c r="S3570" s="52"/>
      <c r="T3570" s="181"/>
      <c r="U3570" s="52"/>
      <c r="V3570" s="4295"/>
      <c r="W3570" s="241"/>
      <c r="X3570" s="241"/>
      <c r="Y3570" s="241"/>
      <c r="Z3570" s="241"/>
      <c r="AA3570" s="241"/>
      <c r="AB3570" s="241"/>
      <c r="AC3570" s="239">
        <v>1</v>
      </c>
      <c r="AD3570" s="241">
        <v>1</v>
      </c>
      <c r="AE3570" s="241">
        <v>1</v>
      </c>
      <c r="AF3570" s="271">
        <f t="shared" si="340"/>
        <v>1</v>
      </c>
      <c r="AG3570" s="241"/>
      <c r="DG3570" s="573"/>
      <c r="DH3570" s="159"/>
      <c r="DI3570" s="1091"/>
      <c r="DJ3570" s="1187"/>
    </row>
    <row r="3571" spans="1:114" ht="15" hidden="1" customHeight="1" outlineLevel="1">
      <c r="A3571" s="453"/>
      <c r="C3571" s="51"/>
      <c r="D3571" s="4303"/>
      <c r="E3571" s="4295"/>
      <c r="F3571" s="4307" t="str">
        <f>$E$1734</f>
        <v>ASHP-SEER17-Replace_CAC_ElectricHeat_ER1_MF</v>
      </c>
      <c r="G3571" s="4307"/>
      <c r="H3571" s="4307"/>
      <c r="I3571" s="4307"/>
      <c r="J3571" s="1029" t="str">
        <f>$C$1734</f>
        <v>354150_2024_12_</v>
      </c>
      <c r="K3571" s="1775">
        <v>0.65</v>
      </c>
      <c r="L3571" s="262"/>
      <c r="M3571" s="1378"/>
      <c r="P3571" s="261"/>
      <c r="Q3571" s="209"/>
      <c r="R3571" s="261"/>
      <c r="S3571" s="52"/>
      <c r="T3571" s="181"/>
      <c r="U3571" s="52"/>
      <c r="V3571" s="4295"/>
      <c r="W3571" s="241">
        <v>0.65</v>
      </c>
      <c r="X3571" s="241">
        <v>0.65</v>
      </c>
      <c r="Y3571" s="241">
        <v>0.65</v>
      </c>
      <c r="Z3571" s="241">
        <v>0.65</v>
      </c>
      <c r="AA3571" s="241">
        <v>0.65</v>
      </c>
      <c r="AB3571" s="241">
        <v>0.65</v>
      </c>
      <c r="AC3571" s="241">
        <v>0.65</v>
      </c>
      <c r="AD3571" s="241">
        <v>0.65</v>
      </c>
      <c r="AE3571" s="241">
        <v>0.65</v>
      </c>
      <c r="AF3571" s="271">
        <f t="shared" si="340"/>
        <v>0.65</v>
      </c>
      <c r="AG3571" s="241"/>
      <c r="DG3571" s="573"/>
      <c r="DH3571" s="159"/>
      <c r="DI3571" s="1091"/>
      <c r="DJ3571" s="1187"/>
    </row>
    <row r="3572" spans="1:114" ht="15" hidden="1" customHeight="1" outlineLevel="1">
      <c r="A3572" s="453"/>
      <c r="C3572" s="51"/>
      <c r="D3572" s="4303"/>
      <c r="E3572" s="4295"/>
      <c r="F3572" s="4307" t="str">
        <f>$E$1736</f>
        <v>ASHP-SEER17-Replace_CAC_ElectricHeat_ER2_MF</v>
      </c>
      <c r="G3572" s="4307"/>
      <c r="H3572" s="4307"/>
      <c r="I3572" s="4307"/>
      <c r="J3572" s="1029" t="str">
        <f>$C$1736</f>
        <v>354150_2024_12_</v>
      </c>
      <c r="K3572" s="1775">
        <v>0.65</v>
      </c>
      <c r="L3572" s="262"/>
      <c r="M3572" s="1378"/>
      <c r="P3572" s="261"/>
      <c r="Q3572" s="209"/>
      <c r="R3572" s="261"/>
      <c r="S3572" s="52"/>
      <c r="T3572" s="181"/>
      <c r="U3572" s="52"/>
      <c r="V3572" s="4295"/>
      <c r="W3572" s="241">
        <v>0.65</v>
      </c>
      <c r="X3572" s="241">
        <v>0.65</v>
      </c>
      <c r="Y3572" s="241">
        <v>0.65</v>
      </c>
      <c r="Z3572" s="241">
        <v>0.65</v>
      </c>
      <c r="AA3572" s="241">
        <v>0.65</v>
      </c>
      <c r="AB3572" s="241">
        <v>0.65</v>
      </c>
      <c r="AC3572" s="241">
        <v>0.65</v>
      </c>
      <c r="AD3572" s="241">
        <v>0.65</v>
      </c>
      <c r="AE3572" s="241">
        <v>0.65</v>
      </c>
      <c r="AF3572" s="271">
        <f t="shared" si="340"/>
        <v>0.65</v>
      </c>
      <c r="AG3572" s="241"/>
      <c r="DG3572" s="573"/>
      <c r="DH3572" s="159"/>
      <c r="DI3572" s="1091"/>
      <c r="DJ3572" s="1187"/>
    </row>
    <row r="3573" spans="1:114" ht="15" hidden="1" customHeight="1" outlineLevel="1">
      <c r="A3573" s="453"/>
      <c r="C3573" s="51"/>
      <c r="D3573" s="4303"/>
      <c r="E3573" s="4295"/>
      <c r="F3573" s="4347" t="str">
        <f>$E$1738</f>
        <v>ASHP-SEER17-Replace_CAC_ElectricHeat_ER1_MF_CompE</v>
      </c>
      <c r="G3573" s="4347"/>
      <c r="H3573" s="4347"/>
      <c r="I3573" s="4347"/>
      <c r="J3573" s="3471" t="str">
        <f>$C$1738</f>
        <v>354151_2024_12_</v>
      </c>
      <c r="K3573" s="3376">
        <v>0.65</v>
      </c>
      <c r="L3573" s="262"/>
      <c r="M3573" s="1378"/>
      <c r="P3573" s="261"/>
      <c r="Q3573" s="209"/>
      <c r="R3573" s="261"/>
      <c r="S3573" s="52"/>
      <c r="T3573" s="181"/>
      <c r="U3573" s="52"/>
      <c r="V3573" s="4295"/>
      <c r="W3573" s="241"/>
      <c r="X3573" s="241"/>
      <c r="Y3573" s="3379">
        <v>0.65</v>
      </c>
      <c r="Z3573" s="3380">
        <v>0.65</v>
      </c>
      <c r="AA3573" s="3380">
        <v>0.65</v>
      </c>
      <c r="AB3573" s="3380">
        <v>0.65</v>
      </c>
      <c r="AC3573" s="3380">
        <f>AC3571</f>
        <v>0.65</v>
      </c>
      <c r="AD3573" s="3380">
        <v>0.65</v>
      </c>
      <c r="AE3573" s="3380">
        <v>0.65</v>
      </c>
      <c r="AF3573" s="2236">
        <f t="shared" si="340"/>
        <v>0.65</v>
      </c>
      <c r="AG3573" s="241"/>
      <c r="DG3573" s="573"/>
      <c r="DH3573" s="159"/>
      <c r="DI3573" s="1091"/>
      <c r="DJ3573" s="1187"/>
    </row>
    <row r="3574" spans="1:114" ht="15" hidden="1" customHeight="1" outlineLevel="1">
      <c r="A3574" s="453"/>
      <c r="C3574" s="51"/>
      <c r="D3574" s="4303"/>
      <c r="E3574" s="4295"/>
      <c r="F3574" s="4347" t="str">
        <f>$E$1740</f>
        <v>ASHP-SEER17-Replace_CAC_ElectricHeat_ER2_MF_CompE</v>
      </c>
      <c r="G3574" s="4347"/>
      <c r="H3574" s="4347"/>
      <c r="I3574" s="4347"/>
      <c r="J3574" s="3471" t="str">
        <f>$C$1740</f>
        <v>354151_2024_12_</v>
      </c>
      <c r="K3574" s="3376">
        <v>0.65</v>
      </c>
      <c r="L3574" s="262"/>
      <c r="M3574" s="1378"/>
      <c r="P3574" s="261"/>
      <c r="Q3574" s="209"/>
      <c r="R3574" s="261"/>
      <c r="S3574" s="52"/>
      <c r="T3574" s="181"/>
      <c r="U3574" s="52"/>
      <c r="V3574" s="4295"/>
      <c r="W3574" s="241"/>
      <c r="X3574" s="241"/>
      <c r="Y3574" s="3379">
        <v>0.65</v>
      </c>
      <c r="Z3574" s="3380">
        <v>0.65</v>
      </c>
      <c r="AA3574" s="3380">
        <v>0.65</v>
      </c>
      <c r="AB3574" s="3380">
        <v>0.65</v>
      </c>
      <c r="AC3574" s="3380">
        <f>AC3572</f>
        <v>0.65</v>
      </c>
      <c r="AD3574" s="3380">
        <v>0.65</v>
      </c>
      <c r="AE3574" s="3380">
        <v>0.65</v>
      </c>
      <c r="AF3574" s="2236">
        <f t="shared" si="340"/>
        <v>0.65</v>
      </c>
      <c r="AG3574" s="241"/>
      <c r="DG3574" s="573"/>
      <c r="DH3574" s="159"/>
      <c r="DI3574" s="1091"/>
      <c r="DJ3574" s="1187"/>
    </row>
    <row r="3575" spans="1:114" ht="15" hidden="1" customHeight="1" outlineLevel="1">
      <c r="A3575" s="453"/>
      <c r="C3575" s="51"/>
      <c r="D3575" s="4303"/>
      <c r="E3575" s="4295"/>
      <c r="F3575" s="4347" t="str">
        <f>$E$1742</f>
        <v>ASHP-SEER17-Replace_CAC_NonElectricHeat_ER1_MF</v>
      </c>
      <c r="G3575" s="4347"/>
      <c r="H3575" s="4347"/>
      <c r="I3575" s="4347"/>
      <c r="J3575" s="3471" t="str">
        <f>$C$1742</f>
        <v>354160_2024_12_</v>
      </c>
      <c r="K3575" s="3376">
        <v>0.65</v>
      </c>
      <c r="L3575" s="262"/>
      <c r="M3575" s="1378"/>
      <c r="P3575" s="261"/>
      <c r="Q3575" s="209"/>
      <c r="R3575" s="261"/>
      <c r="S3575" s="52"/>
      <c r="T3575" s="181"/>
      <c r="U3575" s="52"/>
      <c r="V3575" s="4295"/>
      <c r="W3575" s="241"/>
      <c r="X3575" s="241"/>
      <c r="Y3575" s="3379"/>
      <c r="Z3575" s="3380"/>
      <c r="AA3575" s="3380"/>
      <c r="AB3575" s="3380"/>
      <c r="AC3575" s="3379">
        <v>0.65</v>
      </c>
      <c r="AD3575" s="3380">
        <v>0.65</v>
      </c>
      <c r="AE3575" s="3380">
        <v>0.65</v>
      </c>
      <c r="AF3575" s="2236">
        <f t="shared" si="340"/>
        <v>0.65</v>
      </c>
      <c r="AG3575" s="241"/>
      <c r="DG3575" s="573"/>
      <c r="DH3575" s="159"/>
      <c r="DI3575" s="1091"/>
      <c r="DJ3575" s="1187"/>
    </row>
    <row r="3576" spans="1:114" ht="15" hidden="1" customHeight="1" outlineLevel="1">
      <c r="A3576" s="453"/>
      <c r="C3576" s="51"/>
      <c r="D3576" s="4303"/>
      <c r="E3576" s="4295"/>
      <c r="F3576" s="4347" t="str">
        <f>$E$1744</f>
        <v>ASHP-SEER17-Replace_CAC_NonElectricHeat_ER2_MF</v>
      </c>
      <c r="G3576" s="4347"/>
      <c r="H3576" s="4347"/>
      <c r="I3576" s="4347"/>
      <c r="J3576" s="3471" t="str">
        <f>$C$1744</f>
        <v>354160_2024_12_</v>
      </c>
      <c r="K3576" s="3376">
        <v>0.65</v>
      </c>
      <c r="L3576" s="262"/>
      <c r="M3576" s="1378"/>
      <c r="P3576" s="261"/>
      <c r="Q3576" s="209"/>
      <c r="R3576" s="261"/>
      <c r="S3576" s="52"/>
      <c r="T3576" s="181"/>
      <c r="U3576" s="52"/>
      <c r="V3576" s="4295"/>
      <c r="W3576" s="241"/>
      <c r="X3576" s="241"/>
      <c r="Y3576" s="3379"/>
      <c r="Z3576" s="3380"/>
      <c r="AA3576" s="3380"/>
      <c r="AB3576" s="3380"/>
      <c r="AC3576" s="3379">
        <v>0.65</v>
      </c>
      <c r="AD3576" s="3380">
        <v>0.65</v>
      </c>
      <c r="AE3576" s="3380">
        <v>0.65</v>
      </c>
      <c r="AF3576" s="2236">
        <f t="shared" si="340"/>
        <v>0.65</v>
      </c>
      <c r="AG3576" s="241"/>
      <c r="DG3576" s="573"/>
      <c r="DH3576" s="159"/>
      <c r="DI3576" s="1091"/>
      <c r="DJ3576" s="1187"/>
    </row>
    <row r="3577" spans="1:114" ht="15" hidden="1" customHeight="1" outlineLevel="1">
      <c r="A3577" s="453"/>
      <c r="C3577" s="51"/>
      <c r="D3577" s="4303"/>
      <c r="E3577" s="4295"/>
      <c r="F3577" s="4347" t="str">
        <f>$E$1746</f>
        <v>ASHP-SEER17-Replace_CAC_NonElectricHeat_ER1_MF_CompE</v>
      </c>
      <c r="G3577" s="4347"/>
      <c r="H3577" s="4347"/>
      <c r="I3577" s="4347"/>
      <c r="J3577" s="3471" t="str">
        <f>$C$1746</f>
        <v>354161_2024_12_</v>
      </c>
      <c r="K3577" s="3376">
        <v>0.65</v>
      </c>
      <c r="L3577" s="262"/>
      <c r="M3577" s="1378"/>
      <c r="P3577" s="261"/>
      <c r="Q3577" s="209"/>
      <c r="R3577" s="261"/>
      <c r="S3577" s="52"/>
      <c r="T3577" s="181"/>
      <c r="U3577" s="52"/>
      <c r="V3577" s="4295"/>
      <c r="W3577" s="241"/>
      <c r="X3577" s="241"/>
      <c r="Y3577" s="3379"/>
      <c r="Z3577" s="3380"/>
      <c r="AA3577" s="3380"/>
      <c r="AB3577" s="3380"/>
      <c r="AC3577" s="3379">
        <f>AC3575</f>
        <v>0.65</v>
      </c>
      <c r="AD3577" s="3380">
        <v>0.65</v>
      </c>
      <c r="AE3577" s="3380">
        <v>0.65</v>
      </c>
      <c r="AF3577" s="2236">
        <f t="shared" si="340"/>
        <v>0.65</v>
      </c>
      <c r="AG3577" s="241"/>
      <c r="DG3577" s="573"/>
      <c r="DH3577" s="159"/>
      <c r="DI3577" s="1091"/>
      <c r="DJ3577" s="1187"/>
    </row>
    <row r="3578" spans="1:114" ht="15" hidden="1" customHeight="1" outlineLevel="1">
      <c r="A3578" s="453"/>
      <c r="C3578" s="51"/>
      <c r="D3578" s="4303"/>
      <c r="E3578" s="4295"/>
      <c r="F3578" s="4347" t="str">
        <f>$E$1748</f>
        <v>ASHP-SEER17-Replace_CAC_NonElectricHeat_ER2_MF_CompE</v>
      </c>
      <c r="G3578" s="4347"/>
      <c r="H3578" s="4347"/>
      <c r="I3578" s="4347"/>
      <c r="J3578" s="3471" t="str">
        <f>$C$1748</f>
        <v>354161_2024_12_</v>
      </c>
      <c r="K3578" s="3376">
        <v>0.65</v>
      </c>
      <c r="L3578" s="262"/>
      <c r="M3578" s="1378"/>
      <c r="P3578" s="261"/>
      <c r="Q3578" s="209"/>
      <c r="R3578" s="261"/>
      <c r="S3578" s="52"/>
      <c r="T3578" s="181"/>
      <c r="U3578" s="52"/>
      <c r="V3578" s="4295"/>
      <c r="W3578" s="241"/>
      <c r="X3578" s="241"/>
      <c r="Y3578" s="3379"/>
      <c r="Z3578" s="3380"/>
      <c r="AA3578" s="3380"/>
      <c r="AB3578" s="3380"/>
      <c r="AC3578" s="3379">
        <f>AC3576</f>
        <v>0.65</v>
      </c>
      <c r="AD3578" s="3380">
        <v>0.65</v>
      </c>
      <c r="AE3578" s="3380">
        <v>0.65</v>
      </c>
      <c r="AF3578" s="2236">
        <f t="shared" ref="AF3578:AF3641" si="341">IF(K3578&lt;&gt;"",K3578,"")</f>
        <v>0.65</v>
      </c>
      <c r="AG3578" s="241"/>
      <c r="DG3578" s="573"/>
      <c r="DH3578" s="159"/>
      <c r="DI3578" s="1091"/>
      <c r="DJ3578" s="1187"/>
    </row>
    <row r="3579" spans="1:114" ht="15" hidden="1" customHeight="1" outlineLevel="1">
      <c r="A3579" s="453"/>
      <c r="C3579" s="51"/>
      <c r="D3579" s="4303"/>
      <c r="E3579" s="4295"/>
      <c r="F3579" s="4307" t="str">
        <f>$E$1750</f>
        <v>ASHP-SEER17_ER1_MF</v>
      </c>
      <c r="G3579" s="4307"/>
      <c r="H3579" s="4307"/>
      <c r="I3579" s="4307"/>
      <c r="J3579" s="1029" t="str">
        <f>$C$1750</f>
        <v>354200_2024_12_</v>
      </c>
      <c r="K3579" s="1775">
        <v>0.65</v>
      </c>
      <c r="L3579" s="262"/>
      <c r="M3579" s="1378"/>
      <c r="P3579" s="261"/>
      <c r="Q3579" s="209"/>
      <c r="R3579" s="261"/>
      <c r="S3579" s="52"/>
      <c r="T3579" s="181"/>
      <c r="U3579" s="52"/>
      <c r="V3579" s="4295"/>
      <c r="W3579" s="241">
        <v>0.65</v>
      </c>
      <c r="X3579" s="241">
        <v>0.65</v>
      </c>
      <c r="Y3579" s="241">
        <v>0.65</v>
      </c>
      <c r="Z3579" s="241">
        <v>0.65</v>
      </c>
      <c r="AA3579" s="241">
        <v>0.65</v>
      </c>
      <c r="AB3579" s="241">
        <v>0.65</v>
      </c>
      <c r="AC3579" s="241">
        <v>0.65</v>
      </c>
      <c r="AD3579" s="241">
        <v>0.65</v>
      </c>
      <c r="AE3579" s="241">
        <v>0.65</v>
      </c>
      <c r="AF3579" s="271">
        <f t="shared" si="341"/>
        <v>0.65</v>
      </c>
      <c r="AG3579" s="241"/>
      <c r="DG3579" s="573"/>
      <c r="DH3579" s="159"/>
      <c r="DI3579" s="1091"/>
      <c r="DJ3579" s="1187"/>
    </row>
    <row r="3580" spans="1:114" ht="15" hidden="1" customHeight="1" outlineLevel="1">
      <c r="A3580" s="453"/>
      <c r="C3580" s="51"/>
      <c r="D3580" s="4303"/>
      <c r="E3580" s="4295"/>
      <c r="F3580" s="4307" t="str">
        <f>$E$1752</f>
        <v>ASHP-SEER17_ER2_MF</v>
      </c>
      <c r="G3580" s="4307"/>
      <c r="H3580" s="4307"/>
      <c r="I3580" s="4307"/>
      <c r="J3580" s="1029" t="str">
        <f>$C$1752</f>
        <v>354200_2024_12_</v>
      </c>
      <c r="K3580" s="1775">
        <v>0.65</v>
      </c>
      <c r="L3580" s="262"/>
      <c r="M3580" s="1378"/>
      <c r="P3580" s="261"/>
      <c r="Q3580" s="209"/>
      <c r="R3580" s="261"/>
      <c r="S3580" s="52"/>
      <c r="T3580" s="181"/>
      <c r="U3580" s="52"/>
      <c r="V3580" s="4295"/>
      <c r="W3580" s="241">
        <v>0.65</v>
      </c>
      <c r="X3580" s="241">
        <v>0.65</v>
      </c>
      <c r="Y3580" s="241">
        <v>0.65</v>
      </c>
      <c r="Z3580" s="241">
        <v>0.65</v>
      </c>
      <c r="AA3580" s="241">
        <v>0.65</v>
      </c>
      <c r="AB3580" s="241">
        <v>0.65</v>
      </c>
      <c r="AC3580" s="241">
        <v>0.65</v>
      </c>
      <c r="AD3580" s="241">
        <v>0.65</v>
      </c>
      <c r="AE3580" s="241">
        <v>0.65</v>
      </c>
      <c r="AF3580" s="271">
        <f t="shared" si="341"/>
        <v>0.65</v>
      </c>
      <c r="AG3580" s="241"/>
      <c r="DG3580" s="573"/>
      <c r="DH3580" s="159"/>
      <c r="DI3580" s="1091"/>
      <c r="DJ3580" s="1187"/>
    </row>
    <row r="3581" spans="1:114" ht="15" hidden="1" customHeight="1" outlineLevel="1">
      <c r="A3581" s="453"/>
      <c r="C3581" s="51"/>
      <c r="D3581" s="4303"/>
      <c r="E3581" s="4295"/>
      <c r="F3581" s="4347" t="str">
        <f>$E$1754</f>
        <v>ASHP-SEER17_ER1_MF_CompE</v>
      </c>
      <c r="G3581" s="4347"/>
      <c r="H3581" s="4347"/>
      <c r="I3581" s="4347"/>
      <c r="J3581" s="3471" t="str">
        <f>$C$1754</f>
        <v>354201_2024_12_</v>
      </c>
      <c r="K3581" s="3376">
        <v>0.65</v>
      </c>
      <c r="L3581" s="262"/>
      <c r="M3581" s="1378"/>
      <c r="P3581" s="261"/>
      <c r="Q3581" s="209"/>
      <c r="R3581" s="261"/>
      <c r="S3581" s="52"/>
      <c r="T3581" s="181"/>
      <c r="U3581" s="52"/>
      <c r="V3581" s="4295"/>
      <c r="W3581" s="241"/>
      <c r="X3581" s="241"/>
      <c r="Y3581" s="3379">
        <v>0.65</v>
      </c>
      <c r="Z3581" s="3380">
        <v>0.65</v>
      </c>
      <c r="AA3581" s="3380">
        <v>0.65</v>
      </c>
      <c r="AB3581" s="3380">
        <v>0.65</v>
      </c>
      <c r="AC3581" s="3380">
        <f>AC3579</f>
        <v>0.65</v>
      </c>
      <c r="AD3581" s="3380">
        <v>0.65</v>
      </c>
      <c r="AE3581" s="3380">
        <v>0.65</v>
      </c>
      <c r="AF3581" s="2236">
        <f t="shared" si="341"/>
        <v>0.65</v>
      </c>
      <c r="AG3581" s="241"/>
      <c r="DG3581" s="573"/>
      <c r="DH3581" s="159"/>
      <c r="DI3581" s="1091"/>
      <c r="DJ3581" s="1187"/>
    </row>
    <row r="3582" spans="1:114" ht="15" hidden="1" customHeight="1" outlineLevel="1">
      <c r="A3582" s="453"/>
      <c r="C3582" s="51"/>
      <c r="D3582" s="4303"/>
      <c r="E3582" s="4295"/>
      <c r="F3582" s="4347" t="str">
        <f>$E$1756</f>
        <v>ASHP-SEER17_ER2_MF_CompE</v>
      </c>
      <c r="G3582" s="4347"/>
      <c r="H3582" s="4347"/>
      <c r="I3582" s="4347"/>
      <c r="J3582" s="3471" t="str">
        <f>$C$1756</f>
        <v>354201_2024_12_</v>
      </c>
      <c r="K3582" s="3376">
        <v>0.65</v>
      </c>
      <c r="L3582" s="262"/>
      <c r="M3582" s="1378"/>
      <c r="P3582" s="261"/>
      <c r="Q3582" s="209"/>
      <c r="R3582" s="261"/>
      <c r="S3582" s="52"/>
      <c r="T3582" s="181"/>
      <c r="U3582" s="52"/>
      <c r="V3582" s="4295"/>
      <c r="W3582" s="241"/>
      <c r="X3582" s="241"/>
      <c r="Y3582" s="3379">
        <v>0.65</v>
      </c>
      <c r="Z3582" s="3380">
        <v>0.65</v>
      </c>
      <c r="AA3582" s="3380">
        <v>0.65</v>
      </c>
      <c r="AB3582" s="3380">
        <v>0.65</v>
      </c>
      <c r="AC3582" s="3380">
        <f>AC3580</f>
        <v>0.65</v>
      </c>
      <c r="AD3582" s="3380">
        <v>0.65</v>
      </c>
      <c r="AE3582" s="3380">
        <v>0.65</v>
      </c>
      <c r="AF3582" s="2236">
        <f t="shared" si="341"/>
        <v>0.65</v>
      </c>
      <c r="AG3582" s="241"/>
      <c r="DG3582" s="573"/>
      <c r="DH3582" s="159"/>
      <c r="DI3582" s="1091"/>
      <c r="DJ3582" s="1187"/>
    </row>
    <row r="3583" spans="1:114" ht="15" hidden="1" customHeight="1" outlineLevel="1">
      <c r="A3583" s="453"/>
      <c r="C3583" s="51"/>
      <c r="D3583" s="4303"/>
      <c r="E3583" s="4295"/>
      <c r="F3583" s="4307" t="str">
        <f>$E$1758</f>
        <v>ASHP-SEER18-Replace_CAC_ElectricHeat_ER1_SF</v>
      </c>
      <c r="G3583" s="4307"/>
      <c r="H3583" s="4307"/>
      <c r="I3583" s="4307"/>
      <c r="J3583" s="1029" t="str">
        <f>$C$1758</f>
        <v>354250_2024_12_</v>
      </c>
      <c r="K3583" s="1775">
        <v>1</v>
      </c>
      <c r="L3583" s="262"/>
      <c r="M3583" s="1378"/>
      <c r="P3583" s="261"/>
      <c r="Q3583" s="209"/>
      <c r="R3583" s="261"/>
      <c r="S3583" s="52"/>
      <c r="T3583" s="181"/>
      <c r="U3583" s="52"/>
      <c r="V3583" s="4295"/>
      <c r="W3583" s="241">
        <v>1</v>
      </c>
      <c r="X3583" s="241">
        <v>1</v>
      </c>
      <c r="Y3583" s="241">
        <v>1</v>
      </c>
      <c r="Z3583" s="241">
        <v>1</v>
      </c>
      <c r="AA3583" s="241">
        <v>1</v>
      </c>
      <c r="AB3583" s="241">
        <v>1</v>
      </c>
      <c r="AC3583" s="241">
        <v>1</v>
      </c>
      <c r="AD3583" s="241">
        <v>1</v>
      </c>
      <c r="AE3583" s="241">
        <v>1</v>
      </c>
      <c r="AF3583" s="271">
        <f t="shared" si="341"/>
        <v>1</v>
      </c>
      <c r="AG3583" s="241"/>
      <c r="DG3583" s="573"/>
      <c r="DH3583" s="159"/>
      <c r="DI3583" s="1091"/>
      <c r="DJ3583" s="1187"/>
    </row>
    <row r="3584" spans="1:114" ht="15" hidden="1" customHeight="1" outlineLevel="1">
      <c r="A3584" s="453"/>
      <c r="C3584" s="51"/>
      <c r="D3584" s="4303"/>
      <c r="E3584" s="4295"/>
      <c r="F3584" s="4307" t="str">
        <f>$E$1760</f>
        <v>ASHP-SEER18-Replace_CAC_ElectricHeat_ER2_SF</v>
      </c>
      <c r="G3584" s="4307"/>
      <c r="H3584" s="4307"/>
      <c r="I3584" s="4307"/>
      <c r="J3584" s="1029" t="str">
        <f>$C$1760</f>
        <v>354250_2024_12_</v>
      </c>
      <c r="K3584" s="1775">
        <v>1</v>
      </c>
      <c r="L3584" s="262"/>
      <c r="M3584" s="1378"/>
      <c r="P3584" s="261"/>
      <c r="Q3584" s="209"/>
      <c r="R3584" s="261"/>
      <c r="S3584" s="52"/>
      <c r="T3584" s="181"/>
      <c r="U3584" s="52"/>
      <c r="V3584" s="4295"/>
      <c r="W3584" s="241">
        <v>1</v>
      </c>
      <c r="X3584" s="241">
        <v>1</v>
      </c>
      <c r="Y3584" s="241">
        <v>1</v>
      </c>
      <c r="Z3584" s="241">
        <v>1</v>
      </c>
      <c r="AA3584" s="241">
        <v>1</v>
      </c>
      <c r="AB3584" s="241">
        <v>1</v>
      </c>
      <c r="AC3584" s="241">
        <v>1</v>
      </c>
      <c r="AD3584" s="241">
        <v>1</v>
      </c>
      <c r="AE3584" s="241">
        <v>1</v>
      </c>
      <c r="AF3584" s="271">
        <f t="shared" si="341"/>
        <v>1</v>
      </c>
      <c r="AG3584" s="241"/>
      <c r="DG3584" s="573"/>
      <c r="DH3584" s="159"/>
      <c r="DI3584" s="1091"/>
      <c r="DJ3584" s="1187"/>
    </row>
    <row r="3585" spans="1:114" ht="15" hidden="1" customHeight="1" outlineLevel="1">
      <c r="A3585" s="453"/>
      <c r="C3585" s="51"/>
      <c r="D3585" s="4303"/>
      <c r="E3585" s="4295"/>
      <c r="F3585" s="4307" t="str">
        <f>$E$1762</f>
        <v>ASHP-SEER18-Replace_CAC_NonElectricHeat_ER1_SF</v>
      </c>
      <c r="G3585" s="4307"/>
      <c r="H3585" s="4307"/>
      <c r="I3585" s="4307"/>
      <c r="J3585" s="1029" t="str">
        <f>$C$1762</f>
        <v>354260_2024_12_</v>
      </c>
      <c r="K3585" s="1775">
        <v>1</v>
      </c>
      <c r="L3585" s="262"/>
      <c r="M3585" s="1378"/>
      <c r="P3585" s="261"/>
      <c r="Q3585" s="209"/>
      <c r="R3585" s="261"/>
      <c r="S3585" s="52"/>
      <c r="T3585" s="181"/>
      <c r="U3585" s="52"/>
      <c r="V3585" s="4295"/>
      <c r="W3585" s="241"/>
      <c r="X3585" s="241"/>
      <c r="Y3585" s="241"/>
      <c r="Z3585" s="241"/>
      <c r="AA3585" s="241"/>
      <c r="AB3585" s="241"/>
      <c r="AC3585" s="239">
        <v>1</v>
      </c>
      <c r="AD3585" s="241">
        <v>1</v>
      </c>
      <c r="AE3585" s="241">
        <v>1</v>
      </c>
      <c r="AF3585" s="271">
        <f t="shared" si="341"/>
        <v>1</v>
      </c>
      <c r="AG3585" s="241"/>
      <c r="DG3585" s="573"/>
      <c r="DH3585" s="159"/>
      <c r="DI3585" s="1091"/>
      <c r="DJ3585" s="1187"/>
    </row>
    <row r="3586" spans="1:114" ht="15" hidden="1" customHeight="1" outlineLevel="1">
      <c r="A3586" s="453"/>
      <c r="C3586" s="51"/>
      <c r="D3586" s="4303"/>
      <c r="E3586" s="4295"/>
      <c r="F3586" s="4307" t="str">
        <f>$E$1764</f>
        <v>ASHP-SEER18-Replace_CAC_NonElectricHeat_ER2_SF</v>
      </c>
      <c r="G3586" s="4307"/>
      <c r="H3586" s="4307"/>
      <c r="I3586" s="4307"/>
      <c r="J3586" s="1029" t="str">
        <f>$C$1764</f>
        <v>354260_2024_12_</v>
      </c>
      <c r="K3586" s="1775">
        <v>1</v>
      </c>
      <c r="L3586" s="262"/>
      <c r="M3586" s="1378"/>
      <c r="P3586" s="261"/>
      <c r="Q3586" s="209"/>
      <c r="R3586" s="261"/>
      <c r="S3586" s="52"/>
      <c r="T3586" s="181"/>
      <c r="U3586" s="52"/>
      <c r="V3586" s="4295"/>
      <c r="W3586" s="241"/>
      <c r="X3586" s="241"/>
      <c r="Y3586" s="241"/>
      <c r="Z3586" s="241"/>
      <c r="AA3586" s="241"/>
      <c r="AB3586" s="241"/>
      <c r="AC3586" s="239">
        <v>1</v>
      </c>
      <c r="AD3586" s="241">
        <v>1</v>
      </c>
      <c r="AE3586" s="241">
        <v>1</v>
      </c>
      <c r="AF3586" s="271">
        <f t="shared" si="341"/>
        <v>1</v>
      </c>
      <c r="AG3586" s="241"/>
      <c r="DG3586" s="573"/>
      <c r="DH3586" s="159"/>
      <c r="DI3586" s="1091"/>
      <c r="DJ3586" s="1187"/>
    </row>
    <row r="3587" spans="1:114" ht="15" hidden="1" customHeight="1" outlineLevel="1">
      <c r="A3587" s="453"/>
      <c r="C3587" s="51"/>
      <c r="D3587" s="4303"/>
      <c r="E3587" s="4295"/>
      <c r="F3587" s="4307" t="str">
        <f>$E$1766</f>
        <v>ASHP-SEER18-Replace_CAC_ElectricHeat_ER1_MF</v>
      </c>
      <c r="G3587" s="4307"/>
      <c r="H3587" s="4307"/>
      <c r="I3587" s="4307"/>
      <c r="J3587" s="1029" t="str">
        <f>$C$1766</f>
        <v>354300_2024_12_</v>
      </c>
      <c r="K3587" s="1775">
        <v>1</v>
      </c>
      <c r="L3587" s="262"/>
      <c r="M3587" s="1378"/>
      <c r="P3587" s="261"/>
      <c r="Q3587" s="209"/>
      <c r="R3587" s="261"/>
      <c r="S3587" s="52"/>
      <c r="T3587" s="181"/>
      <c r="U3587" s="52"/>
      <c r="V3587" s="4295"/>
      <c r="W3587" s="241">
        <v>0.65</v>
      </c>
      <c r="X3587" s="241">
        <v>0.65</v>
      </c>
      <c r="Y3587" s="241">
        <v>0.65</v>
      </c>
      <c r="Z3587" s="241">
        <v>0.65</v>
      </c>
      <c r="AA3587" s="241">
        <v>0.65</v>
      </c>
      <c r="AB3587" s="241">
        <v>0.65</v>
      </c>
      <c r="AC3587" s="241">
        <v>0.65</v>
      </c>
      <c r="AD3587" s="239">
        <v>1</v>
      </c>
      <c r="AE3587" s="241">
        <v>1</v>
      </c>
      <c r="AF3587" s="271">
        <f t="shared" si="341"/>
        <v>1</v>
      </c>
      <c r="AG3587" s="241"/>
      <c r="DG3587" s="573"/>
      <c r="DH3587" s="159"/>
      <c r="DI3587" s="1091"/>
      <c r="DJ3587" s="1187"/>
    </row>
    <row r="3588" spans="1:114" ht="15" hidden="1" customHeight="1" outlineLevel="1">
      <c r="A3588" s="453"/>
      <c r="C3588" s="51"/>
      <c r="D3588" s="4303"/>
      <c r="E3588" s="4295"/>
      <c r="F3588" s="4307" t="str">
        <f>$E$1768</f>
        <v>ASHP-SEER18-Replace_CAC_ElectricHeat_ER2_MF</v>
      </c>
      <c r="G3588" s="4307"/>
      <c r="H3588" s="4307"/>
      <c r="I3588" s="4307"/>
      <c r="J3588" s="1029" t="str">
        <f>$C$1768</f>
        <v>354300_2024_12_</v>
      </c>
      <c r="K3588" s="1775">
        <v>1</v>
      </c>
      <c r="L3588" s="262"/>
      <c r="M3588" s="1378"/>
      <c r="P3588" s="261"/>
      <c r="Q3588" s="209"/>
      <c r="R3588" s="261"/>
      <c r="S3588" s="52"/>
      <c r="T3588" s="181"/>
      <c r="U3588" s="52"/>
      <c r="V3588" s="4295"/>
      <c r="W3588" s="241">
        <v>0.65</v>
      </c>
      <c r="X3588" s="241">
        <v>0.65</v>
      </c>
      <c r="Y3588" s="241">
        <v>0.65</v>
      </c>
      <c r="Z3588" s="241">
        <v>0.65</v>
      </c>
      <c r="AA3588" s="241">
        <v>0.65</v>
      </c>
      <c r="AB3588" s="241">
        <v>0.65</v>
      </c>
      <c r="AC3588" s="241">
        <v>0.65</v>
      </c>
      <c r="AD3588" s="239">
        <v>1</v>
      </c>
      <c r="AE3588" s="241">
        <v>1</v>
      </c>
      <c r="AF3588" s="271">
        <f t="shared" si="341"/>
        <v>1</v>
      </c>
      <c r="AG3588" s="241"/>
      <c r="DG3588" s="573"/>
      <c r="DH3588" s="159"/>
      <c r="DI3588" s="1091"/>
      <c r="DJ3588" s="1187"/>
    </row>
    <row r="3589" spans="1:114" ht="15" hidden="1" customHeight="1" outlineLevel="1">
      <c r="A3589" s="453"/>
      <c r="C3589" s="51"/>
      <c r="D3589" s="4303"/>
      <c r="E3589" s="4295"/>
      <c r="F3589" s="4347" t="str">
        <f>$E$1770</f>
        <v>ASHP-SEER18-Replace_CAC_ElectricHeat_ER1_MF_CompE</v>
      </c>
      <c r="G3589" s="4347"/>
      <c r="H3589" s="4347"/>
      <c r="I3589" s="4347"/>
      <c r="J3589" s="3471" t="str">
        <f>$C$1770</f>
        <v>354301_2024_12_</v>
      </c>
      <c r="K3589" s="3376">
        <v>1</v>
      </c>
      <c r="L3589" s="262"/>
      <c r="M3589" s="1378"/>
      <c r="P3589" s="261"/>
      <c r="Q3589" s="209"/>
      <c r="R3589" s="261"/>
      <c r="S3589" s="52"/>
      <c r="T3589" s="181"/>
      <c r="U3589" s="52"/>
      <c r="V3589" s="4295"/>
      <c r="W3589" s="241"/>
      <c r="X3589" s="241"/>
      <c r="Y3589" s="3379">
        <v>0.65</v>
      </c>
      <c r="Z3589" s="3380">
        <v>0.65</v>
      </c>
      <c r="AA3589" s="3380">
        <v>0.65</v>
      </c>
      <c r="AB3589" s="3380">
        <v>0.65</v>
      </c>
      <c r="AC3589" s="3380">
        <f t="shared" ref="AC3589:AC3594" si="342">AC3587</f>
        <v>0.65</v>
      </c>
      <c r="AD3589" s="3380">
        <v>0.65</v>
      </c>
      <c r="AE3589" s="3379">
        <v>1</v>
      </c>
      <c r="AF3589" s="2236">
        <f t="shared" si="341"/>
        <v>1</v>
      </c>
      <c r="AG3589" s="241"/>
      <c r="DG3589" s="573"/>
      <c r="DH3589" s="159"/>
      <c r="DI3589" s="1091"/>
      <c r="DJ3589" s="1187"/>
    </row>
    <row r="3590" spans="1:114" ht="15" hidden="1" customHeight="1" outlineLevel="1">
      <c r="A3590" s="453"/>
      <c r="C3590" s="51"/>
      <c r="D3590" s="4303"/>
      <c r="E3590" s="4295"/>
      <c r="F3590" s="4347" t="str">
        <f>$E$1772</f>
        <v>ASHP-SEER18-Replace_CAC_ElectricHeat_ER2_MF_CompE</v>
      </c>
      <c r="G3590" s="4347"/>
      <c r="H3590" s="4347"/>
      <c r="I3590" s="4347"/>
      <c r="J3590" s="3471" t="str">
        <f>$C$1772</f>
        <v>354301_2024_12_</v>
      </c>
      <c r="K3590" s="3376">
        <v>1</v>
      </c>
      <c r="L3590" s="262"/>
      <c r="M3590" s="1378"/>
      <c r="P3590" s="261"/>
      <c r="Q3590" s="209"/>
      <c r="R3590" s="261"/>
      <c r="S3590" s="52"/>
      <c r="T3590" s="181"/>
      <c r="U3590" s="52"/>
      <c r="V3590" s="4295"/>
      <c r="W3590" s="241"/>
      <c r="X3590" s="241"/>
      <c r="Y3590" s="3379">
        <v>0.65</v>
      </c>
      <c r="Z3590" s="3380">
        <v>0.65</v>
      </c>
      <c r="AA3590" s="3380">
        <v>0.65</v>
      </c>
      <c r="AB3590" s="3380">
        <v>0.65</v>
      </c>
      <c r="AC3590" s="3380">
        <f t="shared" si="342"/>
        <v>0.65</v>
      </c>
      <c r="AD3590" s="3380">
        <v>0.65</v>
      </c>
      <c r="AE3590" s="3379">
        <v>1</v>
      </c>
      <c r="AF3590" s="2236">
        <f t="shared" si="341"/>
        <v>1</v>
      </c>
      <c r="AG3590" s="241"/>
      <c r="DG3590" s="573"/>
      <c r="DH3590" s="159"/>
      <c r="DI3590" s="1091"/>
      <c r="DJ3590" s="1187"/>
    </row>
    <row r="3591" spans="1:114" ht="15" hidden="1" customHeight="1" outlineLevel="1">
      <c r="A3591" s="453"/>
      <c r="C3591" s="51"/>
      <c r="D3591" s="4303"/>
      <c r="E3591" s="4295"/>
      <c r="F3591" s="4347" t="str">
        <f>$E$1774</f>
        <v>ASHP-SEER18-Replace_CAC_NonElectricHeat_ER1_MF</v>
      </c>
      <c r="G3591" s="4347"/>
      <c r="H3591" s="4347"/>
      <c r="I3591" s="4347"/>
      <c r="J3591" s="3471" t="str">
        <f>$C$1774</f>
        <v>354310_2024_12_</v>
      </c>
      <c r="K3591" s="3376">
        <v>1</v>
      </c>
      <c r="L3591" s="262"/>
      <c r="M3591" s="1378"/>
      <c r="P3591" s="261"/>
      <c r="Q3591" s="209"/>
      <c r="R3591" s="261"/>
      <c r="S3591" s="52"/>
      <c r="T3591" s="181"/>
      <c r="U3591" s="52"/>
      <c r="V3591" s="4295"/>
      <c r="W3591" s="241"/>
      <c r="X3591" s="241"/>
      <c r="Y3591" s="3379"/>
      <c r="Z3591" s="3380"/>
      <c r="AA3591" s="3380"/>
      <c r="AB3591" s="3380"/>
      <c r="AC3591" s="3379">
        <f t="shared" si="342"/>
        <v>0.65</v>
      </c>
      <c r="AD3591" s="3380">
        <v>0.65</v>
      </c>
      <c r="AE3591" s="3379">
        <v>1</v>
      </c>
      <c r="AF3591" s="2236">
        <f t="shared" si="341"/>
        <v>1</v>
      </c>
      <c r="AG3591" s="241"/>
      <c r="DG3591" s="573"/>
      <c r="DH3591" s="159"/>
      <c r="DI3591" s="1091"/>
      <c r="DJ3591" s="1187"/>
    </row>
    <row r="3592" spans="1:114" ht="15" hidden="1" customHeight="1" outlineLevel="1">
      <c r="A3592" s="453"/>
      <c r="C3592" s="51"/>
      <c r="D3592" s="4303"/>
      <c r="E3592" s="4295"/>
      <c r="F3592" s="4347" t="str">
        <f>$E$1776</f>
        <v>ASHP-SEER18-Replace_CAC_NonElectricHeat_ER2_MF</v>
      </c>
      <c r="G3592" s="4347"/>
      <c r="H3592" s="4347"/>
      <c r="I3592" s="4347"/>
      <c r="J3592" s="3471" t="str">
        <f>$C$1776</f>
        <v>354310_2024_12_</v>
      </c>
      <c r="K3592" s="3376">
        <v>1</v>
      </c>
      <c r="L3592" s="262"/>
      <c r="M3592" s="1378"/>
      <c r="P3592" s="261"/>
      <c r="Q3592" s="209"/>
      <c r="R3592" s="261"/>
      <c r="S3592" s="52"/>
      <c r="T3592" s="181"/>
      <c r="U3592" s="52"/>
      <c r="V3592" s="4295"/>
      <c r="W3592" s="241"/>
      <c r="X3592" s="241"/>
      <c r="Y3592" s="3379"/>
      <c r="Z3592" s="3380"/>
      <c r="AA3592" s="3380"/>
      <c r="AB3592" s="3380"/>
      <c r="AC3592" s="3379">
        <f t="shared" si="342"/>
        <v>0.65</v>
      </c>
      <c r="AD3592" s="3380">
        <v>0.65</v>
      </c>
      <c r="AE3592" s="3379">
        <v>1</v>
      </c>
      <c r="AF3592" s="2236">
        <f t="shared" si="341"/>
        <v>1</v>
      </c>
      <c r="AG3592" s="241"/>
      <c r="DG3592" s="573"/>
      <c r="DH3592" s="159"/>
      <c r="DI3592" s="1091"/>
      <c r="DJ3592" s="1187"/>
    </row>
    <row r="3593" spans="1:114" ht="15" hidden="1" customHeight="1" outlineLevel="1">
      <c r="A3593" s="453"/>
      <c r="C3593" s="51"/>
      <c r="D3593" s="4303"/>
      <c r="E3593" s="4295"/>
      <c r="F3593" s="4347" t="str">
        <f>$E$1778</f>
        <v>ASHP-SEER18-Replace_CAC_NonElectricHeat_ER1_MF_CompE</v>
      </c>
      <c r="G3593" s="4347"/>
      <c r="H3593" s="4347"/>
      <c r="I3593" s="4347"/>
      <c r="J3593" s="3471" t="str">
        <f>$C$1778</f>
        <v>354311_2024_12_</v>
      </c>
      <c r="K3593" s="3376">
        <v>1</v>
      </c>
      <c r="L3593" s="262"/>
      <c r="M3593" s="1378"/>
      <c r="P3593" s="261"/>
      <c r="Q3593" s="209"/>
      <c r="R3593" s="261"/>
      <c r="S3593" s="52"/>
      <c r="T3593" s="181"/>
      <c r="U3593" s="52"/>
      <c r="V3593" s="4295"/>
      <c r="W3593" s="241"/>
      <c r="X3593" s="241"/>
      <c r="Y3593" s="3379"/>
      <c r="Z3593" s="3380"/>
      <c r="AA3593" s="3380"/>
      <c r="AB3593" s="3380"/>
      <c r="AC3593" s="3379">
        <f t="shared" si="342"/>
        <v>0.65</v>
      </c>
      <c r="AD3593" s="3380">
        <v>0.65</v>
      </c>
      <c r="AE3593" s="3379">
        <v>1</v>
      </c>
      <c r="AF3593" s="2236">
        <f t="shared" si="341"/>
        <v>1</v>
      </c>
      <c r="AG3593" s="241"/>
      <c r="DG3593" s="573"/>
      <c r="DH3593" s="159"/>
      <c r="DI3593" s="1091"/>
      <c r="DJ3593" s="1187"/>
    </row>
    <row r="3594" spans="1:114" ht="15" hidden="1" customHeight="1" outlineLevel="1">
      <c r="A3594" s="453"/>
      <c r="C3594" s="51"/>
      <c r="D3594" s="4303"/>
      <c r="E3594" s="4295"/>
      <c r="F3594" s="4347" t="str">
        <f>$E$1780</f>
        <v>ASHP-SEER18-Replace_CAC_NonElectricHeat_ER2_MF_CompE</v>
      </c>
      <c r="G3594" s="4347"/>
      <c r="H3594" s="4347"/>
      <c r="I3594" s="4347"/>
      <c r="J3594" s="3471" t="str">
        <f>$C$1780</f>
        <v>354311_2024_12_</v>
      </c>
      <c r="K3594" s="3376">
        <v>1</v>
      </c>
      <c r="L3594" s="262"/>
      <c r="M3594" s="1378"/>
      <c r="P3594" s="261"/>
      <c r="Q3594" s="209"/>
      <c r="R3594" s="261"/>
      <c r="S3594" s="52"/>
      <c r="T3594" s="181"/>
      <c r="U3594" s="52"/>
      <c r="V3594" s="4295"/>
      <c r="W3594" s="241"/>
      <c r="X3594" s="241"/>
      <c r="Y3594" s="3379"/>
      <c r="Z3594" s="3380"/>
      <c r="AA3594" s="3380"/>
      <c r="AB3594" s="3380"/>
      <c r="AC3594" s="3379">
        <f t="shared" si="342"/>
        <v>0.65</v>
      </c>
      <c r="AD3594" s="3380">
        <v>0.65</v>
      </c>
      <c r="AE3594" s="3379">
        <v>1</v>
      </c>
      <c r="AF3594" s="2236">
        <f t="shared" si="341"/>
        <v>1</v>
      </c>
      <c r="AG3594" s="241"/>
      <c r="DG3594" s="573"/>
      <c r="DH3594" s="159"/>
      <c r="DI3594" s="1091"/>
      <c r="DJ3594" s="1187"/>
    </row>
    <row r="3595" spans="1:114" ht="15" hidden="1" customHeight="1" outlineLevel="1">
      <c r="A3595" s="453"/>
      <c r="C3595" s="51"/>
      <c r="D3595" s="4303"/>
      <c r="E3595" s="4295"/>
      <c r="F3595" s="4307" t="str">
        <f>$E$1782</f>
        <v>ASHP-SEER18_ER1_MF</v>
      </c>
      <c r="G3595" s="4307"/>
      <c r="H3595" s="4307"/>
      <c r="I3595" s="4307"/>
      <c r="J3595" s="1029" t="str">
        <f>$C$1782</f>
        <v>354350_2024_12_</v>
      </c>
      <c r="K3595" s="1775">
        <v>1</v>
      </c>
      <c r="L3595" s="262"/>
      <c r="M3595" s="1378"/>
      <c r="P3595" s="261"/>
      <c r="Q3595" s="209"/>
      <c r="R3595" s="261"/>
      <c r="S3595" s="52"/>
      <c r="T3595" s="181"/>
      <c r="U3595" s="52"/>
      <c r="V3595" s="4295"/>
      <c r="W3595" s="241">
        <v>0.65</v>
      </c>
      <c r="X3595" s="241">
        <v>0.65</v>
      </c>
      <c r="Y3595" s="241">
        <v>0.65</v>
      </c>
      <c r="Z3595" s="241">
        <v>0.65</v>
      </c>
      <c r="AA3595" s="241">
        <v>0.65</v>
      </c>
      <c r="AB3595" s="241">
        <v>0.65</v>
      </c>
      <c r="AC3595" s="241">
        <v>0.65</v>
      </c>
      <c r="AD3595" s="239">
        <v>1</v>
      </c>
      <c r="AE3595" s="241">
        <v>1</v>
      </c>
      <c r="AF3595" s="271">
        <f t="shared" si="341"/>
        <v>1</v>
      </c>
      <c r="AG3595" s="241"/>
      <c r="DG3595" s="573"/>
      <c r="DH3595" s="159"/>
      <c r="DI3595" s="1091"/>
      <c r="DJ3595" s="1187"/>
    </row>
    <row r="3596" spans="1:114" ht="15" hidden="1" customHeight="1" outlineLevel="1">
      <c r="A3596" s="453"/>
      <c r="C3596" s="51"/>
      <c r="D3596" s="4303"/>
      <c r="E3596" s="4295"/>
      <c r="F3596" s="4307" t="str">
        <f>$E$1784</f>
        <v>ASHP-SEER18_ER2_MF</v>
      </c>
      <c r="G3596" s="4307"/>
      <c r="H3596" s="4307"/>
      <c r="I3596" s="4307"/>
      <c r="J3596" s="1029" t="str">
        <f>$C$1784</f>
        <v>354350_2024_12_</v>
      </c>
      <c r="K3596" s="1775">
        <v>1</v>
      </c>
      <c r="L3596" s="262"/>
      <c r="M3596" s="1378"/>
      <c r="P3596" s="261"/>
      <c r="Q3596" s="209"/>
      <c r="R3596" s="261"/>
      <c r="S3596" s="52"/>
      <c r="T3596" s="181"/>
      <c r="U3596" s="52"/>
      <c r="V3596" s="4295"/>
      <c r="W3596" s="241">
        <v>0.65</v>
      </c>
      <c r="X3596" s="241">
        <v>0.65</v>
      </c>
      <c r="Y3596" s="241">
        <v>0.65</v>
      </c>
      <c r="Z3596" s="241">
        <v>0.65</v>
      </c>
      <c r="AA3596" s="241">
        <v>0.65</v>
      </c>
      <c r="AB3596" s="241">
        <v>0.65</v>
      </c>
      <c r="AC3596" s="241">
        <v>0.65</v>
      </c>
      <c r="AD3596" s="239">
        <v>1</v>
      </c>
      <c r="AE3596" s="241">
        <v>1</v>
      </c>
      <c r="AF3596" s="271">
        <f t="shared" si="341"/>
        <v>1</v>
      </c>
      <c r="AG3596" s="241"/>
      <c r="DG3596" s="573"/>
      <c r="DH3596" s="159"/>
      <c r="DI3596" s="1091"/>
      <c r="DJ3596" s="1187"/>
    </row>
    <row r="3597" spans="1:114" ht="15" hidden="1" customHeight="1" outlineLevel="1">
      <c r="A3597" s="453"/>
      <c r="C3597" s="51"/>
      <c r="D3597" s="4303"/>
      <c r="E3597" s="4295"/>
      <c r="F3597" s="4347" t="str">
        <f>$E$1786</f>
        <v>ASHP-SEER18_ER1_MF_CompE</v>
      </c>
      <c r="G3597" s="4347"/>
      <c r="H3597" s="4347"/>
      <c r="I3597" s="4347"/>
      <c r="J3597" s="3471" t="str">
        <f>$C$1786</f>
        <v>354351_2024_12_</v>
      </c>
      <c r="K3597" s="3376">
        <v>1</v>
      </c>
      <c r="L3597" s="262"/>
      <c r="M3597" s="1378"/>
      <c r="P3597" s="261"/>
      <c r="Q3597" s="209"/>
      <c r="R3597" s="261"/>
      <c r="S3597" s="52"/>
      <c r="T3597" s="181"/>
      <c r="U3597" s="52"/>
      <c r="V3597" s="4295"/>
      <c r="W3597" s="241"/>
      <c r="X3597" s="241"/>
      <c r="Y3597" s="3379">
        <v>0.65</v>
      </c>
      <c r="Z3597" s="3380">
        <v>0.65</v>
      </c>
      <c r="AA3597" s="3380">
        <v>0.65</v>
      </c>
      <c r="AB3597" s="3380">
        <v>0.65</v>
      </c>
      <c r="AC3597" s="3380">
        <f>AC3595</f>
        <v>0.65</v>
      </c>
      <c r="AD3597" s="3379">
        <v>1</v>
      </c>
      <c r="AE3597" s="3380">
        <v>1</v>
      </c>
      <c r="AF3597" s="2236">
        <f t="shared" si="341"/>
        <v>1</v>
      </c>
      <c r="AG3597" s="241"/>
      <c r="DG3597" s="573"/>
      <c r="DH3597" s="159"/>
      <c r="DI3597" s="1091"/>
      <c r="DJ3597" s="1187"/>
    </row>
    <row r="3598" spans="1:114" ht="15" hidden="1" customHeight="1" outlineLevel="1">
      <c r="A3598" s="453"/>
      <c r="C3598" s="51"/>
      <c r="D3598" s="4303"/>
      <c r="E3598" s="4295"/>
      <c r="F3598" s="4347" t="str">
        <f>$E$1788</f>
        <v>ASHP-SEER18_ER2_MF_CompE</v>
      </c>
      <c r="G3598" s="4347"/>
      <c r="H3598" s="4347"/>
      <c r="I3598" s="4347"/>
      <c r="J3598" s="3471" t="str">
        <f>$C$1788</f>
        <v>354351_2024_12_</v>
      </c>
      <c r="K3598" s="3376">
        <v>1</v>
      </c>
      <c r="L3598" s="262"/>
      <c r="M3598" s="1378"/>
      <c r="P3598" s="261"/>
      <c r="Q3598" s="209"/>
      <c r="R3598" s="261"/>
      <c r="S3598" s="52"/>
      <c r="T3598" s="181"/>
      <c r="U3598" s="52"/>
      <c r="V3598" s="4295"/>
      <c r="W3598" s="241"/>
      <c r="X3598" s="241"/>
      <c r="Y3598" s="3379">
        <v>0.65</v>
      </c>
      <c r="Z3598" s="3380">
        <v>0.65</v>
      </c>
      <c r="AA3598" s="3380">
        <v>0.65</v>
      </c>
      <c r="AB3598" s="3380">
        <v>0.65</v>
      </c>
      <c r="AC3598" s="3380">
        <f>AC3596</f>
        <v>0.65</v>
      </c>
      <c r="AD3598" s="3379">
        <v>1</v>
      </c>
      <c r="AE3598" s="3380">
        <v>1</v>
      </c>
      <c r="AF3598" s="2236">
        <f t="shared" si="341"/>
        <v>1</v>
      </c>
      <c r="AG3598" s="241"/>
      <c r="DG3598" s="573"/>
      <c r="DH3598" s="159"/>
      <c r="DI3598" s="1091"/>
      <c r="DJ3598" s="1187"/>
    </row>
    <row r="3599" spans="1:114" ht="15" hidden="1" customHeight="1" outlineLevel="1">
      <c r="A3599" s="453"/>
      <c r="C3599" s="51"/>
      <c r="D3599" s="4303"/>
      <c r="E3599" s="4295"/>
      <c r="F3599" s="4307" t="str">
        <f>$E$1790</f>
        <v>ASHP-SEER19-Replace_CAC_ElectricHeat_ER1_SF</v>
      </c>
      <c r="G3599" s="4307"/>
      <c r="H3599" s="4307"/>
      <c r="I3599" s="4307"/>
      <c r="J3599" s="1029" t="str">
        <f>$C$1790</f>
        <v>354400_2024_12_</v>
      </c>
      <c r="K3599" s="1775">
        <v>1</v>
      </c>
      <c r="L3599" s="262"/>
      <c r="M3599" s="1378"/>
      <c r="P3599" s="261"/>
      <c r="Q3599" s="209"/>
      <c r="R3599" s="261"/>
      <c r="S3599" s="52"/>
      <c r="T3599" s="181"/>
      <c r="U3599" s="52"/>
      <c r="V3599" s="4295"/>
      <c r="W3599" s="241">
        <v>1</v>
      </c>
      <c r="X3599" s="241">
        <v>1</v>
      </c>
      <c r="Y3599" s="241">
        <v>1</v>
      </c>
      <c r="Z3599" s="241">
        <v>1</v>
      </c>
      <c r="AA3599" s="241">
        <v>1</v>
      </c>
      <c r="AB3599" s="241">
        <v>1</v>
      </c>
      <c r="AC3599" s="241">
        <v>1</v>
      </c>
      <c r="AD3599" s="241">
        <v>1</v>
      </c>
      <c r="AE3599" s="241">
        <v>1</v>
      </c>
      <c r="AF3599" s="271">
        <f t="shared" si="341"/>
        <v>1</v>
      </c>
      <c r="AG3599" s="241"/>
      <c r="DG3599" s="573"/>
      <c r="DH3599" s="159"/>
      <c r="DI3599" s="1091"/>
      <c r="DJ3599" s="1187"/>
    </row>
    <row r="3600" spans="1:114" ht="15" hidden="1" customHeight="1" outlineLevel="1">
      <c r="A3600" s="453"/>
      <c r="C3600" s="51"/>
      <c r="D3600" s="4303"/>
      <c r="E3600" s="4295"/>
      <c r="F3600" s="4307" t="str">
        <f>$E$1792</f>
        <v>ASHP-SEER19-Replace_CAC_ElectricHeat_ER2_SF</v>
      </c>
      <c r="G3600" s="4307"/>
      <c r="H3600" s="4307"/>
      <c r="I3600" s="4307"/>
      <c r="J3600" s="1029" t="str">
        <f>$C$1792</f>
        <v>354400_2024_12_</v>
      </c>
      <c r="K3600" s="1775">
        <v>1</v>
      </c>
      <c r="L3600" s="262"/>
      <c r="M3600" s="1378"/>
      <c r="P3600" s="261"/>
      <c r="Q3600" s="209"/>
      <c r="R3600" s="261"/>
      <c r="S3600" s="52"/>
      <c r="T3600" s="181"/>
      <c r="U3600" s="52"/>
      <c r="V3600" s="4295"/>
      <c r="W3600" s="241">
        <v>1</v>
      </c>
      <c r="X3600" s="241">
        <v>1</v>
      </c>
      <c r="Y3600" s="241">
        <v>1</v>
      </c>
      <c r="Z3600" s="241">
        <v>1</v>
      </c>
      <c r="AA3600" s="241">
        <v>1</v>
      </c>
      <c r="AB3600" s="241">
        <v>1</v>
      </c>
      <c r="AC3600" s="241">
        <v>1</v>
      </c>
      <c r="AD3600" s="241">
        <v>1</v>
      </c>
      <c r="AE3600" s="241">
        <v>1</v>
      </c>
      <c r="AF3600" s="271">
        <f t="shared" si="341"/>
        <v>1</v>
      </c>
      <c r="AG3600" s="241"/>
      <c r="DG3600" s="573"/>
      <c r="DH3600" s="159"/>
      <c r="DI3600" s="1091"/>
      <c r="DJ3600" s="1187"/>
    </row>
    <row r="3601" spans="1:114" ht="15" hidden="1" customHeight="1" outlineLevel="1">
      <c r="A3601" s="453"/>
      <c r="C3601" s="51"/>
      <c r="D3601" s="4303"/>
      <c r="E3601" s="4295"/>
      <c r="F3601" s="4307" t="str">
        <f>$E$1794</f>
        <v>ASHP-SEER19-Replace_CAC_NonElectricHeat_ER1_SF</v>
      </c>
      <c r="G3601" s="4307"/>
      <c r="H3601" s="4307"/>
      <c r="I3601" s="4307"/>
      <c r="J3601" s="1029" t="str">
        <f>$C$1794</f>
        <v>354410_2024_12_</v>
      </c>
      <c r="K3601" s="1775">
        <v>1</v>
      </c>
      <c r="L3601" s="262"/>
      <c r="M3601" s="1378"/>
      <c r="P3601" s="261"/>
      <c r="Q3601" s="209"/>
      <c r="R3601" s="261"/>
      <c r="S3601" s="52"/>
      <c r="T3601" s="181"/>
      <c r="U3601" s="52"/>
      <c r="V3601" s="4295"/>
      <c r="W3601" s="241"/>
      <c r="X3601" s="241"/>
      <c r="Y3601" s="241"/>
      <c r="Z3601" s="241"/>
      <c r="AA3601" s="241"/>
      <c r="AB3601" s="241"/>
      <c r="AC3601" s="239">
        <v>1</v>
      </c>
      <c r="AD3601" s="241">
        <v>1</v>
      </c>
      <c r="AE3601" s="241">
        <v>1</v>
      </c>
      <c r="AF3601" s="271">
        <f t="shared" si="341"/>
        <v>1</v>
      </c>
      <c r="AG3601" s="241"/>
      <c r="DG3601" s="573"/>
      <c r="DH3601" s="159"/>
      <c r="DI3601" s="1091"/>
      <c r="DJ3601" s="1187"/>
    </row>
    <row r="3602" spans="1:114" ht="15" hidden="1" customHeight="1" outlineLevel="1">
      <c r="A3602" s="453"/>
      <c r="C3602" s="51"/>
      <c r="D3602" s="4303"/>
      <c r="E3602" s="4295"/>
      <c r="F3602" s="4307" t="str">
        <f>$E$1796</f>
        <v>ASHP-SEER19-Replace_CAC_NonElectricHeat_ER2_SF</v>
      </c>
      <c r="G3602" s="4307"/>
      <c r="H3602" s="4307"/>
      <c r="I3602" s="4307"/>
      <c r="J3602" s="1029" t="str">
        <f>$C$1796</f>
        <v>354410_2024_12_</v>
      </c>
      <c r="K3602" s="1775">
        <v>1</v>
      </c>
      <c r="L3602" s="262"/>
      <c r="M3602" s="1378"/>
      <c r="P3602" s="261"/>
      <c r="Q3602" s="209"/>
      <c r="R3602" s="261"/>
      <c r="S3602" s="52"/>
      <c r="T3602" s="181"/>
      <c r="U3602" s="52"/>
      <c r="V3602" s="4295"/>
      <c r="W3602" s="241"/>
      <c r="X3602" s="241"/>
      <c r="Y3602" s="241"/>
      <c r="Z3602" s="241"/>
      <c r="AA3602" s="241"/>
      <c r="AB3602" s="241"/>
      <c r="AC3602" s="239">
        <v>1</v>
      </c>
      <c r="AD3602" s="241">
        <v>1</v>
      </c>
      <c r="AE3602" s="241">
        <v>1</v>
      </c>
      <c r="AF3602" s="271">
        <f t="shared" si="341"/>
        <v>1</v>
      </c>
      <c r="AG3602" s="241"/>
      <c r="DG3602" s="573"/>
      <c r="DH3602" s="159"/>
      <c r="DI3602" s="1091"/>
      <c r="DJ3602" s="1187"/>
    </row>
    <row r="3603" spans="1:114" ht="15" hidden="1" customHeight="1" outlineLevel="1">
      <c r="A3603" s="453"/>
      <c r="C3603" s="51"/>
      <c r="D3603" s="4303"/>
      <c r="E3603" s="4295"/>
      <c r="F3603" s="4307" t="str">
        <f>$E$1798</f>
        <v>ASHP-SEER19-Replace_CAC_ElectricHeat_ER1_MF</v>
      </c>
      <c r="G3603" s="4307"/>
      <c r="H3603" s="4307"/>
      <c r="I3603" s="4307"/>
      <c r="J3603" s="1029" t="str">
        <f>$C$1798</f>
        <v>354450_2024_12_</v>
      </c>
      <c r="K3603" s="1775">
        <v>0.65</v>
      </c>
      <c r="L3603" s="262"/>
      <c r="M3603" s="1378"/>
      <c r="P3603" s="261"/>
      <c r="Q3603" s="209"/>
      <c r="R3603" s="261"/>
      <c r="S3603" s="52"/>
      <c r="T3603" s="181"/>
      <c r="U3603" s="52"/>
      <c r="V3603" s="4295"/>
      <c r="W3603" s="241">
        <v>0.65</v>
      </c>
      <c r="X3603" s="241">
        <v>0.65</v>
      </c>
      <c r="Y3603" s="241">
        <v>0.65</v>
      </c>
      <c r="Z3603" s="241">
        <v>0.65</v>
      </c>
      <c r="AA3603" s="241">
        <v>0.65</v>
      </c>
      <c r="AB3603" s="241">
        <v>0.65</v>
      </c>
      <c r="AC3603" s="241">
        <v>0.65</v>
      </c>
      <c r="AD3603" s="241">
        <v>0.65</v>
      </c>
      <c r="AE3603" s="241">
        <v>0.65</v>
      </c>
      <c r="AF3603" s="271">
        <f t="shared" si="341"/>
        <v>0.65</v>
      </c>
      <c r="AG3603" s="241"/>
      <c r="DG3603" s="573"/>
      <c r="DH3603" s="159"/>
      <c r="DI3603" s="1091"/>
      <c r="DJ3603" s="1187"/>
    </row>
    <row r="3604" spans="1:114" ht="15" hidden="1" customHeight="1" outlineLevel="1">
      <c r="A3604" s="453"/>
      <c r="C3604" s="51"/>
      <c r="D3604" s="4303"/>
      <c r="E3604" s="4295"/>
      <c r="F3604" s="4307" t="str">
        <f>$E$1800</f>
        <v>ASHP-SEER19-Replace_CAC_ElectricHeat_ER2_MF</v>
      </c>
      <c r="G3604" s="4307"/>
      <c r="H3604" s="4307"/>
      <c r="I3604" s="4307"/>
      <c r="J3604" s="1029" t="str">
        <f>$C$1800</f>
        <v>354450_2024_12_</v>
      </c>
      <c r="K3604" s="1775">
        <v>0.65</v>
      </c>
      <c r="L3604" s="262"/>
      <c r="M3604" s="1378"/>
      <c r="P3604" s="261"/>
      <c r="Q3604" s="209"/>
      <c r="R3604" s="261"/>
      <c r="S3604" s="52"/>
      <c r="T3604" s="181"/>
      <c r="U3604" s="52"/>
      <c r="V3604" s="4295"/>
      <c r="W3604" s="241">
        <v>0.65</v>
      </c>
      <c r="X3604" s="241">
        <v>0.65</v>
      </c>
      <c r="Y3604" s="241">
        <v>0.65</v>
      </c>
      <c r="Z3604" s="241">
        <v>0.65</v>
      </c>
      <c r="AA3604" s="241">
        <v>0.65</v>
      </c>
      <c r="AB3604" s="241">
        <v>0.65</v>
      </c>
      <c r="AC3604" s="241">
        <v>0.65</v>
      </c>
      <c r="AD3604" s="241">
        <v>0.65</v>
      </c>
      <c r="AE3604" s="241">
        <v>0.65</v>
      </c>
      <c r="AF3604" s="271">
        <f t="shared" si="341"/>
        <v>0.65</v>
      </c>
      <c r="AG3604" s="241"/>
      <c r="DG3604" s="573"/>
      <c r="DH3604" s="159"/>
      <c r="DI3604" s="1091"/>
      <c r="DJ3604" s="1187"/>
    </row>
    <row r="3605" spans="1:114" ht="15" hidden="1" customHeight="1" outlineLevel="1">
      <c r="A3605" s="453"/>
      <c r="C3605" s="51"/>
      <c r="D3605" s="4303"/>
      <c r="E3605" s="4295"/>
      <c r="F3605" s="4347" t="str">
        <f>$E$1802</f>
        <v>ASHP-SEER19-Replace_CAC_ElectricHeat_ER1_MF_CompE</v>
      </c>
      <c r="G3605" s="4347"/>
      <c r="H3605" s="4347"/>
      <c r="I3605" s="4347"/>
      <c r="J3605" s="3471" t="str">
        <f>$C$1802</f>
        <v>354451_2024_12_</v>
      </c>
      <c r="K3605" s="3376">
        <v>0.65</v>
      </c>
      <c r="L3605" s="262"/>
      <c r="M3605" s="1378"/>
      <c r="P3605" s="261"/>
      <c r="Q3605" s="209"/>
      <c r="R3605" s="261"/>
      <c r="S3605" s="52"/>
      <c r="T3605" s="181"/>
      <c r="U3605" s="52"/>
      <c r="V3605" s="4295"/>
      <c r="W3605" s="241"/>
      <c r="X3605" s="241"/>
      <c r="Y3605" s="3379">
        <v>0.65</v>
      </c>
      <c r="Z3605" s="3380">
        <v>0.65</v>
      </c>
      <c r="AA3605" s="3380">
        <v>0.65</v>
      </c>
      <c r="AB3605" s="3380">
        <v>0.65</v>
      </c>
      <c r="AC3605" s="3380">
        <f t="shared" ref="AC3605:AC3610" si="343">AC3603</f>
        <v>0.65</v>
      </c>
      <c r="AD3605" s="3380">
        <v>0.65</v>
      </c>
      <c r="AE3605" s="3380">
        <v>0.65</v>
      </c>
      <c r="AF3605" s="2236">
        <f t="shared" si="341"/>
        <v>0.65</v>
      </c>
      <c r="AG3605" s="241"/>
      <c r="DG3605" s="573"/>
      <c r="DH3605" s="159"/>
      <c r="DI3605" s="1091"/>
      <c r="DJ3605" s="1187"/>
    </row>
    <row r="3606" spans="1:114" ht="15" hidden="1" customHeight="1" outlineLevel="1">
      <c r="A3606" s="453"/>
      <c r="C3606" s="51"/>
      <c r="D3606" s="4303"/>
      <c r="E3606" s="4295"/>
      <c r="F3606" s="4347" t="str">
        <f>$E$1804</f>
        <v>ASHP-SEER19-Replace_CAC_ElectricHeat_ER2_MF_CompE</v>
      </c>
      <c r="G3606" s="4347"/>
      <c r="H3606" s="4347"/>
      <c r="I3606" s="4347"/>
      <c r="J3606" s="3471" t="str">
        <f>$C$1804</f>
        <v>354451_2024_12_</v>
      </c>
      <c r="K3606" s="3376">
        <v>0.65</v>
      </c>
      <c r="L3606" s="262"/>
      <c r="M3606" s="1378"/>
      <c r="P3606" s="261"/>
      <c r="Q3606" s="209"/>
      <c r="R3606" s="261"/>
      <c r="S3606" s="52"/>
      <c r="T3606" s="181"/>
      <c r="U3606" s="52"/>
      <c r="V3606" s="4295"/>
      <c r="W3606" s="241"/>
      <c r="X3606" s="241"/>
      <c r="Y3606" s="3379">
        <v>0.65</v>
      </c>
      <c r="Z3606" s="3380">
        <v>0.65</v>
      </c>
      <c r="AA3606" s="3380">
        <v>0.65</v>
      </c>
      <c r="AB3606" s="3380">
        <v>0.65</v>
      </c>
      <c r="AC3606" s="3380">
        <f t="shared" si="343"/>
        <v>0.65</v>
      </c>
      <c r="AD3606" s="3380">
        <v>0.65</v>
      </c>
      <c r="AE3606" s="3380">
        <v>0.65</v>
      </c>
      <c r="AF3606" s="2236">
        <f t="shared" si="341"/>
        <v>0.65</v>
      </c>
      <c r="AG3606" s="241"/>
      <c r="DG3606" s="573"/>
      <c r="DH3606" s="159"/>
      <c r="DI3606" s="1091"/>
      <c r="DJ3606" s="1187"/>
    </row>
    <row r="3607" spans="1:114" ht="15" hidden="1" customHeight="1" outlineLevel="1">
      <c r="A3607" s="453"/>
      <c r="C3607" s="51"/>
      <c r="D3607" s="4303"/>
      <c r="E3607" s="4295"/>
      <c r="F3607" s="4347" t="str">
        <f>$E$1806</f>
        <v>ASHP-SEER19-Replace_CAC_NonElectricHeat_ER1_MF</v>
      </c>
      <c r="G3607" s="4347"/>
      <c r="H3607" s="4347"/>
      <c r="I3607" s="4347"/>
      <c r="J3607" s="3471" t="str">
        <f>$C$1806</f>
        <v>354460_2024_12_</v>
      </c>
      <c r="K3607" s="3376">
        <v>0.65</v>
      </c>
      <c r="L3607" s="262"/>
      <c r="M3607" s="1378"/>
      <c r="P3607" s="261"/>
      <c r="Q3607" s="209"/>
      <c r="R3607" s="261"/>
      <c r="S3607" s="52"/>
      <c r="T3607" s="181"/>
      <c r="U3607" s="52"/>
      <c r="V3607" s="4295"/>
      <c r="W3607" s="241"/>
      <c r="X3607" s="241"/>
      <c r="Y3607" s="3379"/>
      <c r="Z3607" s="3380"/>
      <c r="AA3607" s="3380"/>
      <c r="AB3607" s="3380"/>
      <c r="AC3607" s="3379">
        <f t="shared" si="343"/>
        <v>0.65</v>
      </c>
      <c r="AD3607" s="3380">
        <v>0.65</v>
      </c>
      <c r="AE3607" s="3380">
        <v>0.65</v>
      </c>
      <c r="AF3607" s="2236">
        <f t="shared" si="341"/>
        <v>0.65</v>
      </c>
      <c r="AG3607" s="241"/>
      <c r="DG3607" s="573"/>
      <c r="DH3607" s="159"/>
      <c r="DI3607" s="1091"/>
      <c r="DJ3607" s="1187"/>
    </row>
    <row r="3608" spans="1:114" ht="15" hidden="1" customHeight="1" outlineLevel="1">
      <c r="A3608" s="453"/>
      <c r="C3608" s="51"/>
      <c r="D3608" s="4303"/>
      <c r="E3608" s="4295"/>
      <c r="F3608" s="4347" t="str">
        <f>$E$1808</f>
        <v>ASHP-SEER19-Replace_CAC_NonElectricHeat_ER2_MF</v>
      </c>
      <c r="G3608" s="4347"/>
      <c r="H3608" s="4347"/>
      <c r="I3608" s="4347"/>
      <c r="J3608" s="3471" t="str">
        <f>$C$1808</f>
        <v>354460_2024_12_</v>
      </c>
      <c r="K3608" s="3376">
        <v>0.65</v>
      </c>
      <c r="L3608" s="262"/>
      <c r="M3608" s="1378"/>
      <c r="P3608" s="261"/>
      <c r="Q3608" s="209"/>
      <c r="R3608" s="261"/>
      <c r="S3608" s="52"/>
      <c r="T3608" s="181"/>
      <c r="U3608" s="52"/>
      <c r="V3608" s="4295"/>
      <c r="W3608" s="241"/>
      <c r="X3608" s="241"/>
      <c r="Y3608" s="3379"/>
      <c r="Z3608" s="3380"/>
      <c r="AA3608" s="3380"/>
      <c r="AB3608" s="3380"/>
      <c r="AC3608" s="3379">
        <f t="shared" si="343"/>
        <v>0.65</v>
      </c>
      <c r="AD3608" s="3380">
        <v>0.65</v>
      </c>
      <c r="AE3608" s="3380">
        <v>0.65</v>
      </c>
      <c r="AF3608" s="2236">
        <f t="shared" si="341"/>
        <v>0.65</v>
      </c>
      <c r="AG3608" s="241"/>
      <c r="DG3608" s="573"/>
      <c r="DH3608" s="159"/>
      <c r="DI3608" s="1091"/>
      <c r="DJ3608" s="1187"/>
    </row>
    <row r="3609" spans="1:114" ht="15" hidden="1" customHeight="1" outlineLevel="1">
      <c r="A3609" s="453"/>
      <c r="C3609" s="51"/>
      <c r="D3609" s="4303"/>
      <c r="E3609" s="4295"/>
      <c r="F3609" s="4347" t="str">
        <f>$E$1810</f>
        <v>ASHP-SEER19-Replace_CAC_NonElectricHeat_ER1_MF_CompE</v>
      </c>
      <c r="G3609" s="4347"/>
      <c r="H3609" s="4347"/>
      <c r="I3609" s="4347"/>
      <c r="J3609" s="3471" t="str">
        <f>$C$1810</f>
        <v>354461_2024_12_</v>
      </c>
      <c r="K3609" s="3376">
        <v>0.65</v>
      </c>
      <c r="L3609" s="262"/>
      <c r="M3609" s="1378"/>
      <c r="P3609" s="261"/>
      <c r="Q3609" s="209"/>
      <c r="R3609" s="261"/>
      <c r="S3609" s="52"/>
      <c r="T3609" s="181"/>
      <c r="U3609" s="52"/>
      <c r="V3609" s="4295"/>
      <c r="W3609" s="241"/>
      <c r="X3609" s="241"/>
      <c r="Y3609" s="3379"/>
      <c r="Z3609" s="3380"/>
      <c r="AA3609" s="3380"/>
      <c r="AB3609" s="3380"/>
      <c r="AC3609" s="3379">
        <f t="shared" si="343"/>
        <v>0.65</v>
      </c>
      <c r="AD3609" s="3380">
        <v>0.65</v>
      </c>
      <c r="AE3609" s="3380">
        <v>0.65</v>
      </c>
      <c r="AF3609" s="2236">
        <f t="shared" si="341"/>
        <v>0.65</v>
      </c>
      <c r="AG3609" s="241"/>
      <c r="DG3609" s="573"/>
      <c r="DH3609" s="159"/>
      <c r="DI3609" s="1091"/>
      <c r="DJ3609" s="1187"/>
    </row>
    <row r="3610" spans="1:114" ht="15" hidden="1" customHeight="1" outlineLevel="1">
      <c r="A3610" s="453"/>
      <c r="C3610" s="51"/>
      <c r="D3610" s="4303"/>
      <c r="E3610" s="4295"/>
      <c r="F3610" s="4347" t="str">
        <f>$E$1812</f>
        <v>ASHP-SEER19-Replace_CAC_NonElectricHeat_ER2_MF_CompE</v>
      </c>
      <c r="G3610" s="4347"/>
      <c r="H3610" s="4347"/>
      <c r="I3610" s="4347"/>
      <c r="J3610" s="3471" t="str">
        <f>$C$1812</f>
        <v>354461_2024_12_</v>
      </c>
      <c r="K3610" s="3376">
        <v>0.65</v>
      </c>
      <c r="L3610" s="262"/>
      <c r="M3610" s="1378"/>
      <c r="P3610" s="261"/>
      <c r="Q3610" s="209"/>
      <c r="R3610" s="261"/>
      <c r="S3610" s="52"/>
      <c r="T3610" s="181"/>
      <c r="U3610" s="52"/>
      <c r="V3610" s="4295"/>
      <c r="W3610" s="241"/>
      <c r="X3610" s="241"/>
      <c r="Y3610" s="3379"/>
      <c r="Z3610" s="3380"/>
      <c r="AA3610" s="3380"/>
      <c r="AB3610" s="3380"/>
      <c r="AC3610" s="3379">
        <f t="shared" si="343"/>
        <v>0.65</v>
      </c>
      <c r="AD3610" s="3380">
        <v>0.65</v>
      </c>
      <c r="AE3610" s="3380">
        <v>0.65</v>
      </c>
      <c r="AF3610" s="2236">
        <f t="shared" si="341"/>
        <v>0.65</v>
      </c>
      <c r="AG3610" s="241"/>
      <c r="DG3610" s="573"/>
      <c r="DH3610" s="159"/>
      <c r="DI3610" s="1091"/>
      <c r="DJ3610" s="1187"/>
    </row>
    <row r="3611" spans="1:114" ht="15" hidden="1" customHeight="1" outlineLevel="1">
      <c r="A3611" s="453"/>
      <c r="C3611" s="51"/>
      <c r="D3611" s="4303"/>
      <c r="E3611" s="4295"/>
      <c r="F3611" s="4307" t="str">
        <f>$E$1814</f>
        <v>ASHP-SEER19_ER1_MF</v>
      </c>
      <c r="G3611" s="4307"/>
      <c r="H3611" s="4307"/>
      <c r="I3611" s="4307"/>
      <c r="J3611" s="1029" t="str">
        <f>$C$1814</f>
        <v>354500_2024_12_</v>
      </c>
      <c r="K3611" s="1775">
        <v>0.65</v>
      </c>
      <c r="L3611" s="262"/>
      <c r="M3611" s="1378"/>
      <c r="P3611" s="261"/>
      <c r="Q3611" s="209"/>
      <c r="R3611" s="261"/>
      <c r="S3611" s="52"/>
      <c r="T3611" s="181"/>
      <c r="U3611" s="52"/>
      <c r="V3611" s="4295"/>
      <c r="W3611" s="241">
        <v>0.65</v>
      </c>
      <c r="X3611" s="241">
        <v>0.65</v>
      </c>
      <c r="Y3611" s="241">
        <v>0.65</v>
      </c>
      <c r="Z3611" s="241">
        <v>0.65</v>
      </c>
      <c r="AA3611" s="241">
        <v>0.65</v>
      </c>
      <c r="AB3611" s="241">
        <v>0.65</v>
      </c>
      <c r="AC3611" s="241">
        <v>0.65</v>
      </c>
      <c r="AD3611" s="241">
        <v>0.65</v>
      </c>
      <c r="AE3611" s="241">
        <v>0.65</v>
      </c>
      <c r="AF3611" s="271">
        <f t="shared" si="341"/>
        <v>0.65</v>
      </c>
      <c r="AG3611" s="241"/>
      <c r="DG3611" s="573"/>
      <c r="DH3611" s="159"/>
      <c r="DI3611" s="1091"/>
      <c r="DJ3611" s="1187"/>
    </row>
    <row r="3612" spans="1:114" ht="15" hidden="1" customHeight="1" outlineLevel="1">
      <c r="A3612" s="453"/>
      <c r="C3612" s="51"/>
      <c r="D3612" s="4303"/>
      <c r="E3612" s="4295"/>
      <c r="F3612" s="4307" t="str">
        <f>$E$1816</f>
        <v>ASHP-SEER19_ER2_MF</v>
      </c>
      <c r="G3612" s="4307"/>
      <c r="H3612" s="4307"/>
      <c r="I3612" s="4307"/>
      <c r="J3612" s="1029" t="str">
        <f>$C$1816</f>
        <v>354500_2024_12_</v>
      </c>
      <c r="K3612" s="1775">
        <v>0.65</v>
      </c>
      <c r="L3612" s="262"/>
      <c r="M3612" s="1378"/>
      <c r="P3612" s="261"/>
      <c r="Q3612" s="209"/>
      <c r="R3612" s="261"/>
      <c r="S3612" s="52"/>
      <c r="T3612" s="181"/>
      <c r="U3612" s="52"/>
      <c r="V3612" s="4295"/>
      <c r="W3612" s="241">
        <v>0.65</v>
      </c>
      <c r="X3612" s="241">
        <v>0.65</v>
      </c>
      <c r="Y3612" s="241">
        <v>0.65</v>
      </c>
      <c r="Z3612" s="241">
        <v>0.65</v>
      </c>
      <c r="AA3612" s="241">
        <v>0.65</v>
      </c>
      <c r="AB3612" s="241">
        <v>0.65</v>
      </c>
      <c r="AC3612" s="241">
        <v>0.65</v>
      </c>
      <c r="AD3612" s="241">
        <v>0.65</v>
      </c>
      <c r="AE3612" s="241">
        <v>0.65</v>
      </c>
      <c r="AF3612" s="271">
        <f t="shared" si="341"/>
        <v>0.65</v>
      </c>
      <c r="AG3612" s="241"/>
      <c r="DG3612" s="573"/>
      <c r="DH3612" s="159"/>
      <c r="DI3612" s="1091"/>
      <c r="DJ3612" s="1187"/>
    </row>
    <row r="3613" spans="1:114" ht="15" hidden="1" customHeight="1" outlineLevel="1">
      <c r="A3613" s="453"/>
      <c r="C3613" s="51"/>
      <c r="D3613" s="4303"/>
      <c r="E3613" s="4295"/>
      <c r="F3613" s="4347" t="str">
        <f>$E$1818</f>
        <v>ASHP-SEER19_ER1_MF_CompE</v>
      </c>
      <c r="G3613" s="4347"/>
      <c r="H3613" s="4347"/>
      <c r="I3613" s="4347"/>
      <c r="J3613" s="3471" t="str">
        <f>$C$1818</f>
        <v>354501_2024_12_</v>
      </c>
      <c r="K3613" s="3376">
        <v>0.65</v>
      </c>
      <c r="L3613" s="262"/>
      <c r="M3613" s="1378"/>
      <c r="P3613" s="261"/>
      <c r="Q3613" s="209"/>
      <c r="R3613" s="261"/>
      <c r="S3613" s="52"/>
      <c r="T3613" s="181"/>
      <c r="U3613" s="52"/>
      <c r="V3613" s="4295"/>
      <c r="W3613" s="241"/>
      <c r="X3613" s="241"/>
      <c r="Y3613" s="3379">
        <v>0.65</v>
      </c>
      <c r="Z3613" s="3380">
        <v>0.65</v>
      </c>
      <c r="AA3613" s="3380">
        <v>0.65</v>
      </c>
      <c r="AB3613" s="3380">
        <v>0.65</v>
      </c>
      <c r="AC3613" s="3380">
        <f>AC3611</f>
        <v>0.65</v>
      </c>
      <c r="AD3613" s="3380">
        <v>0.65</v>
      </c>
      <c r="AE3613" s="3380">
        <v>0.65</v>
      </c>
      <c r="AF3613" s="2236">
        <f t="shared" si="341"/>
        <v>0.65</v>
      </c>
      <c r="AG3613" s="241"/>
      <c r="DG3613" s="573"/>
      <c r="DH3613" s="159"/>
      <c r="DI3613" s="1091"/>
      <c r="DJ3613" s="1187"/>
    </row>
    <row r="3614" spans="1:114" ht="15" hidden="1" customHeight="1" outlineLevel="1">
      <c r="A3614" s="453"/>
      <c r="C3614" s="51"/>
      <c r="D3614" s="4303"/>
      <c r="E3614" s="4295"/>
      <c r="F3614" s="4347" t="str">
        <f>$E$1820</f>
        <v>ASHP-SEER19_ER2_MF_CompE</v>
      </c>
      <c r="G3614" s="4347"/>
      <c r="H3614" s="4347"/>
      <c r="I3614" s="4347"/>
      <c r="J3614" s="3471" t="str">
        <f>$C$1820</f>
        <v>354501_2024_12_</v>
      </c>
      <c r="K3614" s="3376">
        <v>0.65</v>
      </c>
      <c r="L3614" s="262"/>
      <c r="M3614" s="1378"/>
      <c r="P3614" s="261"/>
      <c r="Q3614" s="209"/>
      <c r="R3614" s="261"/>
      <c r="S3614" s="52"/>
      <c r="T3614" s="181"/>
      <c r="U3614" s="52"/>
      <c r="V3614" s="4295"/>
      <c r="W3614" s="241"/>
      <c r="X3614" s="241"/>
      <c r="Y3614" s="3379">
        <v>0.65</v>
      </c>
      <c r="Z3614" s="3380">
        <v>0.65</v>
      </c>
      <c r="AA3614" s="3380">
        <v>0.65</v>
      </c>
      <c r="AB3614" s="3380">
        <v>0.65</v>
      </c>
      <c r="AC3614" s="3380">
        <f>AC3612</f>
        <v>0.65</v>
      </c>
      <c r="AD3614" s="3380">
        <v>0.65</v>
      </c>
      <c r="AE3614" s="3380">
        <v>0.65</v>
      </c>
      <c r="AF3614" s="2236">
        <f t="shared" si="341"/>
        <v>0.65</v>
      </c>
      <c r="AG3614" s="241"/>
      <c r="DG3614" s="573"/>
      <c r="DH3614" s="159"/>
      <c r="DI3614" s="1091"/>
      <c r="DJ3614" s="1187"/>
    </row>
    <row r="3615" spans="1:114" ht="15" hidden="1" customHeight="1" outlineLevel="1">
      <c r="A3615" s="453"/>
      <c r="C3615" s="51"/>
      <c r="D3615" s="4303"/>
      <c r="E3615" s="4295"/>
      <c r="F3615" s="4307" t="str">
        <f>$E$1822</f>
        <v>ASHP-SEER20_ER1_SF</v>
      </c>
      <c r="G3615" s="4307"/>
      <c r="H3615" s="4307"/>
      <c r="I3615" s="4307"/>
      <c r="J3615" s="1029" t="str">
        <f>$C$1822</f>
        <v>354550_2024_12_</v>
      </c>
      <c r="K3615" s="1775">
        <v>1</v>
      </c>
      <c r="L3615" s="262"/>
      <c r="M3615" s="1378"/>
      <c r="P3615" s="261"/>
      <c r="Q3615" s="209"/>
      <c r="R3615" s="261"/>
      <c r="S3615" s="52"/>
      <c r="T3615" s="181"/>
      <c r="U3615" s="52"/>
      <c r="V3615" s="4295"/>
      <c r="W3615" s="241">
        <v>1</v>
      </c>
      <c r="X3615" s="241">
        <v>1</v>
      </c>
      <c r="Y3615" s="241">
        <v>1</v>
      </c>
      <c r="Z3615" s="241">
        <v>1</v>
      </c>
      <c r="AA3615" s="241">
        <v>1</v>
      </c>
      <c r="AB3615" s="241">
        <v>1</v>
      </c>
      <c r="AC3615" s="241">
        <v>1</v>
      </c>
      <c r="AD3615" s="241">
        <v>1</v>
      </c>
      <c r="AE3615" s="241">
        <v>1</v>
      </c>
      <c r="AF3615" s="271">
        <f t="shared" si="341"/>
        <v>1</v>
      </c>
      <c r="AG3615" s="241"/>
      <c r="DG3615" s="573"/>
      <c r="DH3615" s="159"/>
      <c r="DI3615" s="1091"/>
      <c r="DJ3615" s="1187"/>
    </row>
    <row r="3616" spans="1:114" ht="15" hidden="1" customHeight="1" outlineLevel="1">
      <c r="A3616" s="453"/>
      <c r="C3616" s="51"/>
      <c r="D3616" s="4303"/>
      <c r="E3616" s="4295"/>
      <c r="F3616" s="4307" t="str">
        <f>$E$1824</f>
        <v>ASHP-SEER20_ER2_SF</v>
      </c>
      <c r="G3616" s="4307"/>
      <c r="H3616" s="4307"/>
      <c r="I3616" s="4307"/>
      <c r="J3616" s="1029" t="str">
        <f>$C$1824</f>
        <v>354550_2024_12_</v>
      </c>
      <c r="K3616" s="1775">
        <v>1</v>
      </c>
      <c r="L3616" s="262"/>
      <c r="M3616" s="1378"/>
      <c r="P3616" s="261"/>
      <c r="Q3616" s="209"/>
      <c r="R3616" s="261"/>
      <c r="S3616" s="52"/>
      <c r="T3616" s="181"/>
      <c r="U3616" s="52"/>
      <c r="V3616" s="4295"/>
      <c r="W3616" s="241">
        <v>1</v>
      </c>
      <c r="X3616" s="241">
        <v>1</v>
      </c>
      <c r="Y3616" s="241">
        <v>1</v>
      </c>
      <c r="Z3616" s="241">
        <v>1</v>
      </c>
      <c r="AA3616" s="241">
        <v>1</v>
      </c>
      <c r="AB3616" s="241">
        <v>1</v>
      </c>
      <c r="AC3616" s="241">
        <v>1</v>
      </c>
      <c r="AD3616" s="241">
        <v>1</v>
      </c>
      <c r="AE3616" s="241">
        <v>1</v>
      </c>
      <c r="AF3616" s="271">
        <f t="shared" si="341"/>
        <v>1</v>
      </c>
      <c r="AG3616" s="241"/>
      <c r="DG3616" s="573"/>
      <c r="DH3616" s="159"/>
      <c r="DI3616" s="1091"/>
      <c r="DJ3616" s="1187"/>
    </row>
    <row r="3617" spans="1:114" ht="15" hidden="1" customHeight="1" outlineLevel="1">
      <c r="A3617" s="453"/>
      <c r="C3617" s="51"/>
      <c r="D3617" s="4303"/>
      <c r="E3617" s="4295"/>
      <c r="F3617" s="4307" t="str">
        <f>$E$1826</f>
        <v>ASHP-SEER20_ROF_SF</v>
      </c>
      <c r="G3617" s="4307"/>
      <c r="H3617" s="4307"/>
      <c r="I3617" s="4307"/>
      <c r="J3617" s="1029" t="str">
        <f>$C$1826</f>
        <v>354600_2024_12_</v>
      </c>
      <c r="K3617" s="1775">
        <v>1</v>
      </c>
      <c r="L3617" s="262"/>
      <c r="M3617" s="1378"/>
      <c r="P3617" s="261"/>
      <c r="Q3617" s="209"/>
      <c r="R3617" s="261"/>
      <c r="S3617" s="52"/>
      <c r="T3617" s="181"/>
      <c r="U3617" s="52"/>
      <c r="V3617" s="4295"/>
      <c r="W3617" s="241">
        <v>1</v>
      </c>
      <c r="X3617" s="241">
        <v>1</v>
      </c>
      <c r="Y3617" s="241">
        <v>1</v>
      </c>
      <c r="Z3617" s="241">
        <v>1</v>
      </c>
      <c r="AA3617" s="241">
        <v>1</v>
      </c>
      <c r="AB3617" s="241">
        <v>1</v>
      </c>
      <c r="AC3617" s="241">
        <v>1</v>
      </c>
      <c r="AD3617" s="241">
        <v>1</v>
      </c>
      <c r="AE3617" s="241">
        <v>1</v>
      </c>
      <c r="AF3617" s="271">
        <f t="shared" si="341"/>
        <v>1</v>
      </c>
      <c r="AG3617" s="241"/>
      <c r="DG3617" s="573"/>
      <c r="DH3617" s="159"/>
      <c r="DI3617" s="1091"/>
      <c r="DJ3617" s="1187"/>
    </row>
    <row r="3618" spans="1:114" ht="15" hidden="1" customHeight="1" outlineLevel="1">
      <c r="A3618" s="453"/>
      <c r="C3618" s="51"/>
      <c r="D3618" s="4303"/>
      <c r="E3618" s="4295"/>
      <c r="F3618" s="4307" t="str">
        <f>$E$1828</f>
        <v>ASHP-SEER20-Replace_CAC_ElectricHeat_ER1_MF</v>
      </c>
      <c r="G3618" s="4307"/>
      <c r="H3618" s="4307"/>
      <c r="I3618" s="4307"/>
      <c r="J3618" s="1029" t="str">
        <f>$C$1828</f>
        <v>354650_2024_12_</v>
      </c>
      <c r="K3618" s="1775">
        <v>0.65</v>
      </c>
      <c r="L3618" s="262"/>
      <c r="M3618" s="1378"/>
      <c r="P3618" s="261"/>
      <c r="Q3618" s="209"/>
      <c r="R3618" s="261"/>
      <c r="S3618" s="52"/>
      <c r="T3618" s="181"/>
      <c r="U3618" s="52"/>
      <c r="V3618" s="4295"/>
      <c r="W3618" s="241">
        <v>0.65</v>
      </c>
      <c r="X3618" s="241">
        <v>0.65</v>
      </c>
      <c r="Y3618" s="241">
        <v>0.65</v>
      </c>
      <c r="Z3618" s="241">
        <v>0.65</v>
      </c>
      <c r="AA3618" s="241">
        <v>0.65</v>
      </c>
      <c r="AB3618" s="241">
        <v>0.65</v>
      </c>
      <c r="AC3618" s="241">
        <v>0.65</v>
      </c>
      <c r="AD3618" s="241">
        <v>0.65</v>
      </c>
      <c r="AE3618" s="241">
        <v>0.65</v>
      </c>
      <c r="AF3618" s="271">
        <f t="shared" si="341"/>
        <v>0.65</v>
      </c>
      <c r="AG3618" s="241"/>
      <c r="DG3618" s="573"/>
      <c r="DH3618" s="159"/>
      <c r="DI3618" s="1091"/>
      <c r="DJ3618" s="1187"/>
    </row>
    <row r="3619" spans="1:114" ht="15" hidden="1" customHeight="1" outlineLevel="1">
      <c r="A3619" s="453"/>
      <c r="C3619" s="51"/>
      <c r="D3619" s="4303"/>
      <c r="E3619" s="4295"/>
      <c r="F3619" s="4307" t="str">
        <f>$E$1830</f>
        <v>ASHP-SEER20-Replace_CAC_ElectricHeat_ER2_MF</v>
      </c>
      <c r="G3619" s="4307"/>
      <c r="H3619" s="4307"/>
      <c r="I3619" s="4307"/>
      <c r="J3619" s="1029" t="str">
        <f>$C$1830</f>
        <v>354650_2024_12_</v>
      </c>
      <c r="K3619" s="1775">
        <v>0.65</v>
      </c>
      <c r="L3619" s="262"/>
      <c r="M3619" s="1378"/>
      <c r="P3619" s="261"/>
      <c r="Q3619" s="209"/>
      <c r="R3619" s="261"/>
      <c r="S3619" s="52"/>
      <c r="T3619" s="181"/>
      <c r="U3619" s="52"/>
      <c r="V3619" s="4295"/>
      <c r="W3619" s="241">
        <v>0.65</v>
      </c>
      <c r="X3619" s="241">
        <v>0.65</v>
      </c>
      <c r="Y3619" s="241">
        <v>0.65</v>
      </c>
      <c r="Z3619" s="241">
        <v>0.65</v>
      </c>
      <c r="AA3619" s="241">
        <v>0.65</v>
      </c>
      <c r="AB3619" s="241">
        <v>0.65</v>
      </c>
      <c r="AC3619" s="241">
        <v>0.65</v>
      </c>
      <c r="AD3619" s="241">
        <v>0.65</v>
      </c>
      <c r="AE3619" s="241">
        <v>0.65</v>
      </c>
      <c r="AF3619" s="271">
        <f t="shared" si="341"/>
        <v>0.65</v>
      </c>
      <c r="AG3619" s="241"/>
      <c r="DG3619" s="573"/>
      <c r="DH3619" s="159"/>
      <c r="DI3619" s="1091"/>
      <c r="DJ3619" s="1187"/>
    </row>
    <row r="3620" spans="1:114" ht="15" hidden="1" customHeight="1" outlineLevel="1">
      <c r="A3620" s="453"/>
      <c r="C3620" s="51"/>
      <c r="D3620" s="4303"/>
      <c r="E3620" s="4295"/>
      <c r="F3620" s="4347" t="str">
        <f>$E$1832</f>
        <v>ASHP-SEER20-Replace_CAC_ElectricHeat_ER1_MF_CompE</v>
      </c>
      <c r="G3620" s="4347"/>
      <c r="H3620" s="4347"/>
      <c r="I3620" s="4347"/>
      <c r="J3620" s="3471" t="str">
        <f>$C$1832</f>
        <v>354651_2024_12_</v>
      </c>
      <c r="K3620" s="3376">
        <v>0.65</v>
      </c>
      <c r="L3620" s="262"/>
      <c r="M3620" s="1378"/>
      <c r="P3620" s="261"/>
      <c r="Q3620" s="209"/>
      <c r="R3620" s="261"/>
      <c r="S3620" s="52"/>
      <c r="T3620" s="181"/>
      <c r="U3620" s="52"/>
      <c r="V3620" s="4295"/>
      <c r="W3620" s="241"/>
      <c r="X3620" s="241"/>
      <c r="Y3620" s="3379">
        <v>0.65</v>
      </c>
      <c r="Z3620" s="3380">
        <v>0.65</v>
      </c>
      <c r="AA3620" s="3380">
        <v>0.65</v>
      </c>
      <c r="AB3620" s="3380">
        <v>0.65</v>
      </c>
      <c r="AC3620" s="3380">
        <f t="shared" ref="AC3620:AC3625" si="344">AC3618</f>
        <v>0.65</v>
      </c>
      <c r="AD3620" s="3380">
        <v>0.65</v>
      </c>
      <c r="AE3620" s="3380">
        <v>0.65</v>
      </c>
      <c r="AF3620" s="2236">
        <f t="shared" si="341"/>
        <v>0.65</v>
      </c>
      <c r="AG3620" s="241"/>
      <c r="DG3620" s="573"/>
      <c r="DH3620" s="159"/>
      <c r="DI3620" s="1091"/>
      <c r="DJ3620" s="1187"/>
    </row>
    <row r="3621" spans="1:114" ht="15" hidden="1" customHeight="1" outlineLevel="1">
      <c r="A3621" s="453"/>
      <c r="C3621" s="51"/>
      <c r="D3621" s="4303"/>
      <c r="E3621" s="4295"/>
      <c r="F3621" s="4347" t="str">
        <f>$E$1834</f>
        <v>ASHP-SEER20-Replace_CAC_ElectricHeat_ER2_MF_CompE</v>
      </c>
      <c r="G3621" s="4347"/>
      <c r="H3621" s="4347"/>
      <c r="I3621" s="4347"/>
      <c r="J3621" s="3471" t="str">
        <f>$C$1834</f>
        <v>354651_2024_12_</v>
      </c>
      <c r="K3621" s="3376">
        <v>0.65</v>
      </c>
      <c r="L3621" s="262"/>
      <c r="M3621" s="1378"/>
      <c r="P3621" s="261"/>
      <c r="Q3621" s="209"/>
      <c r="R3621" s="261"/>
      <c r="S3621" s="52"/>
      <c r="T3621" s="181"/>
      <c r="U3621" s="52"/>
      <c r="V3621" s="4295"/>
      <c r="W3621" s="241"/>
      <c r="X3621" s="241"/>
      <c r="Y3621" s="3379">
        <v>0.65</v>
      </c>
      <c r="Z3621" s="3380">
        <v>0.65</v>
      </c>
      <c r="AA3621" s="3380">
        <v>0.65</v>
      </c>
      <c r="AB3621" s="3380">
        <v>0.65</v>
      </c>
      <c r="AC3621" s="3380">
        <f t="shared" si="344"/>
        <v>0.65</v>
      </c>
      <c r="AD3621" s="3380">
        <v>0.65</v>
      </c>
      <c r="AE3621" s="3380">
        <v>0.65</v>
      </c>
      <c r="AF3621" s="2236">
        <f t="shared" si="341"/>
        <v>0.65</v>
      </c>
      <c r="AG3621" s="241"/>
      <c r="DG3621" s="573"/>
      <c r="DH3621" s="159"/>
      <c r="DI3621" s="1091"/>
      <c r="DJ3621" s="1187"/>
    </row>
    <row r="3622" spans="1:114" ht="15" hidden="1" customHeight="1" outlineLevel="1">
      <c r="A3622" s="453"/>
      <c r="C3622" s="51"/>
      <c r="D3622" s="4303"/>
      <c r="E3622" s="4295"/>
      <c r="F3622" s="4347" t="str">
        <f>$E$1836</f>
        <v>ASHP-SEER20-Replace_CAC_NonElectricHeat_ER1_MF</v>
      </c>
      <c r="G3622" s="4347"/>
      <c r="H3622" s="4347"/>
      <c r="I3622" s="4347"/>
      <c r="J3622" s="3471" t="str">
        <f>$C$1836</f>
        <v>354660_2024_12_</v>
      </c>
      <c r="K3622" s="3376">
        <v>0.65</v>
      </c>
      <c r="L3622" s="262"/>
      <c r="M3622" s="1378"/>
      <c r="P3622" s="261"/>
      <c r="Q3622" s="209"/>
      <c r="R3622" s="261"/>
      <c r="S3622" s="52"/>
      <c r="T3622" s="181"/>
      <c r="U3622" s="52"/>
      <c r="V3622" s="4295"/>
      <c r="W3622" s="241"/>
      <c r="X3622" s="241"/>
      <c r="Y3622" s="3379"/>
      <c r="Z3622" s="3380"/>
      <c r="AA3622" s="3380"/>
      <c r="AB3622" s="3380"/>
      <c r="AC3622" s="3379">
        <f t="shared" si="344"/>
        <v>0.65</v>
      </c>
      <c r="AD3622" s="3380">
        <v>0.65</v>
      </c>
      <c r="AE3622" s="3380">
        <v>0.65</v>
      </c>
      <c r="AF3622" s="2236">
        <f t="shared" si="341"/>
        <v>0.65</v>
      </c>
      <c r="AG3622" s="241"/>
      <c r="DG3622" s="573"/>
      <c r="DH3622" s="159"/>
      <c r="DI3622" s="1091"/>
      <c r="DJ3622" s="1187"/>
    </row>
    <row r="3623" spans="1:114" ht="15" hidden="1" customHeight="1" outlineLevel="1">
      <c r="A3623" s="453"/>
      <c r="C3623" s="51"/>
      <c r="D3623" s="4303"/>
      <c r="E3623" s="4295"/>
      <c r="F3623" s="4347" t="str">
        <f>$E$1838</f>
        <v>ASHP-SEER20-Replace_CAC_NonElectricHeat_ER2_MF</v>
      </c>
      <c r="G3623" s="4347"/>
      <c r="H3623" s="4347"/>
      <c r="I3623" s="4347"/>
      <c r="J3623" s="3471" t="str">
        <f>$C$1838</f>
        <v>354660_2024_12_</v>
      </c>
      <c r="K3623" s="3376">
        <v>0.65</v>
      </c>
      <c r="L3623" s="262"/>
      <c r="M3623" s="1378"/>
      <c r="P3623" s="261"/>
      <c r="Q3623" s="209"/>
      <c r="R3623" s="261"/>
      <c r="S3623" s="52"/>
      <c r="T3623" s="181"/>
      <c r="U3623" s="52"/>
      <c r="V3623" s="4295"/>
      <c r="W3623" s="241"/>
      <c r="X3623" s="241"/>
      <c r="Y3623" s="3379"/>
      <c r="Z3623" s="3380"/>
      <c r="AA3623" s="3380"/>
      <c r="AB3623" s="3380"/>
      <c r="AC3623" s="3379">
        <f t="shared" si="344"/>
        <v>0.65</v>
      </c>
      <c r="AD3623" s="3380">
        <v>0.65</v>
      </c>
      <c r="AE3623" s="3380">
        <v>0.65</v>
      </c>
      <c r="AF3623" s="2236">
        <f t="shared" si="341"/>
        <v>0.65</v>
      </c>
      <c r="AG3623" s="241"/>
      <c r="DG3623" s="573"/>
      <c r="DH3623" s="159"/>
      <c r="DI3623" s="1091"/>
      <c r="DJ3623" s="1187"/>
    </row>
    <row r="3624" spans="1:114" ht="15" hidden="1" customHeight="1" outlineLevel="1">
      <c r="A3624" s="453"/>
      <c r="C3624" s="51"/>
      <c r="D3624" s="4303"/>
      <c r="E3624" s="4295"/>
      <c r="F3624" s="4347" t="str">
        <f>$E$1840</f>
        <v>ASHP-SEER20-Replace_CAC_NonElectricHeat_ER1_MF_CompE</v>
      </c>
      <c r="G3624" s="4347"/>
      <c r="H3624" s="4347"/>
      <c r="I3624" s="4347"/>
      <c r="J3624" s="3471" t="str">
        <f>$C$1840</f>
        <v>354661_2024_12_</v>
      </c>
      <c r="K3624" s="3376">
        <v>0.65</v>
      </c>
      <c r="L3624" s="262"/>
      <c r="M3624" s="1378"/>
      <c r="P3624" s="261"/>
      <c r="Q3624" s="209"/>
      <c r="R3624" s="261"/>
      <c r="S3624" s="52"/>
      <c r="T3624" s="181"/>
      <c r="U3624" s="52"/>
      <c r="V3624" s="4295"/>
      <c r="W3624" s="241"/>
      <c r="X3624" s="241"/>
      <c r="Y3624" s="3379"/>
      <c r="Z3624" s="3380"/>
      <c r="AA3624" s="3380"/>
      <c r="AB3624" s="3380"/>
      <c r="AC3624" s="3379">
        <f t="shared" si="344"/>
        <v>0.65</v>
      </c>
      <c r="AD3624" s="3380">
        <v>0.65</v>
      </c>
      <c r="AE3624" s="3380">
        <v>0.65</v>
      </c>
      <c r="AF3624" s="2236">
        <f t="shared" si="341"/>
        <v>0.65</v>
      </c>
      <c r="AG3624" s="241"/>
      <c r="DG3624" s="573"/>
      <c r="DH3624" s="159"/>
      <c r="DI3624" s="1091"/>
      <c r="DJ3624" s="1187"/>
    </row>
    <row r="3625" spans="1:114" ht="15" hidden="1" customHeight="1" outlineLevel="1">
      <c r="A3625" s="453"/>
      <c r="C3625" s="51"/>
      <c r="D3625" s="4303"/>
      <c r="E3625" s="4295"/>
      <c r="F3625" s="4347" t="str">
        <f>$E$1842</f>
        <v>ASHP-SEER20-Replace_CAC_NonElectricHeat_ER2_MF_CompE</v>
      </c>
      <c r="G3625" s="4347"/>
      <c r="H3625" s="4347"/>
      <c r="I3625" s="4347"/>
      <c r="J3625" s="3471" t="str">
        <f>$C$1842</f>
        <v>354661_2024_12_</v>
      </c>
      <c r="K3625" s="3376">
        <v>0.65</v>
      </c>
      <c r="L3625" s="262"/>
      <c r="M3625" s="1378"/>
      <c r="P3625" s="261"/>
      <c r="Q3625" s="209"/>
      <c r="R3625" s="261"/>
      <c r="S3625" s="52"/>
      <c r="T3625" s="181"/>
      <c r="U3625" s="52"/>
      <c r="V3625" s="4295"/>
      <c r="W3625" s="241"/>
      <c r="X3625" s="241"/>
      <c r="Y3625" s="3379"/>
      <c r="Z3625" s="3380"/>
      <c r="AA3625" s="3380"/>
      <c r="AB3625" s="3380"/>
      <c r="AC3625" s="3379">
        <f t="shared" si="344"/>
        <v>0.65</v>
      </c>
      <c r="AD3625" s="3380">
        <v>0.65</v>
      </c>
      <c r="AE3625" s="3380">
        <v>0.65</v>
      </c>
      <c r="AF3625" s="2236">
        <f t="shared" si="341"/>
        <v>0.65</v>
      </c>
      <c r="AG3625" s="241"/>
      <c r="DG3625" s="573"/>
      <c r="DH3625" s="159"/>
      <c r="DI3625" s="1091"/>
      <c r="DJ3625" s="1187"/>
    </row>
    <row r="3626" spans="1:114" ht="15" hidden="1" customHeight="1" outlineLevel="1">
      <c r="A3626" s="453"/>
      <c r="C3626" s="51"/>
      <c r="D3626" s="4303"/>
      <c r="E3626" s="4295"/>
      <c r="F3626" s="4307" t="str">
        <f>$E$1844</f>
        <v>ASHP-SEER20_ER1_MF</v>
      </c>
      <c r="G3626" s="4307"/>
      <c r="H3626" s="4307"/>
      <c r="I3626" s="4307"/>
      <c r="J3626" s="1029" t="str">
        <f>$C$1844</f>
        <v>354700_2024_12_</v>
      </c>
      <c r="K3626" s="1775">
        <v>0.65</v>
      </c>
      <c r="L3626" s="262"/>
      <c r="M3626" s="1378"/>
      <c r="P3626" s="261"/>
      <c r="Q3626" s="209"/>
      <c r="R3626" s="261"/>
      <c r="S3626" s="52"/>
      <c r="T3626" s="181"/>
      <c r="U3626" s="52"/>
      <c r="V3626" s="4295"/>
      <c r="W3626" s="241">
        <v>0.65</v>
      </c>
      <c r="X3626" s="241">
        <v>0.65</v>
      </c>
      <c r="Y3626" s="241">
        <v>0.65</v>
      </c>
      <c r="Z3626" s="241">
        <v>0.65</v>
      </c>
      <c r="AA3626" s="241">
        <v>0.65</v>
      </c>
      <c r="AB3626" s="241">
        <v>0.65</v>
      </c>
      <c r="AC3626" s="241">
        <v>0.65</v>
      </c>
      <c r="AD3626" s="241">
        <v>0.65</v>
      </c>
      <c r="AE3626" s="241">
        <v>0.65</v>
      </c>
      <c r="AF3626" s="271">
        <f t="shared" si="341"/>
        <v>0.65</v>
      </c>
      <c r="AG3626" s="241"/>
      <c r="DG3626" s="573"/>
      <c r="DH3626" s="159"/>
      <c r="DI3626" s="1091"/>
      <c r="DJ3626" s="1187"/>
    </row>
    <row r="3627" spans="1:114" ht="15" hidden="1" customHeight="1" outlineLevel="1">
      <c r="A3627" s="453"/>
      <c r="C3627" s="51"/>
      <c r="D3627" s="4303"/>
      <c r="E3627" s="4295"/>
      <c r="F3627" s="4307" t="str">
        <f>$E$1846</f>
        <v>ASHP-SEER20_ER2_MF</v>
      </c>
      <c r="G3627" s="4307"/>
      <c r="H3627" s="4307"/>
      <c r="I3627" s="4307"/>
      <c r="J3627" s="1029" t="str">
        <f>$C$1846</f>
        <v>354700_2024_12_</v>
      </c>
      <c r="K3627" s="1775">
        <v>0.65</v>
      </c>
      <c r="L3627" s="262"/>
      <c r="M3627" s="1378"/>
      <c r="P3627" s="261"/>
      <c r="Q3627" s="209"/>
      <c r="R3627" s="261"/>
      <c r="S3627" s="52"/>
      <c r="T3627" s="181"/>
      <c r="U3627" s="52"/>
      <c r="V3627" s="4295"/>
      <c r="W3627" s="241">
        <v>0.65</v>
      </c>
      <c r="X3627" s="241">
        <v>0.65</v>
      </c>
      <c r="Y3627" s="241">
        <v>0.65</v>
      </c>
      <c r="Z3627" s="241">
        <v>0.65</v>
      </c>
      <c r="AA3627" s="241">
        <v>0.65</v>
      </c>
      <c r="AB3627" s="241">
        <v>0.65</v>
      </c>
      <c r="AC3627" s="241">
        <v>0.65</v>
      </c>
      <c r="AD3627" s="241">
        <v>0.65</v>
      </c>
      <c r="AE3627" s="241">
        <v>0.65</v>
      </c>
      <c r="AF3627" s="271">
        <f t="shared" si="341"/>
        <v>0.65</v>
      </c>
      <c r="AG3627" s="241"/>
      <c r="DG3627" s="573"/>
      <c r="DH3627" s="159"/>
      <c r="DI3627" s="1091"/>
      <c r="DJ3627" s="1187"/>
    </row>
    <row r="3628" spans="1:114" ht="15" hidden="1" customHeight="1" outlineLevel="1">
      <c r="A3628" s="453"/>
      <c r="C3628" s="51"/>
      <c r="D3628" s="4303"/>
      <c r="E3628" s="4295"/>
      <c r="F3628" s="4347" t="str">
        <f>$E$1848</f>
        <v>ASHP-SEER20_ER1_MF_CompE</v>
      </c>
      <c r="G3628" s="4347"/>
      <c r="H3628" s="4347"/>
      <c r="I3628" s="4347"/>
      <c r="J3628" s="3471" t="str">
        <f>$C$1848</f>
        <v>354701_2024_12_</v>
      </c>
      <c r="K3628" s="3376">
        <v>0.65</v>
      </c>
      <c r="L3628" s="262"/>
      <c r="M3628" s="1378"/>
      <c r="P3628" s="261"/>
      <c r="Q3628" s="209"/>
      <c r="R3628" s="261"/>
      <c r="S3628" s="52"/>
      <c r="T3628" s="181"/>
      <c r="U3628" s="52"/>
      <c r="V3628" s="4295"/>
      <c r="W3628" s="241"/>
      <c r="X3628" s="241"/>
      <c r="Y3628" s="3379">
        <v>0.65</v>
      </c>
      <c r="Z3628" s="3380">
        <v>0.65</v>
      </c>
      <c r="AA3628" s="3380">
        <v>0.65</v>
      </c>
      <c r="AB3628" s="3380">
        <v>0.65</v>
      </c>
      <c r="AC3628" s="3380">
        <f>AC3626</f>
        <v>0.65</v>
      </c>
      <c r="AD3628" s="3380">
        <v>0.65</v>
      </c>
      <c r="AE3628" s="3380">
        <v>0.65</v>
      </c>
      <c r="AF3628" s="2236">
        <f t="shared" si="341"/>
        <v>0.65</v>
      </c>
      <c r="AG3628" s="241"/>
      <c r="DG3628" s="573"/>
      <c r="DH3628" s="159"/>
      <c r="DI3628" s="1091"/>
      <c r="DJ3628" s="1187"/>
    </row>
    <row r="3629" spans="1:114" ht="15" hidden="1" customHeight="1" outlineLevel="1">
      <c r="A3629" s="453"/>
      <c r="C3629" s="51"/>
      <c r="D3629" s="4303"/>
      <c r="E3629" s="4295"/>
      <c r="F3629" s="4347" t="str">
        <f>$E$1850</f>
        <v>ASHP-SEER20_ER2_MF_CompE</v>
      </c>
      <c r="G3629" s="4347"/>
      <c r="H3629" s="4347"/>
      <c r="I3629" s="4347"/>
      <c r="J3629" s="3471" t="str">
        <f>$C$1850</f>
        <v>354701_2024_12_</v>
      </c>
      <c r="K3629" s="3376">
        <v>0.65</v>
      </c>
      <c r="L3629" s="262"/>
      <c r="M3629" s="1378"/>
      <c r="P3629" s="261"/>
      <c r="Q3629" s="209"/>
      <c r="R3629" s="261"/>
      <c r="S3629" s="52"/>
      <c r="T3629" s="181"/>
      <c r="U3629" s="52"/>
      <c r="V3629" s="4295"/>
      <c r="W3629" s="241"/>
      <c r="X3629" s="241"/>
      <c r="Y3629" s="3379">
        <v>0.65</v>
      </c>
      <c r="Z3629" s="3380">
        <v>0.65</v>
      </c>
      <c r="AA3629" s="3380">
        <v>0.65</v>
      </c>
      <c r="AB3629" s="3380">
        <v>0.65</v>
      </c>
      <c r="AC3629" s="3380">
        <f>AC3627</f>
        <v>0.65</v>
      </c>
      <c r="AD3629" s="3380">
        <v>0.65</v>
      </c>
      <c r="AE3629" s="3380">
        <v>0.65</v>
      </c>
      <c r="AF3629" s="2236">
        <f t="shared" si="341"/>
        <v>0.65</v>
      </c>
      <c r="AG3629" s="241"/>
      <c r="DG3629" s="573"/>
      <c r="DH3629" s="159"/>
      <c r="DI3629" s="1091"/>
      <c r="DJ3629" s="1187"/>
    </row>
    <row r="3630" spans="1:114" ht="15" hidden="1" customHeight="1" outlineLevel="1">
      <c r="A3630" s="453"/>
      <c r="C3630" s="51"/>
      <c r="D3630" s="4303"/>
      <c r="E3630" s="4295"/>
      <c r="F3630" s="4307" t="str">
        <f>$E$1852</f>
        <v>ASHP-SEER21_ER1_SF</v>
      </c>
      <c r="G3630" s="4307"/>
      <c r="H3630" s="4307"/>
      <c r="I3630" s="4307"/>
      <c r="J3630" s="1029" t="str">
        <f>$C$1852</f>
        <v>354750_2024_12_</v>
      </c>
      <c r="K3630" s="1775">
        <v>1</v>
      </c>
      <c r="L3630" s="262"/>
      <c r="M3630" s="1378"/>
      <c r="P3630" s="261"/>
      <c r="Q3630" s="209"/>
      <c r="R3630" s="261"/>
      <c r="S3630" s="52"/>
      <c r="T3630" s="181"/>
      <c r="U3630" s="52"/>
      <c r="V3630" s="4295"/>
      <c r="W3630" s="241">
        <v>1</v>
      </c>
      <c r="X3630" s="241">
        <v>1</v>
      </c>
      <c r="Y3630" s="241">
        <v>1</v>
      </c>
      <c r="Z3630" s="241">
        <v>1</v>
      </c>
      <c r="AA3630" s="241">
        <v>1</v>
      </c>
      <c r="AB3630" s="241">
        <v>1</v>
      </c>
      <c r="AC3630" s="241">
        <v>1</v>
      </c>
      <c r="AD3630" s="241">
        <v>1</v>
      </c>
      <c r="AE3630" s="241">
        <v>1</v>
      </c>
      <c r="AF3630" s="271">
        <f t="shared" si="341"/>
        <v>1</v>
      </c>
      <c r="AG3630" s="241"/>
      <c r="DG3630" s="573"/>
      <c r="DH3630" s="159"/>
      <c r="DI3630" s="1091"/>
      <c r="DJ3630" s="1187"/>
    </row>
    <row r="3631" spans="1:114" ht="15" hidden="1" customHeight="1" outlineLevel="1">
      <c r="A3631" s="453"/>
      <c r="C3631" s="51"/>
      <c r="D3631" s="4303"/>
      <c r="E3631" s="4295"/>
      <c r="F3631" s="4307" t="str">
        <f>$E$1854</f>
        <v>ASHP-SEER21_ER2_SF</v>
      </c>
      <c r="G3631" s="4307"/>
      <c r="H3631" s="4307"/>
      <c r="I3631" s="4307"/>
      <c r="J3631" s="1029" t="str">
        <f>$C$1854</f>
        <v>354750_2024_12_</v>
      </c>
      <c r="K3631" s="1775">
        <v>1</v>
      </c>
      <c r="L3631" s="262"/>
      <c r="M3631" s="1378"/>
      <c r="P3631" s="261"/>
      <c r="Q3631" s="209"/>
      <c r="R3631" s="261"/>
      <c r="S3631" s="52"/>
      <c r="T3631" s="181"/>
      <c r="U3631" s="52"/>
      <c r="V3631" s="4295"/>
      <c r="W3631" s="241">
        <v>1</v>
      </c>
      <c r="X3631" s="241">
        <v>1</v>
      </c>
      <c r="Y3631" s="241">
        <v>1</v>
      </c>
      <c r="Z3631" s="241">
        <v>1</v>
      </c>
      <c r="AA3631" s="241">
        <v>1</v>
      </c>
      <c r="AB3631" s="241">
        <v>1</v>
      </c>
      <c r="AC3631" s="241">
        <v>1</v>
      </c>
      <c r="AD3631" s="241">
        <v>1</v>
      </c>
      <c r="AE3631" s="241">
        <v>1</v>
      </c>
      <c r="AF3631" s="271">
        <f t="shared" si="341"/>
        <v>1</v>
      </c>
      <c r="AG3631" s="241"/>
      <c r="DG3631" s="573"/>
      <c r="DH3631" s="159"/>
      <c r="DI3631" s="1091"/>
      <c r="DJ3631" s="1187"/>
    </row>
    <row r="3632" spans="1:114" ht="15" hidden="1" customHeight="1" outlineLevel="1">
      <c r="A3632" s="453"/>
      <c r="C3632" s="51"/>
      <c r="D3632" s="4303"/>
      <c r="E3632" s="4295"/>
      <c r="F3632" s="4307" t="str">
        <f>$E$1856</f>
        <v>ASHP-SEER21_ROF_SF</v>
      </c>
      <c r="G3632" s="4307"/>
      <c r="H3632" s="4307"/>
      <c r="I3632" s="4307"/>
      <c r="J3632" s="1029" t="str">
        <f>$C$1856</f>
        <v>354800_2024_12_</v>
      </c>
      <c r="K3632" s="1775">
        <v>1</v>
      </c>
      <c r="L3632" s="262"/>
      <c r="M3632" s="1378"/>
      <c r="P3632" s="261"/>
      <c r="Q3632" s="209"/>
      <c r="R3632" s="261"/>
      <c r="S3632" s="52"/>
      <c r="T3632" s="181"/>
      <c r="U3632" s="52"/>
      <c r="V3632" s="4295"/>
      <c r="W3632" s="241">
        <v>1</v>
      </c>
      <c r="X3632" s="241">
        <v>1</v>
      </c>
      <c r="Y3632" s="241">
        <v>1</v>
      </c>
      <c r="Z3632" s="241">
        <v>1</v>
      </c>
      <c r="AA3632" s="241">
        <v>1</v>
      </c>
      <c r="AB3632" s="241">
        <v>1</v>
      </c>
      <c r="AC3632" s="241">
        <v>1</v>
      </c>
      <c r="AD3632" s="241">
        <v>1</v>
      </c>
      <c r="AE3632" s="241">
        <v>1</v>
      </c>
      <c r="AF3632" s="271">
        <f t="shared" si="341"/>
        <v>1</v>
      </c>
      <c r="AG3632" s="241"/>
      <c r="DG3632" s="573"/>
      <c r="DH3632" s="159"/>
      <c r="DI3632" s="1091"/>
      <c r="DJ3632" s="1187"/>
    </row>
    <row r="3633" spans="1:114" ht="15" hidden="1" customHeight="1" outlineLevel="1">
      <c r="A3633" s="453"/>
      <c r="C3633" s="51"/>
      <c r="D3633" s="4303"/>
      <c r="E3633" s="4295"/>
      <c r="F3633" s="4307" t="str">
        <f>$E$1858</f>
        <v>ASHP-SEER21-Replace_CAC_ElectricHeat_ROF_MF</v>
      </c>
      <c r="G3633" s="4307"/>
      <c r="H3633" s="4307"/>
      <c r="I3633" s="4307"/>
      <c r="J3633" s="1029" t="str">
        <f>$C$1858</f>
        <v>354850_2024_12_</v>
      </c>
      <c r="K3633" s="1775">
        <v>0.65</v>
      </c>
      <c r="L3633" s="262"/>
      <c r="M3633" s="1378"/>
      <c r="P3633" s="261"/>
      <c r="Q3633" s="209"/>
      <c r="R3633" s="261"/>
      <c r="S3633" s="52"/>
      <c r="T3633" s="181"/>
      <c r="U3633" s="52"/>
      <c r="V3633" s="4295"/>
      <c r="W3633" s="241">
        <v>0.65</v>
      </c>
      <c r="X3633" s="241">
        <v>0.65</v>
      </c>
      <c r="Y3633" s="241">
        <v>0.65</v>
      </c>
      <c r="Z3633" s="241">
        <v>0.65</v>
      </c>
      <c r="AA3633" s="241">
        <v>0.65</v>
      </c>
      <c r="AB3633" s="241">
        <v>0.65</v>
      </c>
      <c r="AC3633" s="241">
        <v>0.65</v>
      </c>
      <c r="AD3633" s="241">
        <v>0.65</v>
      </c>
      <c r="AE3633" s="241">
        <v>0.65</v>
      </c>
      <c r="AF3633" s="271">
        <f t="shared" si="341"/>
        <v>0.65</v>
      </c>
      <c r="AG3633" s="241"/>
      <c r="DG3633" s="573"/>
      <c r="DH3633" s="159"/>
      <c r="DI3633" s="1091"/>
      <c r="DJ3633" s="1187"/>
    </row>
    <row r="3634" spans="1:114" ht="15" hidden="1" customHeight="1" outlineLevel="1">
      <c r="A3634" s="453"/>
      <c r="C3634" s="51"/>
      <c r="D3634" s="4303"/>
      <c r="E3634" s="4295"/>
      <c r="F3634" s="4347" t="str">
        <f>$E$1860</f>
        <v>ASHP-SEER21-Replace_CAC_ElectricHeat_ROF_MF_CompE</v>
      </c>
      <c r="G3634" s="4347"/>
      <c r="H3634" s="4347"/>
      <c r="I3634" s="4347"/>
      <c r="J3634" s="3471" t="str">
        <f>$C$1860</f>
        <v>354851_2024_12_</v>
      </c>
      <c r="K3634" s="3376">
        <v>0.65</v>
      </c>
      <c r="L3634" s="262"/>
      <c r="M3634" s="1378"/>
      <c r="P3634" s="261"/>
      <c r="Q3634" s="209"/>
      <c r="R3634" s="261"/>
      <c r="S3634" s="52"/>
      <c r="T3634" s="181"/>
      <c r="U3634" s="52"/>
      <c r="V3634" s="4295"/>
      <c r="W3634" s="241"/>
      <c r="X3634" s="241"/>
      <c r="Y3634" s="3379">
        <v>0.65</v>
      </c>
      <c r="Z3634" s="3380">
        <v>0.65</v>
      </c>
      <c r="AA3634" s="3380">
        <v>0.65</v>
      </c>
      <c r="AB3634" s="3380">
        <v>0.65</v>
      </c>
      <c r="AC3634" s="3380">
        <f>AC3633</f>
        <v>0.65</v>
      </c>
      <c r="AD3634" s="3380">
        <v>0.65</v>
      </c>
      <c r="AE3634" s="3380">
        <v>0.65</v>
      </c>
      <c r="AF3634" s="2236">
        <f t="shared" si="341"/>
        <v>0.65</v>
      </c>
      <c r="AG3634" s="241"/>
      <c r="DG3634" s="573"/>
      <c r="DH3634" s="159"/>
      <c r="DI3634" s="1091"/>
      <c r="DJ3634" s="1187"/>
    </row>
    <row r="3635" spans="1:114" ht="15" hidden="1" customHeight="1" outlineLevel="1">
      <c r="A3635" s="453"/>
      <c r="C3635" s="51"/>
      <c r="D3635" s="4303"/>
      <c r="E3635" s="4295"/>
      <c r="F3635" s="4347" t="str">
        <f>$E$1862</f>
        <v>ASHP-SEER21-Replace_CAC_NonElectricHeat_ROF_MF</v>
      </c>
      <c r="G3635" s="4347"/>
      <c r="H3635" s="4347"/>
      <c r="I3635" s="4347"/>
      <c r="J3635" s="3471" t="str">
        <f>$C$1862</f>
        <v>354860_2024_12_</v>
      </c>
      <c r="K3635" s="3376">
        <v>0.65</v>
      </c>
      <c r="L3635" s="262"/>
      <c r="M3635" s="1378"/>
      <c r="P3635" s="261"/>
      <c r="Q3635" s="209"/>
      <c r="R3635" s="261"/>
      <c r="S3635" s="52"/>
      <c r="T3635" s="181"/>
      <c r="U3635" s="52"/>
      <c r="V3635" s="4295"/>
      <c r="W3635" s="241"/>
      <c r="X3635" s="241"/>
      <c r="Y3635" s="3379"/>
      <c r="Z3635" s="3380"/>
      <c r="AA3635" s="3380"/>
      <c r="AB3635" s="3380"/>
      <c r="AC3635" s="3379">
        <f>AC3633</f>
        <v>0.65</v>
      </c>
      <c r="AD3635" s="3380">
        <v>0.65</v>
      </c>
      <c r="AE3635" s="3380">
        <v>0.65</v>
      </c>
      <c r="AF3635" s="2236">
        <f t="shared" si="341"/>
        <v>0.65</v>
      </c>
      <c r="AG3635" s="241"/>
      <c r="DG3635" s="573"/>
      <c r="DH3635" s="159"/>
      <c r="DI3635" s="1091"/>
      <c r="DJ3635" s="1187"/>
    </row>
    <row r="3636" spans="1:114" ht="15" hidden="1" customHeight="1" outlineLevel="1">
      <c r="A3636" s="453"/>
      <c r="C3636" s="51"/>
      <c r="D3636" s="4303"/>
      <c r="E3636" s="4295"/>
      <c r="F3636" s="4347" t="str">
        <f>$E$1864</f>
        <v>ASHP-SEER21-Replace_CAC_NonElectricHeat_ROF_MF_CompE</v>
      </c>
      <c r="G3636" s="4347"/>
      <c r="H3636" s="4347"/>
      <c r="I3636" s="4347"/>
      <c r="J3636" s="3471" t="str">
        <f>$C$1864</f>
        <v>354861_2024_12_</v>
      </c>
      <c r="K3636" s="3376">
        <v>0.65</v>
      </c>
      <c r="L3636" s="262"/>
      <c r="M3636" s="1378"/>
      <c r="P3636" s="261"/>
      <c r="Q3636" s="209"/>
      <c r="R3636" s="261"/>
      <c r="S3636" s="52"/>
      <c r="T3636" s="181"/>
      <c r="U3636" s="52"/>
      <c r="V3636" s="4295"/>
      <c r="W3636" s="241"/>
      <c r="X3636" s="241"/>
      <c r="Y3636" s="3379"/>
      <c r="Z3636" s="3380"/>
      <c r="AA3636" s="3380"/>
      <c r="AB3636" s="3380"/>
      <c r="AC3636" s="3379">
        <f>AC3634</f>
        <v>0.65</v>
      </c>
      <c r="AD3636" s="3380">
        <v>0.65</v>
      </c>
      <c r="AE3636" s="3380">
        <v>0.65</v>
      </c>
      <c r="AF3636" s="2236">
        <f t="shared" si="341"/>
        <v>0.65</v>
      </c>
      <c r="AG3636" s="241"/>
      <c r="DG3636" s="573"/>
      <c r="DH3636" s="159"/>
      <c r="DI3636" s="1091"/>
      <c r="DJ3636" s="1187"/>
    </row>
    <row r="3637" spans="1:114" ht="15" hidden="1" customHeight="1" outlineLevel="1">
      <c r="A3637" s="453"/>
      <c r="C3637" s="51"/>
      <c r="D3637" s="4303"/>
      <c r="E3637" s="4295"/>
      <c r="F3637" s="4307" t="str">
        <f>$E$1866</f>
        <v>ASHP-SEER21_ER1_MF</v>
      </c>
      <c r="G3637" s="4307"/>
      <c r="H3637" s="4307"/>
      <c r="I3637" s="4307"/>
      <c r="J3637" s="1029" t="str">
        <f>$C$1866</f>
        <v>354900_2024_12_</v>
      </c>
      <c r="K3637" s="1775">
        <v>0.65</v>
      </c>
      <c r="L3637" s="262"/>
      <c r="M3637" s="1378"/>
      <c r="P3637" s="261"/>
      <c r="Q3637" s="209"/>
      <c r="R3637" s="261"/>
      <c r="S3637" s="52"/>
      <c r="T3637" s="181"/>
      <c r="U3637" s="52"/>
      <c r="V3637" s="4295"/>
      <c r="W3637" s="241">
        <v>0.65</v>
      </c>
      <c r="X3637" s="241">
        <v>0.65</v>
      </c>
      <c r="Y3637" s="241">
        <v>0.65</v>
      </c>
      <c r="Z3637" s="241">
        <v>0.65</v>
      </c>
      <c r="AA3637" s="241">
        <v>0.65</v>
      </c>
      <c r="AB3637" s="241">
        <v>0.65</v>
      </c>
      <c r="AC3637" s="241">
        <v>0.65</v>
      </c>
      <c r="AD3637" s="241">
        <v>0.65</v>
      </c>
      <c r="AE3637" s="241">
        <v>0.65</v>
      </c>
      <c r="AF3637" s="271">
        <f t="shared" si="341"/>
        <v>0.65</v>
      </c>
      <c r="AG3637" s="241"/>
      <c r="DG3637" s="573"/>
      <c r="DH3637" s="159"/>
      <c r="DI3637" s="1091"/>
      <c r="DJ3637" s="1187"/>
    </row>
    <row r="3638" spans="1:114" ht="15" hidden="1" customHeight="1" outlineLevel="1">
      <c r="A3638" s="453"/>
      <c r="C3638" s="51"/>
      <c r="D3638" s="4303"/>
      <c r="E3638" s="4295"/>
      <c r="F3638" s="4307" t="str">
        <f>$E$1868</f>
        <v>ASHP-SEER21_ER2_MF</v>
      </c>
      <c r="G3638" s="4307"/>
      <c r="H3638" s="4307"/>
      <c r="I3638" s="4307"/>
      <c r="J3638" s="1029" t="str">
        <f>$C$1868</f>
        <v>354900_2024_12_</v>
      </c>
      <c r="K3638" s="1775">
        <v>0.65</v>
      </c>
      <c r="L3638" s="262"/>
      <c r="M3638" s="1378"/>
      <c r="P3638" s="261"/>
      <c r="Q3638" s="209"/>
      <c r="R3638" s="261"/>
      <c r="S3638" s="52"/>
      <c r="T3638" s="181"/>
      <c r="U3638" s="52"/>
      <c r="V3638" s="4295"/>
      <c r="W3638" s="241">
        <v>0.65</v>
      </c>
      <c r="X3638" s="241">
        <v>0.65</v>
      </c>
      <c r="Y3638" s="241">
        <v>0.65</v>
      </c>
      <c r="Z3638" s="241">
        <v>0.65</v>
      </c>
      <c r="AA3638" s="241">
        <v>0.65</v>
      </c>
      <c r="AB3638" s="241">
        <v>0.65</v>
      </c>
      <c r="AC3638" s="241">
        <v>0.65</v>
      </c>
      <c r="AD3638" s="241">
        <v>0.65</v>
      </c>
      <c r="AE3638" s="241">
        <v>0.65</v>
      </c>
      <c r="AF3638" s="271">
        <f t="shared" si="341"/>
        <v>0.65</v>
      </c>
      <c r="AG3638" s="241"/>
      <c r="DG3638" s="573"/>
      <c r="DH3638" s="159"/>
      <c r="DI3638" s="1091"/>
      <c r="DJ3638" s="1187"/>
    </row>
    <row r="3639" spans="1:114" ht="15" hidden="1" customHeight="1" outlineLevel="1">
      <c r="A3639" s="453"/>
      <c r="C3639" s="51"/>
      <c r="D3639" s="4303"/>
      <c r="E3639" s="4295"/>
      <c r="F3639" s="4347" t="str">
        <f>$E$1870</f>
        <v>ASHP-SEER21_ER1_MF_CompE</v>
      </c>
      <c r="G3639" s="4347"/>
      <c r="H3639" s="4347"/>
      <c r="I3639" s="4347"/>
      <c r="J3639" s="3471" t="str">
        <f>$C$1870</f>
        <v>354901_2024_12_</v>
      </c>
      <c r="K3639" s="3376">
        <v>0.65</v>
      </c>
      <c r="L3639" s="262"/>
      <c r="M3639" s="1378"/>
      <c r="P3639" s="261"/>
      <c r="Q3639" s="209"/>
      <c r="R3639" s="261"/>
      <c r="S3639" s="52"/>
      <c r="T3639" s="181"/>
      <c r="U3639" s="52"/>
      <c r="V3639" s="4295"/>
      <c r="W3639" s="241"/>
      <c r="X3639" s="241"/>
      <c r="Y3639" s="3379">
        <v>0.65</v>
      </c>
      <c r="Z3639" s="3380">
        <v>0.65</v>
      </c>
      <c r="AA3639" s="3380">
        <v>0.65</v>
      </c>
      <c r="AB3639" s="3380">
        <v>0.65</v>
      </c>
      <c r="AC3639" s="3380">
        <f>AC3637</f>
        <v>0.65</v>
      </c>
      <c r="AD3639" s="3380">
        <v>0.65</v>
      </c>
      <c r="AE3639" s="3380">
        <v>0.65</v>
      </c>
      <c r="AF3639" s="2236">
        <f t="shared" si="341"/>
        <v>0.65</v>
      </c>
      <c r="AG3639" s="241"/>
      <c r="DG3639" s="573"/>
      <c r="DH3639" s="159"/>
      <c r="DI3639" s="1091"/>
      <c r="DJ3639" s="1187"/>
    </row>
    <row r="3640" spans="1:114" ht="15" hidden="1" customHeight="1" outlineLevel="1">
      <c r="A3640" s="453"/>
      <c r="C3640" s="51"/>
      <c r="D3640" s="4303"/>
      <c r="E3640" s="4295"/>
      <c r="F3640" s="4347" t="str">
        <f>$E$1872</f>
        <v>ASHP-SEER21_ER2_MF_CompE</v>
      </c>
      <c r="G3640" s="4347"/>
      <c r="H3640" s="4347"/>
      <c r="I3640" s="4347"/>
      <c r="J3640" s="3471" t="str">
        <f>$C$1872</f>
        <v>354901_2024_12_</v>
      </c>
      <c r="K3640" s="3376">
        <v>0.65</v>
      </c>
      <c r="L3640" s="262"/>
      <c r="M3640" s="1378"/>
      <c r="P3640" s="261"/>
      <c r="Q3640" s="209"/>
      <c r="R3640" s="261"/>
      <c r="S3640" s="52"/>
      <c r="T3640" s="181"/>
      <c r="U3640" s="52"/>
      <c r="V3640" s="4295"/>
      <c r="W3640" s="241"/>
      <c r="X3640" s="241"/>
      <c r="Y3640" s="3379">
        <v>0.65</v>
      </c>
      <c r="Z3640" s="3380">
        <v>0.65</v>
      </c>
      <c r="AA3640" s="3380">
        <v>0.65</v>
      </c>
      <c r="AB3640" s="3380">
        <v>0.65</v>
      </c>
      <c r="AC3640" s="3380">
        <f>AC3638</f>
        <v>0.65</v>
      </c>
      <c r="AD3640" s="3380">
        <v>0.65</v>
      </c>
      <c r="AE3640" s="3380">
        <v>0.65</v>
      </c>
      <c r="AF3640" s="2236">
        <f t="shared" si="341"/>
        <v>0.65</v>
      </c>
      <c r="AG3640" s="241"/>
      <c r="DG3640" s="573"/>
      <c r="DH3640" s="159"/>
      <c r="DI3640" s="1091"/>
      <c r="DJ3640" s="1187"/>
    </row>
    <row r="3641" spans="1:114" ht="15" hidden="1" customHeight="1" outlineLevel="1">
      <c r="A3641" s="453"/>
      <c r="C3641" s="51"/>
      <c r="D3641" s="4303"/>
      <c r="E3641" s="4295"/>
      <c r="F3641" s="4307" t="str">
        <f>$E$1874</f>
        <v>ASHP-SEER17_ROF_MF</v>
      </c>
      <c r="G3641" s="4307"/>
      <c r="H3641" s="4307"/>
      <c r="I3641" s="4307"/>
      <c r="J3641" s="1029" t="str">
        <f>$C$1874</f>
        <v>354950_2024_12_</v>
      </c>
      <c r="K3641" s="1775">
        <v>0.65</v>
      </c>
      <c r="L3641" s="262"/>
      <c r="M3641" s="1442"/>
      <c r="P3641" s="261"/>
      <c r="Q3641" s="209"/>
      <c r="R3641" s="261"/>
      <c r="S3641" s="52"/>
      <c r="T3641" s="181"/>
      <c r="U3641" s="52"/>
      <c r="V3641" s="4295"/>
      <c r="W3641" s="241">
        <v>0.65</v>
      </c>
      <c r="X3641" s="241">
        <v>0.65</v>
      </c>
      <c r="Y3641" s="241">
        <v>0.65</v>
      </c>
      <c r="Z3641" s="241">
        <v>0.65</v>
      </c>
      <c r="AA3641" s="241">
        <v>0.65</v>
      </c>
      <c r="AB3641" s="241">
        <v>0.65</v>
      </c>
      <c r="AC3641" s="241">
        <v>0.65</v>
      </c>
      <c r="AD3641" s="241">
        <v>0.65</v>
      </c>
      <c r="AE3641" s="241">
        <v>0.65</v>
      </c>
      <c r="AF3641" s="271">
        <f t="shared" si="341"/>
        <v>0.65</v>
      </c>
      <c r="AG3641" s="241"/>
      <c r="DG3641" s="573"/>
      <c r="DH3641" s="159"/>
      <c r="DI3641" s="1091"/>
      <c r="DJ3641" s="1187"/>
    </row>
    <row r="3642" spans="1:114" ht="15" hidden="1" customHeight="1" outlineLevel="1">
      <c r="A3642" s="453"/>
      <c r="C3642" s="51"/>
      <c r="D3642" s="4303"/>
      <c r="E3642" s="4295"/>
      <c r="F3642" s="4347" t="str">
        <f>$E$1876</f>
        <v>ASHP-SEER17_ROF_MF_CompE</v>
      </c>
      <c r="G3642" s="4347"/>
      <c r="H3642" s="4347"/>
      <c r="I3642" s="4347"/>
      <c r="J3642" s="3471" t="str">
        <f>$C$1876</f>
        <v>354951_2024_12_</v>
      </c>
      <c r="K3642" s="3376">
        <v>0.65</v>
      </c>
      <c r="L3642" s="262"/>
      <c r="M3642" s="1442"/>
      <c r="P3642" s="261"/>
      <c r="Q3642" s="209"/>
      <c r="R3642" s="261"/>
      <c r="S3642" s="52"/>
      <c r="T3642" s="181"/>
      <c r="U3642" s="52"/>
      <c r="V3642" s="4295"/>
      <c r="W3642" s="241"/>
      <c r="X3642" s="241"/>
      <c r="Y3642" s="3379">
        <v>0.65</v>
      </c>
      <c r="Z3642" s="3380">
        <v>0.65</v>
      </c>
      <c r="AA3642" s="3380">
        <v>0.65</v>
      </c>
      <c r="AB3642" s="3380">
        <v>0.65</v>
      </c>
      <c r="AC3642" s="3380">
        <f>AC3641</f>
        <v>0.65</v>
      </c>
      <c r="AD3642" s="3380">
        <v>0.65</v>
      </c>
      <c r="AE3642" s="3380">
        <v>0.65</v>
      </c>
      <c r="AF3642" s="2236">
        <f t="shared" ref="AF3642:AF3705" si="345">IF(K3642&lt;&gt;"",K3642,"")</f>
        <v>0.65</v>
      </c>
      <c r="AG3642" s="241"/>
      <c r="DG3642" s="573"/>
      <c r="DH3642" s="159"/>
      <c r="DI3642" s="1091"/>
      <c r="DJ3642" s="1187"/>
    </row>
    <row r="3643" spans="1:114" ht="15" hidden="1" customHeight="1" outlineLevel="1">
      <c r="A3643" s="453"/>
      <c r="C3643" s="51"/>
      <c r="D3643" s="4303"/>
      <c r="E3643" s="4295"/>
      <c r="F3643" s="4307" t="str">
        <f>$E$1878</f>
        <v>ASHP-SEER18_ROF_MF</v>
      </c>
      <c r="G3643" s="4307"/>
      <c r="H3643" s="4307"/>
      <c r="I3643" s="4307"/>
      <c r="J3643" s="1029" t="str">
        <f>$C$1878</f>
        <v>355000_2024_12_</v>
      </c>
      <c r="K3643" s="1775">
        <v>0.65</v>
      </c>
      <c r="L3643" s="262"/>
      <c r="M3643" s="1442"/>
      <c r="P3643" s="261"/>
      <c r="Q3643" s="209"/>
      <c r="R3643" s="261"/>
      <c r="S3643" s="52"/>
      <c r="T3643" s="181"/>
      <c r="U3643" s="52"/>
      <c r="V3643" s="4295"/>
      <c r="W3643" s="241">
        <v>0.65</v>
      </c>
      <c r="X3643" s="241">
        <v>0.65</v>
      </c>
      <c r="Y3643" s="241">
        <v>0.65</v>
      </c>
      <c r="Z3643" s="241">
        <v>0.65</v>
      </c>
      <c r="AA3643" s="241">
        <v>0.65</v>
      </c>
      <c r="AB3643" s="241">
        <v>0.65</v>
      </c>
      <c r="AC3643" s="241">
        <v>0.65</v>
      </c>
      <c r="AD3643" s="241">
        <v>0.65</v>
      </c>
      <c r="AE3643" s="241">
        <v>0.65</v>
      </c>
      <c r="AF3643" s="271">
        <f t="shared" si="345"/>
        <v>0.65</v>
      </c>
      <c r="AG3643" s="241"/>
      <c r="DG3643" s="573"/>
      <c r="DH3643" s="159"/>
      <c r="DI3643" s="1091"/>
      <c r="DJ3643" s="1187"/>
    </row>
    <row r="3644" spans="1:114" ht="15" hidden="1" customHeight="1" outlineLevel="1">
      <c r="A3644" s="453"/>
      <c r="C3644" s="51"/>
      <c r="D3644" s="4303"/>
      <c r="E3644" s="4295"/>
      <c r="F3644" s="4347" t="str">
        <f>$E$1880</f>
        <v>ASHP-SEER18_ROF_MF_CompE</v>
      </c>
      <c r="G3644" s="4347"/>
      <c r="H3644" s="4347"/>
      <c r="I3644" s="4347"/>
      <c r="J3644" s="3471" t="str">
        <f>$C$1880</f>
        <v>355001_2024_12_</v>
      </c>
      <c r="K3644" s="3376">
        <v>0.65</v>
      </c>
      <c r="L3644" s="262"/>
      <c r="M3644" s="1442"/>
      <c r="P3644" s="261"/>
      <c r="Q3644" s="209"/>
      <c r="R3644" s="261"/>
      <c r="S3644" s="52"/>
      <c r="T3644" s="181"/>
      <c r="U3644" s="52"/>
      <c r="V3644" s="4295"/>
      <c r="W3644" s="241"/>
      <c r="X3644" s="241"/>
      <c r="Y3644" s="3379">
        <v>1</v>
      </c>
      <c r="Z3644" s="3380">
        <v>1</v>
      </c>
      <c r="AA3644" s="3380">
        <v>1</v>
      </c>
      <c r="AB3644" s="3380">
        <v>1</v>
      </c>
      <c r="AC3644" s="3380">
        <v>1</v>
      </c>
      <c r="AD3644" s="3380">
        <v>0.65</v>
      </c>
      <c r="AE3644" s="3380">
        <v>0.65</v>
      </c>
      <c r="AF3644" s="2236">
        <f t="shared" si="345"/>
        <v>0.65</v>
      </c>
      <c r="AG3644" s="241"/>
      <c r="DG3644" s="573"/>
      <c r="DH3644" s="159"/>
      <c r="DI3644" s="1091"/>
      <c r="DJ3644" s="1187"/>
    </row>
    <row r="3645" spans="1:114" ht="15" hidden="1" customHeight="1" outlineLevel="1">
      <c r="A3645" s="453"/>
      <c r="C3645" s="51"/>
      <c r="D3645" s="4303"/>
      <c r="E3645" s="4295"/>
      <c r="F3645" s="4307" t="str">
        <f>$E$1882</f>
        <v>ASHP-SEER19_ROF_MF</v>
      </c>
      <c r="G3645" s="4307"/>
      <c r="H3645" s="4307"/>
      <c r="I3645" s="4307"/>
      <c r="J3645" s="1029" t="str">
        <f>$C$1882</f>
        <v>355050_2024_12_</v>
      </c>
      <c r="K3645" s="1775">
        <v>0.65</v>
      </c>
      <c r="L3645" s="262"/>
      <c r="M3645" s="1442"/>
      <c r="P3645" s="261"/>
      <c r="Q3645" s="209"/>
      <c r="R3645" s="261"/>
      <c r="S3645" s="52"/>
      <c r="T3645" s="181"/>
      <c r="U3645" s="52"/>
      <c r="V3645" s="4295"/>
      <c r="W3645" s="241">
        <v>0.65</v>
      </c>
      <c r="X3645" s="241">
        <v>0.65</v>
      </c>
      <c r="Y3645" s="241">
        <v>0.65</v>
      </c>
      <c r="Z3645" s="241">
        <v>0.65</v>
      </c>
      <c r="AA3645" s="241">
        <v>0.65</v>
      </c>
      <c r="AB3645" s="241">
        <v>0.65</v>
      </c>
      <c r="AC3645" s="241">
        <v>0.65</v>
      </c>
      <c r="AD3645" s="241">
        <v>0.65</v>
      </c>
      <c r="AE3645" s="241">
        <v>0.65</v>
      </c>
      <c r="AF3645" s="271">
        <f t="shared" si="345"/>
        <v>0.65</v>
      </c>
      <c r="AG3645" s="241"/>
      <c r="DG3645" s="573"/>
      <c r="DH3645" s="159"/>
      <c r="DI3645" s="1091"/>
      <c r="DJ3645" s="1187"/>
    </row>
    <row r="3646" spans="1:114" ht="15" hidden="1" customHeight="1" outlineLevel="1">
      <c r="A3646" s="453"/>
      <c r="C3646" s="51"/>
      <c r="D3646" s="4303"/>
      <c r="E3646" s="4295"/>
      <c r="F3646" s="4347" t="str">
        <f>$E$1884</f>
        <v>ASHP-SEER19_ROF_MF_CompE</v>
      </c>
      <c r="G3646" s="4347"/>
      <c r="H3646" s="4347"/>
      <c r="I3646" s="4347"/>
      <c r="J3646" s="3471" t="str">
        <f>$C$1884</f>
        <v>355051_2024_12_</v>
      </c>
      <c r="K3646" s="3376">
        <v>0.65</v>
      </c>
      <c r="L3646" s="262"/>
      <c r="M3646" s="1442"/>
      <c r="P3646" s="261"/>
      <c r="Q3646" s="209"/>
      <c r="R3646" s="261"/>
      <c r="S3646" s="52"/>
      <c r="T3646" s="181"/>
      <c r="U3646" s="52"/>
      <c r="V3646" s="4295"/>
      <c r="W3646" s="241"/>
      <c r="X3646" s="241"/>
      <c r="Y3646" s="3379">
        <v>0.65</v>
      </c>
      <c r="Z3646" s="3380">
        <v>0.65</v>
      </c>
      <c r="AA3646" s="3380">
        <v>0.65</v>
      </c>
      <c r="AB3646" s="3380">
        <v>0.65</v>
      </c>
      <c r="AC3646" s="3380">
        <f>AC3645</f>
        <v>0.65</v>
      </c>
      <c r="AD3646" s="3380">
        <v>0.65</v>
      </c>
      <c r="AE3646" s="3380">
        <v>0.65</v>
      </c>
      <c r="AF3646" s="2236">
        <f t="shared" si="345"/>
        <v>0.65</v>
      </c>
      <c r="AG3646" s="241"/>
      <c r="DG3646" s="573"/>
      <c r="DH3646" s="159"/>
      <c r="DI3646" s="1091"/>
      <c r="DJ3646" s="1187"/>
    </row>
    <row r="3647" spans="1:114" ht="15" hidden="1" customHeight="1" outlineLevel="1">
      <c r="A3647" s="453"/>
      <c r="C3647" s="51"/>
      <c r="D3647" s="4303"/>
      <c r="E3647" s="4295"/>
      <c r="F3647" s="4307" t="str">
        <f>$E$1886</f>
        <v>ASHP-SEER20_ROF_MF</v>
      </c>
      <c r="G3647" s="4307"/>
      <c r="H3647" s="4307"/>
      <c r="I3647" s="4307"/>
      <c r="J3647" s="1029" t="str">
        <f>$C$1886</f>
        <v>355100_2024_12_</v>
      </c>
      <c r="K3647" s="1775">
        <v>0.65</v>
      </c>
      <c r="L3647" s="262"/>
      <c r="M3647" s="1442"/>
      <c r="P3647" s="261"/>
      <c r="Q3647" s="209"/>
      <c r="R3647" s="261"/>
      <c r="S3647" s="52"/>
      <c r="T3647" s="181"/>
      <c r="U3647" s="52"/>
      <c r="V3647" s="4295"/>
      <c r="W3647" s="241">
        <v>0.65</v>
      </c>
      <c r="X3647" s="241">
        <v>0.65</v>
      </c>
      <c r="Y3647" s="241">
        <v>0.65</v>
      </c>
      <c r="Z3647" s="241">
        <v>0.65</v>
      </c>
      <c r="AA3647" s="241">
        <v>0.65</v>
      </c>
      <c r="AB3647" s="241">
        <v>0.65</v>
      </c>
      <c r="AC3647" s="241">
        <v>0.65</v>
      </c>
      <c r="AD3647" s="241">
        <v>0.65</v>
      </c>
      <c r="AE3647" s="241">
        <v>0.65</v>
      </c>
      <c r="AF3647" s="271">
        <f t="shared" si="345"/>
        <v>0.65</v>
      </c>
      <c r="AG3647" s="241"/>
      <c r="DG3647" s="573"/>
      <c r="DH3647" s="159"/>
      <c r="DI3647" s="1091"/>
      <c r="DJ3647" s="1187"/>
    </row>
    <row r="3648" spans="1:114" ht="15" hidden="1" customHeight="1" outlineLevel="1">
      <c r="A3648" s="453"/>
      <c r="C3648" s="51"/>
      <c r="D3648" s="4303"/>
      <c r="E3648" s="4295"/>
      <c r="F3648" s="4347" t="str">
        <f>$E$1888</f>
        <v>ASHP-SEER20_ROF_MF_CompE</v>
      </c>
      <c r="G3648" s="4347"/>
      <c r="H3648" s="4347"/>
      <c r="I3648" s="4347"/>
      <c r="J3648" s="3471" t="str">
        <f>$C$1888</f>
        <v>355101_2024_12_</v>
      </c>
      <c r="K3648" s="3376">
        <v>0.65</v>
      </c>
      <c r="L3648" s="262"/>
      <c r="M3648" s="1442"/>
      <c r="P3648" s="261"/>
      <c r="Q3648" s="209"/>
      <c r="R3648" s="261"/>
      <c r="S3648" s="52"/>
      <c r="T3648" s="181"/>
      <c r="U3648" s="52"/>
      <c r="V3648" s="4295"/>
      <c r="W3648" s="241"/>
      <c r="X3648" s="241"/>
      <c r="Y3648" s="3379">
        <v>0.65</v>
      </c>
      <c r="Z3648" s="3380">
        <v>0.65</v>
      </c>
      <c r="AA3648" s="3380">
        <v>0.65</v>
      </c>
      <c r="AB3648" s="3380">
        <v>0.65</v>
      </c>
      <c r="AC3648" s="3380">
        <f>AC3647</f>
        <v>0.65</v>
      </c>
      <c r="AD3648" s="3380">
        <v>0.65</v>
      </c>
      <c r="AE3648" s="3380">
        <v>0.65</v>
      </c>
      <c r="AF3648" s="2236">
        <f t="shared" si="345"/>
        <v>0.65</v>
      </c>
      <c r="AG3648" s="241"/>
      <c r="DG3648" s="573"/>
      <c r="DH3648" s="159"/>
      <c r="DI3648" s="1091"/>
      <c r="DJ3648" s="1187"/>
    </row>
    <row r="3649" spans="1:115" ht="15.75" hidden="1" customHeight="1" outlineLevel="1">
      <c r="A3649" s="453"/>
      <c r="C3649" s="51"/>
      <c r="D3649" s="4303"/>
      <c r="E3649" s="4295"/>
      <c r="F3649" s="4307" t="str">
        <f>$E$1890</f>
        <v>ASHP-SEER21_ROF_MF</v>
      </c>
      <c r="G3649" s="4307"/>
      <c r="H3649" s="4307"/>
      <c r="I3649" s="4307"/>
      <c r="J3649" s="1029" t="str">
        <f>$C$1890</f>
        <v>355150_2024_12_</v>
      </c>
      <c r="K3649" s="1775">
        <v>0.65</v>
      </c>
      <c r="L3649" s="262"/>
      <c r="M3649" s="1442"/>
      <c r="P3649" s="261"/>
      <c r="Q3649" s="209"/>
      <c r="R3649" s="261"/>
      <c r="S3649" s="52"/>
      <c r="T3649" s="181"/>
      <c r="U3649" s="52"/>
      <c r="V3649" s="4295"/>
      <c r="W3649" s="241">
        <v>0.65</v>
      </c>
      <c r="X3649" s="241">
        <v>0.65</v>
      </c>
      <c r="Y3649" s="241">
        <v>0.65</v>
      </c>
      <c r="Z3649" s="241">
        <v>0.65</v>
      </c>
      <c r="AA3649" s="241">
        <v>0.65</v>
      </c>
      <c r="AB3649" s="241">
        <v>0.65</v>
      </c>
      <c r="AC3649" s="241">
        <v>0.65</v>
      </c>
      <c r="AD3649" s="241">
        <v>0.65</v>
      </c>
      <c r="AE3649" s="241">
        <v>0.65</v>
      </c>
      <c r="AF3649" s="271">
        <f t="shared" si="345"/>
        <v>0.65</v>
      </c>
      <c r="AG3649" s="241"/>
      <c r="DG3649" s="573"/>
      <c r="DH3649" s="159"/>
      <c r="DI3649" s="1091"/>
      <c r="DJ3649" s="1187"/>
    </row>
    <row r="3650" spans="1:115" ht="15.75" hidden="1" customHeight="1" outlineLevel="1">
      <c r="A3650" s="453"/>
      <c r="C3650" s="51"/>
      <c r="D3650" s="4303"/>
      <c r="E3650" s="4295"/>
      <c r="F3650" s="4347" t="str">
        <f>$E$1892</f>
        <v>ASHP-SEER21_ROF_MF_CompE</v>
      </c>
      <c r="G3650" s="4347"/>
      <c r="H3650" s="4347"/>
      <c r="I3650" s="4347"/>
      <c r="J3650" s="3471" t="str">
        <f>$C$1892</f>
        <v>355151_2024_12_</v>
      </c>
      <c r="K3650" s="3376">
        <v>0.65</v>
      </c>
      <c r="L3650" s="262"/>
      <c r="M3650" s="1442"/>
      <c r="P3650" s="261"/>
      <c r="Q3650" s="209"/>
      <c r="R3650" s="261"/>
      <c r="S3650" s="52"/>
      <c r="T3650" s="181"/>
      <c r="U3650" s="52"/>
      <c r="V3650" s="4295"/>
      <c r="W3650" s="241"/>
      <c r="X3650" s="241"/>
      <c r="Y3650" s="3379">
        <v>0.65</v>
      </c>
      <c r="Z3650" s="3380">
        <v>0.65</v>
      </c>
      <c r="AA3650" s="3380">
        <v>0.65</v>
      </c>
      <c r="AB3650" s="3380">
        <v>0.65</v>
      </c>
      <c r="AC3650" s="3380">
        <f>AC3649</f>
        <v>0.65</v>
      </c>
      <c r="AD3650" s="3380">
        <v>0.65</v>
      </c>
      <c r="AE3650" s="3380">
        <v>0.65</v>
      </c>
      <c r="AF3650" s="2236">
        <f t="shared" si="345"/>
        <v>0.65</v>
      </c>
      <c r="AG3650" s="241"/>
      <c r="DG3650" s="573"/>
      <c r="DH3650" s="159"/>
      <c r="DI3650" s="1091"/>
      <c r="DJ3650" s="1187"/>
    </row>
    <row r="3651" spans="1:115" hidden="1" outlineLevel="1">
      <c r="A3651" s="453"/>
      <c r="C3651" s="51"/>
      <c r="D3651" s="1368" t="s">
        <v>128</v>
      </c>
      <c r="E3651" s="1368" t="s">
        <v>1398</v>
      </c>
      <c r="F3651" s="4307" t="s">
        <v>1102</v>
      </c>
      <c r="G3651" s="4307"/>
      <c r="H3651" s="4307"/>
      <c r="I3651" s="4307"/>
      <c r="J3651" s="1029"/>
      <c r="K3651" s="1721">
        <v>1</v>
      </c>
      <c r="L3651" s="262"/>
      <c r="M3651" s="1378" t="s">
        <v>1952</v>
      </c>
      <c r="P3651" s="261"/>
      <c r="Q3651" s="209"/>
      <c r="R3651" s="261"/>
      <c r="S3651" s="41"/>
      <c r="T3651" s="150"/>
      <c r="U3651" s="41"/>
      <c r="V3651" s="1368" t="s">
        <v>128</v>
      </c>
      <c r="W3651" s="239"/>
      <c r="X3651" s="239"/>
      <c r="Y3651" s="239"/>
      <c r="Z3651" s="239"/>
      <c r="AA3651" s="239"/>
      <c r="AB3651" s="239">
        <v>1</v>
      </c>
      <c r="AC3651" s="241">
        <v>1</v>
      </c>
      <c r="AD3651" s="241">
        <v>1</v>
      </c>
      <c r="AE3651" s="241">
        <v>1</v>
      </c>
      <c r="AF3651" s="271">
        <f t="shared" si="345"/>
        <v>1</v>
      </c>
      <c r="AG3651" s="239"/>
      <c r="AH3651" s="41"/>
      <c r="AI3651" s="41"/>
      <c r="AJ3651" s="41"/>
      <c r="AK3651" s="41"/>
      <c r="AL3651" s="41"/>
      <c r="AM3651" s="41"/>
      <c r="AN3651" s="41"/>
      <c r="AO3651" s="41"/>
      <c r="AP3651" s="41"/>
      <c r="AQ3651" s="41"/>
      <c r="AR3651" s="41"/>
      <c r="AS3651" s="41"/>
      <c r="AT3651" s="41"/>
      <c r="AU3651" s="41"/>
      <c r="AV3651" s="41"/>
      <c r="AW3651" s="41"/>
      <c r="AX3651" s="41"/>
      <c r="AY3651" s="41"/>
      <c r="AZ3651" s="41"/>
      <c r="BA3651" s="41"/>
      <c r="BB3651" s="41"/>
      <c r="BC3651" s="41"/>
      <c r="BD3651" s="41"/>
      <c r="BE3651" s="41"/>
      <c r="BF3651" s="41"/>
      <c r="BG3651" s="41"/>
      <c r="BH3651" s="41"/>
      <c r="BI3651" s="41"/>
      <c r="BJ3651" s="41"/>
      <c r="BK3651" s="41"/>
      <c r="BL3651" s="41"/>
      <c r="BM3651" s="41"/>
      <c r="BN3651" s="41"/>
      <c r="BO3651" s="41"/>
      <c r="BP3651" s="41"/>
      <c r="BQ3651" s="41"/>
      <c r="BR3651" s="41"/>
      <c r="BS3651" s="41"/>
      <c r="BT3651" s="41"/>
      <c r="BU3651" s="41"/>
      <c r="BV3651" s="41"/>
      <c r="BW3651" s="41"/>
      <c r="BX3651" s="41"/>
      <c r="BY3651" s="41"/>
      <c r="BZ3651" s="41"/>
      <c r="CA3651" s="41"/>
      <c r="CB3651" s="41"/>
      <c r="CC3651" s="41"/>
      <c r="CD3651" s="41"/>
      <c r="CE3651" s="41"/>
      <c r="CF3651" s="41"/>
      <c r="CG3651" s="41"/>
      <c r="CH3651" s="41"/>
      <c r="CI3651" s="41"/>
      <c r="CJ3651" s="41"/>
      <c r="CK3651" s="41"/>
      <c r="CL3651" s="41"/>
      <c r="CM3651" s="41"/>
      <c r="CN3651" s="41"/>
      <c r="CO3651" s="41"/>
      <c r="CP3651" s="41"/>
      <c r="CQ3651" s="41"/>
      <c r="CR3651" s="41"/>
      <c r="CS3651" s="41"/>
      <c r="CT3651" s="41"/>
      <c r="CU3651" s="41"/>
      <c r="CV3651" s="41"/>
      <c r="CW3651" s="41"/>
      <c r="CX3651" s="41"/>
      <c r="CY3651" s="41"/>
      <c r="CZ3651" s="41"/>
      <c r="DA3651" s="41"/>
      <c r="DB3651" s="41"/>
      <c r="DC3651" s="41"/>
      <c r="DD3651" s="41"/>
      <c r="DE3651" s="41"/>
      <c r="DF3651" s="41"/>
      <c r="DG3651" s="1085"/>
      <c r="DI3651" s="1091"/>
      <c r="DJ3651" s="1187"/>
      <c r="DK3651" s="41"/>
    </row>
    <row r="3652" spans="1:115" ht="14.65" hidden="1" customHeight="1" outlineLevel="1">
      <c r="A3652" s="453"/>
      <c r="C3652" s="51"/>
      <c r="D3652" s="4295" t="s">
        <v>49</v>
      </c>
      <c r="E3652" s="4295" t="s">
        <v>1198</v>
      </c>
      <c r="F3652" s="4307" t="str">
        <f t="shared" ref="F3652:F3715" si="346">E1508</f>
        <v>ASHP-SEER15-Replace_CAC_ElectricHeat_ER1_SF</v>
      </c>
      <c r="G3652" s="4307"/>
      <c r="H3652" s="4307"/>
      <c r="I3652" s="4307"/>
      <c r="J3652" s="1029" t="str">
        <f t="shared" ref="J3652:J3715" si="347">C1508</f>
        <v>352300_2024_12_</v>
      </c>
      <c r="K3652" s="1796">
        <v>6</v>
      </c>
      <c r="L3652" s="13"/>
      <c r="M3652" s="4201" t="s">
        <v>2508</v>
      </c>
      <c r="P3652" s="261"/>
      <c r="Q3652" s="261"/>
      <c r="R3652" s="261"/>
      <c r="S3652" s="52"/>
      <c r="T3652" s="181"/>
      <c r="U3652" s="52"/>
      <c r="V3652" s="4295" t="s">
        <v>49</v>
      </c>
      <c r="W3652" s="263">
        <v>6</v>
      </c>
      <c r="X3652" s="263">
        <v>6</v>
      </c>
      <c r="Y3652" s="263">
        <v>6</v>
      </c>
      <c r="Z3652" s="263">
        <v>6</v>
      </c>
      <c r="AA3652" s="263">
        <v>6</v>
      </c>
      <c r="AB3652" s="263">
        <v>6</v>
      </c>
      <c r="AC3652" s="263">
        <v>6</v>
      </c>
      <c r="AD3652" s="263">
        <v>6</v>
      </c>
      <c r="AE3652" s="263">
        <v>6</v>
      </c>
      <c r="AF3652" s="271">
        <f t="shared" si="345"/>
        <v>6</v>
      </c>
      <c r="AG3652" s="263"/>
      <c r="DG3652" s="573"/>
      <c r="DH3652" s="159"/>
      <c r="DI3652" s="1091"/>
      <c r="DJ3652" s="1187"/>
    </row>
    <row r="3653" spans="1:115" ht="15" hidden="1" customHeight="1" outlineLevel="1">
      <c r="A3653" s="453"/>
      <c r="C3653" s="51"/>
      <c r="D3653" s="4295"/>
      <c r="E3653" s="4295"/>
      <c r="F3653" s="4307" t="str">
        <f t="shared" si="346"/>
        <v>ASHP-SEER15-Replace_CAC_ElectricHeat_ER1_SF</v>
      </c>
      <c r="G3653" s="4307"/>
      <c r="H3653" s="4307"/>
      <c r="I3653" s="4307"/>
      <c r="J3653" s="1029" t="str">
        <f t="shared" si="347"/>
        <v>352300_2024_12_</v>
      </c>
      <c r="K3653" s="1796">
        <v>6</v>
      </c>
      <c r="L3653" s="13"/>
      <c r="M3653" s="4202"/>
      <c r="P3653" s="261"/>
      <c r="Q3653" s="261"/>
      <c r="R3653" s="261"/>
      <c r="S3653" s="52"/>
      <c r="T3653" s="181"/>
      <c r="U3653" s="52"/>
      <c r="V3653" s="4295"/>
      <c r="W3653" s="263">
        <v>6</v>
      </c>
      <c r="X3653" s="263">
        <v>6</v>
      </c>
      <c r="Y3653" s="263">
        <v>6</v>
      </c>
      <c r="Z3653" s="263">
        <v>6</v>
      </c>
      <c r="AA3653" s="263">
        <v>6</v>
      </c>
      <c r="AB3653" s="263">
        <v>6</v>
      </c>
      <c r="AC3653" s="263">
        <v>6</v>
      </c>
      <c r="AD3653" s="263">
        <v>6</v>
      </c>
      <c r="AE3653" s="263">
        <v>6</v>
      </c>
      <c r="AF3653" s="271">
        <f t="shared" si="345"/>
        <v>6</v>
      </c>
      <c r="AG3653" s="263"/>
      <c r="DG3653" s="573"/>
      <c r="DH3653" s="159"/>
      <c r="DI3653" s="1091"/>
      <c r="DJ3653" s="1187"/>
    </row>
    <row r="3654" spans="1:115" ht="15" hidden="1" customHeight="1" outlineLevel="1">
      <c r="A3654" s="453"/>
      <c r="C3654" s="51"/>
      <c r="D3654" s="4295"/>
      <c r="E3654" s="4295"/>
      <c r="F3654" s="4307" t="str">
        <f t="shared" si="346"/>
        <v>ASHP-SEER15-Replace_CAC_ElectricHeat_ER2_SF</v>
      </c>
      <c r="G3654" s="4307"/>
      <c r="H3654" s="4307"/>
      <c r="I3654" s="4307"/>
      <c r="J3654" s="1029" t="str">
        <f t="shared" si="347"/>
        <v>352300_2024_12_</v>
      </c>
      <c r="K3654" s="1796">
        <v>12</v>
      </c>
      <c r="L3654" s="13"/>
      <c r="M3654" s="4202"/>
      <c r="P3654" s="261"/>
      <c r="Q3654" s="261"/>
      <c r="R3654" s="261"/>
      <c r="S3654" s="52"/>
      <c r="T3654" s="181"/>
      <c r="U3654" s="52"/>
      <c r="V3654" s="4295"/>
      <c r="W3654" s="263">
        <v>12</v>
      </c>
      <c r="X3654" s="263">
        <v>12</v>
      </c>
      <c r="Y3654" s="263">
        <v>12</v>
      </c>
      <c r="Z3654" s="263">
        <v>12</v>
      </c>
      <c r="AA3654" s="263">
        <v>12</v>
      </c>
      <c r="AB3654" s="263">
        <v>12</v>
      </c>
      <c r="AC3654" s="263">
        <v>12</v>
      </c>
      <c r="AD3654" s="263">
        <v>12</v>
      </c>
      <c r="AE3654" s="263">
        <v>12</v>
      </c>
      <c r="AF3654" s="271">
        <f t="shared" si="345"/>
        <v>12</v>
      </c>
      <c r="AG3654" s="263"/>
      <c r="DG3654" s="573"/>
      <c r="DH3654" s="159"/>
      <c r="DI3654" s="1091"/>
      <c r="DJ3654" s="1187"/>
    </row>
    <row r="3655" spans="1:115" ht="15" hidden="1" customHeight="1" outlineLevel="1">
      <c r="A3655" s="453"/>
      <c r="C3655" s="51"/>
      <c r="D3655" s="4295"/>
      <c r="E3655" s="4295"/>
      <c r="F3655" s="4307" t="str">
        <f t="shared" si="346"/>
        <v>ASHP-SEER15-Replace_CAC_ElectricHeat_ER2_SF</v>
      </c>
      <c r="G3655" s="4307"/>
      <c r="H3655" s="4307"/>
      <c r="I3655" s="4307"/>
      <c r="J3655" s="1029" t="str">
        <f t="shared" si="347"/>
        <v>352300_2024_12_</v>
      </c>
      <c r="K3655" s="1796">
        <v>12</v>
      </c>
      <c r="L3655" s="13"/>
      <c r="M3655" s="4202"/>
      <c r="P3655" s="261"/>
      <c r="Q3655" s="261"/>
      <c r="R3655" s="261"/>
      <c r="S3655" s="52"/>
      <c r="T3655" s="181"/>
      <c r="U3655" s="52"/>
      <c r="V3655" s="4295"/>
      <c r="W3655" s="263">
        <v>12</v>
      </c>
      <c r="X3655" s="263">
        <v>12</v>
      </c>
      <c r="Y3655" s="263">
        <v>12</v>
      </c>
      <c r="Z3655" s="263">
        <v>12</v>
      </c>
      <c r="AA3655" s="263">
        <v>12</v>
      </c>
      <c r="AB3655" s="263">
        <v>12</v>
      </c>
      <c r="AC3655" s="263">
        <v>12</v>
      </c>
      <c r="AD3655" s="263">
        <v>12</v>
      </c>
      <c r="AE3655" s="263">
        <v>12</v>
      </c>
      <c r="AF3655" s="271">
        <f t="shared" si="345"/>
        <v>12</v>
      </c>
      <c r="AG3655" s="263"/>
      <c r="DG3655" s="573"/>
      <c r="DH3655" s="159"/>
      <c r="DI3655" s="1091"/>
      <c r="DJ3655" s="1187"/>
    </row>
    <row r="3656" spans="1:115" ht="15" hidden="1" customHeight="1" outlineLevel="1">
      <c r="A3656" s="453"/>
      <c r="C3656" s="51"/>
      <c r="D3656" s="4295"/>
      <c r="E3656" s="4295"/>
      <c r="F3656" s="4307" t="str">
        <f t="shared" si="346"/>
        <v>ASHP-SEER15-Replace_CAC_NonElectricHeat_ER1_SF</v>
      </c>
      <c r="G3656" s="4307"/>
      <c r="H3656" s="4307"/>
      <c r="I3656" s="4307"/>
      <c r="J3656" s="1029" t="str">
        <f t="shared" si="347"/>
        <v>352310_2024_12_</v>
      </c>
      <c r="K3656" s="1796">
        <v>6</v>
      </c>
      <c r="L3656" s="13"/>
      <c r="M3656" s="4202"/>
      <c r="P3656" s="261"/>
      <c r="Q3656" s="261"/>
      <c r="R3656" s="261"/>
      <c r="S3656" s="52"/>
      <c r="T3656" s="181"/>
      <c r="U3656" s="52"/>
      <c r="V3656" s="4295"/>
      <c r="W3656" s="263"/>
      <c r="X3656" s="263"/>
      <c r="Y3656" s="263"/>
      <c r="Z3656" s="263"/>
      <c r="AA3656" s="263"/>
      <c r="AB3656" s="263"/>
      <c r="AC3656" s="1030">
        <v>6</v>
      </c>
      <c r="AD3656" s="263">
        <v>6</v>
      </c>
      <c r="AE3656" s="263">
        <v>6</v>
      </c>
      <c r="AF3656" s="271">
        <f t="shared" si="345"/>
        <v>6</v>
      </c>
      <c r="AG3656" s="263"/>
      <c r="DG3656" s="573"/>
      <c r="DH3656" s="159"/>
      <c r="DI3656" s="1091"/>
      <c r="DJ3656" s="1187"/>
    </row>
    <row r="3657" spans="1:115" ht="15" hidden="1" customHeight="1" outlineLevel="1">
      <c r="A3657" s="453"/>
      <c r="C3657" s="51"/>
      <c r="D3657" s="4295"/>
      <c r="E3657" s="4295"/>
      <c r="F3657" s="4307" t="str">
        <f t="shared" si="346"/>
        <v>ASHP-SEER15-Replace_CAC_NonElectricHeat_ER1_SF</v>
      </c>
      <c r="G3657" s="4307"/>
      <c r="H3657" s="4307"/>
      <c r="I3657" s="4307"/>
      <c r="J3657" s="1029" t="str">
        <f t="shared" si="347"/>
        <v>352310_2024_12_</v>
      </c>
      <c r="K3657" s="1796">
        <v>6</v>
      </c>
      <c r="L3657" s="13"/>
      <c r="M3657" s="4202"/>
      <c r="P3657" s="261"/>
      <c r="Q3657" s="261"/>
      <c r="R3657" s="261"/>
      <c r="S3657" s="52"/>
      <c r="T3657" s="181"/>
      <c r="U3657" s="52"/>
      <c r="V3657" s="4295"/>
      <c r="W3657" s="263"/>
      <c r="X3657" s="263"/>
      <c r="Y3657" s="263"/>
      <c r="Z3657" s="263"/>
      <c r="AA3657" s="263"/>
      <c r="AB3657" s="263"/>
      <c r="AC3657" s="1030">
        <v>6</v>
      </c>
      <c r="AD3657" s="263">
        <v>6</v>
      </c>
      <c r="AE3657" s="263">
        <v>6</v>
      </c>
      <c r="AF3657" s="271">
        <f t="shared" si="345"/>
        <v>6</v>
      </c>
      <c r="AG3657" s="263"/>
      <c r="DG3657" s="573"/>
      <c r="DH3657" s="159"/>
      <c r="DI3657" s="1091"/>
      <c r="DJ3657" s="1187"/>
    </row>
    <row r="3658" spans="1:115" ht="15" hidden="1" customHeight="1" outlineLevel="1">
      <c r="A3658" s="453"/>
      <c r="C3658" s="51"/>
      <c r="D3658" s="4295"/>
      <c r="E3658" s="4295"/>
      <c r="F3658" s="4307" t="str">
        <f t="shared" si="346"/>
        <v>ASHP-SEER15-Replace_CAC_NonElectricHeat_ER2_SF</v>
      </c>
      <c r="G3658" s="4307"/>
      <c r="H3658" s="4307"/>
      <c r="I3658" s="4307"/>
      <c r="J3658" s="1029" t="str">
        <f t="shared" si="347"/>
        <v>352310_2024_12_</v>
      </c>
      <c r="K3658" s="1796">
        <v>12</v>
      </c>
      <c r="L3658" s="13"/>
      <c r="M3658" s="4202"/>
      <c r="P3658" s="261"/>
      <c r="Q3658" s="261"/>
      <c r="R3658" s="261"/>
      <c r="S3658" s="52"/>
      <c r="T3658" s="181"/>
      <c r="U3658" s="52"/>
      <c r="V3658" s="4295"/>
      <c r="W3658" s="263"/>
      <c r="X3658" s="263"/>
      <c r="Y3658" s="263"/>
      <c r="Z3658" s="263"/>
      <c r="AA3658" s="263"/>
      <c r="AB3658" s="263"/>
      <c r="AC3658" s="1030">
        <v>12</v>
      </c>
      <c r="AD3658" s="263">
        <v>12</v>
      </c>
      <c r="AE3658" s="263">
        <v>12</v>
      </c>
      <c r="AF3658" s="271">
        <f t="shared" si="345"/>
        <v>12</v>
      </c>
      <c r="AG3658" s="263"/>
      <c r="DG3658" s="573"/>
      <c r="DH3658" s="159"/>
      <c r="DI3658" s="1091"/>
      <c r="DJ3658" s="1187"/>
    </row>
    <row r="3659" spans="1:115" ht="15" hidden="1" customHeight="1" outlineLevel="1">
      <c r="A3659" s="453"/>
      <c r="C3659" s="51"/>
      <c r="D3659" s="4295"/>
      <c r="E3659" s="4295"/>
      <c r="F3659" s="4307" t="str">
        <f t="shared" si="346"/>
        <v>ASHP-SEER15-Replace_CAC_NonElectricHeat_ER2_SF</v>
      </c>
      <c r="G3659" s="4307"/>
      <c r="H3659" s="4307"/>
      <c r="I3659" s="4307"/>
      <c r="J3659" s="1029" t="str">
        <f t="shared" si="347"/>
        <v>352310_2024_12_</v>
      </c>
      <c r="K3659" s="1796">
        <v>12</v>
      </c>
      <c r="L3659" s="13"/>
      <c r="M3659" s="4202"/>
      <c r="P3659" s="261"/>
      <c r="Q3659" s="261"/>
      <c r="R3659" s="261"/>
      <c r="S3659" s="52"/>
      <c r="T3659" s="181"/>
      <c r="U3659" s="52"/>
      <c r="V3659" s="4295"/>
      <c r="W3659" s="263"/>
      <c r="X3659" s="263"/>
      <c r="Y3659" s="263"/>
      <c r="Z3659" s="263"/>
      <c r="AA3659" s="263"/>
      <c r="AB3659" s="263"/>
      <c r="AC3659" s="1030">
        <v>12</v>
      </c>
      <c r="AD3659" s="263">
        <v>12</v>
      </c>
      <c r="AE3659" s="263">
        <v>12</v>
      </c>
      <c r="AF3659" s="271">
        <f t="shared" si="345"/>
        <v>12</v>
      </c>
      <c r="AG3659" s="263"/>
      <c r="DG3659" s="573"/>
      <c r="DH3659" s="159"/>
      <c r="DI3659" s="1091"/>
      <c r="DJ3659" s="1187"/>
    </row>
    <row r="3660" spans="1:115" ht="15" hidden="1" customHeight="1" outlineLevel="1">
      <c r="A3660" s="453"/>
      <c r="C3660" s="51"/>
      <c r="D3660" s="4295"/>
      <c r="E3660" s="4295"/>
      <c r="F3660" s="4307" t="str">
        <f t="shared" si="346"/>
        <v>ASHP-SEER15_ER1_SF</v>
      </c>
      <c r="G3660" s="4307"/>
      <c r="H3660" s="4307"/>
      <c r="I3660" s="4307"/>
      <c r="J3660" s="1029" t="str">
        <f t="shared" si="347"/>
        <v>352350_2024_12_</v>
      </c>
      <c r="K3660" s="1796">
        <v>6</v>
      </c>
      <c r="L3660" s="13"/>
      <c r="M3660" s="4202"/>
      <c r="P3660" s="261"/>
      <c r="Q3660" s="261"/>
      <c r="R3660" s="261"/>
      <c r="S3660" s="52"/>
      <c r="T3660" s="181"/>
      <c r="U3660" s="52"/>
      <c r="V3660" s="4295"/>
      <c r="W3660" s="263">
        <v>6</v>
      </c>
      <c r="X3660" s="263">
        <v>6</v>
      </c>
      <c r="Y3660" s="263">
        <v>6</v>
      </c>
      <c r="Z3660" s="263">
        <v>6</v>
      </c>
      <c r="AA3660" s="263">
        <v>6</v>
      </c>
      <c r="AB3660" s="263">
        <v>6</v>
      </c>
      <c r="AC3660" s="263">
        <v>6</v>
      </c>
      <c r="AD3660" s="263">
        <v>6</v>
      </c>
      <c r="AE3660" s="263">
        <v>6</v>
      </c>
      <c r="AF3660" s="271">
        <f t="shared" si="345"/>
        <v>6</v>
      </c>
      <c r="AG3660" s="263"/>
      <c r="DG3660" s="573"/>
      <c r="DH3660" s="159"/>
      <c r="DI3660" s="1091"/>
      <c r="DJ3660" s="1187"/>
    </row>
    <row r="3661" spans="1:115" ht="15" hidden="1" customHeight="1" outlineLevel="1">
      <c r="A3661" s="453"/>
      <c r="C3661" s="51"/>
      <c r="D3661" s="4295"/>
      <c r="E3661" s="4295"/>
      <c r="F3661" s="4307" t="str">
        <f t="shared" si="346"/>
        <v>ASHP-SEER15_ER1_SF</v>
      </c>
      <c r="G3661" s="4307"/>
      <c r="H3661" s="4307"/>
      <c r="I3661" s="4307"/>
      <c r="J3661" s="1029" t="str">
        <f t="shared" si="347"/>
        <v>352350_2024_12_</v>
      </c>
      <c r="K3661" s="1796">
        <v>6</v>
      </c>
      <c r="L3661" s="13"/>
      <c r="M3661" s="4202"/>
      <c r="P3661" s="261"/>
      <c r="Q3661" s="261"/>
      <c r="R3661" s="261"/>
      <c r="S3661" s="52"/>
      <c r="T3661" s="181"/>
      <c r="U3661" s="52"/>
      <c r="V3661" s="4295"/>
      <c r="W3661" s="263">
        <v>6</v>
      </c>
      <c r="X3661" s="263">
        <v>6</v>
      </c>
      <c r="Y3661" s="263">
        <v>6</v>
      </c>
      <c r="Z3661" s="263">
        <v>6</v>
      </c>
      <c r="AA3661" s="263">
        <v>6</v>
      </c>
      <c r="AB3661" s="263">
        <v>6</v>
      </c>
      <c r="AC3661" s="263">
        <v>6</v>
      </c>
      <c r="AD3661" s="263">
        <v>6</v>
      </c>
      <c r="AE3661" s="263">
        <v>6</v>
      </c>
      <c r="AF3661" s="271">
        <f t="shared" si="345"/>
        <v>6</v>
      </c>
      <c r="AG3661" s="263"/>
      <c r="DG3661" s="573"/>
      <c r="DH3661" s="159"/>
      <c r="DI3661" s="1091"/>
      <c r="DJ3661" s="1187"/>
    </row>
    <row r="3662" spans="1:115" ht="15" hidden="1" customHeight="1" outlineLevel="1">
      <c r="A3662" s="453"/>
      <c r="C3662" s="51"/>
      <c r="D3662" s="4295"/>
      <c r="E3662" s="4295"/>
      <c r="F3662" s="4307" t="str">
        <f t="shared" si="346"/>
        <v>ASHP-SEER15_ER2_SF</v>
      </c>
      <c r="G3662" s="4307"/>
      <c r="H3662" s="4307"/>
      <c r="I3662" s="4307"/>
      <c r="J3662" s="1029" t="str">
        <f t="shared" si="347"/>
        <v>352350_2024_12_</v>
      </c>
      <c r="K3662" s="1796">
        <v>12</v>
      </c>
      <c r="L3662" s="13"/>
      <c r="M3662" s="4202"/>
      <c r="P3662" s="261"/>
      <c r="Q3662" s="261"/>
      <c r="R3662" s="261"/>
      <c r="S3662" s="52"/>
      <c r="T3662" s="181"/>
      <c r="U3662" s="52"/>
      <c r="V3662" s="4295"/>
      <c r="W3662" s="263">
        <v>12</v>
      </c>
      <c r="X3662" s="263">
        <v>12</v>
      </c>
      <c r="Y3662" s="263">
        <v>12</v>
      </c>
      <c r="Z3662" s="263">
        <v>12</v>
      </c>
      <c r="AA3662" s="263">
        <v>12</v>
      </c>
      <c r="AB3662" s="263">
        <v>12</v>
      </c>
      <c r="AC3662" s="263">
        <v>12</v>
      </c>
      <c r="AD3662" s="263">
        <v>12</v>
      </c>
      <c r="AE3662" s="263">
        <v>12</v>
      </c>
      <c r="AF3662" s="271">
        <f t="shared" si="345"/>
        <v>12</v>
      </c>
      <c r="AG3662" s="263"/>
      <c r="DG3662" s="573"/>
      <c r="DH3662" s="159"/>
      <c r="DI3662" s="1091"/>
      <c r="DJ3662" s="1187"/>
    </row>
    <row r="3663" spans="1:115" ht="15" hidden="1" customHeight="1" outlineLevel="1">
      <c r="A3663" s="453"/>
      <c r="C3663" s="51"/>
      <c r="D3663" s="4295"/>
      <c r="E3663" s="4295"/>
      <c r="F3663" s="4307" t="str">
        <f t="shared" si="346"/>
        <v>ASHP-SEER15_ER2_SF</v>
      </c>
      <c r="G3663" s="4307"/>
      <c r="H3663" s="4307"/>
      <c r="I3663" s="4307"/>
      <c r="J3663" s="1029" t="str">
        <f t="shared" si="347"/>
        <v>352350_2024_12_</v>
      </c>
      <c r="K3663" s="1796">
        <v>12</v>
      </c>
      <c r="L3663" s="13"/>
      <c r="M3663" s="4202"/>
      <c r="P3663" s="261"/>
      <c r="Q3663" s="261"/>
      <c r="R3663" s="261"/>
      <c r="S3663" s="52"/>
      <c r="T3663" s="181"/>
      <c r="U3663" s="52"/>
      <c r="V3663" s="4295"/>
      <c r="W3663" s="263">
        <v>12</v>
      </c>
      <c r="X3663" s="263">
        <v>12</v>
      </c>
      <c r="Y3663" s="263">
        <v>12</v>
      </c>
      <c r="Z3663" s="263">
        <v>12</v>
      </c>
      <c r="AA3663" s="263">
        <v>12</v>
      </c>
      <c r="AB3663" s="263">
        <v>12</v>
      </c>
      <c r="AC3663" s="263">
        <v>12</v>
      </c>
      <c r="AD3663" s="263">
        <v>12</v>
      </c>
      <c r="AE3663" s="263">
        <v>12</v>
      </c>
      <c r="AF3663" s="271">
        <f t="shared" si="345"/>
        <v>12</v>
      </c>
      <c r="AG3663" s="263"/>
      <c r="DG3663" s="573"/>
      <c r="DH3663" s="159"/>
      <c r="DI3663" s="1091"/>
      <c r="DJ3663" s="1187"/>
    </row>
    <row r="3664" spans="1:115" ht="15" hidden="1" customHeight="1" outlineLevel="1">
      <c r="A3664" s="453"/>
      <c r="C3664" s="51"/>
      <c r="D3664" s="4295"/>
      <c r="E3664" s="4295"/>
      <c r="F3664" s="4307" t="str">
        <f t="shared" si="346"/>
        <v>ASHP-SEER15-Replace_CAC_ElectricHeat_ROF_SF</v>
      </c>
      <c r="G3664" s="4307"/>
      <c r="H3664" s="4307"/>
      <c r="I3664" s="4307"/>
      <c r="J3664" s="1029" t="str">
        <f t="shared" si="347"/>
        <v>352400_2024_12_</v>
      </c>
      <c r="K3664" s="1796">
        <v>18</v>
      </c>
      <c r="L3664" s="13"/>
      <c r="M3664" s="4202"/>
      <c r="P3664" s="261"/>
      <c r="Q3664" s="261"/>
      <c r="R3664" s="261"/>
      <c r="S3664" s="52"/>
      <c r="T3664" s="181"/>
      <c r="U3664" s="52"/>
      <c r="V3664" s="4295"/>
      <c r="W3664" s="263">
        <v>18</v>
      </c>
      <c r="X3664" s="263">
        <v>18</v>
      </c>
      <c r="Y3664" s="263">
        <v>18</v>
      </c>
      <c r="Z3664" s="263">
        <v>18</v>
      </c>
      <c r="AA3664" s="263">
        <v>18</v>
      </c>
      <c r="AB3664" s="263">
        <v>18</v>
      </c>
      <c r="AC3664" s="263">
        <v>18</v>
      </c>
      <c r="AD3664" s="263">
        <v>18</v>
      </c>
      <c r="AE3664" s="263">
        <v>18</v>
      </c>
      <c r="AF3664" s="271">
        <f t="shared" si="345"/>
        <v>18</v>
      </c>
      <c r="AG3664" s="263"/>
      <c r="DG3664" s="573"/>
      <c r="DH3664" s="159"/>
      <c r="DI3664" s="1091"/>
      <c r="DJ3664" s="1187"/>
    </row>
    <row r="3665" spans="1:114" ht="15" hidden="1" customHeight="1" outlineLevel="1">
      <c r="A3665" s="453"/>
      <c r="C3665" s="51"/>
      <c r="D3665" s="4295"/>
      <c r="E3665" s="4295"/>
      <c r="F3665" s="4307" t="str">
        <f t="shared" si="346"/>
        <v>ASHP-SEER15-Replace_CAC_ElectricHeat_ROF_SF</v>
      </c>
      <c r="G3665" s="4307"/>
      <c r="H3665" s="4307"/>
      <c r="I3665" s="4307"/>
      <c r="J3665" s="1029" t="str">
        <f t="shared" si="347"/>
        <v>352400_2024_12_</v>
      </c>
      <c r="K3665" s="1796">
        <v>18</v>
      </c>
      <c r="L3665" s="262"/>
      <c r="M3665" s="4202"/>
      <c r="P3665" s="261"/>
      <c r="Q3665" s="261"/>
      <c r="R3665" s="261"/>
      <c r="S3665" s="52"/>
      <c r="T3665" s="181"/>
      <c r="U3665" s="52"/>
      <c r="V3665" s="4295"/>
      <c r="W3665" s="263">
        <v>18</v>
      </c>
      <c r="X3665" s="263">
        <v>18</v>
      </c>
      <c r="Y3665" s="263">
        <v>18</v>
      </c>
      <c r="Z3665" s="263">
        <v>18</v>
      </c>
      <c r="AA3665" s="263">
        <v>18</v>
      </c>
      <c r="AB3665" s="263">
        <v>18</v>
      </c>
      <c r="AC3665" s="263">
        <v>18</v>
      </c>
      <c r="AD3665" s="263">
        <v>18</v>
      </c>
      <c r="AE3665" s="263">
        <v>18</v>
      </c>
      <c r="AF3665" s="271">
        <f t="shared" si="345"/>
        <v>18</v>
      </c>
      <c r="AG3665" s="263"/>
      <c r="DG3665" s="573"/>
      <c r="DH3665" s="159"/>
      <c r="DI3665" s="1091"/>
      <c r="DJ3665" s="1187"/>
    </row>
    <row r="3666" spans="1:114" ht="15" hidden="1" customHeight="1" outlineLevel="1">
      <c r="A3666" s="453"/>
      <c r="C3666" s="51"/>
      <c r="D3666" s="4295"/>
      <c r="E3666" s="4295"/>
      <c r="F3666" s="4307" t="str">
        <f t="shared" si="346"/>
        <v>ASHP-SEER15-Replace_CAC_NonElectricHeat_ROF_SF</v>
      </c>
      <c r="G3666" s="4307"/>
      <c r="H3666" s="4307"/>
      <c r="I3666" s="4307"/>
      <c r="J3666" s="1029" t="str">
        <f t="shared" si="347"/>
        <v>352410_2024_12_</v>
      </c>
      <c r="K3666" s="1796">
        <v>18</v>
      </c>
      <c r="L3666" s="262"/>
      <c r="M3666" s="4202"/>
      <c r="P3666" s="261"/>
      <c r="Q3666" s="261"/>
      <c r="R3666" s="261"/>
      <c r="S3666" s="52"/>
      <c r="T3666" s="181"/>
      <c r="U3666" s="52"/>
      <c r="V3666" s="4295"/>
      <c r="W3666" s="263"/>
      <c r="X3666" s="263"/>
      <c r="Y3666" s="263"/>
      <c r="Z3666" s="263"/>
      <c r="AA3666" s="263"/>
      <c r="AB3666" s="263"/>
      <c r="AC3666" s="1030">
        <v>18</v>
      </c>
      <c r="AD3666" s="263">
        <v>18</v>
      </c>
      <c r="AE3666" s="263">
        <v>18</v>
      </c>
      <c r="AF3666" s="271">
        <f t="shared" si="345"/>
        <v>18</v>
      </c>
      <c r="AG3666" s="263"/>
      <c r="DG3666" s="573"/>
      <c r="DH3666" s="159"/>
      <c r="DI3666" s="1091"/>
      <c r="DJ3666" s="1187"/>
    </row>
    <row r="3667" spans="1:114" ht="15" hidden="1" customHeight="1" outlineLevel="1">
      <c r="A3667" s="453"/>
      <c r="C3667" s="51"/>
      <c r="D3667" s="4295"/>
      <c r="E3667" s="4295"/>
      <c r="F3667" s="4307" t="str">
        <f t="shared" si="346"/>
        <v>ASHP-SEER15-Replace_CAC_NonElectricHeat_ROF_SF</v>
      </c>
      <c r="G3667" s="4307"/>
      <c r="H3667" s="4307"/>
      <c r="I3667" s="4307"/>
      <c r="J3667" s="1029" t="str">
        <f t="shared" si="347"/>
        <v>352410_2024_12_</v>
      </c>
      <c r="K3667" s="1796">
        <v>18</v>
      </c>
      <c r="L3667" s="262"/>
      <c r="M3667" s="4202"/>
      <c r="P3667" s="261"/>
      <c r="Q3667" s="261"/>
      <c r="R3667" s="261"/>
      <c r="S3667" s="52"/>
      <c r="T3667" s="181"/>
      <c r="U3667" s="52"/>
      <c r="V3667" s="4295"/>
      <c r="W3667" s="263"/>
      <c r="X3667" s="263"/>
      <c r="Y3667" s="263"/>
      <c r="Z3667" s="263"/>
      <c r="AA3667" s="263"/>
      <c r="AB3667" s="263"/>
      <c r="AC3667" s="1030">
        <v>18</v>
      </c>
      <c r="AD3667" s="263">
        <v>18</v>
      </c>
      <c r="AE3667" s="263">
        <v>18</v>
      </c>
      <c r="AF3667" s="271">
        <f t="shared" si="345"/>
        <v>18</v>
      </c>
      <c r="AG3667" s="263"/>
      <c r="DG3667" s="573"/>
      <c r="DH3667" s="159"/>
      <c r="DI3667" s="1091"/>
      <c r="DJ3667" s="1187"/>
    </row>
    <row r="3668" spans="1:114" ht="15" hidden="1" customHeight="1" outlineLevel="1">
      <c r="A3668" s="453"/>
      <c r="C3668" s="51"/>
      <c r="D3668" s="4295"/>
      <c r="E3668" s="4295"/>
      <c r="F3668" s="4347" t="str">
        <f t="shared" si="346"/>
        <v>ASHP-SEER15_ROF_SF</v>
      </c>
      <c r="G3668" s="4347"/>
      <c r="H3668" s="4347"/>
      <c r="I3668" s="4347"/>
      <c r="J3668" s="3471" t="str">
        <f t="shared" si="347"/>
        <v>352450_2024_12_</v>
      </c>
      <c r="K3668" s="3377">
        <v>18</v>
      </c>
      <c r="L3668" s="262"/>
      <c r="M3668" s="4202"/>
      <c r="P3668" s="261"/>
      <c r="Q3668" s="261"/>
      <c r="R3668" s="261"/>
      <c r="S3668" s="52"/>
      <c r="T3668" s="181"/>
      <c r="U3668" s="52"/>
      <c r="V3668" s="4295"/>
      <c r="W3668" s="3494">
        <v>18</v>
      </c>
      <c r="X3668" s="3494">
        <v>18</v>
      </c>
      <c r="Y3668" s="3494">
        <v>18</v>
      </c>
      <c r="Z3668" s="3494">
        <v>18</v>
      </c>
      <c r="AA3668" s="3494">
        <v>18</v>
      </c>
      <c r="AB3668" s="3494">
        <v>18</v>
      </c>
      <c r="AC3668" s="3494">
        <v>18</v>
      </c>
      <c r="AD3668" s="3494">
        <v>18</v>
      </c>
      <c r="AE3668" s="3494">
        <v>18</v>
      </c>
      <c r="AF3668" s="2236">
        <f t="shared" si="345"/>
        <v>18</v>
      </c>
      <c r="AG3668" s="263"/>
      <c r="DG3668" s="573"/>
      <c r="DH3668" s="159"/>
      <c r="DI3668" s="1091"/>
      <c r="DJ3668" s="1187"/>
    </row>
    <row r="3669" spans="1:114" ht="15" hidden="1" customHeight="1" outlineLevel="1">
      <c r="A3669" s="453"/>
      <c r="C3669" s="51"/>
      <c r="D3669" s="4295"/>
      <c r="E3669" s="4295"/>
      <c r="F3669" s="4307" t="str">
        <f t="shared" si="346"/>
        <v>ASHP-SEER15_ROF_SF</v>
      </c>
      <c r="G3669" s="4307"/>
      <c r="H3669" s="4307"/>
      <c r="I3669" s="4307"/>
      <c r="J3669" s="1029" t="str">
        <f t="shared" si="347"/>
        <v>352450_2024_12_</v>
      </c>
      <c r="K3669" s="1796">
        <v>18</v>
      </c>
      <c r="L3669" s="262"/>
      <c r="M3669" s="4202"/>
      <c r="P3669" s="261"/>
      <c r="Q3669" s="261"/>
      <c r="R3669" s="261"/>
      <c r="S3669" s="52"/>
      <c r="T3669" s="181"/>
      <c r="U3669" s="52"/>
      <c r="V3669" s="4295"/>
      <c r="W3669" s="263">
        <v>18</v>
      </c>
      <c r="X3669" s="263">
        <v>18</v>
      </c>
      <c r="Y3669" s="263">
        <v>18</v>
      </c>
      <c r="Z3669" s="263">
        <v>18</v>
      </c>
      <c r="AA3669" s="263">
        <v>18</v>
      </c>
      <c r="AB3669" s="263">
        <v>18</v>
      </c>
      <c r="AC3669" s="263">
        <v>18</v>
      </c>
      <c r="AD3669" s="263">
        <v>18</v>
      </c>
      <c r="AE3669" s="263">
        <v>18</v>
      </c>
      <c r="AF3669" s="271">
        <f t="shared" si="345"/>
        <v>18</v>
      </c>
      <c r="AG3669" s="263"/>
      <c r="DG3669" s="573"/>
      <c r="DH3669" s="159"/>
      <c r="DI3669" s="1091"/>
      <c r="DJ3669" s="1187"/>
    </row>
    <row r="3670" spans="1:114" ht="15" hidden="1" customHeight="1" outlineLevel="1">
      <c r="A3670" s="453"/>
      <c r="C3670" s="51"/>
      <c r="D3670" s="4295"/>
      <c r="E3670" s="4295"/>
      <c r="F3670" s="4307" t="str">
        <f t="shared" si="346"/>
        <v>ASHP-SEER16-Replace_CAC_ElectricHeat_ER1_SF</v>
      </c>
      <c r="G3670" s="4307"/>
      <c r="H3670" s="4307"/>
      <c r="I3670" s="4307"/>
      <c r="J3670" s="1029" t="str">
        <f t="shared" si="347"/>
        <v>352500_2024_12_</v>
      </c>
      <c r="K3670" s="1796">
        <v>6</v>
      </c>
      <c r="L3670" s="262"/>
      <c r="M3670" s="4202"/>
      <c r="P3670" s="261"/>
      <c r="Q3670" s="261"/>
      <c r="R3670" s="261"/>
      <c r="S3670" s="52"/>
      <c r="T3670" s="181"/>
      <c r="U3670" s="52"/>
      <c r="V3670" s="4295"/>
      <c r="W3670" s="263">
        <v>6</v>
      </c>
      <c r="X3670" s="263">
        <v>6</v>
      </c>
      <c r="Y3670" s="263">
        <v>6</v>
      </c>
      <c r="Z3670" s="263">
        <v>6</v>
      </c>
      <c r="AA3670" s="263">
        <v>6</v>
      </c>
      <c r="AB3670" s="263">
        <v>6</v>
      </c>
      <c r="AC3670" s="263">
        <v>6</v>
      </c>
      <c r="AD3670" s="263">
        <v>6</v>
      </c>
      <c r="AE3670" s="263">
        <v>6</v>
      </c>
      <c r="AF3670" s="271">
        <f t="shared" si="345"/>
        <v>6</v>
      </c>
      <c r="AG3670" s="263"/>
      <c r="DG3670" s="573"/>
      <c r="DH3670" s="159"/>
      <c r="DI3670" s="1091"/>
      <c r="DJ3670" s="1187"/>
    </row>
    <row r="3671" spans="1:114" ht="15" hidden="1" customHeight="1" outlineLevel="1">
      <c r="A3671" s="453"/>
      <c r="C3671" s="51"/>
      <c r="D3671" s="4295"/>
      <c r="E3671" s="4295"/>
      <c r="F3671" s="4307" t="str">
        <f t="shared" si="346"/>
        <v>ASHP-SEER16-Replace_CAC_ElectricHeat_ER1_SF</v>
      </c>
      <c r="G3671" s="4307"/>
      <c r="H3671" s="4307"/>
      <c r="I3671" s="4307"/>
      <c r="J3671" s="1029" t="str">
        <f t="shared" si="347"/>
        <v>352500_2024_12_</v>
      </c>
      <c r="K3671" s="1796">
        <v>6</v>
      </c>
      <c r="L3671" s="262"/>
      <c r="M3671" s="4202"/>
      <c r="P3671" s="261"/>
      <c r="Q3671" s="261"/>
      <c r="R3671" s="261"/>
      <c r="S3671" s="52"/>
      <c r="T3671" s="181"/>
      <c r="U3671" s="52"/>
      <c r="V3671" s="4295"/>
      <c r="W3671" s="263">
        <v>6</v>
      </c>
      <c r="X3671" s="263">
        <v>6</v>
      </c>
      <c r="Y3671" s="263">
        <v>6</v>
      </c>
      <c r="Z3671" s="263">
        <v>6</v>
      </c>
      <c r="AA3671" s="263">
        <v>6</v>
      </c>
      <c r="AB3671" s="263">
        <v>6</v>
      </c>
      <c r="AC3671" s="263">
        <v>6</v>
      </c>
      <c r="AD3671" s="263">
        <v>6</v>
      </c>
      <c r="AE3671" s="263">
        <v>6</v>
      </c>
      <c r="AF3671" s="271">
        <f t="shared" si="345"/>
        <v>6</v>
      </c>
      <c r="AG3671" s="263"/>
      <c r="DG3671" s="573"/>
      <c r="DH3671" s="159"/>
      <c r="DI3671" s="1091"/>
      <c r="DJ3671" s="1187"/>
    </row>
    <row r="3672" spans="1:114" ht="15" hidden="1" customHeight="1" outlineLevel="1">
      <c r="A3672" s="453"/>
      <c r="C3672" s="51"/>
      <c r="D3672" s="4295"/>
      <c r="E3672" s="4295"/>
      <c r="F3672" s="4307" t="str">
        <f t="shared" si="346"/>
        <v>ASHP-SEER16-Replace_CAC_ElectricHeat_ER2_SF</v>
      </c>
      <c r="G3672" s="4307"/>
      <c r="H3672" s="4307"/>
      <c r="I3672" s="4307"/>
      <c r="J3672" s="1029" t="str">
        <f t="shared" si="347"/>
        <v>352500_2024_12_</v>
      </c>
      <c r="K3672" s="1796">
        <v>12</v>
      </c>
      <c r="L3672" s="262"/>
      <c r="M3672" s="4202"/>
      <c r="P3672" s="261"/>
      <c r="Q3672" s="261"/>
      <c r="R3672" s="261"/>
      <c r="S3672" s="52"/>
      <c r="T3672" s="181"/>
      <c r="U3672" s="52"/>
      <c r="V3672" s="4295"/>
      <c r="W3672" s="263">
        <v>12</v>
      </c>
      <c r="X3672" s="263">
        <v>12</v>
      </c>
      <c r="Y3672" s="263">
        <v>12</v>
      </c>
      <c r="Z3672" s="263">
        <v>12</v>
      </c>
      <c r="AA3672" s="263">
        <v>12</v>
      </c>
      <c r="AB3672" s="263">
        <v>12</v>
      </c>
      <c r="AC3672" s="263">
        <v>12</v>
      </c>
      <c r="AD3672" s="263">
        <v>12</v>
      </c>
      <c r="AE3672" s="263">
        <v>12</v>
      </c>
      <c r="AF3672" s="271">
        <f t="shared" si="345"/>
        <v>12</v>
      </c>
      <c r="AG3672" s="263"/>
      <c r="DG3672" s="573"/>
      <c r="DH3672" s="159"/>
      <c r="DI3672" s="1091"/>
      <c r="DJ3672" s="1187"/>
    </row>
    <row r="3673" spans="1:114" ht="15" hidden="1" customHeight="1" outlineLevel="1">
      <c r="A3673" s="453"/>
      <c r="C3673" s="51"/>
      <c r="D3673" s="4295"/>
      <c r="E3673" s="4295"/>
      <c r="F3673" s="4307" t="str">
        <f t="shared" si="346"/>
        <v>ASHP-SEER16-Replace_CAC_ElectricHeat_ER2_SF</v>
      </c>
      <c r="G3673" s="4307"/>
      <c r="H3673" s="4307"/>
      <c r="I3673" s="4307"/>
      <c r="J3673" s="1029" t="str">
        <f t="shared" si="347"/>
        <v>352500_2024_12_</v>
      </c>
      <c r="K3673" s="1796">
        <v>12</v>
      </c>
      <c r="L3673" s="262"/>
      <c r="M3673" s="4202"/>
      <c r="P3673" s="261"/>
      <c r="Q3673" s="261"/>
      <c r="R3673" s="261"/>
      <c r="S3673" s="52"/>
      <c r="T3673" s="181"/>
      <c r="U3673" s="52"/>
      <c r="V3673" s="4295"/>
      <c r="W3673" s="263">
        <v>12</v>
      </c>
      <c r="X3673" s="263">
        <v>12</v>
      </c>
      <c r="Y3673" s="263">
        <v>12</v>
      </c>
      <c r="Z3673" s="263">
        <v>12</v>
      </c>
      <c r="AA3673" s="263">
        <v>12</v>
      </c>
      <c r="AB3673" s="263">
        <v>12</v>
      </c>
      <c r="AC3673" s="263">
        <v>12</v>
      </c>
      <c r="AD3673" s="263">
        <v>12</v>
      </c>
      <c r="AE3673" s="263">
        <v>12</v>
      </c>
      <c r="AF3673" s="271">
        <f t="shared" si="345"/>
        <v>12</v>
      </c>
      <c r="AG3673" s="263"/>
      <c r="DG3673" s="573"/>
      <c r="DH3673" s="159"/>
      <c r="DI3673" s="1091"/>
      <c r="DJ3673" s="1187"/>
    </row>
    <row r="3674" spans="1:114" ht="15" hidden="1" customHeight="1" outlineLevel="1">
      <c r="A3674" s="453"/>
      <c r="C3674" s="51"/>
      <c r="D3674" s="4295"/>
      <c r="E3674" s="4295"/>
      <c r="F3674" s="4307" t="str">
        <f t="shared" si="346"/>
        <v>ASHP-SEER16-Replace_CAC_NonElectricHeat_ER1_SF</v>
      </c>
      <c r="G3674" s="4307"/>
      <c r="H3674" s="4307"/>
      <c r="I3674" s="4307"/>
      <c r="J3674" s="1029" t="str">
        <f t="shared" si="347"/>
        <v>352510_2024_12_</v>
      </c>
      <c r="K3674" s="1796">
        <v>6</v>
      </c>
      <c r="L3674" s="262"/>
      <c r="M3674" s="4202"/>
      <c r="P3674" s="261"/>
      <c r="Q3674" s="261"/>
      <c r="R3674" s="261"/>
      <c r="S3674" s="52"/>
      <c r="T3674" s="181"/>
      <c r="U3674" s="52"/>
      <c r="V3674" s="4295"/>
      <c r="W3674" s="263"/>
      <c r="X3674" s="263"/>
      <c r="Y3674" s="263"/>
      <c r="Z3674" s="263"/>
      <c r="AA3674" s="263"/>
      <c r="AB3674" s="263"/>
      <c r="AC3674" s="1030">
        <v>6</v>
      </c>
      <c r="AD3674" s="263">
        <v>6</v>
      </c>
      <c r="AE3674" s="263">
        <v>6</v>
      </c>
      <c r="AF3674" s="271">
        <f t="shared" si="345"/>
        <v>6</v>
      </c>
      <c r="AG3674" s="263"/>
      <c r="DG3674" s="573"/>
      <c r="DH3674" s="159"/>
      <c r="DI3674" s="1091"/>
      <c r="DJ3674" s="1187"/>
    </row>
    <row r="3675" spans="1:114" ht="15" hidden="1" customHeight="1" outlineLevel="1">
      <c r="A3675" s="453"/>
      <c r="C3675" s="51"/>
      <c r="D3675" s="4295"/>
      <c r="E3675" s="4295"/>
      <c r="F3675" s="4307" t="str">
        <f t="shared" si="346"/>
        <v>ASHP-SEER16-Replace_CAC_NonElectricHeat_ER1_SF</v>
      </c>
      <c r="G3675" s="4307"/>
      <c r="H3675" s="4307"/>
      <c r="I3675" s="4307"/>
      <c r="J3675" s="1029" t="str">
        <f t="shared" si="347"/>
        <v>352510_2024_12_</v>
      </c>
      <c r="K3675" s="1796">
        <v>6</v>
      </c>
      <c r="L3675" s="262"/>
      <c r="M3675" s="4202"/>
      <c r="P3675" s="261"/>
      <c r="Q3675" s="261"/>
      <c r="R3675" s="261"/>
      <c r="S3675" s="52"/>
      <c r="T3675" s="181"/>
      <c r="U3675" s="52"/>
      <c r="V3675" s="4295"/>
      <c r="W3675" s="263"/>
      <c r="X3675" s="263"/>
      <c r="Y3675" s="263"/>
      <c r="Z3675" s="263"/>
      <c r="AA3675" s="263"/>
      <c r="AB3675" s="263"/>
      <c r="AC3675" s="1030">
        <v>6</v>
      </c>
      <c r="AD3675" s="263">
        <v>6</v>
      </c>
      <c r="AE3675" s="263">
        <v>6</v>
      </c>
      <c r="AF3675" s="271">
        <f t="shared" si="345"/>
        <v>6</v>
      </c>
      <c r="AG3675" s="263"/>
      <c r="DG3675" s="573"/>
      <c r="DH3675" s="159"/>
      <c r="DI3675" s="1091"/>
      <c r="DJ3675" s="1187"/>
    </row>
    <row r="3676" spans="1:114" ht="15" hidden="1" customHeight="1" outlineLevel="1">
      <c r="A3676" s="453"/>
      <c r="C3676" s="51"/>
      <c r="D3676" s="4295"/>
      <c r="E3676" s="4295"/>
      <c r="F3676" s="4307" t="str">
        <f t="shared" si="346"/>
        <v>ASHP-SEER16-Replace_CAC_NonElectricHeat_ER2_SF</v>
      </c>
      <c r="G3676" s="4307"/>
      <c r="H3676" s="4307"/>
      <c r="I3676" s="4307"/>
      <c r="J3676" s="1029" t="str">
        <f t="shared" si="347"/>
        <v>352510_2024_12_</v>
      </c>
      <c r="K3676" s="1796">
        <v>12</v>
      </c>
      <c r="L3676" s="262"/>
      <c r="M3676" s="4202"/>
      <c r="P3676" s="261"/>
      <c r="Q3676" s="261"/>
      <c r="R3676" s="261"/>
      <c r="S3676" s="52"/>
      <c r="T3676" s="181"/>
      <c r="U3676" s="52"/>
      <c r="V3676" s="4295"/>
      <c r="W3676" s="263"/>
      <c r="X3676" s="263"/>
      <c r="Y3676" s="263"/>
      <c r="Z3676" s="263"/>
      <c r="AA3676" s="263"/>
      <c r="AB3676" s="263"/>
      <c r="AC3676" s="1030">
        <v>12</v>
      </c>
      <c r="AD3676" s="263">
        <v>12</v>
      </c>
      <c r="AE3676" s="263">
        <v>12</v>
      </c>
      <c r="AF3676" s="271">
        <f t="shared" si="345"/>
        <v>12</v>
      </c>
      <c r="AG3676" s="263"/>
      <c r="DG3676" s="573"/>
      <c r="DH3676" s="159"/>
      <c r="DI3676" s="1091"/>
      <c r="DJ3676" s="1187"/>
    </row>
    <row r="3677" spans="1:114" ht="15" hidden="1" customHeight="1" outlineLevel="1">
      <c r="A3677" s="453"/>
      <c r="C3677" s="51"/>
      <c r="D3677" s="4295"/>
      <c r="E3677" s="4295"/>
      <c r="F3677" s="4307" t="str">
        <f t="shared" si="346"/>
        <v>ASHP-SEER16-Replace_CAC_NonElectricHeat_ER2_SF</v>
      </c>
      <c r="G3677" s="4307"/>
      <c r="H3677" s="4307"/>
      <c r="I3677" s="4307"/>
      <c r="J3677" s="1029" t="str">
        <f t="shared" si="347"/>
        <v>352510_2024_12_</v>
      </c>
      <c r="K3677" s="1796">
        <v>12</v>
      </c>
      <c r="L3677" s="262"/>
      <c r="M3677" s="4202"/>
      <c r="P3677" s="261"/>
      <c r="Q3677" s="261"/>
      <c r="R3677" s="261"/>
      <c r="S3677" s="52"/>
      <c r="T3677" s="181"/>
      <c r="U3677" s="52"/>
      <c r="V3677" s="4295"/>
      <c r="W3677" s="263"/>
      <c r="X3677" s="263"/>
      <c r="Y3677" s="263"/>
      <c r="Z3677" s="263"/>
      <c r="AA3677" s="263"/>
      <c r="AB3677" s="263"/>
      <c r="AC3677" s="1030">
        <v>12</v>
      </c>
      <c r="AD3677" s="263">
        <v>12</v>
      </c>
      <c r="AE3677" s="263">
        <v>12</v>
      </c>
      <c r="AF3677" s="271">
        <f t="shared" si="345"/>
        <v>12</v>
      </c>
      <c r="AG3677" s="263"/>
      <c r="DG3677" s="573"/>
      <c r="DH3677" s="159"/>
      <c r="DI3677" s="1091"/>
      <c r="DJ3677" s="1187"/>
    </row>
    <row r="3678" spans="1:114" ht="15" hidden="1" customHeight="1" outlineLevel="1">
      <c r="A3678" s="453"/>
      <c r="C3678" s="51"/>
      <c r="D3678" s="4295"/>
      <c r="E3678" s="4295"/>
      <c r="F3678" s="4307" t="str">
        <f t="shared" si="346"/>
        <v>ASHP-SEER16_ER1_SF</v>
      </c>
      <c r="G3678" s="4307"/>
      <c r="H3678" s="4307"/>
      <c r="I3678" s="4307"/>
      <c r="J3678" s="1029" t="str">
        <f t="shared" si="347"/>
        <v>352550_2024_12_</v>
      </c>
      <c r="K3678" s="1796">
        <v>6</v>
      </c>
      <c r="L3678" s="262"/>
      <c r="M3678" s="4202"/>
      <c r="P3678" s="261"/>
      <c r="Q3678" s="261"/>
      <c r="R3678" s="261"/>
      <c r="S3678" s="52"/>
      <c r="T3678" s="181"/>
      <c r="U3678" s="52"/>
      <c r="V3678" s="4295"/>
      <c r="W3678" s="263">
        <v>6</v>
      </c>
      <c r="X3678" s="263">
        <v>6</v>
      </c>
      <c r="Y3678" s="263">
        <v>6</v>
      </c>
      <c r="Z3678" s="263">
        <v>6</v>
      </c>
      <c r="AA3678" s="263">
        <v>6</v>
      </c>
      <c r="AB3678" s="263">
        <v>6</v>
      </c>
      <c r="AC3678" s="263">
        <v>6</v>
      </c>
      <c r="AD3678" s="263">
        <v>6</v>
      </c>
      <c r="AE3678" s="263">
        <v>6</v>
      </c>
      <c r="AF3678" s="271">
        <f t="shared" si="345"/>
        <v>6</v>
      </c>
      <c r="AG3678" s="263"/>
      <c r="DG3678" s="573"/>
      <c r="DH3678" s="159"/>
      <c r="DI3678" s="1091"/>
      <c r="DJ3678" s="1187"/>
    </row>
    <row r="3679" spans="1:114" ht="15" hidden="1" customHeight="1" outlineLevel="1">
      <c r="A3679" s="453"/>
      <c r="C3679" s="51"/>
      <c r="D3679" s="4295"/>
      <c r="E3679" s="4295"/>
      <c r="F3679" s="4307" t="str">
        <f t="shared" si="346"/>
        <v>ASHP-SEER16_ER1_SF</v>
      </c>
      <c r="G3679" s="4307"/>
      <c r="H3679" s="4307"/>
      <c r="I3679" s="4307"/>
      <c r="J3679" s="1029" t="str">
        <f t="shared" si="347"/>
        <v>352550_2024_12_</v>
      </c>
      <c r="K3679" s="1796">
        <v>6</v>
      </c>
      <c r="L3679" s="262"/>
      <c r="M3679" s="4202"/>
      <c r="P3679" s="261"/>
      <c r="Q3679" s="261"/>
      <c r="R3679" s="261"/>
      <c r="S3679" s="52"/>
      <c r="T3679" s="181"/>
      <c r="U3679" s="52"/>
      <c r="V3679" s="4295"/>
      <c r="W3679" s="263">
        <v>6</v>
      </c>
      <c r="X3679" s="263">
        <v>6</v>
      </c>
      <c r="Y3679" s="263">
        <v>6</v>
      </c>
      <c r="Z3679" s="263">
        <v>6</v>
      </c>
      <c r="AA3679" s="263">
        <v>6</v>
      </c>
      <c r="AB3679" s="263">
        <v>6</v>
      </c>
      <c r="AC3679" s="263">
        <v>6</v>
      </c>
      <c r="AD3679" s="263">
        <v>6</v>
      </c>
      <c r="AE3679" s="263">
        <v>6</v>
      </c>
      <c r="AF3679" s="271">
        <f t="shared" si="345"/>
        <v>6</v>
      </c>
      <c r="AG3679" s="263"/>
      <c r="DG3679" s="573"/>
      <c r="DH3679" s="159"/>
      <c r="DI3679" s="1091"/>
      <c r="DJ3679" s="1187"/>
    </row>
    <row r="3680" spans="1:114" ht="15" hidden="1" customHeight="1" outlineLevel="1">
      <c r="A3680" s="453"/>
      <c r="C3680" s="51"/>
      <c r="D3680" s="4295"/>
      <c r="E3680" s="4295"/>
      <c r="F3680" s="4307" t="str">
        <f t="shared" si="346"/>
        <v>ASHP-SEER16_ER2_SF</v>
      </c>
      <c r="G3680" s="4307"/>
      <c r="H3680" s="4307"/>
      <c r="I3680" s="4307"/>
      <c r="J3680" s="1029" t="str">
        <f t="shared" si="347"/>
        <v>352550_2024_12_</v>
      </c>
      <c r="K3680" s="1796">
        <v>12</v>
      </c>
      <c r="L3680" s="262"/>
      <c r="M3680" s="4202"/>
      <c r="P3680" s="261"/>
      <c r="Q3680" s="261"/>
      <c r="R3680" s="261"/>
      <c r="S3680" s="52"/>
      <c r="T3680" s="181"/>
      <c r="U3680" s="52"/>
      <c r="V3680" s="4295"/>
      <c r="W3680" s="263">
        <v>12</v>
      </c>
      <c r="X3680" s="263">
        <v>12</v>
      </c>
      <c r="Y3680" s="263">
        <v>12</v>
      </c>
      <c r="Z3680" s="263">
        <v>12</v>
      </c>
      <c r="AA3680" s="263">
        <v>12</v>
      </c>
      <c r="AB3680" s="263">
        <v>12</v>
      </c>
      <c r="AC3680" s="263">
        <v>12</v>
      </c>
      <c r="AD3680" s="263">
        <v>12</v>
      </c>
      <c r="AE3680" s="263">
        <v>12</v>
      </c>
      <c r="AF3680" s="271">
        <f t="shared" si="345"/>
        <v>12</v>
      </c>
      <c r="AG3680" s="263"/>
      <c r="DG3680" s="573"/>
      <c r="DH3680" s="159"/>
      <c r="DI3680" s="1091"/>
      <c r="DJ3680" s="1187"/>
    </row>
    <row r="3681" spans="1:114" ht="15" hidden="1" customHeight="1" outlineLevel="1">
      <c r="A3681" s="453"/>
      <c r="C3681" s="51"/>
      <c r="D3681" s="4295"/>
      <c r="E3681" s="4295"/>
      <c r="F3681" s="4307" t="str">
        <f t="shared" si="346"/>
        <v>ASHP-SEER16_ER2_SF</v>
      </c>
      <c r="G3681" s="4307"/>
      <c r="H3681" s="4307"/>
      <c r="I3681" s="4307"/>
      <c r="J3681" s="1029" t="str">
        <f t="shared" si="347"/>
        <v>352550_2024_12_</v>
      </c>
      <c r="K3681" s="1796">
        <v>12</v>
      </c>
      <c r="L3681" s="262"/>
      <c r="M3681" s="4202"/>
      <c r="P3681" s="261"/>
      <c r="Q3681" s="261"/>
      <c r="R3681" s="261"/>
      <c r="S3681" s="52"/>
      <c r="T3681" s="181"/>
      <c r="U3681" s="52"/>
      <c r="V3681" s="4295"/>
      <c r="W3681" s="263">
        <v>12</v>
      </c>
      <c r="X3681" s="263">
        <v>12</v>
      </c>
      <c r="Y3681" s="263">
        <v>12</v>
      </c>
      <c r="Z3681" s="263">
        <v>12</v>
      </c>
      <c r="AA3681" s="263">
        <v>12</v>
      </c>
      <c r="AB3681" s="263">
        <v>12</v>
      </c>
      <c r="AC3681" s="263">
        <v>12</v>
      </c>
      <c r="AD3681" s="263">
        <v>12</v>
      </c>
      <c r="AE3681" s="263">
        <v>12</v>
      </c>
      <c r="AF3681" s="271">
        <f t="shared" si="345"/>
        <v>12</v>
      </c>
      <c r="AG3681" s="263"/>
      <c r="DG3681" s="573"/>
      <c r="DH3681" s="159"/>
      <c r="DI3681" s="1091"/>
      <c r="DJ3681" s="1187"/>
    </row>
    <row r="3682" spans="1:114" ht="15" hidden="1" customHeight="1" outlineLevel="1">
      <c r="A3682" s="453"/>
      <c r="C3682" s="51"/>
      <c r="D3682" s="4295"/>
      <c r="E3682" s="4295"/>
      <c r="F3682" s="4307" t="str">
        <f t="shared" si="346"/>
        <v>ASHP-SEER16-Replace_CAC_ElectricHeat_ROF_SF</v>
      </c>
      <c r="G3682" s="4307"/>
      <c r="H3682" s="4307"/>
      <c r="I3682" s="4307"/>
      <c r="J3682" s="1029" t="str">
        <f t="shared" si="347"/>
        <v>352600_2024_12_</v>
      </c>
      <c r="K3682" s="1796">
        <v>18</v>
      </c>
      <c r="L3682" s="262"/>
      <c r="M3682" s="4202"/>
      <c r="P3682" s="261"/>
      <c r="Q3682" s="261"/>
      <c r="R3682" s="261"/>
      <c r="S3682" s="52"/>
      <c r="T3682" s="181"/>
      <c r="U3682" s="52"/>
      <c r="V3682" s="4295"/>
      <c r="W3682" s="263">
        <v>18</v>
      </c>
      <c r="X3682" s="263">
        <v>18</v>
      </c>
      <c r="Y3682" s="263">
        <v>18</v>
      </c>
      <c r="Z3682" s="263">
        <v>18</v>
      </c>
      <c r="AA3682" s="263">
        <v>18</v>
      </c>
      <c r="AB3682" s="263">
        <v>18</v>
      </c>
      <c r="AC3682" s="263">
        <v>18</v>
      </c>
      <c r="AD3682" s="263">
        <v>18</v>
      </c>
      <c r="AE3682" s="263">
        <v>18</v>
      </c>
      <c r="AF3682" s="271">
        <f t="shared" si="345"/>
        <v>18</v>
      </c>
      <c r="AG3682" s="263"/>
      <c r="DG3682" s="573"/>
      <c r="DH3682" s="159"/>
      <c r="DI3682" s="1091"/>
      <c r="DJ3682" s="1187"/>
    </row>
    <row r="3683" spans="1:114" ht="15" hidden="1" customHeight="1" outlineLevel="1">
      <c r="A3683" s="453"/>
      <c r="C3683" s="51"/>
      <c r="D3683" s="4295"/>
      <c r="E3683" s="4295"/>
      <c r="F3683" s="4307" t="str">
        <f t="shared" si="346"/>
        <v>ASHP-SEER16-Replace_CAC_ElectricHeat_ROF_SF</v>
      </c>
      <c r="G3683" s="4307"/>
      <c r="H3683" s="4307"/>
      <c r="I3683" s="4307"/>
      <c r="J3683" s="1029" t="str">
        <f t="shared" si="347"/>
        <v>352600_2024_12_</v>
      </c>
      <c r="K3683" s="1796">
        <v>18</v>
      </c>
      <c r="L3683" s="262"/>
      <c r="M3683" s="4202"/>
      <c r="P3683" s="261"/>
      <c r="Q3683" s="261"/>
      <c r="R3683" s="261"/>
      <c r="S3683" s="52"/>
      <c r="T3683" s="181"/>
      <c r="U3683" s="52"/>
      <c r="V3683" s="4295"/>
      <c r="W3683" s="263">
        <v>18</v>
      </c>
      <c r="X3683" s="263">
        <v>18</v>
      </c>
      <c r="Y3683" s="263">
        <v>18</v>
      </c>
      <c r="Z3683" s="263">
        <v>18</v>
      </c>
      <c r="AA3683" s="263">
        <v>18</v>
      </c>
      <c r="AB3683" s="263">
        <v>18</v>
      </c>
      <c r="AC3683" s="263">
        <v>18</v>
      </c>
      <c r="AD3683" s="263">
        <v>18</v>
      </c>
      <c r="AE3683" s="263">
        <v>18</v>
      </c>
      <c r="AF3683" s="271">
        <f t="shared" si="345"/>
        <v>18</v>
      </c>
      <c r="AG3683" s="263"/>
      <c r="DG3683" s="573"/>
      <c r="DH3683" s="159"/>
      <c r="DI3683" s="1091"/>
      <c r="DJ3683" s="1187"/>
    </row>
    <row r="3684" spans="1:114" ht="15" hidden="1" customHeight="1" outlineLevel="1">
      <c r="A3684" s="453"/>
      <c r="C3684" s="51"/>
      <c r="D3684" s="4295"/>
      <c r="E3684" s="4295"/>
      <c r="F3684" s="4307" t="str">
        <f t="shared" si="346"/>
        <v>ASHP-SEER16-Replace_CAC_NonElectricHeat_ROF_SF</v>
      </c>
      <c r="G3684" s="4307"/>
      <c r="H3684" s="4307"/>
      <c r="I3684" s="4307"/>
      <c r="J3684" s="1029" t="str">
        <f t="shared" si="347"/>
        <v>352610_2024_12_</v>
      </c>
      <c r="K3684" s="1796">
        <v>18</v>
      </c>
      <c r="L3684" s="262"/>
      <c r="M3684" s="4202"/>
      <c r="P3684" s="261"/>
      <c r="Q3684" s="261"/>
      <c r="R3684" s="261"/>
      <c r="S3684" s="52"/>
      <c r="T3684" s="181"/>
      <c r="U3684" s="52"/>
      <c r="V3684" s="4295"/>
      <c r="W3684" s="263"/>
      <c r="X3684" s="263"/>
      <c r="Y3684" s="263"/>
      <c r="Z3684" s="263"/>
      <c r="AA3684" s="263"/>
      <c r="AB3684" s="263"/>
      <c r="AC3684" s="263"/>
      <c r="AD3684" s="1030">
        <v>18</v>
      </c>
      <c r="AE3684" s="263">
        <v>18</v>
      </c>
      <c r="AF3684" s="271">
        <f t="shared" si="345"/>
        <v>18</v>
      </c>
      <c r="AG3684" s="263"/>
      <c r="DG3684" s="573"/>
      <c r="DH3684" s="159"/>
      <c r="DI3684" s="1091"/>
      <c r="DJ3684" s="1187"/>
    </row>
    <row r="3685" spans="1:114" ht="15" hidden="1" customHeight="1" outlineLevel="1">
      <c r="A3685" s="453"/>
      <c r="C3685" s="51"/>
      <c r="D3685" s="4295"/>
      <c r="E3685" s="4295"/>
      <c r="F3685" s="4307" t="str">
        <f t="shared" si="346"/>
        <v>ASHP-SEER16-Replace_CAC_NonElectricHeat_ROF_SF</v>
      </c>
      <c r="G3685" s="4307"/>
      <c r="H3685" s="4307"/>
      <c r="I3685" s="4307"/>
      <c r="J3685" s="1029" t="str">
        <f t="shared" si="347"/>
        <v>352610_2024_12_</v>
      </c>
      <c r="K3685" s="1796">
        <v>18</v>
      </c>
      <c r="L3685" s="262"/>
      <c r="M3685" s="4202"/>
      <c r="P3685" s="261"/>
      <c r="Q3685" s="261"/>
      <c r="R3685" s="261"/>
      <c r="S3685" s="52"/>
      <c r="T3685" s="181"/>
      <c r="U3685" s="52"/>
      <c r="V3685" s="4295"/>
      <c r="W3685" s="263"/>
      <c r="X3685" s="263"/>
      <c r="Y3685" s="263"/>
      <c r="Z3685" s="263"/>
      <c r="AA3685" s="263"/>
      <c r="AB3685" s="263"/>
      <c r="AC3685" s="263"/>
      <c r="AD3685" s="1030">
        <v>18</v>
      </c>
      <c r="AE3685" s="263">
        <v>18</v>
      </c>
      <c r="AF3685" s="271">
        <f t="shared" si="345"/>
        <v>18</v>
      </c>
      <c r="AG3685" s="263"/>
      <c r="DG3685" s="573"/>
      <c r="DH3685" s="159"/>
      <c r="DI3685" s="1091"/>
      <c r="DJ3685" s="1187"/>
    </row>
    <row r="3686" spans="1:114" ht="15" hidden="1" customHeight="1" outlineLevel="1">
      <c r="A3686" s="453"/>
      <c r="C3686" s="51"/>
      <c r="D3686" s="4295"/>
      <c r="E3686" s="4295"/>
      <c r="F3686" s="4307" t="str">
        <f t="shared" si="346"/>
        <v>ASHP-SEER16_ROF_SF</v>
      </c>
      <c r="G3686" s="4307"/>
      <c r="H3686" s="4307"/>
      <c r="I3686" s="4307"/>
      <c r="J3686" s="1029" t="str">
        <f t="shared" si="347"/>
        <v>352650_2024_12_</v>
      </c>
      <c r="K3686" s="1796">
        <v>18</v>
      </c>
      <c r="L3686" s="262"/>
      <c r="M3686" s="4202"/>
      <c r="P3686" s="261"/>
      <c r="Q3686" s="261"/>
      <c r="R3686" s="261"/>
      <c r="S3686" s="52"/>
      <c r="T3686" s="181"/>
      <c r="U3686" s="52"/>
      <c r="V3686" s="4295"/>
      <c r="W3686" s="263">
        <v>18</v>
      </c>
      <c r="X3686" s="263">
        <v>18</v>
      </c>
      <c r="Y3686" s="263">
        <v>18</v>
      </c>
      <c r="Z3686" s="263">
        <v>18</v>
      </c>
      <c r="AA3686" s="263">
        <v>18</v>
      </c>
      <c r="AB3686" s="263">
        <v>18</v>
      </c>
      <c r="AC3686" s="263">
        <v>18</v>
      </c>
      <c r="AD3686" s="263">
        <v>18</v>
      </c>
      <c r="AE3686" s="263">
        <v>18</v>
      </c>
      <c r="AF3686" s="271">
        <f t="shared" si="345"/>
        <v>18</v>
      </c>
      <c r="AG3686" s="263"/>
      <c r="DG3686" s="573"/>
      <c r="DH3686" s="159"/>
      <c r="DI3686" s="1091"/>
      <c r="DJ3686" s="1187"/>
    </row>
    <row r="3687" spans="1:114" ht="15" hidden="1" customHeight="1" outlineLevel="1">
      <c r="A3687" s="453"/>
      <c r="C3687" s="51"/>
      <c r="D3687" s="4295"/>
      <c r="E3687" s="4295"/>
      <c r="F3687" s="4307" t="str">
        <f t="shared" si="346"/>
        <v>ASHP-SEER16_ROF_SF</v>
      </c>
      <c r="G3687" s="4307"/>
      <c r="H3687" s="4307"/>
      <c r="I3687" s="4307"/>
      <c r="J3687" s="1029" t="str">
        <f t="shared" si="347"/>
        <v>352650_2024_12_</v>
      </c>
      <c r="K3687" s="1796">
        <v>18</v>
      </c>
      <c r="L3687" s="262"/>
      <c r="M3687" s="4202"/>
      <c r="P3687" s="261"/>
      <c r="Q3687" s="261"/>
      <c r="R3687" s="261"/>
      <c r="S3687" s="52"/>
      <c r="T3687" s="181"/>
      <c r="U3687" s="52"/>
      <c r="V3687" s="4295"/>
      <c r="W3687" s="263">
        <v>18</v>
      </c>
      <c r="X3687" s="263">
        <v>18</v>
      </c>
      <c r="Y3687" s="263">
        <v>18</v>
      </c>
      <c r="Z3687" s="263">
        <v>18</v>
      </c>
      <c r="AA3687" s="263">
        <v>18</v>
      </c>
      <c r="AB3687" s="263">
        <v>18</v>
      </c>
      <c r="AC3687" s="263">
        <v>18</v>
      </c>
      <c r="AD3687" s="263">
        <v>18</v>
      </c>
      <c r="AE3687" s="263">
        <v>18</v>
      </c>
      <c r="AF3687" s="271">
        <f t="shared" si="345"/>
        <v>18</v>
      </c>
      <c r="AG3687" s="263"/>
      <c r="DG3687" s="573"/>
      <c r="DH3687" s="159"/>
      <c r="DI3687" s="1091"/>
      <c r="DJ3687" s="1187"/>
    </row>
    <row r="3688" spans="1:114" ht="15" hidden="1" customHeight="1" outlineLevel="1">
      <c r="A3688" s="453"/>
      <c r="C3688" s="51"/>
      <c r="D3688" s="4295"/>
      <c r="E3688" s="4295"/>
      <c r="F3688" s="4307" t="str">
        <f t="shared" si="346"/>
        <v>ASHP-SEER15_ER1_MF</v>
      </c>
      <c r="G3688" s="4307"/>
      <c r="H3688" s="4307"/>
      <c r="I3688" s="4307"/>
      <c r="J3688" s="1029" t="str">
        <f t="shared" si="347"/>
        <v>352700_2024_12_</v>
      </c>
      <c r="K3688" s="1796">
        <v>6</v>
      </c>
      <c r="L3688" s="262"/>
      <c r="M3688" s="4202"/>
      <c r="P3688" s="261"/>
      <c r="Q3688" s="261"/>
      <c r="R3688" s="261"/>
      <c r="S3688" s="52"/>
      <c r="T3688" s="181"/>
      <c r="U3688" s="52"/>
      <c r="V3688" s="4295"/>
      <c r="W3688" s="263">
        <v>6</v>
      </c>
      <c r="X3688" s="263">
        <v>6</v>
      </c>
      <c r="Y3688" s="263">
        <v>6</v>
      </c>
      <c r="Z3688" s="263">
        <v>6</v>
      </c>
      <c r="AA3688" s="263">
        <v>6</v>
      </c>
      <c r="AB3688" s="263">
        <v>6</v>
      </c>
      <c r="AC3688" s="263">
        <v>6</v>
      </c>
      <c r="AD3688" s="263">
        <v>6</v>
      </c>
      <c r="AE3688" s="263">
        <v>6</v>
      </c>
      <c r="AF3688" s="271">
        <f t="shared" si="345"/>
        <v>6</v>
      </c>
      <c r="AG3688" s="263"/>
      <c r="DG3688" s="573"/>
      <c r="DH3688" s="159"/>
      <c r="DI3688" s="1091"/>
      <c r="DJ3688" s="1187"/>
    </row>
    <row r="3689" spans="1:114" ht="15" hidden="1" customHeight="1" outlineLevel="1">
      <c r="A3689" s="453"/>
      <c r="C3689" s="51"/>
      <c r="D3689" s="4295"/>
      <c r="E3689" s="4295"/>
      <c r="F3689" s="4307" t="str">
        <f t="shared" si="346"/>
        <v>ASHP-SEER15_ER1_MF</v>
      </c>
      <c r="G3689" s="4307"/>
      <c r="H3689" s="4307"/>
      <c r="I3689" s="4307"/>
      <c r="J3689" s="1029" t="str">
        <f t="shared" si="347"/>
        <v>352700_2024_12_</v>
      </c>
      <c r="K3689" s="1796">
        <v>6</v>
      </c>
      <c r="L3689" s="262"/>
      <c r="M3689" s="4202"/>
      <c r="P3689" s="261"/>
      <c r="Q3689" s="261"/>
      <c r="R3689" s="261"/>
      <c r="S3689" s="52"/>
      <c r="T3689" s="181"/>
      <c r="U3689" s="52"/>
      <c r="V3689" s="4295"/>
      <c r="W3689" s="263">
        <v>6</v>
      </c>
      <c r="X3689" s="263">
        <v>6</v>
      </c>
      <c r="Y3689" s="263">
        <v>6</v>
      </c>
      <c r="Z3689" s="263">
        <v>6</v>
      </c>
      <c r="AA3689" s="263">
        <v>6</v>
      </c>
      <c r="AB3689" s="263">
        <v>6</v>
      </c>
      <c r="AC3689" s="263">
        <v>6</v>
      </c>
      <c r="AD3689" s="263">
        <v>6</v>
      </c>
      <c r="AE3689" s="263">
        <v>6</v>
      </c>
      <c r="AF3689" s="271">
        <f t="shared" si="345"/>
        <v>6</v>
      </c>
      <c r="AG3689" s="263"/>
      <c r="DG3689" s="573"/>
      <c r="DH3689" s="159"/>
      <c r="DI3689" s="1091"/>
      <c r="DJ3689" s="1187"/>
    </row>
    <row r="3690" spans="1:114" ht="15" hidden="1" customHeight="1" outlineLevel="1">
      <c r="A3690" s="453"/>
      <c r="C3690" s="51"/>
      <c r="D3690" s="4295"/>
      <c r="E3690" s="4295"/>
      <c r="F3690" s="4307" t="str">
        <f t="shared" si="346"/>
        <v>ASHP-SEER15_ER2_MF</v>
      </c>
      <c r="G3690" s="4307"/>
      <c r="H3690" s="4307"/>
      <c r="I3690" s="4307"/>
      <c r="J3690" s="1029" t="str">
        <f t="shared" si="347"/>
        <v>352700_2024_12_</v>
      </c>
      <c r="K3690" s="1796">
        <v>12</v>
      </c>
      <c r="L3690" s="262"/>
      <c r="M3690" s="4202"/>
      <c r="P3690" s="261"/>
      <c r="Q3690" s="261"/>
      <c r="R3690" s="261"/>
      <c r="S3690" s="52"/>
      <c r="T3690" s="181"/>
      <c r="U3690" s="52"/>
      <c r="V3690" s="4295"/>
      <c r="W3690" s="263">
        <v>12</v>
      </c>
      <c r="X3690" s="263">
        <v>12</v>
      </c>
      <c r="Y3690" s="263">
        <v>12</v>
      </c>
      <c r="Z3690" s="263">
        <v>12</v>
      </c>
      <c r="AA3690" s="263">
        <v>12</v>
      </c>
      <c r="AB3690" s="263">
        <v>12</v>
      </c>
      <c r="AC3690" s="263">
        <v>12</v>
      </c>
      <c r="AD3690" s="263">
        <v>12</v>
      </c>
      <c r="AE3690" s="263">
        <v>12</v>
      </c>
      <c r="AF3690" s="271">
        <f t="shared" si="345"/>
        <v>12</v>
      </c>
      <c r="AG3690" s="263"/>
      <c r="DG3690" s="573"/>
      <c r="DH3690" s="159"/>
      <c r="DI3690" s="1091"/>
      <c r="DJ3690" s="1187"/>
    </row>
    <row r="3691" spans="1:114" ht="15" hidden="1" customHeight="1" outlineLevel="1">
      <c r="A3691" s="453"/>
      <c r="C3691" s="51"/>
      <c r="D3691" s="4295"/>
      <c r="E3691" s="4295"/>
      <c r="F3691" s="4307" t="str">
        <f t="shared" si="346"/>
        <v>ASHP-SEER15_ER2_MF</v>
      </c>
      <c r="G3691" s="4307"/>
      <c r="H3691" s="4307"/>
      <c r="I3691" s="4307"/>
      <c r="J3691" s="1029" t="str">
        <f t="shared" si="347"/>
        <v>352700_2024_12_</v>
      </c>
      <c r="K3691" s="1796">
        <v>12</v>
      </c>
      <c r="L3691" s="262"/>
      <c r="M3691" s="4202"/>
      <c r="P3691" s="261"/>
      <c r="Q3691" s="261"/>
      <c r="R3691" s="261"/>
      <c r="S3691" s="52"/>
      <c r="T3691" s="181"/>
      <c r="U3691" s="52"/>
      <c r="V3691" s="4295"/>
      <c r="W3691" s="263">
        <v>12</v>
      </c>
      <c r="X3691" s="263">
        <v>12</v>
      </c>
      <c r="Y3691" s="263">
        <v>12</v>
      </c>
      <c r="Z3691" s="263">
        <v>12</v>
      </c>
      <c r="AA3691" s="263">
        <v>12</v>
      </c>
      <c r="AB3691" s="263">
        <v>12</v>
      </c>
      <c r="AC3691" s="263">
        <v>12</v>
      </c>
      <c r="AD3691" s="263">
        <v>12</v>
      </c>
      <c r="AE3691" s="263">
        <v>12</v>
      </c>
      <c r="AF3691" s="271">
        <f t="shared" si="345"/>
        <v>12</v>
      </c>
      <c r="AG3691" s="263"/>
      <c r="DG3691" s="573"/>
      <c r="DH3691" s="159"/>
      <c r="DI3691" s="1091"/>
      <c r="DJ3691" s="1187"/>
    </row>
    <row r="3692" spans="1:114" ht="15" hidden="1" customHeight="1" outlineLevel="1">
      <c r="A3692" s="453"/>
      <c r="C3692" s="51"/>
      <c r="D3692" s="4295"/>
      <c r="E3692" s="4295"/>
      <c r="F3692" s="4307" t="str">
        <f t="shared" si="346"/>
        <v>ASHP-SEER15_ER1_MF_CompE</v>
      </c>
      <c r="G3692" s="4307"/>
      <c r="H3692" s="4307"/>
      <c r="I3692" s="4307"/>
      <c r="J3692" s="1029" t="str">
        <f t="shared" si="347"/>
        <v>352701_2024_12_</v>
      </c>
      <c r="K3692" s="1796">
        <v>6</v>
      </c>
      <c r="L3692" s="262"/>
      <c r="M3692" s="4202"/>
      <c r="P3692" s="261"/>
      <c r="Q3692" s="261"/>
      <c r="R3692" s="261"/>
      <c r="S3692" s="52"/>
      <c r="T3692" s="181"/>
      <c r="U3692" s="52"/>
      <c r="V3692" s="4295"/>
      <c r="W3692" s="263"/>
      <c r="X3692" s="263"/>
      <c r="Y3692" s="263"/>
      <c r="Z3692" s="263"/>
      <c r="AA3692" s="263"/>
      <c r="AB3692" s="263"/>
      <c r="AC3692" s="1030">
        <v>6</v>
      </c>
      <c r="AD3692" s="263">
        <v>6</v>
      </c>
      <c r="AE3692" s="263">
        <v>6</v>
      </c>
      <c r="AF3692" s="271">
        <f t="shared" si="345"/>
        <v>6</v>
      </c>
      <c r="AG3692" s="263"/>
      <c r="DG3692" s="573"/>
      <c r="DH3692" s="159"/>
      <c r="DI3692" s="1091"/>
      <c r="DJ3692" s="1187"/>
    </row>
    <row r="3693" spans="1:114" ht="15" hidden="1" customHeight="1" outlineLevel="1">
      <c r="A3693" s="453"/>
      <c r="C3693" s="51"/>
      <c r="D3693" s="4295"/>
      <c r="E3693" s="4295"/>
      <c r="F3693" s="4307" t="str">
        <f t="shared" si="346"/>
        <v>ASHP-SEER15_ER1_MF_CompE</v>
      </c>
      <c r="G3693" s="4307"/>
      <c r="H3693" s="4307"/>
      <c r="I3693" s="4307"/>
      <c r="J3693" s="1029" t="str">
        <f t="shared" si="347"/>
        <v>352701_2024_12_</v>
      </c>
      <c r="K3693" s="1796">
        <v>6</v>
      </c>
      <c r="L3693" s="262"/>
      <c r="M3693" s="4202"/>
      <c r="P3693" s="261"/>
      <c r="Q3693" s="261"/>
      <c r="R3693" s="261"/>
      <c r="S3693" s="52"/>
      <c r="T3693" s="181"/>
      <c r="U3693" s="52"/>
      <c r="V3693" s="4295"/>
      <c r="W3693" s="263"/>
      <c r="X3693" s="263"/>
      <c r="Y3693" s="263"/>
      <c r="Z3693" s="263"/>
      <c r="AA3693" s="263"/>
      <c r="AB3693" s="263"/>
      <c r="AC3693" s="1030">
        <v>6</v>
      </c>
      <c r="AD3693" s="263">
        <v>6</v>
      </c>
      <c r="AE3693" s="263">
        <v>6</v>
      </c>
      <c r="AF3693" s="271">
        <f t="shared" si="345"/>
        <v>6</v>
      </c>
      <c r="AG3693" s="263"/>
      <c r="DG3693" s="573"/>
      <c r="DH3693" s="159"/>
      <c r="DI3693" s="1091"/>
      <c r="DJ3693" s="1187"/>
    </row>
    <row r="3694" spans="1:114" ht="15" hidden="1" customHeight="1" outlineLevel="1">
      <c r="A3694" s="453"/>
      <c r="C3694" s="51"/>
      <c r="D3694" s="4295"/>
      <c r="E3694" s="4295"/>
      <c r="F3694" s="4307" t="str">
        <f t="shared" si="346"/>
        <v>ASHP-SEER15_ER2_MF_CompE</v>
      </c>
      <c r="G3694" s="4307"/>
      <c r="H3694" s="4307"/>
      <c r="I3694" s="4307"/>
      <c r="J3694" s="1029" t="str">
        <f t="shared" si="347"/>
        <v>352701_2024_12_</v>
      </c>
      <c r="K3694" s="1796">
        <v>12</v>
      </c>
      <c r="L3694" s="262"/>
      <c r="M3694" s="4202"/>
      <c r="P3694" s="261"/>
      <c r="Q3694" s="261"/>
      <c r="R3694" s="261"/>
      <c r="S3694" s="52"/>
      <c r="T3694" s="181"/>
      <c r="U3694" s="52"/>
      <c r="V3694" s="4295"/>
      <c r="W3694" s="263"/>
      <c r="X3694" s="263"/>
      <c r="Y3694" s="263"/>
      <c r="Z3694" s="263"/>
      <c r="AA3694" s="263"/>
      <c r="AB3694" s="263"/>
      <c r="AC3694" s="1030">
        <v>12</v>
      </c>
      <c r="AD3694" s="263">
        <v>12</v>
      </c>
      <c r="AE3694" s="263">
        <v>12</v>
      </c>
      <c r="AF3694" s="271">
        <f t="shared" si="345"/>
        <v>12</v>
      </c>
      <c r="AG3694" s="263"/>
      <c r="DG3694" s="573"/>
      <c r="DH3694" s="159"/>
      <c r="DI3694" s="1091"/>
      <c r="DJ3694" s="1187"/>
    </row>
    <row r="3695" spans="1:114" ht="15" hidden="1" customHeight="1" outlineLevel="1">
      <c r="A3695" s="453"/>
      <c r="C3695" s="51"/>
      <c r="D3695" s="4295"/>
      <c r="E3695" s="4295"/>
      <c r="F3695" s="4307" t="str">
        <f t="shared" si="346"/>
        <v>ASHP-SEER15_ER2_MF_CompE</v>
      </c>
      <c r="G3695" s="4307"/>
      <c r="H3695" s="4307"/>
      <c r="I3695" s="4307"/>
      <c r="J3695" s="1029" t="str">
        <f t="shared" si="347"/>
        <v>352701_2024_12_</v>
      </c>
      <c r="K3695" s="1796">
        <v>12</v>
      </c>
      <c r="L3695" s="262"/>
      <c r="M3695" s="4202"/>
      <c r="P3695" s="261"/>
      <c r="Q3695" s="261"/>
      <c r="R3695" s="261"/>
      <c r="S3695" s="52"/>
      <c r="T3695" s="181"/>
      <c r="U3695" s="52"/>
      <c r="V3695" s="4295"/>
      <c r="W3695" s="263"/>
      <c r="X3695" s="263"/>
      <c r="Y3695" s="263"/>
      <c r="Z3695" s="263"/>
      <c r="AA3695" s="263"/>
      <c r="AB3695" s="263"/>
      <c r="AC3695" s="1030">
        <v>12</v>
      </c>
      <c r="AD3695" s="263">
        <v>12</v>
      </c>
      <c r="AE3695" s="263">
        <v>12</v>
      </c>
      <c r="AF3695" s="271">
        <f t="shared" si="345"/>
        <v>12</v>
      </c>
      <c r="AG3695" s="263"/>
      <c r="DG3695" s="573"/>
      <c r="DH3695" s="159"/>
      <c r="DI3695" s="1091"/>
      <c r="DJ3695" s="1187"/>
    </row>
    <row r="3696" spans="1:114" ht="15" hidden="1" customHeight="1" outlineLevel="1">
      <c r="A3696" s="453"/>
      <c r="C3696" s="51"/>
      <c r="D3696" s="4295"/>
      <c r="E3696" s="4295"/>
      <c r="F3696" s="4307" t="str">
        <f t="shared" si="346"/>
        <v>ASHP-SEER15-Replace_CAC_ElectricHeat_ER1_MF</v>
      </c>
      <c r="G3696" s="4307"/>
      <c r="H3696" s="4307"/>
      <c r="I3696" s="4307"/>
      <c r="J3696" s="1029" t="str">
        <f t="shared" si="347"/>
        <v>352750_2024_12_</v>
      </c>
      <c r="K3696" s="1796">
        <v>6</v>
      </c>
      <c r="L3696" s="262"/>
      <c r="M3696" s="4202"/>
      <c r="P3696" s="261"/>
      <c r="Q3696" s="261"/>
      <c r="R3696" s="261"/>
      <c r="S3696" s="52"/>
      <c r="T3696" s="181"/>
      <c r="U3696" s="52"/>
      <c r="V3696" s="4295"/>
      <c r="W3696" s="263">
        <v>6</v>
      </c>
      <c r="X3696" s="263">
        <v>6</v>
      </c>
      <c r="Y3696" s="263">
        <v>6</v>
      </c>
      <c r="Z3696" s="263">
        <v>6</v>
      </c>
      <c r="AA3696" s="263">
        <v>6</v>
      </c>
      <c r="AB3696" s="263">
        <v>6</v>
      </c>
      <c r="AC3696" s="263">
        <v>6</v>
      </c>
      <c r="AD3696" s="263">
        <v>6</v>
      </c>
      <c r="AE3696" s="263">
        <v>6</v>
      </c>
      <c r="AF3696" s="271">
        <f t="shared" si="345"/>
        <v>6</v>
      </c>
      <c r="AG3696" s="263"/>
      <c r="DG3696" s="573"/>
      <c r="DH3696" s="159"/>
      <c r="DI3696" s="1091"/>
      <c r="DJ3696" s="1187"/>
    </row>
    <row r="3697" spans="1:114" ht="15" hidden="1" customHeight="1" outlineLevel="1">
      <c r="A3697" s="453"/>
      <c r="C3697" s="51"/>
      <c r="D3697" s="4295"/>
      <c r="E3697" s="4295"/>
      <c r="F3697" s="4307" t="str">
        <f t="shared" si="346"/>
        <v>ASHP-SEER15-Replace_CAC_ElectricHeat_ER1_MF</v>
      </c>
      <c r="G3697" s="4307"/>
      <c r="H3697" s="4307"/>
      <c r="I3697" s="4307"/>
      <c r="J3697" s="1029" t="str">
        <f t="shared" si="347"/>
        <v>352750_2024_12_</v>
      </c>
      <c r="K3697" s="1796">
        <v>6</v>
      </c>
      <c r="L3697" s="262"/>
      <c r="M3697" s="4202"/>
      <c r="P3697" s="261"/>
      <c r="Q3697" s="261"/>
      <c r="R3697" s="261"/>
      <c r="S3697" s="52"/>
      <c r="T3697" s="181"/>
      <c r="U3697" s="52"/>
      <c r="V3697" s="4295"/>
      <c r="W3697" s="263">
        <v>6</v>
      </c>
      <c r="X3697" s="263">
        <v>6</v>
      </c>
      <c r="Y3697" s="263">
        <v>6</v>
      </c>
      <c r="Z3697" s="263">
        <v>6</v>
      </c>
      <c r="AA3697" s="263">
        <v>6</v>
      </c>
      <c r="AB3697" s="263">
        <v>6</v>
      </c>
      <c r="AC3697" s="263">
        <v>6</v>
      </c>
      <c r="AD3697" s="263">
        <v>6</v>
      </c>
      <c r="AE3697" s="263">
        <v>6</v>
      </c>
      <c r="AF3697" s="271">
        <f t="shared" si="345"/>
        <v>6</v>
      </c>
      <c r="AG3697" s="263"/>
      <c r="DG3697" s="573"/>
      <c r="DH3697" s="159"/>
      <c r="DI3697" s="1091"/>
      <c r="DJ3697" s="1187"/>
    </row>
    <row r="3698" spans="1:114" ht="15" hidden="1" customHeight="1" outlineLevel="1">
      <c r="A3698" s="453"/>
      <c r="C3698" s="51"/>
      <c r="D3698" s="4295"/>
      <c r="E3698" s="4295"/>
      <c r="F3698" s="4307" t="str">
        <f t="shared" si="346"/>
        <v>ASHP-SEER15-Replace_CAC_ElectricHeat_ER2_MF</v>
      </c>
      <c r="G3698" s="4307"/>
      <c r="H3698" s="4307"/>
      <c r="I3698" s="4307"/>
      <c r="J3698" s="1029" t="str">
        <f t="shared" si="347"/>
        <v>352750_2024_12_</v>
      </c>
      <c r="K3698" s="1796">
        <v>12</v>
      </c>
      <c r="L3698" s="262"/>
      <c r="M3698" s="4202"/>
      <c r="P3698" s="261"/>
      <c r="Q3698" s="261"/>
      <c r="R3698" s="261"/>
      <c r="S3698" s="52"/>
      <c r="T3698" s="181"/>
      <c r="U3698" s="52"/>
      <c r="V3698" s="4295"/>
      <c r="W3698" s="263">
        <v>12</v>
      </c>
      <c r="X3698" s="263">
        <v>12</v>
      </c>
      <c r="Y3698" s="263">
        <v>12</v>
      </c>
      <c r="Z3698" s="263">
        <v>12</v>
      </c>
      <c r="AA3698" s="263">
        <v>12</v>
      </c>
      <c r="AB3698" s="263">
        <v>12</v>
      </c>
      <c r="AC3698" s="263">
        <v>12</v>
      </c>
      <c r="AD3698" s="263">
        <v>12</v>
      </c>
      <c r="AE3698" s="263">
        <v>12</v>
      </c>
      <c r="AF3698" s="271">
        <f t="shared" si="345"/>
        <v>12</v>
      </c>
      <c r="AG3698" s="263"/>
      <c r="DG3698" s="573"/>
      <c r="DH3698" s="159"/>
      <c r="DI3698" s="1091"/>
      <c r="DJ3698" s="1187"/>
    </row>
    <row r="3699" spans="1:114" ht="15" hidden="1" customHeight="1" outlineLevel="1">
      <c r="A3699" s="453"/>
      <c r="C3699" s="51"/>
      <c r="D3699" s="4295"/>
      <c r="E3699" s="4295"/>
      <c r="F3699" s="4307" t="str">
        <f t="shared" si="346"/>
        <v>ASHP-SEER15-Replace_CAC_ElectricHeat_ER2_MF</v>
      </c>
      <c r="G3699" s="4307"/>
      <c r="H3699" s="4307"/>
      <c r="I3699" s="4307"/>
      <c r="J3699" s="1029" t="str">
        <f t="shared" si="347"/>
        <v>352750_2024_12_</v>
      </c>
      <c r="K3699" s="1796">
        <v>12</v>
      </c>
      <c r="L3699" s="262"/>
      <c r="M3699" s="4202"/>
      <c r="P3699" s="261"/>
      <c r="Q3699" s="261"/>
      <c r="R3699" s="261"/>
      <c r="S3699" s="52"/>
      <c r="T3699" s="181"/>
      <c r="U3699" s="52"/>
      <c r="V3699" s="4295"/>
      <c r="W3699" s="263">
        <v>12</v>
      </c>
      <c r="X3699" s="263">
        <v>12</v>
      </c>
      <c r="Y3699" s="263">
        <v>12</v>
      </c>
      <c r="Z3699" s="263">
        <v>12</v>
      </c>
      <c r="AA3699" s="263">
        <v>12</v>
      </c>
      <c r="AB3699" s="263">
        <v>12</v>
      </c>
      <c r="AC3699" s="263">
        <v>12</v>
      </c>
      <c r="AD3699" s="263">
        <v>12</v>
      </c>
      <c r="AE3699" s="263">
        <v>12</v>
      </c>
      <c r="AF3699" s="271">
        <f t="shared" si="345"/>
        <v>12</v>
      </c>
      <c r="AG3699" s="263"/>
      <c r="DG3699" s="573"/>
      <c r="DH3699" s="159"/>
      <c r="DI3699" s="1091"/>
      <c r="DJ3699" s="1187"/>
    </row>
    <row r="3700" spans="1:114" ht="15" hidden="1" customHeight="1" outlineLevel="1">
      <c r="A3700" s="453"/>
      <c r="C3700" s="51"/>
      <c r="D3700" s="4295"/>
      <c r="E3700" s="4295"/>
      <c r="F3700" s="4307" t="str">
        <f t="shared" si="346"/>
        <v>ASHP-SEER15-Replace_CAC_ElectricHeat_ER1_MF_CompE</v>
      </c>
      <c r="G3700" s="4307"/>
      <c r="H3700" s="4307"/>
      <c r="I3700" s="4307"/>
      <c r="J3700" s="1029" t="str">
        <f t="shared" si="347"/>
        <v>352751_2024_12_</v>
      </c>
      <c r="K3700" s="1796">
        <v>6</v>
      </c>
      <c r="L3700" s="262"/>
      <c r="M3700" s="4202"/>
      <c r="P3700" s="261"/>
      <c r="Q3700" s="261"/>
      <c r="R3700" s="261"/>
      <c r="S3700" s="52"/>
      <c r="T3700" s="181"/>
      <c r="U3700" s="52"/>
      <c r="V3700" s="4295"/>
      <c r="W3700" s="263"/>
      <c r="X3700" s="263"/>
      <c r="Y3700" s="263"/>
      <c r="Z3700" s="263"/>
      <c r="AA3700" s="263"/>
      <c r="AB3700" s="263"/>
      <c r="AC3700" s="1030">
        <v>6</v>
      </c>
      <c r="AD3700" s="263">
        <v>6</v>
      </c>
      <c r="AE3700" s="263">
        <v>6</v>
      </c>
      <c r="AF3700" s="271">
        <f t="shared" si="345"/>
        <v>6</v>
      </c>
      <c r="AG3700" s="263"/>
      <c r="DG3700" s="573"/>
      <c r="DH3700" s="159"/>
      <c r="DI3700" s="1091"/>
      <c r="DJ3700" s="1187"/>
    </row>
    <row r="3701" spans="1:114" ht="15" hidden="1" customHeight="1" outlineLevel="1">
      <c r="A3701" s="453"/>
      <c r="C3701" s="51"/>
      <c r="D3701" s="4295"/>
      <c r="E3701" s="4295"/>
      <c r="F3701" s="4307" t="str">
        <f t="shared" si="346"/>
        <v>ASHP-SEER15-Replace_CAC_ElectricHeat_ER1_MF_CompE</v>
      </c>
      <c r="G3701" s="4307"/>
      <c r="H3701" s="4307"/>
      <c r="I3701" s="4307"/>
      <c r="J3701" s="1029" t="str">
        <f t="shared" si="347"/>
        <v>352751_2024_12_</v>
      </c>
      <c r="K3701" s="1796">
        <v>6</v>
      </c>
      <c r="L3701" s="262"/>
      <c r="M3701" s="4202"/>
      <c r="P3701" s="261"/>
      <c r="Q3701" s="261"/>
      <c r="R3701" s="261"/>
      <c r="S3701" s="52"/>
      <c r="T3701" s="181"/>
      <c r="U3701" s="52"/>
      <c r="V3701" s="4295"/>
      <c r="W3701" s="263"/>
      <c r="X3701" s="263"/>
      <c r="Y3701" s="263"/>
      <c r="Z3701" s="263"/>
      <c r="AA3701" s="263"/>
      <c r="AB3701" s="263"/>
      <c r="AC3701" s="1030">
        <v>6</v>
      </c>
      <c r="AD3701" s="263">
        <v>6</v>
      </c>
      <c r="AE3701" s="263">
        <v>6</v>
      </c>
      <c r="AF3701" s="271">
        <f t="shared" si="345"/>
        <v>6</v>
      </c>
      <c r="AG3701" s="263"/>
      <c r="DG3701" s="573"/>
      <c r="DH3701" s="159"/>
      <c r="DI3701" s="1091"/>
      <c r="DJ3701" s="1187"/>
    </row>
    <row r="3702" spans="1:114" ht="15" hidden="1" customHeight="1" outlineLevel="1">
      <c r="A3702" s="453"/>
      <c r="C3702" s="51"/>
      <c r="D3702" s="4295"/>
      <c r="E3702" s="4295"/>
      <c r="F3702" s="4307" t="str">
        <f t="shared" si="346"/>
        <v>ASHP-SEER15-Replace_CAC_ElectricHeat_ER2_MF_CompE</v>
      </c>
      <c r="G3702" s="4307"/>
      <c r="H3702" s="4307"/>
      <c r="I3702" s="4307"/>
      <c r="J3702" s="1029" t="str">
        <f t="shared" si="347"/>
        <v>352751_2024_12_</v>
      </c>
      <c r="K3702" s="1796">
        <v>12</v>
      </c>
      <c r="L3702" s="262"/>
      <c r="M3702" s="4202"/>
      <c r="P3702" s="261"/>
      <c r="Q3702" s="261"/>
      <c r="R3702" s="261"/>
      <c r="S3702" s="52"/>
      <c r="T3702" s="181"/>
      <c r="U3702" s="52"/>
      <c r="V3702" s="4295"/>
      <c r="W3702" s="263"/>
      <c r="X3702" s="263"/>
      <c r="Y3702" s="263"/>
      <c r="Z3702" s="263"/>
      <c r="AA3702" s="263"/>
      <c r="AB3702" s="263"/>
      <c r="AC3702" s="1030">
        <v>12</v>
      </c>
      <c r="AD3702" s="263">
        <v>12</v>
      </c>
      <c r="AE3702" s="263">
        <v>12</v>
      </c>
      <c r="AF3702" s="271">
        <f t="shared" si="345"/>
        <v>12</v>
      </c>
      <c r="AG3702" s="263"/>
      <c r="DG3702" s="573"/>
      <c r="DH3702" s="159"/>
      <c r="DI3702" s="1091"/>
      <c r="DJ3702" s="1187"/>
    </row>
    <row r="3703" spans="1:114" ht="15" hidden="1" customHeight="1" outlineLevel="1">
      <c r="A3703" s="453"/>
      <c r="C3703" s="51"/>
      <c r="D3703" s="4295"/>
      <c r="E3703" s="4295"/>
      <c r="F3703" s="4307" t="str">
        <f t="shared" si="346"/>
        <v>ASHP-SEER15-Replace_CAC_ElectricHeat_ER2_MF_CompE</v>
      </c>
      <c r="G3703" s="4307"/>
      <c r="H3703" s="4307"/>
      <c r="I3703" s="4307"/>
      <c r="J3703" s="1029" t="str">
        <f t="shared" si="347"/>
        <v>352751_2024_12_</v>
      </c>
      <c r="K3703" s="1796">
        <v>12</v>
      </c>
      <c r="L3703" s="262"/>
      <c r="M3703" s="4202"/>
      <c r="P3703" s="261"/>
      <c r="Q3703" s="261"/>
      <c r="R3703" s="261"/>
      <c r="S3703" s="52"/>
      <c r="T3703" s="181"/>
      <c r="U3703" s="52"/>
      <c r="V3703" s="4295"/>
      <c r="W3703" s="263"/>
      <c r="X3703" s="263"/>
      <c r="Y3703" s="263"/>
      <c r="Z3703" s="263"/>
      <c r="AA3703" s="263"/>
      <c r="AB3703" s="263"/>
      <c r="AC3703" s="1030">
        <v>12</v>
      </c>
      <c r="AD3703" s="263">
        <v>12</v>
      </c>
      <c r="AE3703" s="263">
        <v>12</v>
      </c>
      <c r="AF3703" s="271">
        <f t="shared" si="345"/>
        <v>12</v>
      </c>
      <c r="AG3703" s="263"/>
      <c r="DG3703" s="573"/>
      <c r="DH3703" s="159"/>
      <c r="DI3703" s="1091"/>
      <c r="DJ3703" s="1187"/>
    </row>
    <row r="3704" spans="1:114" ht="15" hidden="1" customHeight="1" outlineLevel="1">
      <c r="A3704" s="453"/>
      <c r="C3704" s="51"/>
      <c r="D3704" s="4295"/>
      <c r="E3704" s="4295"/>
      <c r="F3704" s="4307" t="str">
        <f t="shared" si="346"/>
        <v>ASHP-SEER15-Replace_CAC_NonElectricHeat_ER1_MF</v>
      </c>
      <c r="G3704" s="4307"/>
      <c r="H3704" s="4307"/>
      <c r="I3704" s="4307"/>
      <c r="J3704" s="1029" t="str">
        <f t="shared" si="347"/>
        <v>352760_2024_12_</v>
      </c>
      <c r="K3704" s="1796">
        <v>6</v>
      </c>
      <c r="L3704" s="262"/>
      <c r="M3704" s="4202"/>
      <c r="P3704" s="261"/>
      <c r="Q3704" s="261"/>
      <c r="R3704" s="261"/>
      <c r="S3704" s="52"/>
      <c r="T3704" s="181"/>
      <c r="U3704" s="52"/>
      <c r="V3704" s="4295"/>
      <c r="W3704" s="263"/>
      <c r="X3704" s="263"/>
      <c r="Y3704" s="263"/>
      <c r="Z3704" s="263"/>
      <c r="AA3704" s="263"/>
      <c r="AB3704" s="263"/>
      <c r="AC3704" s="1030">
        <v>6</v>
      </c>
      <c r="AD3704" s="263">
        <v>6</v>
      </c>
      <c r="AE3704" s="263">
        <v>6</v>
      </c>
      <c r="AF3704" s="271">
        <f t="shared" si="345"/>
        <v>6</v>
      </c>
      <c r="AG3704" s="263"/>
      <c r="DG3704" s="573"/>
      <c r="DH3704" s="159"/>
      <c r="DI3704" s="1091"/>
      <c r="DJ3704" s="1187"/>
    </row>
    <row r="3705" spans="1:114" ht="15" hidden="1" customHeight="1" outlineLevel="1">
      <c r="A3705" s="453"/>
      <c r="C3705" s="51"/>
      <c r="D3705" s="4295"/>
      <c r="E3705" s="4295"/>
      <c r="F3705" s="4307" t="str">
        <f t="shared" si="346"/>
        <v>ASHP-SEER15-Replace_CAC_NonElectricHeat_ER1_MF</v>
      </c>
      <c r="G3705" s="4307"/>
      <c r="H3705" s="4307"/>
      <c r="I3705" s="4307"/>
      <c r="J3705" s="1029" t="str">
        <f t="shared" si="347"/>
        <v>352760_2024_12_</v>
      </c>
      <c r="K3705" s="1796">
        <v>6</v>
      </c>
      <c r="L3705" s="262"/>
      <c r="M3705" s="4202"/>
      <c r="P3705" s="261"/>
      <c r="Q3705" s="261"/>
      <c r="R3705" s="261"/>
      <c r="S3705" s="52"/>
      <c r="T3705" s="181"/>
      <c r="U3705" s="52"/>
      <c r="V3705" s="4295"/>
      <c r="W3705" s="263"/>
      <c r="X3705" s="263"/>
      <c r="Y3705" s="263"/>
      <c r="Z3705" s="263"/>
      <c r="AA3705" s="263"/>
      <c r="AB3705" s="263"/>
      <c r="AC3705" s="1030">
        <v>6</v>
      </c>
      <c r="AD3705" s="263">
        <v>6</v>
      </c>
      <c r="AE3705" s="263">
        <v>6</v>
      </c>
      <c r="AF3705" s="271">
        <f t="shared" si="345"/>
        <v>6</v>
      </c>
      <c r="AG3705" s="263"/>
      <c r="DG3705" s="573"/>
      <c r="DH3705" s="159"/>
      <c r="DI3705" s="1091"/>
      <c r="DJ3705" s="1187"/>
    </row>
    <row r="3706" spans="1:114" ht="15" hidden="1" customHeight="1" outlineLevel="1">
      <c r="A3706" s="453"/>
      <c r="C3706" s="51"/>
      <c r="D3706" s="4295"/>
      <c r="E3706" s="4295"/>
      <c r="F3706" s="4307" t="str">
        <f t="shared" si="346"/>
        <v>ASHP-SEER15-Replace_CAC_NonElectricHeat_ER2_MF</v>
      </c>
      <c r="G3706" s="4307"/>
      <c r="H3706" s="4307"/>
      <c r="I3706" s="4307"/>
      <c r="J3706" s="1029" t="str">
        <f t="shared" si="347"/>
        <v>352760_2024_12_</v>
      </c>
      <c r="K3706" s="1796">
        <v>12</v>
      </c>
      <c r="L3706" s="262"/>
      <c r="M3706" s="4202"/>
      <c r="P3706" s="261"/>
      <c r="Q3706" s="261"/>
      <c r="R3706" s="261"/>
      <c r="S3706" s="52"/>
      <c r="T3706" s="181"/>
      <c r="U3706" s="52"/>
      <c r="V3706" s="4295"/>
      <c r="W3706" s="263"/>
      <c r="X3706" s="263"/>
      <c r="Y3706" s="263"/>
      <c r="Z3706" s="263"/>
      <c r="AA3706" s="263"/>
      <c r="AB3706" s="263"/>
      <c r="AC3706" s="1030">
        <v>12</v>
      </c>
      <c r="AD3706" s="263">
        <v>12</v>
      </c>
      <c r="AE3706" s="263">
        <v>12</v>
      </c>
      <c r="AF3706" s="271">
        <f t="shared" ref="AF3706:AF3769" si="348">IF(K3706&lt;&gt;"",K3706,"")</f>
        <v>12</v>
      </c>
      <c r="AG3706" s="263"/>
      <c r="DG3706" s="573"/>
      <c r="DH3706" s="159"/>
      <c r="DI3706" s="1091"/>
      <c r="DJ3706" s="1187"/>
    </row>
    <row r="3707" spans="1:114" ht="15" hidden="1" customHeight="1" outlineLevel="1">
      <c r="A3707" s="453"/>
      <c r="C3707" s="51"/>
      <c r="D3707" s="4295"/>
      <c r="E3707" s="4295"/>
      <c r="F3707" s="4307" t="str">
        <f t="shared" si="346"/>
        <v>ASHP-SEER15-Replace_CAC_NonElectricHeat_ER2_MF</v>
      </c>
      <c r="G3707" s="4307"/>
      <c r="H3707" s="4307"/>
      <c r="I3707" s="4307"/>
      <c r="J3707" s="1029" t="str">
        <f t="shared" si="347"/>
        <v>352760_2024_12_</v>
      </c>
      <c r="K3707" s="1796">
        <v>12</v>
      </c>
      <c r="L3707" s="262"/>
      <c r="M3707" s="4202"/>
      <c r="P3707" s="261"/>
      <c r="Q3707" s="261"/>
      <c r="R3707" s="261"/>
      <c r="S3707" s="52"/>
      <c r="T3707" s="181"/>
      <c r="U3707" s="52"/>
      <c r="V3707" s="4295"/>
      <c r="W3707" s="263"/>
      <c r="X3707" s="263"/>
      <c r="Y3707" s="263"/>
      <c r="Z3707" s="263"/>
      <c r="AA3707" s="263"/>
      <c r="AB3707" s="263"/>
      <c r="AC3707" s="1030">
        <v>12</v>
      </c>
      <c r="AD3707" s="263">
        <v>12</v>
      </c>
      <c r="AE3707" s="263">
        <v>12</v>
      </c>
      <c r="AF3707" s="271">
        <f t="shared" si="348"/>
        <v>12</v>
      </c>
      <c r="AG3707" s="263"/>
      <c r="DG3707" s="573"/>
      <c r="DH3707" s="159"/>
      <c r="DI3707" s="1091"/>
      <c r="DJ3707" s="1187"/>
    </row>
    <row r="3708" spans="1:114" ht="15" hidden="1" customHeight="1" outlineLevel="1">
      <c r="A3708" s="453"/>
      <c r="C3708" s="51"/>
      <c r="D3708" s="4295"/>
      <c r="E3708" s="4295"/>
      <c r="F3708" s="4307" t="str">
        <f t="shared" si="346"/>
        <v>ASHP-SEER15-Replace_CAC_NonElectricHeat_ER1_MF_CompE</v>
      </c>
      <c r="G3708" s="4307"/>
      <c r="H3708" s="4307"/>
      <c r="I3708" s="4307"/>
      <c r="J3708" s="1029" t="str">
        <f t="shared" si="347"/>
        <v>352761_2024_12_</v>
      </c>
      <c r="K3708" s="1796">
        <v>6</v>
      </c>
      <c r="L3708" s="262"/>
      <c r="M3708" s="4202"/>
      <c r="P3708" s="261"/>
      <c r="Q3708" s="261"/>
      <c r="R3708" s="261"/>
      <c r="S3708" s="52"/>
      <c r="T3708" s="181"/>
      <c r="U3708" s="52"/>
      <c r="V3708" s="4295"/>
      <c r="W3708" s="263"/>
      <c r="X3708" s="263"/>
      <c r="Y3708" s="263"/>
      <c r="Z3708" s="263"/>
      <c r="AA3708" s="263"/>
      <c r="AB3708" s="263"/>
      <c r="AC3708" s="1030">
        <v>6</v>
      </c>
      <c r="AD3708" s="263">
        <v>6</v>
      </c>
      <c r="AE3708" s="263">
        <v>6</v>
      </c>
      <c r="AF3708" s="271">
        <f t="shared" si="348"/>
        <v>6</v>
      </c>
      <c r="AG3708" s="263"/>
      <c r="DG3708" s="573"/>
      <c r="DH3708" s="159"/>
      <c r="DI3708" s="1091"/>
      <c r="DJ3708" s="1187"/>
    </row>
    <row r="3709" spans="1:114" ht="15" hidden="1" customHeight="1" outlineLevel="1">
      <c r="A3709" s="453"/>
      <c r="C3709" s="51"/>
      <c r="D3709" s="4295"/>
      <c r="E3709" s="4295"/>
      <c r="F3709" s="4307" t="str">
        <f t="shared" si="346"/>
        <v>ASHP-SEER15-Replace_CAC_NonElectricHeat_ER1_MF_CompE</v>
      </c>
      <c r="G3709" s="4307"/>
      <c r="H3709" s="4307"/>
      <c r="I3709" s="4307"/>
      <c r="J3709" s="1029" t="str">
        <f t="shared" si="347"/>
        <v>352761_2024_12_</v>
      </c>
      <c r="K3709" s="1796">
        <v>6</v>
      </c>
      <c r="L3709" s="262"/>
      <c r="M3709" s="4202"/>
      <c r="P3709" s="261"/>
      <c r="Q3709" s="261"/>
      <c r="R3709" s="261"/>
      <c r="S3709" s="52"/>
      <c r="T3709" s="181"/>
      <c r="U3709" s="52"/>
      <c r="V3709" s="4295"/>
      <c r="W3709" s="263"/>
      <c r="X3709" s="263"/>
      <c r="Y3709" s="263"/>
      <c r="Z3709" s="263"/>
      <c r="AA3709" s="263"/>
      <c r="AB3709" s="263"/>
      <c r="AC3709" s="1030">
        <v>6</v>
      </c>
      <c r="AD3709" s="263">
        <v>6</v>
      </c>
      <c r="AE3709" s="263">
        <v>6</v>
      </c>
      <c r="AF3709" s="271">
        <f t="shared" si="348"/>
        <v>6</v>
      </c>
      <c r="AG3709" s="263"/>
      <c r="DG3709" s="573"/>
      <c r="DH3709" s="159"/>
      <c r="DI3709" s="1091"/>
      <c r="DJ3709" s="1187"/>
    </row>
    <row r="3710" spans="1:114" ht="15" hidden="1" customHeight="1" outlineLevel="1">
      <c r="A3710" s="453"/>
      <c r="C3710" s="51"/>
      <c r="D3710" s="4295"/>
      <c r="E3710" s="4295"/>
      <c r="F3710" s="4307" t="str">
        <f t="shared" si="346"/>
        <v>ASHP-SEER15-Replace_CAC_NonElectricHeat_ER2_MF_CompE</v>
      </c>
      <c r="G3710" s="4307"/>
      <c r="H3710" s="4307"/>
      <c r="I3710" s="4307"/>
      <c r="J3710" s="1029" t="str">
        <f t="shared" si="347"/>
        <v>352761_2024_12_</v>
      </c>
      <c r="K3710" s="1796">
        <v>12</v>
      </c>
      <c r="L3710" s="262"/>
      <c r="M3710" s="4202"/>
      <c r="P3710" s="261"/>
      <c r="Q3710" s="261"/>
      <c r="R3710" s="261"/>
      <c r="S3710" s="52"/>
      <c r="T3710" s="181"/>
      <c r="U3710" s="52"/>
      <c r="V3710" s="4295"/>
      <c r="W3710" s="263"/>
      <c r="X3710" s="263"/>
      <c r="Y3710" s="263"/>
      <c r="Z3710" s="263"/>
      <c r="AA3710" s="263"/>
      <c r="AB3710" s="263"/>
      <c r="AC3710" s="1030">
        <v>12</v>
      </c>
      <c r="AD3710" s="263">
        <v>12</v>
      </c>
      <c r="AE3710" s="263">
        <v>12</v>
      </c>
      <c r="AF3710" s="271">
        <f t="shared" si="348"/>
        <v>12</v>
      </c>
      <c r="AG3710" s="263"/>
      <c r="DG3710" s="573"/>
      <c r="DH3710" s="159"/>
      <c r="DI3710" s="1091"/>
      <c r="DJ3710" s="1187"/>
    </row>
    <row r="3711" spans="1:114" ht="15" hidden="1" customHeight="1" outlineLevel="1">
      <c r="A3711" s="453"/>
      <c r="C3711" s="51"/>
      <c r="D3711" s="4295"/>
      <c r="E3711" s="4295"/>
      <c r="F3711" s="4307" t="str">
        <f t="shared" si="346"/>
        <v>ASHP-SEER15-Replace_CAC_NonElectricHeat_ER2_MF_CompE</v>
      </c>
      <c r="G3711" s="4307"/>
      <c r="H3711" s="4307"/>
      <c r="I3711" s="4307"/>
      <c r="J3711" s="1029" t="str">
        <f t="shared" si="347"/>
        <v>352761_2024_12_</v>
      </c>
      <c r="K3711" s="1796">
        <v>12</v>
      </c>
      <c r="L3711" s="262"/>
      <c r="M3711" s="4202"/>
      <c r="P3711" s="261"/>
      <c r="Q3711" s="261"/>
      <c r="R3711" s="261"/>
      <c r="S3711" s="52"/>
      <c r="T3711" s="181"/>
      <c r="U3711" s="52"/>
      <c r="V3711" s="4295"/>
      <c r="W3711" s="263"/>
      <c r="X3711" s="263"/>
      <c r="Y3711" s="263"/>
      <c r="Z3711" s="263"/>
      <c r="AA3711" s="263"/>
      <c r="AB3711" s="263"/>
      <c r="AC3711" s="1030">
        <v>12</v>
      </c>
      <c r="AD3711" s="263">
        <v>12</v>
      </c>
      <c r="AE3711" s="263">
        <v>12</v>
      </c>
      <c r="AF3711" s="271">
        <f t="shared" si="348"/>
        <v>12</v>
      </c>
      <c r="AG3711" s="263"/>
      <c r="DG3711" s="573"/>
      <c r="DH3711" s="159"/>
      <c r="DI3711" s="1091"/>
      <c r="DJ3711" s="1187"/>
    </row>
    <row r="3712" spans="1:114" ht="15" hidden="1" customHeight="1" outlineLevel="1">
      <c r="A3712" s="453"/>
      <c r="C3712" s="51"/>
      <c r="D3712" s="4295"/>
      <c r="E3712" s="4295"/>
      <c r="F3712" s="4307" t="str">
        <f t="shared" si="346"/>
        <v>ASHP-SEER15-Replace_CAC_ElectricHeat_ROF_MF</v>
      </c>
      <c r="G3712" s="4307"/>
      <c r="H3712" s="4307"/>
      <c r="I3712" s="4307"/>
      <c r="J3712" s="1029" t="str">
        <f t="shared" si="347"/>
        <v>352800_2024_12_</v>
      </c>
      <c r="K3712" s="1796">
        <v>18</v>
      </c>
      <c r="L3712" s="262"/>
      <c r="M3712" s="4202"/>
      <c r="P3712" s="261"/>
      <c r="Q3712" s="261"/>
      <c r="R3712" s="261"/>
      <c r="S3712" s="52"/>
      <c r="T3712" s="181"/>
      <c r="U3712" s="52"/>
      <c r="V3712" s="4295"/>
      <c r="W3712" s="263">
        <v>18</v>
      </c>
      <c r="X3712" s="263">
        <v>18</v>
      </c>
      <c r="Y3712" s="263">
        <v>18</v>
      </c>
      <c r="Z3712" s="263">
        <v>18</v>
      </c>
      <c r="AA3712" s="263">
        <v>18</v>
      </c>
      <c r="AB3712" s="263">
        <v>18</v>
      </c>
      <c r="AC3712" s="263">
        <v>18</v>
      </c>
      <c r="AD3712" s="263">
        <v>18</v>
      </c>
      <c r="AE3712" s="263">
        <v>18</v>
      </c>
      <c r="AF3712" s="271">
        <f t="shared" si="348"/>
        <v>18</v>
      </c>
      <c r="AG3712" s="263"/>
      <c r="DG3712" s="573"/>
      <c r="DH3712" s="159"/>
      <c r="DI3712" s="1091"/>
      <c r="DJ3712" s="1187"/>
    </row>
    <row r="3713" spans="1:114" ht="15" hidden="1" customHeight="1" outlineLevel="1">
      <c r="A3713" s="453"/>
      <c r="C3713" s="51"/>
      <c r="D3713" s="4295"/>
      <c r="E3713" s="4295"/>
      <c r="F3713" s="4307" t="str">
        <f t="shared" si="346"/>
        <v>ASHP-SEER15-Replace_CAC_ElectricHeat_ROF_MF</v>
      </c>
      <c r="G3713" s="4307"/>
      <c r="H3713" s="4307"/>
      <c r="I3713" s="4307"/>
      <c r="J3713" s="1029" t="str">
        <f t="shared" si="347"/>
        <v>352800_2024_12_</v>
      </c>
      <c r="K3713" s="1796">
        <v>18</v>
      </c>
      <c r="L3713" s="262"/>
      <c r="M3713" s="4202"/>
      <c r="P3713" s="261"/>
      <c r="Q3713" s="209"/>
      <c r="R3713" s="261"/>
      <c r="S3713" s="52"/>
      <c r="T3713" s="181"/>
      <c r="U3713" s="52"/>
      <c r="V3713" s="4295"/>
      <c r="W3713" s="263">
        <v>18</v>
      </c>
      <c r="X3713" s="263">
        <v>18</v>
      </c>
      <c r="Y3713" s="263">
        <v>18</v>
      </c>
      <c r="Z3713" s="263">
        <v>18</v>
      </c>
      <c r="AA3713" s="263">
        <v>18</v>
      </c>
      <c r="AB3713" s="263">
        <v>18</v>
      </c>
      <c r="AC3713" s="263">
        <v>18</v>
      </c>
      <c r="AD3713" s="263">
        <v>18</v>
      </c>
      <c r="AE3713" s="263">
        <v>18</v>
      </c>
      <c r="AF3713" s="271">
        <f t="shared" si="348"/>
        <v>18</v>
      </c>
      <c r="AG3713" s="263"/>
      <c r="DG3713" s="573"/>
      <c r="DH3713" s="159"/>
      <c r="DI3713" s="1091"/>
      <c r="DJ3713" s="1187"/>
    </row>
    <row r="3714" spans="1:114" ht="15" hidden="1" customHeight="1" outlineLevel="1">
      <c r="A3714" s="453"/>
      <c r="C3714" s="51"/>
      <c r="D3714" s="4295"/>
      <c r="E3714" s="4295"/>
      <c r="F3714" s="4307" t="str">
        <f t="shared" si="346"/>
        <v>ASHP-SEER15-Replace_CAC_ElectricHeat_ROF_MF_CompE</v>
      </c>
      <c r="G3714" s="4307"/>
      <c r="H3714" s="4307"/>
      <c r="I3714" s="4307"/>
      <c r="J3714" s="1029" t="str">
        <f t="shared" si="347"/>
        <v>352801_2024_12_</v>
      </c>
      <c r="K3714" s="1796">
        <v>18</v>
      </c>
      <c r="L3714" s="262"/>
      <c r="M3714" s="4202"/>
      <c r="P3714" s="261"/>
      <c r="Q3714" s="209"/>
      <c r="R3714" s="261"/>
      <c r="S3714" s="52"/>
      <c r="T3714" s="181"/>
      <c r="U3714" s="52"/>
      <c r="V3714" s="4295"/>
      <c r="W3714" s="263"/>
      <c r="X3714" s="263"/>
      <c r="Y3714" s="263"/>
      <c r="Z3714" s="263"/>
      <c r="AA3714" s="263"/>
      <c r="AB3714" s="263"/>
      <c r="AC3714" s="1030">
        <v>18</v>
      </c>
      <c r="AD3714" s="263">
        <v>18</v>
      </c>
      <c r="AE3714" s="263">
        <v>18</v>
      </c>
      <c r="AF3714" s="271">
        <f t="shared" si="348"/>
        <v>18</v>
      </c>
      <c r="AG3714" s="263"/>
      <c r="DG3714" s="573"/>
      <c r="DH3714" s="159"/>
      <c r="DI3714" s="1091"/>
      <c r="DJ3714" s="1187"/>
    </row>
    <row r="3715" spans="1:114" ht="15" hidden="1" customHeight="1" outlineLevel="1">
      <c r="A3715" s="453"/>
      <c r="C3715" s="51"/>
      <c r="D3715" s="4295"/>
      <c r="E3715" s="4295"/>
      <c r="F3715" s="4307" t="str">
        <f t="shared" si="346"/>
        <v>ASHP-SEER15-Replace_CAC_ElectricHeat_ROF_MF_CompE</v>
      </c>
      <c r="G3715" s="4307"/>
      <c r="H3715" s="4307"/>
      <c r="I3715" s="4307"/>
      <c r="J3715" s="1029" t="str">
        <f t="shared" si="347"/>
        <v>352801_2024_12_</v>
      </c>
      <c r="K3715" s="1796">
        <v>18</v>
      </c>
      <c r="L3715" s="262"/>
      <c r="M3715" s="4202"/>
      <c r="P3715" s="261"/>
      <c r="Q3715" s="209"/>
      <c r="R3715" s="261"/>
      <c r="S3715" s="52"/>
      <c r="T3715" s="181"/>
      <c r="U3715" s="52"/>
      <c r="V3715" s="4295"/>
      <c r="W3715" s="263"/>
      <c r="X3715" s="263"/>
      <c r="Y3715" s="263"/>
      <c r="Z3715" s="263"/>
      <c r="AA3715" s="263"/>
      <c r="AB3715" s="263"/>
      <c r="AC3715" s="1030">
        <v>18</v>
      </c>
      <c r="AD3715" s="263">
        <v>18</v>
      </c>
      <c r="AE3715" s="263">
        <v>18</v>
      </c>
      <c r="AF3715" s="271">
        <f t="shared" si="348"/>
        <v>18</v>
      </c>
      <c r="AG3715" s="263"/>
      <c r="DG3715" s="573"/>
      <c r="DH3715" s="159"/>
      <c r="DI3715" s="1091"/>
      <c r="DJ3715" s="1187"/>
    </row>
    <row r="3716" spans="1:114" ht="15" hidden="1" customHeight="1" outlineLevel="1">
      <c r="A3716" s="453"/>
      <c r="C3716" s="51"/>
      <c r="D3716" s="4295"/>
      <c r="E3716" s="4295"/>
      <c r="F3716" s="4307" t="str">
        <f t="shared" ref="F3716:F3779" si="349">E1572</f>
        <v>ASHP-SEER15-Replace_CAC_NonElectricHeat_ROF_MF</v>
      </c>
      <c r="G3716" s="4307"/>
      <c r="H3716" s="4307"/>
      <c r="I3716" s="4307"/>
      <c r="J3716" s="1029" t="str">
        <f t="shared" ref="J3716:J3779" si="350">C1572</f>
        <v>352810_2024_12_</v>
      </c>
      <c r="K3716" s="1796">
        <v>18</v>
      </c>
      <c r="L3716" s="262"/>
      <c r="M3716" s="4202"/>
      <c r="P3716" s="261"/>
      <c r="Q3716" s="209"/>
      <c r="R3716" s="261"/>
      <c r="S3716" s="52"/>
      <c r="T3716" s="181"/>
      <c r="U3716" s="52"/>
      <c r="V3716" s="4295"/>
      <c r="W3716" s="263"/>
      <c r="X3716" s="263"/>
      <c r="Y3716" s="263"/>
      <c r="Z3716" s="263"/>
      <c r="AA3716" s="263"/>
      <c r="AB3716" s="263"/>
      <c r="AC3716" s="1030">
        <v>18</v>
      </c>
      <c r="AD3716" s="263">
        <v>18</v>
      </c>
      <c r="AE3716" s="263">
        <v>18</v>
      </c>
      <c r="AF3716" s="271">
        <f t="shared" si="348"/>
        <v>18</v>
      </c>
      <c r="AG3716" s="263"/>
      <c r="DG3716" s="573"/>
      <c r="DH3716" s="159"/>
      <c r="DI3716" s="1091"/>
      <c r="DJ3716" s="1187"/>
    </row>
    <row r="3717" spans="1:114" ht="15" hidden="1" customHeight="1" outlineLevel="1">
      <c r="A3717" s="453"/>
      <c r="C3717" s="51"/>
      <c r="D3717" s="4295"/>
      <c r="E3717" s="4295"/>
      <c r="F3717" s="4307" t="str">
        <f t="shared" si="349"/>
        <v>ASHP-SEER15-Replace_CAC_NonElectricHeat_ROF_MF</v>
      </c>
      <c r="G3717" s="4307"/>
      <c r="H3717" s="4307"/>
      <c r="I3717" s="4307"/>
      <c r="J3717" s="1029" t="str">
        <f t="shared" si="350"/>
        <v>352810_2024_12_</v>
      </c>
      <c r="K3717" s="1796">
        <v>18</v>
      </c>
      <c r="L3717" s="262"/>
      <c r="M3717" s="4202"/>
      <c r="P3717" s="261"/>
      <c r="Q3717" s="209"/>
      <c r="R3717" s="261"/>
      <c r="S3717" s="52"/>
      <c r="T3717" s="181"/>
      <c r="U3717" s="52"/>
      <c r="V3717" s="4295"/>
      <c r="W3717" s="263"/>
      <c r="X3717" s="263"/>
      <c r="Y3717" s="263"/>
      <c r="Z3717" s="263"/>
      <c r="AA3717" s="263"/>
      <c r="AB3717" s="263"/>
      <c r="AC3717" s="1030">
        <v>18</v>
      </c>
      <c r="AD3717" s="263">
        <v>18</v>
      </c>
      <c r="AE3717" s="263">
        <v>18</v>
      </c>
      <c r="AF3717" s="271">
        <f t="shared" si="348"/>
        <v>18</v>
      </c>
      <c r="AG3717" s="263"/>
      <c r="DG3717" s="573"/>
      <c r="DH3717" s="159"/>
      <c r="DI3717" s="1091"/>
      <c r="DJ3717" s="1187"/>
    </row>
    <row r="3718" spans="1:114" ht="15" hidden="1" customHeight="1" outlineLevel="1">
      <c r="A3718" s="453"/>
      <c r="C3718" s="51"/>
      <c r="D3718" s="4295"/>
      <c r="E3718" s="4295"/>
      <c r="F3718" s="4307" t="str">
        <f t="shared" si="349"/>
        <v>ASHP-SEER15-Replace_CAC_NonElectricHeat_ROF_MF_CompE</v>
      </c>
      <c r="G3718" s="4307"/>
      <c r="H3718" s="4307"/>
      <c r="I3718" s="4307"/>
      <c r="J3718" s="1029" t="str">
        <f t="shared" si="350"/>
        <v>352811_2024_12_</v>
      </c>
      <c r="K3718" s="1796">
        <v>18</v>
      </c>
      <c r="L3718" s="262"/>
      <c r="M3718" s="4202"/>
      <c r="P3718" s="261"/>
      <c r="Q3718" s="209"/>
      <c r="R3718" s="261"/>
      <c r="S3718" s="52"/>
      <c r="T3718" s="181"/>
      <c r="U3718" s="52"/>
      <c r="V3718" s="4295"/>
      <c r="W3718" s="263"/>
      <c r="X3718" s="263"/>
      <c r="Y3718" s="263"/>
      <c r="Z3718" s="263"/>
      <c r="AA3718" s="263"/>
      <c r="AB3718" s="263"/>
      <c r="AC3718" s="1030">
        <v>18</v>
      </c>
      <c r="AD3718" s="263">
        <v>18</v>
      </c>
      <c r="AE3718" s="263">
        <v>18</v>
      </c>
      <c r="AF3718" s="271">
        <f t="shared" si="348"/>
        <v>18</v>
      </c>
      <c r="AG3718" s="263"/>
      <c r="DG3718" s="573"/>
      <c r="DH3718" s="159"/>
      <c r="DI3718" s="1091"/>
      <c r="DJ3718" s="1187"/>
    </row>
    <row r="3719" spans="1:114" ht="15" hidden="1" customHeight="1" outlineLevel="1">
      <c r="A3719" s="453"/>
      <c r="C3719" s="51"/>
      <c r="D3719" s="4295"/>
      <c r="E3719" s="4295"/>
      <c r="F3719" s="4307" t="str">
        <f t="shared" si="349"/>
        <v>ASHP-SEER15-Replace_CAC_NonElectricHeat_ROF_MF_CompE</v>
      </c>
      <c r="G3719" s="4307"/>
      <c r="H3719" s="4307"/>
      <c r="I3719" s="4307"/>
      <c r="J3719" s="1029" t="str">
        <f t="shared" si="350"/>
        <v>352811_2024_12_</v>
      </c>
      <c r="K3719" s="1796">
        <v>18</v>
      </c>
      <c r="L3719" s="262"/>
      <c r="M3719" s="4202"/>
      <c r="P3719" s="261"/>
      <c r="Q3719" s="209"/>
      <c r="R3719" s="261"/>
      <c r="S3719" s="52"/>
      <c r="T3719" s="181"/>
      <c r="U3719" s="52"/>
      <c r="V3719" s="4295"/>
      <c r="W3719" s="263"/>
      <c r="X3719" s="263"/>
      <c r="Y3719" s="263"/>
      <c r="Z3719" s="263"/>
      <c r="AA3719" s="263"/>
      <c r="AB3719" s="263"/>
      <c r="AC3719" s="1030">
        <v>18</v>
      </c>
      <c r="AD3719" s="263">
        <v>18</v>
      </c>
      <c r="AE3719" s="263">
        <v>18</v>
      </c>
      <c r="AF3719" s="271">
        <f t="shared" si="348"/>
        <v>18</v>
      </c>
      <c r="AG3719" s="263"/>
      <c r="DG3719" s="573"/>
      <c r="DH3719" s="159"/>
      <c r="DI3719" s="1091"/>
      <c r="DJ3719" s="1187"/>
    </row>
    <row r="3720" spans="1:114" ht="15" hidden="1" customHeight="1" outlineLevel="1">
      <c r="A3720" s="453"/>
      <c r="C3720" s="51"/>
      <c r="D3720" s="4295"/>
      <c r="E3720" s="4295"/>
      <c r="F3720" s="4307" t="str">
        <f t="shared" si="349"/>
        <v>ASHP-SEER16_ER1_MF</v>
      </c>
      <c r="G3720" s="4307"/>
      <c r="H3720" s="4307"/>
      <c r="I3720" s="4307"/>
      <c r="J3720" s="1029" t="str">
        <f t="shared" si="350"/>
        <v>352850_2024_12_</v>
      </c>
      <c r="K3720" s="1796">
        <v>6</v>
      </c>
      <c r="L3720" s="262"/>
      <c r="M3720" s="4202"/>
      <c r="P3720" s="261"/>
      <c r="Q3720" s="209"/>
      <c r="R3720" s="261"/>
      <c r="S3720" s="52"/>
      <c r="T3720" s="181"/>
      <c r="U3720" s="52"/>
      <c r="V3720" s="4295"/>
      <c r="W3720" s="263">
        <v>6</v>
      </c>
      <c r="X3720" s="263">
        <v>6</v>
      </c>
      <c r="Y3720" s="263">
        <v>6</v>
      </c>
      <c r="Z3720" s="263">
        <v>6</v>
      </c>
      <c r="AA3720" s="263">
        <v>6</v>
      </c>
      <c r="AB3720" s="263">
        <v>6</v>
      </c>
      <c r="AC3720" s="263">
        <v>6</v>
      </c>
      <c r="AD3720" s="263">
        <v>6</v>
      </c>
      <c r="AE3720" s="263">
        <v>6</v>
      </c>
      <c r="AF3720" s="271">
        <f t="shared" si="348"/>
        <v>6</v>
      </c>
      <c r="AG3720" s="263"/>
      <c r="DG3720" s="573"/>
      <c r="DH3720" s="159"/>
      <c r="DI3720" s="1091"/>
      <c r="DJ3720" s="1187"/>
    </row>
    <row r="3721" spans="1:114" ht="15" hidden="1" customHeight="1" outlineLevel="1">
      <c r="A3721" s="453"/>
      <c r="C3721" s="51"/>
      <c r="D3721" s="4295"/>
      <c r="E3721" s="4295"/>
      <c r="F3721" s="4307" t="str">
        <f t="shared" si="349"/>
        <v>ASHP-SEER16_ER1_MF</v>
      </c>
      <c r="G3721" s="4307"/>
      <c r="H3721" s="4307"/>
      <c r="I3721" s="4307"/>
      <c r="J3721" s="1029" t="str">
        <f t="shared" si="350"/>
        <v>352850_2024_12_</v>
      </c>
      <c r="K3721" s="1796">
        <v>6</v>
      </c>
      <c r="L3721" s="262"/>
      <c r="M3721" s="4202"/>
      <c r="P3721" s="261"/>
      <c r="Q3721" s="209"/>
      <c r="R3721" s="261"/>
      <c r="S3721" s="52"/>
      <c r="T3721" s="181"/>
      <c r="U3721" s="52"/>
      <c r="V3721" s="4295"/>
      <c r="W3721" s="263">
        <v>6</v>
      </c>
      <c r="X3721" s="263">
        <v>6</v>
      </c>
      <c r="Y3721" s="263">
        <v>6</v>
      </c>
      <c r="Z3721" s="263">
        <v>6</v>
      </c>
      <c r="AA3721" s="263">
        <v>6</v>
      </c>
      <c r="AB3721" s="263">
        <v>6</v>
      </c>
      <c r="AC3721" s="263">
        <v>6</v>
      </c>
      <c r="AD3721" s="263">
        <v>6</v>
      </c>
      <c r="AE3721" s="263">
        <v>6</v>
      </c>
      <c r="AF3721" s="271">
        <f t="shared" si="348"/>
        <v>6</v>
      </c>
      <c r="AG3721" s="263"/>
      <c r="DG3721" s="573"/>
      <c r="DH3721" s="159"/>
      <c r="DI3721" s="1091"/>
      <c r="DJ3721" s="1187"/>
    </row>
    <row r="3722" spans="1:114" ht="15" hidden="1" customHeight="1" outlineLevel="1">
      <c r="A3722" s="453"/>
      <c r="C3722" s="51"/>
      <c r="D3722" s="4295"/>
      <c r="E3722" s="4295"/>
      <c r="F3722" s="4307" t="str">
        <f t="shared" si="349"/>
        <v>ASHP-SEER16_ER2_MF</v>
      </c>
      <c r="G3722" s="4307"/>
      <c r="H3722" s="4307"/>
      <c r="I3722" s="4307"/>
      <c r="J3722" s="1029" t="str">
        <f t="shared" si="350"/>
        <v>352850_2024_12_</v>
      </c>
      <c r="K3722" s="1796">
        <v>12</v>
      </c>
      <c r="L3722" s="262"/>
      <c r="M3722" s="4202"/>
      <c r="P3722" s="261"/>
      <c r="Q3722" s="209"/>
      <c r="R3722" s="261"/>
      <c r="S3722" s="52"/>
      <c r="T3722" s="181"/>
      <c r="U3722" s="52"/>
      <c r="V3722" s="4295"/>
      <c r="W3722" s="263">
        <v>12</v>
      </c>
      <c r="X3722" s="263">
        <v>12</v>
      </c>
      <c r="Y3722" s="263">
        <v>12</v>
      </c>
      <c r="Z3722" s="263">
        <v>12</v>
      </c>
      <c r="AA3722" s="263">
        <v>12</v>
      </c>
      <c r="AB3722" s="263">
        <v>12</v>
      </c>
      <c r="AC3722" s="263">
        <v>12</v>
      </c>
      <c r="AD3722" s="263">
        <v>12</v>
      </c>
      <c r="AE3722" s="263">
        <v>12</v>
      </c>
      <c r="AF3722" s="271">
        <f t="shared" si="348"/>
        <v>12</v>
      </c>
      <c r="AG3722" s="263"/>
      <c r="DG3722" s="573"/>
      <c r="DH3722" s="159"/>
      <c r="DI3722" s="1091"/>
      <c r="DJ3722" s="1187"/>
    </row>
    <row r="3723" spans="1:114" ht="15" hidden="1" customHeight="1" outlineLevel="1">
      <c r="A3723" s="453"/>
      <c r="C3723" s="51"/>
      <c r="D3723" s="4295"/>
      <c r="E3723" s="4295"/>
      <c r="F3723" s="4307" t="str">
        <f t="shared" si="349"/>
        <v>ASHP-SEER16_ER2_MF</v>
      </c>
      <c r="G3723" s="4307"/>
      <c r="H3723" s="4307"/>
      <c r="I3723" s="4307"/>
      <c r="J3723" s="1029" t="str">
        <f t="shared" si="350"/>
        <v>352850_2024_12_</v>
      </c>
      <c r="K3723" s="1796">
        <v>12</v>
      </c>
      <c r="L3723" s="262"/>
      <c r="M3723" s="4202"/>
      <c r="P3723" s="261"/>
      <c r="Q3723" s="209"/>
      <c r="R3723" s="261"/>
      <c r="S3723" s="52"/>
      <c r="T3723" s="181"/>
      <c r="U3723" s="52"/>
      <c r="V3723" s="4295"/>
      <c r="W3723" s="263">
        <v>12</v>
      </c>
      <c r="X3723" s="263">
        <v>12</v>
      </c>
      <c r="Y3723" s="263">
        <v>12</v>
      </c>
      <c r="Z3723" s="263">
        <v>12</v>
      </c>
      <c r="AA3723" s="263">
        <v>12</v>
      </c>
      <c r="AB3723" s="263">
        <v>12</v>
      </c>
      <c r="AC3723" s="263">
        <v>12</v>
      </c>
      <c r="AD3723" s="263">
        <v>12</v>
      </c>
      <c r="AE3723" s="263">
        <v>12</v>
      </c>
      <c r="AF3723" s="271">
        <f t="shared" si="348"/>
        <v>12</v>
      </c>
      <c r="AG3723" s="263"/>
      <c r="DG3723" s="573"/>
      <c r="DH3723" s="159"/>
      <c r="DI3723" s="1091"/>
      <c r="DJ3723" s="1187"/>
    </row>
    <row r="3724" spans="1:114" ht="15" hidden="1" customHeight="1" outlineLevel="1">
      <c r="A3724" s="453"/>
      <c r="C3724" s="51"/>
      <c r="D3724" s="4295"/>
      <c r="E3724" s="4295"/>
      <c r="F3724" s="4307" t="str">
        <f t="shared" si="349"/>
        <v>ASHP-SEER16_ER1_MF_CompE</v>
      </c>
      <c r="G3724" s="4307"/>
      <c r="H3724" s="4307"/>
      <c r="I3724" s="4307"/>
      <c r="J3724" s="1029" t="str">
        <f t="shared" si="350"/>
        <v>352851_2024_12_</v>
      </c>
      <c r="K3724" s="1796">
        <v>6</v>
      </c>
      <c r="L3724" s="262"/>
      <c r="M3724" s="4202"/>
      <c r="P3724" s="261"/>
      <c r="Q3724" s="209"/>
      <c r="R3724" s="261"/>
      <c r="S3724" s="52"/>
      <c r="T3724" s="181"/>
      <c r="U3724" s="52"/>
      <c r="V3724" s="4295"/>
      <c r="W3724" s="263"/>
      <c r="X3724" s="263"/>
      <c r="Y3724" s="263"/>
      <c r="Z3724" s="263"/>
      <c r="AA3724" s="263"/>
      <c r="AB3724" s="263"/>
      <c r="AC3724" s="1030">
        <v>6</v>
      </c>
      <c r="AD3724" s="263">
        <v>6</v>
      </c>
      <c r="AE3724" s="263">
        <v>6</v>
      </c>
      <c r="AF3724" s="271">
        <f t="shared" si="348"/>
        <v>6</v>
      </c>
      <c r="AG3724" s="263"/>
      <c r="DG3724" s="573"/>
      <c r="DH3724" s="159"/>
      <c r="DI3724" s="1091"/>
      <c r="DJ3724" s="1187"/>
    </row>
    <row r="3725" spans="1:114" ht="15" hidden="1" customHeight="1" outlineLevel="1">
      <c r="A3725" s="453"/>
      <c r="C3725" s="51"/>
      <c r="D3725" s="4295"/>
      <c r="E3725" s="4295"/>
      <c r="F3725" s="4307" t="str">
        <f t="shared" si="349"/>
        <v>ASHP-SEER16_ER1_MF_CompE</v>
      </c>
      <c r="G3725" s="4307"/>
      <c r="H3725" s="4307"/>
      <c r="I3725" s="4307"/>
      <c r="J3725" s="1029" t="str">
        <f t="shared" si="350"/>
        <v>352851_2024_12_</v>
      </c>
      <c r="K3725" s="1796">
        <v>6</v>
      </c>
      <c r="L3725" s="262"/>
      <c r="M3725" s="4202"/>
      <c r="P3725" s="261"/>
      <c r="Q3725" s="209"/>
      <c r="R3725" s="261"/>
      <c r="S3725" s="52"/>
      <c r="T3725" s="181"/>
      <c r="U3725" s="52"/>
      <c r="V3725" s="4295"/>
      <c r="W3725" s="263"/>
      <c r="X3725" s="263"/>
      <c r="Y3725" s="263"/>
      <c r="Z3725" s="263"/>
      <c r="AA3725" s="263"/>
      <c r="AB3725" s="263"/>
      <c r="AC3725" s="1030">
        <v>6</v>
      </c>
      <c r="AD3725" s="263">
        <v>6</v>
      </c>
      <c r="AE3725" s="263">
        <v>6</v>
      </c>
      <c r="AF3725" s="271">
        <f t="shared" si="348"/>
        <v>6</v>
      </c>
      <c r="AG3725" s="263"/>
      <c r="DG3725" s="573"/>
      <c r="DH3725" s="159"/>
      <c r="DI3725" s="1091"/>
      <c r="DJ3725" s="1187"/>
    </row>
    <row r="3726" spans="1:114" ht="15" hidden="1" customHeight="1" outlineLevel="1">
      <c r="A3726" s="453"/>
      <c r="C3726" s="51"/>
      <c r="D3726" s="4295"/>
      <c r="E3726" s="4295"/>
      <c r="F3726" s="4307" t="str">
        <f t="shared" si="349"/>
        <v>ASHP-SEER16_ER2_MF_CompE</v>
      </c>
      <c r="G3726" s="4307"/>
      <c r="H3726" s="4307"/>
      <c r="I3726" s="4307"/>
      <c r="J3726" s="1029" t="str">
        <f t="shared" si="350"/>
        <v>352851_2024_12_</v>
      </c>
      <c r="K3726" s="1796">
        <v>12</v>
      </c>
      <c r="L3726" s="262"/>
      <c r="M3726" s="4202"/>
      <c r="P3726" s="261"/>
      <c r="Q3726" s="209"/>
      <c r="R3726" s="261"/>
      <c r="S3726" s="52"/>
      <c r="T3726" s="181"/>
      <c r="U3726" s="52"/>
      <c r="V3726" s="4295"/>
      <c r="W3726" s="263"/>
      <c r="X3726" s="263"/>
      <c r="Y3726" s="263"/>
      <c r="Z3726" s="263"/>
      <c r="AA3726" s="263"/>
      <c r="AB3726" s="263"/>
      <c r="AC3726" s="1030">
        <v>12</v>
      </c>
      <c r="AD3726" s="263">
        <v>12</v>
      </c>
      <c r="AE3726" s="263">
        <v>12</v>
      </c>
      <c r="AF3726" s="271">
        <f t="shared" si="348"/>
        <v>12</v>
      </c>
      <c r="AG3726" s="263"/>
      <c r="DG3726" s="573"/>
      <c r="DH3726" s="159"/>
      <c r="DI3726" s="1091"/>
      <c r="DJ3726" s="1187"/>
    </row>
    <row r="3727" spans="1:114" ht="15" hidden="1" customHeight="1" outlineLevel="1">
      <c r="A3727" s="453"/>
      <c r="C3727" s="51"/>
      <c r="D3727" s="4295"/>
      <c r="E3727" s="4295"/>
      <c r="F3727" s="4307" t="str">
        <f t="shared" si="349"/>
        <v>ASHP-SEER16_ER2_MF_CompE</v>
      </c>
      <c r="G3727" s="4307"/>
      <c r="H3727" s="4307"/>
      <c r="I3727" s="4307"/>
      <c r="J3727" s="1029" t="str">
        <f t="shared" si="350"/>
        <v>352851_2024_12_</v>
      </c>
      <c r="K3727" s="1796">
        <v>12</v>
      </c>
      <c r="L3727" s="262"/>
      <c r="M3727" s="4202"/>
      <c r="P3727" s="261"/>
      <c r="Q3727" s="209"/>
      <c r="R3727" s="261"/>
      <c r="S3727" s="52"/>
      <c r="T3727" s="181"/>
      <c r="U3727" s="52"/>
      <c r="V3727" s="4295"/>
      <c r="W3727" s="263"/>
      <c r="X3727" s="263"/>
      <c r="Y3727" s="263"/>
      <c r="Z3727" s="263"/>
      <c r="AA3727" s="263"/>
      <c r="AB3727" s="263"/>
      <c r="AC3727" s="1030">
        <v>12</v>
      </c>
      <c r="AD3727" s="263">
        <v>12</v>
      </c>
      <c r="AE3727" s="263">
        <v>12</v>
      </c>
      <c r="AF3727" s="271">
        <f t="shared" si="348"/>
        <v>12</v>
      </c>
      <c r="AG3727" s="263"/>
      <c r="DG3727" s="573"/>
      <c r="DH3727" s="159"/>
      <c r="DI3727" s="1091"/>
      <c r="DJ3727" s="1187"/>
    </row>
    <row r="3728" spans="1:114" ht="15" hidden="1" customHeight="1" outlineLevel="1">
      <c r="A3728" s="453"/>
      <c r="C3728" s="51"/>
      <c r="D3728" s="4295"/>
      <c r="E3728" s="4295"/>
      <c r="F3728" s="4307" t="str">
        <f t="shared" si="349"/>
        <v>ASHP-SEER16_ROF_MF</v>
      </c>
      <c r="G3728" s="4307"/>
      <c r="H3728" s="4307"/>
      <c r="I3728" s="4307"/>
      <c r="J3728" s="1029" t="str">
        <f t="shared" si="350"/>
        <v>352900_2024_12_</v>
      </c>
      <c r="K3728" s="1796">
        <v>18</v>
      </c>
      <c r="L3728" s="262"/>
      <c r="M3728" s="4202"/>
      <c r="P3728" s="261"/>
      <c r="Q3728" s="209"/>
      <c r="R3728" s="261"/>
      <c r="S3728" s="52"/>
      <c r="T3728" s="181"/>
      <c r="U3728" s="52"/>
      <c r="V3728" s="4295"/>
      <c r="W3728" s="263">
        <v>18</v>
      </c>
      <c r="X3728" s="263">
        <v>18</v>
      </c>
      <c r="Y3728" s="263">
        <v>18</v>
      </c>
      <c r="Z3728" s="263">
        <v>18</v>
      </c>
      <c r="AA3728" s="263">
        <v>18</v>
      </c>
      <c r="AB3728" s="263">
        <v>18</v>
      </c>
      <c r="AC3728" s="263">
        <v>18</v>
      </c>
      <c r="AD3728" s="263">
        <v>18</v>
      </c>
      <c r="AE3728" s="263">
        <v>18</v>
      </c>
      <c r="AF3728" s="271">
        <f t="shared" si="348"/>
        <v>18</v>
      </c>
      <c r="AG3728" s="263"/>
      <c r="DG3728" s="573"/>
      <c r="DH3728" s="159"/>
      <c r="DI3728" s="1091"/>
      <c r="DJ3728" s="1187"/>
    </row>
    <row r="3729" spans="1:114" ht="15" hidden="1" customHeight="1" outlineLevel="1">
      <c r="A3729" s="453"/>
      <c r="C3729" s="51"/>
      <c r="D3729" s="4295"/>
      <c r="E3729" s="4295"/>
      <c r="F3729" s="4307" t="str">
        <f t="shared" si="349"/>
        <v>ASHP-SEER16_ROF_MF</v>
      </c>
      <c r="G3729" s="4307"/>
      <c r="H3729" s="4307"/>
      <c r="I3729" s="4307"/>
      <c r="J3729" s="1029" t="str">
        <f t="shared" si="350"/>
        <v>352900_2024_12_</v>
      </c>
      <c r="K3729" s="1796">
        <v>18</v>
      </c>
      <c r="L3729" s="262"/>
      <c r="M3729" s="4202"/>
      <c r="S3729" s="52"/>
      <c r="T3729" s="52"/>
      <c r="U3729" s="52"/>
      <c r="V3729" s="4295"/>
      <c r="W3729" s="263">
        <v>18</v>
      </c>
      <c r="X3729" s="263">
        <v>18</v>
      </c>
      <c r="Y3729" s="263">
        <v>18</v>
      </c>
      <c r="Z3729" s="263">
        <v>18</v>
      </c>
      <c r="AA3729" s="263">
        <v>18</v>
      </c>
      <c r="AB3729" s="263">
        <v>18</v>
      </c>
      <c r="AC3729" s="263">
        <v>18</v>
      </c>
      <c r="AD3729" s="263">
        <v>18</v>
      </c>
      <c r="AE3729" s="263">
        <v>18</v>
      </c>
      <c r="AF3729" s="271">
        <f t="shared" si="348"/>
        <v>18</v>
      </c>
      <c r="AG3729" s="263"/>
      <c r="DG3729" s="573"/>
      <c r="DH3729" s="159"/>
      <c r="DI3729" s="1091"/>
      <c r="DJ3729" s="1187"/>
    </row>
    <row r="3730" spans="1:114" ht="15" hidden="1" customHeight="1" outlineLevel="1">
      <c r="A3730" s="453"/>
      <c r="C3730" s="51"/>
      <c r="D3730" s="4295"/>
      <c r="E3730" s="4295"/>
      <c r="F3730" s="4307" t="str">
        <f t="shared" si="349"/>
        <v>ASHP-SEER16_ROF_MF_CompE</v>
      </c>
      <c r="G3730" s="4307"/>
      <c r="H3730" s="4307"/>
      <c r="I3730" s="4307"/>
      <c r="J3730" s="1029" t="str">
        <f t="shared" si="350"/>
        <v>352901_2024_12_</v>
      </c>
      <c r="K3730" s="1796">
        <v>18</v>
      </c>
      <c r="L3730" s="262"/>
      <c r="M3730" s="4202"/>
      <c r="S3730" s="52"/>
      <c r="T3730" s="52"/>
      <c r="U3730" s="52"/>
      <c r="V3730" s="4295"/>
      <c r="W3730" s="263"/>
      <c r="X3730" s="263"/>
      <c r="Y3730" s="263"/>
      <c r="Z3730" s="263"/>
      <c r="AA3730" s="263"/>
      <c r="AB3730" s="263"/>
      <c r="AC3730" s="1030">
        <v>18</v>
      </c>
      <c r="AD3730" s="263">
        <v>18</v>
      </c>
      <c r="AE3730" s="263">
        <v>18</v>
      </c>
      <c r="AF3730" s="271">
        <f t="shared" si="348"/>
        <v>18</v>
      </c>
      <c r="AG3730" s="263"/>
      <c r="DG3730" s="573"/>
      <c r="DH3730" s="159"/>
      <c r="DI3730" s="1091"/>
      <c r="DJ3730" s="1187"/>
    </row>
    <row r="3731" spans="1:114" ht="15" hidden="1" customHeight="1" outlineLevel="1">
      <c r="A3731" s="453"/>
      <c r="C3731" s="51"/>
      <c r="D3731" s="4295"/>
      <c r="E3731" s="4295"/>
      <c r="F3731" s="4307" t="str">
        <f t="shared" si="349"/>
        <v>ASHP-SEER16_ROF_MF_CompE</v>
      </c>
      <c r="G3731" s="4307"/>
      <c r="H3731" s="4307"/>
      <c r="I3731" s="4307"/>
      <c r="J3731" s="1029" t="str">
        <f t="shared" si="350"/>
        <v>352901_2024_12_</v>
      </c>
      <c r="K3731" s="1796">
        <v>18</v>
      </c>
      <c r="L3731" s="262"/>
      <c r="M3731" s="4202"/>
      <c r="S3731" s="52"/>
      <c r="T3731" s="52"/>
      <c r="U3731" s="52"/>
      <c r="V3731" s="4295"/>
      <c r="W3731" s="263"/>
      <c r="X3731" s="263"/>
      <c r="Y3731" s="263"/>
      <c r="Z3731" s="263"/>
      <c r="AA3731" s="263"/>
      <c r="AB3731" s="263"/>
      <c r="AC3731" s="1030">
        <v>18</v>
      </c>
      <c r="AD3731" s="263">
        <v>18</v>
      </c>
      <c r="AE3731" s="263">
        <v>18</v>
      </c>
      <c r="AF3731" s="271">
        <f t="shared" si="348"/>
        <v>18</v>
      </c>
      <c r="AG3731" s="263"/>
      <c r="DG3731" s="573"/>
      <c r="DH3731" s="159"/>
      <c r="DI3731" s="1091"/>
      <c r="DJ3731" s="1187"/>
    </row>
    <row r="3732" spans="1:114" ht="15" hidden="1" customHeight="1" outlineLevel="1">
      <c r="A3732" s="453"/>
      <c r="C3732" s="51"/>
      <c r="D3732" s="4295"/>
      <c r="E3732" s="4295"/>
      <c r="F3732" s="4307" t="str">
        <f t="shared" si="349"/>
        <v>ASHP-SEER16-Replace_CAC_ElectricHeat_ROF_MF</v>
      </c>
      <c r="G3732" s="4307"/>
      <c r="H3732" s="4307"/>
      <c r="I3732" s="4307"/>
      <c r="J3732" s="1029" t="str">
        <f t="shared" si="350"/>
        <v>352950_2024_12_</v>
      </c>
      <c r="K3732" s="1796">
        <v>18</v>
      </c>
      <c r="L3732" s="262"/>
      <c r="M3732" s="4202"/>
      <c r="P3732" s="261"/>
      <c r="Q3732" s="209"/>
      <c r="R3732" s="261"/>
      <c r="S3732" s="52"/>
      <c r="T3732" s="181"/>
      <c r="U3732" s="52"/>
      <c r="V3732" s="4295"/>
      <c r="W3732" s="263">
        <v>18</v>
      </c>
      <c r="X3732" s="263">
        <v>18</v>
      </c>
      <c r="Y3732" s="263">
        <v>18</v>
      </c>
      <c r="Z3732" s="263">
        <v>18</v>
      </c>
      <c r="AA3732" s="263">
        <v>18</v>
      </c>
      <c r="AB3732" s="263">
        <v>18</v>
      </c>
      <c r="AC3732" s="263">
        <v>18</v>
      </c>
      <c r="AD3732" s="263">
        <v>18</v>
      </c>
      <c r="AE3732" s="263">
        <v>18</v>
      </c>
      <c r="AF3732" s="271">
        <f t="shared" si="348"/>
        <v>18</v>
      </c>
      <c r="AG3732" s="263"/>
      <c r="DG3732" s="573"/>
      <c r="DH3732" s="159"/>
      <c r="DI3732" s="1091"/>
      <c r="DJ3732" s="1187"/>
    </row>
    <row r="3733" spans="1:114" ht="15" hidden="1" customHeight="1" outlineLevel="1">
      <c r="A3733" s="453"/>
      <c r="C3733" s="51"/>
      <c r="D3733" s="4295"/>
      <c r="E3733" s="4295"/>
      <c r="F3733" s="4307" t="str">
        <f t="shared" si="349"/>
        <v>ASHP-SEER16-Replace_CAC_ElectricHeat_ROF_MF</v>
      </c>
      <c r="G3733" s="4307"/>
      <c r="H3733" s="4307"/>
      <c r="I3733" s="4307"/>
      <c r="J3733" s="1029" t="str">
        <f t="shared" si="350"/>
        <v>352950_2024_12_</v>
      </c>
      <c r="K3733" s="1796">
        <v>18</v>
      </c>
      <c r="L3733" s="262"/>
      <c r="M3733" s="4202"/>
      <c r="S3733" s="52"/>
      <c r="T3733" s="52"/>
      <c r="U3733" s="52"/>
      <c r="V3733" s="4295"/>
      <c r="W3733" s="263">
        <v>18</v>
      </c>
      <c r="X3733" s="263">
        <v>18</v>
      </c>
      <c r="Y3733" s="263">
        <v>18</v>
      </c>
      <c r="Z3733" s="263">
        <v>18</v>
      </c>
      <c r="AA3733" s="263">
        <v>18</v>
      </c>
      <c r="AB3733" s="263">
        <v>18</v>
      </c>
      <c r="AC3733" s="263">
        <v>18</v>
      </c>
      <c r="AD3733" s="263">
        <v>18</v>
      </c>
      <c r="AE3733" s="263">
        <v>18</v>
      </c>
      <c r="AF3733" s="271">
        <f t="shared" si="348"/>
        <v>18</v>
      </c>
      <c r="AG3733" s="263"/>
      <c r="DG3733" s="573"/>
      <c r="DH3733" s="159"/>
      <c r="DI3733" s="1091"/>
      <c r="DJ3733" s="1187"/>
    </row>
    <row r="3734" spans="1:114" ht="15" hidden="1" customHeight="1" outlineLevel="1">
      <c r="A3734" s="453"/>
      <c r="C3734" s="51"/>
      <c r="D3734" s="4295"/>
      <c r="E3734" s="4295"/>
      <c r="F3734" s="4307" t="str">
        <f t="shared" si="349"/>
        <v>ASHP-SEER16-Replace_CAC_ElectricHeat_ROF_MF_CompE</v>
      </c>
      <c r="G3734" s="4307"/>
      <c r="H3734" s="4307"/>
      <c r="I3734" s="4307"/>
      <c r="J3734" s="1029" t="str">
        <f t="shared" si="350"/>
        <v>352951_2024_12_</v>
      </c>
      <c r="K3734" s="1796">
        <v>18</v>
      </c>
      <c r="L3734" s="262"/>
      <c r="M3734" s="4202"/>
      <c r="S3734" s="52"/>
      <c r="T3734" s="52"/>
      <c r="U3734" s="52"/>
      <c r="V3734" s="4295"/>
      <c r="W3734" s="263"/>
      <c r="X3734" s="263"/>
      <c r="Y3734" s="263"/>
      <c r="Z3734" s="263"/>
      <c r="AA3734" s="263"/>
      <c r="AB3734" s="263"/>
      <c r="AC3734" s="1030">
        <v>18</v>
      </c>
      <c r="AD3734" s="263">
        <v>18</v>
      </c>
      <c r="AE3734" s="263">
        <v>18</v>
      </c>
      <c r="AF3734" s="271">
        <f t="shared" si="348"/>
        <v>18</v>
      </c>
      <c r="AG3734" s="263"/>
      <c r="DG3734" s="573"/>
      <c r="DH3734" s="159"/>
      <c r="DI3734" s="1091"/>
      <c r="DJ3734" s="1187"/>
    </row>
    <row r="3735" spans="1:114" ht="15" hidden="1" customHeight="1" outlineLevel="1">
      <c r="A3735" s="453"/>
      <c r="C3735" s="51"/>
      <c r="D3735" s="4295"/>
      <c r="E3735" s="4295"/>
      <c r="F3735" s="4307" t="str">
        <f t="shared" si="349"/>
        <v>ASHP-SEER16-Replace_CAC_ElectricHeat_ROF_MF_CompE</v>
      </c>
      <c r="G3735" s="4307"/>
      <c r="H3735" s="4307"/>
      <c r="I3735" s="4307"/>
      <c r="J3735" s="1029" t="str">
        <f t="shared" si="350"/>
        <v>352951_2024_12_</v>
      </c>
      <c r="K3735" s="1796">
        <v>18</v>
      </c>
      <c r="L3735" s="262"/>
      <c r="M3735" s="4202"/>
      <c r="S3735" s="52"/>
      <c r="T3735" s="52"/>
      <c r="U3735" s="52"/>
      <c r="V3735" s="4295"/>
      <c r="W3735" s="263"/>
      <c r="X3735" s="263"/>
      <c r="Y3735" s="263"/>
      <c r="Z3735" s="263"/>
      <c r="AA3735" s="263"/>
      <c r="AB3735" s="263"/>
      <c r="AC3735" s="1030">
        <v>18</v>
      </c>
      <c r="AD3735" s="263">
        <v>18</v>
      </c>
      <c r="AE3735" s="263">
        <v>18</v>
      </c>
      <c r="AF3735" s="271">
        <f t="shared" si="348"/>
        <v>18</v>
      </c>
      <c r="AG3735" s="263"/>
      <c r="DG3735" s="573"/>
      <c r="DH3735" s="159"/>
      <c r="DI3735" s="1091"/>
      <c r="DJ3735" s="1187"/>
    </row>
    <row r="3736" spans="1:114" ht="15" hidden="1" customHeight="1" outlineLevel="1">
      <c r="A3736" s="453"/>
      <c r="C3736" s="51"/>
      <c r="D3736" s="4295"/>
      <c r="E3736" s="4295"/>
      <c r="F3736" s="4307" t="str">
        <f t="shared" si="349"/>
        <v>ASHP-SEER16-Replace_CAC_NonElectricHeat_ROF_MF</v>
      </c>
      <c r="G3736" s="4307"/>
      <c r="H3736" s="4307"/>
      <c r="I3736" s="4307"/>
      <c r="J3736" s="1029" t="str">
        <f t="shared" si="350"/>
        <v>352960_2024_12_</v>
      </c>
      <c r="K3736" s="1796">
        <v>18</v>
      </c>
      <c r="L3736" s="262"/>
      <c r="M3736" s="4202"/>
      <c r="S3736" s="52"/>
      <c r="T3736" s="52"/>
      <c r="U3736" s="52"/>
      <c r="V3736" s="4295"/>
      <c r="W3736" s="263"/>
      <c r="X3736" s="263"/>
      <c r="Y3736" s="263"/>
      <c r="Z3736" s="263"/>
      <c r="AA3736" s="263"/>
      <c r="AB3736" s="263"/>
      <c r="AC3736" s="1030">
        <v>18</v>
      </c>
      <c r="AD3736" s="263">
        <v>18</v>
      </c>
      <c r="AE3736" s="263">
        <v>18</v>
      </c>
      <c r="AF3736" s="271">
        <f t="shared" si="348"/>
        <v>18</v>
      </c>
      <c r="AG3736" s="263"/>
      <c r="DG3736" s="573"/>
      <c r="DH3736" s="159"/>
      <c r="DI3736" s="1091"/>
      <c r="DJ3736" s="1187"/>
    </row>
    <row r="3737" spans="1:114" ht="15" hidden="1" customHeight="1" outlineLevel="1">
      <c r="A3737" s="453"/>
      <c r="C3737" s="51"/>
      <c r="D3737" s="4295"/>
      <c r="E3737" s="4295"/>
      <c r="F3737" s="4307" t="str">
        <f t="shared" si="349"/>
        <v>ASHP-SEER16-Replace_CAC_NonElectricHeat_ROF_MF</v>
      </c>
      <c r="G3737" s="4307"/>
      <c r="H3737" s="4307"/>
      <c r="I3737" s="4307"/>
      <c r="J3737" s="1029" t="str">
        <f t="shared" si="350"/>
        <v>352960_2024_12_</v>
      </c>
      <c r="K3737" s="1796">
        <v>18</v>
      </c>
      <c r="L3737" s="262"/>
      <c r="M3737" s="4202"/>
      <c r="S3737" s="52"/>
      <c r="T3737" s="52"/>
      <c r="U3737" s="52"/>
      <c r="V3737" s="4295"/>
      <c r="W3737" s="263"/>
      <c r="X3737" s="263"/>
      <c r="Y3737" s="263"/>
      <c r="Z3737" s="263"/>
      <c r="AA3737" s="263"/>
      <c r="AB3737" s="263"/>
      <c r="AC3737" s="1030">
        <v>18</v>
      </c>
      <c r="AD3737" s="263">
        <v>18</v>
      </c>
      <c r="AE3737" s="263">
        <v>18</v>
      </c>
      <c r="AF3737" s="271">
        <f t="shared" si="348"/>
        <v>18</v>
      </c>
      <c r="AG3737" s="263"/>
      <c r="DG3737" s="573"/>
      <c r="DH3737" s="159"/>
      <c r="DI3737" s="1091"/>
      <c r="DJ3737" s="1187"/>
    </row>
    <row r="3738" spans="1:114" ht="15" hidden="1" customHeight="1" outlineLevel="1">
      <c r="A3738" s="453"/>
      <c r="C3738" s="51"/>
      <c r="D3738" s="4295"/>
      <c r="E3738" s="4295"/>
      <c r="F3738" s="4307" t="str">
        <f t="shared" si="349"/>
        <v>ASHP-SEER16-Replace_CAC_NonElectricHeat_ROF_MF_CompE</v>
      </c>
      <c r="G3738" s="4307"/>
      <c r="H3738" s="4307"/>
      <c r="I3738" s="4307"/>
      <c r="J3738" s="1029" t="str">
        <f t="shared" si="350"/>
        <v>352961_2024_12_</v>
      </c>
      <c r="K3738" s="1796">
        <v>18</v>
      </c>
      <c r="L3738" s="262"/>
      <c r="M3738" s="4202"/>
      <c r="S3738" s="52"/>
      <c r="T3738" s="52"/>
      <c r="U3738" s="52"/>
      <c r="V3738" s="4295"/>
      <c r="W3738" s="263"/>
      <c r="X3738" s="263"/>
      <c r="Y3738" s="263"/>
      <c r="Z3738" s="263"/>
      <c r="AA3738" s="263"/>
      <c r="AB3738" s="263"/>
      <c r="AC3738" s="1030">
        <v>18</v>
      </c>
      <c r="AD3738" s="263">
        <v>18</v>
      </c>
      <c r="AE3738" s="263">
        <v>18</v>
      </c>
      <c r="AF3738" s="271">
        <f t="shared" si="348"/>
        <v>18</v>
      </c>
      <c r="AG3738" s="263"/>
      <c r="DG3738" s="573"/>
      <c r="DH3738" s="159"/>
      <c r="DI3738" s="1091"/>
      <c r="DJ3738" s="1187"/>
    </row>
    <row r="3739" spans="1:114" ht="15" hidden="1" customHeight="1" outlineLevel="1">
      <c r="A3739" s="453"/>
      <c r="C3739" s="51"/>
      <c r="D3739" s="4295"/>
      <c r="E3739" s="4295"/>
      <c r="F3739" s="4307" t="str">
        <f t="shared" si="349"/>
        <v>ASHP-SEER16-Replace_CAC_NonElectricHeat_ROF_MF_CompE</v>
      </c>
      <c r="G3739" s="4307"/>
      <c r="H3739" s="4307"/>
      <c r="I3739" s="4307"/>
      <c r="J3739" s="1029" t="str">
        <f t="shared" si="350"/>
        <v>352961_2024_12_</v>
      </c>
      <c r="K3739" s="1796">
        <v>18</v>
      </c>
      <c r="L3739" s="262"/>
      <c r="M3739" s="4202"/>
      <c r="S3739" s="52"/>
      <c r="T3739" s="52"/>
      <c r="U3739" s="52"/>
      <c r="V3739" s="4295"/>
      <c r="W3739" s="263"/>
      <c r="X3739" s="263"/>
      <c r="Y3739" s="263"/>
      <c r="Z3739" s="263"/>
      <c r="AA3739" s="263"/>
      <c r="AB3739" s="263"/>
      <c r="AC3739" s="1030">
        <v>18</v>
      </c>
      <c r="AD3739" s="263">
        <v>18</v>
      </c>
      <c r="AE3739" s="263">
        <v>18</v>
      </c>
      <c r="AF3739" s="271">
        <f t="shared" si="348"/>
        <v>18</v>
      </c>
      <c r="AG3739" s="263"/>
      <c r="DG3739" s="573"/>
      <c r="DH3739" s="159"/>
      <c r="DI3739" s="1091"/>
      <c r="DJ3739" s="1187"/>
    </row>
    <row r="3740" spans="1:114" ht="15" hidden="1" customHeight="1" outlineLevel="1">
      <c r="A3740" s="453"/>
      <c r="C3740" s="51"/>
      <c r="D3740" s="4295"/>
      <c r="E3740" s="4295"/>
      <c r="F3740" s="4307" t="str">
        <f t="shared" si="349"/>
        <v>ASHP-SEER16-Replace_CAC_ElectricHeat_ER1_MF</v>
      </c>
      <c r="G3740" s="4307"/>
      <c r="H3740" s="4307"/>
      <c r="I3740" s="4307"/>
      <c r="J3740" s="1029" t="str">
        <f t="shared" si="350"/>
        <v>353000_2024_12_</v>
      </c>
      <c r="K3740" s="1796">
        <v>6</v>
      </c>
      <c r="L3740" s="262"/>
      <c r="M3740" s="4202"/>
      <c r="P3740" s="261"/>
      <c r="Q3740" s="209"/>
      <c r="R3740" s="261"/>
      <c r="S3740" s="52"/>
      <c r="T3740" s="181"/>
      <c r="U3740" s="52"/>
      <c r="V3740" s="4295"/>
      <c r="W3740" s="263">
        <v>6</v>
      </c>
      <c r="X3740" s="263">
        <v>6</v>
      </c>
      <c r="Y3740" s="263">
        <v>6</v>
      </c>
      <c r="Z3740" s="263">
        <v>6</v>
      </c>
      <c r="AA3740" s="263">
        <v>6</v>
      </c>
      <c r="AB3740" s="263">
        <v>6</v>
      </c>
      <c r="AC3740" s="263">
        <v>6</v>
      </c>
      <c r="AD3740" s="263">
        <v>6</v>
      </c>
      <c r="AE3740" s="263">
        <v>6</v>
      </c>
      <c r="AF3740" s="271">
        <f t="shared" si="348"/>
        <v>6</v>
      </c>
      <c r="AG3740" s="263"/>
      <c r="DG3740" s="573"/>
      <c r="DH3740" s="159"/>
      <c r="DI3740" s="1091"/>
      <c r="DJ3740" s="1187"/>
    </row>
    <row r="3741" spans="1:114" ht="15" hidden="1" customHeight="1" outlineLevel="1">
      <c r="A3741" s="453"/>
      <c r="C3741" s="51"/>
      <c r="D3741" s="4295"/>
      <c r="E3741" s="4295"/>
      <c r="F3741" s="4307" t="str">
        <f t="shared" si="349"/>
        <v>ASHP-SEER16-Replace_CAC_ElectricHeat_ER1_MF</v>
      </c>
      <c r="G3741" s="4307"/>
      <c r="H3741" s="4307"/>
      <c r="I3741" s="4307"/>
      <c r="J3741" s="1029" t="str">
        <f t="shared" si="350"/>
        <v>353000_2024_12_</v>
      </c>
      <c r="K3741" s="1796">
        <v>6</v>
      </c>
      <c r="L3741" s="262"/>
      <c r="M3741" s="4202"/>
      <c r="S3741" s="52"/>
      <c r="T3741" s="52"/>
      <c r="U3741" s="52"/>
      <c r="V3741" s="4295"/>
      <c r="W3741" s="263">
        <v>6</v>
      </c>
      <c r="X3741" s="263">
        <v>6</v>
      </c>
      <c r="Y3741" s="263">
        <v>6</v>
      </c>
      <c r="Z3741" s="263">
        <v>6</v>
      </c>
      <c r="AA3741" s="263">
        <v>6</v>
      </c>
      <c r="AB3741" s="263">
        <v>6</v>
      </c>
      <c r="AC3741" s="263">
        <v>6</v>
      </c>
      <c r="AD3741" s="263">
        <v>6</v>
      </c>
      <c r="AE3741" s="263">
        <v>6</v>
      </c>
      <c r="AF3741" s="271">
        <f t="shared" si="348"/>
        <v>6</v>
      </c>
      <c r="AG3741" s="263"/>
      <c r="DG3741" s="573"/>
      <c r="DH3741" s="159"/>
      <c r="DI3741" s="1091"/>
      <c r="DJ3741" s="1187"/>
    </row>
    <row r="3742" spans="1:114" ht="15" hidden="1" customHeight="1" outlineLevel="1">
      <c r="A3742" s="453"/>
      <c r="C3742" s="51"/>
      <c r="D3742" s="4295"/>
      <c r="E3742" s="4295"/>
      <c r="F3742" s="4307" t="str">
        <f t="shared" si="349"/>
        <v>ASHP-SEER16-Replace_CAC_ElectricHeat_ER2_MF</v>
      </c>
      <c r="G3742" s="4307"/>
      <c r="H3742" s="4307"/>
      <c r="I3742" s="4307"/>
      <c r="J3742" s="1029" t="str">
        <f t="shared" si="350"/>
        <v>353000_2024_12_</v>
      </c>
      <c r="K3742" s="1796">
        <v>12</v>
      </c>
      <c r="L3742" s="262"/>
      <c r="M3742" s="4202"/>
      <c r="S3742" s="52"/>
      <c r="T3742" s="52"/>
      <c r="U3742" s="52"/>
      <c r="V3742" s="4295"/>
      <c r="W3742" s="263">
        <v>12</v>
      </c>
      <c r="X3742" s="263">
        <v>12</v>
      </c>
      <c r="Y3742" s="263">
        <v>12</v>
      </c>
      <c r="Z3742" s="263">
        <v>12</v>
      </c>
      <c r="AA3742" s="263">
        <v>12</v>
      </c>
      <c r="AB3742" s="263">
        <v>12</v>
      </c>
      <c r="AC3742" s="263">
        <v>12</v>
      </c>
      <c r="AD3742" s="263">
        <v>12</v>
      </c>
      <c r="AE3742" s="263">
        <v>12</v>
      </c>
      <c r="AF3742" s="271">
        <f t="shared" si="348"/>
        <v>12</v>
      </c>
      <c r="AG3742" s="263"/>
      <c r="DG3742" s="573"/>
      <c r="DH3742" s="159"/>
      <c r="DI3742" s="1091"/>
      <c r="DJ3742" s="1187"/>
    </row>
    <row r="3743" spans="1:114" ht="15" hidden="1" customHeight="1" outlineLevel="1">
      <c r="A3743" s="453"/>
      <c r="C3743" s="51"/>
      <c r="D3743" s="4295"/>
      <c r="E3743" s="4295"/>
      <c r="F3743" s="4307" t="str">
        <f t="shared" si="349"/>
        <v>ASHP-SEER16-Replace_CAC_ElectricHeat_ER2_MF</v>
      </c>
      <c r="G3743" s="4307"/>
      <c r="H3743" s="4307"/>
      <c r="I3743" s="4307"/>
      <c r="J3743" s="1029" t="str">
        <f t="shared" si="350"/>
        <v>353000_2024_12_</v>
      </c>
      <c r="K3743" s="1796">
        <v>12</v>
      </c>
      <c r="L3743" s="262"/>
      <c r="M3743" s="4202"/>
      <c r="P3743" s="261"/>
      <c r="Q3743" s="209"/>
      <c r="R3743" s="261"/>
      <c r="S3743" s="52"/>
      <c r="T3743" s="181"/>
      <c r="U3743" s="52"/>
      <c r="V3743" s="4295"/>
      <c r="W3743" s="263">
        <v>12</v>
      </c>
      <c r="X3743" s="263">
        <v>12</v>
      </c>
      <c r="Y3743" s="263">
        <v>12</v>
      </c>
      <c r="Z3743" s="263">
        <v>12</v>
      </c>
      <c r="AA3743" s="263">
        <v>12</v>
      </c>
      <c r="AB3743" s="263">
        <v>12</v>
      </c>
      <c r="AC3743" s="263">
        <v>12</v>
      </c>
      <c r="AD3743" s="263">
        <v>12</v>
      </c>
      <c r="AE3743" s="263">
        <v>12</v>
      </c>
      <c r="AF3743" s="271">
        <f t="shared" si="348"/>
        <v>12</v>
      </c>
      <c r="AG3743" s="263"/>
      <c r="DG3743" s="573"/>
      <c r="DH3743" s="159"/>
      <c r="DI3743" s="1091"/>
      <c r="DJ3743" s="1187"/>
    </row>
    <row r="3744" spans="1:114" ht="15" hidden="1" customHeight="1" outlineLevel="1">
      <c r="A3744" s="453"/>
      <c r="C3744" s="51"/>
      <c r="D3744" s="4295"/>
      <c r="E3744" s="4295"/>
      <c r="F3744" s="4347" t="str">
        <f t="shared" si="349"/>
        <v>ASHP-SEER16-Replace_CAC_ElectricHeat_ER1_MF_CompE</v>
      </c>
      <c r="G3744" s="4347"/>
      <c r="H3744" s="4347"/>
      <c r="I3744" s="4347"/>
      <c r="J3744" s="3471" t="str">
        <f t="shared" si="350"/>
        <v>353001_2024_12_</v>
      </c>
      <c r="K3744" s="3377">
        <v>6</v>
      </c>
      <c r="L3744" s="262"/>
      <c r="M3744" s="4202"/>
      <c r="P3744" s="261"/>
      <c r="Q3744" s="209"/>
      <c r="R3744" s="261"/>
      <c r="S3744" s="52"/>
      <c r="T3744" s="181"/>
      <c r="U3744" s="52"/>
      <c r="V3744" s="4295"/>
      <c r="W3744" s="3494"/>
      <c r="X3744" s="3494"/>
      <c r="Y3744" s="3494"/>
      <c r="Z3744" s="3494"/>
      <c r="AA3744" s="3494"/>
      <c r="AB3744" s="3494"/>
      <c r="AC3744" s="3495">
        <v>6</v>
      </c>
      <c r="AD3744" s="3494">
        <v>6</v>
      </c>
      <c r="AE3744" s="3494">
        <v>6</v>
      </c>
      <c r="AF3744" s="2236">
        <f t="shared" si="348"/>
        <v>6</v>
      </c>
      <c r="AG3744" s="263"/>
      <c r="DG3744" s="573"/>
      <c r="DH3744" s="159"/>
      <c r="DI3744" s="1091"/>
      <c r="DJ3744" s="1187"/>
    </row>
    <row r="3745" spans="1:114" ht="15" hidden="1" customHeight="1" outlineLevel="1">
      <c r="A3745" s="453"/>
      <c r="C3745" s="51"/>
      <c r="D3745" s="4295"/>
      <c r="E3745" s="4295"/>
      <c r="F3745" s="4347" t="str">
        <f t="shared" si="349"/>
        <v>ASHP-SEER16-Replace_CAC_ElectricHeat_ER1_MF_CompE</v>
      </c>
      <c r="G3745" s="4347"/>
      <c r="H3745" s="4347"/>
      <c r="I3745" s="4347"/>
      <c r="J3745" s="3471" t="str">
        <f t="shared" si="350"/>
        <v>353001_2024_12_</v>
      </c>
      <c r="K3745" s="3377">
        <v>6</v>
      </c>
      <c r="L3745" s="262"/>
      <c r="M3745" s="4202"/>
      <c r="P3745" s="261"/>
      <c r="Q3745" s="209"/>
      <c r="R3745" s="261"/>
      <c r="S3745" s="52"/>
      <c r="T3745" s="181"/>
      <c r="U3745" s="52"/>
      <c r="V3745" s="4295"/>
      <c r="W3745" s="3494"/>
      <c r="X3745" s="3494"/>
      <c r="Y3745" s="3494"/>
      <c r="Z3745" s="3494"/>
      <c r="AA3745" s="3494"/>
      <c r="AB3745" s="3494"/>
      <c r="AC3745" s="3495">
        <v>6</v>
      </c>
      <c r="AD3745" s="3494">
        <v>6</v>
      </c>
      <c r="AE3745" s="3494">
        <v>6</v>
      </c>
      <c r="AF3745" s="2236">
        <f t="shared" si="348"/>
        <v>6</v>
      </c>
      <c r="AG3745" s="263"/>
      <c r="DG3745" s="573"/>
      <c r="DH3745" s="159"/>
      <c r="DI3745" s="1091"/>
      <c r="DJ3745" s="1187"/>
    </row>
    <row r="3746" spans="1:114" ht="15" hidden="1" customHeight="1" outlineLevel="1">
      <c r="A3746" s="453"/>
      <c r="C3746" s="51"/>
      <c r="D3746" s="4295"/>
      <c r="E3746" s="4295"/>
      <c r="F3746" s="4347" t="str">
        <f t="shared" si="349"/>
        <v>ASHP-SEER16-Replace_CAC_ElectricHeat_ER2_MF_CompE</v>
      </c>
      <c r="G3746" s="4347"/>
      <c r="H3746" s="4347"/>
      <c r="I3746" s="4347"/>
      <c r="J3746" s="3471" t="str">
        <f t="shared" si="350"/>
        <v>353001_2024_12_</v>
      </c>
      <c r="K3746" s="3377">
        <v>12</v>
      </c>
      <c r="L3746" s="262"/>
      <c r="M3746" s="4202"/>
      <c r="P3746" s="261"/>
      <c r="Q3746" s="209"/>
      <c r="R3746" s="261"/>
      <c r="S3746" s="52"/>
      <c r="T3746" s="181"/>
      <c r="U3746" s="52"/>
      <c r="V3746" s="4295"/>
      <c r="W3746" s="3494"/>
      <c r="X3746" s="3494"/>
      <c r="Y3746" s="3494"/>
      <c r="Z3746" s="3494"/>
      <c r="AA3746" s="3494"/>
      <c r="AB3746" s="3494"/>
      <c r="AC3746" s="3495">
        <v>12</v>
      </c>
      <c r="AD3746" s="3494">
        <v>12</v>
      </c>
      <c r="AE3746" s="3494">
        <v>12</v>
      </c>
      <c r="AF3746" s="2236">
        <f t="shared" si="348"/>
        <v>12</v>
      </c>
      <c r="AG3746" s="263"/>
      <c r="DG3746" s="573"/>
      <c r="DH3746" s="159"/>
      <c r="DI3746" s="1091"/>
      <c r="DJ3746" s="1187"/>
    </row>
    <row r="3747" spans="1:114" ht="15" hidden="1" customHeight="1" outlineLevel="1">
      <c r="A3747" s="453"/>
      <c r="C3747" s="51"/>
      <c r="D3747" s="4295"/>
      <c r="E3747" s="4295"/>
      <c r="F3747" s="4347" t="str">
        <f t="shared" si="349"/>
        <v>ASHP-SEER16-Replace_CAC_ElectricHeat_ER2_MF_CompE</v>
      </c>
      <c r="G3747" s="4347"/>
      <c r="H3747" s="4347"/>
      <c r="I3747" s="4347"/>
      <c r="J3747" s="3471" t="str">
        <f t="shared" si="350"/>
        <v>353001_2024_12_</v>
      </c>
      <c r="K3747" s="3377">
        <v>12</v>
      </c>
      <c r="L3747" s="262"/>
      <c r="M3747" s="4202"/>
      <c r="P3747" s="261"/>
      <c r="Q3747" s="209"/>
      <c r="R3747" s="261"/>
      <c r="S3747" s="52"/>
      <c r="T3747" s="181"/>
      <c r="U3747" s="52"/>
      <c r="V3747" s="4295"/>
      <c r="W3747" s="3494"/>
      <c r="X3747" s="3494"/>
      <c r="Y3747" s="3494"/>
      <c r="Z3747" s="3494"/>
      <c r="AA3747" s="3494"/>
      <c r="AB3747" s="3494"/>
      <c r="AC3747" s="3495">
        <v>12</v>
      </c>
      <c r="AD3747" s="3494">
        <v>12</v>
      </c>
      <c r="AE3747" s="3494">
        <v>12</v>
      </c>
      <c r="AF3747" s="2236">
        <f t="shared" si="348"/>
        <v>12</v>
      </c>
      <c r="AG3747" s="263"/>
      <c r="DG3747" s="573"/>
      <c r="DH3747" s="159"/>
      <c r="DI3747" s="1091"/>
      <c r="DJ3747" s="1187"/>
    </row>
    <row r="3748" spans="1:114" ht="15" hidden="1" customHeight="1" outlineLevel="1">
      <c r="A3748" s="453"/>
      <c r="C3748" s="51"/>
      <c r="D3748" s="4295"/>
      <c r="E3748" s="4295"/>
      <c r="F3748" s="4347" t="str">
        <f t="shared" si="349"/>
        <v>ASHP-SEER16-Replace_CAC_NonElectricHeat_ER1_MF</v>
      </c>
      <c r="G3748" s="4347"/>
      <c r="H3748" s="4347"/>
      <c r="I3748" s="4347"/>
      <c r="J3748" s="3471" t="str">
        <f t="shared" si="350"/>
        <v>353010_2024_12_</v>
      </c>
      <c r="K3748" s="3377">
        <v>6</v>
      </c>
      <c r="L3748" s="262"/>
      <c r="M3748" s="4202"/>
      <c r="P3748" s="261"/>
      <c r="Q3748" s="209"/>
      <c r="R3748" s="261"/>
      <c r="S3748" s="52"/>
      <c r="T3748" s="181"/>
      <c r="U3748" s="52"/>
      <c r="V3748" s="4295"/>
      <c r="W3748" s="3494"/>
      <c r="X3748" s="3494"/>
      <c r="Y3748" s="3494"/>
      <c r="Z3748" s="3494"/>
      <c r="AA3748" s="3494"/>
      <c r="AB3748" s="3494"/>
      <c r="AC3748" s="3495">
        <v>6</v>
      </c>
      <c r="AD3748" s="3494">
        <v>6</v>
      </c>
      <c r="AE3748" s="3494">
        <v>6</v>
      </c>
      <c r="AF3748" s="2236">
        <f t="shared" si="348"/>
        <v>6</v>
      </c>
      <c r="AG3748" s="263"/>
      <c r="DG3748" s="573"/>
      <c r="DH3748" s="159"/>
      <c r="DI3748" s="1091"/>
      <c r="DJ3748" s="1187"/>
    </row>
    <row r="3749" spans="1:114" ht="15" hidden="1" customHeight="1" outlineLevel="1">
      <c r="A3749" s="453"/>
      <c r="C3749" s="51"/>
      <c r="D3749" s="4295"/>
      <c r="E3749" s="4295"/>
      <c r="F3749" s="4347" t="str">
        <f t="shared" si="349"/>
        <v>ASHP-SEER16-Replace_CAC_NonElectricHeat_ER1_MF</v>
      </c>
      <c r="G3749" s="4347"/>
      <c r="H3749" s="4347"/>
      <c r="I3749" s="4347"/>
      <c r="J3749" s="3471" t="str">
        <f t="shared" si="350"/>
        <v>353010_2024_12_</v>
      </c>
      <c r="K3749" s="3377">
        <v>6</v>
      </c>
      <c r="L3749" s="262"/>
      <c r="M3749" s="4202"/>
      <c r="P3749" s="261"/>
      <c r="Q3749" s="209"/>
      <c r="R3749" s="261"/>
      <c r="S3749" s="52"/>
      <c r="T3749" s="181"/>
      <c r="U3749" s="52"/>
      <c r="V3749" s="4295"/>
      <c r="W3749" s="3494"/>
      <c r="X3749" s="3494"/>
      <c r="Y3749" s="3494"/>
      <c r="Z3749" s="3494"/>
      <c r="AA3749" s="3494"/>
      <c r="AB3749" s="3494"/>
      <c r="AC3749" s="3495">
        <v>6</v>
      </c>
      <c r="AD3749" s="3494">
        <v>6</v>
      </c>
      <c r="AE3749" s="3494">
        <v>6</v>
      </c>
      <c r="AF3749" s="2236">
        <f t="shared" si="348"/>
        <v>6</v>
      </c>
      <c r="AG3749" s="263"/>
      <c r="DG3749" s="573"/>
      <c r="DH3749" s="159"/>
      <c r="DI3749" s="1091"/>
      <c r="DJ3749" s="1187"/>
    </row>
    <row r="3750" spans="1:114" ht="15" hidden="1" customHeight="1" outlineLevel="1">
      <c r="A3750" s="453"/>
      <c r="C3750" s="51"/>
      <c r="D3750" s="4295"/>
      <c r="E3750" s="4295"/>
      <c r="F3750" s="4347" t="str">
        <f t="shared" si="349"/>
        <v>ASHP-SEER16-Replace_CAC_NonElectricHeat_ER2_MF</v>
      </c>
      <c r="G3750" s="4347"/>
      <c r="H3750" s="4347"/>
      <c r="I3750" s="4347"/>
      <c r="J3750" s="3471" t="str">
        <f t="shared" si="350"/>
        <v>353010_2024_12_</v>
      </c>
      <c r="K3750" s="3377">
        <v>12</v>
      </c>
      <c r="L3750" s="262"/>
      <c r="M3750" s="4202"/>
      <c r="P3750" s="261"/>
      <c r="Q3750" s="209"/>
      <c r="R3750" s="261"/>
      <c r="S3750" s="52"/>
      <c r="T3750" s="181"/>
      <c r="U3750" s="52"/>
      <c r="V3750" s="4295"/>
      <c r="W3750" s="3494"/>
      <c r="X3750" s="3494"/>
      <c r="Y3750" s="3494"/>
      <c r="Z3750" s="3494"/>
      <c r="AA3750" s="3494"/>
      <c r="AB3750" s="3494"/>
      <c r="AC3750" s="3495">
        <v>12</v>
      </c>
      <c r="AD3750" s="3494">
        <v>12</v>
      </c>
      <c r="AE3750" s="3494">
        <v>12</v>
      </c>
      <c r="AF3750" s="2236">
        <f t="shared" si="348"/>
        <v>12</v>
      </c>
      <c r="AG3750" s="263"/>
      <c r="DG3750" s="573"/>
      <c r="DH3750" s="159"/>
      <c r="DI3750" s="1091"/>
      <c r="DJ3750" s="1187"/>
    </row>
    <row r="3751" spans="1:114" ht="15" hidden="1" customHeight="1" outlineLevel="1">
      <c r="A3751" s="453"/>
      <c r="C3751" s="51"/>
      <c r="D3751" s="4295"/>
      <c r="E3751" s="4295"/>
      <c r="F3751" s="4347" t="str">
        <f t="shared" si="349"/>
        <v>ASHP-SEER16-Replace_CAC_NonElectricHeat_ER2_MF</v>
      </c>
      <c r="G3751" s="4347"/>
      <c r="H3751" s="4347"/>
      <c r="I3751" s="4347"/>
      <c r="J3751" s="3471" t="str">
        <f t="shared" si="350"/>
        <v>353010_2024_12_</v>
      </c>
      <c r="K3751" s="3377">
        <v>12</v>
      </c>
      <c r="L3751" s="262"/>
      <c r="M3751" s="4202"/>
      <c r="P3751" s="261"/>
      <c r="Q3751" s="209"/>
      <c r="R3751" s="261"/>
      <c r="S3751" s="52"/>
      <c r="T3751" s="181"/>
      <c r="U3751" s="52"/>
      <c r="V3751" s="4295"/>
      <c r="W3751" s="3494"/>
      <c r="X3751" s="3494"/>
      <c r="Y3751" s="3494"/>
      <c r="Z3751" s="3494"/>
      <c r="AA3751" s="3494"/>
      <c r="AB3751" s="3494"/>
      <c r="AC3751" s="3495">
        <v>12</v>
      </c>
      <c r="AD3751" s="3494">
        <v>12</v>
      </c>
      <c r="AE3751" s="3494">
        <v>12</v>
      </c>
      <c r="AF3751" s="2236">
        <f t="shared" si="348"/>
        <v>12</v>
      </c>
      <c r="AG3751" s="263"/>
      <c r="DG3751" s="573"/>
      <c r="DH3751" s="159"/>
      <c r="DI3751" s="1091"/>
      <c r="DJ3751" s="1187"/>
    </row>
    <row r="3752" spans="1:114" ht="15" hidden="1" customHeight="1" outlineLevel="1">
      <c r="A3752" s="453"/>
      <c r="C3752" s="51"/>
      <c r="D3752" s="4295"/>
      <c r="E3752" s="4295"/>
      <c r="F3752" s="4347" t="str">
        <f t="shared" si="349"/>
        <v>ASHP-SEER16-Replace_CAC_NonElectricHeat_ER1_MF_CompE</v>
      </c>
      <c r="G3752" s="4347"/>
      <c r="H3752" s="4347"/>
      <c r="I3752" s="4347"/>
      <c r="J3752" s="3471" t="str">
        <f t="shared" si="350"/>
        <v>353011_2024_12_</v>
      </c>
      <c r="K3752" s="3377">
        <v>6</v>
      </c>
      <c r="L3752" s="262"/>
      <c r="M3752" s="4202"/>
      <c r="P3752" s="261"/>
      <c r="Q3752" s="209"/>
      <c r="R3752" s="261"/>
      <c r="S3752" s="52"/>
      <c r="T3752" s="181"/>
      <c r="U3752" s="52"/>
      <c r="V3752" s="4295"/>
      <c r="W3752" s="3494"/>
      <c r="X3752" s="3494"/>
      <c r="Y3752" s="3494"/>
      <c r="Z3752" s="3494"/>
      <c r="AA3752" s="3494"/>
      <c r="AB3752" s="3494"/>
      <c r="AC3752" s="3495">
        <v>6</v>
      </c>
      <c r="AD3752" s="3494">
        <v>6</v>
      </c>
      <c r="AE3752" s="3494">
        <v>6</v>
      </c>
      <c r="AF3752" s="2236">
        <f t="shared" si="348"/>
        <v>6</v>
      </c>
      <c r="AG3752" s="263"/>
      <c r="DG3752" s="573"/>
      <c r="DH3752" s="159"/>
      <c r="DI3752" s="1091"/>
      <c r="DJ3752" s="1187"/>
    </row>
    <row r="3753" spans="1:114" ht="15" hidden="1" customHeight="1" outlineLevel="1">
      <c r="A3753" s="453"/>
      <c r="C3753" s="51"/>
      <c r="D3753" s="4295"/>
      <c r="E3753" s="4295"/>
      <c r="F3753" s="4347" t="str">
        <f t="shared" si="349"/>
        <v>ASHP-SEER16-Replace_CAC_NonElectricHeat_ER1_MF_CompE</v>
      </c>
      <c r="G3753" s="4347"/>
      <c r="H3753" s="4347"/>
      <c r="I3753" s="4347"/>
      <c r="J3753" s="3471" t="str">
        <f t="shared" si="350"/>
        <v>353011_2024_12_</v>
      </c>
      <c r="K3753" s="3377">
        <v>6</v>
      </c>
      <c r="L3753" s="262"/>
      <c r="M3753" s="4202"/>
      <c r="P3753" s="261"/>
      <c r="Q3753" s="209"/>
      <c r="R3753" s="261"/>
      <c r="S3753" s="52"/>
      <c r="T3753" s="181"/>
      <c r="U3753" s="52"/>
      <c r="V3753" s="4295"/>
      <c r="W3753" s="3494"/>
      <c r="X3753" s="3494"/>
      <c r="Y3753" s="3494"/>
      <c r="Z3753" s="3494"/>
      <c r="AA3753" s="3494"/>
      <c r="AB3753" s="3494"/>
      <c r="AC3753" s="3495">
        <v>6</v>
      </c>
      <c r="AD3753" s="3494">
        <v>6</v>
      </c>
      <c r="AE3753" s="3494">
        <v>6</v>
      </c>
      <c r="AF3753" s="2236">
        <f t="shared" si="348"/>
        <v>6</v>
      </c>
      <c r="AG3753" s="263"/>
      <c r="DG3753" s="573"/>
      <c r="DH3753" s="159"/>
      <c r="DI3753" s="1091"/>
      <c r="DJ3753" s="1187"/>
    </row>
    <row r="3754" spans="1:114" ht="15" hidden="1" customHeight="1" outlineLevel="1">
      <c r="A3754" s="453"/>
      <c r="C3754" s="51"/>
      <c r="D3754" s="4295"/>
      <c r="E3754" s="4295"/>
      <c r="F3754" s="4347" t="str">
        <f t="shared" si="349"/>
        <v>ASHP-SEER16-Replace_CAC_NonElectricHeat_ER2_MF_CompE</v>
      </c>
      <c r="G3754" s="4347"/>
      <c r="H3754" s="4347"/>
      <c r="I3754" s="4347"/>
      <c r="J3754" s="3471" t="str">
        <f t="shared" si="350"/>
        <v>353011_2024_12_</v>
      </c>
      <c r="K3754" s="3377">
        <v>12</v>
      </c>
      <c r="L3754" s="262"/>
      <c r="M3754" s="4202"/>
      <c r="P3754" s="261"/>
      <c r="Q3754" s="209"/>
      <c r="R3754" s="261"/>
      <c r="S3754" s="52"/>
      <c r="T3754" s="181"/>
      <c r="U3754" s="52"/>
      <c r="V3754" s="4295"/>
      <c r="W3754" s="3494"/>
      <c r="X3754" s="3494"/>
      <c r="Y3754" s="3494"/>
      <c r="Z3754" s="3494"/>
      <c r="AA3754" s="3494"/>
      <c r="AB3754" s="3494"/>
      <c r="AC3754" s="3495">
        <v>12</v>
      </c>
      <c r="AD3754" s="3494">
        <v>12</v>
      </c>
      <c r="AE3754" s="3494">
        <v>12</v>
      </c>
      <c r="AF3754" s="2236">
        <f t="shared" si="348"/>
        <v>12</v>
      </c>
      <c r="AG3754" s="263"/>
      <c r="DG3754" s="573"/>
      <c r="DH3754" s="159"/>
      <c r="DI3754" s="1091"/>
      <c r="DJ3754" s="1187"/>
    </row>
    <row r="3755" spans="1:114" ht="15" hidden="1" customHeight="1" outlineLevel="1">
      <c r="A3755" s="453"/>
      <c r="C3755" s="51"/>
      <c r="D3755" s="4295"/>
      <c r="E3755" s="4295"/>
      <c r="F3755" s="4347" t="str">
        <f t="shared" si="349"/>
        <v>ASHP-SEER16-Replace_CAC_NonElectricHeat_ER2_MF_CompE</v>
      </c>
      <c r="G3755" s="4347"/>
      <c r="H3755" s="4347"/>
      <c r="I3755" s="4347"/>
      <c r="J3755" s="3471" t="str">
        <f t="shared" si="350"/>
        <v>353011_2024_12_</v>
      </c>
      <c r="K3755" s="3377">
        <v>12</v>
      </c>
      <c r="L3755" s="262"/>
      <c r="M3755" s="4202"/>
      <c r="P3755" s="261"/>
      <c r="Q3755" s="209"/>
      <c r="R3755" s="261"/>
      <c r="S3755" s="52"/>
      <c r="T3755" s="181"/>
      <c r="U3755" s="52"/>
      <c r="V3755" s="4295"/>
      <c r="W3755" s="3494"/>
      <c r="X3755" s="3494"/>
      <c r="Y3755" s="3494"/>
      <c r="Z3755" s="3494"/>
      <c r="AA3755" s="3494"/>
      <c r="AB3755" s="3494"/>
      <c r="AC3755" s="3495">
        <v>12</v>
      </c>
      <c r="AD3755" s="3494">
        <v>12</v>
      </c>
      <c r="AE3755" s="3494">
        <v>12</v>
      </c>
      <c r="AF3755" s="2236">
        <f t="shared" si="348"/>
        <v>12</v>
      </c>
      <c r="AG3755" s="263"/>
      <c r="DG3755" s="573"/>
      <c r="DH3755" s="159"/>
      <c r="DI3755" s="1091"/>
      <c r="DJ3755" s="1187"/>
    </row>
    <row r="3756" spans="1:114" ht="15" hidden="1" customHeight="1" outlineLevel="1">
      <c r="A3756" s="453"/>
      <c r="C3756" s="51"/>
      <c r="D3756" s="4295"/>
      <c r="E3756" s="4295"/>
      <c r="F3756" s="4347" t="str">
        <f t="shared" si="349"/>
        <v>ASHP-SEER15_ROF_MF</v>
      </c>
      <c r="G3756" s="4347"/>
      <c r="H3756" s="4347"/>
      <c r="I3756" s="4347"/>
      <c r="J3756" s="3471" t="str">
        <f t="shared" si="350"/>
        <v>353050_2024_12_</v>
      </c>
      <c r="K3756" s="3377">
        <v>18</v>
      </c>
      <c r="L3756" s="262"/>
      <c r="M3756" s="4202"/>
      <c r="P3756" s="261"/>
      <c r="Q3756" s="209"/>
      <c r="R3756" s="261"/>
      <c r="S3756" s="52"/>
      <c r="T3756" s="181"/>
      <c r="U3756" s="52"/>
      <c r="V3756" s="4295"/>
      <c r="W3756" s="3494">
        <v>18</v>
      </c>
      <c r="X3756" s="3494">
        <v>18</v>
      </c>
      <c r="Y3756" s="3494">
        <v>18</v>
      </c>
      <c r="Z3756" s="3494">
        <v>18</v>
      </c>
      <c r="AA3756" s="3494">
        <v>18</v>
      </c>
      <c r="AB3756" s="3494">
        <v>18</v>
      </c>
      <c r="AC3756" s="3494">
        <v>18</v>
      </c>
      <c r="AD3756" s="3494">
        <v>18</v>
      </c>
      <c r="AE3756" s="3494">
        <v>18</v>
      </c>
      <c r="AF3756" s="2236">
        <f t="shared" si="348"/>
        <v>18</v>
      </c>
      <c r="AG3756" s="263"/>
      <c r="DG3756" s="573"/>
      <c r="DH3756" s="159"/>
      <c r="DI3756" s="1091"/>
      <c r="DJ3756" s="1187"/>
    </row>
    <row r="3757" spans="1:114" ht="15" hidden="1" customHeight="1" outlineLevel="1">
      <c r="A3757" s="453"/>
      <c r="C3757" s="51"/>
      <c r="D3757" s="4295"/>
      <c r="E3757" s="4295"/>
      <c r="F3757" s="4347" t="str">
        <f t="shared" si="349"/>
        <v>ASHP-SEER15_ROF_MF</v>
      </c>
      <c r="G3757" s="4347"/>
      <c r="H3757" s="4347"/>
      <c r="I3757" s="4347"/>
      <c r="J3757" s="3471" t="str">
        <f t="shared" si="350"/>
        <v>353050_2024_12_</v>
      </c>
      <c r="K3757" s="3377">
        <v>18</v>
      </c>
      <c r="L3757" s="262"/>
      <c r="M3757" s="4202"/>
      <c r="S3757" s="52"/>
      <c r="T3757" s="52"/>
      <c r="U3757" s="52"/>
      <c r="V3757" s="4295"/>
      <c r="W3757" s="3494">
        <v>18</v>
      </c>
      <c r="X3757" s="3494">
        <v>18</v>
      </c>
      <c r="Y3757" s="3494">
        <v>18</v>
      </c>
      <c r="Z3757" s="3494">
        <v>18</v>
      </c>
      <c r="AA3757" s="3494">
        <v>18</v>
      </c>
      <c r="AB3757" s="3494">
        <v>18</v>
      </c>
      <c r="AC3757" s="3494">
        <v>18</v>
      </c>
      <c r="AD3757" s="3494">
        <v>18</v>
      </c>
      <c r="AE3757" s="3494">
        <v>18</v>
      </c>
      <c r="AF3757" s="2236">
        <f t="shared" si="348"/>
        <v>18</v>
      </c>
      <c r="AG3757" s="263"/>
      <c r="DG3757" s="573"/>
      <c r="DH3757" s="159"/>
      <c r="DI3757" s="1091"/>
      <c r="DJ3757" s="1187"/>
    </row>
    <row r="3758" spans="1:114" ht="15" hidden="1" customHeight="1" outlineLevel="1">
      <c r="A3758" s="453"/>
      <c r="C3758" s="51"/>
      <c r="D3758" s="4295"/>
      <c r="E3758" s="4295"/>
      <c r="F3758" s="4347" t="str">
        <f t="shared" si="349"/>
        <v>ASHP-SEER15_ROF_MF_CompE</v>
      </c>
      <c r="G3758" s="4347"/>
      <c r="H3758" s="4347"/>
      <c r="I3758" s="4347"/>
      <c r="J3758" s="3471" t="str">
        <f t="shared" si="350"/>
        <v>353051_2024_12_</v>
      </c>
      <c r="K3758" s="3377">
        <v>18</v>
      </c>
      <c r="L3758" s="262"/>
      <c r="M3758" s="4202"/>
      <c r="S3758" s="52"/>
      <c r="T3758" s="52"/>
      <c r="U3758" s="52"/>
      <c r="V3758" s="4295"/>
      <c r="W3758" s="3494"/>
      <c r="X3758" s="3494"/>
      <c r="Y3758" s="3494"/>
      <c r="Z3758" s="3494"/>
      <c r="AA3758" s="3494"/>
      <c r="AB3758" s="3494"/>
      <c r="AC3758" s="3495">
        <v>18</v>
      </c>
      <c r="AD3758" s="3494">
        <v>18</v>
      </c>
      <c r="AE3758" s="3494">
        <v>18</v>
      </c>
      <c r="AF3758" s="2236">
        <f t="shared" si="348"/>
        <v>18</v>
      </c>
      <c r="AG3758" s="263"/>
      <c r="DG3758" s="573"/>
      <c r="DH3758" s="159"/>
      <c r="DI3758" s="1091"/>
      <c r="DJ3758" s="1187"/>
    </row>
    <row r="3759" spans="1:114" ht="15" hidden="1" customHeight="1" outlineLevel="1">
      <c r="A3759" s="453"/>
      <c r="C3759" s="51"/>
      <c r="D3759" s="4295"/>
      <c r="E3759" s="4295"/>
      <c r="F3759" s="4347" t="str">
        <f t="shared" si="349"/>
        <v>ASHP-SEER15_ROF_MF_CompE</v>
      </c>
      <c r="G3759" s="4347"/>
      <c r="H3759" s="4347"/>
      <c r="I3759" s="4347"/>
      <c r="J3759" s="3471" t="str">
        <f t="shared" si="350"/>
        <v>353051_2024_12_</v>
      </c>
      <c r="K3759" s="3377">
        <v>18</v>
      </c>
      <c r="L3759" s="262"/>
      <c r="M3759" s="4202"/>
      <c r="S3759" s="52"/>
      <c r="T3759" s="52"/>
      <c r="U3759" s="52"/>
      <c r="V3759" s="4295"/>
      <c r="W3759" s="3494"/>
      <c r="X3759" s="3494"/>
      <c r="Y3759" s="3494"/>
      <c r="Z3759" s="3494"/>
      <c r="AA3759" s="3494"/>
      <c r="AB3759" s="3494"/>
      <c r="AC3759" s="3495">
        <v>18</v>
      </c>
      <c r="AD3759" s="3494">
        <v>18</v>
      </c>
      <c r="AE3759" s="3494">
        <v>18</v>
      </c>
      <c r="AF3759" s="2236">
        <f t="shared" si="348"/>
        <v>18</v>
      </c>
      <c r="AG3759" s="263"/>
      <c r="DG3759" s="573"/>
      <c r="DH3759" s="159"/>
      <c r="DI3759" s="1091"/>
      <c r="DJ3759" s="1187"/>
    </row>
    <row r="3760" spans="1:114" ht="15" hidden="1" customHeight="1" outlineLevel="1">
      <c r="A3760" s="453"/>
      <c r="C3760" s="51"/>
      <c r="D3760" s="4295"/>
      <c r="E3760" s="4295"/>
      <c r="F3760" s="4307" t="str">
        <f t="shared" si="349"/>
        <v>ASHP-SEER17-Replace_CAC_ElectricHeat_ROF_SF</v>
      </c>
      <c r="G3760" s="4307"/>
      <c r="H3760" s="4307"/>
      <c r="I3760" s="4307"/>
      <c r="J3760" s="1029" t="str">
        <f t="shared" si="350"/>
        <v>353100_2024_12_</v>
      </c>
      <c r="K3760" s="1796">
        <v>18</v>
      </c>
      <c r="L3760" s="262"/>
      <c r="M3760" s="4202"/>
      <c r="S3760" s="52"/>
      <c r="T3760" s="52"/>
      <c r="U3760" s="52"/>
      <c r="V3760" s="4295"/>
      <c r="W3760" s="263">
        <v>18</v>
      </c>
      <c r="X3760" s="263">
        <v>18</v>
      </c>
      <c r="Y3760" s="263">
        <v>18</v>
      </c>
      <c r="Z3760" s="263">
        <v>18</v>
      </c>
      <c r="AA3760" s="263">
        <v>18</v>
      </c>
      <c r="AB3760" s="263">
        <v>18</v>
      </c>
      <c r="AC3760" s="263">
        <v>18</v>
      </c>
      <c r="AD3760" s="263">
        <v>18</v>
      </c>
      <c r="AE3760" s="263">
        <v>18</v>
      </c>
      <c r="AF3760" s="271">
        <f t="shared" si="348"/>
        <v>18</v>
      </c>
      <c r="AG3760" s="263"/>
      <c r="DG3760" s="573"/>
      <c r="DH3760" s="159"/>
      <c r="DI3760" s="1091"/>
      <c r="DJ3760" s="1187"/>
    </row>
    <row r="3761" spans="1:114" ht="15" hidden="1" customHeight="1" outlineLevel="1">
      <c r="A3761" s="453"/>
      <c r="C3761" s="51"/>
      <c r="D3761" s="4295"/>
      <c r="E3761" s="4295"/>
      <c r="F3761" s="4307" t="str">
        <f t="shared" si="349"/>
        <v>ASHP-SEER17-Replace_CAC_ElectricHeat_ROF_SF</v>
      </c>
      <c r="G3761" s="4307"/>
      <c r="H3761" s="4307"/>
      <c r="I3761" s="4307"/>
      <c r="J3761" s="1029" t="str">
        <f t="shared" si="350"/>
        <v>353100_2024_12_</v>
      </c>
      <c r="K3761" s="1796">
        <v>18</v>
      </c>
      <c r="L3761" s="262"/>
      <c r="M3761" s="4202"/>
      <c r="P3761" s="261"/>
      <c r="Q3761" s="209"/>
      <c r="R3761" s="261"/>
      <c r="S3761" s="52"/>
      <c r="T3761" s="181"/>
      <c r="U3761" s="52"/>
      <c r="V3761" s="4295"/>
      <c r="W3761" s="263">
        <v>18</v>
      </c>
      <c r="X3761" s="263">
        <v>18</v>
      </c>
      <c r="Y3761" s="263">
        <v>18</v>
      </c>
      <c r="Z3761" s="263">
        <v>18</v>
      </c>
      <c r="AA3761" s="263">
        <v>18</v>
      </c>
      <c r="AB3761" s="263">
        <v>18</v>
      </c>
      <c r="AC3761" s="263">
        <v>18</v>
      </c>
      <c r="AD3761" s="263">
        <v>18</v>
      </c>
      <c r="AE3761" s="263">
        <v>18</v>
      </c>
      <c r="AF3761" s="271">
        <f t="shared" si="348"/>
        <v>18</v>
      </c>
      <c r="AG3761" s="263"/>
      <c r="DG3761" s="573"/>
      <c r="DH3761" s="159"/>
      <c r="DI3761" s="1091"/>
      <c r="DJ3761" s="1187"/>
    </row>
    <row r="3762" spans="1:114" ht="15" hidden="1" customHeight="1" outlineLevel="1">
      <c r="A3762" s="453"/>
      <c r="C3762" s="51"/>
      <c r="D3762" s="4295"/>
      <c r="E3762" s="4295"/>
      <c r="F3762" s="4307" t="str">
        <f t="shared" si="349"/>
        <v>ASHP-SEER17-Replace_CAC_NonElectricHeat_ROF_SF</v>
      </c>
      <c r="G3762" s="4307"/>
      <c r="H3762" s="4307"/>
      <c r="I3762" s="4307"/>
      <c r="J3762" s="1029" t="str">
        <f t="shared" si="350"/>
        <v>353110_2024_12_</v>
      </c>
      <c r="K3762" s="1796">
        <v>18</v>
      </c>
      <c r="L3762" s="262"/>
      <c r="M3762" s="4202"/>
      <c r="P3762" s="261"/>
      <c r="Q3762" s="209"/>
      <c r="R3762" s="261"/>
      <c r="S3762" s="52"/>
      <c r="T3762" s="181"/>
      <c r="U3762" s="52"/>
      <c r="V3762" s="4295"/>
      <c r="W3762" s="263"/>
      <c r="X3762" s="263"/>
      <c r="Y3762" s="263"/>
      <c r="Z3762" s="263"/>
      <c r="AA3762" s="263"/>
      <c r="AB3762" s="263"/>
      <c r="AC3762" s="263"/>
      <c r="AD3762" s="1030">
        <v>18</v>
      </c>
      <c r="AE3762" s="263">
        <v>18</v>
      </c>
      <c r="AF3762" s="271">
        <f t="shared" si="348"/>
        <v>18</v>
      </c>
      <c r="AG3762" s="263"/>
      <c r="DG3762" s="573"/>
      <c r="DH3762" s="159"/>
      <c r="DI3762" s="1091"/>
      <c r="DJ3762" s="1187"/>
    </row>
    <row r="3763" spans="1:114" ht="15" hidden="1" customHeight="1" outlineLevel="1">
      <c r="A3763" s="453"/>
      <c r="C3763" s="51"/>
      <c r="D3763" s="4295"/>
      <c r="E3763" s="4295"/>
      <c r="F3763" s="4307" t="str">
        <f t="shared" si="349"/>
        <v>ASHP-SEER17-Replace_CAC_NonElectricHeat_ROF_SF</v>
      </c>
      <c r="G3763" s="4307"/>
      <c r="H3763" s="4307"/>
      <c r="I3763" s="4307"/>
      <c r="J3763" s="1029" t="str">
        <f t="shared" si="350"/>
        <v>353110_2024_12_</v>
      </c>
      <c r="K3763" s="1796">
        <v>18</v>
      </c>
      <c r="L3763" s="262"/>
      <c r="M3763" s="4202"/>
      <c r="P3763" s="261"/>
      <c r="Q3763" s="209"/>
      <c r="R3763" s="261"/>
      <c r="S3763" s="52"/>
      <c r="T3763" s="181"/>
      <c r="U3763" s="52"/>
      <c r="V3763" s="4295"/>
      <c r="W3763" s="263"/>
      <c r="X3763" s="263"/>
      <c r="Y3763" s="263"/>
      <c r="Z3763" s="263"/>
      <c r="AA3763" s="263"/>
      <c r="AB3763" s="263"/>
      <c r="AC3763" s="263"/>
      <c r="AD3763" s="1030">
        <v>18</v>
      </c>
      <c r="AE3763" s="263">
        <v>18</v>
      </c>
      <c r="AF3763" s="271">
        <f t="shared" si="348"/>
        <v>18</v>
      </c>
      <c r="AG3763" s="263"/>
      <c r="DG3763" s="573"/>
      <c r="DH3763" s="159"/>
      <c r="DI3763" s="1091"/>
      <c r="DJ3763" s="1187"/>
    </row>
    <row r="3764" spans="1:114" ht="15" hidden="1" customHeight="1" outlineLevel="1">
      <c r="A3764" s="453"/>
      <c r="C3764" s="51"/>
      <c r="D3764" s="4295"/>
      <c r="E3764" s="4295"/>
      <c r="F3764" s="4347" t="str">
        <f t="shared" si="349"/>
        <v>ASHP-SEER17-Replace_CAC_ElectricHeat_ROF_MF</v>
      </c>
      <c r="G3764" s="4347"/>
      <c r="H3764" s="4347"/>
      <c r="I3764" s="4347"/>
      <c r="J3764" s="3471" t="str">
        <f t="shared" si="350"/>
        <v>353150_2024_12_</v>
      </c>
      <c r="K3764" s="3377">
        <v>18</v>
      </c>
      <c r="L3764" s="262"/>
      <c r="M3764" s="4202"/>
      <c r="P3764" s="261"/>
      <c r="Q3764" s="209"/>
      <c r="R3764" s="261"/>
      <c r="S3764" s="52"/>
      <c r="T3764" s="181"/>
      <c r="U3764" s="52"/>
      <c r="V3764" s="4295"/>
      <c r="W3764" s="3494">
        <v>18</v>
      </c>
      <c r="X3764" s="3494">
        <v>18</v>
      </c>
      <c r="Y3764" s="3494">
        <v>18</v>
      </c>
      <c r="Z3764" s="3494">
        <v>18</v>
      </c>
      <c r="AA3764" s="3494">
        <v>18</v>
      </c>
      <c r="AB3764" s="3494">
        <v>18</v>
      </c>
      <c r="AC3764" s="3494">
        <v>18</v>
      </c>
      <c r="AD3764" s="3494">
        <v>18</v>
      </c>
      <c r="AE3764" s="3494">
        <v>18</v>
      </c>
      <c r="AF3764" s="2236">
        <f t="shared" si="348"/>
        <v>18</v>
      </c>
      <c r="AG3764" s="263"/>
      <c r="DG3764" s="573"/>
      <c r="DH3764" s="159"/>
      <c r="DI3764" s="1091"/>
      <c r="DJ3764" s="1187"/>
    </row>
    <row r="3765" spans="1:114" ht="15" hidden="1" customHeight="1" outlineLevel="1">
      <c r="A3765" s="453"/>
      <c r="C3765" s="51"/>
      <c r="D3765" s="4295"/>
      <c r="E3765" s="4295"/>
      <c r="F3765" s="4347" t="str">
        <f t="shared" si="349"/>
        <v>ASHP-SEER17-Replace_CAC_ElectricHeat_ROF_MF</v>
      </c>
      <c r="G3765" s="4347"/>
      <c r="H3765" s="4347"/>
      <c r="I3765" s="4347"/>
      <c r="J3765" s="3471" t="str">
        <f t="shared" si="350"/>
        <v>353150_2024_12_</v>
      </c>
      <c r="K3765" s="3377">
        <v>18</v>
      </c>
      <c r="L3765" s="262"/>
      <c r="M3765" s="4202"/>
      <c r="P3765" s="261"/>
      <c r="Q3765" s="209"/>
      <c r="R3765" s="261"/>
      <c r="S3765" s="52"/>
      <c r="T3765" s="181"/>
      <c r="U3765" s="52"/>
      <c r="V3765" s="4295"/>
      <c r="W3765" s="3494">
        <v>18</v>
      </c>
      <c r="X3765" s="3494">
        <v>18</v>
      </c>
      <c r="Y3765" s="3494">
        <v>18</v>
      </c>
      <c r="Z3765" s="3494">
        <v>18</v>
      </c>
      <c r="AA3765" s="3494">
        <v>18</v>
      </c>
      <c r="AB3765" s="3494">
        <v>18</v>
      </c>
      <c r="AC3765" s="3494">
        <v>18</v>
      </c>
      <c r="AD3765" s="3494">
        <v>18</v>
      </c>
      <c r="AE3765" s="3494">
        <v>18</v>
      </c>
      <c r="AF3765" s="2236">
        <f t="shared" si="348"/>
        <v>18</v>
      </c>
      <c r="AG3765" s="263"/>
      <c r="DG3765" s="573"/>
      <c r="DH3765" s="159"/>
      <c r="DI3765" s="1091"/>
      <c r="DJ3765" s="1187"/>
    </row>
    <row r="3766" spans="1:114" ht="15" hidden="1" customHeight="1" outlineLevel="1">
      <c r="A3766" s="453"/>
      <c r="C3766" s="51"/>
      <c r="D3766" s="4295"/>
      <c r="E3766" s="4295"/>
      <c r="F3766" s="4347" t="str">
        <f t="shared" si="349"/>
        <v>ASHP-SEER17-Replace_CAC_ElectricHeat_ROF_MF_CompE</v>
      </c>
      <c r="G3766" s="4347"/>
      <c r="H3766" s="4347"/>
      <c r="I3766" s="4347"/>
      <c r="J3766" s="3471" t="str">
        <f t="shared" si="350"/>
        <v>353151_2024_12_</v>
      </c>
      <c r="K3766" s="3377">
        <v>18</v>
      </c>
      <c r="L3766" s="262"/>
      <c r="M3766" s="4202"/>
      <c r="P3766" s="261"/>
      <c r="Q3766" s="209"/>
      <c r="R3766" s="261"/>
      <c r="S3766" s="52"/>
      <c r="T3766" s="181"/>
      <c r="U3766" s="52"/>
      <c r="V3766" s="4295"/>
      <c r="W3766" s="3494"/>
      <c r="X3766" s="3494"/>
      <c r="Y3766" s="3494"/>
      <c r="Z3766" s="3494"/>
      <c r="AA3766" s="3494"/>
      <c r="AB3766" s="3494"/>
      <c r="AC3766" s="3495">
        <v>18</v>
      </c>
      <c r="AD3766" s="3494">
        <v>18</v>
      </c>
      <c r="AE3766" s="3494">
        <v>18</v>
      </c>
      <c r="AF3766" s="2236">
        <f t="shared" si="348"/>
        <v>18</v>
      </c>
      <c r="AG3766" s="263"/>
      <c r="DG3766" s="573"/>
      <c r="DH3766" s="159"/>
      <c r="DI3766" s="1091"/>
      <c r="DJ3766" s="1187"/>
    </row>
    <row r="3767" spans="1:114" ht="15" hidden="1" customHeight="1" outlineLevel="1">
      <c r="A3767" s="453"/>
      <c r="C3767" s="51"/>
      <c r="D3767" s="4295"/>
      <c r="E3767" s="4295"/>
      <c r="F3767" s="4347" t="str">
        <f t="shared" si="349"/>
        <v>ASHP-SEER17-Replace_CAC_ElectricHeat_ROF_MF_CompE</v>
      </c>
      <c r="G3767" s="4347"/>
      <c r="H3767" s="4347"/>
      <c r="I3767" s="4347"/>
      <c r="J3767" s="3471" t="str">
        <f t="shared" si="350"/>
        <v>353151_2024_12_</v>
      </c>
      <c r="K3767" s="3377">
        <v>18</v>
      </c>
      <c r="L3767" s="262"/>
      <c r="M3767" s="4202"/>
      <c r="P3767" s="261"/>
      <c r="Q3767" s="209"/>
      <c r="R3767" s="261"/>
      <c r="S3767" s="52"/>
      <c r="T3767" s="181"/>
      <c r="U3767" s="52"/>
      <c r="V3767" s="4295"/>
      <c r="W3767" s="3494"/>
      <c r="X3767" s="3494"/>
      <c r="Y3767" s="3494"/>
      <c r="Z3767" s="3494"/>
      <c r="AA3767" s="3494"/>
      <c r="AB3767" s="3494"/>
      <c r="AC3767" s="3495">
        <v>18</v>
      </c>
      <c r="AD3767" s="3494">
        <v>18</v>
      </c>
      <c r="AE3767" s="3494">
        <v>18</v>
      </c>
      <c r="AF3767" s="2236">
        <f t="shared" si="348"/>
        <v>18</v>
      </c>
      <c r="AG3767" s="263"/>
      <c r="DG3767" s="573"/>
      <c r="DH3767" s="159"/>
      <c r="DI3767" s="1091"/>
      <c r="DJ3767" s="1187"/>
    </row>
    <row r="3768" spans="1:114" ht="15" hidden="1" customHeight="1" outlineLevel="1">
      <c r="A3768" s="453"/>
      <c r="C3768" s="51"/>
      <c r="D3768" s="4295"/>
      <c r="E3768" s="4295"/>
      <c r="F3768" s="4347" t="str">
        <f t="shared" si="349"/>
        <v>ASHP-SEER17-Replace_CAC_NonElectricHeat_ROF_MF</v>
      </c>
      <c r="G3768" s="4347"/>
      <c r="H3768" s="4347"/>
      <c r="I3768" s="4347"/>
      <c r="J3768" s="3471" t="str">
        <f t="shared" si="350"/>
        <v>353160_2024_12_</v>
      </c>
      <c r="K3768" s="3377">
        <v>18</v>
      </c>
      <c r="L3768" s="262"/>
      <c r="M3768" s="4202"/>
      <c r="P3768" s="261"/>
      <c r="Q3768" s="209"/>
      <c r="R3768" s="261"/>
      <c r="S3768" s="52"/>
      <c r="T3768" s="181"/>
      <c r="U3768" s="52"/>
      <c r="V3768" s="4295"/>
      <c r="W3768" s="3494"/>
      <c r="X3768" s="3494"/>
      <c r="Y3768" s="3494"/>
      <c r="Z3768" s="3494"/>
      <c r="AA3768" s="3494"/>
      <c r="AB3768" s="3494"/>
      <c r="AC3768" s="3495">
        <v>18</v>
      </c>
      <c r="AD3768" s="3494">
        <v>18</v>
      </c>
      <c r="AE3768" s="3494">
        <v>18</v>
      </c>
      <c r="AF3768" s="2236">
        <f t="shared" si="348"/>
        <v>18</v>
      </c>
      <c r="AG3768" s="263"/>
      <c r="DG3768" s="573"/>
      <c r="DH3768" s="159"/>
      <c r="DI3768" s="1091"/>
      <c r="DJ3768" s="1187"/>
    </row>
    <row r="3769" spans="1:114" ht="15" hidden="1" customHeight="1" outlineLevel="1">
      <c r="A3769" s="453"/>
      <c r="C3769" s="51"/>
      <c r="D3769" s="4295"/>
      <c r="E3769" s="4295"/>
      <c r="F3769" s="4347" t="str">
        <f t="shared" si="349"/>
        <v>ASHP-SEER17-Replace_CAC_NonElectricHeat_ROF_MF</v>
      </c>
      <c r="G3769" s="4347"/>
      <c r="H3769" s="4347"/>
      <c r="I3769" s="4347"/>
      <c r="J3769" s="3471" t="str">
        <f t="shared" si="350"/>
        <v>353160_2024_12_</v>
      </c>
      <c r="K3769" s="3377">
        <v>18</v>
      </c>
      <c r="L3769" s="262"/>
      <c r="M3769" s="4202"/>
      <c r="P3769" s="261"/>
      <c r="Q3769" s="209"/>
      <c r="R3769" s="261"/>
      <c r="S3769" s="52"/>
      <c r="T3769" s="181"/>
      <c r="U3769" s="52"/>
      <c r="V3769" s="4295"/>
      <c r="W3769" s="3494"/>
      <c r="X3769" s="3494"/>
      <c r="Y3769" s="3494"/>
      <c r="Z3769" s="3494"/>
      <c r="AA3769" s="3494"/>
      <c r="AB3769" s="3494"/>
      <c r="AC3769" s="3495">
        <v>18</v>
      </c>
      <c r="AD3769" s="3494">
        <v>18</v>
      </c>
      <c r="AE3769" s="3494">
        <v>18</v>
      </c>
      <c r="AF3769" s="2236">
        <f t="shared" si="348"/>
        <v>18</v>
      </c>
      <c r="AG3769" s="263"/>
      <c r="DG3769" s="573"/>
      <c r="DH3769" s="159"/>
      <c r="DI3769" s="1091"/>
      <c r="DJ3769" s="1187"/>
    </row>
    <row r="3770" spans="1:114" ht="15" hidden="1" customHeight="1" outlineLevel="1">
      <c r="A3770" s="453"/>
      <c r="C3770" s="51"/>
      <c r="D3770" s="4295"/>
      <c r="E3770" s="4295"/>
      <c r="F3770" s="4347" t="str">
        <f t="shared" si="349"/>
        <v>ASHP-SEER17-Replace_CAC_NonElectricHeat_ROF_MF_CompE</v>
      </c>
      <c r="G3770" s="4347"/>
      <c r="H3770" s="4347"/>
      <c r="I3770" s="4347"/>
      <c r="J3770" s="3471" t="str">
        <f t="shared" si="350"/>
        <v>353161_2024_12_</v>
      </c>
      <c r="K3770" s="3377">
        <v>18</v>
      </c>
      <c r="L3770" s="262"/>
      <c r="M3770" s="4202"/>
      <c r="P3770" s="261"/>
      <c r="Q3770" s="209"/>
      <c r="R3770" s="261"/>
      <c r="S3770" s="52"/>
      <c r="T3770" s="181"/>
      <c r="U3770" s="52"/>
      <c r="V3770" s="4295"/>
      <c r="W3770" s="3494"/>
      <c r="X3770" s="3494"/>
      <c r="Y3770" s="3494"/>
      <c r="Z3770" s="3494"/>
      <c r="AA3770" s="3494"/>
      <c r="AB3770" s="3494"/>
      <c r="AC3770" s="3495">
        <v>18</v>
      </c>
      <c r="AD3770" s="3494">
        <v>18</v>
      </c>
      <c r="AE3770" s="3494">
        <v>18</v>
      </c>
      <c r="AF3770" s="2236">
        <f t="shared" ref="AF3770:AF3833" si="351">IF(K3770&lt;&gt;"",K3770,"")</f>
        <v>18</v>
      </c>
      <c r="AG3770" s="263"/>
      <c r="DG3770" s="573"/>
      <c r="DH3770" s="159"/>
      <c r="DI3770" s="1091"/>
      <c r="DJ3770" s="1187"/>
    </row>
    <row r="3771" spans="1:114" ht="15" hidden="1" customHeight="1" outlineLevel="1">
      <c r="A3771" s="453"/>
      <c r="C3771" s="51"/>
      <c r="D3771" s="4295"/>
      <c r="E3771" s="4295"/>
      <c r="F3771" s="4347" t="str">
        <f t="shared" si="349"/>
        <v>ASHP-SEER17-Replace_CAC_NonElectricHeat_ROF_MF_CompE</v>
      </c>
      <c r="G3771" s="4347"/>
      <c r="H3771" s="4347"/>
      <c r="I3771" s="4347"/>
      <c r="J3771" s="3471" t="str">
        <f t="shared" si="350"/>
        <v>353161_2024_12_</v>
      </c>
      <c r="K3771" s="3377">
        <v>18</v>
      </c>
      <c r="L3771" s="262"/>
      <c r="M3771" s="4202"/>
      <c r="P3771" s="261"/>
      <c r="Q3771" s="209"/>
      <c r="R3771" s="261"/>
      <c r="S3771" s="52"/>
      <c r="T3771" s="181"/>
      <c r="U3771" s="52"/>
      <c r="V3771" s="4295"/>
      <c r="W3771" s="3494"/>
      <c r="X3771" s="3494"/>
      <c r="Y3771" s="3494"/>
      <c r="Z3771" s="3494"/>
      <c r="AA3771" s="3494"/>
      <c r="AB3771" s="3494"/>
      <c r="AC3771" s="3495">
        <v>18</v>
      </c>
      <c r="AD3771" s="3494">
        <v>18</v>
      </c>
      <c r="AE3771" s="3494">
        <v>18</v>
      </c>
      <c r="AF3771" s="2236">
        <f t="shared" si="351"/>
        <v>18</v>
      </c>
      <c r="AG3771" s="263"/>
      <c r="DG3771" s="573"/>
      <c r="DH3771" s="159"/>
      <c r="DI3771" s="1091"/>
      <c r="DJ3771" s="1187"/>
    </row>
    <row r="3772" spans="1:114" ht="15" hidden="1" customHeight="1" outlineLevel="1">
      <c r="A3772" s="453"/>
      <c r="C3772" s="51"/>
      <c r="D3772" s="4295"/>
      <c r="E3772" s="4295"/>
      <c r="F3772" s="4307" t="str">
        <f t="shared" si="349"/>
        <v>ASHP-SEER18-Replace_CAC_ElectricHeat_ROF_SF</v>
      </c>
      <c r="G3772" s="4307"/>
      <c r="H3772" s="4307"/>
      <c r="I3772" s="4307"/>
      <c r="J3772" s="1029" t="str">
        <f t="shared" si="350"/>
        <v>353200_2024_12_</v>
      </c>
      <c r="K3772" s="1796">
        <v>18</v>
      </c>
      <c r="L3772" s="262"/>
      <c r="M3772" s="4202"/>
      <c r="P3772" s="261"/>
      <c r="Q3772" s="209"/>
      <c r="R3772" s="261"/>
      <c r="S3772" s="52"/>
      <c r="T3772" s="181"/>
      <c r="U3772" s="52"/>
      <c r="V3772" s="4295"/>
      <c r="W3772" s="263">
        <v>18</v>
      </c>
      <c r="X3772" s="263">
        <v>18</v>
      </c>
      <c r="Y3772" s="263">
        <v>18</v>
      </c>
      <c r="Z3772" s="263">
        <v>18</v>
      </c>
      <c r="AA3772" s="263">
        <v>18</v>
      </c>
      <c r="AB3772" s="263">
        <v>18</v>
      </c>
      <c r="AC3772" s="263">
        <v>18</v>
      </c>
      <c r="AD3772" s="263">
        <v>18</v>
      </c>
      <c r="AE3772" s="263">
        <v>18</v>
      </c>
      <c r="AF3772" s="271">
        <f t="shared" si="351"/>
        <v>18</v>
      </c>
      <c r="AG3772" s="263"/>
      <c r="DG3772" s="573"/>
      <c r="DH3772" s="159"/>
      <c r="DI3772" s="1091"/>
      <c r="DJ3772" s="1187"/>
    </row>
    <row r="3773" spans="1:114" ht="15" hidden="1" customHeight="1" outlineLevel="1">
      <c r="A3773" s="453"/>
      <c r="C3773" s="51"/>
      <c r="D3773" s="4295"/>
      <c r="E3773" s="4295"/>
      <c r="F3773" s="4307" t="str">
        <f t="shared" si="349"/>
        <v>ASHP-SEER18-Replace_CAC_ElectricHeat_ROF_SF</v>
      </c>
      <c r="G3773" s="4307"/>
      <c r="H3773" s="4307"/>
      <c r="I3773" s="4307"/>
      <c r="J3773" s="1029" t="str">
        <f t="shared" si="350"/>
        <v>353200_2024_12_</v>
      </c>
      <c r="K3773" s="1796">
        <v>18</v>
      </c>
      <c r="L3773" s="262"/>
      <c r="M3773" s="4202"/>
      <c r="P3773" s="261"/>
      <c r="Q3773" s="209"/>
      <c r="R3773" s="261"/>
      <c r="S3773" s="52"/>
      <c r="T3773" s="181"/>
      <c r="U3773" s="52"/>
      <c r="V3773" s="4295"/>
      <c r="W3773" s="263">
        <v>18</v>
      </c>
      <c r="X3773" s="263">
        <v>18</v>
      </c>
      <c r="Y3773" s="263">
        <v>18</v>
      </c>
      <c r="Z3773" s="263">
        <v>18</v>
      </c>
      <c r="AA3773" s="263">
        <v>18</v>
      </c>
      <c r="AB3773" s="263">
        <v>18</v>
      </c>
      <c r="AC3773" s="263">
        <v>18</v>
      </c>
      <c r="AD3773" s="263">
        <v>18</v>
      </c>
      <c r="AE3773" s="263">
        <v>18</v>
      </c>
      <c r="AF3773" s="271">
        <f t="shared" si="351"/>
        <v>18</v>
      </c>
      <c r="AG3773" s="263"/>
      <c r="DG3773" s="573"/>
      <c r="DH3773" s="159"/>
      <c r="DI3773" s="1091"/>
      <c r="DJ3773" s="1187"/>
    </row>
    <row r="3774" spans="1:114" ht="15" hidden="1" customHeight="1" outlineLevel="1">
      <c r="A3774" s="453"/>
      <c r="C3774" s="51"/>
      <c r="D3774" s="4295"/>
      <c r="E3774" s="4295"/>
      <c r="F3774" s="4307" t="str">
        <f t="shared" si="349"/>
        <v>ASHP-SEER18-Replace_CAC_NonElectricHeat_ROF_SF</v>
      </c>
      <c r="G3774" s="4307"/>
      <c r="H3774" s="4307"/>
      <c r="I3774" s="4307"/>
      <c r="J3774" s="1029" t="str">
        <f t="shared" si="350"/>
        <v>353210_2024_12_</v>
      </c>
      <c r="K3774" s="1796">
        <v>18</v>
      </c>
      <c r="L3774" s="262"/>
      <c r="M3774" s="4202"/>
      <c r="P3774" s="261"/>
      <c r="Q3774" s="209"/>
      <c r="R3774" s="261"/>
      <c r="S3774" s="52"/>
      <c r="T3774" s="181"/>
      <c r="U3774" s="52"/>
      <c r="V3774" s="4295"/>
      <c r="W3774" s="263"/>
      <c r="X3774" s="263"/>
      <c r="Y3774" s="263"/>
      <c r="Z3774" s="263"/>
      <c r="AA3774" s="263"/>
      <c r="AB3774" s="263"/>
      <c r="AC3774" s="263"/>
      <c r="AD3774" s="1030">
        <v>18</v>
      </c>
      <c r="AE3774" s="263">
        <v>18</v>
      </c>
      <c r="AF3774" s="271">
        <f t="shared" si="351"/>
        <v>18</v>
      </c>
      <c r="AG3774" s="263"/>
      <c r="DG3774" s="573"/>
      <c r="DH3774" s="159"/>
      <c r="DI3774" s="1091"/>
      <c r="DJ3774" s="1187"/>
    </row>
    <row r="3775" spans="1:114" ht="15" hidden="1" customHeight="1" outlineLevel="1">
      <c r="A3775" s="453"/>
      <c r="C3775" s="51"/>
      <c r="D3775" s="4295"/>
      <c r="E3775" s="4295"/>
      <c r="F3775" s="4307" t="str">
        <f t="shared" si="349"/>
        <v>ASHP-SEER18-Replace_CAC_NonElectricHeat_ROF_SF</v>
      </c>
      <c r="G3775" s="4307"/>
      <c r="H3775" s="4307"/>
      <c r="I3775" s="4307"/>
      <c r="J3775" s="1029" t="str">
        <f t="shared" si="350"/>
        <v>353210_2024_12_</v>
      </c>
      <c r="K3775" s="1796">
        <v>18</v>
      </c>
      <c r="L3775" s="262"/>
      <c r="M3775" s="4202"/>
      <c r="P3775" s="261"/>
      <c r="Q3775" s="209"/>
      <c r="R3775" s="261"/>
      <c r="S3775" s="52"/>
      <c r="T3775" s="181"/>
      <c r="U3775" s="52"/>
      <c r="V3775" s="4295"/>
      <c r="W3775" s="263"/>
      <c r="X3775" s="263"/>
      <c r="Y3775" s="263"/>
      <c r="Z3775" s="263"/>
      <c r="AA3775" s="263"/>
      <c r="AB3775" s="263"/>
      <c r="AC3775" s="263"/>
      <c r="AD3775" s="1030">
        <v>18</v>
      </c>
      <c r="AE3775" s="263">
        <v>18</v>
      </c>
      <c r="AF3775" s="271">
        <f t="shared" si="351"/>
        <v>18</v>
      </c>
      <c r="AG3775" s="263"/>
      <c r="DG3775" s="573"/>
      <c r="DH3775" s="159"/>
      <c r="DI3775" s="1091"/>
      <c r="DJ3775" s="1187"/>
    </row>
    <row r="3776" spans="1:114" ht="15" hidden="1" customHeight="1" outlineLevel="1">
      <c r="A3776" s="453"/>
      <c r="C3776" s="51"/>
      <c r="D3776" s="4295"/>
      <c r="E3776" s="4295"/>
      <c r="F3776" s="4347" t="str">
        <f t="shared" si="349"/>
        <v>ASHP-SEER18-Replace_CAC_ElectricHeat_ROF_MF</v>
      </c>
      <c r="G3776" s="4347"/>
      <c r="H3776" s="4347"/>
      <c r="I3776" s="4347"/>
      <c r="J3776" s="3471" t="str">
        <f t="shared" si="350"/>
        <v>353250_2024_12_</v>
      </c>
      <c r="K3776" s="3377">
        <v>18</v>
      </c>
      <c r="L3776" s="262"/>
      <c r="M3776" s="4202"/>
      <c r="P3776" s="261"/>
      <c r="Q3776" s="209"/>
      <c r="R3776" s="261"/>
      <c r="S3776" s="52"/>
      <c r="T3776" s="181"/>
      <c r="U3776" s="52"/>
      <c r="V3776" s="4295"/>
      <c r="W3776" s="3494">
        <v>18</v>
      </c>
      <c r="X3776" s="3494">
        <v>18</v>
      </c>
      <c r="Y3776" s="3494">
        <v>18</v>
      </c>
      <c r="Z3776" s="3494">
        <v>18</v>
      </c>
      <c r="AA3776" s="3494">
        <v>18</v>
      </c>
      <c r="AB3776" s="3494">
        <v>18</v>
      </c>
      <c r="AC3776" s="3494">
        <v>18</v>
      </c>
      <c r="AD3776" s="3494">
        <v>18</v>
      </c>
      <c r="AE3776" s="3494">
        <v>18</v>
      </c>
      <c r="AF3776" s="2236">
        <f t="shared" si="351"/>
        <v>18</v>
      </c>
      <c r="AG3776" s="263"/>
      <c r="DG3776" s="573"/>
      <c r="DH3776" s="159"/>
      <c r="DI3776" s="1091"/>
      <c r="DJ3776" s="1187"/>
    </row>
    <row r="3777" spans="1:114" ht="15" hidden="1" customHeight="1" outlineLevel="1">
      <c r="A3777" s="453"/>
      <c r="C3777" s="51"/>
      <c r="D3777" s="4295"/>
      <c r="E3777" s="4295"/>
      <c r="F3777" s="4347" t="str">
        <f t="shared" si="349"/>
        <v>ASHP-SEER18-Replace_CAC_ElectricHeat_ROF_MF</v>
      </c>
      <c r="G3777" s="4347"/>
      <c r="H3777" s="4347"/>
      <c r="I3777" s="4347"/>
      <c r="J3777" s="3471" t="str">
        <f t="shared" si="350"/>
        <v>353250_2024_12_</v>
      </c>
      <c r="K3777" s="3377">
        <v>18</v>
      </c>
      <c r="L3777" s="262"/>
      <c r="M3777" s="4202"/>
      <c r="P3777" s="261"/>
      <c r="Q3777" s="209"/>
      <c r="R3777" s="261"/>
      <c r="S3777" s="52"/>
      <c r="T3777" s="181"/>
      <c r="U3777" s="52"/>
      <c r="V3777" s="4295"/>
      <c r="W3777" s="3494">
        <v>18</v>
      </c>
      <c r="X3777" s="3494">
        <v>18</v>
      </c>
      <c r="Y3777" s="3494">
        <v>18</v>
      </c>
      <c r="Z3777" s="3494">
        <v>18</v>
      </c>
      <c r="AA3777" s="3494">
        <v>18</v>
      </c>
      <c r="AB3777" s="3494">
        <v>18</v>
      </c>
      <c r="AC3777" s="3494">
        <v>18</v>
      </c>
      <c r="AD3777" s="3494">
        <v>18</v>
      </c>
      <c r="AE3777" s="3494">
        <v>18</v>
      </c>
      <c r="AF3777" s="2236">
        <f t="shared" si="351"/>
        <v>18</v>
      </c>
      <c r="AG3777" s="263"/>
      <c r="DG3777" s="573"/>
      <c r="DH3777" s="159"/>
      <c r="DI3777" s="1091"/>
      <c r="DJ3777" s="1187"/>
    </row>
    <row r="3778" spans="1:114" ht="15" hidden="1" customHeight="1" outlineLevel="1">
      <c r="A3778" s="453"/>
      <c r="C3778" s="51"/>
      <c r="D3778" s="4295"/>
      <c r="E3778" s="4295"/>
      <c r="F3778" s="4347" t="str">
        <f t="shared" si="349"/>
        <v>ASHP-SEER18-Replace_CAC_ElectricHeat_ROF_MF_CompE</v>
      </c>
      <c r="G3778" s="4347"/>
      <c r="H3778" s="4347"/>
      <c r="I3778" s="4347"/>
      <c r="J3778" s="3471" t="str">
        <f t="shared" si="350"/>
        <v>353251_2024_12_</v>
      </c>
      <c r="K3778" s="3377">
        <v>18</v>
      </c>
      <c r="L3778" s="262"/>
      <c r="M3778" s="4202"/>
      <c r="P3778" s="261"/>
      <c r="Q3778" s="209"/>
      <c r="R3778" s="261"/>
      <c r="S3778" s="52"/>
      <c r="T3778" s="181"/>
      <c r="U3778" s="52"/>
      <c r="V3778" s="4295"/>
      <c r="W3778" s="3494"/>
      <c r="X3778" s="3494"/>
      <c r="Y3778" s="3494"/>
      <c r="Z3778" s="3494"/>
      <c r="AA3778" s="3494"/>
      <c r="AB3778" s="3494"/>
      <c r="AC3778" s="3495">
        <v>18</v>
      </c>
      <c r="AD3778" s="3494">
        <v>18</v>
      </c>
      <c r="AE3778" s="3494">
        <v>18</v>
      </c>
      <c r="AF3778" s="2236">
        <f t="shared" si="351"/>
        <v>18</v>
      </c>
      <c r="AG3778" s="263"/>
      <c r="DG3778" s="573"/>
      <c r="DH3778" s="159"/>
      <c r="DI3778" s="1091"/>
      <c r="DJ3778" s="1187"/>
    </row>
    <row r="3779" spans="1:114" ht="15" hidden="1" customHeight="1" outlineLevel="1">
      <c r="A3779" s="453"/>
      <c r="C3779" s="51"/>
      <c r="D3779" s="4295"/>
      <c r="E3779" s="4295"/>
      <c r="F3779" s="4347" t="str">
        <f t="shared" si="349"/>
        <v>ASHP-SEER18-Replace_CAC_ElectricHeat_ROF_MF_CompE</v>
      </c>
      <c r="G3779" s="4347"/>
      <c r="H3779" s="4347"/>
      <c r="I3779" s="4347"/>
      <c r="J3779" s="3471" t="str">
        <f t="shared" si="350"/>
        <v>353251_2024_12_</v>
      </c>
      <c r="K3779" s="3377">
        <v>18</v>
      </c>
      <c r="L3779" s="262"/>
      <c r="M3779" s="4202"/>
      <c r="P3779" s="261"/>
      <c r="Q3779" s="209"/>
      <c r="R3779" s="261"/>
      <c r="S3779" s="52"/>
      <c r="T3779" s="181"/>
      <c r="U3779" s="52"/>
      <c r="V3779" s="4295"/>
      <c r="W3779" s="3494"/>
      <c r="X3779" s="3494"/>
      <c r="Y3779" s="3494"/>
      <c r="Z3779" s="3494"/>
      <c r="AA3779" s="3494"/>
      <c r="AB3779" s="3494"/>
      <c r="AC3779" s="3495">
        <v>18</v>
      </c>
      <c r="AD3779" s="3494">
        <v>18</v>
      </c>
      <c r="AE3779" s="3494">
        <v>18</v>
      </c>
      <c r="AF3779" s="2236">
        <f t="shared" si="351"/>
        <v>18</v>
      </c>
      <c r="AG3779" s="263"/>
      <c r="DG3779" s="573"/>
      <c r="DH3779" s="159"/>
      <c r="DI3779" s="1091"/>
      <c r="DJ3779" s="1187"/>
    </row>
    <row r="3780" spans="1:114" ht="15" hidden="1" customHeight="1" outlineLevel="1">
      <c r="A3780" s="453"/>
      <c r="C3780" s="51"/>
      <c r="D3780" s="4295"/>
      <c r="E3780" s="4295"/>
      <c r="F3780" s="4347" t="str">
        <f t="shared" ref="F3780:F3843" si="352">E1636</f>
        <v>ASHP-SEER18-Replace_CAC_NonElectricHeat_ROF_MF</v>
      </c>
      <c r="G3780" s="4347"/>
      <c r="H3780" s="4347"/>
      <c r="I3780" s="4347"/>
      <c r="J3780" s="3471" t="str">
        <f t="shared" ref="J3780:J3843" si="353">C1636</f>
        <v>353260_2024_12_</v>
      </c>
      <c r="K3780" s="3377">
        <v>18</v>
      </c>
      <c r="L3780" s="262"/>
      <c r="M3780" s="4202"/>
      <c r="P3780" s="261"/>
      <c r="Q3780" s="209"/>
      <c r="R3780" s="261"/>
      <c r="S3780" s="52"/>
      <c r="T3780" s="181"/>
      <c r="U3780" s="52"/>
      <c r="V3780" s="4295"/>
      <c r="W3780" s="3494"/>
      <c r="X3780" s="3494"/>
      <c r="Y3780" s="3494"/>
      <c r="Z3780" s="3494"/>
      <c r="AA3780" s="3494"/>
      <c r="AB3780" s="3494"/>
      <c r="AC3780" s="3495">
        <v>18</v>
      </c>
      <c r="AD3780" s="3494">
        <v>18</v>
      </c>
      <c r="AE3780" s="3494">
        <v>18</v>
      </c>
      <c r="AF3780" s="2236">
        <f t="shared" si="351"/>
        <v>18</v>
      </c>
      <c r="AG3780" s="263"/>
      <c r="DG3780" s="573"/>
      <c r="DH3780" s="159"/>
      <c r="DI3780" s="1091"/>
      <c r="DJ3780" s="1187"/>
    </row>
    <row r="3781" spans="1:114" ht="15" hidden="1" customHeight="1" outlineLevel="1">
      <c r="A3781" s="453"/>
      <c r="C3781" s="51"/>
      <c r="D3781" s="4295"/>
      <c r="E3781" s="4295"/>
      <c r="F3781" s="4347" t="str">
        <f t="shared" si="352"/>
        <v>ASHP-SEER18-Replace_CAC_NonElectricHeat_ROF_MF</v>
      </c>
      <c r="G3781" s="4347"/>
      <c r="H3781" s="4347"/>
      <c r="I3781" s="4347"/>
      <c r="J3781" s="3471" t="str">
        <f t="shared" si="353"/>
        <v>353260_2024_12_</v>
      </c>
      <c r="K3781" s="3377">
        <v>18</v>
      </c>
      <c r="L3781" s="262"/>
      <c r="M3781" s="4202"/>
      <c r="P3781" s="261"/>
      <c r="Q3781" s="209"/>
      <c r="R3781" s="261"/>
      <c r="S3781" s="52"/>
      <c r="T3781" s="181"/>
      <c r="U3781" s="52"/>
      <c r="V3781" s="4295"/>
      <c r="W3781" s="3494"/>
      <c r="X3781" s="3494"/>
      <c r="Y3781" s="3494"/>
      <c r="Z3781" s="3494"/>
      <c r="AA3781" s="3494"/>
      <c r="AB3781" s="3494"/>
      <c r="AC3781" s="3495">
        <v>18</v>
      </c>
      <c r="AD3781" s="3494">
        <v>18</v>
      </c>
      <c r="AE3781" s="3494">
        <v>18</v>
      </c>
      <c r="AF3781" s="2236">
        <f t="shared" si="351"/>
        <v>18</v>
      </c>
      <c r="AG3781" s="263"/>
      <c r="DG3781" s="573"/>
      <c r="DH3781" s="159"/>
      <c r="DI3781" s="1091"/>
      <c r="DJ3781" s="1187"/>
    </row>
    <row r="3782" spans="1:114" ht="15" hidden="1" customHeight="1" outlineLevel="1">
      <c r="A3782" s="453"/>
      <c r="C3782" s="51"/>
      <c r="D3782" s="4295"/>
      <c r="E3782" s="4295"/>
      <c r="F3782" s="4347" t="str">
        <f t="shared" si="352"/>
        <v>ASHP-SEER18-Replace_CAC_NonElectricHeat_ROF_MF_CompE</v>
      </c>
      <c r="G3782" s="4347"/>
      <c r="H3782" s="4347"/>
      <c r="I3782" s="4347"/>
      <c r="J3782" s="3471" t="str">
        <f t="shared" si="353"/>
        <v>353261_2024_12_</v>
      </c>
      <c r="K3782" s="3377">
        <v>18</v>
      </c>
      <c r="L3782" s="262"/>
      <c r="M3782" s="4202"/>
      <c r="P3782" s="261"/>
      <c r="Q3782" s="209"/>
      <c r="R3782" s="261"/>
      <c r="S3782" s="52"/>
      <c r="T3782" s="181"/>
      <c r="U3782" s="52"/>
      <c r="V3782" s="4295"/>
      <c r="W3782" s="3494"/>
      <c r="X3782" s="3494"/>
      <c r="Y3782" s="3494"/>
      <c r="Z3782" s="3494"/>
      <c r="AA3782" s="3494"/>
      <c r="AB3782" s="3494"/>
      <c r="AC3782" s="3495">
        <v>18</v>
      </c>
      <c r="AD3782" s="3494">
        <v>18</v>
      </c>
      <c r="AE3782" s="3494">
        <v>18</v>
      </c>
      <c r="AF3782" s="2236">
        <f t="shared" si="351"/>
        <v>18</v>
      </c>
      <c r="AG3782" s="263"/>
      <c r="DG3782" s="573"/>
      <c r="DH3782" s="159"/>
      <c r="DI3782" s="1091"/>
      <c r="DJ3782" s="1187"/>
    </row>
    <row r="3783" spans="1:114" ht="15" hidden="1" customHeight="1" outlineLevel="1">
      <c r="A3783" s="453"/>
      <c r="C3783" s="51"/>
      <c r="D3783" s="4295"/>
      <c r="E3783" s="4295"/>
      <c r="F3783" s="4347" t="str">
        <f t="shared" si="352"/>
        <v>ASHP-SEER18-Replace_CAC_NonElectricHeat_ROF_MF_CompE</v>
      </c>
      <c r="G3783" s="4347"/>
      <c r="H3783" s="4347"/>
      <c r="I3783" s="4347"/>
      <c r="J3783" s="3471" t="str">
        <f t="shared" si="353"/>
        <v>353261_2024_12_</v>
      </c>
      <c r="K3783" s="3377">
        <v>18</v>
      </c>
      <c r="L3783" s="262"/>
      <c r="M3783" s="4202"/>
      <c r="P3783" s="261"/>
      <c r="Q3783" s="209"/>
      <c r="R3783" s="261"/>
      <c r="S3783" s="52"/>
      <c r="T3783" s="181"/>
      <c r="U3783" s="52"/>
      <c r="V3783" s="4295"/>
      <c r="W3783" s="3494"/>
      <c r="X3783" s="3494"/>
      <c r="Y3783" s="3494"/>
      <c r="Z3783" s="3494"/>
      <c r="AA3783" s="3494"/>
      <c r="AB3783" s="3494"/>
      <c r="AC3783" s="3495">
        <v>18</v>
      </c>
      <c r="AD3783" s="3494">
        <v>18</v>
      </c>
      <c r="AE3783" s="3494">
        <v>18</v>
      </c>
      <c r="AF3783" s="2236">
        <f t="shared" si="351"/>
        <v>18</v>
      </c>
      <c r="AG3783" s="263"/>
      <c r="DG3783" s="573"/>
      <c r="DH3783" s="159"/>
      <c r="DI3783" s="1091"/>
      <c r="DJ3783" s="1187"/>
    </row>
    <row r="3784" spans="1:114" ht="14.65" hidden="1" customHeight="1" outlineLevel="1">
      <c r="A3784" s="453"/>
      <c r="C3784" s="51"/>
      <c r="D3784" s="4295"/>
      <c r="E3784" s="4295"/>
      <c r="F3784" s="4307" t="str">
        <f t="shared" si="352"/>
        <v>ASHP-SEER19-Replace_CAC_ElectricHeat_ROF_SF</v>
      </c>
      <c r="G3784" s="4307"/>
      <c r="H3784" s="4307"/>
      <c r="I3784" s="4307"/>
      <c r="J3784" s="1029" t="str">
        <f t="shared" si="353"/>
        <v>353300_2024_12_</v>
      </c>
      <c r="K3784" s="1796">
        <v>18</v>
      </c>
      <c r="L3784" s="262"/>
      <c r="M3784" s="4202"/>
      <c r="P3784" s="261"/>
      <c r="Q3784" s="209"/>
      <c r="R3784" s="261"/>
      <c r="S3784" s="52"/>
      <c r="T3784" s="181"/>
      <c r="U3784" s="52"/>
      <c r="V3784" s="4295"/>
      <c r="W3784" s="263">
        <v>18</v>
      </c>
      <c r="X3784" s="263">
        <v>18</v>
      </c>
      <c r="Y3784" s="263">
        <v>18</v>
      </c>
      <c r="Z3784" s="263">
        <v>18</v>
      </c>
      <c r="AA3784" s="263">
        <v>18</v>
      </c>
      <c r="AB3784" s="263">
        <v>18</v>
      </c>
      <c r="AC3784" s="263">
        <v>18</v>
      </c>
      <c r="AD3784" s="263">
        <v>18</v>
      </c>
      <c r="AE3784" s="263">
        <v>18</v>
      </c>
      <c r="AF3784" s="271">
        <f t="shared" si="351"/>
        <v>18</v>
      </c>
      <c r="AG3784" s="263"/>
      <c r="DG3784" s="573"/>
      <c r="DH3784" s="159"/>
      <c r="DI3784" s="1091"/>
      <c r="DJ3784" s="1187"/>
    </row>
    <row r="3785" spans="1:114" ht="14.65" hidden="1" customHeight="1" outlineLevel="1">
      <c r="A3785" s="453"/>
      <c r="C3785" s="51"/>
      <c r="D3785" s="4295"/>
      <c r="E3785" s="4295"/>
      <c r="F3785" s="4307" t="str">
        <f t="shared" si="352"/>
        <v>ASHP-SEER19-Replace_CAC_ElectricHeat_ROF_SF</v>
      </c>
      <c r="G3785" s="4307"/>
      <c r="H3785" s="4307"/>
      <c r="I3785" s="4307"/>
      <c r="J3785" s="1029" t="str">
        <f t="shared" si="353"/>
        <v>353300_2024_12_</v>
      </c>
      <c r="K3785" s="1796">
        <v>18</v>
      </c>
      <c r="L3785" s="262"/>
      <c r="M3785" s="4202"/>
      <c r="P3785" s="261"/>
      <c r="Q3785" s="209"/>
      <c r="R3785" s="261"/>
      <c r="S3785" s="52"/>
      <c r="T3785" s="181"/>
      <c r="U3785" s="52"/>
      <c r="V3785" s="4295"/>
      <c r="W3785" s="263">
        <v>18</v>
      </c>
      <c r="X3785" s="263">
        <v>18</v>
      </c>
      <c r="Y3785" s="263">
        <v>18</v>
      </c>
      <c r="Z3785" s="263">
        <v>18</v>
      </c>
      <c r="AA3785" s="263">
        <v>18</v>
      </c>
      <c r="AB3785" s="263">
        <v>18</v>
      </c>
      <c r="AC3785" s="263">
        <v>18</v>
      </c>
      <c r="AD3785" s="263">
        <v>18</v>
      </c>
      <c r="AE3785" s="263">
        <v>18</v>
      </c>
      <c r="AF3785" s="271">
        <f t="shared" si="351"/>
        <v>18</v>
      </c>
      <c r="AG3785" s="263"/>
      <c r="DG3785" s="573"/>
      <c r="DH3785" s="159"/>
      <c r="DI3785" s="1091"/>
      <c r="DJ3785" s="1187"/>
    </row>
    <row r="3786" spans="1:114" ht="14.65" hidden="1" customHeight="1" outlineLevel="1">
      <c r="A3786" s="453"/>
      <c r="C3786" s="51"/>
      <c r="D3786" s="4295"/>
      <c r="E3786" s="4295"/>
      <c r="F3786" s="4307" t="str">
        <f t="shared" si="352"/>
        <v>ASHP-SEER19-Replace_CAC_NonElectricHeat_ROF_SF</v>
      </c>
      <c r="G3786" s="4307"/>
      <c r="H3786" s="4307"/>
      <c r="I3786" s="4307"/>
      <c r="J3786" s="1029" t="str">
        <f t="shared" si="353"/>
        <v>353310_2024_12_</v>
      </c>
      <c r="K3786" s="1796">
        <v>18</v>
      </c>
      <c r="L3786" s="262"/>
      <c r="M3786" s="4202"/>
      <c r="P3786" s="261"/>
      <c r="Q3786" s="209"/>
      <c r="R3786" s="261"/>
      <c r="S3786" s="52"/>
      <c r="T3786" s="181"/>
      <c r="U3786" s="52"/>
      <c r="V3786" s="4295"/>
      <c r="W3786" s="263"/>
      <c r="X3786" s="263"/>
      <c r="Y3786" s="263"/>
      <c r="Z3786" s="263"/>
      <c r="AA3786" s="263"/>
      <c r="AB3786" s="263"/>
      <c r="AC3786" s="263"/>
      <c r="AD3786" s="1030">
        <v>18</v>
      </c>
      <c r="AE3786" s="263">
        <v>18</v>
      </c>
      <c r="AF3786" s="271">
        <f t="shared" si="351"/>
        <v>18</v>
      </c>
      <c r="AG3786" s="263"/>
      <c r="DG3786" s="573"/>
      <c r="DH3786" s="159"/>
      <c r="DI3786" s="1091"/>
      <c r="DJ3786" s="1187"/>
    </row>
    <row r="3787" spans="1:114" ht="14.65" hidden="1" customHeight="1" outlineLevel="1">
      <c r="A3787" s="453"/>
      <c r="C3787" s="51"/>
      <c r="D3787" s="4295"/>
      <c r="E3787" s="4295"/>
      <c r="F3787" s="4307" t="str">
        <f t="shared" si="352"/>
        <v>ASHP-SEER19-Replace_CAC_NonElectricHeat_ROF_SF</v>
      </c>
      <c r="G3787" s="4307"/>
      <c r="H3787" s="4307"/>
      <c r="I3787" s="4307"/>
      <c r="J3787" s="1029" t="str">
        <f t="shared" si="353"/>
        <v>353310_2024_12_</v>
      </c>
      <c r="K3787" s="1796">
        <v>18</v>
      </c>
      <c r="L3787" s="262"/>
      <c r="M3787" s="4202"/>
      <c r="P3787" s="261"/>
      <c r="Q3787" s="209"/>
      <c r="R3787" s="261"/>
      <c r="S3787" s="52"/>
      <c r="T3787" s="181"/>
      <c r="U3787" s="52"/>
      <c r="V3787" s="4295"/>
      <c r="W3787" s="263"/>
      <c r="X3787" s="263"/>
      <c r="Y3787" s="263"/>
      <c r="Z3787" s="263"/>
      <c r="AA3787" s="263"/>
      <c r="AB3787" s="263"/>
      <c r="AC3787" s="263"/>
      <c r="AD3787" s="1030">
        <v>18</v>
      </c>
      <c r="AE3787" s="263">
        <v>18</v>
      </c>
      <c r="AF3787" s="271">
        <f t="shared" si="351"/>
        <v>18</v>
      </c>
      <c r="AG3787" s="263"/>
      <c r="DG3787" s="573"/>
      <c r="DH3787" s="159"/>
      <c r="DI3787" s="1091"/>
      <c r="DJ3787" s="1187"/>
    </row>
    <row r="3788" spans="1:114" ht="14.65" hidden="1" customHeight="1" outlineLevel="1">
      <c r="A3788" s="453"/>
      <c r="C3788" s="51"/>
      <c r="D3788" s="4295"/>
      <c r="E3788" s="4295"/>
      <c r="F3788" s="4347" t="str">
        <f t="shared" si="352"/>
        <v>ASHP-SEER19-Replace_CAC_ElectricHeat_ROF_MF</v>
      </c>
      <c r="G3788" s="4347"/>
      <c r="H3788" s="4347"/>
      <c r="I3788" s="4347"/>
      <c r="J3788" s="3471" t="str">
        <f t="shared" si="353"/>
        <v>353350_2024_12_</v>
      </c>
      <c r="K3788" s="3377">
        <v>18</v>
      </c>
      <c r="L3788" s="262"/>
      <c r="M3788" s="4202"/>
      <c r="P3788" s="261"/>
      <c r="Q3788" s="209"/>
      <c r="R3788" s="261"/>
      <c r="S3788" s="52"/>
      <c r="T3788" s="181"/>
      <c r="U3788" s="52"/>
      <c r="V3788" s="4295"/>
      <c r="W3788" s="3494">
        <v>18</v>
      </c>
      <c r="X3788" s="3494">
        <v>18</v>
      </c>
      <c r="Y3788" s="3494">
        <v>18</v>
      </c>
      <c r="Z3788" s="3494">
        <v>18</v>
      </c>
      <c r="AA3788" s="3494">
        <v>18</v>
      </c>
      <c r="AB3788" s="3494">
        <v>18</v>
      </c>
      <c r="AC3788" s="3494">
        <v>18</v>
      </c>
      <c r="AD3788" s="3494">
        <v>18</v>
      </c>
      <c r="AE3788" s="3494">
        <v>18</v>
      </c>
      <c r="AF3788" s="2236">
        <f t="shared" si="351"/>
        <v>18</v>
      </c>
      <c r="AG3788" s="263"/>
      <c r="DG3788" s="573"/>
      <c r="DH3788" s="159"/>
      <c r="DI3788" s="1091"/>
      <c r="DJ3788" s="1187"/>
    </row>
    <row r="3789" spans="1:114" ht="14.65" hidden="1" customHeight="1" outlineLevel="1">
      <c r="A3789" s="453"/>
      <c r="C3789" s="51"/>
      <c r="D3789" s="4295"/>
      <c r="E3789" s="4295"/>
      <c r="F3789" s="4347" t="str">
        <f t="shared" si="352"/>
        <v>ASHP-SEER19-Replace_CAC_ElectricHeat_ROF_MF</v>
      </c>
      <c r="G3789" s="4347"/>
      <c r="H3789" s="4347"/>
      <c r="I3789" s="4347"/>
      <c r="J3789" s="3471" t="str">
        <f t="shared" si="353"/>
        <v>353350_2024_12_</v>
      </c>
      <c r="K3789" s="3377">
        <v>18</v>
      </c>
      <c r="L3789" s="262"/>
      <c r="M3789" s="4202"/>
      <c r="P3789" s="261"/>
      <c r="Q3789" s="209"/>
      <c r="R3789" s="261"/>
      <c r="S3789" s="52"/>
      <c r="T3789" s="181"/>
      <c r="U3789" s="52"/>
      <c r="V3789" s="4295"/>
      <c r="W3789" s="3494">
        <v>18</v>
      </c>
      <c r="X3789" s="3494">
        <v>18</v>
      </c>
      <c r="Y3789" s="3494">
        <v>18</v>
      </c>
      <c r="Z3789" s="3494">
        <v>18</v>
      </c>
      <c r="AA3789" s="3494">
        <v>18</v>
      </c>
      <c r="AB3789" s="3494">
        <v>18</v>
      </c>
      <c r="AC3789" s="3494">
        <v>18</v>
      </c>
      <c r="AD3789" s="3494">
        <v>18</v>
      </c>
      <c r="AE3789" s="3494">
        <v>18</v>
      </c>
      <c r="AF3789" s="2236">
        <f t="shared" si="351"/>
        <v>18</v>
      </c>
      <c r="AG3789" s="263"/>
      <c r="DG3789" s="573"/>
      <c r="DH3789" s="159"/>
      <c r="DI3789" s="1091"/>
      <c r="DJ3789" s="1187"/>
    </row>
    <row r="3790" spans="1:114" ht="14.65" hidden="1" customHeight="1" outlineLevel="1">
      <c r="A3790" s="453"/>
      <c r="C3790" s="51"/>
      <c r="D3790" s="4295"/>
      <c r="E3790" s="4295"/>
      <c r="F3790" s="4347" t="str">
        <f t="shared" si="352"/>
        <v>ASHP-SEER19-Replace_CAC_ElectricHeat_ROF_MF_CompE</v>
      </c>
      <c r="G3790" s="4347"/>
      <c r="H3790" s="4347"/>
      <c r="I3790" s="4347"/>
      <c r="J3790" s="3471" t="str">
        <f t="shared" si="353"/>
        <v>353351_2024_12_</v>
      </c>
      <c r="K3790" s="3377">
        <v>18</v>
      </c>
      <c r="L3790" s="262"/>
      <c r="M3790" s="4202"/>
      <c r="P3790" s="261"/>
      <c r="Q3790" s="209"/>
      <c r="R3790" s="261"/>
      <c r="S3790" s="52"/>
      <c r="T3790" s="181"/>
      <c r="U3790" s="52"/>
      <c r="V3790" s="4295"/>
      <c r="W3790" s="3494"/>
      <c r="X3790" s="3494"/>
      <c r="Y3790" s="3494"/>
      <c r="Z3790" s="3494"/>
      <c r="AA3790" s="3494"/>
      <c r="AB3790" s="3494"/>
      <c r="AC3790" s="3495">
        <v>18</v>
      </c>
      <c r="AD3790" s="3494">
        <v>18</v>
      </c>
      <c r="AE3790" s="3494">
        <v>18</v>
      </c>
      <c r="AF3790" s="2236">
        <f t="shared" si="351"/>
        <v>18</v>
      </c>
      <c r="AG3790" s="263"/>
      <c r="DG3790" s="573"/>
      <c r="DH3790" s="159"/>
      <c r="DI3790" s="1091"/>
      <c r="DJ3790" s="1187"/>
    </row>
    <row r="3791" spans="1:114" ht="14.65" hidden="1" customHeight="1" outlineLevel="1">
      <c r="A3791" s="453"/>
      <c r="C3791" s="51"/>
      <c r="D3791" s="4295"/>
      <c r="E3791" s="4295"/>
      <c r="F3791" s="4347" t="str">
        <f t="shared" si="352"/>
        <v>ASHP-SEER19-Replace_CAC_ElectricHeat_ROF_MF_CompE</v>
      </c>
      <c r="G3791" s="4347"/>
      <c r="H3791" s="4347"/>
      <c r="I3791" s="4347"/>
      <c r="J3791" s="3471" t="str">
        <f t="shared" si="353"/>
        <v>353351_2024_12_</v>
      </c>
      <c r="K3791" s="3377">
        <v>18</v>
      </c>
      <c r="L3791" s="262"/>
      <c r="M3791" s="4202"/>
      <c r="P3791" s="261"/>
      <c r="Q3791" s="209"/>
      <c r="R3791" s="261"/>
      <c r="S3791" s="52"/>
      <c r="T3791" s="181"/>
      <c r="U3791" s="52"/>
      <c r="V3791" s="4295"/>
      <c r="W3791" s="3494"/>
      <c r="X3791" s="3494"/>
      <c r="Y3791" s="3494"/>
      <c r="Z3791" s="3494"/>
      <c r="AA3791" s="3494"/>
      <c r="AB3791" s="3494"/>
      <c r="AC3791" s="3495">
        <v>18</v>
      </c>
      <c r="AD3791" s="3494">
        <v>18</v>
      </c>
      <c r="AE3791" s="3494">
        <v>18</v>
      </c>
      <c r="AF3791" s="2236">
        <f t="shared" si="351"/>
        <v>18</v>
      </c>
      <c r="AG3791" s="263"/>
      <c r="DG3791" s="573"/>
      <c r="DH3791" s="159"/>
      <c r="DI3791" s="1091"/>
      <c r="DJ3791" s="1187"/>
    </row>
    <row r="3792" spans="1:114" ht="14.65" hidden="1" customHeight="1" outlineLevel="1">
      <c r="A3792" s="453"/>
      <c r="C3792" s="51"/>
      <c r="D3792" s="4295"/>
      <c r="E3792" s="4295"/>
      <c r="F3792" s="4347" t="str">
        <f t="shared" si="352"/>
        <v>ASHP-SEER19-Replace_CAC_NonElectricHeat_ROF_MF</v>
      </c>
      <c r="G3792" s="4347"/>
      <c r="H3792" s="4347"/>
      <c r="I3792" s="4347"/>
      <c r="J3792" s="3471" t="str">
        <f t="shared" si="353"/>
        <v>353360_2024_12_</v>
      </c>
      <c r="K3792" s="3377">
        <v>18</v>
      </c>
      <c r="L3792" s="262"/>
      <c r="M3792" s="4202"/>
      <c r="P3792" s="261"/>
      <c r="Q3792" s="209"/>
      <c r="R3792" s="261"/>
      <c r="S3792" s="52"/>
      <c r="T3792" s="181"/>
      <c r="U3792" s="52"/>
      <c r="V3792" s="4295"/>
      <c r="W3792" s="3494"/>
      <c r="X3792" s="3494"/>
      <c r="Y3792" s="3494"/>
      <c r="Z3792" s="3494"/>
      <c r="AA3792" s="3494"/>
      <c r="AB3792" s="3494"/>
      <c r="AC3792" s="3495">
        <v>18</v>
      </c>
      <c r="AD3792" s="3494">
        <v>18</v>
      </c>
      <c r="AE3792" s="3494">
        <v>18</v>
      </c>
      <c r="AF3792" s="2236">
        <f t="shared" si="351"/>
        <v>18</v>
      </c>
      <c r="AG3792" s="263"/>
      <c r="DG3792" s="573"/>
      <c r="DH3792" s="159"/>
      <c r="DI3792" s="1091"/>
      <c r="DJ3792" s="1187"/>
    </row>
    <row r="3793" spans="1:114" ht="14.65" hidden="1" customHeight="1" outlineLevel="1">
      <c r="A3793" s="453"/>
      <c r="C3793" s="51"/>
      <c r="D3793" s="4295"/>
      <c r="E3793" s="4295"/>
      <c r="F3793" s="4347" t="str">
        <f t="shared" si="352"/>
        <v>ASHP-SEER19-Replace_CAC_NonElectricHeat_ROF_MF</v>
      </c>
      <c r="G3793" s="4347"/>
      <c r="H3793" s="4347"/>
      <c r="I3793" s="4347"/>
      <c r="J3793" s="3471" t="str">
        <f t="shared" si="353"/>
        <v>353360_2024_12_</v>
      </c>
      <c r="K3793" s="3377">
        <v>18</v>
      </c>
      <c r="L3793" s="262"/>
      <c r="M3793" s="4202"/>
      <c r="P3793" s="261"/>
      <c r="Q3793" s="209"/>
      <c r="R3793" s="261"/>
      <c r="S3793" s="52"/>
      <c r="T3793" s="181"/>
      <c r="U3793" s="52"/>
      <c r="V3793" s="4295"/>
      <c r="W3793" s="3494"/>
      <c r="X3793" s="3494"/>
      <c r="Y3793" s="3494"/>
      <c r="Z3793" s="3494"/>
      <c r="AA3793" s="3494"/>
      <c r="AB3793" s="3494"/>
      <c r="AC3793" s="3495">
        <v>18</v>
      </c>
      <c r="AD3793" s="3494">
        <v>18</v>
      </c>
      <c r="AE3793" s="3494">
        <v>18</v>
      </c>
      <c r="AF3793" s="2236">
        <f t="shared" si="351"/>
        <v>18</v>
      </c>
      <c r="AG3793" s="263"/>
      <c r="DG3793" s="573"/>
      <c r="DH3793" s="159"/>
      <c r="DI3793" s="1091"/>
      <c r="DJ3793" s="1187"/>
    </row>
    <row r="3794" spans="1:114" ht="14.65" hidden="1" customHeight="1" outlineLevel="1">
      <c r="A3794" s="453"/>
      <c r="C3794" s="51"/>
      <c r="D3794" s="4295"/>
      <c r="E3794" s="4295"/>
      <c r="F3794" s="4347" t="str">
        <f t="shared" si="352"/>
        <v>ASHP-SEER19-Replace_CAC_NonElectricHeat_ROF_MF_CompE</v>
      </c>
      <c r="G3794" s="4347"/>
      <c r="H3794" s="4347"/>
      <c r="I3794" s="4347"/>
      <c r="J3794" s="3471" t="str">
        <f t="shared" si="353"/>
        <v>353361_2024_12_</v>
      </c>
      <c r="K3794" s="3377">
        <v>18</v>
      </c>
      <c r="L3794" s="262"/>
      <c r="M3794" s="4202"/>
      <c r="P3794" s="261"/>
      <c r="Q3794" s="209"/>
      <c r="R3794" s="261"/>
      <c r="S3794" s="52"/>
      <c r="T3794" s="181"/>
      <c r="U3794" s="52"/>
      <c r="V3794" s="4295"/>
      <c r="W3794" s="3494"/>
      <c r="X3794" s="3494"/>
      <c r="Y3794" s="3494"/>
      <c r="Z3794" s="3494"/>
      <c r="AA3794" s="3494"/>
      <c r="AB3794" s="3494"/>
      <c r="AC3794" s="3495">
        <v>18</v>
      </c>
      <c r="AD3794" s="3494">
        <v>18</v>
      </c>
      <c r="AE3794" s="3494">
        <v>18</v>
      </c>
      <c r="AF3794" s="2236">
        <f t="shared" si="351"/>
        <v>18</v>
      </c>
      <c r="AG3794" s="263"/>
      <c r="DG3794" s="573"/>
      <c r="DH3794" s="159"/>
      <c r="DI3794" s="1091"/>
      <c r="DJ3794" s="1187"/>
    </row>
    <row r="3795" spans="1:114" ht="14.65" hidden="1" customHeight="1" outlineLevel="1">
      <c r="A3795" s="453"/>
      <c r="C3795" s="51"/>
      <c r="D3795" s="4295"/>
      <c r="E3795" s="4295"/>
      <c r="F3795" s="4347" t="str">
        <f t="shared" si="352"/>
        <v>ASHP-SEER19-Replace_CAC_NonElectricHeat_ROF_MF_CompE</v>
      </c>
      <c r="G3795" s="4347"/>
      <c r="H3795" s="4347"/>
      <c r="I3795" s="4347"/>
      <c r="J3795" s="3471" t="str">
        <f t="shared" si="353"/>
        <v>353361_2024_12_</v>
      </c>
      <c r="K3795" s="3377">
        <v>18</v>
      </c>
      <c r="L3795" s="262"/>
      <c r="M3795" s="4202"/>
      <c r="P3795" s="261"/>
      <c r="Q3795" s="209"/>
      <c r="R3795" s="261"/>
      <c r="S3795" s="52"/>
      <c r="T3795" s="181"/>
      <c r="U3795" s="52"/>
      <c r="V3795" s="4295"/>
      <c r="W3795" s="3494"/>
      <c r="X3795" s="3494"/>
      <c r="Y3795" s="3494"/>
      <c r="Z3795" s="3494"/>
      <c r="AA3795" s="3494"/>
      <c r="AB3795" s="3494"/>
      <c r="AC3795" s="3495">
        <v>18</v>
      </c>
      <c r="AD3795" s="3494">
        <v>18</v>
      </c>
      <c r="AE3795" s="3494">
        <v>18</v>
      </c>
      <c r="AF3795" s="2236">
        <f t="shared" si="351"/>
        <v>18</v>
      </c>
      <c r="AG3795" s="263"/>
      <c r="DG3795" s="573"/>
      <c r="DH3795" s="159"/>
      <c r="DI3795" s="1091"/>
      <c r="DJ3795" s="1187"/>
    </row>
    <row r="3796" spans="1:114" ht="14.65" hidden="1" customHeight="1" outlineLevel="1">
      <c r="A3796" s="453"/>
      <c r="C3796" s="51"/>
      <c r="D3796" s="4295"/>
      <c r="E3796" s="4295"/>
      <c r="F3796" s="4307" t="str">
        <f t="shared" si="352"/>
        <v>ASHP-SEER20-Replace_CAC_ElectricHeat_ER1_SF</v>
      </c>
      <c r="G3796" s="4307"/>
      <c r="H3796" s="4307"/>
      <c r="I3796" s="4307"/>
      <c r="J3796" s="1029" t="str">
        <f t="shared" si="353"/>
        <v>353400_2024_12_</v>
      </c>
      <c r="K3796" s="1796">
        <v>6</v>
      </c>
      <c r="L3796" s="262"/>
      <c r="M3796" s="4202"/>
      <c r="P3796" s="261"/>
      <c r="Q3796" s="209"/>
      <c r="R3796" s="261"/>
      <c r="S3796" s="52"/>
      <c r="T3796" s="181"/>
      <c r="U3796" s="52"/>
      <c r="V3796" s="4295"/>
      <c r="W3796" s="263">
        <v>6</v>
      </c>
      <c r="X3796" s="263">
        <v>6</v>
      </c>
      <c r="Y3796" s="263">
        <v>6</v>
      </c>
      <c r="Z3796" s="263">
        <v>6</v>
      </c>
      <c r="AA3796" s="263">
        <v>6</v>
      </c>
      <c r="AB3796" s="263">
        <v>6</v>
      </c>
      <c r="AC3796" s="263">
        <v>6</v>
      </c>
      <c r="AD3796" s="263">
        <v>6</v>
      </c>
      <c r="AE3796" s="263">
        <v>6</v>
      </c>
      <c r="AF3796" s="271">
        <f t="shared" si="351"/>
        <v>6</v>
      </c>
      <c r="AG3796" s="263"/>
      <c r="DG3796" s="573"/>
      <c r="DH3796" s="159"/>
      <c r="DI3796" s="1091"/>
      <c r="DJ3796" s="1187"/>
    </row>
    <row r="3797" spans="1:114" ht="14.65" hidden="1" customHeight="1" outlineLevel="1">
      <c r="A3797" s="453"/>
      <c r="C3797" s="51"/>
      <c r="D3797" s="4295"/>
      <c r="E3797" s="4295"/>
      <c r="F3797" s="4307" t="str">
        <f t="shared" si="352"/>
        <v>ASHP-SEER20-Replace_CAC_ElectricHeat_ER1_SF</v>
      </c>
      <c r="G3797" s="4307"/>
      <c r="H3797" s="4307"/>
      <c r="I3797" s="4307"/>
      <c r="J3797" s="1029" t="str">
        <f t="shared" si="353"/>
        <v>353400_2024_12_</v>
      </c>
      <c r="K3797" s="1796">
        <v>6</v>
      </c>
      <c r="L3797" s="262"/>
      <c r="M3797" s="4202"/>
      <c r="P3797" s="261"/>
      <c r="Q3797" s="209"/>
      <c r="R3797" s="261"/>
      <c r="S3797" s="52"/>
      <c r="T3797" s="181"/>
      <c r="U3797" s="52"/>
      <c r="V3797" s="4295"/>
      <c r="W3797" s="263">
        <v>6</v>
      </c>
      <c r="X3797" s="263">
        <v>6</v>
      </c>
      <c r="Y3797" s="263">
        <v>6</v>
      </c>
      <c r="Z3797" s="263">
        <v>6</v>
      </c>
      <c r="AA3797" s="263">
        <v>6</v>
      </c>
      <c r="AB3797" s="263">
        <v>6</v>
      </c>
      <c r="AC3797" s="263">
        <v>6</v>
      </c>
      <c r="AD3797" s="263">
        <v>6</v>
      </c>
      <c r="AE3797" s="263">
        <v>6</v>
      </c>
      <c r="AF3797" s="271">
        <f t="shared" si="351"/>
        <v>6</v>
      </c>
      <c r="AG3797" s="263"/>
      <c r="DG3797" s="573"/>
      <c r="DH3797" s="159"/>
      <c r="DI3797" s="1091"/>
      <c r="DJ3797" s="1187"/>
    </row>
    <row r="3798" spans="1:114" ht="14.65" hidden="1" customHeight="1" outlineLevel="1">
      <c r="A3798" s="453"/>
      <c r="C3798" s="51"/>
      <c r="D3798" s="4295"/>
      <c r="E3798" s="4295"/>
      <c r="F3798" s="4307" t="str">
        <f t="shared" si="352"/>
        <v>ASHP-SEER20-Replace_CAC_ElectricHeat_ER2_SF</v>
      </c>
      <c r="G3798" s="4307"/>
      <c r="H3798" s="4307"/>
      <c r="I3798" s="4307"/>
      <c r="J3798" s="1029" t="str">
        <f t="shared" si="353"/>
        <v>353400_2024_12_</v>
      </c>
      <c r="K3798" s="1796">
        <v>12</v>
      </c>
      <c r="L3798" s="262"/>
      <c r="M3798" s="4202"/>
      <c r="P3798" s="261"/>
      <c r="Q3798" s="209"/>
      <c r="R3798" s="261"/>
      <c r="S3798" s="52"/>
      <c r="T3798" s="181"/>
      <c r="U3798" s="52"/>
      <c r="V3798" s="4295"/>
      <c r="W3798" s="263">
        <v>12</v>
      </c>
      <c r="X3798" s="263">
        <v>12</v>
      </c>
      <c r="Y3798" s="263">
        <v>12</v>
      </c>
      <c r="Z3798" s="263">
        <v>12</v>
      </c>
      <c r="AA3798" s="263">
        <v>12</v>
      </c>
      <c r="AB3798" s="263">
        <v>12</v>
      </c>
      <c r="AC3798" s="263">
        <v>12</v>
      </c>
      <c r="AD3798" s="263">
        <v>12</v>
      </c>
      <c r="AE3798" s="263">
        <v>12</v>
      </c>
      <c r="AF3798" s="271">
        <f t="shared" si="351"/>
        <v>12</v>
      </c>
      <c r="AG3798" s="263"/>
      <c r="DG3798" s="573"/>
      <c r="DH3798" s="159"/>
      <c r="DI3798" s="1091"/>
      <c r="DJ3798" s="1187"/>
    </row>
    <row r="3799" spans="1:114" ht="14.65" hidden="1" customHeight="1" outlineLevel="1">
      <c r="A3799" s="453"/>
      <c r="C3799" s="51"/>
      <c r="D3799" s="4295"/>
      <c r="E3799" s="4295"/>
      <c r="F3799" s="4307" t="str">
        <f t="shared" si="352"/>
        <v>ASHP-SEER20-Replace_CAC_ElectricHeat_ER2_SF</v>
      </c>
      <c r="G3799" s="4307"/>
      <c r="H3799" s="4307"/>
      <c r="I3799" s="4307"/>
      <c r="J3799" s="1029" t="str">
        <f t="shared" si="353"/>
        <v>353400_2024_12_</v>
      </c>
      <c r="K3799" s="1796">
        <v>12</v>
      </c>
      <c r="L3799" s="262"/>
      <c r="M3799" s="4202"/>
      <c r="P3799" s="261"/>
      <c r="Q3799" s="209"/>
      <c r="R3799" s="261"/>
      <c r="S3799" s="52"/>
      <c r="T3799" s="181"/>
      <c r="U3799" s="52"/>
      <c r="V3799" s="4295"/>
      <c r="W3799" s="263">
        <v>12</v>
      </c>
      <c r="X3799" s="263">
        <v>12</v>
      </c>
      <c r="Y3799" s="263">
        <v>12</v>
      </c>
      <c r="Z3799" s="263">
        <v>12</v>
      </c>
      <c r="AA3799" s="263">
        <v>12</v>
      </c>
      <c r="AB3799" s="263">
        <v>12</v>
      </c>
      <c r="AC3799" s="263">
        <v>12</v>
      </c>
      <c r="AD3799" s="263">
        <v>12</v>
      </c>
      <c r="AE3799" s="263">
        <v>12</v>
      </c>
      <c r="AF3799" s="271">
        <f t="shared" si="351"/>
        <v>12</v>
      </c>
      <c r="AG3799" s="263"/>
      <c r="DG3799" s="573"/>
      <c r="DH3799" s="159"/>
      <c r="DI3799" s="1091"/>
      <c r="DJ3799" s="1187"/>
    </row>
    <row r="3800" spans="1:114" ht="14.65" hidden="1" customHeight="1" outlineLevel="1">
      <c r="A3800" s="453"/>
      <c r="C3800" s="51"/>
      <c r="D3800" s="4295"/>
      <c r="E3800" s="4295"/>
      <c r="F3800" s="4307" t="str">
        <f t="shared" si="352"/>
        <v>ASHP-SEER20-Replace_CAC_NonElectricHeat_ER1_SF</v>
      </c>
      <c r="G3800" s="4307"/>
      <c r="H3800" s="4307"/>
      <c r="I3800" s="4307"/>
      <c r="J3800" s="1029" t="str">
        <f t="shared" si="353"/>
        <v>353410_2024_12_</v>
      </c>
      <c r="K3800" s="1796">
        <v>6</v>
      </c>
      <c r="L3800" s="262"/>
      <c r="M3800" s="4202"/>
      <c r="P3800" s="261"/>
      <c r="Q3800" s="209"/>
      <c r="R3800" s="261"/>
      <c r="S3800" s="52"/>
      <c r="T3800" s="181"/>
      <c r="U3800" s="52"/>
      <c r="V3800" s="4295"/>
      <c r="W3800" s="263"/>
      <c r="X3800" s="263"/>
      <c r="Y3800" s="263"/>
      <c r="Z3800" s="263"/>
      <c r="AA3800" s="263"/>
      <c r="AB3800" s="263"/>
      <c r="AC3800" s="1030">
        <v>6</v>
      </c>
      <c r="AD3800" s="263">
        <v>6</v>
      </c>
      <c r="AE3800" s="263">
        <v>6</v>
      </c>
      <c r="AF3800" s="271">
        <f t="shared" si="351"/>
        <v>6</v>
      </c>
      <c r="AG3800" s="263"/>
      <c r="DG3800" s="573"/>
      <c r="DH3800" s="159"/>
      <c r="DI3800" s="1091"/>
      <c r="DJ3800" s="1187"/>
    </row>
    <row r="3801" spans="1:114" ht="14.65" hidden="1" customHeight="1" outlineLevel="1">
      <c r="A3801" s="453"/>
      <c r="C3801" s="51"/>
      <c r="D3801" s="4295"/>
      <c r="E3801" s="4295"/>
      <c r="F3801" s="4307" t="str">
        <f t="shared" si="352"/>
        <v>ASHP-SEER20-Replace_CAC_NonElectricHeat_ER1_SF</v>
      </c>
      <c r="G3801" s="4307"/>
      <c r="H3801" s="4307"/>
      <c r="I3801" s="4307"/>
      <c r="J3801" s="1029" t="str">
        <f t="shared" si="353"/>
        <v>353410_2024_12_</v>
      </c>
      <c r="K3801" s="1796">
        <v>6</v>
      </c>
      <c r="L3801" s="262"/>
      <c r="M3801" s="4202"/>
      <c r="P3801" s="261"/>
      <c r="Q3801" s="209"/>
      <c r="R3801" s="261"/>
      <c r="S3801" s="52"/>
      <c r="T3801" s="181"/>
      <c r="U3801" s="52"/>
      <c r="V3801" s="4295"/>
      <c r="W3801" s="263"/>
      <c r="X3801" s="263"/>
      <c r="Y3801" s="263"/>
      <c r="Z3801" s="263"/>
      <c r="AA3801" s="263"/>
      <c r="AB3801" s="263"/>
      <c r="AC3801" s="1030">
        <v>6</v>
      </c>
      <c r="AD3801" s="263">
        <v>6</v>
      </c>
      <c r="AE3801" s="263">
        <v>6</v>
      </c>
      <c r="AF3801" s="271">
        <f t="shared" si="351"/>
        <v>6</v>
      </c>
      <c r="AG3801" s="263"/>
      <c r="DG3801" s="573"/>
      <c r="DH3801" s="159"/>
      <c r="DI3801" s="1091"/>
      <c r="DJ3801" s="1187"/>
    </row>
    <row r="3802" spans="1:114" ht="14.65" hidden="1" customHeight="1" outlineLevel="1">
      <c r="A3802" s="453"/>
      <c r="C3802" s="51"/>
      <c r="D3802" s="4295"/>
      <c r="E3802" s="4295"/>
      <c r="F3802" s="4307" t="str">
        <f t="shared" si="352"/>
        <v>ASHP-SEER20-Replace_CAC_NonElectricHeat_ER2_SF</v>
      </c>
      <c r="G3802" s="4307"/>
      <c r="H3802" s="4307"/>
      <c r="I3802" s="4307"/>
      <c r="J3802" s="1029" t="str">
        <f t="shared" si="353"/>
        <v>353410_2024_12_</v>
      </c>
      <c r="K3802" s="1796">
        <v>12</v>
      </c>
      <c r="L3802" s="262"/>
      <c r="M3802" s="4202"/>
      <c r="P3802" s="261"/>
      <c r="Q3802" s="209"/>
      <c r="R3802" s="261"/>
      <c r="S3802" s="52"/>
      <c r="T3802" s="181"/>
      <c r="U3802" s="52"/>
      <c r="V3802" s="4295"/>
      <c r="W3802" s="263"/>
      <c r="X3802" s="263"/>
      <c r="Y3802" s="263"/>
      <c r="Z3802" s="263"/>
      <c r="AA3802" s="263"/>
      <c r="AB3802" s="263"/>
      <c r="AC3802" s="1030">
        <v>12</v>
      </c>
      <c r="AD3802" s="263">
        <v>12</v>
      </c>
      <c r="AE3802" s="263">
        <v>12</v>
      </c>
      <c r="AF3802" s="271">
        <f t="shared" si="351"/>
        <v>12</v>
      </c>
      <c r="AG3802" s="263"/>
      <c r="DG3802" s="573"/>
      <c r="DH3802" s="159"/>
      <c r="DI3802" s="1091"/>
      <c r="DJ3802" s="1187"/>
    </row>
    <row r="3803" spans="1:114" ht="14.65" hidden="1" customHeight="1" outlineLevel="1">
      <c r="A3803" s="453"/>
      <c r="C3803" s="51"/>
      <c r="D3803" s="4295"/>
      <c r="E3803" s="4295"/>
      <c r="F3803" s="4307" t="str">
        <f t="shared" si="352"/>
        <v>ASHP-SEER20-Replace_CAC_NonElectricHeat_ER2_SF</v>
      </c>
      <c r="G3803" s="4307"/>
      <c r="H3803" s="4307"/>
      <c r="I3803" s="4307"/>
      <c r="J3803" s="1029" t="str">
        <f t="shared" si="353"/>
        <v>353410_2024_12_</v>
      </c>
      <c r="K3803" s="1796">
        <v>12</v>
      </c>
      <c r="L3803" s="262"/>
      <c r="M3803" s="4202"/>
      <c r="P3803" s="261"/>
      <c r="Q3803" s="209"/>
      <c r="R3803" s="261"/>
      <c r="S3803" s="52"/>
      <c r="T3803" s="181"/>
      <c r="U3803" s="52"/>
      <c r="V3803" s="4295"/>
      <c r="W3803" s="263"/>
      <c r="X3803" s="263"/>
      <c r="Y3803" s="263"/>
      <c r="Z3803" s="263"/>
      <c r="AA3803" s="263"/>
      <c r="AB3803" s="263"/>
      <c r="AC3803" s="1030">
        <v>12</v>
      </c>
      <c r="AD3803" s="263">
        <v>12</v>
      </c>
      <c r="AE3803" s="263">
        <v>12</v>
      </c>
      <c r="AF3803" s="271">
        <f t="shared" si="351"/>
        <v>12</v>
      </c>
      <c r="AG3803" s="263"/>
      <c r="DG3803" s="573"/>
      <c r="DH3803" s="159"/>
      <c r="DI3803" s="1091"/>
      <c r="DJ3803" s="1187"/>
    </row>
    <row r="3804" spans="1:114" ht="14.65" hidden="1" customHeight="1" outlineLevel="1">
      <c r="A3804" s="453"/>
      <c r="C3804" s="51"/>
      <c r="D3804" s="4295"/>
      <c r="E3804" s="4295"/>
      <c r="F3804" s="4307" t="str">
        <f t="shared" si="352"/>
        <v>ASHP-SEER20-Replace_CAC_ElectricHeat_ROF_SF</v>
      </c>
      <c r="G3804" s="4307"/>
      <c r="H3804" s="4307"/>
      <c r="I3804" s="4307"/>
      <c r="J3804" s="1029" t="str">
        <f t="shared" si="353"/>
        <v>353450_2024_12_</v>
      </c>
      <c r="K3804" s="1796">
        <v>18</v>
      </c>
      <c r="L3804" s="262"/>
      <c r="M3804" s="4202"/>
      <c r="P3804" s="261"/>
      <c r="Q3804" s="209"/>
      <c r="R3804" s="261"/>
      <c r="S3804" s="52"/>
      <c r="T3804" s="181"/>
      <c r="U3804" s="52"/>
      <c r="V3804" s="4295"/>
      <c r="W3804" s="263">
        <v>18</v>
      </c>
      <c r="X3804" s="263">
        <v>18</v>
      </c>
      <c r="Y3804" s="263">
        <v>18</v>
      </c>
      <c r="Z3804" s="263">
        <v>18</v>
      </c>
      <c r="AA3804" s="263">
        <v>18</v>
      </c>
      <c r="AB3804" s="263">
        <v>18</v>
      </c>
      <c r="AC3804" s="263">
        <v>18</v>
      </c>
      <c r="AD3804" s="263">
        <v>18</v>
      </c>
      <c r="AE3804" s="263">
        <v>18</v>
      </c>
      <c r="AF3804" s="271">
        <f t="shared" si="351"/>
        <v>18</v>
      </c>
      <c r="AG3804" s="263"/>
      <c r="DG3804" s="573"/>
      <c r="DH3804" s="159"/>
      <c r="DI3804" s="1091"/>
      <c r="DJ3804" s="1187"/>
    </row>
    <row r="3805" spans="1:114" ht="14.65" hidden="1" customHeight="1" outlineLevel="1">
      <c r="A3805" s="453"/>
      <c r="C3805" s="51"/>
      <c r="D3805" s="4295"/>
      <c r="E3805" s="4295"/>
      <c r="F3805" s="4307" t="str">
        <f t="shared" si="352"/>
        <v>ASHP-SEER20-Replace_CAC_ElectricHeat_ROF_SF</v>
      </c>
      <c r="G3805" s="4307"/>
      <c r="H3805" s="4307"/>
      <c r="I3805" s="4307"/>
      <c r="J3805" s="1029" t="str">
        <f t="shared" si="353"/>
        <v>353450_2024_12_</v>
      </c>
      <c r="K3805" s="1796">
        <v>18</v>
      </c>
      <c r="L3805" s="262"/>
      <c r="M3805" s="4202"/>
      <c r="P3805" s="261"/>
      <c r="Q3805" s="209"/>
      <c r="R3805" s="261"/>
      <c r="S3805" s="52"/>
      <c r="T3805" s="181"/>
      <c r="U3805" s="52"/>
      <c r="V3805" s="4295"/>
      <c r="W3805" s="263">
        <v>18</v>
      </c>
      <c r="X3805" s="263">
        <v>18</v>
      </c>
      <c r="Y3805" s="263">
        <v>18</v>
      </c>
      <c r="Z3805" s="263">
        <v>18</v>
      </c>
      <c r="AA3805" s="263">
        <v>18</v>
      </c>
      <c r="AB3805" s="263">
        <v>18</v>
      </c>
      <c r="AC3805" s="263">
        <v>18</v>
      </c>
      <c r="AD3805" s="263">
        <v>18</v>
      </c>
      <c r="AE3805" s="263">
        <v>18</v>
      </c>
      <c r="AF3805" s="271">
        <f t="shared" si="351"/>
        <v>18</v>
      </c>
      <c r="AG3805" s="263"/>
      <c r="DG3805" s="573"/>
      <c r="DH3805" s="159"/>
      <c r="DI3805" s="1091"/>
      <c r="DJ3805" s="1187"/>
    </row>
    <row r="3806" spans="1:114" ht="14.65" hidden="1" customHeight="1" outlineLevel="1">
      <c r="A3806" s="453"/>
      <c r="C3806" s="51"/>
      <c r="D3806" s="4295"/>
      <c r="E3806" s="4295"/>
      <c r="F3806" s="4307" t="str">
        <f t="shared" si="352"/>
        <v>ASHP-SEER20-Replace_CAC_NonElectricHeat_ROF_SF</v>
      </c>
      <c r="G3806" s="4307"/>
      <c r="H3806" s="4307"/>
      <c r="I3806" s="4307"/>
      <c r="J3806" s="1029" t="str">
        <f t="shared" si="353"/>
        <v>353460_2024_12_</v>
      </c>
      <c r="K3806" s="1796">
        <v>18</v>
      </c>
      <c r="L3806" s="262"/>
      <c r="M3806" s="4202"/>
      <c r="P3806" s="261"/>
      <c r="Q3806" s="209"/>
      <c r="R3806" s="261"/>
      <c r="S3806" s="52"/>
      <c r="T3806" s="181"/>
      <c r="U3806" s="52"/>
      <c r="V3806" s="4295"/>
      <c r="W3806" s="263"/>
      <c r="X3806" s="263"/>
      <c r="Y3806" s="263"/>
      <c r="Z3806" s="263"/>
      <c r="AA3806" s="263"/>
      <c r="AB3806" s="263"/>
      <c r="AC3806" s="263"/>
      <c r="AD3806" s="1030">
        <v>18</v>
      </c>
      <c r="AE3806" s="263">
        <v>18</v>
      </c>
      <c r="AF3806" s="271">
        <f t="shared" si="351"/>
        <v>18</v>
      </c>
      <c r="AG3806" s="263"/>
      <c r="DG3806" s="573"/>
      <c r="DH3806" s="159"/>
      <c r="DI3806" s="1091"/>
      <c r="DJ3806" s="1187"/>
    </row>
    <row r="3807" spans="1:114" ht="14.65" hidden="1" customHeight="1" outlineLevel="1">
      <c r="A3807" s="453"/>
      <c r="C3807" s="51"/>
      <c r="D3807" s="4295"/>
      <c r="E3807" s="4295"/>
      <c r="F3807" s="4307" t="str">
        <f t="shared" si="352"/>
        <v>ASHP-SEER20-Replace_CAC_NonElectricHeat_ROF_SF</v>
      </c>
      <c r="G3807" s="4307"/>
      <c r="H3807" s="4307"/>
      <c r="I3807" s="4307"/>
      <c r="J3807" s="1029" t="str">
        <f t="shared" si="353"/>
        <v>353460_2024_12_</v>
      </c>
      <c r="K3807" s="1796">
        <v>18</v>
      </c>
      <c r="L3807" s="262"/>
      <c r="M3807" s="4202"/>
      <c r="P3807" s="261"/>
      <c r="Q3807" s="209"/>
      <c r="R3807" s="261"/>
      <c r="S3807" s="52"/>
      <c r="T3807" s="181"/>
      <c r="U3807" s="52"/>
      <c r="V3807" s="4295"/>
      <c r="W3807" s="263"/>
      <c r="X3807" s="263"/>
      <c r="Y3807" s="263"/>
      <c r="Z3807" s="263"/>
      <c r="AA3807" s="263"/>
      <c r="AB3807" s="263"/>
      <c r="AC3807" s="263"/>
      <c r="AD3807" s="1030">
        <v>18</v>
      </c>
      <c r="AE3807" s="263">
        <v>18</v>
      </c>
      <c r="AF3807" s="271">
        <f t="shared" si="351"/>
        <v>18</v>
      </c>
      <c r="AG3807" s="263"/>
      <c r="DG3807" s="573"/>
      <c r="DH3807" s="159"/>
      <c r="DI3807" s="1091"/>
      <c r="DJ3807" s="1187"/>
    </row>
    <row r="3808" spans="1:114" ht="14.65" hidden="1" customHeight="1" outlineLevel="1">
      <c r="A3808" s="453"/>
      <c r="C3808" s="51"/>
      <c r="D3808" s="4295"/>
      <c r="E3808" s="4295"/>
      <c r="F3808" s="4347" t="str">
        <f t="shared" si="352"/>
        <v>ASHP-SEER20-Replace_CAC_ElectricHeat_ROF_MF</v>
      </c>
      <c r="G3808" s="4347"/>
      <c r="H3808" s="4347"/>
      <c r="I3808" s="4347"/>
      <c r="J3808" s="3471" t="str">
        <f t="shared" si="353"/>
        <v>353500_2024_12_</v>
      </c>
      <c r="K3808" s="3377">
        <v>18</v>
      </c>
      <c r="L3808" s="262"/>
      <c r="M3808" s="4202"/>
      <c r="P3808" s="261"/>
      <c r="Q3808" s="209"/>
      <c r="R3808" s="261"/>
      <c r="S3808" s="52"/>
      <c r="T3808" s="181"/>
      <c r="U3808" s="52"/>
      <c r="V3808" s="4295"/>
      <c r="W3808" s="3494">
        <v>18</v>
      </c>
      <c r="X3808" s="3494">
        <v>18</v>
      </c>
      <c r="Y3808" s="3494">
        <v>18</v>
      </c>
      <c r="Z3808" s="3494">
        <v>18</v>
      </c>
      <c r="AA3808" s="3494">
        <v>18</v>
      </c>
      <c r="AB3808" s="3494">
        <v>18</v>
      </c>
      <c r="AC3808" s="3494">
        <v>18</v>
      </c>
      <c r="AD3808" s="3494">
        <v>18</v>
      </c>
      <c r="AE3808" s="3494">
        <v>18</v>
      </c>
      <c r="AF3808" s="2236">
        <f t="shared" si="351"/>
        <v>18</v>
      </c>
      <c r="AG3808" s="263"/>
      <c r="DG3808" s="573"/>
      <c r="DH3808" s="159"/>
      <c r="DI3808" s="1091"/>
      <c r="DJ3808" s="1187"/>
    </row>
    <row r="3809" spans="1:114" ht="14.65" hidden="1" customHeight="1" outlineLevel="1">
      <c r="A3809" s="453"/>
      <c r="C3809" s="51"/>
      <c r="D3809" s="4295"/>
      <c r="E3809" s="4295"/>
      <c r="F3809" s="4347" t="str">
        <f t="shared" si="352"/>
        <v>ASHP-SEER20-Replace_CAC_ElectricHeat_ROF_MF</v>
      </c>
      <c r="G3809" s="4347"/>
      <c r="H3809" s="4347"/>
      <c r="I3809" s="4347"/>
      <c r="J3809" s="3471" t="str">
        <f t="shared" si="353"/>
        <v>353500_2024_12_</v>
      </c>
      <c r="K3809" s="3377">
        <v>18</v>
      </c>
      <c r="L3809" s="262"/>
      <c r="M3809" s="4202"/>
      <c r="P3809" s="261"/>
      <c r="Q3809" s="209"/>
      <c r="R3809" s="261"/>
      <c r="S3809" s="52"/>
      <c r="T3809" s="181"/>
      <c r="U3809" s="52"/>
      <c r="V3809" s="4295"/>
      <c r="W3809" s="3494">
        <v>18</v>
      </c>
      <c r="X3809" s="3494">
        <v>18</v>
      </c>
      <c r="Y3809" s="3494">
        <v>18</v>
      </c>
      <c r="Z3809" s="3494">
        <v>18</v>
      </c>
      <c r="AA3809" s="3494">
        <v>18</v>
      </c>
      <c r="AB3809" s="3494">
        <v>18</v>
      </c>
      <c r="AC3809" s="3494">
        <v>18</v>
      </c>
      <c r="AD3809" s="3494">
        <v>18</v>
      </c>
      <c r="AE3809" s="3494">
        <v>18</v>
      </c>
      <c r="AF3809" s="2236">
        <f t="shared" si="351"/>
        <v>18</v>
      </c>
      <c r="AG3809" s="263"/>
      <c r="DG3809" s="573"/>
      <c r="DH3809" s="159"/>
      <c r="DI3809" s="1091"/>
      <c r="DJ3809" s="1187"/>
    </row>
    <row r="3810" spans="1:114" ht="14.65" hidden="1" customHeight="1" outlineLevel="1">
      <c r="A3810" s="453"/>
      <c r="C3810" s="51"/>
      <c r="D3810" s="4295"/>
      <c r="E3810" s="4295"/>
      <c r="F3810" s="4347" t="str">
        <f t="shared" si="352"/>
        <v>ASHP-SEER20-Replace_CAC_ElectricHeat_ROF_MF_CompE</v>
      </c>
      <c r="G3810" s="4347"/>
      <c r="H3810" s="4347"/>
      <c r="I3810" s="4347"/>
      <c r="J3810" s="3471" t="str">
        <f t="shared" si="353"/>
        <v>353501_2024_12_</v>
      </c>
      <c r="K3810" s="3377">
        <v>18</v>
      </c>
      <c r="L3810" s="262"/>
      <c r="M3810" s="4202"/>
      <c r="P3810" s="261"/>
      <c r="Q3810" s="209"/>
      <c r="R3810" s="261"/>
      <c r="S3810" s="52"/>
      <c r="T3810" s="181"/>
      <c r="U3810" s="52"/>
      <c r="V3810" s="4295"/>
      <c r="W3810" s="3494"/>
      <c r="X3810" s="3494"/>
      <c r="Y3810" s="3494"/>
      <c r="Z3810" s="3494"/>
      <c r="AA3810" s="3494"/>
      <c r="AB3810" s="3494"/>
      <c r="AC3810" s="3495">
        <v>18</v>
      </c>
      <c r="AD3810" s="3494">
        <v>18</v>
      </c>
      <c r="AE3810" s="3494">
        <v>18</v>
      </c>
      <c r="AF3810" s="2236">
        <f t="shared" si="351"/>
        <v>18</v>
      </c>
      <c r="AG3810" s="263"/>
      <c r="DG3810" s="573"/>
      <c r="DH3810" s="159"/>
      <c r="DI3810" s="1091"/>
      <c r="DJ3810" s="1187"/>
    </row>
    <row r="3811" spans="1:114" ht="14.65" hidden="1" customHeight="1" outlineLevel="1">
      <c r="A3811" s="453"/>
      <c r="C3811" s="51"/>
      <c r="D3811" s="4295"/>
      <c r="E3811" s="4295"/>
      <c r="F3811" s="4347" t="str">
        <f t="shared" si="352"/>
        <v>ASHP-SEER20-Replace_CAC_ElectricHeat_ROF_MF_CompE</v>
      </c>
      <c r="G3811" s="4347"/>
      <c r="H3811" s="4347"/>
      <c r="I3811" s="4347"/>
      <c r="J3811" s="3471" t="str">
        <f t="shared" si="353"/>
        <v>353501_2024_12_</v>
      </c>
      <c r="K3811" s="3377">
        <v>18</v>
      </c>
      <c r="L3811" s="262"/>
      <c r="M3811" s="4202"/>
      <c r="P3811" s="261"/>
      <c r="Q3811" s="209"/>
      <c r="R3811" s="261"/>
      <c r="S3811" s="52"/>
      <c r="T3811" s="181"/>
      <c r="U3811" s="52"/>
      <c r="V3811" s="4295"/>
      <c r="W3811" s="3494"/>
      <c r="X3811" s="3494"/>
      <c r="Y3811" s="3494"/>
      <c r="Z3811" s="3494"/>
      <c r="AA3811" s="3494"/>
      <c r="AB3811" s="3494"/>
      <c r="AC3811" s="3495">
        <v>18</v>
      </c>
      <c r="AD3811" s="3494">
        <v>18</v>
      </c>
      <c r="AE3811" s="3494">
        <v>18</v>
      </c>
      <c r="AF3811" s="2236">
        <f t="shared" si="351"/>
        <v>18</v>
      </c>
      <c r="AG3811" s="263"/>
      <c r="DG3811" s="573"/>
      <c r="DH3811" s="159"/>
      <c r="DI3811" s="1091"/>
      <c r="DJ3811" s="1187"/>
    </row>
    <row r="3812" spans="1:114" ht="14.65" hidden="1" customHeight="1" outlineLevel="1">
      <c r="A3812" s="453"/>
      <c r="C3812" s="51"/>
      <c r="D3812" s="4295"/>
      <c r="E3812" s="4295"/>
      <c r="F3812" s="4347" t="str">
        <f t="shared" si="352"/>
        <v>ASHP-SEER20-Replace_CAC_NonElectricHeat_ROF_MF</v>
      </c>
      <c r="G3812" s="4347"/>
      <c r="H3812" s="4347"/>
      <c r="I3812" s="4347"/>
      <c r="J3812" s="3471" t="str">
        <f t="shared" si="353"/>
        <v>353510_2024_12_</v>
      </c>
      <c r="K3812" s="3377">
        <v>18</v>
      </c>
      <c r="L3812" s="262"/>
      <c r="M3812" s="4202"/>
      <c r="P3812" s="261"/>
      <c r="Q3812" s="209"/>
      <c r="R3812" s="261"/>
      <c r="S3812" s="52"/>
      <c r="T3812" s="181"/>
      <c r="U3812" s="52"/>
      <c r="V3812" s="4295"/>
      <c r="W3812" s="3494"/>
      <c r="X3812" s="3494"/>
      <c r="Y3812" s="3494"/>
      <c r="Z3812" s="3494"/>
      <c r="AA3812" s="3494"/>
      <c r="AB3812" s="3494"/>
      <c r="AC3812" s="3495">
        <v>18</v>
      </c>
      <c r="AD3812" s="3494">
        <v>18</v>
      </c>
      <c r="AE3812" s="3494">
        <v>18</v>
      </c>
      <c r="AF3812" s="2236">
        <f t="shared" si="351"/>
        <v>18</v>
      </c>
      <c r="AG3812" s="263"/>
      <c r="DG3812" s="573"/>
      <c r="DH3812" s="159"/>
      <c r="DI3812" s="1091"/>
      <c r="DJ3812" s="1187"/>
    </row>
    <row r="3813" spans="1:114" ht="14.65" hidden="1" customHeight="1" outlineLevel="1">
      <c r="A3813" s="453"/>
      <c r="C3813" s="51"/>
      <c r="D3813" s="4295"/>
      <c r="E3813" s="4295"/>
      <c r="F3813" s="4347" t="str">
        <f t="shared" si="352"/>
        <v>ASHP-SEER20-Replace_CAC_NonElectricHeat_ROF_MF</v>
      </c>
      <c r="G3813" s="4347"/>
      <c r="H3813" s="4347"/>
      <c r="I3813" s="4347"/>
      <c r="J3813" s="3471" t="str">
        <f t="shared" si="353"/>
        <v>353510_2024_12_</v>
      </c>
      <c r="K3813" s="3377">
        <v>18</v>
      </c>
      <c r="L3813" s="262"/>
      <c r="M3813" s="4202"/>
      <c r="P3813" s="261"/>
      <c r="Q3813" s="209"/>
      <c r="R3813" s="261"/>
      <c r="S3813" s="52"/>
      <c r="T3813" s="181"/>
      <c r="U3813" s="52"/>
      <c r="V3813" s="4295"/>
      <c r="W3813" s="3494"/>
      <c r="X3813" s="3494"/>
      <c r="Y3813" s="3494"/>
      <c r="Z3813" s="3494"/>
      <c r="AA3813" s="3494"/>
      <c r="AB3813" s="3494"/>
      <c r="AC3813" s="3495">
        <v>18</v>
      </c>
      <c r="AD3813" s="3494">
        <v>18</v>
      </c>
      <c r="AE3813" s="3494">
        <v>18</v>
      </c>
      <c r="AF3813" s="2236">
        <f t="shared" si="351"/>
        <v>18</v>
      </c>
      <c r="AG3813" s="263"/>
      <c r="DG3813" s="573"/>
      <c r="DH3813" s="159"/>
      <c r="DI3813" s="1091"/>
      <c r="DJ3813" s="1187"/>
    </row>
    <row r="3814" spans="1:114" ht="14.65" hidden="1" customHeight="1" outlineLevel="1">
      <c r="A3814" s="453"/>
      <c r="C3814" s="51"/>
      <c r="D3814" s="4295"/>
      <c r="E3814" s="4295"/>
      <c r="F3814" s="4347" t="str">
        <f t="shared" si="352"/>
        <v>ASHP-SEER20-Replace_CAC_NonElectricHeat_ROF_MF_CompE</v>
      </c>
      <c r="G3814" s="4347"/>
      <c r="H3814" s="4347"/>
      <c r="I3814" s="4347"/>
      <c r="J3814" s="3471" t="str">
        <f t="shared" si="353"/>
        <v>353511_2024_12_</v>
      </c>
      <c r="K3814" s="3377">
        <v>18</v>
      </c>
      <c r="L3814" s="262"/>
      <c r="M3814" s="4202"/>
      <c r="P3814" s="261"/>
      <c r="Q3814" s="209"/>
      <c r="R3814" s="261"/>
      <c r="S3814" s="52"/>
      <c r="T3814" s="181"/>
      <c r="U3814" s="52"/>
      <c r="V3814" s="4295"/>
      <c r="W3814" s="3494"/>
      <c r="X3814" s="3494"/>
      <c r="Y3814" s="3494"/>
      <c r="Z3814" s="3494"/>
      <c r="AA3814" s="3494"/>
      <c r="AB3814" s="3494"/>
      <c r="AC3814" s="3495">
        <v>18</v>
      </c>
      <c r="AD3814" s="3494">
        <v>18</v>
      </c>
      <c r="AE3814" s="3494">
        <v>18</v>
      </c>
      <c r="AF3814" s="2236">
        <f t="shared" si="351"/>
        <v>18</v>
      </c>
      <c r="AG3814" s="263"/>
      <c r="DG3814" s="573"/>
      <c r="DH3814" s="159"/>
      <c r="DI3814" s="1091"/>
      <c r="DJ3814" s="1187"/>
    </row>
    <row r="3815" spans="1:114" ht="14.65" hidden="1" customHeight="1" outlineLevel="1">
      <c r="A3815" s="453"/>
      <c r="C3815" s="51"/>
      <c r="D3815" s="4295"/>
      <c r="E3815" s="4295"/>
      <c r="F3815" s="4347" t="str">
        <f t="shared" si="352"/>
        <v>ASHP-SEER20-Replace_CAC_NonElectricHeat_ROF_MF_CompE</v>
      </c>
      <c r="G3815" s="4347"/>
      <c r="H3815" s="4347"/>
      <c r="I3815" s="4347"/>
      <c r="J3815" s="3471" t="str">
        <f t="shared" si="353"/>
        <v>353511_2024_12_</v>
      </c>
      <c r="K3815" s="3377">
        <v>18</v>
      </c>
      <c r="L3815" s="262"/>
      <c r="M3815" s="4202"/>
      <c r="P3815" s="261"/>
      <c r="Q3815" s="209"/>
      <c r="R3815" s="261"/>
      <c r="S3815" s="52"/>
      <c r="T3815" s="181"/>
      <c r="U3815" s="52"/>
      <c r="V3815" s="4295"/>
      <c r="W3815" s="3494"/>
      <c r="X3815" s="3494"/>
      <c r="Y3815" s="3494"/>
      <c r="Z3815" s="3494"/>
      <c r="AA3815" s="3494"/>
      <c r="AB3815" s="3494"/>
      <c r="AC3815" s="3495">
        <v>18</v>
      </c>
      <c r="AD3815" s="3494">
        <v>18</v>
      </c>
      <c r="AE3815" s="3494">
        <v>18</v>
      </c>
      <c r="AF3815" s="2236">
        <f t="shared" si="351"/>
        <v>18</v>
      </c>
      <c r="AG3815" s="263"/>
      <c r="DG3815" s="573"/>
      <c r="DH3815" s="159"/>
      <c r="DI3815" s="1091"/>
      <c r="DJ3815" s="1187"/>
    </row>
    <row r="3816" spans="1:114" ht="14.65" hidden="1" customHeight="1" outlineLevel="1">
      <c r="A3816" s="453"/>
      <c r="C3816" s="51"/>
      <c r="D3816" s="4295"/>
      <c r="E3816" s="4295"/>
      <c r="F3816" s="4307" t="str">
        <f t="shared" si="352"/>
        <v>ASHP-SEER21-Replace_CAC_ElectricHeat_ER1_SF</v>
      </c>
      <c r="G3816" s="4307"/>
      <c r="H3816" s="4307"/>
      <c r="I3816" s="4307"/>
      <c r="J3816" s="1029" t="str">
        <f t="shared" si="353"/>
        <v>353550_2024_12_</v>
      </c>
      <c r="K3816" s="1796">
        <v>6</v>
      </c>
      <c r="L3816" s="262"/>
      <c r="M3816" s="4202"/>
      <c r="P3816" s="261"/>
      <c r="Q3816" s="209"/>
      <c r="R3816" s="261"/>
      <c r="S3816" s="52"/>
      <c r="T3816" s="181"/>
      <c r="U3816" s="52"/>
      <c r="V3816" s="4295"/>
      <c r="W3816" s="263">
        <v>6</v>
      </c>
      <c r="X3816" s="263">
        <v>6</v>
      </c>
      <c r="Y3816" s="263">
        <v>6</v>
      </c>
      <c r="Z3816" s="263">
        <v>6</v>
      </c>
      <c r="AA3816" s="263">
        <v>6</v>
      </c>
      <c r="AB3816" s="263">
        <v>6</v>
      </c>
      <c r="AC3816" s="263">
        <v>6</v>
      </c>
      <c r="AD3816" s="263">
        <v>6</v>
      </c>
      <c r="AE3816" s="263">
        <v>6</v>
      </c>
      <c r="AF3816" s="271">
        <f t="shared" si="351"/>
        <v>6</v>
      </c>
      <c r="AG3816" s="263"/>
      <c r="DG3816" s="573"/>
      <c r="DH3816" s="159"/>
      <c r="DI3816" s="1091"/>
      <c r="DJ3816" s="1187"/>
    </row>
    <row r="3817" spans="1:114" ht="14.65" hidden="1" customHeight="1" outlineLevel="1">
      <c r="A3817" s="453"/>
      <c r="C3817" s="51"/>
      <c r="D3817" s="4295"/>
      <c r="E3817" s="4295"/>
      <c r="F3817" s="4307" t="str">
        <f t="shared" si="352"/>
        <v>ASHP-SEER21-Replace_CAC_ElectricHeat_ER1_SF</v>
      </c>
      <c r="G3817" s="4307"/>
      <c r="H3817" s="4307"/>
      <c r="I3817" s="4307"/>
      <c r="J3817" s="1029" t="str">
        <f t="shared" si="353"/>
        <v>353550_2024_12_</v>
      </c>
      <c r="K3817" s="1796">
        <v>6</v>
      </c>
      <c r="L3817" s="262"/>
      <c r="M3817" s="4202"/>
      <c r="P3817" s="261"/>
      <c r="Q3817" s="209"/>
      <c r="R3817" s="261"/>
      <c r="S3817" s="52"/>
      <c r="T3817" s="181"/>
      <c r="U3817" s="52"/>
      <c r="V3817" s="4295"/>
      <c r="W3817" s="263">
        <v>6</v>
      </c>
      <c r="X3817" s="263">
        <v>6</v>
      </c>
      <c r="Y3817" s="263">
        <v>6</v>
      </c>
      <c r="Z3817" s="263">
        <v>6</v>
      </c>
      <c r="AA3817" s="263">
        <v>6</v>
      </c>
      <c r="AB3817" s="263">
        <v>6</v>
      </c>
      <c r="AC3817" s="263">
        <v>6</v>
      </c>
      <c r="AD3817" s="263">
        <v>6</v>
      </c>
      <c r="AE3817" s="263">
        <v>6</v>
      </c>
      <c r="AF3817" s="271">
        <f t="shared" si="351"/>
        <v>6</v>
      </c>
      <c r="AG3817" s="263"/>
      <c r="DG3817" s="573"/>
      <c r="DH3817" s="159"/>
      <c r="DI3817" s="1091"/>
      <c r="DJ3817" s="1187"/>
    </row>
    <row r="3818" spans="1:114" ht="14.65" hidden="1" customHeight="1" outlineLevel="1">
      <c r="A3818" s="453"/>
      <c r="C3818" s="51"/>
      <c r="D3818" s="4295"/>
      <c r="E3818" s="4295"/>
      <c r="F3818" s="4307" t="str">
        <f t="shared" si="352"/>
        <v>ASHP-SEER21-Replace_CAC_ElectricHeat_ER2_SF</v>
      </c>
      <c r="G3818" s="4307"/>
      <c r="H3818" s="4307"/>
      <c r="I3818" s="4307"/>
      <c r="J3818" s="1029" t="str">
        <f t="shared" si="353"/>
        <v>353550_2024_12_</v>
      </c>
      <c r="K3818" s="1796">
        <v>12</v>
      </c>
      <c r="L3818" s="262"/>
      <c r="M3818" s="4202"/>
      <c r="P3818" s="261"/>
      <c r="Q3818" s="209"/>
      <c r="R3818" s="261"/>
      <c r="S3818" s="52"/>
      <c r="T3818" s="181"/>
      <c r="U3818" s="52"/>
      <c r="V3818" s="4295"/>
      <c r="W3818" s="263">
        <v>12</v>
      </c>
      <c r="X3818" s="263">
        <v>12</v>
      </c>
      <c r="Y3818" s="263">
        <v>12</v>
      </c>
      <c r="Z3818" s="263">
        <v>12</v>
      </c>
      <c r="AA3818" s="263">
        <v>12</v>
      </c>
      <c r="AB3818" s="263">
        <v>12</v>
      </c>
      <c r="AC3818" s="263">
        <v>12</v>
      </c>
      <c r="AD3818" s="263">
        <v>12</v>
      </c>
      <c r="AE3818" s="263">
        <v>12</v>
      </c>
      <c r="AF3818" s="271">
        <f t="shared" si="351"/>
        <v>12</v>
      </c>
      <c r="AG3818" s="263"/>
      <c r="DG3818" s="573"/>
      <c r="DH3818" s="159"/>
      <c r="DI3818" s="1091"/>
      <c r="DJ3818" s="1187"/>
    </row>
    <row r="3819" spans="1:114" ht="14.65" hidden="1" customHeight="1" outlineLevel="1">
      <c r="A3819" s="453"/>
      <c r="C3819" s="51"/>
      <c r="D3819" s="4295"/>
      <c r="E3819" s="4295"/>
      <c r="F3819" s="4307" t="str">
        <f t="shared" si="352"/>
        <v>ASHP-SEER21-Replace_CAC_ElectricHeat_ER2_SF</v>
      </c>
      <c r="G3819" s="4307"/>
      <c r="H3819" s="4307"/>
      <c r="I3819" s="4307"/>
      <c r="J3819" s="1029" t="str">
        <f t="shared" si="353"/>
        <v>353550_2024_12_</v>
      </c>
      <c r="K3819" s="1796">
        <v>12</v>
      </c>
      <c r="L3819" s="262"/>
      <c r="M3819" s="4202"/>
      <c r="P3819" s="261"/>
      <c r="Q3819" s="209"/>
      <c r="R3819" s="261"/>
      <c r="S3819" s="52"/>
      <c r="T3819" s="181"/>
      <c r="U3819" s="52"/>
      <c r="V3819" s="4295"/>
      <c r="W3819" s="263">
        <v>12</v>
      </c>
      <c r="X3819" s="263">
        <v>12</v>
      </c>
      <c r="Y3819" s="263">
        <v>12</v>
      </c>
      <c r="Z3819" s="263">
        <v>12</v>
      </c>
      <c r="AA3819" s="263">
        <v>12</v>
      </c>
      <c r="AB3819" s="263">
        <v>12</v>
      </c>
      <c r="AC3819" s="263">
        <v>12</v>
      </c>
      <c r="AD3819" s="263">
        <v>12</v>
      </c>
      <c r="AE3819" s="263">
        <v>12</v>
      </c>
      <c r="AF3819" s="271">
        <f t="shared" si="351"/>
        <v>12</v>
      </c>
      <c r="AG3819" s="263"/>
      <c r="DG3819" s="573"/>
      <c r="DH3819" s="159"/>
      <c r="DI3819" s="1091"/>
      <c r="DJ3819" s="1187"/>
    </row>
    <row r="3820" spans="1:114" ht="14.65" hidden="1" customHeight="1" outlineLevel="1">
      <c r="A3820" s="453"/>
      <c r="C3820" s="51"/>
      <c r="D3820" s="4295"/>
      <c r="E3820" s="4295"/>
      <c r="F3820" s="4307" t="str">
        <f t="shared" si="352"/>
        <v>ASHP-SEER21-Replace_CAC_NonElectricHeat_ER1_SF</v>
      </c>
      <c r="G3820" s="4307"/>
      <c r="H3820" s="4307"/>
      <c r="I3820" s="4307"/>
      <c r="J3820" s="1029" t="str">
        <f t="shared" si="353"/>
        <v>353560_2024_12_</v>
      </c>
      <c r="K3820" s="1796">
        <v>6</v>
      </c>
      <c r="L3820" s="262"/>
      <c r="M3820" s="4202"/>
      <c r="P3820" s="261"/>
      <c r="Q3820" s="209"/>
      <c r="R3820" s="261"/>
      <c r="S3820" s="52"/>
      <c r="T3820" s="181"/>
      <c r="U3820" s="52"/>
      <c r="V3820" s="4295"/>
      <c r="W3820" s="263"/>
      <c r="X3820" s="263"/>
      <c r="Y3820" s="263"/>
      <c r="Z3820" s="263"/>
      <c r="AA3820" s="263"/>
      <c r="AB3820" s="263"/>
      <c r="AC3820" s="1030">
        <v>6</v>
      </c>
      <c r="AD3820" s="263">
        <v>6</v>
      </c>
      <c r="AE3820" s="263">
        <v>6</v>
      </c>
      <c r="AF3820" s="271">
        <f t="shared" si="351"/>
        <v>6</v>
      </c>
      <c r="AG3820" s="263"/>
      <c r="DG3820" s="573"/>
      <c r="DH3820" s="159"/>
      <c r="DI3820" s="1091"/>
      <c r="DJ3820" s="1187"/>
    </row>
    <row r="3821" spans="1:114" ht="14.65" hidden="1" customHeight="1" outlineLevel="1">
      <c r="A3821" s="453"/>
      <c r="C3821" s="51"/>
      <c r="D3821" s="4295"/>
      <c r="E3821" s="4295"/>
      <c r="F3821" s="4307" t="str">
        <f t="shared" si="352"/>
        <v>ASHP-SEER21-Replace_CAC_NonElectricHeat_ER1_SF</v>
      </c>
      <c r="G3821" s="4307"/>
      <c r="H3821" s="4307"/>
      <c r="I3821" s="4307"/>
      <c r="J3821" s="1029" t="str">
        <f t="shared" si="353"/>
        <v>353560_2024_12_</v>
      </c>
      <c r="K3821" s="1796">
        <v>6</v>
      </c>
      <c r="L3821" s="262"/>
      <c r="M3821" s="4202"/>
      <c r="P3821" s="261"/>
      <c r="Q3821" s="209"/>
      <c r="R3821" s="261"/>
      <c r="S3821" s="52"/>
      <c r="T3821" s="181"/>
      <c r="U3821" s="52"/>
      <c r="V3821" s="4295"/>
      <c r="W3821" s="263"/>
      <c r="X3821" s="263"/>
      <c r="Y3821" s="263"/>
      <c r="Z3821" s="263"/>
      <c r="AA3821" s="263"/>
      <c r="AB3821" s="263"/>
      <c r="AC3821" s="1030">
        <v>6</v>
      </c>
      <c r="AD3821" s="263">
        <v>6</v>
      </c>
      <c r="AE3821" s="263">
        <v>6</v>
      </c>
      <c r="AF3821" s="271">
        <f t="shared" si="351"/>
        <v>6</v>
      </c>
      <c r="AG3821" s="263"/>
      <c r="DG3821" s="573"/>
      <c r="DH3821" s="159"/>
      <c r="DI3821" s="1091"/>
      <c r="DJ3821" s="1187"/>
    </row>
    <row r="3822" spans="1:114" ht="14.65" hidden="1" customHeight="1" outlineLevel="1">
      <c r="A3822" s="453"/>
      <c r="C3822" s="51"/>
      <c r="D3822" s="4295"/>
      <c r="E3822" s="4295"/>
      <c r="F3822" s="4307" t="str">
        <f t="shared" si="352"/>
        <v>ASHP-SEER21-Replace_CAC_NonElectricHeat_ER2_SF</v>
      </c>
      <c r="G3822" s="4307"/>
      <c r="H3822" s="4307"/>
      <c r="I3822" s="4307"/>
      <c r="J3822" s="1029" t="str">
        <f t="shared" si="353"/>
        <v>353560_2024_12_</v>
      </c>
      <c r="K3822" s="1796">
        <v>12</v>
      </c>
      <c r="L3822" s="262"/>
      <c r="M3822" s="4202"/>
      <c r="P3822" s="261"/>
      <c r="Q3822" s="209"/>
      <c r="R3822" s="261"/>
      <c r="S3822" s="52"/>
      <c r="T3822" s="181"/>
      <c r="U3822" s="52"/>
      <c r="V3822" s="4295"/>
      <c r="W3822" s="263"/>
      <c r="X3822" s="263"/>
      <c r="Y3822" s="263"/>
      <c r="Z3822" s="263"/>
      <c r="AA3822" s="263"/>
      <c r="AB3822" s="263"/>
      <c r="AC3822" s="1030">
        <v>12</v>
      </c>
      <c r="AD3822" s="263">
        <v>12</v>
      </c>
      <c r="AE3822" s="263">
        <v>12</v>
      </c>
      <c r="AF3822" s="271">
        <f t="shared" si="351"/>
        <v>12</v>
      </c>
      <c r="AG3822" s="263"/>
      <c r="DG3822" s="573"/>
      <c r="DH3822" s="159"/>
      <c r="DI3822" s="1091"/>
      <c r="DJ3822" s="1187"/>
    </row>
    <row r="3823" spans="1:114" ht="14.65" hidden="1" customHeight="1" outlineLevel="1">
      <c r="A3823" s="453"/>
      <c r="C3823" s="51"/>
      <c r="D3823" s="4295"/>
      <c r="E3823" s="4295"/>
      <c r="F3823" s="4307" t="str">
        <f t="shared" si="352"/>
        <v>ASHP-SEER21-Replace_CAC_NonElectricHeat_ER2_SF</v>
      </c>
      <c r="G3823" s="4307"/>
      <c r="H3823" s="4307"/>
      <c r="I3823" s="4307"/>
      <c r="J3823" s="1029" t="str">
        <f t="shared" si="353"/>
        <v>353560_2024_12_</v>
      </c>
      <c r="K3823" s="1796">
        <v>12</v>
      </c>
      <c r="L3823" s="262"/>
      <c r="M3823" s="4202"/>
      <c r="P3823" s="261"/>
      <c r="Q3823" s="209"/>
      <c r="R3823" s="261"/>
      <c r="S3823" s="52"/>
      <c r="T3823" s="181"/>
      <c r="U3823" s="52"/>
      <c r="V3823" s="4295"/>
      <c r="W3823" s="263"/>
      <c r="X3823" s="263"/>
      <c r="Y3823" s="263"/>
      <c r="Z3823" s="263"/>
      <c r="AA3823" s="263"/>
      <c r="AB3823" s="263"/>
      <c r="AC3823" s="1030">
        <v>12</v>
      </c>
      <c r="AD3823" s="263">
        <v>12</v>
      </c>
      <c r="AE3823" s="263">
        <v>12</v>
      </c>
      <c r="AF3823" s="271">
        <f t="shared" si="351"/>
        <v>12</v>
      </c>
      <c r="AG3823" s="263"/>
      <c r="DG3823" s="573"/>
      <c r="DH3823" s="159"/>
      <c r="DI3823" s="1091"/>
      <c r="DJ3823" s="1187"/>
    </row>
    <row r="3824" spans="1:114" ht="14.65" hidden="1" customHeight="1" outlineLevel="1">
      <c r="A3824" s="453"/>
      <c r="C3824" s="51"/>
      <c r="D3824" s="4295"/>
      <c r="E3824" s="4295"/>
      <c r="F3824" s="4307" t="str">
        <f t="shared" si="352"/>
        <v>ASHP-SEER21-Replace_CAC_ElectricHeat_ER1_MF</v>
      </c>
      <c r="G3824" s="4307"/>
      <c r="H3824" s="4307"/>
      <c r="I3824" s="4307"/>
      <c r="J3824" s="1029" t="str">
        <f t="shared" si="353"/>
        <v>353600_2024_12_</v>
      </c>
      <c r="K3824" s="1796">
        <v>6</v>
      </c>
      <c r="L3824" s="262"/>
      <c r="M3824" s="4202"/>
      <c r="P3824" s="261"/>
      <c r="Q3824" s="209"/>
      <c r="R3824" s="261"/>
      <c r="S3824" s="52"/>
      <c r="T3824" s="181"/>
      <c r="U3824" s="52"/>
      <c r="V3824" s="4295"/>
      <c r="W3824" s="263">
        <v>6</v>
      </c>
      <c r="X3824" s="263">
        <v>6</v>
      </c>
      <c r="Y3824" s="263">
        <v>6</v>
      </c>
      <c r="Z3824" s="263">
        <v>6</v>
      </c>
      <c r="AA3824" s="263">
        <v>6</v>
      </c>
      <c r="AB3824" s="263">
        <v>6</v>
      </c>
      <c r="AC3824" s="263">
        <v>6</v>
      </c>
      <c r="AD3824" s="263">
        <v>6</v>
      </c>
      <c r="AE3824" s="263">
        <v>6</v>
      </c>
      <c r="AF3824" s="271">
        <f t="shared" si="351"/>
        <v>6</v>
      </c>
      <c r="AG3824" s="263"/>
      <c r="DG3824" s="573"/>
      <c r="DH3824" s="159"/>
      <c r="DI3824" s="1091"/>
      <c r="DJ3824" s="1187"/>
    </row>
    <row r="3825" spans="1:114" ht="14.65" hidden="1" customHeight="1" outlineLevel="1">
      <c r="A3825" s="453"/>
      <c r="C3825" s="51"/>
      <c r="D3825" s="4295"/>
      <c r="E3825" s="4295"/>
      <c r="F3825" s="4307" t="str">
        <f t="shared" si="352"/>
        <v>ASHP-SEER21-Replace_CAC_ElectricHeat_ER1_MF</v>
      </c>
      <c r="G3825" s="4307"/>
      <c r="H3825" s="4307"/>
      <c r="I3825" s="4307"/>
      <c r="J3825" s="1029" t="str">
        <f t="shared" si="353"/>
        <v>353600_2024_12_</v>
      </c>
      <c r="K3825" s="1796">
        <v>6</v>
      </c>
      <c r="L3825" s="262"/>
      <c r="M3825" s="4202"/>
      <c r="P3825" s="261"/>
      <c r="Q3825" s="209"/>
      <c r="R3825" s="261"/>
      <c r="S3825" s="52"/>
      <c r="T3825" s="181"/>
      <c r="U3825" s="52"/>
      <c r="V3825" s="4295"/>
      <c r="W3825" s="263">
        <v>6</v>
      </c>
      <c r="X3825" s="263">
        <v>6</v>
      </c>
      <c r="Y3825" s="263">
        <v>6</v>
      </c>
      <c r="Z3825" s="263">
        <v>6</v>
      </c>
      <c r="AA3825" s="263">
        <v>6</v>
      </c>
      <c r="AB3825" s="263">
        <v>6</v>
      </c>
      <c r="AC3825" s="263">
        <v>6</v>
      </c>
      <c r="AD3825" s="263">
        <v>6</v>
      </c>
      <c r="AE3825" s="263">
        <v>6</v>
      </c>
      <c r="AF3825" s="271">
        <f t="shared" si="351"/>
        <v>6</v>
      </c>
      <c r="AG3825" s="263"/>
      <c r="DG3825" s="573"/>
      <c r="DH3825" s="159"/>
      <c r="DI3825" s="1091"/>
      <c r="DJ3825" s="1187"/>
    </row>
    <row r="3826" spans="1:114" ht="14.65" hidden="1" customHeight="1" outlineLevel="1">
      <c r="A3826" s="453"/>
      <c r="C3826" s="51"/>
      <c r="D3826" s="4295"/>
      <c r="E3826" s="4295"/>
      <c r="F3826" s="4307" t="str">
        <f t="shared" si="352"/>
        <v>ASHP-SEER21-Replace_CAC_ElectricHeat_ER2_MF</v>
      </c>
      <c r="G3826" s="4307"/>
      <c r="H3826" s="4307"/>
      <c r="I3826" s="4307"/>
      <c r="J3826" s="1029" t="str">
        <f t="shared" si="353"/>
        <v>353600_2024_12_</v>
      </c>
      <c r="K3826" s="1796">
        <v>12</v>
      </c>
      <c r="L3826" s="262"/>
      <c r="M3826" s="4202"/>
      <c r="P3826" s="261"/>
      <c r="Q3826" s="209"/>
      <c r="R3826" s="261"/>
      <c r="S3826" s="52"/>
      <c r="T3826" s="181"/>
      <c r="U3826" s="52"/>
      <c r="V3826" s="4295"/>
      <c r="W3826" s="263">
        <v>12</v>
      </c>
      <c r="X3826" s="263">
        <v>12</v>
      </c>
      <c r="Y3826" s="263">
        <v>12</v>
      </c>
      <c r="Z3826" s="263">
        <v>12</v>
      </c>
      <c r="AA3826" s="263">
        <v>12</v>
      </c>
      <c r="AB3826" s="263">
        <v>12</v>
      </c>
      <c r="AC3826" s="263">
        <v>12</v>
      </c>
      <c r="AD3826" s="263">
        <v>12</v>
      </c>
      <c r="AE3826" s="263">
        <v>12</v>
      </c>
      <c r="AF3826" s="271">
        <f t="shared" si="351"/>
        <v>12</v>
      </c>
      <c r="AG3826" s="263"/>
      <c r="DG3826" s="573"/>
      <c r="DH3826" s="159"/>
      <c r="DI3826" s="1091"/>
      <c r="DJ3826" s="1187"/>
    </row>
    <row r="3827" spans="1:114" ht="14.65" hidden="1" customHeight="1" outlineLevel="1">
      <c r="A3827" s="453"/>
      <c r="C3827" s="51"/>
      <c r="D3827" s="4295"/>
      <c r="E3827" s="4295"/>
      <c r="F3827" s="4307" t="str">
        <f t="shared" si="352"/>
        <v>ASHP-SEER21-Replace_CAC_ElectricHeat_ER2_MF</v>
      </c>
      <c r="G3827" s="4307"/>
      <c r="H3827" s="4307"/>
      <c r="I3827" s="4307"/>
      <c r="J3827" s="1029" t="str">
        <f t="shared" si="353"/>
        <v>353600_2024_12_</v>
      </c>
      <c r="K3827" s="1796">
        <v>12</v>
      </c>
      <c r="L3827" s="262"/>
      <c r="M3827" s="4202"/>
      <c r="P3827" s="261"/>
      <c r="Q3827" s="209"/>
      <c r="R3827" s="261"/>
      <c r="S3827" s="52"/>
      <c r="T3827" s="181"/>
      <c r="U3827" s="52"/>
      <c r="V3827" s="4295"/>
      <c r="W3827" s="263">
        <v>12</v>
      </c>
      <c r="X3827" s="263">
        <v>12</v>
      </c>
      <c r="Y3827" s="263">
        <v>12</v>
      </c>
      <c r="Z3827" s="263">
        <v>12</v>
      </c>
      <c r="AA3827" s="263">
        <v>12</v>
      </c>
      <c r="AB3827" s="263">
        <v>12</v>
      </c>
      <c r="AC3827" s="263">
        <v>12</v>
      </c>
      <c r="AD3827" s="263">
        <v>12</v>
      </c>
      <c r="AE3827" s="263">
        <v>12</v>
      </c>
      <c r="AF3827" s="271">
        <f t="shared" si="351"/>
        <v>12</v>
      </c>
      <c r="AG3827" s="263"/>
      <c r="DG3827" s="573"/>
      <c r="DH3827" s="159"/>
      <c r="DI3827" s="1091"/>
      <c r="DJ3827" s="1187"/>
    </row>
    <row r="3828" spans="1:114" ht="14.65" hidden="1" customHeight="1" outlineLevel="1">
      <c r="A3828" s="453"/>
      <c r="C3828" s="51"/>
      <c r="D3828" s="4295"/>
      <c r="E3828" s="4295"/>
      <c r="F3828" s="4347" t="str">
        <f t="shared" si="352"/>
        <v>ASHP-SEER21-Replace_CAC_ElectricHeat_ER1_MF_CompE</v>
      </c>
      <c r="G3828" s="4347"/>
      <c r="H3828" s="4347"/>
      <c r="I3828" s="4347"/>
      <c r="J3828" s="3471" t="str">
        <f t="shared" si="353"/>
        <v>353601_2024_12_</v>
      </c>
      <c r="K3828" s="3377">
        <v>6</v>
      </c>
      <c r="L3828" s="262"/>
      <c r="M3828" s="4202"/>
      <c r="P3828" s="261"/>
      <c r="Q3828" s="209"/>
      <c r="R3828" s="261"/>
      <c r="S3828" s="52"/>
      <c r="T3828" s="181"/>
      <c r="U3828" s="52"/>
      <c r="V3828" s="4295"/>
      <c r="W3828" s="3494"/>
      <c r="X3828" s="3494"/>
      <c r="Y3828" s="3494"/>
      <c r="Z3828" s="3494"/>
      <c r="AA3828" s="3494"/>
      <c r="AB3828" s="3494"/>
      <c r="AC3828" s="3495">
        <v>6</v>
      </c>
      <c r="AD3828" s="3494">
        <v>6</v>
      </c>
      <c r="AE3828" s="3494">
        <v>6</v>
      </c>
      <c r="AF3828" s="2236">
        <f t="shared" si="351"/>
        <v>6</v>
      </c>
      <c r="AG3828" s="263"/>
      <c r="DG3828" s="573"/>
      <c r="DH3828" s="159"/>
      <c r="DI3828" s="1091"/>
      <c r="DJ3828" s="1187"/>
    </row>
    <row r="3829" spans="1:114" ht="14.65" hidden="1" customHeight="1" outlineLevel="1">
      <c r="A3829" s="453"/>
      <c r="C3829" s="51"/>
      <c r="D3829" s="4295"/>
      <c r="E3829" s="4295"/>
      <c r="F3829" s="4347" t="str">
        <f t="shared" si="352"/>
        <v>ASHP-SEER21-Replace_CAC_ElectricHeat_ER1_MF_CompE</v>
      </c>
      <c r="G3829" s="4347"/>
      <c r="H3829" s="4347"/>
      <c r="I3829" s="4347"/>
      <c r="J3829" s="3471" t="str">
        <f t="shared" si="353"/>
        <v>353601_2024_12_</v>
      </c>
      <c r="K3829" s="3377">
        <v>6</v>
      </c>
      <c r="L3829" s="262"/>
      <c r="M3829" s="4202"/>
      <c r="P3829" s="261"/>
      <c r="Q3829" s="209"/>
      <c r="R3829" s="261"/>
      <c r="S3829" s="52"/>
      <c r="T3829" s="181"/>
      <c r="U3829" s="52"/>
      <c r="V3829" s="4295"/>
      <c r="W3829" s="3494"/>
      <c r="X3829" s="3494"/>
      <c r="Y3829" s="3494"/>
      <c r="Z3829" s="3494"/>
      <c r="AA3829" s="3494"/>
      <c r="AB3829" s="3494"/>
      <c r="AC3829" s="3495">
        <v>6</v>
      </c>
      <c r="AD3829" s="3494">
        <v>6</v>
      </c>
      <c r="AE3829" s="3494">
        <v>6</v>
      </c>
      <c r="AF3829" s="2236">
        <f t="shared" si="351"/>
        <v>6</v>
      </c>
      <c r="AG3829" s="263"/>
      <c r="DG3829" s="573"/>
      <c r="DH3829" s="159"/>
      <c r="DI3829" s="1091"/>
      <c r="DJ3829" s="1187"/>
    </row>
    <row r="3830" spans="1:114" ht="14.65" hidden="1" customHeight="1" outlineLevel="1">
      <c r="A3830" s="453"/>
      <c r="C3830" s="51"/>
      <c r="D3830" s="4295"/>
      <c r="E3830" s="4295"/>
      <c r="F3830" s="4347" t="str">
        <f t="shared" si="352"/>
        <v>ASHP-SEER21-Replace_CAC_ElectricHeat_ER2_MF_CompE</v>
      </c>
      <c r="G3830" s="4347"/>
      <c r="H3830" s="4347"/>
      <c r="I3830" s="4347"/>
      <c r="J3830" s="3471" t="str">
        <f t="shared" si="353"/>
        <v>353601_2024_12_</v>
      </c>
      <c r="K3830" s="3377">
        <v>12</v>
      </c>
      <c r="L3830" s="262"/>
      <c r="M3830" s="4202"/>
      <c r="P3830" s="261"/>
      <c r="Q3830" s="209"/>
      <c r="R3830" s="261"/>
      <c r="S3830" s="52"/>
      <c r="T3830" s="181"/>
      <c r="U3830" s="52"/>
      <c r="V3830" s="4295"/>
      <c r="W3830" s="3494"/>
      <c r="X3830" s="3494"/>
      <c r="Y3830" s="3494"/>
      <c r="Z3830" s="3494"/>
      <c r="AA3830" s="3494"/>
      <c r="AB3830" s="3494"/>
      <c r="AC3830" s="3495">
        <v>12</v>
      </c>
      <c r="AD3830" s="3494">
        <v>12</v>
      </c>
      <c r="AE3830" s="3494">
        <v>12</v>
      </c>
      <c r="AF3830" s="2236">
        <f t="shared" si="351"/>
        <v>12</v>
      </c>
      <c r="AG3830" s="263"/>
      <c r="DG3830" s="573"/>
      <c r="DH3830" s="159"/>
      <c r="DI3830" s="1091"/>
      <c r="DJ3830" s="1187"/>
    </row>
    <row r="3831" spans="1:114" ht="14.65" hidden="1" customHeight="1" outlineLevel="1">
      <c r="A3831" s="453"/>
      <c r="C3831" s="51"/>
      <c r="D3831" s="4295"/>
      <c r="E3831" s="4295"/>
      <c r="F3831" s="4347" t="str">
        <f t="shared" si="352"/>
        <v>ASHP-SEER21-Replace_CAC_ElectricHeat_ER2_MF_CompE</v>
      </c>
      <c r="G3831" s="4347"/>
      <c r="H3831" s="4347"/>
      <c r="I3831" s="4347"/>
      <c r="J3831" s="3471" t="str">
        <f t="shared" si="353"/>
        <v>353601_2024_12_</v>
      </c>
      <c r="K3831" s="3377">
        <v>12</v>
      </c>
      <c r="L3831" s="262"/>
      <c r="M3831" s="4202"/>
      <c r="P3831" s="261"/>
      <c r="Q3831" s="209"/>
      <c r="R3831" s="261"/>
      <c r="S3831" s="52"/>
      <c r="T3831" s="181"/>
      <c r="U3831" s="52"/>
      <c r="V3831" s="4295"/>
      <c r="W3831" s="3494"/>
      <c r="X3831" s="3494"/>
      <c r="Y3831" s="3494"/>
      <c r="Z3831" s="3494"/>
      <c r="AA3831" s="3494"/>
      <c r="AB3831" s="3494"/>
      <c r="AC3831" s="3495">
        <v>12</v>
      </c>
      <c r="AD3831" s="3494">
        <v>12</v>
      </c>
      <c r="AE3831" s="3494">
        <v>12</v>
      </c>
      <c r="AF3831" s="2236">
        <f t="shared" si="351"/>
        <v>12</v>
      </c>
      <c r="AG3831" s="263"/>
      <c r="DG3831" s="573"/>
      <c r="DH3831" s="159"/>
      <c r="DI3831" s="1091"/>
      <c r="DJ3831" s="1187"/>
    </row>
    <row r="3832" spans="1:114" ht="14.65" hidden="1" customHeight="1" outlineLevel="1">
      <c r="A3832" s="453"/>
      <c r="C3832" s="51"/>
      <c r="D3832" s="4295"/>
      <c r="E3832" s="4295"/>
      <c r="F3832" s="4347" t="str">
        <f t="shared" si="352"/>
        <v>ASHP-SEER21-Replace_CAC_NonElectricHeat_ER1_MF</v>
      </c>
      <c r="G3832" s="4347"/>
      <c r="H3832" s="4347"/>
      <c r="I3832" s="4347"/>
      <c r="J3832" s="3471" t="str">
        <f t="shared" si="353"/>
        <v>353610_2024_12_</v>
      </c>
      <c r="K3832" s="3377">
        <v>6</v>
      </c>
      <c r="L3832" s="262"/>
      <c r="M3832" s="4202"/>
      <c r="P3832" s="261"/>
      <c r="Q3832" s="209"/>
      <c r="R3832" s="261"/>
      <c r="S3832" s="52"/>
      <c r="T3832" s="181"/>
      <c r="U3832" s="52"/>
      <c r="V3832" s="4295"/>
      <c r="W3832" s="3494"/>
      <c r="X3832" s="3494"/>
      <c r="Y3832" s="3494"/>
      <c r="Z3832" s="3494"/>
      <c r="AA3832" s="3494"/>
      <c r="AB3832" s="3494"/>
      <c r="AC3832" s="3495">
        <v>6</v>
      </c>
      <c r="AD3832" s="3494">
        <v>6</v>
      </c>
      <c r="AE3832" s="3494">
        <v>6</v>
      </c>
      <c r="AF3832" s="2236">
        <f t="shared" si="351"/>
        <v>6</v>
      </c>
      <c r="AG3832" s="263"/>
      <c r="DG3832" s="573"/>
      <c r="DH3832" s="159"/>
      <c r="DI3832" s="1091"/>
      <c r="DJ3832" s="1187"/>
    </row>
    <row r="3833" spans="1:114" ht="14.65" hidden="1" customHeight="1" outlineLevel="1">
      <c r="A3833" s="453"/>
      <c r="C3833" s="51"/>
      <c r="D3833" s="4295"/>
      <c r="E3833" s="4295"/>
      <c r="F3833" s="4347" t="str">
        <f t="shared" si="352"/>
        <v>ASHP-SEER21-Replace_CAC_NonElectricHeat_ER1_MF</v>
      </c>
      <c r="G3833" s="4347"/>
      <c r="H3833" s="4347"/>
      <c r="I3833" s="4347"/>
      <c r="J3833" s="3471" t="str">
        <f t="shared" si="353"/>
        <v>353610_2024_12_</v>
      </c>
      <c r="K3833" s="3377">
        <v>6</v>
      </c>
      <c r="L3833" s="262"/>
      <c r="M3833" s="4202"/>
      <c r="P3833" s="261"/>
      <c r="Q3833" s="209"/>
      <c r="R3833" s="261"/>
      <c r="S3833" s="52"/>
      <c r="T3833" s="181"/>
      <c r="U3833" s="52"/>
      <c r="V3833" s="4295"/>
      <c r="W3833" s="3494"/>
      <c r="X3833" s="3494"/>
      <c r="Y3833" s="3494"/>
      <c r="Z3833" s="3494"/>
      <c r="AA3833" s="3494"/>
      <c r="AB3833" s="3494"/>
      <c r="AC3833" s="3495">
        <v>6</v>
      </c>
      <c r="AD3833" s="3494">
        <v>6</v>
      </c>
      <c r="AE3833" s="3494">
        <v>6</v>
      </c>
      <c r="AF3833" s="2236">
        <f t="shared" si="351"/>
        <v>6</v>
      </c>
      <c r="AG3833" s="263"/>
      <c r="DG3833" s="573"/>
      <c r="DH3833" s="159"/>
      <c r="DI3833" s="1091"/>
      <c r="DJ3833" s="1187"/>
    </row>
    <row r="3834" spans="1:114" ht="14.65" hidden="1" customHeight="1" outlineLevel="1">
      <c r="A3834" s="453"/>
      <c r="C3834" s="51"/>
      <c r="D3834" s="4295"/>
      <c r="E3834" s="4295"/>
      <c r="F3834" s="4347" t="str">
        <f t="shared" si="352"/>
        <v>ASHP-SEER21-Replace_CAC_NonElectricHeat_ER2_MF</v>
      </c>
      <c r="G3834" s="4347"/>
      <c r="H3834" s="4347"/>
      <c r="I3834" s="4347"/>
      <c r="J3834" s="3471" t="str">
        <f t="shared" si="353"/>
        <v>353610_2024_12_</v>
      </c>
      <c r="K3834" s="3377">
        <v>12</v>
      </c>
      <c r="L3834" s="262"/>
      <c r="M3834" s="4202"/>
      <c r="P3834" s="261"/>
      <c r="Q3834" s="209"/>
      <c r="R3834" s="261"/>
      <c r="S3834" s="52"/>
      <c r="T3834" s="181"/>
      <c r="U3834" s="52"/>
      <c r="V3834" s="4295"/>
      <c r="W3834" s="3494"/>
      <c r="X3834" s="3494"/>
      <c r="Y3834" s="3494"/>
      <c r="Z3834" s="3494"/>
      <c r="AA3834" s="3494"/>
      <c r="AB3834" s="3494"/>
      <c r="AC3834" s="3495">
        <v>12</v>
      </c>
      <c r="AD3834" s="3494">
        <v>12</v>
      </c>
      <c r="AE3834" s="3494">
        <v>12</v>
      </c>
      <c r="AF3834" s="2236">
        <f t="shared" ref="AF3834:AF3897" si="354">IF(K3834&lt;&gt;"",K3834,"")</f>
        <v>12</v>
      </c>
      <c r="AG3834" s="263"/>
      <c r="DG3834" s="573"/>
      <c r="DH3834" s="159"/>
      <c r="DI3834" s="1091"/>
      <c r="DJ3834" s="1187"/>
    </row>
    <row r="3835" spans="1:114" ht="14.65" hidden="1" customHeight="1" outlineLevel="1">
      <c r="A3835" s="453"/>
      <c r="C3835" s="51"/>
      <c r="D3835" s="4295"/>
      <c r="E3835" s="4295"/>
      <c r="F3835" s="4347" t="str">
        <f t="shared" si="352"/>
        <v>ASHP-SEER21-Replace_CAC_NonElectricHeat_ER2_MF</v>
      </c>
      <c r="G3835" s="4347"/>
      <c r="H3835" s="4347"/>
      <c r="I3835" s="4347"/>
      <c r="J3835" s="3471" t="str">
        <f t="shared" si="353"/>
        <v>353610_2024_12_</v>
      </c>
      <c r="K3835" s="3377">
        <v>12</v>
      </c>
      <c r="L3835" s="262"/>
      <c r="M3835" s="4202"/>
      <c r="P3835" s="261"/>
      <c r="Q3835" s="209"/>
      <c r="R3835" s="261"/>
      <c r="S3835" s="52"/>
      <c r="T3835" s="181"/>
      <c r="U3835" s="52"/>
      <c r="V3835" s="4295"/>
      <c r="W3835" s="3494"/>
      <c r="X3835" s="3494"/>
      <c r="Y3835" s="3494"/>
      <c r="Z3835" s="3494"/>
      <c r="AA3835" s="3494"/>
      <c r="AB3835" s="3494"/>
      <c r="AC3835" s="3495">
        <v>12</v>
      </c>
      <c r="AD3835" s="3494">
        <v>12</v>
      </c>
      <c r="AE3835" s="3494">
        <v>12</v>
      </c>
      <c r="AF3835" s="2236">
        <f t="shared" si="354"/>
        <v>12</v>
      </c>
      <c r="AG3835" s="263"/>
      <c r="DG3835" s="573"/>
      <c r="DH3835" s="159"/>
      <c r="DI3835" s="1091"/>
      <c r="DJ3835" s="1187"/>
    </row>
    <row r="3836" spans="1:114" ht="14.65" hidden="1" customHeight="1" outlineLevel="1">
      <c r="A3836" s="453"/>
      <c r="C3836" s="51"/>
      <c r="D3836" s="4295"/>
      <c r="E3836" s="4295"/>
      <c r="F3836" s="4347" t="str">
        <f t="shared" si="352"/>
        <v>ASHP-SEER21-Replace_CAC_NonElectricHeat_ER1_MF_CompE</v>
      </c>
      <c r="G3836" s="4347"/>
      <c r="H3836" s="4347"/>
      <c r="I3836" s="4347"/>
      <c r="J3836" s="3471" t="str">
        <f t="shared" si="353"/>
        <v>353611_2024_12_</v>
      </c>
      <c r="K3836" s="3377">
        <v>6</v>
      </c>
      <c r="L3836" s="262"/>
      <c r="M3836" s="4202"/>
      <c r="P3836" s="261"/>
      <c r="Q3836" s="209"/>
      <c r="R3836" s="261"/>
      <c r="S3836" s="52"/>
      <c r="T3836" s="181"/>
      <c r="U3836" s="52"/>
      <c r="V3836" s="4295"/>
      <c r="W3836" s="3494"/>
      <c r="X3836" s="3494"/>
      <c r="Y3836" s="3494"/>
      <c r="Z3836" s="3494"/>
      <c r="AA3836" s="3494"/>
      <c r="AB3836" s="3494"/>
      <c r="AC3836" s="3495">
        <v>6</v>
      </c>
      <c r="AD3836" s="3494">
        <v>6</v>
      </c>
      <c r="AE3836" s="3494">
        <v>6</v>
      </c>
      <c r="AF3836" s="2236">
        <f t="shared" si="354"/>
        <v>6</v>
      </c>
      <c r="AG3836" s="263"/>
      <c r="DG3836" s="573"/>
      <c r="DH3836" s="159"/>
      <c r="DI3836" s="1091"/>
      <c r="DJ3836" s="1187"/>
    </row>
    <row r="3837" spans="1:114" ht="14.65" hidden="1" customHeight="1" outlineLevel="1">
      <c r="A3837" s="453"/>
      <c r="C3837" s="51"/>
      <c r="D3837" s="4295"/>
      <c r="E3837" s="4295"/>
      <c r="F3837" s="4347" t="str">
        <f t="shared" si="352"/>
        <v>ASHP-SEER21-Replace_CAC_NonElectricHeat_ER1_MF_CompE</v>
      </c>
      <c r="G3837" s="4347"/>
      <c r="H3837" s="4347"/>
      <c r="I3837" s="4347"/>
      <c r="J3837" s="3471" t="str">
        <f t="shared" si="353"/>
        <v>353611_2024_12_</v>
      </c>
      <c r="K3837" s="3377">
        <v>6</v>
      </c>
      <c r="L3837" s="262"/>
      <c r="M3837" s="4202"/>
      <c r="P3837" s="261"/>
      <c r="Q3837" s="209"/>
      <c r="R3837" s="261"/>
      <c r="S3837" s="52"/>
      <c r="T3837" s="181"/>
      <c r="U3837" s="52"/>
      <c r="V3837" s="4295"/>
      <c r="W3837" s="3494"/>
      <c r="X3837" s="3494"/>
      <c r="Y3837" s="3494"/>
      <c r="Z3837" s="3494"/>
      <c r="AA3837" s="3494"/>
      <c r="AB3837" s="3494"/>
      <c r="AC3837" s="3495">
        <v>6</v>
      </c>
      <c r="AD3837" s="3494">
        <v>6</v>
      </c>
      <c r="AE3837" s="3494">
        <v>6</v>
      </c>
      <c r="AF3837" s="2236">
        <f t="shared" si="354"/>
        <v>6</v>
      </c>
      <c r="AG3837" s="263"/>
      <c r="DG3837" s="573"/>
      <c r="DH3837" s="159"/>
      <c r="DI3837" s="1091"/>
      <c r="DJ3837" s="1187"/>
    </row>
    <row r="3838" spans="1:114" ht="14.65" hidden="1" customHeight="1" outlineLevel="1">
      <c r="A3838" s="453"/>
      <c r="C3838" s="51"/>
      <c r="D3838" s="4295"/>
      <c r="E3838" s="4295"/>
      <c r="F3838" s="4347" t="str">
        <f t="shared" si="352"/>
        <v>ASHP-SEER21-Replace_CAC_NonElectricHeat_ER2_MF_CompE</v>
      </c>
      <c r="G3838" s="4347"/>
      <c r="H3838" s="4347"/>
      <c r="I3838" s="4347"/>
      <c r="J3838" s="3471" t="str">
        <f t="shared" si="353"/>
        <v>353611_2024_12_</v>
      </c>
      <c r="K3838" s="3377">
        <v>12</v>
      </c>
      <c r="L3838" s="262"/>
      <c r="M3838" s="4202"/>
      <c r="P3838" s="261"/>
      <c r="Q3838" s="209"/>
      <c r="R3838" s="261"/>
      <c r="S3838" s="52"/>
      <c r="T3838" s="181"/>
      <c r="U3838" s="52"/>
      <c r="V3838" s="4295"/>
      <c r="W3838" s="3494"/>
      <c r="X3838" s="3494"/>
      <c r="Y3838" s="3494"/>
      <c r="Z3838" s="3494"/>
      <c r="AA3838" s="3494"/>
      <c r="AB3838" s="3494"/>
      <c r="AC3838" s="3495">
        <v>12</v>
      </c>
      <c r="AD3838" s="3494">
        <v>12</v>
      </c>
      <c r="AE3838" s="3494">
        <v>12</v>
      </c>
      <c r="AF3838" s="2236">
        <f t="shared" si="354"/>
        <v>12</v>
      </c>
      <c r="AG3838" s="263"/>
      <c r="DG3838" s="573"/>
      <c r="DH3838" s="159"/>
      <c r="DI3838" s="1091"/>
      <c r="DJ3838" s="1187"/>
    </row>
    <row r="3839" spans="1:114" ht="14.65" hidden="1" customHeight="1" outlineLevel="1">
      <c r="A3839" s="453"/>
      <c r="C3839" s="51"/>
      <c r="D3839" s="4295"/>
      <c r="E3839" s="4295"/>
      <c r="F3839" s="4347" t="str">
        <f t="shared" si="352"/>
        <v>ASHP-SEER21-Replace_CAC_NonElectricHeat_ER2_MF_CompE</v>
      </c>
      <c r="G3839" s="4347"/>
      <c r="H3839" s="4347"/>
      <c r="I3839" s="4347"/>
      <c r="J3839" s="3471" t="str">
        <f t="shared" si="353"/>
        <v>353611_2024_12_</v>
      </c>
      <c r="K3839" s="3377">
        <v>12</v>
      </c>
      <c r="L3839" s="262"/>
      <c r="M3839" s="4202"/>
      <c r="P3839" s="261"/>
      <c r="Q3839" s="209"/>
      <c r="R3839" s="261"/>
      <c r="S3839" s="52"/>
      <c r="T3839" s="181"/>
      <c r="U3839" s="52"/>
      <c r="V3839" s="4295"/>
      <c r="W3839" s="3494"/>
      <c r="X3839" s="3494"/>
      <c r="Y3839" s="3494"/>
      <c r="Z3839" s="3494"/>
      <c r="AA3839" s="3494"/>
      <c r="AB3839" s="3494"/>
      <c r="AC3839" s="3495">
        <v>12</v>
      </c>
      <c r="AD3839" s="3494">
        <v>12</v>
      </c>
      <c r="AE3839" s="3494">
        <v>12</v>
      </c>
      <c r="AF3839" s="2236">
        <f t="shared" si="354"/>
        <v>12</v>
      </c>
      <c r="AG3839" s="263"/>
      <c r="DG3839" s="573"/>
      <c r="DH3839" s="159"/>
      <c r="DI3839" s="1091"/>
      <c r="DJ3839" s="1187"/>
    </row>
    <row r="3840" spans="1:114" ht="14.65" hidden="1" customHeight="1" outlineLevel="1">
      <c r="A3840" s="453"/>
      <c r="C3840" s="51"/>
      <c r="D3840" s="4295"/>
      <c r="E3840" s="4295"/>
      <c r="F3840" s="4307" t="str">
        <f t="shared" si="352"/>
        <v>ASHP-SEER21-Replace_CAC_ElectricHeat_ROF_SF</v>
      </c>
      <c r="G3840" s="4307"/>
      <c r="H3840" s="4307"/>
      <c r="I3840" s="4307"/>
      <c r="J3840" s="1029" t="str">
        <f t="shared" si="353"/>
        <v>353650_2024_12_</v>
      </c>
      <c r="K3840" s="1796">
        <v>18</v>
      </c>
      <c r="L3840" s="262"/>
      <c r="M3840" s="4202"/>
      <c r="P3840" s="261"/>
      <c r="Q3840" s="209"/>
      <c r="R3840" s="261"/>
      <c r="S3840" s="52"/>
      <c r="T3840" s="181"/>
      <c r="U3840" s="52"/>
      <c r="V3840" s="4295"/>
      <c r="W3840" s="263">
        <v>18</v>
      </c>
      <c r="X3840" s="263">
        <v>18</v>
      </c>
      <c r="Y3840" s="263">
        <v>18</v>
      </c>
      <c r="Z3840" s="263">
        <v>18</v>
      </c>
      <c r="AA3840" s="263">
        <v>18</v>
      </c>
      <c r="AB3840" s="263">
        <v>18</v>
      </c>
      <c r="AC3840" s="263">
        <v>18</v>
      </c>
      <c r="AD3840" s="263">
        <v>18</v>
      </c>
      <c r="AE3840" s="263">
        <v>18</v>
      </c>
      <c r="AF3840" s="271">
        <f t="shared" si="354"/>
        <v>18</v>
      </c>
      <c r="AG3840" s="263"/>
      <c r="DG3840" s="573"/>
      <c r="DH3840" s="159"/>
      <c r="DI3840" s="1091"/>
      <c r="DJ3840" s="1187"/>
    </row>
    <row r="3841" spans="1:114" ht="14.65" hidden="1" customHeight="1" outlineLevel="1">
      <c r="A3841" s="453"/>
      <c r="C3841" s="51"/>
      <c r="D3841" s="4295"/>
      <c r="E3841" s="4295"/>
      <c r="F3841" s="4307" t="str">
        <f t="shared" si="352"/>
        <v>ASHP-SEER21-Replace_CAC_ElectricHeat_ROF_SF</v>
      </c>
      <c r="G3841" s="4307"/>
      <c r="H3841" s="4307"/>
      <c r="I3841" s="4307"/>
      <c r="J3841" s="1029" t="str">
        <f t="shared" si="353"/>
        <v>353650_2024_12_</v>
      </c>
      <c r="K3841" s="1796">
        <v>18</v>
      </c>
      <c r="L3841" s="262"/>
      <c r="M3841" s="4202"/>
      <c r="P3841" s="261"/>
      <c r="Q3841" s="209"/>
      <c r="R3841" s="261"/>
      <c r="S3841" s="52"/>
      <c r="T3841" s="181"/>
      <c r="U3841" s="52"/>
      <c r="V3841" s="4295"/>
      <c r="W3841" s="263">
        <v>18</v>
      </c>
      <c r="X3841" s="263">
        <v>18</v>
      </c>
      <c r="Y3841" s="263">
        <v>18</v>
      </c>
      <c r="Z3841" s="263">
        <v>18</v>
      </c>
      <c r="AA3841" s="263">
        <v>18</v>
      </c>
      <c r="AB3841" s="263">
        <v>18</v>
      </c>
      <c r="AC3841" s="263">
        <v>18</v>
      </c>
      <c r="AD3841" s="263">
        <v>18</v>
      </c>
      <c r="AE3841" s="263">
        <v>18</v>
      </c>
      <c r="AF3841" s="271">
        <f t="shared" si="354"/>
        <v>18</v>
      </c>
      <c r="AG3841" s="263"/>
      <c r="DG3841" s="573"/>
      <c r="DH3841" s="159"/>
      <c r="DI3841" s="1091"/>
      <c r="DJ3841" s="1187"/>
    </row>
    <row r="3842" spans="1:114" ht="14.65" hidden="1" customHeight="1" outlineLevel="1">
      <c r="A3842" s="453"/>
      <c r="C3842" s="51"/>
      <c r="D3842" s="4295"/>
      <c r="E3842" s="4295"/>
      <c r="F3842" s="4307" t="str">
        <f t="shared" si="352"/>
        <v>ASHP-SEER21-Replace_CAC_NonElectricHeat_ROF_SF</v>
      </c>
      <c r="G3842" s="4307"/>
      <c r="H3842" s="4307"/>
      <c r="I3842" s="4307"/>
      <c r="J3842" s="1029" t="str">
        <f t="shared" si="353"/>
        <v>353660_2024_12_</v>
      </c>
      <c r="K3842" s="1796">
        <v>18</v>
      </c>
      <c r="L3842" s="262"/>
      <c r="M3842" s="4202"/>
      <c r="P3842" s="261"/>
      <c r="Q3842" s="209"/>
      <c r="R3842" s="261"/>
      <c r="S3842" s="52"/>
      <c r="T3842" s="181"/>
      <c r="U3842" s="52"/>
      <c r="V3842" s="4295"/>
      <c r="W3842" s="263"/>
      <c r="X3842" s="263"/>
      <c r="Y3842" s="263"/>
      <c r="Z3842" s="263"/>
      <c r="AA3842" s="263"/>
      <c r="AB3842" s="263"/>
      <c r="AC3842" s="263"/>
      <c r="AD3842" s="1030">
        <v>18</v>
      </c>
      <c r="AE3842" s="263">
        <v>18</v>
      </c>
      <c r="AF3842" s="271">
        <f t="shared" si="354"/>
        <v>18</v>
      </c>
      <c r="AG3842" s="263"/>
      <c r="DG3842" s="573"/>
      <c r="DH3842" s="159"/>
      <c r="DI3842" s="1091"/>
      <c r="DJ3842" s="1187"/>
    </row>
    <row r="3843" spans="1:114" ht="14.65" hidden="1" customHeight="1" outlineLevel="1">
      <c r="A3843" s="453"/>
      <c r="C3843" s="51"/>
      <c r="D3843" s="4295"/>
      <c r="E3843" s="4295"/>
      <c r="F3843" s="4307" t="str">
        <f t="shared" si="352"/>
        <v>ASHP-SEER21-Replace_CAC_NonElectricHeat_ROF_SF</v>
      </c>
      <c r="G3843" s="4307"/>
      <c r="H3843" s="4307"/>
      <c r="I3843" s="4307"/>
      <c r="J3843" s="1029" t="str">
        <f t="shared" si="353"/>
        <v>353660_2024_12_</v>
      </c>
      <c r="K3843" s="1796">
        <v>18</v>
      </c>
      <c r="L3843" s="262"/>
      <c r="M3843" s="4202"/>
      <c r="P3843" s="261"/>
      <c r="Q3843" s="209"/>
      <c r="R3843" s="261"/>
      <c r="S3843" s="52"/>
      <c r="T3843" s="181"/>
      <c r="U3843" s="52"/>
      <c r="V3843" s="4295"/>
      <c r="W3843" s="263"/>
      <c r="X3843" s="263"/>
      <c r="Y3843" s="263"/>
      <c r="Z3843" s="263"/>
      <c r="AA3843" s="263"/>
      <c r="AB3843" s="263"/>
      <c r="AC3843" s="263"/>
      <c r="AD3843" s="1030">
        <v>18</v>
      </c>
      <c r="AE3843" s="263">
        <v>18</v>
      </c>
      <c r="AF3843" s="271">
        <f t="shared" si="354"/>
        <v>18</v>
      </c>
      <c r="AG3843" s="263"/>
      <c r="DG3843" s="573"/>
      <c r="DH3843" s="159"/>
      <c r="DI3843" s="1091"/>
      <c r="DJ3843" s="1187"/>
    </row>
    <row r="3844" spans="1:114" ht="14.65" hidden="1" customHeight="1" outlineLevel="1">
      <c r="A3844" s="453"/>
      <c r="C3844" s="51"/>
      <c r="D3844" s="4295"/>
      <c r="E3844" s="4295"/>
      <c r="F3844" s="4347" t="str">
        <f t="shared" ref="F3844:F3907" si="355">E1700</f>
        <v>ASHP-SEER21+-Replace_CAC_ElectricHeat_ROF_MF</v>
      </c>
      <c r="G3844" s="4347"/>
      <c r="H3844" s="4347"/>
      <c r="I3844" s="4347"/>
      <c r="J3844" s="3471" t="str">
        <f t="shared" ref="J3844:J3907" si="356">C1700</f>
        <v>353700_2024_12_</v>
      </c>
      <c r="K3844" s="3377">
        <v>18</v>
      </c>
      <c r="L3844" s="262"/>
      <c r="M3844" s="4202"/>
      <c r="P3844" s="261"/>
      <c r="Q3844" s="209"/>
      <c r="R3844" s="261"/>
      <c r="S3844" s="52"/>
      <c r="T3844" s="181"/>
      <c r="U3844" s="52"/>
      <c r="V3844" s="4295"/>
      <c r="W3844" s="3494">
        <v>18</v>
      </c>
      <c r="X3844" s="3494">
        <v>18</v>
      </c>
      <c r="Y3844" s="3494">
        <v>18</v>
      </c>
      <c r="Z3844" s="3494">
        <v>18</v>
      </c>
      <c r="AA3844" s="3494">
        <v>18</v>
      </c>
      <c r="AB3844" s="3494">
        <v>18</v>
      </c>
      <c r="AC3844" s="3494">
        <v>18</v>
      </c>
      <c r="AD3844" s="3494">
        <v>18</v>
      </c>
      <c r="AE3844" s="3494">
        <v>18</v>
      </c>
      <c r="AF3844" s="2236">
        <f t="shared" si="354"/>
        <v>18</v>
      </c>
      <c r="AG3844" s="263"/>
      <c r="DG3844" s="573"/>
      <c r="DH3844" s="159"/>
      <c r="DI3844" s="1091"/>
      <c r="DJ3844" s="1187"/>
    </row>
    <row r="3845" spans="1:114" ht="14.65" hidden="1" customHeight="1" outlineLevel="1">
      <c r="A3845" s="453"/>
      <c r="C3845" s="51"/>
      <c r="D3845" s="4295"/>
      <c r="E3845" s="4295"/>
      <c r="F3845" s="4347" t="str">
        <f t="shared" si="355"/>
        <v>ASHP-SEER21+-Replace_CAC_ElectricHeat_ROF_MF</v>
      </c>
      <c r="G3845" s="4347"/>
      <c r="H3845" s="4347"/>
      <c r="I3845" s="4347"/>
      <c r="J3845" s="3471" t="str">
        <f t="shared" si="356"/>
        <v>353700_2024_12_</v>
      </c>
      <c r="K3845" s="3377">
        <v>18</v>
      </c>
      <c r="L3845" s="262"/>
      <c r="M3845" s="4202"/>
      <c r="P3845" s="261"/>
      <c r="Q3845" s="209"/>
      <c r="R3845" s="261"/>
      <c r="S3845" s="52"/>
      <c r="T3845" s="181"/>
      <c r="U3845" s="52"/>
      <c r="V3845" s="4295"/>
      <c r="W3845" s="3494">
        <v>18</v>
      </c>
      <c r="X3845" s="3494">
        <v>18</v>
      </c>
      <c r="Y3845" s="3494">
        <v>18</v>
      </c>
      <c r="Z3845" s="3494">
        <v>18</v>
      </c>
      <c r="AA3845" s="3494">
        <v>18</v>
      </c>
      <c r="AB3845" s="3494">
        <v>18</v>
      </c>
      <c r="AC3845" s="3494">
        <v>18</v>
      </c>
      <c r="AD3845" s="3494">
        <v>18</v>
      </c>
      <c r="AE3845" s="3494">
        <v>18</v>
      </c>
      <c r="AF3845" s="2236">
        <f t="shared" si="354"/>
        <v>18</v>
      </c>
      <c r="AG3845" s="263"/>
      <c r="DG3845" s="573"/>
      <c r="DH3845" s="159"/>
      <c r="DI3845" s="1091"/>
      <c r="DJ3845" s="1187"/>
    </row>
    <row r="3846" spans="1:114" ht="14.65" hidden="1" customHeight="1" outlineLevel="1">
      <c r="A3846" s="453"/>
      <c r="C3846" s="51"/>
      <c r="D3846" s="4295"/>
      <c r="E3846" s="4295"/>
      <c r="F3846" s="4347" t="str">
        <f t="shared" si="355"/>
        <v>ASHP-SEER21+-Replace_CAC_ElectricHeat_ROF_MF_CompE</v>
      </c>
      <c r="G3846" s="4347"/>
      <c r="H3846" s="4347"/>
      <c r="I3846" s="4347"/>
      <c r="J3846" s="3471" t="str">
        <f t="shared" si="356"/>
        <v>353701_2024_12_</v>
      </c>
      <c r="K3846" s="3377">
        <v>18</v>
      </c>
      <c r="L3846" s="262"/>
      <c r="M3846" s="4202"/>
      <c r="P3846" s="261"/>
      <c r="Q3846" s="209"/>
      <c r="R3846" s="261"/>
      <c r="S3846" s="52"/>
      <c r="T3846" s="181"/>
      <c r="U3846" s="52"/>
      <c r="V3846" s="4295"/>
      <c r="W3846" s="3494"/>
      <c r="X3846" s="3494"/>
      <c r="Y3846" s="3494"/>
      <c r="Z3846" s="3494"/>
      <c r="AA3846" s="3494"/>
      <c r="AB3846" s="3494"/>
      <c r="AC3846" s="3495">
        <v>18</v>
      </c>
      <c r="AD3846" s="3494">
        <v>18</v>
      </c>
      <c r="AE3846" s="3494">
        <v>18</v>
      </c>
      <c r="AF3846" s="2236">
        <f t="shared" si="354"/>
        <v>18</v>
      </c>
      <c r="AG3846" s="263"/>
      <c r="DG3846" s="573"/>
      <c r="DH3846" s="159"/>
      <c r="DI3846" s="1091"/>
      <c r="DJ3846" s="1187"/>
    </row>
    <row r="3847" spans="1:114" ht="14.65" hidden="1" customHeight="1" outlineLevel="1">
      <c r="A3847" s="453"/>
      <c r="C3847" s="51"/>
      <c r="D3847" s="4295"/>
      <c r="E3847" s="4295"/>
      <c r="F3847" s="4347" t="str">
        <f t="shared" si="355"/>
        <v>ASHP-SEER21+-Replace_CAC_ElectricHeat_ROF_MF_CompE</v>
      </c>
      <c r="G3847" s="4347"/>
      <c r="H3847" s="4347"/>
      <c r="I3847" s="4347"/>
      <c r="J3847" s="3471" t="str">
        <f t="shared" si="356"/>
        <v>353701_2024_12_</v>
      </c>
      <c r="K3847" s="3377">
        <v>18</v>
      </c>
      <c r="L3847" s="262"/>
      <c r="M3847" s="4202"/>
      <c r="P3847" s="261"/>
      <c r="Q3847" s="209"/>
      <c r="R3847" s="261"/>
      <c r="S3847" s="52"/>
      <c r="T3847" s="181"/>
      <c r="U3847" s="52"/>
      <c r="V3847" s="4295"/>
      <c r="W3847" s="3494"/>
      <c r="X3847" s="3494"/>
      <c r="Y3847" s="3494"/>
      <c r="Z3847" s="3494"/>
      <c r="AA3847" s="3494"/>
      <c r="AB3847" s="3494"/>
      <c r="AC3847" s="3495">
        <v>18</v>
      </c>
      <c r="AD3847" s="3494">
        <v>18</v>
      </c>
      <c r="AE3847" s="3494">
        <v>18</v>
      </c>
      <c r="AF3847" s="2236">
        <f t="shared" si="354"/>
        <v>18</v>
      </c>
      <c r="AG3847" s="263"/>
      <c r="DG3847" s="573"/>
      <c r="DH3847" s="159"/>
      <c r="DI3847" s="1091"/>
      <c r="DJ3847" s="1187"/>
    </row>
    <row r="3848" spans="1:114" ht="14.65" hidden="1" customHeight="1" outlineLevel="1">
      <c r="A3848" s="453"/>
      <c r="C3848" s="51"/>
      <c r="D3848" s="4295"/>
      <c r="E3848" s="4295"/>
      <c r="F3848" s="4347" t="str">
        <f t="shared" si="355"/>
        <v>ASHP-SEER21+-Replace_CAC_NonElectricHeat_ROF_MF</v>
      </c>
      <c r="G3848" s="4347"/>
      <c r="H3848" s="4347"/>
      <c r="I3848" s="4347"/>
      <c r="J3848" s="3471" t="str">
        <f t="shared" si="356"/>
        <v>353710_2024_12_</v>
      </c>
      <c r="K3848" s="3377">
        <v>18</v>
      </c>
      <c r="L3848" s="262"/>
      <c r="M3848" s="4202"/>
      <c r="P3848" s="261"/>
      <c r="Q3848" s="209"/>
      <c r="R3848" s="261"/>
      <c r="S3848" s="52"/>
      <c r="T3848" s="181"/>
      <c r="U3848" s="52"/>
      <c r="V3848" s="4295"/>
      <c r="W3848" s="3494"/>
      <c r="X3848" s="3494"/>
      <c r="Y3848" s="3494"/>
      <c r="Z3848" s="3494"/>
      <c r="AA3848" s="3494"/>
      <c r="AB3848" s="3494"/>
      <c r="AC3848" s="3495">
        <v>18</v>
      </c>
      <c r="AD3848" s="3494">
        <v>18</v>
      </c>
      <c r="AE3848" s="3494">
        <v>18</v>
      </c>
      <c r="AF3848" s="2236">
        <f t="shared" si="354"/>
        <v>18</v>
      </c>
      <c r="AG3848" s="263"/>
      <c r="DG3848" s="573"/>
      <c r="DH3848" s="159"/>
      <c r="DI3848" s="1091"/>
      <c r="DJ3848" s="1187"/>
    </row>
    <row r="3849" spans="1:114" ht="14.65" hidden="1" customHeight="1" outlineLevel="1">
      <c r="A3849" s="453"/>
      <c r="C3849" s="51"/>
      <c r="D3849" s="4295"/>
      <c r="E3849" s="4295"/>
      <c r="F3849" s="4347" t="str">
        <f t="shared" si="355"/>
        <v>ASHP-SEER21+-Replace_CAC_NonElectricHeat_ROF_MF</v>
      </c>
      <c r="G3849" s="4347"/>
      <c r="H3849" s="4347"/>
      <c r="I3849" s="4347"/>
      <c r="J3849" s="3471" t="str">
        <f t="shared" si="356"/>
        <v>353710_2024_12_</v>
      </c>
      <c r="K3849" s="3377">
        <v>18</v>
      </c>
      <c r="L3849" s="262"/>
      <c r="M3849" s="4202"/>
      <c r="P3849" s="261"/>
      <c r="Q3849" s="209"/>
      <c r="R3849" s="261"/>
      <c r="S3849" s="52"/>
      <c r="T3849" s="181"/>
      <c r="U3849" s="52"/>
      <c r="V3849" s="4295"/>
      <c r="W3849" s="3494"/>
      <c r="X3849" s="3494"/>
      <c r="Y3849" s="3494"/>
      <c r="Z3849" s="3494"/>
      <c r="AA3849" s="3494"/>
      <c r="AB3849" s="3494"/>
      <c r="AC3849" s="3495">
        <v>18</v>
      </c>
      <c r="AD3849" s="3494">
        <v>18</v>
      </c>
      <c r="AE3849" s="3494">
        <v>18</v>
      </c>
      <c r="AF3849" s="2236">
        <f t="shared" si="354"/>
        <v>18</v>
      </c>
      <c r="AG3849" s="263"/>
      <c r="DG3849" s="573"/>
      <c r="DH3849" s="159"/>
      <c r="DI3849" s="1091"/>
      <c r="DJ3849" s="1187"/>
    </row>
    <row r="3850" spans="1:114" ht="14.65" hidden="1" customHeight="1" outlineLevel="1">
      <c r="A3850" s="453"/>
      <c r="C3850" s="51"/>
      <c r="D3850" s="4295"/>
      <c r="E3850" s="4295"/>
      <c r="F3850" s="4347" t="str">
        <f t="shared" si="355"/>
        <v>ASHP-SEER21+-Replace_CAC_NonElectricHeat_ROF_MF_CompE</v>
      </c>
      <c r="G3850" s="4347"/>
      <c r="H3850" s="4347"/>
      <c r="I3850" s="4347"/>
      <c r="J3850" s="3471" t="str">
        <f t="shared" si="356"/>
        <v>353711_2024_12_</v>
      </c>
      <c r="K3850" s="3377">
        <v>18</v>
      </c>
      <c r="L3850" s="262"/>
      <c r="M3850" s="4202"/>
      <c r="P3850" s="261"/>
      <c r="Q3850" s="209"/>
      <c r="R3850" s="261"/>
      <c r="S3850" s="52"/>
      <c r="T3850" s="181"/>
      <c r="U3850" s="52"/>
      <c r="V3850" s="4295"/>
      <c r="W3850" s="3494"/>
      <c r="X3850" s="3494"/>
      <c r="Y3850" s="3494"/>
      <c r="Z3850" s="3494"/>
      <c r="AA3850" s="3494"/>
      <c r="AB3850" s="3494"/>
      <c r="AC3850" s="3495">
        <v>18</v>
      </c>
      <c r="AD3850" s="3494">
        <v>18</v>
      </c>
      <c r="AE3850" s="3494">
        <v>18</v>
      </c>
      <c r="AF3850" s="2236">
        <f t="shared" si="354"/>
        <v>18</v>
      </c>
      <c r="AG3850" s="263"/>
      <c r="DG3850" s="573"/>
      <c r="DH3850" s="159"/>
      <c r="DI3850" s="1091"/>
      <c r="DJ3850" s="1187"/>
    </row>
    <row r="3851" spans="1:114" ht="14.65" hidden="1" customHeight="1" outlineLevel="1">
      <c r="A3851" s="453"/>
      <c r="C3851" s="51"/>
      <c r="D3851" s="4295"/>
      <c r="E3851" s="4295"/>
      <c r="F3851" s="4347" t="str">
        <f t="shared" si="355"/>
        <v>ASHP-SEER21+-Replace_CAC_NonElectricHeat_ROF_MF_CompE</v>
      </c>
      <c r="G3851" s="4347"/>
      <c r="H3851" s="4347"/>
      <c r="I3851" s="4347"/>
      <c r="J3851" s="3471" t="str">
        <f t="shared" si="356"/>
        <v>353711_2024_12_</v>
      </c>
      <c r="K3851" s="3377">
        <v>18</v>
      </c>
      <c r="L3851" s="262"/>
      <c r="M3851" s="4202"/>
      <c r="P3851" s="261"/>
      <c r="Q3851" s="209"/>
      <c r="R3851" s="261"/>
      <c r="S3851" s="52"/>
      <c r="T3851" s="181"/>
      <c r="U3851" s="52"/>
      <c r="V3851" s="4295"/>
      <c r="W3851" s="3494"/>
      <c r="X3851" s="3494"/>
      <c r="Y3851" s="3494"/>
      <c r="Z3851" s="3494"/>
      <c r="AA3851" s="3494"/>
      <c r="AB3851" s="3494"/>
      <c r="AC3851" s="3495">
        <v>18</v>
      </c>
      <c r="AD3851" s="3494">
        <v>18</v>
      </c>
      <c r="AE3851" s="3494">
        <v>18</v>
      </c>
      <c r="AF3851" s="2236">
        <f t="shared" si="354"/>
        <v>18</v>
      </c>
      <c r="AG3851" s="263"/>
      <c r="DG3851" s="573"/>
      <c r="DH3851" s="159"/>
      <c r="DI3851" s="1091"/>
      <c r="DJ3851" s="1187"/>
    </row>
    <row r="3852" spans="1:114" ht="14.65" hidden="1" customHeight="1" outlineLevel="1">
      <c r="A3852" s="453"/>
      <c r="C3852" s="51"/>
      <c r="D3852" s="4295"/>
      <c r="E3852" s="4295"/>
      <c r="F3852" s="4307" t="str">
        <f t="shared" si="355"/>
        <v>ASHP-SEER17_ER1_SF</v>
      </c>
      <c r="G3852" s="4307"/>
      <c r="H3852" s="4307"/>
      <c r="I3852" s="4307"/>
      <c r="J3852" s="1029" t="str">
        <f t="shared" si="356"/>
        <v>353750_2024_12_</v>
      </c>
      <c r="K3852" s="1796">
        <v>6</v>
      </c>
      <c r="L3852" s="262"/>
      <c r="M3852" s="4202"/>
      <c r="P3852" s="261"/>
      <c r="Q3852" s="209"/>
      <c r="R3852" s="261"/>
      <c r="S3852" s="52"/>
      <c r="T3852" s="181"/>
      <c r="U3852" s="52"/>
      <c r="V3852" s="4295"/>
      <c r="W3852" s="263">
        <v>6</v>
      </c>
      <c r="X3852" s="263">
        <v>6</v>
      </c>
      <c r="Y3852" s="263">
        <v>6</v>
      </c>
      <c r="Z3852" s="263">
        <v>6</v>
      </c>
      <c r="AA3852" s="263">
        <v>6</v>
      </c>
      <c r="AB3852" s="263">
        <v>6</v>
      </c>
      <c r="AC3852" s="263">
        <v>6</v>
      </c>
      <c r="AD3852" s="263">
        <v>6</v>
      </c>
      <c r="AE3852" s="263">
        <v>6</v>
      </c>
      <c r="AF3852" s="271">
        <f t="shared" si="354"/>
        <v>6</v>
      </c>
      <c r="AG3852" s="263"/>
      <c r="DG3852" s="573"/>
      <c r="DH3852" s="159"/>
      <c r="DI3852" s="1091"/>
      <c r="DJ3852" s="1187"/>
    </row>
    <row r="3853" spans="1:114" ht="15" hidden="1" customHeight="1" outlineLevel="1">
      <c r="A3853" s="453"/>
      <c r="C3853" s="51"/>
      <c r="D3853" s="4295"/>
      <c r="E3853" s="4295"/>
      <c r="F3853" s="4307" t="str">
        <f t="shared" si="355"/>
        <v>ASHP-SEER17_ER1_SF</v>
      </c>
      <c r="G3853" s="4307"/>
      <c r="H3853" s="4307"/>
      <c r="I3853" s="4307"/>
      <c r="J3853" s="1029" t="str">
        <f t="shared" si="356"/>
        <v>353750_2024_12_</v>
      </c>
      <c r="K3853" s="1796">
        <v>6</v>
      </c>
      <c r="L3853" s="262"/>
      <c r="M3853" s="4202"/>
      <c r="P3853" s="261"/>
      <c r="Q3853" s="209"/>
      <c r="R3853" s="261"/>
      <c r="S3853" s="52"/>
      <c r="T3853" s="181"/>
      <c r="U3853" s="52"/>
      <c r="V3853" s="4295"/>
      <c r="W3853" s="263">
        <v>6</v>
      </c>
      <c r="X3853" s="263">
        <v>6</v>
      </c>
      <c r="Y3853" s="263">
        <v>6</v>
      </c>
      <c r="Z3853" s="263">
        <v>6</v>
      </c>
      <c r="AA3853" s="263">
        <v>6</v>
      </c>
      <c r="AB3853" s="263">
        <v>6</v>
      </c>
      <c r="AC3853" s="263">
        <v>6</v>
      </c>
      <c r="AD3853" s="263">
        <v>6</v>
      </c>
      <c r="AE3853" s="263">
        <v>6</v>
      </c>
      <c r="AF3853" s="271">
        <f t="shared" si="354"/>
        <v>6</v>
      </c>
      <c r="AG3853" s="263"/>
      <c r="DG3853" s="573"/>
      <c r="DH3853" s="159"/>
      <c r="DI3853" s="1091"/>
      <c r="DJ3853" s="1187"/>
    </row>
    <row r="3854" spans="1:114" ht="15" hidden="1" customHeight="1" outlineLevel="1">
      <c r="A3854" s="453"/>
      <c r="C3854" s="51"/>
      <c r="D3854" s="4295"/>
      <c r="E3854" s="4295"/>
      <c r="F3854" s="4307" t="str">
        <f t="shared" si="355"/>
        <v>ASHP-SEER17_ER2_SF</v>
      </c>
      <c r="G3854" s="4307"/>
      <c r="H3854" s="4307"/>
      <c r="I3854" s="4307"/>
      <c r="J3854" s="1029" t="str">
        <f t="shared" si="356"/>
        <v>353750_2024_12_</v>
      </c>
      <c r="K3854" s="1796">
        <v>12</v>
      </c>
      <c r="L3854" s="262"/>
      <c r="M3854" s="4202"/>
      <c r="P3854" s="261"/>
      <c r="Q3854" s="209"/>
      <c r="R3854" s="261"/>
      <c r="S3854" s="52"/>
      <c r="T3854" s="181"/>
      <c r="U3854" s="52"/>
      <c r="V3854" s="4295"/>
      <c r="W3854" s="263">
        <v>12</v>
      </c>
      <c r="X3854" s="263">
        <v>12</v>
      </c>
      <c r="Y3854" s="263">
        <v>12</v>
      </c>
      <c r="Z3854" s="263">
        <v>12</v>
      </c>
      <c r="AA3854" s="263">
        <v>12</v>
      </c>
      <c r="AB3854" s="263">
        <v>12</v>
      </c>
      <c r="AC3854" s="263">
        <v>12</v>
      </c>
      <c r="AD3854" s="263">
        <v>12</v>
      </c>
      <c r="AE3854" s="263">
        <v>12</v>
      </c>
      <c r="AF3854" s="271">
        <f t="shared" si="354"/>
        <v>12</v>
      </c>
      <c r="AG3854" s="263"/>
      <c r="DG3854" s="573"/>
      <c r="DH3854" s="159"/>
      <c r="DI3854" s="1091"/>
      <c r="DJ3854" s="1187"/>
    </row>
    <row r="3855" spans="1:114" ht="15" hidden="1" customHeight="1" outlineLevel="1">
      <c r="A3855" s="453"/>
      <c r="C3855" s="51"/>
      <c r="D3855" s="4295"/>
      <c r="E3855" s="4295"/>
      <c r="F3855" s="4307" t="str">
        <f t="shared" si="355"/>
        <v>ASHP-SEER17_ER2_SF</v>
      </c>
      <c r="G3855" s="4307"/>
      <c r="H3855" s="4307"/>
      <c r="I3855" s="4307"/>
      <c r="J3855" s="1029" t="str">
        <f t="shared" si="356"/>
        <v>353750_2024_12_</v>
      </c>
      <c r="K3855" s="1796">
        <v>12</v>
      </c>
      <c r="L3855" s="262"/>
      <c r="M3855" s="4202"/>
      <c r="P3855" s="261"/>
      <c r="Q3855" s="209"/>
      <c r="R3855" s="261"/>
      <c r="S3855" s="52"/>
      <c r="T3855" s="181"/>
      <c r="U3855" s="52"/>
      <c r="V3855" s="4295"/>
      <c r="W3855" s="263">
        <v>12</v>
      </c>
      <c r="X3855" s="263">
        <v>12</v>
      </c>
      <c r="Y3855" s="263">
        <v>12</v>
      </c>
      <c r="Z3855" s="263">
        <v>12</v>
      </c>
      <c r="AA3855" s="263">
        <v>12</v>
      </c>
      <c r="AB3855" s="263">
        <v>12</v>
      </c>
      <c r="AC3855" s="263">
        <v>12</v>
      </c>
      <c r="AD3855" s="263">
        <v>12</v>
      </c>
      <c r="AE3855" s="263">
        <v>12</v>
      </c>
      <c r="AF3855" s="271">
        <f t="shared" si="354"/>
        <v>12</v>
      </c>
      <c r="AG3855" s="263"/>
      <c r="DG3855" s="573"/>
      <c r="DH3855" s="159"/>
      <c r="DI3855" s="1091"/>
      <c r="DJ3855" s="1187"/>
    </row>
    <row r="3856" spans="1:114" ht="15" hidden="1" customHeight="1" outlineLevel="1">
      <c r="A3856" s="453"/>
      <c r="C3856" s="51"/>
      <c r="D3856" s="4295"/>
      <c r="E3856" s="4295"/>
      <c r="F3856" s="4307" t="str">
        <f t="shared" si="355"/>
        <v>ASHP-SEER17_ROF_SF</v>
      </c>
      <c r="G3856" s="4307"/>
      <c r="H3856" s="4307"/>
      <c r="I3856" s="4307"/>
      <c r="J3856" s="1029" t="str">
        <f t="shared" si="356"/>
        <v>353800_2024_12_</v>
      </c>
      <c r="K3856" s="1796">
        <v>18</v>
      </c>
      <c r="L3856" s="262"/>
      <c r="M3856" s="4202"/>
      <c r="P3856" s="261"/>
      <c r="Q3856" s="209"/>
      <c r="R3856" s="261"/>
      <c r="S3856" s="52"/>
      <c r="T3856" s="181"/>
      <c r="U3856" s="52"/>
      <c r="V3856" s="4295"/>
      <c r="W3856" s="263">
        <v>18</v>
      </c>
      <c r="X3856" s="263">
        <v>18</v>
      </c>
      <c r="Y3856" s="263">
        <v>18</v>
      </c>
      <c r="Z3856" s="263">
        <v>18</v>
      </c>
      <c r="AA3856" s="263">
        <v>18</v>
      </c>
      <c r="AB3856" s="263">
        <v>18</v>
      </c>
      <c r="AC3856" s="263">
        <v>18</v>
      </c>
      <c r="AD3856" s="263">
        <v>18</v>
      </c>
      <c r="AE3856" s="263">
        <v>18</v>
      </c>
      <c r="AF3856" s="271">
        <f t="shared" si="354"/>
        <v>18</v>
      </c>
      <c r="AG3856" s="263"/>
      <c r="DG3856" s="573"/>
      <c r="DH3856" s="159"/>
      <c r="DI3856" s="1091"/>
      <c r="DJ3856" s="1187"/>
    </row>
    <row r="3857" spans="1:114" ht="15" hidden="1" customHeight="1" outlineLevel="1">
      <c r="A3857" s="453"/>
      <c r="C3857" s="51"/>
      <c r="D3857" s="4295"/>
      <c r="E3857" s="4295"/>
      <c r="F3857" s="4307" t="str">
        <f t="shared" si="355"/>
        <v>ASHP-SEER17_ROF_SF</v>
      </c>
      <c r="G3857" s="4307"/>
      <c r="H3857" s="4307"/>
      <c r="I3857" s="4307"/>
      <c r="J3857" s="1029" t="str">
        <f t="shared" si="356"/>
        <v>353800_2024_12_</v>
      </c>
      <c r="K3857" s="1796">
        <v>18</v>
      </c>
      <c r="L3857" s="13"/>
      <c r="M3857" s="4202"/>
      <c r="P3857" s="261"/>
      <c r="Q3857" s="261"/>
      <c r="R3857" s="261"/>
      <c r="S3857" s="52"/>
      <c r="T3857" s="181"/>
      <c r="U3857" s="52"/>
      <c r="V3857" s="4295"/>
      <c r="W3857" s="263">
        <v>18</v>
      </c>
      <c r="X3857" s="263">
        <v>18</v>
      </c>
      <c r="Y3857" s="263">
        <v>18</v>
      </c>
      <c r="Z3857" s="263">
        <v>18</v>
      </c>
      <c r="AA3857" s="263">
        <v>18</v>
      </c>
      <c r="AB3857" s="263">
        <v>18</v>
      </c>
      <c r="AC3857" s="263">
        <v>18</v>
      </c>
      <c r="AD3857" s="263">
        <v>18</v>
      </c>
      <c r="AE3857" s="263">
        <v>18</v>
      </c>
      <c r="AF3857" s="271">
        <f t="shared" si="354"/>
        <v>18</v>
      </c>
      <c r="AG3857" s="263"/>
      <c r="DG3857" s="573"/>
      <c r="DH3857" s="159"/>
      <c r="DI3857" s="1091"/>
      <c r="DJ3857" s="1187"/>
    </row>
    <row r="3858" spans="1:114" ht="15" hidden="1" customHeight="1" outlineLevel="1">
      <c r="A3858" s="453"/>
      <c r="C3858" s="51"/>
      <c r="D3858" s="4295"/>
      <c r="E3858" s="4295"/>
      <c r="F3858" s="4307" t="str">
        <f t="shared" si="355"/>
        <v>ASHP-SEER18_ER1_SF</v>
      </c>
      <c r="G3858" s="4307"/>
      <c r="H3858" s="4307"/>
      <c r="I3858" s="4307"/>
      <c r="J3858" s="1029" t="str">
        <f t="shared" si="356"/>
        <v>353850_2024_12_</v>
      </c>
      <c r="K3858" s="1796">
        <v>6</v>
      </c>
      <c r="L3858" s="13"/>
      <c r="M3858" s="4202"/>
      <c r="P3858" s="261"/>
      <c r="Q3858" s="261"/>
      <c r="R3858" s="261"/>
      <c r="S3858" s="52"/>
      <c r="T3858" s="181"/>
      <c r="U3858" s="52"/>
      <c r="V3858" s="4295"/>
      <c r="W3858" s="263">
        <v>6</v>
      </c>
      <c r="X3858" s="263">
        <v>6</v>
      </c>
      <c r="Y3858" s="263">
        <v>6</v>
      </c>
      <c r="Z3858" s="263">
        <v>6</v>
      </c>
      <c r="AA3858" s="263">
        <v>6</v>
      </c>
      <c r="AB3858" s="263">
        <v>6</v>
      </c>
      <c r="AC3858" s="263">
        <v>6</v>
      </c>
      <c r="AD3858" s="263">
        <v>6</v>
      </c>
      <c r="AE3858" s="263">
        <v>6</v>
      </c>
      <c r="AF3858" s="271">
        <f t="shared" si="354"/>
        <v>6</v>
      </c>
      <c r="AG3858" s="263"/>
      <c r="DG3858" s="573"/>
      <c r="DH3858" s="159"/>
      <c r="DI3858" s="1091"/>
      <c r="DJ3858" s="1187"/>
    </row>
    <row r="3859" spans="1:114" ht="15" hidden="1" customHeight="1" outlineLevel="1">
      <c r="A3859" s="453"/>
      <c r="C3859" s="51"/>
      <c r="D3859" s="4295"/>
      <c r="E3859" s="4295"/>
      <c r="F3859" s="4307" t="str">
        <f t="shared" si="355"/>
        <v>ASHP-SEER18_ER1_SF</v>
      </c>
      <c r="G3859" s="4307"/>
      <c r="H3859" s="4307"/>
      <c r="I3859" s="4307"/>
      <c r="J3859" s="1029" t="str">
        <f t="shared" si="356"/>
        <v>353850_2024_12_</v>
      </c>
      <c r="K3859" s="1796">
        <v>6</v>
      </c>
      <c r="L3859" s="13"/>
      <c r="M3859" s="4202"/>
      <c r="P3859" s="261"/>
      <c r="Q3859" s="261"/>
      <c r="R3859" s="261"/>
      <c r="S3859" s="52"/>
      <c r="T3859" s="181"/>
      <c r="U3859" s="52"/>
      <c r="V3859" s="4295"/>
      <c r="W3859" s="263">
        <v>6</v>
      </c>
      <c r="X3859" s="263">
        <v>6</v>
      </c>
      <c r="Y3859" s="263">
        <v>6</v>
      </c>
      <c r="Z3859" s="263">
        <v>6</v>
      </c>
      <c r="AA3859" s="263">
        <v>6</v>
      </c>
      <c r="AB3859" s="263">
        <v>6</v>
      </c>
      <c r="AC3859" s="263">
        <v>6</v>
      </c>
      <c r="AD3859" s="263">
        <v>6</v>
      </c>
      <c r="AE3859" s="263">
        <v>6</v>
      </c>
      <c r="AF3859" s="271">
        <f t="shared" si="354"/>
        <v>6</v>
      </c>
      <c r="AG3859" s="263"/>
      <c r="DG3859" s="573"/>
      <c r="DH3859" s="159"/>
      <c r="DI3859" s="1091"/>
      <c r="DJ3859" s="1187"/>
    </row>
    <row r="3860" spans="1:114" ht="15" hidden="1" customHeight="1" outlineLevel="1">
      <c r="A3860" s="453"/>
      <c r="C3860" s="51"/>
      <c r="D3860" s="4295"/>
      <c r="E3860" s="4295"/>
      <c r="F3860" s="4307" t="str">
        <f t="shared" si="355"/>
        <v>ASHP-SEER18_ER2_SF</v>
      </c>
      <c r="G3860" s="4307"/>
      <c r="H3860" s="4307"/>
      <c r="I3860" s="4307"/>
      <c r="J3860" s="1029" t="str">
        <f t="shared" si="356"/>
        <v>353850_2024_12_</v>
      </c>
      <c r="K3860" s="1796">
        <v>12</v>
      </c>
      <c r="L3860" s="13"/>
      <c r="M3860" s="4202"/>
      <c r="P3860" s="261"/>
      <c r="Q3860" s="261"/>
      <c r="R3860" s="261"/>
      <c r="S3860" s="52"/>
      <c r="T3860" s="181"/>
      <c r="U3860" s="52"/>
      <c r="V3860" s="4295"/>
      <c r="W3860" s="263">
        <v>12</v>
      </c>
      <c r="X3860" s="263">
        <v>12</v>
      </c>
      <c r="Y3860" s="263">
        <v>12</v>
      </c>
      <c r="Z3860" s="263">
        <v>12</v>
      </c>
      <c r="AA3860" s="263">
        <v>12</v>
      </c>
      <c r="AB3860" s="263">
        <v>12</v>
      </c>
      <c r="AC3860" s="263">
        <v>12</v>
      </c>
      <c r="AD3860" s="263">
        <v>12</v>
      </c>
      <c r="AE3860" s="263">
        <v>12</v>
      </c>
      <c r="AF3860" s="271">
        <f t="shared" si="354"/>
        <v>12</v>
      </c>
      <c r="AG3860" s="263"/>
      <c r="DG3860" s="573"/>
      <c r="DH3860" s="159"/>
      <c r="DI3860" s="1091"/>
      <c r="DJ3860" s="1187"/>
    </row>
    <row r="3861" spans="1:114" ht="15" hidden="1" customHeight="1" outlineLevel="1">
      <c r="A3861" s="453"/>
      <c r="C3861" s="51"/>
      <c r="D3861" s="4295"/>
      <c r="E3861" s="4295"/>
      <c r="F3861" s="4307" t="str">
        <f t="shared" si="355"/>
        <v>ASHP-SEER18_ER2_SF</v>
      </c>
      <c r="G3861" s="4307"/>
      <c r="H3861" s="4307"/>
      <c r="I3861" s="4307"/>
      <c r="J3861" s="1029" t="str">
        <f t="shared" si="356"/>
        <v>353850_2024_12_</v>
      </c>
      <c r="K3861" s="1796">
        <v>12</v>
      </c>
      <c r="L3861" s="13"/>
      <c r="M3861" s="4202"/>
      <c r="P3861" s="261"/>
      <c r="Q3861" s="261"/>
      <c r="R3861" s="261"/>
      <c r="S3861" s="52"/>
      <c r="T3861" s="181"/>
      <c r="U3861" s="52"/>
      <c r="V3861" s="4295"/>
      <c r="W3861" s="263">
        <v>12</v>
      </c>
      <c r="X3861" s="263">
        <v>12</v>
      </c>
      <c r="Y3861" s="263">
        <v>12</v>
      </c>
      <c r="Z3861" s="263">
        <v>12</v>
      </c>
      <c r="AA3861" s="263">
        <v>12</v>
      </c>
      <c r="AB3861" s="263">
        <v>12</v>
      </c>
      <c r="AC3861" s="263">
        <v>12</v>
      </c>
      <c r="AD3861" s="263">
        <v>12</v>
      </c>
      <c r="AE3861" s="263">
        <v>12</v>
      </c>
      <c r="AF3861" s="271">
        <f t="shared" si="354"/>
        <v>12</v>
      </c>
      <c r="AG3861" s="263"/>
      <c r="DG3861" s="573"/>
      <c r="DH3861" s="159"/>
      <c r="DI3861" s="1091"/>
      <c r="DJ3861" s="1187"/>
    </row>
    <row r="3862" spans="1:114" ht="15" hidden="1" customHeight="1" outlineLevel="1">
      <c r="A3862" s="453"/>
      <c r="C3862" s="51"/>
      <c r="D3862" s="4295"/>
      <c r="E3862" s="4295"/>
      <c r="F3862" s="4307" t="str">
        <f t="shared" si="355"/>
        <v>ASHP-SEER18_ROF_SF</v>
      </c>
      <c r="G3862" s="4307"/>
      <c r="H3862" s="4307"/>
      <c r="I3862" s="4307"/>
      <c r="J3862" s="1029" t="str">
        <f t="shared" si="356"/>
        <v>353950_2024_12_</v>
      </c>
      <c r="K3862" s="1796">
        <v>18</v>
      </c>
      <c r="L3862" s="13"/>
      <c r="M3862" s="4202"/>
      <c r="P3862" s="261"/>
      <c r="Q3862" s="261"/>
      <c r="R3862" s="261"/>
      <c r="S3862" s="52"/>
      <c r="T3862" s="181"/>
      <c r="U3862" s="52"/>
      <c r="V3862" s="4295"/>
      <c r="W3862" s="263">
        <v>18</v>
      </c>
      <c r="X3862" s="263">
        <v>18</v>
      </c>
      <c r="Y3862" s="263">
        <v>18</v>
      </c>
      <c r="Z3862" s="263">
        <v>18</v>
      </c>
      <c r="AA3862" s="263">
        <v>18</v>
      </c>
      <c r="AB3862" s="263">
        <v>18</v>
      </c>
      <c r="AC3862" s="263">
        <v>18</v>
      </c>
      <c r="AD3862" s="263">
        <v>18</v>
      </c>
      <c r="AE3862" s="263">
        <v>18</v>
      </c>
      <c r="AF3862" s="271">
        <f t="shared" si="354"/>
        <v>18</v>
      </c>
      <c r="AG3862" s="263"/>
      <c r="DG3862" s="573"/>
      <c r="DH3862" s="159"/>
      <c r="DI3862" s="1091"/>
      <c r="DJ3862" s="1187"/>
    </row>
    <row r="3863" spans="1:114" ht="15" hidden="1" customHeight="1" outlineLevel="1">
      <c r="A3863" s="453"/>
      <c r="C3863" s="51"/>
      <c r="D3863" s="4295"/>
      <c r="E3863" s="4295"/>
      <c r="F3863" s="4307" t="str">
        <f t="shared" si="355"/>
        <v>ASHP-SEER18_ROF_SF</v>
      </c>
      <c r="G3863" s="4307"/>
      <c r="H3863" s="4307"/>
      <c r="I3863" s="4307"/>
      <c r="J3863" s="1029" t="str">
        <f t="shared" si="356"/>
        <v>353950_2024_12_</v>
      </c>
      <c r="K3863" s="1796">
        <v>18</v>
      </c>
      <c r="L3863" s="262"/>
      <c r="M3863" s="4202"/>
      <c r="P3863" s="261"/>
      <c r="Q3863" s="261"/>
      <c r="R3863" s="261"/>
      <c r="S3863" s="52"/>
      <c r="T3863" s="181"/>
      <c r="U3863" s="52"/>
      <c r="V3863" s="4295"/>
      <c r="W3863" s="263">
        <v>18</v>
      </c>
      <c r="X3863" s="263">
        <v>18</v>
      </c>
      <c r="Y3863" s="263">
        <v>18</v>
      </c>
      <c r="Z3863" s="263">
        <v>18</v>
      </c>
      <c r="AA3863" s="263">
        <v>18</v>
      </c>
      <c r="AB3863" s="263">
        <v>18</v>
      </c>
      <c r="AC3863" s="263">
        <v>18</v>
      </c>
      <c r="AD3863" s="263">
        <v>18</v>
      </c>
      <c r="AE3863" s="263">
        <v>18</v>
      </c>
      <c r="AF3863" s="271">
        <f t="shared" si="354"/>
        <v>18</v>
      </c>
      <c r="AG3863" s="263"/>
      <c r="DG3863" s="573"/>
      <c r="DH3863" s="159"/>
      <c r="DI3863" s="1091"/>
      <c r="DJ3863" s="1187"/>
    </row>
    <row r="3864" spans="1:114" ht="15" hidden="1" customHeight="1" outlineLevel="1">
      <c r="A3864" s="453"/>
      <c r="C3864" s="51"/>
      <c r="D3864" s="4295"/>
      <c r="E3864" s="4295"/>
      <c r="F3864" s="4307" t="str">
        <f t="shared" si="355"/>
        <v>ASHP-SEER19_ER1_SF</v>
      </c>
      <c r="G3864" s="4307"/>
      <c r="H3864" s="4307"/>
      <c r="I3864" s="4307"/>
      <c r="J3864" s="1029" t="str">
        <f t="shared" si="356"/>
        <v>354000_2024_12_</v>
      </c>
      <c r="K3864" s="1796">
        <v>6</v>
      </c>
      <c r="L3864" s="262"/>
      <c r="M3864" s="4202"/>
      <c r="P3864" s="261"/>
      <c r="Q3864" s="261"/>
      <c r="R3864" s="261"/>
      <c r="S3864" s="52"/>
      <c r="T3864" s="181"/>
      <c r="U3864" s="52"/>
      <c r="V3864" s="4295"/>
      <c r="W3864" s="263">
        <v>6</v>
      </c>
      <c r="X3864" s="263">
        <v>6</v>
      </c>
      <c r="Y3864" s="263">
        <v>6</v>
      </c>
      <c r="Z3864" s="263">
        <v>6</v>
      </c>
      <c r="AA3864" s="263">
        <v>6</v>
      </c>
      <c r="AB3864" s="263">
        <v>6</v>
      </c>
      <c r="AC3864" s="263">
        <v>6</v>
      </c>
      <c r="AD3864" s="263">
        <v>6</v>
      </c>
      <c r="AE3864" s="263">
        <v>6</v>
      </c>
      <c r="AF3864" s="271">
        <f t="shared" si="354"/>
        <v>6</v>
      </c>
      <c r="AG3864" s="263"/>
      <c r="DG3864" s="573"/>
      <c r="DH3864" s="159"/>
      <c r="DI3864" s="1091"/>
      <c r="DJ3864" s="1187"/>
    </row>
    <row r="3865" spans="1:114" ht="15" hidden="1" customHeight="1" outlineLevel="1">
      <c r="A3865" s="453"/>
      <c r="C3865" s="51"/>
      <c r="D3865" s="4295"/>
      <c r="E3865" s="4295"/>
      <c r="F3865" s="4307" t="str">
        <f t="shared" si="355"/>
        <v>ASHP-SEER19_ER1_SF</v>
      </c>
      <c r="G3865" s="4307"/>
      <c r="H3865" s="4307"/>
      <c r="I3865" s="4307"/>
      <c r="J3865" s="1029" t="str">
        <f t="shared" si="356"/>
        <v>354000_2024_12_</v>
      </c>
      <c r="K3865" s="1796">
        <v>6</v>
      </c>
      <c r="L3865" s="262"/>
      <c r="M3865" s="4202"/>
      <c r="P3865" s="261"/>
      <c r="Q3865" s="261"/>
      <c r="R3865" s="261"/>
      <c r="S3865" s="52"/>
      <c r="T3865" s="181"/>
      <c r="U3865" s="52"/>
      <c r="V3865" s="4295"/>
      <c r="W3865" s="263">
        <v>6</v>
      </c>
      <c r="X3865" s="263">
        <v>6</v>
      </c>
      <c r="Y3865" s="263">
        <v>6</v>
      </c>
      <c r="Z3865" s="263">
        <v>6</v>
      </c>
      <c r="AA3865" s="263">
        <v>6</v>
      </c>
      <c r="AB3865" s="263">
        <v>6</v>
      </c>
      <c r="AC3865" s="263">
        <v>6</v>
      </c>
      <c r="AD3865" s="263">
        <v>6</v>
      </c>
      <c r="AE3865" s="263">
        <v>6</v>
      </c>
      <c r="AF3865" s="271">
        <f t="shared" si="354"/>
        <v>6</v>
      </c>
      <c r="AG3865" s="263"/>
      <c r="DG3865" s="573"/>
      <c r="DH3865" s="159"/>
      <c r="DI3865" s="1091"/>
      <c r="DJ3865" s="1187"/>
    </row>
    <row r="3866" spans="1:114" ht="15" hidden="1" customHeight="1" outlineLevel="1">
      <c r="A3866" s="453"/>
      <c r="C3866" s="51"/>
      <c r="D3866" s="4295"/>
      <c r="E3866" s="4295"/>
      <c r="F3866" s="4307" t="str">
        <f t="shared" si="355"/>
        <v>ASHP-SEER19_ER2_SF</v>
      </c>
      <c r="G3866" s="4307"/>
      <c r="H3866" s="4307"/>
      <c r="I3866" s="4307"/>
      <c r="J3866" s="1029" t="str">
        <f t="shared" si="356"/>
        <v>354000_2024_12_</v>
      </c>
      <c r="K3866" s="1796">
        <v>12</v>
      </c>
      <c r="L3866" s="262"/>
      <c r="M3866" s="4202"/>
      <c r="P3866" s="261"/>
      <c r="Q3866" s="261"/>
      <c r="R3866" s="261"/>
      <c r="S3866" s="52"/>
      <c r="T3866" s="181"/>
      <c r="U3866" s="52"/>
      <c r="V3866" s="4295"/>
      <c r="W3866" s="263">
        <v>12</v>
      </c>
      <c r="X3866" s="263">
        <v>12</v>
      </c>
      <c r="Y3866" s="263">
        <v>12</v>
      </c>
      <c r="Z3866" s="263">
        <v>12</v>
      </c>
      <c r="AA3866" s="263">
        <v>12</v>
      </c>
      <c r="AB3866" s="263">
        <v>12</v>
      </c>
      <c r="AC3866" s="263">
        <v>12</v>
      </c>
      <c r="AD3866" s="263">
        <v>12</v>
      </c>
      <c r="AE3866" s="263">
        <v>12</v>
      </c>
      <c r="AF3866" s="271">
        <f t="shared" si="354"/>
        <v>12</v>
      </c>
      <c r="AG3866" s="263"/>
      <c r="DG3866" s="573"/>
      <c r="DH3866" s="159"/>
      <c r="DI3866" s="1091"/>
      <c r="DJ3866" s="1187"/>
    </row>
    <row r="3867" spans="1:114" ht="15" hidden="1" customHeight="1" outlineLevel="1">
      <c r="A3867" s="453"/>
      <c r="C3867" s="51"/>
      <c r="D3867" s="4295"/>
      <c r="E3867" s="4295"/>
      <c r="F3867" s="4307" t="str">
        <f t="shared" si="355"/>
        <v>ASHP-SEER19_ER2_SF</v>
      </c>
      <c r="G3867" s="4307"/>
      <c r="H3867" s="4307"/>
      <c r="I3867" s="4307"/>
      <c r="J3867" s="1029" t="str">
        <f t="shared" si="356"/>
        <v>354000_2024_12_</v>
      </c>
      <c r="K3867" s="1796">
        <v>12</v>
      </c>
      <c r="L3867" s="262"/>
      <c r="M3867" s="4202"/>
      <c r="P3867" s="261"/>
      <c r="Q3867" s="261"/>
      <c r="R3867" s="261"/>
      <c r="S3867" s="52"/>
      <c r="T3867" s="181"/>
      <c r="U3867" s="52"/>
      <c r="V3867" s="4295"/>
      <c r="W3867" s="263">
        <v>12</v>
      </c>
      <c r="X3867" s="263">
        <v>12</v>
      </c>
      <c r="Y3867" s="263">
        <v>12</v>
      </c>
      <c r="Z3867" s="263">
        <v>12</v>
      </c>
      <c r="AA3867" s="263">
        <v>12</v>
      </c>
      <c r="AB3867" s="263">
        <v>12</v>
      </c>
      <c r="AC3867" s="263">
        <v>12</v>
      </c>
      <c r="AD3867" s="263">
        <v>12</v>
      </c>
      <c r="AE3867" s="263">
        <v>12</v>
      </c>
      <c r="AF3867" s="271">
        <f t="shared" si="354"/>
        <v>12</v>
      </c>
      <c r="AG3867" s="263"/>
      <c r="DG3867" s="573"/>
      <c r="DH3867" s="159"/>
      <c r="DI3867" s="1091"/>
      <c r="DJ3867" s="1187"/>
    </row>
    <row r="3868" spans="1:114" ht="15" hidden="1" customHeight="1" outlineLevel="1">
      <c r="A3868" s="453"/>
      <c r="C3868" s="51"/>
      <c r="D3868" s="4295"/>
      <c r="E3868" s="4295"/>
      <c r="F3868" s="4307" t="str">
        <f t="shared" si="355"/>
        <v>ASHP-SEER19_ROF_SF</v>
      </c>
      <c r="G3868" s="4307"/>
      <c r="H3868" s="4307"/>
      <c r="I3868" s="4307"/>
      <c r="J3868" s="1029" t="str">
        <f t="shared" si="356"/>
        <v>354050_2024_12_</v>
      </c>
      <c r="K3868" s="1796">
        <v>18</v>
      </c>
      <c r="L3868" s="262"/>
      <c r="M3868" s="4202"/>
      <c r="P3868" s="261"/>
      <c r="Q3868" s="261"/>
      <c r="R3868" s="261"/>
      <c r="S3868" s="52"/>
      <c r="T3868" s="181"/>
      <c r="U3868" s="52"/>
      <c r="V3868" s="4295"/>
      <c r="W3868" s="263">
        <v>18</v>
      </c>
      <c r="X3868" s="263">
        <v>18</v>
      </c>
      <c r="Y3868" s="263">
        <v>18</v>
      </c>
      <c r="Z3868" s="263">
        <v>18</v>
      </c>
      <c r="AA3868" s="263">
        <v>18</v>
      </c>
      <c r="AB3868" s="263">
        <v>18</v>
      </c>
      <c r="AC3868" s="263">
        <v>18</v>
      </c>
      <c r="AD3868" s="263">
        <v>18</v>
      </c>
      <c r="AE3868" s="263">
        <v>18</v>
      </c>
      <c r="AF3868" s="271">
        <f t="shared" si="354"/>
        <v>18</v>
      </c>
      <c r="AG3868" s="263"/>
      <c r="DG3868" s="573"/>
      <c r="DH3868" s="159"/>
      <c r="DI3868" s="1091"/>
      <c r="DJ3868" s="1187"/>
    </row>
    <row r="3869" spans="1:114" ht="15" hidden="1" customHeight="1" outlineLevel="1">
      <c r="A3869" s="453"/>
      <c r="C3869" s="51"/>
      <c r="D3869" s="4295"/>
      <c r="E3869" s="4295"/>
      <c r="F3869" s="4307" t="str">
        <f t="shared" si="355"/>
        <v>ASHP-SEER19_ROF_SF</v>
      </c>
      <c r="G3869" s="4307"/>
      <c r="H3869" s="4307"/>
      <c r="I3869" s="4307"/>
      <c r="J3869" s="1029" t="str">
        <f t="shared" si="356"/>
        <v>354050_2024_12_</v>
      </c>
      <c r="K3869" s="1796">
        <v>18</v>
      </c>
      <c r="L3869" s="262"/>
      <c r="M3869" s="4202"/>
      <c r="P3869" s="261"/>
      <c r="Q3869" s="261"/>
      <c r="R3869" s="261"/>
      <c r="S3869" s="52"/>
      <c r="T3869" s="181"/>
      <c r="U3869" s="52"/>
      <c r="V3869" s="4295"/>
      <c r="W3869" s="263">
        <v>18</v>
      </c>
      <c r="X3869" s="263">
        <v>18</v>
      </c>
      <c r="Y3869" s="263">
        <v>18</v>
      </c>
      <c r="Z3869" s="263">
        <v>18</v>
      </c>
      <c r="AA3869" s="263">
        <v>18</v>
      </c>
      <c r="AB3869" s="263">
        <v>18</v>
      </c>
      <c r="AC3869" s="263">
        <v>18</v>
      </c>
      <c r="AD3869" s="263">
        <v>18</v>
      </c>
      <c r="AE3869" s="263">
        <v>18</v>
      </c>
      <c r="AF3869" s="271">
        <f t="shared" si="354"/>
        <v>18</v>
      </c>
      <c r="AG3869" s="263"/>
      <c r="DG3869" s="573"/>
      <c r="DH3869" s="159"/>
      <c r="DI3869" s="1091"/>
      <c r="DJ3869" s="1187"/>
    </row>
    <row r="3870" spans="1:114" ht="15" hidden="1" customHeight="1" outlineLevel="1">
      <c r="A3870" s="453"/>
      <c r="C3870" s="51"/>
      <c r="D3870" s="4295"/>
      <c r="E3870" s="4295"/>
      <c r="F3870" s="4307" t="str">
        <f t="shared" si="355"/>
        <v>ASHP-SEER17-Replace_CAC_ElectricHeat_ER1_SF</v>
      </c>
      <c r="G3870" s="4307"/>
      <c r="H3870" s="4307"/>
      <c r="I3870" s="4307"/>
      <c r="J3870" s="1029" t="str">
        <f t="shared" si="356"/>
        <v>354100_2024_12_</v>
      </c>
      <c r="K3870" s="1796">
        <v>6</v>
      </c>
      <c r="L3870" s="262"/>
      <c r="M3870" s="4202"/>
      <c r="P3870" s="261"/>
      <c r="Q3870" s="261"/>
      <c r="R3870" s="261"/>
      <c r="S3870" s="52"/>
      <c r="T3870" s="181"/>
      <c r="U3870" s="52"/>
      <c r="V3870" s="4295"/>
      <c r="W3870" s="263">
        <v>6</v>
      </c>
      <c r="X3870" s="263">
        <v>6</v>
      </c>
      <c r="Y3870" s="263">
        <v>6</v>
      </c>
      <c r="Z3870" s="263">
        <v>6</v>
      </c>
      <c r="AA3870" s="263">
        <v>6</v>
      </c>
      <c r="AB3870" s="263">
        <v>6</v>
      </c>
      <c r="AC3870" s="263">
        <v>6</v>
      </c>
      <c r="AD3870" s="263">
        <v>6</v>
      </c>
      <c r="AE3870" s="263">
        <v>6</v>
      </c>
      <c r="AF3870" s="271">
        <f t="shared" si="354"/>
        <v>6</v>
      </c>
      <c r="AG3870" s="263"/>
      <c r="DG3870" s="573"/>
      <c r="DH3870" s="159"/>
      <c r="DI3870" s="1091"/>
      <c r="DJ3870" s="1187"/>
    </row>
    <row r="3871" spans="1:114" ht="15" hidden="1" customHeight="1" outlineLevel="1">
      <c r="A3871" s="453"/>
      <c r="C3871" s="51"/>
      <c r="D3871" s="4295"/>
      <c r="E3871" s="4295"/>
      <c r="F3871" s="4307" t="str">
        <f t="shared" si="355"/>
        <v>ASHP-SEER17-Replace_CAC_ElectricHeat_ER1_SF</v>
      </c>
      <c r="G3871" s="4307"/>
      <c r="H3871" s="4307"/>
      <c r="I3871" s="4307"/>
      <c r="J3871" s="1029" t="str">
        <f t="shared" si="356"/>
        <v>354100_2024_12_</v>
      </c>
      <c r="K3871" s="1796">
        <v>6</v>
      </c>
      <c r="L3871" s="262"/>
      <c r="M3871" s="4202"/>
      <c r="P3871" s="261"/>
      <c r="Q3871" s="261"/>
      <c r="R3871" s="261"/>
      <c r="S3871" s="52"/>
      <c r="T3871" s="181"/>
      <c r="U3871" s="52"/>
      <c r="V3871" s="4295"/>
      <c r="W3871" s="263">
        <v>6</v>
      </c>
      <c r="X3871" s="263">
        <v>6</v>
      </c>
      <c r="Y3871" s="263">
        <v>6</v>
      </c>
      <c r="Z3871" s="263">
        <v>6</v>
      </c>
      <c r="AA3871" s="263">
        <v>6</v>
      </c>
      <c r="AB3871" s="263">
        <v>6</v>
      </c>
      <c r="AC3871" s="263">
        <v>6</v>
      </c>
      <c r="AD3871" s="263">
        <v>6</v>
      </c>
      <c r="AE3871" s="263">
        <v>6</v>
      </c>
      <c r="AF3871" s="271">
        <f t="shared" si="354"/>
        <v>6</v>
      </c>
      <c r="AG3871" s="263"/>
      <c r="DG3871" s="573"/>
      <c r="DH3871" s="159"/>
      <c r="DI3871" s="1091"/>
      <c r="DJ3871" s="1187"/>
    </row>
    <row r="3872" spans="1:114" ht="15" hidden="1" customHeight="1" outlineLevel="1">
      <c r="A3872" s="453"/>
      <c r="C3872" s="51"/>
      <c r="D3872" s="4295"/>
      <c r="E3872" s="4295"/>
      <c r="F3872" s="4307" t="str">
        <f t="shared" si="355"/>
        <v>ASHP-SEER17-Replace_CAC_ElectricHeat_ER2_SF</v>
      </c>
      <c r="G3872" s="4307"/>
      <c r="H3872" s="4307"/>
      <c r="I3872" s="4307"/>
      <c r="J3872" s="1029" t="str">
        <f t="shared" si="356"/>
        <v>354100_2024_12_</v>
      </c>
      <c r="K3872" s="1796">
        <v>12</v>
      </c>
      <c r="L3872" s="262"/>
      <c r="M3872" s="4202"/>
      <c r="P3872" s="261"/>
      <c r="Q3872" s="261"/>
      <c r="R3872" s="261"/>
      <c r="S3872" s="52"/>
      <c r="T3872" s="181"/>
      <c r="U3872" s="52"/>
      <c r="V3872" s="4295"/>
      <c r="W3872" s="263">
        <v>12</v>
      </c>
      <c r="X3872" s="263">
        <v>12</v>
      </c>
      <c r="Y3872" s="263">
        <v>12</v>
      </c>
      <c r="Z3872" s="263">
        <v>12</v>
      </c>
      <c r="AA3872" s="263">
        <v>12</v>
      </c>
      <c r="AB3872" s="263">
        <v>12</v>
      </c>
      <c r="AC3872" s="263">
        <v>12</v>
      </c>
      <c r="AD3872" s="263">
        <v>12</v>
      </c>
      <c r="AE3872" s="263">
        <v>12</v>
      </c>
      <c r="AF3872" s="271">
        <f t="shared" si="354"/>
        <v>12</v>
      </c>
      <c r="AG3872" s="263"/>
      <c r="DG3872" s="573"/>
      <c r="DH3872" s="159"/>
      <c r="DI3872" s="1091"/>
      <c r="DJ3872" s="1187"/>
    </row>
    <row r="3873" spans="1:114" ht="15" hidden="1" customHeight="1" outlineLevel="1">
      <c r="A3873" s="453"/>
      <c r="C3873" s="51"/>
      <c r="D3873" s="4295"/>
      <c r="E3873" s="4295"/>
      <c r="F3873" s="4307" t="str">
        <f t="shared" si="355"/>
        <v>ASHP-SEER17-Replace_CAC_ElectricHeat_ER2_SF</v>
      </c>
      <c r="G3873" s="4307"/>
      <c r="H3873" s="4307"/>
      <c r="I3873" s="4307"/>
      <c r="J3873" s="1029" t="str">
        <f t="shared" si="356"/>
        <v>354100_2024_12_</v>
      </c>
      <c r="K3873" s="1796">
        <v>12</v>
      </c>
      <c r="L3873" s="262"/>
      <c r="M3873" s="4202"/>
      <c r="P3873" s="261"/>
      <c r="Q3873" s="261"/>
      <c r="R3873" s="261"/>
      <c r="S3873" s="52"/>
      <c r="T3873" s="181"/>
      <c r="U3873" s="52"/>
      <c r="V3873" s="4295"/>
      <c r="W3873" s="263">
        <v>12</v>
      </c>
      <c r="X3873" s="263">
        <v>12</v>
      </c>
      <c r="Y3873" s="263">
        <v>12</v>
      </c>
      <c r="Z3873" s="263">
        <v>12</v>
      </c>
      <c r="AA3873" s="263">
        <v>12</v>
      </c>
      <c r="AB3873" s="263">
        <v>12</v>
      </c>
      <c r="AC3873" s="263">
        <v>12</v>
      </c>
      <c r="AD3873" s="263">
        <v>12</v>
      </c>
      <c r="AE3873" s="263">
        <v>12</v>
      </c>
      <c r="AF3873" s="271">
        <f t="shared" si="354"/>
        <v>12</v>
      </c>
      <c r="AG3873" s="263"/>
      <c r="DG3873" s="573"/>
      <c r="DH3873" s="159"/>
      <c r="DI3873" s="1091"/>
      <c r="DJ3873" s="1187"/>
    </row>
    <row r="3874" spans="1:114" ht="15" hidden="1" customHeight="1" outlineLevel="1">
      <c r="A3874" s="453"/>
      <c r="C3874" s="51"/>
      <c r="D3874" s="4295"/>
      <c r="E3874" s="4295"/>
      <c r="F3874" s="4307" t="str">
        <f t="shared" si="355"/>
        <v>ASHP-SEER17-Replace_CAC_NonElectricHeat_ER1_SF</v>
      </c>
      <c r="G3874" s="4307"/>
      <c r="H3874" s="4307"/>
      <c r="I3874" s="4307"/>
      <c r="J3874" s="1029" t="str">
        <f t="shared" si="356"/>
        <v>354110_2024_12_</v>
      </c>
      <c r="K3874" s="1796">
        <v>6</v>
      </c>
      <c r="L3874" s="262"/>
      <c r="M3874" s="4202"/>
      <c r="P3874" s="261"/>
      <c r="Q3874" s="261"/>
      <c r="R3874" s="261"/>
      <c r="S3874" s="52"/>
      <c r="T3874" s="181"/>
      <c r="U3874" s="52"/>
      <c r="V3874" s="4295"/>
      <c r="W3874" s="263"/>
      <c r="X3874" s="263"/>
      <c r="Y3874" s="263"/>
      <c r="Z3874" s="263"/>
      <c r="AA3874" s="263"/>
      <c r="AB3874" s="263"/>
      <c r="AC3874" s="1030">
        <v>6</v>
      </c>
      <c r="AD3874" s="263">
        <v>6</v>
      </c>
      <c r="AE3874" s="263">
        <v>6</v>
      </c>
      <c r="AF3874" s="271">
        <f t="shared" si="354"/>
        <v>6</v>
      </c>
      <c r="AG3874" s="263"/>
      <c r="DG3874" s="573"/>
      <c r="DH3874" s="159"/>
      <c r="DI3874" s="1091"/>
      <c r="DJ3874" s="1187"/>
    </row>
    <row r="3875" spans="1:114" ht="15" hidden="1" customHeight="1" outlineLevel="1">
      <c r="A3875" s="453"/>
      <c r="C3875" s="51"/>
      <c r="D3875" s="4295"/>
      <c r="E3875" s="4295"/>
      <c r="F3875" s="4307" t="str">
        <f t="shared" si="355"/>
        <v>ASHP-SEER17-Replace_CAC_NonElectricHeat_ER1_SF</v>
      </c>
      <c r="G3875" s="4307"/>
      <c r="H3875" s="4307"/>
      <c r="I3875" s="4307"/>
      <c r="J3875" s="1029" t="str">
        <f t="shared" si="356"/>
        <v>354110_2024_12_</v>
      </c>
      <c r="K3875" s="1796">
        <v>6</v>
      </c>
      <c r="L3875" s="262"/>
      <c r="M3875" s="4202"/>
      <c r="P3875" s="261"/>
      <c r="Q3875" s="261"/>
      <c r="R3875" s="261"/>
      <c r="S3875" s="52"/>
      <c r="T3875" s="181"/>
      <c r="U3875" s="52"/>
      <c r="V3875" s="4295"/>
      <c r="W3875" s="263"/>
      <c r="X3875" s="263"/>
      <c r="Y3875" s="263"/>
      <c r="Z3875" s="263"/>
      <c r="AA3875" s="263"/>
      <c r="AB3875" s="263"/>
      <c r="AC3875" s="1030">
        <v>6</v>
      </c>
      <c r="AD3875" s="263">
        <v>6</v>
      </c>
      <c r="AE3875" s="263">
        <v>6</v>
      </c>
      <c r="AF3875" s="271">
        <f t="shared" si="354"/>
        <v>6</v>
      </c>
      <c r="AG3875" s="263"/>
      <c r="DG3875" s="573"/>
      <c r="DH3875" s="159"/>
      <c r="DI3875" s="1091"/>
      <c r="DJ3875" s="1187"/>
    </row>
    <row r="3876" spans="1:114" ht="15" hidden="1" customHeight="1" outlineLevel="1">
      <c r="A3876" s="453"/>
      <c r="C3876" s="51"/>
      <c r="D3876" s="4295"/>
      <c r="E3876" s="4295"/>
      <c r="F3876" s="4307" t="str">
        <f t="shared" si="355"/>
        <v>ASHP-SEER17-Replace_CAC_NonElectricHeat_ER2_SF</v>
      </c>
      <c r="G3876" s="4307"/>
      <c r="H3876" s="4307"/>
      <c r="I3876" s="4307"/>
      <c r="J3876" s="1029" t="str">
        <f t="shared" si="356"/>
        <v>354110_2024_12_</v>
      </c>
      <c r="K3876" s="1796">
        <v>12</v>
      </c>
      <c r="L3876" s="262"/>
      <c r="M3876" s="4202"/>
      <c r="P3876" s="261"/>
      <c r="Q3876" s="261"/>
      <c r="R3876" s="261"/>
      <c r="S3876" s="52"/>
      <c r="T3876" s="181"/>
      <c r="U3876" s="52"/>
      <c r="V3876" s="4295"/>
      <c r="W3876" s="263"/>
      <c r="X3876" s="263"/>
      <c r="Y3876" s="263"/>
      <c r="Z3876" s="263"/>
      <c r="AA3876" s="263"/>
      <c r="AB3876" s="263"/>
      <c r="AC3876" s="1030">
        <v>12</v>
      </c>
      <c r="AD3876" s="263">
        <v>12</v>
      </c>
      <c r="AE3876" s="263">
        <v>12</v>
      </c>
      <c r="AF3876" s="271">
        <f t="shared" si="354"/>
        <v>12</v>
      </c>
      <c r="AG3876" s="263"/>
      <c r="DG3876" s="573"/>
      <c r="DH3876" s="159"/>
      <c r="DI3876" s="1091"/>
      <c r="DJ3876" s="1187"/>
    </row>
    <row r="3877" spans="1:114" ht="15" hidden="1" customHeight="1" outlineLevel="1">
      <c r="A3877" s="453"/>
      <c r="C3877" s="51"/>
      <c r="D3877" s="4295"/>
      <c r="E3877" s="4295"/>
      <c r="F3877" s="4307" t="str">
        <f t="shared" si="355"/>
        <v>ASHP-SEER17-Replace_CAC_NonElectricHeat_ER2_SF</v>
      </c>
      <c r="G3877" s="4307"/>
      <c r="H3877" s="4307"/>
      <c r="I3877" s="4307"/>
      <c r="J3877" s="1029" t="str">
        <f t="shared" si="356"/>
        <v>354110_2024_12_</v>
      </c>
      <c r="K3877" s="1796">
        <v>12</v>
      </c>
      <c r="L3877" s="262"/>
      <c r="M3877" s="4202"/>
      <c r="P3877" s="261"/>
      <c r="Q3877" s="261"/>
      <c r="R3877" s="261"/>
      <c r="S3877" s="52"/>
      <c r="T3877" s="181"/>
      <c r="U3877" s="52"/>
      <c r="V3877" s="4295"/>
      <c r="W3877" s="263"/>
      <c r="X3877" s="263"/>
      <c r="Y3877" s="263"/>
      <c r="Z3877" s="263"/>
      <c r="AA3877" s="263"/>
      <c r="AB3877" s="263"/>
      <c r="AC3877" s="1030">
        <v>12</v>
      </c>
      <c r="AD3877" s="263">
        <v>12</v>
      </c>
      <c r="AE3877" s="263">
        <v>12</v>
      </c>
      <c r="AF3877" s="271">
        <f t="shared" si="354"/>
        <v>12</v>
      </c>
      <c r="AG3877" s="263"/>
      <c r="DG3877" s="573"/>
      <c r="DH3877" s="159"/>
      <c r="DI3877" s="1091"/>
      <c r="DJ3877" s="1187"/>
    </row>
    <row r="3878" spans="1:114" ht="15" hidden="1" customHeight="1" outlineLevel="1">
      <c r="A3878" s="453"/>
      <c r="C3878" s="51"/>
      <c r="D3878" s="4295"/>
      <c r="E3878" s="4295"/>
      <c r="F3878" s="4307" t="str">
        <f t="shared" si="355"/>
        <v>ASHP-SEER17-Replace_CAC_ElectricHeat_ER1_MF</v>
      </c>
      <c r="G3878" s="4307"/>
      <c r="H3878" s="4307"/>
      <c r="I3878" s="4307"/>
      <c r="J3878" s="1029" t="str">
        <f t="shared" si="356"/>
        <v>354150_2024_12_</v>
      </c>
      <c r="K3878" s="1796">
        <v>6</v>
      </c>
      <c r="L3878" s="262"/>
      <c r="M3878" s="4202"/>
      <c r="P3878" s="261"/>
      <c r="Q3878" s="261"/>
      <c r="R3878" s="261"/>
      <c r="S3878" s="52"/>
      <c r="T3878" s="181"/>
      <c r="U3878" s="52"/>
      <c r="V3878" s="4295"/>
      <c r="W3878" s="263">
        <v>6</v>
      </c>
      <c r="X3878" s="263">
        <v>6</v>
      </c>
      <c r="Y3878" s="263">
        <v>6</v>
      </c>
      <c r="Z3878" s="263">
        <v>6</v>
      </c>
      <c r="AA3878" s="263">
        <v>6</v>
      </c>
      <c r="AB3878" s="263">
        <v>6</v>
      </c>
      <c r="AC3878" s="263">
        <v>6</v>
      </c>
      <c r="AD3878" s="263">
        <v>6</v>
      </c>
      <c r="AE3878" s="263">
        <v>6</v>
      </c>
      <c r="AF3878" s="271">
        <f t="shared" si="354"/>
        <v>6</v>
      </c>
      <c r="AG3878" s="263"/>
      <c r="DG3878" s="573"/>
      <c r="DH3878" s="159"/>
      <c r="DI3878" s="1091"/>
      <c r="DJ3878" s="1187"/>
    </row>
    <row r="3879" spans="1:114" ht="15" hidden="1" customHeight="1" outlineLevel="1">
      <c r="A3879" s="453"/>
      <c r="C3879" s="51"/>
      <c r="D3879" s="4295"/>
      <c r="E3879" s="4295"/>
      <c r="F3879" s="4307" t="str">
        <f t="shared" si="355"/>
        <v>ASHP-SEER17-Replace_CAC_ElectricHeat_ER1_MF</v>
      </c>
      <c r="G3879" s="4307"/>
      <c r="H3879" s="4307"/>
      <c r="I3879" s="4307"/>
      <c r="J3879" s="1029" t="str">
        <f t="shared" si="356"/>
        <v>354150_2024_12_</v>
      </c>
      <c r="K3879" s="1796">
        <v>6</v>
      </c>
      <c r="L3879" s="262"/>
      <c r="M3879" s="4202"/>
      <c r="P3879" s="261"/>
      <c r="Q3879" s="261"/>
      <c r="R3879" s="261"/>
      <c r="S3879" s="52"/>
      <c r="T3879" s="181"/>
      <c r="U3879" s="52"/>
      <c r="V3879" s="4295"/>
      <c r="W3879" s="263">
        <v>6</v>
      </c>
      <c r="X3879" s="263">
        <v>6</v>
      </c>
      <c r="Y3879" s="263">
        <v>6</v>
      </c>
      <c r="Z3879" s="263">
        <v>6</v>
      </c>
      <c r="AA3879" s="263">
        <v>6</v>
      </c>
      <c r="AB3879" s="263">
        <v>6</v>
      </c>
      <c r="AC3879" s="263">
        <v>6</v>
      </c>
      <c r="AD3879" s="263">
        <v>6</v>
      </c>
      <c r="AE3879" s="263">
        <v>6</v>
      </c>
      <c r="AF3879" s="271">
        <f t="shared" si="354"/>
        <v>6</v>
      </c>
      <c r="AG3879" s="263"/>
      <c r="DG3879" s="573"/>
      <c r="DH3879" s="159"/>
      <c r="DI3879" s="1091"/>
      <c r="DJ3879" s="1187"/>
    </row>
    <row r="3880" spans="1:114" ht="15" hidden="1" customHeight="1" outlineLevel="1">
      <c r="A3880" s="453"/>
      <c r="C3880" s="51"/>
      <c r="D3880" s="4295"/>
      <c r="E3880" s="4295"/>
      <c r="F3880" s="4307" t="str">
        <f t="shared" si="355"/>
        <v>ASHP-SEER17-Replace_CAC_ElectricHeat_ER2_MF</v>
      </c>
      <c r="G3880" s="4307"/>
      <c r="H3880" s="4307"/>
      <c r="I3880" s="4307"/>
      <c r="J3880" s="1029" t="str">
        <f t="shared" si="356"/>
        <v>354150_2024_12_</v>
      </c>
      <c r="K3880" s="1796">
        <v>12</v>
      </c>
      <c r="L3880" s="262"/>
      <c r="M3880" s="4202"/>
      <c r="P3880" s="261"/>
      <c r="Q3880" s="261"/>
      <c r="R3880" s="261"/>
      <c r="S3880" s="52"/>
      <c r="T3880" s="181"/>
      <c r="U3880" s="52"/>
      <c r="V3880" s="4295"/>
      <c r="W3880" s="263">
        <v>12</v>
      </c>
      <c r="X3880" s="263">
        <v>12</v>
      </c>
      <c r="Y3880" s="263">
        <v>12</v>
      </c>
      <c r="Z3880" s="263">
        <v>12</v>
      </c>
      <c r="AA3880" s="263">
        <v>12</v>
      </c>
      <c r="AB3880" s="263">
        <v>12</v>
      </c>
      <c r="AC3880" s="263">
        <v>12</v>
      </c>
      <c r="AD3880" s="263">
        <v>12</v>
      </c>
      <c r="AE3880" s="263">
        <v>12</v>
      </c>
      <c r="AF3880" s="271">
        <f t="shared" si="354"/>
        <v>12</v>
      </c>
      <c r="AG3880" s="263"/>
      <c r="DG3880" s="573"/>
      <c r="DH3880" s="159"/>
      <c r="DI3880" s="1091"/>
      <c r="DJ3880" s="1187"/>
    </row>
    <row r="3881" spans="1:114" ht="15" hidden="1" customHeight="1" outlineLevel="1">
      <c r="A3881" s="453"/>
      <c r="C3881" s="51"/>
      <c r="D3881" s="4295"/>
      <c r="E3881" s="4295"/>
      <c r="F3881" s="4307" t="str">
        <f t="shared" si="355"/>
        <v>ASHP-SEER17-Replace_CAC_ElectricHeat_ER2_MF</v>
      </c>
      <c r="G3881" s="4307"/>
      <c r="H3881" s="4307"/>
      <c r="I3881" s="4307"/>
      <c r="J3881" s="1029" t="str">
        <f t="shared" si="356"/>
        <v>354150_2024_12_</v>
      </c>
      <c r="K3881" s="1796">
        <v>12</v>
      </c>
      <c r="L3881" s="262"/>
      <c r="M3881" s="4202"/>
      <c r="P3881" s="261"/>
      <c r="Q3881" s="261"/>
      <c r="R3881" s="261"/>
      <c r="S3881" s="52"/>
      <c r="T3881" s="181"/>
      <c r="U3881" s="52"/>
      <c r="V3881" s="4295"/>
      <c r="W3881" s="263">
        <v>12</v>
      </c>
      <c r="X3881" s="263">
        <v>12</v>
      </c>
      <c r="Y3881" s="263">
        <v>12</v>
      </c>
      <c r="Z3881" s="263">
        <v>12</v>
      </c>
      <c r="AA3881" s="263">
        <v>12</v>
      </c>
      <c r="AB3881" s="263">
        <v>12</v>
      </c>
      <c r="AC3881" s="263">
        <v>12</v>
      </c>
      <c r="AD3881" s="263">
        <v>12</v>
      </c>
      <c r="AE3881" s="263">
        <v>12</v>
      </c>
      <c r="AF3881" s="271">
        <f t="shared" si="354"/>
        <v>12</v>
      </c>
      <c r="AG3881" s="263"/>
      <c r="DG3881" s="573"/>
      <c r="DH3881" s="159"/>
      <c r="DI3881" s="1091"/>
      <c r="DJ3881" s="1187"/>
    </row>
    <row r="3882" spans="1:114" ht="15" hidden="1" customHeight="1" outlineLevel="1">
      <c r="A3882" s="453"/>
      <c r="C3882" s="51"/>
      <c r="D3882" s="4295"/>
      <c r="E3882" s="4295"/>
      <c r="F3882" s="4347" t="str">
        <f t="shared" si="355"/>
        <v>ASHP-SEER17-Replace_CAC_ElectricHeat_ER1_MF_CompE</v>
      </c>
      <c r="G3882" s="4347"/>
      <c r="H3882" s="4347"/>
      <c r="I3882" s="4347"/>
      <c r="J3882" s="3471" t="str">
        <f t="shared" si="356"/>
        <v>354151_2024_12_</v>
      </c>
      <c r="K3882" s="3377">
        <v>6</v>
      </c>
      <c r="L3882" s="262"/>
      <c r="M3882" s="4202"/>
      <c r="P3882" s="261"/>
      <c r="Q3882" s="261"/>
      <c r="R3882" s="261"/>
      <c r="S3882" s="52"/>
      <c r="T3882" s="181"/>
      <c r="U3882" s="52"/>
      <c r="V3882" s="4295"/>
      <c r="W3882" s="263"/>
      <c r="X3882" s="263"/>
      <c r="Y3882" s="263"/>
      <c r="Z3882" s="263"/>
      <c r="AA3882" s="263"/>
      <c r="AB3882" s="263"/>
      <c r="AC3882" s="3495">
        <v>6</v>
      </c>
      <c r="AD3882" s="3494">
        <v>6</v>
      </c>
      <c r="AE3882" s="3494">
        <v>6</v>
      </c>
      <c r="AF3882" s="2236">
        <f t="shared" si="354"/>
        <v>6</v>
      </c>
      <c r="AG3882" s="263"/>
      <c r="DG3882" s="573"/>
      <c r="DH3882" s="159"/>
      <c r="DI3882" s="1091"/>
      <c r="DJ3882" s="1187"/>
    </row>
    <row r="3883" spans="1:114" ht="15" hidden="1" customHeight="1" outlineLevel="1">
      <c r="A3883" s="453"/>
      <c r="C3883" s="51"/>
      <c r="D3883" s="4295"/>
      <c r="E3883" s="4295"/>
      <c r="F3883" s="4347" t="str">
        <f t="shared" si="355"/>
        <v>ASHP-SEER17-Replace_CAC_ElectricHeat_ER1_MF_CompE</v>
      </c>
      <c r="G3883" s="4347"/>
      <c r="H3883" s="4347"/>
      <c r="I3883" s="4347"/>
      <c r="J3883" s="3471" t="str">
        <f t="shared" si="356"/>
        <v>354151_2024_12_</v>
      </c>
      <c r="K3883" s="3377">
        <v>6</v>
      </c>
      <c r="L3883" s="262"/>
      <c r="M3883" s="4202"/>
      <c r="P3883" s="261"/>
      <c r="Q3883" s="261"/>
      <c r="R3883" s="261"/>
      <c r="S3883" s="52"/>
      <c r="T3883" s="181"/>
      <c r="U3883" s="52"/>
      <c r="V3883" s="4295"/>
      <c r="W3883" s="263"/>
      <c r="X3883" s="263"/>
      <c r="Y3883" s="263"/>
      <c r="Z3883" s="263"/>
      <c r="AA3883" s="263"/>
      <c r="AB3883" s="263"/>
      <c r="AC3883" s="3495">
        <v>6</v>
      </c>
      <c r="AD3883" s="3494">
        <v>6</v>
      </c>
      <c r="AE3883" s="3494">
        <v>6</v>
      </c>
      <c r="AF3883" s="2236">
        <f t="shared" si="354"/>
        <v>6</v>
      </c>
      <c r="AG3883" s="263"/>
      <c r="DG3883" s="573"/>
      <c r="DH3883" s="159"/>
      <c r="DI3883" s="1091"/>
      <c r="DJ3883" s="1187"/>
    </row>
    <row r="3884" spans="1:114" ht="15" hidden="1" customHeight="1" outlineLevel="1">
      <c r="A3884" s="453"/>
      <c r="C3884" s="51"/>
      <c r="D3884" s="4295"/>
      <c r="E3884" s="4295"/>
      <c r="F3884" s="4347" t="str">
        <f t="shared" si="355"/>
        <v>ASHP-SEER17-Replace_CAC_ElectricHeat_ER2_MF_CompE</v>
      </c>
      <c r="G3884" s="4347"/>
      <c r="H3884" s="4347"/>
      <c r="I3884" s="4347"/>
      <c r="J3884" s="3471" t="str">
        <f t="shared" si="356"/>
        <v>354151_2024_12_</v>
      </c>
      <c r="K3884" s="3377">
        <v>12</v>
      </c>
      <c r="L3884" s="262"/>
      <c r="M3884" s="4202"/>
      <c r="P3884" s="261"/>
      <c r="Q3884" s="261"/>
      <c r="R3884" s="261"/>
      <c r="S3884" s="52"/>
      <c r="T3884" s="181"/>
      <c r="U3884" s="52"/>
      <c r="V3884" s="4295"/>
      <c r="W3884" s="263"/>
      <c r="X3884" s="263"/>
      <c r="Y3884" s="263"/>
      <c r="Z3884" s="263"/>
      <c r="AA3884" s="263"/>
      <c r="AB3884" s="263"/>
      <c r="AC3884" s="3495">
        <v>12</v>
      </c>
      <c r="AD3884" s="3494">
        <v>12</v>
      </c>
      <c r="AE3884" s="3494">
        <v>12</v>
      </c>
      <c r="AF3884" s="2236">
        <f t="shared" si="354"/>
        <v>12</v>
      </c>
      <c r="AG3884" s="263"/>
      <c r="DG3884" s="573"/>
      <c r="DH3884" s="159"/>
      <c r="DI3884" s="1091"/>
      <c r="DJ3884" s="1187"/>
    </row>
    <row r="3885" spans="1:114" ht="15" hidden="1" customHeight="1" outlineLevel="1">
      <c r="A3885" s="453"/>
      <c r="C3885" s="51"/>
      <c r="D3885" s="4295"/>
      <c r="E3885" s="4295"/>
      <c r="F3885" s="4347" t="str">
        <f t="shared" si="355"/>
        <v>ASHP-SEER17-Replace_CAC_ElectricHeat_ER2_MF_CompE</v>
      </c>
      <c r="G3885" s="4347"/>
      <c r="H3885" s="4347"/>
      <c r="I3885" s="4347"/>
      <c r="J3885" s="3471" t="str">
        <f t="shared" si="356"/>
        <v>354151_2024_12_</v>
      </c>
      <c r="K3885" s="3377">
        <v>12</v>
      </c>
      <c r="L3885" s="262"/>
      <c r="M3885" s="4202"/>
      <c r="P3885" s="261"/>
      <c r="Q3885" s="261"/>
      <c r="R3885" s="261"/>
      <c r="S3885" s="52"/>
      <c r="T3885" s="181"/>
      <c r="U3885" s="52"/>
      <c r="V3885" s="4295"/>
      <c r="W3885" s="263"/>
      <c r="X3885" s="263"/>
      <c r="Y3885" s="263"/>
      <c r="Z3885" s="263"/>
      <c r="AA3885" s="263"/>
      <c r="AB3885" s="263"/>
      <c r="AC3885" s="3495">
        <v>12</v>
      </c>
      <c r="AD3885" s="3494">
        <v>12</v>
      </c>
      <c r="AE3885" s="3494">
        <v>12</v>
      </c>
      <c r="AF3885" s="2236">
        <f t="shared" si="354"/>
        <v>12</v>
      </c>
      <c r="AG3885" s="263"/>
      <c r="DG3885" s="573"/>
      <c r="DH3885" s="159"/>
      <c r="DI3885" s="1091"/>
      <c r="DJ3885" s="1187"/>
    </row>
    <row r="3886" spans="1:114" ht="15" hidden="1" customHeight="1" outlineLevel="1">
      <c r="A3886" s="453"/>
      <c r="C3886" s="51"/>
      <c r="D3886" s="4295"/>
      <c r="E3886" s="4295"/>
      <c r="F3886" s="4347" t="str">
        <f t="shared" si="355"/>
        <v>ASHP-SEER17-Replace_CAC_NonElectricHeat_ER1_MF</v>
      </c>
      <c r="G3886" s="4347"/>
      <c r="H3886" s="4347"/>
      <c r="I3886" s="4347"/>
      <c r="J3886" s="3471" t="str">
        <f t="shared" si="356"/>
        <v>354160_2024_12_</v>
      </c>
      <c r="K3886" s="3377">
        <v>6</v>
      </c>
      <c r="L3886" s="262"/>
      <c r="M3886" s="4202"/>
      <c r="P3886" s="261"/>
      <c r="Q3886" s="261"/>
      <c r="R3886" s="261"/>
      <c r="S3886" s="52"/>
      <c r="T3886" s="181"/>
      <c r="U3886" s="52"/>
      <c r="V3886" s="4295"/>
      <c r="W3886" s="263"/>
      <c r="X3886" s="263"/>
      <c r="Y3886" s="263"/>
      <c r="Z3886" s="263"/>
      <c r="AA3886" s="263"/>
      <c r="AB3886" s="263"/>
      <c r="AC3886" s="3495">
        <v>6</v>
      </c>
      <c r="AD3886" s="3494">
        <v>6</v>
      </c>
      <c r="AE3886" s="3494">
        <v>6</v>
      </c>
      <c r="AF3886" s="2236">
        <f t="shared" si="354"/>
        <v>6</v>
      </c>
      <c r="AG3886" s="263"/>
      <c r="DG3886" s="573"/>
      <c r="DH3886" s="159"/>
      <c r="DI3886" s="1091"/>
      <c r="DJ3886" s="1187"/>
    </row>
    <row r="3887" spans="1:114" ht="15" hidden="1" customHeight="1" outlineLevel="1">
      <c r="A3887" s="453"/>
      <c r="C3887" s="51"/>
      <c r="D3887" s="4295"/>
      <c r="E3887" s="4295"/>
      <c r="F3887" s="4347" t="str">
        <f t="shared" si="355"/>
        <v>ASHP-SEER17-Replace_CAC_NonElectricHeat_ER1_MF</v>
      </c>
      <c r="G3887" s="4347"/>
      <c r="H3887" s="4347"/>
      <c r="I3887" s="4347"/>
      <c r="J3887" s="3471" t="str">
        <f t="shared" si="356"/>
        <v>354160_2024_12_</v>
      </c>
      <c r="K3887" s="3377">
        <v>6</v>
      </c>
      <c r="L3887" s="262"/>
      <c r="M3887" s="4202"/>
      <c r="P3887" s="261"/>
      <c r="Q3887" s="261"/>
      <c r="R3887" s="261"/>
      <c r="S3887" s="52"/>
      <c r="T3887" s="181"/>
      <c r="U3887" s="52"/>
      <c r="V3887" s="4295"/>
      <c r="W3887" s="263"/>
      <c r="X3887" s="263"/>
      <c r="Y3887" s="263"/>
      <c r="Z3887" s="263"/>
      <c r="AA3887" s="263"/>
      <c r="AB3887" s="263"/>
      <c r="AC3887" s="3495">
        <v>6</v>
      </c>
      <c r="AD3887" s="3494">
        <v>6</v>
      </c>
      <c r="AE3887" s="3494">
        <v>6</v>
      </c>
      <c r="AF3887" s="2236">
        <f t="shared" si="354"/>
        <v>6</v>
      </c>
      <c r="AG3887" s="263"/>
      <c r="DG3887" s="573"/>
      <c r="DH3887" s="159"/>
      <c r="DI3887" s="1091"/>
      <c r="DJ3887" s="1187"/>
    </row>
    <row r="3888" spans="1:114" ht="15" hidden="1" customHeight="1" outlineLevel="1">
      <c r="A3888" s="453"/>
      <c r="C3888" s="51"/>
      <c r="D3888" s="4295"/>
      <c r="E3888" s="4295"/>
      <c r="F3888" s="4347" t="str">
        <f t="shared" si="355"/>
        <v>ASHP-SEER17-Replace_CAC_NonElectricHeat_ER2_MF</v>
      </c>
      <c r="G3888" s="4347"/>
      <c r="H3888" s="4347"/>
      <c r="I3888" s="4347"/>
      <c r="J3888" s="3471" t="str">
        <f t="shared" si="356"/>
        <v>354160_2024_12_</v>
      </c>
      <c r="K3888" s="3377">
        <v>12</v>
      </c>
      <c r="L3888" s="262"/>
      <c r="M3888" s="4202"/>
      <c r="P3888" s="261"/>
      <c r="Q3888" s="261"/>
      <c r="R3888" s="261"/>
      <c r="S3888" s="52"/>
      <c r="T3888" s="181"/>
      <c r="U3888" s="52"/>
      <c r="V3888" s="4295"/>
      <c r="W3888" s="263"/>
      <c r="X3888" s="263"/>
      <c r="Y3888" s="263"/>
      <c r="Z3888" s="263"/>
      <c r="AA3888" s="263"/>
      <c r="AB3888" s="263"/>
      <c r="AC3888" s="3495">
        <v>12</v>
      </c>
      <c r="AD3888" s="3494">
        <v>12</v>
      </c>
      <c r="AE3888" s="3494">
        <v>12</v>
      </c>
      <c r="AF3888" s="2236">
        <f t="shared" si="354"/>
        <v>12</v>
      </c>
      <c r="AG3888" s="263"/>
      <c r="DG3888" s="573"/>
      <c r="DH3888" s="159"/>
      <c r="DI3888" s="1091"/>
      <c r="DJ3888" s="1187"/>
    </row>
    <row r="3889" spans="1:114" ht="15" hidden="1" customHeight="1" outlineLevel="1">
      <c r="A3889" s="453"/>
      <c r="C3889" s="51"/>
      <c r="D3889" s="4295"/>
      <c r="E3889" s="4295"/>
      <c r="F3889" s="4347" t="str">
        <f t="shared" si="355"/>
        <v>ASHP-SEER17-Replace_CAC_NonElectricHeat_ER2_MF</v>
      </c>
      <c r="G3889" s="4347"/>
      <c r="H3889" s="4347"/>
      <c r="I3889" s="4347"/>
      <c r="J3889" s="3471" t="str">
        <f t="shared" si="356"/>
        <v>354160_2024_12_</v>
      </c>
      <c r="K3889" s="3377">
        <v>12</v>
      </c>
      <c r="L3889" s="262"/>
      <c r="M3889" s="4202"/>
      <c r="P3889" s="261"/>
      <c r="Q3889" s="261"/>
      <c r="R3889" s="261"/>
      <c r="S3889" s="52"/>
      <c r="T3889" s="181"/>
      <c r="U3889" s="52"/>
      <c r="V3889" s="4295"/>
      <c r="W3889" s="263"/>
      <c r="X3889" s="263"/>
      <c r="Y3889" s="263"/>
      <c r="Z3889" s="263"/>
      <c r="AA3889" s="263"/>
      <c r="AB3889" s="263"/>
      <c r="AC3889" s="3495">
        <v>12</v>
      </c>
      <c r="AD3889" s="3494">
        <v>12</v>
      </c>
      <c r="AE3889" s="3494">
        <v>12</v>
      </c>
      <c r="AF3889" s="2236">
        <f t="shared" si="354"/>
        <v>12</v>
      </c>
      <c r="AG3889" s="263"/>
      <c r="DG3889" s="573"/>
      <c r="DH3889" s="159"/>
      <c r="DI3889" s="1091"/>
      <c r="DJ3889" s="1187"/>
    </row>
    <row r="3890" spans="1:114" ht="15" hidden="1" customHeight="1" outlineLevel="1">
      <c r="A3890" s="453"/>
      <c r="C3890" s="51"/>
      <c r="D3890" s="4295"/>
      <c r="E3890" s="4295"/>
      <c r="F3890" s="4347" t="str">
        <f t="shared" si="355"/>
        <v>ASHP-SEER17-Replace_CAC_NonElectricHeat_ER1_MF_CompE</v>
      </c>
      <c r="G3890" s="4347"/>
      <c r="H3890" s="4347"/>
      <c r="I3890" s="4347"/>
      <c r="J3890" s="3471" t="str">
        <f t="shared" si="356"/>
        <v>354161_2024_12_</v>
      </c>
      <c r="K3890" s="3377">
        <v>6</v>
      </c>
      <c r="L3890" s="262"/>
      <c r="M3890" s="4202"/>
      <c r="P3890" s="261"/>
      <c r="Q3890" s="261"/>
      <c r="R3890" s="261"/>
      <c r="S3890" s="52"/>
      <c r="T3890" s="181"/>
      <c r="U3890" s="52"/>
      <c r="V3890" s="4295"/>
      <c r="W3890" s="263"/>
      <c r="X3890" s="263"/>
      <c r="Y3890" s="263"/>
      <c r="Z3890" s="263"/>
      <c r="AA3890" s="263"/>
      <c r="AB3890" s="263"/>
      <c r="AC3890" s="3495">
        <v>6</v>
      </c>
      <c r="AD3890" s="3494">
        <v>6</v>
      </c>
      <c r="AE3890" s="3494">
        <v>6</v>
      </c>
      <c r="AF3890" s="2236">
        <f t="shared" si="354"/>
        <v>6</v>
      </c>
      <c r="AG3890" s="263"/>
      <c r="DG3890" s="573"/>
      <c r="DH3890" s="159"/>
      <c r="DI3890" s="1091"/>
      <c r="DJ3890" s="1187"/>
    </row>
    <row r="3891" spans="1:114" ht="15" hidden="1" customHeight="1" outlineLevel="1">
      <c r="A3891" s="453"/>
      <c r="C3891" s="51"/>
      <c r="D3891" s="4295"/>
      <c r="E3891" s="4295"/>
      <c r="F3891" s="4347" t="str">
        <f t="shared" si="355"/>
        <v>ASHP-SEER17-Replace_CAC_NonElectricHeat_ER1_MF_CompE</v>
      </c>
      <c r="G3891" s="4347"/>
      <c r="H3891" s="4347"/>
      <c r="I3891" s="4347"/>
      <c r="J3891" s="3471" t="str">
        <f t="shared" si="356"/>
        <v>354161_2024_12_</v>
      </c>
      <c r="K3891" s="3377">
        <v>6</v>
      </c>
      <c r="L3891" s="262"/>
      <c r="M3891" s="4202"/>
      <c r="P3891" s="261"/>
      <c r="Q3891" s="261"/>
      <c r="R3891" s="261"/>
      <c r="S3891" s="52"/>
      <c r="T3891" s="181"/>
      <c r="U3891" s="52"/>
      <c r="V3891" s="4295"/>
      <c r="W3891" s="263"/>
      <c r="X3891" s="263"/>
      <c r="Y3891" s="263"/>
      <c r="Z3891" s="263"/>
      <c r="AA3891" s="263"/>
      <c r="AB3891" s="263"/>
      <c r="AC3891" s="3495">
        <v>6</v>
      </c>
      <c r="AD3891" s="3494">
        <v>6</v>
      </c>
      <c r="AE3891" s="3494">
        <v>6</v>
      </c>
      <c r="AF3891" s="2236">
        <f t="shared" si="354"/>
        <v>6</v>
      </c>
      <c r="AG3891" s="263"/>
      <c r="DG3891" s="573"/>
      <c r="DH3891" s="159"/>
      <c r="DI3891" s="1091"/>
      <c r="DJ3891" s="1187"/>
    </row>
    <row r="3892" spans="1:114" ht="15" hidden="1" customHeight="1" outlineLevel="1">
      <c r="A3892" s="453"/>
      <c r="C3892" s="51"/>
      <c r="D3892" s="4295"/>
      <c r="E3892" s="4295"/>
      <c r="F3892" s="4347" t="str">
        <f t="shared" si="355"/>
        <v>ASHP-SEER17-Replace_CAC_NonElectricHeat_ER2_MF_CompE</v>
      </c>
      <c r="G3892" s="4347"/>
      <c r="H3892" s="4347"/>
      <c r="I3892" s="4347"/>
      <c r="J3892" s="3471" t="str">
        <f t="shared" si="356"/>
        <v>354161_2024_12_</v>
      </c>
      <c r="K3892" s="3377">
        <v>12</v>
      </c>
      <c r="L3892" s="262"/>
      <c r="M3892" s="4202"/>
      <c r="P3892" s="261"/>
      <c r="Q3892" s="261"/>
      <c r="R3892" s="261"/>
      <c r="S3892" s="52"/>
      <c r="T3892" s="181"/>
      <c r="U3892" s="52"/>
      <c r="V3892" s="4295"/>
      <c r="W3892" s="263"/>
      <c r="X3892" s="263"/>
      <c r="Y3892" s="263"/>
      <c r="Z3892" s="263"/>
      <c r="AA3892" s="263"/>
      <c r="AB3892" s="263"/>
      <c r="AC3892" s="3495">
        <v>12</v>
      </c>
      <c r="AD3892" s="3494">
        <v>12</v>
      </c>
      <c r="AE3892" s="3494">
        <v>12</v>
      </c>
      <c r="AF3892" s="2236">
        <f t="shared" si="354"/>
        <v>12</v>
      </c>
      <c r="AG3892" s="263"/>
      <c r="DG3892" s="573"/>
      <c r="DH3892" s="159"/>
      <c r="DI3892" s="1091"/>
      <c r="DJ3892" s="1187"/>
    </row>
    <row r="3893" spans="1:114" ht="15" hidden="1" customHeight="1" outlineLevel="1">
      <c r="A3893" s="453"/>
      <c r="C3893" s="51"/>
      <c r="D3893" s="4295"/>
      <c r="E3893" s="4295"/>
      <c r="F3893" s="4347" t="str">
        <f t="shared" si="355"/>
        <v>ASHP-SEER17-Replace_CAC_NonElectricHeat_ER2_MF_CompE</v>
      </c>
      <c r="G3893" s="4347"/>
      <c r="H3893" s="4347"/>
      <c r="I3893" s="4347"/>
      <c r="J3893" s="3471" t="str">
        <f t="shared" si="356"/>
        <v>354161_2024_12_</v>
      </c>
      <c r="K3893" s="3377">
        <v>12</v>
      </c>
      <c r="L3893" s="262"/>
      <c r="M3893" s="4202"/>
      <c r="P3893" s="261"/>
      <c r="Q3893" s="261"/>
      <c r="R3893" s="261"/>
      <c r="S3893" s="52"/>
      <c r="T3893" s="181"/>
      <c r="U3893" s="52"/>
      <c r="V3893" s="4295"/>
      <c r="W3893" s="263"/>
      <c r="X3893" s="263"/>
      <c r="Y3893" s="263"/>
      <c r="Z3893" s="263"/>
      <c r="AA3893" s="263"/>
      <c r="AB3893" s="263"/>
      <c r="AC3893" s="3495">
        <v>12</v>
      </c>
      <c r="AD3893" s="3494">
        <v>12</v>
      </c>
      <c r="AE3893" s="3494">
        <v>12</v>
      </c>
      <c r="AF3893" s="2236">
        <f t="shared" si="354"/>
        <v>12</v>
      </c>
      <c r="AG3893" s="263"/>
      <c r="DG3893" s="573"/>
      <c r="DH3893" s="159"/>
      <c r="DI3893" s="1091"/>
      <c r="DJ3893" s="1187"/>
    </row>
    <row r="3894" spans="1:114" ht="15" hidden="1" customHeight="1" outlineLevel="1">
      <c r="A3894" s="453"/>
      <c r="C3894" s="51"/>
      <c r="D3894" s="4295"/>
      <c r="E3894" s="4295"/>
      <c r="F3894" s="4307" t="str">
        <f t="shared" si="355"/>
        <v>ASHP-SEER17_ER1_MF</v>
      </c>
      <c r="G3894" s="4307"/>
      <c r="H3894" s="4307"/>
      <c r="I3894" s="4307"/>
      <c r="J3894" s="1029" t="str">
        <f t="shared" si="356"/>
        <v>354200_2024_12_</v>
      </c>
      <c r="K3894" s="1796">
        <v>6</v>
      </c>
      <c r="L3894" s="262"/>
      <c r="M3894" s="4202"/>
      <c r="P3894" s="261"/>
      <c r="Q3894" s="261"/>
      <c r="R3894" s="261"/>
      <c r="S3894" s="52"/>
      <c r="T3894" s="181"/>
      <c r="U3894" s="52"/>
      <c r="V3894" s="4295"/>
      <c r="W3894" s="263">
        <v>6</v>
      </c>
      <c r="X3894" s="263">
        <v>6</v>
      </c>
      <c r="Y3894" s="263">
        <v>6</v>
      </c>
      <c r="Z3894" s="263">
        <v>6</v>
      </c>
      <c r="AA3894" s="263">
        <v>6</v>
      </c>
      <c r="AB3894" s="263">
        <v>6</v>
      </c>
      <c r="AC3894" s="263">
        <v>6</v>
      </c>
      <c r="AD3894" s="263">
        <v>6</v>
      </c>
      <c r="AE3894" s="263">
        <v>6</v>
      </c>
      <c r="AF3894" s="271">
        <f t="shared" si="354"/>
        <v>6</v>
      </c>
      <c r="AG3894" s="263"/>
      <c r="DG3894" s="573"/>
      <c r="DH3894" s="159"/>
      <c r="DI3894" s="1091"/>
      <c r="DJ3894" s="1187"/>
    </row>
    <row r="3895" spans="1:114" ht="15" hidden="1" customHeight="1" outlineLevel="1">
      <c r="A3895" s="453"/>
      <c r="C3895" s="51"/>
      <c r="D3895" s="4295"/>
      <c r="E3895" s="4295"/>
      <c r="F3895" s="4307" t="str">
        <f t="shared" si="355"/>
        <v>ASHP-SEER17_ER1_MF</v>
      </c>
      <c r="G3895" s="4307"/>
      <c r="H3895" s="4307"/>
      <c r="I3895" s="4307"/>
      <c r="J3895" s="1029" t="str">
        <f t="shared" si="356"/>
        <v>354200_2024_12_</v>
      </c>
      <c r="K3895" s="1796">
        <v>6</v>
      </c>
      <c r="L3895" s="262"/>
      <c r="M3895" s="4202"/>
      <c r="P3895" s="261"/>
      <c r="Q3895" s="261"/>
      <c r="R3895" s="261"/>
      <c r="S3895" s="52"/>
      <c r="T3895" s="181"/>
      <c r="U3895" s="52"/>
      <c r="V3895" s="4295"/>
      <c r="W3895" s="263">
        <v>6</v>
      </c>
      <c r="X3895" s="263">
        <v>6</v>
      </c>
      <c r="Y3895" s="263">
        <v>6</v>
      </c>
      <c r="Z3895" s="263">
        <v>6</v>
      </c>
      <c r="AA3895" s="263">
        <v>6</v>
      </c>
      <c r="AB3895" s="263">
        <v>6</v>
      </c>
      <c r="AC3895" s="263">
        <v>6</v>
      </c>
      <c r="AD3895" s="263">
        <v>6</v>
      </c>
      <c r="AE3895" s="263">
        <v>6</v>
      </c>
      <c r="AF3895" s="271">
        <f t="shared" si="354"/>
        <v>6</v>
      </c>
      <c r="AG3895" s="263"/>
      <c r="DG3895" s="573"/>
      <c r="DH3895" s="159"/>
      <c r="DI3895" s="1091"/>
      <c r="DJ3895" s="1187"/>
    </row>
    <row r="3896" spans="1:114" ht="15" hidden="1" customHeight="1" outlineLevel="1">
      <c r="A3896" s="453"/>
      <c r="C3896" s="51"/>
      <c r="D3896" s="4295"/>
      <c r="E3896" s="4295"/>
      <c r="F3896" s="4307" t="str">
        <f t="shared" si="355"/>
        <v>ASHP-SEER17_ER2_MF</v>
      </c>
      <c r="G3896" s="4307"/>
      <c r="H3896" s="4307"/>
      <c r="I3896" s="4307"/>
      <c r="J3896" s="1029" t="str">
        <f t="shared" si="356"/>
        <v>354200_2024_12_</v>
      </c>
      <c r="K3896" s="1796">
        <v>12</v>
      </c>
      <c r="L3896" s="262"/>
      <c r="M3896" s="4202"/>
      <c r="P3896" s="261"/>
      <c r="Q3896" s="261"/>
      <c r="R3896" s="261"/>
      <c r="S3896" s="52"/>
      <c r="T3896" s="181"/>
      <c r="U3896" s="52"/>
      <c r="V3896" s="4295"/>
      <c r="W3896" s="263">
        <v>12</v>
      </c>
      <c r="X3896" s="263">
        <v>12</v>
      </c>
      <c r="Y3896" s="263">
        <v>12</v>
      </c>
      <c r="Z3896" s="263">
        <v>12</v>
      </c>
      <c r="AA3896" s="263">
        <v>12</v>
      </c>
      <c r="AB3896" s="263">
        <v>12</v>
      </c>
      <c r="AC3896" s="263">
        <v>12</v>
      </c>
      <c r="AD3896" s="263">
        <v>12</v>
      </c>
      <c r="AE3896" s="263">
        <v>12</v>
      </c>
      <c r="AF3896" s="271">
        <f t="shared" si="354"/>
        <v>12</v>
      </c>
      <c r="AG3896" s="263"/>
      <c r="DG3896" s="573"/>
      <c r="DH3896" s="159"/>
      <c r="DI3896" s="1091"/>
      <c r="DJ3896" s="1187"/>
    </row>
    <row r="3897" spans="1:114" ht="15" hidden="1" customHeight="1" outlineLevel="1">
      <c r="A3897" s="453"/>
      <c r="C3897" s="51"/>
      <c r="D3897" s="4295"/>
      <c r="E3897" s="4295"/>
      <c r="F3897" s="4307" t="str">
        <f t="shared" si="355"/>
        <v>ASHP-SEER17_ER2_MF</v>
      </c>
      <c r="G3897" s="4307"/>
      <c r="H3897" s="4307"/>
      <c r="I3897" s="4307"/>
      <c r="J3897" s="1029" t="str">
        <f t="shared" si="356"/>
        <v>354200_2024_12_</v>
      </c>
      <c r="K3897" s="1796">
        <v>12</v>
      </c>
      <c r="L3897" s="262"/>
      <c r="M3897" s="4202"/>
      <c r="P3897" s="261"/>
      <c r="Q3897" s="261"/>
      <c r="R3897" s="261"/>
      <c r="S3897" s="52"/>
      <c r="T3897" s="181"/>
      <c r="U3897" s="52"/>
      <c r="V3897" s="4295"/>
      <c r="W3897" s="263">
        <v>12</v>
      </c>
      <c r="X3897" s="263">
        <v>12</v>
      </c>
      <c r="Y3897" s="263">
        <v>12</v>
      </c>
      <c r="Z3897" s="263">
        <v>12</v>
      </c>
      <c r="AA3897" s="263">
        <v>12</v>
      </c>
      <c r="AB3897" s="263">
        <v>12</v>
      </c>
      <c r="AC3897" s="263">
        <v>12</v>
      </c>
      <c r="AD3897" s="263">
        <v>12</v>
      </c>
      <c r="AE3897" s="263">
        <v>12</v>
      </c>
      <c r="AF3897" s="271">
        <f t="shared" si="354"/>
        <v>12</v>
      </c>
      <c r="AG3897" s="263"/>
      <c r="DG3897" s="573"/>
      <c r="DH3897" s="159"/>
      <c r="DI3897" s="1091"/>
      <c r="DJ3897" s="1187"/>
    </row>
    <row r="3898" spans="1:114" ht="15" hidden="1" customHeight="1" outlineLevel="1">
      <c r="A3898" s="453"/>
      <c r="C3898" s="51"/>
      <c r="D3898" s="4295"/>
      <c r="E3898" s="4295"/>
      <c r="F3898" s="4347" t="str">
        <f t="shared" si="355"/>
        <v>ASHP-SEER17_ER1_MF_CompE</v>
      </c>
      <c r="G3898" s="4347"/>
      <c r="H3898" s="4347"/>
      <c r="I3898" s="4347"/>
      <c r="J3898" s="3471" t="str">
        <f t="shared" si="356"/>
        <v>354201_2024_12_</v>
      </c>
      <c r="K3898" s="3377">
        <v>6</v>
      </c>
      <c r="L3898" s="262"/>
      <c r="M3898" s="4202"/>
      <c r="P3898" s="261"/>
      <c r="Q3898" s="261"/>
      <c r="R3898" s="261"/>
      <c r="S3898" s="52"/>
      <c r="T3898" s="181"/>
      <c r="U3898" s="52"/>
      <c r="V3898" s="4295"/>
      <c r="W3898" s="263"/>
      <c r="X3898" s="263"/>
      <c r="Y3898" s="263"/>
      <c r="Z3898" s="263"/>
      <c r="AA3898" s="263"/>
      <c r="AB3898" s="263"/>
      <c r="AC3898" s="3495">
        <v>6</v>
      </c>
      <c r="AD3898" s="3494">
        <v>6</v>
      </c>
      <c r="AE3898" s="3494">
        <v>6</v>
      </c>
      <c r="AF3898" s="2236">
        <f t="shared" ref="AF3898:AF3961" si="357">IF(K3898&lt;&gt;"",K3898,"")</f>
        <v>6</v>
      </c>
      <c r="AG3898" s="263"/>
      <c r="DG3898" s="573"/>
      <c r="DH3898" s="159"/>
      <c r="DI3898" s="1091"/>
      <c r="DJ3898" s="1187"/>
    </row>
    <row r="3899" spans="1:114" ht="15" hidden="1" customHeight="1" outlineLevel="1">
      <c r="A3899" s="453"/>
      <c r="C3899" s="51"/>
      <c r="D3899" s="4295"/>
      <c r="E3899" s="4295"/>
      <c r="F3899" s="4347" t="str">
        <f t="shared" si="355"/>
        <v>ASHP-SEER17_ER1_MF_CompE</v>
      </c>
      <c r="G3899" s="4347"/>
      <c r="H3899" s="4347"/>
      <c r="I3899" s="4347"/>
      <c r="J3899" s="3471" t="str">
        <f t="shared" si="356"/>
        <v>354201_2024_12_</v>
      </c>
      <c r="K3899" s="3377">
        <v>6</v>
      </c>
      <c r="L3899" s="262"/>
      <c r="M3899" s="4202"/>
      <c r="P3899" s="261"/>
      <c r="Q3899" s="261"/>
      <c r="R3899" s="261"/>
      <c r="S3899" s="52"/>
      <c r="T3899" s="181"/>
      <c r="U3899" s="52"/>
      <c r="V3899" s="4295"/>
      <c r="W3899" s="263"/>
      <c r="X3899" s="263"/>
      <c r="Y3899" s="263"/>
      <c r="Z3899" s="263"/>
      <c r="AA3899" s="263"/>
      <c r="AB3899" s="263"/>
      <c r="AC3899" s="3495">
        <v>6</v>
      </c>
      <c r="AD3899" s="3494">
        <v>6</v>
      </c>
      <c r="AE3899" s="3494">
        <v>6</v>
      </c>
      <c r="AF3899" s="2236">
        <f t="shared" si="357"/>
        <v>6</v>
      </c>
      <c r="AG3899" s="263"/>
      <c r="DG3899" s="573"/>
      <c r="DH3899" s="159"/>
      <c r="DI3899" s="1091"/>
      <c r="DJ3899" s="1187"/>
    </row>
    <row r="3900" spans="1:114" ht="15" hidden="1" customHeight="1" outlineLevel="1">
      <c r="A3900" s="453"/>
      <c r="C3900" s="51"/>
      <c r="D3900" s="4295"/>
      <c r="E3900" s="4295"/>
      <c r="F3900" s="4347" t="str">
        <f t="shared" si="355"/>
        <v>ASHP-SEER17_ER2_MF_CompE</v>
      </c>
      <c r="G3900" s="4347"/>
      <c r="H3900" s="4347"/>
      <c r="I3900" s="4347"/>
      <c r="J3900" s="3471" t="str">
        <f t="shared" si="356"/>
        <v>354201_2024_12_</v>
      </c>
      <c r="K3900" s="3377">
        <v>12</v>
      </c>
      <c r="L3900" s="262"/>
      <c r="M3900" s="4202"/>
      <c r="P3900" s="261"/>
      <c r="Q3900" s="261"/>
      <c r="R3900" s="261"/>
      <c r="S3900" s="52"/>
      <c r="T3900" s="181"/>
      <c r="U3900" s="52"/>
      <c r="V3900" s="4295"/>
      <c r="W3900" s="263"/>
      <c r="X3900" s="263"/>
      <c r="Y3900" s="263"/>
      <c r="Z3900" s="263"/>
      <c r="AA3900" s="263"/>
      <c r="AB3900" s="263"/>
      <c r="AC3900" s="3495">
        <v>12</v>
      </c>
      <c r="AD3900" s="3494">
        <v>12</v>
      </c>
      <c r="AE3900" s="3494">
        <v>12</v>
      </c>
      <c r="AF3900" s="2236">
        <f t="shared" si="357"/>
        <v>12</v>
      </c>
      <c r="AG3900" s="263"/>
      <c r="DG3900" s="573"/>
      <c r="DH3900" s="159"/>
      <c r="DI3900" s="1091"/>
      <c r="DJ3900" s="1187"/>
    </row>
    <row r="3901" spans="1:114" ht="15" hidden="1" customHeight="1" outlineLevel="1">
      <c r="A3901" s="453"/>
      <c r="C3901" s="51"/>
      <c r="D3901" s="4295"/>
      <c r="E3901" s="4295"/>
      <c r="F3901" s="4347" t="str">
        <f t="shared" si="355"/>
        <v>ASHP-SEER17_ER2_MF_CompE</v>
      </c>
      <c r="G3901" s="4347"/>
      <c r="H3901" s="4347"/>
      <c r="I3901" s="4347"/>
      <c r="J3901" s="3471" t="str">
        <f t="shared" si="356"/>
        <v>354201_2024_12_</v>
      </c>
      <c r="K3901" s="3377">
        <v>12</v>
      </c>
      <c r="L3901" s="262"/>
      <c r="M3901" s="4202"/>
      <c r="P3901" s="261"/>
      <c r="Q3901" s="261"/>
      <c r="R3901" s="261"/>
      <c r="S3901" s="52"/>
      <c r="T3901" s="181"/>
      <c r="U3901" s="52"/>
      <c r="V3901" s="4295"/>
      <c r="W3901" s="263"/>
      <c r="X3901" s="263"/>
      <c r="Y3901" s="263"/>
      <c r="Z3901" s="263"/>
      <c r="AA3901" s="263"/>
      <c r="AB3901" s="263"/>
      <c r="AC3901" s="3495">
        <v>12</v>
      </c>
      <c r="AD3901" s="3494">
        <v>12</v>
      </c>
      <c r="AE3901" s="3494">
        <v>12</v>
      </c>
      <c r="AF3901" s="2236">
        <f t="shared" si="357"/>
        <v>12</v>
      </c>
      <c r="AG3901" s="263"/>
      <c r="DG3901" s="573"/>
      <c r="DH3901" s="159"/>
      <c r="DI3901" s="1091"/>
      <c r="DJ3901" s="1187"/>
    </row>
    <row r="3902" spans="1:114" ht="15" hidden="1" customHeight="1" outlineLevel="1">
      <c r="A3902" s="453"/>
      <c r="C3902" s="51"/>
      <c r="D3902" s="4295"/>
      <c r="E3902" s="4295"/>
      <c r="F3902" s="4307" t="str">
        <f t="shared" si="355"/>
        <v>ASHP-SEER18-Replace_CAC_ElectricHeat_ER1_SF</v>
      </c>
      <c r="G3902" s="4307"/>
      <c r="H3902" s="4307"/>
      <c r="I3902" s="4307"/>
      <c r="J3902" s="1029" t="str">
        <f t="shared" si="356"/>
        <v>354250_2024_12_</v>
      </c>
      <c r="K3902" s="1796">
        <v>6</v>
      </c>
      <c r="L3902" s="262"/>
      <c r="M3902" s="4202"/>
      <c r="P3902" s="261"/>
      <c r="Q3902" s="261"/>
      <c r="R3902" s="261"/>
      <c r="S3902" s="52"/>
      <c r="T3902" s="181"/>
      <c r="U3902" s="52"/>
      <c r="V3902" s="4295"/>
      <c r="W3902" s="263">
        <v>6</v>
      </c>
      <c r="X3902" s="263">
        <v>6</v>
      </c>
      <c r="Y3902" s="263">
        <v>6</v>
      </c>
      <c r="Z3902" s="263">
        <v>6</v>
      </c>
      <c r="AA3902" s="263">
        <v>6</v>
      </c>
      <c r="AB3902" s="263">
        <v>6</v>
      </c>
      <c r="AC3902" s="263">
        <v>6</v>
      </c>
      <c r="AD3902" s="263">
        <v>6</v>
      </c>
      <c r="AE3902" s="263">
        <v>6</v>
      </c>
      <c r="AF3902" s="271">
        <f t="shared" si="357"/>
        <v>6</v>
      </c>
      <c r="AG3902" s="263"/>
      <c r="DG3902" s="573"/>
      <c r="DH3902" s="159"/>
      <c r="DI3902" s="1091"/>
      <c r="DJ3902" s="1187"/>
    </row>
    <row r="3903" spans="1:114" ht="15" hidden="1" customHeight="1" outlineLevel="1">
      <c r="A3903" s="453"/>
      <c r="C3903" s="51"/>
      <c r="D3903" s="4295"/>
      <c r="E3903" s="4295"/>
      <c r="F3903" s="4307" t="str">
        <f t="shared" si="355"/>
        <v>ASHP-SEER18-Replace_CAC_ElectricHeat_ER1_SF</v>
      </c>
      <c r="G3903" s="4307"/>
      <c r="H3903" s="4307"/>
      <c r="I3903" s="4307"/>
      <c r="J3903" s="1029" t="str">
        <f t="shared" si="356"/>
        <v>354250_2024_12_</v>
      </c>
      <c r="K3903" s="1796">
        <v>6</v>
      </c>
      <c r="L3903" s="262"/>
      <c r="M3903" s="4202"/>
      <c r="P3903" s="261"/>
      <c r="Q3903" s="261"/>
      <c r="R3903" s="261"/>
      <c r="S3903" s="52"/>
      <c r="T3903" s="181"/>
      <c r="U3903" s="52"/>
      <c r="V3903" s="4295"/>
      <c r="W3903" s="263">
        <v>6</v>
      </c>
      <c r="X3903" s="263">
        <v>6</v>
      </c>
      <c r="Y3903" s="263">
        <v>6</v>
      </c>
      <c r="Z3903" s="263">
        <v>6</v>
      </c>
      <c r="AA3903" s="263">
        <v>6</v>
      </c>
      <c r="AB3903" s="263">
        <v>6</v>
      </c>
      <c r="AC3903" s="263">
        <v>6</v>
      </c>
      <c r="AD3903" s="263">
        <v>6</v>
      </c>
      <c r="AE3903" s="263">
        <v>6</v>
      </c>
      <c r="AF3903" s="271">
        <f t="shared" si="357"/>
        <v>6</v>
      </c>
      <c r="AG3903" s="263"/>
      <c r="DG3903" s="573"/>
      <c r="DH3903" s="159"/>
      <c r="DI3903" s="1091"/>
      <c r="DJ3903" s="1187"/>
    </row>
    <row r="3904" spans="1:114" ht="15" hidden="1" customHeight="1" outlineLevel="1">
      <c r="A3904" s="453"/>
      <c r="C3904" s="51"/>
      <c r="D3904" s="4295"/>
      <c r="E3904" s="4295"/>
      <c r="F3904" s="4307" t="str">
        <f t="shared" si="355"/>
        <v>ASHP-SEER18-Replace_CAC_ElectricHeat_ER2_SF</v>
      </c>
      <c r="G3904" s="4307"/>
      <c r="H3904" s="4307"/>
      <c r="I3904" s="4307"/>
      <c r="J3904" s="1029" t="str">
        <f t="shared" si="356"/>
        <v>354250_2024_12_</v>
      </c>
      <c r="K3904" s="1796">
        <v>12</v>
      </c>
      <c r="L3904" s="262"/>
      <c r="M3904" s="4202"/>
      <c r="P3904" s="261"/>
      <c r="Q3904" s="261"/>
      <c r="R3904" s="261"/>
      <c r="S3904" s="52"/>
      <c r="T3904" s="181"/>
      <c r="U3904" s="52"/>
      <c r="V3904" s="4295"/>
      <c r="W3904" s="263">
        <v>12</v>
      </c>
      <c r="X3904" s="263">
        <v>12</v>
      </c>
      <c r="Y3904" s="263">
        <v>12</v>
      </c>
      <c r="Z3904" s="263">
        <v>12</v>
      </c>
      <c r="AA3904" s="263">
        <v>12</v>
      </c>
      <c r="AB3904" s="263">
        <v>12</v>
      </c>
      <c r="AC3904" s="263">
        <v>12</v>
      </c>
      <c r="AD3904" s="263">
        <v>12</v>
      </c>
      <c r="AE3904" s="263">
        <v>12</v>
      </c>
      <c r="AF3904" s="271">
        <f t="shared" si="357"/>
        <v>12</v>
      </c>
      <c r="AG3904" s="263"/>
      <c r="DG3904" s="573"/>
      <c r="DH3904" s="159"/>
      <c r="DI3904" s="1091"/>
      <c r="DJ3904" s="1187"/>
    </row>
    <row r="3905" spans="1:114" ht="15" hidden="1" customHeight="1" outlineLevel="1">
      <c r="A3905" s="453"/>
      <c r="C3905" s="51"/>
      <c r="D3905" s="4295"/>
      <c r="E3905" s="4295"/>
      <c r="F3905" s="4307" t="str">
        <f t="shared" si="355"/>
        <v>ASHP-SEER18-Replace_CAC_ElectricHeat_ER2_SF</v>
      </c>
      <c r="G3905" s="4307"/>
      <c r="H3905" s="4307"/>
      <c r="I3905" s="4307"/>
      <c r="J3905" s="1029" t="str">
        <f t="shared" si="356"/>
        <v>354250_2024_12_</v>
      </c>
      <c r="K3905" s="1796">
        <v>12</v>
      </c>
      <c r="L3905" s="262"/>
      <c r="M3905" s="4202"/>
      <c r="P3905" s="261"/>
      <c r="Q3905" s="261"/>
      <c r="R3905" s="261"/>
      <c r="S3905" s="52"/>
      <c r="T3905" s="181"/>
      <c r="U3905" s="52"/>
      <c r="V3905" s="4295"/>
      <c r="W3905" s="263">
        <v>12</v>
      </c>
      <c r="X3905" s="263">
        <v>12</v>
      </c>
      <c r="Y3905" s="263">
        <v>12</v>
      </c>
      <c r="Z3905" s="263">
        <v>12</v>
      </c>
      <c r="AA3905" s="263">
        <v>12</v>
      </c>
      <c r="AB3905" s="263">
        <v>12</v>
      </c>
      <c r="AC3905" s="263">
        <v>12</v>
      </c>
      <c r="AD3905" s="263">
        <v>12</v>
      </c>
      <c r="AE3905" s="263">
        <v>12</v>
      </c>
      <c r="AF3905" s="271">
        <f t="shared" si="357"/>
        <v>12</v>
      </c>
      <c r="AG3905" s="263"/>
      <c r="DG3905" s="573"/>
      <c r="DH3905" s="159"/>
      <c r="DI3905" s="1091"/>
      <c r="DJ3905" s="1187"/>
    </row>
    <row r="3906" spans="1:114" ht="15" hidden="1" customHeight="1" outlineLevel="1">
      <c r="A3906" s="453"/>
      <c r="C3906" s="51"/>
      <c r="D3906" s="4295"/>
      <c r="E3906" s="4295"/>
      <c r="F3906" s="4307" t="str">
        <f t="shared" si="355"/>
        <v>ASHP-SEER18-Replace_CAC_NonElectricHeat_ER1_SF</v>
      </c>
      <c r="G3906" s="4307"/>
      <c r="H3906" s="4307"/>
      <c r="I3906" s="4307"/>
      <c r="J3906" s="1029" t="str">
        <f t="shared" si="356"/>
        <v>354260_2024_12_</v>
      </c>
      <c r="K3906" s="1796">
        <v>6</v>
      </c>
      <c r="L3906" s="262"/>
      <c r="M3906" s="4202"/>
      <c r="P3906" s="261"/>
      <c r="Q3906" s="261"/>
      <c r="R3906" s="261"/>
      <c r="S3906" s="52"/>
      <c r="T3906" s="181"/>
      <c r="U3906" s="52"/>
      <c r="V3906" s="4295"/>
      <c r="W3906" s="263"/>
      <c r="X3906" s="263"/>
      <c r="Y3906" s="263"/>
      <c r="Z3906" s="263"/>
      <c r="AA3906" s="263"/>
      <c r="AB3906" s="263"/>
      <c r="AC3906" s="1030">
        <v>6</v>
      </c>
      <c r="AD3906" s="263">
        <v>6</v>
      </c>
      <c r="AE3906" s="263">
        <v>6</v>
      </c>
      <c r="AF3906" s="271">
        <f t="shared" si="357"/>
        <v>6</v>
      </c>
      <c r="AG3906" s="263"/>
      <c r="DG3906" s="573"/>
      <c r="DH3906" s="159"/>
      <c r="DI3906" s="1091"/>
      <c r="DJ3906" s="1187"/>
    </row>
    <row r="3907" spans="1:114" ht="15" hidden="1" customHeight="1" outlineLevel="1">
      <c r="A3907" s="453"/>
      <c r="C3907" s="51"/>
      <c r="D3907" s="4295"/>
      <c r="E3907" s="4295"/>
      <c r="F3907" s="4307" t="str">
        <f t="shared" si="355"/>
        <v>ASHP-SEER18-Replace_CAC_NonElectricHeat_ER1_SF</v>
      </c>
      <c r="G3907" s="4307"/>
      <c r="H3907" s="4307"/>
      <c r="I3907" s="4307"/>
      <c r="J3907" s="1029" t="str">
        <f t="shared" si="356"/>
        <v>354260_2024_12_</v>
      </c>
      <c r="K3907" s="1796">
        <v>6</v>
      </c>
      <c r="L3907" s="262"/>
      <c r="M3907" s="4202"/>
      <c r="P3907" s="261"/>
      <c r="Q3907" s="261"/>
      <c r="R3907" s="261"/>
      <c r="S3907" s="52"/>
      <c r="T3907" s="181"/>
      <c r="U3907" s="52"/>
      <c r="V3907" s="4295"/>
      <c r="W3907" s="263"/>
      <c r="X3907" s="263"/>
      <c r="Y3907" s="263"/>
      <c r="Z3907" s="263"/>
      <c r="AA3907" s="263"/>
      <c r="AB3907" s="263"/>
      <c r="AC3907" s="1030">
        <v>6</v>
      </c>
      <c r="AD3907" s="263">
        <v>6</v>
      </c>
      <c r="AE3907" s="263">
        <v>6</v>
      </c>
      <c r="AF3907" s="271">
        <f t="shared" si="357"/>
        <v>6</v>
      </c>
      <c r="AG3907" s="263"/>
      <c r="DG3907" s="573"/>
      <c r="DH3907" s="159"/>
      <c r="DI3907" s="1091"/>
      <c r="DJ3907" s="1187"/>
    </row>
    <row r="3908" spans="1:114" ht="15" hidden="1" customHeight="1" outlineLevel="1">
      <c r="A3908" s="453"/>
      <c r="C3908" s="51"/>
      <c r="D3908" s="4295"/>
      <c r="E3908" s="4295"/>
      <c r="F3908" s="4307" t="str">
        <f t="shared" ref="F3908:F3971" si="358">E1764</f>
        <v>ASHP-SEER18-Replace_CAC_NonElectricHeat_ER2_SF</v>
      </c>
      <c r="G3908" s="4307"/>
      <c r="H3908" s="4307"/>
      <c r="I3908" s="4307"/>
      <c r="J3908" s="1029" t="str">
        <f t="shared" ref="J3908:J3971" si="359">C1764</f>
        <v>354260_2024_12_</v>
      </c>
      <c r="K3908" s="1796">
        <v>12</v>
      </c>
      <c r="L3908" s="262"/>
      <c r="M3908" s="4202"/>
      <c r="P3908" s="261"/>
      <c r="Q3908" s="261"/>
      <c r="R3908" s="261"/>
      <c r="S3908" s="52"/>
      <c r="T3908" s="181"/>
      <c r="U3908" s="52"/>
      <c r="V3908" s="4295"/>
      <c r="W3908" s="263"/>
      <c r="X3908" s="263"/>
      <c r="Y3908" s="263"/>
      <c r="Z3908" s="263"/>
      <c r="AA3908" s="263"/>
      <c r="AB3908" s="263"/>
      <c r="AC3908" s="1030">
        <v>12</v>
      </c>
      <c r="AD3908" s="263">
        <v>12</v>
      </c>
      <c r="AE3908" s="263">
        <v>12</v>
      </c>
      <c r="AF3908" s="271">
        <f t="shared" si="357"/>
        <v>12</v>
      </c>
      <c r="AG3908" s="263"/>
      <c r="DG3908" s="573"/>
      <c r="DH3908" s="159"/>
      <c r="DI3908" s="1091"/>
      <c r="DJ3908" s="1187"/>
    </row>
    <row r="3909" spans="1:114" ht="15" hidden="1" customHeight="1" outlineLevel="1">
      <c r="A3909" s="453"/>
      <c r="C3909" s="51"/>
      <c r="D3909" s="4295"/>
      <c r="E3909" s="4295"/>
      <c r="F3909" s="4307" t="str">
        <f t="shared" si="358"/>
        <v>ASHP-SEER18-Replace_CAC_NonElectricHeat_ER2_SF</v>
      </c>
      <c r="G3909" s="4307"/>
      <c r="H3909" s="4307"/>
      <c r="I3909" s="4307"/>
      <c r="J3909" s="1029" t="str">
        <f t="shared" si="359"/>
        <v>354260_2024_12_</v>
      </c>
      <c r="K3909" s="1796">
        <v>12</v>
      </c>
      <c r="L3909" s="262"/>
      <c r="M3909" s="4202"/>
      <c r="P3909" s="261"/>
      <c r="Q3909" s="261"/>
      <c r="R3909" s="261"/>
      <c r="S3909" s="52"/>
      <c r="T3909" s="181"/>
      <c r="U3909" s="52"/>
      <c r="V3909" s="4295"/>
      <c r="W3909" s="263"/>
      <c r="X3909" s="263"/>
      <c r="Y3909" s="263"/>
      <c r="Z3909" s="263"/>
      <c r="AA3909" s="263"/>
      <c r="AB3909" s="263"/>
      <c r="AC3909" s="1030">
        <v>12</v>
      </c>
      <c r="AD3909" s="263">
        <v>12</v>
      </c>
      <c r="AE3909" s="263">
        <v>12</v>
      </c>
      <c r="AF3909" s="271">
        <f t="shared" si="357"/>
        <v>12</v>
      </c>
      <c r="AG3909" s="263"/>
      <c r="DG3909" s="573"/>
      <c r="DH3909" s="159"/>
      <c r="DI3909" s="1091"/>
      <c r="DJ3909" s="1187"/>
    </row>
    <row r="3910" spans="1:114" ht="15" hidden="1" customHeight="1" outlineLevel="1">
      <c r="A3910" s="453"/>
      <c r="C3910" s="51"/>
      <c r="D3910" s="4295"/>
      <c r="E3910" s="4295"/>
      <c r="F3910" s="4307" t="str">
        <f t="shared" si="358"/>
        <v>ASHP-SEER18-Replace_CAC_ElectricHeat_ER1_MF</v>
      </c>
      <c r="G3910" s="4307"/>
      <c r="H3910" s="4307"/>
      <c r="I3910" s="4307"/>
      <c r="J3910" s="1029" t="str">
        <f t="shared" si="359"/>
        <v>354300_2024_12_</v>
      </c>
      <c r="K3910" s="1796">
        <v>6</v>
      </c>
      <c r="L3910" s="262"/>
      <c r="M3910" s="4202"/>
      <c r="P3910" s="261"/>
      <c r="Q3910" s="261"/>
      <c r="R3910" s="261"/>
      <c r="S3910" s="52"/>
      <c r="T3910" s="181"/>
      <c r="U3910" s="52"/>
      <c r="V3910" s="4295"/>
      <c r="W3910" s="263">
        <v>6</v>
      </c>
      <c r="X3910" s="263">
        <v>6</v>
      </c>
      <c r="Y3910" s="263">
        <v>6</v>
      </c>
      <c r="Z3910" s="263">
        <v>6</v>
      </c>
      <c r="AA3910" s="263">
        <v>6</v>
      </c>
      <c r="AB3910" s="263">
        <v>6</v>
      </c>
      <c r="AC3910" s="263">
        <v>6</v>
      </c>
      <c r="AD3910" s="263">
        <v>6</v>
      </c>
      <c r="AE3910" s="263">
        <v>6</v>
      </c>
      <c r="AF3910" s="271">
        <f t="shared" si="357"/>
        <v>6</v>
      </c>
      <c r="AG3910" s="263"/>
      <c r="DG3910" s="573"/>
      <c r="DH3910" s="159"/>
      <c r="DI3910" s="1091"/>
      <c r="DJ3910" s="1187"/>
    </row>
    <row r="3911" spans="1:114" ht="15" hidden="1" customHeight="1" outlineLevel="1">
      <c r="A3911" s="453"/>
      <c r="C3911" s="51"/>
      <c r="D3911" s="4295"/>
      <c r="E3911" s="4295"/>
      <c r="F3911" s="4307" t="str">
        <f t="shared" si="358"/>
        <v>ASHP-SEER18-Replace_CAC_ElectricHeat_ER1_MF</v>
      </c>
      <c r="G3911" s="4307"/>
      <c r="H3911" s="4307"/>
      <c r="I3911" s="4307"/>
      <c r="J3911" s="1029" t="str">
        <f t="shared" si="359"/>
        <v>354300_2024_12_</v>
      </c>
      <c r="K3911" s="1796">
        <v>6</v>
      </c>
      <c r="L3911" s="262"/>
      <c r="M3911" s="4202"/>
      <c r="P3911" s="261"/>
      <c r="Q3911" s="261"/>
      <c r="R3911" s="261"/>
      <c r="S3911" s="52"/>
      <c r="T3911" s="181"/>
      <c r="U3911" s="52"/>
      <c r="V3911" s="4295"/>
      <c r="W3911" s="263">
        <v>6</v>
      </c>
      <c r="X3911" s="263">
        <v>6</v>
      </c>
      <c r="Y3911" s="263">
        <v>6</v>
      </c>
      <c r="Z3911" s="263">
        <v>6</v>
      </c>
      <c r="AA3911" s="263">
        <v>6</v>
      </c>
      <c r="AB3911" s="263">
        <v>6</v>
      </c>
      <c r="AC3911" s="263">
        <v>6</v>
      </c>
      <c r="AD3911" s="263">
        <v>6</v>
      </c>
      <c r="AE3911" s="263">
        <v>6</v>
      </c>
      <c r="AF3911" s="271">
        <f t="shared" si="357"/>
        <v>6</v>
      </c>
      <c r="AG3911" s="263"/>
      <c r="DG3911" s="573"/>
      <c r="DH3911" s="159"/>
      <c r="DI3911" s="1091"/>
      <c r="DJ3911" s="1187"/>
    </row>
    <row r="3912" spans="1:114" ht="15" hidden="1" customHeight="1" outlineLevel="1">
      <c r="A3912" s="453"/>
      <c r="C3912" s="51"/>
      <c r="D3912" s="4295"/>
      <c r="E3912" s="4295"/>
      <c r="F3912" s="4307" t="str">
        <f t="shared" si="358"/>
        <v>ASHP-SEER18-Replace_CAC_ElectricHeat_ER2_MF</v>
      </c>
      <c r="G3912" s="4307"/>
      <c r="H3912" s="4307"/>
      <c r="I3912" s="4307"/>
      <c r="J3912" s="1029" t="str">
        <f t="shared" si="359"/>
        <v>354300_2024_12_</v>
      </c>
      <c r="K3912" s="1796">
        <v>12</v>
      </c>
      <c r="L3912" s="262"/>
      <c r="M3912" s="4202"/>
      <c r="P3912" s="261"/>
      <c r="Q3912" s="261"/>
      <c r="R3912" s="261"/>
      <c r="S3912" s="52"/>
      <c r="T3912" s="181"/>
      <c r="U3912" s="52"/>
      <c r="V3912" s="4295"/>
      <c r="W3912" s="263">
        <v>12</v>
      </c>
      <c r="X3912" s="263">
        <v>12</v>
      </c>
      <c r="Y3912" s="263">
        <v>12</v>
      </c>
      <c r="Z3912" s="263">
        <v>12</v>
      </c>
      <c r="AA3912" s="263">
        <v>12</v>
      </c>
      <c r="AB3912" s="263">
        <v>12</v>
      </c>
      <c r="AC3912" s="263">
        <v>12</v>
      </c>
      <c r="AD3912" s="263">
        <v>12</v>
      </c>
      <c r="AE3912" s="263">
        <v>12</v>
      </c>
      <c r="AF3912" s="271">
        <f t="shared" si="357"/>
        <v>12</v>
      </c>
      <c r="AG3912" s="263"/>
      <c r="DG3912" s="573"/>
      <c r="DH3912" s="159"/>
      <c r="DI3912" s="1091"/>
      <c r="DJ3912" s="1187"/>
    </row>
    <row r="3913" spans="1:114" ht="15" hidden="1" customHeight="1" outlineLevel="1">
      <c r="A3913" s="453"/>
      <c r="C3913" s="51"/>
      <c r="D3913" s="4295"/>
      <c r="E3913" s="4295"/>
      <c r="F3913" s="4307" t="str">
        <f t="shared" si="358"/>
        <v>ASHP-SEER18-Replace_CAC_ElectricHeat_ER2_MF</v>
      </c>
      <c r="G3913" s="4307"/>
      <c r="H3913" s="4307"/>
      <c r="I3913" s="4307"/>
      <c r="J3913" s="1029" t="str">
        <f t="shared" si="359"/>
        <v>354300_2024_12_</v>
      </c>
      <c r="K3913" s="1796">
        <v>12</v>
      </c>
      <c r="L3913" s="262"/>
      <c r="M3913" s="4202"/>
      <c r="P3913" s="261"/>
      <c r="Q3913" s="209"/>
      <c r="R3913" s="261"/>
      <c r="S3913" s="52"/>
      <c r="T3913" s="181"/>
      <c r="U3913" s="52"/>
      <c r="V3913" s="4295"/>
      <c r="W3913" s="263">
        <v>12</v>
      </c>
      <c r="X3913" s="263">
        <v>12</v>
      </c>
      <c r="Y3913" s="263">
        <v>12</v>
      </c>
      <c r="Z3913" s="263">
        <v>12</v>
      </c>
      <c r="AA3913" s="263">
        <v>12</v>
      </c>
      <c r="AB3913" s="263">
        <v>12</v>
      </c>
      <c r="AC3913" s="263">
        <v>12</v>
      </c>
      <c r="AD3913" s="263">
        <v>12</v>
      </c>
      <c r="AE3913" s="263">
        <v>12</v>
      </c>
      <c r="AF3913" s="271">
        <f t="shared" si="357"/>
        <v>12</v>
      </c>
      <c r="AG3913" s="263"/>
      <c r="DG3913" s="573"/>
      <c r="DH3913" s="159"/>
      <c r="DI3913" s="1091"/>
      <c r="DJ3913" s="1187"/>
    </row>
    <row r="3914" spans="1:114" ht="15" hidden="1" customHeight="1" outlineLevel="1">
      <c r="A3914" s="453"/>
      <c r="C3914" s="51"/>
      <c r="D3914" s="4295"/>
      <c r="E3914" s="4295"/>
      <c r="F3914" s="4347" t="str">
        <f t="shared" si="358"/>
        <v>ASHP-SEER18-Replace_CAC_ElectricHeat_ER1_MF_CompE</v>
      </c>
      <c r="G3914" s="4347"/>
      <c r="H3914" s="4347"/>
      <c r="I3914" s="4347"/>
      <c r="J3914" s="3471" t="str">
        <f t="shared" si="359"/>
        <v>354301_2024_12_</v>
      </c>
      <c r="K3914" s="3377">
        <v>6</v>
      </c>
      <c r="L3914" s="262"/>
      <c r="M3914" s="4202"/>
      <c r="P3914" s="261"/>
      <c r="Q3914" s="209"/>
      <c r="R3914" s="261"/>
      <c r="S3914" s="52"/>
      <c r="T3914" s="181"/>
      <c r="U3914" s="52"/>
      <c r="V3914" s="4295"/>
      <c r="W3914" s="263"/>
      <c r="X3914" s="263"/>
      <c r="Y3914" s="263"/>
      <c r="Z3914" s="263"/>
      <c r="AA3914" s="263"/>
      <c r="AB3914" s="263"/>
      <c r="AC3914" s="3495">
        <v>6</v>
      </c>
      <c r="AD3914" s="3494">
        <v>6</v>
      </c>
      <c r="AE3914" s="3494">
        <v>6</v>
      </c>
      <c r="AF3914" s="2236">
        <f t="shared" si="357"/>
        <v>6</v>
      </c>
      <c r="AG3914" s="263"/>
      <c r="DG3914" s="573"/>
      <c r="DH3914" s="159"/>
      <c r="DI3914" s="1091"/>
      <c r="DJ3914" s="1187"/>
    </row>
    <row r="3915" spans="1:114" ht="15" hidden="1" customHeight="1" outlineLevel="1">
      <c r="A3915" s="453"/>
      <c r="C3915" s="51"/>
      <c r="D3915" s="4295"/>
      <c r="E3915" s="4295"/>
      <c r="F3915" s="4347" t="str">
        <f t="shared" si="358"/>
        <v>ASHP-SEER18-Replace_CAC_ElectricHeat_ER1_MF_CompE</v>
      </c>
      <c r="G3915" s="4347"/>
      <c r="H3915" s="4347"/>
      <c r="I3915" s="4347"/>
      <c r="J3915" s="3471" t="str">
        <f t="shared" si="359"/>
        <v>354301_2024_12_</v>
      </c>
      <c r="K3915" s="3377">
        <v>6</v>
      </c>
      <c r="L3915" s="262"/>
      <c r="M3915" s="4202"/>
      <c r="P3915" s="261"/>
      <c r="Q3915" s="209"/>
      <c r="R3915" s="261"/>
      <c r="S3915" s="52"/>
      <c r="T3915" s="181"/>
      <c r="U3915" s="52"/>
      <c r="V3915" s="4295"/>
      <c r="W3915" s="263"/>
      <c r="X3915" s="263"/>
      <c r="Y3915" s="263"/>
      <c r="Z3915" s="263"/>
      <c r="AA3915" s="263"/>
      <c r="AB3915" s="263"/>
      <c r="AC3915" s="3495">
        <v>6</v>
      </c>
      <c r="AD3915" s="3494">
        <v>6</v>
      </c>
      <c r="AE3915" s="3494">
        <v>6</v>
      </c>
      <c r="AF3915" s="2236">
        <f t="shared" si="357"/>
        <v>6</v>
      </c>
      <c r="AG3915" s="263"/>
      <c r="DG3915" s="573"/>
      <c r="DH3915" s="159"/>
      <c r="DI3915" s="1091"/>
      <c r="DJ3915" s="1187"/>
    </row>
    <row r="3916" spans="1:114" ht="15" hidden="1" customHeight="1" outlineLevel="1">
      <c r="A3916" s="453"/>
      <c r="C3916" s="51"/>
      <c r="D3916" s="4295"/>
      <c r="E3916" s="4295"/>
      <c r="F3916" s="4347" t="str">
        <f t="shared" si="358"/>
        <v>ASHP-SEER18-Replace_CAC_ElectricHeat_ER2_MF_CompE</v>
      </c>
      <c r="G3916" s="4347"/>
      <c r="H3916" s="4347"/>
      <c r="I3916" s="4347"/>
      <c r="J3916" s="3471" t="str">
        <f t="shared" si="359"/>
        <v>354301_2024_12_</v>
      </c>
      <c r="K3916" s="3377">
        <v>12</v>
      </c>
      <c r="L3916" s="262"/>
      <c r="M3916" s="4202"/>
      <c r="P3916" s="261"/>
      <c r="Q3916" s="209"/>
      <c r="R3916" s="261"/>
      <c r="S3916" s="52"/>
      <c r="T3916" s="181"/>
      <c r="U3916" s="52"/>
      <c r="V3916" s="4295"/>
      <c r="W3916" s="263"/>
      <c r="X3916" s="263"/>
      <c r="Y3916" s="263"/>
      <c r="Z3916" s="263"/>
      <c r="AA3916" s="263"/>
      <c r="AB3916" s="263"/>
      <c r="AC3916" s="3495">
        <v>12</v>
      </c>
      <c r="AD3916" s="3494">
        <v>12</v>
      </c>
      <c r="AE3916" s="3494">
        <v>12</v>
      </c>
      <c r="AF3916" s="2236">
        <f t="shared" si="357"/>
        <v>12</v>
      </c>
      <c r="AG3916" s="263"/>
      <c r="DG3916" s="573"/>
      <c r="DH3916" s="159"/>
      <c r="DI3916" s="1091"/>
      <c r="DJ3916" s="1187"/>
    </row>
    <row r="3917" spans="1:114" ht="15" hidden="1" customHeight="1" outlineLevel="1">
      <c r="A3917" s="453"/>
      <c r="C3917" s="51"/>
      <c r="D3917" s="4295"/>
      <c r="E3917" s="4295"/>
      <c r="F3917" s="4347" t="str">
        <f t="shared" si="358"/>
        <v>ASHP-SEER18-Replace_CAC_ElectricHeat_ER2_MF_CompE</v>
      </c>
      <c r="G3917" s="4347"/>
      <c r="H3917" s="4347"/>
      <c r="I3917" s="4347"/>
      <c r="J3917" s="3471" t="str">
        <f t="shared" si="359"/>
        <v>354301_2024_12_</v>
      </c>
      <c r="K3917" s="3377">
        <v>12</v>
      </c>
      <c r="L3917" s="262"/>
      <c r="M3917" s="4202"/>
      <c r="P3917" s="261"/>
      <c r="Q3917" s="209"/>
      <c r="R3917" s="261"/>
      <c r="S3917" s="52"/>
      <c r="T3917" s="181"/>
      <c r="U3917" s="52"/>
      <c r="V3917" s="4295"/>
      <c r="W3917" s="263"/>
      <c r="X3917" s="263"/>
      <c r="Y3917" s="263"/>
      <c r="Z3917" s="263"/>
      <c r="AA3917" s="263"/>
      <c r="AB3917" s="263"/>
      <c r="AC3917" s="3495">
        <v>12</v>
      </c>
      <c r="AD3917" s="3494">
        <v>12</v>
      </c>
      <c r="AE3917" s="3494">
        <v>12</v>
      </c>
      <c r="AF3917" s="2236">
        <f t="shared" si="357"/>
        <v>12</v>
      </c>
      <c r="AG3917" s="263"/>
      <c r="DG3917" s="573"/>
      <c r="DH3917" s="159"/>
      <c r="DI3917" s="1091"/>
      <c r="DJ3917" s="1187"/>
    </row>
    <row r="3918" spans="1:114" ht="15" hidden="1" customHeight="1" outlineLevel="1">
      <c r="A3918" s="453"/>
      <c r="C3918" s="51"/>
      <c r="D3918" s="4295"/>
      <c r="E3918" s="4295"/>
      <c r="F3918" s="4347" t="str">
        <f t="shared" si="358"/>
        <v>ASHP-SEER18-Replace_CAC_NonElectricHeat_ER1_MF</v>
      </c>
      <c r="G3918" s="4347"/>
      <c r="H3918" s="4347"/>
      <c r="I3918" s="4347"/>
      <c r="J3918" s="3471" t="str">
        <f t="shared" si="359"/>
        <v>354310_2024_12_</v>
      </c>
      <c r="K3918" s="3377">
        <v>6</v>
      </c>
      <c r="L3918" s="262"/>
      <c r="M3918" s="4202"/>
      <c r="P3918" s="261"/>
      <c r="Q3918" s="209"/>
      <c r="R3918" s="261"/>
      <c r="S3918" s="52"/>
      <c r="T3918" s="181"/>
      <c r="U3918" s="52"/>
      <c r="V3918" s="4295"/>
      <c r="W3918" s="263"/>
      <c r="X3918" s="263"/>
      <c r="Y3918" s="263"/>
      <c r="Z3918" s="263"/>
      <c r="AA3918" s="263"/>
      <c r="AB3918" s="263"/>
      <c r="AC3918" s="3495">
        <v>6</v>
      </c>
      <c r="AD3918" s="3494">
        <v>6</v>
      </c>
      <c r="AE3918" s="3494">
        <v>6</v>
      </c>
      <c r="AF3918" s="2236">
        <f t="shared" si="357"/>
        <v>6</v>
      </c>
      <c r="AG3918" s="263"/>
      <c r="DG3918" s="573"/>
      <c r="DH3918" s="159"/>
      <c r="DI3918" s="1091"/>
      <c r="DJ3918" s="1187"/>
    </row>
    <row r="3919" spans="1:114" ht="15" hidden="1" customHeight="1" outlineLevel="1">
      <c r="A3919" s="453"/>
      <c r="C3919" s="51"/>
      <c r="D3919" s="4295"/>
      <c r="E3919" s="4295"/>
      <c r="F3919" s="4347" t="str">
        <f t="shared" si="358"/>
        <v>ASHP-SEER18-Replace_CAC_NonElectricHeat_ER1_MF</v>
      </c>
      <c r="G3919" s="4347"/>
      <c r="H3919" s="4347"/>
      <c r="I3919" s="4347"/>
      <c r="J3919" s="3471" t="str">
        <f t="shared" si="359"/>
        <v>354310_2024_12_</v>
      </c>
      <c r="K3919" s="3377">
        <v>6</v>
      </c>
      <c r="L3919" s="262"/>
      <c r="M3919" s="4202"/>
      <c r="P3919" s="261"/>
      <c r="Q3919" s="209"/>
      <c r="R3919" s="261"/>
      <c r="S3919" s="52"/>
      <c r="T3919" s="181"/>
      <c r="U3919" s="52"/>
      <c r="V3919" s="4295"/>
      <c r="W3919" s="263"/>
      <c r="X3919" s="263"/>
      <c r="Y3919" s="263"/>
      <c r="Z3919" s="263"/>
      <c r="AA3919" s="263"/>
      <c r="AB3919" s="263"/>
      <c r="AC3919" s="3495">
        <v>6</v>
      </c>
      <c r="AD3919" s="3494">
        <v>6</v>
      </c>
      <c r="AE3919" s="3494">
        <v>6</v>
      </c>
      <c r="AF3919" s="2236">
        <f t="shared" si="357"/>
        <v>6</v>
      </c>
      <c r="AG3919" s="263"/>
      <c r="DG3919" s="573"/>
      <c r="DH3919" s="159"/>
      <c r="DI3919" s="1091"/>
      <c r="DJ3919" s="1187"/>
    </row>
    <row r="3920" spans="1:114" ht="15" hidden="1" customHeight="1" outlineLevel="1">
      <c r="A3920" s="453"/>
      <c r="C3920" s="51"/>
      <c r="D3920" s="4295"/>
      <c r="E3920" s="4295"/>
      <c r="F3920" s="4347" t="str">
        <f t="shared" si="358"/>
        <v>ASHP-SEER18-Replace_CAC_NonElectricHeat_ER2_MF</v>
      </c>
      <c r="G3920" s="4347"/>
      <c r="H3920" s="4347"/>
      <c r="I3920" s="4347"/>
      <c r="J3920" s="3471" t="str">
        <f t="shared" si="359"/>
        <v>354310_2024_12_</v>
      </c>
      <c r="K3920" s="3377">
        <v>12</v>
      </c>
      <c r="L3920" s="262"/>
      <c r="M3920" s="4202"/>
      <c r="P3920" s="261"/>
      <c r="Q3920" s="209"/>
      <c r="R3920" s="261"/>
      <c r="S3920" s="52"/>
      <c r="T3920" s="181"/>
      <c r="U3920" s="52"/>
      <c r="V3920" s="4295"/>
      <c r="W3920" s="263"/>
      <c r="X3920" s="263"/>
      <c r="Y3920" s="263"/>
      <c r="Z3920" s="263"/>
      <c r="AA3920" s="263"/>
      <c r="AB3920" s="263"/>
      <c r="AC3920" s="3495">
        <v>12</v>
      </c>
      <c r="AD3920" s="3494">
        <v>12</v>
      </c>
      <c r="AE3920" s="3494">
        <v>12</v>
      </c>
      <c r="AF3920" s="2236">
        <f t="shared" si="357"/>
        <v>12</v>
      </c>
      <c r="AG3920" s="263"/>
      <c r="DG3920" s="573"/>
      <c r="DH3920" s="159"/>
      <c r="DI3920" s="1091"/>
      <c r="DJ3920" s="1187"/>
    </row>
    <row r="3921" spans="1:114" ht="15" hidden="1" customHeight="1" outlineLevel="1">
      <c r="A3921" s="453"/>
      <c r="C3921" s="51"/>
      <c r="D3921" s="4295"/>
      <c r="E3921" s="4295"/>
      <c r="F3921" s="4347" t="str">
        <f t="shared" si="358"/>
        <v>ASHP-SEER18-Replace_CAC_NonElectricHeat_ER2_MF</v>
      </c>
      <c r="G3921" s="4347"/>
      <c r="H3921" s="4347"/>
      <c r="I3921" s="4347"/>
      <c r="J3921" s="3471" t="str">
        <f t="shared" si="359"/>
        <v>354310_2024_12_</v>
      </c>
      <c r="K3921" s="3377">
        <v>12</v>
      </c>
      <c r="L3921" s="262"/>
      <c r="M3921" s="4202"/>
      <c r="P3921" s="261"/>
      <c r="Q3921" s="209"/>
      <c r="R3921" s="261"/>
      <c r="S3921" s="52"/>
      <c r="T3921" s="181"/>
      <c r="U3921" s="52"/>
      <c r="V3921" s="4295"/>
      <c r="W3921" s="263"/>
      <c r="X3921" s="263"/>
      <c r="Y3921" s="263"/>
      <c r="Z3921" s="263"/>
      <c r="AA3921" s="263"/>
      <c r="AB3921" s="263"/>
      <c r="AC3921" s="3495">
        <v>12</v>
      </c>
      <c r="AD3921" s="3494">
        <v>12</v>
      </c>
      <c r="AE3921" s="3494">
        <v>12</v>
      </c>
      <c r="AF3921" s="2236">
        <f t="shared" si="357"/>
        <v>12</v>
      </c>
      <c r="AG3921" s="263"/>
      <c r="DG3921" s="573"/>
      <c r="DH3921" s="159"/>
      <c r="DI3921" s="1091"/>
      <c r="DJ3921" s="1187"/>
    </row>
    <row r="3922" spans="1:114" ht="15" hidden="1" customHeight="1" outlineLevel="1">
      <c r="A3922" s="453"/>
      <c r="C3922" s="51"/>
      <c r="D3922" s="4295"/>
      <c r="E3922" s="4295"/>
      <c r="F3922" s="4347" t="str">
        <f t="shared" si="358"/>
        <v>ASHP-SEER18-Replace_CAC_NonElectricHeat_ER1_MF_CompE</v>
      </c>
      <c r="G3922" s="4347"/>
      <c r="H3922" s="4347"/>
      <c r="I3922" s="4347"/>
      <c r="J3922" s="3471" t="str">
        <f t="shared" si="359"/>
        <v>354311_2024_12_</v>
      </c>
      <c r="K3922" s="3377">
        <v>6</v>
      </c>
      <c r="L3922" s="262"/>
      <c r="M3922" s="4202"/>
      <c r="P3922" s="261"/>
      <c r="Q3922" s="209"/>
      <c r="R3922" s="261"/>
      <c r="S3922" s="52"/>
      <c r="T3922" s="181"/>
      <c r="U3922" s="52"/>
      <c r="V3922" s="4295"/>
      <c r="W3922" s="263"/>
      <c r="X3922" s="263"/>
      <c r="Y3922" s="263"/>
      <c r="Z3922" s="263"/>
      <c r="AA3922" s="263"/>
      <c r="AB3922" s="263"/>
      <c r="AC3922" s="3495">
        <v>6</v>
      </c>
      <c r="AD3922" s="3494">
        <v>6</v>
      </c>
      <c r="AE3922" s="3494">
        <v>6</v>
      </c>
      <c r="AF3922" s="2236">
        <f t="shared" si="357"/>
        <v>6</v>
      </c>
      <c r="AG3922" s="263"/>
      <c r="DG3922" s="573"/>
      <c r="DH3922" s="159"/>
      <c r="DI3922" s="1091"/>
      <c r="DJ3922" s="1187"/>
    </row>
    <row r="3923" spans="1:114" ht="15" hidden="1" customHeight="1" outlineLevel="1">
      <c r="A3923" s="453"/>
      <c r="C3923" s="51"/>
      <c r="D3923" s="4295"/>
      <c r="E3923" s="4295"/>
      <c r="F3923" s="4347" t="str">
        <f t="shared" si="358"/>
        <v>ASHP-SEER18-Replace_CAC_NonElectricHeat_ER1_MF_CompE</v>
      </c>
      <c r="G3923" s="4347"/>
      <c r="H3923" s="4347"/>
      <c r="I3923" s="4347"/>
      <c r="J3923" s="3471" t="str">
        <f t="shared" si="359"/>
        <v>354311_2024_12_</v>
      </c>
      <c r="K3923" s="3377">
        <v>6</v>
      </c>
      <c r="L3923" s="262"/>
      <c r="M3923" s="4202"/>
      <c r="P3923" s="261"/>
      <c r="Q3923" s="209"/>
      <c r="R3923" s="261"/>
      <c r="S3923" s="52"/>
      <c r="T3923" s="181"/>
      <c r="U3923" s="52"/>
      <c r="V3923" s="4295"/>
      <c r="W3923" s="263"/>
      <c r="X3923" s="263"/>
      <c r="Y3923" s="263"/>
      <c r="Z3923" s="263"/>
      <c r="AA3923" s="263"/>
      <c r="AB3923" s="263"/>
      <c r="AC3923" s="3495">
        <v>6</v>
      </c>
      <c r="AD3923" s="3494">
        <v>6</v>
      </c>
      <c r="AE3923" s="3494">
        <v>6</v>
      </c>
      <c r="AF3923" s="2236">
        <f t="shared" si="357"/>
        <v>6</v>
      </c>
      <c r="AG3923" s="263"/>
      <c r="DG3923" s="573"/>
      <c r="DH3923" s="159"/>
      <c r="DI3923" s="1091"/>
      <c r="DJ3923" s="1187"/>
    </row>
    <row r="3924" spans="1:114" ht="15" hidden="1" customHeight="1" outlineLevel="1">
      <c r="A3924" s="453"/>
      <c r="C3924" s="51"/>
      <c r="D3924" s="4295"/>
      <c r="E3924" s="4295"/>
      <c r="F3924" s="4347" t="str">
        <f t="shared" si="358"/>
        <v>ASHP-SEER18-Replace_CAC_NonElectricHeat_ER2_MF_CompE</v>
      </c>
      <c r="G3924" s="4347"/>
      <c r="H3924" s="4347"/>
      <c r="I3924" s="4347"/>
      <c r="J3924" s="3471" t="str">
        <f t="shared" si="359"/>
        <v>354311_2024_12_</v>
      </c>
      <c r="K3924" s="3377">
        <v>12</v>
      </c>
      <c r="L3924" s="262"/>
      <c r="M3924" s="4202"/>
      <c r="P3924" s="261"/>
      <c r="Q3924" s="209"/>
      <c r="R3924" s="261"/>
      <c r="S3924" s="52"/>
      <c r="T3924" s="181"/>
      <c r="U3924" s="52"/>
      <c r="V3924" s="4295"/>
      <c r="W3924" s="263"/>
      <c r="X3924" s="263"/>
      <c r="Y3924" s="263"/>
      <c r="Z3924" s="263"/>
      <c r="AA3924" s="263"/>
      <c r="AB3924" s="263"/>
      <c r="AC3924" s="3495">
        <v>12</v>
      </c>
      <c r="AD3924" s="3494">
        <v>12</v>
      </c>
      <c r="AE3924" s="3494">
        <v>12</v>
      </c>
      <c r="AF3924" s="2236">
        <f t="shared" si="357"/>
        <v>12</v>
      </c>
      <c r="AG3924" s="263"/>
      <c r="DG3924" s="573"/>
      <c r="DH3924" s="159"/>
      <c r="DI3924" s="1091"/>
      <c r="DJ3924" s="1187"/>
    </row>
    <row r="3925" spans="1:114" ht="15" hidden="1" customHeight="1" outlineLevel="1">
      <c r="A3925" s="453"/>
      <c r="C3925" s="51"/>
      <c r="D3925" s="4295"/>
      <c r="E3925" s="4295"/>
      <c r="F3925" s="4347" t="str">
        <f t="shared" si="358"/>
        <v>ASHP-SEER18-Replace_CAC_NonElectricHeat_ER2_MF_CompE</v>
      </c>
      <c r="G3925" s="4347"/>
      <c r="H3925" s="4347"/>
      <c r="I3925" s="4347"/>
      <c r="J3925" s="3471" t="str">
        <f t="shared" si="359"/>
        <v>354311_2024_12_</v>
      </c>
      <c r="K3925" s="3377">
        <v>12</v>
      </c>
      <c r="L3925" s="262"/>
      <c r="M3925" s="4202"/>
      <c r="P3925" s="261"/>
      <c r="Q3925" s="209"/>
      <c r="R3925" s="261"/>
      <c r="S3925" s="52"/>
      <c r="T3925" s="181"/>
      <c r="U3925" s="52"/>
      <c r="V3925" s="4295"/>
      <c r="W3925" s="263"/>
      <c r="X3925" s="263"/>
      <c r="Y3925" s="263"/>
      <c r="Z3925" s="263"/>
      <c r="AA3925" s="263"/>
      <c r="AB3925" s="263"/>
      <c r="AC3925" s="3495">
        <v>12</v>
      </c>
      <c r="AD3925" s="3494">
        <v>12</v>
      </c>
      <c r="AE3925" s="3494">
        <v>12</v>
      </c>
      <c r="AF3925" s="2236">
        <f t="shared" si="357"/>
        <v>12</v>
      </c>
      <c r="AG3925" s="263"/>
      <c r="DG3925" s="573"/>
      <c r="DH3925" s="159"/>
      <c r="DI3925" s="1091"/>
      <c r="DJ3925" s="1187"/>
    </row>
    <row r="3926" spans="1:114" ht="15" hidden="1" customHeight="1" outlineLevel="1">
      <c r="A3926" s="453"/>
      <c r="C3926" s="51"/>
      <c r="D3926" s="4295"/>
      <c r="E3926" s="4295"/>
      <c r="F3926" s="4307" t="str">
        <f t="shared" si="358"/>
        <v>ASHP-SEER18_ER1_MF</v>
      </c>
      <c r="G3926" s="4307"/>
      <c r="H3926" s="4307"/>
      <c r="I3926" s="4307"/>
      <c r="J3926" s="1029" t="str">
        <f t="shared" si="359"/>
        <v>354350_2024_12_</v>
      </c>
      <c r="K3926" s="1796">
        <v>6</v>
      </c>
      <c r="L3926" s="262"/>
      <c r="M3926" s="4202"/>
      <c r="P3926" s="261"/>
      <c r="Q3926" s="209"/>
      <c r="R3926" s="261"/>
      <c r="S3926" s="52"/>
      <c r="T3926" s="181"/>
      <c r="U3926" s="52"/>
      <c r="V3926" s="4295"/>
      <c r="W3926" s="263">
        <v>6</v>
      </c>
      <c r="X3926" s="263">
        <v>6</v>
      </c>
      <c r="Y3926" s="263">
        <v>6</v>
      </c>
      <c r="Z3926" s="263">
        <v>6</v>
      </c>
      <c r="AA3926" s="263">
        <v>6</v>
      </c>
      <c r="AB3926" s="263">
        <v>6</v>
      </c>
      <c r="AC3926" s="263">
        <v>6</v>
      </c>
      <c r="AD3926" s="263">
        <v>6</v>
      </c>
      <c r="AE3926" s="263">
        <v>6</v>
      </c>
      <c r="AF3926" s="271">
        <f t="shared" si="357"/>
        <v>6</v>
      </c>
      <c r="AG3926" s="263"/>
      <c r="DG3926" s="573"/>
      <c r="DH3926" s="159"/>
      <c r="DI3926" s="1091"/>
      <c r="DJ3926" s="1187"/>
    </row>
    <row r="3927" spans="1:114" ht="15" hidden="1" customHeight="1" outlineLevel="1">
      <c r="A3927" s="453"/>
      <c r="C3927" s="51"/>
      <c r="D3927" s="4295"/>
      <c r="E3927" s="4295"/>
      <c r="F3927" s="4307" t="str">
        <f t="shared" si="358"/>
        <v>ASHP-SEER18_ER1_MF</v>
      </c>
      <c r="G3927" s="4307"/>
      <c r="H3927" s="4307"/>
      <c r="I3927" s="4307"/>
      <c r="J3927" s="1029" t="str">
        <f t="shared" si="359"/>
        <v>354350_2024_12_</v>
      </c>
      <c r="K3927" s="1796">
        <v>6</v>
      </c>
      <c r="L3927" s="262"/>
      <c r="M3927" s="4202"/>
      <c r="P3927" s="261"/>
      <c r="Q3927" s="209"/>
      <c r="R3927" s="261"/>
      <c r="S3927" s="52"/>
      <c r="T3927" s="181"/>
      <c r="U3927" s="52"/>
      <c r="V3927" s="4295"/>
      <c r="W3927" s="263">
        <v>6</v>
      </c>
      <c r="X3927" s="263">
        <v>6</v>
      </c>
      <c r="Y3927" s="263">
        <v>6</v>
      </c>
      <c r="Z3927" s="263">
        <v>6</v>
      </c>
      <c r="AA3927" s="263">
        <v>6</v>
      </c>
      <c r="AB3927" s="263">
        <v>6</v>
      </c>
      <c r="AC3927" s="263">
        <v>6</v>
      </c>
      <c r="AD3927" s="263">
        <v>6</v>
      </c>
      <c r="AE3927" s="263">
        <v>6</v>
      </c>
      <c r="AF3927" s="271">
        <f t="shared" si="357"/>
        <v>6</v>
      </c>
      <c r="AG3927" s="263"/>
      <c r="DG3927" s="573"/>
      <c r="DH3927" s="159"/>
      <c r="DI3927" s="1091"/>
      <c r="DJ3927" s="1187"/>
    </row>
    <row r="3928" spans="1:114" ht="15" hidden="1" customHeight="1" outlineLevel="1">
      <c r="A3928" s="453"/>
      <c r="C3928" s="51"/>
      <c r="D3928" s="4295"/>
      <c r="E3928" s="4295"/>
      <c r="F3928" s="4307" t="str">
        <f t="shared" si="358"/>
        <v>ASHP-SEER18_ER2_MF</v>
      </c>
      <c r="G3928" s="4307"/>
      <c r="H3928" s="4307"/>
      <c r="I3928" s="4307"/>
      <c r="J3928" s="1029" t="str">
        <f t="shared" si="359"/>
        <v>354350_2024_12_</v>
      </c>
      <c r="K3928" s="1796">
        <v>12</v>
      </c>
      <c r="L3928" s="262"/>
      <c r="M3928" s="4202"/>
      <c r="P3928" s="261"/>
      <c r="Q3928" s="209"/>
      <c r="R3928" s="261"/>
      <c r="S3928" s="52"/>
      <c r="T3928" s="181"/>
      <c r="U3928" s="52"/>
      <c r="V3928" s="4295"/>
      <c r="W3928" s="263">
        <v>12</v>
      </c>
      <c r="X3928" s="263">
        <v>12</v>
      </c>
      <c r="Y3928" s="263">
        <v>12</v>
      </c>
      <c r="Z3928" s="263">
        <v>12</v>
      </c>
      <c r="AA3928" s="263">
        <v>12</v>
      </c>
      <c r="AB3928" s="263">
        <v>12</v>
      </c>
      <c r="AC3928" s="263">
        <v>12</v>
      </c>
      <c r="AD3928" s="263">
        <v>12</v>
      </c>
      <c r="AE3928" s="263">
        <v>12</v>
      </c>
      <c r="AF3928" s="271">
        <f t="shared" si="357"/>
        <v>12</v>
      </c>
      <c r="AG3928" s="263"/>
      <c r="DG3928" s="573"/>
      <c r="DH3928" s="159"/>
      <c r="DI3928" s="1091"/>
      <c r="DJ3928" s="1187"/>
    </row>
    <row r="3929" spans="1:114" ht="15" hidden="1" customHeight="1" outlineLevel="1">
      <c r="A3929" s="453"/>
      <c r="C3929" s="51"/>
      <c r="D3929" s="4295"/>
      <c r="E3929" s="4295"/>
      <c r="F3929" s="4307" t="str">
        <f t="shared" si="358"/>
        <v>ASHP-SEER18_ER2_MF</v>
      </c>
      <c r="G3929" s="4307"/>
      <c r="H3929" s="4307"/>
      <c r="I3929" s="4307"/>
      <c r="J3929" s="1029" t="str">
        <f t="shared" si="359"/>
        <v>354350_2024_12_</v>
      </c>
      <c r="K3929" s="1796">
        <v>12</v>
      </c>
      <c r="L3929" s="262"/>
      <c r="M3929" s="4202"/>
      <c r="P3929" s="261"/>
      <c r="Q3929" s="209"/>
      <c r="R3929" s="261"/>
      <c r="S3929" s="52"/>
      <c r="T3929" s="181"/>
      <c r="U3929" s="52"/>
      <c r="V3929" s="4295"/>
      <c r="W3929" s="263">
        <v>12</v>
      </c>
      <c r="X3929" s="263">
        <v>12</v>
      </c>
      <c r="Y3929" s="263">
        <v>12</v>
      </c>
      <c r="Z3929" s="263">
        <v>12</v>
      </c>
      <c r="AA3929" s="263">
        <v>12</v>
      </c>
      <c r="AB3929" s="263">
        <v>12</v>
      </c>
      <c r="AC3929" s="263">
        <v>12</v>
      </c>
      <c r="AD3929" s="263">
        <v>12</v>
      </c>
      <c r="AE3929" s="263">
        <v>12</v>
      </c>
      <c r="AF3929" s="271">
        <f t="shared" si="357"/>
        <v>12</v>
      </c>
      <c r="AG3929" s="263"/>
      <c r="DG3929" s="573"/>
      <c r="DH3929" s="159"/>
      <c r="DI3929" s="1091"/>
      <c r="DJ3929" s="1187"/>
    </row>
    <row r="3930" spans="1:114" ht="15" hidden="1" customHeight="1" outlineLevel="1">
      <c r="A3930" s="453"/>
      <c r="C3930" s="51"/>
      <c r="D3930" s="4295"/>
      <c r="E3930" s="4295"/>
      <c r="F3930" s="4347" t="str">
        <f t="shared" si="358"/>
        <v>ASHP-SEER18_ER1_MF_CompE</v>
      </c>
      <c r="G3930" s="4347"/>
      <c r="H3930" s="4347"/>
      <c r="I3930" s="4347"/>
      <c r="J3930" s="3471" t="str">
        <f t="shared" si="359"/>
        <v>354351_2024_12_</v>
      </c>
      <c r="K3930" s="3377">
        <v>6</v>
      </c>
      <c r="L3930" s="262"/>
      <c r="M3930" s="4202"/>
      <c r="P3930" s="261"/>
      <c r="Q3930" s="209"/>
      <c r="R3930" s="261"/>
      <c r="S3930" s="52"/>
      <c r="T3930" s="181"/>
      <c r="U3930" s="52"/>
      <c r="V3930" s="4295"/>
      <c r="W3930" s="263"/>
      <c r="X3930" s="263"/>
      <c r="Y3930" s="263"/>
      <c r="Z3930" s="263"/>
      <c r="AA3930" s="263"/>
      <c r="AB3930" s="263"/>
      <c r="AC3930" s="3495">
        <v>6</v>
      </c>
      <c r="AD3930" s="3494">
        <v>6</v>
      </c>
      <c r="AE3930" s="3494">
        <v>6</v>
      </c>
      <c r="AF3930" s="2236">
        <f t="shared" si="357"/>
        <v>6</v>
      </c>
      <c r="AG3930" s="263"/>
      <c r="DG3930" s="573"/>
      <c r="DH3930" s="159"/>
      <c r="DI3930" s="1091"/>
      <c r="DJ3930" s="1187"/>
    </row>
    <row r="3931" spans="1:114" ht="15" hidden="1" customHeight="1" outlineLevel="1">
      <c r="A3931" s="453"/>
      <c r="C3931" s="51"/>
      <c r="D3931" s="4295"/>
      <c r="E3931" s="4295"/>
      <c r="F3931" s="4347" t="str">
        <f t="shared" si="358"/>
        <v>ASHP-SEER18_ER1_MF_CompE</v>
      </c>
      <c r="G3931" s="4347"/>
      <c r="H3931" s="4347"/>
      <c r="I3931" s="4347"/>
      <c r="J3931" s="3471" t="str">
        <f t="shared" si="359"/>
        <v>354351_2024_12_</v>
      </c>
      <c r="K3931" s="3377">
        <v>6</v>
      </c>
      <c r="L3931" s="262"/>
      <c r="M3931" s="4202"/>
      <c r="P3931" s="261"/>
      <c r="Q3931" s="209"/>
      <c r="R3931" s="261"/>
      <c r="S3931" s="52"/>
      <c r="T3931" s="181"/>
      <c r="U3931" s="52"/>
      <c r="V3931" s="4295"/>
      <c r="W3931" s="263"/>
      <c r="X3931" s="263"/>
      <c r="Y3931" s="263"/>
      <c r="Z3931" s="263"/>
      <c r="AA3931" s="263"/>
      <c r="AB3931" s="263"/>
      <c r="AC3931" s="3495">
        <v>6</v>
      </c>
      <c r="AD3931" s="3494">
        <v>6</v>
      </c>
      <c r="AE3931" s="3494">
        <v>6</v>
      </c>
      <c r="AF3931" s="2236">
        <f t="shared" si="357"/>
        <v>6</v>
      </c>
      <c r="AG3931" s="263"/>
      <c r="DG3931" s="573"/>
      <c r="DH3931" s="159"/>
      <c r="DI3931" s="1091"/>
      <c r="DJ3931" s="1187"/>
    </row>
    <row r="3932" spans="1:114" ht="15" hidden="1" customHeight="1" outlineLevel="1">
      <c r="A3932" s="453"/>
      <c r="C3932" s="51"/>
      <c r="D3932" s="4295"/>
      <c r="E3932" s="4295"/>
      <c r="F3932" s="4347" t="str">
        <f t="shared" si="358"/>
        <v>ASHP-SEER18_ER2_MF_CompE</v>
      </c>
      <c r="G3932" s="4347"/>
      <c r="H3932" s="4347"/>
      <c r="I3932" s="4347"/>
      <c r="J3932" s="3471" t="str">
        <f t="shared" si="359"/>
        <v>354351_2024_12_</v>
      </c>
      <c r="K3932" s="3377">
        <v>12</v>
      </c>
      <c r="L3932" s="262"/>
      <c r="M3932" s="4202"/>
      <c r="P3932" s="261"/>
      <c r="Q3932" s="209"/>
      <c r="R3932" s="261"/>
      <c r="S3932" s="52"/>
      <c r="T3932" s="181"/>
      <c r="U3932" s="52"/>
      <c r="V3932" s="4295"/>
      <c r="W3932" s="263"/>
      <c r="X3932" s="263"/>
      <c r="Y3932" s="263"/>
      <c r="Z3932" s="263"/>
      <c r="AA3932" s="263"/>
      <c r="AB3932" s="263"/>
      <c r="AC3932" s="3495">
        <v>12</v>
      </c>
      <c r="AD3932" s="3494">
        <v>12</v>
      </c>
      <c r="AE3932" s="3494">
        <v>12</v>
      </c>
      <c r="AF3932" s="2236">
        <f t="shared" si="357"/>
        <v>12</v>
      </c>
      <c r="AG3932" s="263"/>
      <c r="DG3932" s="573"/>
      <c r="DH3932" s="159"/>
      <c r="DI3932" s="1091"/>
      <c r="DJ3932" s="1187"/>
    </row>
    <row r="3933" spans="1:114" ht="15" hidden="1" customHeight="1" outlineLevel="1">
      <c r="A3933" s="453"/>
      <c r="C3933" s="51"/>
      <c r="D3933" s="4295"/>
      <c r="E3933" s="4295"/>
      <c r="F3933" s="4347" t="str">
        <f t="shared" si="358"/>
        <v>ASHP-SEER18_ER2_MF_CompE</v>
      </c>
      <c r="G3933" s="4347"/>
      <c r="H3933" s="4347"/>
      <c r="I3933" s="4347"/>
      <c r="J3933" s="3471" t="str">
        <f t="shared" si="359"/>
        <v>354351_2024_12_</v>
      </c>
      <c r="K3933" s="3377">
        <v>12</v>
      </c>
      <c r="L3933" s="262"/>
      <c r="M3933" s="4202"/>
      <c r="P3933" s="261"/>
      <c r="Q3933" s="209"/>
      <c r="R3933" s="261"/>
      <c r="S3933" s="52"/>
      <c r="T3933" s="181"/>
      <c r="U3933" s="52"/>
      <c r="V3933" s="4295"/>
      <c r="W3933" s="263"/>
      <c r="X3933" s="263"/>
      <c r="Y3933" s="263"/>
      <c r="Z3933" s="263"/>
      <c r="AA3933" s="263"/>
      <c r="AB3933" s="263"/>
      <c r="AC3933" s="3495">
        <v>12</v>
      </c>
      <c r="AD3933" s="3494">
        <v>12</v>
      </c>
      <c r="AE3933" s="3494">
        <v>12</v>
      </c>
      <c r="AF3933" s="2236">
        <f t="shared" si="357"/>
        <v>12</v>
      </c>
      <c r="AG3933" s="263"/>
      <c r="DG3933" s="573"/>
      <c r="DH3933" s="159"/>
      <c r="DI3933" s="1091"/>
      <c r="DJ3933" s="1187"/>
    </row>
    <row r="3934" spans="1:114" ht="15" hidden="1" customHeight="1" outlineLevel="1">
      <c r="A3934" s="453"/>
      <c r="C3934" s="51"/>
      <c r="D3934" s="4295"/>
      <c r="E3934" s="4295"/>
      <c r="F3934" s="4307" t="str">
        <f t="shared" si="358"/>
        <v>ASHP-SEER19-Replace_CAC_ElectricHeat_ER1_SF</v>
      </c>
      <c r="G3934" s="4307"/>
      <c r="H3934" s="4307"/>
      <c r="I3934" s="4307"/>
      <c r="J3934" s="1029" t="str">
        <f t="shared" si="359"/>
        <v>354400_2024_12_</v>
      </c>
      <c r="K3934" s="1796">
        <v>6</v>
      </c>
      <c r="L3934" s="262"/>
      <c r="M3934" s="4202"/>
      <c r="P3934" s="261"/>
      <c r="Q3934" s="209"/>
      <c r="R3934" s="261"/>
      <c r="S3934" s="52"/>
      <c r="T3934" s="181"/>
      <c r="U3934" s="52"/>
      <c r="V3934" s="4295"/>
      <c r="W3934" s="263">
        <v>6</v>
      </c>
      <c r="X3934" s="263">
        <v>6</v>
      </c>
      <c r="Y3934" s="263">
        <v>6</v>
      </c>
      <c r="Z3934" s="263">
        <v>6</v>
      </c>
      <c r="AA3934" s="263">
        <v>6</v>
      </c>
      <c r="AB3934" s="263">
        <v>6</v>
      </c>
      <c r="AC3934" s="263">
        <v>6</v>
      </c>
      <c r="AD3934" s="263">
        <v>6</v>
      </c>
      <c r="AE3934" s="263">
        <v>6</v>
      </c>
      <c r="AF3934" s="271">
        <f t="shared" si="357"/>
        <v>6</v>
      </c>
      <c r="AG3934" s="263"/>
      <c r="DG3934" s="573"/>
      <c r="DH3934" s="159"/>
      <c r="DI3934" s="1091"/>
      <c r="DJ3934" s="1187"/>
    </row>
    <row r="3935" spans="1:114" ht="15" hidden="1" customHeight="1" outlineLevel="1">
      <c r="A3935" s="453"/>
      <c r="C3935" s="51"/>
      <c r="D3935" s="4295"/>
      <c r="E3935" s="4295"/>
      <c r="F3935" s="4307" t="str">
        <f t="shared" si="358"/>
        <v>ASHP-SEER19-Replace_CAC_ElectricHeat_ER1_SF</v>
      </c>
      <c r="G3935" s="4307"/>
      <c r="H3935" s="4307"/>
      <c r="I3935" s="4307"/>
      <c r="J3935" s="1029" t="str">
        <f t="shared" si="359"/>
        <v>354400_2024_12_</v>
      </c>
      <c r="K3935" s="1796">
        <v>6</v>
      </c>
      <c r="L3935" s="262"/>
      <c r="M3935" s="4202"/>
      <c r="S3935" s="52"/>
      <c r="T3935" s="52"/>
      <c r="U3935" s="52"/>
      <c r="V3935" s="4295"/>
      <c r="W3935" s="263">
        <v>6</v>
      </c>
      <c r="X3935" s="263">
        <v>6</v>
      </c>
      <c r="Y3935" s="263">
        <v>6</v>
      </c>
      <c r="Z3935" s="263">
        <v>6</v>
      </c>
      <c r="AA3935" s="263">
        <v>6</v>
      </c>
      <c r="AB3935" s="263">
        <v>6</v>
      </c>
      <c r="AC3935" s="263">
        <v>6</v>
      </c>
      <c r="AD3935" s="263">
        <v>6</v>
      </c>
      <c r="AE3935" s="263">
        <v>6</v>
      </c>
      <c r="AF3935" s="271">
        <f t="shared" si="357"/>
        <v>6</v>
      </c>
      <c r="AG3935" s="263"/>
      <c r="DG3935" s="573"/>
      <c r="DH3935" s="159"/>
      <c r="DI3935" s="1091"/>
      <c r="DJ3935" s="1187"/>
    </row>
    <row r="3936" spans="1:114" ht="15" hidden="1" customHeight="1" outlineLevel="1">
      <c r="A3936" s="453"/>
      <c r="C3936" s="51"/>
      <c r="D3936" s="4295"/>
      <c r="E3936" s="4295"/>
      <c r="F3936" s="4307" t="str">
        <f t="shared" si="358"/>
        <v>ASHP-SEER19-Replace_CAC_ElectricHeat_ER2_SF</v>
      </c>
      <c r="G3936" s="4307"/>
      <c r="H3936" s="4307"/>
      <c r="I3936" s="4307"/>
      <c r="J3936" s="1029" t="str">
        <f t="shared" si="359"/>
        <v>354400_2024_12_</v>
      </c>
      <c r="K3936" s="1796">
        <v>12</v>
      </c>
      <c r="L3936" s="262"/>
      <c r="M3936" s="4202"/>
      <c r="P3936" s="261"/>
      <c r="Q3936" s="209"/>
      <c r="R3936" s="261"/>
      <c r="S3936" s="52"/>
      <c r="T3936" s="181"/>
      <c r="U3936" s="52"/>
      <c r="V3936" s="4295"/>
      <c r="W3936" s="263">
        <v>12</v>
      </c>
      <c r="X3936" s="263">
        <v>12</v>
      </c>
      <c r="Y3936" s="263">
        <v>12</v>
      </c>
      <c r="Z3936" s="263">
        <v>12</v>
      </c>
      <c r="AA3936" s="263">
        <v>12</v>
      </c>
      <c r="AB3936" s="263">
        <v>12</v>
      </c>
      <c r="AC3936" s="263">
        <v>12</v>
      </c>
      <c r="AD3936" s="263">
        <v>12</v>
      </c>
      <c r="AE3936" s="263">
        <v>12</v>
      </c>
      <c r="AF3936" s="271">
        <f t="shared" si="357"/>
        <v>12</v>
      </c>
      <c r="AG3936" s="263"/>
      <c r="DG3936" s="573"/>
      <c r="DH3936" s="159"/>
      <c r="DI3936" s="1091"/>
      <c r="DJ3936" s="1187"/>
    </row>
    <row r="3937" spans="1:114" ht="15" hidden="1" customHeight="1" outlineLevel="1">
      <c r="A3937" s="453"/>
      <c r="C3937" s="51"/>
      <c r="D3937" s="4295"/>
      <c r="E3937" s="4295"/>
      <c r="F3937" s="4307" t="str">
        <f t="shared" si="358"/>
        <v>ASHP-SEER19-Replace_CAC_ElectricHeat_ER2_SF</v>
      </c>
      <c r="G3937" s="4307"/>
      <c r="H3937" s="4307"/>
      <c r="I3937" s="4307"/>
      <c r="J3937" s="1029" t="str">
        <f t="shared" si="359"/>
        <v>354400_2024_12_</v>
      </c>
      <c r="K3937" s="1796">
        <v>12</v>
      </c>
      <c r="L3937" s="262"/>
      <c r="M3937" s="4202"/>
      <c r="S3937" s="52"/>
      <c r="T3937" s="52"/>
      <c r="U3937" s="52"/>
      <c r="V3937" s="4295"/>
      <c r="W3937" s="263">
        <v>12</v>
      </c>
      <c r="X3937" s="263">
        <v>12</v>
      </c>
      <c r="Y3937" s="263">
        <v>12</v>
      </c>
      <c r="Z3937" s="263">
        <v>12</v>
      </c>
      <c r="AA3937" s="263">
        <v>12</v>
      </c>
      <c r="AB3937" s="263">
        <v>12</v>
      </c>
      <c r="AC3937" s="263">
        <v>12</v>
      </c>
      <c r="AD3937" s="263">
        <v>12</v>
      </c>
      <c r="AE3937" s="263">
        <v>12</v>
      </c>
      <c r="AF3937" s="271">
        <f t="shared" si="357"/>
        <v>12</v>
      </c>
      <c r="AG3937" s="263"/>
      <c r="DG3937" s="573"/>
      <c r="DH3937" s="159"/>
      <c r="DI3937" s="1091"/>
      <c r="DJ3937" s="1187"/>
    </row>
    <row r="3938" spans="1:114" ht="15" hidden="1" customHeight="1" outlineLevel="1">
      <c r="A3938" s="453"/>
      <c r="C3938" s="51"/>
      <c r="D3938" s="4295"/>
      <c r="E3938" s="4295"/>
      <c r="F3938" s="4307" t="str">
        <f t="shared" si="358"/>
        <v>ASHP-SEER19-Replace_CAC_NonElectricHeat_ER1_SF</v>
      </c>
      <c r="G3938" s="4307"/>
      <c r="H3938" s="4307"/>
      <c r="I3938" s="4307"/>
      <c r="J3938" s="1029" t="str">
        <f t="shared" si="359"/>
        <v>354410_2024_12_</v>
      </c>
      <c r="K3938" s="1796">
        <v>6</v>
      </c>
      <c r="L3938" s="262"/>
      <c r="M3938" s="4202"/>
      <c r="S3938" s="52"/>
      <c r="T3938" s="52"/>
      <c r="U3938" s="52"/>
      <c r="V3938" s="4295"/>
      <c r="W3938" s="263"/>
      <c r="X3938" s="263"/>
      <c r="Y3938" s="263"/>
      <c r="Z3938" s="263"/>
      <c r="AA3938" s="263"/>
      <c r="AB3938" s="263"/>
      <c r="AC3938" s="1030">
        <v>6</v>
      </c>
      <c r="AD3938" s="263">
        <v>6</v>
      </c>
      <c r="AE3938" s="263">
        <v>6</v>
      </c>
      <c r="AF3938" s="271">
        <f t="shared" si="357"/>
        <v>6</v>
      </c>
      <c r="AG3938" s="263"/>
      <c r="DG3938" s="573"/>
      <c r="DH3938" s="159"/>
      <c r="DI3938" s="1091"/>
      <c r="DJ3938" s="1187"/>
    </row>
    <row r="3939" spans="1:114" ht="15" hidden="1" customHeight="1" outlineLevel="1">
      <c r="A3939" s="453"/>
      <c r="C3939" s="51"/>
      <c r="D3939" s="4295"/>
      <c r="E3939" s="4295"/>
      <c r="F3939" s="4307" t="str">
        <f t="shared" si="358"/>
        <v>ASHP-SEER19-Replace_CAC_NonElectricHeat_ER1_SF</v>
      </c>
      <c r="G3939" s="4307"/>
      <c r="H3939" s="4307"/>
      <c r="I3939" s="4307"/>
      <c r="J3939" s="1029" t="str">
        <f t="shared" si="359"/>
        <v>354410_2024_12_</v>
      </c>
      <c r="K3939" s="1796">
        <v>6</v>
      </c>
      <c r="L3939" s="262"/>
      <c r="M3939" s="4202"/>
      <c r="S3939" s="52"/>
      <c r="T3939" s="52"/>
      <c r="U3939" s="52"/>
      <c r="V3939" s="4295"/>
      <c r="W3939" s="263"/>
      <c r="X3939" s="263"/>
      <c r="Y3939" s="263"/>
      <c r="Z3939" s="263"/>
      <c r="AA3939" s="263"/>
      <c r="AB3939" s="263"/>
      <c r="AC3939" s="1030">
        <v>6</v>
      </c>
      <c r="AD3939" s="263">
        <v>6</v>
      </c>
      <c r="AE3939" s="263">
        <v>6</v>
      </c>
      <c r="AF3939" s="271">
        <f t="shared" si="357"/>
        <v>6</v>
      </c>
      <c r="AG3939" s="263"/>
      <c r="DG3939" s="573"/>
      <c r="DH3939" s="159"/>
      <c r="DI3939" s="1091"/>
      <c r="DJ3939" s="1187"/>
    </row>
    <row r="3940" spans="1:114" ht="15" hidden="1" customHeight="1" outlineLevel="1">
      <c r="A3940" s="453"/>
      <c r="C3940" s="51"/>
      <c r="D3940" s="4295"/>
      <c r="E3940" s="4295"/>
      <c r="F3940" s="4307" t="str">
        <f t="shared" si="358"/>
        <v>ASHP-SEER19-Replace_CAC_NonElectricHeat_ER2_SF</v>
      </c>
      <c r="G3940" s="4307"/>
      <c r="H3940" s="4307"/>
      <c r="I3940" s="4307"/>
      <c r="J3940" s="1029" t="str">
        <f t="shared" si="359"/>
        <v>354410_2024_12_</v>
      </c>
      <c r="K3940" s="1796">
        <v>12</v>
      </c>
      <c r="L3940" s="262"/>
      <c r="M3940" s="4202"/>
      <c r="S3940" s="52"/>
      <c r="T3940" s="52"/>
      <c r="U3940" s="52"/>
      <c r="V3940" s="4295"/>
      <c r="W3940" s="263"/>
      <c r="X3940" s="263"/>
      <c r="Y3940" s="263"/>
      <c r="Z3940" s="263"/>
      <c r="AA3940" s="263"/>
      <c r="AB3940" s="263"/>
      <c r="AC3940" s="1030">
        <v>12</v>
      </c>
      <c r="AD3940" s="263">
        <v>12</v>
      </c>
      <c r="AE3940" s="263">
        <v>12</v>
      </c>
      <c r="AF3940" s="271">
        <f t="shared" si="357"/>
        <v>12</v>
      </c>
      <c r="AG3940" s="263"/>
      <c r="DG3940" s="573"/>
      <c r="DH3940" s="159"/>
      <c r="DI3940" s="1091"/>
      <c r="DJ3940" s="1187"/>
    </row>
    <row r="3941" spans="1:114" ht="15" hidden="1" customHeight="1" outlineLevel="1">
      <c r="A3941" s="453"/>
      <c r="C3941" s="51"/>
      <c r="D3941" s="4295"/>
      <c r="E3941" s="4295"/>
      <c r="F3941" s="4307" t="str">
        <f t="shared" si="358"/>
        <v>ASHP-SEER19-Replace_CAC_NonElectricHeat_ER2_SF</v>
      </c>
      <c r="G3941" s="4307"/>
      <c r="H3941" s="4307"/>
      <c r="I3941" s="4307"/>
      <c r="J3941" s="1029" t="str">
        <f t="shared" si="359"/>
        <v>354410_2024_12_</v>
      </c>
      <c r="K3941" s="1796">
        <v>12</v>
      </c>
      <c r="L3941" s="262"/>
      <c r="M3941" s="4202"/>
      <c r="S3941" s="52"/>
      <c r="T3941" s="52"/>
      <c r="U3941" s="52"/>
      <c r="V3941" s="4295"/>
      <c r="W3941" s="263"/>
      <c r="X3941" s="263"/>
      <c r="Y3941" s="263"/>
      <c r="Z3941" s="263"/>
      <c r="AA3941" s="263"/>
      <c r="AB3941" s="263"/>
      <c r="AC3941" s="1030">
        <v>12</v>
      </c>
      <c r="AD3941" s="263">
        <v>12</v>
      </c>
      <c r="AE3941" s="263">
        <v>12</v>
      </c>
      <c r="AF3941" s="271">
        <f t="shared" si="357"/>
        <v>12</v>
      </c>
      <c r="AG3941" s="263"/>
      <c r="DG3941" s="573"/>
      <c r="DH3941" s="159"/>
      <c r="DI3941" s="1091"/>
      <c r="DJ3941" s="1187"/>
    </row>
    <row r="3942" spans="1:114" ht="15" hidden="1" customHeight="1" outlineLevel="1">
      <c r="A3942" s="453"/>
      <c r="C3942" s="51"/>
      <c r="D3942" s="4295"/>
      <c r="E3942" s="4295"/>
      <c r="F3942" s="4307" t="str">
        <f t="shared" si="358"/>
        <v>ASHP-SEER19-Replace_CAC_ElectricHeat_ER1_MF</v>
      </c>
      <c r="G3942" s="4307"/>
      <c r="H3942" s="4307"/>
      <c r="I3942" s="4307"/>
      <c r="J3942" s="1029" t="str">
        <f t="shared" si="359"/>
        <v>354450_2024_12_</v>
      </c>
      <c r="K3942" s="1796">
        <v>6</v>
      </c>
      <c r="L3942" s="262"/>
      <c r="M3942" s="4202"/>
      <c r="P3942" s="261"/>
      <c r="Q3942" s="209"/>
      <c r="R3942" s="261"/>
      <c r="S3942" s="52"/>
      <c r="T3942" s="181"/>
      <c r="U3942" s="52"/>
      <c r="V3942" s="4295"/>
      <c r="W3942" s="263">
        <v>6</v>
      </c>
      <c r="X3942" s="263">
        <v>6</v>
      </c>
      <c r="Y3942" s="263">
        <v>6</v>
      </c>
      <c r="Z3942" s="263">
        <v>6</v>
      </c>
      <c r="AA3942" s="263">
        <v>6</v>
      </c>
      <c r="AB3942" s="263">
        <v>6</v>
      </c>
      <c r="AC3942" s="263">
        <v>6</v>
      </c>
      <c r="AD3942" s="263">
        <v>6</v>
      </c>
      <c r="AE3942" s="263">
        <v>6</v>
      </c>
      <c r="AF3942" s="271">
        <f t="shared" si="357"/>
        <v>6</v>
      </c>
      <c r="AG3942" s="263"/>
      <c r="DG3942" s="573"/>
      <c r="DH3942" s="159"/>
      <c r="DI3942" s="1091"/>
      <c r="DJ3942" s="1187"/>
    </row>
    <row r="3943" spans="1:114" ht="15" hidden="1" customHeight="1" outlineLevel="1">
      <c r="A3943" s="453"/>
      <c r="C3943" s="51"/>
      <c r="D3943" s="4295"/>
      <c r="E3943" s="4295"/>
      <c r="F3943" s="4307" t="str">
        <f t="shared" si="358"/>
        <v>ASHP-SEER19-Replace_CAC_ElectricHeat_ER1_MF</v>
      </c>
      <c r="G3943" s="4307"/>
      <c r="H3943" s="4307"/>
      <c r="I3943" s="4307"/>
      <c r="J3943" s="1029" t="str">
        <f t="shared" si="359"/>
        <v>354450_2024_12_</v>
      </c>
      <c r="K3943" s="1796">
        <v>6</v>
      </c>
      <c r="L3943" s="262"/>
      <c r="M3943" s="4202"/>
      <c r="S3943" s="52"/>
      <c r="T3943" s="52"/>
      <c r="U3943" s="52"/>
      <c r="V3943" s="4295"/>
      <c r="W3943" s="263">
        <v>6</v>
      </c>
      <c r="X3943" s="263">
        <v>6</v>
      </c>
      <c r="Y3943" s="263">
        <v>6</v>
      </c>
      <c r="Z3943" s="263">
        <v>6</v>
      </c>
      <c r="AA3943" s="263">
        <v>6</v>
      </c>
      <c r="AB3943" s="263">
        <v>6</v>
      </c>
      <c r="AC3943" s="263">
        <v>6</v>
      </c>
      <c r="AD3943" s="263">
        <v>6</v>
      </c>
      <c r="AE3943" s="263">
        <v>6</v>
      </c>
      <c r="AF3943" s="271">
        <f t="shared" si="357"/>
        <v>6</v>
      </c>
      <c r="AG3943" s="263"/>
      <c r="DG3943" s="573"/>
      <c r="DH3943" s="159"/>
      <c r="DI3943" s="1091"/>
      <c r="DJ3943" s="1187"/>
    </row>
    <row r="3944" spans="1:114" ht="15" hidden="1" customHeight="1" outlineLevel="1">
      <c r="A3944" s="453"/>
      <c r="C3944" s="51"/>
      <c r="D3944" s="4295"/>
      <c r="E3944" s="4295"/>
      <c r="F3944" s="4307" t="str">
        <f t="shared" si="358"/>
        <v>ASHP-SEER19-Replace_CAC_ElectricHeat_ER2_MF</v>
      </c>
      <c r="G3944" s="4307"/>
      <c r="H3944" s="4307"/>
      <c r="I3944" s="4307"/>
      <c r="J3944" s="1029" t="str">
        <f t="shared" si="359"/>
        <v>354450_2024_12_</v>
      </c>
      <c r="K3944" s="1796">
        <v>12</v>
      </c>
      <c r="L3944" s="262"/>
      <c r="M3944" s="4202"/>
      <c r="S3944" s="52"/>
      <c r="T3944" s="52"/>
      <c r="U3944" s="52"/>
      <c r="V3944" s="4295"/>
      <c r="W3944" s="263">
        <v>12</v>
      </c>
      <c r="X3944" s="263">
        <v>12</v>
      </c>
      <c r="Y3944" s="263">
        <v>12</v>
      </c>
      <c r="Z3944" s="263">
        <v>12</v>
      </c>
      <c r="AA3944" s="263">
        <v>12</v>
      </c>
      <c r="AB3944" s="263">
        <v>12</v>
      </c>
      <c r="AC3944" s="263">
        <v>12</v>
      </c>
      <c r="AD3944" s="263">
        <v>12</v>
      </c>
      <c r="AE3944" s="263">
        <v>12</v>
      </c>
      <c r="AF3944" s="271">
        <f t="shared" si="357"/>
        <v>12</v>
      </c>
      <c r="AG3944" s="263"/>
      <c r="DG3944" s="573"/>
      <c r="DH3944" s="159"/>
      <c r="DI3944" s="1091"/>
      <c r="DJ3944" s="1187"/>
    </row>
    <row r="3945" spans="1:114" ht="15" hidden="1" customHeight="1" outlineLevel="1">
      <c r="A3945" s="453"/>
      <c r="C3945" s="51"/>
      <c r="D3945" s="4295"/>
      <c r="E3945" s="4295"/>
      <c r="F3945" s="4307" t="str">
        <f t="shared" si="358"/>
        <v>ASHP-SEER19-Replace_CAC_ElectricHeat_ER2_MF</v>
      </c>
      <c r="G3945" s="4307"/>
      <c r="H3945" s="4307"/>
      <c r="I3945" s="4307"/>
      <c r="J3945" s="1029" t="str">
        <f t="shared" si="359"/>
        <v>354450_2024_12_</v>
      </c>
      <c r="K3945" s="1796">
        <v>12</v>
      </c>
      <c r="L3945" s="262"/>
      <c r="M3945" s="4202"/>
      <c r="P3945" s="261"/>
      <c r="Q3945" s="209"/>
      <c r="R3945" s="261"/>
      <c r="S3945" s="52"/>
      <c r="T3945" s="181"/>
      <c r="U3945" s="52"/>
      <c r="V3945" s="4295"/>
      <c r="W3945" s="263">
        <v>12</v>
      </c>
      <c r="X3945" s="263">
        <v>12</v>
      </c>
      <c r="Y3945" s="263">
        <v>12</v>
      </c>
      <c r="Z3945" s="263">
        <v>12</v>
      </c>
      <c r="AA3945" s="263">
        <v>12</v>
      </c>
      <c r="AB3945" s="263">
        <v>12</v>
      </c>
      <c r="AC3945" s="263">
        <v>12</v>
      </c>
      <c r="AD3945" s="263">
        <v>12</v>
      </c>
      <c r="AE3945" s="263">
        <v>12</v>
      </c>
      <c r="AF3945" s="271">
        <f t="shared" si="357"/>
        <v>12</v>
      </c>
      <c r="AG3945" s="263"/>
      <c r="DG3945" s="573"/>
      <c r="DH3945" s="159"/>
      <c r="DI3945" s="1091"/>
      <c r="DJ3945" s="1187"/>
    </row>
    <row r="3946" spans="1:114" ht="15" hidden="1" customHeight="1" outlineLevel="1">
      <c r="A3946" s="453"/>
      <c r="C3946" s="51"/>
      <c r="D3946" s="4295"/>
      <c r="E3946" s="4295"/>
      <c r="F3946" s="4347" t="str">
        <f t="shared" si="358"/>
        <v>ASHP-SEER19-Replace_CAC_ElectricHeat_ER1_MF_CompE</v>
      </c>
      <c r="G3946" s="4347"/>
      <c r="H3946" s="4347"/>
      <c r="I3946" s="4347"/>
      <c r="J3946" s="3471" t="str">
        <f t="shared" si="359"/>
        <v>354451_2024_12_</v>
      </c>
      <c r="K3946" s="3377">
        <v>6</v>
      </c>
      <c r="L3946" s="262"/>
      <c r="M3946" s="4202"/>
      <c r="P3946" s="261"/>
      <c r="Q3946" s="209"/>
      <c r="R3946" s="261"/>
      <c r="S3946" s="52"/>
      <c r="T3946" s="181"/>
      <c r="U3946" s="52"/>
      <c r="V3946" s="4295"/>
      <c r="W3946" s="263"/>
      <c r="X3946" s="263"/>
      <c r="Y3946" s="263"/>
      <c r="Z3946" s="263"/>
      <c r="AA3946" s="263"/>
      <c r="AB3946" s="263"/>
      <c r="AC3946" s="3495">
        <v>6</v>
      </c>
      <c r="AD3946" s="3494">
        <v>6</v>
      </c>
      <c r="AE3946" s="3494">
        <v>6</v>
      </c>
      <c r="AF3946" s="2236">
        <f t="shared" si="357"/>
        <v>6</v>
      </c>
      <c r="AG3946" s="263"/>
      <c r="DG3946" s="573"/>
      <c r="DH3946" s="159"/>
      <c r="DI3946" s="1091"/>
      <c r="DJ3946" s="1187"/>
    </row>
    <row r="3947" spans="1:114" ht="15" hidden="1" customHeight="1" outlineLevel="1">
      <c r="A3947" s="453"/>
      <c r="C3947" s="51"/>
      <c r="D3947" s="4295"/>
      <c r="E3947" s="4295"/>
      <c r="F3947" s="4347" t="str">
        <f t="shared" si="358"/>
        <v>ASHP-SEER19-Replace_CAC_ElectricHeat_ER1_MF_CompE</v>
      </c>
      <c r="G3947" s="4347"/>
      <c r="H3947" s="4347"/>
      <c r="I3947" s="4347"/>
      <c r="J3947" s="3471" t="str">
        <f t="shared" si="359"/>
        <v>354451_2024_12_</v>
      </c>
      <c r="K3947" s="3377">
        <v>6</v>
      </c>
      <c r="L3947" s="262"/>
      <c r="M3947" s="4202"/>
      <c r="P3947" s="261"/>
      <c r="Q3947" s="209"/>
      <c r="R3947" s="261"/>
      <c r="S3947" s="52"/>
      <c r="T3947" s="181"/>
      <c r="U3947" s="52"/>
      <c r="V3947" s="4295"/>
      <c r="W3947" s="263"/>
      <c r="X3947" s="263"/>
      <c r="Y3947" s="263"/>
      <c r="Z3947" s="263"/>
      <c r="AA3947" s="263"/>
      <c r="AB3947" s="263"/>
      <c r="AC3947" s="3495">
        <v>6</v>
      </c>
      <c r="AD3947" s="3494">
        <v>6</v>
      </c>
      <c r="AE3947" s="3494">
        <v>6</v>
      </c>
      <c r="AF3947" s="2236">
        <f t="shared" si="357"/>
        <v>6</v>
      </c>
      <c r="AG3947" s="263"/>
      <c r="DG3947" s="573"/>
      <c r="DH3947" s="159"/>
      <c r="DI3947" s="1091"/>
      <c r="DJ3947" s="1187"/>
    </row>
    <row r="3948" spans="1:114" ht="15" hidden="1" customHeight="1" outlineLevel="1">
      <c r="A3948" s="453"/>
      <c r="C3948" s="51"/>
      <c r="D3948" s="4295"/>
      <c r="E3948" s="4295"/>
      <c r="F3948" s="4347" t="str">
        <f t="shared" si="358"/>
        <v>ASHP-SEER19-Replace_CAC_ElectricHeat_ER2_MF_CompE</v>
      </c>
      <c r="G3948" s="4347"/>
      <c r="H3948" s="4347"/>
      <c r="I3948" s="4347"/>
      <c r="J3948" s="3471" t="str">
        <f t="shared" si="359"/>
        <v>354451_2024_12_</v>
      </c>
      <c r="K3948" s="3377">
        <v>12</v>
      </c>
      <c r="L3948" s="262"/>
      <c r="M3948" s="4202"/>
      <c r="P3948" s="261"/>
      <c r="Q3948" s="209"/>
      <c r="R3948" s="261"/>
      <c r="S3948" s="52"/>
      <c r="T3948" s="181"/>
      <c r="U3948" s="52"/>
      <c r="V3948" s="4295"/>
      <c r="W3948" s="263"/>
      <c r="X3948" s="263"/>
      <c r="Y3948" s="263"/>
      <c r="Z3948" s="263"/>
      <c r="AA3948" s="263"/>
      <c r="AB3948" s="263"/>
      <c r="AC3948" s="3495">
        <v>12</v>
      </c>
      <c r="AD3948" s="3494">
        <v>12</v>
      </c>
      <c r="AE3948" s="3494">
        <v>12</v>
      </c>
      <c r="AF3948" s="2236">
        <f t="shared" si="357"/>
        <v>12</v>
      </c>
      <c r="AG3948" s="263"/>
      <c r="DG3948" s="573"/>
      <c r="DH3948" s="159"/>
      <c r="DI3948" s="1091"/>
      <c r="DJ3948" s="1187"/>
    </row>
    <row r="3949" spans="1:114" ht="15" hidden="1" customHeight="1" outlineLevel="1">
      <c r="A3949" s="453"/>
      <c r="C3949" s="51"/>
      <c r="D3949" s="4295"/>
      <c r="E3949" s="4295"/>
      <c r="F3949" s="4347" t="str">
        <f t="shared" si="358"/>
        <v>ASHP-SEER19-Replace_CAC_ElectricHeat_ER2_MF_CompE</v>
      </c>
      <c r="G3949" s="4347"/>
      <c r="H3949" s="4347"/>
      <c r="I3949" s="4347"/>
      <c r="J3949" s="3471" t="str">
        <f t="shared" si="359"/>
        <v>354451_2024_12_</v>
      </c>
      <c r="K3949" s="3377">
        <v>12</v>
      </c>
      <c r="L3949" s="262"/>
      <c r="M3949" s="4202"/>
      <c r="P3949" s="261"/>
      <c r="Q3949" s="209"/>
      <c r="R3949" s="261"/>
      <c r="S3949" s="52"/>
      <c r="T3949" s="181"/>
      <c r="U3949" s="52"/>
      <c r="V3949" s="4295"/>
      <c r="W3949" s="263"/>
      <c r="X3949" s="263"/>
      <c r="Y3949" s="263"/>
      <c r="Z3949" s="263"/>
      <c r="AA3949" s="263"/>
      <c r="AB3949" s="263"/>
      <c r="AC3949" s="3495">
        <v>12</v>
      </c>
      <c r="AD3949" s="3494">
        <v>12</v>
      </c>
      <c r="AE3949" s="3494">
        <v>12</v>
      </c>
      <c r="AF3949" s="2236">
        <f t="shared" si="357"/>
        <v>12</v>
      </c>
      <c r="AG3949" s="263"/>
      <c r="DG3949" s="573"/>
      <c r="DH3949" s="159"/>
      <c r="DI3949" s="1091"/>
      <c r="DJ3949" s="1187"/>
    </row>
    <row r="3950" spans="1:114" ht="15" hidden="1" customHeight="1" outlineLevel="1">
      <c r="A3950" s="453"/>
      <c r="C3950" s="51"/>
      <c r="D3950" s="4295"/>
      <c r="E3950" s="4295"/>
      <c r="F3950" s="4347" t="str">
        <f t="shared" si="358"/>
        <v>ASHP-SEER19-Replace_CAC_NonElectricHeat_ER1_MF</v>
      </c>
      <c r="G3950" s="4347"/>
      <c r="H3950" s="4347"/>
      <c r="I3950" s="4347"/>
      <c r="J3950" s="3471" t="str">
        <f t="shared" si="359"/>
        <v>354460_2024_12_</v>
      </c>
      <c r="K3950" s="3377">
        <v>6</v>
      </c>
      <c r="L3950" s="262"/>
      <c r="M3950" s="4202"/>
      <c r="P3950" s="261"/>
      <c r="Q3950" s="209"/>
      <c r="R3950" s="261"/>
      <c r="S3950" s="52"/>
      <c r="T3950" s="181"/>
      <c r="U3950" s="52"/>
      <c r="V3950" s="4295"/>
      <c r="W3950" s="263"/>
      <c r="X3950" s="263"/>
      <c r="Y3950" s="263"/>
      <c r="Z3950" s="263"/>
      <c r="AA3950" s="263"/>
      <c r="AB3950" s="263"/>
      <c r="AC3950" s="3495">
        <v>6</v>
      </c>
      <c r="AD3950" s="3494">
        <v>6</v>
      </c>
      <c r="AE3950" s="3494">
        <v>6</v>
      </c>
      <c r="AF3950" s="2236">
        <f t="shared" si="357"/>
        <v>6</v>
      </c>
      <c r="AG3950" s="263"/>
      <c r="DG3950" s="573"/>
      <c r="DH3950" s="159"/>
      <c r="DI3950" s="1091"/>
      <c r="DJ3950" s="1187"/>
    </row>
    <row r="3951" spans="1:114" ht="15" hidden="1" customHeight="1" outlineLevel="1">
      <c r="A3951" s="453"/>
      <c r="C3951" s="51"/>
      <c r="D3951" s="4295"/>
      <c r="E3951" s="4295"/>
      <c r="F3951" s="4347" t="str">
        <f t="shared" si="358"/>
        <v>ASHP-SEER19-Replace_CAC_NonElectricHeat_ER1_MF</v>
      </c>
      <c r="G3951" s="4347"/>
      <c r="H3951" s="4347"/>
      <c r="I3951" s="4347"/>
      <c r="J3951" s="3471" t="str">
        <f t="shared" si="359"/>
        <v>354460_2024_12_</v>
      </c>
      <c r="K3951" s="3377">
        <v>6</v>
      </c>
      <c r="L3951" s="262"/>
      <c r="M3951" s="4202"/>
      <c r="P3951" s="261"/>
      <c r="Q3951" s="209"/>
      <c r="R3951" s="261"/>
      <c r="S3951" s="52"/>
      <c r="T3951" s="181"/>
      <c r="U3951" s="52"/>
      <c r="V3951" s="4295"/>
      <c r="W3951" s="263"/>
      <c r="X3951" s="263"/>
      <c r="Y3951" s="263"/>
      <c r="Z3951" s="263"/>
      <c r="AA3951" s="263"/>
      <c r="AB3951" s="263"/>
      <c r="AC3951" s="3495">
        <v>6</v>
      </c>
      <c r="AD3951" s="3494">
        <v>6</v>
      </c>
      <c r="AE3951" s="3494">
        <v>6</v>
      </c>
      <c r="AF3951" s="2236">
        <f t="shared" si="357"/>
        <v>6</v>
      </c>
      <c r="AG3951" s="263"/>
      <c r="DG3951" s="573"/>
      <c r="DH3951" s="159"/>
      <c r="DI3951" s="1091"/>
      <c r="DJ3951" s="1187"/>
    </row>
    <row r="3952" spans="1:114" ht="15" hidden="1" customHeight="1" outlineLevel="1">
      <c r="A3952" s="453"/>
      <c r="C3952" s="51"/>
      <c r="D3952" s="4295"/>
      <c r="E3952" s="4295"/>
      <c r="F3952" s="4347" t="str">
        <f t="shared" si="358"/>
        <v>ASHP-SEER19-Replace_CAC_NonElectricHeat_ER2_MF</v>
      </c>
      <c r="G3952" s="4347"/>
      <c r="H3952" s="4347"/>
      <c r="I3952" s="4347"/>
      <c r="J3952" s="3471" t="str">
        <f t="shared" si="359"/>
        <v>354460_2024_12_</v>
      </c>
      <c r="K3952" s="3377">
        <v>12</v>
      </c>
      <c r="L3952" s="262"/>
      <c r="M3952" s="4202"/>
      <c r="P3952" s="261"/>
      <c r="Q3952" s="209"/>
      <c r="R3952" s="261"/>
      <c r="S3952" s="52"/>
      <c r="T3952" s="181"/>
      <c r="U3952" s="52"/>
      <c r="V3952" s="4295"/>
      <c r="W3952" s="263"/>
      <c r="X3952" s="263"/>
      <c r="Y3952" s="263"/>
      <c r="Z3952" s="263"/>
      <c r="AA3952" s="263"/>
      <c r="AB3952" s="263"/>
      <c r="AC3952" s="3495">
        <v>12</v>
      </c>
      <c r="AD3952" s="3494">
        <v>12</v>
      </c>
      <c r="AE3952" s="3494">
        <v>12</v>
      </c>
      <c r="AF3952" s="2236">
        <f t="shared" si="357"/>
        <v>12</v>
      </c>
      <c r="AG3952" s="263"/>
      <c r="DG3952" s="573"/>
      <c r="DH3952" s="159"/>
      <c r="DI3952" s="1091"/>
      <c r="DJ3952" s="1187"/>
    </row>
    <row r="3953" spans="1:114" ht="15" hidden="1" customHeight="1" outlineLevel="1">
      <c r="A3953" s="453"/>
      <c r="C3953" s="51"/>
      <c r="D3953" s="4295"/>
      <c r="E3953" s="4295"/>
      <c r="F3953" s="4347" t="str">
        <f t="shared" si="358"/>
        <v>ASHP-SEER19-Replace_CAC_NonElectricHeat_ER2_MF</v>
      </c>
      <c r="G3953" s="4347"/>
      <c r="H3953" s="4347"/>
      <c r="I3953" s="4347"/>
      <c r="J3953" s="3471" t="str">
        <f t="shared" si="359"/>
        <v>354460_2024_12_</v>
      </c>
      <c r="K3953" s="3377">
        <v>12</v>
      </c>
      <c r="L3953" s="262"/>
      <c r="M3953" s="4202"/>
      <c r="P3953" s="261"/>
      <c r="Q3953" s="209"/>
      <c r="R3953" s="261"/>
      <c r="S3953" s="52"/>
      <c r="T3953" s="181"/>
      <c r="U3953" s="52"/>
      <c r="V3953" s="4295"/>
      <c r="W3953" s="263"/>
      <c r="X3953" s="263"/>
      <c r="Y3953" s="263"/>
      <c r="Z3953" s="263"/>
      <c r="AA3953" s="263"/>
      <c r="AB3953" s="263"/>
      <c r="AC3953" s="3495">
        <v>12</v>
      </c>
      <c r="AD3953" s="3494">
        <v>12</v>
      </c>
      <c r="AE3953" s="3494">
        <v>12</v>
      </c>
      <c r="AF3953" s="2236">
        <f t="shared" si="357"/>
        <v>12</v>
      </c>
      <c r="AG3953" s="263"/>
      <c r="DG3953" s="573"/>
      <c r="DH3953" s="159"/>
      <c r="DI3953" s="1091"/>
      <c r="DJ3953" s="1187"/>
    </row>
    <row r="3954" spans="1:114" ht="15" hidden="1" customHeight="1" outlineLevel="1">
      <c r="A3954" s="453"/>
      <c r="C3954" s="51"/>
      <c r="D3954" s="4295"/>
      <c r="E3954" s="4295"/>
      <c r="F3954" s="4347" t="str">
        <f t="shared" si="358"/>
        <v>ASHP-SEER19-Replace_CAC_NonElectricHeat_ER1_MF_CompE</v>
      </c>
      <c r="G3954" s="4347"/>
      <c r="H3954" s="4347"/>
      <c r="I3954" s="4347"/>
      <c r="J3954" s="3471" t="str">
        <f t="shared" si="359"/>
        <v>354461_2024_12_</v>
      </c>
      <c r="K3954" s="3377">
        <v>6</v>
      </c>
      <c r="L3954" s="262"/>
      <c r="M3954" s="4202"/>
      <c r="P3954" s="261"/>
      <c r="Q3954" s="209"/>
      <c r="R3954" s="261"/>
      <c r="S3954" s="52"/>
      <c r="T3954" s="181"/>
      <c r="U3954" s="52"/>
      <c r="V3954" s="4295"/>
      <c r="W3954" s="263"/>
      <c r="X3954" s="263"/>
      <c r="Y3954" s="263"/>
      <c r="Z3954" s="263"/>
      <c r="AA3954" s="263"/>
      <c r="AB3954" s="263"/>
      <c r="AC3954" s="3495">
        <v>6</v>
      </c>
      <c r="AD3954" s="3494">
        <v>6</v>
      </c>
      <c r="AE3954" s="3494">
        <v>6</v>
      </c>
      <c r="AF3954" s="2236">
        <f t="shared" si="357"/>
        <v>6</v>
      </c>
      <c r="AG3954" s="263"/>
      <c r="DG3954" s="573"/>
      <c r="DH3954" s="159"/>
      <c r="DI3954" s="1091"/>
      <c r="DJ3954" s="1187"/>
    </row>
    <row r="3955" spans="1:114" ht="15" hidden="1" customHeight="1" outlineLevel="1">
      <c r="A3955" s="453"/>
      <c r="C3955" s="51"/>
      <c r="D3955" s="4295"/>
      <c r="E3955" s="4295"/>
      <c r="F3955" s="4347" t="str">
        <f t="shared" si="358"/>
        <v>ASHP-SEER19-Replace_CAC_NonElectricHeat_ER1_MF_CompE</v>
      </c>
      <c r="G3955" s="4347"/>
      <c r="H3955" s="4347"/>
      <c r="I3955" s="4347"/>
      <c r="J3955" s="3471" t="str">
        <f t="shared" si="359"/>
        <v>354461_2024_12_</v>
      </c>
      <c r="K3955" s="3377">
        <v>6</v>
      </c>
      <c r="L3955" s="262"/>
      <c r="M3955" s="4202"/>
      <c r="P3955" s="261"/>
      <c r="Q3955" s="209"/>
      <c r="R3955" s="261"/>
      <c r="S3955" s="52"/>
      <c r="T3955" s="181"/>
      <c r="U3955" s="52"/>
      <c r="V3955" s="4295"/>
      <c r="W3955" s="263"/>
      <c r="X3955" s="263"/>
      <c r="Y3955" s="263"/>
      <c r="Z3955" s="263"/>
      <c r="AA3955" s="263"/>
      <c r="AB3955" s="263"/>
      <c r="AC3955" s="3495">
        <v>6</v>
      </c>
      <c r="AD3955" s="3494">
        <v>6</v>
      </c>
      <c r="AE3955" s="3494">
        <v>6</v>
      </c>
      <c r="AF3955" s="2236">
        <f t="shared" si="357"/>
        <v>6</v>
      </c>
      <c r="AG3955" s="263"/>
      <c r="DG3955" s="573"/>
      <c r="DH3955" s="159"/>
      <c r="DI3955" s="1091"/>
      <c r="DJ3955" s="1187"/>
    </row>
    <row r="3956" spans="1:114" ht="15" hidden="1" customHeight="1" outlineLevel="1">
      <c r="A3956" s="453"/>
      <c r="C3956" s="51"/>
      <c r="D3956" s="4295"/>
      <c r="E3956" s="4295"/>
      <c r="F3956" s="4347" t="str">
        <f t="shared" si="358"/>
        <v>ASHP-SEER19-Replace_CAC_NonElectricHeat_ER2_MF_CompE</v>
      </c>
      <c r="G3956" s="4347"/>
      <c r="H3956" s="4347"/>
      <c r="I3956" s="4347"/>
      <c r="J3956" s="3471" t="str">
        <f t="shared" si="359"/>
        <v>354461_2024_12_</v>
      </c>
      <c r="K3956" s="3377">
        <v>12</v>
      </c>
      <c r="L3956" s="262"/>
      <c r="M3956" s="4202"/>
      <c r="P3956" s="261"/>
      <c r="Q3956" s="209"/>
      <c r="R3956" s="261"/>
      <c r="S3956" s="52"/>
      <c r="T3956" s="181"/>
      <c r="U3956" s="52"/>
      <c r="V3956" s="4295"/>
      <c r="W3956" s="263"/>
      <c r="X3956" s="263"/>
      <c r="Y3956" s="263"/>
      <c r="Z3956" s="263"/>
      <c r="AA3956" s="263"/>
      <c r="AB3956" s="263"/>
      <c r="AC3956" s="3495">
        <v>12</v>
      </c>
      <c r="AD3956" s="3494">
        <v>12</v>
      </c>
      <c r="AE3956" s="3494">
        <v>12</v>
      </c>
      <c r="AF3956" s="2236">
        <f t="shared" si="357"/>
        <v>12</v>
      </c>
      <c r="AG3956" s="263"/>
      <c r="DG3956" s="573"/>
      <c r="DH3956" s="159"/>
      <c r="DI3956" s="1091"/>
      <c r="DJ3956" s="1187"/>
    </row>
    <row r="3957" spans="1:114" ht="15" hidden="1" customHeight="1" outlineLevel="1">
      <c r="A3957" s="453"/>
      <c r="C3957" s="51"/>
      <c r="D3957" s="4295"/>
      <c r="E3957" s="4295"/>
      <c r="F3957" s="4347" t="str">
        <f t="shared" si="358"/>
        <v>ASHP-SEER19-Replace_CAC_NonElectricHeat_ER2_MF_CompE</v>
      </c>
      <c r="G3957" s="4347"/>
      <c r="H3957" s="4347"/>
      <c r="I3957" s="4347"/>
      <c r="J3957" s="3471" t="str">
        <f t="shared" si="359"/>
        <v>354461_2024_12_</v>
      </c>
      <c r="K3957" s="3377">
        <v>12</v>
      </c>
      <c r="L3957" s="262"/>
      <c r="M3957" s="4202"/>
      <c r="P3957" s="261"/>
      <c r="Q3957" s="209"/>
      <c r="R3957" s="261"/>
      <c r="S3957" s="52"/>
      <c r="T3957" s="181"/>
      <c r="U3957" s="52"/>
      <c r="V3957" s="4295"/>
      <c r="W3957" s="263"/>
      <c r="X3957" s="263"/>
      <c r="Y3957" s="263"/>
      <c r="Z3957" s="263"/>
      <c r="AA3957" s="263"/>
      <c r="AB3957" s="263"/>
      <c r="AC3957" s="3495">
        <v>12</v>
      </c>
      <c r="AD3957" s="3494">
        <v>12</v>
      </c>
      <c r="AE3957" s="3494">
        <v>12</v>
      </c>
      <c r="AF3957" s="2236">
        <f t="shared" si="357"/>
        <v>12</v>
      </c>
      <c r="AG3957" s="263"/>
      <c r="DG3957" s="573"/>
      <c r="DH3957" s="159"/>
      <c r="DI3957" s="1091"/>
      <c r="DJ3957" s="1187"/>
    </row>
    <row r="3958" spans="1:114" ht="15" hidden="1" customHeight="1" outlineLevel="1">
      <c r="A3958" s="453"/>
      <c r="C3958" s="51"/>
      <c r="D3958" s="4295"/>
      <c r="E3958" s="4295"/>
      <c r="F3958" s="4307" t="str">
        <f t="shared" si="358"/>
        <v>ASHP-SEER19_ER1_MF</v>
      </c>
      <c r="G3958" s="4307"/>
      <c r="H3958" s="4307"/>
      <c r="I3958" s="4307"/>
      <c r="J3958" s="1029" t="str">
        <f t="shared" si="359"/>
        <v>354500_2024_12_</v>
      </c>
      <c r="K3958" s="1796">
        <v>6</v>
      </c>
      <c r="L3958" s="262"/>
      <c r="M3958" s="4202"/>
      <c r="P3958" s="261"/>
      <c r="Q3958" s="209"/>
      <c r="R3958" s="261"/>
      <c r="S3958" s="52"/>
      <c r="T3958" s="181"/>
      <c r="U3958" s="52"/>
      <c r="V3958" s="4295"/>
      <c r="W3958" s="263">
        <v>6</v>
      </c>
      <c r="X3958" s="263">
        <v>6</v>
      </c>
      <c r="Y3958" s="263">
        <v>6</v>
      </c>
      <c r="Z3958" s="263">
        <v>6</v>
      </c>
      <c r="AA3958" s="263">
        <v>6</v>
      </c>
      <c r="AB3958" s="263">
        <v>6</v>
      </c>
      <c r="AC3958" s="263">
        <v>6</v>
      </c>
      <c r="AD3958" s="263">
        <v>6</v>
      </c>
      <c r="AE3958" s="263">
        <v>6</v>
      </c>
      <c r="AF3958" s="271">
        <f t="shared" si="357"/>
        <v>6</v>
      </c>
      <c r="AG3958" s="263"/>
      <c r="DG3958" s="573"/>
      <c r="DH3958" s="159"/>
      <c r="DI3958" s="1091"/>
      <c r="DJ3958" s="1187"/>
    </row>
    <row r="3959" spans="1:114" ht="15" hidden="1" customHeight="1" outlineLevel="1">
      <c r="A3959" s="453"/>
      <c r="C3959" s="51"/>
      <c r="D3959" s="4295"/>
      <c r="E3959" s="4295"/>
      <c r="F3959" s="4307" t="str">
        <f t="shared" si="358"/>
        <v>ASHP-SEER19_ER1_MF</v>
      </c>
      <c r="G3959" s="4307"/>
      <c r="H3959" s="4307"/>
      <c r="I3959" s="4307"/>
      <c r="J3959" s="1029" t="str">
        <f t="shared" si="359"/>
        <v>354500_2024_12_</v>
      </c>
      <c r="K3959" s="1796">
        <v>6</v>
      </c>
      <c r="L3959" s="262"/>
      <c r="M3959" s="4202"/>
      <c r="S3959" s="52"/>
      <c r="T3959" s="52"/>
      <c r="U3959" s="52"/>
      <c r="V3959" s="4295"/>
      <c r="W3959" s="263">
        <v>6</v>
      </c>
      <c r="X3959" s="263">
        <v>6</v>
      </c>
      <c r="Y3959" s="263">
        <v>6</v>
      </c>
      <c r="Z3959" s="263">
        <v>6</v>
      </c>
      <c r="AA3959" s="263">
        <v>6</v>
      </c>
      <c r="AB3959" s="263">
        <v>6</v>
      </c>
      <c r="AC3959" s="263">
        <v>6</v>
      </c>
      <c r="AD3959" s="263">
        <v>6</v>
      </c>
      <c r="AE3959" s="263">
        <v>6</v>
      </c>
      <c r="AF3959" s="271">
        <f t="shared" si="357"/>
        <v>6</v>
      </c>
      <c r="AG3959" s="263"/>
      <c r="DG3959" s="573"/>
      <c r="DH3959" s="159"/>
      <c r="DI3959" s="1091"/>
      <c r="DJ3959" s="1187"/>
    </row>
    <row r="3960" spans="1:114" ht="15" hidden="1" customHeight="1" outlineLevel="1">
      <c r="A3960" s="453"/>
      <c r="C3960" s="51"/>
      <c r="D3960" s="4295"/>
      <c r="E3960" s="4295"/>
      <c r="F3960" s="4307" t="str">
        <f t="shared" si="358"/>
        <v>ASHP-SEER19_ER2_MF</v>
      </c>
      <c r="G3960" s="4307"/>
      <c r="H3960" s="4307"/>
      <c r="I3960" s="4307"/>
      <c r="J3960" s="1029" t="str">
        <f t="shared" si="359"/>
        <v>354500_2024_12_</v>
      </c>
      <c r="K3960" s="1796">
        <v>12</v>
      </c>
      <c r="L3960" s="262"/>
      <c r="M3960" s="4202"/>
      <c r="S3960" s="52"/>
      <c r="T3960" s="52"/>
      <c r="U3960" s="52"/>
      <c r="V3960" s="4295"/>
      <c r="W3960" s="263">
        <v>12</v>
      </c>
      <c r="X3960" s="263">
        <v>12</v>
      </c>
      <c r="Y3960" s="263">
        <v>12</v>
      </c>
      <c r="Z3960" s="263">
        <v>12</v>
      </c>
      <c r="AA3960" s="263">
        <v>12</v>
      </c>
      <c r="AB3960" s="263">
        <v>12</v>
      </c>
      <c r="AC3960" s="263">
        <v>12</v>
      </c>
      <c r="AD3960" s="263">
        <v>12</v>
      </c>
      <c r="AE3960" s="263">
        <v>12</v>
      </c>
      <c r="AF3960" s="271">
        <f t="shared" si="357"/>
        <v>12</v>
      </c>
      <c r="AG3960" s="263"/>
      <c r="DG3960" s="573"/>
      <c r="DH3960" s="159"/>
      <c r="DI3960" s="1091"/>
      <c r="DJ3960" s="1187"/>
    </row>
    <row r="3961" spans="1:114" ht="15" hidden="1" customHeight="1" outlineLevel="1">
      <c r="A3961" s="453"/>
      <c r="C3961" s="51"/>
      <c r="D3961" s="4295"/>
      <c r="E3961" s="4295"/>
      <c r="F3961" s="4307" t="str">
        <f t="shared" si="358"/>
        <v>ASHP-SEER19_ER2_MF</v>
      </c>
      <c r="G3961" s="4307"/>
      <c r="H3961" s="4307"/>
      <c r="I3961" s="4307"/>
      <c r="J3961" s="1029" t="str">
        <f t="shared" si="359"/>
        <v>354500_2024_12_</v>
      </c>
      <c r="K3961" s="1796">
        <v>12</v>
      </c>
      <c r="L3961" s="262"/>
      <c r="M3961" s="4202"/>
      <c r="P3961" s="261"/>
      <c r="Q3961" s="209"/>
      <c r="R3961" s="261"/>
      <c r="S3961" s="52"/>
      <c r="T3961" s="181"/>
      <c r="U3961" s="52"/>
      <c r="V3961" s="4295"/>
      <c r="W3961" s="263">
        <v>12</v>
      </c>
      <c r="X3961" s="263">
        <v>12</v>
      </c>
      <c r="Y3961" s="263">
        <v>12</v>
      </c>
      <c r="Z3961" s="263">
        <v>12</v>
      </c>
      <c r="AA3961" s="263">
        <v>12</v>
      </c>
      <c r="AB3961" s="263">
        <v>12</v>
      </c>
      <c r="AC3961" s="263">
        <v>12</v>
      </c>
      <c r="AD3961" s="263">
        <v>12</v>
      </c>
      <c r="AE3961" s="263">
        <v>12</v>
      </c>
      <c r="AF3961" s="271">
        <f t="shared" si="357"/>
        <v>12</v>
      </c>
      <c r="AG3961" s="263"/>
      <c r="DG3961" s="573"/>
      <c r="DH3961" s="159"/>
      <c r="DI3961" s="1091"/>
      <c r="DJ3961" s="1187"/>
    </row>
    <row r="3962" spans="1:114" ht="15" hidden="1" customHeight="1" outlineLevel="1">
      <c r="A3962" s="453"/>
      <c r="C3962" s="51"/>
      <c r="D3962" s="4295"/>
      <c r="E3962" s="4295"/>
      <c r="F3962" s="4347" t="str">
        <f t="shared" si="358"/>
        <v>ASHP-SEER19_ER1_MF_CompE</v>
      </c>
      <c r="G3962" s="4347"/>
      <c r="H3962" s="4347"/>
      <c r="I3962" s="4347"/>
      <c r="J3962" s="3471" t="str">
        <f t="shared" si="359"/>
        <v>354501_2024_12_</v>
      </c>
      <c r="K3962" s="3377">
        <v>6</v>
      </c>
      <c r="L3962" s="262"/>
      <c r="M3962" s="4202"/>
      <c r="P3962" s="261"/>
      <c r="Q3962" s="209"/>
      <c r="R3962" s="261"/>
      <c r="S3962" s="52"/>
      <c r="T3962" s="181"/>
      <c r="U3962" s="52"/>
      <c r="V3962" s="4295"/>
      <c r="W3962" s="263"/>
      <c r="X3962" s="263"/>
      <c r="Y3962" s="263"/>
      <c r="Z3962" s="263"/>
      <c r="AA3962" s="263"/>
      <c r="AB3962" s="263"/>
      <c r="AC3962" s="3495">
        <v>6</v>
      </c>
      <c r="AD3962" s="3494">
        <v>6</v>
      </c>
      <c r="AE3962" s="3494">
        <v>6</v>
      </c>
      <c r="AF3962" s="2236">
        <f t="shared" ref="AF3962:AF4025" si="360">IF(K3962&lt;&gt;"",K3962,"")</f>
        <v>6</v>
      </c>
      <c r="AG3962" s="263"/>
      <c r="DG3962" s="573"/>
      <c r="DH3962" s="159"/>
      <c r="DI3962" s="1091"/>
      <c r="DJ3962" s="1187"/>
    </row>
    <row r="3963" spans="1:114" ht="15" hidden="1" customHeight="1" outlineLevel="1">
      <c r="A3963" s="453"/>
      <c r="C3963" s="51"/>
      <c r="D3963" s="4295"/>
      <c r="E3963" s="4295"/>
      <c r="F3963" s="4347" t="str">
        <f t="shared" si="358"/>
        <v>ASHP-SEER19_ER1_MF_CompE</v>
      </c>
      <c r="G3963" s="4347"/>
      <c r="H3963" s="4347"/>
      <c r="I3963" s="4347"/>
      <c r="J3963" s="3471" t="str">
        <f t="shared" si="359"/>
        <v>354501_2024_12_</v>
      </c>
      <c r="K3963" s="3377">
        <v>6</v>
      </c>
      <c r="L3963" s="262"/>
      <c r="M3963" s="4202"/>
      <c r="P3963" s="261"/>
      <c r="Q3963" s="209"/>
      <c r="R3963" s="261"/>
      <c r="S3963" s="52"/>
      <c r="T3963" s="181"/>
      <c r="U3963" s="52"/>
      <c r="V3963" s="4295"/>
      <c r="W3963" s="263"/>
      <c r="X3963" s="263"/>
      <c r="Y3963" s="263"/>
      <c r="Z3963" s="263"/>
      <c r="AA3963" s="263"/>
      <c r="AB3963" s="263"/>
      <c r="AC3963" s="3495">
        <v>6</v>
      </c>
      <c r="AD3963" s="3494">
        <v>6</v>
      </c>
      <c r="AE3963" s="3494">
        <v>6</v>
      </c>
      <c r="AF3963" s="2236">
        <f t="shared" si="360"/>
        <v>6</v>
      </c>
      <c r="AG3963" s="263"/>
      <c r="DG3963" s="573"/>
      <c r="DH3963" s="159"/>
      <c r="DI3963" s="1091"/>
      <c r="DJ3963" s="1187"/>
    </row>
    <row r="3964" spans="1:114" ht="15" hidden="1" customHeight="1" outlineLevel="1">
      <c r="A3964" s="453"/>
      <c r="C3964" s="51"/>
      <c r="D3964" s="4295"/>
      <c r="E3964" s="4295"/>
      <c r="F3964" s="4347" t="str">
        <f t="shared" si="358"/>
        <v>ASHP-SEER19_ER2_MF_CompE</v>
      </c>
      <c r="G3964" s="4347"/>
      <c r="H3964" s="4347"/>
      <c r="I3964" s="4347"/>
      <c r="J3964" s="3471" t="str">
        <f t="shared" si="359"/>
        <v>354501_2024_12_</v>
      </c>
      <c r="K3964" s="3377">
        <v>12</v>
      </c>
      <c r="L3964" s="262"/>
      <c r="M3964" s="4202"/>
      <c r="P3964" s="261"/>
      <c r="Q3964" s="209"/>
      <c r="R3964" s="261"/>
      <c r="S3964" s="52"/>
      <c r="T3964" s="181"/>
      <c r="U3964" s="52"/>
      <c r="V3964" s="4295"/>
      <c r="W3964" s="263"/>
      <c r="X3964" s="263"/>
      <c r="Y3964" s="263"/>
      <c r="Z3964" s="263"/>
      <c r="AA3964" s="263"/>
      <c r="AB3964" s="263"/>
      <c r="AC3964" s="3495">
        <v>12</v>
      </c>
      <c r="AD3964" s="3494">
        <v>12</v>
      </c>
      <c r="AE3964" s="3494">
        <v>12</v>
      </c>
      <c r="AF3964" s="2236">
        <f t="shared" si="360"/>
        <v>12</v>
      </c>
      <c r="AG3964" s="263"/>
      <c r="DG3964" s="573"/>
      <c r="DH3964" s="159"/>
      <c r="DI3964" s="1091"/>
      <c r="DJ3964" s="1187"/>
    </row>
    <row r="3965" spans="1:114" ht="15" hidden="1" customHeight="1" outlineLevel="1">
      <c r="A3965" s="453"/>
      <c r="C3965" s="51"/>
      <c r="D3965" s="4295"/>
      <c r="E3965" s="4295"/>
      <c r="F3965" s="4347" t="str">
        <f t="shared" si="358"/>
        <v>ASHP-SEER19_ER2_MF_CompE</v>
      </c>
      <c r="G3965" s="4347"/>
      <c r="H3965" s="4347"/>
      <c r="I3965" s="4347"/>
      <c r="J3965" s="3471" t="str">
        <f t="shared" si="359"/>
        <v>354501_2024_12_</v>
      </c>
      <c r="K3965" s="3377">
        <v>12</v>
      </c>
      <c r="L3965" s="262"/>
      <c r="M3965" s="4202"/>
      <c r="P3965" s="261"/>
      <c r="Q3965" s="209"/>
      <c r="R3965" s="261"/>
      <c r="S3965" s="52"/>
      <c r="T3965" s="181"/>
      <c r="U3965" s="52"/>
      <c r="V3965" s="4295"/>
      <c r="W3965" s="263"/>
      <c r="X3965" s="263"/>
      <c r="Y3965" s="263"/>
      <c r="Z3965" s="263"/>
      <c r="AA3965" s="263"/>
      <c r="AB3965" s="263"/>
      <c r="AC3965" s="3495">
        <v>12</v>
      </c>
      <c r="AD3965" s="3494">
        <v>12</v>
      </c>
      <c r="AE3965" s="3494">
        <v>12</v>
      </c>
      <c r="AF3965" s="2236">
        <f t="shared" si="360"/>
        <v>12</v>
      </c>
      <c r="AG3965" s="263"/>
      <c r="DG3965" s="573"/>
      <c r="DH3965" s="159"/>
      <c r="DI3965" s="1091"/>
      <c r="DJ3965" s="1187"/>
    </row>
    <row r="3966" spans="1:114" ht="15" hidden="1" customHeight="1" outlineLevel="1">
      <c r="A3966" s="453"/>
      <c r="C3966" s="51"/>
      <c r="D3966" s="4295"/>
      <c r="E3966" s="4295"/>
      <c r="F3966" s="4307" t="str">
        <f t="shared" si="358"/>
        <v>ASHP-SEER20_ER1_SF</v>
      </c>
      <c r="G3966" s="4307"/>
      <c r="H3966" s="4307"/>
      <c r="I3966" s="4307"/>
      <c r="J3966" s="1029" t="str">
        <f t="shared" si="359"/>
        <v>354550_2024_12_</v>
      </c>
      <c r="K3966" s="1796">
        <v>6</v>
      </c>
      <c r="L3966" s="262"/>
      <c r="M3966" s="4202"/>
      <c r="P3966" s="261"/>
      <c r="Q3966" s="209"/>
      <c r="R3966" s="261"/>
      <c r="S3966" s="52"/>
      <c r="T3966" s="181"/>
      <c r="U3966" s="52"/>
      <c r="V3966" s="4295"/>
      <c r="W3966" s="263">
        <v>6</v>
      </c>
      <c r="X3966" s="263">
        <v>6</v>
      </c>
      <c r="Y3966" s="263">
        <v>6</v>
      </c>
      <c r="Z3966" s="263">
        <v>6</v>
      </c>
      <c r="AA3966" s="263">
        <v>6</v>
      </c>
      <c r="AB3966" s="263">
        <v>6</v>
      </c>
      <c r="AC3966" s="263">
        <v>6</v>
      </c>
      <c r="AD3966" s="263">
        <v>6</v>
      </c>
      <c r="AE3966" s="263">
        <v>6</v>
      </c>
      <c r="AF3966" s="271">
        <f t="shared" si="360"/>
        <v>6</v>
      </c>
      <c r="AG3966" s="263"/>
      <c r="DG3966" s="573"/>
      <c r="DH3966" s="159"/>
      <c r="DI3966" s="1091"/>
      <c r="DJ3966" s="1187"/>
    </row>
    <row r="3967" spans="1:114" ht="15" hidden="1" customHeight="1" outlineLevel="1">
      <c r="A3967" s="453"/>
      <c r="C3967" s="51"/>
      <c r="D3967" s="4295"/>
      <c r="E3967" s="4295"/>
      <c r="F3967" s="4307" t="str">
        <f t="shared" si="358"/>
        <v>ASHP-SEER20_ER1_SF</v>
      </c>
      <c r="G3967" s="4307"/>
      <c r="H3967" s="4307"/>
      <c r="I3967" s="4307"/>
      <c r="J3967" s="1029" t="str">
        <f t="shared" si="359"/>
        <v>354550_2024_12_</v>
      </c>
      <c r="K3967" s="1796">
        <v>6</v>
      </c>
      <c r="L3967" s="262"/>
      <c r="M3967" s="4202"/>
      <c r="P3967" s="261"/>
      <c r="Q3967" s="209"/>
      <c r="R3967" s="261"/>
      <c r="S3967" s="52"/>
      <c r="T3967" s="181"/>
      <c r="U3967" s="52"/>
      <c r="V3967" s="4295"/>
      <c r="W3967" s="263">
        <v>6</v>
      </c>
      <c r="X3967" s="263">
        <v>6</v>
      </c>
      <c r="Y3967" s="263">
        <v>6</v>
      </c>
      <c r="Z3967" s="263">
        <v>6</v>
      </c>
      <c r="AA3967" s="263">
        <v>6</v>
      </c>
      <c r="AB3967" s="263">
        <v>6</v>
      </c>
      <c r="AC3967" s="263">
        <v>6</v>
      </c>
      <c r="AD3967" s="263">
        <v>6</v>
      </c>
      <c r="AE3967" s="263">
        <v>6</v>
      </c>
      <c r="AF3967" s="271">
        <f t="shared" si="360"/>
        <v>6</v>
      </c>
      <c r="AG3967" s="263"/>
      <c r="DG3967" s="573"/>
      <c r="DH3967" s="159"/>
      <c r="DI3967" s="1091"/>
      <c r="DJ3967" s="1187"/>
    </row>
    <row r="3968" spans="1:114" ht="15" hidden="1" customHeight="1" outlineLevel="1">
      <c r="A3968" s="453"/>
      <c r="C3968" s="51"/>
      <c r="D3968" s="4295"/>
      <c r="E3968" s="4295"/>
      <c r="F3968" s="4307" t="str">
        <f t="shared" si="358"/>
        <v>ASHP-SEER20_ER2_SF</v>
      </c>
      <c r="G3968" s="4307"/>
      <c r="H3968" s="4307"/>
      <c r="I3968" s="4307"/>
      <c r="J3968" s="1029" t="str">
        <f t="shared" si="359"/>
        <v>354550_2024_12_</v>
      </c>
      <c r="K3968" s="1796">
        <v>12</v>
      </c>
      <c r="L3968" s="262"/>
      <c r="M3968" s="4202"/>
      <c r="P3968" s="261"/>
      <c r="Q3968" s="209"/>
      <c r="R3968" s="261"/>
      <c r="S3968" s="52"/>
      <c r="T3968" s="181"/>
      <c r="U3968" s="52"/>
      <c r="V3968" s="4295"/>
      <c r="W3968" s="263">
        <v>12</v>
      </c>
      <c r="X3968" s="263">
        <v>12</v>
      </c>
      <c r="Y3968" s="263">
        <v>12</v>
      </c>
      <c r="Z3968" s="263">
        <v>12</v>
      </c>
      <c r="AA3968" s="263">
        <v>12</v>
      </c>
      <c r="AB3968" s="263">
        <v>12</v>
      </c>
      <c r="AC3968" s="263">
        <v>12</v>
      </c>
      <c r="AD3968" s="263">
        <v>12</v>
      </c>
      <c r="AE3968" s="263">
        <v>12</v>
      </c>
      <c r="AF3968" s="271">
        <f t="shared" si="360"/>
        <v>12</v>
      </c>
      <c r="AG3968" s="263"/>
      <c r="DG3968" s="573"/>
      <c r="DH3968" s="159"/>
      <c r="DI3968" s="1091"/>
      <c r="DJ3968" s="1187"/>
    </row>
    <row r="3969" spans="1:114" ht="15" hidden="1" customHeight="1" outlineLevel="1">
      <c r="A3969" s="453"/>
      <c r="C3969" s="51"/>
      <c r="D3969" s="4295"/>
      <c r="E3969" s="4295"/>
      <c r="F3969" s="4307" t="str">
        <f t="shared" si="358"/>
        <v>ASHP-SEER20_ER2_SF</v>
      </c>
      <c r="G3969" s="4307"/>
      <c r="H3969" s="4307"/>
      <c r="I3969" s="4307"/>
      <c r="J3969" s="1029" t="str">
        <f t="shared" si="359"/>
        <v>354550_2024_12_</v>
      </c>
      <c r="K3969" s="1796">
        <v>12</v>
      </c>
      <c r="L3969" s="262"/>
      <c r="M3969" s="4202"/>
      <c r="P3969" s="261"/>
      <c r="Q3969" s="209"/>
      <c r="R3969" s="261"/>
      <c r="S3969" s="52"/>
      <c r="T3969" s="181"/>
      <c r="U3969" s="52"/>
      <c r="V3969" s="4295"/>
      <c r="W3969" s="263">
        <v>12</v>
      </c>
      <c r="X3969" s="263">
        <v>12</v>
      </c>
      <c r="Y3969" s="263">
        <v>12</v>
      </c>
      <c r="Z3969" s="263">
        <v>12</v>
      </c>
      <c r="AA3969" s="263">
        <v>12</v>
      </c>
      <c r="AB3969" s="263">
        <v>12</v>
      </c>
      <c r="AC3969" s="263">
        <v>12</v>
      </c>
      <c r="AD3969" s="263">
        <v>12</v>
      </c>
      <c r="AE3969" s="263">
        <v>12</v>
      </c>
      <c r="AF3969" s="271">
        <f t="shared" si="360"/>
        <v>12</v>
      </c>
      <c r="AG3969" s="263"/>
      <c r="DG3969" s="573"/>
      <c r="DH3969" s="159"/>
      <c r="DI3969" s="1091"/>
      <c r="DJ3969" s="1187"/>
    </row>
    <row r="3970" spans="1:114" ht="15" hidden="1" customHeight="1" outlineLevel="1">
      <c r="A3970" s="453"/>
      <c r="C3970" s="51"/>
      <c r="D3970" s="4295"/>
      <c r="E3970" s="4295"/>
      <c r="F3970" s="4307" t="str">
        <f t="shared" si="358"/>
        <v>ASHP-SEER20_ROF_SF</v>
      </c>
      <c r="G3970" s="4307"/>
      <c r="H3970" s="4307"/>
      <c r="I3970" s="4307"/>
      <c r="J3970" s="1029" t="str">
        <f t="shared" si="359"/>
        <v>354600_2024_12_</v>
      </c>
      <c r="K3970" s="1796">
        <v>18</v>
      </c>
      <c r="L3970" s="262"/>
      <c r="M3970" s="4202"/>
      <c r="P3970" s="261"/>
      <c r="Q3970" s="209"/>
      <c r="R3970" s="261"/>
      <c r="S3970" s="52"/>
      <c r="T3970" s="181"/>
      <c r="U3970" s="52"/>
      <c r="V3970" s="4295"/>
      <c r="W3970" s="263">
        <v>18</v>
      </c>
      <c r="X3970" s="263">
        <v>18</v>
      </c>
      <c r="Y3970" s="263">
        <v>18</v>
      </c>
      <c r="Z3970" s="263">
        <v>18</v>
      </c>
      <c r="AA3970" s="263">
        <v>18</v>
      </c>
      <c r="AB3970" s="263">
        <v>18</v>
      </c>
      <c r="AC3970" s="263">
        <v>18</v>
      </c>
      <c r="AD3970" s="263">
        <v>18</v>
      </c>
      <c r="AE3970" s="263">
        <v>18</v>
      </c>
      <c r="AF3970" s="271">
        <f t="shared" si="360"/>
        <v>18</v>
      </c>
      <c r="AG3970" s="263"/>
      <c r="DG3970" s="573"/>
      <c r="DH3970" s="159"/>
      <c r="DI3970" s="1091"/>
      <c r="DJ3970" s="1187"/>
    </row>
    <row r="3971" spans="1:114" ht="15" hidden="1" customHeight="1" outlineLevel="1">
      <c r="A3971" s="453"/>
      <c r="C3971" s="51"/>
      <c r="D3971" s="4295"/>
      <c r="E3971" s="4295"/>
      <c r="F3971" s="4307" t="str">
        <f t="shared" si="358"/>
        <v>ASHP-SEER20_ROF_SF</v>
      </c>
      <c r="G3971" s="4307"/>
      <c r="H3971" s="4307"/>
      <c r="I3971" s="4307"/>
      <c r="J3971" s="1029" t="str">
        <f t="shared" si="359"/>
        <v>354600_2024_12_</v>
      </c>
      <c r="K3971" s="1796">
        <v>18</v>
      </c>
      <c r="L3971" s="262"/>
      <c r="M3971" s="4202"/>
      <c r="P3971" s="261"/>
      <c r="Q3971" s="209"/>
      <c r="R3971" s="261"/>
      <c r="S3971" s="52"/>
      <c r="T3971" s="181"/>
      <c r="U3971" s="52"/>
      <c r="V3971" s="4295"/>
      <c r="W3971" s="263">
        <v>18</v>
      </c>
      <c r="X3971" s="263">
        <v>18</v>
      </c>
      <c r="Y3971" s="263">
        <v>18</v>
      </c>
      <c r="Z3971" s="263">
        <v>18</v>
      </c>
      <c r="AA3971" s="263">
        <v>18</v>
      </c>
      <c r="AB3971" s="263">
        <v>18</v>
      </c>
      <c r="AC3971" s="263">
        <v>18</v>
      </c>
      <c r="AD3971" s="263">
        <v>18</v>
      </c>
      <c r="AE3971" s="263">
        <v>18</v>
      </c>
      <c r="AF3971" s="271">
        <f t="shared" si="360"/>
        <v>18</v>
      </c>
      <c r="AG3971" s="263"/>
      <c r="DG3971" s="573"/>
      <c r="DH3971" s="159"/>
      <c r="DI3971" s="1091"/>
      <c r="DJ3971" s="1187"/>
    </row>
    <row r="3972" spans="1:114" ht="14.65" hidden="1" customHeight="1" outlineLevel="1">
      <c r="A3972" s="453"/>
      <c r="C3972" s="51"/>
      <c r="D3972" s="4295"/>
      <c r="E3972" s="4295"/>
      <c r="F3972" s="4307" t="str">
        <f t="shared" ref="F3972:F4017" si="361">E1828</f>
        <v>ASHP-SEER20-Replace_CAC_ElectricHeat_ER1_MF</v>
      </c>
      <c r="G3972" s="4307"/>
      <c r="H3972" s="4307"/>
      <c r="I3972" s="4307"/>
      <c r="J3972" s="1029" t="str">
        <f t="shared" ref="J3972:J4035" si="362">C1828</f>
        <v>354650_2024_12_</v>
      </c>
      <c r="K3972" s="1796">
        <v>6</v>
      </c>
      <c r="L3972" s="262"/>
      <c r="M3972" s="4202"/>
      <c r="P3972" s="261"/>
      <c r="Q3972" s="209"/>
      <c r="R3972" s="261"/>
      <c r="S3972" s="52"/>
      <c r="T3972" s="181"/>
      <c r="U3972" s="52"/>
      <c r="V3972" s="4295"/>
      <c r="W3972" s="263">
        <v>6</v>
      </c>
      <c r="X3972" s="263">
        <v>6</v>
      </c>
      <c r="Y3972" s="263">
        <v>6</v>
      </c>
      <c r="Z3972" s="263">
        <v>6</v>
      </c>
      <c r="AA3972" s="263">
        <v>6</v>
      </c>
      <c r="AB3972" s="263">
        <v>6</v>
      </c>
      <c r="AC3972" s="263">
        <v>6</v>
      </c>
      <c r="AD3972" s="263">
        <v>6</v>
      </c>
      <c r="AE3972" s="263">
        <v>6</v>
      </c>
      <c r="AF3972" s="271">
        <f t="shared" si="360"/>
        <v>6</v>
      </c>
      <c r="AG3972" s="263"/>
      <c r="DG3972" s="573"/>
      <c r="DH3972" s="159"/>
      <c r="DI3972" s="1091"/>
      <c r="DJ3972" s="1187"/>
    </row>
    <row r="3973" spans="1:114" ht="14.65" hidden="1" customHeight="1" outlineLevel="1">
      <c r="A3973" s="453"/>
      <c r="C3973" s="51"/>
      <c r="D3973" s="4295"/>
      <c r="E3973" s="4295"/>
      <c r="F3973" s="4307" t="str">
        <f t="shared" si="361"/>
        <v>ASHP-SEER20-Replace_CAC_ElectricHeat_ER1_MF</v>
      </c>
      <c r="G3973" s="4307"/>
      <c r="H3973" s="4307"/>
      <c r="I3973" s="4307"/>
      <c r="J3973" s="1029" t="str">
        <f t="shared" si="362"/>
        <v>354650_2024_12_</v>
      </c>
      <c r="K3973" s="1796">
        <v>6</v>
      </c>
      <c r="L3973" s="262"/>
      <c r="M3973" s="4202"/>
      <c r="P3973" s="261"/>
      <c r="Q3973" s="209"/>
      <c r="R3973" s="261"/>
      <c r="S3973" s="52"/>
      <c r="T3973" s="181"/>
      <c r="U3973" s="52"/>
      <c r="V3973" s="4295"/>
      <c r="W3973" s="263">
        <v>6</v>
      </c>
      <c r="X3973" s="263">
        <v>6</v>
      </c>
      <c r="Y3973" s="263">
        <v>6</v>
      </c>
      <c r="Z3973" s="263">
        <v>6</v>
      </c>
      <c r="AA3973" s="263">
        <v>6</v>
      </c>
      <c r="AB3973" s="263">
        <v>6</v>
      </c>
      <c r="AC3973" s="263">
        <v>6</v>
      </c>
      <c r="AD3973" s="263">
        <v>6</v>
      </c>
      <c r="AE3973" s="263">
        <v>6</v>
      </c>
      <c r="AF3973" s="271">
        <f t="shared" si="360"/>
        <v>6</v>
      </c>
      <c r="AG3973" s="263"/>
      <c r="DG3973" s="573"/>
      <c r="DH3973" s="159"/>
      <c r="DI3973" s="1091"/>
      <c r="DJ3973" s="1187"/>
    </row>
    <row r="3974" spans="1:114" ht="14.65" hidden="1" customHeight="1" outlineLevel="1">
      <c r="A3974" s="453"/>
      <c r="C3974" s="51"/>
      <c r="D3974" s="4295"/>
      <c r="E3974" s="4295"/>
      <c r="F3974" s="4307" t="str">
        <f t="shared" si="361"/>
        <v>ASHP-SEER20-Replace_CAC_ElectricHeat_ER2_MF</v>
      </c>
      <c r="G3974" s="4307"/>
      <c r="H3974" s="4307"/>
      <c r="I3974" s="4307"/>
      <c r="J3974" s="1029" t="str">
        <f t="shared" si="362"/>
        <v>354650_2024_12_</v>
      </c>
      <c r="K3974" s="1796">
        <v>12</v>
      </c>
      <c r="L3974" s="262"/>
      <c r="M3974" s="4202"/>
      <c r="P3974" s="261"/>
      <c r="Q3974" s="209"/>
      <c r="R3974" s="261"/>
      <c r="S3974" s="52"/>
      <c r="T3974" s="181"/>
      <c r="U3974" s="52"/>
      <c r="V3974" s="4295"/>
      <c r="W3974" s="263">
        <v>12</v>
      </c>
      <c r="X3974" s="263">
        <v>12</v>
      </c>
      <c r="Y3974" s="263">
        <v>12</v>
      </c>
      <c r="Z3974" s="263">
        <v>12</v>
      </c>
      <c r="AA3974" s="263">
        <v>12</v>
      </c>
      <c r="AB3974" s="263">
        <v>12</v>
      </c>
      <c r="AC3974" s="263">
        <v>12</v>
      </c>
      <c r="AD3974" s="263">
        <v>12</v>
      </c>
      <c r="AE3974" s="263">
        <v>12</v>
      </c>
      <c r="AF3974" s="271">
        <f t="shared" si="360"/>
        <v>12</v>
      </c>
      <c r="AG3974" s="263"/>
      <c r="DG3974" s="573"/>
      <c r="DH3974" s="159"/>
      <c r="DI3974" s="1091"/>
      <c r="DJ3974" s="1187"/>
    </row>
    <row r="3975" spans="1:114" ht="14.65" hidden="1" customHeight="1" outlineLevel="1">
      <c r="A3975" s="453"/>
      <c r="C3975" s="51"/>
      <c r="D3975" s="4295"/>
      <c r="E3975" s="4295"/>
      <c r="F3975" s="4307" t="str">
        <f t="shared" si="361"/>
        <v>ASHP-SEER20-Replace_CAC_ElectricHeat_ER2_MF</v>
      </c>
      <c r="G3975" s="4307"/>
      <c r="H3975" s="4307"/>
      <c r="I3975" s="4307"/>
      <c r="J3975" s="1029" t="str">
        <f t="shared" si="362"/>
        <v>354650_2024_12_</v>
      </c>
      <c r="K3975" s="1796">
        <v>12</v>
      </c>
      <c r="L3975" s="262"/>
      <c r="M3975" s="4202"/>
      <c r="P3975" s="261"/>
      <c r="Q3975" s="209"/>
      <c r="R3975" s="261"/>
      <c r="S3975" s="52"/>
      <c r="T3975" s="181"/>
      <c r="U3975" s="52"/>
      <c r="V3975" s="4295"/>
      <c r="W3975" s="263">
        <v>12</v>
      </c>
      <c r="X3975" s="263">
        <v>12</v>
      </c>
      <c r="Y3975" s="263">
        <v>12</v>
      </c>
      <c r="Z3975" s="263">
        <v>12</v>
      </c>
      <c r="AA3975" s="263">
        <v>12</v>
      </c>
      <c r="AB3975" s="263">
        <v>12</v>
      </c>
      <c r="AC3975" s="263">
        <v>12</v>
      </c>
      <c r="AD3975" s="263">
        <v>12</v>
      </c>
      <c r="AE3975" s="263">
        <v>12</v>
      </c>
      <c r="AF3975" s="271">
        <f t="shared" si="360"/>
        <v>12</v>
      </c>
      <c r="AG3975" s="263"/>
      <c r="DG3975" s="573"/>
      <c r="DH3975" s="159"/>
      <c r="DI3975" s="1091"/>
      <c r="DJ3975" s="1187"/>
    </row>
    <row r="3976" spans="1:114" ht="14.65" hidden="1" customHeight="1" outlineLevel="1">
      <c r="A3976" s="453"/>
      <c r="C3976" s="51"/>
      <c r="D3976" s="4295"/>
      <c r="E3976" s="4295"/>
      <c r="F3976" s="4347" t="str">
        <f t="shared" si="361"/>
        <v>ASHP-SEER20-Replace_CAC_ElectricHeat_ER1_MF_CompE</v>
      </c>
      <c r="G3976" s="4347"/>
      <c r="H3976" s="4347"/>
      <c r="I3976" s="4347"/>
      <c r="J3976" s="3471" t="str">
        <f t="shared" si="362"/>
        <v>354651_2024_12_</v>
      </c>
      <c r="K3976" s="3377">
        <v>6</v>
      </c>
      <c r="L3976" s="262"/>
      <c r="M3976" s="4202"/>
      <c r="P3976" s="261"/>
      <c r="Q3976" s="209"/>
      <c r="R3976" s="261"/>
      <c r="S3976" s="52"/>
      <c r="T3976" s="181"/>
      <c r="U3976" s="52"/>
      <c r="V3976" s="4295"/>
      <c r="W3976" s="263"/>
      <c r="X3976" s="263"/>
      <c r="Y3976" s="263"/>
      <c r="Z3976" s="263"/>
      <c r="AA3976" s="263"/>
      <c r="AB3976" s="263"/>
      <c r="AC3976" s="3495">
        <v>6</v>
      </c>
      <c r="AD3976" s="3494">
        <v>6</v>
      </c>
      <c r="AE3976" s="3494">
        <v>6</v>
      </c>
      <c r="AF3976" s="2236">
        <f t="shared" si="360"/>
        <v>6</v>
      </c>
      <c r="AG3976" s="263"/>
      <c r="DG3976" s="573"/>
      <c r="DH3976" s="159"/>
      <c r="DI3976" s="1091"/>
      <c r="DJ3976" s="1187"/>
    </row>
    <row r="3977" spans="1:114" ht="14.65" hidden="1" customHeight="1" outlineLevel="1">
      <c r="A3977" s="453"/>
      <c r="C3977" s="51"/>
      <c r="D3977" s="4295"/>
      <c r="E3977" s="4295"/>
      <c r="F3977" s="4347" t="str">
        <f t="shared" si="361"/>
        <v>ASHP-SEER20-Replace_CAC_ElectricHeat_ER1_MF_CompE</v>
      </c>
      <c r="G3977" s="4347"/>
      <c r="H3977" s="4347"/>
      <c r="I3977" s="4347"/>
      <c r="J3977" s="3471" t="str">
        <f t="shared" si="362"/>
        <v>354651_2024_12_</v>
      </c>
      <c r="K3977" s="3377">
        <v>6</v>
      </c>
      <c r="L3977" s="262"/>
      <c r="M3977" s="4202"/>
      <c r="P3977" s="261"/>
      <c r="Q3977" s="209"/>
      <c r="R3977" s="261"/>
      <c r="S3977" s="52"/>
      <c r="T3977" s="181"/>
      <c r="U3977" s="52"/>
      <c r="V3977" s="4295"/>
      <c r="W3977" s="263"/>
      <c r="X3977" s="263"/>
      <c r="Y3977" s="263"/>
      <c r="Z3977" s="263"/>
      <c r="AA3977" s="263"/>
      <c r="AB3977" s="263"/>
      <c r="AC3977" s="3495">
        <v>6</v>
      </c>
      <c r="AD3977" s="3494">
        <v>6</v>
      </c>
      <c r="AE3977" s="3494">
        <v>6</v>
      </c>
      <c r="AF3977" s="2236">
        <f t="shared" si="360"/>
        <v>6</v>
      </c>
      <c r="AG3977" s="263"/>
      <c r="DG3977" s="573"/>
      <c r="DH3977" s="159"/>
      <c r="DI3977" s="1091"/>
      <c r="DJ3977" s="1187"/>
    </row>
    <row r="3978" spans="1:114" ht="14.65" hidden="1" customHeight="1" outlineLevel="1">
      <c r="A3978" s="453"/>
      <c r="C3978" s="51"/>
      <c r="D3978" s="4295"/>
      <c r="E3978" s="4295"/>
      <c r="F3978" s="4347" t="str">
        <f t="shared" si="361"/>
        <v>ASHP-SEER20-Replace_CAC_ElectricHeat_ER2_MF_CompE</v>
      </c>
      <c r="G3978" s="4347"/>
      <c r="H3978" s="4347"/>
      <c r="I3978" s="4347"/>
      <c r="J3978" s="3471" t="str">
        <f t="shared" si="362"/>
        <v>354651_2024_12_</v>
      </c>
      <c r="K3978" s="3377">
        <v>12</v>
      </c>
      <c r="L3978" s="262"/>
      <c r="M3978" s="4202"/>
      <c r="P3978" s="261"/>
      <c r="Q3978" s="209"/>
      <c r="R3978" s="261"/>
      <c r="S3978" s="52"/>
      <c r="T3978" s="181"/>
      <c r="U3978" s="52"/>
      <c r="V3978" s="4295"/>
      <c r="W3978" s="263"/>
      <c r="X3978" s="263"/>
      <c r="Y3978" s="263"/>
      <c r="Z3978" s="263"/>
      <c r="AA3978" s="263"/>
      <c r="AB3978" s="263"/>
      <c r="AC3978" s="3495">
        <v>12</v>
      </c>
      <c r="AD3978" s="3494">
        <v>12</v>
      </c>
      <c r="AE3978" s="3494">
        <v>12</v>
      </c>
      <c r="AF3978" s="2236">
        <f t="shared" si="360"/>
        <v>12</v>
      </c>
      <c r="AG3978" s="263"/>
      <c r="DG3978" s="573"/>
      <c r="DH3978" s="159"/>
      <c r="DI3978" s="1091"/>
      <c r="DJ3978" s="1187"/>
    </row>
    <row r="3979" spans="1:114" ht="14.65" hidden="1" customHeight="1" outlineLevel="1">
      <c r="A3979" s="453"/>
      <c r="C3979" s="51"/>
      <c r="D3979" s="4295"/>
      <c r="E3979" s="4295"/>
      <c r="F3979" s="4347" t="str">
        <f t="shared" si="361"/>
        <v>ASHP-SEER20-Replace_CAC_ElectricHeat_ER2_MF_CompE</v>
      </c>
      <c r="G3979" s="4347"/>
      <c r="H3979" s="4347"/>
      <c r="I3979" s="4347"/>
      <c r="J3979" s="3471" t="str">
        <f t="shared" si="362"/>
        <v>354651_2024_12_</v>
      </c>
      <c r="K3979" s="3377">
        <v>12</v>
      </c>
      <c r="L3979" s="262"/>
      <c r="M3979" s="4202"/>
      <c r="P3979" s="261"/>
      <c r="Q3979" s="209"/>
      <c r="R3979" s="261"/>
      <c r="S3979" s="52"/>
      <c r="T3979" s="181"/>
      <c r="U3979" s="52"/>
      <c r="V3979" s="4295"/>
      <c r="W3979" s="263"/>
      <c r="X3979" s="263"/>
      <c r="Y3979" s="263"/>
      <c r="Z3979" s="263"/>
      <c r="AA3979" s="263"/>
      <c r="AB3979" s="263"/>
      <c r="AC3979" s="3495">
        <v>12</v>
      </c>
      <c r="AD3979" s="3494">
        <v>12</v>
      </c>
      <c r="AE3979" s="3494">
        <v>12</v>
      </c>
      <c r="AF3979" s="2236">
        <f t="shared" si="360"/>
        <v>12</v>
      </c>
      <c r="AG3979" s="263"/>
      <c r="DG3979" s="573"/>
      <c r="DH3979" s="159"/>
      <c r="DI3979" s="1091"/>
      <c r="DJ3979" s="1187"/>
    </row>
    <row r="3980" spans="1:114" ht="14.65" hidden="1" customHeight="1" outlineLevel="1">
      <c r="A3980" s="453"/>
      <c r="C3980" s="51"/>
      <c r="D3980" s="4295"/>
      <c r="E3980" s="4295"/>
      <c r="F3980" s="4347" t="str">
        <f t="shared" si="361"/>
        <v>ASHP-SEER20-Replace_CAC_NonElectricHeat_ER1_MF</v>
      </c>
      <c r="G3980" s="4347"/>
      <c r="H3980" s="4347"/>
      <c r="I3980" s="4347"/>
      <c r="J3980" s="3471" t="str">
        <f t="shared" si="362"/>
        <v>354660_2024_12_</v>
      </c>
      <c r="K3980" s="3377">
        <v>6</v>
      </c>
      <c r="L3980" s="262"/>
      <c r="M3980" s="4202"/>
      <c r="P3980" s="261"/>
      <c r="Q3980" s="209"/>
      <c r="R3980" s="261"/>
      <c r="S3980" s="52"/>
      <c r="T3980" s="181"/>
      <c r="U3980" s="52"/>
      <c r="V3980" s="4295"/>
      <c r="W3980" s="263"/>
      <c r="X3980" s="263"/>
      <c r="Y3980" s="263"/>
      <c r="Z3980" s="263"/>
      <c r="AA3980" s="263"/>
      <c r="AB3980" s="263"/>
      <c r="AC3980" s="3495">
        <v>6</v>
      </c>
      <c r="AD3980" s="3494">
        <v>6</v>
      </c>
      <c r="AE3980" s="3494">
        <v>6</v>
      </c>
      <c r="AF3980" s="2236">
        <f t="shared" si="360"/>
        <v>6</v>
      </c>
      <c r="AG3980" s="263"/>
      <c r="DG3980" s="573"/>
      <c r="DH3980" s="159"/>
      <c r="DI3980" s="1091"/>
      <c r="DJ3980" s="1187"/>
    </row>
    <row r="3981" spans="1:114" ht="14.65" hidden="1" customHeight="1" outlineLevel="1">
      <c r="A3981" s="453"/>
      <c r="C3981" s="51"/>
      <c r="D3981" s="4295"/>
      <c r="E3981" s="4295"/>
      <c r="F3981" s="4347" t="str">
        <f t="shared" si="361"/>
        <v>ASHP-SEER20-Replace_CAC_NonElectricHeat_ER1_MF</v>
      </c>
      <c r="G3981" s="4347"/>
      <c r="H3981" s="4347"/>
      <c r="I3981" s="4347"/>
      <c r="J3981" s="3471" t="str">
        <f t="shared" si="362"/>
        <v>354660_2024_12_</v>
      </c>
      <c r="K3981" s="3377">
        <v>6</v>
      </c>
      <c r="L3981" s="262"/>
      <c r="M3981" s="4202"/>
      <c r="P3981" s="261"/>
      <c r="Q3981" s="209"/>
      <c r="R3981" s="261"/>
      <c r="S3981" s="52"/>
      <c r="T3981" s="181"/>
      <c r="U3981" s="52"/>
      <c r="V3981" s="4295"/>
      <c r="W3981" s="263"/>
      <c r="X3981" s="263"/>
      <c r="Y3981" s="263"/>
      <c r="Z3981" s="263"/>
      <c r="AA3981" s="263"/>
      <c r="AB3981" s="263"/>
      <c r="AC3981" s="3495">
        <v>6</v>
      </c>
      <c r="AD3981" s="3494">
        <v>6</v>
      </c>
      <c r="AE3981" s="3494">
        <v>6</v>
      </c>
      <c r="AF3981" s="2236">
        <f t="shared" si="360"/>
        <v>6</v>
      </c>
      <c r="AG3981" s="263"/>
      <c r="DG3981" s="573"/>
      <c r="DH3981" s="159"/>
      <c r="DI3981" s="1091"/>
      <c r="DJ3981" s="1187"/>
    </row>
    <row r="3982" spans="1:114" ht="14.65" hidden="1" customHeight="1" outlineLevel="1">
      <c r="A3982" s="453"/>
      <c r="C3982" s="51"/>
      <c r="D3982" s="4295"/>
      <c r="E3982" s="4295"/>
      <c r="F3982" s="4347" t="str">
        <f t="shared" si="361"/>
        <v>ASHP-SEER20-Replace_CAC_NonElectricHeat_ER2_MF</v>
      </c>
      <c r="G3982" s="4347"/>
      <c r="H3982" s="4347"/>
      <c r="I3982" s="4347"/>
      <c r="J3982" s="3471" t="str">
        <f t="shared" si="362"/>
        <v>354660_2024_12_</v>
      </c>
      <c r="K3982" s="3377">
        <v>12</v>
      </c>
      <c r="L3982" s="262"/>
      <c r="M3982" s="4202"/>
      <c r="P3982" s="261"/>
      <c r="Q3982" s="209"/>
      <c r="R3982" s="261"/>
      <c r="S3982" s="52"/>
      <c r="T3982" s="181"/>
      <c r="U3982" s="52"/>
      <c r="V3982" s="4295"/>
      <c r="W3982" s="263"/>
      <c r="X3982" s="263"/>
      <c r="Y3982" s="263"/>
      <c r="Z3982" s="263"/>
      <c r="AA3982" s="263"/>
      <c r="AB3982" s="263"/>
      <c r="AC3982" s="3495">
        <v>12</v>
      </c>
      <c r="AD3982" s="3494">
        <v>12</v>
      </c>
      <c r="AE3982" s="3494">
        <v>12</v>
      </c>
      <c r="AF3982" s="2236">
        <f t="shared" si="360"/>
        <v>12</v>
      </c>
      <c r="AG3982" s="263"/>
      <c r="DG3982" s="573"/>
      <c r="DH3982" s="159"/>
      <c r="DI3982" s="1091"/>
      <c r="DJ3982" s="1187"/>
    </row>
    <row r="3983" spans="1:114" ht="14.65" hidden="1" customHeight="1" outlineLevel="1">
      <c r="A3983" s="453"/>
      <c r="C3983" s="51"/>
      <c r="D3983" s="4295"/>
      <c r="E3983" s="4295"/>
      <c r="F3983" s="4347" t="str">
        <f t="shared" si="361"/>
        <v>ASHP-SEER20-Replace_CAC_NonElectricHeat_ER2_MF</v>
      </c>
      <c r="G3983" s="4347"/>
      <c r="H3983" s="4347"/>
      <c r="I3983" s="4347"/>
      <c r="J3983" s="3471" t="str">
        <f t="shared" si="362"/>
        <v>354660_2024_12_</v>
      </c>
      <c r="K3983" s="3377">
        <v>12</v>
      </c>
      <c r="L3983" s="262"/>
      <c r="M3983" s="4202"/>
      <c r="P3983" s="261"/>
      <c r="Q3983" s="209"/>
      <c r="R3983" s="261"/>
      <c r="S3983" s="52"/>
      <c r="T3983" s="181"/>
      <c r="U3983" s="52"/>
      <c r="V3983" s="4295"/>
      <c r="W3983" s="263"/>
      <c r="X3983" s="263"/>
      <c r="Y3983" s="263"/>
      <c r="Z3983" s="263"/>
      <c r="AA3983" s="263"/>
      <c r="AB3983" s="263"/>
      <c r="AC3983" s="3495">
        <v>12</v>
      </c>
      <c r="AD3983" s="3494">
        <v>12</v>
      </c>
      <c r="AE3983" s="3494">
        <v>12</v>
      </c>
      <c r="AF3983" s="2236">
        <f t="shared" si="360"/>
        <v>12</v>
      </c>
      <c r="AG3983" s="263"/>
      <c r="DG3983" s="573"/>
      <c r="DH3983" s="159"/>
      <c r="DI3983" s="1091"/>
      <c r="DJ3983" s="1187"/>
    </row>
    <row r="3984" spans="1:114" ht="14.65" hidden="1" customHeight="1" outlineLevel="1">
      <c r="A3984" s="453"/>
      <c r="C3984" s="51"/>
      <c r="D3984" s="4295"/>
      <c r="E3984" s="4295"/>
      <c r="F3984" s="4347" t="str">
        <f t="shared" si="361"/>
        <v>ASHP-SEER20-Replace_CAC_NonElectricHeat_ER1_MF_CompE</v>
      </c>
      <c r="G3984" s="4347"/>
      <c r="H3984" s="4347"/>
      <c r="I3984" s="4347"/>
      <c r="J3984" s="3471" t="str">
        <f t="shared" si="362"/>
        <v>354661_2024_12_</v>
      </c>
      <c r="K3984" s="3377">
        <v>6</v>
      </c>
      <c r="L3984" s="262"/>
      <c r="M3984" s="4202"/>
      <c r="P3984" s="261"/>
      <c r="Q3984" s="209"/>
      <c r="R3984" s="261"/>
      <c r="S3984" s="52"/>
      <c r="T3984" s="181"/>
      <c r="U3984" s="52"/>
      <c r="V3984" s="4295"/>
      <c r="W3984" s="263"/>
      <c r="X3984" s="263"/>
      <c r="Y3984" s="263"/>
      <c r="Z3984" s="263"/>
      <c r="AA3984" s="263"/>
      <c r="AB3984" s="263"/>
      <c r="AC3984" s="3495">
        <v>6</v>
      </c>
      <c r="AD3984" s="3494">
        <v>6</v>
      </c>
      <c r="AE3984" s="3494">
        <v>6</v>
      </c>
      <c r="AF3984" s="2236">
        <f t="shared" si="360"/>
        <v>6</v>
      </c>
      <c r="AG3984" s="263"/>
      <c r="DG3984" s="573"/>
      <c r="DH3984" s="159"/>
      <c r="DI3984" s="1091"/>
      <c r="DJ3984" s="1187"/>
    </row>
    <row r="3985" spans="1:114" ht="14.65" hidden="1" customHeight="1" outlineLevel="1">
      <c r="A3985" s="453"/>
      <c r="C3985" s="51"/>
      <c r="D3985" s="4295"/>
      <c r="E3985" s="4295"/>
      <c r="F3985" s="4347" t="str">
        <f t="shared" si="361"/>
        <v>ASHP-SEER20-Replace_CAC_NonElectricHeat_ER1_MF_CompE</v>
      </c>
      <c r="G3985" s="4347"/>
      <c r="H3985" s="4347"/>
      <c r="I3985" s="4347"/>
      <c r="J3985" s="3471" t="str">
        <f t="shared" si="362"/>
        <v>354661_2024_12_</v>
      </c>
      <c r="K3985" s="3377">
        <v>6</v>
      </c>
      <c r="L3985" s="262"/>
      <c r="M3985" s="4202"/>
      <c r="P3985" s="261"/>
      <c r="Q3985" s="209"/>
      <c r="R3985" s="261"/>
      <c r="S3985" s="52"/>
      <c r="T3985" s="181"/>
      <c r="U3985" s="52"/>
      <c r="V3985" s="4295"/>
      <c r="W3985" s="263"/>
      <c r="X3985" s="263"/>
      <c r="Y3985" s="263"/>
      <c r="Z3985" s="263"/>
      <c r="AA3985" s="263"/>
      <c r="AB3985" s="263"/>
      <c r="AC3985" s="3495">
        <v>6</v>
      </c>
      <c r="AD3985" s="3494">
        <v>6</v>
      </c>
      <c r="AE3985" s="3494">
        <v>6</v>
      </c>
      <c r="AF3985" s="2236">
        <f t="shared" si="360"/>
        <v>6</v>
      </c>
      <c r="AG3985" s="263"/>
      <c r="DG3985" s="573"/>
      <c r="DH3985" s="159"/>
      <c r="DI3985" s="1091"/>
      <c r="DJ3985" s="1187"/>
    </row>
    <row r="3986" spans="1:114" ht="14.65" hidden="1" customHeight="1" outlineLevel="1">
      <c r="A3986" s="453"/>
      <c r="C3986" s="51"/>
      <c r="D3986" s="4295"/>
      <c r="E3986" s="4295"/>
      <c r="F3986" s="4347" t="str">
        <f t="shared" si="361"/>
        <v>ASHP-SEER20-Replace_CAC_NonElectricHeat_ER2_MF_CompE</v>
      </c>
      <c r="G3986" s="4347"/>
      <c r="H3986" s="4347"/>
      <c r="I3986" s="4347"/>
      <c r="J3986" s="3471" t="str">
        <f t="shared" si="362"/>
        <v>354661_2024_12_</v>
      </c>
      <c r="K3986" s="3377">
        <v>12</v>
      </c>
      <c r="L3986" s="262"/>
      <c r="M3986" s="4202"/>
      <c r="P3986" s="261"/>
      <c r="Q3986" s="209"/>
      <c r="R3986" s="261"/>
      <c r="S3986" s="52"/>
      <c r="T3986" s="181"/>
      <c r="U3986" s="52"/>
      <c r="V3986" s="4295"/>
      <c r="W3986" s="263"/>
      <c r="X3986" s="263"/>
      <c r="Y3986" s="263"/>
      <c r="Z3986" s="263"/>
      <c r="AA3986" s="263"/>
      <c r="AB3986" s="263"/>
      <c r="AC3986" s="3495">
        <v>12</v>
      </c>
      <c r="AD3986" s="3494">
        <v>12</v>
      </c>
      <c r="AE3986" s="3494">
        <v>12</v>
      </c>
      <c r="AF3986" s="2236">
        <f t="shared" si="360"/>
        <v>12</v>
      </c>
      <c r="AG3986" s="263"/>
      <c r="DG3986" s="573"/>
      <c r="DH3986" s="159"/>
      <c r="DI3986" s="1091"/>
      <c r="DJ3986" s="1187"/>
    </row>
    <row r="3987" spans="1:114" ht="14.65" hidden="1" customHeight="1" outlineLevel="1">
      <c r="A3987" s="453"/>
      <c r="C3987" s="51"/>
      <c r="D3987" s="4295"/>
      <c r="E3987" s="4295"/>
      <c r="F3987" s="4347" t="str">
        <f t="shared" si="361"/>
        <v>ASHP-SEER20-Replace_CAC_NonElectricHeat_ER2_MF_CompE</v>
      </c>
      <c r="G3987" s="4347"/>
      <c r="H3987" s="4347"/>
      <c r="I3987" s="4347"/>
      <c r="J3987" s="3471" t="str">
        <f t="shared" si="362"/>
        <v>354661_2024_12_</v>
      </c>
      <c r="K3987" s="3377">
        <v>12</v>
      </c>
      <c r="L3987" s="262"/>
      <c r="M3987" s="4202"/>
      <c r="P3987" s="261"/>
      <c r="Q3987" s="209"/>
      <c r="R3987" s="261"/>
      <c r="S3987" s="52"/>
      <c r="T3987" s="181"/>
      <c r="U3987" s="52"/>
      <c r="V3987" s="4295"/>
      <c r="W3987" s="263"/>
      <c r="X3987" s="263"/>
      <c r="Y3987" s="263"/>
      <c r="Z3987" s="263"/>
      <c r="AA3987" s="263"/>
      <c r="AB3987" s="263"/>
      <c r="AC3987" s="3495">
        <v>12</v>
      </c>
      <c r="AD3987" s="3494">
        <v>12</v>
      </c>
      <c r="AE3987" s="3494">
        <v>12</v>
      </c>
      <c r="AF3987" s="2236">
        <f t="shared" si="360"/>
        <v>12</v>
      </c>
      <c r="AG3987" s="263"/>
      <c r="DG3987" s="573"/>
      <c r="DH3987" s="159"/>
      <c r="DI3987" s="1091"/>
      <c r="DJ3987" s="1187"/>
    </row>
    <row r="3988" spans="1:114" ht="14.65" hidden="1" customHeight="1" outlineLevel="1">
      <c r="A3988" s="453"/>
      <c r="C3988" s="51"/>
      <c r="D3988" s="4295"/>
      <c r="E3988" s="4295"/>
      <c r="F3988" s="4307" t="str">
        <f t="shared" si="361"/>
        <v>ASHP-SEER20_ER1_MF</v>
      </c>
      <c r="G3988" s="4307"/>
      <c r="H3988" s="4307"/>
      <c r="I3988" s="4307"/>
      <c r="J3988" s="1029" t="str">
        <f t="shared" si="362"/>
        <v>354700_2024_12_</v>
      </c>
      <c r="K3988" s="1796">
        <v>6</v>
      </c>
      <c r="L3988" s="262"/>
      <c r="M3988" s="4202"/>
      <c r="P3988" s="261"/>
      <c r="Q3988" s="209"/>
      <c r="R3988" s="261"/>
      <c r="S3988" s="52"/>
      <c r="T3988" s="181"/>
      <c r="U3988" s="52"/>
      <c r="V3988" s="4295"/>
      <c r="W3988" s="263">
        <v>6</v>
      </c>
      <c r="X3988" s="263">
        <v>6</v>
      </c>
      <c r="Y3988" s="263">
        <v>6</v>
      </c>
      <c r="Z3988" s="263">
        <v>6</v>
      </c>
      <c r="AA3988" s="263">
        <v>6</v>
      </c>
      <c r="AB3988" s="263">
        <v>6</v>
      </c>
      <c r="AC3988" s="263">
        <v>6</v>
      </c>
      <c r="AD3988" s="263">
        <v>6</v>
      </c>
      <c r="AE3988" s="263">
        <v>6</v>
      </c>
      <c r="AF3988" s="271">
        <f t="shared" si="360"/>
        <v>6</v>
      </c>
      <c r="AG3988" s="263"/>
      <c r="DG3988" s="573"/>
      <c r="DH3988" s="159"/>
      <c r="DI3988" s="1091"/>
      <c r="DJ3988" s="1187"/>
    </row>
    <row r="3989" spans="1:114" ht="14.65" hidden="1" customHeight="1" outlineLevel="1">
      <c r="A3989" s="453"/>
      <c r="C3989" s="51"/>
      <c r="D3989" s="4295"/>
      <c r="E3989" s="4295"/>
      <c r="F3989" s="4307" t="str">
        <f t="shared" si="361"/>
        <v>ASHP-SEER20_ER1_MF</v>
      </c>
      <c r="G3989" s="4307"/>
      <c r="H3989" s="4307"/>
      <c r="I3989" s="4307"/>
      <c r="J3989" s="1029" t="str">
        <f t="shared" si="362"/>
        <v>354700_2024_12_</v>
      </c>
      <c r="K3989" s="1796">
        <v>6</v>
      </c>
      <c r="L3989" s="262"/>
      <c r="M3989" s="4202"/>
      <c r="P3989" s="261"/>
      <c r="Q3989" s="209"/>
      <c r="R3989" s="261"/>
      <c r="S3989" s="52"/>
      <c r="T3989" s="181"/>
      <c r="U3989" s="52"/>
      <c r="V3989" s="4295"/>
      <c r="W3989" s="263">
        <v>6</v>
      </c>
      <c r="X3989" s="263">
        <v>6</v>
      </c>
      <c r="Y3989" s="263">
        <v>6</v>
      </c>
      <c r="Z3989" s="263">
        <v>6</v>
      </c>
      <c r="AA3989" s="263">
        <v>6</v>
      </c>
      <c r="AB3989" s="263">
        <v>6</v>
      </c>
      <c r="AC3989" s="263">
        <v>6</v>
      </c>
      <c r="AD3989" s="263">
        <v>6</v>
      </c>
      <c r="AE3989" s="263">
        <v>6</v>
      </c>
      <c r="AF3989" s="271">
        <f t="shared" si="360"/>
        <v>6</v>
      </c>
      <c r="AG3989" s="263"/>
      <c r="DG3989" s="573"/>
      <c r="DH3989" s="159"/>
      <c r="DI3989" s="1091"/>
      <c r="DJ3989" s="1187"/>
    </row>
    <row r="3990" spans="1:114" ht="14.65" hidden="1" customHeight="1" outlineLevel="1">
      <c r="A3990" s="453"/>
      <c r="C3990" s="51"/>
      <c r="D3990" s="4295"/>
      <c r="E3990" s="4295"/>
      <c r="F3990" s="4307" t="str">
        <f t="shared" si="361"/>
        <v>ASHP-SEER20_ER2_MF</v>
      </c>
      <c r="G3990" s="4307"/>
      <c r="H3990" s="4307"/>
      <c r="I3990" s="4307"/>
      <c r="J3990" s="1029" t="str">
        <f t="shared" si="362"/>
        <v>354700_2024_12_</v>
      </c>
      <c r="K3990" s="1796">
        <v>12</v>
      </c>
      <c r="L3990" s="262"/>
      <c r="M3990" s="4202"/>
      <c r="P3990" s="261"/>
      <c r="Q3990" s="209"/>
      <c r="R3990" s="261"/>
      <c r="S3990" s="52"/>
      <c r="T3990" s="181"/>
      <c r="U3990" s="52"/>
      <c r="V3990" s="4295"/>
      <c r="W3990" s="263">
        <v>12</v>
      </c>
      <c r="X3990" s="263">
        <v>12</v>
      </c>
      <c r="Y3990" s="263">
        <v>12</v>
      </c>
      <c r="Z3990" s="263">
        <v>12</v>
      </c>
      <c r="AA3990" s="263">
        <v>12</v>
      </c>
      <c r="AB3990" s="263">
        <v>12</v>
      </c>
      <c r="AC3990" s="263">
        <v>12</v>
      </c>
      <c r="AD3990" s="263">
        <v>12</v>
      </c>
      <c r="AE3990" s="263">
        <v>12</v>
      </c>
      <c r="AF3990" s="271">
        <f t="shared" si="360"/>
        <v>12</v>
      </c>
      <c r="AG3990" s="263"/>
      <c r="DG3990" s="573"/>
      <c r="DH3990" s="159"/>
      <c r="DI3990" s="1091"/>
      <c r="DJ3990" s="1187"/>
    </row>
    <row r="3991" spans="1:114" ht="14.65" hidden="1" customHeight="1" outlineLevel="1">
      <c r="A3991" s="453"/>
      <c r="C3991" s="51"/>
      <c r="D3991" s="4295"/>
      <c r="E3991" s="4295"/>
      <c r="F3991" s="4307" t="str">
        <f t="shared" si="361"/>
        <v>ASHP-SEER20_ER2_MF</v>
      </c>
      <c r="G3991" s="4307"/>
      <c r="H3991" s="4307"/>
      <c r="I3991" s="4307"/>
      <c r="J3991" s="1029" t="str">
        <f t="shared" si="362"/>
        <v>354700_2024_12_</v>
      </c>
      <c r="K3991" s="1796">
        <v>12</v>
      </c>
      <c r="L3991" s="262"/>
      <c r="M3991" s="4202"/>
      <c r="P3991" s="261"/>
      <c r="Q3991" s="209"/>
      <c r="R3991" s="261"/>
      <c r="S3991" s="52"/>
      <c r="T3991" s="181"/>
      <c r="U3991" s="52"/>
      <c r="V3991" s="4295"/>
      <c r="W3991" s="263">
        <v>12</v>
      </c>
      <c r="X3991" s="263">
        <v>12</v>
      </c>
      <c r="Y3991" s="263">
        <v>12</v>
      </c>
      <c r="Z3991" s="263">
        <v>12</v>
      </c>
      <c r="AA3991" s="263">
        <v>12</v>
      </c>
      <c r="AB3991" s="263">
        <v>12</v>
      </c>
      <c r="AC3991" s="263">
        <v>12</v>
      </c>
      <c r="AD3991" s="263">
        <v>12</v>
      </c>
      <c r="AE3991" s="263">
        <v>12</v>
      </c>
      <c r="AF3991" s="271">
        <f t="shared" si="360"/>
        <v>12</v>
      </c>
      <c r="AG3991" s="263"/>
      <c r="DG3991" s="573"/>
      <c r="DH3991" s="159"/>
      <c r="DI3991" s="1091"/>
      <c r="DJ3991" s="1187"/>
    </row>
    <row r="3992" spans="1:114" ht="14.65" hidden="1" customHeight="1" outlineLevel="1">
      <c r="A3992" s="453"/>
      <c r="C3992" s="51"/>
      <c r="D3992" s="4295"/>
      <c r="E3992" s="4295"/>
      <c r="F3992" s="4347" t="str">
        <f t="shared" si="361"/>
        <v>ASHP-SEER20_ER1_MF_CompE</v>
      </c>
      <c r="G3992" s="4347"/>
      <c r="H3992" s="4347"/>
      <c r="I3992" s="4347"/>
      <c r="J3992" s="3471" t="str">
        <f t="shared" si="362"/>
        <v>354701_2024_12_</v>
      </c>
      <c r="K3992" s="3377">
        <v>6</v>
      </c>
      <c r="L3992" s="262"/>
      <c r="M3992" s="4202"/>
      <c r="P3992" s="261"/>
      <c r="Q3992" s="209"/>
      <c r="R3992" s="261"/>
      <c r="S3992" s="52"/>
      <c r="T3992" s="181"/>
      <c r="U3992" s="52"/>
      <c r="V3992" s="4295"/>
      <c r="W3992" s="263"/>
      <c r="X3992" s="263"/>
      <c r="Y3992" s="263"/>
      <c r="Z3992" s="263"/>
      <c r="AA3992" s="263"/>
      <c r="AB3992" s="263"/>
      <c r="AC3992" s="3495">
        <v>6</v>
      </c>
      <c r="AD3992" s="3494">
        <v>6</v>
      </c>
      <c r="AE3992" s="3494">
        <v>6</v>
      </c>
      <c r="AF3992" s="2236">
        <f t="shared" si="360"/>
        <v>6</v>
      </c>
      <c r="AG3992" s="263"/>
      <c r="DG3992" s="573"/>
      <c r="DH3992" s="159"/>
      <c r="DI3992" s="1091"/>
      <c r="DJ3992" s="1187"/>
    </row>
    <row r="3993" spans="1:114" ht="14.65" hidden="1" customHeight="1" outlineLevel="1">
      <c r="A3993" s="453"/>
      <c r="C3993" s="51"/>
      <c r="D3993" s="4295"/>
      <c r="E3993" s="4295"/>
      <c r="F3993" s="4347" t="str">
        <f t="shared" si="361"/>
        <v>ASHP-SEER20_ER1_MF_CompE</v>
      </c>
      <c r="G3993" s="4347"/>
      <c r="H3993" s="4347"/>
      <c r="I3993" s="4347"/>
      <c r="J3993" s="3471" t="str">
        <f t="shared" si="362"/>
        <v>354701_2024_12_</v>
      </c>
      <c r="K3993" s="3377">
        <v>6</v>
      </c>
      <c r="L3993" s="262"/>
      <c r="M3993" s="4202"/>
      <c r="P3993" s="261"/>
      <c r="Q3993" s="209"/>
      <c r="R3993" s="261"/>
      <c r="S3993" s="52"/>
      <c r="T3993" s="181"/>
      <c r="U3993" s="52"/>
      <c r="V3993" s="4295"/>
      <c r="W3993" s="263"/>
      <c r="X3993" s="263"/>
      <c r="Y3993" s="263"/>
      <c r="Z3993" s="263"/>
      <c r="AA3993" s="263"/>
      <c r="AB3993" s="263"/>
      <c r="AC3993" s="3495">
        <v>6</v>
      </c>
      <c r="AD3993" s="3494">
        <v>6</v>
      </c>
      <c r="AE3993" s="3494">
        <v>6</v>
      </c>
      <c r="AF3993" s="2236">
        <f t="shared" si="360"/>
        <v>6</v>
      </c>
      <c r="AG3993" s="263"/>
      <c r="DG3993" s="573"/>
      <c r="DH3993" s="159"/>
      <c r="DI3993" s="1091"/>
      <c r="DJ3993" s="1187"/>
    </row>
    <row r="3994" spans="1:114" ht="14.65" hidden="1" customHeight="1" outlineLevel="1">
      <c r="A3994" s="453"/>
      <c r="C3994" s="51"/>
      <c r="D3994" s="4295"/>
      <c r="E3994" s="4295"/>
      <c r="F3994" s="4347" t="str">
        <f t="shared" si="361"/>
        <v>ASHP-SEER20_ER2_MF_CompE</v>
      </c>
      <c r="G3994" s="4347"/>
      <c r="H3994" s="4347"/>
      <c r="I3994" s="4347"/>
      <c r="J3994" s="3471" t="str">
        <f t="shared" si="362"/>
        <v>354701_2024_12_</v>
      </c>
      <c r="K3994" s="3377">
        <v>12</v>
      </c>
      <c r="L3994" s="262"/>
      <c r="M3994" s="4202"/>
      <c r="P3994" s="261"/>
      <c r="Q3994" s="209"/>
      <c r="R3994" s="261"/>
      <c r="S3994" s="52"/>
      <c r="T3994" s="181"/>
      <c r="U3994" s="52"/>
      <c r="V3994" s="4295"/>
      <c r="W3994" s="263"/>
      <c r="X3994" s="263"/>
      <c r="Y3994" s="263"/>
      <c r="Z3994" s="263"/>
      <c r="AA3994" s="263"/>
      <c r="AB3994" s="263"/>
      <c r="AC3994" s="3495">
        <v>12</v>
      </c>
      <c r="AD3994" s="3494">
        <v>12</v>
      </c>
      <c r="AE3994" s="3494">
        <v>12</v>
      </c>
      <c r="AF3994" s="2236">
        <f t="shared" si="360"/>
        <v>12</v>
      </c>
      <c r="AG3994" s="263"/>
      <c r="DG3994" s="573"/>
      <c r="DH3994" s="159"/>
      <c r="DI3994" s="1091"/>
      <c r="DJ3994" s="1187"/>
    </row>
    <row r="3995" spans="1:114" ht="14.65" hidden="1" customHeight="1" outlineLevel="1">
      <c r="A3995" s="453"/>
      <c r="C3995" s="51"/>
      <c r="D3995" s="4295"/>
      <c r="E3995" s="4295"/>
      <c r="F3995" s="4347" t="str">
        <f t="shared" si="361"/>
        <v>ASHP-SEER20_ER2_MF_CompE</v>
      </c>
      <c r="G3995" s="4347"/>
      <c r="H3995" s="4347"/>
      <c r="I3995" s="4347"/>
      <c r="J3995" s="3471" t="str">
        <f t="shared" si="362"/>
        <v>354701_2024_12_</v>
      </c>
      <c r="K3995" s="3377">
        <v>12</v>
      </c>
      <c r="L3995" s="262"/>
      <c r="M3995" s="4202"/>
      <c r="P3995" s="261"/>
      <c r="Q3995" s="209"/>
      <c r="R3995" s="261"/>
      <c r="S3995" s="52"/>
      <c r="T3995" s="181"/>
      <c r="U3995" s="52"/>
      <c r="V3995" s="4295"/>
      <c r="W3995" s="263"/>
      <c r="X3995" s="263"/>
      <c r="Y3995" s="263"/>
      <c r="Z3995" s="263"/>
      <c r="AA3995" s="263"/>
      <c r="AB3995" s="263"/>
      <c r="AC3995" s="3495">
        <v>12</v>
      </c>
      <c r="AD3995" s="3494">
        <v>12</v>
      </c>
      <c r="AE3995" s="3494">
        <v>12</v>
      </c>
      <c r="AF3995" s="2236">
        <f t="shared" si="360"/>
        <v>12</v>
      </c>
      <c r="AG3995" s="263"/>
      <c r="DG3995" s="573"/>
      <c r="DH3995" s="159"/>
      <c r="DI3995" s="1091"/>
      <c r="DJ3995" s="1187"/>
    </row>
    <row r="3996" spans="1:114" ht="14.65" hidden="1" customHeight="1" outlineLevel="1">
      <c r="A3996" s="453"/>
      <c r="C3996" s="51"/>
      <c r="D3996" s="4295"/>
      <c r="E3996" s="4295"/>
      <c r="F3996" s="4307" t="str">
        <f t="shared" si="361"/>
        <v>ASHP-SEER21_ER1_SF</v>
      </c>
      <c r="G3996" s="4307"/>
      <c r="H3996" s="4307"/>
      <c r="I3996" s="4307"/>
      <c r="J3996" s="1029" t="str">
        <f t="shared" si="362"/>
        <v>354750_2024_12_</v>
      </c>
      <c r="K3996" s="1796">
        <v>6</v>
      </c>
      <c r="L3996" s="262"/>
      <c r="M3996" s="4202"/>
      <c r="P3996" s="261"/>
      <c r="Q3996" s="209"/>
      <c r="R3996" s="261"/>
      <c r="S3996" s="52"/>
      <c r="T3996" s="181"/>
      <c r="U3996" s="52"/>
      <c r="V3996" s="4295"/>
      <c r="W3996" s="263">
        <v>6</v>
      </c>
      <c r="X3996" s="263">
        <v>6</v>
      </c>
      <c r="Y3996" s="263">
        <v>6</v>
      </c>
      <c r="Z3996" s="263">
        <v>6</v>
      </c>
      <c r="AA3996" s="263">
        <v>6</v>
      </c>
      <c r="AB3996" s="263">
        <v>6</v>
      </c>
      <c r="AC3996" s="263">
        <v>6</v>
      </c>
      <c r="AD3996" s="263">
        <v>6</v>
      </c>
      <c r="AE3996" s="263">
        <v>6</v>
      </c>
      <c r="AF3996" s="271">
        <f t="shared" si="360"/>
        <v>6</v>
      </c>
      <c r="AG3996" s="263"/>
      <c r="DG3996" s="573"/>
      <c r="DH3996" s="159"/>
      <c r="DI3996" s="1091"/>
      <c r="DJ3996" s="1187"/>
    </row>
    <row r="3997" spans="1:114" ht="14.65" hidden="1" customHeight="1" outlineLevel="1">
      <c r="A3997" s="453"/>
      <c r="C3997" s="51"/>
      <c r="D3997" s="4295"/>
      <c r="E3997" s="4295"/>
      <c r="F3997" s="4307" t="str">
        <f t="shared" si="361"/>
        <v>ASHP-SEER21_ER1_SF</v>
      </c>
      <c r="G3997" s="4307"/>
      <c r="H3997" s="4307"/>
      <c r="I3997" s="4307"/>
      <c r="J3997" s="1029" t="str">
        <f t="shared" si="362"/>
        <v>354750_2024_12_</v>
      </c>
      <c r="K3997" s="1796">
        <v>6</v>
      </c>
      <c r="L3997" s="262"/>
      <c r="M3997" s="4202"/>
      <c r="P3997" s="261"/>
      <c r="Q3997" s="209"/>
      <c r="R3997" s="261"/>
      <c r="S3997" s="52"/>
      <c r="T3997" s="181"/>
      <c r="U3997" s="52"/>
      <c r="V3997" s="4295"/>
      <c r="W3997" s="263">
        <v>6</v>
      </c>
      <c r="X3997" s="263">
        <v>6</v>
      </c>
      <c r="Y3997" s="263">
        <v>6</v>
      </c>
      <c r="Z3997" s="263">
        <v>6</v>
      </c>
      <c r="AA3997" s="263">
        <v>6</v>
      </c>
      <c r="AB3997" s="263">
        <v>6</v>
      </c>
      <c r="AC3997" s="263">
        <v>6</v>
      </c>
      <c r="AD3997" s="263">
        <v>6</v>
      </c>
      <c r="AE3997" s="263">
        <v>6</v>
      </c>
      <c r="AF3997" s="271">
        <f t="shared" si="360"/>
        <v>6</v>
      </c>
      <c r="AG3997" s="263"/>
      <c r="DG3997" s="573"/>
      <c r="DH3997" s="159"/>
      <c r="DI3997" s="1091"/>
      <c r="DJ3997" s="1187"/>
    </row>
    <row r="3998" spans="1:114" ht="14.65" hidden="1" customHeight="1" outlineLevel="1">
      <c r="A3998" s="453"/>
      <c r="C3998" s="51"/>
      <c r="D3998" s="4295"/>
      <c r="E3998" s="4295"/>
      <c r="F3998" s="4307" t="str">
        <f t="shared" si="361"/>
        <v>ASHP-SEER21_ER2_SF</v>
      </c>
      <c r="G3998" s="4307"/>
      <c r="H3998" s="4307"/>
      <c r="I3998" s="4307"/>
      <c r="J3998" s="1029" t="str">
        <f t="shared" si="362"/>
        <v>354750_2024_12_</v>
      </c>
      <c r="K3998" s="1796">
        <v>12</v>
      </c>
      <c r="L3998" s="262"/>
      <c r="M3998" s="4202"/>
      <c r="P3998" s="261"/>
      <c r="Q3998" s="209"/>
      <c r="R3998" s="261"/>
      <c r="S3998" s="52"/>
      <c r="T3998" s="181"/>
      <c r="U3998" s="52"/>
      <c r="V3998" s="4295"/>
      <c r="W3998" s="263">
        <v>12</v>
      </c>
      <c r="X3998" s="263">
        <v>12</v>
      </c>
      <c r="Y3998" s="263">
        <v>12</v>
      </c>
      <c r="Z3998" s="263">
        <v>12</v>
      </c>
      <c r="AA3998" s="263">
        <v>12</v>
      </c>
      <c r="AB3998" s="263">
        <v>12</v>
      </c>
      <c r="AC3998" s="263">
        <v>12</v>
      </c>
      <c r="AD3998" s="263">
        <v>12</v>
      </c>
      <c r="AE3998" s="263">
        <v>12</v>
      </c>
      <c r="AF3998" s="271">
        <f t="shared" si="360"/>
        <v>12</v>
      </c>
      <c r="AG3998" s="263"/>
      <c r="DG3998" s="573"/>
      <c r="DH3998" s="159"/>
      <c r="DI3998" s="1091"/>
      <c r="DJ3998" s="1187"/>
    </row>
    <row r="3999" spans="1:114" ht="14.65" hidden="1" customHeight="1" outlineLevel="1">
      <c r="A3999" s="453"/>
      <c r="C3999" s="51"/>
      <c r="D3999" s="4295"/>
      <c r="E3999" s="4295"/>
      <c r="F3999" s="4307" t="str">
        <f t="shared" si="361"/>
        <v>ASHP-SEER21_ER2_SF</v>
      </c>
      <c r="G3999" s="4307"/>
      <c r="H3999" s="4307"/>
      <c r="I3999" s="4307"/>
      <c r="J3999" s="1029" t="str">
        <f t="shared" si="362"/>
        <v>354750_2024_12_</v>
      </c>
      <c r="K3999" s="1796">
        <v>12</v>
      </c>
      <c r="L3999" s="262"/>
      <c r="M3999" s="4202"/>
      <c r="P3999" s="261"/>
      <c r="Q3999" s="209"/>
      <c r="R3999" s="261"/>
      <c r="S3999" s="52"/>
      <c r="T3999" s="181"/>
      <c r="U3999" s="52"/>
      <c r="V3999" s="4295"/>
      <c r="W3999" s="263">
        <v>12</v>
      </c>
      <c r="X3999" s="263">
        <v>12</v>
      </c>
      <c r="Y3999" s="263">
        <v>12</v>
      </c>
      <c r="Z3999" s="263">
        <v>12</v>
      </c>
      <c r="AA3999" s="263">
        <v>12</v>
      </c>
      <c r="AB3999" s="263">
        <v>12</v>
      </c>
      <c r="AC3999" s="263">
        <v>12</v>
      </c>
      <c r="AD3999" s="263">
        <v>12</v>
      </c>
      <c r="AE3999" s="263">
        <v>12</v>
      </c>
      <c r="AF3999" s="271">
        <f t="shared" si="360"/>
        <v>12</v>
      </c>
      <c r="AG3999" s="263"/>
      <c r="DG3999" s="573"/>
      <c r="DH3999" s="159"/>
      <c r="DI3999" s="1091"/>
      <c r="DJ3999" s="1187"/>
    </row>
    <row r="4000" spans="1:114" ht="14.65" hidden="1" customHeight="1" outlineLevel="1">
      <c r="A4000" s="453"/>
      <c r="C4000" s="51"/>
      <c r="D4000" s="4295"/>
      <c r="E4000" s="4295"/>
      <c r="F4000" s="4307" t="str">
        <f t="shared" si="361"/>
        <v>ASHP-SEER21_ROF_SF</v>
      </c>
      <c r="G4000" s="4307"/>
      <c r="H4000" s="4307"/>
      <c r="I4000" s="4307"/>
      <c r="J4000" s="1029" t="str">
        <f t="shared" si="362"/>
        <v>354800_2024_12_</v>
      </c>
      <c r="K4000" s="1796">
        <v>18</v>
      </c>
      <c r="L4000" s="262"/>
      <c r="M4000" s="4202"/>
      <c r="P4000" s="261"/>
      <c r="Q4000" s="209"/>
      <c r="R4000" s="261"/>
      <c r="S4000" s="52"/>
      <c r="T4000" s="181"/>
      <c r="U4000" s="52"/>
      <c r="V4000" s="4295"/>
      <c r="W4000" s="263">
        <v>18</v>
      </c>
      <c r="X4000" s="263">
        <v>18</v>
      </c>
      <c r="Y4000" s="263">
        <v>18</v>
      </c>
      <c r="Z4000" s="263">
        <v>18</v>
      </c>
      <c r="AA4000" s="263">
        <v>18</v>
      </c>
      <c r="AB4000" s="263">
        <v>18</v>
      </c>
      <c r="AC4000" s="263">
        <v>18</v>
      </c>
      <c r="AD4000" s="263">
        <v>18</v>
      </c>
      <c r="AE4000" s="263">
        <v>18</v>
      </c>
      <c r="AF4000" s="271">
        <f t="shared" si="360"/>
        <v>18</v>
      </c>
      <c r="AG4000" s="263"/>
      <c r="DG4000" s="573"/>
      <c r="DH4000" s="159"/>
      <c r="DI4000" s="1091"/>
      <c r="DJ4000" s="1187"/>
    </row>
    <row r="4001" spans="1:114" ht="14.65" hidden="1" customHeight="1" outlineLevel="1">
      <c r="A4001" s="453"/>
      <c r="C4001" s="51"/>
      <c r="D4001" s="4295"/>
      <c r="E4001" s="4295"/>
      <c r="F4001" s="4307" t="str">
        <f t="shared" si="361"/>
        <v>ASHP-SEER21_ROF_SF</v>
      </c>
      <c r="G4001" s="4307"/>
      <c r="H4001" s="4307"/>
      <c r="I4001" s="4307"/>
      <c r="J4001" s="1029" t="str">
        <f t="shared" si="362"/>
        <v>354800_2024_12_</v>
      </c>
      <c r="K4001" s="1796">
        <v>18</v>
      </c>
      <c r="L4001" s="262"/>
      <c r="M4001" s="4202"/>
      <c r="P4001" s="261"/>
      <c r="Q4001" s="209"/>
      <c r="R4001" s="261"/>
      <c r="S4001" s="52"/>
      <c r="T4001" s="181"/>
      <c r="U4001" s="52"/>
      <c r="V4001" s="4295"/>
      <c r="W4001" s="263">
        <v>18</v>
      </c>
      <c r="X4001" s="263">
        <v>18</v>
      </c>
      <c r="Y4001" s="263">
        <v>18</v>
      </c>
      <c r="Z4001" s="263">
        <v>18</v>
      </c>
      <c r="AA4001" s="263">
        <v>18</v>
      </c>
      <c r="AB4001" s="263">
        <v>18</v>
      </c>
      <c r="AC4001" s="263">
        <v>18</v>
      </c>
      <c r="AD4001" s="263">
        <v>18</v>
      </c>
      <c r="AE4001" s="263">
        <v>18</v>
      </c>
      <c r="AF4001" s="271">
        <f t="shared" si="360"/>
        <v>18</v>
      </c>
      <c r="AG4001" s="263"/>
      <c r="DG4001" s="573"/>
      <c r="DH4001" s="159"/>
      <c r="DI4001" s="1091"/>
      <c r="DJ4001" s="1187"/>
    </row>
    <row r="4002" spans="1:114" ht="14.65" hidden="1" customHeight="1" outlineLevel="1">
      <c r="A4002" s="453"/>
      <c r="C4002" s="51"/>
      <c r="D4002" s="4295"/>
      <c r="E4002" s="4295"/>
      <c r="F4002" s="4307" t="str">
        <f t="shared" si="361"/>
        <v>ASHP-SEER21-Replace_CAC_ElectricHeat_ROF_MF</v>
      </c>
      <c r="G4002" s="4307"/>
      <c r="H4002" s="4307"/>
      <c r="I4002" s="4307"/>
      <c r="J4002" s="1029" t="str">
        <f t="shared" si="362"/>
        <v>354850_2024_12_</v>
      </c>
      <c r="K4002" s="1796">
        <v>18</v>
      </c>
      <c r="L4002" s="262"/>
      <c r="M4002" s="4202"/>
      <c r="P4002" s="261"/>
      <c r="Q4002" s="209"/>
      <c r="R4002" s="261"/>
      <c r="S4002" s="52"/>
      <c r="T4002" s="181"/>
      <c r="U4002" s="52"/>
      <c r="V4002" s="4295"/>
      <c r="W4002" s="263">
        <v>18</v>
      </c>
      <c r="X4002" s="263">
        <v>18</v>
      </c>
      <c r="Y4002" s="263">
        <v>18</v>
      </c>
      <c r="Z4002" s="263">
        <v>18</v>
      </c>
      <c r="AA4002" s="263">
        <v>18</v>
      </c>
      <c r="AB4002" s="263">
        <v>18</v>
      </c>
      <c r="AC4002" s="263">
        <v>18</v>
      </c>
      <c r="AD4002" s="263">
        <v>18</v>
      </c>
      <c r="AE4002" s="263">
        <v>18</v>
      </c>
      <c r="AF4002" s="271">
        <f t="shared" si="360"/>
        <v>18</v>
      </c>
      <c r="AG4002" s="263"/>
      <c r="DG4002" s="573"/>
      <c r="DH4002" s="159"/>
      <c r="DI4002" s="1091"/>
      <c r="DJ4002" s="1187"/>
    </row>
    <row r="4003" spans="1:114" ht="14.65" hidden="1" customHeight="1" outlineLevel="1">
      <c r="A4003" s="453"/>
      <c r="C4003" s="51"/>
      <c r="D4003" s="4295"/>
      <c r="E4003" s="4295"/>
      <c r="F4003" s="4307" t="str">
        <f t="shared" si="361"/>
        <v>ASHP-SEER21-Replace_CAC_ElectricHeat_ROF_MF</v>
      </c>
      <c r="G4003" s="4307"/>
      <c r="H4003" s="4307"/>
      <c r="I4003" s="4307"/>
      <c r="J4003" s="1029" t="str">
        <f t="shared" si="362"/>
        <v>354850_2024_12_</v>
      </c>
      <c r="K4003" s="1796">
        <v>18</v>
      </c>
      <c r="L4003" s="262"/>
      <c r="M4003" s="4202"/>
      <c r="P4003" s="261"/>
      <c r="Q4003" s="209"/>
      <c r="R4003" s="261"/>
      <c r="S4003" s="52"/>
      <c r="T4003" s="181"/>
      <c r="U4003" s="52"/>
      <c r="V4003" s="4295"/>
      <c r="W4003" s="263">
        <v>18</v>
      </c>
      <c r="X4003" s="263">
        <v>18</v>
      </c>
      <c r="Y4003" s="263">
        <v>18</v>
      </c>
      <c r="Z4003" s="263">
        <v>18</v>
      </c>
      <c r="AA4003" s="263">
        <v>18</v>
      </c>
      <c r="AB4003" s="263">
        <v>18</v>
      </c>
      <c r="AC4003" s="263">
        <v>18</v>
      </c>
      <c r="AD4003" s="263">
        <v>18</v>
      </c>
      <c r="AE4003" s="263">
        <v>18</v>
      </c>
      <c r="AF4003" s="271">
        <f t="shared" si="360"/>
        <v>18</v>
      </c>
      <c r="AG4003" s="263"/>
      <c r="DG4003" s="573"/>
      <c r="DH4003" s="159"/>
      <c r="DI4003" s="1091"/>
      <c r="DJ4003" s="1187"/>
    </row>
    <row r="4004" spans="1:114" ht="14.65" hidden="1" customHeight="1" outlineLevel="1">
      <c r="A4004" s="453"/>
      <c r="C4004" s="51"/>
      <c r="D4004" s="4295"/>
      <c r="E4004" s="4295"/>
      <c r="F4004" s="4347" t="str">
        <f t="shared" si="361"/>
        <v>ASHP-SEER21-Replace_CAC_ElectricHeat_ROF_MF_CompE</v>
      </c>
      <c r="G4004" s="4347"/>
      <c r="H4004" s="4347"/>
      <c r="I4004" s="4347"/>
      <c r="J4004" s="3471" t="str">
        <f t="shared" si="362"/>
        <v>354851_2024_12_</v>
      </c>
      <c r="K4004" s="3377">
        <v>18</v>
      </c>
      <c r="L4004" s="262"/>
      <c r="M4004" s="4202"/>
      <c r="P4004" s="261"/>
      <c r="Q4004" s="209"/>
      <c r="R4004" s="261"/>
      <c r="S4004" s="52"/>
      <c r="T4004" s="181"/>
      <c r="U4004" s="52"/>
      <c r="V4004" s="4295"/>
      <c r="W4004" s="263"/>
      <c r="X4004" s="263"/>
      <c r="Y4004" s="263"/>
      <c r="Z4004" s="263"/>
      <c r="AA4004" s="263"/>
      <c r="AB4004" s="263"/>
      <c r="AC4004" s="3495">
        <v>18</v>
      </c>
      <c r="AD4004" s="3494">
        <v>18</v>
      </c>
      <c r="AE4004" s="3494">
        <v>18</v>
      </c>
      <c r="AF4004" s="2236">
        <f t="shared" si="360"/>
        <v>18</v>
      </c>
      <c r="AG4004" s="263"/>
      <c r="DG4004" s="573"/>
      <c r="DH4004" s="159"/>
      <c r="DI4004" s="1091"/>
      <c r="DJ4004" s="1187"/>
    </row>
    <row r="4005" spans="1:114" ht="14.65" hidden="1" customHeight="1" outlineLevel="1">
      <c r="A4005" s="453"/>
      <c r="C4005" s="51"/>
      <c r="D4005" s="4295"/>
      <c r="E4005" s="4295"/>
      <c r="F4005" s="4347" t="str">
        <f t="shared" si="361"/>
        <v>ASHP-SEER21-Replace_CAC_ElectricHeat_ROF_MF_CompE</v>
      </c>
      <c r="G4005" s="4347"/>
      <c r="H4005" s="4347"/>
      <c r="I4005" s="4347"/>
      <c r="J4005" s="3471" t="str">
        <f t="shared" si="362"/>
        <v>354851_2024_12_</v>
      </c>
      <c r="K4005" s="3377">
        <v>18</v>
      </c>
      <c r="L4005" s="262"/>
      <c r="M4005" s="4202"/>
      <c r="P4005" s="261"/>
      <c r="Q4005" s="209"/>
      <c r="R4005" s="261"/>
      <c r="S4005" s="52"/>
      <c r="T4005" s="181"/>
      <c r="U4005" s="52"/>
      <c r="V4005" s="4295"/>
      <c r="W4005" s="263"/>
      <c r="X4005" s="263"/>
      <c r="Y4005" s="263"/>
      <c r="Z4005" s="263"/>
      <c r="AA4005" s="263"/>
      <c r="AB4005" s="263"/>
      <c r="AC4005" s="3495">
        <v>18</v>
      </c>
      <c r="AD4005" s="3494">
        <v>18</v>
      </c>
      <c r="AE4005" s="3494">
        <v>18</v>
      </c>
      <c r="AF4005" s="2236">
        <f t="shared" si="360"/>
        <v>18</v>
      </c>
      <c r="AG4005" s="263"/>
      <c r="DG4005" s="573"/>
      <c r="DH4005" s="159"/>
      <c r="DI4005" s="1091"/>
      <c r="DJ4005" s="1187"/>
    </row>
    <row r="4006" spans="1:114" ht="14.65" hidden="1" customHeight="1" outlineLevel="1">
      <c r="A4006" s="453"/>
      <c r="C4006" s="51"/>
      <c r="D4006" s="4295"/>
      <c r="E4006" s="4295"/>
      <c r="F4006" s="4347" t="str">
        <f t="shared" si="361"/>
        <v>ASHP-SEER21-Replace_CAC_NonElectricHeat_ROF_MF</v>
      </c>
      <c r="G4006" s="4347"/>
      <c r="H4006" s="4347"/>
      <c r="I4006" s="4347"/>
      <c r="J4006" s="3471" t="str">
        <f t="shared" si="362"/>
        <v>354860_2024_12_</v>
      </c>
      <c r="K4006" s="3377">
        <v>18</v>
      </c>
      <c r="L4006" s="262"/>
      <c r="M4006" s="4202"/>
      <c r="P4006" s="261"/>
      <c r="Q4006" s="209"/>
      <c r="R4006" s="261"/>
      <c r="S4006" s="52"/>
      <c r="T4006" s="181"/>
      <c r="U4006" s="52"/>
      <c r="V4006" s="4295"/>
      <c r="W4006" s="263"/>
      <c r="X4006" s="263"/>
      <c r="Y4006" s="263"/>
      <c r="Z4006" s="263"/>
      <c r="AA4006" s="263"/>
      <c r="AB4006" s="263"/>
      <c r="AC4006" s="3495">
        <v>18</v>
      </c>
      <c r="AD4006" s="3494">
        <v>18</v>
      </c>
      <c r="AE4006" s="3494">
        <v>18</v>
      </c>
      <c r="AF4006" s="2236">
        <f t="shared" si="360"/>
        <v>18</v>
      </c>
      <c r="AG4006" s="263"/>
      <c r="DG4006" s="573"/>
      <c r="DH4006" s="159"/>
      <c r="DI4006" s="1091"/>
      <c r="DJ4006" s="1187"/>
    </row>
    <row r="4007" spans="1:114" ht="14.65" hidden="1" customHeight="1" outlineLevel="1">
      <c r="A4007" s="453"/>
      <c r="C4007" s="51"/>
      <c r="D4007" s="4295"/>
      <c r="E4007" s="4295"/>
      <c r="F4007" s="4347" t="str">
        <f t="shared" si="361"/>
        <v>ASHP-SEER21-Replace_CAC_NonElectricHeat_ROF_MF</v>
      </c>
      <c r="G4007" s="4347"/>
      <c r="H4007" s="4347"/>
      <c r="I4007" s="4347"/>
      <c r="J4007" s="3471" t="str">
        <f t="shared" si="362"/>
        <v>354860_2024_12_</v>
      </c>
      <c r="K4007" s="3377">
        <v>18</v>
      </c>
      <c r="L4007" s="262"/>
      <c r="M4007" s="4202"/>
      <c r="P4007" s="261"/>
      <c r="Q4007" s="209"/>
      <c r="R4007" s="261"/>
      <c r="S4007" s="52"/>
      <c r="T4007" s="181"/>
      <c r="U4007" s="52"/>
      <c r="V4007" s="4295"/>
      <c r="W4007" s="263"/>
      <c r="X4007" s="263"/>
      <c r="Y4007" s="263"/>
      <c r="Z4007" s="263"/>
      <c r="AA4007" s="263"/>
      <c r="AB4007" s="263"/>
      <c r="AC4007" s="3495">
        <v>18</v>
      </c>
      <c r="AD4007" s="3494">
        <v>18</v>
      </c>
      <c r="AE4007" s="3494">
        <v>18</v>
      </c>
      <c r="AF4007" s="2236">
        <f t="shared" si="360"/>
        <v>18</v>
      </c>
      <c r="AG4007" s="263"/>
      <c r="DG4007" s="573"/>
      <c r="DH4007" s="159"/>
      <c r="DI4007" s="1091"/>
      <c r="DJ4007" s="1187"/>
    </row>
    <row r="4008" spans="1:114" ht="14.65" hidden="1" customHeight="1" outlineLevel="1">
      <c r="A4008" s="453"/>
      <c r="C4008" s="51"/>
      <c r="D4008" s="4295"/>
      <c r="E4008" s="4295"/>
      <c r="F4008" s="4347" t="str">
        <f t="shared" si="361"/>
        <v>ASHP-SEER21-Replace_CAC_NonElectricHeat_ROF_MF_CompE</v>
      </c>
      <c r="G4008" s="4347"/>
      <c r="H4008" s="4347"/>
      <c r="I4008" s="4347"/>
      <c r="J4008" s="3471" t="str">
        <f t="shared" si="362"/>
        <v>354861_2024_12_</v>
      </c>
      <c r="K4008" s="3377">
        <v>18</v>
      </c>
      <c r="L4008" s="262"/>
      <c r="M4008" s="4202"/>
      <c r="P4008" s="261"/>
      <c r="Q4008" s="209"/>
      <c r="R4008" s="261"/>
      <c r="S4008" s="52"/>
      <c r="T4008" s="181"/>
      <c r="U4008" s="52"/>
      <c r="V4008" s="4295"/>
      <c r="W4008" s="263"/>
      <c r="X4008" s="263"/>
      <c r="Y4008" s="263"/>
      <c r="Z4008" s="263"/>
      <c r="AA4008" s="263"/>
      <c r="AB4008" s="263"/>
      <c r="AC4008" s="3495">
        <v>18</v>
      </c>
      <c r="AD4008" s="3494">
        <v>18</v>
      </c>
      <c r="AE4008" s="3494">
        <v>18</v>
      </c>
      <c r="AF4008" s="2236">
        <f t="shared" si="360"/>
        <v>18</v>
      </c>
      <c r="AG4008" s="263"/>
      <c r="DG4008" s="573"/>
      <c r="DH4008" s="159"/>
      <c r="DI4008" s="1091"/>
      <c r="DJ4008" s="1187"/>
    </row>
    <row r="4009" spans="1:114" ht="14.65" hidden="1" customHeight="1" outlineLevel="1">
      <c r="A4009" s="453"/>
      <c r="C4009" s="51"/>
      <c r="D4009" s="4295"/>
      <c r="E4009" s="4295"/>
      <c r="F4009" s="4347" t="str">
        <f t="shared" si="361"/>
        <v>ASHP-SEER21-Replace_CAC_NonElectricHeat_ROF_MF_CompE</v>
      </c>
      <c r="G4009" s="4347"/>
      <c r="H4009" s="4347"/>
      <c r="I4009" s="4347"/>
      <c r="J4009" s="3471" t="str">
        <f t="shared" si="362"/>
        <v>354861_2024_12_</v>
      </c>
      <c r="K4009" s="3377">
        <v>18</v>
      </c>
      <c r="L4009" s="262"/>
      <c r="M4009" s="4202"/>
      <c r="P4009" s="261"/>
      <c r="Q4009" s="209"/>
      <c r="R4009" s="261"/>
      <c r="S4009" s="52"/>
      <c r="T4009" s="181"/>
      <c r="U4009" s="52"/>
      <c r="V4009" s="4295"/>
      <c r="W4009" s="263"/>
      <c r="X4009" s="263"/>
      <c r="Y4009" s="263"/>
      <c r="Z4009" s="263"/>
      <c r="AA4009" s="263"/>
      <c r="AB4009" s="263"/>
      <c r="AC4009" s="3495">
        <v>18</v>
      </c>
      <c r="AD4009" s="3494">
        <v>18</v>
      </c>
      <c r="AE4009" s="3494">
        <v>18</v>
      </c>
      <c r="AF4009" s="2236">
        <f t="shared" si="360"/>
        <v>18</v>
      </c>
      <c r="AG4009" s="263"/>
      <c r="DG4009" s="573"/>
      <c r="DH4009" s="159"/>
      <c r="DI4009" s="1091"/>
      <c r="DJ4009" s="1187"/>
    </row>
    <row r="4010" spans="1:114" ht="14.65" hidden="1" customHeight="1" outlineLevel="1">
      <c r="A4010" s="453"/>
      <c r="C4010" s="51"/>
      <c r="D4010" s="4295"/>
      <c r="E4010" s="4295"/>
      <c r="F4010" s="4307" t="str">
        <f t="shared" si="361"/>
        <v>ASHP-SEER21_ER1_MF</v>
      </c>
      <c r="G4010" s="4307"/>
      <c r="H4010" s="4307"/>
      <c r="I4010" s="4307"/>
      <c r="J4010" s="1029" t="str">
        <f t="shared" si="362"/>
        <v>354900_2024_12_</v>
      </c>
      <c r="K4010" s="1796">
        <v>6</v>
      </c>
      <c r="L4010" s="262"/>
      <c r="M4010" s="4202"/>
      <c r="P4010" s="261"/>
      <c r="Q4010" s="209"/>
      <c r="R4010" s="261"/>
      <c r="S4010" s="52"/>
      <c r="T4010" s="181"/>
      <c r="U4010" s="52"/>
      <c r="V4010" s="4295"/>
      <c r="W4010" s="263">
        <v>6</v>
      </c>
      <c r="X4010" s="263">
        <v>6</v>
      </c>
      <c r="Y4010" s="263">
        <v>6</v>
      </c>
      <c r="Z4010" s="263">
        <v>6</v>
      </c>
      <c r="AA4010" s="263">
        <v>6</v>
      </c>
      <c r="AB4010" s="263">
        <v>6</v>
      </c>
      <c r="AC4010" s="263">
        <v>6</v>
      </c>
      <c r="AD4010" s="263">
        <v>6</v>
      </c>
      <c r="AE4010" s="263">
        <v>6</v>
      </c>
      <c r="AF4010" s="271">
        <f t="shared" si="360"/>
        <v>6</v>
      </c>
      <c r="AG4010" s="263"/>
      <c r="DG4010" s="573"/>
      <c r="DH4010" s="159"/>
      <c r="DI4010" s="1091"/>
      <c r="DJ4010" s="1187"/>
    </row>
    <row r="4011" spans="1:114" ht="14.65" hidden="1" customHeight="1" outlineLevel="1">
      <c r="A4011" s="453"/>
      <c r="C4011" s="51"/>
      <c r="D4011" s="4295"/>
      <c r="E4011" s="4295"/>
      <c r="F4011" s="4307" t="str">
        <f t="shared" si="361"/>
        <v>ASHP-SEER21_ER1_MF</v>
      </c>
      <c r="G4011" s="4307"/>
      <c r="H4011" s="4307"/>
      <c r="I4011" s="4307"/>
      <c r="J4011" s="1029" t="str">
        <f t="shared" si="362"/>
        <v>354900_2024_12_</v>
      </c>
      <c r="K4011" s="1796">
        <v>6</v>
      </c>
      <c r="L4011" s="262"/>
      <c r="M4011" s="4202"/>
      <c r="P4011" s="261"/>
      <c r="Q4011" s="209"/>
      <c r="R4011" s="261"/>
      <c r="S4011" s="52"/>
      <c r="T4011" s="181"/>
      <c r="U4011" s="52"/>
      <c r="V4011" s="4295"/>
      <c r="W4011" s="263">
        <v>6</v>
      </c>
      <c r="X4011" s="263">
        <v>6</v>
      </c>
      <c r="Y4011" s="263">
        <v>6</v>
      </c>
      <c r="Z4011" s="263">
        <v>6</v>
      </c>
      <c r="AA4011" s="263">
        <v>6</v>
      </c>
      <c r="AB4011" s="263">
        <v>6</v>
      </c>
      <c r="AC4011" s="263">
        <v>6</v>
      </c>
      <c r="AD4011" s="263">
        <v>6</v>
      </c>
      <c r="AE4011" s="263">
        <v>6</v>
      </c>
      <c r="AF4011" s="271">
        <f t="shared" si="360"/>
        <v>6</v>
      </c>
      <c r="AG4011" s="263"/>
      <c r="DG4011" s="573"/>
      <c r="DH4011" s="159"/>
      <c r="DI4011" s="1091"/>
      <c r="DJ4011" s="1187"/>
    </row>
    <row r="4012" spans="1:114" ht="14.65" hidden="1" customHeight="1" outlineLevel="1">
      <c r="A4012" s="453"/>
      <c r="C4012" s="51"/>
      <c r="D4012" s="4295"/>
      <c r="E4012" s="4295"/>
      <c r="F4012" s="4307" t="str">
        <f t="shared" si="361"/>
        <v>ASHP-SEER21_ER2_MF</v>
      </c>
      <c r="G4012" s="4307"/>
      <c r="H4012" s="4307"/>
      <c r="I4012" s="4307"/>
      <c r="J4012" s="1029" t="str">
        <f t="shared" si="362"/>
        <v>354900_2024_12_</v>
      </c>
      <c r="K4012" s="1796">
        <v>12</v>
      </c>
      <c r="L4012" s="262"/>
      <c r="M4012" s="4202"/>
      <c r="P4012" s="261"/>
      <c r="Q4012" s="209"/>
      <c r="R4012" s="261"/>
      <c r="S4012" s="52"/>
      <c r="T4012" s="181"/>
      <c r="U4012" s="52"/>
      <c r="V4012" s="4295"/>
      <c r="W4012" s="263">
        <v>12</v>
      </c>
      <c r="X4012" s="263">
        <v>12</v>
      </c>
      <c r="Y4012" s="263">
        <v>12</v>
      </c>
      <c r="Z4012" s="263">
        <v>12</v>
      </c>
      <c r="AA4012" s="263">
        <v>12</v>
      </c>
      <c r="AB4012" s="263">
        <v>12</v>
      </c>
      <c r="AC4012" s="263">
        <v>12</v>
      </c>
      <c r="AD4012" s="263">
        <v>12</v>
      </c>
      <c r="AE4012" s="263">
        <v>12</v>
      </c>
      <c r="AF4012" s="271">
        <f t="shared" si="360"/>
        <v>12</v>
      </c>
      <c r="AG4012" s="263"/>
      <c r="DG4012" s="573"/>
      <c r="DH4012" s="159"/>
      <c r="DI4012" s="1091"/>
      <c r="DJ4012" s="1187"/>
    </row>
    <row r="4013" spans="1:114" ht="14.65" hidden="1" customHeight="1" outlineLevel="1">
      <c r="A4013" s="453"/>
      <c r="C4013" s="51"/>
      <c r="D4013" s="4295"/>
      <c r="E4013" s="4295"/>
      <c r="F4013" s="4307" t="str">
        <f t="shared" si="361"/>
        <v>ASHP-SEER21_ER2_MF</v>
      </c>
      <c r="G4013" s="4307"/>
      <c r="H4013" s="4307"/>
      <c r="I4013" s="4307"/>
      <c r="J4013" s="1029" t="str">
        <f t="shared" si="362"/>
        <v>354900_2024_12_</v>
      </c>
      <c r="K4013" s="1796">
        <v>12</v>
      </c>
      <c r="L4013" s="262"/>
      <c r="M4013" s="4202"/>
      <c r="P4013" s="261"/>
      <c r="Q4013" s="209"/>
      <c r="R4013" s="261"/>
      <c r="S4013" s="52"/>
      <c r="T4013" s="181"/>
      <c r="U4013" s="52"/>
      <c r="V4013" s="4295"/>
      <c r="W4013" s="263">
        <v>12</v>
      </c>
      <c r="X4013" s="263">
        <v>12</v>
      </c>
      <c r="Y4013" s="263">
        <v>12</v>
      </c>
      <c r="Z4013" s="263">
        <v>12</v>
      </c>
      <c r="AA4013" s="263">
        <v>12</v>
      </c>
      <c r="AB4013" s="263">
        <v>12</v>
      </c>
      <c r="AC4013" s="263">
        <v>12</v>
      </c>
      <c r="AD4013" s="263">
        <v>12</v>
      </c>
      <c r="AE4013" s="263">
        <v>12</v>
      </c>
      <c r="AF4013" s="271">
        <f t="shared" si="360"/>
        <v>12</v>
      </c>
      <c r="AG4013" s="263"/>
      <c r="DG4013" s="573"/>
      <c r="DH4013" s="159"/>
      <c r="DI4013" s="1091"/>
      <c r="DJ4013" s="1187"/>
    </row>
    <row r="4014" spans="1:114" ht="14.65" hidden="1" customHeight="1" outlineLevel="1">
      <c r="A4014" s="453"/>
      <c r="C4014" s="51"/>
      <c r="D4014" s="4295"/>
      <c r="E4014" s="4295"/>
      <c r="F4014" s="4347" t="str">
        <f t="shared" si="361"/>
        <v>ASHP-SEER21_ER1_MF_CompE</v>
      </c>
      <c r="G4014" s="4347"/>
      <c r="H4014" s="4347"/>
      <c r="I4014" s="4347"/>
      <c r="J4014" s="3471" t="str">
        <f t="shared" si="362"/>
        <v>354901_2024_12_</v>
      </c>
      <c r="K4014" s="3377">
        <v>6</v>
      </c>
      <c r="L4014" s="262"/>
      <c r="M4014" s="4202"/>
      <c r="P4014" s="261"/>
      <c r="Q4014" s="209"/>
      <c r="R4014" s="261"/>
      <c r="S4014" s="52"/>
      <c r="T4014" s="181"/>
      <c r="U4014" s="52"/>
      <c r="V4014" s="4295"/>
      <c r="W4014" s="263"/>
      <c r="X4014" s="263"/>
      <c r="Y4014" s="263"/>
      <c r="Z4014" s="263"/>
      <c r="AA4014" s="263"/>
      <c r="AB4014" s="263"/>
      <c r="AC4014" s="3495">
        <v>6</v>
      </c>
      <c r="AD4014" s="3494">
        <v>6</v>
      </c>
      <c r="AE4014" s="3494">
        <v>6</v>
      </c>
      <c r="AF4014" s="2236">
        <f t="shared" si="360"/>
        <v>6</v>
      </c>
      <c r="AG4014" s="263"/>
      <c r="DG4014" s="573"/>
      <c r="DH4014" s="159"/>
      <c r="DI4014" s="1091"/>
      <c r="DJ4014" s="1187"/>
    </row>
    <row r="4015" spans="1:114" ht="14.65" hidden="1" customHeight="1" outlineLevel="1">
      <c r="A4015" s="453"/>
      <c r="C4015" s="51"/>
      <c r="D4015" s="4295"/>
      <c r="E4015" s="4295"/>
      <c r="F4015" s="4347" t="str">
        <f t="shared" si="361"/>
        <v>ASHP-SEER21_ER1_MF_CompE</v>
      </c>
      <c r="G4015" s="4347"/>
      <c r="H4015" s="4347"/>
      <c r="I4015" s="4347"/>
      <c r="J4015" s="3471" t="str">
        <f t="shared" si="362"/>
        <v>354901_2024_12_</v>
      </c>
      <c r="K4015" s="3377">
        <v>6</v>
      </c>
      <c r="L4015" s="262"/>
      <c r="M4015" s="4202"/>
      <c r="P4015" s="261"/>
      <c r="Q4015" s="209"/>
      <c r="R4015" s="261"/>
      <c r="S4015" s="52"/>
      <c r="T4015" s="181"/>
      <c r="U4015" s="52"/>
      <c r="V4015" s="4295"/>
      <c r="W4015" s="263"/>
      <c r="X4015" s="263"/>
      <c r="Y4015" s="263"/>
      <c r="Z4015" s="263"/>
      <c r="AA4015" s="263"/>
      <c r="AB4015" s="263"/>
      <c r="AC4015" s="3495">
        <v>6</v>
      </c>
      <c r="AD4015" s="3494">
        <v>6</v>
      </c>
      <c r="AE4015" s="3494">
        <v>6</v>
      </c>
      <c r="AF4015" s="2236">
        <f t="shared" si="360"/>
        <v>6</v>
      </c>
      <c r="AG4015" s="263"/>
      <c r="DG4015" s="573"/>
      <c r="DH4015" s="159"/>
      <c r="DI4015" s="1091"/>
      <c r="DJ4015" s="1187"/>
    </row>
    <row r="4016" spans="1:114" ht="14.65" hidden="1" customHeight="1" outlineLevel="1">
      <c r="A4016" s="453"/>
      <c r="C4016" s="51"/>
      <c r="D4016" s="4295"/>
      <c r="E4016" s="4295"/>
      <c r="F4016" s="4347" t="str">
        <f t="shared" si="361"/>
        <v>ASHP-SEER21_ER2_MF_CompE</v>
      </c>
      <c r="G4016" s="4347"/>
      <c r="H4016" s="4347"/>
      <c r="I4016" s="4347"/>
      <c r="J4016" s="3471" t="str">
        <f t="shared" si="362"/>
        <v>354901_2024_12_</v>
      </c>
      <c r="K4016" s="3377">
        <v>12</v>
      </c>
      <c r="L4016" s="262"/>
      <c r="M4016" s="4202"/>
      <c r="P4016" s="261"/>
      <c r="Q4016" s="209"/>
      <c r="R4016" s="261"/>
      <c r="S4016" s="52"/>
      <c r="T4016" s="181"/>
      <c r="U4016" s="52"/>
      <c r="V4016" s="4295"/>
      <c r="W4016" s="263"/>
      <c r="X4016" s="263"/>
      <c r="Y4016" s="263"/>
      <c r="Z4016" s="263"/>
      <c r="AA4016" s="263"/>
      <c r="AB4016" s="263"/>
      <c r="AC4016" s="3495">
        <v>12</v>
      </c>
      <c r="AD4016" s="3494">
        <v>12</v>
      </c>
      <c r="AE4016" s="3494">
        <v>12</v>
      </c>
      <c r="AF4016" s="2236">
        <f t="shared" si="360"/>
        <v>12</v>
      </c>
      <c r="AG4016" s="263"/>
      <c r="DG4016" s="573"/>
      <c r="DH4016" s="159"/>
      <c r="DI4016" s="1091"/>
      <c r="DJ4016" s="1187"/>
    </row>
    <row r="4017" spans="1:114" ht="14.65" hidden="1" customHeight="1" outlineLevel="1">
      <c r="A4017" s="453"/>
      <c r="C4017" s="51"/>
      <c r="D4017" s="4295"/>
      <c r="E4017" s="4295"/>
      <c r="F4017" s="4347" t="str">
        <f t="shared" si="361"/>
        <v>ASHP-SEER21_ER2_MF_CompE</v>
      </c>
      <c r="G4017" s="4347"/>
      <c r="H4017" s="4347"/>
      <c r="I4017" s="4347"/>
      <c r="J4017" s="3471" t="str">
        <f t="shared" si="362"/>
        <v>354901_2024_12_</v>
      </c>
      <c r="K4017" s="3377">
        <v>12</v>
      </c>
      <c r="L4017" s="262"/>
      <c r="M4017" s="4202"/>
      <c r="P4017" s="261"/>
      <c r="Q4017" s="209"/>
      <c r="R4017" s="261"/>
      <c r="S4017" s="52"/>
      <c r="T4017" s="181"/>
      <c r="U4017" s="52"/>
      <c r="V4017" s="4295"/>
      <c r="W4017" s="263"/>
      <c r="X4017" s="263"/>
      <c r="Y4017" s="263"/>
      <c r="Z4017" s="263"/>
      <c r="AA4017" s="263"/>
      <c r="AB4017" s="263"/>
      <c r="AC4017" s="3495">
        <v>12</v>
      </c>
      <c r="AD4017" s="3494">
        <v>12</v>
      </c>
      <c r="AE4017" s="3494">
        <v>12</v>
      </c>
      <c r="AF4017" s="2236">
        <f t="shared" si="360"/>
        <v>12</v>
      </c>
      <c r="AG4017" s="263"/>
      <c r="DG4017" s="573"/>
      <c r="DH4017" s="159"/>
      <c r="DI4017" s="1091"/>
      <c r="DJ4017" s="1187"/>
    </row>
    <row r="4018" spans="1:114" ht="14.65" hidden="1" customHeight="1" outlineLevel="1">
      <c r="A4018" s="453"/>
      <c r="C4018" s="51"/>
      <c r="D4018" s="4295"/>
      <c r="E4018" s="4295"/>
      <c r="F4018" s="4307" t="str">
        <f t="shared" ref="F4018:F4035" si="363">E1874</f>
        <v>ASHP-SEER17_ROF_MF</v>
      </c>
      <c r="G4018" s="4307"/>
      <c r="H4018" s="4307"/>
      <c r="I4018" s="4307"/>
      <c r="J4018" s="1029" t="str">
        <f t="shared" si="362"/>
        <v>354950_2024_12_</v>
      </c>
      <c r="K4018" s="1796">
        <v>18</v>
      </c>
      <c r="L4018" s="262"/>
      <c r="M4018" s="4202"/>
      <c r="P4018" s="261"/>
      <c r="Q4018" s="209"/>
      <c r="R4018" s="261"/>
      <c r="S4018" s="52"/>
      <c r="T4018" s="181"/>
      <c r="U4018" s="52"/>
      <c r="V4018" s="4295"/>
      <c r="W4018" s="263">
        <v>18</v>
      </c>
      <c r="X4018" s="263">
        <v>18</v>
      </c>
      <c r="Y4018" s="263">
        <v>18</v>
      </c>
      <c r="Z4018" s="263">
        <v>18</v>
      </c>
      <c r="AA4018" s="263">
        <v>18</v>
      </c>
      <c r="AB4018" s="263">
        <v>18</v>
      </c>
      <c r="AC4018" s="263">
        <v>18</v>
      </c>
      <c r="AD4018" s="263">
        <v>18</v>
      </c>
      <c r="AE4018" s="263">
        <v>18</v>
      </c>
      <c r="AF4018" s="271">
        <f t="shared" si="360"/>
        <v>18</v>
      </c>
      <c r="AG4018" s="263"/>
      <c r="DG4018" s="573"/>
      <c r="DH4018" s="159"/>
      <c r="DI4018" s="1091"/>
      <c r="DJ4018" s="1187"/>
    </row>
    <row r="4019" spans="1:114" ht="14.65" hidden="1" customHeight="1" outlineLevel="1">
      <c r="A4019" s="453"/>
      <c r="C4019" s="51"/>
      <c r="D4019" s="4295"/>
      <c r="E4019" s="4295"/>
      <c r="F4019" s="4307" t="str">
        <f t="shared" si="363"/>
        <v>ASHP-SEER17_ROF_MF</v>
      </c>
      <c r="G4019" s="4307"/>
      <c r="H4019" s="4307"/>
      <c r="I4019" s="4307"/>
      <c r="J4019" s="1029" t="str">
        <f t="shared" si="362"/>
        <v>354950_2024_12_</v>
      </c>
      <c r="K4019" s="1796">
        <v>18</v>
      </c>
      <c r="L4019" s="262"/>
      <c r="M4019" s="4202"/>
      <c r="P4019" s="261"/>
      <c r="Q4019" s="209"/>
      <c r="R4019" s="261"/>
      <c r="S4019" s="52"/>
      <c r="T4019" s="181"/>
      <c r="U4019" s="52"/>
      <c r="V4019" s="4295"/>
      <c r="W4019" s="263">
        <v>18</v>
      </c>
      <c r="X4019" s="263">
        <v>18</v>
      </c>
      <c r="Y4019" s="263">
        <v>18</v>
      </c>
      <c r="Z4019" s="263">
        <v>18</v>
      </c>
      <c r="AA4019" s="263">
        <v>18</v>
      </c>
      <c r="AB4019" s="263">
        <v>18</v>
      </c>
      <c r="AC4019" s="263">
        <v>18</v>
      </c>
      <c r="AD4019" s="263">
        <v>18</v>
      </c>
      <c r="AE4019" s="263">
        <v>18</v>
      </c>
      <c r="AF4019" s="271">
        <f t="shared" si="360"/>
        <v>18</v>
      </c>
      <c r="AG4019" s="263"/>
      <c r="DG4019" s="573"/>
      <c r="DH4019" s="159"/>
      <c r="DI4019" s="1091"/>
      <c r="DJ4019" s="1187"/>
    </row>
    <row r="4020" spans="1:114" ht="14.65" hidden="1" customHeight="1" outlineLevel="1">
      <c r="A4020" s="453"/>
      <c r="C4020" s="51"/>
      <c r="D4020" s="4295"/>
      <c r="E4020" s="4295"/>
      <c r="F4020" s="4347" t="str">
        <f t="shared" si="363"/>
        <v>ASHP-SEER17_ROF_MF_CompE</v>
      </c>
      <c r="G4020" s="4347"/>
      <c r="H4020" s="4347"/>
      <c r="I4020" s="4347"/>
      <c r="J4020" s="3471" t="str">
        <f t="shared" si="362"/>
        <v>354951_2024_12_</v>
      </c>
      <c r="K4020" s="3377">
        <v>18</v>
      </c>
      <c r="L4020" s="262"/>
      <c r="M4020" s="4202"/>
      <c r="P4020" s="261"/>
      <c r="Q4020" s="209"/>
      <c r="R4020" s="261"/>
      <c r="S4020" s="52"/>
      <c r="T4020" s="181"/>
      <c r="U4020" s="52"/>
      <c r="V4020" s="4295"/>
      <c r="W4020" s="263"/>
      <c r="X4020" s="263"/>
      <c r="Y4020" s="263"/>
      <c r="Z4020" s="263"/>
      <c r="AA4020" s="263"/>
      <c r="AB4020" s="263"/>
      <c r="AC4020" s="3495">
        <v>18</v>
      </c>
      <c r="AD4020" s="3494">
        <v>18</v>
      </c>
      <c r="AE4020" s="3494">
        <v>18</v>
      </c>
      <c r="AF4020" s="2236">
        <f t="shared" si="360"/>
        <v>18</v>
      </c>
      <c r="AG4020" s="263"/>
      <c r="DG4020" s="573"/>
      <c r="DH4020" s="159"/>
      <c r="DI4020" s="1091"/>
      <c r="DJ4020" s="1187"/>
    </row>
    <row r="4021" spans="1:114" ht="14.65" hidden="1" customHeight="1" outlineLevel="1">
      <c r="A4021" s="453"/>
      <c r="C4021" s="51"/>
      <c r="D4021" s="4295"/>
      <c r="E4021" s="4295"/>
      <c r="F4021" s="4347" t="str">
        <f t="shared" si="363"/>
        <v>ASHP-SEER17_ROF_MF_CompE</v>
      </c>
      <c r="G4021" s="4347"/>
      <c r="H4021" s="4347"/>
      <c r="I4021" s="4347"/>
      <c r="J4021" s="3471" t="str">
        <f t="shared" si="362"/>
        <v>354951_2024_12_</v>
      </c>
      <c r="K4021" s="3377">
        <v>18</v>
      </c>
      <c r="L4021" s="262"/>
      <c r="M4021" s="4202"/>
      <c r="P4021" s="261"/>
      <c r="Q4021" s="209"/>
      <c r="R4021" s="261"/>
      <c r="S4021" s="52"/>
      <c r="T4021" s="181"/>
      <c r="U4021" s="52"/>
      <c r="V4021" s="4295"/>
      <c r="W4021" s="263"/>
      <c r="X4021" s="263"/>
      <c r="Y4021" s="263"/>
      <c r="Z4021" s="263"/>
      <c r="AA4021" s="263"/>
      <c r="AB4021" s="263"/>
      <c r="AC4021" s="3495">
        <v>18</v>
      </c>
      <c r="AD4021" s="3494">
        <v>18</v>
      </c>
      <c r="AE4021" s="3494">
        <v>18</v>
      </c>
      <c r="AF4021" s="2236">
        <f t="shared" si="360"/>
        <v>18</v>
      </c>
      <c r="AG4021" s="263"/>
      <c r="DG4021" s="573"/>
      <c r="DH4021" s="159"/>
      <c r="DI4021" s="1091"/>
      <c r="DJ4021" s="1187"/>
    </row>
    <row r="4022" spans="1:114" ht="14.65" hidden="1" customHeight="1" outlineLevel="1">
      <c r="A4022" s="453"/>
      <c r="C4022" s="51"/>
      <c r="D4022" s="4295"/>
      <c r="E4022" s="4295"/>
      <c r="F4022" s="4307" t="str">
        <f t="shared" si="363"/>
        <v>ASHP-SEER18_ROF_MF</v>
      </c>
      <c r="G4022" s="4307"/>
      <c r="H4022" s="4307"/>
      <c r="I4022" s="4307"/>
      <c r="J4022" s="1029" t="str">
        <f t="shared" si="362"/>
        <v>355000_2024_12_</v>
      </c>
      <c r="K4022" s="1796">
        <v>18</v>
      </c>
      <c r="L4022" s="262"/>
      <c r="M4022" s="4202"/>
      <c r="P4022" s="261"/>
      <c r="Q4022" s="209"/>
      <c r="R4022" s="261"/>
      <c r="S4022" s="52"/>
      <c r="T4022" s="181"/>
      <c r="U4022" s="52"/>
      <c r="V4022" s="4295"/>
      <c r="W4022" s="263">
        <v>18</v>
      </c>
      <c r="X4022" s="263">
        <v>18</v>
      </c>
      <c r="Y4022" s="263">
        <v>18</v>
      </c>
      <c r="Z4022" s="263">
        <v>18</v>
      </c>
      <c r="AA4022" s="263">
        <v>18</v>
      </c>
      <c r="AB4022" s="263">
        <v>18</v>
      </c>
      <c r="AC4022" s="263">
        <v>18</v>
      </c>
      <c r="AD4022" s="263">
        <v>18</v>
      </c>
      <c r="AE4022" s="263">
        <v>18</v>
      </c>
      <c r="AF4022" s="271">
        <f t="shared" si="360"/>
        <v>18</v>
      </c>
      <c r="AG4022" s="263"/>
      <c r="DG4022" s="573"/>
      <c r="DH4022" s="159"/>
      <c r="DI4022" s="1091"/>
      <c r="DJ4022" s="1187"/>
    </row>
    <row r="4023" spans="1:114" ht="14.65" hidden="1" customHeight="1" outlineLevel="1">
      <c r="A4023" s="453"/>
      <c r="C4023" s="51"/>
      <c r="D4023" s="4295"/>
      <c r="E4023" s="4295"/>
      <c r="F4023" s="4307" t="str">
        <f t="shared" si="363"/>
        <v>ASHP-SEER18_ROF_MF</v>
      </c>
      <c r="G4023" s="4307"/>
      <c r="H4023" s="4307"/>
      <c r="I4023" s="4307"/>
      <c r="J4023" s="1029" t="str">
        <f t="shared" si="362"/>
        <v>355000_2024_12_</v>
      </c>
      <c r="K4023" s="1796">
        <v>18</v>
      </c>
      <c r="L4023" s="262"/>
      <c r="M4023" s="4202"/>
      <c r="P4023" s="261"/>
      <c r="Q4023" s="209"/>
      <c r="R4023" s="261"/>
      <c r="S4023" s="52"/>
      <c r="T4023" s="181"/>
      <c r="U4023" s="52"/>
      <c r="V4023" s="4295"/>
      <c r="W4023" s="263">
        <v>18</v>
      </c>
      <c r="X4023" s="263">
        <v>18</v>
      </c>
      <c r="Y4023" s="263">
        <v>18</v>
      </c>
      <c r="Z4023" s="263">
        <v>18</v>
      </c>
      <c r="AA4023" s="263">
        <v>18</v>
      </c>
      <c r="AB4023" s="263">
        <v>18</v>
      </c>
      <c r="AC4023" s="263">
        <v>18</v>
      </c>
      <c r="AD4023" s="263">
        <v>18</v>
      </c>
      <c r="AE4023" s="263">
        <v>18</v>
      </c>
      <c r="AF4023" s="271">
        <f t="shared" si="360"/>
        <v>18</v>
      </c>
      <c r="AG4023" s="263"/>
      <c r="DG4023" s="573"/>
      <c r="DH4023" s="159"/>
      <c r="DI4023" s="1091"/>
      <c r="DJ4023" s="1187"/>
    </row>
    <row r="4024" spans="1:114" ht="14.65" hidden="1" customHeight="1" outlineLevel="1">
      <c r="A4024" s="453"/>
      <c r="C4024" s="51"/>
      <c r="D4024" s="4295"/>
      <c r="E4024" s="4295"/>
      <c r="F4024" s="4347" t="str">
        <f t="shared" si="363"/>
        <v>ASHP-SEER18_ROF_MF_CompE</v>
      </c>
      <c r="G4024" s="4347"/>
      <c r="H4024" s="4347"/>
      <c r="I4024" s="4347"/>
      <c r="J4024" s="3471" t="str">
        <f t="shared" si="362"/>
        <v>355001_2024_12_</v>
      </c>
      <c r="K4024" s="3377">
        <v>18</v>
      </c>
      <c r="L4024" s="262"/>
      <c r="M4024" s="4202"/>
      <c r="P4024" s="261"/>
      <c r="Q4024" s="209"/>
      <c r="R4024" s="261"/>
      <c r="S4024" s="52"/>
      <c r="T4024" s="181"/>
      <c r="U4024" s="52"/>
      <c r="V4024" s="4295"/>
      <c r="W4024" s="263"/>
      <c r="X4024" s="263"/>
      <c r="Y4024" s="263"/>
      <c r="Z4024" s="263"/>
      <c r="AA4024" s="263"/>
      <c r="AB4024" s="263"/>
      <c r="AC4024" s="3495">
        <v>18</v>
      </c>
      <c r="AD4024" s="3494">
        <v>18</v>
      </c>
      <c r="AE4024" s="3494">
        <v>18</v>
      </c>
      <c r="AF4024" s="2236">
        <f t="shared" si="360"/>
        <v>18</v>
      </c>
      <c r="AG4024" s="263"/>
      <c r="DG4024" s="573"/>
      <c r="DH4024" s="159"/>
      <c r="DI4024" s="1091"/>
      <c r="DJ4024" s="1187"/>
    </row>
    <row r="4025" spans="1:114" ht="14.65" hidden="1" customHeight="1" outlineLevel="1">
      <c r="A4025" s="453"/>
      <c r="C4025" s="51"/>
      <c r="D4025" s="4295"/>
      <c r="E4025" s="4295"/>
      <c r="F4025" s="4347" t="str">
        <f t="shared" si="363"/>
        <v>ASHP-SEER18_ROF_MF_CompE</v>
      </c>
      <c r="G4025" s="4347"/>
      <c r="H4025" s="4347"/>
      <c r="I4025" s="4347"/>
      <c r="J4025" s="3471" t="str">
        <f t="shared" si="362"/>
        <v>355001_2024_12_</v>
      </c>
      <c r="K4025" s="3377">
        <v>18</v>
      </c>
      <c r="L4025" s="262"/>
      <c r="M4025" s="4202"/>
      <c r="P4025" s="261"/>
      <c r="Q4025" s="209"/>
      <c r="R4025" s="261"/>
      <c r="S4025" s="52"/>
      <c r="T4025" s="181"/>
      <c r="U4025" s="52"/>
      <c r="V4025" s="4295"/>
      <c r="W4025" s="263"/>
      <c r="X4025" s="263"/>
      <c r="Y4025" s="263"/>
      <c r="Z4025" s="263"/>
      <c r="AA4025" s="263"/>
      <c r="AB4025" s="263"/>
      <c r="AC4025" s="3495">
        <v>18</v>
      </c>
      <c r="AD4025" s="3494">
        <v>18</v>
      </c>
      <c r="AE4025" s="3494">
        <v>18</v>
      </c>
      <c r="AF4025" s="2236">
        <f t="shared" si="360"/>
        <v>18</v>
      </c>
      <c r="AG4025" s="263"/>
      <c r="DG4025" s="573"/>
      <c r="DH4025" s="159"/>
      <c r="DI4025" s="1091"/>
      <c r="DJ4025" s="1187"/>
    </row>
    <row r="4026" spans="1:114" ht="14.65" hidden="1" customHeight="1" outlineLevel="1">
      <c r="A4026" s="453"/>
      <c r="C4026" s="51"/>
      <c r="D4026" s="4295"/>
      <c r="E4026" s="4295"/>
      <c r="F4026" s="4307" t="str">
        <f t="shared" si="363"/>
        <v>ASHP-SEER19_ROF_MF</v>
      </c>
      <c r="G4026" s="4307"/>
      <c r="H4026" s="4307"/>
      <c r="I4026" s="4307"/>
      <c r="J4026" s="1029" t="str">
        <f t="shared" si="362"/>
        <v>355050_2024_12_</v>
      </c>
      <c r="K4026" s="1796">
        <v>18</v>
      </c>
      <c r="L4026" s="262"/>
      <c r="M4026" s="4202"/>
      <c r="P4026" s="261"/>
      <c r="Q4026" s="209"/>
      <c r="R4026" s="261"/>
      <c r="S4026" s="52"/>
      <c r="T4026" s="181"/>
      <c r="U4026" s="52"/>
      <c r="V4026" s="4295"/>
      <c r="W4026" s="263">
        <v>18</v>
      </c>
      <c r="X4026" s="263">
        <v>18</v>
      </c>
      <c r="Y4026" s="263">
        <v>18</v>
      </c>
      <c r="Z4026" s="263">
        <v>18</v>
      </c>
      <c r="AA4026" s="263">
        <v>18</v>
      </c>
      <c r="AB4026" s="263">
        <v>18</v>
      </c>
      <c r="AC4026" s="263">
        <v>18</v>
      </c>
      <c r="AD4026" s="263">
        <v>18</v>
      </c>
      <c r="AE4026" s="263">
        <v>18</v>
      </c>
      <c r="AF4026" s="271">
        <f t="shared" ref="AF4026:AF4089" si="364">IF(K4026&lt;&gt;"",K4026,"")</f>
        <v>18</v>
      </c>
      <c r="AG4026" s="263"/>
      <c r="DG4026" s="573"/>
      <c r="DH4026" s="159"/>
      <c r="DI4026" s="1091"/>
      <c r="DJ4026" s="1187"/>
    </row>
    <row r="4027" spans="1:114" ht="15" hidden="1" customHeight="1" outlineLevel="1">
      <c r="A4027" s="453"/>
      <c r="C4027" s="51"/>
      <c r="D4027" s="4295"/>
      <c r="E4027" s="4295"/>
      <c r="F4027" s="4307" t="str">
        <f t="shared" si="363"/>
        <v>ASHP-SEER19_ROF_MF</v>
      </c>
      <c r="G4027" s="4307"/>
      <c r="H4027" s="4307"/>
      <c r="I4027" s="4307"/>
      <c r="J4027" s="1029" t="str">
        <f t="shared" si="362"/>
        <v>355050_2024_12_</v>
      </c>
      <c r="K4027" s="1796">
        <v>18</v>
      </c>
      <c r="L4027" s="262"/>
      <c r="M4027" s="4202"/>
      <c r="P4027" s="261"/>
      <c r="Q4027" s="209"/>
      <c r="R4027" s="261"/>
      <c r="S4027" s="52"/>
      <c r="T4027" s="181"/>
      <c r="U4027" s="52"/>
      <c r="V4027" s="4295"/>
      <c r="W4027" s="263">
        <v>18</v>
      </c>
      <c r="X4027" s="263">
        <v>18</v>
      </c>
      <c r="Y4027" s="263">
        <v>18</v>
      </c>
      <c r="Z4027" s="263">
        <v>18</v>
      </c>
      <c r="AA4027" s="263">
        <v>18</v>
      </c>
      <c r="AB4027" s="263">
        <v>18</v>
      </c>
      <c r="AC4027" s="263">
        <v>18</v>
      </c>
      <c r="AD4027" s="263">
        <v>18</v>
      </c>
      <c r="AE4027" s="263">
        <v>18</v>
      </c>
      <c r="AF4027" s="271">
        <f t="shared" si="364"/>
        <v>18</v>
      </c>
      <c r="AG4027" s="263"/>
      <c r="DG4027" s="573"/>
      <c r="DH4027" s="159"/>
      <c r="DI4027" s="1091"/>
      <c r="DJ4027" s="1187"/>
    </row>
    <row r="4028" spans="1:114" ht="15" hidden="1" customHeight="1" outlineLevel="1">
      <c r="A4028" s="453"/>
      <c r="C4028" s="51"/>
      <c r="D4028" s="4295"/>
      <c r="E4028" s="4295"/>
      <c r="F4028" s="4347" t="str">
        <f t="shared" si="363"/>
        <v>ASHP-SEER19_ROF_MF_CompE</v>
      </c>
      <c r="G4028" s="4347"/>
      <c r="H4028" s="4347"/>
      <c r="I4028" s="4347"/>
      <c r="J4028" s="3471" t="str">
        <f t="shared" si="362"/>
        <v>355051_2024_12_</v>
      </c>
      <c r="K4028" s="3377">
        <v>18</v>
      </c>
      <c r="L4028" s="262"/>
      <c r="M4028" s="4202"/>
      <c r="P4028" s="261"/>
      <c r="Q4028" s="209"/>
      <c r="R4028" s="261"/>
      <c r="S4028" s="52"/>
      <c r="T4028" s="181"/>
      <c r="U4028" s="52"/>
      <c r="V4028" s="4295"/>
      <c r="W4028" s="263"/>
      <c r="X4028" s="263"/>
      <c r="Y4028" s="263"/>
      <c r="Z4028" s="263"/>
      <c r="AA4028" s="263"/>
      <c r="AB4028" s="263"/>
      <c r="AC4028" s="3495">
        <v>18</v>
      </c>
      <c r="AD4028" s="3494">
        <v>18</v>
      </c>
      <c r="AE4028" s="3494">
        <v>18</v>
      </c>
      <c r="AF4028" s="2236">
        <f t="shared" si="364"/>
        <v>18</v>
      </c>
      <c r="AG4028" s="263"/>
      <c r="DG4028" s="573"/>
      <c r="DH4028" s="159"/>
      <c r="DI4028" s="1091"/>
      <c r="DJ4028" s="1187"/>
    </row>
    <row r="4029" spans="1:114" ht="15" hidden="1" customHeight="1" outlineLevel="1">
      <c r="A4029" s="453"/>
      <c r="C4029" s="51"/>
      <c r="D4029" s="4295"/>
      <c r="E4029" s="4295"/>
      <c r="F4029" s="4347" t="str">
        <f t="shared" si="363"/>
        <v>ASHP-SEER19_ROF_MF_CompE</v>
      </c>
      <c r="G4029" s="4347"/>
      <c r="H4029" s="4347"/>
      <c r="I4029" s="4347"/>
      <c r="J4029" s="3471" t="str">
        <f t="shared" si="362"/>
        <v>355051_2024_12_</v>
      </c>
      <c r="K4029" s="3377">
        <v>18</v>
      </c>
      <c r="L4029" s="262"/>
      <c r="M4029" s="4202"/>
      <c r="P4029" s="261"/>
      <c r="Q4029" s="209"/>
      <c r="R4029" s="261"/>
      <c r="S4029" s="52"/>
      <c r="T4029" s="181"/>
      <c r="U4029" s="52"/>
      <c r="V4029" s="4295"/>
      <c r="W4029" s="263"/>
      <c r="X4029" s="263"/>
      <c r="Y4029" s="263"/>
      <c r="Z4029" s="263"/>
      <c r="AA4029" s="263"/>
      <c r="AB4029" s="263"/>
      <c r="AC4029" s="3495">
        <v>18</v>
      </c>
      <c r="AD4029" s="3494">
        <v>18</v>
      </c>
      <c r="AE4029" s="3494">
        <v>18</v>
      </c>
      <c r="AF4029" s="2236">
        <f t="shared" si="364"/>
        <v>18</v>
      </c>
      <c r="AG4029" s="263"/>
      <c r="DG4029" s="573"/>
      <c r="DH4029" s="159"/>
      <c r="DI4029" s="1091"/>
      <c r="DJ4029" s="1187"/>
    </row>
    <row r="4030" spans="1:114" ht="15" hidden="1" customHeight="1" outlineLevel="1">
      <c r="A4030" s="453"/>
      <c r="C4030" s="51"/>
      <c r="D4030" s="4295"/>
      <c r="E4030" s="4295"/>
      <c r="F4030" s="4307" t="str">
        <f t="shared" si="363"/>
        <v>ASHP-SEER20_ROF_MF</v>
      </c>
      <c r="G4030" s="4307"/>
      <c r="H4030" s="4307"/>
      <c r="I4030" s="4307"/>
      <c r="J4030" s="1029" t="str">
        <f t="shared" si="362"/>
        <v>355100_2024_12_</v>
      </c>
      <c r="K4030" s="1796">
        <v>18</v>
      </c>
      <c r="L4030" s="262"/>
      <c r="M4030" s="4202"/>
      <c r="P4030" s="261"/>
      <c r="Q4030" s="209"/>
      <c r="R4030" s="261"/>
      <c r="S4030" s="52"/>
      <c r="T4030" s="181"/>
      <c r="U4030" s="52"/>
      <c r="V4030" s="4295"/>
      <c r="W4030" s="263">
        <v>18</v>
      </c>
      <c r="X4030" s="263">
        <v>18</v>
      </c>
      <c r="Y4030" s="263">
        <v>18</v>
      </c>
      <c r="Z4030" s="263">
        <v>18</v>
      </c>
      <c r="AA4030" s="263">
        <v>18</v>
      </c>
      <c r="AB4030" s="263">
        <v>18</v>
      </c>
      <c r="AC4030" s="263">
        <v>18</v>
      </c>
      <c r="AD4030" s="263">
        <v>18</v>
      </c>
      <c r="AE4030" s="263">
        <v>18</v>
      </c>
      <c r="AF4030" s="271">
        <f t="shared" si="364"/>
        <v>18</v>
      </c>
      <c r="AG4030" s="263"/>
      <c r="DG4030" s="573"/>
      <c r="DH4030" s="159"/>
      <c r="DI4030" s="1091"/>
      <c r="DJ4030" s="1187"/>
    </row>
    <row r="4031" spans="1:114" ht="15" hidden="1" customHeight="1" outlineLevel="1">
      <c r="A4031" s="453"/>
      <c r="C4031" s="51"/>
      <c r="D4031" s="4295"/>
      <c r="E4031" s="4295"/>
      <c r="F4031" s="4307" t="str">
        <f t="shared" si="363"/>
        <v>ASHP-SEER20_ROF_MF</v>
      </c>
      <c r="G4031" s="4307"/>
      <c r="H4031" s="4307"/>
      <c r="I4031" s="4307"/>
      <c r="J4031" s="1029" t="str">
        <f t="shared" si="362"/>
        <v>355100_2024_12_</v>
      </c>
      <c r="K4031" s="1796">
        <v>18</v>
      </c>
      <c r="L4031" s="262"/>
      <c r="M4031" s="4202"/>
      <c r="P4031" s="261"/>
      <c r="Q4031" s="209"/>
      <c r="R4031" s="261"/>
      <c r="S4031" s="52"/>
      <c r="T4031" s="181"/>
      <c r="U4031" s="52"/>
      <c r="V4031" s="4295"/>
      <c r="W4031" s="263">
        <v>18</v>
      </c>
      <c r="X4031" s="263">
        <v>18</v>
      </c>
      <c r="Y4031" s="263">
        <v>18</v>
      </c>
      <c r="Z4031" s="263">
        <v>18</v>
      </c>
      <c r="AA4031" s="263">
        <v>18</v>
      </c>
      <c r="AB4031" s="263">
        <v>18</v>
      </c>
      <c r="AC4031" s="263">
        <v>18</v>
      </c>
      <c r="AD4031" s="263">
        <v>18</v>
      </c>
      <c r="AE4031" s="263">
        <v>18</v>
      </c>
      <c r="AF4031" s="271">
        <f t="shared" si="364"/>
        <v>18</v>
      </c>
      <c r="AG4031" s="263"/>
      <c r="DG4031" s="573"/>
      <c r="DH4031" s="159"/>
      <c r="DI4031" s="1091"/>
      <c r="DJ4031" s="1187"/>
    </row>
    <row r="4032" spans="1:114" ht="15" hidden="1" customHeight="1" outlineLevel="1">
      <c r="A4032" s="453"/>
      <c r="C4032" s="51"/>
      <c r="D4032" s="4295"/>
      <c r="E4032" s="4295"/>
      <c r="F4032" s="4347" t="str">
        <f t="shared" si="363"/>
        <v>ASHP-SEER20_ROF_MF_CompE</v>
      </c>
      <c r="G4032" s="4347"/>
      <c r="H4032" s="4347"/>
      <c r="I4032" s="4347"/>
      <c r="J4032" s="3471" t="str">
        <f t="shared" si="362"/>
        <v>355101_2024_12_</v>
      </c>
      <c r="K4032" s="3377">
        <v>18</v>
      </c>
      <c r="L4032" s="262"/>
      <c r="M4032" s="4202"/>
      <c r="P4032" s="261"/>
      <c r="Q4032" s="209"/>
      <c r="R4032" s="261"/>
      <c r="S4032" s="52"/>
      <c r="T4032" s="181"/>
      <c r="U4032" s="52"/>
      <c r="V4032" s="4295"/>
      <c r="W4032" s="263"/>
      <c r="X4032" s="263"/>
      <c r="Y4032" s="263"/>
      <c r="Z4032" s="263"/>
      <c r="AA4032" s="263"/>
      <c r="AB4032" s="263"/>
      <c r="AC4032" s="3495">
        <v>18</v>
      </c>
      <c r="AD4032" s="3494">
        <v>18</v>
      </c>
      <c r="AE4032" s="3494">
        <v>18</v>
      </c>
      <c r="AF4032" s="2236">
        <f t="shared" si="364"/>
        <v>18</v>
      </c>
      <c r="AG4032" s="263"/>
      <c r="DG4032" s="573"/>
      <c r="DH4032" s="159"/>
      <c r="DI4032" s="1091"/>
      <c r="DJ4032" s="1187"/>
    </row>
    <row r="4033" spans="1:114" ht="15" hidden="1" customHeight="1" outlineLevel="1">
      <c r="A4033" s="453"/>
      <c r="C4033" s="51"/>
      <c r="D4033" s="4295"/>
      <c r="E4033" s="4295"/>
      <c r="F4033" s="4347" t="str">
        <f t="shared" si="363"/>
        <v>ASHP-SEER20_ROF_MF_CompE</v>
      </c>
      <c r="G4033" s="4347"/>
      <c r="H4033" s="4347"/>
      <c r="I4033" s="4347"/>
      <c r="J4033" s="3471" t="str">
        <f t="shared" si="362"/>
        <v>355101_2024_12_</v>
      </c>
      <c r="K4033" s="3377">
        <v>18</v>
      </c>
      <c r="L4033" s="262"/>
      <c r="M4033" s="4202"/>
      <c r="P4033" s="261"/>
      <c r="Q4033" s="209"/>
      <c r="R4033" s="261"/>
      <c r="S4033" s="52"/>
      <c r="T4033" s="181"/>
      <c r="U4033" s="52"/>
      <c r="V4033" s="4295"/>
      <c r="W4033" s="263"/>
      <c r="X4033" s="263"/>
      <c r="Y4033" s="263"/>
      <c r="Z4033" s="263"/>
      <c r="AA4033" s="263"/>
      <c r="AB4033" s="263"/>
      <c r="AC4033" s="3495">
        <v>18</v>
      </c>
      <c r="AD4033" s="3494">
        <v>18</v>
      </c>
      <c r="AE4033" s="3494">
        <v>18</v>
      </c>
      <c r="AF4033" s="2236">
        <f t="shared" si="364"/>
        <v>18</v>
      </c>
      <c r="AG4033" s="263"/>
      <c r="DG4033" s="573"/>
      <c r="DH4033" s="159"/>
      <c r="DI4033" s="1091"/>
      <c r="DJ4033" s="1187"/>
    </row>
    <row r="4034" spans="1:114" ht="15" hidden="1" customHeight="1" outlineLevel="1">
      <c r="A4034" s="453"/>
      <c r="C4034" s="51"/>
      <c r="D4034" s="4295"/>
      <c r="E4034" s="4295"/>
      <c r="F4034" s="4307" t="str">
        <f t="shared" si="363"/>
        <v>ASHP-SEER21_ROF_MF</v>
      </c>
      <c r="G4034" s="4307"/>
      <c r="H4034" s="4307"/>
      <c r="I4034" s="4307"/>
      <c r="J4034" s="1029" t="str">
        <f t="shared" si="362"/>
        <v>355150_2024_12_</v>
      </c>
      <c r="K4034" s="1796">
        <v>18</v>
      </c>
      <c r="L4034" s="262"/>
      <c r="M4034" s="4202"/>
      <c r="P4034" s="261"/>
      <c r="Q4034" s="209"/>
      <c r="R4034" s="261"/>
      <c r="S4034" s="52"/>
      <c r="T4034" s="181"/>
      <c r="U4034" s="52"/>
      <c r="V4034" s="4295"/>
      <c r="W4034" s="263">
        <v>18</v>
      </c>
      <c r="X4034" s="263">
        <v>18</v>
      </c>
      <c r="Y4034" s="263">
        <v>18</v>
      </c>
      <c r="Z4034" s="263">
        <v>18</v>
      </c>
      <c r="AA4034" s="263">
        <v>18</v>
      </c>
      <c r="AB4034" s="263">
        <v>18</v>
      </c>
      <c r="AC4034" s="263">
        <v>18</v>
      </c>
      <c r="AD4034" s="263">
        <v>18</v>
      </c>
      <c r="AE4034" s="263">
        <v>18</v>
      </c>
      <c r="AF4034" s="271">
        <f t="shared" si="364"/>
        <v>18</v>
      </c>
      <c r="AG4034" s="263"/>
      <c r="DG4034" s="573"/>
      <c r="DH4034" s="159"/>
      <c r="DI4034" s="1091"/>
      <c r="DJ4034" s="1187"/>
    </row>
    <row r="4035" spans="1:114" ht="15.75" hidden="1" customHeight="1" outlineLevel="1">
      <c r="A4035" s="453"/>
      <c r="C4035" s="51"/>
      <c r="D4035" s="4295"/>
      <c r="E4035" s="4295"/>
      <c r="F4035" s="4307" t="str">
        <f t="shared" si="363"/>
        <v>ASHP-SEER21_ROF_MF</v>
      </c>
      <c r="G4035" s="4307"/>
      <c r="H4035" s="4307"/>
      <c r="I4035" s="4307"/>
      <c r="J4035" s="1029" t="str">
        <f t="shared" si="362"/>
        <v>355150_2024_12_</v>
      </c>
      <c r="K4035" s="1796">
        <v>18</v>
      </c>
      <c r="L4035" s="262"/>
      <c r="M4035" s="4202"/>
      <c r="P4035" s="261"/>
      <c r="Q4035" s="209"/>
      <c r="R4035" s="261"/>
      <c r="S4035" s="52"/>
      <c r="T4035" s="181"/>
      <c r="U4035" s="52"/>
      <c r="V4035" s="4295"/>
      <c r="W4035" s="263">
        <v>18</v>
      </c>
      <c r="X4035" s="263">
        <v>18</v>
      </c>
      <c r="Y4035" s="263">
        <v>18</v>
      </c>
      <c r="Z4035" s="263">
        <v>18</v>
      </c>
      <c r="AA4035" s="263">
        <v>18</v>
      </c>
      <c r="AB4035" s="263">
        <v>18</v>
      </c>
      <c r="AC4035" s="263">
        <v>18</v>
      </c>
      <c r="AD4035" s="263">
        <v>18</v>
      </c>
      <c r="AE4035" s="263">
        <v>18</v>
      </c>
      <c r="AF4035" s="271">
        <f t="shared" si="364"/>
        <v>18</v>
      </c>
      <c r="AG4035" s="263"/>
      <c r="DG4035" s="573"/>
      <c r="DH4035" s="159"/>
      <c r="DI4035" s="1091"/>
      <c r="DJ4035" s="1187"/>
    </row>
    <row r="4036" spans="1:114" ht="15.75" hidden="1" customHeight="1" outlineLevel="1">
      <c r="A4036" s="453"/>
      <c r="C4036" s="51"/>
      <c r="D4036" s="4295"/>
      <c r="E4036" s="4295"/>
      <c r="F4036" s="4347" t="str">
        <f>E1892</f>
        <v>ASHP-SEER21_ROF_MF_CompE</v>
      </c>
      <c r="G4036" s="4347"/>
      <c r="H4036" s="4347"/>
      <c r="I4036" s="4347"/>
      <c r="J4036" s="3471" t="str">
        <f>C1892</f>
        <v>355151_2024_12_</v>
      </c>
      <c r="K4036" s="3377">
        <v>18</v>
      </c>
      <c r="L4036" s="262"/>
      <c r="M4036" s="4202"/>
      <c r="P4036" s="261"/>
      <c r="Q4036" s="209"/>
      <c r="R4036" s="261"/>
      <c r="S4036" s="52"/>
      <c r="T4036" s="181"/>
      <c r="U4036" s="52"/>
      <c r="V4036" s="4295"/>
      <c r="W4036" s="263"/>
      <c r="X4036" s="263"/>
      <c r="Y4036" s="263"/>
      <c r="Z4036" s="263"/>
      <c r="AA4036" s="263"/>
      <c r="AB4036" s="263"/>
      <c r="AC4036" s="3495">
        <v>18</v>
      </c>
      <c r="AD4036" s="3494">
        <v>18</v>
      </c>
      <c r="AE4036" s="3494">
        <v>18</v>
      </c>
      <c r="AF4036" s="2236">
        <f t="shared" si="364"/>
        <v>18</v>
      </c>
      <c r="AG4036" s="263"/>
      <c r="DG4036" s="573"/>
      <c r="DH4036" s="159"/>
      <c r="DI4036" s="1091"/>
      <c r="DJ4036" s="1187"/>
    </row>
    <row r="4037" spans="1:114" ht="15.75" hidden="1" customHeight="1" outlineLevel="1">
      <c r="A4037" s="453"/>
      <c r="C4037" s="51"/>
      <c r="D4037" s="4295"/>
      <c r="E4037" s="4295"/>
      <c r="F4037" s="4347" t="str">
        <f>E1893</f>
        <v>ASHP-SEER21_ROF_MF_CompE</v>
      </c>
      <c r="G4037" s="4347"/>
      <c r="H4037" s="4347"/>
      <c r="I4037" s="4347"/>
      <c r="J4037" s="3471" t="str">
        <f>C1893</f>
        <v>355151_2024_12_</v>
      </c>
      <c r="K4037" s="3377">
        <v>18</v>
      </c>
      <c r="L4037" s="262"/>
      <c r="M4037" s="4203"/>
      <c r="P4037" s="261"/>
      <c r="Q4037" s="209"/>
      <c r="R4037" s="261"/>
      <c r="S4037" s="52"/>
      <c r="T4037" s="181"/>
      <c r="U4037" s="52"/>
      <c r="V4037" s="4295"/>
      <c r="W4037" s="263"/>
      <c r="X4037" s="263"/>
      <c r="Y4037" s="263"/>
      <c r="Z4037" s="263"/>
      <c r="AA4037" s="263"/>
      <c r="AB4037" s="263"/>
      <c r="AC4037" s="3495">
        <v>18</v>
      </c>
      <c r="AD4037" s="3494">
        <v>18</v>
      </c>
      <c r="AE4037" s="3494">
        <v>18</v>
      </c>
      <c r="AF4037" s="2236">
        <f t="shared" si="364"/>
        <v>18</v>
      </c>
      <c r="AG4037" s="263"/>
      <c r="DG4037" s="573"/>
      <c r="DH4037" s="159"/>
      <c r="DI4037" s="1091"/>
      <c r="DJ4037" s="1187"/>
    </row>
    <row r="4038" spans="1:114" ht="14.65" hidden="1" customHeight="1" outlineLevel="1">
      <c r="A4038" s="453"/>
      <c r="C4038" s="51"/>
      <c r="D4038" s="4295" t="s">
        <v>50</v>
      </c>
      <c r="E4038" s="4295" t="s">
        <v>1280</v>
      </c>
      <c r="F4038" s="4307" t="str">
        <f t="shared" ref="F4038:F4101" si="365">E1508</f>
        <v>ASHP-SEER15-Replace_CAC_ElectricHeat_ER1_SF</v>
      </c>
      <c r="G4038" s="4307"/>
      <c r="H4038" s="4307"/>
      <c r="I4038" s="4307"/>
      <c r="J4038" s="1029" t="str">
        <f t="shared" ref="J4038:J4101" si="366">C1508</f>
        <v>352300_2024_12_</v>
      </c>
      <c r="K4038" s="1752">
        <f>(S$1915+L4038*T$1915)-((S$1926+L4038*T$1926)*S$1931)</f>
        <v>3236.3220917485878</v>
      </c>
      <c r="L4038" s="47">
        <f>VLOOKUP(J4038,$J$1914:$L$2106,3,FALSE)*M4038</f>
        <v>2.5726507669889709</v>
      </c>
      <c r="M4038" s="1743">
        <f>VLOOKUP(J4038,$J$3458:$K$3650,2,FALSE)</f>
        <v>1</v>
      </c>
      <c r="N4038" s="553"/>
      <c r="P4038" s="261"/>
      <c r="Q4038" s="261"/>
      <c r="R4038" s="261"/>
      <c r="S4038" s="52"/>
      <c r="T4038" s="181"/>
      <c r="U4038" s="52"/>
      <c r="V4038" s="4364" t="s">
        <v>50</v>
      </c>
      <c r="W4038" s="835">
        <v>2365.1309007383738</v>
      </c>
      <c r="X4038" s="836">
        <f>$T$1918*(X$1914/12000)*X$3458</f>
        <v>1836</v>
      </c>
      <c r="Y4038" s="836">
        <v>1119.3961863407253</v>
      </c>
      <c r="Z4038" s="835">
        <v>1119.3961863407253</v>
      </c>
      <c r="AA4038" s="835">
        <v>1119.3961863407253</v>
      </c>
      <c r="AB4038" s="836">
        <v>989.09301697589126</v>
      </c>
      <c r="AC4038" s="836">
        <v>991.06005994555017</v>
      </c>
      <c r="AD4038" s="836">
        <v>952.43682540301188</v>
      </c>
      <c r="AE4038" s="836">
        <v>1004.8579885650197</v>
      </c>
      <c r="AF4038" s="271">
        <f t="shared" si="364"/>
        <v>3236.3220917485878</v>
      </c>
      <c r="AG4038" s="240"/>
      <c r="DG4038" s="573"/>
      <c r="DH4038" s="159"/>
      <c r="DI4038" s="1091"/>
      <c r="DJ4038" s="1187"/>
    </row>
    <row r="4039" spans="1:114" ht="15" hidden="1" customHeight="1" outlineLevel="1">
      <c r="A4039" s="453"/>
      <c r="C4039" s="51"/>
      <c r="D4039" s="4295"/>
      <c r="E4039" s="4295"/>
      <c r="F4039" s="4307" t="str">
        <f t="shared" si="365"/>
        <v>ASHP-SEER15-Replace_CAC_ElectricHeat_ER1_SF</v>
      </c>
      <c r="G4039" s="4307"/>
      <c r="H4039" s="4307"/>
      <c r="I4039" s="4307"/>
      <c r="J4039" s="1029" t="str">
        <f t="shared" si="366"/>
        <v>352300_2024_12_</v>
      </c>
      <c r="K4039" s="163"/>
      <c r="L4039" s="47"/>
      <c r="M4039" s="1743" t="str">
        <f>IF(K4039&gt;0,VLOOKUP(J4039,$J$3458:$K$3650,2,FALSE),"")</f>
        <v/>
      </c>
      <c r="P4039" s="261"/>
      <c r="Q4039" s="261"/>
      <c r="R4039" s="261"/>
      <c r="S4039" s="52"/>
      <c r="T4039" s="181"/>
      <c r="U4039" s="52"/>
      <c r="V4039" s="4295"/>
      <c r="W4039" s="163"/>
      <c r="X4039" s="166"/>
      <c r="Y4039" s="163"/>
      <c r="Z4039" s="163"/>
      <c r="AA4039" s="163"/>
      <c r="AB4039" s="166"/>
      <c r="AC4039" s="163"/>
      <c r="AD4039" s="163"/>
      <c r="AE4039" s="163"/>
      <c r="AF4039" s="271" t="str">
        <f t="shared" si="364"/>
        <v/>
      </c>
      <c r="AG4039" s="241"/>
      <c r="DG4039" s="573"/>
      <c r="DH4039" s="159"/>
      <c r="DI4039" s="1091"/>
      <c r="DJ4039" s="1187"/>
    </row>
    <row r="4040" spans="1:114" ht="15" hidden="1" customHeight="1" outlineLevel="1">
      <c r="A4040" s="453"/>
      <c r="C4040" s="51"/>
      <c r="D4040" s="4295"/>
      <c r="E4040" s="4295"/>
      <c r="F4040" s="4307" t="str">
        <f t="shared" si="365"/>
        <v>ASHP-SEER15-Replace_CAC_ElectricHeat_ER2_SF</v>
      </c>
      <c r="G4040" s="4307"/>
      <c r="H4040" s="4307"/>
      <c r="I4040" s="4307"/>
      <c r="J4040" s="1029" t="str">
        <f t="shared" si="366"/>
        <v>352300_2024_12_</v>
      </c>
      <c r="K4040" s="163"/>
      <c r="L4040" s="47"/>
      <c r="M4040" s="1743" t="str">
        <f>IF(K4040&gt;0,VLOOKUP(J4040,$J$3458:$K$3650,2,FALSE),"")</f>
        <v/>
      </c>
      <c r="P4040" s="261"/>
      <c r="Q4040" s="261"/>
      <c r="R4040" s="261"/>
      <c r="S4040" s="52"/>
      <c r="T4040" s="181"/>
      <c r="U4040" s="52"/>
      <c r="V4040" s="4295"/>
      <c r="W4040" s="163"/>
      <c r="X4040" s="166"/>
      <c r="Y4040" s="163"/>
      <c r="Z4040" s="163"/>
      <c r="AA4040" s="163"/>
      <c r="AB4040" s="166"/>
      <c r="AC4040" s="163"/>
      <c r="AD4040" s="163"/>
      <c r="AE4040" s="163"/>
      <c r="AF4040" s="271" t="str">
        <f t="shared" si="364"/>
        <v/>
      </c>
      <c r="AG4040" s="241"/>
      <c r="DG4040" s="573"/>
      <c r="DH4040" s="159"/>
      <c r="DI4040" s="1091"/>
      <c r="DJ4040" s="1187"/>
    </row>
    <row r="4041" spans="1:114" ht="15" hidden="1" customHeight="1" outlineLevel="1">
      <c r="A4041" s="453"/>
      <c r="C4041" s="51"/>
      <c r="D4041" s="4295"/>
      <c r="E4041" s="4295"/>
      <c r="F4041" s="4307" t="str">
        <f t="shared" si="365"/>
        <v>ASHP-SEER15-Replace_CAC_ElectricHeat_ER2_SF</v>
      </c>
      <c r="G4041" s="4307"/>
      <c r="H4041" s="4307"/>
      <c r="I4041" s="4307"/>
      <c r="J4041" s="1029" t="str">
        <f t="shared" si="366"/>
        <v>352300_2024_12_</v>
      </c>
      <c r="K4041" s="163"/>
      <c r="L4041" s="47"/>
      <c r="M4041" s="1743" t="str">
        <f>IF(K4041&gt;0,VLOOKUP(J4041,$J$3458:$K$3650,2,FALSE),"")</f>
        <v/>
      </c>
      <c r="P4041" s="261"/>
      <c r="Q4041" s="261"/>
      <c r="R4041" s="261"/>
      <c r="S4041" s="52"/>
      <c r="T4041" s="181"/>
      <c r="U4041" s="52"/>
      <c r="V4041" s="4295"/>
      <c r="W4041" s="163"/>
      <c r="X4041" s="166"/>
      <c r="Y4041" s="163"/>
      <c r="Z4041" s="163"/>
      <c r="AA4041" s="163"/>
      <c r="AB4041" s="166"/>
      <c r="AC4041" s="163"/>
      <c r="AD4041" s="163"/>
      <c r="AE4041" s="163"/>
      <c r="AF4041" s="271" t="str">
        <f t="shared" si="364"/>
        <v/>
      </c>
      <c r="AG4041" s="241"/>
      <c r="DG4041" s="573"/>
      <c r="DH4041" s="159"/>
      <c r="DI4041" s="1091"/>
      <c r="DJ4041" s="1187"/>
    </row>
    <row r="4042" spans="1:114" ht="15" hidden="1" customHeight="1" outlineLevel="1">
      <c r="A4042" s="453"/>
      <c r="C4042" s="51"/>
      <c r="D4042" s="4295"/>
      <c r="E4042" s="4295"/>
      <c r="F4042" s="4307" t="str">
        <f t="shared" si="365"/>
        <v>ASHP-SEER15-Replace_CAC_NonElectricHeat_ER1_SF</v>
      </c>
      <c r="G4042" s="4307"/>
      <c r="H4042" s="4307"/>
      <c r="I4042" s="4307"/>
      <c r="J4042" s="1029" t="str">
        <f t="shared" si="366"/>
        <v>352310_2024_12_</v>
      </c>
      <c r="K4042" s="1752">
        <f>((S$1915+L4042*T$1915)-((S$1926+L4042*T$1926)*S$1931))*VLOOKUP(J4042,$J$4424:$K$4467,2,FALSE)</f>
        <v>389.45085461679935</v>
      </c>
      <c r="L4042" s="47">
        <f>VLOOKUP(J4042,$J$1914:$L$2106,3,FALSE)*M4042</f>
        <v>2.5726507669889709</v>
      </c>
      <c r="M4042" s="1743">
        <f>VLOOKUP(J4042,$J$3458:$K$3650,2,FALSE)</f>
        <v>1</v>
      </c>
      <c r="N4042" s="553"/>
      <c r="P4042" s="261"/>
      <c r="Q4042" s="261"/>
      <c r="R4042" s="261"/>
      <c r="S4042" s="52"/>
      <c r="T4042" s="181"/>
      <c r="U4042" s="52"/>
      <c r="V4042" s="4295"/>
      <c r="W4042" s="163"/>
      <c r="X4042" s="166"/>
      <c r="Y4042" s="163"/>
      <c r="Z4042" s="163"/>
      <c r="AA4042" s="163"/>
      <c r="AB4042" s="166"/>
      <c r="AC4042" s="166">
        <v>991.06005994555017</v>
      </c>
      <c r="AD4042" s="166">
        <v>952.43682540301188</v>
      </c>
      <c r="AE4042" s="166">
        <v>1004.8579885650197</v>
      </c>
      <c r="AF4042" s="271">
        <f t="shared" si="364"/>
        <v>389.45085461679935</v>
      </c>
      <c r="AG4042" s="241"/>
      <c r="DG4042" s="573"/>
      <c r="DH4042" s="159"/>
      <c r="DI4042" s="1091"/>
      <c r="DJ4042" s="1187"/>
    </row>
    <row r="4043" spans="1:114" ht="15" hidden="1" customHeight="1" outlineLevel="1">
      <c r="A4043" s="453"/>
      <c r="C4043" s="51"/>
      <c r="D4043" s="4295"/>
      <c r="E4043" s="4295"/>
      <c r="F4043" s="4307" t="str">
        <f t="shared" si="365"/>
        <v>ASHP-SEER15-Replace_CAC_NonElectricHeat_ER1_SF</v>
      </c>
      <c r="G4043" s="4307"/>
      <c r="H4043" s="4307"/>
      <c r="I4043" s="4307"/>
      <c r="J4043" s="1029" t="str">
        <f t="shared" si="366"/>
        <v>352310_2024_12_</v>
      </c>
      <c r="K4043" s="163"/>
      <c r="L4043" s="47"/>
      <c r="M4043" s="1743"/>
      <c r="P4043" s="261"/>
      <c r="Q4043" s="261"/>
      <c r="R4043" s="261"/>
      <c r="S4043" s="52"/>
      <c r="T4043" s="181"/>
      <c r="U4043" s="52"/>
      <c r="V4043" s="4295"/>
      <c r="W4043" s="163"/>
      <c r="X4043" s="166"/>
      <c r="Y4043" s="163"/>
      <c r="Z4043" s="163"/>
      <c r="AA4043" s="163"/>
      <c r="AB4043" s="166"/>
      <c r="AC4043" s="163"/>
      <c r="AD4043" s="163"/>
      <c r="AE4043" s="163"/>
      <c r="AF4043" s="271" t="str">
        <f t="shared" si="364"/>
        <v/>
      </c>
      <c r="AG4043" s="241"/>
      <c r="DG4043" s="573"/>
      <c r="DH4043" s="159"/>
      <c r="DI4043" s="1091"/>
      <c r="DJ4043" s="1187"/>
    </row>
    <row r="4044" spans="1:114" ht="15" hidden="1" customHeight="1" outlineLevel="1">
      <c r="A4044" s="453"/>
      <c r="C4044" s="51"/>
      <c r="D4044" s="4295"/>
      <c r="E4044" s="4295"/>
      <c r="F4044" s="4307" t="str">
        <f t="shared" si="365"/>
        <v>ASHP-SEER15-Replace_CAC_NonElectricHeat_ER2_SF</v>
      </c>
      <c r="G4044" s="4307"/>
      <c r="H4044" s="4307"/>
      <c r="I4044" s="4307"/>
      <c r="J4044" s="1029" t="str">
        <f t="shared" si="366"/>
        <v>352310_2024_12_</v>
      </c>
      <c r="K4044" s="163"/>
      <c r="L4044" s="47"/>
      <c r="M4044" s="1743"/>
      <c r="P4044" s="261"/>
      <c r="Q4044" s="261"/>
      <c r="R4044" s="261"/>
      <c r="S4044" s="52"/>
      <c r="T4044" s="181"/>
      <c r="U4044" s="52"/>
      <c r="V4044" s="4295"/>
      <c r="W4044" s="163"/>
      <c r="X4044" s="166"/>
      <c r="Y4044" s="163"/>
      <c r="Z4044" s="163"/>
      <c r="AA4044" s="163"/>
      <c r="AB4044" s="166"/>
      <c r="AC4044" s="163"/>
      <c r="AD4044" s="163"/>
      <c r="AE4044" s="163"/>
      <c r="AF4044" s="271" t="str">
        <f t="shared" si="364"/>
        <v/>
      </c>
      <c r="AG4044" s="241"/>
      <c r="DG4044" s="573"/>
      <c r="DH4044" s="159"/>
      <c r="DI4044" s="1091"/>
      <c r="DJ4044" s="1187"/>
    </row>
    <row r="4045" spans="1:114" ht="15" hidden="1" customHeight="1" outlineLevel="1">
      <c r="A4045" s="453"/>
      <c r="C4045" s="51"/>
      <c r="D4045" s="4295"/>
      <c r="E4045" s="4295"/>
      <c r="F4045" s="4307" t="str">
        <f t="shared" si="365"/>
        <v>ASHP-SEER15-Replace_CAC_NonElectricHeat_ER2_SF</v>
      </c>
      <c r="G4045" s="4307"/>
      <c r="H4045" s="4307"/>
      <c r="I4045" s="4307"/>
      <c r="J4045" s="1029" t="str">
        <f t="shared" si="366"/>
        <v>352310_2024_12_</v>
      </c>
      <c r="K4045" s="163"/>
      <c r="L4045" s="47"/>
      <c r="M4045" s="1743"/>
      <c r="P4045" s="261"/>
      <c r="Q4045" s="261"/>
      <c r="R4045" s="261"/>
      <c r="S4045" s="52"/>
      <c r="T4045" s="181"/>
      <c r="U4045" s="52"/>
      <c r="V4045" s="4295"/>
      <c r="W4045" s="163"/>
      <c r="X4045" s="166"/>
      <c r="Y4045" s="163"/>
      <c r="Z4045" s="163"/>
      <c r="AA4045" s="163"/>
      <c r="AB4045" s="166"/>
      <c r="AC4045" s="163"/>
      <c r="AD4045" s="163"/>
      <c r="AE4045" s="163"/>
      <c r="AF4045" s="271" t="str">
        <f t="shared" si="364"/>
        <v/>
      </c>
      <c r="AG4045" s="241"/>
      <c r="DG4045" s="573"/>
      <c r="DH4045" s="159"/>
      <c r="DI4045" s="1091"/>
      <c r="DJ4045" s="1187"/>
    </row>
    <row r="4046" spans="1:114" ht="15" hidden="1" customHeight="1" outlineLevel="1">
      <c r="A4046" s="453"/>
      <c r="C4046" s="51"/>
      <c r="D4046" s="4295"/>
      <c r="E4046" s="4295"/>
      <c r="F4046" s="4307" t="str">
        <f t="shared" si="365"/>
        <v>ASHP-SEER15_ER1_SF</v>
      </c>
      <c r="G4046" s="4307"/>
      <c r="H4046" s="4307"/>
      <c r="I4046" s="4307"/>
      <c r="J4046" s="1029" t="str">
        <f t="shared" si="366"/>
        <v>352350_2024_12_</v>
      </c>
      <c r="K4046" s="1752">
        <f>(S$1915+L4046*T$1915)-(S$1925+L4046*T$1925)*S$1931</f>
        <v>131.69764772075905</v>
      </c>
      <c r="L4046" s="47">
        <f>VLOOKUP(J4046,$J$1914:$L$2106,3,FALSE)*M4046</f>
        <v>2.5726507669889709</v>
      </c>
      <c r="M4046" s="1743">
        <f>VLOOKUP(J4046,$J$3458:$K$3650,2,FALSE)</f>
        <v>1</v>
      </c>
      <c r="N4046" s="553"/>
      <c r="P4046" s="261"/>
      <c r="Q4046" s="261"/>
      <c r="R4046" s="261"/>
      <c r="S4046" s="52"/>
      <c r="T4046" s="181"/>
      <c r="U4046" s="52"/>
      <c r="V4046" s="4295"/>
      <c r="W4046" s="163">
        <v>2618.5377829603426</v>
      </c>
      <c r="X4046" s="166">
        <f>$T$1918*(X$1918/12000)*X$3462</f>
        <v>1836</v>
      </c>
      <c r="Y4046" s="166">
        <v>1127.8416641304575</v>
      </c>
      <c r="Z4046" s="163">
        <v>1127.8416641304575</v>
      </c>
      <c r="AA4046" s="163">
        <v>1127.8416641304575</v>
      </c>
      <c r="AB4046" s="166">
        <v>1044.1498640171662</v>
      </c>
      <c r="AC4046" s="166">
        <v>1049.2929470045315</v>
      </c>
      <c r="AD4046" s="166">
        <v>952.43682540301188</v>
      </c>
      <c r="AE4046" s="166">
        <v>1004.8579885650197</v>
      </c>
      <c r="AF4046" s="271">
        <f t="shared" si="364"/>
        <v>131.69764772075905</v>
      </c>
      <c r="AG4046" s="241"/>
      <c r="DG4046" s="573"/>
      <c r="DH4046" s="159"/>
      <c r="DI4046" s="1091"/>
      <c r="DJ4046" s="1187"/>
    </row>
    <row r="4047" spans="1:114" ht="15" hidden="1" customHeight="1" outlineLevel="1">
      <c r="A4047" s="453"/>
      <c r="C4047" s="51"/>
      <c r="D4047" s="4295"/>
      <c r="E4047" s="4295"/>
      <c r="F4047" s="4307" t="str">
        <f t="shared" si="365"/>
        <v>ASHP-SEER15_ER1_SF</v>
      </c>
      <c r="G4047" s="4307"/>
      <c r="H4047" s="4307"/>
      <c r="I4047" s="4307"/>
      <c r="J4047" s="1029" t="str">
        <f t="shared" si="366"/>
        <v>352350_2024_12_</v>
      </c>
      <c r="K4047" s="163"/>
      <c r="L4047" s="47" t="str">
        <f>IF(K4047&gt;0,VLOOKUP(J4047,$J$1914:$L$2106,3,FALSE),"")</f>
        <v/>
      </c>
      <c r="M4047" s="1743" t="str">
        <f>IF(K4047&gt;0,VLOOKUP(J4047,$J$3458:$K$3650,2,FALSE),"")</f>
        <v/>
      </c>
      <c r="P4047" s="261"/>
      <c r="Q4047" s="261"/>
      <c r="R4047" s="261"/>
      <c r="S4047" s="52"/>
      <c r="T4047" s="181"/>
      <c r="U4047" s="52"/>
      <c r="V4047" s="4295"/>
      <c r="W4047" s="163"/>
      <c r="X4047" s="166"/>
      <c r="Y4047" s="166"/>
      <c r="Z4047" s="163"/>
      <c r="AA4047" s="163"/>
      <c r="AB4047" s="163"/>
      <c r="AC4047" s="163"/>
      <c r="AD4047" s="163"/>
      <c r="AE4047" s="163"/>
      <c r="AF4047" s="271" t="str">
        <f t="shared" si="364"/>
        <v/>
      </c>
      <c r="AG4047" s="241"/>
      <c r="DG4047" s="573"/>
      <c r="DH4047" s="159"/>
      <c r="DI4047" s="1091"/>
      <c r="DJ4047" s="1187"/>
    </row>
    <row r="4048" spans="1:114" ht="15" hidden="1" customHeight="1" outlineLevel="1">
      <c r="A4048" s="453"/>
      <c r="C4048" s="51"/>
      <c r="D4048" s="4295"/>
      <c r="E4048" s="4295"/>
      <c r="F4048" s="4307" t="str">
        <f t="shared" si="365"/>
        <v>ASHP-SEER15_ER2_SF</v>
      </c>
      <c r="G4048" s="4307"/>
      <c r="H4048" s="4307"/>
      <c r="I4048" s="4307"/>
      <c r="J4048" s="1029" t="str">
        <f t="shared" si="366"/>
        <v>352350_2024_12_</v>
      </c>
      <c r="K4048" s="163"/>
      <c r="L4048" s="47" t="str">
        <f>IF(K4048&gt;0,VLOOKUP(J4048,$J$1914:$L$2106,3,FALSE),"")</f>
        <v/>
      </c>
      <c r="M4048" s="1743" t="str">
        <f>IF(K4048&gt;0,VLOOKUP(J4048,$J$3458:$K$3650,2,FALSE),"")</f>
        <v/>
      </c>
      <c r="P4048" s="261"/>
      <c r="Q4048" s="261"/>
      <c r="R4048" s="261"/>
      <c r="S4048" s="52"/>
      <c r="T4048" s="181"/>
      <c r="U4048" s="52"/>
      <c r="V4048" s="4295"/>
      <c r="W4048" s="163"/>
      <c r="X4048" s="166"/>
      <c r="Y4048" s="166"/>
      <c r="Z4048" s="163"/>
      <c r="AA4048" s="163"/>
      <c r="AB4048" s="163"/>
      <c r="AC4048" s="163"/>
      <c r="AD4048" s="163"/>
      <c r="AE4048" s="163"/>
      <c r="AF4048" s="271" t="str">
        <f t="shared" si="364"/>
        <v/>
      </c>
      <c r="AG4048" s="241"/>
      <c r="DG4048" s="573"/>
      <c r="DH4048" s="159"/>
      <c r="DI4048" s="1091"/>
      <c r="DJ4048" s="1187"/>
    </row>
    <row r="4049" spans="1:114" ht="15" hidden="1" customHeight="1" outlineLevel="1">
      <c r="A4049" s="453"/>
      <c r="C4049" s="51"/>
      <c r="D4049" s="4295"/>
      <c r="E4049" s="4295"/>
      <c r="F4049" s="4307" t="str">
        <f t="shared" si="365"/>
        <v>ASHP-SEER15_ER2_SF</v>
      </c>
      <c r="G4049" s="4307"/>
      <c r="H4049" s="4307"/>
      <c r="I4049" s="4307"/>
      <c r="J4049" s="1029" t="str">
        <f t="shared" si="366"/>
        <v>352350_2024_12_</v>
      </c>
      <c r="K4049" s="163"/>
      <c r="L4049" s="47" t="str">
        <f>IF(K4049&gt;0,VLOOKUP(J4049,$J$1914:$L$2106,3,FALSE),"")</f>
        <v/>
      </c>
      <c r="M4049" s="1743" t="str">
        <f>IF(K4049&gt;0,VLOOKUP(J4049,$J$3458:$K$3650,2,FALSE),"")</f>
        <v/>
      </c>
      <c r="P4049" s="261"/>
      <c r="Q4049" s="261"/>
      <c r="R4049" s="261"/>
      <c r="S4049" s="52"/>
      <c r="T4049" s="181"/>
      <c r="U4049" s="52"/>
      <c r="V4049" s="4295"/>
      <c r="W4049" s="163"/>
      <c r="X4049" s="166"/>
      <c r="Y4049" s="166"/>
      <c r="Z4049" s="163"/>
      <c r="AA4049" s="163"/>
      <c r="AB4049" s="163"/>
      <c r="AC4049" s="163"/>
      <c r="AD4049" s="163"/>
      <c r="AE4049" s="163"/>
      <c r="AF4049" s="271" t="str">
        <f t="shared" si="364"/>
        <v/>
      </c>
      <c r="AG4049" s="241"/>
      <c r="DG4049" s="573"/>
      <c r="DH4049" s="159"/>
      <c r="DI4049" s="1091"/>
      <c r="DJ4049" s="1187"/>
    </row>
    <row r="4050" spans="1:114" ht="15" hidden="1" customHeight="1" outlineLevel="1">
      <c r="A4050" s="453"/>
      <c r="C4050" s="51"/>
      <c r="D4050" s="4295"/>
      <c r="E4050" s="4295"/>
      <c r="F4050" s="4307" t="str">
        <f t="shared" si="365"/>
        <v>ASHP-SEER15-Replace_CAC_ElectricHeat_ROF_SF</v>
      </c>
      <c r="G4050" s="4307"/>
      <c r="H4050" s="4307"/>
      <c r="I4050" s="4307"/>
      <c r="J4050" s="1029" t="str">
        <f t="shared" si="366"/>
        <v>352400_2024_12_</v>
      </c>
      <c r="K4050" s="1752">
        <f>(S$1915+L4050*T$1915)-(S$1924+L4050*T$1924)</f>
        <v>3334.5954220882886</v>
      </c>
      <c r="L4050" s="47">
        <f>VLOOKUP(J4050,$J$1914:$L$2106,3,FALSE)*M4050</f>
        <v>2.8059923701471465</v>
      </c>
      <c r="M4050" s="1743">
        <f>VLOOKUP(J4050,$J$3458:$K$3650,2,FALSE)</f>
        <v>1</v>
      </c>
      <c r="N4050" s="553"/>
      <c r="P4050" s="261"/>
      <c r="Q4050" s="261"/>
      <c r="R4050" s="261"/>
      <c r="S4050" s="52"/>
      <c r="T4050" s="181"/>
      <c r="U4050" s="52"/>
      <c r="V4050" s="4295"/>
      <c r="W4050" s="163">
        <v>787.8</v>
      </c>
      <c r="X4050" s="166">
        <v>927.18000000000006</v>
      </c>
      <c r="Y4050" s="166">
        <v>303</v>
      </c>
      <c r="Z4050" s="163">
        <v>303</v>
      </c>
      <c r="AA4050" s="163">
        <v>303</v>
      </c>
      <c r="AB4050" s="163">
        <v>303</v>
      </c>
      <c r="AC4050" s="163">
        <v>303</v>
      </c>
      <c r="AD4050" s="163">
        <v>303</v>
      </c>
      <c r="AE4050" s="163">
        <v>303</v>
      </c>
      <c r="AF4050" s="271">
        <f t="shared" si="364"/>
        <v>3334.5954220882886</v>
      </c>
      <c r="AG4050" s="241"/>
      <c r="DG4050" s="573"/>
      <c r="DH4050" s="159"/>
      <c r="DI4050" s="1091"/>
      <c r="DJ4050" s="1187"/>
    </row>
    <row r="4051" spans="1:114" ht="15" hidden="1" customHeight="1" outlineLevel="1">
      <c r="A4051" s="453"/>
      <c r="C4051" s="51"/>
      <c r="D4051" s="4295"/>
      <c r="E4051" s="4295"/>
      <c r="F4051" s="4307" t="str">
        <f t="shared" si="365"/>
        <v>ASHP-SEER15-Replace_CAC_ElectricHeat_ROF_SF</v>
      </c>
      <c r="G4051" s="4307"/>
      <c r="H4051" s="4307"/>
      <c r="I4051" s="4307"/>
      <c r="J4051" s="1029" t="str">
        <f t="shared" si="366"/>
        <v>352400_2024_12_</v>
      </c>
      <c r="K4051" s="163"/>
      <c r="L4051" s="47" t="str">
        <f>IF(K4051&gt;0,VLOOKUP(J4051,$J$1914:$L$2106,3,FALSE),"")</f>
        <v/>
      </c>
      <c r="M4051" s="1743" t="str">
        <f>IF(K4051&gt;0,VLOOKUP(J4051,$J$3458:$K$3650,2,FALSE),"")</f>
        <v/>
      </c>
      <c r="P4051" s="261"/>
      <c r="Q4051" s="261"/>
      <c r="R4051" s="261"/>
      <c r="S4051" s="52"/>
      <c r="T4051" s="181"/>
      <c r="U4051" s="52"/>
      <c r="V4051" s="4295"/>
      <c r="W4051" s="163"/>
      <c r="X4051" s="166"/>
      <c r="Y4051" s="166"/>
      <c r="Z4051" s="163"/>
      <c r="AA4051" s="163"/>
      <c r="AB4051" s="163"/>
      <c r="AC4051" s="163"/>
      <c r="AD4051" s="163"/>
      <c r="AE4051" s="163"/>
      <c r="AF4051" s="271" t="str">
        <f t="shared" si="364"/>
        <v/>
      </c>
      <c r="AG4051" s="241"/>
      <c r="DG4051" s="573"/>
      <c r="DH4051" s="159"/>
      <c r="DI4051" s="1091"/>
      <c r="DJ4051" s="1187"/>
    </row>
    <row r="4052" spans="1:114" ht="15" hidden="1" customHeight="1" outlineLevel="1">
      <c r="A4052" s="453"/>
      <c r="C4052" s="51"/>
      <c r="D4052" s="4295"/>
      <c r="E4052" s="4295"/>
      <c r="F4052" s="4307" t="str">
        <f t="shared" si="365"/>
        <v>ASHP-SEER15-Replace_CAC_NonElectricHeat_ROF_SF</v>
      </c>
      <c r="G4052" s="4307"/>
      <c r="H4052" s="4307"/>
      <c r="I4052" s="4307"/>
      <c r="J4052" s="1029" t="str">
        <f t="shared" si="366"/>
        <v>352410_2024_12_</v>
      </c>
      <c r="K4052" s="1752">
        <f>((S$1915+L4052*T$1915)-(S$1924+L4052*T$1924))*VLOOKUP(J4052,$J$4424:$K$4467,2,FALSE)</f>
        <v>98.842449430922628</v>
      </c>
      <c r="L4052" s="47">
        <f>VLOOKUP(J4052,$J$1914:$L$2106,3,FALSE)*M4052</f>
        <v>2.8059923701471465</v>
      </c>
      <c r="M4052" s="1743">
        <f>VLOOKUP(J4052,$J$3458:$K$3650,2,FALSE)</f>
        <v>1</v>
      </c>
      <c r="N4052" s="553"/>
      <c r="P4052" s="261"/>
      <c r="Q4052" s="261"/>
      <c r="R4052" s="261"/>
      <c r="S4052" s="52"/>
      <c r="T4052" s="181"/>
      <c r="U4052" s="52"/>
      <c r="V4052" s="4295"/>
      <c r="W4052" s="163"/>
      <c r="X4052" s="166"/>
      <c r="Y4052" s="166"/>
      <c r="Z4052" s="163"/>
      <c r="AA4052" s="163"/>
      <c r="AB4052" s="163"/>
      <c r="AC4052" s="166">
        <v>303</v>
      </c>
      <c r="AD4052" s="163">
        <v>303</v>
      </c>
      <c r="AE4052" s="163">
        <v>303</v>
      </c>
      <c r="AF4052" s="271">
        <f t="shared" si="364"/>
        <v>98.842449430922628</v>
      </c>
      <c r="AG4052" s="241"/>
      <c r="DG4052" s="573"/>
      <c r="DH4052" s="159"/>
      <c r="DI4052" s="1091"/>
      <c r="DJ4052" s="1187"/>
    </row>
    <row r="4053" spans="1:114" ht="15" hidden="1" customHeight="1" outlineLevel="1">
      <c r="A4053" s="453"/>
      <c r="C4053" s="51"/>
      <c r="D4053" s="4295"/>
      <c r="E4053" s="4295"/>
      <c r="F4053" s="4307" t="str">
        <f t="shared" si="365"/>
        <v>ASHP-SEER15-Replace_CAC_NonElectricHeat_ROF_SF</v>
      </c>
      <c r="G4053" s="4307"/>
      <c r="H4053" s="4307"/>
      <c r="I4053" s="4307"/>
      <c r="J4053" s="1029" t="str">
        <f t="shared" si="366"/>
        <v>352410_2024_12_</v>
      </c>
      <c r="K4053" s="163"/>
      <c r="L4053" s="47"/>
      <c r="M4053" s="1743"/>
      <c r="P4053" s="261"/>
      <c r="Q4053" s="261"/>
      <c r="R4053" s="261"/>
      <c r="S4053" s="52"/>
      <c r="T4053" s="181"/>
      <c r="U4053" s="52"/>
      <c r="V4053" s="4295"/>
      <c r="W4053" s="163"/>
      <c r="X4053" s="166"/>
      <c r="Y4053" s="166"/>
      <c r="Z4053" s="163"/>
      <c r="AA4053" s="163"/>
      <c r="AB4053" s="163"/>
      <c r="AC4053" s="163"/>
      <c r="AD4053" s="163"/>
      <c r="AE4053" s="163"/>
      <c r="AF4053" s="271" t="str">
        <f t="shared" si="364"/>
        <v/>
      </c>
      <c r="AG4053" s="241"/>
      <c r="DG4053" s="573"/>
      <c r="DH4053" s="159"/>
      <c r="DI4053" s="1091"/>
      <c r="DJ4053" s="1187"/>
    </row>
    <row r="4054" spans="1:114" ht="15" hidden="1" customHeight="1" outlineLevel="1">
      <c r="A4054" s="453"/>
      <c r="C4054" s="51"/>
      <c r="D4054" s="4295"/>
      <c r="E4054" s="4295"/>
      <c r="F4054" s="4347" t="str">
        <f t="shared" si="365"/>
        <v>ASHP-SEER15_ROF_SF</v>
      </c>
      <c r="G4054" s="4347"/>
      <c r="H4054" s="4347"/>
      <c r="I4054" s="4347"/>
      <c r="J4054" s="3471" t="str">
        <f t="shared" si="366"/>
        <v>352450_2024_12_</v>
      </c>
      <c r="K4054" s="3496">
        <f>(S$1915+L4054*T$1915)-(S$1923+L4054*T$1923)</f>
        <v>135</v>
      </c>
      <c r="L4054" s="3221">
        <f>VLOOKUP(J4054,$J$1914:$L$2106,3,FALSE)*M4054</f>
        <v>2.8059923701471465</v>
      </c>
      <c r="M4054" s="3497">
        <f>VLOOKUP(J4054,$J$3458:$K$3650,2,FALSE)</f>
        <v>1</v>
      </c>
      <c r="N4054" s="553"/>
      <c r="P4054" s="261"/>
      <c r="Q4054" s="261"/>
      <c r="R4054" s="261"/>
      <c r="S4054" s="52"/>
      <c r="T4054" s="181"/>
      <c r="U4054" s="52"/>
      <c r="V4054" s="4295"/>
      <c r="W4054" s="2894">
        <v>939.30000000000007</v>
      </c>
      <c r="X4054" s="2467">
        <v>927.18000000000006</v>
      </c>
      <c r="Y4054" s="2467">
        <v>303</v>
      </c>
      <c r="Z4054" s="2894">
        <v>303</v>
      </c>
      <c r="AA4054" s="2894">
        <v>303</v>
      </c>
      <c r="AB4054" s="2894">
        <v>303</v>
      </c>
      <c r="AC4054" s="2894">
        <v>303</v>
      </c>
      <c r="AD4054" s="2894">
        <v>303</v>
      </c>
      <c r="AE4054" s="2894">
        <v>303</v>
      </c>
      <c r="AF4054" s="2236">
        <f t="shared" si="364"/>
        <v>135</v>
      </c>
      <c r="AG4054" s="241"/>
      <c r="DG4054" s="573"/>
      <c r="DH4054" s="159"/>
      <c r="DI4054" s="1091"/>
      <c r="DJ4054" s="1187"/>
    </row>
    <row r="4055" spans="1:114" ht="15" hidden="1" customHeight="1" outlineLevel="1">
      <c r="A4055" s="453"/>
      <c r="C4055" s="51"/>
      <c r="D4055" s="4295"/>
      <c r="E4055" s="4295"/>
      <c r="F4055" s="4347" t="str">
        <f t="shared" si="365"/>
        <v>ASHP-SEER15_ROF_SF</v>
      </c>
      <c r="G4055" s="4347"/>
      <c r="H4055" s="4347"/>
      <c r="I4055" s="4347"/>
      <c r="J4055" s="3471" t="str">
        <f t="shared" si="366"/>
        <v>352450_2024_12_</v>
      </c>
      <c r="K4055" s="2894"/>
      <c r="L4055" s="3221" t="str">
        <f>IF(K4055&gt;0,VLOOKUP(J4055,$J$1914:$L$2106,3,FALSE),"")</f>
        <v/>
      </c>
      <c r="M4055" s="3497" t="str">
        <f>IF(K4055&gt;0,VLOOKUP(J4055,$J$3458:$K$3650,2,FALSE),"")</f>
        <v/>
      </c>
      <c r="P4055" s="261"/>
      <c r="Q4055" s="261"/>
      <c r="R4055" s="261"/>
      <c r="S4055" s="52"/>
      <c r="T4055" s="181"/>
      <c r="U4055" s="52"/>
      <c r="V4055" s="4295"/>
      <c r="W4055" s="2894"/>
      <c r="X4055" s="2467"/>
      <c r="Y4055" s="2467"/>
      <c r="Z4055" s="2894"/>
      <c r="AA4055" s="2894"/>
      <c r="AB4055" s="2894"/>
      <c r="AC4055" s="2894"/>
      <c r="AD4055" s="2894"/>
      <c r="AE4055" s="2894"/>
      <c r="AF4055" s="2236" t="str">
        <f t="shared" si="364"/>
        <v/>
      </c>
      <c r="AG4055" s="241"/>
      <c r="DG4055" s="573"/>
      <c r="DH4055" s="159"/>
      <c r="DI4055" s="1091"/>
      <c r="DJ4055" s="1187"/>
    </row>
    <row r="4056" spans="1:114" ht="15" hidden="1" customHeight="1" outlineLevel="1">
      <c r="A4056" s="453"/>
      <c r="C4056" s="51"/>
      <c r="D4056" s="4295"/>
      <c r="E4056" s="4295"/>
      <c r="F4056" s="4307" t="str">
        <f t="shared" si="365"/>
        <v>ASHP-SEER16-Replace_CAC_ElectricHeat_ER1_SF</v>
      </c>
      <c r="G4056" s="4307"/>
      <c r="H4056" s="4307"/>
      <c r="I4056" s="4307"/>
      <c r="J4056" s="1029" t="str">
        <f t="shared" si="366"/>
        <v>352500_2024_12_</v>
      </c>
      <c r="K4056" s="1752">
        <f>(S$1916+L4056*T$1916)-((S$1926+L4056*T$1926)*S$1931)</f>
        <v>3497.3493799102171</v>
      </c>
      <c r="L4056" s="47">
        <f>VLOOKUP(J4056,$J$1914:$L$2106,3,FALSE)*M4056</f>
        <v>2.5310295805916874</v>
      </c>
      <c r="M4056" s="1743">
        <f>VLOOKUP(J4056,$J$3458:$K$3650,2,FALSE)</f>
        <v>1</v>
      </c>
      <c r="N4056" s="553"/>
      <c r="P4056" s="261"/>
      <c r="Q4056" s="261"/>
      <c r="R4056" s="261"/>
      <c r="S4056" s="52"/>
      <c r="T4056" s="181"/>
      <c r="U4056" s="52"/>
      <c r="V4056" s="4295"/>
      <c r="W4056" s="163">
        <v>2896.6077829603428</v>
      </c>
      <c r="X4056" s="166">
        <v>3844.7226619038656</v>
      </c>
      <c r="Y4056" s="166">
        <v>1287.9206457115542</v>
      </c>
      <c r="Z4056" s="163">
        <v>1287.9206457115542</v>
      </c>
      <c r="AA4056" s="163">
        <v>1287.9206457115542</v>
      </c>
      <c r="AB4056" s="166">
        <v>1142.384378503531</v>
      </c>
      <c r="AC4056" s="166">
        <v>1136.2940995261133</v>
      </c>
      <c r="AD4056" s="166">
        <v>1096.0970591411706</v>
      </c>
      <c r="AE4056" s="166">
        <v>1128.5031002368705</v>
      </c>
      <c r="AF4056" s="271">
        <f t="shared" si="364"/>
        <v>3497.3493799102171</v>
      </c>
      <c r="AG4056" s="241"/>
      <c r="DG4056" s="573"/>
      <c r="DH4056" s="159"/>
      <c r="DI4056" s="1091"/>
      <c r="DJ4056" s="1187"/>
    </row>
    <row r="4057" spans="1:114" ht="15" hidden="1" customHeight="1" outlineLevel="1">
      <c r="A4057" s="453"/>
      <c r="C4057" s="51"/>
      <c r="D4057" s="4295"/>
      <c r="E4057" s="4295"/>
      <c r="F4057" s="4307" t="str">
        <f t="shared" si="365"/>
        <v>ASHP-SEER16-Replace_CAC_ElectricHeat_ER1_SF</v>
      </c>
      <c r="G4057" s="4307"/>
      <c r="H4057" s="4307"/>
      <c r="I4057" s="4307"/>
      <c r="J4057" s="1029" t="str">
        <f t="shared" si="366"/>
        <v>352500_2024_12_</v>
      </c>
      <c r="K4057" s="163"/>
      <c r="L4057" s="47" t="str">
        <f>IF(K4057&gt;0,VLOOKUP(J4057,$J$1914:$L$2106,3,FALSE),"")</f>
        <v/>
      </c>
      <c r="M4057" s="1743" t="str">
        <f>IF(K4057&gt;0,VLOOKUP(J4057,$J$3458:$K$3650,2,FALSE),"")</f>
        <v/>
      </c>
      <c r="P4057" s="261"/>
      <c r="Q4057" s="261"/>
      <c r="R4057" s="261"/>
      <c r="S4057" s="52"/>
      <c r="T4057" s="181"/>
      <c r="U4057" s="52"/>
      <c r="V4057" s="4295"/>
      <c r="W4057" s="163"/>
      <c r="X4057" s="166"/>
      <c r="Y4057" s="166"/>
      <c r="Z4057" s="163"/>
      <c r="AA4057" s="163"/>
      <c r="AB4057" s="163"/>
      <c r="AC4057" s="163"/>
      <c r="AD4057" s="163"/>
      <c r="AE4057" s="163"/>
      <c r="AF4057" s="271" t="str">
        <f t="shared" si="364"/>
        <v/>
      </c>
      <c r="AG4057" s="241"/>
      <c r="DG4057" s="573"/>
      <c r="DH4057" s="159"/>
      <c r="DI4057" s="1091"/>
      <c r="DJ4057" s="1187"/>
    </row>
    <row r="4058" spans="1:114" ht="15" hidden="1" customHeight="1" outlineLevel="1">
      <c r="A4058" s="453"/>
      <c r="C4058" s="51"/>
      <c r="D4058" s="4295"/>
      <c r="E4058" s="4295"/>
      <c r="F4058" s="4307" t="str">
        <f t="shared" si="365"/>
        <v>ASHP-SEER16-Replace_CAC_ElectricHeat_ER2_SF</v>
      </c>
      <c r="G4058" s="4307"/>
      <c r="H4058" s="4307"/>
      <c r="I4058" s="4307"/>
      <c r="J4058" s="1029" t="str">
        <f t="shared" si="366"/>
        <v>352500_2024_12_</v>
      </c>
      <c r="K4058" s="163"/>
      <c r="L4058" s="47" t="str">
        <f>IF(K4058&gt;0,VLOOKUP(J4058,$J$1914:$L$2106,3,FALSE),"")</f>
        <v/>
      </c>
      <c r="M4058" s="1743" t="str">
        <f>IF(K4058&gt;0,VLOOKUP(J4058,$J$3458:$K$3650,2,FALSE),"")</f>
        <v/>
      </c>
      <c r="P4058" s="261"/>
      <c r="Q4058" s="261"/>
      <c r="R4058" s="261"/>
      <c r="S4058" s="52"/>
      <c r="T4058" s="181"/>
      <c r="U4058" s="52"/>
      <c r="V4058" s="4295"/>
      <c r="W4058" s="163"/>
      <c r="X4058" s="166"/>
      <c r="Y4058" s="166"/>
      <c r="Z4058" s="163"/>
      <c r="AA4058" s="163"/>
      <c r="AB4058" s="163"/>
      <c r="AC4058" s="163"/>
      <c r="AD4058" s="163"/>
      <c r="AE4058" s="163"/>
      <c r="AF4058" s="271" t="str">
        <f t="shared" si="364"/>
        <v/>
      </c>
      <c r="AG4058" s="241"/>
      <c r="DG4058" s="573"/>
      <c r="DH4058" s="159"/>
      <c r="DI4058" s="1091"/>
      <c r="DJ4058" s="1187"/>
    </row>
    <row r="4059" spans="1:114" ht="15" hidden="1" customHeight="1" outlineLevel="1">
      <c r="A4059" s="453"/>
      <c r="C4059" s="51"/>
      <c r="D4059" s="4295"/>
      <c r="E4059" s="4295"/>
      <c r="F4059" s="4307" t="str">
        <f t="shared" si="365"/>
        <v>ASHP-SEER16-Replace_CAC_ElectricHeat_ER2_SF</v>
      </c>
      <c r="G4059" s="4307"/>
      <c r="H4059" s="4307"/>
      <c r="I4059" s="4307"/>
      <c r="J4059" s="1029" t="str">
        <f t="shared" si="366"/>
        <v>352500_2024_12_</v>
      </c>
      <c r="K4059" s="163"/>
      <c r="L4059" s="47" t="str">
        <f>IF(K4059&gt;0,VLOOKUP(J4059,$J$1914:$L$2106,3,FALSE),"")</f>
        <v/>
      </c>
      <c r="M4059" s="1743" t="str">
        <f>IF(K4059&gt;0,VLOOKUP(J4059,$J$3458:$K$3650,2,FALSE),"")</f>
        <v/>
      </c>
      <c r="P4059" s="261"/>
      <c r="Q4059" s="261"/>
      <c r="R4059" s="261"/>
      <c r="S4059" s="52"/>
      <c r="T4059" s="181"/>
      <c r="U4059" s="52"/>
      <c r="V4059" s="4295"/>
      <c r="W4059" s="163"/>
      <c r="X4059" s="166"/>
      <c r="Y4059" s="166"/>
      <c r="Z4059" s="163"/>
      <c r="AA4059" s="163"/>
      <c r="AB4059" s="163"/>
      <c r="AC4059" s="163"/>
      <c r="AD4059" s="163"/>
      <c r="AE4059" s="163"/>
      <c r="AF4059" s="271" t="str">
        <f t="shared" si="364"/>
        <v/>
      </c>
      <c r="AG4059" s="241"/>
      <c r="DG4059" s="573"/>
      <c r="DH4059" s="159"/>
      <c r="DI4059" s="1091"/>
      <c r="DJ4059" s="1187"/>
    </row>
    <row r="4060" spans="1:114" ht="15" hidden="1" customHeight="1" outlineLevel="1">
      <c r="A4060" s="453"/>
      <c r="C4060" s="51"/>
      <c r="D4060" s="4295"/>
      <c r="E4060" s="4295"/>
      <c r="F4060" s="4307" t="str">
        <f t="shared" si="365"/>
        <v>ASHP-SEER16-Replace_CAC_NonElectricHeat_ER1_SF</v>
      </c>
      <c r="G4060" s="4307"/>
      <c r="H4060" s="4307"/>
      <c r="I4060" s="4307"/>
      <c r="J4060" s="1029" t="str">
        <f t="shared" si="366"/>
        <v>352510_2024_12_</v>
      </c>
      <c r="K4060" s="1752">
        <f>((S$1916+L4060*T$1916)-((S$1926+L4060*T$1926)*S$1931))*VLOOKUP(J4060,$J$4424:$K$4467,2,FALSE)</f>
        <v>461.50538007420482</v>
      </c>
      <c r="L4060" s="47">
        <f>VLOOKUP(J4060,$J$1914:$L$2106,3,FALSE)*M4060</f>
        <v>2.5310295805916874</v>
      </c>
      <c r="M4060" s="1743">
        <f>VLOOKUP(J4060,$J$3458:$K$3650,2,FALSE)</f>
        <v>1</v>
      </c>
      <c r="N4060" s="553"/>
      <c r="P4060" s="261"/>
      <c r="Q4060" s="261"/>
      <c r="R4060" s="261"/>
      <c r="S4060" s="52"/>
      <c r="T4060" s="181"/>
      <c r="U4060" s="52"/>
      <c r="V4060" s="4295"/>
      <c r="W4060" s="163"/>
      <c r="X4060" s="166"/>
      <c r="Y4060" s="166"/>
      <c r="Z4060" s="163"/>
      <c r="AA4060" s="163"/>
      <c r="AB4060" s="163"/>
      <c r="AC4060" s="166">
        <v>1136.2940995261133</v>
      </c>
      <c r="AD4060" s="166">
        <v>1096.0970591411706</v>
      </c>
      <c r="AE4060" s="166">
        <v>1128.5031002368705</v>
      </c>
      <c r="AF4060" s="271">
        <f t="shared" si="364"/>
        <v>461.50538007420482</v>
      </c>
      <c r="AG4060" s="241"/>
      <c r="DG4060" s="573"/>
      <c r="DH4060" s="159"/>
      <c r="DI4060" s="1091"/>
      <c r="DJ4060" s="1187"/>
    </row>
    <row r="4061" spans="1:114" ht="15" hidden="1" customHeight="1" outlineLevel="1">
      <c r="A4061" s="453"/>
      <c r="C4061" s="51"/>
      <c r="D4061" s="4295"/>
      <c r="E4061" s="4295"/>
      <c r="F4061" s="4307" t="str">
        <f t="shared" si="365"/>
        <v>ASHP-SEER16-Replace_CAC_NonElectricHeat_ER1_SF</v>
      </c>
      <c r="G4061" s="4307"/>
      <c r="H4061" s="4307"/>
      <c r="I4061" s="4307"/>
      <c r="J4061" s="1029" t="str">
        <f t="shared" si="366"/>
        <v>352510_2024_12_</v>
      </c>
      <c r="K4061" s="163"/>
      <c r="L4061" s="47"/>
      <c r="M4061" s="1743"/>
      <c r="P4061" s="261"/>
      <c r="Q4061" s="261"/>
      <c r="R4061" s="261"/>
      <c r="S4061" s="52"/>
      <c r="T4061" s="181"/>
      <c r="U4061" s="52"/>
      <c r="V4061" s="4295"/>
      <c r="W4061" s="163"/>
      <c r="X4061" s="166"/>
      <c r="Y4061" s="166"/>
      <c r="Z4061" s="163"/>
      <c r="AA4061" s="163"/>
      <c r="AB4061" s="163"/>
      <c r="AC4061" s="163"/>
      <c r="AD4061" s="163"/>
      <c r="AE4061" s="163"/>
      <c r="AF4061" s="271" t="str">
        <f t="shared" si="364"/>
        <v/>
      </c>
      <c r="AG4061" s="241"/>
      <c r="DG4061" s="573"/>
      <c r="DH4061" s="159"/>
      <c r="DI4061" s="1091"/>
      <c r="DJ4061" s="1187"/>
    </row>
    <row r="4062" spans="1:114" ht="15" hidden="1" customHeight="1" outlineLevel="1">
      <c r="A4062" s="453"/>
      <c r="C4062" s="51"/>
      <c r="D4062" s="4295"/>
      <c r="E4062" s="4295"/>
      <c r="F4062" s="4307" t="str">
        <f t="shared" si="365"/>
        <v>ASHP-SEER16-Replace_CAC_NonElectricHeat_ER2_SF</v>
      </c>
      <c r="G4062" s="4307"/>
      <c r="H4062" s="4307"/>
      <c r="I4062" s="4307"/>
      <c r="J4062" s="1029" t="str">
        <f t="shared" si="366"/>
        <v>352510_2024_12_</v>
      </c>
      <c r="K4062" s="163"/>
      <c r="L4062" s="47"/>
      <c r="M4062" s="1743"/>
      <c r="P4062" s="261"/>
      <c r="Q4062" s="261"/>
      <c r="R4062" s="261"/>
      <c r="S4062" s="52"/>
      <c r="T4062" s="181"/>
      <c r="U4062" s="52"/>
      <c r="V4062" s="4295"/>
      <c r="W4062" s="163"/>
      <c r="X4062" s="166"/>
      <c r="Y4062" s="166"/>
      <c r="Z4062" s="163"/>
      <c r="AA4062" s="163"/>
      <c r="AB4062" s="163"/>
      <c r="AC4062" s="163"/>
      <c r="AD4062" s="163"/>
      <c r="AE4062" s="163"/>
      <c r="AF4062" s="271" t="str">
        <f t="shared" si="364"/>
        <v/>
      </c>
      <c r="AG4062" s="241"/>
      <c r="DG4062" s="573"/>
      <c r="DH4062" s="159"/>
      <c r="DI4062" s="1091"/>
      <c r="DJ4062" s="1187"/>
    </row>
    <row r="4063" spans="1:114" ht="15" hidden="1" customHeight="1" outlineLevel="1">
      <c r="A4063" s="453"/>
      <c r="C4063" s="51"/>
      <c r="D4063" s="4295"/>
      <c r="E4063" s="4295"/>
      <c r="F4063" s="4307" t="str">
        <f t="shared" si="365"/>
        <v>ASHP-SEER16-Replace_CAC_NonElectricHeat_ER2_SF</v>
      </c>
      <c r="G4063" s="4307"/>
      <c r="H4063" s="4307"/>
      <c r="I4063" s="4307"/>
      <c r="J4063" s="1029" t="str">
        <f t="shared" si="366"/>
        <v>352510_2024_12_</v>
      </c>
      <c r="K4063" s="163"/>
      <c r="L4063" s="47"/>
      <c r="M4063" s="1743"/>
      <c r="P4063" s="261"/>
      <c r="Q4063" s="261"/>
      <c r="R4063" s="261"/>
      <c r="S4063" s="52"/>
      <c r="T4063" s="181"/>
      <c r="U4063" s="52"/>
      <c r="V4063" s="4295"/>
      <c r="W4063" s="163"/>
      <c r="X4063" s="166"/>
      <c r="Y4063" s="166"/>
      <c r="Z4063" s="163"/>
      <c r="AA4063" s="163"/>
      <c r="AB4063" s="163"/>
      <c r="AC4063" s="163"/>
      <c r="AD4063" s="163"/>
      <c r="AE4063" s="163"/>
      <c r="AF4063" s="271" t="str">
        <f t="shared" si="364"/>
        <v/>
      </c>
      <c r="AG4063" s="241"/>
      <c r="DG4063" s="573"/>
      <c r="DH4063" s="159"/>
      <c r="DI4063" s="1091"/>
      <c r="DJ4063" s="1187"/>
    </row>
    <row r="4064" spans="1:114" ht="15" hidden="1" customHeight="1" outlineLevel="1">
      <c r="A4064" s="453"/>
      <c r="C4064" s="51"/>
      <c r="D4064" s="4295"/>
      <c r="E4064" s="4295"/>
      <c r="F4064" s="4307" t="str">
        <f t="shared" si="365"/>
        <v>ASHP-SEER16_ER1_SF</v>
      </c>
      <c r="G4064" s="4307"/>
      <c r="H4064" s="4307"/>
      <c r="I4064" s="4307"/>
      <c r="J4064" s="1029" t="str">
        <f t="shared" si="366"/>
        <v>352550_2024_12_</v>
      </c>
      <c r="K4064" s="1752">
        <f>(S$1916+L4064*T$1916)-(S$1925+L4064*T$1925)*S$1931</f>
        <v>417.68019891621225</v>
      </c>
      <c r="L4064" s="47">
        <f>VLOOKUP(J4064,$J$1914:$L$2106,3,FALSE)*M4064</f>
        <v>2.5310295805916874</v>
      </c>
      <c r="M4064" s="1743">
        <f>VLOOKUP(J4064,$J$3458:$K$3650,2,FALSE)</f>
        <v>1</v>
      </c>
      <c r="N4064" s="553"/>
      <c r="P4064" s="261"/>
      <c r="Q4064" s="261"/>
      <c r="R4064" s="261"/>
      <c r="S4064" s="52"/>
      <c r="T4064" s="181"/>
      <c r="U4064" s="52"/>
      <c r="V4064" s="4295"/>
      <c r="W4064" s="163">
        <v>3083.4857044416549</v>
      </c>
      <c r="X4064" s="166">
        <v>3844.7226619038656</v>
      </c>
      <c r="Y4064" s="166">
        <v>1279.4751679218225</v>
      </c>
      <c r="Z4064" s="163">
        <v>1279.4751679218225</v>
      </c>
      <c r="AA4064" s="163">
        <v>1279.4751679218225</v>
      </c>
      <c r="AB4064" s="166">
        <v>1181.0521038690172</v>
      </c>
      <c r="AC4064" s="166">
        <v>1165.4895470570027</v>
      </c>
      <c r="AD4064" s="166">
        <v>1096.0970591411706</v>
      </c>
      <c r="AE4064" s="166">
        <v>1128.5031002368705</v>
      </c>
      <c r="AF4064" s="271">
        <f t="shared" si="364"/>
        <v>417.68019891621225</v>
      </c>
      <c r="AG4064" s="241"/>
      <c r="DG4064" s="573"/>
      <c r="DH4064" s="159"/>
      <c r="DI4064" s="1091"/>
      <c r="DJ4064" s="1187"/>
    </row>
    <row r="4065" spans="1:114" ht="15" hidden="1" customHeight="1" outlineLevel="1">
      <c r="A4065" s="453"/>
      <c r="C4065" s="51"/>
      <c r="D4065" s="4295"/>
      <c r="E4065" s="4295"/>
      <c r="F4065" s="4307" t="str">
        <f t="shared" si="365"/>
        <v>ASHP-SEER16_ER1_SF</v>
      </c>
      <c r="G4065" s="4307"/>
      <c r="H4065" s="4307"/>
      <c r="I4065" s="4307"/>
      <c r="J4065" s="1029" t="str">
        <f t="shared" si="366"/>
        <v>352550_2024_12_</v>
      </c>
      <c r="K4065" s="163"/>
      <c r="L4065" s="47" t="str">
        <f>IF(K4065&gt;0,VLOOKUP(J4065,$J$1914:$L$2106,3,FALSE),"")</f>
        <v/>
      </c>
      <c r="M4065" s="1743" t="str">
        <f>IF(K4065&gt;0,VLOOKUP(J4065,$J$3458:$K$3650,2,FALSE),"")</f>
        <v/>
      </c>
      <c r="P4065" s="261"/>
      <c r="Q4065" s="261"/>
      <c r="R4065" s="261"/>
      <c r="S4065" s="52"/>
      <c r="T4065" s="181"/>
      <c r="U4065" s="52"/>
      <c r="V4065" s="4295"/>
      <c r="W4065" s="163"/>
      <c r="X4065" s="166"/>
      <c r="Y4065" s="166"/>
      <c r="Z4065" s="163"/>
      <c r="AA4065" s="163"/>
      <c r="AB4065" s="166"/>
      <c r="AC4065" s="163"/>
      <c r="AD4065" s="163"/>
      <c r="AE4065" s="163"/>
      <c r="AF4065" s="271" t="str">
        <f t="shared" si="364"/>
        <v/>
      </c>
      <c r="AG4065" s="241"/>
      <c r="DG4065" s="573"/>
      <c r="DH4065" s="159"/>
      <c r="DI4065" s="1091"/>
      <c r="DJ4065" s="1187"/>
    </row>
    <row r="4066" spans="1:114" ht="15" hidden="1" customHeight="1" outlineLevel="1">
      <c r="A4066" s="453"/>
      <c r="C4066" s="51"/>
      <c r="D4066" s="4295"/>
      <c r="E4066" s="4295"/>
      <c r="F4066" s="4307" t="str">
        <f t="shared" si="365"/>
        <v>ASHP-SEER16_ER2_SF</v>
      </c>
      <c r="G4066" s="4307"/>
      <c r="H4066" s="4307"/>
      <c r="I4066" s="4307"/>
      <c r="J4066" s="1029" t="str">
        <f t="shared" si="366"/>
        <v>352550_2024_12_</v>
      </c>
      <c r="K4066" s="163"/>
      <c r="L4066" s="47" t="str">
        <f>IF(K4066&gt;0,VLOOKUP(J4066,$J$1914:$L$2106,3,FALSE),"")</f>
        <v/>
      </c>
      <c r="M4066" s="1743" t="str">
        <f>IF(K4066&gt;0,VLOOKUP(J4066,$J$3458:$K$3650,2,FALSE),"")</f>
        <v/>
      </c>
      <c r="P4066" s="261"/>
      <c r="Q4066" s="261"/>
      <c r="R4066" s="261"/>
      <c r="S4066" s="52"/>
      <c r="T4066" s="181"/>
      <c r="U4066" s="52"/>
      <c r="V4066" s="4295"/>
      <c r="W4066" s="163"/>
      <c r="X4066" s="166"/>
      <c r="Y4066" s="166"/>
      <c r="Z4066" s="163"/>
      <c r="AA4066" s="163"/>
      <c r="AB4066" s="166"/>
      <c r="AC4066" s="163"/>
      <c r="AD4066" s="163"/>
      <c r="AE4066" s="163"/>
      <c r="AF4066" s="271" t="str">
        <f t="shared" si="364"/>
        <v/>
      </c>
      <c r="AG4066" s="241"/>
      <c r="DG4066" s="573"/>
      <c r="DH4066" s="159"/>
      <c r="DI4066" s="1091"/>
      <c r="DJ4066" s="1187"/>
    </row>
    <row r="4067" spans="1:114" ht="15" hidden="1" customHeight="1" outlineLevel="1">
      <c r="A4067" s="453"/>
      <c r="C4067" s="51"/>
      <c r="D4067" s="4295"/>
      <c r="E4067" s="4295"/>
      <c r="F4067" s="4307" t="str">
        <f t="shared" si="365"/>
        <v>ASHP-SEER16_ER2_SF</v>
      </c>
      <c r="G4067" s="4307"/>
      <c r="H4067" s="4307"/>
      <c r="I4067" s="4307"/>
      <c r="J4067" s="1029" t="str">
        <f t="shared" si="366"/>
        <v>352550_2024_12_</v>
      </c>
      <c r="K4067" s="163"/>
      <c r="L4067" s="47" t="str">
        <f>IF(K4067&gt;0,VLOOKUP(J4067,$J$1914:$L$2106,3,FALSE),"")</f>
        <v/>
      </c>
      <c r="M4067" s="1743" t="str">
        <f>IF(K4067&gt;0,VLOOKUP(J4067,$J$3458:$K$3650,2,FALSE),"")</f>
        <v/>
      </c>
      <c r="P4067" s="261"/>
      <c r="Q4067" s="261"/>
      <c r="R4067" s="261"/>
      <c r="S4067" s="52"/>
      <c r="T4067" s="181"/>
      <c r="U4067" s="52"/>
      <c r="V4067" s="4295"/>
      <c r="W4067" s="163"/>
      <c r="X4067" s="166"/>
      <c r="Y4067" s="166"/>
      <c r="Z4067" s="163"/>
      <c r="AA4067" s="163"/>
      <c r="AB4067" s="166"/>
      <c r="AC4067" s="163"/>
      <c r="AD4067" s="163"/>
      <c r="AE4067" s="163"/>
      <c r="AF4067" s="271" t="str">
        <f t="shared" si="364"/>
        <v/>
      </c>
      <c r="AG4067" s="241"/>
      <c r="DG4067" s="573"/>
      <c r="DH4067" s="159"/>
      <c r="DI4067" s="1091"/>
      <c r="DJ4067" s="1187"/>
    </row>
    <row r="4068" spans="1:114" ht="15" hidden="1" customHeight="1" outlineLevel="1">
      <c r="A4068" s="453"/>
      <c r="C4068" s="51"/>
      <c r="D4068" s="4295"/>
      <c r="E4068" s="4295"/>
      <c r="F4068" s="4307" t="str">
        <f t="shared" si="365"/>
        <v>ASHP-SEER16-Replace_CAC_ElectricHeat_ROF_SF</v>
      </c>
      <c r="G4068" s="4307"/>
      <c r="H4068" s="4307"/>
      <c r="I4068" s="4307"/>
      <c r="J4068" s="1029" t="str">
        <f t="shared" si="366"/>
        <v>352600_2024_12_</v>
      </c>
      <c r="K4068" s="1752">
        <f>(S$1916+L4068*T$1916)-(S$1924+L4068*T$1924)</f>
        <v>3623.261297181818</v>
      </c>
      <c r="L4068" s="47">
        <f>VLOOKUP(J4068,$J$1914:$L$2106,3,FALSE)*M4068</f>
        <v>2.8104354953030306</v>
      </c>
      <c r="M4068" s="1743">
        <f>VLOOKUP(J4068,$J$3458:$K$3650,2,FALSE)</f>
        <v>1</v>
      </c>
      <c r="N4068" s="553"/>
      <c r="P4068" s="261"/>
      <c r="Q4068" s="261"/>
      <c r="R4068" s="261"/>
      <c r="S4068" s="52"/>
      <c r="T4068" s="181"/>
      <c r="U4068" s="52"/>
      <c r="V4068" s="4295"/>
      <c r="W4068" s="163">
        <v>1256.6400000000001</v>
      </c>
      <c r="X4068" s="166">
        <v>1340.28</v>
      </c>
      <c r="Y4068" s="166">
        <v>392.7</v>
      </c>
      <c r="Z4068" s="163">
        <v>392.7</v>
      </c>
      <c r="AA4068" s="163">
        <v>392.7</v>
      </c>
      <c r="AB4068" s="166">
        <v>438</v>
      </c>
      <c r="AC4068" s="163">
        <v>438</v>
      </c>
      <c r="AD4068" s="163">
        <v>438</v>
      </c>
      <c r="AE4068" s="163">
        <v>438</v>
      </c>
      <c r="AF4068" s="271">
        <f t="shared" si="364"/>
        <v>3623.261297181818</v>
      </c>
      <c r="AG4068" s="241"/>
      <c r="DG4068" s="573"/>
      <c r="DH4068" s="159"/>
      <c r="DI4068" s="1091"/>
      <c r="DJ4068" s="1187"/>
    </row>
    <row r="4069" spans="1:114" ht="15" hidden="1" customHeight="1" outlineLevel="1">
      <c r="A4069" s="453"/>
      <c r="C4069" s="51"/>
      <c r="D4069" s="4295"/>
      <c r="E4069" s="4295"/>
      <c r="F4069" s="4307" t="str">
        <f t="shared" si="365"/>
        <v>ASHP-SEER16-Replace_CAC_ElectricHeat_ROF_SF</v>
      </c>
      <c r="G4069" s="4307"/>
      <c r="H4069" s="4307"/>
      <c r="I4069" s="4307"/>
      <c r="J4069" s="1029" t="str">
        <f t="shared" si="366"/>
        <v>352600_2024_12_</v>
      </c>
      <c r="K4069" s="163"/>
      <c r="L4069" s="47" t="str">
        <f>IF(K4069&gt;0,VLOOKUP(J4069,$J$1914:$L$2106,3,FALSE),"")</f>
        <v/>
      </c>
      <c r="M4069" s="1743" t="str">
        <f>IF(K4069&gt;0,VLOOKUP(J4069,$J$3458:$K$3650,2,FALSE),"")</f>
        <v/>
      </c>
      <c r="P4069" s="261"/>
      <c r="Q4069" s="261"/>
      <c r="R4069" s="261"/>
      <c r="S4069" s="52"/>
      <c r="T4069" s="181"/>
      <c r="U4069" s="52"/>
      <c r="V4069" s="4295"/>
      <c r="W4069" s="163"/>
      <c r="X4069" s="166"/>
      <c r="Y4069" s="166"/>
      <c r="Z4069" s="163"/>
      <c r="AA4069" s="163"/>
      <c r="AB4069" s="166"/>
      <c r="AC4069" s="163"/>
      <c r="AD4069" s="163"/>
      <c r="AE4069" s="163"/>
      <c r="AF4069" s="271" t="str">
        <f t="shared" si="364"/>
        <v/>
      </c>
      <c r="AG4069" s="241"/>
      <c r="DG4069" s="573"/>
      <c r="DH4069" s="159"/>
      <c r="DI4069" s="1091"/>
      <c r="DJ4069" s="1187"/>
    </row>
    <row r="4070" spans="1:114" ht="15" hidden="1" customHeight="1" outlineLevel="1">
      <c r="A4070" s="453"/>
      <c r="C4070" s="51"/>
      <c r="D4070" s="4295"/>
      <c r="E4070" s="4295"/>
      <c r="F4070" s="4307" t="str">
        <f t="shared" si="365"/>
        <v>ASHP-SEER16-Replace_CAC_NonElectricHeat_ROF_SF</v>
      </c>
      <c r="G4070" s="4307"/>
      <c r="H4070" s="4307"/>
      <c r="I4070" s="4307"/>
      <c r="J4070" s="1029" t="str">
        <f t="shared" si="366"/>
        <v>352610_2024_12_</v>
      </c>
      <c r="K4070" s="1752">
        <f>((S$1916+L4070*T$1916)-(S$1924+L4070*T$1924))*VLOOKUP(J4070,$J$4424:$K$4467,2,FALSE)</f>
        <v>149.4416492480305</v>
      </c>
      <c r="L4070" s="47">
        <f>VLOOKUP(J4070,$J$1914:$L$2106,3,FALSE)*M4070</f>
        <v>2.8104354953030306</v>
      </c>
      <c r="M4070" s="1743">
        <f>VLOOKUP(J4070,$J$3458:$K$3650,2,FALSE)</f>
        <v>1</v>
      </c>
      <c r="N4070" s="553"/>
      <c r="P4070" s="261"/>
      <c r="Q4070" s="261"/>
      <c r="R4070" s="261"/>
      <c r="S4070" s="52"/>
      <c r="T4070" s="181"/>
      <c r="U4070" s="52"/>
      <c r="V4070" s="4295"/>
      <c r="W4070" s="163"/>
      <c r="X4070" s="166"/>
      <c r="Y4070" s="166"/>
      <c r="Z4070" s="163"/>
      <c r="AA4070" s="163"/>
      <c r="AB4070" s="166"/>
      <c r="AC4070" s="163"/>
      <c r="AD4070" s="166">
        <v>438</v>
      </c>
      <c r="AE4070" s="163">
        <v>438</v>
      </c>
      <c r="AF4070" s="271">
        <f t="shared" si="364"/>
        <v>149.4416492480305</v>
      </c>
      <c r="AG4070" s="241"/>
      <c r="DG4070" s="573"/>
      <c r="DH4070" s="159"/>
      <c r="DI4070" s="1091"/>
      <c r="DJ4070" s="1187"/>
    </row>
    <row r="4071" spans="1:114" ht="15" hidden="1" customHeight="1" outlineLevel="1">
      <c r="A4071" s="453"/>
      <c r="C4071" s="51"/>
      <c r="D4071" s="4295"/>
      <c r="E4071" s="4295"/>
      <c r="F4071" s="4307" t="str">
        <f t="shared" si="365"/>
        <v>ASHP-SEER16-Replace_CAC_NonElectricHeat_ROF_SF</v>
      </c>
      <c r="G4071" s="4307"/>
      <c r="H4071" s="4307"/>
      <c r="I4071" s="4307"/>
      <c r="J4071" s="1029" t="str">
        <f t="shared" si="366"/>
        <v>352610_2024_12_</v>
      </c>
      <c r="K4071" s="163"/>
      <c r="L4071" s="47" t="str">
        <f>IF(K4071&gt;0,VLOOKUP(J4071,$J$1914:$L$2106,3,FALSE),"")</f>
        <v/>
      </c>
      <c r="M4071" s="1743" t="str">
        <f>IF(K4071&gt;0,VLOOKUP(J4071,$J$3458:$K$3650,2,FALSE),"")</f>
        <v/>
      </c>
      <c r="P4071" s="261"/>
      <c r="Q4071" s="261"/>
      <c r="R4071" s="261"/>
      <c r="S4071" s="52"/>
      <c r="T4071" s="181"/>
      <c r="U4071" s="52"/>
      <c r="V4071" s="4295"/>
      <c r="W4071" s="163"/>
      <c r="X4071" s="166"/>
      <c r="Y4071" s="166"/>
      <c r="Z4071" s="163"/>
      <c r="AA4071" s="163"/>
      <c r="AB4071" s="166"/>
      <c r="AC4071" s="163"/>
      <c r="AD4071" s="163"/>
      <c r="AE4071" s="163"/>
      <c r="AF4071" s="271" t="str">
        <f t="shared" si="364"/>
        <v/>
      </c>
      <c r="AG4071" s="241"/>
      <c r="DG4071" s="573"/>
      <c r="DH4071" s="159"/>
      <c r="DI4071" s="1091"/>
      <c r="DJ4071" s="1187"/>
    </row>
    <row r="4072" spans="1:114" ht="15" hidden="1" customHeight="1" outlineLevel="1">
      <c r="A4072" s="453"/>
      <c r="C4072" s="51"/>
      <c r="D4072" s="4295"/>
      <c r="E4072" s="4295"/>
      <c r="F4072" s="4307" t="str">
        <f t="shared" si="365"/>
        <v>ASHP-SEER16_ROF_SF</v>
      </c>
      <c r="G4072" s="4307"/>
      <c r="H4072" s="4307"/>
      <c r="I4072" s="4307"/>
      <c r="J4072" s="1029" t="str">
        <f t="shared" si="366"/>
        <v>352650_2024_12_</v>
      </c>
      <c r="K4072" s="1752">
        <f>(S$1916+L4072*T$1916)-(S$1923+L4072*T$1923)</f>
        <v>421</v>
      </c>
      <c r="L4072" s="47">
        <f>VLOOKUP(J4072,$J$1914:$L$2106,3,FALSE)*M4072</f>
        <v>2.8104354953030306</v>
      </c>
      <c r="M4072" s="1743">
        <f>VLOOKUP(J4072,$J$3458:$K$3650,2,FALSE)</f>
        <v>1</v>
      </c>
      <c r="N4072" s="553"/>
      <c r="P4072" s="261"/>
      <c r="Q4072" s="261"/>
      <c r="R4072" s="261"/>
      <c r="S4072" s="52"/>
      <c r="T4072" s="181"/>
      <c r="U4072" s="52"/>
      <c r="V4072" s="4295"/>
      <c r="W4072" s="163">
        <v>999.9</v>
      </c>
      <c r="X4072" s="166">
        <v>927.18000000000006</v>
      </c>
      <c r="Y4072" s="166">
        <v>392.7</v>
      </c>
      <c r="Z4072" s="163">
        <v>392.7</v>
      </c>
      <c r="AA4072" s="163">
        <v>392.7</v>
      </c>
      <c r="AB4072" s="166">
        <v>438</v>
      </c>
      <c r="AC4072" s="163">
        <v>438</v>
      </c>
      <c r="AD4072" s="163">
        <v>438</v>
      </c>
      <c r="AE4072" s="163">
        <v>438</v>
      </c>
      <c r="AF4072" s="271">
        <f t="shared" si="364"/>
        <v>421</v>
      </c>
      <c r="AG4072" s="241"/>
      <c r="DG4072" s="573"/>
      <c r="DH4072" s="159"/>
      <c r="DI4072" s="1091"/>
      <c r="DJ4072" s="1187"/>
    </row>
    <row r="4073" spans="1:114" ht="15" hidden="1" customHeight="1" outlineLevel="1">
      <c r="A4073" s="453"/>
      <c r="C4073" s="51"/>
      <c r="D4073" s="4295"/>
      <c r="E4073" s="4295"/>
      <c r="F4073" s="4307" t="str">
        <f t="shared" si="365"/>
        <v>ASHP-SEER16_ROF_SF</v>
      </c>
      <c r="G4073" s="4307"/>
      <c r="H4073" s="4307"/>
      <c r="I4073" s="4307"/>
      <c r="J4073" s="1029" t="str">
        <f t="shared" si="366"/>
        <v>352650_2024_12_</v>
      </c>
      <c r="K4073" s="163"/>
      <c r="L4073" s="47" t="str">
        <f>IF(K4073&gt;0,VLOOKUP(J4073,$J$1914:$L$2106,3,FALSE),"")</f>
        <v/>
      </c>
      <c r="M4073" s="1743" t="str">
        <f>IF(K4073&gt;0,VLOOKUP(J4073,$J$3458:$K$3650,2,FALSE),"")</f>
        <v/>
      </c>
      <c r="P4073" s="261"/>
      <c r="Q4073" s="261"/>
      <c r="R4073" s="261"/>
      <c r="S4073" s="52"/>
      <c r="T4073" s="181"/>
      <c r="U4073" s="52"/>
      <c r="V4073" s="4295"/>
      <c r="W4073" s="163"/>
      <c r="X4073" s="166"/>
      <c r="Y4073" s="166"/>
      <c r="Z4073" s="163"/>
      <c r="AA4073" s="163"/>
      <c r="AB4073" s="166"/>
      <c r="AC4073" s="163"/>
      <c r="AD4073" s="163"/>
      <c r="AE4073" s="163"/>
      <c r="AF4073" s="271" t="str">
        <f t="shared" si="364"/>
        <v/>
      </c>
      <c r="AG4073" s="241"/>
      <c r="DG4073" s="573"/>
      <c r="DH4073" s="159"/>
      <c r="DI4073" s="1091"/>
      <c r="DJ4073" s="1187"/>
    </row>
    <row r="4074" spans="1:114" ht="15" hidden="1" customHeight="1" outlineLevel="1">
      <c r="A4074" s="453"/>
      <c r="C4074" s="51"/>
      <c r="D4074" s="4295"/>
      <c r="E4074" s="4295"/>
      <c r="F4074" s="4307" t="str">
        <f t="shared" si="365"/>
        <v>ASHP-SEER15_ER1_MF</v>
      </c>
      <c r="G4074" s="4307"/>
      <c r="H4074" s="4307"/>
      <c r="I4074" s="4307"/>
      <c r="J4074" s="1029" t="str">
        <f t="shared" si="366"/>
        <v>352700_2024_12_</v>
      </c>
      <c r="K4074" s="1752">
        <f>(S$1915+L4074*T$1915)-(S$1925+L4074*T$1925)*S$1931</f>
        <v>131.86562543570653</v>
      </c>
      <c r="L4074" s="47">
        <f>VLOOKUP(J4074,$J$1914:$L$2106,3,FALSE)*M4074</f>
        <v>2.9733333333333332</v>
      </c>
      <c r="M4074" s="1743">
        <f>VLOOKUP(J4074,$J$3458:$K$3650,2,FALSE)</f>
        <v>1</v>
      </c>
      <c r="N4074" s="553"/>
      <c r="P4074" s="261"/>
      <c r="Q4074" s="261"/>
      <c r="R4074" s="261"/>
      <c r="S4074" s="52"/>
      <c r="T4074" s="181"/>
      <c r="U4074" s="52"/>
      <c r="V4074" s="4295"/>
      <c r="W4074" s="163">
        <v>2618.5377829603426</v>
      </c>
      <c r="X4074" s="166">
        <v>2259.7123084105524</v>
      </c>
      <c r="Y4074" s="166">
        <v>870.25459154364216</v>
      </c>
      <c r="Z4074" s="163">
        <v>870.25459154364216</v>
      </c>
      <c r="AA4074" s="163">
        <v>870.25459154364216</v>
      </c>
      <c r="AB4074" s="166">
        <v>749.51513822467041</v>
      </c>
      <c r="AC4074" s="166">
        <v>755.98637211198456</v>
      </c>
      <c r="AD4074" s="166">
        <v>764.78725019873173</v>
      </c>
      <c r="AE4074" s="166">
        <v>1114.1702448868004</v>
      </c>
      <c r="AF4074" s="271">
        <f t="shared" si="364"/>
        <v>131.86562543570653</v>
      </c>
      <c r="AG4074" s="241"/>
      <c r="DG4074" s="573"/>
      <c r="DH4074" s="159"/>
      <c r="DI4074" s="1091"/>
      <c r="DJ4074" s="1187"/>
    </row>
    <row r="4075" spans="1:114" ht="15" hidden="1" customHeight="1" outlineLevel="1">
      <c r="A4075" s="453"/>
      <c r="C4075" s="51"/>
      <c r="D4075" s="4295"/>
      <c r="E4075" s="4295"/>
      <c r="F4075" s="4347" t="str">
        <f t="shared" si="365"/>
        <v>ASHP-SEER15_ER1_MF</v>
      </c>
      <c r="G4075" s="4347"/>
      <c r="H4075" s="4347"/>
      <c r="I4075" s="4347"/>
      <c r="J4075" s="3471" t="str">
        <f t="shared" si="366"/>
        <v>352700_2024_12_</v>
      </c>
      <c r="K4075" s="2894"/>
      <c r="L4075" s="3221" t="str">
        <f>IF(K4075&gt;0,VLOOKUP(J4075,$J$1914:$L$2106,3,FALSE),"")</f>
        <v/>
      </c>
      <c r="M4075" s="3497" t="str">
        <f>IF(K4075&gt;0,VLOOKUP(J4075,$J$3458:$K$3650,2,FALSE),"")</f>
        <v/>
      </c>
      <c r="P4075" s="261"/>
      <c r="Q4075" s="261"/>
      <c r="R4075" s="261"/>
      <c r="S4075" s="52"/>
      <c r="T4075" s="181"/>
      <c r="U4075" s="52"/>
      <c r="V4075" s="4295"/>
      <c r="W4075" s="2894"/>
      <c r="X4075" s="2467"/>
      <c r="Y4075" s="2467"/>
      <c r="Z4075" s="2894"/>
      <c r="AA4075" s="2894"/>
      <c r="AB4075" s="2467"/>
      <c r="AC4075" s="2894"/>
      <c r="AD4075" s="2894"/>
      <c r="AE4075" s="2894"/>
      <c r="AF4075" s="2236" t="str">
        <f t="shared" si="364"/>
        <v/>
      </c>
      <c r="AG4075" s="241"/>
      <c r="DG4075" s="573"/>
      <c r="DH4075" s="159"/>
      <c r="DI4075" s="1091"/>
      <c r="DJ4075" s="1187"/>
    </row>
    <row r="4076" spans="1:114" ht="15" hidden="1" customHeight="1" outlineLevel="1">
      <c r="A4076" s="453"/>
      <c r="C4076" s="51"/>
      <c r="D4076" s="4295"/>
      <c r="E4076" s="4295"/>
      <c r="F4076" s="4347" t="str">
        <f t="shared" si="365"/>
        <v>ASHP-SEER15_ER2_MF</v>
      </c>
      <c r="G4076" s="4347"/>
      <c r="H4076" s="4347"/>
      <c r="I4076" s="4347"/>
      <c r="J4076" s="3471" t="str">
        <f t="shared" si="366"/>
        <v>352700_2024_12_</v>
      </c>
      <c r="K4076" s="2894"/>
      <c r="L4076" s="3221" t="str">
        <f>IF(K4076&gt;0,VLOOKUP(J4076,$J$1914:$L$2106,3,FALSE),"")</f>
        <v/>
      </c>
      <c r="M4076" s="3497" t="str">
        <f>IF(K4076&gt;0,VLOOKUP(J4076,$J$3458:$K$3650,2,FALSE),"")</f>
        <v/>
      </c>
      <c r="P4076" s="261"/>
      <c r="Q4076" s="261"/>
      <c r="R4076" s="261"/>
      <c r="S4076" s="52"/>
      <c r="T4076" s="181"/>
      <c r="U4076" s="52"/>
      <c r="V4076" s="4295"/>
      <c r="W4076" s="2894"/>
      <c r="X4076" s="2467"/>
      <c r="Y4076" s="2467"/>
      <c r="Z4076" s="2894"/>
      <c r="AA4076" s="2894"/>
      <c r="AB4076" s="2467"/>
      <c r="AC4076" s="2894"/>
      <c r="AD4076" s="2894"/>
      <c r="AE4076" s="2894"/>
      <c r="AF4076" s="2236" t="str">
        <f t="shared" si="364"/>
        <v/>
      </c>
      <c r="AG4076" s="241"/>
      <c r="DG4076" s="573"/>
      <c r="DH4076" s="159"/>
      <c r="DI4076" s="1091"/>
      <c r="DJ4076" s="1187"/>
    </row>
    <row r="4077" spans="1:114" ht="15" hidden="1" customHeight="1" outlineLevel="1">
      <c r="A4077" s="453"/>
      <c r="C4077" s="51"/>
      <c r="D4077" s="4295"/>
      <c r="E4077" s="4295"/>
      <c r="F4077" s="4347" t="str">
        <f t="shared" si="365"/>
        <v>ASHP-SEER15_ER2_MF</v>
      </c>
      <c r="G4077" s="4347"/>
      <c r="H4077" s="4347"/>
      <c r="I4077" s="4347"/>
      <c r="J4077" s="3471" t="str">
        <f t="shared" si="366"/>
        <v>352700_2024_12_</v>
      </c>
      <c r="K4077" s="2894"/>
      <c r="L4077" s="3221" t="str">
        <f>IF(K4077&gt;0,VLOOKUP(J4077,$J$1914:$L$2106,3,FALSE),"")</f>
        <v/>
      </c>
      <c r="M4077" s="3497" t="str">
        <f>IF(K4077&gt;0,VLOOKUP(J4077,$J$3458:$K$3650,2,FALSE),"")</f>
        <v/>
      </c>
      <c r="P4077" s="261"/>
      <c r="Q4077" s="261"/>
      <c r="R4077" s="261"/>
      <c r="S4077" s="52"/>
      <c r="T4077" s="181"/>
      <c r="U4077" s="52"/>
      <c r="V4077" s="4295"/>
      <c r="W4077" s="2894"/>
      <c r="X4077" s="2467"/>
      <c r="Y4077" s="2467"/>
      <c r="Z4077" s="2894"/>
      <c r="AA4077" s="2894"/>
      <c r="AB4077" s="2467"/>
      <c r="AC4077" s="2894"/>
      <c r="AD4077" s="2894"/>
      <c r="AE4077" s="2894"/>
      <c r="AF4077" s="2236" t="str">
        <f t="shared" si="364"/>
        <v/>
      </c>
      <c r="AG4077" s="241"/>
      <c r="DG4077" s="573"/>
      <c r="DH4077" s="159"/>
      <c r="DI4077" s="1091"/>
      <c r="DJ4077" s="1187"/>
    </row>
    <row r="4078" spans="1:114" ht="15" hidden="1" customHeight="1" outlineLevel="1">
      <c r="A4078" s="453"/>
      <c r="C4078" s="51"/>
      <c r="D4078" s="4295"/>
      <c r="E4078" s="4295"/>
      <c r="F4078" s="4347" t="str">
        <f t="shared" si="365"/>
        <v>ASHP-SEER15_ER1_MF_CompE</v>
      </c>
      <c r="G4078" s="4347"/>
      <c r="H4078" s="4347"/>
      <c r="I4078" s="4347"/>
      <c r="J4078" s="3471" t="str">
        <f t="shared" si="366"/>
        <v>352701_2024_12_</v>
      </c>
      <c r="K4078" s="3496">
        <f>(S$1915+L4078*T$1915)-(S$1925+L4078*T$1925)*S$1931</f>
        <v>131.86562543570653</v>
      </c>
      <c r="L4078" s="3221">
        <f>VLOOKUP(J4078,$J$1914:$L$2106,3,FALSE)*M4078</f>
        <v>2.9733333333333332</v>
      </c>
      <c r="M4078" s="3497">
        <f>VLOOKUP(J4078,$J$3458:$K$3650,2,FALSE)</f>
        <v>1</v>
      </c>
      <c r="N4078" s="553"/>
      <c r="P4078" s="261"/>
      <c r="Q4078" s="261"/>
      <c r="R4078" s="261"/>
      <c r="S4078" s="52"/>
      <c r="T4078" s="181"/>
      <c r="U4078" s="52"/>
      <c r="V4078" s="4295"/>
      <c r="W4078" s="2894"/>
      <c r="X4078" s="2467"/>
      <c r="Y4078" s="2467"/>
      <c r="Z4078" s="2894"/>
      <c r="AA4078" s="2894"/>
      <c r="AB4078" s="2467"/>
      <c r="AC4078" s="2467">
        <v>755.98637211198456</v>
      </c>
      <c r="AD4078" s="2467">
        <v>764.78725019873173</v>
      </c>
      <c r="AE4078" s="2467">
        <v>830.26065917642018</v>
      </c>
      <c r="AF4078" s="2236">
        <f t="shared" si="364"/>
        <v>131.86562543570653</v>
      </c>
      <c r="AG4078" s="241"/>
      <c r="DG4078" s="573"/>
      <c r="DH4078" s="159"/>
      <c r="DI4078" s="1091"/>
      <c r="DJ4078" s="1187"/>
    </row>
    <row r="4079" spans="1:114" ht="15" hidden="1" customHeight="1" outlineLevel="1">
      <c r="A4079" s="453"/>
      <c r="C4079" s="51"/>
      <c r="D4079" s="4295"/>
      <c r="E4079" s="4295"/>
      <c r="F4079" s="4347" t="str">
        <f t="shared" si="365"/>
        <v>ASHP-SEER15_ER1_MF_CompE</v>
      </c>
      <c r="G4079" s="4347"/>
      <c r="H4079" s="4347"/>
      <c r="I4079" s="4347"/>
      <c r="J4079" s="3471" t="str">
        <f t="shared" si="366"/>
        <v>352701_2024_12_</v>
      </c>
      <c r="K4079" s="2894"/>
      <c r="L4079" s="3221"/>
      <c r="M4079" s="3497"/>
      <c r="P4079" s="261"/>
      <c r="Q4079" s="261"/>
      <c r="R4079" s="261"/>
      <c r="S4079" s="52"/>
      <c r="T4079" s="181"/>
      <c r="U4079" s="52"/>
      <c r="V4079" s="4295"/>
      <c r="W4079" s="2894"/>
      <c r="X4079" s="2467"/>
      <c r="Y4079" s="2467"/>
      <c r="Z4079" s="2894"/>
      <c r="AA4079" s="2894"/>
      <c r="AB4079" s="2467"/>
      <c r="AC4079" s="2894"/>
      <c r="AD4079" s="2894"/>
      <c r="AE4079" s="2894"/>
      <c r="AF4079" s="2236" t="str">
        <f t="shared" si="364"/>
        <v/>
      </c>
      <c r="AG4079" s="241"/>
      <c r="DG4079" s="573"/>
      <c r="DH4079" s="159"/>
      <c r="DI4079" s="1091"/>
      <c r="DJ4079" s="1187"/>
    </row>
    <row r="4080" spans="1:114" ht="15" hidden="1" customHeight="1" outlineLevel="1">
      <c r="A4080" s="453"/>
      <c r="C4080" s="51"/>
      <c r="D4080" s="4295"/>
      <c r="E4080" s="4295"/>
      <c r="F4080" s="4347" t="str">
        <f t="shared" si="365"/>
        <v>ASHP-SEER15_ER2_MF_CompE</v>
      </c>
      <c r="G4080" s="4347"/>
      <c r="H4080" s="4347"/>
      <c r="I4080" s="4347"/>
      <c r="J4080" s="3471" t="str">
        <f t="shared" si="366"/>
        <v>352701_2024_12_</v>
      </c>
      <c r="K4080" s="2894"/>
      <c r="L4080" s="3221"/>
      <c r="M4080" s="3497"/>
      <c r="P4080" s="261"/>
      <c r="Q4080" s="261"/>
      <c r="R4080" s="261"/>
      <c r="S4080" s="52"/>
      <c r="T4080" s="181"/>
      <c r="U4080" s="52"/>
      <c r="V4080" s="4295"/>
      <c r="W4080" s="2894"/>
      <c r="X4080" s="2467"/>
      <c r="Y4080" s="2467"/>
      <c r="Z4080" s="2894"/>
      <c r="AA4080" s="2894"/>
      <c r="AB4080" s="2467"/>
      <c r="AC4080" s="2894"/>
      <c r="AD4080" s="2894"/>
      <c r="AE4080" s="2894"/>
      <c r="AF4080" s="2236" t="str">
        <f t="shared" si="364"/>
        <v/>
      </c>
      <c r="AG4080" s="241"/>
      <c r="DG4080" s="573"/>
      <c r="DH4080" s="159"/>
      <c r="DI4080" s="1091"/>
      <c r="DJ4080" s="1187"/>
    </row>
    <row r="4081" spans="1:114" ht="15" hidden="1" customHeight="1" outlineLevel="1">
      <c r="A4081" s="453"/>
      <c r="C4081" s="51"/>
      <c r="D4081" s="4295"/>
      <c r="E4081" s="4295"/>
      <c r="F4081" s="4347" t="str">
        <f t="shared" si="365"/>
        <v>ASHP-SEER15_ER2_MF_CompE</v>
      </c>
      <c r="G4081" s="4347"/>
      <c r="H4081" s="4347"/>
      <c r="I4081" s="4347"/>
      <c r="J4081" s="3471" t="str">
        <f t="shared" si="366"/>
        <v>352701_2024_12_</v>
      </c>
      <c r="K4081" s="2894"/>
      <c r="L4081" s="3221"/>
      <c r="M4081" s="3497"/>
      <c r="P4081" s="261"/>
      <c r="Q4081" s="261"/>
      <c r="R4081" s="261"/>
      <c r="S4081" s="52"/>
      <c r="T4081" s="181"/>
      <c r="U4081" s="52"/>
      <c r="V4081" s="4295"/>
      <c r="W4081" s="2894"/>
      <c r="X4081" s="2467"/>
      <c r="Y4081" s="2467"/>
      <c r="Z4081" s="2894"/>
      <c r="AA4081" s="2894"/>
      <c r="AB4081" s="2467"/>
      <c r="AC4081" s="2894"/>
      <c r="AD4081" s="2894"/>
      <c r="AE4081" s="2894"/>
      <c r="AF4081" s="2236" t="str">
        <f t="shared" si="364"/>
        <v/>
      </c>
      <c r="AG4081" s="241"/>
      <c r="DG4081" s="573"/>
      <c r="DH4081" s="159"/>
      <c r="DI4081" s="1091"/>
      <c r="DJ4081" s="1187"/>
    </row>
    <row r="4082" spans="1:114" ht="15" hidden="1" customHeight="1" outlineLevel="1">
      <c r="A4082" s="453"/>
      <c r="C4082" s="51"/>
      <c r="D4082" s="4295"/>
      <c r="E4082" s="4295"/>
      <c r="F4082" s="4347" t="str">
        <f t="shared" si="365"/>
        <v>ASHP-SEER15-Replace_CAC_ElectricHeat_ER1_MF</v>
      </c>
      <c r="G4082" s="4347"/>
      <c r="H4082" s="4347"/>
      <c r="I4082" s="4347"/>
      <c r="J4082" s="3471" t="str">
        <f t="shared" si="366"/>
        <v>352750_2024_12_</v>
      </c>
      <c r="K4082" s="3496">
        <f>(S$1915+L4082*T$1915)-((S$1926+L4082*T$1926)*S$1931)</f>
        <v>3476.7316315552043</v>
      </c>
      <c r="L4082" s="3221">
        <f>VLOOKUP(J4082,$J$1914:$L$2106,3,FALSE)*M4082</f>
        <v>2.9733333333333332</v>
      </c>
      <c r="M4082" s="3497">
        <f>VLOOKUP(J4082,$J$3458:$K$3650,2,FALSE)</f>
        <v>1</v>
      </c>
      <c r="N4082" s="553"/>
      <c r="P4082" s="261"/>
      <c r="Q4082" s="261"/>
      <c r="R4082" s="261"/>
      <c r="S4082" s="52"/>
      <c r="T4082" s="181"/>
      <c r="U4082" s="52"/>
      <c r="V4082" s="4295"/>
      <c r="W4082" s="2894">
        <v>2365.1309007383738</v>
      </c>
      <c r="X4082" s="2467">
        <v>2041.0304721127566</v>
      </c>
      <c r="Y4082" s="2467">
        <v>815.35898591038654</v>
      </c>
      <c r="Z4082" s="2894">
        <v>815.35898591038654</v>
      </c>
      <c r="AA4082" s="2894">
        <v>815.35898591038654</v>
      </c>
      <c r="AB4082" s="2467">
        <v>730.10143656272817</v>
      </c>
      <c r="AC4082" s="2467">
        <v>691.27403323884414</v>
      </c>
      <c r="AD4082" s="2467">
        <v>764.78725019873173</v>
      </c>
      <c r="AE4082" s="2467">
        <v>1114.1702448868004</v>
      </c>
      <c r="AF4082" s="2236">
        <f t="shared" si="364"/>
        <v>3476.7316315552043</v>
      </c>
      <c r="AG4082" s="241"/>
      <c r="DG4082" s="573"/>
      <c r="DH4082" s="159"/>
      <c r="DI4082" s="1091"/>
      <c r="DJ4082" s="1187"/>
    </row>
    <row r="4083" spans="1:114" ht="15" hidden="1" customHeight="1" outlineLevel="1">
      <c r="A4083" s="453"/>
      <c r="C4083" s="51"/>
      <c r="D4083" s="4295"/>
      <c r="E4083" s="4295"/>
      <c r="F4083" s="4347" t="str">
        <f t="shared" si="365"/>
        <v>ASHP-SEER15-Replace_CAC_ElectricHeat_ER1_MF</v>
      </c>
      <c r="G4083" s="4347"/>
      <c r="H4083" s="4347"/>
      <c r="I4083" s="4347"/>
      <c r="J4083" s="3471" t="str">
        <f t="shared" si="366"/>
        <v>352750_2024_12_</v>
      </c>
      <c r="K4083" s="2894"/>
      <c r="L4083" s="3221" t="str">
        <f>IF(K4083&gt;0,VLOOKUP(J4083,$J$1914:$L$2106,3,FALSE),"")</f>
        <v/>
      </c>
      <c r="M4083" s="3497" t="str">
        <f>IF(K4083&gt;0,VLOOKUP(J4083,$J$3458:$K$3650,2,FALSE),"")</f>
        <v/>
      </c>
      <c r="P4083" s="261"/>
      <c r="Q4083" s="261"/>
      <c r="R4083" s="261"/>
      <c r="S4083" s="52"/>
      <c r="T4083" s="181"/>
      <c r="U4083" s="52"/>
      <c r="V4083" s="4295"/>
      <c r="W4083" s="2894"/>
      <c r="X4083" s="2467"/>
      <c r="Y4083" s="2467"/>
      <c r="Z4083" s="2894"/>
      <c r="AA4083" s="2894"/>
      <c r="AB4083" s="2467"/>
      <c r="AC4083" s="2894"/>
      <c r="AD4083" s="2894"/>
      <c r="AE4083" s="2894"/>
      <c r="AF4083" s="2236" t="str">
        <f t="shared" si="364"/>
        <v/>
      </c>
      <c r="AG4083" s="241"/>
      <c r="DG4083" s="573"/>
      <c r="DH4083" s="159"/>
      <c r="DI4083" s="1091"/>
      <c r="DJ4083" s="1187"/>
    </row>
    <row r="4084" spans="1:114" ht="15" hidden="1" customHeight="1" outlineLevel="1">
      <c r="A4084" s="453"/>
      <c r="C4084" s="51"/>
      <c r="D4084" s="4295"/>
      <c r="E4084" s="4295"/>
      <c r="F4084" s="4347" t="str">
        <f t="shared" si="365"/>
        <v>ASHP-SEER15-Replace_CAC_ElectricHeat_ER2_MF</v>
      </c>
      <c r="G4084" s="4347"/>
      <c r="H4084" s="4347"/>
      <c r="I4084" s="4347"/>
      <c r="J4084" s="3471" t="str">
        <f t="shared" si="366"/>
        <v>352750_2024_12_</v>
      </c>
      <c r="K4084" s="2894"/>
      <c r="L4084" s="3221" t="str">
        <f>IF(K4084&gt;0,VLOOKUP(J4084,$J$1914:$L$2106,3,FALSE),"")</f>
        <v/>
      </c>
      <c r="M4084" s="3497" t="str">
        <f>IF(K4084&gt;0,VLOOKUP(J4084,$J$3458:$K$3650,2,FALSE),"")</f>
        <v/>
      </c>
      <c r="P4084" s="261"/>
      <c r="Q4084" s="261"/>
      <c r="R4084" s="261"/>
      <c r="S4084" s="52"/>
      <c r="T4084" s="181"/>
      <c r="U4084" s="52"/>
      <c r="V4084" s="4295"/>
      <c r="W4084" s="2894"/>
      <c r="X4084" s="2467"/>
      <c r="Y4084" s="2467"/>
      <c r="Z4084" s="2894"/>
      <c r="AA4084" s="2894"/>
      <c r="AB4084" s="2894"/>
      <c r="AC4084" s="2894"/>
      <c r="AD4084" s="2894"/>
      <c r="AE4084" s="2894"/>
      <c r="AF4084" s="2236" t="str">
        <f t="shared" si="364"/>
        <v/>
      </c>
      <c r="AG4084" s="241"/>
      <c r="DG4084" s="573"/>
      <c r="DH4084" s="159"/>
      <c r="DI4084" s="1091"/>
      <c r="DJ4084" s="1187"/>
    </row>
    <row r="4085" spans="1:114" ht="15" hidden="1" customHeight="1" outlineLevel="1">
      <c r="A4085" s="453"/>
      <c r="C4085" s="51"/>
      <c r="D4085" s="4295"/>
      <c r="E4085" s="4295"/>
      <c r="F4085" s="4347" t="str">
        <f t="shared" si="365"/>
        <v>ASHP-SEER15-Replace_CAC_ElectricHeat_ER2_MF</v>
      </c>
      <c r="G4085" s="4347"/>
      <c r="H4085" s="4347"/>
      <c r="I4085" s="4347"/>
      <c r="J4085" s="3471" t="str">
        <f t="shared" si="366"/>
        <v>352750_2024_12_</v>
      </c>
      <c r="K4085" s="2894"/>
      <c r="L4085" s="3221" t="str">
        <f>IF(K4085&gt;0,VLOOKUP(J4085,$J$1914:$L$2106,3,FALSE),"")</f>
        <v/>
      </c>
      <c r="M4085" s="3497" t="str">
        <f>IF(K4085&gt;0,VLOOKUP(J4085,$J$3458:$K$3650,2,FALSE),"")</f>
        <v/>
      </c>
      <c r="P4085" s="261"/>
      <c r="Q4085" s="261"/>
      <c r="R4085" s="261"/>
      <c r="S4085" s="52"/>
      <c r="T4085" s="181"/>
      <c r="U4085" s="52"/>
      <c r="V4085" s="4295"/>
      <c r="W4085" s="2894"/>
      <c r="X4085" s="2467"/>
      <c r="Y4085" s="2467"/>
      <c r="Z4085" s="2894"/>
      <c r="AA4085" s="2894"/>
      <c r="AB4085" s="2894"/>
      <c r="AC4085" s="2894"/>
      <c r="AD4085" s="2894"/>
      <c r="AE4085" s="2894"/>
      <c r="AF4085" s="2236" t="str">
        <f t="shared" si="364"/>
        <v/>
      </c>
      <c r="AG4085" s="241"/>
      <c r="DG4085" s="573"/>
      <c r="DH4085" s="159"/>
      <c r="DI4085" s="1091"/>
      <c r="DJ4085" s="1187"/>
    </row>
    <row r="4086" spans="1:114" ht="15" hidden="1" customHeight="1" outlineLevel="1">
      <c r="A4086" s="453"/>
      <c r="C4086" s="51"/>
      <c r="D4086" s="4295"/>
      <c r="E4086" s="4295"/>
      <c r="F4086" s="4347" t="str">
        <f t="shared" si="365"/>
        <v>ASHP-SEER15-Replace_CAC_ElectricHeat_ER1_MF_CompE</v>
      </c>
      <c r="G4086" s="4347"/>
      <c r="H4086" s="4347"/>
      <c r="I4086" s="4347"/>
      <c r="J4086" s="3471" t="str">
        <f t="shared" si="366"/>
        <v>352751_2024_12_</v>
      </c>
      <c r="K4086" s="3496">
        <f>(S$1915+L4086*T$1915)-((S$1926+L4086*T$1926)*S$1931)</f>
        <v>3476.7316315552043</v>
      </c>
      <c r="L4086" s="3221">
        <f>VLOOKUP(J4086,$J$1914:$L$2106,3,FALSE)*M4086</f>
        <v>2.9733333333333332</v>
      </c>
      <c r="M4086" s="3497">
        <f>VLOOKUP(J4086,$J$3458:$K$3650,2,FALSE)</f>
        <v>1</v>
      </c>
      <c r="N4086" s="553"/>
      <c r="P4086" s="261"/>
      <c r="Q4086" s="261"/>
      <c r="R4086" s="261"/>
      <c r="S4086" s="52"/>
      <c r="T4086" s="181"/>
      <c r="U4086" s="52"/>
      <c r="V4086" s="4295"/>
      <c r="W4086" s="2894"/>
      <c r="X4086" s="2467"/>
      <c r="Y4086" s="2467"/>
      <c r="Z4086" s="2894"/>
      <c r="AA4086" s="2894"/>
      <c r="AB4086" s="2894"/>
      <c r="AC4086" s="2467">
        <v>691.27403323884414</v>
      </c>
      <c r="AD4086" s="2467">
        <v>764.78725019873173</v>
      </c>
      <c r="AE4086" s="2467">
        <v>1114.1702448868004</v>
      </c>
      <c r="AF4086" s="2236">
        <f t="shared" si="364"/>
        <v>3476.7316315552043</v>
      </c>
      <c r="AG4086" s="241"/>
      <c r="DG4086" s="573"/>
      <c r="DH4086" s="159"/>
      <c r="DI4086" s="1091"/>
      <c r="DJ4086" s="1187"/>
    </row>
    <row r="4087" spans="1:114" ht="15" hidden="1" customHeight="1" outlineLevel="1">
      <c r="A4087" s="453"/>
      <c r="C4087" s="51"/>
      <c r="D4087" s="4295"/>
      <c r="E4087" s="4295"/>
      <c r="F4087" s="4347" t="str">
        <f t="shared" si="365"/>
        <v>ASHP-SEER15-Replace_CAC_ElectricHeat_ER1_MF_CompE</v>
      </c>
      <c r="G4087" s="4347"/>
      <c r="H4087" s="4347"/>
      <c r="I4087" s="4347"/>
      <c r="J4087" s="3471" t="str">
        <f t="shared" si="366"/>
        <v>352751_2024_12_</v>
      </c>
      <c r="K4087" s="2894"/>
      <c r="L4087" s="3221"/>
      <c r="M4087" s="3497"/>
      <c r="P4087" s="261"/>
      <c r="Q4087" s="261"/>
      <c r="R4087" s="261"/>
      <c r="S4087" s="52"/>
      <c r="T4087" s="181"/>
      <c r="U4087" s="52"/>
      <c r="V4087" s="4295"/>
      <c r="W4087" s="2894"/>
      <c r="X4087" s="2467"/>
      <c r="Y4087" s="2467"/>
      <c r="Z4087" s="2894"/>
      <c r="AA4087" s="2894"/>
      <c r="AB4087" s="2894"/>
      <c r="AC4087" s="2894"/>
      <c r="AD4087" s="2894"/>
      <c r="AE4087" s="2894"/>
      <c r="AF4087" s="2236" t="str">
        <f t="shared" si="364"/>
        <v/>
      </c>
      <c r="AG4087" s="241"/>
      <c r="DG4087" s="573"/>
      <c r="DH4087" s="159"/>
      <c r="DI4087" s="1091"/>
      <c r="DJ4087" s="1187"/>
    </row>
    <row r="4088" spans="1:114" ht="15" hidden="1" customHeight="1" outlineLevel="1">
      <c r="A4088" s="453"/>
      <c r="C4088" s="51"/>
      <c r="D4088" s="4295"/>
      <c r="E4088" s="4295"/>
      <c r="F4088" s="4347" t="str">
        <f t="shared" si="365"/>
        <v>ASHP-SEER15-Replace_CAC_ElectricHeat_ER2_MF_CompE</v>
      </c>
      <c r="G4088" s="4347"/>
      <c r="H4088" s="4347"/>
      <c r="I4088" s="4347"/>
      <c r="J4088" s="3471" t="str">
        <f t="shared" si="366"/>
        <v>352751_2024_12_</v>
      </c>
      <c r="K4088" s="2894"/>
      <c r="L4088" s="3221"/>
      <c r="M4088" s="3497"/>
      <c r="P4088" s="261"/>
      <c r="Q4088" s="261"/>
      <c r="R4088" s="261"/>
      <c r="S4088" s="52"/>
      <c r="T4088" s="181"/>
      <c r="U4088" s="52"/>
      <c r="V4088" s="4295"/>
      <c r="W4088" s="2894"/>
      <c r="X4088" s="2467"/>
      <c r="Y4088" s="2467"/>
      <c r="Z4088" s="2894"/>
      <c r="AA4088" s="2894"/>
      <c r="AB4088" s="2894"/>
      <c r="AC4088" s="2894"/>
      <c r="AD4088" s="2894"/>
      <c r="AE4088" s="2894"/>
      <c r="AF4088" s="2236" t="str">
        <f t="shared" si="364"/>
        <v/>
      </c>
      <c r="AG4088" s="241"/>
      <c r="DG4088" s="573"/>
      <c r="DH4088" s="159"/>
      <c r="DI4088" s="1091"/>
      <c r="DJ4088" s="1187"/>
    </row>
    <row r="4089" spans="1:114" ht="15" hidden="1" customHeight="1" outlineLevel="1">
      <c r="A4089" s="453"/>
      <c r="C4089" s="51"/>
      <c r="D4089" s="4295"/>
      <c r="E4089" s="4295"/>
      <c r="F4089" s="4347" t="str">
        <f t="shared" si="365"/>
        <v>ASHP-SEER15-Replace_CAC_ElectricHeat_ER2_MF_CompE</v>
      </c>
      <c r="G4089" s="4347"/>
      <c r="H4089" s="4347"/>
      <c r="I4089" s="4347"/>
      <c r="J4089" s="3471" t="str">
        <f t="shared" si="366"/>
        <v>352751_2024_12_</v>
      </c>
      <c r="K4089" s="2894"/>
      <c r="L4089" s="3221"/>
      <c r="M4089" s="3497"/>
      <c r="P4089" s="261"/>
      <c r="Q4089" s="261"/>
      <c r="R4089" s="261"/>
      <c r="S4089" s="52"/>
      <c r="T4089" s="181"/>
      <c r="U4089" s="52"/>
      <c r="V4089" s="4295"/>
      <c r="W4089" s="2894"/>
      <c r="X4089" s="2467"/>
      <c r="Y4089" s="2467"/>
      <c r="Z4089" s="2894"/>
      <c r="AA4089" s="2894"/>
      <c r="AB4089" s="2894"/>
      <c r="AC4089" s="2894"/>
      <c r="AD4089" s="2894"/>
      <c r="AE4089" s="2894"/>
      <c r="AF4089" s="2236" t="str">
        <f t="shared" si="364"/>
        <v/>
      </c>
      <c r="AG4089" s="241"/>
      <c r="DG4089" s="573"/>
      <c r="DH4089" s="159"/>
      <c r="DI4089" s="1091"/>
      <c r="DJ4089" s="1187"/>
    </row>
    <row r="4090" spans="1:114" ht="15" hidden="1" customHeight="1" outlineLevel="1">
      <c r="A4090" s="453"/>
      <c r="C4090" s="51"/>
      <c r="D4090" s="4295"/>
      <c r="E4090" s="4295"/>
      <c r="F4090" s="4347" t="str">
        <f t="shared" si="365"/>
        <v>ASHP-SEER15-Replace_CAC_NonElectricHeat_ER1_MF</v>
      </c>
      <c r="G4090" s="4347"/>
      <c r="H4090" s="4347"/>
      <c r="I4090" s="4347"/>
      <c r="J4090" s="3471" t="str">
        <f t="shared" si="366"/>
        <v>352760_2024_12_</v>
      </c>
      <c r="K4090" s="3496">
        <f>((S$1915+L4090*T$1915)-((S$1926+L4090*T$1926)*S$1931))*VLOOKUP(J4090,$J$4424:$K$4467,2,FALSE)</f>
        <v>410.70478193185022</v>
      </c>
      <c r="L4090" s="3221">
        <f>VLOOKUP(J4090,$J$1914:$L$2106,3,FALSE)*M4090</f>
        <v>2.9733333333333332</v>
      </c>
      <c r="M4090" s="3497">
        <f>VLOOKUP(J4090,$J$3458:$K$3650,2,FALSE)</f>
        <v>1</v>
      </c>
      <c r="N4090" s="553"/>
      <c r="P4090" s="261"/>
      <c r="Q4090" s="261"/>
      <c r="R4090" s="261"/>
      <c r="S4090" s="52"/>
      <c r="T4090" s="181"/>
      <c r="U4090" s="52"/>
      <c r="V4090" s="4295"/>
      <c r="W4090" s="2894"/>
      <c r="X4090" s="2467"/>
      <c r="Y4090" s="2467"/>
      <c r="Z4090" s="2894"/>
      <c r="AA4090" s="2894"/>
      <c r="AB4090" s="2894"/>
      <c r="AC4090" s="2467">
        <v>691.27403323884414</v>
      </c>
      <c r="AD4090" s="2467">
        <v>764.78725019873173</v>
      </c>
      <c r="AE4090" s="2467">
        <v>1114.1702448868004</v>
      </c>
      <c r="AF4090" s="2236">
        <f t="shared" ref="AF4090:AF4153" si="367">IF(K4090&lt;&gt;"",K4090,"")</f>
        <v>410.70478193185022</v>
      </c>
      <c r="AG4090" s="241"/>
      <c r="DG4090" s="573"/>
      <c r="DH4090" s="159"/>
      <c r="DI4090" s="1091"/>
      <c r="DJ4090" s="1187"/>
    </row>
    <row r="4091" spans="1:114" ht="15" hidden="1" customHeight="1" outlineLevel="1">
      <c r="A4091" s="453"/>
      <c r="C4091" s="51"/>
      <c r="D4091" s="4295"/>
      <c r="E4091" s="4295"/>
      <c r="F4091" s="4347" t="str">
        <f t="shared" si="365"/>
        <v>ASHP-SEER15-Replace_CAC_NonElectricHeat_ER1_MF</v>
      </c>
      <c r="G4091" s="4347"/>
      <c r="H4091" s="4347"/>
      <c r="I4091" s="4347"/>
      <c r="J4091" s="3471" t="str">
        <f t="shared" si="366"/>
        <v>352760_2024_12_</v>
      </c>
      <c r="K4091" s="2894"/>
      <c r="L4091" s="3221"/>
      <c r="M4091" s="3497"/>
      <c r="P4091" s="261"/>
      <c r="Q4091" s="261"/>
      <c r="R4091" s="261"/>
      <c r="S4091" s="52"/>
      <c r="T4091" s="181"/>
      <c r="U4091" s="52"/>
      <c r="V4091" s="4295"/>
      <c r="W4091" s="2894"/>
      <c r="X4091" s="2467"/>
      <c r="Y4091" s="2467"/>
      <c r="Z4091" s="2894"/>
      <c r="AA4091" s="2894"/>
      <c r="AB4091" s="2894"/>
      <c r="AC4091" s="2894"/>
      <c r="AD4091" s="2894"/>
      <c r="AE4091" s="2894"/>
      <c r="AF4091" s="2236" t="str">
        <f t="shared" si="367"/>
        <v/>
      </c>
      <c r="AG4091" s="241"/>
      <c r="DG4091" s="573"/>
      <c r="DH4091" s="159"/>
      <c r="DI4091" s="1091"/>
      <c r="DJ4091" s="1187"/>
    </row>
    <row r="4092" spans="1:114" ht="15" hidden="1" customHeight="1" outlineLevel="1">
      <c r="A4092" s="453"/>
      <c r="C4092" s="51"/>
      <c r="D4092" s="4295"/>
      <c r="E4092" s="4295"/>
      <c r="F4092" s="4347" t="str">
        <f t="shared" si="365"/>
        <v>ASHP-SEER15-Replace_CAC_NonElectricHeat_ER2_MF</v>
      </c>
      <c r="G4092" s="4347"/>
      <c r="H4092" s="4347"/>
      <c r="I4092" s="4347"/>
      <c r="J4092" s="3471" t="str">
        <f t="shared" si="366"/>
        <v>352760_2024_12_</v>
      </c>
      <c r="K4092" s="2894"/>
      <c r="L4092" s="3221"/>
      <c r="M4092" s="3497"/>
      <c r="P4092" s="261"/>
      <c r="Q4092" s="261"/>
      <c r="R4092" s="261"/>
      <c r="S4092" s="52"/>
      <c r="T4092" s="181"/>
      <c r="U4092" s="52"/>
      <c r="V4092" s="4295"/>
      <c r="W4092" s="2894"/>
      <c r="X4092" s="2467"/>
      <c r="Y4092" s="2467"/>
      <c r="Z4092" s="2894"/>
      <c r="AA4092" s="2894"/>
      <c r="AB4092" s="2894"/>
      <c r="AC4092" s="2894"/>
      <c r="AD4092" s="2894"/>
      <c r="AE4092" s="2894"/>
      <c r="AF4092" s="2236" t="str">
        <f t="shared" si="367"/>
        <v/>
      </c>
      <c r="AG4092" s="241"/>
      <c r="DG4092" s="573"/>
      <c r="DH4092" s="159"/>
      <c r="DI4092" s="1091"/>
      <c r="DJ4092" s="1187"/>
    </row>
    <row r="4093" spans="1:114" ht="15" hidden="1" customHeight="1" outlineLevel="1">
      <c r="A4093" s="453"/>
      <c r="C4093" s="51"/>
      <c r="D4093" s="4295"/>
      <c r="E4093" s="4295"/>
      <c r="F4093" s="4347" t="str">
        <f t="shared" si="365"/>
        <v>ASHP-SEER15-Replace_CAC_NonElectricHeat_ER2_MF</v>
      </c>
      <c r="G4093" s="4347"/>
      <c r="H4093" s="4347"/>
      <c r="I4093" s="4347"/>
      <c r="J4093" s="3471" t="str">
        <f t="shared" si="366"/>
        <v>352760_2024_12_</v>
      </c>
      <c r="K4093" s="2894"/>
      <c r="L4093" s="3221"/>
      <c r="M4093" s="3497"/>
      <c r="P4093" s="261"/>
      <c r="Q4093" s="261"/>
      <c r="R4093" s="261"/>
      <c r="S4093" s="52"/>
      <c r="T4093" s="181"/>
      <c r="U4093" s="52"/>
      <c r="V4093" s="4295"/>
      <c r="W4093" s="2894"/>
      <c r="X4093" s="2467"/>
      <c r="Y4093" s="2467"/>
      <c r="Z4093" s="2894"/>
      <c r="AA4093" s="2894"/>
      <c r="AB4093" s="2894"/>
      <c r="AC4093" s="2894"/>
      <c r="AD4093" s="2894"/>
      <c r="AE4093" s="2894"/>
      <c r="AF4093" s="2236" t="str">
        <f t="shared" si="367"/>
        <v/>
      </c>
      <c r="AG4093" s="241"/>
      <c r="DG4093" s="573"/>
      <c r="DH4093" s="159"/>
      <c r="DI4093" s="1091"/>
      <c r="DJ4093" s="1187"/>
    </row>
    <row r="4094" spans="1:114" ht="15" hidden="1" customHeight="1" outlineLevel="1">
      <c r="A4094" s="453"/>
      <c r="C4094" s="51"/>
      <c r="D4094" s="4295"/>
      <c r="E4094" s="4295"/>
      <c r="F4094" s="4347" t="str">
        <f t="shared" si="365"/>
        <v>ASHP-SEER15-Replace_CAC_NonElectricHeat_ER1_MF_CompE</v>
      </c>
      <c r="G4094" s="4347"/>
      <c r="H4094" s="4347"/>
      <c r="I4094" s="4347"/>
      <c r="J4094" s="3471" t="str">
        <f t="shared" si="366"/>
        <v>352761_2024_12_</v>
      </c>
      <c r="K4094" s="3496">
        <f>((S$1915+L4094*T$1915)-((S$1926+L4094*T$1926)*S$1931))*VLOOKUP(J4094,$J$4424:$K$4467,2,FALSE)</f>
        <v>772.71770760434947</v>
      </c>
      <c r="L4094" s="3221">
        <f>VLOOKUP(J4094,$J$1914:$L$2106,3,FALSE)*M4094</f>
        <v>2.9733333333333332</v>
      </c>
      <c r="M4094" s="3497">
        <f>VLOOKUP(J4094,$J$3458:$K$3650,2,FALSE)</f>
        <v>1</v>
      </c>
      <c r="N4094" s="553"/>
      <c r="P4094" s="261"/>
      <c r="Q4094" s="261"/>
      <c r="R4094" s="261"/>
      <c r="S4094" s="52"/>
      <c r="T4094" s="181"/>
      <c r="U4094" s="52"/>
      <c r="V4094" s="4295"/>
      <c r="W4094" s="2894"/>
      <c r="X4094" s="2467"/>
      <c r="Y4094" s="2467"/>
      <c r="Z4094" s="2894"/>
      <c r="AA4094" s="2894"/>
      <c r="AB4094" s="2894"/>
      <c r="AC4094" s="2467">
        <v>691.27403323884414</v>
      </c>
      <c r="AD4094" s="2467">
        <v>764.78725019873173</v>
      </c>
      <c r="AE4094" s="2467">
        <v>1114.1702448868004</v>
      </c>
      <c r="AF4094" s="2236">
        <f t="shared" si="367"/>
        <v>772.71770760434947</v>
      </c>
      <c r="AG4094" s="241"/>
      <c r="DG4094" s="573"/>
      <c r="DH4094" s="159"/>
      <c r="DI4094" s="1091"/>
      <c r="DJ4094" s="1187"/>
    </row>
    <row r="4095" spans="1:114" ht="15" hidden="1" customHeight="1" outlineLevel="1">
      <c r="A4095" s="453"/>
      <c r="C4095" s="51"/>
      <c r="D4095" s="4295"/>
      <c r="E4095" s="4295"/>
      <c r="F4095" s="4347" t="str">
        <f t="shared" si="365"/>
        <v>ASHP-SEER15-Replace_CAC_NonElectricHeat_ER1_MF_CompE</v>
      </c>
      <c r="G4095" s="4347"/>
      <c r="H4095" s="4347"/>
      <c r="I4095" s="4347"/>
      <c r="J4095" s="3471" t="str">
        <f t="shared" si="366"/>
        <v>352761_2024_12_</v>
      </c>
      <c r="K4095" s="2894"/>
      <c r="L4095" s="3221"/>
      <c r="M4095" s="3497"/>
      <c r="P4095" s="261"/>
      <c r="Q4095" s="261"/>
      <c r="R4095" s="261"/>
      <c r="S4095" s="52"/>
      <c r="T4095" s="181"/>
      <c r="U4095" s="52"/>
      <c r="V4095" s="4295"/>
      <c r="W4095" s="2894"/>
      <c r="X4095" s="2467"/>
      <c r="Y4095" s="2467"/>
      <c r="Z4095" s="2894"/>
      <c r="AA4095" s="2894"/>
      <c r="AB4095" s="2894"/>
      <c r="AC4095" s="2894"/>
      <c r="AD4095" s="2894"/>
      <c r="AE4095" s="2894"/>
      <c r="AF4095" s="2236" t="str">
        <f t="shared" si="367"/>
        <v/>
      </c>
      <c r="AG4095" s="241"/>
      <c r="DG4095" s="573"/>
      <c r="DH4095" s="159"/>
      <c r="DI4095" s="1091"/>
      <c r="DJ4095" s="1187"/>
    </row>
    <row r="4096" spans="1:114" ht="15" hidden="1" customHeight="1" outlineLevel="1">
      <c r="A4096" s="453"/>
      <c r="C4096" s="51"/>
      <c r="D4096" s="4295"/>
      <c r="E4096" s="4295"/>
      <c r="F4096" s="4347" t="str">
        <f t="shared" si="365"/>
        <v>ASHP-SEER15-Replace_CAC_NonElectricHeat_ER2_MF_CompE</v>
      </c>
      <c r="G4096" s="4347"/>
      <c r="H4096" s="4347"/>
      <c r="I4096" s="4347"/>
      <c r="J4096" s="3471" t="str">
        <f t="shared" si="366"/>
        <v>352761_2024_12_</v>
      </c>
      <c r="K4096" s="2894"/>
      <c r="L4096" s="3221"/>
      <c r="M4096" s="3497"/>
      <c r="P4096" s="261"/>
      <c r="Q4096" s="261"/>
      <c r="R4096" s="261"/>
      <c r="S4096" s="52"/>
      <c r="T4096" s="181"/>
      <c r="U4096" s="52"/>
      <c r="V4096" s="4295"/>
      <c r="W4096" s="2894"/>
      <c r="X4096" s="2467"/>
      <c r="Y4096" s="2467"/>
      <c r="Z4096" s="2894"/>
      <c r="AA4096" s="2894"/>
      <c r="AB4096" s="2894"/>
      <c r="AC4096" s="2894"/>
      <c r="AD4096" s="2894"/>
      <c r="AE4096" s="2894"/>
      <c r="AF4096" s="2236" t="str">
        <f t="shared" si="367"/>
        <v/>
      </c>
      <c r="AG4096" s="241"/>
      <c r="DG4096" s="573"/>
      <c r="DH4096" s="159"/>
      <c r="DI4096" s="1091"/>
      <c r="DJ4096" s="1187"/>
    </row>
    <row r="4097" spans="1:114" ht="15" hidden="1" customHeight="1" outlineLevel="1">
      <c r="A4097" s="453"/>
      <c r="C4097" s="51"/>
      <c r="D4097" s="4295"/>
      <c r="E4097" s="4295"/>
      <c r="F4097" s="4347" t="str">
        <f t="shared" si="365"/>
        <v>ASHP-SEER15-Replace_CAC_NonElectricHeat_ER2_MF_CompE</v>
      </c>
      <c r="G4097" s="4347"/>
      <c r="H4097" s="4347"/>
      <c r="I4097" s="4347"/>
      <c r="J4097" s="3471" t="str">
        <f t="shared" si="366"/>
        <v>352761_2024_12_</v>
      </c>
      <c r="K4097" s="2894"/>
      <c r="L4097" s="3221"/>
      <c r="M4097" s="3497"/>
      <c r="P4097" s="261"/>
      <c r="Q4097" s="261"/>
      <c r="R4097" s="261"/>
      <c r="S4097" s="52"/>
      <c r="T4097" s="181"/>
      <c r="U4097" s="52"/>
      <c r="V4097" s="4295"/>
      <c r="W4097" s="2894"/>
      <c r="X4097" s="2467"/>
      <c r="Y4097" s="2467"/>
      <c r="Z4097" s="2894"/>
      <c r="AA4097" s="2894"/>
      <c r="AB4097" s="2894"/>
      <c r="AC4097" s="2894"/>
      <c r="AD4097" s="2894"/>
      <c r="AE4097" s="2894"/>
      <c r="AF4097" s="2236" t="str">
        <f t="shared" si="367"/>
        <v/>
      </c>
      <c r="AG4097" s="241"/>
      <c r="DG4097" s="573"/>
      <c r="DH4097" s="159"/>
      <c r="DI4097" s="1091"/>
      <c r="DJ4097" s="1187"/>
    </row>
    <row r="4098" spans="1:114" ht="15" hidden="1" customHeight="1" outlineLevel="1">
      <c r="A4098" s="453"/>
      <c r="C4098" s="51"/>
      <c r="D4098" s="4295"/>
      <c r="E4098" s="4295"/>
      <c r="F4098" s="4347" t="str">
        <f t="shared" si="365"/>
        <v>ASHP-SEER15-Replace_CAC_ElectricHeat_ROF_MF</v>
      </c>
      <c r="G4098" s="4347"/>
      <c r="H4098" s="4347"/>
      <c r="I4098" s="4347"/>
      <c r="J4098" s="3471" t="str">
        <f t="shared" si="366"/>
        <v>352800_2024_12_</v>
      </c>
      <c r="K4098" s="3496">
        <f>(S$1915+L4098*T$1915)-(S$1924+L4098*T$1924)</f>
        <v>2961</v>
      </c>
      <c r="L4098" s="3221">
        <f>VLOOKUP(J4098,$J$1914:$L$2106,3,FALSE)*M4098</f>
        <v>2.1833333333333331</v>
      </c>
      <c r="M4098" s="3497">
        <f>VLOOKUP(J4098,$J$3458:$K$3650,2,FALSE)</f>
        <v>1</v>
      </c>
      <c r="N4098" s="553"/>
      <c r="P4098" s="261"/>
      <c r="Q4098" s="261"/>
      <c r="R4098" s="261"/>
      <c r="S4098" s="52"/>
      <c r="T4098" s="181"/>
      <c r="U4098" s="52"/>
      <c r="V4098" s="4295"/>
      <c r="W4098" s="2894">
        <v>787.80000000000007</v>
      </c>
      <c r="X4098" s="2467">
        <v>512.07000000000005</v>
      </c>
      <c r="Y4098" s="2467">
        <v>303</v>
      </c>
      <c r="Z4098" s="2894">
        <v>303</v>
      </c>
      <c r="AA4098" s="2894">
        <v>303</v>
      </c>
      <c r="AB4098" s="2894">
        <v>303</v>
      </c>
      <c r="AC4098" s="2894">
        <v>303</v>
      </c>
      <c r="AD4098" s="2894">
        <v>303</v>
      </c>
      <c r="AE4098" s="2894">
        <v>303</v>
      </c>
      <c r="AF4098" s="2236">
        <f t="shared" si="367"/>
        <v>2961</v>
      </c>
      <c r="AG4098" s="241"/>
      <c r="DG4098" s="573"/>
      <c r="DH4098" s="159"/>
      <c r="DI4098" s="1091"/>
      <c r="DJ4098" s="1187"/>
    </row>
    <row r="4099" spans="1:114" ht="15" hidden="1" customHeight="1" outlineLevel="1">
      <c r="A4099" s="453"/>
      <c r="C4099" s="51"/>
      <c r="D4099" s="4295"/>
      <c r="E4099" s="4295"/>
      <c r="F4099" s="4347" t="str">
        <f t="shared" si="365"/>
        <v>ASHP-SEER15-Replace_CAC_ElectricHeat_ROF_MF</v>
      </c>
      <c r="G4099" s="4347"/>
      <c r="H4099" s="4347"/>
      <c r="I4099" s="4347"/>
      <c r="J4099" s="3471" t="str">
        <f t="shared" si="366"/>
        <v>352800_2024_12_</v>
      </c>
      <c r="K4099" s="2894"/>
      <c r="L4099" s="3221" t="str">
        <f>IF(K4099&gt;0,VLOOKUP(J4099,$J$1914:$L$2106,3,FALSE),"")</f>
        <v/>
      </c>
      <c r="M4099" s="3497" t="str">
        <f>IF(K4099&gt;0,VLOOKUP(J4099,$J$3458:$K$3650,2,FALSE),"")</f>
        <v/>
      </c>
      <c r="P4099" s="261"/>
      <c r="Q4099" s="209"/>
      <c r="R4099" s="261"/>
      <c r="S4099" s="52"/>
      <c r="T4099" s="181"/>
      <c r="U4099" s="52"/>
      <c r="V4099" s="4295"/>
      <c r="W4099" s="2894"/>
      <c r="X4099" s="2467"/>
      <c r="Y4099" s="2467"/>
      <c r="Z4099" s="2894"/>
      <c r="AA4099" s="2894"/>
      <c r="AB4099" s="2894"/>
      <c r="AC4099" s="2894"/>
      <c r="AD4099" s="2894"/>
      <c r="AE4099" s="2894"/>
      <c r="AF4099" s="2236" t="str">
        <f t="shared" si="367"/>
        <v/>
      </c>
      <c r="AG4099" s="241"/>
      <c r="DG4099" s="573"/>
      <c r="DH4099" s="159"/>
      <c r="DI4099" s="1091"/>
      <c r="DJ4099" s="1187"/>
    </row>
    <row r="4100" spans="1:114" ht="15" hidden="1" customHeight="1" outlineLevel="1">
      <c r="A4100" s="453"/>
      <c r="C4100" s="51"/>
      <c r="D4100" s="4295"/>
      <c r="E4100" s="4295"/>
      <c r="F4100" s="4347" t="str">
        <f t="shared" si="365"/>
        <v>ASHP-SEER15-Replace_CAC_ElectricHeat_ROF_MF_CompE</v>
      </c>
      <c r="G4100" s="4347"/>
      <c r="H4100" s="4347"/>
      <c r="I4100" s="4347"/>
      <c r="J4100" s="3471" t="str">
        <f t="shared" si="366"/>
        <v>352801_2024_12_</v>
      </c>
      <c r="K4100" s="3496">
        <f>(S$1915+L4100*T$1915)-(S$1924+L4100*T$1924)</f>
        <v>2961</v>
      </c>
      <c r="L4100" s="3221">
        <f>VLOOKUP(J4100,$J$1914:$L$2106,3,FALSE)*M4100</f>
        <v>2.1833333333333331</v>
      </c>
      <c r="M4100" s="3497">
        <f>VLOOKUP(J4100,$J$3458:$K$3650,2,FALSE)</f>
        <v>1</v>
      </c>
      <c r="N4100" s="553"/>
      <c r="P4100" s="261"/>
      <c r="Q4100" s="209"/>
      <c r="R4100" s="261"/>
      <c r="S4100" s="52"/>
      <c r="T4100" s="181"/>
      <c r="U4100" s="52"/>
      <c r="V4100" s="4295"/>
      <c r="W4100" s="2894"/>
      <c r="X4100" s="2467"/>
      <c r="Y4100" s="2467"/>
      <c r="Z4100" s="2894"/>
      <c r="AA4100" s="2894"/>
      <c r="AB4100" s="2894"/>
      <c r="AC4100" s="2467">
        <v>303</v>
      </c>
      <c r="AD4100" s="2894">
        <v>303</v>
      </c>
      <c r="AE4100" s="2894">
        <v>303</v>
      </c>
      <c r="AF4100" s="2236">
        <f t="shared" si="367"/>
        <v>2961</v>
      </c>
      <c r="AG4100" s="241"/>
      <c r="DG4100" s="573"/>
      <c r="DH4100" s="159"/>
      <c r="DI4100" s="1091"/>
      <c r="DJ4100" s="1187"/>
    </row>
    <row r="4101" spans="1:114" ht="15" hidden="1" customHeight="1" outlineLevel="1">
      <c r="A4101" s="453"/>
      <c r="C4101" s="51"/>
      <c r="D4101" s="4295"/>
      <c r="E4101" s="4295"/>
      <c r="F4101" s="4347" t="str">
        <f t="shared" si="365"/>
        <v>ASHP-SEER15-Replace_CAC_ElectricHeat_ROF_MF_CompE</v>
      </c>
      <c r="G4101" s="4347"/>
      <c r="H4101" s="4347"/>
      <c r="I4101" s="4347"/>
      <c r="J4101" s="3471" t="str">
        <f t="shared" si="366"/>
        <v>352801_2024_12_</v>
      </c>
      <c r="K4101" s="2894"/>
      <c r="L4101" s="3221"/>
      <c r="M4101" s="3497"/>
      <c r="P4101" s="261"/>
      <c r="Q4101" s="209"/>
      <c r="R4101" s="261"/>
      <c r="S4101" s="52"/>
      <c r="T4101" s="181"/>
      <c r="U4101" s="52"/>
      <c r="V4101" s="4295"/>
      <c r="W4101" s="2894"/>
      <c r="X4101" s="2467"/>
      <c r="Y4101" s="2467"/>
      <c r="Z4101" s="2894"/>
      <c r="AA4101" s="2894"/>
      <c r="AB4101" s="2894"/>
      <c r="AC4101" s="2894"/>
      <c r="AD4101" s="2894"/>
      <c r="AE4101" s="2894"/>
      <c r="AF4101" s="2236" t="str">
        <f t="shared" si="367"/>
        <v/>
      </c>
      <c r="AG4101" s="241"/>
      <c r="DG4101" s="573"/>
      <c r="DH4101" s="159"/>
      <c r="DI4101" s="1091"/>
      <c r="DJ4101" s="1187"/>
    </row>
    <row r="4102" spans="1:114" ht="15" hidden="1" customHeight="1" outlineLevel="1">
      <c r="A4102" s="453"/>
      <c r="C4102" s="51"/>
      <c r="D4102" s="4295"/>
      <c r="E4102" s="4295"/>
      <c r="F4102" s="4347" t="str">
        <f t="shared" ref="F4102:F4165" si="368">E1572</f>
        <v>ASHP-SEER15-Replace_CAC_NonElectricHeat_ROF_MF</v>
      </c>
      <c r="G4102" s="4347"/>
      <c r="H4102" s="4347"/>
      <c r="I4102" s="4347"/>
      <c r="J4102" s="3471" t="str">
        <f t="shared" ref="J4102:J4165" si="369">C1572</f>
        <v>352810_2024_12_</v>
      </c>
      <c r="K4102" s="3496">
        <f>((S$1915+L4102*T$1915)-(S$1924+L4102*T$1924))*VLOOKUP(J4102,$J$4424:$K$4467,2,FALSE)</f>
        <v>86.660440504279663</v>
      </c>
      <c r="L4102" s="3221">
        <f>VLOOKUP(J4102,$J$1914:$L$2106,3,FALSE)*M4102</f>
        <v>2.1833333333333331</v>
      </c>
      <c r="M4102" s="3497">
        <f>VLOOKUP(J4102,$J$3458:$K$3650,2,FALSE)</f>
        <v>1</v>
      </c>
      <c r="N4102" s="553"/>
      <c r="P4102" s="261"/>
      <c r="Q4102" s="209"/>
      <c r="R4102" s="261"/>
      <c r="S4102" s="52"/>
      <c r="T4102" s="181"/>
      <c r="U4102" s="52"/>
      <c r="V4102" s="4295"/>
      <c r="W4102" s="2894"/>
      <c r="X4102" s="2467"/>
      <c r="Y4102" s="2467"/>
      <c r="Z4102" s="2894"/>
      <c r="AA4102" s="2894"/>
      <c r="AB4102" s="2894"/>
      <c r="AC4102" s="2467">
        <v>303</v>
      </c>
      <c r="AD4102" s="2894">
        <v>303</v>
      </c>
      <c r="AE4102" s="2894">
        <v>303</v>
      </c>
      <c r="AF4102" s="2236">
        <f t="shared" si="367"/>
        <v>86.660440504279663</v>
      </c>
      <c r="AG4102" s="241"/>
      <c r="DG4102" s="573"/>
      <c r="DH4102" s="159"/>
      <c r="DI4102" s="1091"/>
      <c r="DJ4102" s="1187"/>
    </row>
    <row r="4103" spans="1:114" ht="15" hidden="1" customHeight="1" outlineLevel="1">
      <c r="A4103" s="453"/>
      <c r="C4103" s="51"/>
      <c r="D4103" s="4295"/>
      <c r="E4103" s="4295"/>
      <c r="F4103" s="4347" t="str">
        <f t="shared" si="368"/>
        <v>ASHP-SEER15-Replace_CAC_NonElectricHeat_ROF_MF</v>
      </c>
      <c r="G4103" s="4347"/>
      <c r="H4103" s="4347"/>
      <c r="I4103" s="4347"/>
      <c r="J4103" s="3471" t="str">
        <f t="shared" si="369"/>
        <v>352810_2024_12_</v>
      </c>
      <c r="K4103" s="2894"/>
      <c r="L4103" s="3221"/>
      <c r="M4103" s="3497"/>
      <c r="P4103" s="261"/>
      <c r="Q4103" s="209"/>
      <c r="R4103" s="261"/>
      <c r="S4103" s="52"/>
      <c r="T4103" s="181"/>
      <c r="U4103" s="52"/>
      <c r="V4103" s="4295"/>
      <c r="W4103" s="2894"/>
      <c r="X4103" s="2467"/>
      <c r="Y4103" s="2467"/>
      <c r="Z4103" s="2894"/>
      <c r="AA4103" s="2894"/>
      <c r="AB4103" s="2894"/>
      <c r="AC4103" s="2894"/>
      <c r="AD4103" s="2894"/>
      <c r="AE4103" s="2894"/>
      <c r="AF4103" s="2236" t="str">
        <f t="shared" si="367"/>
        <v/>
      </c>
      <c r="AG4103" s="241"/>
      <c r="DG4103" s="573"/>
      <c r="DH4103" s="159"/>
      <c r="DI4103" s="1091"/>
      <c r="DJ4103" s="1187"/>
    </row>
    <row r="4104" spans="1:114" ht="15" hidden="1" customHeight="1" outlineLevel="1">
      <c r="A4104" s="453"/>
      <c r="C4104" s="51"/>
      <c r="D4104" s="4295"/>
      <c r="E4104" s="4295"/>
      <c r="F4104" s="4347" t="str">
        <f t="shared" si="368"/>
        <v>ASHP-SEER15-Replace_CAC_NonElectricHeat_ROF_MF_CompE</v>
      </c>
      <c r="G4104" s="4347"/>
      <c r="H4104" s="4347"/>
      <c r="I4104" s="4347"/>
      <c r="J4104" s="3471" t="str">
        <f t="shared" si="369"/>
        <v>352811_2024_12_</v>
      </c>
      <c r="K4104" s="3496">
        <f>((S$1915+L4104*T$1915)-(S$1924+L4104*T$1924))*VLOOKUP(J4104,$J$4424:$K$4467,2,FALSE)</f>
        <v>178.94688096868359</v>
      </c>
      <c r="L4104" s="3221">
        <f>VLOOKUP(J4104,$J$1914:$L$2106,3,FALSE)*M4104</f>
        <v>2.1833333333333331</v>
      </c>
      <c r="M4104" s="3497">
        <f>VLOOKUP(J4104,$J$3458:$K$3650,2,FALSE)</f>
        <v>1</v>
      </c>
      <c r="N4104" s="553"/>
      <c r="P4104" s="261"/>
      <c r="Q4104" s="209"/>
      <c r="R4104" s="261"/>
      <c r="S4104" s="52"/>
      <c r="T4104" s="181"/>
      <c r="U4104" s="52"/>
      <c r="V4104" s="4295"/>
      <c r="W4104" s="2894"/>
      <c r="X4104" s="2467"/>
      <c r="Y4104" s="2467"/>
      <c r="Z4104" s="2894"/>
      <c r="AA4104" s="2894"/>
      <c r="AB4104" s="2894"/>
      <c r="AC4104" s="2467">
        <v>303</v>
      </c>
      <c r="AD4104" s="2894">
        <v>303</v>
      </c>
      <c r="AE4104" s="2894">
        <v>303</v>
      </c>
      <c r="AF4104" s="2236">
        <f t="shared" si="367"/>
        <v>178.94688096868359</v>
      </c>
      <c r="AG4104" s="241"/>
      <c r="DG4104" s="573"/>
      <c r="DH4104" s="159"/>
      <c r="DI4104" s="1091"/>
      <c r="DJ4104" s="1187"/>
    </row>
    <row r="4105" spans="1:114" ht="15" hidden="1" customHeight="1" outlineLevel="1">
      <c r="A4105" s="453"/>
      <c r="C4105" s="51"/>
      <c r="D4105" s="4295"/>
      <c r="E4105" s="4295"/>
      <c r="F4105" s="4347" t="str">
        <f t="shared" si="368"/>
        <v>ASHP-SEER15-Replace_CAC_NonElectricHeat_ROF_MF_CompE</v>
      </c>
      <c r="G4105" s="4347"/>
      <c r="H4105" s="4347"/>
      <c r="I4105" s="4347"/>
      <c r="J4105" s="3471" t="str">
        <f t="shared" si="369"/>
        <v>352811_2024_12_</v>
      </c>
      <c r="K4105" s="2894"/>
      <c r="L4105" s="3221"/>
      <c r="M4105" s="3497"/>
      <c r="P4105" s="261"/>
      <c r="Q4105" s="209"/>
      <c r="R4105" s="261"/>
      <c r="S4105" s="52"/>
      <c r="T4105" s="181"/>
      <c r="U4105" s="52"/>
      <c r="V4105" s="4295"/>
      <c r="W4105" s="2894"/>
      <c r="X4105" s="2467"/>
      <c r="Y4105" s="2467"/>
      <c r="Z4105" s="2894"/>
      <c r="AA4105" s="2894"/>
      <c r="AB4105" s="2894"/>
      <c r="AC4105" s="2894"/>
      <c r="AD4105" s="2894"/>
      <c r="AE4105" s="2894"/>
      <c r="AF4105" s="2236" t="str">
        <f t="shared" si="367"/>
        <v/>
      </c>
      <c r="AG4105" s="241"/>
      <c r="DG4105" s="573"/>
      <c r="DH4105" s="159"/>
      <c r="DI4105" s="1091"/>
      <c r="DJ4105" s="1187"/>
    </row>
    <row r="4106" spans="1:114" ht="15" hidden="1" customHeight="1" outlineLevel="1">
      <c r="A4106" s="453"/>
      <c r="C4106" s="51"/>
      <c r="D4106" s="4295"/>
      <c r="E4106" s="4295"/>
      <c r="F4106" s="4347" t="str">
        <f t="shared" si="368"/>
        <v>ASHP-SEER16_ER1_MF</v>
      </c>
      <c r="G4106" s="4347"/>
      <c r="H4106" s="4347"/>
      <c r="I4106" s="4347"/>
      <c r="J4106" s="3471" t="str">
        <f t="shared" si="369"/>
        <v>352850_2024_12_</v>
      </c>
      <c r="K4106" s="3496">
        <f>(S$1916+L4106*T$1916)-(S$1925+L4106*T$1925)*S$1931</f>
        <v>417.80926243800604</v>
      </c>
      <c r="L4106" s="3221">
        <f>VLOOKUP(J4106,$J$1914:$L$2106,3,FALSE)*M4106</f>
        <v>2.8388888888888886</v>
      </c>
      <c r="M4106" s="3497">
        <f>VLOOKUP(J4106,$J$3458:$K$3650,2,FALSE)</f>
        <v>1</v>
      </c>
      <c r="N4106" s="553"/>
      <c r="P4106" s="261"/>
      <c r="Q4106" s="209"/>
      <c r="R4106" s="261"/>
      <c r="S4106" s="52"/>
      <c r="T4106" s="181"/>
      <c r="U4106" s="52"/>
      <c r="V4106" s="4295"/>
      <c r="W4106" s="2894">
        <v>3083.4857044416549</v>
      </c>
      <c r="X4106" s="2467">
        <v>2695.0751992757491</v>
      </c>
      <c r="Y4106" s="2467">
        <v>996.5516619658124</v>
      </c>
      <c r="Z4106" s="2894">
        <v>996.5516619658124</v>
      </c>
      <c r="AA4106" s="2894">
        <v>996.5516619658124</v>
      </c>
      <c r="AB4106" s="2467">
        <v>950.52172387527389</v>
      </c>
      <c r="AC4106" s="2467">
        <v>903.92883988661288</v>
      </c>
      <c r="AD4106" s="2467">
        <v>878.90673552233147</v>
      </c>
      <c r="AE4106" s="2467">
        <v>1212.4917696882567</v>
      </c>
      <c r="AF4106" s="2236">
        <f t="shared" si="367"/>
        <v>417.80926243800604</v>
      </c>
      <c r="AG4106" s="241"/>
      <c r="DG4106" s="573"/>
      <c r="DH4106" s="159"/>
      <c r="DI4106" s="1091"/>
      <c r="DJ4106" s="1187"/>
    </row>
    <row r="4107" spans="1:114" ht="15" hidden="1" customHeight="1" outlineLevel="1">
      <c r="A4107" s="453"/>
      <c r="C4107" s="51"/>
      <c r="D4107" s="4295"/>
      <c r="E4107" s="4295"/>
      <c r="F4107" s="4347" t="str">
        <f t="shared" si="368"/>
        <v>ASHP-SEER16_ER1_MF</v>
      </c>
      <c r="G4107" s="4347"/>
      <c r="H4107" s="4347"/>
      <c r="I4107" s="4347"/>
      <c r="J4107" s="3471" t="str">
        <f t="shared" si="369"/>
        <v>352850_2024_12_</v>
      </c>
      <c r="K4107" s="2894"/>
      <c r="L4107" s="3221" t="str">
        <f>IF(K4107&gt;0,VLOOKUP(J4107,$J$1914:$L$2106,3,FALSE),"")</f>
        <v/>
      </c>
      <c r="M4107" s="3497" t="str">
        <f>IF(K4107&gt;0,VLOOKUP(J4107,$J$3458:$K$3650,2,FALSE),"")</f>
        <v/>
      </c>
      <c r="P4107" s="261"/>
      <c r="Q4107" s="209"/>
      <c r="R4107" s="261"/>
      <c r="S4107" s="52"/>
      <c r="T4107" s="181"/>
      <c r="U4107" s="52"/>
      <c r="V4107" s="4295"/>
      <c r="W4107" s="2894"/>
      <c r="X4107" s="2467"/>
      <c r="Y4107" s="2467"/>
      <c r="Z4107" s="2894"/>
      <c r="AA4107" s="2894"/>
      <c r="AB4107" s="2467"/>
      <c r="AC4107" s="2894"/>
      <c r="AD4107" s="2894"/>
      <c r="AE4107" s="2894"/>
      <c r="AF4107" s="2236" t="str">
        <f t="shared" si="367"/>
        <v/>
      </c>
      <c r="AG4107" s="241"/>
      <c r="DG4107" s="573"/>
      <c r="DH4107" s="159"/>
      <c r="DI4107" s="1091"/>
      <c r="DJ4107" s="1187"/>
    </row>
    <row r="4108" spans="1:114" ht="15" hidden="1" customHeight="1" outlineLevel="1">
      <c r="A4108" s="453"/>
      <c r="C4108" s="51"/>
      <c r="D4108" s="4295"/>
      <c r="E4108" s="4295"/>
      <c r="F4108" s="4347" t="str">
        <f t="shared" si="368"/>
        <v>ASHP-SEER16_ER2_MF</v>
      </c>
      <c r="G4108" s="4347"/>
      <c r="H4108" s="4347"/>
      <c r="I4108" s="4347"/>
      <c r="J4108" s="3471" t="str">
        <f t="shared" si="369"/>
        <v>352850_2024_12_</v>
      </c>
      <c r="K4108" s="2894"/>
      <c r="L4108" s="3221" t="str">
        <f>IF(K4108&gt;0,VLOOKUP(J4108,$J$1914:$L$2106,3,FALSE),"")</f>
        <v/>
      </c>
      <c r="M4108" s="3497" t="str">
        <f>IF(K4108&gt;0,VLOOKUP(J4108,$J$3458:$K$3650,2,FALSE),"")</f>
        <v/>
      </c>
      <c r="P4108" s="261"/>
      <c r="Q4108" s="209"/>
      <c r="R4108" s="261"/>
      <c r="S4108" s="52"/>
      <c r="T4108" s="181"/>
      <c r="U4108" s="52"/>
      <c r="V4108" s="4295"/>
      <c r="W4108" s="2894"/>
      <c r="X4108" s="2467"/>
      <c r="Y4108" s="2467"/>
      <c r="Z4108" s="2894"/>
      <c r="AA4108" s="2894"/>
      <c r="AB4108" s="2467"/>
      <c r="AC4108" s="2894"/>
      <c r="AD4108" s="2894"/>
      <c r="AE4108" s="2894"/>
      <c r="AF4108" s="2236" t="str">
        <f t="shared" si="367"/>
        <v/>
      </c>
      <c r="AG4108" s="241"/>
      <c r="DG4108" s="573"/>
      <c r="DH4108" s="159"/>
      <c r="DI4108" s="1091"/>
      <c r="DJ4108" s="1187"/>
    </row>
    <row r="4109" spans="1:114" ht="15" hidden="1" customHeight="1" outlineLevel="1">
      <c r="A4109" s="453"/>
      <c r="C4109" s="51"/>
      <c r="D4109" s="4295"/>
      <c r="E4109" s="4295"/>
      <c r="F4109" s="4347" t="str">
        <f t="shared" si="368"/>
        <v>ASHP-SEER16_ER2_MF</v>
      </c>
      <c r="G4109" s="4347"/>
      <c r="H4109" s="4347"/>
      <c r="I4109" s="4347"/>
      <c r="J4109" s="3471" t="str">
        <f t="shared" si="369"/>
        <v>352850_2024_12_</v>
      </c>
      <c r="K4109" s="2894"/>
      <c r="L4109" s="3221" t="str">
        <f>IF(K4109&gt;0,VLOOKUP(J4109,$J$1914:$L$2106,3,FALSE),"")</f>
        <v/>
      </c>
      <c r="M4109" s="3497" t="str">
        <f>IF(K4109&gt;0,VLOOKUP(J4109,$J$3458:$K$3650,2,FALSE),"")</f>
        <v/>
      </c>
      <c r="P4109" s="261"/>
      <c r="Q4109" s="209"/>
      <c r="R4109" s="261"/>
      <c r="S4109" s="52"/>
      <c r="T4109" s="181"/>
      <c r="U4109" s="52"/>
      <c r="V4109" s="4295"/>
      <c r="W4109" s="2894"/>
      <c r="X4109" s="2467"/>
      <c r="Y4109" s="2467"/>
      <c r="Z4109" s="2894"/>
      <c r="AA4109" s="2894"/>
      <c r="AB4109" s="2467"/>
      <c r="AC4109" s="2894"/>
      <c r="AD4109" s="2894"/>
      <c r="AE4109" s="2894"/>
      <c r="AF4109" s="2236" t="str">
        <f t="shared" si="367"/>
        <v/>
      </c>
      <c r="AG4109" s="241"/>
      <c r="DG4109" s="573"/>
      <c r="DH4109" s="159"/>
      <c r="DI4109" s="1091"/>
      <c r="DJ4109" s="1187"/>
    </row>
    <row r="4110" spans="1:114" ht="15" hidden="1" customHeight="1" outlineLevel="1">
      <c r="A4110" s="453"/>
      <c r="C4110" s="51"/>
      <c r="D4110" s="4295"/>
      <c r="E4110" s="4295"/>
      <c r="F4110" s="4347" t="str">
        <f t="shared" si="368"/>
        <v>ASHP-SEER16_ER1_MF_CompE</v>
      </c>
      <c r="G4110" s="4347"/>
      <c r="H4110" s="4347"/>
      <c r="I4110" s="4347"/>
      <c r="J4110" s="3471" t="str">
        <f t="shared" si="369"/>
        <v>352851_2024_12_</v>
      </c>
      <c r="K4110" s="3496">
        <f>(S$1916+L4110*T$1916)-(S$1925+L4110*T$1925)*S$1931</f>
        <v>417.80926243800604</v>
      </c>
      <c r="L4110" s="3221">
        <f>VLOOKUP(J4110,$J$1914:$L$2106,3,FALSE)*M4110</f>
        <v>2.8388888888888886</v>
      </c>
      <c r="M4110" s="3497">
        <f>VLOOKUP(J4110,$J$3458:$K$3650,2,FALSE)</f>
        <v>1</v>
      </c>
      <c r="N4110" s="553"/>
      <c r="P4110" s="261"/>
      <c r="Q4110" s="209"/>
      <c r="R4110" s="261"/>
      <c r="S4110" s="52"/>
      <c r="T4110" s="181"/>
      <c r="U4110" s="52"/>
      <c r="V4110" s="4295"/>
      <c r="W4110" s="2894"/>
      <c r="X4110" s="2467"/>
      <c r="Y4110" s="2467"/>
      <c r="Z4110" s="2894"/>
      <c r="AA4110" s="2894"/>
      <c r="AB4110" s="2467"/>
      <c r="AC4110" s="2467">
        <v>903.92883988661288</v>
      </c>
      <c r="AD4110" s="2467">
        <v>878.90673552233147</v>
      </c>
      <c r="AE4110" s="2467">
        <v>1212.4917696882567</v>
      </c>
      <c r="AF4110" s="2236">
        <f t="shared" si="367"/>
        <v>417.80926243800604</v>
      </c>
      <c r="AG4110" s="241"/>
      <c r="DG4110" s="573"/>
      <c r="DH4110" s="159"/>
      <c r="DI4110" s="1091"/>
      <c r="DJ4110" s="1187"/>
    </row>
    <row r="4111" spans="1:114" ht="15" hidden="1" customHeight="1" outlineLevel="1">
      <c r="A4111" s="453"/>
      <c r="C4111" s="51"/>
      <c r="D4111" s="4295"/>
      <c r="E4111" s="4295"/>
      <c r="F4111" s="4347" t="str">
        <f t="shared" si="368"/>
        <v>ASHP-SEER16_ER1_MF_CompE</v>
      </c>
      <c r="G4111" s="4347"/>
      <c r="H4111" s="4347"/>
      <c r="I4111" s="4347"/>
      <c r="J4111" s="3471" t="str">
        <f t="shared" si="369"/>
        <v>352851_2024_12_</v>
      </c>
      <c r="K4111" s="2894"/>
      <c r="L4111" s="3221"/>
      <c r="M4111" s="3497"/>
      <c r="P4111" s="261"/>
      <c r="Q4111" s="209"/>
      <c r="R4111" s="261"/>
      <c r="S4111" s="52"/>
      <c r="T4111" s="181"/>
      <c r="U4111" s="52"/>
      <c r="V4111" s="4295"/>
      <c r="W4111" s="2894"/>
      <c r="X4111" s="2467"/>
      <c r="Y4111" s="2467"/>
      <c r="Z4111" s="2894"/>
      <c r="AA4111" s="2894"/>
      <c r="AB4111" s="2467"/>
      <c r="AC4111" s="2894"/>
      <c r="AD4111" s="2894"/>
      <c r="AE4111" s="2894"/>
      <c r="AF4111" s="2236" t="str">
        <f t="shared" si="367"/>
        <v/>
      </c>
      <c r="AG4111" s="241"/>
      <c r="DG4111" s="573"/>
      <c r="DH4111" s="159"/>
      <c r="DI4111" s="1091"/>
      <c r="DJ4111" s="1187"/>
    </row>
    <row r="4112" spans="1:114" ht="15" hidden="1" customHeight="1" outlineLevel="1">
      <c r="A4112" s="453"/>
      <c r="C4112" s="51"/>
      <c r="D4112" s="4295"/>
      <c r="E4112" s="4295"/>
      <c r="F4112" s="4347" t="str">
        <f t="shared" si="368"/>
        <v>ASHP-SEER16_ER2_MF_CompE</v>
      </c>
      <c r="G4112" s="4347"/>
      <c r="H4112" s="4347"/>
      <c r="I4112" s="4347"/>
      <c r="J4112" s="3471" t="str">
        <f t="shared" si="369"/>
        <v>352851_2024_12_</v>
      </c>
      <c r="K4112" s="2894"/>
      <c r="L4112" s="3221"/>
      <c r="M4112" s="3497"/>
      <c r="P4112" s="261"/>
      <c r="Q4112" s="209"/>
      <c r="R4112" s="261"/>
      <c r="S4112" s="52"/>
      <c r="T4112" s="181"/>
      <c r="U4112" s="52"/>
      <c r="V4112" s="4295"/>
      <c r="W4112" s="2894"/>
      <c r="X4112" s="2467"/>
      <c r="Y4112" s="2467"/>
      <c r="Z4112" s="2894"/>
      <c r="AA4112" s="2894"/>
      <c r="AB4112" s="2467"/>
      <c r="AC4112" s="2894"/>
      <c r="AD4112" s="2894"/>
      <c r="AE4112" s="2894"/>
      <c r="AF4112" s="2236" t="str">
        <f t="shared" si="367"/>
        <v/>
      </c>
      <c r="AG4112" s="241"/>
      <c r="DG4112" s="573"/>
      <c r="DH4112" s="159"/>
      <c r="DI4112" s="1091"/>
      <c r="DJ4112" s="1187"/>
    </row>
    <row r="4113" spans="1:114" ht="15" hidden="1" customHeight="1" outlineLevel="1">
      <c r="A4113" s="453"/>
      <c r="C4113" s="51"/>
      <c r="D4113" s="4295"/>
      <c r="E4113" s="4295"/>
      <c r="F4113" s="4347" t="str">
        <f t="shared" si="368"/>
        <v>ASHP-SEER16_ER2_MF_CompE</v>
      </c>
      <c r="G4113" s="4347"/>
      <c r="H4113" s="4347"/>
      <c r="I4113" s="4347"/>
      <c r="J4113" s="3471" t="str">
        <f t="shared" si="369"/>
        <v>352851_2024_12_</v>
      </c>
      <c r="K4113" s="2894"/>
      <c r="L4113" s="3221"/>
      <c r="M4113" s="3497"/>
      <c r="P4113" s="261"/>
      <c r="Q4113" s="209"/>
      <c r="R4113" s="261"/>
      <c r="S4113" s="52"/>
      <c r="T4113" s="181"/>
      <c r="U4113" s="52"/>
      <c r="V4113" s="4295"/>
      <c r="W4113" s="2894"/>
      <c r="X4113" s="2467"/>
      <c r="Y4113" s="2467"/>
      <c r="Z4113" s="2894"/>
      <c r="AA4113" s="2894"/>
      <c r="AB4113" s="2467"/>
      <c r="AC4113" s="2894"/>
      <c r="AD4113" s="2894"/>
      <c r="AE4113" s="2894"/>
      <c r="AF4113" s="2236" t="str">
        <f t="shared" si="367"/>
        <v/>
      </c>
      <c r="AG4113" s="241"/>
      <c r="DG4113" s="573"/>
      <c r="DH4113" s="159"/>
      <c r="DI4113" s="1091"/>
      <c r="DJ4113" s="1187"/>
    </row>
    <row r="4114" spans="1:114" ht="15" hidden="1" customHeight="1" outlineLevel="1">
      <c r="A4114" s="453"/>
      <c r="C4114" s="51"/>
      <c r="D4114" s="4295"/>
      <c r="E4114" s="4295"/>
      <c r="F4114" s="4347" t="str">
        <f t="shared" si="368"/>
        <v>ASHP-SEER16_ROF_MF</v>
      </c>
      <c r="G4114" s="4347"/>
      <c r="H4114" s="4347"/>
      <c r="I4114" s="4347"/>
      <c r="J4114" s="3471" t="str">
        <f t="shared" si="369"/>
        <v>352900_2024_12_</v>
      </c>
      <c r="K4114" s="3496">
        <f>(S$1916+L4114*T$1916)-(S$1923+L4114*T$1923)</f>
        <v>421</v>
      </c>
      <c r="L4114" s="3221">
        <f>VLOOKUP(J4114,$J$1914:$L$2106,3,FALSE)*M4114</f>
        <v>2.2333333333333334</v>
      </c>
      <c r="M4114" s="3497">
        <f>VLOOKUP(J4114,$J$3458:$K$3650,2,FALSE)</f>
        <v>1</v>
      </c>
      <c r="N4114" s="553"/>
      <c r="P4114" s="261"/>
      <c r="Q4114" s="209"/>
      <c r="R4114" s="261"/>
      <c r="S4114" s="52"/>
      <c r="T4114" s="181"/>
      <c r="U4114" s="52"/>
      <c r="V4114" s="4295"/>
      <c r="W4114" s="2894">
        <v>1295.9099999999999</v>
      </c>
      <c r="X4114" s="2467">
        <v>939.51</v>
      </c>
      <c r="Y4114" s="2467">
        <v>392.7</v>
      </c>
      <c r="Z4114" s="2894">
        <v>392.7</v>
      </c>
      <c r="AA4114" s="2894">
        <v>392.7</v>
      </c>
      <c r="AB4114" s="2467">
        <v>438</v>
      </c>
      <c r="AC4114" s="2894">
        <v>438</v>
      </c>
      <c r="AD4114" s="2894">
        <v>438</v>
      </c>
      <c r="AE4114" s="2894">
        <v>438</v>
      </c>
      <c r="AF4114" s="2236">
        <f t="shared" si="367"/>
        <v>421</v>
      </c>
      <c r="AG4114" s="241"/>
      <c r="DG4114" s="573"/>
      <c r="DH4114" s="159"/>
      <c r="DI4114" s="1091"/>
      <c r="DJ4114" s="1187"/>
    </row>
    <row r="4115" spans="1:114" ht="15" hidden="1" customHeight="1" outlineLevel="1">
      <c r="A4115" s="453"/>
      <c r="C4115" s="51"/>
      <c r="D4115" s="4295"/>
      <c r="E4115" s="4295"/>
      <c r="F4115" s="4347" t="str">
        <f t="shared" si="368"/>
        <v>ASHP-SEER16_ROF_MF</v>
      </c>
      <c r="G4115" s="4347"/>
      <c r="H4115" s="4347"/>
      <c r="I4115" s="4347"/>
      <c r="J4115" s="3471" t="str">
        <f t="shared" si="369"/>
        <v>352900_2024_12_</v>
      </c>
      <c r="K4115" s="2894"/>
      <c r="L4115" s="3221" t="str">
        <f>IF(K4115&gt;0,VLOOKUP(J4115,$J$1914:$L$2106,3,FALSE),"")</f>
        <v/>
      </c>
      <c r="M4115" s="3497" t="str">
        <f>IF(K4115&gt;0,VLOOKUP(J4115,$J$3458:$K$3650,2,FALSE),"")</f>
        <v/>
      </c>
      <c r="P4115" s="261"/>
      <c r="S4115" s="52"/>
      <c r="T4115" s="52"/>
      <c r="U4115" s="52"/>
      <c r="V4115" s="4295"/>
      <c r="W4115" s="2894"/>
      <c r="X4115" s="2467"/>
      <c r="Y4115" s="2467"/>
      <c r="Z4115" s="2894"/>
      <c r="AA4115" s="2894"/>
      <c r="AB4115" s="2467"/>
      <c r="AC4115" s="2894"/>
      <c r="AD4115" s="2894"/>
      <c r="AE4115" s="2894"/>
      <c r="AF4115" s="2236" t="str">
        <f t="shared" si="367"/>
        <v/>
      </c>
      <c r="AG4115" s="241"/>
      <c r="DG4115" s="573"/>
      <c r="DH4115" s="159"/>
      <c r="DI4115" s="1091"/>
      <c r="DJ4115" s="1187"/>
    </row>
    <row r="4116" spans="1:114" ht="15" hidden="1" customHeight="1" outlineLevel="1">
      <c r="A4116" s="453"/>
      <c r="C4116" s="51"/>
      <c r="D4116" s="4295"/>
      <c r="E4116" s="4295"/>
      <c r="F4116" s="4347" t="str">
        <f t="shared" si="368"/>
        <v>ASHP-SEER16_ROF_MF_CompE</v>
      </c>
      <c r="G4116" s="4347"/>
      <c r="H4116" s="4347"/>
      <c r="I4116" s="4347"/>
      <c r="J4116" s="3471" t="str">
        <f t="shared" si="369"/>
        <v>352901_2024_12_</v>
      </c>
      <c r="K4116" s="3496">
        <f>(S$1916+L4116*T$1916)-(S$1923+L4116*T$1923)</f>
        <v>421</v>
      </c>
      <c r="L4116" s="3221">
        <f>VLOOKUP(J4116,$J$1914:$L$2106,3,FALSE)*M4116</f>
        <v>2.2333333333333334</v>
      </c>
      <c r="M4116" s="3497">
        <f>VLOOKUP(J4116,$J$3458:$K$3650,2,FALSE)</f>
        <v>1</v>
      </c>
      <c r="N4116" s="553"/>
      <c r="P4116" s="261"/>
      <c r="S4116" s="52"/>
      <c r="T4116" s="52"/>
      <c r="U4116" s="52"/>
      <c r="V4116" s="4295"/>
      <c r="W4116" s="2894"/>
      <c r="X4116" s="2467"/>
      <c r="Y4116" s="2467"/>
      <c r="Z4116" s="2894"/>
      <c r="AA4116" s="2894"/>
      <c r="AB4116" s="2467"/>
      <c r="AC4116" s="2467">
        <v>438</v>
      </c>
      <c r="AD4116" s="2894">
        <v>438</v>
      </c>
      <c r="AE4116" s="2894">
        <v>438</v>
      </c>
      <c r="AF4116" s="2236">
        <f t="shared" si="367"/>
        <v>421</v>
      </c>
      <c r="AG4116" s="241"/>
      <c r="DG4116" s="573"/>
      <c r="DH4116" s="159"/>
      <c r="DI4116" s="1091"/>
      <c r="DJ4116" s="1187"/>
    </row>
    <row r="4117" spans="1:114" ht="15" hidden="1" customHeight="1" outlineLevel="1">
      <c r="A4117" s="453"/>
      <c r="C4117" s="51"/>
      <c r="D4117" s="4295"/>
      <c r="E4117" s="4295"/>
      <c r="F4117" s="4347" t="str">
        <f t="shared" si="368"/>
        <v>ASHP-SEER16_ROF_MF_CompE</v>
      </c>
      <c r="G4117" s="4347"/>
      <c r="H4117" s="4347"/>
      <c r="I4117" s="4347"/>
      <c r="J4117" s="3471" t="str">
        <f t="shared" si="369"/>
        <v>352901_2024_12_</v>
      </c>
      <c r="K4117" s="2894"/>
      <c r="L4117" s="3221"/>
      <c r="M4117" s="3497"/>
      <c r="P4117" s="261"/>
      <c r="S4117" s="52"/>
      <c r="T4117" s="52"/>
      <c r="U4117" s="52"/>
      <c r="V4117" s="4295"/>
      <c r="W4117" s="2894"/>
      <c r="X4117" s="2467"/>
      <c r="Y4117" s="2467"/>
      <c r="Z4117" s="2894"/>
      <c r="AA4117" s="2894"/>
      <c r="AB4117" s="2467"/>
      <c r="AC4117" s="2894"/>
      <c r="AD4117" s="2894"/>
      <c r="AE4117" s="2894"/>
      <c r="AF4117" s="2236" t="str">
        <f t="shared" si="367"/>
        <v/>
      </c>
      <c r="AG4117" s="241"/>
      <c r="DG4117" s="573"/>
      <c r="DH4117" s="159"/>
      <c r="DI4117" s="1091"/>
      <c r="DJ4117" s="1187"/>
    </row>
    <row r="4118" spans="1:114" ht="15" hidden="1" customHeight="1" outlineLevel="1">
      <c r="A4118" s="453"/>
      <c r="C4118" s="51"/>
      <c r="D4118" s="4295"/>
      <c r="E4118" s="4295"/>
      <c r="F4118" s="4347" t="str">
        <f t="shared" si="368"/>
        <v>ASHP-SEER16-Replace_CAC_ElectricHeat_ROF_MF</v>
      </c>
      <c r="G4118" s="4347"/>
      <c r="H4118" s="4347"/>
      <c r="I4118" s="4347"/>
      <c r="J4118" s="3471" t="str">
        <f t="shared" si="369"/>
        <v>352950_2024_12_</v>
      </c>
      <c r="K4118" s="3496">
        <f>(S$1916+L4118*T$1916)-(S$1924+L4118*T$1924)</f>
        <v>3277</v>
      </c>
      <c r="L4118" s="3221">
        <f>VLOOKUP(J4118,$J$1914:$L$2106,3,FALSE)*M4118</f>
        <v>2.2333333333333334</v>
      </c>
      <c r="M4118" s="3497">
        <f>VLOOKUP(J4118,$J$3458:$K$3650,2,FALSE)</f>
        <v>1</v>
      </c>
      <c r="N4118" s="553"/>
      <c r="P4118" s="261"/>
      <c r="Q4118" s="209"/>
      <c r="R4118" s="261"/>
      <c r="S4118" s="52"/>
      <c r="T4118" s="181"/>
      <c r="U4118" s="52"/>
      <c r="V4118" s="4295"/>
      <c r="W4118" s="2894">
        <v>1256.6400000000001</v>
      </c>
      <c r="X4118" s="2467">
        <v>911.04000000000008</v>
      </c>
      <c r="Y4118" s="2467">
        <v>392.7</v>
      </c>
      <c r="Z4118" s="2894">
        <v>392.7</v>
      </c>
      <c r="AA4118" s="2894">
        <v>392.7</v>
      </c>
      <c r="AB4118" s="2467">
        <v>438</v>
      </c>
      <c r="AC4118" s="2894">
        <v>438</v>
      </c>
      <c r="AD4118" s="2894">
        <v>438</v>
      </c>
      <c r="AE4118" s="2894">
        <v>438</v>
      </c>
      <c r="AF4118" s="2236">
        <f t="shared" si="367"/>
        <v>3277</v>
      </c>
      <c r="AG4118" s="241"/>
      <c r="DG4118" s="573"/>
      <c r="DH4118" s="159"/>
      <c r="DI4118" s="1091"/>
      <c r="DJ4118" s="1187"/>
    </row>
    <row r="4119" spans="1:114" ht="15" hidden="1" customHeight="1" outlineLevel="1">
      <c r="A4119" s="453"/>
      <c r="C4119" s="51"/>
      <c r="D4119" s="4295"/>
      <c r="E4119" s="4295"/>
      <c r="F4119" s="4347" t="str">
        <f t="shared" si="368"/>
        <v>ASHP-SEER16-Replace_CAC_ElectricHeat_ROF_MF</v>
      </c>
      <c r="G4119" s="4347"/>
      <c r="H4119" s="4347"/>
      <c r="I4119" s="4347"/>
      <c r="J4119" s="3471" t="str">
        <f t="shared" si="369"/>
        <v>352950_2024_12_</v>
      </c>
      <c r="K4119" s="2894"/>
      <c r="L4119" s="3221" t="str">
        <f>IF(K4119&gt;0,VLOOKUP(J4119,$J$1914:$L$2106,3,FALSE),"")</f>
        <v/>
      </c>
      <c r="M4119" s="3497" t="str">
        <f>IF(K4119&gt;0,VLOOKUP(J4119,$J$3458:$K$3650,2,FALSE),"")</f>
        <v/>
      </c>
      <c r="P4119" s="261"/>
      <c r="S4119" s="52"/>
      <c r="T4119" s="52"/>
      <c r="U4119" s="52"/>
      <c r="V4119" s="4295"/>
      <c r="W4119" s="2894"/>
      <c r="X4119" s="2467"/>
      <c r="Y4119" s="2467"/>
      <c r="Z4119" s="2894"/>
      <c r="AA4119" s="2894"/>
      <c r="AB4119" s="2467"/>
      <c r="AC4119" s="2894"/>
      <c r="AD4119" s="2894"/>
      <c r="AE4119" s="2894"/>
      <c r="AF4119" s="2236" t="str">
        <f t="shared" si="367"/>
        <v/>
      </c>
      <c r="AG4119" s="241"/>
      <c r="DG4119" s="573"/>
      <c r="DH4119" s="159"/>
      <c r="DI4119" s="1091"/>
      <c r="DJ4119" s="1187"/>
    </row>
    <row r="4120" spans="1:114" ht="15" hidden="1" customHeight="1" outlineLevel="1">
      <c r="A4120" s="453"/>
      <c r="C4120" s="51"/>
      <c r="D4120" s="4295"/>
      <c r="E4120" s="4295"/>
      <c r="F4120" s="4347" t="str">
        <f t="shared" si="368"/>
        <v>ASHP-SEER16-Replace_CAC_ElectricHeat_ROF_MF_CompE</v>
      </c>
      <c r="G4120" s="4347"/>
      <c r="H4120" s="4347"/>
      <c r="I4120" s="4347"/>
      <c r="J4120" s="3471" t="str">
        <f t="shared" si="369"/>
        <v>352951_2024_12_</v>
      </c>
      <c r="K4120" s="3496">
        <f>(S$1916+L4120*T$1916)-(S$1924+L4120*T$1924)</f>
        <v>3277</v>
      </c>
      <c r="L4120" s="3221">
        <f>VLOOKUP(J4120,$J$1914:$L$2106,3,FALSE)*M4120</f>
        <v>2.2333333333333334</v>
      </c>
      <c r="M4120" s="3497">
        <f>VLOOKUP(J4120,$J$3458:$K$3650,2,FALSE)</f>
        <v>1</v>
      </c>
      <c r="N4120" s="553"/>
      <c r="P4120" s="261"/>
      <c r="S4120" s="52"/>
      <c r="T4120" s="52"/>
      <c r="U4120" s="52"/>
      <c r="V4120" s="4295"/>
      <c r="W4120" s="2894"/>
      <c r="X4120" s="2467"/>
      <c r="Y4120" s="2467"/>
      <c r="Z4120" s="2894"/>
      <c r="AA4120" s="2894"/>
      <c r="AB4120" s="2467"/>
      <c r="AC4120" s="2467">
        <v>438</v>
      </c>
      <c r="AD4120" s="2894">
        <v>438</v>
      </c>
      <c r="AE4120" s="2894">
        <v>438</v>
      </c>
      <c r="AF4120" s="2236">
        <f t="shared" si="367"/>
        <v>3277</v>
      </c>
      <c r="AG4120" s="241"/>
      <c r="DG4120" s="573"/>
      <c r="DH4120" s="159"/>
      <c r="DI4120" s="1091"/>
      <c r="DJ4120" s="1187"/>
    </row>
    <row r="4121" spans="1:114" ht="15" hidden="1" customHeight="1" outlineLevel="1">
      <c r="A4121" s="453"/>
      <c r="C4121" s="51"/>
      <c r="D4121" s="4295"/>
      <c r="E4121" s="4295"/>
      <c r="F4121" s="4347" t="str">
        <f t="shared" si="368"/>
        <v>ASHP-SEER16-Replace_CAC_ElectricHeat_ROF_MF_CompE</v>
      </c>
      <c r="G4121" s="4347"/>
      <c r="H4121" s="4347"/>
      <c r="I4121" s="4347"/>
      <c r="J4121" s="3471" t="str">
        <f t="shared" si="369"/>
        <v>352951_2024_12_</v>
      </c>
      <c r="K4121" s="2894"/>
      <c r="L4121" s="3221"/>
      <c r="M4121" s="3497"/>
      <c r="P4121" s="261"/>
      <c r="S4121" s="52"/>
      <c r="T4121" s="52"/>
      <c r="U4121" s="52"/>
      <c r="V4121" s="4295"/>
      <c r="W4121" s="2894"/>
      <c r="X4121" s="2467"/>
      <c r="Y4121" s="2467"/>
      <c r="Z4121" s="2894"/>
      <c r="AA4121" s="2894"/>
      <c r="AB4121" s="2467"/>
      <c r="AC4121" s="2894"/>
      <c r="AD4121" s="2894"/>
      <c r="AE4121" s="2894"/>
      <c r="AF4121" s="2236" t="str">
        <f t="shared" si="367"/>
        <v/>
      </c>
      <c r="AG4121" s="241"/>
      <c r="DG4121" s="573"/>
      <c r="DH4121" s="159"/>
      <c r="DI4121" s="1091"/>
      <c r="DJ4121" s="1187"/>
    </row>
    <row r="4122" spans="1:114" ht="15" hidden="1" customHeight="1" outlineLevel="1">
      <c r="A4122" s="453"/>
      <c r="C4122" s="51"/>
      <c r="D4122" s="4295"/>
      <c r="E4122" s="4295"/>
      <c r="F4122" s="4347" t="str">
        <f t="shared" si="368"/>
        <v>ASHP-SEER16-Replace_CAC_NonElectricHeat_ROF_MF</v>
      </c>
      <c r="G4122" s="4347"/>
      <c r="H4122" s="4347"/>
      <c r="I4122" s="4347"/>
      <c r="J4122" s="3471" t="str">
        <f t="shared" si="369"/>
        <v>352960_2024_12_</v>
      </c>
      <c r="K4122" s="3496">
        <f>((S$1916+L4122*T$1916)-(S$1924+L4122*T$1924))*VLOOKUP(J4122,$J$4424:$K$4467,2,FALSE)</f>
        <v>122.89198108917795</v>
      </c>
      <c r="L4122" s="3221">
        <f>VLOOKUP(J4122,$J$1914:$L$2106,3,FALSE)*M4122</f>
        <v>2.2333333333333334</v>
      </c>
      <c r="M4122" s="3497">
        <f>VLOOKUP(J4122,$J$3458:$K$3650,2,FALSE)</f>
        <v>1</v>
      </c>
      <c r="N4122" s="553"/>
      <c r="P4122" s="261"/>
      <c r="S4122" s="52"/>
      <c r="T4122" s="52"/>
      <c r="U4122" s="52"/>
      <c r="V4122" s="4295"/>
      <c r="W4122" s="2894"/>
      <c r="X4122" s="2467"/>
      <c r="Y4122" s="2467"/>
      <c r="Z4122" s="2894"/>
      <c r="AA4122" s="2894"/>
      <c r="AB4122" s="2467"/>
      <c r="AC4122" s="2467">
        <v>438</v>
      </c>
      <c r="AD4122" s="2894">
        <v>438</v>
      </c>
      <c r="AE4122" s="2894">
        <v>438</v>
      </c>
      <c r="AF4122" s="2236">
        <f t="shared" si="367"/>
        <v>122.89198108917795</v>
      </c>
      <c r="AG4122" s="241"/>
      <c r="DG4122" s="573"/>
      <c r="DH4122" s="159"/>
      <c r="DI4122" s="1091"/>
      <c r="DJ4122" s="1187"/>
    </row>
    <row r="4123" spans="1:114" ht="15" hidden="1" customHeight="1" outlineLevel="1">
      <c r="A4123" s="453"/>
      <c r="C4123" s="51"/>
      <c r="D4123" s="4295"/>
      <c r="E4123" s="4295"/>
      <c r="F4123" s="4347" t="str">
        <f t="shared" si="368"/>
        <v>ASHP-SEER16-Replace_CAC_NonElectricHeat_ROF_MF</v>
      </c>
      <c r="G4123" s="4347"/>
      <c r="H4123" s="4347"/>
      <c r="I4123" s="4347"/>
      <c r="J4123" s="3471" t="str">
        <f t="shared" si="369"/>
        <v>352960_2024_12_</v>
      </c>
      <c r="K4123" s="2894"/>
      <c r="L4123" s="3221"/>
      <c r="M4123" s="3497"/>
      <c r="P4123" s="261"/>
      <c r="S4123" s="52"/>
      <c r="T4123" s="52"/>
      <c r="U4123" s="52"/>
      <c r="V4123" s="4295"/>
      <c r="W4123" s="2894"/>
      <c r="X4123" s="2467"/>
      <c r="Y4123" s="2467"/>
      <c r="Z4123" s="2894"/>
      <c r="AA4123" s="2894"/>
      <c r="AB4123" s="2467"/>
      <c r="AC4123" s="2894"/>
      <c r="AD4123" s="2894"/>
      <c r="AE4123" s="2894"/>
      <c r="AF4123" s="2236" t="str">
        <f t="shared" si="367"/>
        <v/>
      </c>
      <c r="AG4123" s="241"/>
      <c r="DG4123" s="573"/>
      <c r="DH4123" s="159"/>
      <c r="DI4123" s="1091"/>
      <c r="DJ4123" s="1187"/>
    </row>
    <row r="4124" spans="1:114" ht="15" hidden="1" customHeight="1" outlineLevel="1">
      <c r="A4124" s="453"/>
      <c r="C4124" s="51"/>
      <c r="D4124" s="4295"/>
      <c r="E4124" s="4295"/>
      <c r="F4124" s="4347" t="str">
        <f t="shared" si="368"/>
        <v>ASHP-SEER16-Replace_CAC_NonElectricHeat_ROF_MF_CompE</v>
      </c>
      <c r="G4124" s="4347"/>
      <c r="H4124" s="4347"/>
      <c r="I4124" s="4347"/>
      <c r="J4124" s="3471" t="str">
        <f t="shared" si="369"/>
        <v>352961_2024_12_</v>
      </c>
      <c r="K4124" s="3496">
        <f>((S$1916+L4124*T$1916)-(S$1924+L4124*T$1924))*VLOOKUP(J4124,$J$4424:$K$4467,2,FALSE)</f>
        <v>251.48049486921795</v>
      </c>
      <c r="L4124" s="3221">
        <f>VLOOKUP(J4124,$J$1914:$L$2106,3,FALSE)*M4124</f>
        <v>2.2333333333333334</v>
      </c>
      <c r="M4124" s="3497">
        <f>VLOOKUP(J4124,$J$3458:$K$3650,2,FALSE)</f>
        <v>1</v>
      </c>
      <c r="N4124" s="553"/>
      <c r="P4124" s="261"/>
      <c r="S4124" s="52"/>
      <c r="T4124" s="52"/>
      <c r="U4124" s="52"/>
      <c r="V4124" s="4295"/>
      <c r="W4124" s="2894"/>
      <c r="X4124" s="2467"/>
      <c r="Y4124" s="2467"/>
      <c r="Z4124" s="2894"/>
      <c r="AA4124" s="2894"/>
      <c r="AB4124" s="2467"/>
      <c r="AC4124" s="2467">
        <v>438</v>
      </c>
      <c r="AD4124" s="2894">
        <v>438</v>
      </c>
      <c r="AE4124" s="2894">
        <v>438</v>
      </c>
      <c r="AF4124" s="2236">
        <f t="shared" si="367"/>
        <v>251.48049486921795</v>
      </c>
      <c r="AG4124" s="241"/>
      <c r="DG4124" s="573"/>
      <c r="DH4124" s="159"/>
      <c r="DI4124" s="1091"/>
      <c r="DJ4124" s="1187"/>
    </row>
    <row r="4125" spans="1:114" ht="15" hidden="1" customHeight="1" outlineLevel="1">
      <c r="A4125" s="453"/>
      <c r="C4125" s="51"/>
      <c r="D4125" s="4295"/>
      <c r="E4125" s="4295"/>
      <c r="F4125" s="4347" t="str">
        <f t="shared" si="368"/>
        <v>ASHP-SEER16-Replace_CAC_NonElectricHeat_ROF_MF_CompE</v>
      </c>
      <c r="G4125" s="4347"/>
      <c r="H4125" s="4347"/>
      <c r="I4125" s="4347"/>
      <c r="J4125" s="3471" t="str">
        <f t="shared" si="369"/>
        <v>352961_2024_12_</v>
      </c>
      <c r="K4125" s="2894"/>
      <c r="L4125" s="3221"/>
      <c r="M4125" s="3497"/>
      <c r="P4125" s="261"/>
      <c r="S4125" s="52"/>
      <c r="T4125" s="52"/>
      <c r="U4125" s="52"/>
      <c r="V4125" s="4295"/>
      <c r="W4125" s="2894"/>
      <c r="X4125" s="2467"/>
      <c r="Y4125" s="2467"/>
      <c r="Z4125" s="2894"/>
      <c r="AA4125" s="2894"/>
      <c r="AB4125" s="2467"/>
      <c r="AC4125" s="2894"/>
      <c r="AD4125" s="2894"/>
      <c r="AE4125" s="2894"/>
      <c r="AF4125" s="2236" t="str">
        <f t="shared" si="367"/>
        <v/>
      </c>
      <c r="AG4125" s="241"/>
      <c r="DG4125" s="573"/>
      <c r="DH4125" s="159"/>
      <c r="DI4125" s="1091"/>
      <c r="DJ4125" s="1187"/>
    </row>
    <row r="4126" spans="1:114" ht="15" hidden="1" customHeight="1" outlineLevel="1">
      <c r="A4126" s="453"/>
      <c r="C4126" s="51"/>
      <c r="D4126" s="4295"/>
      <c r="E4126" s="4295"/>
      <c r="F4126" s="4307" t="str">
        <f t="shared" si="368"/>
        <v>ASHP-SEER16-Replace_CAC_ElectricHeat_ER1_MF</v>
      </c>
      <c r="G4126" s="4307"/>
      <c r="H4126" s="4307"/>
      <c r="I4126" s="4307"/>
      <c r="J4126" s="1029" t="str">
        <f t="shared" si="369"/>
        <v>353000_2024_12_</v>
      </c>
      <c r="K4126" s="1752">
        <f>(S$1916+L4126*T$1916)-((S$1926+L4126*T$1926)*S$1931)</f>
        <v>3682.0649648885365</v>
      </c>
      <c r="L4126" s="47">
        <f>VLOOKUP(J4126,$J$1914:$L$2106,3,FALSE)*M4126</f>
        <v>2.8388888888888886</v>
      </c>
      <c r="M4126" s="1743">
        <f>VLOOKUP(J4126,$J$3458:$K$3650,2,FALSE)</f>
        <v>1</v>
      </c>
      <c r="N4126" s="553"/>
      <c r="P4126" s="261"/>
      <c r="Q4126" s="209"/>
      <c r="R4126" s="261"/>
      <c r="S4126" s="52"/>
      <c r="T4126" s="181"/>
      <c r="U4126" s="52"/>
      <c r="V4126" s="4295"/>
      <c r="W4126" s="163">
        <v>2896.6077829603428</v>
      </c>
      <c r="X4126" s="166">
        <v>2531.737308410552</v>
      </c>
      <c r="Y4126" s="166">
        <v>959.95459154364198</v>
      </c>
      <c r="Z4126" s="163">
        <v>959.95459154364198</v>
      </c>
      <c r="AA4126" s="163">
        <v>959.95459154364198</v>
      </c>
      <c r="AB4126" s="166">
        <v>950.52172387527389</v>
      </c>
      <c r="AC4126" s="166">
        <v>748.6192265910754</v>
      </c>
      <c r="AD4126" s="166">
        <v>878.90673552233147</v>
      </c>
      <c r="AE4126" s="166">
        <v>1212.4917696882567</v>
      </c>
      <c r="AF4126" s="271">
        <f t="shared" si="367"/>
        <v>3682.0649648885365</v>
      </c>
      <c r="AG4126" s="241"/>
      <c r="DG4126" s="573"/>
      <c r="DH4126" s="159"/>
      <c r="DI4126" s="1091"/>
      <c r="DJ4126" s="1187"/>
    </row>
    <row r="4127" spans="1:114" ht="15" hidden="1" customHeight="1" outlineLevel="1">
      <c r="A4127" s="453"/>
      <c r="C4127" s="51"/>
      <c r="D4127" s="4295"/>
      <c r="E4127" s="4295"/>
      <c r="F4127" s="4307" t="str">
        <f t="shared" si="368"/>
        <v>ASHP-SEER16-Replace_CAC_ElectricHeat_ER1_MF</v>
      </c>
      <c r="G4127" s="4307"/>
      <c r="H4127" s="4307"/>
      <c r="I4127" s="4307"/>
      <c r="J4127" s="1029" t="str">
        <f t="shared" si="369"/>
        <v>353000_2024_12_</v>
      </c>
      <c r="K4127" s="163"/>
      <c r="L4127" s="47" t="str">
        <f>IF(K4127&gt;0,VLOOKUP(J4127,$J$1914:$L$2106,3,FALSE),"")</f>
        <v/>
      </c>
      <c r="M4127" s="1743" t="str">
        <f>IF(K4127&gt;0,VLOOKUP(J4127,$J$3458:$K$3650,2,FALSE),"")</f>
        <v/>
      </c>
      <c r="P4127" s="261"/>
      <c r="S4127" s="52"/>
      <c r="T4127" s="52"/>
      <c r="U4127" s="52"/>
      <c r="V4127" s="4295"/>
      <c r="W4127" s="163"/>
      <c r="X4127" s="166"/>
      <c r="Y4127" s="166"/>
      <c r="Z4127" s="163"/>
      <c r="AA4127" s="163"/>
      <c r="AB4127" s="166"/>
      <c r="AC4127" s="163"/>
      <c r="AD4127" s="163"/>
      <c r="AE4127" s="163"/>
      <c r="AF4127" s="271" t="str">
        <f t="shared" si="367"/>
        <v/>
      </c>
      <c r="AG4127" s="241"/>
      <c r="DG4127" s="573"/>
      <c r="DH4127" s="159"/>
      <c r="DI4127" s="1091"/>
      <c r="DJ4127" s="1187"/>
    </row>
    <row r="4128" spans="1:114" ht="15" hidden="1" customHeight="1" outlineLevel="1">
      <c r="A4128" s="453"/>
      <c r="C4128" s="51"/>
      <c r="D4128" s="4295"/>
      <c r="E4128" s="4295"/>
      <c r="F4128" s="4307" t="str">
        <f t="shared" si="368"/>
        <v>ASHP-SEER16-Replace_CAC_ElectricHeat_ER2_MF</v>
      </c>
      <c r="G4128" s="4307"/>
      <c r="H4128" s="4307"/>
      <c r="I4128" s="4307"/>
      <c r="J4128" s="1029" t="str">
        <f t="shared" si="369"/>
        <v>353000_2024_12_</v>
      </c>
      <c r="K4128" s="163"/>
      <c r="L4128" s="47" t="str">
        <f>IF(K4128&gt;0,VLOOKUP(J4128,$J$1914:$L$2106,3,FALSE),"")</f>
        <v/>
      </c>
      <c r="M4128" s="1743" t="str">
        <f>IF(K4128&gt;0,VLOOKUP(J4128,$J$3458:$K$3650,2,FALSE),"")</f>
        <v/>
      </c>
      <c r="P4128" s="261"/>
      <c r="S4128" s="52"/>
      <c r="T4128" s="52"/>
      <c r="U4128" s="52"/>
      <c r="V4128" s="4295"/>
      <c r="W4128" s="163"/>
      <c r="X4128" s="166"/>
      <c r="Y4128" s="166"/>
      <c r="Z4128" s="163"/>
      <c r="AA4128" s="163"/>
      <c r="AB4128" s="166"/>
      <c r="AC4128" s="163"/>
      <c r="AD4128" s="163"/>
      <c r="AE4128" s="163"/>
      <c r="AF4128" s="271" t="str">
        <f t="shared" si="367"/>
        <v/>
      </c>
      <c r="AG4128" s="241"/>
      <c r="DG4128" s="573"/>
      <c r="DH4128" s="159"/>
      <c r="DI4128" s="1091"/>
      <c r="DJ4128" s="1187"/>
    </row>
    <row r="4129" spans="1:114" ht="15" hidden="1" customHeight="1" outlineLevel="1">
      <c r="A4129" s="453"/>
      <c r="C4129" s="51"/>
      <c r="D4129" s="4295"/>
      <c r="E4129" s="4295"/>
      <c r="F4129" s="4307" t="str">
        <f t="shared" si="368"/>
        <v>ASHP-SEER16-Replace_CAC_ElectricHeat_ER2_MF</v>
      </c>
      <c r="G4129" s="4307"/>
      <c r="H4129" s="4307"/>
      <c r="I4129" s="4307"/>
      <c r="J4129" s="1029" t="str">
        <f t="shared" si="369"/>
        <v>353000_2024_12_</v>
      </c>
      <c r="K4129" s="163"/>
      <c r="L4129" s="47" t="str">
        <f>IF(K4129&gt;0,VLOOKUP(J4129,$J$1914:$L$2106,3,FALSE),"")</f>
        <v/>
      </c>
      <c r="M4129" s="1743" t="str">
        <f>IF(K4129&gt;0,VLOOKUP(J4129,$J$3458:$K$3650,2,FALSE),"")</f>
        <v/>
      </c>
      <c r="P4129" s="261"/>
      <c r="Q4129" s="209"/>
      <c r="R4129" s="261"/>
      <c r="S4129" s="52"/>
      <c r="T4129" s="181"/>
      <c r="U4129" s="52"/>
      <c r="V4129" s="4295"/>
      <c r="W4129" s="163"/>
      <c r="X4129" s="166"/>
      <c r="Y4129" s="166"/>
      <c r="Z4129" s="163"/>
      <c r="AA4129" s="163"/>
      <c r="AB4129" s="163"/>
      <c r="AC4129" s="163"/>
      <c r="AD4129" s="163"/>
      <c r="AE4129" s="163"/>
      <c r="AF4129" s="271" t="str">
        <f t="shared" si="367"/>
        <v/>
      </c>
      <c r="AG4129" s="241"/>
      <c r="DG4129" s="573"/>
      <c r="DH4129" s="159"/>
      <c r="DI4129" s="1091"/>
      <c r="DJ4129" s="1187"/>
    </row>
    <row r="4130" spans="1:114" ht="15" hidden="1" customHeight="1" outlineLevel="1">
      <c r="A4130" s="453"/>
      <c r="C4130" s="51"/>
      <c r="D4130" s="4295"/>
      <c r="E4130" s="4295"/>
      <c r="F4130" s="4347" t="str">
        <f t="shared" si="368"/>
        <v>ASHP-SEER16-Replace_CAC_ElectricHeat_ER1_MF_CompE</v>
      </c>
      <c r="G4130" s="4347"/>
      <c r="H4130" s="4347"/>
      <c r="I4130" s="4347"/>
      <c r="J4130" s="3471" t="str">
        <f t="shared" si="369"/>
        <v>353001_2024_12_</v>
      </c>
      <c r="K4130" s="3496">
        <f>(S$1916+L4130*T$1916)-((S$1926+L4130*T$1926)*S$1931)</f>
        <v>3682.0649648885365</v>
      </c>
      <c r="L4130" s="3221">
        <f>VLOOKUP(J4130,$J$1914:$L$2106,3,FALSE)*M4130</f>
        <v>2.8388888888888886</v>
      </c>
      <c r="M4130" s="3497">
        <f>VLOOKUP(J4130,$J$3458:$K$3650,2,FALSE)</f>
        <v>1</v>
      </c>
      <c r="N4130" s="553"/>
      <c r="P4130" s="261"/>
      <c r="Q4130" s="209"/>
      <c r="R4130" s="261"/>
      <c r="S4130" s="52"/>
      <c r="T4130" s="181"/>
      <c r="U4130" s="52"/>
      <c r="V4130" s="4295"/>
      <c r="W4130" s="2894"/>
      <c r="X4130" s="2467"/>
      <c r="Y4130" s="2467"/>
      <c r="Z4130" s="2894"/>
      <c r="AA4130" s="2894"/>
      <c r="AB4130" s="2894"/>
      <c r="AC4130" s="2467">
        <v>748.6192265910754</v>
      </c>
      <c r="AD4130" s="2467">
        <v>878.90673552233147</v>
      </c>
      <c r="AE4130" s="2467">
        <v>941.41965029736662</v>
      </c>
      <c r="AF4130" s="2236">
        <f t="shared" si="367"/>
        <v>3682.0649648885365</v>
      </c>
      <c r="AG4130" s="241"/>
      <c r="DG4130" s="573"/>
      <c r="DH4130" s="159"/>
      <c r="DI4130" s="1091"/>
      <c r="DJ4130" s="1187"/>
    </row>
    <row r="4131" spans="1:114" ht="15" hidden="1" customHeight="1" outlineLevel="1">
      <c r="A4131" s="453"/>
      <c r="C4131" s="51"/>
      <c r="D4131" s="4295"/>
      <c r="E4131" s="4295"/>
      <c r="F4131" s="4347" t="str">
        <f t="shared" si="368"/>
        <v>ASHP-SEER16-Replace_CAC_ElectricHeat_ER1_MF_CompE</v>
      </c>
      <c r="G4131" s="4347"/>
      <c r="H4131" s="4347"/>
      <c r="I4131" s="4347"/>
      <c r="J4131" s="3471" t="str">
        <f t="shared" si="369"/>
        <v>353001_2024_12_</v>
      </c>
      <c r="K4131" s="2894"/>
      <c r="L4131" s="3221"/>
      <c r="M4131" s="3497"/>
      <c r="P4131" s="261"/>
      <c r="Q4131" s="209"/>
      <c r="R4131" s="261"/>
      <c r="S4131" s="52"/>
      <c r="T4131" s="181"/>
      <c r="U4131" s="52"/>
      <c r="V4131" s="4295"/>
      <c r="W4131" s="2894"/>
      <c r="X4131" s="2467"/>
      <c r="Y4131" s="2467"/>
      <c r="Z4131" s="2894"/>
      <c r="AA4131" s="2894"/>
      <c r="AB4131" s="2894"/>
      <c r="AC4131" s="2894"/>
      <c r="AD4131" s="2894"/>
      <c r="AE4131" s="2894"/>
      <c r="AF4131" s="2236" t="str">
        <f t="shared" si="367"/>
        <v/>
      </c>
      <c r="AG4131" s="241"/>
      <c r="DG4131" s="573"/>
      <c r="DH4131" s="159"/>
      <c r="DI4131" s="1091"/>
      <c r="DJ4131" s="1187"/>
    </row>
    <row r="4132" spans="1:114" ht="15" hidden="1" customHeight="1" outlineLevel="1">
      <c r="A4132" s="453"/>
      <c r="C4132" s="51"/>
      <c r="D4132" s="4295"/>
      <c r="E4132" s="4295"/>
      <c r="F4132" s="4347" t="str">
        <f t="shared" si="368"/>
        <v>ASHP-SEER16-Replace_CAC_ElectricHeat_ER2_MF_CompE</v>
      </c>
      <c r="G4132" s="4347"/>
      <c r="H4132" s="4347"/>
      <c r="I4132" s="4347"/>
      <c r="J4132" s="3471" t="str">
        <f t="shared" si="369"/>
        <v>353001_2024_12_</v>
      </c>
      <c r="K4132" s="2894"/>
      <c r="L4132" s="3221"/>
      <c r="M4132" s="3497"/>
      <c r="P4132" s="261"/>
      <c r="Q4132" s="209"/>
      <c r="R4132" s="261"/>
      <c r="S4132" s="52"/>
      <c r="T4132" s="181"/>
      <c r="U4132" s="52"/>
      <c r="V4132" s="4295"/>
      <c r="W4132" s="2894"/>
      <c r="X4132" s="2467"/>
      <c r="Y4132" s="2467"/>
      <c r="Z4132" s="2894"/>
      <c r="AA4132" s="2894"/>
      <c r="AB4132" s="2894"/>
      <c r="AC4132" s="2894"/>
      <c r="AD4132" s="2894"/>
      <c r="AE4132" s="2894"/>
      <c r="AF4132" s="2236" t="str">
        <f t="shared" si="367"/>
        <v/>
      </c>
      <c r="AG4132" s="241"/>
      <c r="DG4132" s="573"/>
      <c r="DH4132" s="159"/>
      <c r="DI4132" s="1091"/>
      <c r="DJ4132" s="1187"/>
    </row>
    <row r="4133" spans="1:114" ht="15" hidden="1" customHeight="1" outlineLevel="1">
      <c r="A4133" s="453"/>
      <c r="C4133" s="51"/>
      <c r="D4133" s="4295"/>
      <c r="E4133" s="4295"/>
      <c r="F4133" s="4347" t="str">
        <f t="shared" si="368"/>
        <v>ASHP-SEER16-Replace_CAC_ElectricHeat_ER2_MF_CompE</v>
      </c>
      <c r="G4133" s="4347"/>
      <c r="H4133" s="4347"/>
      <c r="I4133" s="4347"/>
      <c r="J4133" s="3471" t="str">
        <f t="shared" si="369"/>
        <v>353001_2024_12_</v>
      </c>
      <c r="K4133" s="2894"/>
      <c r="L4133" s="3221"/>
      <c r="M4133" s="3497"/>
      <c r="P4133" s="261"/>
      <c r="Q4133" s="209"/>
      <c r="R4133" s="261"/>
      <c r="S4133" s="52"/>
      <c r="T4133" s="181"/>
      <c r="U4133" s="52"/>
      <c r="V4133" s="4295"/>
      <c r="W4133" s="2894"/>
      <c r="X4133" s="2467"/>
      <c r="Y4133" s="2467"/>
      <c r="Z4133" s="2894"/>
      <c r="AA4133" s="2894"/>
      <c r="AB4133" s="2894"/>
      <c r="AC4133" s="2894"/>
      <c r="AD4133" s="2894"/>
      <c r="AE4133" s="2894"/>
      <c r="AF4133" s="2236" t="str">
        <f t="shared" si="367"/>
        <v/>
      </c>
      <c r="AG4133" s="241"/>
      <c r="DG4133" s="573"/>
      <c r="DH4133" s="159"/>
      <c r="DI4133" s="1091"/>
      <c r="DJ4133" s="1187"/>
    </row>
    <row r="4134" spans="1:114" ht="15" hidden="1" customHeight="1" outlineLevel="1">
      <c r="A4134" s="453"/>
      <c r="C4134" s="51"/>
      <c r="D4134" s="4295"/>
      <c r="E4134" s="4295"/>
      <c r="F4134" s="4347" t="str">
        <f t="shared" si="368"/>
        <v>ASHP-SEER16-Replace_CAC_NonElectricHeat_ER1_MF</v>
      </c>
      <c r="G4134" s="4347"/>
      <c r="H4134" s="4347"/>
      <c r="I4134" s="4347"/>
      <c r="J4134" s="3471" t="str">
        <f t="shared" si="369"/>
        <v>353010_2024_12_</v>
      </c>
      <c r="K4134" s="3496">
        <f>((S$1916+L4134*T$1916)-((S$1926+L4134*T$1926)*S$1931))*VLOOKUP(J4134,$J$4424:$K$4467,2,FALSE)</f>
        <v>428.60855601917552</v>
      </c>
      <c r="L4134" s="3221">
        <f>VLOOKUP(J4134,$J$1914:$L$2106,3,FALSE)*M4134</f>
        <v>2.8388888888888886</v>
      </c>
      <c r="M4134" s="3497">
        <f>VLOOKUP(J4134,$J$3458:$K$3650,2,FALSE)</f>
        <v>1</v>
      </c>
      <c r="N4134" s="553"/>
      <c r="P4134" s="261"/>
      <c r="Q4134" s="209"/>
      <c r="R4134" s="261"/>
      <c r="S4134" s="52"/>
      <c r="T4134" s="181"/>
      <c r="U4134" s="52"/>
      <c r="V4134" s="4295"/>
      <c r="W4134" s="2894"/>
      <c r="X4134" s="2467"/>
      <c r="Y4134" s="2467"/>
      <c r="Z4134" s="2894"/>
      <c r="AA4134" s="2894"/>
      <c r="AB4134" s="2894"/>
      <c r="AC4134" s="2467">
        <v>748.6192265910754</v>
      </c>
      <c r="AD4134" s="2467">
        <v>878.90673552233147</v>
      </c>
      <c r="AE4134" s="2467">
        <v>941.41965029736662</v>
      </c>
      <c r="AF4134" s="2236">
        <f t="shared" si="367"/>
        <v>428.60855601917552</v>
      </c>
      <c r="AG4134" s="241"/>
      <c r="DG4134" s="573"/>
      <c r="DH4134" s="159"/>
      <c r="DI4134" s="1091"/>
      <c r="DJ4134" s="1187"/>
    </row>
    <row r="4135" spans="1:114" ht="15" hidden="1" customHeight="1" outlineLevel="1">
      <c r="A4135" s="453"/>
      <c r="C4135" s="51"/>
      <c r="D4135" s="4295"/>
      <c r="E4135" s="4295"/>
      <c r="F4135" s="4347" t="str">
        <f t="shared" si="368"/>
        <v>ASHP-SEER16-Replace_CAC_NonElectricHeat_ER1_MF</v>
      </c>
      <c r="G4135" s="4347"/>
      <c r="H4135" s="4347"/>
      <c r="I4135" s="4347"/>
      <c r="J4135" s="3471" t="str">
        <f t="shared" si="369"/>
        <v>353010_2024_12_</v>
      </c>
      <c r="K4135" s="2894"/>
      <c r="L4135" s="3221"/>
      <c r="M4135" s="3497"/>
      <c r="P4135" s="261"/>
      <c r="Q4135" s="209"/>
      <c r="R4135" s="261"/>
      <c r="S4135" s="52"/>
      <c r="T4135" s="181"/>
      <c r="U4135" s="52"/>
      <c r="V4135" s="4295"/>
      <c r="W4135" s="2894"/>
      <c r="X4135" s="2467"/>
      <c r="Y4135" s="2467"/>
      <c r="Z4135" s="2894"/>
      <c r="AA4135" s="2894"/>
      <c r="AB4135" s="2894"/>
      <c r="AC4135" s="2894"/>
      <c r="AD4135" s="2894"/>
      <c r="AE4135" s="2894"/>
      <c r="AF4135" s="2236" t="str">
        <f t="shared" si="367"/>
        <v/>
      </c>
      <c r="AG4135" s="241"/>
      <c r="DG4135" s="573"/>
      <c r="DH4135" s="159"/>
      <c r="DI4135" s="1091"/>
      <c r="DJ4135" s="1187"/>
    </row>
    <row r="4136" spans="1:114" ht="15" hidden="1" customHeight="1" outlineLevel="1">
      <c r="A4136" s="453"/>
      <c r="C4136" s="51"/>
      <c r="D4136" s="4295"/>
      <c r="E4136" s="4295"/>
      <c r="F4136" s="4347" t="str">
        <f t="shared" si="368"/>
        <v>ASHP-SEER16-Replace_CAC_NonElectricHeat_ER2_MF</v>
      </c>
      <c r="G4136" s="4347"/>
      <c r="H4136" s="4347"/>
      <c r="I4136" s="4347"/>
      <c r="J4136" s="3471" t="str">
        <f t="shared" si="369"/>
        <v>353010_2024_12_</v>
      </c>
      <c r="K4136" s="2894"/>
      <c r="L4136" s="3221"/>
      <c r="M4136" s="3497"/>
      <c r="P4136" s="261"/>
      <c r="Q4136" s="209"/>
      <c r="R4136" s="261"/>
      <c r="S4136" s="52"/>
      <c r="T4136" s="181"/>
      <c r="U4136" s="52"/>
      <c r="V4136" s="4295"/>
      <c r="W4136" s="2894"/>
      <c r="X4136" s="2467"/>
      <c r="Y4136" s="2467"/>
      <c r="Z4136" s="2894"/>
      <c r="AA4136" s="2894"/>
      <c r="AB4136" s="2894"/>
      <c r="AC4136" s="2894"/>
      <c r="AD4136" s="2894"/>
      <c r="AE4136" s="2894"/>
      <c r="AF4136" s="2236" t="str">
        <f t="shared" si="367"/>
        <v/>
      </c>
      <c r="AG4136" s="241"/>
      <c r="DG4136" s="573"/>
      <c r="DH4136" s="159"/>
      <c r="DI4136" s="1091"/>
      <c r="DJ4136" s="1187"/>
    </row>
    <row r="4137" spans="1:114" ht="15" hidden="1" customHeight="1" outlineLevel="1">
      <c r="A4137" s="453"/>
      <c r="C4137" s="51"/>
      <c r="D4137" s="4295"/>
      <c r="E4137" s="4295"/>
      <c r="F4137" s="4347" t="str">
        <f t="shared" si="368"/>
        <v>ASHP-SEER16-Replace_CAC_NonElectricHeat_ER2_MF</v>
      </c>
      <c r="G4137" s="4347"/>
      <c r="H4137" s="4347"/>
      <c r="I4137" s="4347"/>
      <c r="J4137" s="3471" t="str">
        <f t="shared" si="369"/>
        <v>353010_2024_12_</v>
      </c>
      <c r="K4137" s="2894"/>
      <c r="L4137" s="3221"/>
      <c r="M4137" s="3497"/>
      <c r="P4137" s="261"/>
      <c r="Q4137" s="209"/>
      <c r="R4137" s="261"/>
      <c r="S4137" s="52"/>
      <c r="T4137" s="181"/>
      <c r="U4137" s="52"/>
      <c r="V4137" s="4295"/>
      <c r="W4137" s="2894"/>
      <c r="X4137" s="2467"/>
      <c r="Y4137" s="2467"/>
      <c r="Z4137" s="2894"/>
      <c r="AA4137" s="2894"/>
      <c r="AB4137" s="2894"/>
      <c r="AC4137" s="2894"/>
      <c r="AD4137" s="2894"/>
      <c r="AE4137" s="2894"/>
      <c r="AF4137" s="2236" t="str">
        <f t="shared" si="367"/>
        <v/>
      </c>
      <c r="AG4137" s="241"/>
      <c r="DG4137" s="573"/>
      <c r="DH4137" s="159"/>
      <c r="DI4137" s="1091"/>
      <c r="DJ4137" s="1187"/>
    </row>
    <row r="4138" spans="1:114" ht="15" hidden="1" customHeight="1" outlineLevel="1">
      <c r="A4138" s="453"/>
      <c r="C4138" s="51"/>
      <c r="D4138" s="4295"/>
      <c r="E4138" s="4295"/>
      <c r="F4138" s="4347" t="str">
        <f t="shared" si="368"/>
        <v>ASHP-SEER16-Replace_CAC_NonElectricHeat_ER1_MF_CompE</v>
      </c>
      <c r="G4138" s="4347"/>
      <c r="H4138" s="4347"/>
      <c r="I4138" s="4347"/>
      <c r="J4138" s="3471" t="str">
        <f t="shared" si="369"/>
        <v>353011_2024_12_</v>
      </c>
      <c r="K4138" s="3496">
        <f>((S$1916+L4138*T$1916)-((S$1926+L4138*T$1926)*S$1931))*VLOOKUP(J4138,$J$4424:$K$4467,2,FALSE)</f>
        <v>807.79575427577197</v>
      </c>
      <c r="L4138" s="3221">
        <f>VLOOKUP(J4138,$J$1914:$L$2106,3,FALSE)*M4138</f>
        <v>2.8388888888888886</v>
      </c>
      <c r="M4138" s="3497">
        <f>VLOOKUP(J4138,$J$3458:$K$3650,2,FALSE)</f>
        <v>1</v>
      </c>
      <c r="N4138" s="553"/>
      <c r="P4138" s="261"/>
      <c r="Q4138" s="209"/>
      <c r="R4138" s="261"/>
      <c r="S4138" s="52"/>
      <c r="T4138" s="181"/>
      <c r="U4138" s="52"/>
      <c r="V4138" s="4295"/>
      <c r="W4138" s="2894"/>
      <c r="X4138" s="2467"/>
      <c r="Y4138" s="2467"/>
      <c r="Z4138" s="2894"/>
      <c r="AA4138" s="2894"/>
      <c r="AB4138" s="2894"/>
      <c r="AC4138" s="2467">
        <v>748.6192265910754</v>
      </c>
      <c r="AD4138" s="2467">
        <v>878.90673552233147</v>
      </c>
      <c r="AE4138" s="2467">
        <v>941.41965029736662</v>
      </c>
      <c r="AF4138" s="2236">
        <f t="shared" si="367"/>
        <v>807.79575427577197</v>
      </c>
      <c r="AG4138" s="241"/>
      <c r="DG4138" s="573"/>
      <c r="DH4138" s="159"/>
      <c r="DI4138" s="1091"/>
      <c r="DJ4138" s="1187"/>
    </row>
    <row r="4139" spans="1:114" ht="15" hidden="1" customHeight="1" outlineLevel="1">
      <c r="A4139" s="453"/>
      <c r="C4139" s="51"/>
      <c r="D4139" s="4295"/>
      <c r="E4139" s="4295"/>
      <c r="F4139" s="4347" t="str">
        <f t="shared" si="368"/>
        <v>ASHP-SEER16-Replace_CAC_NonElectricHeat_ER1_MF_CompE</v>
      </c>
      <c r="G4139" s="4347"/>
      <c r="H4139" s="4347"/>
      <c r="I4139" s="4347"/>
      <c r="J4139" s="3471" t="str">
        <f t="shared" si="369"/>
        <v>353011_2024_12_</v>
      </c>
      <c r="K4139" s="2894"/>
      <c r="L4139" s="3221"/>
      <c r="M4139" s="3497"/>
      <c r="P4139" s="261"/>
      <c r="Q4139" s="209"/>
      <c r="R4139" s="261"/>
      <c r="S4139" s="52"/>
      <c r="T4139" s="181"/>
      <c r="U4139" s="52"/>
      <c r="V4139" s="4295"/>
      <c r="W4139" s="2894"/>
      <c r="X4139" s="2467"/>
      <c r="Y4139" s="2467"/>
      <c r="Z4139" s="2894"/>
      <c r="AA4139" s="2894"/>
      <c r="AB4139" s="2894"/>
      <c r="AC4139" s="2894"/>
      <c r="AD4139" s="2894"/>
      <c r="AE4139" s="2894"/>
      <c r="AF4139" s="2236" t="str">
        <f t="shared" si="367"/>
        <v/>
      </c>
      <c r="AG4139" s="241"/>
      <c r="DG4139" s="573"/>
      <c r="DH4139" s="159"/>
      <c r="DI4139" s="1091"/>
      <c r="DJ4139" s="1187"/>
    </row>
    <row r="4140" spans="1:114" ht="15" hidden="1" customHeight="1" outlineLevel="1">
      <c r="A4140" s="453"/>
      <c r="C4140" s="51"/>
      <c r="D4140" s="4295"/>
      <c r="E4140" s="4295"/>
      <c r="F4140" s="4347" t="str">
        <f t="shared" si="368"/>
        <v>ASHP-SEER16-Replace_CAC_NonElectricHeat_ER2_MF_CompE</v>
      </c>
      <c r="G4140" s="4347"/>
      <c r="H4140" s="4347"/>
      <c r="I4140" s="4347"/>
      <c r="J4140" s="3471" t="str">
        <f t="shared" si="369"/>
        <v>353011_2024_12_</v>
      </c>
      <c r="K4140" s="2894"/>
      <c r="L4140" s="3221"/>
      <c r="M4140" s="3497"/>
      <c r="P4140" s="261"/>
      <c r="Q4140" s="209"/>
      <c r="R4140" s="261"/>
      <c r="S4140" s="52"/>
      <c r="T4140" s="181"/>
      <c r="U4140" s="52"/>
      <c r="V4140" s="4295"/>
      <c r="W4140" s="2894"/>
      <c r="X4140" s="2467"/>
      <c r="Y4140" s="2467"/>
      <c r="Z4140" s="2894"/>
      <c r="AA4140" s="2894"/>
      <c r="AB4140" s="2894"/>
      <c r="AC4140" s="2894"/>
      <c r="AD4140" s="2894"/>
      <c r="AE4140" s="2894"/>
      <c r="AF4140" s="2236" t="str">
        <f t="shared" si="367"/>
        <v/>
      </c>
      <c r="AG4140" s="241"/>
      <c r="DG4140" s="573"/>
      <c r="DH4140" s="159"/>
      <c r="DI4140" s="1091"/>
      <c r="DJ4140" s="1187"/>
    </row>
    <row r="4141" spans="1:114" ht="15" hidden="1" customHeight="1" outlineLevel="1">
      <c r="A4141" s="453"/>
      <c r="C4141" s="51"/>
      <c r="D4141" s="4295"/>
      <c r="E4141" s="4295"/>
      <c r="F4141" s="4347" t="str">
        <f t="shared" si="368"/>
        <v>ASHP-SEER16-Replace_CAC_NonElectricHeat_ER2_MF_CompE</v>
      </c>
      <c r="G4141" s="4347"/>
      <c r="H4141" s="4347"/>
      <c r="I4141" s="4347"/>
      <c r="J4141" s="3471" t="str">
        <f t="shared" si="369"/>
        <v>353011_2024_12_</v>
      </c>
      <c r="K4141" s="2894"/>
      <c r="L4141" s="3221"/>
      <c r="M4141" s="3497"/>
      <c r="P4141" s="261"/>
      <c r="Q4141" s="209"/>
      <c r="R4141" s="261"/>
      <c r="S4141" s="52"/>
      <c r="T4141" s="181"/>
      <c r="U4141" s="52"/>
      <c r="V4141" s="4295"/>
      <c r="W4141" s="2894"/>
      <c r="X4141" s="2467"/>
      <c r="Y4141" s="2467"/>
      <c r="Z4141" s="2894"/>
      <c r="AA4141" s="2894"/>
      <c r="AB4141" s="2894"/>
      <c r="AC4141" s="2894"/>
      <c r="AD4141" s="2894"/>
      <c r="AE4141" s="2894"/>
      <c r="AF4141" s="2236" t="str">
        <f t="shared" si="367"/>
        <v/>
      </c>
      <c r="AG4141" s="241"/>
      <c r="DG4141" s="573"/>
      <c r="DH4141" s="159"/>
      <c r="DI4141" s="1091"/>
      <c r="DJ4141" s="1187"/>
    </row>
    <row r="4142" spans="1:114" ht="15" hidden="1" customHeight="1" outlineLevel="1">
      <c r="A4142" s="453"/>
      <c r="C4142" s="51"/>
      <c r="D4142" s="4295"/>
      <c r="E4142" s="4295"/>
      <c r="F4142" s="4347" t="str">
        <f t="shared" si="368"/>
        <v>ASHP-SEER15_ROF_MF</v>
      </c>
      <c r="G4142" s="4347"/>
      <c r="H4142" s="4347"/>
      <c r="I4142" s="4347"/>
      <c r="J4142" s="3471" t="str">
        <f t="shared" si="369"/>
        <v>353050_2024_12_</v>
      </c>
      <c r="K4142" s="3496">
        <f>(S$1915+L4142*T$1915)-(S$1923+L4142*T$1923)</f>
        <v>135</v>
      </c>
      <c r="L4142" s="3221">
        <f>VLOOKUP(J4142,$J$1914:$L$2106,3,FALSE)*M4142</f>
        <v>2.1833333333333331</v>
      </c>
      <c r="M4142" s="3497">
        <f>VLOOKUP(J4142,$J$3458:$K$3650,2,FALSE)</f>
        <v>1</v>
      </c>
      <c r="N4142" s="553"/>
      <c r="P4142" s="261"/>
      <c r="Q4142" s="209"/>
      <c r="R4142" s="261"/>
      <c r="S4142" s="52"/>
      <c r="T4142" s="181"/>
      <c r="U4142" s="52"/>
      <c r="V4142" s="4295"/>
      <c r="W4142" s="2894">
        <v>939.30000000000007</v>
      </c>
      <c r="X4142" s="2467">
        <v>610.54500000000007</v>
      </c>
      <c r="Y4142" s="2467">
        <v>303</v>
      </c>
      <c r="Z4142" s="2894">
        <v>303</v>
      </c>
      <c r="AA4142" s="2894">
        <v>303</v>
      </c>
      <c r="AB4142" s="2894">
        <v>303</v>
      </c>
      <c r="AC4142" s="2894">
        <v>303</v>
      </c>
      <c r="AD4142" s="2894">
        <v>303</v>
      </c>
      <c r="AE4142" s="2894">
        <v>303</v>
      </c>
      <c r="AF4142" s="2236">
        <f t="shared" si="367"/>
        <v>135</v>
      </c>
      <c r="AG4142" s="241"/>
      <c r="DG4142" s="573"/>
      <c r="DH4142" s="159"/>
      <c r="DI4142" s="1091"/>
      <c r="DJ4142" s="1187"/>
    </row>
    <row r="4143" spans="1:114" ht="15" hidden="1" customHeight="1" outlineLevel="1">
      <c r="A4143" s="453"/>
      <c r="C4143" s="51"/>
      <c r="D4143" s="4295"/>
      <c r="E4143" s="4295"/>
      <c r="F4143" s="4347" t="str">
        <f t="shared" si="368"/>
        <v>ASHP-SEER15_ROF_MF</v>
      </c>
      <c r="G4143" s="4347"/>
      <c r="H4143" s="4347"/>
      <c r="I4143" s="4347"/>
      <c r="J4143" s="3471" t="str">
        <f t="shared" si="369"/>
        <v>353050_2024_12_</v>
      </c>
      <c r="K4143" s="2894"/>
      <c r="L4143" s="3221" t="str">
        <f>IF(K4143&gt;0,VLOOKUP(J4143,$J$1914:$L$2106,3,FALSE),"")</f>
        <v/>
      </c>
      <c r="M4143" s="3497" t="str">
        <f>IF(K4143&gt;0,VLOOKUP(J4143,$J$3458:$K$3650,2,FALSE),"")</f>
        <v/>
      </c>
      <c r="P4143" s="261"/>
      <c r="S4143" s="52"/>
      <c r="T4143" s="52"/>
      <c r="U4143" s="52"/>
      <c r="V4143" s="4295"/>
      <c r="W4143" s="2894"/>
      <c r="X4143" s="2467"/>
      <c r="Y4143" s="2467"/>
      <c r="Z4143" s="2894"/>
      <c r="AA4143" s="2894"/>
      <c r="AB4143" s="2894"/>
      <c r="AC4143" s="2894"/>
      <c r="AD4143" s="2894"/>
      <c r="AE4143" s="2894"/>
      <c r="AF4143" s="2236" t="str">
        <f t="shared" si="367"/>
        <v/>
      </c>
      <c r="AG4143" s="241"/>
      <c r="DG4143" s="573"/>
      <c r="DH4143" s="159"/>
      <c r="DI4143" s="1091"/>
      <c r="DJ4143" s="1187"/>
    </row>
    <row r="4144" spans="1:114" ht="15" hidden="1" customHeight="1" outlineLevel="1">
      <c r="A4144" s="453"/>
      <c r="C4144" s="51"/>
      <c r="D4144" s="4295"/>
      <c r="E4144" s="4295"/>
      <c r="F4144" s="4347" t="str">
        <f t="shared" si="368"/>
        <v>ASHP-SEER15_ROF_MF_CompE</v>
      </c>
      <c r="G4144" s="4347"/>
      <c r="H4144" s="4347"/>
      <c r="I4144" s="4347"/>
      <c r="J4144" s="3471" t="str">
        <f t="shared" si="369"/>
        <v>353051_2024_12_</v>
      </c>
      <c r="K4144" s="3496">
        <f>(S$1915+L4144*T$1915)-(S$1923+L4144*T$1923)</f>
        <v>135</v>
      </c>
      <c r="L4144" s="3221">
        <f>VLOOKUP(J4144,$J$1914:$L$2106,3,FALSE)*M4144</f>
        <v>2.1833333333333331</v>
      </c>
      <c r="M4144" s="3497">
        <f>VLOOKUP(J4144,$J$3458:$K$3650,2,FALSE)</f>
        <v>1</v>
      </c>
      <c r="N4144" s="553"/>
      <c r="P4144" s="261"/>
      <c r="S4144" s="52"/>
      <c r="T4144" s="52"/>
      <c r="U4144" s="52"/>
      <c r="V4144" s="4295"/>
      <c r="W4144" s="2894"/>
      <c r="X4144" s="2467"/>
      <c r="Y4144" s="2467"/>
      <c r="Z4144" s="2894"/>
      <c r="AA4144" s="2894"/>
      <c r="AB4144" s="2894"/>
      <c r="AC4144" s="2467">
        <v>303</v>
      </c>
      <c r="AD4144" s="2894">
        <v>303</v>
      </c>
      <c r="AE4144" s="2894">
        <v>303</v>
      </c>
      <c r="AF4144" s="2236">
        <f t="shared" si="367"/>
        <v>135</v>
      </c>
      <c r="AG4144" s="241"/>
      <c r="DG4144" s="573"/>
      <c r="DH4144" s="159"/>
      <c r="DI4144" s="1091"/>
      <c r="DJ4144" s="1187"/>
    </row>
    <row r="4145" spans="1:114" ht="15" hidden="1" customHeight="1" outlineLevel="1">
      <c r="A4145" s="453"/>
      <c r="C4145" s="51"/>
      <c r="D4145" s="4295"/>
      <c r="E4145" s="4295"/>
      <c r="F4145" s="4347" t="str">
        <f t="shared" si="368"/>
        <v>ASHP-SEER15_ROF_MF_CompE</v>
      </c>
      <c r="G4145" s="4347"/>
      <c r="H4145" s="4347"/>
      <c r="I4145" s="4347"/>
      <c r="J4145" s="3471" t="str">
        <f t="shared" si="369"/>
        <v>353051_2024_12_</v>
      </c>
      <c r="K4145" s="2894"/>
      <c r="L4145" s="3221"/>
      <c r="M4145" s="3497"/>
      <c r="P4145" s="261"/>
      <c r="S4145" s="52"/>
      <c r="T4145" s="52"/>
      <c r="U4145" s="52"/>
      <c r="V4145" s="4295"/>
      <c r="W4145" s="2894"/>
      <c r="X4145" s="2467"/>
      <c r="Y4145" s="2467"/>
      <c r="Z4145" s="2894"/>
      <c r="AA4145" s="2894"/>
      <c r="AB4145" s="2894"/>
      <c r="AC4145" s="2894"/>
      <c r="AD4145" s="2894"/>
      <c r="AE4145" s="2894"/>
      <c r="AF4145" s="2236" t="str">
        <f t="shared" si="367"/>
        <v/>
      </c>
      <c r="AG4145" s="241"/>
      <c r="DG4145" s="573"/>
      <c r="DH4145" s="159"/>
      <c r="DI4145" s="1091"/>
      <c r="DJ4145" s="1187"/>
    </row>
    <row r="4146" spans="1:114" ht="15" hidden="1" customHeight="1" outlineLevel="1">
      <c r="A4146" s="453"/>
      <c r="C4146" s="51"/>
      <c r="D4146" s="4295"/>
      <c r="E4146" s="4295"/>
      <c r="F4146" s="4307" t="str">
        <f t="shared" si="368"/>
        <v>ASHP-SEER17-Replace_CAC_ElectricHeat_ROF_SF</v>
      </c>
      <c r="G4146" s="4307"/>
      <c r="H4146" s="4307"/>
      <c r="I4146" s="4307"/>
      <c r="J4146" s="1029" t="str">
        <f t="shared" si="369"/>
        <v>353100_2024_12_</v>
      </c>
      <c r="K4146" s="1752">
        <f>(S$1917+L4146*T$1917)-(S$1924+L4146*T$1924)</f>
        <v>4073.1981423529414</v>
      </c>
      <c r="L4146" s="47">
        <f>VLOOKUP(J4146,$J$1914:$L$2106,3,FALSE)*M4146</f>
        <v>3.2119969039215692</v>
      </c>
      <c r="M4146" s="1743">
        <f>VLOOKUP(J4146,$J$3458:$K$3650,2,FALSE)</f>
        <v>1</v>
      </c>
      <c r="N4146" s="553"/>
      <c r="P4146" s="261"/>
      <c r="S4146" s="52"/>
      <c r="T4146" s="52"/>
      <c r="U4146" s="52"/>
      <c r="V4146" s="4295"/>
      <c r="W4146" s="163">
        <v>1624</v>
      </c>
      <c r="X4146" s="166">
        <v>2027.1999999999998</v>
      </c>
      <c r="Y4146" s="166">
        <v>580</v>
      </c>
      <c r="Z4146" s="163">
        <v>580</v>
      </c>
      <c r="AA4146" s="163">
        <v>580</v>
      </c>
      <c r="AB4146" s="166">
        <v>724</v>
      </c>
      <c r="AC4146" s="163">
        <v>724</v>
      </c>
      <c r="AD4146" s="163">
        <v>724</v>
      </c>
      <c r="AE4146" s="163">
        <v>724</v>
      </c>
      <c r="AF4146" s="271">
        <f t="shared" si="367"/>
        <v>4073.1981423529414</v>
      </c>
      <c r="AG4146" s="241"/>
      <c r="DG4146" s="573"/>
      <c r="DH4146" s="159"/>
      <c r="DI4146" s="1091"/>
      <c r="DJ4146" s="1187"/>
    </row>
    <row r="4147" spans="1:114" ht="15" hidden="1" customHeight="1" outlineLevel="1">
      <c r="A4147" s="453"/>
      <c r="C4147" s="51"/>
      <c r="D4147" s="4295"/>
      <c r="E4147" s="4295"/>
      <c r="F4147" s="4307" t="str">
        <f t="shared" si="368"/>
        <v>ASHP-SEER17-Replace_CAC_ElectricHeat_ROF_SF</v>
      </c>
      <c r="G4147" s="4307"/>
      <c r="H4147" s="4307"/>
      <c r="I4147" s="4307"/>
      <c r="J4147" s="1029" t="str">
        <f t="shared" si="369"/>
        <v>353100_2024_12_</v>
      </c>
      <c r="K4147" s="163"/>
      <c r="L4147" s="47" t="str">
        <f>IF(K4147&gt;0,VLOOKUP(J4147,$J$1914:$L$2106,3,FALSE),"")</f>
        <v/>
      </c>
      <c r="M4147" s="1743" t="str">
        <f>IF(K4147&gt;0,VLOOKUP(J4147,$J$3458:$K$3650,2,FALSE),"")</f>
        <v/>
      </c>
      <c r="P4147" s="261"/>
      <c r="Q4147" s="209"/>
      <c r="R4147" s="261"/>
      <c r="S4147" s="52"/>
      <c r="T4147" s="181"/>
      <c r="U4147" s="52"/>
      <c r="V4147" s="4295"/>
      <c r="W4147" s="163"/>
      <c r="X4147" s="166"/>
      <c r="Y4147" s="166"/>
      <c r="Z4147" s="163"/>
      <c r="AA4147" s="163"/>
      <c r="AB4147" s="166"/>
      <c r="AC4147" s="163"/>
      <c r="AD4147" s="163"/>
      <c r="AE4147" s="163"/>
      <c r="AF4147" s="271" t="str">
        <f t="shared" si="367"/>
        <v/>
      </c>
      <c r="AG4147" s="241"/>
      <c r="DG4147" s="573"/>
      <c r="DH4147" s="159"/>
      <c r="DI4147" s="1091"/>
      <c r="DJ4147" s="1187"/>
    </row>
    <row r="4148" spans="1:114" ht="15" hidden="1" customHeight="1" outlineLevel="1">
      <c r="A4148" s="453"/>
      <c r="C4148" s="51"/>
      <c r="D4148" s="4295"/>
      <c r="E4148" s="4295"/>
      <c r="F4148" s="4307" t="str">
        <f t="shared" si="368"/>
        <v>ASHP-SEER17-Replace_CAC_NonElectricHeat_ROF_SF</v>
      </c>
      <c r="G4148" s="4307"/>
      <c r="H4148" s="4307"/>
      <c r="I4148" s="4307"/>
      <c r="J4148" s="1029" t="str">
        <f t="shared" si="369"/>
        <v>353110_2024_12_</v>
      </c>
      <c r="K4148" s="1752">
        <f>((S$1917+L4148*T$1917)-(S$1924+L4148*T$1924))*VLOOKUP(J4148,$J$4424:$K$4467,2,FALSE)</f>
        <v>183.91380808343658</v>
      </c>
      <c r="L4148" s="47">
        <f>VLOOKUP(J4148,$J$1914:$L$2106,3,FALSE)*M4148</f>
        <v>3.2119969039215692</v>
      </c>
      <c r="M4148" s="1743">
        <f>VLOOKUP(J4148,$J$3458:$K$3650,2,FALSE)</f>
        <v>1</v>
      </c>
      <c r="N4148" s="553"/>
      <c r="P4148" s="261"/>
      <c r="Q4148" s="209"/>
      <c r="R4148" s="261"/>
      <c r="S4148" s="52"/>
      <c r="T4148" s="181"/>
      <c r="U4148" s="52"/>
      <c r="V4148" s="4295"/>
      <c r="W4148" s="163"/>
      <c r="X4148" s="166"/>
      <c r="Y4148" s="166"/>
      <c r="Z4148" s="163"/>
      <c r="AA4148" s="163"/>
      <c r="AB4148" s="166"/>
      <c r="AC4148" s="163"/>
      <c r="AD4148" s="166">
        <v>724</v>
      </c>
      <c r="AE4148" s="163">
        <v>724</v>
      </c>
      <c r="AF4148" s="271">
        <f t="shared" si="367"/>
        <v>183.91380808343658</v>
      </c>
      <c r="AG4148" s="241"/>
      <c r="DG4148" s="573"/>
      <c r="DH4148" s="159"/>
      <c r="DI4148" s="1091"/>
      <c r="DJ4148" s="1187"/>
    </row>
    <row r="4149" spans="1:114" ht="15" hidden="1" customHeight="1" outlineLevel="1">
      <c r="A4149" s="453"/>
      <c r="C4149" s="51"/>
      <c r="D4149" s="4295"/>
      <c r="E4149" s="4295"/>
      <c r="F4149" s="4307" t="str">
        <f t="shared" si="368"/>
        <v>ASHP-SEER17-Replace_CAC_NonElectricHeat_ROF_SF</v>
      </c>
      <c r="G4149" s="4307"/>
      <c r="H4149" s="4307"/>
      <c r="I4149" s="4307"/>
      <c r="J4149" s="1029" t="str">
        <f t="shared" si="369"/>
        <v>353110_2024_12_</v>
      </c>
      <c r="K4149" s="163"/>
      <c r="L4149" s="47" t="str">
        <f>IF(K4149&gt;0,VLOOKUP(J4149,$J$1914:$L$2106,3,FALSE),"")</f>
        <v/>
      </c>
      <c r="M4149" s="1743" t="str">
        <f>IF(K4149&gt;0,VLOOKUP(J4149,$J$3458:$K$3650,2,FALSE),"")</f>
        <v/>
      </c>
      <c r="P4149" s="261"/>
      <c r="Q4149" s="209"/>
      <c r="R4149" s="261"/>
      <c r="S4149" s="52"/>
      <c r="T4149" s="181"/>
      <c r="U4149" s="52"/>
      <c r="V4149" s="4295"/>
      <c r="W4149" s="163"/>
      <c r="X4149" s="166"/>
      <c r="Y4149" s="166"/>
      <c r="Z4149" s="163"/>
      <c r="AA4149" s="163"/>
      <c r="AB4149" s="166"/>
      <c r="AC4149" s="163"/>
      <c r="AD4149" s="163"/>
      <c r="AE4149" s="163"/>
      <c r="AF4149" s="271" t="str">
        <f t="shared" si="367"/>
        <v/>
      </c>
      <c r="AG4149" s="241"/>
      <c r="DG4149" s="573"/>
      <c r="DH4149" s="159"/>
      <c r="DI4149" s="1091"/>
      <c r="DJ4149" s="1187"/>
    </row>
    <row r="4150" spans="1:114" ht="15" hidden="1" customHeight="1" outlineLevel="1">
      <c r="A4150" s="453"/>
      <c r="C4150" s="51"/>
      <c r="D4150" s="4295"/>
      <c r="E4150" s="4295"/>
      <c r="F4150" s="4347" t="str">
        <f t="shared" si="368"/>
        <v>ASHP-SEER17-Replace_CAC_ElectricHeat_ROF_MF</v>
      </c>
      <c r="G4150" s="4347"/>
      <c r="H4150" s="4347"/>
      <c r="I4150" s="4347"/>
      <c r="J4150" s="3471" t="str">
        <f t="shared" si="369"/>
        <v>353150_2024_12_</v>
      </c>
      <c r="K4150" s="3496">
        <f>(S$1917+L4150*T$1917)-(S$1924+L4150*T$1924)</f>
        <v>3238</v>
      </c>
      <c r="L4150" s="3221">
        <f>VLOOKUP(J4150,$J$1914:$L$2106,3,FALSE)*M4150</f>
        <v>1.8199999999999998</v>
      </c>
      <c r="M4150" s="3497">
        <f>VLOOKUP(J4150,$J$3458:$K$3650,2,FALSE)</f>
        <v>0.65</v>
      </c>
      <c r="N4150" s="553"/>
      <c r="P4150" s="261"/>
      <c r="Q4150" s="209"/>
      <c r="R4150" s="261"/>
      <c r="S4150" s="52"/>
      <c r="T4150" s="181"/>
      <c r="U4150" s="52"/>
      <c r="V4150" s="4295"/>
      <c r="W4150" s="2894">
        <v>1624</v>
      </c>
      <c r="X4150" s="2467">
        <v>1317.6799999999998</v>
      </c>
      <c r="Y4150" s="2467">
        <v>580</v>
      </c>
      <c r="Z4150" s="2894">
        <v>580</v>
      </c>
      <c r="AA4150" s="2894">
        <v>580</v>
      </c>
      <c r="AB4150" s="2467">
        <v>724</v>
      </c>
      <c r="AC4150" s="2894">
        <v>724</v>
      </c>
      <c r="AD4150" s="2894">
        <v>724</v>
      </c>
      <c r="AE4150" s="2894">
        <v>724</v>
      </c>
      <c r="AF4150" s="2236">
        <f t="shared" si="367"/>
        <v>3238</v>
      </c>
      <c r="AG4150" s="241"/>
      <c r="DG4150" s="573"/>
      <c r="DH4150" s="159"/>
      <c r="DI4150" s="1091"/>
      <c r="DJ4150" s="1187"/>
    </row>
    <row r="4151" spans="1:114" ht="15" hidden="1" customHeight="1" outlineLevel="1">
      <c r="A4151" s="453"/>
      <c r="C4151" s="51"/>
      <c r="D4151" s="4295"/>
      <c r="E4151" s="4295"/>
      <c r="F4151" s="4347" t="str">
        <f t="shared" si="368"/>
        <v>ASHP-SEER17-Replace_CAC_ElectricHeat_ROF_MF</v>
      </c>
      <c r="G4151" s="4347"/>
      <c r="H4151" s="4347"/>
      <c r="I4151" s="4347"/>
      <c r="J4151" s="3471" t="str">
        <f t="shared" si="369"/>
        <v>353150_2024_12_</v>
      </c>
      <c r="K4151" s="2894"/>
      <c r="L4151" s="3221" t="str">
        <f>IF(K4151&gt;0,VLOOKUP(J4151,$J$1914:$L$2106,3,FALSE),"")</f>
        <v/>
      </c>
      <c r="M4151" s="3497" t="str">
        <f>IF(K4151&gt;0,VLOOKUP(J4151,$J$3458:$K$3650,2,FALSE),"")</f>
        <v/>
      </c>
      <c r="P4151" s="261"/>
      <c r="Q4151" s="209"/>
      <c r="R4151" s="261"/>
      <c r="S4151" s="52"/>
      <c r="T4151" s="181"/>
      <c r="U4151" s="52"/>
      <c r="V4151" s="4295"/>
      <c r="W4151" s="2894"/>
      <c r="X4151" s="2467"/>
      <c r="Y4151" s="2467"/>
      <c r="Z4151" s="2894"/>
      <c r="AA4151" s="2894"/>
      <c r="AB4151" s="2467"/>
      <c r="AC4151" s="2894"/>
      <c r="AD4151" s="2894"/>
      <c r="AE4151" s="2894"/>
      <c r="AF4151" s="2236" t="str">
        <f t="shared" si="367"/>
        <v/>
      </c>
      <c r="AG4151" s="241"/>
      <c r="DG4151" s="573"/>
      <c r="DH4151" s="159"/>
      <c r="DI4151" s="1091"/>
      <c r="DJ4151" s="1187"/>
    </row>
    <row r="4152" spans="1:114" ht="15" hidden="1" customHeight="1" outlineLevel="1">
      <c r="A4152" s="453"/>
      <c r="C4152" s="51"/>
      <c r="D4152" s="4295"/>
      <c r="E4152" s="4295"/>
      <c r="F4152" s="4347" t="str">
        <f t="shared" si="368"/>
        <v>ASHP-SEER17-Replace_CAC_ElectricHeat_ROF_MF_CompE</v>
      </c>
      <c r="G4152" s="4347"/>
      <c r="H4152" s="4347"/>
      <c r="I4152" s="4347"/>
      <c r="J4152" s="3471" t="str">
        <f t="shared" si="369"/>
        <v>353151_2024_12_</v>
      </c>
      <c r="K4152" s="3496">
        <f>(S$1917+L4152*T$1917)-(S$1924+L4152*T$1924)</f>
        <v>3238</v>
      </c>
      <c r="L4152" s="3221">
        <f>VLOOKUP(J4152,$J$1914:$L$2106,3,FALSE)*M4152</f>
        <v>1.8199999999999998</v>
      </c>
      <c r="M4152" s="3497">
        <f>VLOOKUP(J4152,$J$3458:$K$3650,2,FALSE)</f>
        <v>0.65</v>
      </c>
      <c r="N4152" s="553"/>
      <c r="P4152" s="261"/>
      <c r="Q4152" s="209"/>
      <c r="R4152" s="261"/>
      <c r="S4152" s="52"/>
      <c r="T4152" s="181"/>
      <c r="U4152" s="52"/>
      <c r="V4152" s="4295"/>
      <c r="W4152" s="2894"/>
      <c r="X4152" s="2467"/>
      <c r="Y4152" s="2467"/>
      <c r="Z4152" s="2894"/>
      <c r="AA4152" s="2894"/>
      <c r="AB4152" s="2467"/>
      <c r="AC4152" s="2467">
        <v>724</v>
      </c>
      <c r="AD4152" s="2894">
        <v>724</v>
      </c>
      <c r="AE4152" s="2894">
        <v>724</v>
      </c>
      <c r="AF4152" s="2236">
        <f t="shared" si="367"/>
        <v>3238</v>
      </c>
      <c r="AG4152" s="241"/>
      <c r="DG4152" s="573"/>
      <c r="DH4152" s="159"/>
      <c r="DI4152" s="1091"/>
      <c r="DJ4152" s="1187"/>
    </row>
    <row r="4153" spans="1:114" ht="15" hidden="1" customHeight="1" outlineLevel="1">
      <c r="A4153" s="453"/>
      <c r="C4153" s="51"/>
      <c r="D4153" s="4295"/>
      <c r="E4153" s="4295"/>
      <c r="F4153" s="4347" t="str">
        <f t="shared" si="368"/>
        <v>ASHP-SEER17-Replace_CAC_ElectricHeat_ROF_MF_CompE</v>
      </c>
      <c r="G4153" s="4347"/>
      <c r="H4153" s="4347"/>
      <c r="I4153" s="4347"/>
      <c r="J4153" s="3471" t="str">
        <f t="shared" si="369"/>
        <v>353151_2024_12_</v>
      </c>
      <c r="K4153" s="2894"/>
      <c r="L4153" s="3221"/>
      <c r="M4153" s="3497"/>
      <c r="P4153" s="261"/>
      <c r="Q4153" s="209"/>
      <c r="R4153" s="261"/>
      <c r="S4153" s="52"/>
      <c r="T4153" s="181"/>
      <c r="U4153" s="52"/>
      <c r="V4153" s="4295"/>
      <c r="W4153" s="2894"/>
      <c r="X4153" s="2467"/>
      <c r="Y4153" s="2467"/>
      <c r="Z4153" s="2894"/>
      <c r="AA4153" s="2894"/>
      <c r="AB4153" s="2467"/>
      <c r="AC4153" s="2894"/>
      <c r="AD4153" s="2894"/>
      <c r="AE4153" s="2894"/>
      <c r="AF4153" s="2236" t="str">
        <f t="shared" si="367"/>
        <v/>
      </c>
      <c r="AG4153" s="241"/>
      <c r="DG4153" s="573"/>
      <c r="DH4153" s="159"/>
      <c r="DI4153" s="1091"/>
      <c r="DJ4153" s="1187"/>
    </row>
    <row r="4154" spans="1:114" ht="15" hidden="1" customHeight="1" outlineLevel="1">
      <c r="A4154" s="453"/>
      <c r="C4154" s="51"/>
      <c r="D4154" s="4295"/>
      <c r="E4154" s="4295"/>
      <c r="F4154" s="4347" t="str">
        <f t="shared" si="368"/>
        <v>ASHP-SEER17-Replace_CAC_NonElectricHeat_ROF_MF</v>
      </c>
      <c r="G4154" s="4347"/>
      <c r="H4154" s="4347"/>
      <c r="I4154" s="4347"/>
      <c r="J4154" s="3471" t="str">
        <f t="shared" si="369"/>
        <v>353160_2024_12_</v>
      </c>
      <c r="K4154" s="3496">
        <f>((S$1917+L4154*T$1917)-(S$1924+L4154*T$1924))*VLOOKUP(J4154,$J$4424:$K$4467,2,FALSE)</f>
        <v>149.11214118138381</v>
      </c>
      <c r="L4154" s="3221">
        <f>VLOOKUP(J4154,$J$1914:$L$2106,3,FALSE)*M4154</f>
        <v>1.8199999999999998</v>
      </c>
      <c r="M4154" s="3497">
        <f>VLOOKUP(J4154,$J$3458:$K$3650,2,FALSE)</f>
        <v>0.65</v>
      </c>
      <c r="N4154" s="553"/>
      <c r="P4154" s="261"/>
      <c r="Q4154" s="209"/>
      <c r="R4154" s="261"/>
      <c r="S4154" s="52"/>
      <c r="T4154" s="181"/>
      <c r="U4154" s="52"/>
      <c r="V4154" s="4295"/>
      <c r="W4154" s="2894"/>
      <c r="X4154" s="2467"/>
      <c r="Y4154" s="2467"/>
      <c r="Z4154" s="2894"/>
      <c r="AA4154" s="2894"/>
      <c r="AB4154" s="2467"/>
      <c r="AC4154" s="2467">
        <v>724</v>
      </c>
      <c r="AD4154" s="2894">
        <v>724</v>
      </c>
      <c r="AE4154" s="2894">
        <v>724</v>
      </c>
      <c r="AF4154" s="2236">
        <f t="shared" ref="AF4154:AF4217" si="370">IF(K4154&lt;&gt;"",K4154,"")</f>
        <v>149.11214118138381</v>
      </c>
      <c r="AG4154" s="241"/>
      <c r="DG4154" s="573"/>
      <c r="DH4154" s="159"/>
      <c r="DI4154" s="1091"/>
      <c r="DJ4154" s="1187"/>
    </row>
    <row r="4155" spans="1:114" ht="15" hidden="1" customHeight="1" outlineLevel="1">
      <c r="A4155" s="453"/>
      <c r="C4155" s="51"/>
      <c r="D4155" s="4295"/>
      <c r="E4155" s="4295"/>
      <c r="F4155" s="4347" t="str">
        <f t="shared" si="368"/>
        <v>ASHP-SEER17-Replace_CAC_NonElectricHeat_ROF_MF</v>
      </c>
      <c r="G4155" s="4347"/>
      <c r="H4155" s="4347"/>
      <c r="I4155" s="4347"/>
      <c r="J4155" s="3471" t="str">
        <f t="shared" si="369"/>
        <v>353160_2024_12_</v>
      </c>
      <c r="K4155" s="2894"/>
      <c r="L4155" s="3221"/>
      <c r="M4155" s="3497"/>
      <c r="P4155" s="261"/>
      <c r="Q4155" s="209"/>
      <c r="R4155" s="261"/>
      <c r="S4155" s="52"/>
      <c r="T4155" s="181"/>
      <c r="U4155" s="52"/>
      <c r="V4155" s="4295"/>
      <c r="W4155" s="2894"/>
      <c r="X4155" s="2467"/>
      <c r="Y4155" s="2467"/>
      <c r="Z4155" s="2894"/>
      <c r="AA4155" s="2894"/>
      <c r="AB4155" s="2467"/>
      <c r="AC4155" s="2894"/>
      <c r="AD4155" s="2894"/>
      <c r="AE4155" s="2894"/>
      <c r="AF4155" s="2236" t="str">
        <f t="shared" si="370"/>
        <v/>
      </c>
      <c r="AG4155" s="241"/>
      <c r="DG4155" s="573"/>
      <c r="DH4155" s="159"/>
      <c r="DI4155" s="1091"/>
      <c r="DJ4155" s="1187"/>
    </row>
    <row r="4156" spans="1:114" ht="15" hidden="1" customHeight="1" outlineLevel="1">
      <c r="A4156" s="453"/>
      <c r="C4156" s="51"/>
      <c r="D4156" s="4295"/>
      <c r="E4156" s="4295"/>
      <c r="F4156" s="4347" t="str">
        <f t="shared" si="368"/>
        <v>ASHP-SEER17-Replace_CAC_NonElectricHeat_ROF_MF_CompE</v>
      </c>
      <c r="G4156" s="4347"/>
      <c r="H4156" s="4347"/>
      <c r="I4156" s="4347"/>
      <c r="J4156" s="3471" t="str">
        <f t="shared" si="369"/>
        <v>353161_2024_12_</v>
      </c>
      <c r="K4156" s="3496">
        <f>((S$1917+L4156*T$1917)-(S$1924+L4156*T$1924))*VLOOKUP(J4156,$J$4424:$K$4467,2,FALSE)</f>
        <v>302.32680001540945</v>
      </c>
      <c r="L4156" s="3221">
        <f>VLOOKUP(J4156,$J$1914:$L$2106,3,FALSE)*M4156</f>
        <v>1.8199999999999998</v>
      </c>
      <c r="M4156" s="3497">
        <f>VLOOKUP(J4156,$J$3458:$K$3650,2,FALSE)</f>
        <v>0.65</v>
      </c>
      <c r="N4156" s="553"/>
      <c r="P4156" s="261"/>
      <c r="Q4156" s="209"/>
      <c r="R4156" s="261"/>
      <c r="S4156" s="52"/>
      <c r="T4156" s="181"/>
      <c r="U4156" s="52"/>
      <c r="V4156" s="4295"/>
      <c r="W4156" s="2894"/>
      <c r="X4156" s="2467"/>
      <c r="Y4156" s="2467"/>
      <c r="Z4156" s="2894"/>
      <c r="AA4156" s="2894"/>
      <c r="AB4156" s="2467"/>
      <c r="AC4156" s="2467">
        <v>724</v>
      </c>
      <c r="AD4156" s="2894">
        <v>724</v>
      </c>
      <c r="AE4156" s="2894">
        <v>724</v>
      </c>
      <c r="AF4156" s="2236">
        <f t="shared" si="370"/>
        <v>302.32680001540945</v>
      </c>
      <c r="AG4156" s="241"/>
      <c r="DG4156" s="573"/>
      <c r="DH4156" s="159"/>
      <c r="DI4156" s="1091"/>
      <c r="DJ4156" s="1187"/>
    </row>
    <row r="4157" spans="1:114" ht="15" hidden="1" customHeight="1" outlineLevel="1">
      <c r="A4157" s="453"/>
      <c r="C4157" s="51"/>
      <c r="D4157" s="4295"/>
      <c r="E4157" s="4295"/>
      <c r="F4157" s="4347" t="str">
        <f t="shared" si="368"/>
        <v>ASHP-SEER17-Replace_CAC_NonElectricHeat_ROF_MF_CompE</v>
      </c>
      <c r="G4157" s="4347"/>
      <c r="H4157" s="4347"/>
      <c r="I4157" s="4347"/>
      <c r="J4157" s="3471" t="str">
        <f t="shared" si="369"/>
        <v>353161_2024_12_</v>
      </c>
      <c r="K4157" s="2894"/>
      <c r="L4157" s="3221"/>
      <c r="M4157" s="3497"/>
      <c r="P4157" s="261"/>
      <c r="Q4157" s="209"/>
      <c r="R4157" s="261"/>
      <c r="S4157" s="52"/>
      <c r="T4157" s="181"/>
      <c r="U4157" s="52"/>
      <c r="V4157" s="4295"/>
      <c r="W4157" s="2894"/>
      <c r="X4157" s="2467"/>
      <c r="Y4157" s="2467"/>
      <c r="Z4157" s="2894"/>
      <c r="AA4157" s="2894"/>
      <c r="AB4157" s="2467"/>
      <c r="AC4157" s="2894"/>
      <c r="AD4157" s="2894"/>
      <c r="AE4157" s="2894"/>
      <c r="AF4157" s="2236" t="str">
        <f t="shared" si="370"/>
        <v/>
      </c>
      <c r="AG4157" s="241"/>
      <c r="DG4157" s="573"/>
      <c r="DH4157" s="159"/>
      <c r="DI4157" s="1091"/>
      <c r="DJ4157" s="1187"/>
    </row>
    <row r="4158" spans="1:114" ht="15" hidden="1" customHeight="1" outlineLevel="1">
      <c r="A4158" s="453"/>
      <c r="C4158" s="51"/>
      <c r="D4158" s="4295"/>
      <c r="E4158" s="4295"/>
      <c r="F4158" s="4307" t="str">
        <f t="shared" si="368"/>
        <v>ASHP-SEER18-Replace_CAC_ElectricHeat_ROF_SF</v>
      </c>
      <c r="G4158" s="4307"/>
      <c r="H4158" s="4307"/>
      <c r="I4158" s="4307"/>
      <c r="J4158" s="1029" t="str">
        <f t="shared" si="369"/>
        <v>353200_2024_12_</v>
      </c>
      <c r="K4158" s="1752">
        <f>(S$1918+L4158*T$1918)-(S$1924+L4158*T$1924)</f>
        <v>4172.2222220000003</v>
      </c>
      <c r="L4158" s="47">
        <f>VLOOKUP(J4158,$J$1914:$L$2106,3,FALSE)*M4158</f>
        <v>3.0020370366666667</v>
      </c>
      <c r="M4158" s="1743">
        <f>VLOOKUP(J4158,$J$3458:$K$3650,2,FALSE)</f>
        <v>1</v>
      </c>
      <c r="N4158" s="553"/>
      <c r="P4158" s="261"/>
      <c r="Q4158" s="209"/>
      <c r="R4158" s="261"/>
      <c r="S4158" s="52"/>
      <c r="T4158" s="181"/>
      <c r="U4158" s="52"/>
      <c r="V4158" s="4295"/>
      <c r="W4158" s="163">
        <v>1997.3333333333333</v>
      </c>
      <c r="X4158" s="166">
        <v>2696.1759999999999</v>
      </c>
      <c r="Y4158" s="166">
        <v>713.33333333333337</v>
      </c>
      <c r="Z4158" s="163">
        <v>713.33333333333337</v>
      </c>
      <c r="AA4158" s="163">
        <v>713.33333333333337</v>
      </c>
      <c r="AB4158" s="166">
        <v>962.92000000000007</v>
      </c>
      <c r="AC4158" s="163">
        <v>962.92000000000007</v>
      </c>
      <c r="AD4158" s="163">
        <v>962.92000000000007</v>
      </c>
      <c r="AE4158" s="163">
        <v>962.92000000000007</v>
      </c>
      <c r="AF4158" s="271">
        <f t="shared" si="370"/>
        <v>4172.2222220000003</v>
      </c>
      <c r="AG4158" s="241"/>
      <c r="DG4158" s="573"/>
      <c r="DH4158" s="159"/>
      <c r="DI4158" s="1091"/>
      <c r="DJ4158" s="1187"/>
    </row>
    <row r="4159" spans="1:114" ht="15" hidden="1" customHeight="1" outlineLevel="1">
      <c r="A4159" s="453"/>
      <c r="C4159" s="51"/>
      <c r="D4159" s="4295"/>
      <c r="E4159" s="4295"/>
      <c r="F4159" s="4307" t="str">
        <f t="shared" si="368"/>
        <v>ASHP-SEER18-Replace_CAC_ElectricHeat_ROF_SF</v>
      </c>
      <c r="G4159" s="4307"/>
      <c r="H4159" s="4307"/>
      <c r="I4159" s="4307"/>
      <c r="J4159" s="1029" t="str">
        <f t="shared" si="369"/>
        <v>353200_2024_12_</v>
      </c>
      <c r="K4159" s="163"/>
      <c r="L4159" s="47" t="str">
        <f>IF(K4159&gt;0,VLOOKUP(J4159,$J$1914:$L$2106,3,FALSE),"")</f>
        <v/>
      </c>
      <c r="M4159" s="1743" t="str">
        <f>IF(K4159&gt;0,VLOOKUP(J4159,$J$3458:$K$3650,2,FALSE),"")</f>
        <v/>
      </c>
      <c r="P4159" s="261"/>
      <c r="Q4159" s="209"/>
      <c r="R4159" s="261"/>
      <c r="S4159" s="52"/>
      <c r="T4159" s="181"/>
      <c r="U4159" s="52"/>
      <c r="V4159" s="4295"/>
      <c r="W4159" s="163"/>
      <c r="X4159" s="166"/>
      <c r="Y4159" s="166"/>
      <c r="Z4159" s="163"/>
      <c r="AA4159" s="163"/>
      <c r="AB4159" s="166"/>
      <c r="AC4159" s="163"/>
      <c r="AD4159" s="163"/>
      <c r="AE4159" s="163"/>
      <c r="AF4159" s="271" t="str">
        <f t="shared" si="370"/>
        <v/>
      </c>
      <c r="AG4159" s="241"/>
      <c r="DG4159" s="573"/>
      <c r="DH4159" s="159"/>
      <c r="DI4159" s="1091"/>
      <c r="DJ4159" s="1187"/>
    </row>
    <row r="4160" spans="1:114" ht="15" hidden="1" customHeight="1" outlineLevel="1">
      <c r="A4160" s="453"/>
      <c r="C4160" s="51"/>
      <c r="D4160" s="4295"/>
      <c r="E4160" s="4295"/>
      <c r="F4160" s="4307" t="str">
        <f t="shared" si="368"/>
        <v>ASHP-SEER18-Replace_CAC_NonElectricHeat_ROF_SF</v>
      </c>
      <c r="G4160" s="4307"/>
      <c r="H4160" s="4307"/>
      <c r="I4160" s="4307"/>
      <c r="J4160" s="1029" t="str">
        <f t="shared" si="369"/>
        <v>353210_2024_12_</v>
      </c>
      <c r="K4160" s="1752">
        <f>((S$1918+L4160*T$1918)-(S$1924+L4160*T$1924))*VLOOKUP(J4160,$J$4424:$K$4467,2,FALSE)</f>
        <v>264.28036762775952</v>
      </c>
      <c r="L4160" s="47">
        <f>VLOOKUP(J4160,$J$1914:$L$2106,3,FALSE)*M4160</f>
        <v>3.0020370366666667</v>
      </c>
      <c r="M4160" s="1743">
        <f>VLOOKUP(J4160,$J$3458:$K$3650,2,FALSE)</f>
        <v>1</v>
      </c>
      <c r="N4160" s="553"/>
      <c r="P4160" s="261"/>
      <c r="Q4160" s="209"/>
      <c r="R4160" s="261"/>
      <c r="S4160" s="52"/>
      <c r="T4160" s="181"/>
      <c r="U4160" s="52"/>
      <c r="V4160" s="4295"/>
      <c r="W4160" s="163"/>
      <c r="X4160" s="166"/>
      <c r="Y4160" s="166"/>
      <c r="Z4160" s="163"/>
      <c r="AA4160" s="163"/>
      <c r="AB4160" s="166"/>
      <c r="AC4160" s="163"/>
      <c r="AD4160" s="166">
        <v>962.92000000000007</v>
      </c>
      <c r="AE4160" s="163">
        <v>962.92000000000007</v>
      </c>
      <c r="AF4160" s="271">
        <f t="shared" si="370"/>
        <v>264.28036762775952</v>
      </c>
      <c r="AG4160" s="241"/>
      <c r="DG4160" s="573"/>
      <c r="DH4160" s="159"/>
      <c r="DI4160" s="1091"/>
      <c r="DJ4160" s="1187"/>
    </row>
    <row r="4161" spans="1:114" ht="15" hidden="1" customHeight="1" outlineLevel="1">
      <c r="A4161" s="453"/>
      <c r="C4161" s="51"/>
      <c r="D4161" s="4295"/>
      <c r="E4161" s="4295"/>
      <c r="F4161" s="4307" t="str">
        <f t="shared" si="368"/>
        <v>ASHP-SEER18-Replace_CAC_NonElectricHeat_ROF_SF</v>
      </c>
      <c r="G4161" s="4307"/>
      <c r="H4161" s="4307"/>
      <c r="I4161" s="4307"/>
      <c r="J4161" s="1029" t="str">
        <f t="shared" si="369"/>
        <v>353210_2024_12_</v>
      </c>
      <c r="K4161" s="163"/>
      <c r="L4161" s="47" t="str">
        <f>IF(K4161&gt;0,VLOOKUP(J4161,$J$1914:$L$2106,3,FALSE),"")</f>
        <v/>
      </c>
      <c r="M4161" s="1743" t="str">
        <f>IF(K4161&gt;0,VLOOKUP(J4161,$J$3458:$K$3650,2,FALSE),"")</f>
        <v/>
      </c>
      <c r="P4161" s="261"/>
      <c r="Q4161" s="209"/>
      <c r="R4161" s="261"/>
      <c r="S4161" s="52"/>
      <c r="T4161" s="181"/>
      <c r="U4161" s="52"/>
      <c r="V4161" s="4295"/>
      <c r="W4161" s="163"/>
      <c r="X4161" s="166"/>
      <c r="Y4161" s="166"/>
      <c r="Z4161" s="163"/>
      <c r="AA4161" s="163"/>
      <c r="AB4161" s="166"/>
      <c r="AC4161" s="163"/>
      <c r="AD4161" s="163"/>
      <c r="AE4161" s="163"/>
      <c r="AF4161" s="271" t="str">
        <f t="shared" si="370"/>
        <v/>
      </c>
      <c r="AG4161" s="241"/>
      <c r="DG4161" s="573"/>
      <c r="DH4161" s="159"/>
      <c r="DI4161" s="1091"/>
      <c r="DJ4161" s="1187"/>
    </row>
    <row r="4162" spans="1:114" ht="15" hidden="1" customHeight="1" outlineLevel="1">
      <c r="A4162" s="453"/>
      <c r="C4162" s="51"/>
      <c r="D4162" s="4295"/>
      <c r="E4162" s="4295"/>
      <c r="F4162" s="4347" t="str">
        <f t="shared" si="368"/>
        <v>ASHP-SEER18-Replace_CAC_ElectricHeat_ROF_MF</v>
      </c>
      <c r="G4162" s="4347"/>
      <c r="H4162" s="4347"/>
      <c r="I4162" s="4347"/>
      <c r="J4162" s="3471" t="str">
        <f t="shared" si="369"/>
        <v>353250_2024_12_</v>
      </c>
      <c r="K4162" s="3496">
        <f>(S$1918+L4162*T$1918)-(S$1924+L4162*T$1924)</f>
        <v>4171</v>
      </c>
      <c r="L4162" s="3221">
        <f>VLOOKUP(J4162,$J$1914:$L$2106,3,FALSE)*M4162</f>
        <v>3</v>
      </c>
      <c r="M4162" s="3497">
        <f>VLOOKUP(J4162,$J$3458:$K$3650,2,FALSE)</f>
        <v>1</v>
      </c>
      <c r="N4162" s="553"/>
      <c r="P4162" s="261"/>
      <c r="Q4162" s="209"/>
      <c r="R4162" s="261"/>
      <c r="S4162" s="52"/>
      <c r="T4162" s="181"/>
      <c r="U4162" s="52"/>
      <c r="V4162" s="4295"/>
      <c r="W4162" s="2894">
        <v>1997.3333333333333</v>
      </c>
      <c r="X4162" s="2467">
        <v>1752.5144</v>
      </c>
      <c r="Y4162" s="2467">
        <v>713.33333333333337</v>
      </c>
      <c r="Z4162" s="2894">
        <v>713.33333333333337</v>
      </c>
      <c r="AA4162" s="2894">
        <v>713.33333333333337</v>
      </c>
      <c r="AB4162" s="2467">
        <v>962.92000000000007</v>
      </c>
      <c r="AC4162" s="2894">
        <v>962.92000000000007</v>
      </c>
      <c r="AD4162" s="2894">
        <v>962.92000000000007</v>
      </c>
      <c r="AE4162" s="2894">
        <v>962.92000000000007</v>
      </c>
      <c r="AF4162" s="2236">
        <f t="shared" si="370"/>
        <v>4171</v>
      </c>
      <c r="AG4162" s="241"/>
      <c r="DG4162" s="573"/>
      <c r="DH4162" s="159"/>
      <c r="DI4162" s="1091"/>
      <c r="DJ4162" s="1187"/>
    </row>
    <row r="4163" spans="1:114" ht="15" hidden="1" customHeight="1" outlineLevel="1">
      <c r="A4163" s="453"/>
      <c r="C4163" s="51"/>
      <c r="D4163" s="4295"/>
      <c r="E4163" s="4295"/>
      <c r="F4163" s="4347" t="str">
        <f t="shared" si="368"/>
        <v>ASHP-SEER18-Replace_CAC_ElectricHeat_ROF_MF</v>
      </c>
      <c r="G4163" s="4347"/>
      <c r="H4163" s="4347"/>
      <c r="I4163" s="4347"/>
      <c r="J4163" s="3471" t="str">
        <f t="shared" si="369"/>
        <v>353250_2024_12_</v>
      </c>
      <c r="K4163" s="2894"/>
      <c r="L4163" s="3221" t="str">
        <f>IF(K4163&gt;0,VLOOKUP(J4163,$J$1914:$L$2106,3,FALSE),"")</f>
        <v/>
      </c>
      <c r="M4163" s="3497" t="str">
        <f>IF(K4163&gt;0,VLOOKUP(J4163,$J$3458:$K$3650,2,FALSE),"")</f>
        <v/>
      </c>
      <c r="P4163" s="261"/>
      <c r="Q4163" s="209"/>
      <c r="R4163" s="261"/>
      <c r="S4163" s="52"/>
      <c r="T4163" s="181"/>
      <c r="U4163" s="52"/>
      <c r="V4163" s="4295"/>
      <c r="W4163" s="2894"/>
      <c r="X4163" s="2467"/>
      <c r="Y4163" s="2467"/>
      <c r="Z4163" s="2894"/>
      <c r="AA4163" s="2894"/>
      <c r="AB4163" s="2467"/>
      <c r="AC4163" s="2894"/>
      <c r="AD4163" s="2894"/>
      <c r="AE4163" s="2894"/>
      <c r="AF4163" s="2236" t="str">
        <f t="shared" si="370"/>
        <v/>
      </c>
      <c r="AG4163" s="241"/>
      <c r="DG4163" s="573"/>
      <c r="DH4163" s="159"/>
      <c r="DI4163" s="1091"/>
      <c r="DJ4163" s="1187"/>
    </row>
    <row r="4164" spans="1:114" ht="15" hidden="1" customHeight="1" outlineLevel="1">
      <c r="A4164" s="453"/>
      <c r="C4164" s="51"/>
      <c r="D4164" s="4295"/>
      <c r="E4164" s="4295"/>
      <c r="F4164" s="4347" t="str">
        <f t="shared" si="368"/>
        <v>ASHP-SEER18-Replace_CAC_ElectricHeat_ROF_MF_CompE</v>
      </c>
      <c r="G4164" s="4347"/>
      <c r="H4164" s="4347"/>
      <c r="I4164" s="4347"/>
      <c r="J4164" s="3471" t="str">
        <f t="shared" si="369"/>
        <v>353251_2024_12_</v>
      </c>
      <c r="K4164" s="3496">
        <f>(S$1918+L4164*T$1918)-(S$1924+L4164*T$1924)</f>
        <v>4171</v>
      </c>
      <c r="L4164" s="3221">
        <f>VLOOKUP(J4164,$J$1914:$L$2106,3,FALSE)*M4164</f>
        <v>3</v>
      </c>
      <c r="M4164" s="3497">
        <f>VLOOKUP(J4164,$J$3458:$K$3650,2,FALSE)</f>
        <v>1</v>
      </c>
      <c r="N4164" s="553"/>
      <c r="P4164" s="261"/>
      <c r="Q4164" s="209"/>
      <c r="R4164" s="261"/>
      <c r="S4164" s="52"/>
      <c r="T4164" s="181"/>
      <c r="U4164" s="52"/>
      <c r="V4164" s="4295"/>
      <c r="W4164" s="2894"/>
      <c r="X4164" s="2467"/>
      <c r="Y4164" s="2467"/>
      <c r="Z4164" s="2894"/>
      <c r="AA4164" s="2894"/>
      <c r="AB4164" s="2467"/>
      <c r="AC4164" s="2467">
        <v>962.92000000000007</v>
      </c>
      <c r="AD4164" s="2894">
        <v>962.92000000000007</v>
      </c>
      <c r="AE4164" s="2894">
        <v>962.92000000000007</v>
      </c>
      <c r="AF4164" s="2236">
        <f t="shared" si="370"/>
        <v>4171</v>
      </c>
      <c r="AG4164" s="241"/>
      <c r="DG4164" s="573"/>
      <c r="DH4164" s="159"/>
      <c r="DI4164" s="1091"/>
      <c r="DJ4164" s="1187"/>
    </row>
    <row r="4165" spans="1:114" ht="15" hidden="1" customHeight="1" outlineLevel="1">
      <c r="A4165" s="453"/>
      <c r="C4165" s="51"/>
      <c r="D4165" s="4295"/>
      <c r="E4165" s="4295"/>
      <c r="F4165" s="4347" t="str">
        <f t="shared" si="368"/>
        <v>ASHP-SEER18-Replace_CAC_ElectricHeat_ROF_MF_CompE</v>
      </c>
      <c r="G4165" s="4347"/>
      <c r="H4165" s="4347"/>
      <c r="I4165" s="4347"/>
      <c r="J4165" s="3471" t="str">
        <f t="shared" si="369"/>
        <v>353251_2024_12_</v>
      </c>
      <c r="K4165" s="2894"/>
      <c r="L4165" s="3221"/>
      <c r="M4165" s="3497"/>
      <c r="P4165" s="261"/>
      <c r="Q4165" s="209"/>
      <c r="R4165" s="261"/>
      <c r="S4165" s="52"/>
      <c r="T4165" s="181"/>
      <c r="U4165" s="52"/>
      <c r="V4165" s="4295"/>
      <c r="W4165" s="2894"/>
      <c r="X4165" s="2467"/>
      <c r="Y4165" s="2467"/>
      <c r="Z4165" s="2894"/>
      <c r="AA4165" s="2894"/>
      <c r="AB4165" s="2467"/>
      <c r="AC4165" s="2894"/>
      <c r="AD4165" s="2894"/>
      <c r="AE4165" s="2894"/>
      <c r="AF4165" s="2236" t="str">
        <f t="shared" si="370"/>
        <v/>
      </c>
      <c r="AG4165" s="241"/>
      <c r="DG4165" s="573"/>
      <c r="DH4165" s="159"/>
      <c r="DI4165" s="1091"/>
      <c r="DJ4165" s="1187"/>
    </row>
    <row r="4166" spans="1:114" ht="15" hidden="1" customHeight="1" outlineLevel="1">
      <c r="A4166" s="453"/>
      <c r="C4166" s="51"/>
      <c r="D4166" s="4295"/>
      <c r="E4166" s="4295"/>
      <c r="F4166" s="4347" t="str">
        <f t="shared" ref="F4166:F4229" si="371">E1636</f>
        <v>ASHP-SEER18-Replace_CAC_NonElectricHeat_ROF_MF</v>
      </c>
      <c r="G4166" s="4347"/>
      <c r="H4166" s="4347"/>
      <c r="I4166" s="4347"/>
      <c r="J4166" s="3471" t="str">
        <f t="shared" ref="J4166:J4229" si="372">C1636</f>
        <v>353260_2024_12_</v>
      </c>
      <c r="K4166" s="3496">
        <f>((S$1918+L4166*T$1918)-(S$1924+L4166*T$1924))*VLOOKUP(J4166,$J$4424:$K$4467,2,FALSE)</f>
        <v>232.11580588986425</v>
      </c>
      <c r="L4166" s="3221">
        <f>VLOOKUP(J4166,$J$1914:$L$2106,3,FALSE)*M4166</f>
        <v>3</v>
      </c>
      <c r="M4166" s="3497">
        <f>VLOOKUP(J4166,$J$3458:$K$3650,2,FALSE)</f>
        <v>1</v>
      </c>
      <c r="N4166" s="553"/>
      <c r="P4166" s="261"/>
      <c r="Q4166" s="209"/>
      <c r="R4166" s="261"/>
      <c r="S4166" s="52"/>
      <c r="T4166" s="181"/>
      <c r="U4166" s="52"/>
      <c r="V4166" s="4295"/>
      <c r="W4166" s="2894"/>
      <c r="X4166" s="2467"/>
      <c r="Y4166" s="2467"/>
      <c r="Z4166" s="2894"/>
      <c r="AA4166" s="2894"/>
      <c r="AB4166" s="2467"/>
      <c r="AC4166" s="2467">
        <v>962.92000000000007</v>
      </c>
      <c r="AD4166" s="2894">
        <v>962.92000000000007</v>
      </c>
      <c r="AE4166" s="2894">
        <v>962.92000000000007</v>
      </c>
      <c r="AF4166" s="2236">
        <f t="shared" si="370"/>
        <v>232.11580588986425</v>
      </c>
      <c r="AG4166" s="241"/>
      <c r="DG4166" s="573"/>
      <c r="DH4166" s="159"/>
      <c r="DI4166" s="1091"/>
      <c r="DJ4166" s="1187"/>
    </row>
    <row r="4167" spans="1:114" ht="15" hidden="1" customHeight="1" outlineLevel="1">
      <c r="A4167" s="453"/>
      <c r="C4167" s="51"/>
      <c r="D4167" s="4295"/>
      <c r="E4167" s="4295"/>
      <c r="F4167" s="4347" t="str">
        <f t="shared" si="371"/>
        <v>ASHP-SEER18-Replace_CAC_NonElectricHeat_ROF_MF</v>
      </c>
      <c r="G4167" s="4347"/>
      <c r="H4167" s="4347"/>
      <c r="I4167" s="4347"/>
      <c r="J4167" s="3471" t="str">
        <f t="shared" si="372"/>
        <v>353260_2024_12_</v>
      </c>
      <c r="K4167" s="2894"/>
      <c r="L4167" s="3221"/>
      <c r="M4167" s="3497"/>
      <c r="P4167" s="261"/>
      <c r="Q4167" s="209"/>
      <c r="R4167" s="261"/>
      <c r="S4167" s="52"/>
      <c r="T4167" s="181"/>
      <c r="U4167" s="52"/>
      <c r="V4167" s="4295"/>
      <c r="W4167" s="2894"/>
      <c r="X4167" s="2467"/>
      <c r="Y4167" s="2467"/>
      <c r="Z4167" s="2894"/>
      <c r="AA4167" s="2894"/>
      <c r="AB4167" s="2467"/>
      <c r="AC4167" s="2894"/>
      <c r="AD4167" s="2894"/>
      <c r="AE4167" s="2894"/>
      <c r="AF4167" s="2236" t="str">
        <f t="shared" si="370"/>
        <v/>
      </c>
      <c r="AG4167" s="241"/>
      <c r="DG4167" s="573"/>
      <c r="DH4167" s="159"/>
      <c r="DI4167" s="1091"/>
      <c r="DJ4167" s="1187"/>
    </row>
    <row r="4168" spans="1:114" ht="15" hidden="1" customHeight="1" outlineLevel="1">
      <c r="A4168" s="453"/>
      <c r="C4168" s="51"/>
      <c r="D4168" s="4295"/>
      <c r="E4168" s="4295"/>
      <c r="F4168" s="4347" t="str">
        <f t="shared" si="371"/>
        <v>ASHP-SEER18-Replace_CAC_NonElectricHeat_ROF_MF_CompE</v>
      </c>
      <c r="G4168" s="4347"/>
      <c r="H4168" s="4347"/>
      <c r="I4168" s="4347"/>
      <c r="J4168" s="3471" t="str">
        <f t="shared" si="372"/>
        <v>353261_2024_12_</v>
      </c>
      <c r="K4168" s="3496">
        <f>((S$1918+L4168*T$1918)-(S$1924+L4168*T$1924))*VLOOKUP(J4168,$J$4424:$K$4467,2,FALSE)</f>
        <v>465.80016935018944</v>
      </c>
      <c r="L4168" s="3221">
        <f>VLOOKUP(J4168,$J$1914:$L$2106,3,FALSE)*M4168</f>
        <v>3</v>
      </c>
      <c r="M4168" s="3497">
        <f>VLOOKUP(J4168,$J$3458:$K$3650,2,FALSE)</f>
        <v>1</v>
      </c>
      <c r="N4168" s="553"/>
      <c r="P4168" s="261"/>
      <c r="Q4168" s="209"/>
      <c r="R4168" s="261"/>
      <c r="S4168" s="52"/>
      <c r="T4168" s="181"/>
      <c r="U4168" s="52"/>
      <c r="V4168" s="4295"/>
      <c r="W4168" s="2894"/>
      <c r="X4168" s="2467"/>
      <c r="Y4168" s="2467"/>
      <c r="Z4168" s="2894"/>
      <c r="AA4168" s="2894"/>
      <c r="AB4168" s="2467"/>
      <c r="AC4168" s="2467">
        <v>962.92000000000007</v>
      </c>
      <c r="AD4168" s="2894">
        <v>962.92000000000007</v>
      </c>
      <c r="AE4168" s="2894">
        <v>962.92000000000007</v>
      </c>
      <c r="AF4168" s="2236">
        <f t="shared" si="370"/>
        <v>465.80016935018944</v>
      </c>
      <c r="AG4168" s="241"/>
      <c r="DG4168" s="573"/>
      <c r="DH4168" s="159"/>
      <c r="DI4168" s="1091"/>
      <c r="DJ4168" s="1187"/>
    </row>
    <row r="4169" spans="1:114" ht="15" hidden="1" customHeight="1" outlineLevel="1">
      <c r="A4169" s="453"/>
      <c r="C4169" s="51"/>
      <c r="D4169" s="4295"/>
      <c r="E4169" s="4295"/>
      <c r="F4169" s="4347" t="str">
        <f t="shared" si="371"/>
        <v>ASHP-SEER18-Replace_CAC_NonElectricHeat_ROF_MF_CompE</v>
      </c>
      <c r="G4169" s="4347"/>
      <c r="H4169" s="4347"/>
      <c r="I4169" s="4347"/>
      <c r="J4169" s="3471" t="str">
        <f t="shared" si="372"/>
        <v>353261_2024_12_</v>
      </c>
      <c r="K4169" s="2894"/>
      <c r="L4169" s="3221"/>
      <c r="M4169" s="3497"/>
      <c r="P4169" s="261"/>
      <c r="Q4169" s="209"/>
      <c r="R4169" s="261"/>
      <c r="S4169" s="52"/>
      <c r="T4169" s="181"/>
      <c r="U4169" s="52"/>
      <c r="V4169" s="4295"/>
      <c r="W4169" s="2894"/>
      <c r="X4169" s="2467"/>
      <c r="Y4169" s="2467"/>
      <c r="Z4169" s="2894"/>
      <c r="AA4169" s="2894"/>
      <c r="AB4169" s="2467"/>
      <c r="AC4169" s="2894"/>
      <c r="AD4169" s="2894"/>
      <c r="AE4169" s="2894"/>
      <c r="AF4169" s="2236" t="str">
        <f t="shared" si="370"/>
        <v/>
      </c>
      <c r="AG4169" s="241"/>
      <c r="DG4169" s="573"/>
      <c r="DH4169" s="159"/>
      <c r="DI4169" s="1091"/>
      <c r="DJ4169" s="1187"/>
    </row>
    <row r="4170" spans="1:114" ht="14.65" hidden="1" customHeight="1" outlineLevel="1">
      <c r="A4170" s="453"/>
      <c r="C4170" s="51"/>
      <c r="D4170" s="4295"/>
      <c r="E4170" s="4295"/>
      <c r="F4170" s="4307" t="str">
        <f t="shared" si="371"/>
        <v>ASHP-SEER19-Replace_CAC_ElectricHeat_ROF_SF</v>
      </c>
      <c r="G4170" s="4307"/>
      <c r="H4170" s="4307"/>
      <c r="I4170" s="4307"/>
      <c r="J4170" s="1029" t="str">
        <f t="shared" si="372"/>
        <v>353300_2024_12_</v>
      </c>
      <c r="K4170" s="1752">
        <f>(S$1919+L4170*T$1919)-(S$1924+L4170*T$1924)</f>
        <v>4392.2197803846157</v>
      </c>
      <c r="L4170" s="47">
        <f>VLOOKUP(J4170,$J$1914:$L$2106,3,FALSE)*M4170</f>
        <v>2.9920329673076922</v>
      </c>
      <c r="M4170" s="1743">
        <f>VLOOKUP(J4170,$J$3458:$K$3650,2,FALSE)</f>
        <v>1</v>
      </c>
      <c r="N4170" s="553"/>
      <c r="P4170" s="261"/>
      <c r="Q4170" s="209"/>
      <c r="R4170" s="261"/>
      <c r="S4170" s="52"/>
      <c r="T4170" s="181"/>
      <c r="U4170" s="52"/>
      <c r="V4170" s="4295"/>
      <c r="W4170" s="163">
        <v>2277.3333333333335</v>
      </c>
      <c r="X4170" s="166">
        <v>3370.2200000000007</v>
      </c>
      <c r="Y4170" s="166">
        <v>813.33333333333337</v>
      </c>
      <c r="Z4170" s="163">
        <v>813.33333333333337</v>
      </c>
      <c r="AA4170" s="163">
        <v>813.33333333333337</v>
      </c>
      <c r="AB4170" s="166">
        <v>1203.6500000000003</v>
      </c>
      <c r="AC4170" s="163">
        <v>1203.6500000000003</v>
      </c>
      <c r="AD4170" s="163">
        <v>1203.6500000000003</v>
      </c>
      <c r="AE4170" s="163">
        <v>1203.6500000000003</v>
      </c>
      <c r="AF4170" s="271">
        <f t="shared" si="370"/>
        <v>4392.2197803846157</v>
      </c>
      <c r="AG4170" s="241"/>
      <c r="DG4170" s="573"/>
      <c r="DH4170" s="159"/>
      <c r="DI4170" s="1091"/>
      <c r="DJ4170" s="1187"/>
    </row>
    <row r="4171" spans="1:114" ht="14.65" hidden="1" customHeight="1" outlineLevel="1">
      <c r="A4171" s="453"/>
      <c r="C4171" s="51"/>
      <c r="D4171" s="4295"/>
      <c r="E4171" s="4295"/>
      <c r="F4171" s="4307" t="str">
        <f t="shared" si="371"/>
        <v>ASHP-SEER19-Replace_CAC_ElectricHeat_ROF_SF</v>
      </c>
      <c r="G4171" s="4307"/>
      <c r="H4171" s="4307"/>
      <c r="I4171" s="4307"/>
      <c r="J4171" s="1029" t="str">
        <f t="shared" si="372"/>
        <v>353300_2024_12_</v>
      </c>
      <c r="K4171" s="163"/>
      <c r="L4171" s="47" t="str">
        <f>IF(K4171&gt;0,VLOOKUP(J4171,$J$1914:$L$2106,3,FALSE),"")</f>
        <v/>
      </c>
      <c r="M4171" s="1743" t="str">
        <f>IF(K4171&gt;0,VLOOKUP(J4171,$J$3458:$K$3650,2,FALSE),"")</f>
        <v/>
      </c>
      <c r="P4171" s="261"/>
      <c r="Q4171" s="209"/>
      <c r="R4171" s="261"/>
      <c r="S4171" s="52"/>
      <c r="T4171" s="181"/>
      <c r="U4171" s="52"/>
      <c r="V4171" s="4295"/>
      <c r="W4171" s="163"/>
      <c r="X4171" s="166"/>
      <c r="Y4171" s="166"/>
      <c r="Z4171" s="163"/>
      <c r="AA4171" s="163"/>
      <c r="AB4171" s="166"/>
      <c r="AC4171" s="163"/>
      <c r="AD4171" s="163"/>
      <c r="AE4171" s="163"/>
      <c r="AF4171" s="271" t="str">
        <f t="shared" si="370"/>
        <v/>
      </c>
      <c r="AG4171" s="241"/>
      <c r="DG4171" s="573"/>
      <c r="DH4171" s="159"/>
      <c r="DI4171" s="1091"/>
      <c r="DJ4171" s="1187"/>
    </row>
    <row r="4172" spans="1:114" ht="14.65" hidden="1" customHeight="1" outlineLevel="1">
      <c r="A4172" s="453"/>
      <c r="C4172" s="51"/>
      <c r="D4172" s="4295"/>
      <c r="E4172" s="4295"/>
      <c r="F4172" s="4307" t="str">
        <f t="shared" si="371"/>
        <v>ASHP-SEER19-Replace_CAC_NonElectricHeat_ROF_SF</v>
      </c>
      <c r="G4172" s="4307"/>
      <c r="H4172" s="4307"/>
      <c r="I4172" s="4307"/>
      <c r="J4172" s="1029" t="str">
        <f t="shared" si="372"/>
        <v>353310_2024_12_</v>
      </c>
      <c r="K4172" s="1752">
        <f>((S$1919+L4172*T$1919)-(S$1924+L4172*T$1924))*VLOOKUP(J4172,$J$4424:$K$4467,2,FALSE)</f>
        <v>326.35323489724897</v>
      </c>
      <c r="L4172" s="47">
        <f>VLOOKUP(J4172,$J$1914:$L$2106,3,FALSE)*M4172</f>
        <v>2.9920329673076922</v>
      </c>
      <c r="M4172" s="1743">
        <f>VLOOKUP(J4172,$J$3458:$K$3650,2,FALSE)</f>
        <v>1</v>
      </c>
      <c r="N4172" s="553"/>
      <c r="P4172" s="261"/>
      <c r="Q4172" s="209"/>
      <c r="R4172" s="261"/>
      <c r="S4172" s="52"/>
      <c r="T4172" s="181"/>
      <c r="U4172" s="52"/>
      <c r="V4172" s="4295"/>
      <c r="W4172" s="163"/>
      <c r="X4172" s="166"/>
      <c r="Y4172" s="166"/>
      <c r="Z4172" s="163"/>
      <c r="AA4172" s="163"/>
      <c r="AB4172" s="166"/>
      <c r="AC4172" s="163"/>
      <c r="AD4172" s="166">
        <v>1203.6500000000003</v>
      </c>
      <c r="AE4172" s="163">
        <v>1203.6500000000003</v>
      </c>
      <c r="AF4172" s="271">
        <f t="shared" si="370"/>
        <v>326.35323489724897</v>
      </c>
      <c r="AG4172" s="241"/>
      <c r="DG4172" s="573"/>
      <c r="DH4172" s="159"/>
      <c r="DI4172" s="1091"/>
      <c r="DJ4172" s="1187"/>
    </row>
    <row r="4173" spans="1:114" ht="14.65" hidden="1" customHeight="1" outlineLevel="1">
      <c r="A4173" s="453"/>
      <c r="C4173" s="51"/>
      <c r="D4173" s="4295"/>
      <c r="E4173" s="4295"/>
      <c r="F4173" s="4307" t="str">
        <f t="shared" si="371"/>
        <v>ASHP-SEER19-Replace_CAC_NonElectricHeat_ROF_SF</v>
      </c>
      <c r="G4173" s="4307"/>
      <c r="H4173" s="4307"/>
      <c r="I4173" s="4307"/>
      <c r="J4173" s="1029" t="str">
        <f t="shared" si="372"/>
        <v>353310_2024_12_</v>
      </c>
      <c r="K4173" s="163"/>
      <c r="L4173" s="47" t="str">
        <f>IF(K4173&gt;0,VLOOKUP(J4173,$J$1914:$L$2106,3,FALSE),"")</f>
        <v/>
      </c>
      <c r="M4173" s="1743" t="str">
        <f>IF(K4173&gt;0,VLOOKUP(J4173,$J$3458:$K$3650,2,FALSE),"")</f>
        <v/>
      </c>
      <c r="P4173" s="261"/>
      <c r="Q4173" s="209"/>
      <c r="R4173" s="261"/>
      <c r="S4173" s="52"/>
      <c r="T4173" s="181"/>
      <c r="U4173" s="52"/>
      <c r="V4173" s="4295"/>
      <c r="W4173" s="163"/>
      <c r="X4173" s="166"/>
      <c r="Y4173" s="166"/>
      <c r="Z4173" s="163"/>
      <c r="AA4173" s="163"/>
      <c r="AB4173" s="166"/>
      <c r="AC4173" s="163"/>
      <c r="AD4173" s="163"/>
      <c r="AE4173" s="163"/>
      <c r="AF4173" s="271" t="str">
        <f t="shared" si="370"/>
        <v/>
      </c>
      <c r="AG4173" s="241"/>
      <c r="DG4173" s="573"/>
      <c r="DH4173" s="159"/>
      <c r="DI4173" s="1091"/>
      <c r="DJ4173" s="1187"/>
    </row>
    <row r="4174" spans="1:114" ht="14.65" hidden="1" customHeight="1" outlineLevel="1">
      <c r="A4174" s="453"/>
      <c r="C4174" s="51"/>
      <c r="D4174" s="4295"/>
      <c r="E4174" s="4295"/>
      <c r="F4174" s="4347" t="str">
        <f t="shared" si="371"/>
        <v>ASHP-SEER19-Replace_CAC_ElectricHeat_ROF_MF</v>
      </c>
      <c r="G4174" s="4347"/>
      <c r="H4174" s="4347"/>
      <c r="I4174" s="4347"/>
      <c r="J4174" s="3471" t="str">
        <f t="shared" si="372"/>
        <v>353350_2024_12_</v>
      </c>
      <c r="K4174" s="3496">
        <f>(S$1919+L4174*T$1919)-(S$1924+L4174*T$1924)</f>
        <v>3689</v>
      </c>
      <c r="L4174" s="3221">
        <f>VLOOKUP(J4174,$J$1914:$L$2106,3,FALSE)*M4174</f>
        <v>1.8199999999999998</v>
      </c>
      <c r="M4174" s="3497">
        <f>VLOOKUP(J4174,$J$3458:$K$3650,2,FALSE)</f>
        <v>0.65</v>
      </c>
      <c r="N4174" s="553"/>
      <c r="P4174" s="261"/>
      <c r="Q4174" s="209"/>
      <c r="R4174" s="261"/>
      <c r="S4174" s="52"/>
      <c r="T4174" s="181"/>
      <c r="U4174" s="52"/>
      <c r="V4174" s="4295"/>
      <c r="W4174" s="2894">
        <v>2277.3333333333335</v>
      </c>
      <c r="X4174" s="2467">
        <v>2190.6430000000005</v>
      </c>
      <c r="Y4174" s="2467">
        <v>813.33333333333337</v>
      </c>
      <c r="Z4174" s="2894">
        <v>813.33333333333337</v>
      </c>
      <c r="AA4174" s="2894">
        <v>813.33333333333337</v>
      </c>
      <c r="AB4174" s="2467">
        <v>1203.6500000000003</v>
      </c>
      <c r="AC4174" s="2894">
        <v>1203.6500000000003</v>
      </c>
      <c r="AD4174" s="2894">
        <v>1203.6500000000003</v>
      </c>
      <c r="AE4174" s="2894">
        <v>1203.6500000000003</v>
      </c>
      <c r="AF4174" s="2236">
        <f t="shared" si="370"/>
        <v>3689</v>
      </c>
      <c r="AG4174" s="241"/>
      <c r="DG4174" s="573"/>
      <c r="DH4174" s="159"/>
      <c r="DI4174" s="1091"/>
      <c r="DJ4174" s="1187"/>
    </row>
    <row r="4175" spans="1:114" ht="14.65" hidden="1" customHeight="1" outlineLevel="1">
      <c r="A4175" s="453"/>
      <c r="C4175" s="51"/>
      <c r="D4175" s="4295"/>
      <c r="E4175" s="4295"/>
      <c r="F4175" s="4347" t="str">
        <f t="shared" si="371"/>
        <v>ASHP-SEER19-Replace_CAC_ElectricHeat_ROF_MF</v>
      </c>
      <c r="G4175" s="4347"/>
      <c r="H4175" s="4347"/>
      <c r="I4175" s="4347"/>
      <c r="J4175" s="3471" t="str">
        <f t="shared" si="372"/>
        <v>353350_2024_12_</v>
      </c>
      <c r="K4175" s="2894"/>
      <c r="L4175" s="3221" t="str">
        <f>IF(K4175&gt;0,VLOOKUP(J4175,$J$1914:$L$2106,3,FALSE),"")</f>
        <v/>
      </c>
      <c r="M4175" s="3497" t="str">
        <f>IF(K4175&gt;0,VLOOKUP(J4175,$J$3458:$K$3650,2,FALSE),"")</f>
        <v/>
      </c>
      <c r="P4175" s="261"/>
      <c r="Q4175" s="209"/>
      <c r="R4175" s="261"/>
      <c r="S4175" s="52"/>
      <c r="T4175" s="181"/>
      <c r="U4175" s="52"/>
      <c r="V4175" s="4295"/>
      <c r="W4175" s="2894"/>
      <c r="X4175" s="2467"/>
      <c r="Y4175" s="2467"/>
      <c r="Z4175" s="2894"/>
      <c r="AA4175" s="2894"/>
      <c r="AB4175" s="2467"/>
      <c r="AC4175" s="2894"/>
      <c r="AD4175" s="2894"/>
      <c r="AE4175" s="2894"/>
      <c r="AF4175" s="2236" t="str">
        <f t="shared" si="370"/>
        <v/>
      </c>
      <c r="AG4175" s="241"/>
      <c r="DG4175" s="573"/>
      <c r="DH4175" s="159"/>
      <c r="DI4175" s="1091"/>
      <c r="DJ4175" s="1187"/>
    </row>
    <row r="4176" spans="1:114" ht="14.65" hidden="1" customHeight="1" outlineLevel="1">
      <c r="A4176" s="453"/>
      <c r="C4176" s="51"/>
      <c r="D4176" s="4295"/>
      <c r="E4176" s="4295"/>
      <c r="F4176" s="4347" t="str">
        <f t="shared" si="371"/>
        <v>ASHP-SEER19-Replace_CAC_ElectricHeat_ROF_MF_CompE</v>
      </c>
      <c r="G4176" s="4347"/>
      <c r="H4176" s="4347"/>
      <c r="I4176" s="4347"/>
      <c r="J4176" s="3471" t="str">
        <f t="shared" si="372"/>
        <v>353351_2024_12_</v>
      </c>
      <c r="K4176" s="3496">
        <f>(S$1919+L4176*T$1919)-(S$1924+L4176*T$1924)</f>
        <v>3689</v>
      </c>
      <c r="L4176" s="3221">
        <f>VLOOKUP(J4176,$J$1914:$L$2106,3,FALSE)*M4176</f>
        <v>1.8199999999999998</v>
      </c>
      <c r="M4176" s="3497">
        <f>VLOOKUP(J4176,$J$3458:$K$3650,2,FALSE)</f>
        <v>0.65</v>
      </c>
      <c r="N4176" s="553"/>
      <c r="P4176" s="261"/>
      <c r="Q4176" s="209"/>
      <c r="R4176" s="261"/>
      <c r="S4176" s="52"/>
      <c r="T4176" s="181"/>
      <c r="U4176" s="52"/>
      <c r="V4176" s="4295"/>
      <c r="W4176" s="2894"/>
      <c r="X4176" s="2467"/>
      <c r="Y4176" s="2467"/>
      <c r="Z4176" s="2894"/>
      <c r="AA4176" s="2894"/>
      <c r="AB4176" s="2467"/>
      <c r="AC4176" s="2467">
        <v>1203.6500000000003</v>
      </c>
      <c r="AD4176" s="2894">
        <v>1203.6500000000003</v>
      </c>
      <c r="AE4176" s="2894">
        <v>1203.6500000000003</v>
      </c>
      <c r="AF4176" s="2236">
        <f t="shared" si="370"/>
        <v>3689</v>
      </c>
      <c r="AG4176" s="241"/>
      <c r="DG4176" s="573"/>
      <c r="DH4176" s="159"/>
      <c r="DI4176" s="1091"/>
      <c r="DJ4176" s="1187"/>
    </row>
    <row r="4177" spans="1:114" ht="14.65" hidden="1" customHeight="1" outlineLevel="1">
      <c r="A4177" s="453"/>
      <c r="C4177" s="51"/>
      <c r="D4177" s="4295"/>
      <c r="E4177" s="4295"/>
      <c r="F4177" s="4347" t="str">
        <f t="shared" si="371"/>
        <v>ASHP-SEER19-Replace_CAC_ElectricHeat_ROF_MF_CompE</v>
      </c>
      <c r="G4177" s="4347"/>
      <c r="H4177" s="4347"/>
      <c r="I4177" s="4347"/>
      <c r="J4177" s="3471" t="str">
        <f t="shared" si="372"/>
        <v>353351_2024_12_</v>
      </c>
      <c r="K4177" s="2894"/>
      <c r="L4177" s="3221"/>
      <c r="M4177" s="3497"/>
      <c r="P4177" s="261"/>
      <c r="Q4177" s="209"/>
      <c r="R4177" s="261"/>
      <c r="S4177" s="52"/>
      <c r="T4177" s="181"/>
      <c r="U4177" s="52"/>
      <c r="V4177" s="4295"/>
      <c r="W4177" s="2894"/>
      <c r="X4177" s="2467"/>
      <c r="Y4177" s="2467"/>
      <c r="Z4177" s="2894"/>
      <c r="AA4177" s="2894"/>
      <c r="AB4177" s="2467"/>
      <c r="AC4177" s="2894"/>
      <c r="AD4177" s="2894"/>
      <c r="AE4177" s="2894"/>
      <c r="AF4177" s="2236" t="str">
        <f t="shared" si="370"/>
        <v/>
      </c>
      <c r="AG4177" s="241"/>
      <c r="DG4177" s="573"/>
      <c r="DH4177" s="159"/>
      <c r="DI4177" s="1091"/>
      <c r="DJ4177" s="1187"/>
    </row>
    <row r="4178" spans="1:114" ht="14.65" hidden="1" customHeight="1" outlineLevel="1">
      <c r="A4178" s="453"/>
      <c r="C4178" s="51"/>
      <c r="D4178" s="4295"/>
      <c r="E4178" s="4295"/>
      <c r="F4178" s="4347" t="str">
        <f t="shared" si="371"/>
        <v>ASHP-SEER19-Replace_CAC_NonElectricHeat_ROF_MF</v>
      </c>
      <c r="G4178" s="4347"/>
      <c r="H4178" s="4347"/>
      <c r="I4178" s="4347"/>
      <c r="J4178" s="3471" t="str">
        <f t="shared" si="372"/>
        <v>353360_2024_12_</v>
      </c>
      <c r="K4178" s="3496">
        <f>((S$1919+L4178*T$1919)-(S$1924+L4178*T$1924))*VLOOKUP(J4178,$J$4424:$K$4467,2,FALSE)</f>
        <v>245.55387557709614</v>
      </c>
      <c r="L4178" s="3221">
        <f>VLOOKUP(J4178,$J$1914:$L$2106,3,FALSE)*M4178</f>
        <v>1.8199999999999998</v>
      </c>
      <c r="M4178" s="3497">
        <f>VLOOKUP(J4178,$J$3458:$K$3650,2,FALSE)</f>
        <v>0.65</v>
      </c>
      <c r="N4178" s="553"/>
      <c r="P4178" s="261"/>
      <c r="Q4178" s="209"/>
      <c r="R4178" s="261"/>
      <c r="S4178" s="52"/>
      <c r="T4178" s="181"/>
      <c r="U4178" s="52"/>
      <c r="V4178" s="4295"/>
      <c r="W4178" s="2894"/>
      <c r="X4178" s="2467"/>
      <c r="Y4178" s="2467"/>
      <c r="Z4178" s="2894"/>
      <c r="AA4178" s="2894"/>
      <c r="AB4178" s="2467"/>
      <c r="AC4178" s="2467">
        <v>1203.6500000000003</v>
      </c>
      <c r="AD4178" s="2894">
        <v>1203.6500000000003</v>
      </c>
      <c r="AE4178" s="2894">
        <v>1203.6500000000003</v>
      </c>
      <c r="AF4178" s="2236">
        <f t="shared" si="370"/>
        <v>245.55387557709614</v>
      </c>
      <c r="AG4178" s="241"/>
      <c r="DG4178" s="573"/>
      <c r="DH4178" s="159"/>
      <c r="DI4178" s="1091"/>
      <c r="DJ4178" s="1187"/>
    </row>
    <row r="4179" spans="1:114" ht="14.65" hidden="1" customHeight="1" outlineLevel="1">
      <c r="A4179" s="453"/>
      <c r="C4179" s="51"/>
      <c r="D4179" s="4295"/>
      <c r="E4179" s="4295"/>
      <c r="F4179" s="4347" t="str">
        <f t="shared" si="371"/>
        <v>ASHP-SEER19-Replace_CAC_NonElectricHeat_ROF_MF</v>
      </c>
      <c r="G4179" s="4347"/>
      <c r="H4179" s="4347"/>
      <c r="I4179" s="4347"/>
      <c r="J4179" s="3471" t="str">
        <f t="shared" si="372"/>
        <v>353360_2024_12_</v>
      </c>
      <c r="K4179" s="2894"/>
      <c r="L4179" s="3221"/>
      <c r="M4179" s="3497"/>
      <c r="P4179" s="261"/>
      <c r="Q4179" s="209"/>
      <c r="R4179" s="261"/>
      <c r="S4179" s="52"/>
      <c r="T4179" s="181"/>
      <c r="U4179" s="52"/>
      <c r="V4179" s="4295"/>
      <c r="W4179" s="2894"/>
      <c r="X4179" s="2467"/>
      <c r="Y4179" s="2467"/>
      <c r="Z4179" s="2894"/>
      <c r="AA4179" s="2894"/>
      <c r="AB4179" s="2467"/>
      <c r="AC4179" s="2894"/>
      <c r="AD4179" s="2894"/>
      <c r="AE4179" s="2894"/>
      <c r="AF4179" s="2236" t="str">
        <f t="shared" si="370"/>
        <v/>
      </c>
      <c r="AG4179" s="241"/>
      <c r="DG4179" s="573"/>
      <c r="DH4179" s="159"/>
      <c r="DI4179" s="1091"/>
      <c r="DJ4179" s="1187"/>
    </row>
    <row r="4180" spans="1:114" ht="14.65" hidden="1" customHeight="1" outlineLevel="1">
      <c r="A4180" s="453"/>
      <c r="C4180" s="51"/>
      <c r="D4180" s="4295"/>
      <c r="E4180" s="4295"/>
      <c r="F4180" s="4347" t="str">
        <f t="shared" si="371"/>
        <v>ASHP-SEER19-Replace_CAC_NonElectricHeat_ROF_MF_CompE</v>
      </c>
      <c r="G4180" s="4347"/>
      <c r="H4180" s="4347"/>
      <c r="I4180" s="4347"/>
      <c r="J4180" s="3471" t="str">
        <f t="shared" si="372"/>
        <v>353361_2024_12_</v>
      </c>
      <c r="K4180" s="3496">
        <f>((S$1919+L4180*T$1919)-(S$1924+L4180*T$1924))*VLOOKUP(J4180,$J$4424:$K$4467,2,FALSE)</f>
        <v>462.47693768840077</v>
      </c>
      <c r="L4180" s="3221">
        <f>VLOOKUP(J4180,$J$1914:$L$2106,3,FALSE)*M4180</f>
        <v>1.8199999999999998</v>
      </c>
      <c r="M4180" s="3497">
        <f>VLOOKUP(J4180,$J$3458:$K$3650,2,FALSE)</f>
        <v>0.65</v>
      </c>
      <c r="N4180" s="553"/>
      <c r="P4180" s="261"/>
      <c r="Q4180" s="209"/>
      <c r="R4180" s="261"/>
      <c r="S4180" s="52"/>
      <c r="T4180" s="181"/>
      <c r="U4180" s="52"/>
      <c r="V4180" s="4295"/>
      <c r="W4180" s="2894"/>
      <c r="X4180" s="2467"/>
      <c r="Y4180" s="2467"/>
      <c r="Z4180" s="2894"/>
      <c r="AA4180" s="2894"/>
      <c r="AB4180" s="2467"/>
      <c r="AC4180" s="2467">
        <v>1203.6500000000003</v>
      </c>
      <c r="AD4180" s="2894">
        <v>1203.6500000000003</v>
      </c>
      <c r="AE4180" s="2894">
        <v>1203.6500000000003</v>
      </c>
      <c r="AF4180" s="2236">
        <f t="shared" si="370"/>
        <v>462.47693768840077</v>
      </c>
      <c r="AG4180" s="241"/>
      <c r="DG4180" s="573"/>
      <c r="DH4180" s="159"/>
      <c r="DI4180" s="1091"/>
      <c r="DJ4180" s="1187"/>
    </row>
    <row r="4181" spans="1:114" ht="14.65" hidden="1" customHeight="1" outlineLevel="1">
      <c r="A4181" s="453"/>
      <c r="C4181" s="51"/>
      <c r="D4181" s="4295"/>
      <c r="E4181" s="4295"/>
      <c r="F4181" s="4347" t="str">
        <f t="shared" si="371"/>
        <v>ASHP-SEER19-Replace_CAC_NonElectricHeat_ROF_MF_CompE</v>
      </c>
      <c r="G4181" s="4347"/>
      <c r="H4181" s="4347"/>
      <c r="I4181" s="4347"/>
      <c r="J4181" s="3471" t="str">
        <f t="shared" si="372"/>
        <v>353361_2024_12_</v>
      </c>
      <c r="K4181" s="2894"/>
      <c r="L4181" s="3221"/>
      <c r="M4181" s="3497"/>
      <c r="P4181" s="261"/>
      <c r="Q4181" s="209"/>
      <c r="R4181" s="261"/>
      <c r="S4181" s="52"/>
      <c r="T4181" s="181"/>
      <c r="U4181" s="52"/>
      <c r="V4181" s="4295"/>
      <c r="W4181" s="2894"/>
      <c r="X4181" s="2467"/>
      <c r="Y4181" s="2467"/>
      <c r="Z4181" s="2894"/>
      <c r="AA4181" s="2894"/>
      <c r="AB4181" s="2467"/>
      <c r="AC4181" s="2894"/>
      <c r="AD4181" s="2894"/>
      <c r="AE4181" s="2894"/>
      <c r="AF4181" s="2236" t="str">
        <f t="shared" si="370"/>
        <v/>
      </c>
      <c r="AG4181" s="241"/>
      <c r="DG4181" s="573"/>
      <c r="DH4181" s="159"/>
      <c r="DI4181" s="1091"/>
      <c r="DJ4181" s="1187"/>
    </row>
    <row r="4182" spans="1:114" ht="14.65" hidden="1" customHeight="1" outlineLevel="1">
      <c r="A4182" s="453"/>
      <c r="C4182" s="51"/>
      <c r="D4182" s="4295"/>
      <c r="E4182" s="4295"/>
      <c r="F4182" s="4307" t="str">
        <f t="shared" si="371"/>
        <v>ASHP-SEER20-Replace_CAC_ElectricHeat_ER1_SF</v>
      </c>
      <c r="G4182" s="4307"/>
      <c r="H4182" s="4307"/>
      <c r="I4182" s="4307"/>
      <c r="J4182" s="1029" t="str">
        <f t="shared" si="372"/>
        <v>353400_2024_12_</v>
      </c>
      <c r="K4182" s="1752">
        <f>(S$1919+L4182*T$1919)-((S$1926+L4182*T$1926)*S$1931)</f>
        <v>4188.7510221369221</v>
      </c>
      <c r="L4182" s="47">
        <f>VLOOKUP(J4182,$J$1914:$L$2106,3,FALSE)*M4182</f>
        <v>2.5833656509695291</v>
      </c>
      <c r="M4182" s="1743">
        <f>VLOOKUP(J4182,$J$3458:$K$3650,2,FALSE)</f>
        <v>1</v>
      </c>
      <c r="N4182" s="553"/>
      <c r="P4182" s="261"/>
      <c r="Q4182" s="209"/>
      <c r="R4182" s="261"/>
      <c r="S4182" s="52"/>
      <c r="T4182" s="181"/>
      <c r="U4182" s="52"/>
      <c r="V4182" s="4295"/>
      <c r="W4182" s="163">
        <v>5275.2377829603429</v>
      </c>
      <c r="X4182" s="166">
        <v>7014.7584744777705</v>
      </c>
      <c r="Y4182" s="166">
        <v>2032.6993716056036</v>
      </c>
      <c r="Z4182" s="163">
        <v>2032.6993716056036</v>
      </c>
      <c r="AA4182" s="163">
        <v>2032.6993716056036</v>
      </c>
      <c r="AB4182" s="166">
        <v>2185.0873864864097</v>
      </c>
      <c r="AC4182" s="166">
        <v>2161.1935998255572</v>
      </c>
      <c r="AD4182" s="166">
        <v>2109.0699962597669</v>
      </c>
      <c r="AE4182" s="166">
        <v>2149.1611707609081</v>
      </c>
      <c r="AF4182" s="271">
        <f t="shared" si="370"/>
        <v>4188.7510221369221</v>
      </c>
      <c r="AG4182" s="241"/>
      <c r="DG4182" s="573"/>
      <c r="DH4182" s="159"/>
      <c r="DI4182" s="1091"/>
      <c r="DJ4182" s="1187"/>
    </row>
    <row r="4183" spans="1:114" ht="14.65" hidden="1" customHeight="1" outlineLevel="1">
      <c r="A4183" s="453"/>
      <c r="C4183" s="51"/>
      <c r="D4183" s="4295"/>
      <c r="E4183" s="4295"/>
      <c r="F4183" s="4307" t="str">
        <f t="shared" si="371"/>
        <v>ASHP-SEER20-Replace_CAC_ElectricHeat_ER1_SF</v>
      </c>
      <c r="G4183" s="4307"/>
      <c r="H4183" s="4307"/>
      <c r="I4183" s="4307"/>
      <c r="J4183" s="1029" t="str">
        <f t="shared" si="372"/>
        <v>353400_2024_12_</v>
      </c>
      <c r="K4183" s="163"/>
      <c r="L4183" s="47" t="str">
        <f>IF(K4183&gt;0,VLOOKUP(J4183,$J$1914:$L$2106,3,FALSE),"")</f>
        <v/>
      </c>
      <c r="M4183" s="1743" t="str">
        <f>IF(K4183&gt;0,VLOOKUP(J4183,$J$3458:$K$3650,2,FALSE),"")</f>
        <v/>
      </c>
      <c r="P4183" s="261"/>
      <c r="Q4183" s="209"/>
      <c r="R4183" s="261"/>
      <c r="S4183" s="52"/>
      <c r="T4183" s="181"/>
      <c r="U4183" s="52"/>
      <c r="V4183" s="4295"/>
      <c r="W4183" s="163"/>
      <c r="X4183" s="166"/>
      <c r="Y4183" s="166"/>
      <c r="Z4183" s="163"/>
      <c r="AA4183" s="163"/>
      <c r="AB4183" s="166"/>
      <c r="AC4183" s="163"/>
      <c r="AD4183" s="163"/>
      <c r="AE4183" s="163"/>
      <c r="AF4183" s="271" t="str">
        <f t="shared" si="370"/>
        <v/>
      </c>
      <c r="AG4183" s="241"/>
      <c r="DG4183" s="573"/>
      <c r="DH4183" s="159"/>
      <c r="DI4183" s="1091"/>
      <c r="DJ4183" s="1187"/>
    </row>
    <row r="4184" spans="1:114" ht="14.65" hidden="1" customHeight="1" outlineLevel="1">
      <c r="A4184" s="453"/>
      <c r="C4184" s="51"/>
      <c r="D4184" s="4295"/>
      <c r="E4184" s="4295"/>
      <c r="F4184" s="4307" t="str">
        <f t="shared" si="371"/>
        <v>ASHP-SEER20-Replace_CAC_ElectricHeat_ER2_SF</v>
      </c>
      <c r="G4184" s="4307"/>
      <c r="H4184" s="4307"/>
      <c r="I4184" s="4307"/>
      <c r="J4184" s="1029" t="str">
        <f t="shared" si="372"/>
        <v>353400_2024_12_</v>
      </c>
      <c r="K4184" s="163"/>
      <c r="L4184" s="47" t="str">
        <f>IF(K4184&gt;0,VLOOKUP(J4184,$J$1914:$L$2106,3,FALSE),"")</f>
        <v/>
      </c>
      <c r="M4184" s="1743" t="str">
        <f>IF(K4184&gt;0,VLOOKUP(J4184,$J$3458:$K$3650,2,FALSE),"")</f>
        <v/>
      </c>
      <c r="P4184" s="261"/>
      <c r="Q4184" s="209"/>
      <c r="R4184" s="261"/>
      <c r="S4184" s="52"/>
      <c r="T4184" s="181"/>
      <c r="U4184" s="52"/>
      <c r="V4184" s="4295"/>
      <c r="W4184" s="163"/>
      <c r="X4184" s="166"/>
      <c r="Y4184" s="166"/>
      <c r="Z4184" s="163"/>
      <c r="AA4184" s="163"/>
      <c r="AB4184" s="166"/>
      <c r="AC4184" s="163"/>
      <c r="AD4184" s="163"/>
      <c r="AE4184" s="163"/>
      <c r="AF4184" s="271" t="str">
        <f t="shared" si="370"/>
        <v/>
      </c>
      <c r="AG4184" s="241"/>
      <c r="DG4184" s="573"/>
      <c r="DH4184" s="159"/>
      <c r="DI4184" s="1091"/>
      <c r="DJ4184" s="1187"/>
    </row>
    <row r="4185" spans="1:114" ht="14.65" hidden="1" customHeight="1" outlineLevel="1">
      <c r="A4185" s="453"/>
      <c r="C4185" s="51"/>
      <c r="D4185" s="4295"/>
      <c r="E4185" s="4295"/>
      <c r="F4185" s="4307" t="str">
        <f t="shared" si="371"/>
        <v>ASHP-SEER20-Replace_CAC_ElectricHeat_ER2_SF</v>
      </c>
      <c r="G4185" s="4307"/>
      <c r="H4185" s="4307"/>
      <c r="I4185" s="4307"/>
      <c r="J4185" s="1029" t="str">
        <f t="shared" si="372"/>
        <v>353400_2024_12_</v>
      </c>
      <c r="K4185" s="163"/>
      <c r="L4185" s="47" t="str">
        <f>IF(K4185&gt;0,VLOOKUP(J4185,$J$1914:$L$2106,3,FALSE),"")</f>
        <v/>
      </c>
      <c r="M4185" s="1743" t="str">
        <f>IF(K4185&gt;0,VLOOKUP(J4185,$J$3458:$K$3650,2,FALSE),"")</f>
        <v/>
      </c>
      <c r="P4185" s="261"/>
      <c r="Q4185" s="209"/>
      <c r="R4185" s="261"/>
      <c r="S4185" s="52"/>
      <c r="T4185" s="181"/>
      <c r="U4185" s="52"/>
      <c r="V4185" s="4295"/>
      <c r="W4185" s="163"/>
      <c r="X4185" s="166"/>
      <c r="Y4185" s="166"/>
      <c r="Z4185" s="163"/>
      <c r="AA4185" s="163"/>
      <c r="AB4185" s="166"/>
      <c r="AC4185" s="163"/>
      <c r="AD4185" s="163"/>
      <c r="AE4185" s="163"/>
      <c r="AF4185" s="271" t="str">
        <f t="shared" si="370"/>
        <v/>
      </c>
      <c r="AG4185" s="241"/>
      <c r="DG4185" s="573"/>
      <c r="DH4185" s="159"/>
      <c r="DI4185" s="1091"/>
      <c r="DJ4185" s="1187"/>
    </row>
    <row r="4186" spans="1:114" ht="14.65" hidden="1" customHeight="1" outlineLevel="1">
      <c r="A4186" s="453"/>
      <c r="C4186" s="51"/>
      <c r="D4186" s="4295"/>
      <c r="E4186" s="4295"/>
      <c r="F4186" s="4307" t="str">
        <f t="shared" si="371"/>
        <v>ASHP-SEER20-Replace_CAC_NonElectricHeat_ER1_SF</v>
      </c>
      <c r="G4186" s="4307"/>
      <c r="H4186" s="4307"/>
      <c r="I4186" s="4307"/>
      <c r="J4186" s="1029" t="str">
        <f t="shared" si="372"/>
        <v>353410_2024_12_</v>
      </c>
      <c r="K4186" s="1752">
        <f>((S$1919+L4186*T$1919)-((S$1926+L4186*T$1926)*S$1931))*VLOOKUP(J4186,$J$4424:$K$4467,2,FALSE)</f>
        <v>594.14061546225037</v>
      </c>
      <c r="L4186" s="47">
        <f>VLOOKUP(J4186,$J$1914:$L$2106,3,FALSE)*M4186</f>
        <v>2.5833656509695291</v>
      </c>
      <c r="M4186" s="1743">
        <f>VLOOKUP(J4186,$J$3458:$K$3650,2,FALSE)</f>
        <v>1</v>
      </c>
      <c r="N4186" s="553"/>
      <c r="P4186" s="261"/>
      <c r="Q4186" s="209"/>
      <c r="R4186" s="261"/>
      <c r="S4186" s="52"/>
      <c r="T4186" s="181"/>
      <c r="U4186" s="52"/>
      <c r="V4186" s="4295"/>
      <c r="W4186" s="163"/>
      <c r="X4186" s="166"/>
      <c r="Y4186" s="166"/>
      <c r="Z4186" s="163"/>
      <c r="AA4186" s="163"/>
      <c r="AB4186" s="166"/>
      <c r="AC4186" s="166">
        <v>2161.1935998255572</v>
      </c>
      <c r="AD4186" s="166">
        <v>2109.0699962597669</v>
      </c>
      <c r="AE4186" s="166">
        <v>2149.1611707609081</v>
      </c>
      <c r="AF4186" s="271">
        <f t="shared" si="370"/>
        <v>594.14061546225037</v>
      </c>
      <c r="AG4186" s="241"/>
      <c r="DG4186" s="573"/>
      <c r="DH4186" s="159"/>
      <c r="DI4186" s="1091"/>
      <c r="DJ4186" s="1187"/>
    </row>
    <row r="4187" spans="1:114" ht="14.65" hidden="1" customHeight="1" outlineLevel="1">
      <c r="A4187" s="453"/>
      <c r="C4187" s="51"/>
      <c r="D4187" s="4295"/>
      <c r="E4187" s="4295"/>
      <c r="F4187" s="4307" t="str">
        <f t="shared" si="371"/>
        <v>ASHP-SEER20-Replace_CAC_NonElectricHeat_ER1_SF</v>
      </c>
      <c r="G4187" s="4307"/>
      <c r="H4187" s="4307"/>
      <c r="I4187" s="4307"/>
      <c r="J4187" s="1029" t="str">
        <f t="shared" si="372"/>
        <v>353410_2024_12_</v>
      </c>
      <c r="K4187" s="163"/>
      <c r="L4187" s="47"/>
      <c r="M4187" s="1743"/>
      <c r="P4187" s="261"/>
      <c r="Q4187" s="209"/>
      <c r="R4187" s="261"/>
      <c r="S4187" s="52"/>
      <c r="T4187" s="181"/>
      <c r="U4187" s="52"/>
      <c r="V4187" s="4295"/>
      <c r="W4187" s="163"/>
      <c r="X4187" s="166"/>
      <c r="Y4187" s="166"/>
      <c r="Z4187" s="163"/>
      <c r="AA4187" s="163"/>
      <c r="AB4187" s="166"/>
      <c r="AC4187" s="163"/>
      <c r="AD4187" s="163"/>
      <c r="AE4187" s="163"/>
      <c r="AF4187" s="271" t="str">
        <f t="shared" si="370"/>
        <v/>
      </c>
      <c r="AG4187" s="241"/>
      <c r="DG4187" s="573"/>
      <c r="DH4187" s="159"/>
      <c r="DI4187" s="1091"/>
      <c r="DJ4187" s="1187"/>
    </row>
    <row r="4188" spans="1:114" ht="14.65" hidden="1" customHeight="1" outlineLevel="1">
      <c r="A4188" s="453"/>
      <c r="C4188" s="51"/>
      <c r="D4188" s="4295"/>
      <c r="E4188" s="4295"/>
      <c r="F4188" s="4307" t="str">
        <f t="shared" si="371"/>
        <v>ASHP-SEER20-Replace_CAC_NonElectricHeat_ER2_SF</v>
      </c>
      <c r="G4188" s="4307"/>
      <c r="H4188" s="4307"/>
      <c r="I4188" s="4307"/>
      <c r="J4188" s="1029" t="str">
        <f t="shared" si="372"/>
        <v>353410_2024_12_</v>
      </c>
      <c r="K4188" s="163"/>
      <c r="L4188" s="47"/>
      <c r="M4188" s="1743"/>
      <c r="P4188" s="261"/>
      <c r="Q4188" s="209"/>
      <c r="R4188" s="261"/>
      <c r="S4188" s="52"/>
      <c r="T4188" s="181"/>
      <c r="U4188" s="52"/>
      <c r="V4188" s="4295"/>
      <c r="W4188" s="163"/>
      <c r="X4188" s="166"/>
      <c r="Y4188" s="166"/>
      <c r="Z4188" s="163"/>
      <c r="AA4188" s="163"/>
      <c r="AB4188" s="166"/>
      <c r="AC4188" s="163"/>
      <c r="AD4188" s="163"/>
      <c r="AE4188" s="163"/>
      <c r="AF4188" s="271" t="str">
        <f t="shared" si="370"/>
        <v/>
      </c>
      <c r="AG4188" s="241"/>
      <c r="DG4188" s="573"/>
      <c r="DH4188" s="159"/>
      <c r="DI4188" s="1091"/>
      <c r="DJ4188" s="1187"/>
    </row>
    <row r="4189" spans="1:114" ht="14.65" hidden="1" customHeight="1" outlineLevel="1">
      <c r="A4189" s="453"/>
      <c r="C4189" s="51"/>
      <c r="D4189" s="4295"/>
      <c r="E4189" s="4295"/>
      <c r="F4189" s="4307" t="str">
        <f t="shared" si="371"/>
        <v>ASHP-SEER20-Replace_CAC_NonElectricHeat_ER2_SF</v>
      </c>
      <c r="G4189" s="4307"/>
      <c r="H4189" s="4307"/>
      <c r="I4189" s="4307"/>
      <c r="J4189" s="1029" t="str">
        <f t="shared" si="372"/>
        <v>353410_2024_12_</v>
      </c>
      <c r="K4189" s="163"/>
      <c r="L4189" s="47"/>
      <c r="M4189" s="1743"/>
      <c r="P4189" s="261"/>
      <c r="Q4189" s="209"/>
      <c r="R4189" s="261"/>
      <c r="S4189" s="52"/>
      <c r="T4189" s="181"/>
      <c r="U4189" s="52"/>
      <c r="V4189" s="4295"/>
      <c r="W4189" s="163"/>
      <c r="X4189" s="166"/>
      <c r="Y4189" s="166"/>
      <c r="Z4189" s="163"/>
      <c r="AA4189" s="163"/>
      <c r="AB4189" s="166"/>
      <c r="AC4189" s="163"/>
      <c r="AD4189" s="163"/>
      <c r="AE4189" s="163"/>
      <c r="AF4189" s="271" t="str">
        <f t="shared" si="370"/>
        <v/>
      </c>
      <c r="AG4189" s="241"/>
      <c r="DG4189" s="573"/>
      <c r="DH4189" s="159"/>
      <c r="DI4189" s="1091"/>
      <c r="DJ4189" s="1187"/>
    </row>
    <row r="4190" spans="1:114" ht="14.65" hidden="1" customHeight="1" outlineLevel="1">
      <c r="A4190" s="453"/>
      <c r="C4190" s="51"/>
      <c r="D4190" s="4295"/>
      <c r="E4190" s="4295"/>
      <c r="F4190" s="4307" t="str">
        <f t="shared" si="371"/>
        <v>ASHP-SEER20-Replace_CAC_ElectricHeat_ROF_SF</v>
      </c>
      <c r="G4190" s="4307"/>
      <c r="H4190" s="4307"/>
      <c r="I4190" s="4307"/>
      <c r="J4190" s="1029" t="str">
        <f t="shared" si="372"/>
        <v>353450_2024_12_</v>
      </c>
      <c r="K4190" s="1752">
        <f>(S$1919+L4190*T$1919)-(S$1924+L4190*T$1924)</f>
        <v>4329.25</v>
      </c>
      <c r="L4190" s="47">
        <f>VLOOKUP(J4190,$J$1914:$L$2106,3,FALSE)*M4190</f>
        <v>2.8870833333333334</v>
      </c>
      <c r="M4190" s="1743">
        <f>VLOOKUP(J4190,$J$3458:$K$3650,2,FALSE)</f>
        <v>1</v>
      </c>
      <c r="N4190" s="553"/>
      <c r="P4190" s="261"/>
      <c r="Q4190" s="209"/>
      <c r="R4190" s="261"/>
      <c r="S4190" s="52"/>
      <c r="T4190" s="181"/>
      <c r="U4190" s="52"/>
      <c r="V4190" s="4295"/>
      <c r="W4190" s="163">
        <v>3712</v>
      </c>
      <c r="X4190" s="166">
        <v>4622.0159999999987</v>
      </c>
      <c r="Y4190" s="166">
        <v>1160</v>
      </c>
      <c r="Z4190" s="163">
        <v>1160</v>
      </c>
      <c r="AA4190" s="163">
        <v>1160</v>
      </c>
      <c r="AB4190" s="166">
        <v>1444.3799999999994</v>
      </c>
      <c r="AC4190" s="163">
        <v>1444.3799999999994</v>
      </c>
      <c r="AD4190" s="163">
        <v>1444.3799999999994</v>
      </c>
      <c r="AE4190" s="163">
        <v>1444.3799999999994</v>
      </c>
      <c r="AF4190" s="271">
        <f t="shared" si="370"/>
        <v>4329.25</v>
      </c>
      <c r="AG4190" s="241"/>
      <c r="DG4190" s="573"/>
      <c r="DH4190" s="159"/>
      <c r="DI4190" s="1091"/>
      <c r="DJ4190" s="1187"/>
    </row>
    <row r="4191" spans="1:114" ht="14.65" hidden="1" customHeight="1" outlineLevel="1">
      <c r="A4191" s="453"/>
      <c r="C4191" s="51"/>
      <c r="D4191" s="4295"/>
      <c r="E4191" s="4295"/>
      <c r="F4191" s="4307" t="str">
        <f t="shared" si="371"/>
        <v>ASHP-SEER20-Replace_CAC_ElectricHeat_ROF_SF</v>
      </c>
      <c r="G4191" s="4307"/>
      <c r="H4191" s="4307"/>
      <c r="I4191" s="4307"/>
      <c r="J4191" s="1029" t="str">
        <f t="shared" si="372"/>
        <v>353450_2024_12_</v>
      </c>
      <c r="K4191" s="163"/>
      <c r="L4191" s="47" t="str">
        <f>IF(K4191&gt;0,VLOOKUP(J4191,$J$1914:$L$2106,3,FALSE),"")</f>
        <v/>
      </c>
      <c r="M4191" s="1743" t="str">
        <f>IF(K4191&gt;0,VLOOKUP(J4191,$J$3458:$K$3650,2,FALSE),"")</f>
        <v/>
      </c>
      <c r="P4191" s="261"/>
      <c r="Q4191" s="209"/>
      <c r="R4191" s="261"/>
      <c r="S4191" s="52"/>
      <c r="T4191" s="181"/>
      <c r="U4191" s="52"/>
      <c r="V4191" s="4295"/>
      <c r="W4191" s="163"/>
      <c r="X4191" s="166"/>
      <c r="Y4191" s="166"/>
      <c r="Z4191" s="163"/>
      <c r="AA4191" s="163"/>
      <c r="AB4191" s="166"/>
      <c r="AC4191" s="163"/>
      <c r="AD4191" s="163"/>
      <c r="AE4191" s="163"/>
      <c r="AF4191" s="271" t="str">
        <f t="shared" si="370"/>
        <v/>
      </c>
      <c r="AG4191" s="241"/>
      <c r="DG4191" s="573"/>
      <c r="DH4191" s="159"/>
      <c r="DI4191" s="1091"/>
      <c r="DJ4191" s="1187"/>
    </row>
    <row r="4192" spans="1:114" ht="14.65" hidden="1" customHeight="1" outlineLevel="1">
      <c r="A4192" s="453"/>
      <c r="C4192" s="51"/>
      <c r="D4192" s="4295"/>
      <c r="E4192" s="4295"/>
      <c r="F4192" s="4307" t="str">
        <f t="shared" si="371"/>
        <v>ASHP-SEER20-Replace_CAC_NonElectricHeat_ROF_SF</v>
      </c>
      <c r="G4192" s="4307"/>
      <c r="H4192" s="4307"/>
      <c r="I4192" s="4307"/>
      <c r="J4192" s="1029" t="str">
        <f t="shared" si="372"/>
        <v>353460_2024_12_</v>
      </c>
      <c r="K4192" s="1752">
        <f>((S$1919+L4192*T$1919)-(S$1924+L4192*T$1924))*VLOOKUP(J4192,$J$4424:$K$4467,2,FALSE)</f>
        <v>322.96131048074847</v>
      </c>
      <c r="L4192" s="47">
        <f>VLOOKUP(J4192,$J$1914:$L$2106,3,FALSE)*M4192</f>
        <v>2.8870833333333334</v>
      </c>
      <c r="M4192" s="1743">
        <f>VLOOKUP(J4192,$J$3458:$K$3650,2,FALSE)</f>
        <v>1</v>
      </c>
      <c r="N4192" s="553"/>
      <c r="P4192" s="261"/>
      <c r="Q4192" s="209"/>
      <c r="R4192" s="261"/>
      <c r="S4192" s="52"/>
      <c r="T4192" s="181"/>
      <c r="U4192" s="52"/>
      <c r="V4192" s="4295"/>
      <c r="W4192" s="163"/>
      <c r="X4192" s="166"/>
      <c r="Y4192" s="166"/>
      <c r="Z4192" s="163"/>
      <c r="AA4192" s="163"/>
      <c r="AB4192" s="166"/>
      <c r="AC4192" s="163"/>
      <c r="AD4192" s="166">
        <v>1444.3799999999994</v>
      </c>
      <c r="AE4192" s="163">
        <v>1444.3799999999994</v>
      </c>
      <c r="AF4192" s="271">
        <f t="shared" si="370"/>
        <v>322.96131048074847</v>
      </c>
      <c r="AG4192" s="241"/>
      <c r="DG4192" s="573"/>
      <c r="DH4192" s="159"/>
      <c r="DI4192" s="1091"/>
      <c r="DJ4192" s="1187"/>
    </row>
    <row r="4193" spans="1:114" ht="14.65" hidden="1" customHeight="1" outlineLevel="1">
      <c r="A4193" s="453"/>
      <c r="C4193" s="51"/>
      <c r="D4193" s="4295"/>
      <c r="E4193" s="4295"/>
      <c r="F4193" s="4307" t="str">
        <f t="shared" si="371"/>
        <v>ASHP-SEER20-Replace_CAC_NonElectricHeat_ROF_SF</v>
      </c>
      <c r="G4193" s="4307"/>
      <c r="H4193" s="4307"/>
      <c r="I4193" s="4307"/>
      <c r="J4193" s="1029" t="str">
        <f t="shared" si="372"/>
        <v>353460_2024_12_</v>
      </c>
      <c r="K4193" s="163"/>
      <c r="L4193" s="47" t="str">
        <f>IF(K4193&gt;0,VLOOKUP(J4193,$J$1914:$L$2106,3,FALSE),"")</f>
        <v/>
      </c>
      <c r="M4193" s="1743" t="str">
        <f>IF(K4193&gt;0,VLOOKUP(J4193,$J$3458:$K$3650,2,FALSE),"")</f>
        <v/>
      </c>
      <c r="P4193" s="261"/>
      <c r="Q4193" s="209"/>
      <c r="R4193" s="261"/>
      <c r="S4193" s="52"/>
      <c r="T4193" s="181"/>
      <c r="U4193" s="52"/>
      <c r="V4193" s="4295"/>
      <c r="W4193" s="163"/>
      <c r="X4193" s="166"/>
      <c r="Y4193" s="166"/>
      <c r="Z4193" s="163"/>
      <c r="AA4193" s="163"/>
      <c r="AB4193" s="166"/>
      <c r="AC4193" s="163"/>
      <c r="AD4193" s="163"/>
      <c r="AE4193" s="163"/>
      <c r="AF4193" s="271" t="str">
        <f t="shared" si="370"/>
        <v/>
      </c>
      <c r="AG4193" s="241"/>
      <c r="DG4193" s="573"/>
      <c r="DH4193" s="159"/>
      <c r="DI4193" s="1091"/>
      <c r="DJ4193" s="1187"/>
    </row>
    <row r="4194" spans="1:114" ht="14.65" hidden="1" customHeight="1" outlineLevel="1">
      <c r="A4194" s="453"/>
      <c r="C4194" s="51"/>
      <c r="D4194" s="4295"/>
      <c r="E4194" s="4295"/>
      <c r="F4194" s="4347" t="str">
        <f t="shared" si="371"/>
        <v>ASHP-SEER20-Replace_CAC_ElectricHeat_ROF_MF</v>
      </c>
      <c r="G4194" s="4347"/>
      <c r="H4194" s="4347"/>
      <c r="I4194" s="4347"/>
      <c r="J4194" s="3471" t="str">
        <f t="shared" si="372"/>
        <v>353500_2024_12_</v>
      </c>
      <c r="K4194" s="3496">
        <f>(S$1919+L4194*T$1919)-(S$1924+L4194*T$1924)</f>
        <v>3845</v>
      </c>
      <c r="L4194" s="3221">
        <f>VLOOKUP(J4194,$J$1914:$L$2106,3,FALSE)*M4194</f>
        <v>2.08</v>
      </c>
      <c r="M4194" s="3497">
        <f>VLOOKUP(J4194,$J$3458:$K$3650,2,FALSE)</f>
        <v>0.65</v>
      </c>
      <c r="N4194" s="553"/>
      <c r="P4194" s="261"/>
      <c r="Q4194" s="209"/>
      <c r="R4194" s="261"/>
      <c r="S4194" s="52"/>
      <c r="T4194" s="181"/>
      <c r="U4194" s="52"/>
      <c r="V4194" s="4295"/>
      <c r="W4194" s="2894">
        <v>3596</v>
      </c>
      <c r="X4194" s="2467">
        <v>3004.3103999999994</v>
      </c>
      <c r="Y4194" s="2467">
        <v>1160</v>
      </c>
      <c r="Z4194" s="2894">
        <v>1160</v>
      </c>
      <c r="AA4194" s="2894">
        <v>1160</v>
      </c>
      <c r="AB4194" s="2467">
        <v>1444.3799999999994</v>
      </c>
      <c r="AC4194" s="2894">
        <v>1444.3799999999994</v>
      </c>
      <c r="AD4194" s="2894">
        <v>1444.3799999999994</v>
      </c>
      <c r="AE4194" s="2894">
        <v>1444.3799999999994</v>
      </c>
      <c r="AF4194" s="2236">
        <f t="shared" si="370"/>
        <v>3845</v>
      </c>
      <c r="AG4194" s="241"/>
      <c r="DG4194" s="573"/>
      <c r="DH4194" s="159"/>
      <c r="DI4194" s="1091"/>
      <c r="DJ4194" s="1187"/>
    </row>
    <row r="4195" spans="1:114" ht="14.65" hidden="1" customHeight="1" outlineLevel="1">
      <c r="A4195" s="453"/>
      <c r="C4195" s="51"/>
      <c r="D4195" s="4295"/>
      <c r="E4195" s="4295"/>
      <c r="F4195" s="4347" t="str">
        <f t="shared" si="371"/>
        <v>ASHP-SEER20-Replace_CAC_ElectricHeat_ROF_MF</v>
      </c>
      <c r="G4195" s="4347"/>
      <c r="H4195" s="4347"/>
      <c r="I4195" s="4347"/>
      <c r="J4195" s="3471" t="str">
        <f t="shared" si="372"/>
        <v>353500_2024_12_</v>
      </c>
      <c r="K4195" s="2894"/>
      <c r="L4195" s="3221" t="str">
        <f>IF(K4195&gt;0,VLOOKUP(J4195,$J$1914:$L$2106,3,FALSE),"")</f>
        <v/>
      </c>
      <c r="M4195" s="3497" t="str">
        <f>IF(K4195&gt;0,VLOOKUP(J4195,$J$3458:$K$3650,2,FALSE),"")</f>
        <v/>
      </c>
      <c r="P4195" s="261"/>
      <c r="Q4195" s="209"/>
      <c r="R4195" s="261"/>
      <c r="S4195" s="52"/>
      <c r="T4195" s="181"/>
      <c r="U4195" s="52"/>
      <c r="V4195" s="4295"/>
      <c r="W4195" s="2894"/>
      <c r="X4195" s="2467"/>
      <c r="Y4195" s="2467"/>
      <c r="Z4195" s="2894"/>
      <c r="AA4195" s="2894"/>
      <c r="AB4195" s="2467"/>
      <c r="AC4195" s="2894"/>
      <c r="AD4195" s="2894"/>
      <c r="AE4195" s="2894"/>
      <c r="AF4195" s="2236" t="str">
        <f t="shared" si="370"/>
        <v/>
      </c>
      <c r="AG4195" s="241"/>
      <c r="DG4195" s="573"/>
      <c r="DH4195" s="159"/>
      <c r="DI4195" s="1091"/>
      <c r="DJ4195" s="1187"/>
    </row>
    <row r="4196" spans="1:114" ht="14.65" hidden="1" customHeight="1" outlineLevel="1">
      <c r="A4196" s="453"/>
      <c r="C4196" s="51"/>
      <c r="D4196" s="4295"/>
      <c r="E4196" s="4295"/>
      <c r="F4196" s="4347" t="str">
        <f t="shared" si="371"/>
        <v>ASHP-SEER20-Replace_CAC_ElectricHeat_ROF_MF_CompE</v>
      </c>
      <c r="G4196" s="4347"/>
      <c r="H4196" s="4347"/>
      <c r="I4196" s="4347"/>
      <c r="J4196" s="3471" t="str">
        <f t="shared" si="372"/>
        <v>353501_2024_12_</v>
      </c>
      <c r="K4196" s="3496">
        <f>(S$1919+L4196*T$1919)-(S$1924+L4196*T$1924)</f>
        <v>3845</v>
      </c>
      <c r="L4196" s="3221">
        <f>VLOOKUP(J4196,$J$1914:$L$2106,3,FALSE)*M4196</f>
        <v>2.08</v>
      </c>
      <c r="M4196" s="3497">
        <f>VLOOKUP(J4196,$J$3458:$K$3650,2,FALSE)</f>
        <v>0.65</v>
      </c>
      <c r="N4196" s="553"/>
      <c r="P4196" s="261"/>
      <c r="Q4196" s="209"/>
      <c r="R4196" s="261"/>
      <c r="S4196" s="52"/>
      <c r="T4196" s="181"/>
      <c r="U4196" s="52"/>
      <c r="V4196" s="4295"/>
      <c r="W4196" s="2894"/>
      <c r="X4196" s="2467"/>
      <c r="Y4196" s="2467"/>
      <c r="Z4196" s="2894"/>
      <c r="AA4196" s="2894"/>
      <c r="AB4196" s="2467"/>
      <c r="AC4196" s="2467">
        <v>1444.3799999999994</v>
      </c>
      <c r="AD4196" s="2894">
        <v>1444.3799999999994</v>
      </c>
      <c r="AE4196" s="2894">
        <v>1444.3799999999994</v>
      </c>
      <c r="AF4196" s="2236">
        <f t="shared" si="370"/>
        <v>3845</v>
      </c>
      <c r="AG4196" s="241"/>
      <c r="DG4196" s="573"/>
      <c r="DH4196" s="159"/>
      <c r="DI4196" s="1091"/>
      <c r="DJ4196" s="1187"/>
    </row>
    <row r="4197" spans="1:114" ht="14.65" hidden="1" customHeight="1" outlineLevel="1">
      <c r="A4197" s="453"/>
      <c r="C4197" s="51"/>
      <c r="D4197" s="4295"/>
      <c r="E4197" s="4295"/>
      <c r="F4197" s="4347" t="str">
        <f t="shared" si="371"/>
        <v>ASHP-SEER20-Replace_CAC_ElectricHeat_ROF_MF_CompE</v>
      </c>
      <c r="G4197" s="4347"/>
      <c r="H4197" s="4347"/>
      <c r="I4197" s="4347"/>
      <c r="J4197" s="3471" t="str">
        <f t="shared" si="372"/>
        <v>353501_2024_12_</v>
      </c>
      <c r="K4197" s="2894"/>
      <c r="L4197" s="3221"/>
      <c r="M4197" s="3497"/>
      <c r="P4197" s="261"/>
      <c r="Q4197" s="209"/>
      <c r="R4197" s="261"/>
      <c r="S4197" s="52"/>
      <c r="T4197" s="181"/>
      <c r="U4197" s="52"/>
      <c r="V4197" s="4295"/>
      <c r="W4197" s="2894"/>
      <c r="X4197" s="2467"/>
      <c r="Y4197" s="2467"/>
      <c r="Z4197" s="2894"/>
      <c r="AA4197" s="2894"/>
      <c r="AB4197" s="2467"/>
      <c r="AC4197" s="2894"/>
      <c r="AD4197" s="2894"/>
      <c r="AE4197" s="2894"/>
      <c r="AF4197" s="2236" t="str">
        <f t="shared" si="370"/>
        <v/>
      </c>
      <c r="AG4197" s="241"/>
      <c r="DG4197" s="573"/>
      <c r="DH4197" s="159"/>
      <c r="DI4197" s="1091"/>
      <c r="DJ4197" s="1187"/>
    </row>
    <row r="4198" spans="1:114" ht="14.65" hidden="1" customHeight="1" outlineLevel="1">
      <c r="A4198" s="453"/>
      <c r="C4198" s="51"/>
      <c r="D4198" s="4295"/>
      <c r="E4198" s="4295"/>
      <c r="F4198" s="4347" t="str">
        <f t="shared" si="371"/>
        <v>ASHP-SEER20-Replace_CAC_NonElectricHeat_ROF_MF</v>
      </c>
      <c r="G4198" s="4347"/>
      <c r="H4198" s="4347"/>
      <c r="I4198" s="4347"/>
      <c r="J4198" s="3471" t="str">
        <f t="shared" si="372"/>
        <v>353510_2024_12_</v>
      </c>
      <c r="K4198" s="3496">
        <f>((S$1919+L4198*T$1919)-(S$1924+L4198*T$1924))*VLOOKUP(J4198,$J$4424:$K$4467,2,FALSE)</f>
        <v>269.00924052207966</v>
      </c>
      <c r="L4198" s="3221">
        <f>VLOOKUP(J4198,$J$1914:$L$2106,3,FALSE)*M4198</f>
        <v>2.08</v>
      </c>
      <c r="M4198" s="3497">
        <f>VLOOKUP(J4198,$J$3458:$K$3650,2,FALSE)</f>
        <v>0.65</v>
      </c>
      <c r="N4198" s="553"/>
      <c r="P4198" s="261"/>
      <c r="Q4198" s="209"/>
      <c r="R4198" s="261"/>
      <c r="S4198" s="52"/>
      <c r="T4198" s="181"/>
      <c r="U4198" s="52"/>
      <c r="V4198" s="4295"/>
      <c r="W4198" s="2894"/>
      <c r="X4198" s="2467"/>
      <c r="Y4198" s="2467"/>
      <c r="Z4198" s="2894"/>
      <c r="AA4198" s="2894"/>
      <c r="AB4198" s="2467"/>
      <c r="AC4198" s="2467">
        <v>1444.3799999999994</v>
      </c>
      <c r="AD4198" s="2894">
        <v>1444.3799999999994</v>
      </c>
      <c r="AE4198" s="2894">
        <v>1444.3799999999994</v>
      </c>
      <c r="AF4198" s="2236">
        <f t="shared" si="370"/>
        <v>269.00924052207966</v>
      </c>
      <c r="AG4198" s="241"/>
      <c r="DG4198" s="573"/>
      <c r="DH4198" s="159"/>
      <c r="DI4198" s="1091"/>
      <c r="DJ4198" s="1187"/>
    </row>
    <row r="4199" spans="1:114" ht="14.65" hidden="1" customHeight="1" outlineLevel="1">
      <c r="A4199" s="453"/>
      <c r="C4199" s="51"/>
      <c r="D4199" s="4295"/>
      <c r="E4199" s="4295"/>
      <c r="F4199" s="4347" t="str">
        <f t="shared" si="371"/>
        <v>ASHP-SEER20-Replace_CAC_NonElectricHeat_ROF_MF</v>
      </c>
      <c r="G4199" s="4347"/>
      <c r="H4199" s="4347"/>
      <c r="I4199" s="4347"/>
      <c r="J4199" s="3471" t="str">
        <f t="shared" si="372"/>
        <v>353510_2024_12_</v>
      </c>
      <c r="K4199" s="2894"/>
      <c r="L4199" s="3221"/>
      <c r="M4199" s="3497"/>
      <c r="P4199" s="261"/>
      <c r="Q4199" s="209"/>
      <c r="R4199" s="261"/>
      <c r="S4199" s="52"/>
      <c r="T4199" s="181"/>
      <c r="U4199" s="52"/>
      <c r="V4199" s="4295"/>
      <c r="W4199" s="2894"/>
      <c r="X4199" s="2467"/>
      <c r="Y4199" s="2467"/>
      <c r="Z4199" s="2894"/>
      <c r="AA4199" s="2894"/>
      <c r="AB4199" s="2467"/>
      <c r="AC4199" s="2894"/>
      <c r="AD4199" s="2894"/>
      <c r="AE4199" s="2894"/>
      <c r="AF4199" s="2236" t="str">
        <f t="shared" si="370"/>
        <v/>
      </c>
      <c r="AG4199" s="241"/>
      <c r="DG4199" s="573"/>
      <c r="DH4199" s="159"/>
      <c r="DI4199" s="1091"/>
      <c r="DJ4199" s="1187"/>
    </row>
    <row r="4200" spans="1:114" ht="14.65" hidden="1" customHeight="1" outlineLevel="1">
      <c r="A4200" s="453"/>
      <c r="C4200" s="51"/>
      <c r="D4200" s="4295"/>
      <c r="E4200" s="4295"/>
      <c r="F4200" s="4347" t="str">
        <f t="shared" si="371"/>
        <v>ASHP-SEER20-Replace_CAC_NonElectricHeat_ROF_MF_CompE</v>
      </c>
      <c r="G4200" s="4347"/>
      <c r="H4200" s="4347"/>
      <c r="I4200" s="4347"/>
      <c r="J4200" s="3471" t="str">
        <f t="shared" si="372"/>
        <v>353511_2024_12_</v>
      </c>
      <c r="K4200" s="3496">
        <f>((S$1919+L4200*T$1919)-(S$1924+L4200*T$1924))*VLOOKUP(J4200,$J$4424:$K$4467,2,FALSE)</f>
        <v>531.72488671030942</v>
      </c>
      <c r="L4200" s="3221">
        <f>VLOOKUP(J4200,$J$1914:$L$2106,3,FALSE)*M4200</f>
        <v>2.08</v>
      </c>
      <c r="M4200" s="3497">
        <f>VLOOKUP(J4200,$J$3458:$K$3650,2,FALSE)</f>
        <v>0.65</v>
      </c>
      <c r="N4200" s="553"/>
      <c r="P4200" s="261"/>
      <c r="Q4200" s="209"/>
      <c r="R4200" s="261"/>
      <c r="S4200" s="52"/>
      <c r="T4200" s="181"/>
      <c r="U4200" s="52"/>
      <c r="V4200" s="4295"/>
      <c r="W4200" s="2894"/>
      <c r="X4200" s="2467"/>
      <c r="Y4200" s="2467"/>
      <c r="Z4200" s="2894"/>
      <c r="AA4200" s="2894"/>
      <c r="AB4200" s="2467"/>
      <c r="AC4200" s="2467">
        <v>1444.3799999999994</v>
      </c>
      <c r="AD4200" s="2894">
        <v>1444.3799999999994</v>
      </c>
      <c r="AE4200" s="2894">
        <v>1444.3799999999994</v>
      </c>
      <c r="AF4200" s="2236">
        <f t="shared" si="370"/>
        <v>531.72488671030942</v>
      </c>
      <c r="AG4200" s="241"/>
      <c r="DG4200" s="573"/>
      <c r="DH4200" s="159"/>
      <c r="DI4200" s="1091"/>
      <c r="DJ4200" s="1187"/>
    </row>
    <row r="4201" spans="1:114" ht="14.65" hidden="1" customHeight="1" outlineLevel="1">
      <c r="A4201" s="453"/>
      <c r="C4201" s="51"/>
      <c r="D4201" s="4295"/>
      <c r="E4201" s="4295"/>
      <c r="F4201" s="4347" t="str">
        <f t="shared" si="371"/>
        <v>ASHP-SEER20-Replace_CAC_NonElectricHeat_ROF_MF_CompE</v>
      </c>
      <c r="G4201" s="4347"/>
      <c r="H4201" s="4347"/>
      <c r="I4201" s="4347"/>
      <c r="J4201" s="3471" t="str">
        <f t="shared" si="372"/>
        <v>353511_2024_12_</v>
      </c>
      <c r="K4201" s="2894"/>
      <c r="L4201" s="3221"/>
      <c r="M4201" s="3497"/>
      <c r="P4201" s="261"/>
      <c r="Q4201" s="209"/>
      <c r="R4201" s="261"/>
      <c r="S4201" s="52"/>
      <c r="T4201" s="181"/>
      <c r="U4201" s="52"/>
      <c r="V4201" s="4295"/>
      <c r="W4201" s="2894"/>
      <c r="X4201" s="2467"/>
      <c r="Y4201" s="2467"/>
      <c r="Z4201" s="2894"/>
      <c r="AA4201" s="2894"/>
      <c r="AB4201" s="2467"/>
      <c r="AC4201" s="2894"/>
      <c r="AD4201" s="2894"/>
      <c r="AE4201" s="2894"/>
      <c r="AF4201" s="2236" t="str">
        <f t="shared" si="370"/>
        <v/>
      </c>
      <c r="AG4201" s="241"/>
      <c r="DG4201" s="573"/>
      <c r="DH4201" s="159"/>
      <c r="DI4201" s="1091"/>
      <c r="DJ4201" s="1187"/>
    </row>
    <row r="4202" spans="1:114" ht="14.65" hidden="1" customHeight="1" outlineLevel="1">
      <c r="A4202" s="453"/>
      <c r="C4202" s="51"/>
      <c r="D4202" s="4295"/>
      <c r="E4202" s="4295"/>
      <c r="F4202" s="4307" t="str">
        <f t="shared" si="371"/>
        <v>ASHP-SEER21-Replace_CAC_ElectricHeat_ER1_SF</v>
      </c>
      <c r="G4202" s="4307"/>
      <c r="H4202" s="4307"/>
      <c r="I4202" s="4307"/>
      <c r="J4202" s="1029" t="str">
        <f t="shared" si="372"/>
        <v>353550_2024_12_</v>
      </c>
      <c r="K4202" s="1752">
        <f>(S$1919+L4202*T$1919)-((S$1926+L4202*T$1926)*S$1931)</f>
        <v>4645.1653206811143</v>
      </c>
      <c r="L4202" s="47">
        <f>VLOOKUP(J4202,$J$1914:$L$2106,3,FALSE)*M4202</f>
        <v>3.3440561485431846</v>
      </c>
      <c r="M4202" s="1743">
        <f>VLOOKUP(J4202,$J$3458:$K$3650,2,FALSE)</f>
        <v>1</v>
      </c>
      <c r="N4202" s="553"/>
      <c r="P4202" s="261"/>
      <c r="Q4202" s="209"/>
      <c r="R4202" s="261"/>
      <c r="S4202" s="52"/>
      <c r="T4202" s="181"/>
      <c r="U4202" s="52"/>
      <c r="V4202" s="4295"/>
      <c r="W4202" s="163">
        <v>5275.2377829603429</v>
      </c>
      <c r="X4202" s="166">
        <v>7775.9467344777704</v>
      </c>
      <c r="Y4202" s="166">
        <v>2032.6993716056036</v>
      </c>
      <c r="Z4202" s="163">
        <v>2032.6993716056036</v>
      </c>
      <c r="AA4202" s="163">
        <v>2032.6993716056036</v>
      </c>
      <c r="AB4202" s="166">
        <v>2430.6319864864099</v>
      </c>
      <c r="AC4202" s="166">
        <v>2547.9287573669544</v>
      </c>
      <c r="AD4202" s="166">
        <v>2490.8675578660959</v>
      </c>
      <c r="AE4202" s="166">
        <v>2602.2336285635597</v>
      </c>
      <c r="AF4202" s="271">
        <f t="shared" si="370"/>
        <v>4645.1653206811143</v>
      </c>
      <c r="AG4202" s="241"/>
      <c r="DG4202" s="573"/>
      <c r="DH4202" s="159"/>
      <c r="DI4202" s="1091"/>
      <c r="DJ4202" s="1187"/>
    </row>
    <row r="4203" spans="1:114" ht="14.65" hidden="1" customHeight="1" outlineLevel="1">
      <c r="A4203" s="453"/>
      <c r="C4203" s="51"/>
      <c r="D4203" s="4295"/>
      <c r="E4203" s="4295"/>
      <c r="F4203" s="4307" t="str">
        <f t="shared" si="371"/>
        <v>ASHP-SEER21-Replace_CAC_ElectricHeat_ER1_SF</v>
      </c>
      <c r="G4203" s="4307"/>
      <c r="H4203" s="4307"/>
      <c r="I4203" s="4307"/>
      <c r="J4203" s="1029" t="str">
        <f t="shared" si="372"/>
        <v>353550_2024_12_</v>
      </c>
      <c r="K4203" s="163"/>
      <c r="L4203" s="47" t="str">
        <f>IF(K4203&gt;0,VLOOKUP(J4203,$J$1914:$L$2106,3,FALSE),"")</f>
        <v/>
      </c>
      <c r="M4203" s="1743" t="str">
        <f>IF(K4203&gt;0,VLOOKUP(J4203,$J$3458:$K$3650,2,FALSE),"")</f>
        <v/>
      </c>
      <c r="P4203" s="261"/>
      <c r="Q4203" s="209"/>
      <c r="R4203" s="261"/>
      <c r="S4203" s="52"/>
      <c r="T4203" s="181"/>
      <c r="U4203" s="52"/>
      <c r="V4203" s="4295"/>
      <c r="W4203" s="163"/>
      <c r="X4203" s="166"/>
      <c r="Y4203" s="166"/>
      <c r="Z4203" s="163"/>
      <c r="AA4203" s="163"/>
      <c r="AB4203" s="166"/>
      <c r="AC4203" s="163"/>
      <c r="AD4203" s="163"/>
      <c r="AE4203" s="163"/>
      <c r="AF4203" s="271" t="str">
        <f t="shared" si="370"/>
        <v/>
      </c>
      <c r="AG4203" s="241"/>
      <c r="DG4203" s="573"/>
      <c r="DH4203" s="159"/>
      <c r="DI4203" s="1091"/>
      <c r="DJ4203" s="1187"/>
    </row>
    <row r="4204" spans="1:114" ht="14.65" hidden="1" customHeight="1" outlineLevel="1">
      <c r="A4204" s="453"/>
      <c r="C4204" s="51"/>
      <c r="D4204" s="4295"/>
      <c r="E4204" s="4295"/>
      <c r="F4204" s="4307" t="str">
        <f t="shared" si="371"/>
        <v>ASHP-SEER21-Replace_CAC_ElectricHeat_ER2_SF</v>
      </c>
      <c r="G4204" s="4307"/>
      <c r="H4204" s="4307"/>
      <c r="I4204" s="4307"/>
      <c r="J4204" s="1029" t="str">
        <f t="shared" si="372"/>
        <v>353550_2024_12_</v>
      </c>
      <c r="K4204" s="163"/>
      <c r="L4204" s="47" t="str">
        <f>IF(K4204&gt;0,VLOOKUP(J4204,$J$1914:$L$2106,3,FALSE),"")</f>
        <v/>
      </c>
      <c r="M4204" s="1743" t="str">
        <f>IF(K4204&gt;0,VLOOKUP(J4204,$J$3458:$K$3650,2,FALSE),"")</f>
        <v/>
      </c>
      <c r="P4204" s="261"/>
      <c r="Q4204" s="209"/>
      <c r="R4204" s="261"/>
      <c r="S4204" s="52"/>
      <c r="T4204" s="181"/>
      <c r="U4204" s="52"/>
      <c r="V4204" s="4295"/>
      <c r="W4204" s="163"/>
      <c r="X4204" s="166"/>
      <c r="Y4204" s="166"/>
      <c r="Z4204" s="163"/>
      <c r="AA4204" s="163"/>
      <c r="AB4204" s="166"/>
      <c r="AC4204" s="163"/>
      <c r="AD4204" s="163"/>
      <c r="AE4204" s="163"/>
      <c r="AF4204" s="271" t="str">
        <f t="shared" si="370"/>
        <v/>
      </c>
      <c r="AG4204" s="241"/>
      <c r="DG4204" s="573"/>
      <c r="DH4204" s="159"/>
      <c r="DI4204" s="1091"/>
      <c r="DJ4204" s="1187"/>
    </row>
    <row r="4205" spans="1:114" ht="14.65" hidden="1" customHeight="1" outlineLevel="1">
      <c r="A4205" s="453"/>
      <c r="C4205" s="51"/>
      <c r="D4205" s="4295"/>
      <c r="E4205" s="4295"/>
      <c r="F4205" s="4307" t="str">
        <f t="shared" si="371"/>
        <v>ASHP-SEER21-Replace_CAC_ElectricHeat_ER2_SF</v>
      </c>
      <c r="G4205" s="4307"/>
      <c r="H4205" s="4307"/>
      <c r="I4205" s="4307"/>
      <c r="J4205" s="1029" t="str">
        <f t="shared" si="372"/>
        <v>353550_2024_12_</v>
      </c>
      <c r="K4205" s="163"/>
      <c r="L4205" s="47" t="str">
        <f>IF(K4205&gt;0,VLOOKUP(J4205,$J$1914:$L$2106,3,FALSE),"")</f>
        <v/>
      </c>
      <c r="M4205" s="1743" t="str">
        <f>IF(K4205&gt;0,VLOOKUP(J4205,$J$3458:$K$3650,2,FALSE),"")</f>
        <v/>
      </c>
      <c r="P4205" s="261"/>
      <c r="Q4205" s="209"/>
      <c r="R4205" s="261"/>
      <c r="S4205" s="52"/>
      <c r="T4205" s="181"/>
      <c r="U4205" s="52"/>
      <c r="V4205" s="4295"/>
      <c r="W4205" s="163"/>
      <c r="X4205" s="166"/>
      <c r="Y4205" s="166"/>
      <c r="Z4205" s="163"/>
      <c r="AA4205" s="163"/>
      <c r="AB4205" s="166"/>
      <c r="AC4205" s="163"/>
      <c r="AD4205" s="163"/>
      <c r="AE4205" s="163"/>
      <c r="AF4205" s="271" t="str">
        <f t="shared" si="370"/>
        <v/>
      </c>
      <c r="AG4205" s="241"/>
      <c r="DG4205" s="573"/>
      <c r="DH4205" s="159"/>
      <c r="DI4205" s="1091"/>
      <c r="DJ4205" s="1187"/>
    </row>
    <row r="4206" spans="1:114" ht="14.65" hidden="1" customHeight="1" outlineLevel="1">
      <c r="A4206" s="453"/>
      <c r="C4206" s="51"/>
      <c r="D4206" s="4295"/>
      <c r="E4206" s="4295"/>
      <c r="F4206" s="4307" t="str">
        <f t="shared" si="371"/>
        <v>ASHP-SEER21-Replace_CAC_NonElectricHeat_ER1_SF</v>
      </c>
      <c r="G4206" s="4307"/>
      <c r="H4206" s="4307"/>
      <c r="I4206" s="4307"/>
      <c r="J4206" s="1029" t="str">
        <f t="shared" si="372"/>
        <v>353560_2024_12_</v>
      </c>
      <c r="K4206" s="1752">
        <f>((S$1919+L4206*T$1919)-((S$1926+L4206*T$1926)*S$1931))*VLOOKUP(J4206,$J$4424:$K$4467,2,FALSE)</f>
        <v>584.70329002915889</v>
      </c>
      <c r="L4206" s="47">
        <f>VLOOKUP(J4206,$J$1914:$L$2106,3,FALSE)*M4206</f>
        <v>3.3440561485431846</v>
      </c>
      <c r="M4206" s="1743">
        <f>VLOOKUP(J4206,$J$3458:$K$3650,2,FALSE)</f>
        <v>1</v>
      </c>
      <c r="N4206" s="553"/>
      <c r="P4206" s="261"/>
      <c r="Q4206" s="209"/>
      <c r="R4206" s="261"/>
      <c r="S4206" s="52"/>
      <c r="T4206" s="181"/>
      <c r="U4206" s="52"/>
      <c r="V4206" s="4295"/>
      <c r="W4206" s="163"/>
      <c r="X4206" s="166"/>
      <c r="Y4206" s="166"/>
      <c r="Z4206" s="163"/>
      <c r="AA4206" s="163"/>
      <c r="AB4206" s="166"/>
      <c r="AC4206" s="166">
        <v>2547.9287573669544</v>
      </c>
      <c r="AD4206" s="166">
        <v>2490.8675578660959</v>
      </c>
      <c r="AE4206" s="166">
        <v>2602.2336285635597</v>
      </c>
      <c r="AF4206" s="271">
        <f t="shared" si="370"/>
        <v>584.70329002915889</v>
      </c>
      <c r="AG4206" s="241"/>
      <c r="DG4206" s="573"/>
      <c r="DH4206" s="159"/>
      <c r="DI4206" s="1091"/>
      <c r="DJ4206" s="1187"/>
    </row>
    <row r="4207" spans="1:114" ht="14.65" hidden="1" customHeight="1" outlineLevel="1">
      <c r="A4207" s="453"/>
      <c r="C4207" s="51"/>
      <c r="D4207" s="4295"/>
      <c r="E4207" s="4295"/>
      <c r="F4207" s="4307" t="str">
        <f t="shared" si="371"/>
        <v>ASHP-SEER21-Replace_CAC_NonElectricHeat_ER1_SF</v>
      </c>
      <c r="G4207" s="4307"/>
      <c r="H4207" s="4307"/>
      <c r="I4207" s="4307"/>
      <c r="J4207" s="1029" t="str">
        <f t="shared" si="372"/>
        <v>353560_2024_12_</v>
      </c>
      <c r="K4207" s="163"/>
      <c r="L4207" s="47"/>
      <c r="M4207" s="1743"/>
      <c r="P4207" s="261"/>
      <c r="Q4207" s="209"/>
      <c r="R4207" s="261"/>
      <c r="S4207" s="52"/>
      <c r="T4207" s="181"/>
      <c r="U4207" s="52"/>
      <c r="V4207" s="4295"/>
      <c r="W4207" s="163"/>
      <c r="X4207" s="166"/>
      <c r="Y4207" s="166"/>
      <c r="Z4207" s="163"/>
      <c r="AA4207" s="163"/>
      <c r="AB4207" s="166"/>
      <c r="AC4207" s="163"/>
      <c r="AD4207" s="163"/>
      <c r="AE4207" s="163"/>
      <c r="AF4207" s="271" t="str">
        <f t="shared" si="370"/>
        <v/>
      </c>
      <c r="AG4207" s="241"/>
      <c r="DG4207" s="573"/>
      <c r="DH4207" s="159"/>
      <c r="DI4207" s="1091"/>
      <c r="DJ4207" s="1187"/>
    </row>
    <row r="4208" spans="1:114" ht="14.65" hidden="1" customHeight="1" outlineLevel="1">
      <c r="A4208" s="453"/>
      <c r="C4208" s="51"/>
      <c r="D4208" s="4295"/>
      <c r="E4208" s="4295"/>
      <c r="F4208" s="4307" t="str">
        <f t="shared" si="371"/>
        <v>ASHP-SEER21-Replace_CAC_NonElectricHeat_ER2_SF</v>
      </c>
      <c r="G4208" s="4307"/>
      <c r="H4208" s="4307"/>
      <c r="I4208" s="4307"/>
      <c r="J4208" s="1029" t="str">
        <f t="shared" si="372"/>
        <v>353560_2024_12_</v>
      </c>
      <c r="K4208" s="163"/>
      <c r="L4208" s="47"/>
      <c r="M4208" s="1743"/>
      <c r="P4208" s="261"/>
      <c r="Q4208" s="209"/>
      <c r="R4208" s="261"/>
      <c r="S4208" s="52"/>
      <c r="T4208" s="181"/>
      <c r="U4208" s="52"/>
      <c r="V4208" s="4295"/>
      <c r="W4208" s="163"/>
      <c r="X4208" s="166"/>
      <c r="Y4208" s="166"/>
      <c r="Z4208" s="163"/>
      <c r="AA4208" s="163"/>
      <c r="AB4208" s="166"/>
      <c r="AC4208" s="163"/>
      <c r="AD4208" s="163"/>
      <c r="AE4208" s="163"/>
      <c r="AF4208" s="271" t="str">
        <f t="shared" si="370"/>
        <v/>
      </c>
      <c r="AG4208" s="241"/>
      <c r="DG4208" s="573"/>
      <c r="DH4208" s="159"/>
      <c r="DI4208" s="1091"/>
      <c r="DJ4208" s="1187"/>
    </row>
    <row r="4209" spans="1:114" ht="14.65" hidden="1" customHeight="1" outlineLevel="1">
      <c r="A4209" s="453"/>
      <c r="C4209" s="51"/>
      <c r="D4209" s="4295"/>
      <c r="E4209" s="4295"/>
      <c r="F4209" s="4307" t="str">
        <f t="shared" si="371"/>
        <v>ASHP-SEER21-Replace_CAC_NonElectricHeat_ER2_SF</v>
      </c>
      <c r="G4209" s="4307"/>
      <c r="H4209" s="4307"/>
      <c r="I4209" s="4307"/>
      <c r="J4209" s="1029" t="str">
        <f t="shared" si="372"/>
        <v>353560_2024_12_</v>
      </c>
      <c r="K4209" s="163"/>
      <c r="L4209" s="47"/>
      <c r="M4209" s="1743"/>
      <c r="P4209" s="261"/>
      <c r="Q4209" s="209"/>
      <c r="R4209" s="261"/>
      <c r="S4209" s="52"/>
      <c r="T4209" s="181"/>
      <c r="U4209" s="52"/>
      <c r="V4209" s="4295"/>
      <c r="W4209" s="163"/>
      <c r="X4209" s="166"/>
      <c r="Y4209" s="166"/>
      <c r="Z4209" s="163"/>
      <c r="AA4209" s="163"/>
      <c r="AB4209" s="166"/>
      <c r="AC4209" s="163"/>
      <c r="AD4209" s="163"/>
      <c r="AE4209" s="163"/>
      <c r="AF4209" s="271" t="str">
        <f t="shared" si="370"/>
        <v/>
      </c>
      <c r="AG4209" s="241"/>
      <c r="DG4209" s="573"/>
      <c r="DH4209" s="159"/>
      <c r="DI4209" s="1091"/>
      <c r="DJ4209" s="1187"/>
    </row>
    <row r="4210" spans="1:114" ht="14.65" hidden="1" customHeight="1" outlineLevel="1">
      <c r="A4210" s="453"/>
      <c r="C4210" s="51"/>
      <c r="D4210" s="4295"/>
      <c r="E4210" s="4295"/>
      <c r="F4210" s="4307" t="str">
        <f t="shared" si="371"/>
        <v>ASHP-SEER21-Replace_CAC_ElectricHeat_ER1_MF</v>
      </c>
      <c r="G4210" s="4307"/>
      <c r="H4210" s="4307"/>
      <c r="I4210" s="4307"/>
      <c r="J4210" s="1029" t="str">
        <f t="shared" si="372"/>
        <v>353600_2024_12_</v>
      </c>
      <c r="K4210" s="1752">
        <f>(S$1919+L4210*T$1919)-((S$1926+L4210*T$1926)*S$1931)</f>
        <v>3847.7316315552043</v>
      </c>
      <c r="L4210" s="47">
        <f>VLOOKUP(J4210,$J$1914:$L$2106,3,FALSE)*M4210</f>
        <v>2.0150000000000001</v>
      </c>
      <c r="M4210" s="1743">
        <f>VLOOKUP(J4210,$J$3458:$K$3650,2,FALSE)</f>
        <v>0.65</v>
      </c>
      <c r="N4210" s="553"/>
      <c r="P4210" s="261"/>
      <c r="Q4210" s="209"/>
      <c r="R4210" s="261"/>
      <c r="S4210" s="52"/>
      <c r="T4210" s="181"/>
      <c r="U4210" s="52"/>
      <c r="V4210" s="4295"/>
      <c r="W4210" s="163">
        <v>5275.2377829603429</v>
      </c>
      <c r="X4210" s="166">
        <v>5054.3653774105505</v>
      </c>
      <c r="Y4210" s="166">
        <v>1727.2545915436422</v>
      </c>
      <c r="Z4210" s="163">
        <v>1727.2545915436422</v>
      </c>
      <c r="AA4210" s="163">
        <v>1727.2545915436422</v>
      </c>
      <c r="AB4210" s="166">
        <v>2171.3844012161662</v>
      </c>
      <c r="AC4210" s="163">
        <v>2171.3844012161662</v>
      </c>
      <c r="AD4210" s="163">
        <v>2171.3844012161662</v>
      </c>
      <c r="AE4210" s="166">
        <v>2239.6470361368501</v>
      </c>
      <c r="AF4210" s="271">
        <f t="shared" si="370"/>
        <v>3847.7316315552043</v>
      </c>
      <c r="AG4210" s="241"/>
      <c r="DG4210" s="573"/>
      <c r="DH4210" s="159"/>
      <c r="DI4210" s="1091"/>
      <c r="DJ4210" s="1187"/>
    </row>
    <row r="4211" spans="1:114" ht="14.65" hidden="1" customHeight="1" outlineLevel="1">
      <c r="A4211" s="453"/>
      <c r="C4211" s="51"/>
      <c r="D4211" s="4295"/>
      <c r="E4211" s="4295"/>
      <c r="F4211" s="4307" t="str">
        <f t="shared" si="371"/>
        <v>ASHP-SEER21-Replace_CAC_ElectricHeat_ER1_MF</v>
      </c>
      <c r="G4211" s="4307"/>
      <c r="H4211" s="4307"/>
      <c r="I4211" s="4307"/>
      <c r="J4211" s="1029" t="str">
        <f t="shared" si="372"/>
        <v>353600_2024_12_</v>
      </c>
      <c r="K4211" s="163"/>
      <c r="L4211" s="47" t="str">
        <f>IF(K4211&gt;0,VLOOKUP(J4211,$J$1914:$L$2106,3,FALSE),"")</f>
        <v/>
      </c>
      <c r="M4211" s="1743" t="str">
        <f>IF(K4211&gt;0,VLOOKUP(J4211,$J$3458:$K$3650,2,FALSE),"")</f>
        <v/>
      </c>
      <c r="P4211" s="261"/>
      <c r="Q4211" s="209"/>
      <c r="R4211" s="261"/>
      <c r="S4211" s="52"/>
      <c r="T4211" s="181"/>
      <c r="U4211" s="52"/>
      <c r="V4211" s="4295"/>
      <c r="W4211" s="163"/>
      <c r="X4211" s="166"/>
      <c r="Y4211" s="166"/>
      <c r="Z4211" s="163"/>
      <c r="AA4211" s="163"/>
      <c r="AB4211" s="166"/>
      <c r="AC4211" s="163"/>
      <c r="AD4211" s="163"/>
      <c r="AE4211" s="163"/>
      <c r="AF4211" s="271" t="str">
        <f t="shared" si="370"/>
        <v/>
      </c>
      <c r="AG4211" s="241"/>
      <c r="DG4211" s="573"/>
      <c r="DH4211" s="159"/>
      <c r="DI4211" s="1091"/>
      <c r="DJ4211" s="1187"/>
    </row>
    <row r="4212" spans="1:114" ht="14.65" hidden="1" customHeight="1" outlineLevel="1">
      <c r="A4212" s="453"/>
      <c r="C4212" s="51"/>
      <c r="D4212" s="4295"/>
      <c r="E4212" s="4295"/>
      <c r="F4212" s="4307" t="str">
        <f t="shared" si="371"/>
        <v>ASHP-SEER21-Replace_CAC_ElectricHeat_ER2_MF</v>
      </c>
      <c r="G4212" s="4307"/>
      <c r="H4212" s="4307"/>
      <c r="I4212" s="4307"/>
      <c r="J4212" s="1029" t="str">
        <f t="shared" si="372"/>
        <v>353600_2024_12_</v>
      </c>
      <c r="K4212" s="163"/>
      <c r="L4212" s="47" t="str">
        <f>IF(K4212&gt;0,VLOOKUP(J4212,$J$1914:$L$2106,3,FALSE),"")</f>
        <v/>
      </c>
      <c r="M4212" s="1743" t="str">
        <f>IF(K4212&gt;0,VLOOKUP(J4212,$J$3458:$K$3650,2,FALSE),"")</f>
        <v/>
      </c>
      <c r="P4212" s="261"/>
      <c r="Q4212" s="209"/>
      <c r="R4212" s="261"/>
      <c r="S4212" s="52"/>
      <c r="T4212" s="181"/>
      <c r="U4212" s="52"/>
      <c r="V4212" s="4295"/>
      <c r="W4212" s="163"/>
      <c r="X4212" s="166"/>
      <c r="Y4212" s="166"/>
      <c r="Z4212" s="163"/>
      <c r="AA4212" s="163"/>
      <c r="AB4212" s="166"/>
      <c r="AC4212" s="163"/>
      <c r="AD4212" s="163"/>
      <c r="AE4212" s="163"/>
      <c r="AF4212" s="271" t="str">
        <f t="shared" si="370"/>
        <v/>
      </c>
      <c r="AG4212" s="241"/>
      <c r="DG4212" s="573"/>
      <c r="DH4212" s="159"/>
      <c r="DI4212" s="1091"/>
      <c r="DJ4212" s="1187"/>
    </row>
    <row r="4213" spans="1:114" ht="14.65" hidden="1" customHeight="1" outlineLevel="1">
      <c r="A4213" s="453"/>
      <c r="C4213" s="51"/>
      <c r="D4213" s="4295"/>
      <c r="E4213" s="4295"/>
      <c r="F4213" s="4307" t="str">
        <f t="shared" si="371"/>
        <v>ASHP-SEER21-Replace_CAC_ElectricHeat_ER2_MF</v>
      </c>
      <c r="G4213" s="4307"/>
      <c r="H4213" s="4307"/>
      <c r="I4213" s="4307"/>
      <c r="J4213" s="1029" t="str">
        <f t="shared" si="372"/>
        <v>353600_2024_12_</v>
      </c>
      <c r="K4213" s="163"/>
      <c r="L4213" s="47" t="str">
        <f>IF(K4213&gt;0,VLOOKUP(J4213,$J$1914:$L$2106,3,FALSE),"")</f>
        <v/>
      </c>
      <c r="M4213" s="1743" t="str">
        <f>IF(K4213&gt;0,VLOOKUP(J4213,$J$3458:$K$3650,2,FALSE),"")</f>
        <v/>
      </c>
      <c r="P4213" s="261"/>
      <c r="Q4213" s="209"/>
      <c r="R4213" s="261"/>
      <c r="S4213" s="52"/>
      <c r="T4213" s="181"/>
      <c r="U4213" s="52"/>
      <c r="V4213" s="4295"/>
      <c r="W4213" s="163"/>
      <c r="X4213" s="166"/>
      <c r="Y4213" s="166"/>
      <c r="Z4213" s="163"/>
      <c r="AA4213" s="163"/>
      <c r="AB4213" s="166"/>
      <c r="AC4213" s="163"/>
      <c r="AD4213" s="163"/>
      <c r="AE4213" s="163"/>
      <c r="AF4213" s="271" t="str">
        <f t="shared" si="370"/>
        <v/>
      </c>
      <c r="AG4213" s="241"/>
      <c r="DG4213" s="573"/>
      <c r="DH4213" s="159"/>
      <c r="DI4213" s="1091"/>
      <c r="DJ4213" s="1187"/>
    </row>
    <row r="4214" spans="1:114" ht="14.65" hidden="1" customHeight="1" outlineLevel="1">
      <c r="A4214" s="453"/>
      <c r="C4214" s="51"/>
      <c r="D4214" s="4295"/>
      <c r="E4214" s="4295"/>
      <c r="F4214" s="4347" t="str">
        <f t="shared" si="371"/>
        <v>ASHP-SEER21-Replace_CAC_ElectricHeat_ER1_MF_CompE</v>
      </c>
      <c r="G4214" s="4347"/>
      <c r="H4214" s="4347"/>
      <c r="I4214" s="4347"/>
      <c r="J4214" s="3471" t="str">
        <f t="shared" si="372"/>
        <v>353601_2024_12_</v>
      </c>
      <c r="K4214" s="3496">
        <f>(S$1919+L4214*T$1919)-((S$1926+L4214*T$1926)*S$1931)</f>
        <v>3847.7316315552043</v>
      </c>
      <c r="L4214" s="3221">
        <f>VLOOKUP(J4214,$J$1914:$L$2106,3,FALSE)*M4214</f>
        <v>2.0150000000000001</v>
      </c>
      <c r="M4214" s="3497">
        <f>VLOOKUP(J4214,$J$3458:$K$3650,2,FALSE)</f>
        <v>0.65</v>
      </c>
      <c r="N4214" s="553"/>
      <c r="P4214" s="261"/>
      <c r="Q4214" s="209"/>
      <c r="R4214" s="261"/>
      <c r="S4214" s="52"/>
      <c r="T4214" s="181"/>
      <c r="U4214" s="52"/>
      <c r="V4214" s="4295"/>
      <c r="W4214" s="163"/>
      <c r="X4214" s="166"/>
      <c r="Y4214" s="166"/>
      <c r="Z4214" s="163"/>
      <c r="AA4214" s="163"/>
      <c r="AB4214" s="166"/>
      <c r="AC4214" s="2467">
        <v>2171.3844012161662</v>
      </c>
      <c r="AD4214" s="2894">
        <v>2171.3844012161662</v>
      </c>
      <c r="AE4214" s="2467">
        <v>2239.6470361368501</v>
      </c>
      <c r="AF4214" s="2236">
        <f t="shared" si="370"/>
        <v>3847.7316315552043</v>
      </c>
      <c r="AG4214" s="241"/>
      <c r="DG4214" s="573"/>
      <c r="DH4214" s="159"/>
      <c r="DI4214" s="1091"/>
      <c r="DJ4214" s="1187"/>
    </row>
    <row r="4215" spans="1:114" ht="14.65" hidden="1" customHeight="1" outlineLevel="1">
      <c r="A4215" s="453"/>
      <c r="C4215" s="51"/>
      <c r="D4215" s="4295"/>
      <c r="E4215" s="4295"/>
      <c r="F4215" s="4347" t="str">
        <f t="shared" si="371"/>
        <v>ASHP-SEER21-Replace_CAC_ElectricHeat_ER1_MF_CompE</v>
      </c>
      <c r="G4215" s="4347"/>
      <c r="H4215" s="4347"/>
      <c r="I4215" s="4347"/>
      <c r="J4215" s="3471" t="str">
        <f t="shared" si="372"/>
        <v>353601_2024_12_</v>
      </c>
      <c r="K4215" s="2894"/>
      <c r="L4215" s="3221"/>
      <c r="M4215" s="3497"/>
      <c r="P4215" s="261"/>
      <c r="Q4215" s="209"/>
      <c r="R4215" s="261"/>
      <c r="S4215" s="52"/>
      <c r="T4215" s="181"/>
      <c r="U4215" s="52"/>
      <c r="V4215" s="4295"/>
      <c r="W4215" s="163"/>
      <c r="X4215" s="166"/>
      <c r="Y4215" s="166"/>
      <c r="Z4215" s="163"/>
      <c r="AA4215" s="163"/>
      <c r="AB4215" s="166"/>
      <c r="AC4215" s="2894"/>
      <c r="AD4215" s="2894"/>
      <c r="AE4215" s="2894"/>
      <c r="AF4215" s="2236" t="str">
        <f t="shared" si="370"/>
        <v/>
      </c>
      <c r="AG4215" s="241"/>
      <c r="DG4215" s="573"/>
      <c r="DH4215" s="159"/>
      <c r="DI4215" s="1091"/>
      <c r="DJ4215" s="1187"/>
    </row>
    <row r="4216" spans="1:114" ht="14.65" hidden="1" customHeight="1" outlineLevel="1">
      <c r="A4216" s="453"/>
      <c r="C4216" s="51"/>
      <c r="D4216" s="4295"/>
      <c r="E4216" s="4295"/>
      <c r="F4216" s="4347" t="str">
        <f t="shared" si="371"/>
        <v>ASHP-SEER21-Replace_CAC_ElectricHeat_ER2_MF_CompE</v>
      </c>
      <c r="G4216" s="4347"/>
      <c r="H4216" s="4347"/>
      <c r="I4216" s="4347"/>
      <c r="J4216" s="3471" t="str">
        <f t="shared" si="372"/>
        <v>353601_2024_12_</v>
      </c>
      <c r="K4216" s="2894"/>
      <c r="L4216" s="3221"/>
      <c r="M4216" s="3497"/>
      <c r="P4216" s="261"/>
      <c r="Q4216" s="209"/>
      <c r="R4216" s="261"/>
      <c r="S4216" s="52"/>
      <c r="T4216" s="181"/>
      <c r="U4216" s="52"/>
      <c r="V4216" s="4295"/>
      <c r="W4216" s="163"/>
      <c r="X4216" s="166"/>
      <c r="Y4216" s="166"/>
      <c r="Z4216" s="163"/>
      <c r="AA4216" s="163"/>
      <c r="AB4216" s="166"/>
      <c r="AC4216" s="2894"/>
      <c r="AD4216" s="2894"/>
      <c r="AE4216" s="2894"/>
      <c r="AF4216" s="2236" t="str">
        <f t="shared" si="370"/>
        <v/>
      </c>
      <c r="AG4216" s="241"/>
      <c r="DG4216" s="573"/>
      <c r="DH4216" s="159"/>
      <c r="DI4216" s="1091"/>
      <c r="DJ4216" s="1187"/>
    </row>
    <row r="4217" spans="1:114" ht="14.65" hidden="1" customHeight="1" outlineLevel="1">
      <c r="A4217" s="453"/>
      <c r="C4217" s="51"/>
      <c r="D4217" s="4295"/>
      <c r="E4217" s="4295"/>
      <c r="F4217" s="4347" t="str">
        <f t="shared" si="371"/>
        <v>ASHP-SEER21-Replace_CAC_ElectricHeat_ER2_MF_CompE</v>
      </c>
      <c r="G4217" s="4347"/>
      <c r="H4217" s="4347"/>
      <c r="I4217" s="4347"/>
      <c r="J4217" s="3471" t="str">
        <f t="shared" si="372"/>
        <v>353601_2024_12_</v>
      </c>
      <c r="K4217" s="2894"/>
      <c r="L4217" s="3221"/>
      <c r="M4217" s="3497"/>
      <c r="P4217" s="261"/>
      <c r="Q4217" s="209"/>
      <c r="R4217" s="261"/>
      <c r="S4217" s="52"/>
      <c r="T4217" s="181"/>
      <c r="U4217" s="52"/>
      <c r="V4217" s="4295"/>
      <c r="W4217" s="163"/>
      <c r="X4217" s="166"/>
      <c r="Y4217" s="166"/>
      <c r="Z4217" s="163"/>
      <c r="AA4217" s="163"/>
      <c r="AB4217" s="166"/>
      <c r="AC4217" s="2894"/>
      <c r="AD4217" s="2894"/>
      <c r="AE4217" s="2894"/>
      <c r="AF4217" s="2236" t="str">
        <f t="shared" si="370"/>
        <v/>
      </c>
      <c r="AG4217" s="241"/>
      <c r="DG4217" s="573"/>
      <c r="DH4217" s="159"/>
      <c r="DI4217" s="1091"/>
      <c r="DJ4217" s="1187"/>
    </row>
    <row r="4218" spans="1:114" ht="14.65" hidden="1" customHeight="1" outlineLevel="1">
      <c r="A4218" s="453"/>
      <c r="C4218" s="51"/>
      <c r="D4218" s="4295"/>
      <c r="E4218" s="4295"/>
      <c r="F4218" s="4347" t="str">
        <f t="shared" si="371"/>
        <v>ASHP-SEER21-Replace_CAC_NonElectricHeat_ER1_MF</v>
      </c>
      <c r="G4218" s="4347"/>
      <c r="H4218" s="4347"/>
      <c r="I4218" s="4347"/>
      <c r="J4218" s="3471" t="str">
        <f t="shared" si="372"/>
        <v>353610_2024_12_</v>
      </c>
      <c r="K4218" s="3496">
        <f>((S$1919+L4218*T$1919)-((S$1926+L4218*T$1926)*S$1931))*VLOOKUP(J4218,$J$4424:$K$4467,2,FALSE)</f>
        <v>515.05569863275787</v>
      </c>
      <c r="L4218" s="3221">
        <f>VLOOKUP(J4218,$J$1914:$L$2106,3,FALSE)*M4218</f>
        <v>2.0150000000000001</v>
      </c>
      <c r="M4218" s="3497">
        <f>VLOOKUP(J4218,$J$3458:$K$3650,2,FALSE)</f>
        <v>0.65</v>
      </c>
      <c r="N4218" s="553"/>
      <c r="P4218" s="261"/>
      <c r="Q4218" s="209"/>
      <c r="R4218" s="261"/>
      <c r="S4218" s="52"/>
      <c r="T4218" s="181"/>
      <c r="U4218" s="52"/>
      <c r="V4218" s="4295"/>
      <c r="W4218" s="163"/>
      <c r="X4218" s="166"/>
      <c r="Y4218" s="166"/>
      <c r="Z4218" s="163"/>
      <c r="AA4218" s="163"/>
      <c r="AB4218" s="166"/>
      <c r="AC4218" s="2467">
        <v>2171.3844012161662</v>
      </c>
      <c r="AD4218" s="2894">
        <v>2171.3844012161662</v>
      </c>
      <c r="AE4218" s="2467">
        <v>2239.6470361368501</v>
      </c>
      <c r="AF4218" s="2236">
        <f t="shared" ref="AF4218:AF4281" si="373">IF(K4218&lt;&gt;"",K4218,"")</f>
        <v>515.05569863275787</v>
      </c>
      <c r="AG4218" s="241"/>
      <c r="DG4218" s="573"/>
      <c r="DH4218" s="159"/>
      <c r="DI4218" s="1091"/>
      <c r="DJ4218" s="1187"/>
    </row>
    <row r="4219" spans="1:114" ht="14.65" hidden="1" customHeight="1" outlineLevel="1">
      <c r="A4219" s="453"/>
      <c r="C4219" s="51"/>
      <c r="D4219" s="4295"/>
      <c r="E4219" s="4295"/>
      <c r="F4219" s="4347" t="str">
        <f t="shared" si="371"/>
        <v>ASHP-SEER21-Replace_CAC_NonElectricHeat_ER1_MF</v>
      </c>
      <c r="G4219" s="4347"/>
      <c r="H4219" s="4347"/>
      <c r="I4219" s="4347"/>
      <c r="J4219" s="3471" t="str">
        <f t="shared" si="372"/>
        <v>353610_2024_12_</v>
      </c>
      <c r="K4219" s="2894"/>
      <c r="L4219" s="3221"/>
      <c r="M4219" s="3497"/>
      <c r="P4219" s="261"/>
      <c r="Q4219" s="209"/>
      <c r="R4219" s="261"/>
      <c r="S4219" s="52"/>
      <c r="T4219" s="181"/>
      <c r="U4219" s="52"/>
      <c r="V4219" s="4295"/>
      <c r="W4219" s="163"/>
      <c r="X4219" s="166"/>
      <c r="Y4219" s="166"/>
      <c r="Z4219" s="163"/>
      <c r="AA4219" s="163"/>
      <c r="AB4219" s="166"/>
      <c r="AC4219" s="2894"/>
      <c r="AD4219" s="2894"/>
      <c r="AE4219" s="2894"/>
      <c r="AF4219" s="2236" t="str">
        <f t="shared" si="373"/>
        <v/>
      </c>
      <c r="AG4219" s="241"/>
      <c r="DG4219" s="573"/>
      <c r="DH4219" s="159"/>
      <c r="DI4219" s="1091"/>
      <c r="DJ4219" s="1187"/>
    </row>
    <row r="4220" spans="1:114" ht="14.65" hidden="1" customHeight="1" outlineLevel="1">
      <c r="A4220" s="453"/>
      <c r="C4220" s="51"/>
      <c r="D4220" s="4295"/>
      <c r="E4220" s="4295"/>
      <c r="F4220" s="4347" t="str">
        <f t="shared" si="371"/>
        <v>ASHP-SEER21-Replace_CAC_NonElectricHeat_ER2_MF</v>
      </c>
      <c r="G4220" s="4347"/>
      <c r="H4220" s="4347"/>
      <c r="I4220" s="4347"/>
      <c r="J4220" s="3471" t="str">
        <f t="shared" si="372"/>
        <v>353610_2024_12_</v>
      </c>
      <c r="K4220" s="2894"/>
      <c r="L4220" s="3221"/>
      <c r="M4220" s="3497"/>
      <c r="P4220" s="261"/>
      <c r="Q4220" s="209"/>
      <c r="R4220" s="261"/>
      <c r="S4220" s="52"/>
      <c r="T4220" s="181"/>
      <c r="U4220" s="52"/>
      <c r="V4220" s="4295"/>
      <c r="W4220" s="163"/>
      <c r="X4220" s="166"/>
      <c r="Y4220" s="166"/>
      <c r="Z4220" s="163"/>
      <c r="AA4220" s="163"/>
      <c r="AB4220" s="166"/>
      <c r="AC4220" s="2894"/>
      <c r="AD4220" s="2894"/>
      <c r="AE4220" s="2894"/>
      <c r="AF4220" s="2236" t="str">
        <f t="shared" si="373"/>
        <v/>
      </c>
      <c r="AG4220" s="241"/>
      <c r="DG4220" s="573"/>
      <c r="DH4220" s="159"/>
      <c r="DI4220" s="1091"/>
      <c r="DJ4220" s="1187"/>
    </row>
    <row r="4221" spans="1:114" ht="14.65" hidden="1" customHeight="1" outlineLevel="1">
      <c r="A4221" s="453"/>
      <c r="C4221" s="51"/>
      <c r="D4221" s="4295"/>
      <c r="E4221" s="4295"/>
      <c r="F4221" s="4347" t="str">
        <f t="shared" si="371"/>
        <v>ASHP-SEER21-Replace_CAC_NonElectricHeat_ER2_MF</v>
      </c>
      <c r="G4221" s="4347"/>
      <c r="H4221" s="4347"/>
      <c r="I4221" s="4347"/>
      <c r="J4221" s="3471" t="str">
        <f t="shared" si="372"/>
        <v>353610_2024_12_</v>
      </c>
      <c r="K4221" s="2894"/>
      <c r="L4221" s="3221"/>
      <c r="M4221" s="3497"/>
      <c r="P4221" s="261"/>
      <c r="Q4221" s="209"/>
      <c r="R4221" s="261"/>
      <c r="S4221" s="52"/>
      <c r="T4221" s="181"/>
      <c r="U4221" s="52"/>
      <c r="V4221" s="4295"/>
      <c r="W4221" s="163"/>
      <c r="X4221" s="166"/>
      <c r="Y4221" s="166"/>
      <c r="Z4221" s="163"/>
      <c r="AA4221" s="163"/>
      <c r="AB4221" s="166"/>
      <c r="AC4221" s="2894"/>
      <c r="AD4221" s="2894"/>
      <c r="AE4221" s="2894"/>
      <c r="AF4221" s="2236" t="str">
        <f t="shared" si="373"/>
        <v/>
      </c>
      <c r="AG4221" s="241"/>
      <c r="DG4221" s="573"/>
      <c r="DH4221" s="159"/>
      <c r="DI4221" s="1091"/>
      <c r="DJ4221" s="1187"/>
    </row>
    <row r="4222" spans="1:114" ht="14.65" hidden="1" customHeight="1" outlineLevel="1">
      <c r="A4222" s="453"/>
      <c r="C4222" s="51"/>
      <c r="D4222" s="4295"/>
      <c r="E4222" s="4295"/>
      <c r="F4222" s="4347" t="str">
        <f t="shared" si="371"/>
        <v>ASHP-SEER21-Replace_CAC_NonElectricHeat_ER1_MF_CompE</v>
      </c>
      <c r="G4222" s="4347"/>
      <c r="H4222" s="4347"/>
      <c r="I4222" s="4347"/>
      <c r="J4222" s="3471" t="str">
        <f t="shared" si="372"/>
        <v>353611_2024_12_</v>
      </c>
      <c r="K4222" s="3496">
        <f>((S$1919+L4222*T$1919)-((S$1926+L4222*T$1926)*S$1931))*VLOOKUP(J4222,$J$4424:$K$4467,2,FALSE)</f>
        <v>954.04879087450979</v>
      </c>
      <c r="L4222" s="3221">
        <f>VLOOKUP(J4222,$J$1914:$L$2106,3,FALSE)*M4222</f>
        <v>2.0150000000000001</v>
      </c>
      <c r="M4222" s="3497">
        <f>VLOOKUP(J4222,$J$3458:$K$3650,2,FALSE)</f>
        <v>0.65</v>
      </c>
      <c r="N4222" s="553"/>
      <c r="P4222" s="261"/>
      <c r="Q4222" s="209"/>
      <c r="R4222" s="261"/>
      <c r="S4222" s="52"/>
      <c r="T4222" s="181"/>
      <c r="U4222" s="52"/>
      <c r="V4222" s="4295"/>
      <c r="W4222" s="163"/>
      <c r="X4222" s="166"/>
      <c r="Y4222" s="166"/>
      <c r="Z4222" s="163"/>
      <c r="AA4222" s="163"/>
      <c r="AB4222" s="166"/>
      <c r="AC4222" s="2467">
        <v>2171.3844012161662</v>
      </c>
      <c r="AD4222" s="2894">
        <v>2171.3844012161662</v>
      </c>
      <c r="AE4222" s="2467">
        <v>2239.6470361368501</v>
      </c>
      <c r="AF4222" s="2236">
        <f t="shared" si="373"/>
        <v>954.04879087450979</v>
      </c>
      <c r="AG4222" s="241"/>
      <c r="DG4222" s="573"/>
      <c r="DH4222" s="159"/>
      <c r="DI4222" s="1091"/>
      <c r="DJ4222" s="1187"/>
    </row>
    <row r="4223" spans="1:114" ht="14.65" hidden="1" customHeight="1" outlineLevel="1">
      <c r="A4223" s="453"/>
      <c r="C4223" s="51"/>
      <c r="D4223" s="4295"/>
      <c r="E4223" s="4295"/>
      <c r="F4223" s="4347" t="str">
        <f t="shared" si="371"/>
        <v>ASHP-SEER21-Replace_CAC_NonElectricHeat_ER1_MF_CompE</v>
      </c>
      <c r="G4223" s="4347"/>
      <c r="H4223" s="4347"/>
      <c r="I4223" s="4347"/>
      <c r="J4223" s="3471" t="str">
        <f t="shared" si="372"/>
        <v>353611_2024_12_</v>
      </c>
      <c r="K4223" s="2894"/>
      <c r="L4223" s="3221"/>
      <c r="M4223" s="3497"/>
      <c r="P4223" s="261"/>
      <c r="Q4223" s="209"/>
      <c r="R4223" s="261"/>
      <c r="S4223" s="52"/>
      <c r="T4223" s="181"/>
      <c r="U4223" s="52"/>
      <c r="V4223" s="4295"/>
      <c r="W4223" s="163"/>
      <c r="X4223" s="166"/>
      <c r="Y4223" s="166"/>
      <c r="Z4223" s="163"/>
      <c r="AA4223" s="163"/>
      <c r="AB4223" s="166"/>
      <c r="AC4223" s="2894"/>
      <c r="AD4223" s="2894"/>
      <c r="AE4223" s="2894"/>
      <c r="AF4223" s="2236" t="str">
        <f t="shared" si="373"/>
        <v/>
      </c>
      <c r="AG4223" s="241"/>
      <c r="DG4223" s="573"/>
      <c r="DH4223" s="159"/>
      <c r="DI4223" s="1091"/>
      <c r="DJ4223" s="1187"/>
    </row>
    <row r="4224" spans="1:114" ht="14.65" hidden="1" customHeight="1" outlineLevel="1">
      <c r="A4224" s="453"/>
      <c r="C4224" s="51"/>
      <c r="D4224" s="4295"/>
      <c r="E4224" s="4295"/>
      <c r="F4224" s="4347" t="str">
        <f t="shared" si="371"/>
        <v>ASHP-SEER21-Replace_CAC_NonElectricHeat_ER2_MF_CompE</v>
      </c>
      <c r="G4224" s="4347"/>
      <c r="H4224" s="4347"/>
      <c r="I4224" s="4347"/>
      <c r="J4224" s="3471" t="str">
        <f t="shared" si="372"/>
        <v>353611_2024_12_</v>
      </c>
      <c r="K4224" s="2894"/>
      <c r="L4224" s="3221"/>
      <c r="M4224" s="3497"/>
      <c r="P4224" s="261"/>
      <c r="Q4224" s="209"/>
      <c r="R4224" s="261"/>
      <c r="S4224" s="52"/>
      <c r="T4224" s="181"/>
      <c r="U4224" s="52"/>
      <c r="V4224" s="4295"/>
      <c r="W4224" s="163"/>
      <c r="X4224" s="166"/>
      <c r="Y4224" s="166"/>
      <c r="Z4224" s="163"/>
      <c r="AA4224" s="163"/>
      <c r="AB4224" s="166"/>
      <c r="AC4224" s="2894"/>
      <c r="AD4224" s="2894"/>
      <c r="AE4224" s="2894"/>
      <c r="AF4224" s="2236" t="str">
        <f t="shared" si="373"/>
        <v/>
      </c>
      <c r="AG4224" s="241"/>
      <c r="DG4224" s="573"/>
      <c r="DH4224" s="159"/>
      <c r="DI4224" s="1091"/>
      <c r="DJ4224" s="1187"/>
    </row>
    <row r="4225" spans="1:114" ht="14.65" hidden="1" customHeight="1" outlineLevel="1">
      <c r="A4225" s="453"/>
      <c r="C4225" s="51"/>
      <c r="D4225" s="4295"/>
      <c r="E4225" s="4295"/>
      <c r="F4225" s="4347" t="str">
        <f t="shared" si="371"/>
        <v>ASHP-SEER21-Replace_CAC_NonElectricHeat_ER2_MF_CompE</v>
      </c>
      <c r="G4225" s="4347"/>
      <c r="H4225" s="4347"/>
      <c r="I4225" s="4347"/>
      <c r="J4225" s="3471" t="str">
        <f t="shared" si="372"/>
        <v>353611_2024_12_</v>
      </c>
      <c r="K4225" s="2894"/>
      <c r="L4225" s="3221"/>
      <c r="M4225" s="3497"/>
      <c r="P4225" s="261"/>
      <c r="Q4225" s="209"/>
      <c r="R4225" s="261"/>
      <c r="S4225" s="52"/>
      <c r="T4225" s="181"/>
      <c r="U4225" s="52"/>
      <c r="V4225" s="4295"/>
      <c r="W4225" s="163"/>
      <c r="X4225" s="166"/>
      <c r="Y4225" s="166"/>
      <c r="Z4225" s="163"/>
      <c r="AA4225" s="163"/>
      <c r="AB4225" s="166"/>
      <c r="AC4225" s="2894"/>
      <c r="AD4225" s="2894"/>
      <c r="AE4225" s="2894"/>
      <c r="AF4225" s="2236" t="str">
        <f t="shared" si="373"/>
        <v/>
      </c>
      <c r="AG4225" s="241"/>
      <c r="DG4225" s="573"/>
      <c r="DH4225" s="159"/>
      <c r="DI4225" s="1091"/>
      <c r="DJ4225" s="1187"/>
    </row>
    <row r="4226" spans="1:114" ht="14.65" hidden="1" customHeight="1" outlineLevel="1">
      <c r="A4226" s="453"/>
      <c r="C4226" s="51"/>
      <c r="D4226" s="4295"/>
      <c r="E4226" s="4295"/>
      <c r="F4226" s="4307" t="str">
        <f t="shared" si="371"/>
        <v>ASHP-SEER21-Replace_CAC_ElectricHeat_ROF_SF</v>
      </c>
      <c r="G4226" s="4307"/>
      <c r="H4226" s="4307"/>
      <c r="I4226" s="4307"/>
      <c r="J4226" s="1029" t="str">
        <f t="shared" si="372"/>
        <v>353650_2024_12_</v>
      </c>
      <c r="K4226" s="1752">
        <f>(S$1919+L4226*T$1919)-(S$1924+L4226*T$1924)</f>
        <v>4678.9696970312507</v>
      </c>
      <c r="L4226" s="47">
        <f>VLOOKUP(J4226,$J$1914:$L$2106,3,FALSE)*M4226</f>
        <v>3.4699494950520831</v>
      </c>
      <c r="M4226" s="1743">
        <f>VLOOKUP(J4226,$J$3458:$K$3650,2,FALSE)</f>
        <v>1</v>
      </c>
      <c r="N4226" s="553"/>
      <c r="P4226" s="261"/>
      <c r="Q4226" s="209"/>
      <c r="R4226" s="261"/>
      <c r="S4226" s="52"/>
      <c r="T4226" s="181"/>
      <c r="U4226" s="52"/>
      <c r="V4226" s="4295"/>
      <c r="W4226" s="163">
        <v>3712</v>
      </c>
      <c r="X4226" s="166">
        <v>5407.758719999998</v>
      </c>
      <c r="Y4226" s="166">
        <v>1160</v>
      </c>
      <c r="Z4226" s="163">
        <v>1160</v>
      </c>
      <c r="AA4226" s="163">
        <v>1160</v>
      </c>
      <c r="AB4226" s="166">
        <v>1689.9245999999991</v>
      </c>
      <c r="AC4226" s="163">
        <v>1689.9245999999991</v>
      </c>
      <c r="AD4226" s="163">
        <v>1689.9245999999991</v>
      </c>
      <c r="AE4226" s="163">
        <v>1689.9245999999991</v>
      </c>
      <c r="AF4226" s="271">
        <f t="shared" si="373"/>
        <v>4678.9696970312507</v>
      </c>
      <c r="AG4226" s="241"/>
      <c r="DG4226" s="573"/>
      <c r="DH4226" s="159"/>
      <c r="DI4226" s="1091"/>
      <c r="DJ4226" s="1187"/>
    </row>
    <row r="4227" spans="1:114" ht="14.65" hidden="1" customHeight="1" outlineLevel="1">
      <c r="A4227" s="453"/>
      <c r="C4227" s="51"/>
      <c r="D4227" s="4295"/>
      <c r="E4227" s="4295"/>
      <c r="F4227" s="4307" t="str">
        <f t="shared" si="371"/>
        <v>ASHP-SEER21-Replace_CAC_ElectricHeat_ROF_SF</v>
      </c>
      <c r="G4227" s="4307"/>
      <c r="H4227" s="4307"/>
      <c r="I4227" s="4307"/>
      <c r="J4227" s="1029" t="str">
        <f t="shared" si="372"/>
        <v>353650_2024_12_</v>
      </c>
      <c r="K4227" s="163"/>
      <c r="L4227" s="47" t="str">
        <f>IF(K4227&gt;0,VLOOKUP(J4227,$J$1914:$L$2106,3,FALSE),"")</f>
        <v/>
      </c>
      <c r="M4227" s="1743" t="str">
        <f>IF(K4227&gt;0,VLOOKUP(J4227,$J$3458:$K$3650,2,FALSE),"")</f>
        <v/>
      </c>
      <c r="P4227" s="261"/>
      <c r="Q4227" s="209"/>
      <c r="R4227" s="261"/>
      <c r="S4227" s="52"/>
      <c r="T4227" s="181"/>
      <c r="U4227" s="52"/>
      <c r="V4227" s="4295"/>
      <c r="W4227" s="163"/>
      <c r="X4227" s="166"/>
      <c r="Y4227" s="166"/>
      <c r="Z4227" s="163"/>
      <c r="AA4227" s="163"/>
      <c r="AB4227" s="166"/>
      <c r="AC4227" s="163"/>
      <c r="AD4227" s="163"/>
      <c r="AE4227" s="163"/>
      <c r="AF4227" s="271" t="str">
        <f t="shared" si="373"/>
        <v/>
      </c>
      <c r="AG4227" s="241"/>
      <c r="DG4227" s="573"/>
      <c r="DH4227" s="159"/>
      <c r="DI4227" s="1091"/>
      <c r="DJ4227" s="1187"/>
    </row>
    <row r="4228" spans="1:114" ht="14.65" hidden="1" customHeight="1" outlineLevel="1">
      <c r="A4228" s="453"/>
      <c r="C4228" s="51"/>
      <c r="D4228" s="4295"/>
      <c r="E4228" s="4295"/>
      <c r="F4228" s="4307" t="str">
        <f t="shared" si="371"/>
        <v>ASHP-SEER21-Replace_CAC_NonElectricHeat_ROF_SF</v>
      </c>
      <c r="G4228" s="4307"/>
      <c r="H4228" s="4307"/>
      <c r="I4228" s="4307"/>
      <c r="J4228" s="1029" t="str">
        <f t="shared" si="372"/>
        <v>353660_2024_12_</v>
      </c>
      <c r="K4228" s="1752">
        <f>((S$1919+L4228*T$1919)-(S$1924+L4228*T$1924))*VLOOKUP(J4228,$J$4424:$K$4467,2,FALSE)</f>
        <v>343.17059134232289</v>
      </c>
      <c r="L4228" s="47">
        <f>VLOOKUP(J4228,$J$1914:$L$2106,3,FALSE)*M4228</f>
        <v>3.4699494950520831</v>
      </c>
      <c r="M4228" s="1743">
        <f>VLOOKUP(J4228,$J$3458:$K$3650,2,FALSE)</f>
        <v>1</v>
      </c>
      <c r="N4228" s="553"/>
      <c r="P4228" s="261"/>
      <c r="Q4228" s="209"/>
      <c r="R4228" s="261"/>
      <c r="S4228" s="52"/>
      <c r="T4228" s="181"/>
      <c r="U4228" s="52"/>
      <c r="V4228" s="4295"/>
      <c r="W4228" s="163"/>
      <c r="X4228" s="166"/>
      <c r="Y4228" s="166"/>
      <c r="Z4228" s="163"/>
      <c r="AA4228" s="163"/>
      <c r="AB4228" s="166"/>
      <c r="AC4228" s="163"/>
      <c r="AD4228" s="166">
        <v>1689.9245999999991</v>
      </c>
      <c r="AE4228" s="163">
        <v>1689.9245999999991</v>
      </c>
      <c r="AF4228" s="271">
        <f t="shared" si="373"/>
        <v>343.17059134232289</v>
      </c>
      <c r="AG4228" s="241"/>
      <c r="DG4228" s="573"/>
      <c r="DH4228" s="159"/>
      <c r="DI4228" s="1091"/>
      <c r="DJ4228" s="1187"/>
    </row>
    <row r="4229" spans="1:114" ht="14.65" hidden="1" customHeight="1" outlineLevel="1">
      <c r="A4229" s="453"/>
      <c r="C4229" s="51"/>
      <c r="D4229" s="4295"/>
      <c r="E4229" s="4295"/>
      <c r="F4229" s="4307" t="str">
        <f t="shared" si="371"/>
        <v>ASHP-SEER21-Replace_CAC_NonElectricHeat_ROF_SF</v>
      </c>
      <c r="G4229" s="4307"/>
      <c r="H4229" s="4307"/>
      <c r="I4229" s="4307"/>
      <c r="J4229" s="1029" t="str">
        <f t="shared" si="372"/>
        <v>353660_2024_12_</v>
      </c>
      <c r="K4229" s="163"/>
      <c r="L4229" s="47" t="str">
        <f>IF(K4229&gt;0,VLOOKUP(J4229,$J$1914:$L$2106,3,FALSE),"")</f>
        <v/>
      </c>
      <c r="M4229" s="1743" t="str">
        <f>IF(K4229&gt;0,VLOOKUP(J4229,$J$3458:$K$3650,2,FALSE),"")</f>
        <v/>
      </c>
      <c r="P4229" s="261"/>
      <c r="Q4229" s="209"/>
      <c r="R4229" s="261"/>
      <c r="S4229" s="52"/>
      <c r="T4229" s="181"/>
      <c r="U4229" s="52"/>
      <c r="V4229" s="4295"/>
      <c r="W4229" s="163"/>
      <c r="X4229" s="166"/>
      <c r="Y4229" s="166"/>
      <c r="Z4229" s="163"/>
      <c r="AA4229" s="163"/>
      <c r="AB4229" s="166"/>
      <c r="AC4229" s="163"/>
      <c r="AD4229" s="163"/>
      <c r="AE4229" s="163"/>
      <c r="AF4229" s="271" t="str">
        <f t="shared" si="373"/>
        <v/>
      </c>
      <c r="AG4229" s="241"/>
      <c r="DG4229" s="573"/>
      <c r="DH4229" s="159"/>
      <c r="DI4229" s="1091"/>
      <c r="DJ4229" s="1187"/>
    </row>
    <row r="4230" spans="1:114" ht="14.65" hidden="1" customHeight="1" outlineLevel="1">
      <c r="A4230" s="453"/>
      <c r="C4230" s="51"/>
      <c r="D4230" s="4295"/>
      <c r="E4230" s="4295"/>
      <c r="F4230" s="4347" t="str">
        <f t="shared" ref="F4230:F4293" si="374">E1700</f>
        <v>ASHP-SEER21+-Replace_CAC_ElectricHeat_ROF_MF</v>
      </c>
      <c r="G4230" s="4347"/>
      <c r="H4230" s="4347"/>
      <c r="I4230" s="4347"/>
      <c r="J4230" s="3471" t="str">
        <f t="shared" ref="J4230:J4293" si="375">C1700</f>
        <v>353700_2024_12_</v>
      </c>
      <c r="K4230" s="3496">
        <f>(S$1919+L4230*T$1919)-(S$1924+L4230*T$1924)</f>
        <v>3845</v>
      </c>
      <c r="L4230" s="3221">
        <f>VLOOKUP(J4230,$J$1914:$L$2106,3,FALSE)*M4230</f>
        <v>2.08</v>
      </c>
      <c r="M4230" s="3497">
        <f>VLOOKUP(J4230,$J$3458:$K$3650,2,FALSE)</f>
        <v>0.65</v>
      </c>
      <c r="N4230" s="553"/>
      <c r="P4230" s="261"/>
      <c r="Q4230" s="209"/>
      <c r="R4230" s="261"/>
      <c r="S4230" s="52"/>
      <c r="T4230" s="181"/>
      <c r="U4230" s="52"/>
      <c r="V4230" s="4295"/>
      <c r="W4230" s="2894">
        <v>3712</v>
      </c>
      <c r="X4230" s="2467">
        <v>3515.0431679999988</v>
      </c>
      <c r="Y4230" s="2467">
        <v>1160</v>
      </c>
      <c r="Z4230" s="2894">
        <v>1160</v>
      </c>
      <c r="AA4230" s="2894">
        <v>1160</v>
      </c>
      <c r="AB4230" s="2467">
        <v>1689.9245999999991</v>
      </c>
      <c r="AC4230" s="2894">
        <v>1689.9245999999991</v>
      </c>
      <c r="AD4230" s="2894">
        <v>1689.9245999999991</v>
      </c>
      <c r="AE4230" s="2894">
        <v>1689.9245999999991</v>
      </c>
      <c r="AF4230" s="2236">
        <f t="shared" si="373"/>
        <v>3845</v>
      </c>
      <c r="AG4230" s="241"/>
      <c r="DG4230" s="573"/>
      <c r="DH4230" s="159"/>
      <c r="DI4230" s="1091"/>
      <c r="DJ4230" s="1187"/>
    </row>
    <row r="4231" spans="1:114" ht="14.65" hidden="1" customHeight="1" outlineLevel="1">
      <c r="A4231" s="453"/>
      <c r="C4231" s="51"/>
      <c r="D4231" s="4295"/>
      <c r="E4231" s="4295"/>
      <c r="F4231" s="4347" t="str">
        <f t="shared" si="374"/>
        <v>ASHP-SEER21+-Replace_CAC_ElectricHeat_ROF_MF</v>
      </c>
      <c r="G4231" s="4347"/>
      <c r="H4231" s="4347"/>
      <c r="I4231" s="4347"/>
      <c r="J4231" s="3471" t="str">
        <f t="shared" si="375"/>
        <v>353700_2024_12_</v>
      </c>
      <c r="K4231" s="2894"/>
      <c r="L4231" s="3221" t="str">
        <f>IF(K4231&gt;0,VLOOKUP(J4231,$J$1914:$L$2106,3,FALSE),"")</f>
        <v/>
      </c>
      <c r="M4231" s="3497" t="str">
        <f>IF(K4231&gt;0,VLOOKUP(J4231,$J$3458:$K$3650,2,FALSE),"")</f>
        <v/>
      </c>
      <c r="P4231" s="261"/>
      <c r="Q4231" s="209"/>
      <c r="R4231" s="261"/>
      <c r="S4231" s="52"/>
      <c r="T4231" s="181"/>
      <c r="U4231" s="52"/>
      <c r="V4231" s="4295"/>
      <c r="W4231" s="2894"/>
      <c r="X4231" s="2467"/>
      <c r="Y4231" s="2467"/>
      <c r="Z4231" s="2894"/>
      <c r="AA4231" s="2894"/>
      <c r="AB4231" s="2467"/>
      <c r="AC4231" s="2894"/>
      <c r="AD4231" s="2894"/>
      <c r="AE4231" s="2894"/>
      <c r="AF4231" s="2236" t="str">
        <f t="shared" si="373"/>
        <v/>
      </c>
      <c r="AG4231" s="241"/>
      <c r="DG4231" s="573"/>
      <c r="DH4231" s="159"/>
      <c r="DI4231" s="1091"/>
      <c r="DJ4231" s="1187"/>
    </row>
    <row r="4232" spans="1:114" ht="14.65" hidden="1" customHeight="1" outlineLevel="1">
      <c r="A4232" s="453"/>
      <c r="C4232" s="51"/>
      <c r="D4232" s="4295"/>
      <c r="E4232" s="4295"/>
      <c r="F4232" s="4347" t="str">
        <f t="shared" si="374"/>
        <v>ASHP-SEER21+-Replace_CAC_ElectricHeat_ROF_MF_CompE</v>
      </c>
      <c r="G4232" s="4347"/>
      <c r="H4232" s="4347"/>
      <c r="I4232" s="4347"/>
      <c r="J4232" s="3471" t="str">
        <f t="shared" si="375"/>
        <v>353701_2024_12_</v>
      </c>
      <c r="K4232" s="3496">
        <f>(S$1919+L4232*T$1919)-(S$1924+L4232*T$1924)</f>
        <v>3845</v>
      </c>
      <c r="L4232" s="3221">
        <f>VLOOKUP(J4232,$J$1914:$L$2106,3,FALSE)*M4232</f>
        <v>2.08</v>
      </c>
      <c r="M4232" s="3497">
        <f>VLOOKUP(J4232,$J$3458:$K$3650,2,FALSE)</f>
        <v>0.65</v>
      </c>
      <c r="N4232" s="553"/>
      <c r="P4232" s="261"/>
      <c r="Q4232" s="209"/>
      <c r="R4232" s="261"/>
      <c r="S4232" s="52"/>
      <c r="T4232" s="181"/>
      <c r="U4232" s="52"/>
      <c r="V4232" s="4295"/>
      <c r="W4232" s="2894"/>
      <c r="X4232" s="2467"/>
      <c r="Y4232" s="2467"/>
      <c r="Z4232" s="2894"/>
      <c r="AA4232" s="2894"/>
      <c r="AB4232" s="2467"/>
      <c r="AC4232" s="2467">
        <v>1689.9245999999991</v>
      </c>
      <c r="AD4232" s="2894">
        <v>1689.9245999999991</v>
      </c>
      <c r="AE4232" s="2894">
        <v>1689.9245999999991</v>
      </c>
      <c r="AF4232" s="2236">
        <f t="shared" si="373"/>
        <v>3845</v>
      </c>
      <c r="AG4232" s="241"/>
      <c r="DG4232" s="573"/>
      <c r="DH4232" s="159"/>
      <c r="DI4232" s="1091"/>
      <c r="DJ4232" s="1187"/>
    </row>
    <row r="4233" spans="1:114" ht="14.65" hidden="1" customHeight="1" outlineLevel="1">
      <c r="A4233" s="453"/>
      <c r="C4233" s="51"/>
      <c r="D4233" s="4295"/>
      <c r="E4233" s="4295"/>
      <c r="F4233" s="4347" t="str">
        <f t="shared" si="374"/>
        <v>ASHP-SEER21+-Replace_CAC_ElectricHeat_ROF_MF_CompE</v>
      </c>
      <c r="G4233" s="4347"/>
      <c r="H4233" s="4347"/>
      <c r="I4233" s="4347"/>
      <c r="J4233" s="3471" t="str">
        <f t="shared" si="375"/>
        <v>353701_2024_12_</v>
      </c>
      <c r="K4233" s="2894"/>
      <c r="L4233" s="3221"/>
      <c r="M4233" s="3497"/>
      <c r="P4233" s="261"/>
      <c r="Q4233" s="209"/>
      <c r="R4233" s="261"/>
      <c r="S4233" s="52"/>
      <c r="T4233" s="181"/>
      <c r="U4233" s="52"/>
      <c r="V4233" s="4295"/>
      <c r="W4233" s="2894"/>
      <c r="X4233" s="2467"/>
      <c r="Y4233" s="2467"/>
      <c r="Z4233" s="2894"/>
      <c r="AA4233" s="2894"/>
      <c r="AB4233" s="2467"/>
      <c r="AC4233" s="2894"/>
      <c r="AD4233" s="2894"/>
      <c r="AE4233" s="2894"/>
      <c r="AF4233" s="2236" t="str">
        <f t="shared" si="373"/>
        <v/>
      </c>
      <c r="AG4233" s="241"/>
      <c r="DG4233" s="573"/>
      <c r="DH4233" s="159"/>
      <c r="DI4233" s="1091"/>
      <c r="DJ4233" s="1187"/>
    </row>
    <row r="4234" spans="1:114" ht="14.65" hidden="1" customHeight="1" outlineLevel="1">
      <c r="A4234" s="453"/>
      <c r="C4234" s="51"/>
      <c r="D4234" s="4295"/>
      <c r="E4234" s="4295"/>
      <c r="F4234" s="4347" t="str">
        <f t="shared" si="374"/>
        <v>ASHP-SEER21+-Replace_CAC_NonElectricHeat_ROF_MF</v>
      </c>
      <c r="G4234" s="4347"/>
      <c r="H4234" s="4347"/>
      <c r="I4234" s="4347"/>
      <c r="J4234" s="3471" t="str">
        <f t="shared" si="375"/>
        <v>353710_2024_12_</v>
      </c>
      <c r="K4234" s="3496">
        <f>((S$1919+L4234*T$1919)-(S$1924+L4234*T$1924))*VLOOKUP(J4234,$J$4424:$K$4467,2,FALSE)</f>
        <v>293.03837247121572</v>
      </c>
      <c r="L4234" s="3221">
        <f>VLOOKUP(J4234,$J$1914:$L$2106,3,FALSE)*M4234</f>
        <v>2.08</v>
      </c>
      <c r="M4234" s="3497">
        <f>VLOOKUP(J4234,$J$3458:$K$3650,2,FALSE)</f>
        <v>0.65</v>
      </c>
      <c r="N4234" s="553"/>
      <c r="P4234" s="261"/>
      <c r="Q4234" s="209"/>
      <c r="R4234" s="261"/>
      <c r="S4234" s="52"/>
      <c r="T4234" s="181"/>
      <c r="U4234" s="52"/>
      <c r="V4234" s="4295"/>
      <c r="W4234" s="2894"/>
      <c r="X4234" s="2467"/>
      <c r="Y4234" s="2467"/>
      <c r="Z4234" s="2894"/>
      <c r="AA4234" s="2894"/>
      <c r="AB4234" s="2467"/>
      <c r="AC4234" s="2467">
        <v>1689.9245999999991</v>
      </c>
      <c r="AD4234" s="2894">
        <v>1689.9245999999991</v>
      </c>
      <c r="AE4234" s="2894">
        <v>1689.9245999999991</v>
      </c>
      <c r="AF4234" s="2236">
        <f t="shared" si="373"/>
        <v>293.03837247121572</v>
      </c>
      <c r="AG4234" s="241"/>
      <c r="DG4234" s="573"/>
      <c r="DH4234" s="159"/>
      <c r="DI4234" s="1091"/>
      <c r="DJ4234" s="1187"/>
    </row>
    <row r="4235" spans="1:114" ht="14.65" hidden="1" customHeight="1" outlineLevel="1">
      <c r="A4235" s="453"/>
      <c r="C4235" s="51"/>
      <c r="D4235" s="4295"/>
      <c r="E4235" s="4295"/>
      <c r="F4235" s="4347" t="str">
        <f t="shared" si="374"/>
        <v>ASHP-SEER21+-Replace_CAC_NonElectricHeat_ROF_MF</v>
      </c>
      <c r="G4235" s="4347"/>
      <c r="H4235" s="4347"/>
      <c r="I4235" s="4347"/>
      <c r="J4235" s="3471" t="str">
        <f t="shared" si="375"/>
        <v>353710_2024_12_</v>
      </c>
      <c r="K4235" s="2894"/>
      <c r="L4235" s="3221"/>
      <c r="M4235" s="3497"/>
      <c r="P4235" s="261"/>
      <c r="Q4235" s="209"/>
      <c r="R4235" s="261"/>
      <c r="S4235" s="52"/>
      <c r="T4235" s="181"/>
      <c r="U4235" s="52"/>
      <c r="V4235" s="4295"/>
      <c r="W4235" s="2894"/>
      <c r="X4235" s="2467"/>
      <c r="Y4235" s="2467"/>
      <c r="Z4235" s="2894"/>
      <c r="AA4235" s="2894"/>
      <c r="AB4235" s="2467"/>
      <c r="AC4235" s="2894"/>
      <c r="AD4235" s="2894"/>
      <c r="AE4235" s="2894"/>
      <c r="AF4235" s="2236" t="str">
        <f t="shared" si="373"/>
        <v/>
      </c>
      <c r="AG4235" s="241"/>
      <c r="DG4235" s="573"/>
      <c r="DH4235" s="159"/>
      <c r="DI4235" s="1091"/>
      <c r="DJ4235" s="1187"/>
    </row>
    <row r="4236" spans="1:114" ht="14.65" hidden="1" customHeight="1" outlineLevel="1">
      <c r="A4236" s="453"/>
      <c r="C4236" s="51"/>
      <c r="D4236" s="4295"/>
      <c r="E4236" s="4295"/>
      <c r="F4236" s="4347" t="str">
        <f t="shared" si="374"/>
        <v>ASHP-SEER21+-Replace_CAC_NonElectricHeat_ROF_MF_CompE</v>
      </c>
      <c r="G4236" s="4347"/>
      <c r="H4236" s="4347"/>
      <c r="I4236" s="4347"/>
      <c r="J4236" s="3471" t="str">
        <f t="shared" si="375"/>
        <v>353711_2024_12_</v>
      </c>
      <c r="K4236" s="3496">
        <f>((S$1919+L4236*T$1919)-(S$1924+L4236*T$1924))*VLOOKUP(J4236,$J$4424:$K$4467,2,FALSE)</f>
        <v>575.44052298602253</v>
      </c>
      <c r="L4236" s="3221">
        <f>VLOOKUP(J4236,$J$1914:$L$2106,3,FALSE)*M4236</f>
        <v>2.08</v>
      </c>
      <c r="M4236" s="3497">
        <f>VLOOKUP(J4236,$J$3458:$K$3650,2,FALSE)</f>
        <v>0.65</v>
      </c>
      <c r="N4236" s="553"/>
      <c r="P4236" s="261"/>
      <c r="Q4236" s="209"/>
      <c r="R4236" s="261"/>
      <c r="S4236" s="52"/>
      <c r="T4236" s="181"/>
      <c r="U4236" s="52"/>
      <c r="V4236" s="4295"/>
      <c r="W4236" s="2894"/>
      <c r="X4236" s="2467"/>
      <c r="Y4236" s="2467"/>
      <c r="Z4236" s="2894"/>
      <c r="AA4236" s="2894"/>
      <c r="AB4236" s="2467"/>
      <c r="AC4236" s="2467">
        <v>1689.9245999999991</v>
      </c>
      <c r="AD4236" s="2894">
        <v>1689.9245999999991</v>
      </c>
      <c r="AE4236" s="2894">
        <v>1689.9245999999991</v>
      </c>
      <c r="AF4236" s="2236">
        <f t="shared" si="373"/>
        <v>575.44052298602253</v>
      </c>
      <c r="AG4236" s="241"/>
      <c r="DG4236" s="573"/>
      <c r="DH4236" s="159"/>
      <c r="DI4236" s="1091"/>
      <c r="DJ4236" s="1187"/>
    </row>
    <row r="4237" spans="1:114" ht="14.65" hidden="1" customHeight="1" outlineLevel="1">
      <c r="A4237" s="453"/>
      <c r="C4237" s="51"/>
      <c r="D4237" s="4295"/>
      <c r="E4237" s="4295"/>
      <c r="F4237" s="4347" t="str">
        <f t="shared" si="374"/>
        <v>ASHP-SEER21+-Replace_CAC_NonElectricHeat_ROF_MF_CompE</v>
      </c>
      <c r="G4237" s="4347"/>
      <c r="H4237" s="4347"/>
      <c r="I4237" s="4347"/>
      <c r="J4237" s="3471" t="str">
        <f t="shared" si="375"/>
        <v>353711_2024_12_</v>
      </c>
      <c r="K4237" s="2894"/>
      <c r="L4237" s="3221"/>
      <c r="M4237" s="3497"/>
      <c r="P4237" s="261"/>
      <c r="Q4237" s="209"/>
      <c r="R4237" s="261"/>
      <c r="S4237" s="52"/>
      <c r="T4237" s="181"/>
      <c r="U4237" s="52"/>
      <c r="V4237" s="4295"/>
      <c r="W4237" s="2894"/>
      <c r="X4237" s="2467"/>
      <c r="Y4237" s="2467"/>
      <c r="Z4237" s="2894"/>
      <c r="AA4237" s="2894"/>
      <c r="AB4237" s="2467"/>
      <c r="AC4237" s="2894"/>
      <c r="AD4237" s="2894"/>
      <c r="AE4237" s="2894"/>
      <c r="AF4237" s="2236" t="str">
        <f t="shared" si="373"/>
        <v/>
      </c>
      <c r="AG4237" s="241"/>
      <c r="DG4237" s="573"/>
      <c r="DH4237" s="159"/>
      <c r="DI4237" s="1091"/>
      <c r="DJ4237" s="1187"/>
    </row>
    <row r="4238" spans="1:114" ht="14.65" hidden="1" customHeight="1" outlineLevel="1">
      <c r="A4238" s="453"/>
      <c r="C4238" s="51"/>
      <c r="D4238" s="4295"/>
      <c r="E4238" s="4295"/>
      <c r="F4238" s="4307" t="str">
        <f t="shared" si="374"/>
        <v>ASHP-SEER17_ER1_SF</v>
      </c>
      <c r="G4238" s="4307"/>
      <c r="H4238" s="4307"/>
      <c r="I4238" s="4307"/>
      <c r="J4238" s="1029" t="str">
        <f t="shared" si="375"/>
        <v>353750_2024_12_</v>
      </c>
      <c r="K4238" s="1752">
        <f>(S$1917+L4238*T$1917)-(S$1925+L4238*T$1925)*S$1931</f>
        <v>626.73442183390762</v>
      </c>
      <c r="L4238" s="47">
        <f>VLOOKUP(J4238,$J$1914:$L$2106,3,FALSE)*M4238</f>
        <v>2.6603692243864097</v>
      </c>
      <c r="M4238" s="1743">
        <f>VLOOKUP(J4238,$J$3458:$K$3650,2,FALSE)</f>
        <v>1</v>
      </c>
      <c r="N4238" s="553"/>
      <c r="P4238" s="261"/>
      <c r="Q4238" s="209"/>
      <c r="R4238" s="261"/>
      <c r="S4238" s="52"/>
      <c r="T4238" s="181"/>
      <c r="U4238" s="52"/>
      <c r="V4238" s="4295"/>
      <c r="W4238" s="163">
        <v>3701.5757044416546</v>
      </c>
      <c r="X4238" s="166">
        <v>5090.0695373473054</v>
      </c>
      <c r="Y4238" s="166">
        <v>1509.0025568704818</v>
      </c>
      <c r="Z4238" s="163">
        <v>1509.0025568704818</v>
      </c>
      <c r="AA4238" s="163">
        <v>1509.0025568704818</v>
      </c>
      <c r="AB4238" s="166">
        <v>1512.4949598081143</v>
      </c>
      <c r="AC4238" s="166">
        <v>1423.7466093535209</v>
      </c>
      <c r="AD4238" s="166">
        <v>1425.2574866940254</v>
      </c>
      <c r="AE4238" s="166">
        <v>1449.7889087112662</v>
      </c>
      <c r="AF4238" s="271">
        <f t="shared" si="373"/>
        <v>626.73442183390762</v>
      </c>
      <c r="AG4238" s="241"/>
      <c r="DG4238" s="573"/>
      <c r="DH4238" s="159"/>
      <c r="DI4238" s="1091"/>
      <c r="DJ4238" s="1187"/>
    </row>
    <row r="4239" spans="1:114" ht="15" hidden="1" customHeight="1" outlineLevel="1">
      <c r="A4239" s="453"/>
      <c r="C4239" s="51"/>
      <c r="D4239" s="4295"/>
      <c r="E4239" s="4295"/>
      <c r="F4239" s="4307" t="str">
        <f t="shared" si="374"/>
        <v>ASHP-SEER17_ER1_SF</v>
      </c>
      <c r="G4239" s="4307"/>
      <c r="H4239" s="4307"/>
      <c r="I4239" s="4307"/>
      <c r="J4239" s="1029" t="str">
        <f t="shared" si="375"/>
        <v>353750_2024_12_</v>
      </c>
      <c r="K4239" s="163"/>
      <c r="L4239" s="47" t="str">
        <f>IF(K4239&gt;0,VLOOKUP(J4239,$J$1914:$L$2106,3,FALSE),"")</f>
        <v/>
      </c>
      <c r="M4239" s="1743" t="str">
        <f>IF(K4239&gt;0,VLOOKUP(J4239,$J$3458:$K$3650,2,FALSE),"")</f>
        <v/>
      </c>
      <c r="P4239" s="261"/>
      <c r="Q4239" s="209"/>
      <c r="R4239" s="261"/>
      <c r="S4239" s="52"/>
      <c r="T4239" s="181"/>
      <c r="U4239" s="52"/>
      <c r="V4239" s="4295"/>
      <c r="W4239" s="163"/>
      <c r="X4239" s="166"/>
      <c r="Y4239" s="166"/>
      <c r="Z4239" s="163"/>
      <c r="AA4239" s="163"/>
      <c r="AB4239" s="166"/>
      <c r="AC4239" s="163"/>
      <c r="AD4239" s="163"/>
      <c r="AE4239" s="163"/>
      <c r="AF4239" s="271" t="str">
        <f t="shared" si="373"/>
        <v/>
      </c>
      <c r="AG4239" s="241"/>
      <c r="DG4239" s="573"/>
      <c r="DH4239" s="159"/>
      <c r="DI4239" s="1091"/>
      <c r="DJ4239" s="1187"/>
    </row>
    <row r="4240" spans="1:114" ht="15" hidden="1" customHeight="1" outlineLevel="1">
      <c r="A4240" s="453"/>
      <c r="C4240" s="51"/>
      <c r="D4240" s="4295"/>
      <c r="E4240" s="4295"/>
      <c r="F4240" s="4307" t="str">
        <f t="shared" si="374"/>
        <v>ASHP-SEER17_ER2_SF</v>
      </c>
      <c r="G4240" s="4307"/>
      <c r="H4240" s="4307"/>
      <c r="I4240" s="4307"/>
      <c r="J4240" s="1029" t="str">
        <f t="shared" si="375"/>
        <v>353750_2024_12_</v>
      </c>
      <c r="K4240" s="163"/>
      <c r="L4240" s="47" t="str">
        <f>IF(K4240&gt;0,VLOOKUP(J4240,$J$1914:$L$2106,3,FALSE),"")</f>
        <v/>
      </c>
      <c r="M4240" s="1743" t="str">
        <f>IF(K4240&gt;0,VLOOKUP(J4240,$J$3458:$K$3650,2,FALSE),"")</f>
        <v/>
      </c>
      <c r="P4240" s="261"/>
      <c r="Q4240" s="209"/>
      <c r="R4240" s="261"/>
      <c r="S4240" s="52"/>
      <c r="T4240" s="181"/>
      <c r="U4240" s="52"/>
      <c r="V4240" s="4295"/>
      <c r="W4240" s="163"/>
      <c r="X4240" s="166"/>
      <c r="Y4240" s="166"/>
      <c r="Z4240" s="163"/>
      <c r="AA4240" s="163"/>
      <c r="AB4240" s="166"/>
      <c r="AC4240" s="163"/>
      <c r="AD4240" s="163"/>
      <c r="AE4240" s="163"/>
      <c r="AF4240" s="271" t="str">
        <f t="shared" si="373"/>
        <v/>
      </c>
      <c r="AG4240" s="241"/>
      <c r="DG4240" s="573"/>
      <c r="DH4240" s="159"/>
      <c r="DI4240" s="1091"/>
      <c r="DJ4240" s="1187"/>
    </row>
    <row r="4241" spans="1:114" ht="15" hidden="1" customHeight="1" outlineLevel="1">
      <c r="A4241" s="453"/>
      <c r="C4241" s="51"/>
      <c r="D4241" s="4295"/>
      <c r="E4241" s="4295"/>
      <c r="F4241" s="4307" t="str">
        <f t="shared" si="374"/>
        <v>ASHP-SEER17_ER2_SF</v>
      </c>
      <c r="G4241" s="4307"/>
      <c r="H4241" s="4307"/>
      <c r="I4241" s="4307"/>
      <c r="J4241" s="1029" t="str">
        <f t="shared" si="375"/>
        <v>353750_2024_12_</v>
      </c>
      <c r="K4241" s="163"/>
      <c r="L4241" s="47" t="str">
        <f>IF(K4241&gt;0,VLOOKUP(J4241,$J$1914:$L$2106,3,FALSE),"")</f>
        <v/>
      </c>
      <c r="M4241" s="1743" t="str">
        <f>IF(K4241&gt;0,VLOOKUP(J4241,$J$3458:$K$3650,2,FALSE),"")</f>
        <v/>
      </c>
      <c r="P4241" s="261"/>
      <c r="Q4241" s="209"/>
      <c r="R4241" s="261"/>
      <c r="S4241" s="52"/>
      <c r="T4241" s="181"/>
      <c r="U4241" s="52"/>
      <c r="V4241" s="4295"/>
      <c r="W4241" s="163"/>
      <c r="X4241" s="166"/>
      <c r="Y4241" s="166"/>
      <c r="Z4241" s="163"/>
      <c r="AA4241" s="163"/>
      <c r="AB4241" s="166"/>
      <c r="AC4241" s="163"/>
      <c r="AD4241" s="163"/>
      <c r="AE4241" s="163"/>
      <c r="AF4241" s="271" t="str">
        <f t="shared" si="373"/>
        <v/>
      </c>
      <c r="AG4241" s="241"/>
      <c r="DG4241" s="573"/>
      <c r="DH4241" s="159"/>
      <c r="DI4241" s="1091"/>
      <c r="DJ4241" s="1187"/>
    </row>
    <row r="4242" spans="1:114" ht="15" hidden="1" customHeight="1" outlineLevel="1">
      <c r="A4242" s="453"/>
      <c r="C4242" s="51"/>
      <c r="D4242" s="4295"/>
      <c r="E4242" s="4295"/>
      <c r="F4242" s="4307" t="str">
        <f t="shared" si="374"/>
        <v>ASHP-SEER17_ROF_SF</v>
      </c>
      <c r="G4242" s="4307"/>
      <c r="H4242" s="4307"/>
      <c r="I4242" s="4307"/>
      <c r="J4242" s="1029" t="str">
        <f t="shared" si="375"/>
        <v>353800_2024_12_</v>
      </c>
      <c r="K4242" s="1752">
        <f>(S$1917+L4242*T$1917)-(S$1923+L4242*T$1923)</f>
        <v>630</v>
      </c>
      <c r="L4242" s="47">
        <f>VLOOKUP(J4242,$J$1914:$L$2106,3,FALSE)*M4242</f>
        <v>3.2119969039215692</v>
      </c>
      <c r="M4242" s="1743">
        <f>VLOOKUP(J4242,$J$3458:$K$3650,2,FALSE)</f>
        <v>1</v>
      </c>
      <c r="N4242" s="553"/>
      <c r="P4242" s="261"/>
      <c r="Q4242" s="209"/>
      <c r="R4242" s="261"/>
      <c r="S4242" s="52"/>
      <c r="T4242" s="181"/>
      <c r="U4242" s="52"/>
      <c r="V4242" s="4295"/>
      <c r="W4242" s="163">
        <v>1914</v>
      </c>
      <c r="X4242" s="166">
        <v>2389.1999999999998</v>
      </c>
      <c r="Y4242" s="166">
        <v>580</v>
      </c>
      <c r="Z4242" s="163">
        <v>580</v>
      </c>
      <c r="AA4242" s="163">
        <v>580</v>
      </c>
      <c r="AB4242" s="166">
        <v>724</v>
      </c>
      <c r="AC4242" s="163">
        <v>724</v>
      </c>
      <c r="AD4242" s="163">
        <v>724</v>
      </c>
      <c r="AE4242" s="163">
        <v>724</v>
      </c>
      <c r="AF4242" s="271">
        <f t="shared" si="373"/>
        <v>630</v>
      </c>
      <c r="AG4242" s="241"/>
      <c r="DG4242" s="573"/>
      <c r="DH4242" s="159"/>
      <c r="DI4242" s="1091"/>
      <c r="DJ4242" s="1187"/>
    </row>
    <row r="4243" spans="1:114" ht="15" hidden="1" customHeight="1" outlineLevel="1">
      <c r="A4243" s="453"/>
      <c r="C4243" s="51"/>
      <c r="D4243" s="4295"/>
      <c r="E4243" s="4295"/>
      <c r="F4243" s="4307" t="str">
        <f t="shared" si="374"/>
        <v>ASHP-SEER17_ROF_SF</v>
      </c>
      <c r="G4243" s="4307"/>
      <c r="H4243" s="4307"/>
      <c r="I4243" s="4307"/>
      <c r="J4243" s="1029" t="str">
        <f t="shared" si="375"/>
        <v>353800_2024_12_</v>
      </c>
      <c r="K4243" s="163"/>
      <c r="L4243" s="47" t="str">
        <f>IF(K4243&gt;0,VLOOKUP(J4243,$J$1914:$L$2106,3,FALSE),"")</f>
        <v/>
      </c>
      <c r="M4243" s="1743" t="str">
        <f>IF(K4243&gt;0,VLOOKUP(J4243,$J$3458:$K$3650,2,FALSE),"")</f>
        <v/>
      </c>
      <c r="P4243" s="261"/>
      <c r="Q4243" s="261"/>
      <c r="R4243" s="261"/>
      <c r="S4243" s="52"/>
      <c r="T4243" s="181"/>
      <c r="U4243" s="52"/>
      <c r="V4243" s="4295"/>
      <c r="W4243" s="163"/>
      <c r="X4243" s="166"/>
      <c r="Y4243" s="166"/>
      <c r="Z4243" s="163"/>
      <c r="AA4243" s="163"/>
      <c r="AB4243" s="166"/>
      <c r="AC4243" s="163"/>
      <c r="AD4243" s="163"/>
      <c r="AE4243" s="163"/>
      <c r="AF4243" s="271" t="str">
        <f t="shared" si="373"/>
        <v/>
      </c>
      <c r="AG4243" s="241"/>
      <c r="DG4243" s="573"/>
      <c r="DH4243" s="159"/>
      <c r="DI4243" s="1091"/>
      <c r="DJ4243" s="1187"/>
    </row>
    <row r="4244" spans="1:114" ht="15" hidden="1" customHeight="1" outlineLevel="1">
      <c r="A4244" s="453"/>
      <c r="C4244" s="51"/>
      <c r="D4244" s="4295"/>
      <c r="E4244" s="4295"/>
      <c r="F4244" s="4307" t="str">
        <f t="shared" si="374"/>
        <v>ASHP-SEER18_ER1_SF</v>
      </c>
      <c r="G4244" s="4307"/>
      <c r="H4244" s="4307"/>
      <c r="I4244" s="4307"/>
      <c r="J4244" s="1029" t="str">
        <f t="shared" si="375"/>
        <v>353850_2024_12_</v>
      </c>
      <c r="K4244" s="1752">
        <f>(S$1918+L4244*T$1918)-(S$1925+L4244*T$1925)*S$1931</f>
        <v>851.83158083659146</v>
      </c>
      <c r="L4244" s="47">
        <f>VLOOKUP(J4244,$J$1914:$L$2106,3,FALSE)*M4244</f>
        <v>2.8921256722608026</v>
      </c>
      <c r="M4244" s="1743">
        <f>VLOOKUP(J4244,$J$3458:$K$3650,2,FALSE)</f>
        <v>1</v>
      </c>
      <c r="N4244" s="553"/>
      <c r="P4244" s="261"/>
      <c r="Q4244" s="261"/>
      <c r="R4244" s="261"/>
      <c r="S4244" s="52"/>
      <c r="T4244" s="181"/>
      <c r="U4244" s="52"/>
      <c r="V4244" s="4295"/>
      <c r="W4244" s="163">
        <v>4141.575704441655</v>
      </c>
      <c r="X4244" s="166">
        <v>5878.505537347306</v>
      </c>
      <c r="Y4244" s="166">
        <v>1642.3358902038149</v>
      </c>
      <c r="Z4244" s="163">
        <v>1642.3358902038149</v>
      </c>
      <c r="AA4244" s="163">
        <v>1642.3358902038149</v>
      </c>
      <c r="AB4244" s="166">
        <v>1811.1494264602443</v>
      </c>
      <c r="AC4244" s="166">
        <v>1729.9451804896671</v>
      </c>
      <c r="AD4244" s="166">
        <v>1681.5237652002679</v>
      </c>
      <c r="AE4244" s="166">
        <v>1751.9355683221515</v>
      </c>
      <c r="AF4244" s="271">
        <f t="shared" si="373"/>
        <v>851.83158083659146</v>
      </c>
      <c r="AG4244" s="241"/>
      <c r="DG4244" s="573"/>
      <c r="DH4244" s="159"/>
      <c r="DI4244" s="1091"/>
      <c r="DJ4244" s="1187"/>
    </row>
    <row r="4245" spans="1:114" ht="15" hidden="1" customHeight="1" outlineLevel="1">
      <c r="A4245" s="453"/>
      <c r="C4245" s="51"/>
      <c r="D4245" s="4295"/>
      <c r="E4245" s="4295"/>
      <c r="F4245" s="4307" t="str">
        <f t="shared" si="374"/>
        <v>ASHP-SEER18_ER1_SF</v>
      </c>
      <c r="G4245" s="4307"/>
      <c r="H4245" s="4307"/>
      <c r="I4245" s="4307"/>
      <c r="J4245" s="1029" t="str">
        <f t="shared" si="375"/>
        <v>353850_2024_12_</v>
      </c>
      <c r="K4245" s="163"/>
      <c r="L4245" s="47" t="str">
        <f>IF(K4245&gt;0,VLOOKUP(J4245,$J$1914:$L$2106,3,FALSE),"")</f>
        <v/>
      </c>
      <c r="M4245" s="1743" t="str">
        <f>IF(K4245&gt;0,VLOOKUP(J4245,$J$3458:$K$3650,2,FALSE),"")</f>
        <v/>
      </c>
      <c r="P4245" s="261"/>
      <c r="Q4245" s="261"/>
      <c r="R4245" s="261"/>
      <c r="S4245" s="52"/>
      <c r="T4245" s="181"/>
      <c r="U4245" s="52"/>
      <c r="V4245" s="4295"/>
      <c r="W4245" s="163"/>
      <c r="X4245" s="166"/>
      <c r="Y4245" s="166"/>
      <c r="Z4245" s="163"/>
      <c r="AA4245" s="163"/>
      <c r="AB4245" s="166"/>
      <c r="AC4245" s="163"/>
      <c r="AD4245" s="163"/>
      <c r="AE4245" s="163"/>
      <c r="AF4245" s="271" t="str">
        <f t="shared" si="373"/>
        <v/>
      </c>
      <c r="AG4245" s="241"/>
      <c r="DG4245" s="573"/>
      <c r="DH4245" s="159"/>
      <c r="DI4245" s="1091"/>
      <c r="DJ4245" s="1187"/>
    </row>
    <row r="4246" spans="1:114" ht="15" hidden="1" customHeight="1" outlineLevel="1">
      <c r="A4246" s="453"/>
      <c r="C4246" s="51"/>
      <c r="D4246" s="4295"/>
      <c r="E4246" s="4295"/>
      <c r="F4246" s="4307" t="str">
        <f t="shared" si="374"/>
        <v>ASHP-SEER18_ER2_SF</v>
      </c>
      <c r="G4246" s="4307"/>
      <c r="H4246" s="4307"/>
      <c r="I4246" s="4307"/>
      <c r="J4246" s="1029" t="str">
        <f t="shared" si="375"/>
        <v>353850_2024_12_</v>
      </c>
      <c r="K4246" s="163"/>
      <c r="L4246" s="47" t="str">
        <f>IF(K4246&gt;0,VLOOKUP(J4246,$J$1914:$L$2106,3,FALSE),"")</f>
        <v/>
      </c>
      <c r="M4246" s="1743" t="str">
        <f>IF(K4246&gt;0,VLOOKUP(J4246,$J$3458:$K$3650,2,FALSE),"")</f>
        <v/>
      </c>
      <c r="P4246" s="261"/>
      <c r="Q4246" s="261"/>
      <c r="R4246" s="261"/>
      <c r="S4246" s="52"/>
      <c r="T4246" s="181"/>
      <c r="U4246" s="52"/>
      <c r="V4246" s="4295"/>
      <c r="W4246" s="163"/>
      <c r="X4246" s="166"/>
      <c r="Y4246" s="166"/>
      <c r="Z4246" s="163"/>
      <c r="AA4246" s="163"/>
      <c r="AB4246" s="166"/>
      <c r="AC4246" s="163"/>
      <c r="AD4246" s="163"/>
      <c r="AE4246" s="163"/>
      <c r="AF4246" s="271" t="str">
        <f t="shared" si="373"/>
        <v/>
      </c>
      <c r="AG4246" s="241"/>
      <c r="DG4246" s="573"/>
      <c r="DH4246" s="159"/>
      <c r="DI4246" s="1091"/>
      <c r="DJ4246" s="1187"/>
    </row>
    <row r="4247" spans="1:114" ht="15" hidden="1" customHeight="1" outlineLevel="1">
      <c r="A4247" s="453"/>
      <c r="C4247" s="51"/>
      <c r="D4247" s="4295"/>
      <c r="E4247" s="4295"/>
      <c r="F4247" s="4307" t="str">
        <f t="shared" si="374"/>
        <v>ASHP-SEER18_ER2_SF</v>
      </c>
      <c r="G4247" s="4307"/>
      <c r="H4247" s="4307"/>
      <c r="I4247" s="4307"/>
      <c r="J4247" s="1029" t="str">
        <f t="shared" si="375"/>
        <v>353850_2024_12_</v>
      </c>
      <c r="K4247" s="163"/>
      <c r="L4247" s="47" t="str">
        <f>IF(K4247&gt;0,VLOOKUP(J4247,$J$1914:$L$2106,3,FALSE),"")</f>
        <v/>
      </c>
      <c r="M4247" s="1743" t="str">
        <f>IF(K4247&gt;0,VLOOKUP(J4247,$J$3458:$K$3650,2,FALSE),"")</f>
        <v/>
      </c>
      <c r="P4247" s="261"/>
      <c r="Q4247" s="261"/>
      <c r="R4247" s="261"/>
      <c r="S4247" s="52"/>
      <c r="T4247" s="181"/>
      <c r="U4247" s="52"/>
      <c r="V4247" s="4295"/>
      <c r="W4247" s="163"/>
      <c r="X4247" s="166"/>
      <c r="Y4247" s="166"/>
      <c r="Z4247" s="163"/>
      <c r="AA4247" s="163"/>
      <c r="AB4247" s="166"/>
      <c r="AC4247" s="163"/>
      <c r="AD4247" s="163"/>
      <c r="AE4247" s="163"/>
      <c r="AF4247" s="271" t="str">
        <f t="shared" si="373"/>
        <v/>
      </c>
      <c r="AG4247" s="241"/>
      <c r="DG4247" s="573"/>
      <c r="DH4247" s="159"/>
      <c r="DI4247" s="1091"/>
      <c r="DJ4247" s="1187"/>
    </row>
    <row r="4248" spans="1:114" ht="15" hidden="1" customHeight="1" outlineLevel="1">
      <c r="A4248" s="453"/>
      <c r="C4248" s="51"/>
      <c r="D4248" s="4295"/>
      <c r="E4248" s="4295"/>
      <c r="F4248" s="4307" t="str">
        <f t="shared" si="374"/>
        <v>ASHP-SEER18_ROF_SF</v>
      </c>
      <c r="G4248" s="4307"/>
      <c r="H4248" s="4307"/>
      <c r="I4248" s="4307"/>
      <c r="J4248" s="1029" t="str">
        <f t="shared" si="375"/>
        <v>353950_2024_12_</v>
      </c>
      <c r="K4248" s="1752">
        <f>(S$1918+L4248*T$1918)-(S$1923+L4248*T$1923)</f>
        <v>855</v>
      </c>
      <c r="L4248" s="47">
        <f>VLOOKUP(J4248,$J$1914:$L$2106,3,FALSE)*M4248</f>
        <v>3.0020370366666667</v>
      </c>
      <c r="M4248" s="1743">
        <f>VLOOKUP(J4248,$J$3458:$K$3650,2,FALSE)</f>
        <v>1</v>
      </c>
      <c r="N4248" s="553"/>
      <c r="P4248" s="261"/>
      <c r="Q4248" s="261"/>
      <c r="R4248" s="261"/>
      <c r="S4248" s="52"/>
      <c r="T4248" s="181"/>
      <c r="U4248" s="52"/>
      <c r="V4248" s="4295"/>
      <c r="W4248" s="163">
        <v>2354</v>
      </c>
      <c r="X4248" s="166">
        <v>3177.636</v>
      </c>
      <c r="Y4248" s="166">
        <v>713.33333333333337</v>
      </c>
      <c r="Z4248" s="163">
        <v>713.33333333333337</v>
      </c>
      <c r="AA4248" s="163">
        <v>713.33333333333337</v>
      </c>
      <c r="AB4248" s="166">
        <v>962.92000000000007</v>
      </c>
      <c r="AC4248" s="163">
        <v>962.92000000000007</v>
      </c>
      <c r="AD4248" s="163">
        <v>962.92000000000007</v>
      </c>
      <c r="AE4248" s="163">
        <v>962.92000000000007</v>
      </c>
      <c r="AF4248" s="271">
        <f t="shared" si="373"/>
        <v>855</v>
      </c>
      <c r="AG4248" s="241"/>
      <c r="DG4248" s="573"/>
      <c r="DH4248" s="159"/>
      <c r="DI4248" s="1091"/>
      <c r="DJ4248" s="1187"/>
    </row>
    <row r="4249" spans="1:114" ht="15" hidden="1" customHeight="1" outlineLevel="1">
      <c r="A4249" s="453"/>
      <c r="C4249" s="51"/>
      <c r="D4249" s="4295"/>
      <c r="E4249" s="4295"/>
      <c r="F4249" s="4307" t="str">
        <f t="shared" si="374"/>
        <v>ASHP-SEER18_ROF_SF</v>
      </c>
      <c r="G4249" s="4307"/>
      <c r="H4249" s="4307"/>
      <c r="I4249" s="4307"/>
      <c r="J4249" s="1029" t="str">
        <f t="shared" si="375"/>
        <v>353950_2024_12_</v>
      </c>
      <c r="K4249" s="163"/>
      <c r="L4249" s="47" t="str">
        <f>IF(K4249&gt;0,VLOOKUP(J4249,$J$1914:$L$2106,3,FALSE),"")</f>
        <v/>
      </c>
      <c r="M4249" s="1743" t="str">
        <f>IF(K4249&gt;0,VLOOKUP(J4249,$J$3458:$K$3650,2,FALSE),"")</f>
        <v/>
      </c>
      <c r="P4249" s="261"/>
      <c r="Q4249" s="261"/>
      <c r="R4249" s="261"/>
      <c r="S4249" s="52"/>
      <c r="T4249" s="181"/>
      <c r="U4249" s="52"/>
      <c r="V4249" s="4295"/>
      <c r="W4249" s="163"/>
      <c r="X4249" s="166"/>
      <c r="Y4249" s="166"/>
      <c r="Z4249" s="163"/>
      <c r="AA4249" s="163"/>
      <c r="AB4249" s="166"/>
      <c r="AC4249" s="163"/>
      <c r="AD4249" s="163"/>
      <c r="AE4249" s="163"/>
      <c r="AF4249" s="271" t="str">
        <f t="shared" si="373"/>
        <v/>
      </c>
      <c r="AG4249" s="241"/>
      <c r="DG4249" s="573"/>
      <c r="DH4249" s="159"/>
      <c r="DI4249" s="1091"/>
      <c r="DJ4249" s="1187"/>
    </row>
    <row r="4250" spans="1:114" ht="15" hidden="1" customHeight="1" outlineLevel="1">
      <c r="A4250" s="453"/>
      <c r="C4250" s="51"/>
      <c r="D4250" s="4295"/>
      <c r="E4250" s="4295"/>
      <c r="F4250" s="4307" t="str">
        <f t="shared" si="374"/>
        <v>ASHP-SEER19_ER1_SF</v>
      </c>
      <c r="G4250" s="4307"/>
      <c r="H4250" s="4307"/>
      <c r="I4250" s="4307"/>
      <c r="J4250" s="1029" t="str">
        <f t="shared" si="375"/>
        <v>354000_2024_12_</v>
      </c>
      <c r="K4250" s="1752">
        <f>(S$1919+L4250*T$1919)-(S$1925+L4250*T$1925)*S$1931</f>
        <v>1078.2009195105929</v>
      </c>
      <c r="L4250" s="47">
        <f>VLOOKUP(J4250,$J$1914:$L$2106,3,FALSE)*M4250</f>
        <v>3.7731209149509803</v>
      </c>
      <c r="M4250" s="1743">
        <f>VLOOKUP(J4250,$J$3458:$K$3650,2,FALSE)</f>
        <v>1</v>
      </c>
      <c r="N4250" s="553"/>
      <c r="P4250" s="261"/>
      <c r="Q4250" s="261"/>
      <c r="R4250" s="261"/>
      <c r="S4250" s="52"/>
      <c r="T4250" s="181"/>
      <c r="U4250" s="52"/>
      <c r="V4250" s="4295"/>
      <c r="W4250" s="163">
        <v>4471.575704441655</v>
      </c>
      <c r="X4250" s="166">
        <v>6672.9145373473075</v>
      </c>
      <c r="Y4250" s="166">
        <v>1742.3358902038149</v>
      </c>
      <c r="Z4250" s="163">
        <v>1742.3358902038149</v>
      </c>
      <c r="AA4250" s="163">
        <v>1742.3358902038149</v>
      </c>
      <c r="AB4250" s="166">
        <v>1992.1449598081149</v>
      </c>
      <c r="AC4250" s="166">
        <v>2159.4014664340775</v>
      </c>
      <c r="AD4250" s="166">
        <v>2105.1914618743731</v>
      </c>
      <c r="AE4250" s="166">
        <v>2233.0143777696067</v>
      </c>
      <c r="AF4250" s="271">
        <f t="shared" si="373"/>
        <v>1078.2009195105929</v>
      </c>
      <c r="AG4250" s="241"/>
      <c r="DG4250" s="573"/>
      <c r="DH4250" s="159"/>
      <c r="DI4250" s="1091"/>
      <c r="DJ4250" s="1187"/>
    </row>
    <row r="4251" spans="1:114" ht="15" hidden="1" customHeight="1" outlineLevel="1">
      <c r="A4251" s="453"/>
      <c r="C4251" s="51"/>
      <c r="D4251" s="4295"/>
      <c r="E4251" s="4295"/>
      <c r="F4251" s="4307" t="str">
        <f t="shared" si="374"/>
        <v>ASHP-SEER19_ER1_SF</v>
      </c>
      <c r="G4251" s="4307"/>
      <c r="H4251" s="4307"/>
      <c r="I4251" s="4307"/>
      <c r="J4251" s="1029" t="str">
        <f t="shared" si="375"/>
        <v>354000_2024_12_</v>
      </c>
      <c r="K4251" s="163"/>
      <c r="L4251" s="47" t="str">
        <f>IF(K4251&gt;0,VLOOKUP(J4251,$J$1914:$L$2106,3,FALSE),"")</f>
        <v/>
      </c>
      <c r="M4251" s="1743" t="str">
        <f>IF(K4251&gt;0,VLOOKUP(J4251,$J$3458:$K$3650,2,FALSE),"")</f>
        <v/>
      </c>
      <c r="P4251" s="261"/>
      <c r="Q4251" s="261"/>
      <c r="R4251" s="261"/>
      <c r="S4251" s="52"/>
      <c r="T4251" s="181"/>
      <c r="U4251" s="52"/>
      <c r="V4251" s="4295"/>
      <c r="W4251" s="163"/>
      <c r="X4251" s="166"/>
      <c r="Y4251" s="166"/>
      <c r="Z4251" s="163"/>
      <c r="AA4251" s="163"/>
      <c r="AB4251" s="166"/>
      <c r="AC4251" s="163"/>
      <c r="AD4251" s="163"/>
      <c r="AE4251" s="163"/>
      <c r="AF4251" s="271" t="str">
        <f t="shared" si="373"/>
        <v/>
      </c>
      <c r="AG4251" s="241"/>
      <c r="DG4251" s="573"/>
      <c r="DH4251" s="159"/>
      <c r="DI4251" s="1091"/>
      <c r="DJ4251" s="1187"/>
    </row>
    <row r="4252" spans="1:114" ht="15" hidden="1" customHeight="1" outlineLevel="1">
      <c r="A4252" s="453"/>
      <c r="C4252" s="51"/>
      <c r="D4252" s="4295"/>
      <c r="E4252" s="4295"/>
      <c r="F4252" s="4307" t="str">
        <f t="shared" si="374"/>
        <v>ASHP-SEER19_ER2_SF</v>
      </c>
      <c r="G4252" s="4307"/>
      <c r="H4252" s="4307"/>
      <c r="I4252" s="4307"/>
      <c r="J4252" s="1029" t="str">
        <f t="shared" si="375"/>
        <v>354000_2024_12_</v>
      </c>
      <c r="K4252" s="163"/>
      <c r="L4252" s="47" t="str">
        <f>IF(K4252&gt;0,VLOOKUP(J4252,$J$1914:$L$2106,3,FALSE),"")</f>
        <v/>
      </c>
      <c r="M4252" s="1743" t="str">
        <f>IF(K4252&gt;0,VLOOKUP(J4252,$J$3458:$K$3650,2,FALSE),"")</f>
        <v/>
      </c>
      <c r="P4252" s="261"/>
      <c r="Q4252" s="261"/>
      <c r="R4252" s="261"/>
      <c r="S4252" s="52"/>
      <c r="T4252" s="181"/>
      <c r="U4252" s="52"/>
      <c r="V4252" s="4295"/>
      <c r="W4252" s="163"/>
      <c r="X4252" s="166"/>
      <c r="Y4252" s="166"/>
      <c r="Z4252" s="163"/>
      <c r="AA4252" s="163"/>
      <c r="AB4252" s="166"/>
      <c r="AC4252" s="163"/>
      <c r="AD4252" s="163"/>
      <c r="AE4252" s="163"/>
      <c r="AF4252" s="271" t="str">
        <f t="shared" si="373"/>
        <v/>
      </c>
      <c r="AG4252" s="241"/>
      <c r="DG4252" s="573"/>
      <c r="DH4252" s="159"/>
      <c r="DI4252" s="1091"/>
      <c r="DJ4252" s="1187"/>
    </row>
    <row r="4253" spans="1:114" ht="15" hidden="1" customHeight="1" outlineLevel="1">
      <c r="A4253" s="453"/>
      <c r="C4253" s="51"/>
      <c r="D4253" s="4295"/>
      <c r="E4253" s="4295"/>
      <c r="F4253" s="4307" t="str">
        <f t="shared" si="374"/>
        <v>ASHP-SEER19_ER2_SF</v>
      </c>
      <c r="G4253" s="4307"/>
      <c r="H4253" s="4307"/>
      <c r="I4253" s="4307"/>
      <c r="J4253" s="1029" t="str">
        <f t="shared" si="375"/>
        <v>354000_2024_12_</v>
      </c>
      <c r="K4253" s="163"/>
      <c r="L4253" s="47" t="str">
        <f>IF(K4253&gt;0,VLOOKUP(J4253,$J$1914:$L$2106,3,FALSE),"")</f>
        <v/>
      </c>
      <c r="M4253" s="1743" t="str">
        <f>IF(K4253&gt;0,VLOOKUP(J4253,$J$3458:$K$3650,2,FALSE),"")</f>
        <v/>
      </c>
      <c r="P4253" s="261"/>
      <c r="Q4253" s="261"/>
      <c r="R4253" s="261"/>
      <c r="S4253" s="52"/>
      <c r="T4253" s="181"/>
      <c r="U4253" s="52"/>
      <c r="V4253" s="4295"/>
      <c r="W4253" s="163"/>
      <c r="X4253" s="166"/>
      <c r="Y4253" s="166"/>
      <c r="Z4253" s="163"/>
      <c r="AA4253" s="163"/>
      <c r="AB4253" s="166"/>
      <c r="AC4253" s="163"/>
      <c r="AD4253" s="163"/>
      <c r="AE4253" s="163"/>
      <c r="AF4253" s="271" t="str">
        <f t="shared" si="373"/>
        <v/>
      </c>
      <c r="AG4253" s="241"/>
      <c r="DG4253" s="573"/>
      <c r="DH4253" s="159"/>
      <c r="DI4253" s="1091"/>
      <c r="DJ4253" s="1187"/>
    </row>
    <row r="4254" spans="1:114" ht="15" hidden="1" customHeight="1" outlineLevel="1">
      <c r="A4254" s="453"/>
      <c r="C4254" s="51"/>
      <c r="D4254" s="4295"/>
      <c r="E4254" s="4295"/>
      <c r="F4254" s="4307" t="str">
        <f t="shared" si="374"/>
        <v>ASHP-SEER19_ROF_SF</v>
      </c>
      <c r="G4254" s="4307"/>
      <c r="H4254" s="4307"/>
      <c r="I4254" s="4307"/>
      <c r="J4254" s="1029" t="str">
        <f t="shared" si="375"/>
        <v>354050_2024_12_</v>
      </c>
      <c r="K4254" s="1752">
        <f>(S$1919+L4254*T$1919)-(S$1923+L4254*T$1923)</f>
        <v>1081</v>
      </c>
      <c r="L4254" s="47">
        <f>VLOOKUP(J4254,$J$1914:$L$2106,3,FALSE)*M4254</f>
        <v>2.9920329673076922</v>
      </c>
      <c r="M4254" s="1743">
        <f>VLOOKUP(J4254,$J$3458:$K$3650,2,FALSE)</f>
        <v>1</v>
      </c>
      <c r="N4254" s="553"/>
      <c r="P4254" s="261"/>
      <c r="Q4254" s="261"/>
      <c r="R4254" s="261"/>
      <c r="S4254" s="52"/>
      <c r="T4254" s="181"/>
      <c r="U4254" s="52"/>
      <c r="V4254" s="4295"/>
      <c r="W4254" s="163">
        <v>2684</v>
      </c>
      <c r="X4254" s="166">
        <v>3972.045000000001</v>
      </c>
      <c r="Y4254" s="166">
        <v>813.33333333333337</v>
      </c>
      <c r="Z4254" s="163">
        <v>813.33333333333337</v>
      </c>
      <c r="AA4254" s="163">
        <v>813.33333333333337</v>
      </c>
      <c r="AB4254" s="166">
        <v>1203.6500000000003</v>
      </c>
      <c r="AC4254" s="163">
        <v>1203.6500000000003</v>
      </c>
      <c r="AD4254" s="166">
        <v>1203.6500000000003</v>
      </c>
      <c r="AE4254" s="166">
        <v>1203.6500000000003</v>
      </c>
      <c r="AF4254" s="271">
        <f t="shared" si="373"/>
        <v>1081</v>
      </c>
      <c r="AG4254" s="241"/>
      <c r="DG4254" s="573"/>
      <c r="DH4254" s="159"/>
      <c r="DI4254" s="1091"/>
      <c r="DJ4254" s="1187"/>
    </row>
    <row r="4255" spans="1:114" ht="15" hidden="1" customHeight="1" outlineLevel="1">
      <c r="A4255" s="453"/>
      <c r="C4255" s="51"/>
      <c r="D4255" s="4295"/>
      <c r="E4255" s="4295"/>
      <c r="F4255" s="4307" t="str">
        <f t="shared" si="374"/>
        <v>ASHP-SEER19_ROF_SF</v>
      </c>
      <c r="G4255" s="4307"/>
      <c r="H4255" s="4307"/>
      <c r="I4255" s="4307"/>
      <c r="J4255" s="1029" t="str">
        <f t="shared" si="375"/>
        <v>354050_2024_12_</v>
      </c>
      <c r="K4255" s="163"/>
      <c r="L4255" s="47" t="str">
        <f>IF(K4255&gt;0,VLOOKUP(J4255,$J$1914:$L$2106,3,FALSE),"")</f>
        <v/>
      </c>
      <c r="M4255" s="1743" t="str">
        <f>IF(K4255&gt;0,VLOOKUP(J4255,$J$3458:$K$3650,2,FALSE),"")</f>
        <v/>
      </c>
      <c r="P4255" s="261"/>
      <c r="Q4255" s="261"/>
      <c r="R4255" s="261"/>
      <c r="S4255" s="52"/>
      <c r="T4255" s="181"/>
      <c r="U4255" s="52"/>
      <c r="V4255" s="4295"/>
      <c r="W4255" s="163"/>
      <c r="X4255" s="166"/>
      <c r="Y4255" s="166"/>
      <c r="Z4255" s="163"/>
      <c r="AA4255" s="163"/>
      <c r="AB4255" s="166"/>
      <c r="AC4255" s="163"/>
      <c r="AD4255" s="163"/>
      <c r="AE4255" s="163"/>
      <c r="AF4255" s="271" t="str">
        <f t="shared" si="373"/>
        <v/>
      </c>
      <c r="AG4255" s="241"/>
      <c r="DG4255" s="573"/>
      <c r="DH4255" s="159"/>
      <c r="DI4255" s="1091"/>
      <c r="DJ4255" s="1187"/>
    </row>
    <row r="4256" spans="1:114" ht="15" hidden="1" customHeight="1" outlineLevel="1">
      <c r="A4256" s="453"/>
      <c r="C4256" s="51"/>
      <c r="D4256" s="4295"/>
      <c r="E4256" s="4295"/>
      <c r="F4256" s="4307" t="str">
        <f t="shared" si="374"/>
        <v>ASHP-SEER17-Replace_CAC_ElectricHeat_ER1_SF</v>
      </c>
      <c r="G4256" s="4307"/>
      <c r="H4256" s="4307"/>
      <c r="I4256" s="4307"/>
      <c r="J4256" s="1029" t="str">
        <f t="shared" si="375"/>
        <v>354100_2024_12_</v>
      </c>
      <c r="K4256" s="1752">
        <f>(S$1917+L4256*T$1917)-((S$1926+L4256*T$1926)*S$1931)</f>
        <v>3783.9531661870506</v>
      </c>
      <c r="L4256" s="47">
        <f>VLOOKUP(J4256,$J$1914:$L$2106,3,FALSE)*M4256</f>
        <v>2.6603692243864097</v>
      </c>
      <c r="M4256" s="1743">
        <f>VLOOKUP(J4256,$J$3458:$K$3650,2,FALSE)</f>
        <v>1</v>
      </c>
      <c r="N4256" s="553"/>
      <c r="P4256" s="261"/>
      <c r="Q4256" s="261"/>
      <c r="R4256" s="261"/>
      <c r="S4256" s="52"/>
      <c r="T4256" s="181"/>
      <c r="U4256" s="52"/>
      <c r="V4256" s="4295"/>
      <c r="W4256" s="163">
        <v>3824.9615612563771</v>
      </c>
      <c r="X4256" s="166">
        <v>4781.5804744777724</v>
      </c>
      <c r="Y4256" s="166">
        <v>1452.6993716056036</v>
      </c>
      <c r="Z4256" s="163">
        <v>1452.6993716056036</v>
      </c>
      <c r="AA4256" s="163">
        <v>1452.6993716056036</v>
      </c>
      <c r="AB4256" s="166">
        <v>1464.7073864864105</v>
      </c>
      <c r="AC4256" s="166">
        <v>1402.8007574105659</v>
      </c>
      <c r="AD4256" s="166">
        <v>1425.2574866940254</v>
      </c>
      <c r="AE4256" s="166">
        <v>1449.7889087112662</v>
      </c>
      <c r="AF4256" s="271">
        <f t="shared" si="373"/>
        <v>3783.9531661870506</v>
      </c>
      <c r="AG4256" s="241"/>
      <c r="DG4256" s="573"/>
      <c r="DH4256" s="159"/>
      <c r="DI4256" s="1091"/>
      <c r="DJ4256" s="1187"/>
    </row>
    <row r="4257" spans="1:114" ht="15" hidden="1" customHeight="1" outlineLevel="1">
      <c r="A4257" s="453"/>
      <c r="C4257" s="51"/>
      <c r="D4257" s="4295"/>
      <c r="E4257" s="4295"/>
      <c r="F4257" s="4307" t="str">
        <f t="shared" si="374"/>
        <v>ASHP-SEER17-Replace_CAC_ElectricHeat_ER1_SF</v>
      </c>
      <c r="G4257" s="4307"/>
      <c r="H4257" s="4307"/>
      <c r="I4257" s="4307"/>
      <c r="J4257" s="1029" t="str">
        <f t="shared" si="375"/>
        <v>354100_2024_12_</v>
      </c>
      <c r="K4257" s="163"/>
      <c r="L4257" s="47" t="str">
        <f>IF(K4257&gt;0,VLOOKUP(J4257,$J$1914:$L$2106,3,FALSE),"")</f>
        <v/>
      </c>
      <c r="M4257" s="1743" t="str">
        <f>IF(K4257&gt;0,VLOOKUP(J4257,$J$3458:$K$3650,2,FALSE),"")</f>
        <v/>
      </c>
      <c r="P4257" s="261"/>
      <c r="Q4257" s="261"/>
      <c r="R4257" s="261"/>
      <c r="S4257" s="52"/>
      <c r="T4257" s="181"/>
      <c r="U4257" s="52"/>
      <c r="V4257" s="4295"/>
      <c r="W4257" s="163"/>
      <c r="X4257" s="166"/>
      <c r="Y4257" s="166"/>
      <c r="Z4257" s="163"/>
      <c r="AA4257" s="163"/>
      <c r="AB4257" s="166"/>
      <c r="AC4257" s="163"/>
      <c r="AD4257" s="163"/>
      <c r="AE4257" s="163"/>
      <c r="AF4257" s="271" t="str">
        <f t="shared" si="373"/>
        <v/>
      </c>
      <c r="AG4257" s="241"/>
      <c r="DG4257" s="573"/>
      <c r="DH4257" s="159"/>
      <c r="DI4257" s="1091"/>
      <c r="DJ4257" s="1187"/>
    </row>
    <row r="4258" spans="1:114" ht="15" hidden="1" customHeight="1" outlineLevel="1">
      <c r="A4258" s="453"/>
      <c r="C4258" s="51"/>
      <c r="D4258" s="4295"/>
      <c r="E4258" s="4295"/>
      <c r="F4258" s="4307" t="str">
        <f t="shared" si="374"/>
        <v>ASHP-SEER17-Replace_CAC_ElectricHeat_ER2_SF</v>
      </c>
      <c r="G4258" s="4307"/>
      <c r="H4258" s="4307"/>
      <c r="I4258" s="4307"/>
      <c r="J4258" s="1029" t="str">
        <f t="shared" si="375"/>
        <v>354100_2024_12_</v>
      </c>
      <c r="K4258" s="163"/>
      <c r="L4258" s="47" t="str">
        <f>IF(K4258&gt;0,VLOOKUP(J4258,$J$1914:$L$2106,3,FALSE),"")</f>
        <v/>
      </c>
      <c r="M4258" s="1743" t="str">
        <f>IF(K4258&gt;0,VLOOKUP(J4258,$J$3458:$K$3650,2,FALSE),"")</f>
        <v/>
      </c>
      <c r="P4258" s="261"/>
      <c r="Q4258" s="261"/>
      <c r="R4258" s="261"/>
      <c r="S4258" s="52"/>
      <c r="T4258" s="181"/>
      <c r="U4258" s="52"/>
      <c r="V4258" s="4295"/>
      <c r="W4258" s="163"/>
      <c r="X4258" s="166"/>
      <c r="Y4258" s="166"/>
      <c r="Z4258" s="163"/>
      <c r="AA4258" s="163"/>
      <c r="AB4258" s="166"/>
      <c r="AC4258" s="163"/>
      <c r="AD4258" s="163"/>
      <c r="AE4258" s="163"/>
      <c r="AF4258" s="271" t="str">
        <f t="shared" si="373"/>
        <v/>
      </c>
      <c r="AG4258" s="241"/>
      <c r="DG4258" s="573"/>
      <c r="DH4258" s="159"/>
      <c r="DI4258" s="1091"/>
      <c r="DJ4258" s="1187"/>
    </row>
    <row r="4259" spans="1:114" ht="15" hidden="1" customHeight="1" outlineLevel="1">
      <c r="A4259" s="453"/>
      <c r="C4259" s="51"/>
      <c r="D4259" s="4295"/>
      <c r="E4259" s="4295"/>
      <c r="F4259" s="4307" t="str">
        <f t="shared" si="374"/>
        <v>ASHP-SEER17-Replace_CAC_ElectricHeat_ER2_SF</v>
      </c>
      <c r="G4259" s="4307"/>
      <c r="H4259" s="4307"/>
      <c r="I4259" s="4307"/>
      <c r="J4259" s="1029" t="str">
        <f t="shared" si="375"/>
        <v>354100_2024_12_</v>
      </c>
      <c r="K4259" s="163"/>
      <c r="L4259" s="47" t="str">
        <f>IF(K4259&gt;0,VLOOKUP(J4259,$J$1914:$L$2106,3,FALSE),"")</f>
        <v/>
      </c>
      <c r="M4259" s="1743" t="str">
        <f>IF(K4259&gt;0,VLOOKUP(J4259,$J$3458:$K$3650,2,FALSE),"")</f>
        <v/>
      </c>
      <c r="P4259" s="261"/>
      <c r="Q4259" s="261"/>
      <c r="R4259" s="261"/>
      <c r="S4259" s="52"/>
      <c r="T4259" s="181"/>
      <c r="U4259" s="52"/>
      <c r="V4259" s="4295"/>
      <c r="W4259" s="163"/>
      <c r="X4259" s="166"/>
      <c r="Y4259" s="166"/>
      <c r="Z4259" s="163"/>
      <c r="AA4259" s="163"/>
      <c r="AB4259" s="166"/>
      <c r="AC4259" s="163"/>
      <c r="AD4259" s="163"/>
      <c r="AE4259" s="163"/>
      <c r="AF4259" s="271" t="str">
        <f t="shared" si="373"/>
        <v/>
      </c>
      <c r="AG4259" s="241"/>
      <c r="DG4259" s="573"/>
      <c r="DH4259" s="159"/>
      <c r="DI4259" s="1091"/>
      <c r="DJ4259" s="1187"/>
    </row>
    <row r="4260" spans="1:114" ht="15" hidden="1" customHeight="1" outlineLevel="1">
      <c r="A4260" s="453"/>
      <c r="C4260" s="51"/>
      <c r="D4260" s="4295"/>
      <c r="E4260" s="4295"/>
      <c r="F4260" s="4307" t="str">
        <f t="shared" si="374"/>
        <v>ASHP-SEER17-Replace_CAC_NonElectricHeat_ER1_SF</v>
      </c>
      <c r="G4260" s="4307"/>
      <c r="H4260" s="4307"/>
      <c r="I4260" s="4307"/>
      <c r="J4260" s="1029" t="str">
        <f t="shared" si="375"/>
        <v>354110_2024_12_</v>
      </c>
      <c r="K4260" s="1752">
        <f>((S$1917+L4260*T$1917)-((S$1926+L4260*T$1926)*S$1931))*VLOOKUP(J4260,$J$4424:$K$4467,2,FALSE)</f>
        <v>501.3407230169808</v>
      </c>
      <c r="L4260" s="47">
        <f>VLOOKUP(J4260,$J$1914:$L$2106,3,FALSE)*M4260</f>
        <v>2.6603692243864097</v>
      </c>
      <c r="M4260" s="1743">
        <f>VLOOKUP(J4260,$J$3458:$K$3650,2,FALSE)</f>
        <v>1</v>
      </c>
      <c r="N4260" s="553"/>
      <c r="P4260" s="261"/>
      <c r="Q4260" s="261"/>
      <c r="R4260" s="261"/>
      <c r="S4260" s="52"/>
      <c r="T4260" s="181"/>
      <c r="U4260" s="52"/>
      <c r="V4260" s="4295"/>
      <c r="W4260" s="163"/>
      <c r="X4260" s="166"/>
      <c r="Y4260" s="166"/>
      <c r="Z4260" s="163"/>
      <c r="AA4260" s="163"/>
      <c r="AB4260" s="166"/>
      <c r="AC4260" s="166">
        <v>1402.8007574105659</v>
      </c>
      <c r="AD4260" s="166">
        <v>1425.2574866940254</v>
      </c>
      <c r="AE4260" s="166">
        <v>1449.7889087112662</v>
      </c>
      <c r="AF4260" s="271">
        <f t="shared" si="373"/>
        <v>501.3407230169808</v>
      </c>
      <c r="AG4260" s="241"/>
      <c r="DG4260" s="573"/>
      <c r="DH4260" s="159"/>
      <c r="DI4260" s="1091"/>
      <c r="DJ4260" s="1187"/>
    </row>
    <row r="4261" spans="1:114" ht="15" hidden="1" customHeight="1" outlineLevel="1">
      <c r="A4261" s="453"/>
      <c r="C4261" s="51"/>
      <c r="D4261" s="4295"/>
      <c r="E4261" s="4295"/>
      <c r="F4261" s="4307" t="str">
        <f t="shared" si="374"/>
        <v>ASHP-SEER17-Replace_CAC_NonElectricHeat_ER1_SF</v>
      </c>
      <c r="G4261" s="4307"/>
      <c r="H4261" s="4307"/>
      <c r="I4261" s="4307"/>
      <c r="J4261" s="1029" t="str">
        <f t="shared" si="375"/>
        <v>354110_2024_12_</v>
      </c>
      <c r="K4261" s="163"/>
      <c r="L4261" s="47"/>
      <c r="M4261" s="1743"/>
      <c r="P4261" s="261"/>
      <c r="Q4261" s="261"/>
      <c r="R4261" s="261"/>
      <c r="S4261" s="52"/>
      <c r="T4261" s="181"/>
      <c r="U4261" s="52"/>
      <c r="V4261" s="4295"/>
      <c r="W4261" s="163"/>
      <c r="X4261" s="166"/>
      <c r="Y4261" s="166"/>
      <c r="Z4261" s="163"/>
      <c r="AA4261" s="163"/>
      <c r="AB4261" s="166"/>
      <c r="AC4261" s="163"/>
      <c r="AD4261" s="163"/>
      <c r="AE4261" s="163"/>
      <c r="AF4261" s="271" t="str">
        <f t="shared" si="373"/>
        <v/>
      </c>
      <c r="AG4261" s="241"/>
      <c r="DG4261" s="573"/>
      <c r="DH4261" s="159"/>
      <c r="DI4261" s="1091"/>
      <c r="DJ4261" s="1187"/>
    </row>
    <row r="4262" spans="1:114" ht="15" hidden="1" customHeight="1" outlineLevel="1">
      <c r="A4262" s="453"/>
      <c r="C4262" s="51"/>
      <c r="D4262" s="4295"/>
      <c r="E4262" s="4295"/>
      <c r="F4262" s="4307" t="str">
        <f t="shared" si="374"/>
        <v>ASHP-SEER17-Replace_CAC_NonElectricHeat_ER2_SF</v>
      </c>
      <c r="G4262" s="4307"/>
      <c r="H4262" s="4307"/>
      <c r="I4262" s="4307"/>
      <c r="J4262" s="1029" t="str">
        <f t="shared" si="375"/>
        <v>354110_2024_12_</v>
      </c>
      <c r="K4262" s="163"/>
      <c r="L4262" s="47"/>
      <c r="M4262" s="1743"/>
      <c r="P4262" s="261"/>
      <c r="Q4262" s="261"/>
      <c r="R4262" s="261"/>
      <c r="S4262" s="52"/>
      <c r="T4262" s="181"/>
      <c r="U4262" s="52"/>
      <c r="V4262" s="4295"/>
      <c r="W4262" s="163"/>
      <c r="X4262" s="166"/>
      <c r="Y4262" s="166"/>
      <c r="Z4262" s="163"/>
      <c r="AA4262" s="163"/>
      <c r="AB4262" s="166"/>
      <c r="AC4262" s="163"/>
      <c r="AD4262" s="163"/>
      <c r="AE4262" s="163"/>
      <c r="AF4262" s="271" t="str">
        <f t="shared" si="373"/>
        <v/>
      </c>
      <c r="AG4262" s="241"/>
      <c r="DG4262" s="573"/>
      <c r="DH4262" s="159"/>
      <c r="DI4262" s="1091"/>
      <c r="DJ4262" s="1187"/>
    </row>
    <row r="4263" spans="1:114" ht="15" hidden="1" customHeight="1" outlineLevel="1">
      <c r="A4263" s="453"/>
      <c r="C4263" s="51"/>
      <c r="D4263" s="4295"/>
      <c r="E4263" s="4295"/>
      <c r="F4263" s="4307" t="str">
        <f t="shared" si="374"/>
        <v>ASHP-SEER17-Replace_CAC_NonElectricHeat_ER2_SF</v>
      </c>
      <c r="G4263" s="4307"/>
      <c r="H4263" s="4307"/>
      <c r="I4263" s="4307"/>
      <c r="J4263" s="1029" t="str">
        <f t="shared" si="375"/>
        <v>354110_2024_12_</v>
      </c>
      <c r="K4263" s="163"/>
      <c r="L4263" s="47"/>
      <c r="M4263" s="1743"/>
      <c r="P4263" s="261"/>
      <c r="Q4263" s="261"/>
      <c r="R4263" s="261"/>
      <c r="S4263" s="52"/>
      <c r="T4263" s="181"/>
      <c r="U4263" s="52"/>
      <c r="V4263" s="4295"/>
      <c r="W4263" s="163"/>
      <c r="X4263" s="166"/>
      <c r="Y4263" s="166"/>
      <c r="Z4263" s="163"/>
      <c r="AA4263" s="163"/>
      <c r="AB4263" s="166"/>
      <c r="AC4263" s="163"/>
      <c r="AD4263" s="163"/>
      <c r="AE4263" s="163"/>
      <c r="AF4263" s="271" t="str">
        <f t="shared" si="373"/>
        <v/>
      </c>
      <c r="AG4263" s="241"/>
      <c r="DG4263" s="573"/>
      <c r="DH4263" s="159"/>
      <c r="DI4263" s="1091"/>
      <c r="DJ4263" s="1187"/>
    </row>
    <row r="4264" spans="1:114" ht="15" hidden="1" customHeight="1" outlineLevel="1">
      <c r="A4264" s="453"/>
      <c r="C4264" s="51"/>
      <c r="D4264" s="4295"/>
      <c r="E4264" s="4295"/>
      <c r="F4264" s="4307" t="str">
        <f t="shared" si="374"/>
        <v>ASHP-SEER17-Replace_CAC_ElectricHeat_ER1_MF</v>
      </c>
      <c r="G4264" s="4307"/>
      <c r="H4264" s="4307"/>
      <c r="I4264" s="4307"/>
      <c r="J4264" s="1029" t="str">
        <f t="shared" si="375"/>
        <v>354150_2024_12_</v>
      </c>
      <c r="K4264" s="1752">
        <f>(S$1917+L4264*T$1917)-((S$1926+L4264*T$1926)*S$1931)</f>
        <v>3396.7316315552043</v>
      </c>
      <c r="L4264" s="47">
        <f>VLOOKUP(J4264,$J$1914:$L$2106,3,FALSE)*M4264</f>
        <v>2.0150000000000001</v>
      </c>
      <c r="M4264" s="1743">
        <f>VLOOKUP(J4264,$J$3458:$K$3650,2,FALSE)</f>
        <v>0.65</v>
      </c>
      <c r="N4264" s="553"/>
      <c r="P4264" s="261"/>
      <c r="Q4264" s="261"/>
      <c r="R4264" s="261"/>
      <c r="S4264" s="52"/>
      <c r="T4264" s="181"/>
      <c r="U4264" s="52"/>
      <c r="V4264" s="4295"/>
      <c r="W4264" s="163">
        <v>3824.9615612563771</v>
      </c>
      <c r="X4264" s="166">
        <v>3108.027308410552</v>
      </c>
      <c r="Y4264" s="166">
        <v>1147.2545915436422</v>
      </c>
      <c r="Z4264" s="163">
        <v>1147.2545915436422</v>
      </c>
      <c r="AA4264" s="163">
        <v>1147.2545915436422</v>
      </c>
      <c r="AB4264" s="166">
        <v>1205.4598012161669</v>
      </c>
      <c r="AC4264" s="163">
        <v>1205.4598012161669</v>
      </c>
      <c r="AD4264" s="163">
        <v>1205.4598012161669</v>
      </c>
      <c r="AE4264" s="166">
        <v>1273.7224361368508</v>
      </c>
      <c r="AF4264" s="271">
        <f t="shared" si="373"/>
        <v>3396.7316315552043</v>
      </c>
      <c r="AG4264" s="241"/>
      <c r="DG4264" s="573"/>
      <c r="DH4264" s="159"/>
      <c r="DI4264" s="1091"/>
      <c r="DJ4264" s="1187"/>
    </row>
    <row r="4265" spans="1:114" ht="15" hidden="1" customHeight="1" outlineLevel="1">
      <c r="A4265" s="453"/>
      <c r="C4265" s="51"/>
      <c r="D4265" s="4295"/>
      <c r="E4265" s="4295"/>
      <c r="F4265" s="4307" t="str">
        <f t="shared" si="374"/>
        <v>ASHP-SEER17-Replace_CAC_ElectricHeat_ER1_MF</v>
      </c>
      <c r="G4265" s="4307"/>
      <c r="H4265" s="4307"/>
      <c r="I4265" s="4307"/>
      <c r="J4265" s="1029" t="str">
        <f t="shared" si="375"/>
        <v>354150_2024_12_</v>
      </c>
      <c r="K4265" s="163"/>
      <c r="L4265" s="47" t="str">
        <f>IF(K4265&gt;0,VLOOKUP(J4265,$J$1914:$L$2106,3,FALSE),"")</f>
        <v/>
      </c>
      <c r="M4265" s="1743" t="str">
        <f>IF(K4265&gt;0,VLOOKUP(J4265,$J$3458:$K$3650,2,FALSE),"")</f>
        <v/>
      </c>
      <c r="P4265" s="261"/>
      <c r="Q4265" s="261"/>
      <c r="R4265" s="261"/>
      <c r="S4265" s="52"/>
      <c r="T4265" s="181"/>
      <c r="U4265" s="52"/>
      <c r="V4265" s="4295"/>
      <c r="W4265" s="163"/>
      <c r="X4265" s="166"/>
      <c r="Y4265" s="166"/>
      <c r="Z4265" s="163"/>
      <c r="AA4265" s="163"/>
      <c r="AB4265" s="166"/>
      <c r="AC4265" s="163"/>
      <c r="AD4265" s="163"/>
      <c r="AE4265" s="163"/>
      <c r="AF4265" s="271" t="str">
        <f t="shared" si="373"/>
        <v/>
      </c>
      <c r="AG4265" s="241"/>
      <c r="DG4265" s="573"/>
      <c r="DH4265" s="159"/>
      <c r="DI4265" s="1091"/>
      <c r="DJ4265" s="1187"/>
    </row>
    <row r="4266" spans="1:114" ht="15" hidden="1" customHeight="1" outlineLevel="1">
      <c r="A4266" s="453"/>
      <c r="C4266" s="51"/>
      <c r="D4266" s="4295"/>
      <c r="E4266" s="4295"/>
      <c r="F4266" s="4307" t="str">
        <f t="shared" si="374"/>
        <v>ASHP-SEER17-Replace_CAC_ElectricHeat_ER2_MF</v>
      </c>
      <c r="G4266" s="4307"/>
      <c r="H4266" s="4307"/>
      <c r="I4266" s="4307"/>
      <c r="J4266" s="1029" t="str">
        <f t="shared" si="375"/>
        <v>354150_2024_12_</v>
      </c>
      <c r="K4266" s="163"/>
      <c r="L4266" s="47" t="str">
        <f>IF(K4266&gt;0,VLOOKUP(J4266,$J$1914:$L$2106,3,FALSE),"")</f>
        <v/>
      </c>
      <c r="M4266" s="1743" t="str">
        <f>IF(K4266&gt;0,VLOOKUP(J4266,$J$3458:$K$3650,2,FALSE),"")</f>
        <v/>
      </c>
      <c r="P4266" s="261"/>
      <c r="Q4266" s="261"/>
      <c r="R4266" s="261"/>
      <c r="S4266" s="52"/>
      <c r="T4266" s="181"/>
      <c r="U4266" s="52"/>
      <c r="V4266" s="4295"/>
      <c r="W4266" s="163"/>
      <c r="X4266" s="166"/>
      <c r="Y4266" s="166"/>
      <c r="Z4266" s="163"/>
      <c r="AA4266" s="163"/>
      <c r="AB4266" s="166"/>
      <c r="AC4266" s="163"/>
      <c r="AD4266" s="163"/>
      <c r="AE4266" s="163"/>
      <c r="AF4266" s="271" t="str">
        <f t="shared" si="373"/>
        <v/>
      </c>
      <c r="AG4266" s="241"/>
      <c r="DG4266" s="573"/>
      <c r="DH4266" s="159"/>
      <c r="DI4266" s="1091"/>
      <c r="DJ4266" s="1187"/>
    </row>
    <row r="4267" spans="1:114" ht="15" hidden="1" customHeight="1" outlineLevel="1">
      <c r="A4267" s="453"/>
      <c r="C4267" s="51"/>
      <c r="D4267" s="4295"/>
      <c r="E4267" s="4295"/>
      <c r="F4267" s="4307" t="str">
        <f t="shared" si="374"/>
        <v>ASHP-SEER17-Replace_CAC_ElectricHeat_ER2_MF</v>
      </c>
      <c r="G4267" s="4307"/>
      <c r="H4267" s="4307"/>
      <c r="I4267" s="4307"/>
      <c r="J4267" s="1029" t="str">
        <f t="shared" si="375"/>
        <v>354150_2024_12_</v>
      </c>
      <c r="K4267" s="163"/>
      <c r="L4267" s="47" t="str">
        <f>IF(K4267&gt;0,VLOOKUP(J4267,$J$1914:$L$2106,3,FALSE),"")</f>
        <v/>
      </c>
      <c r="M4267" s="1743" t="str">
        <f>IF(K4267&gt;0,VLOOKUP(J4267,$J$3458:$K$3650,2,FALSE),"")</f>
        <v/>
      </c>
      <c r="P4267" s="261"/>
      <c r="Q4267" s="261"/>
      <c r="R4267" s="261"/>
      <c r="S4267" s="52"/>
      <c r="T4267" s="181"/>
      <c r="U4267" s="52"/>
      <c r="V4267" s="4295"/>
      <c r="W4267" s="163"/>
      <c r="X4267" s="166"/>
      <c r="Y4267" s="166"/>
      <c r="Z4267" s="163"/>
      <c r="AA4267" s="163"/>
      <c r="AB4267" s="166"/>
      <c r="AC4267" s="163"/>
      <c r="AD4267" s="163"/>
      <c r="AE4267" s="163"/>
      <c r="AF4267" s="271" t="str">
        <f t="shared" si="373"/>
        <v/>
      </c>
      <c r="AG4267" s="241"/>
      <c r="DG4267" s="573"/>
      <c r="DH4267" s="159"/>
      <c r="DI4267" s="1091"/>
      <c r="DJ4267" s="1187"/>
    </row>
    <row r="4268" spans="1:114" ht="15" hidden="1" customHeight="1" outlineLevel="1">
      <c r="A4268" s="453"/>
      <c r="C4268" s="51"/>
      <c r="D4268" s="4295"/>
      <c r="E4268" s="4295"/>
      <c r="F4268" s="4347" t="str">
        <f t="shared" si="374"/>
        <v>ASHP-SEER17-Replace_CAC_ElectricHeat_ER1_MF_CompE</v>
      </c>
      <c r="G4268" s="4347"/>
      <c r="H4268" s="4347"/>
      <c r="I4268" s="4347"/>
      <c r="J4268" s="3471" t="str">
        <f t="shared" si="375"/>
        <v>354151_2024_12_</v>
      </c>
      <c r="K4268" s="3496">
        <f>(S$1917+L4268*T$1917)-((S$1926+L4268*T$1926)*S$1931)</f>
        <v>3396.7316315552043</v>
      </c>
      <c r="L4268" s="3221">
        <f>VLOOKUP(J4268,$J$1914:$L$2106,3,FALSE)*M4268</f>
        <v>2.0150000000000001</v>
      </c>
      <c r="M4268" s="3497">
        <f>VLOOKUP(J4268,$J$3458:$K$3650,2,FALSE)</f>
        <v>0.65</v>
      </c>
      <c r="N4268" s="553"/>
      <c r="P4268" s="261"/>
      <c r="Q4268" s="261"/>
      <c r="R4268" s="261"/>
      <c r="S4268" s="52"/>
      <c r="T4268" s="181"/>
      <c r="U4268" s="52"/>
      <c r="V4268" s="4295"/>
      <c r="W4268" s="163"/>
      <c r="X4268" s="166"/>
      <c r="Y4268" s="166"/>
      <c r="Z4268" s="163"/>
      <c r="AA4268" s="163"/>
      <c r="AB4268" s="166"/>
      <c r="AC4268" s="2467">
        <v>1205.4598012161669</v>
      </c>
      <c r="AD4268" s="2894">
        <v>1205.4598012161669</v>
      </c>
      <c r="AE4268" s="2467">
        <v>1273.7224361368508</v>
      </c>
      <c r="AF4268" s="2236">
        <f t="shared" si="373"/>
        <v>3396.7316315552043</v>
      </c>
      <c r="AG4268" s="241"/>
      <c r="DG4268" s="573"/>
      <c r="DH4268" s="159"/>
      <c r="DI4268" s="1091"/>
      <c r="DJ4268" s="1187"/>
    </row>
    <row r="4269" spans="1:114" ht="15" hidden="1" customHeight="1" outlineLevel="1">
      <c r="A4269" s="453"/>
      <c r="C4269" s="51"/>
      <c r="D4269" s="4295"/>
      <c r="E4269" s="4295"/>
      <c r="F4269" s="4347" t="str">
        <f t="shared" si="374"/>
        <v>ASHP-SEER17-Replace_CAC_ElectricHeat_ER1_MF_CompE</v>
      </c>
      <c r="G4269" s="4347"/>
      <c r="H4269" s="4347"/>
      <c r="I4269" s="4347"/>
      <c r="J4269" s="3471" t="str">
        <f t="shared" si="375"/>
        <v>354151_2024_12_</v>
      </c>
      <c r="K4269" s="2894"/>
      <c r="L4269" s="3221"/>
      <c r="M4269" s="3497"/>
      <c r="P4269" s="261"/>
      <c r="Q4269" s="261"/>
      <c r="R4269" s="261"/>
      <c r="S4269" s="52"/>
      <c r="T4269" s="181"/>
      <c r="U4269" s="52"/>
      <c r="V4269" s="4295"/>
      <c r="W4269" s="163"/>
      <c r="X4269" s="166"/>
      <c r="Y4269" s="166"/>
      <c r="Z4269" s="163"/>
      <c r="AA4269" s="163"/>
      <c r="AB4269" s="166"/>
      <c r="AC4269" s="2894"/>
      <c r="AD4269" s="2894"/>
      <c r="AE4269" s="2894"/>
      <c r="AF4269" s="2236" t="str">
        <f t="shared" si="373"/>
        <v/>
      </c>
      <c r="AG4269" s="241"/>
      <c r="DG4269" s="573"/>
      <c r="DH4269" s="159"/>
      <c r="DI4269" s="1091"/>
      <c r="DJ4269" s="1187"/>
    </row>
    <row r="4270" spans="1:114" ht="15" hidden="1" customHeight="1" outlineLevel="1">
      <c r="A4270" s="453"/>
      <c r="C4270" s="51"/>
      <c r="D4270" s="4295"/>
      <c r="E4270" s="4295"/>
      <c r="F4270" s="4347" t="str">
        <f t="shared" si="374"/>
        <v>ASHP-SEER17-Replace_CAC_ElectricHeat_ER2_MF_CompE</v>
      </c>
      <c r="G4270" s="4347"/>
      <c r="H4270" s="4347"/>
      <c r="I4270" s="4347"/>
      <c r="J4270" s="3471" t="str">
        <f t="shared" si="375"/>
        <v>354151_2024_12_</v>
      </c>
      <c r="K4270" s="2894"/>
      <c r="L4270" s="3221"/>
      <c r="M4270" s="3497"/>
      <c r="P4270" s="261"/>
      <c r="Q4270" s="261"/>
      <c r="R4270" s="261"/>
      <c r="S4270" s="52"/>
      <c r="T4270" s="181"/>
      <c r="U4270" s="52"/>
      <c r="V4270" s="4295"/>
      <c r="W4270" s="163"/>
      <c r="X4270" s="166"/>
      <c r="Y4270" s="166"/>
      <c r="Z4270" s="163"/>
      <c r="AA4270" s="163"/>
      <c r="AB4270" s="166"/>
      <c r="AC4270" s="2894"/>
      <c r="AD4270" s="2894"/>
      <c r="AE4270" s="2894"/>
      <c r="AF4270" s="2236" t="str">
        <f t="shared" si="373"/>
        <v/>
      </c>
      <c r="AG4270" s="241"/>
      <c r="DG4270" s="573"/>
      <c r="DH4270" s="159"/>
      <c r="DI4270" s="1091"/>
      <c r="DJ4270" s="1187"/>
    </row>
    <row r="4271" spans="1:114" ht="15" hidden="1" customHeight="1" outlineLevel="1">
      <c r="A4271" s="453"/>
      <c r="C4271" s="51"/>
      <c r="D4271" s="4295"/>
      <c r="E4271" s="4295"/>
      <c r="F4271" s="4347" t="str">
        <f t="shared" si="374"/>
        <v>ASHP-SEER17-Replace_CAC_ElectricHeat_ER2_MF_CompE</v>
      </c>
      <c r="G4271" s="4347"/>
      <c r="H4271" s="4347"/>
      <c r="I4271" s="4347"/>
      <c r="J4271" s="3471" t="str">
        <f t="shared" si="375"/>
        <v>354151_2024_12_</v>
      </c>
      <c r="K4271" s="2894"/>
      <c r="L4271" s="3221"/>
      <c r="M4271" s="3497"/>
      <c r="P4271" s="261"/>
      <c r="Q4271" s="261"/>
      <c r="R4271" s="261"/>
      <c r="S4271" s="52"/>
      <c r="T4271" s="181"/>
      <c r="U4271" s="52"/>
      <c r="V4271" s="4295"/>
      <c r="W4271" s="163"/>
      <c r="X4271" s="166"/>
      <c r="Y4271" s="166"/>
      <c r="Z4271" s="163"/>
      <c r="AA4271" s="163"/>
      <c r="AB4271" s="166"/>
      <c r="AC4271" s="2894"/>
      <c r="AD4271" s="2894"/>
      <c r="AE4271" s="2894"/>
      <c r="AF4271" s="2236" t="str">
        <f t="shared" si="373"/>
        <v/>
      </c>
      <c r="AG4271" s="241"/>
      <c r="DG4271" s="573"/>
      <c r="DH4271" s="159"/>
      <c r="DI4271" s="1091"/>
      <c r="DJ4271" s="1187"/>
    </row>
    <row r="4272" spans="1:114" ht="15" hidden="1" customHeight="1" outlineLevel="1">
      <c r="A4272" s="453"/>
      <c r="C4272" s="51"/>
      <c r="D4272" s="4295"/>
      <c r="E4272" s="4295"/>
      <c r="F4272" s="4347" t="str">
        <f t="shared" si="374"/>
        <v>ASHP-SEER17-Replace_CAC_NonElectricHeat_ER1_MF</v>
      </c>
      <c r="G4272" s="4347"/>
      <c r="H4272" s="4347"/>
      <c r="I4272" s="4347"/>
      <c r="J4272" s="3471" t="str">
        <f t="shared" si="375"/>
        <v>354160_2024_12_</v>
      </c>
      <c r="K4272" s="3496">
        <f>((S$1917+L4272*T$1917)-((S$1926+L4272*T$1926)*S$1931))*VLOOKUP(J4272,$J$4424:$K$4467,2,FALSE)</f>
        <v>363.17279017428615</v>
      </c>
      <c r="L4272" s="3221">
        <f>VLOOKUP(J4272,$J$1914:$L$2106,3,FALSE)*M4272</f>
        <v>2.0150000000000001</v>
      </c>
      <c r="M4272" s="3497">
        <f>VLOOKUP(J4272,$J$3458:$K$3650,2,FALSE)</f>
        <v>0.65</v>
      </c>
      <c r="N4272" s="553"/>
      <c r="P4272" s="261"/>
      <c r="Q4272" s="261"/>
      <c r="R4272" s="261"/>
      <c r="S4272" s="52"/>
      <c r="T4272" s="181"/>
      <c r="U4272" s="52"/>
      <c r="V4272" s="4295"/>
      <c r="W4272" s="163"/>
      <c r="X4272" s="166"/>
      <c r="Y4272" s="166"/>
      <c r="Z4272" s="163"/>
      <c r="AA4272" s="163"/>
      <c r="AB4272" s="166"/>
      <c r="AC4272" s="2467">
        <v>1205.4598012161669</v>
      </c>
      <c r="AD4272" s="2894">
        <v>1205.4598012161669</v>
      </c>
      <c r="AE4272" s="2467">
        <v>1273.7224361368508</v>
      </c>
      <c r="AF4272" s="2236">
        <f t="shared" si="373"/>
        <v>363.17279017428615</v>
      </c>
      <c r="AG4272" s="241"/>
      <c r="DG4272" s="573"/>
      <c r="DH4272" s="159"/>
      <c r="DI4272" s="1091"/>
      <c r="DJ4272" s="1187"/>
    </row>
    <row r="4273" spans="1:114" ht="15" hidden="1" customHeight="1" outlineLevel="1">
      <c r="A4273" s="453"/>
      <c r="C4273" s="51"/>
      <c r="D4273" s="4295"/>
      <c r="E4273" s="4295"/>
      <c r="F4273" s="4347" t="str">
        <f t="shared" si="374"/>
        <v>ASHP-SEER17-Replace_CAC_NonElectricHeat_ER1_MF</v>
      </c>
      <c r="G4273" s="4347"/>
      <c r="H4273" s="4347"/>
      <c r="I4273" s="4347"/>
      <c r="J4273" s="3471" t="str">
        <f t="shared" si="375"/>
        <v>354160_2024_12_</v>
      </c>
      <c r="K4273" s="2894"/>
      <c r="L4273" s="3221"/>
      <c r="M4273" s="3497"/>
      <c r="P4273" s="261"/>
      <c r="Q4273" s="261"/>
      <c r="R4273" s="261"/>
      <c r="S4273" s="52"/>
      <c r="T4273" s="181"/>
      <c r="U4273" s="52"/>
      <c r="V4273" s="4295"/>
      <c r="W4273" s="163"/>
      <c r="X4273" s="166"/>
      <c r="Y4273" s="166"/>
      <c r="Z4273" s="163"/>
      <c r="AA4273" s="163"/>
      <c r="AB4273" s="166"/>
      <c r="AC4273" s="2894"/>
      <c r="AD4273" s="2894"/>
      <c r="AE4273" s="2894"/>
      <c r="AF4273" s="2236" t="str">
        <f t="shared" si="373"/>
        <v/>
      </c>
      <c r="AG4273" s="241"/>
      <c r="DG4273" s="573"/>
      <c r="DH4273" s="159"/>
      <c r="DI4273" s="1091"/>
      <c r="DJ4273" s="1187"/>
    </row>
    <row r="4274" spans="1:114" ht="15" hidden="1" customHeight="1" outlineLevel="1">
      <c r="A4274" s="453"/>
      <c r="C4274" s="51"/>
      <c r="D4274" s="4295"/>
      <c r="E4274" s="4295"/>
      <c r="F4274" s="4347" t="str">
        <f t="shared" si="374"/>
        <v>ASHP-SEER17-Replace_CAC_NonElectricHeat_ER2_MF</v>
      </c>
      <c r="G4274" s="4347"/>
      <c r="H4274" s="4347"/>
      <c r="I4274" s="4347"/>
      <c r="J4274" s="3471" t="str">
        <f t="shared" si="375"/>
        <v>354160_2024_12_</v>
      </c>
      <c r="K4274" s="2894"/>
      <c r="L4274" s="3221"/>
      <c r="M4274" s="3497"/>
      <c r="P4274" s="261"/>
      <c r="Q4274" s="261"/>
      <c r="R4274" s="261"/>
      <c r="S4274" s="52"/>
      <c r="T4274" s="181"/>
      <c r="U4274" s="52"/>
      <c r="V4274" s="4295"/>
      <c r="W4274" s="163"/>
      <c r="X4274" s="166"/>
      <c r="Y4274" s="166"/>
      <c r="Z4274" s="163"/>
      <c r="AA4274" s="163"/>
      <c r="AB4274" s="166"/>
      <c r="AC4274" s="2894"/>
      <c r="AD4274" s="2894"/>
      <c r="AE4274" s="2894"/>
      <c r="AF4274" s="2236" t="str">
        <f t="shared" si="373"/>
        <v/>
      </c>
      <c r="AG4274" s="241"/>
      <c r="DG4274" s="573"/>
      <c r="DH4274" s="159"/>
      <c r="DI4274" s="1091"/>
      <c r="DJ4274" s="1187"/>
    </row>
    <row r="4275" spans="1:114" ht="15" hidden="1" customHeight="1" outlineLevel="1">
      <c r="A4275" s="453"/>
      <c r="C4275" s="51"/>
      <c r="D4275" s="4295"/>
      <c r="E4275" s="4295"/>
      <c r="F4275" s="4347" t="str">
        <f t="shared" si="374"/>
        <v>ASHP-SEER17-Replace_CAC_NonElectricHeat_ER2_MF</v>
      </c>
      <c r="G4275" s="4347"/>
      <c r="H4275" s="4347"/>
      <c r="I4275" s="4347"/>
      <c r="J4275" s="3471" t="str">
        <f t="shared" si="375"/>
        <v>354160_2024_12_</v>
      </c>
      <c r="K4275" s="2894"/>
      <c r="L4275" s="3221"/>
      <c r="M4275" s="3497"/>
      <c r="P4275" s="261"/>
      <c r="Q4275" s="261"/>
      <c r="R4275" s="261"/>
      <c r="S4275" s="52"/>
      <c r="T4275" s="181"/>
      <c r="U4275" s="52"/>
      <c r="V4275" s="4295"/>
      <c r="W4275" s="163"/>
      <c r="X4275" s="166"/>
      <c r="Y4275" s="166"/>
      <c r="Z4275" s="163"/>
      <c r="AA4275" s="163"/>
      <c r="AB4275" s="166"/>
      <c r="AC4275" s="2894"/>
      <c r="AD4275" s="2894"/>
      <c r="AE4275" s="2894"/>
      <c r="AF4275" s="2236" t="str">
        <f t="shared" si="373"/>
        <v/>
      </c>
      <c r="AG4275" s="241"/>
      <c r="DG4275" s="573"/>
      <c r="DH4275" s="159"/>
      <c r="DI4275" s="1091"/>
      <c r="DJ4275" s="1187"/>
    </row>
    <row r="4276" spans="1:114" ht="15" hidden="1" customHeight="1" outlineLevel="1">
      <c r="A4276" s="453"/>
      <c r="C4276" s="51"/>
      <c r="D4276" s="4295"/>
      <c r="E4276" s="4295"/>
      <c r="F4276" s="4347" t="str">
        <f t="shared" si="374"/>
        <v>ASHP-SEER17-Replace_CAC_NonElectricHeat_ER1_MF_CompE</v>
      </c>
      <c r="G4276" s="4347"/>
      <c r="H4276" s="4347"/>
      <c r="I4276" s="4347"/>
      <c r="J4276" s="3471" t="str">
        <f t="shared" si="375"/>
        <v>354161_2024_12_</v>
      </c>
      <c r="K4276" s="3496">
        <f>((S$1917+L4276*T$1917)-((S$1926+L4276*T$1926)*S$1931))*VLOOKUP(J4276,$J$4424:$K$4467,2,FALSE)</f>
        <v>691.03340410162741</v>
      </c>
      <c r="L4276" s="3221">
        <f>VLOOKUP(J4276,$J$1914:$L$2106,3,FALSE)*M4276</f>
        <v>2.0150000000000001</v>
      </c>
      <c r="M4276" s="3497">
        <f>VLOOKUP(J4276,$J$3458:$K$3650,2,FALSE)</f>
        <v>0.65</v>
      </c>
      <c r="N4276" s="553"/>
      <c r="P4276" s="261"/>
      <c r="Q4276" s="261"/>
      <c r="R4276" s="261"/>
      <c r="S4276" s="52"/>
      <c r="T4276" s="181"/>
      <c r="U4276" s="52"/>
      <c r="V4276" s="4295"/>
      <c r="W4276" s="163"/>
      <c r="X4276" s="166"/>
      <c r="Y4276" s="166"/>
      <c r="Z4276" s="163"/>
      <c r="AA4276" s="163"/>
      <c r="AB4276" s="166"/>
      <c r="AC4276" s="2467">
        <v>1205.4598012161669</v>
      </c>
      <c r="AD4276" s="2894">
        <v>1205.4598012161669</v>
      </c>
      <c r="AE4276" s="2467">
        <v>1273.7224361368508</v>
      </c>
      <c r="AF4276" s="2236">
        <f t="shared" si="373"/>
        <v>691.03340410162741</v>
      </c>
      <c r="AG4276" s="241"/>
      <c r="DG4276" s="573"/>
      <c r="DH4276" s="159"/>
      <c r="DI4276" s="1091"/>
      <c r="DJ4276" s="1187"/>
    </row>
    <row r="4277" spans="1:114" ht="15" hidden="1" customHeight="1" outlineLevel="1">
      <c r="A4277" s="453"/>
      <c r="C4277" s="51"/>
      <c r="D4277" s="4295"/>
      <c r="E4277" s="4295"/>
      <c r="F4277" s="4347" t="str">
        <f t="shared" si="374"/>
        <v>ASHP-SEER17-Replace_CAC_NonElectricHeat_ER1_MF_CompE</v>
      </c>
      <c r="G4277" s="4347"/>
      <c r="H4277" s="4347"/>
      <c r="I4277" s="4347"/>
      <c r="J4277" s="3471" t="str">
        <f t="shared" si="375"/>
        <v>354161_2024_12_</v>
      </c>
      <c r="K4277" s="2894"/>
      <c r="L4277" s="3221"/>
      <c r="M4277" s="3497"/>
      <c r="P4277" s="261"/>
      <c r="Q4277" s="261"/>
      <c r="R4277" s="261"/>
      <c r="S4277" s="52"/>
      <c r="T4277" s="181"/>
      <c r="U4277" s="52"/>
      <c r="V4277" s="4295"/>
      <c r="W4277" s="163"/>
      <c r="X4277" s="166"/>
      <c r="Y4277" s="166"/>
      <c r="Z4277" s="163"/>
      <c r="AA4277" s="163"/>
      <c r="AB4277" s="166"/>
      <c r="AC4277" s="2894"/>
      <c r="AD4277" s="2894"/>
      <c r="AE4277" s="2894"/>
      <c r="AF4277" s="2236" t="str">
        <f t="shared" si="373"/>
        <v/>
      </c>
      <c r="AG4277" s="241"/>
      <c r="DG4277" s="573"/>
      <c r="DH4277" s="159"/>
      <c r="DI4277" s="1091"/>
      <c r="DJ4277" s="1187"/>
    </row>
    <row r="4278" spans="1:114" ht="15" hidden="1" customHeight="1" outlineLevel="1">
      <c r="A4278" s="453"/>
      <c r="C4278" s="51"/>
      <c r="D4278" s="4295"/>
      <c r="E4278" s="4295"/>
      <c r="F4278" s="4347" t="str">
        <f t="shared" si="374"/>
        <v>ASHP-SEER17-Replace_CAC_NonElectricHeat_ER2_MF_CompE</v>
      </c>
      <c r="G4278" s="4347"/>
      <c r="H4278" s="4347"/>
      <c r="I4278" s="4347"/>
      <c r="J4278" s="3471" t="str">
        <f t="shared" si="375"/>
        <v>354161_2024_12_</v>
      </c>
      <c r="K4278" s="2894"/>
      <c r="L4278" s="3221"/>
      <c r="M4278" s="3497"/>
      <c r="P4278" s="261"/>
      <c r="Q4278" s="261"/>
      <c r="R4278" s="261"/>
      <c r="S4278" s="52"/>
      <c r="T4278" s="181"/>
      <c r="U4278" s="52"/>
      <c r="V4278" s="4295"/>
      <c r="W4278" s="163"/>
      <c r="X4278" s="166"/>
      <c r="Y4278" s="166"/>
      <c r="Z4278" s="163"/>
      <c r="AA4278" s="163"/>
      <c r="AB4278" s="166"/>
      <c r="AC4278" s="2894"/>
      <c r="AD4278" s="2894"/>
      <c r="AE4278" s="2894"/>
      <c r="AF4278" s="2236" t="str">
        <f t="shared" si="373"/>
        <v/>
      </c>
      <c r="AG4278" s="241"/>
      <c r="DG4278" s="573"/>
      <c r="DH4278" s="159"/>
      <c r="DI4278" s="1091"/>
      <c r="DJ4278" s="1187"/>
    </row>
    <row r="4279" spans="1:114" ht="15" hidden="1" customHeight="1" outlineLevel="1">
      <c r="A4279" s="453"/>
      <c r="C4279" s="51"/>
      <c r="D4279" s="4295"/>
      <c r="E4279" s="4295"/>
      <c r="F4279" s="4347" t="str">
        <f t="shared" si="374"/>
        <v>ASHP-SEER17-Replace_CAC_NonElectricHeat_ER2_MF_CompE</v>
      </c>
      <c r="G4279" s="4347"/>
      <c r="H4279" s="4347"/>
      <c r="I4279" s="4347"/>
      <c r="J4279" s="3471" t="str">
        <f t="shared" si="375"/>
        <v>354161_2024_12_</v>
      </c>
      <c r="K4279" s="2894"/>
      <c r="L4279" s="3221"/>
      <c r="M4279" s="3497"/>
      <c r="P4279" s="261"/>
      <c r="Q4279" s="261"/>
      <c r="R4279" s="261"/>
      <c r="S4279" s="52"/>
      <c r="T4279" s="181"/>
      <c r="U4279" s="52"/>
      <c r="V4279" s="4295"/>
      <c r="W4279" s="163"/>
      <c r="X4279" s="166"/>
      <c r="Y4279" s="166"/>
      <c r="Z4279" s="163"/>
      <c r="AA4279" s="163"/>
      <c r="AB4279" s="166"/>
      <c r="AC4279" s="2894"/>
      <c r="AD4279" s="2894"/>
      <c r="AE4279" s="2894"/>
      <c r="AF4279" s="2236" t="str">
        <f t="shared" si="373"/>
        <v/>
      </c>
      <c r="AG4279" s="241"/>
      <c r="DG4279" s="573"/>
      <c r="DH4279" s="159"/>
      <c r="DI4279" s="1091"/>
      <c r="DJ4279" s="1187"/>
    </row>
    <row r="4280" spans="1:114" ht="15" hidden="1" customHeight="1" outlineLevel="1">
      <c r="A4280" s="453"/>
      <c r="C4280" s="51"/>
      <c r="D4280" s="4295"/>
      <c r="E4280" s="4295"/>
      <c r="F4280" s="4307" t="str">
        <f t="shared" si="374"/>
        <v>ASHP-SEER17_ER1_MF</v>
      </c>
      <c r="G4280" s="4307"/>
      <c r="H4280" s="4307"/>
      <c r="I4280" s="4307"/>
      <c r="J4280" s="1029" t="str">
        <f t="shared" si="375"/>
        <v>354200_2024_12_</v>
      </c>
      <c r="K4280" s="1752">
        <f>(S$1917+L4280*T$1917)-(S$1925+L4280*T$1925)*S$1931</f>
        <v>626.51836415648631</v>
      </c>
      <c r="L4280" s="47">
        <f>VLOOKUP(J4280,$J$1914:$L$2106,3,FALSE)*M4280</f>
        <v>2.145</v>
      </c>
      <c r="M4280" s="1743">
        <f>VLOOKUP(J4280,$J$3458:$K$3650,2,FALSE)</f>
        <v>0.65</v>
      </c>
      <c r="N4280" s="553"/>
      <c r="P4280" s="261"/>
      <c r="Q4280" s="261"/>
      <c r="R4280" s="261"/>
      <c r="S4280" s="52"/>
      <c r="T4280" s="181"/>
      <c r="U4280" s="52"/>
      <c r="V4280" s="4295"/>
      <c r="W4280" s="163">
        <v>6101.9914642916983</v>
      </c>
      <c r="X4280" s="166">
        <v>3308.5451992757485</v>
      </c>
      <c r="Y4280" s="166">
        <v>1183.8516619658126</v>
      </c>
      <c r="Z4280" s="163">
        <v>1183.8516619658126</v>
      </c>
      <c r="AA4280" s="163">
        <v>1183.8516619658126</v>
      </c>
      <c r="AB4280" s="166">
        <v>1236.5217238752739</v>
      </c>
      <c r="AC4280" s="163">
        <v>1236.5217238752739</v>
      </c>
      <c r="AD4280" s="163">
        <v>1236.5217238752739</v>
      </c>
      <c r="AE4280" s="166">
        <v>1309.1883997585833</v>
      </c>
      <c r="AF4280" s="271">
        <f t="shared" si="373"/>
        <v>626.51836415648631</v>
      </c>
      <c r="AG4280" s="241"/>
      <c r="DG4280" s="573"/>
      <c r="DH4280" s="159"/>
      <c r="DI4280" s="1091"/>
      <c r="DJ4280" s="1187"/>
    </row>
    <row r="4281" spans="1:114" ht="15" hidden="1" customHeight="1" outlineLevel="1">
      <c r="A4281" s="453"/>
      <c r="C4281" s="51"/>
      <c r="D4281" s="4295"/>
      <c r="E4281" s="4295"/>
      <c r="F4281" s="4307" t="str">
        <f t="shared" si="374"/>
        <v>ASHP-SEER17_ER1_MF</v>
      </c>
      <c r="G4281" s="4307"/>
      <c r="H4281" s="4307"/>
      <c r="I4281" s="4307"/>
      <c r="J4281" s="1029" t="str">
        <f t="shared" si="375"/>
        <v>354200_2024_12_</v>
      </c>
      <c r="K4281" s="163"/>
      <c r="L4281" s="47" t="str">
        <f>IF(K4281&gt;0,VLOOKUP(J4281,$J$1914:$L$2106,3,FALSE),"")</f>
        <v/>
      </c>
      <c r="M4281" s="1743" t="str">
        <f>IF(K4281&gt;0,VLOOKUP(J4281,$J$3458:$K$3650,2,FALSE),"")</f>
        <v/>
      </c>
      <c r="P4281" s="261"/>
      <c r="Q4281" s="261"/>
      <c r="R4281" s="261"/>
      <c r="S4281" s="52"/>
      <c r="T4281" s="181"/>
      <c r="U4281" s="52"/>
      <c r="V4281" s="4295"/>
      <c r="W4281" s="163"/>
      <c r="X4281" s="166"/>
      <c r="Y4281" s="166"/>
      <c r="Z4281" s="163"/>
      <c r="AA4281" s="163"/>
      <c r="AB4281" s="166"/>
      <c r="AC4281" s="163"/>
      <c r="AD4281" s="163"/>
      <c r="AE4281" s="163"/>
      <c r="AF4281" s="271" t="str">
        <f t="shared" si="373"/>
        <v/>
      </c>
      <c r="AG4281" s="241"/>
      <c r="DG4281" s="573"/>
      <c r="DH4281" s="159"/>
      <c r="DI4281" s="1091"/>
      <c r="DJ4281" s="1187"/>
    </row>
    <row r="4282" spans="1:114" ht="15" hidden="1" customHeight="1" outlineLevel="1">
      <c r="A4282" s="453"/>
      <c r="C4282" s="51"/>
      <c r="D4282" s="4295"/>
      <c r="E4282" s="4295"/>
      <c r="F4282" s="4307" t="str">
        <f t="shared" si="374"/>
        <v>ASHP-SEER17_ER2_MF</v>
      </c>
      <c r="G4282" s="4307"/>
      <c r="H4282" s="4307"/>
      <c r="I4282" s="4307"/>
      <c r="J4282" s="1029" t="str">
        <f t="shared" si="375"/>
        <v>354200_2024_12_</v>
      </c>
      <c r="K4282" s="163"/>
      <c r="L4282" s="47" t="str">
        <f>IF(K4282&gt;0,VLOOKUP(J4282,$J$1914:$L$2106,3,FALSE),"")</f>
        <v/>
      </c>
      <c r="M4282" s="1743" t="str">
        <f>IF(K4282&gt;0,VLOOKUP(J4282,$J$3458:$K$3650,2,FALSE),"")</f>
        <v/>
      </c>
      <c r="P4282" s="261"/>
      <c r="Q4282" s="261"/>
      <c r="R4282" s="261"/>
      <c r="S4282" s="52"/>
      <c r="T4282" s="181"/>
      <c r="U4282" s="52"/>
      <c r="V4282" s="4295"/>
      <c r="W4282" s="163"/>
      <c r="X4282" s="166"/>
      <c r="Y4282" s="166"/>
      <c r="Z4282" s="163"/>
      <c r="AA4282" s="163"/>
      <c r="AB4282" s="166"/>
      <c r="AC4282" s="163"/>
      <c r="AD4282" s="163"/>
      <c r="AE4282" s="163"/>
      <c r="AF4282" s="271" t="str">
        <f t="shared" ref="AF4282:AF4345" si="376">IF(K4282&lt;&gt;"",K4282,"")</f>
        <v/>
      </c>
      <c r="AG4282" s="241"/>
      <c r="DG4282" s="573"/>
      <c r="DH4282" s="159"/>
      <c r="DI4282" s="1091"/>
      <c r="DJ4282" s="1187"/>
    </row>
    <row r="4283" spans="1:114" ht="15" hidden="1" customHeight="1" outlineLevel="1">
      <c r="A4283" s="453"/>
      <c r="C4283" s="51"/>
      <c r="D4283" s="4295"/>
      <c r="E4283" s="4295"/>
      <c r="F4283" s="4307" t="str">
        <f t="shared" si="374"/>
        <v>ASHP-SEER17_ER2_MF</v>
      </c>
      <c r="G4283" s="4307"/>
      <c r="H4283" s="4307"/>
      <c r="I4283" s="4307"/>
      <c r="J4283" s="1029" t="str">
        <f t="shared" si="375"/>
        <v>354200_2024_12_</v>
      </c>
      <c r="K4283" s="163"/>
      <c r="L4283" s="47" t="str">
        <f>IF(K4283&gt;0,VLOOKUP(J4283,$J$1914:$L$2106,3,FALSE),"")</f>
        <v/>
      </c>
      <c r="M4283" s="1743" t="str">
        <f>IF(K4283&gt;0,VLOOKUP(J4283,$J$3458:$K$3650,2,FALSE),"")</f>
        <v/>
      </c>
      <c r="P4283" s="261"/>
      <c r="Q4283" s="261"/>
      <c r="R4283" s="261"/>
      <c r="S4283" s="52"/>
      <c r="T4283" s="181"/>
      <c r="U4283" s="52"/>
      <c r="V4283" s="4295"/>
      <c r="W4283" s="163"/>
      <c r="X4283" s="166"/>
      <c r="Y4283" s="166"/>
      <c r="Z4283" s="163"/>
      <c r="AA4283" s="163"/>
      <c r="AB4283" s="166"/>
      <c r="AC4283" s="163"/>
      <c r="AD4283" s="163"/>
      <c r="AE4283" s="163"/>
      <c r="AF4283" s="271" t="str">
        <f t="shared" si="376"/>
        <v/>
      </c>
      <c r="AG4283" s="241"/>
      <c r="DG4283" s="573"/>
      <c r="DH4283" s="159"/>
      <c r="DI4283" s="1091"/>
      <c r="DJ4283" s="1187"/>
    </row>
    <row r="4284" spans="1:114" ht="15" hidden="1" customHeight="1" outlineLevel="1">
      <c r="A4284" s="453"/>
      <c r="C4284" s="51"/>
      <c r="D4284" s="4295"/>
      <c r="E4284" s="4295"/>
      <c r="F4284" s="4347" t="str">
        <f t="shared" si="374"/>
        <v>ASHP-SEER17_ER1_MF_CompE</v>
      </c>
      <c r="G4284" s="4347"/>
      <c r="H4284" s="4347"/>
      <c r="I4284" s="4347"/>
      <c r="J4284" s="3471" t="str">
        <f t="shared" si="375"/>
        <v>354201_2024_12_</v>
      </c>
      <c r="K4284" s="3496">
        <f>(S$1917+L4284*T$1917)-(S$1925+L4284*T$1925)*S$1931</f>
        <v>626.51836415648631</v>
      </c>
      <c r="L4284" s="3221">
        <f>VLOOKUP(J4284,$J$1914:$L$2106,3,FALSE)*M4284</f>
        <v>2.145</v>
      </c>
      <c r="M4284" s="3497">
        <f>VLOOKUP(J4284,$J$3458:$K$3650,2,FALSE)</f>
        <v>0.65</v>
      </c>
      <c r="N4284" s="553"/>
      <c r="P4284" s="261"/>
      <c r="Q4284" s="261"/>
      <c r="R4284" s="261"/>
      <c r="S4284" s="52"/>
      <c r="T4284" s="181"/>
      <c r="U4284" s="52"/>
      <c r="V4284" s="4295"/>
      <c r="W4284" s="163"/>
      <c r="X4284" s="166"/>
      <c r="Y4284" s="166"/>
      <c r="Z4284" s="163"/>
      <c r="AA4284" s="163"/>
      <c r="AB4284" s="166"/>
      <c r="AC4284" s="2467">
        <v>1236.5217238752739</v>
      </c>
      <c r="AD4284" s="2894">
        <v>1236.5217238752739</v>
      </c>
      <c r="AE4284" s="2467">
        <v>1309.1883997585833</v>
      </c>
      <c r="AF4284" s="2236">
        <f t="shared" si="376"/>
        <v>626.51836415648631</v>
      </c>
      <c r="AG4284" s="241"/>
      <c r="DG4284" s="573"/>
      <c r="DH4284" s="159"/>
      <c r="DI4284" s="1091"/>
      <c r="DJ4284" s="1187"/>
    </row>
    <row r="4285" spans="1:114" ht="15" hidden="1" customHeight="1" outlineLevel="1">
      <c r="A4285" s="453"/>
      <c r="C4285" s="51"/>
      <c r="D4285" s="4295"/>
      <c r="E4285" s="4295"/>
      <c r="F4285" s="4347" t="str">
        <f t="shared" si="374"/>
        <v>ASHP-SEER17_ER1_MF_CompE</v>
      </c>
      <c r="G4285" s="4347"/>
      <c r="H4285" s="4347"/>
      <c r="I4285" s="4347"/>
      <c r="J4285" s="3471" t="str">
        <f t="shared" si="375"/>
        <v>354201_2024_12_</v>
      </c>
      <c r="K4285" s="2894"/>
      <c r="L4285" s="3221"/>
      <c r="M4285" s="3497"/>
      <c r="P4285" s="261"/>
      <c r="Q4285" s="261"/>
      <c r="R4285" s="261"/>
      <c r="S4285" s="52"/>
      <c r="T4285" s="181"/>
      <c r="U4285" s="52"/>
      <c r="V4285" s="4295"/>
      <c r="W4285" s="163"/>
      <c r="X4285" s="166"/>
      <c r="Y4285" s="166"/>
      <c r="Z4285" s="163"/>
      <c r="AA4285" s="163"/>
      <c r="AB4285" s="166"/>
      <c r="AC4285" s="163"/>
      <c r="AD4285" s="163"/>
      <c r="AE4285" s="163"/>
      <c r="AF4285" s="271" t="str">
        <f t="shared" si="376"/>
        <v/>
      </c>
      <c r="AG4285" s="241"/>
      <c r="DG4285" s="573"/>
      <c r="DH4285" s="159"/>
      <c r="DI4285" s="1091"/>
      <c r="DJ4285" s="1187"/>
    </row>
    <row r="4286" spans="1:114" ht="15" hidden="1" customHeight="1" outlineLevel="1">
      <c r="A4286" s="453"/>
      <c r="C4286" s="51"/>
      <c r="D4286" s="4295"/>
      <c r="E4286" s="4295"/>
      <c r="F4286" s="4347" t="str">
        <f t="shared" si="374"/>
        <v>ASHP-SEER17_ER2_MF_CompE</v>
      </c>
      <c r="G4286" s="4347"/>
      <c r="H4286" s="4347"/>
      <c r="I4286" s="4347"/>
      <c r="J4286" s="3471" t="str">
        <f t="shared" si="375"/>
        <v>354201_2024_12_</v>
      </c>
      <c r="K4286" s="2894"/>
      <c r="L4286" s="3221"/>
      <c r="M4286" s="3497"/>
      <c r="P4286" s="261"/>
      <c r="Q4286" s="261"/>
      <c r="R4286" s="261"/>
      <c r="S4286" s="52"/>
      <c r="T4286" s="181"/>
      <c r="U4286" s="52"/>
      <c r="V4286" s="4295"/>
      <c r="W4286" s="163"/>
      <c r="X4286" s="166"/>
      <c r="Y4286" s="166"/>
      <c r="Z4286" s="163"/>
      <c r="AA4286" s="163"/>
      <c r="AB4286" s="166"/>
      <c r="AC4286" s="163"/>
      <c r="AD4286" s="163"/>
      <c r="AE4286" s="163"/>
      <c r="AF4286" s="271" t="str">
        <f t="shared" si="376"/>
        <v/>
      </c>
      <c r="AG4286" s="241"/>
      <c r="DG4286" s="573"/>
      <c r="DH4286" s="159"/>
      <c r="DI4286" s="1091"/>
      <c r="DJ4286" s="1187"/>
    </row>
    <row r="4287" spans="1:114" ht="15" hidden="1" customHeight="1" outlineLevel="1">
      <c r="A4287" s="453"/>
      <c r="C4287" s="51"/>
      <c r="D4287" s="4295"/>
      <c r="E4287" s="4295"/>
      <c r="F4287" s="4347" t="str">
        <f t="shared" si="374"/>
        <v>ASHP-SEER17_ER2_MF_CompE</v>
      </c>
      <c r="G4287" s="4347"/>
      <c r="H4287" s="4347"/>
      <c r="I4287" s="4347"/>
      <c r="J4287" s="3471" t="str">
        <f t="shared" si="375"/>
        <v>354201_2024_12_</v>
      </c>
      <c r="K4287" s="2894"/>
      <c r="L4287" s="3221"/>
      <c r="M4287" s="3497"/>
      <c r="P4287" s="261"/>
      <c r="Q4287" s="261"/>
      <c r="R4287" s="261"/>
      <c r="S4287" s="52"/>
      <c r="T4287" s="181"/>
      <c r="U4287" s="52"/>
      <c r="V4287" s="4295"/>
      <c r="W4287" s="163"/>
      <c r="X4287" s="166"/>
      <c r="Y4287" s="166"/>
      <c r="Z4287" s="163"/>
      <c r="AA4287" s="163"/>
      <c r="AB4287" s="166"/>
      <c r="AC4287" s="163"/>
      <c r="AD4287" s="163"/>
      <c r="AE4287" s="163"/>
      <c r="AF4287" s="271" t="str">
        <f t="shared" si="376"/>
        <v/>
      </c>
      <c r="AG4287" s="241"/>
      <c r="DG4287" s="573"/>
      <c r="DH4287" s="159"/>
      <c r="DI4287" s="1091"/>
      <c r="DJ4287" s="1187"/>
    </row>
    <row r="4288" spans="1:114" ht="15" hidden="1" customHeight="1" outlineLevel="1">
      <c r="A4288" s="453"/>
      <c r="C4288" s="51"/>
      <c r="D4288" s="4295"/>
      <c r="E4288" s="4295"/>
      <c r="F4288" s="4307" t="str">
        <f t="shared" si="374"/>
        <v>ASHP-SEER18-Replace_CAC_ElectricHeat_ER1_SF</v>
      </c>
      <c r="G4288" s="4307"/>
      <c r="H4288" s="4307"/>
      <c r="I4288" s="4307"/>
      <c r="J4288" s="1029" t="str">
        <f t="shared" si="375"/>
        <v>354250_2024_12_</v>
      </c>
      <c r="K4288" s="1752">
        <f>(S$1918+L4288*T$1918)-((S$1926+L4288*T$1926)*S$1931)</f>
        <v>4148.0070349116859</v>
      </c>
      <c r="L4288" s="47">
        <f>VLOOKUP(J4288,$J$1914:$L$2106,3,FALSE)*M4288</f>
        <v>2.8921256722608026</v>
      </c>
      <c r="M4288" s="1743">
        <f>VLOOKUP(J4288,$J$3458:$K$3650,2,FALSE)</f>
        <v>1</v>
      </c>
      <c r="N4288" s="553"/>
      <c r="P4288" s="261"/>
      <c r="Q4288" s="261"/>
      <c r="R4288" s="261"/>
      <c r="S4288" s="52"/>
      <c r="T4288" s="181"/>
      <c r="U4288" s="52"/>
      <c r="V4288" s="4295"/>
      <c r="W4288" s="163">
        <v>4279.6282279230445</v>
      </c>
      <c r="X4288" s="166">
        <v>5522.2324744777725</v>
      </c>
      <c r="Y4288" s="166">
        <v>1586.0327049389366</v>
      </c>
      <c r="Z4288" s="163">
        <v>1586.0327049389366</v>
      </c>
      <c r="AA4288" s="163">
        <v>1586.0327049389366</v>
      </c>
      <c r="AB4288" s="166">
        <v>1778.604441180808</v>
      </c>
      <c r="AC4288" s="166">
        <v>1714.015989382433</v>
      </c>
      <c r="AD4288" s="166">
        <v>1681.5237652002679</v>
      </c>
      <c r="AE4288" s="166">
        <v>1751.9355683221515</v>
      </c>
      <c r="AF4288" s="271">
        <f t="shared" si="376"/>
        <v>4148.0070349116859</v>
      </c>
      <c r="AG4288" s="241"/>
      <c r="DG4288" s="573"/>
      <c r="DH4288" s="159"/>
      <c r="DI4288" s="1091"/>
      <c r="DJ4288" s="1187"/>
    </row>
    <row r="4289" spans="1:114" ht="15" hidden="1" customHeight="1" outlineLevel="1">
      <c r="A4289" s="453"/>
      <c r="C4289" s="51"/>
      <c r="D4289" s="4295"/>
      <c r="E4289" s="4295"/>
      <c r="F4289" s="4307" t="str">
        <f t="shared" si="374"/>
        <v>ASHP-SEER18-Replace_CAC_ElectricHeat_ER1_SF</v>
      </c>
      <c r="G4289" s="4307"/>
      <c r="H4289" s="4307"/>
      <c r="I4289" s="4307"/>
      <c r="J4289" s="1029" t="str">
        <f t="shared" si="375"/>
        <v>354250_2024_12_</v>
      </c>
      <c r="K4289" s="163"/>
      <c r="L4289" s="47" t="str">
        <f>IF(K4289&gt;0,VLOOKUP(J4289,$J$1914:$L$2106,3,FALSE),"")</f>
        <v/>
      </c>
      <c r="M4289" s="1743" t="str">
        <f>IF(K4289&gt;0,VLOOKUP(J4289,$J$3458:$K$3650,2,FALSE),"")</f>
        <v/>
      </c>
      <c r="P4289" s="261"/>
      <c r="Q4289" s="261"/>
      <c r="R4289" s="261"/>
      <c r="S4289" s="52"/>
      <c r="T4289" s="181"/>
      <c r="U4289" s="52"/>
      <c r="V4289" s="4295"/>
      <c r="W4289" s="163"/>
      <c r="X4289" s="166"/>
      <c r="Y4289" s="166"/>
      <c r="Z4289" s="163"/>
      <c r="AA4289" s="163"/>
      <c r="AB4289" s="166"/>
      <c r="AC4289" s="163"/>
      <c r="AD4289" s="163"/>
      <c r="AE4289" s="163"/>
      <c r="AF4289" s="271" t="str">
        <f t="shared" si="376"/>
        <v/>
      </c>
      <c r="AG4289" s="241"/>
      <c r="DG4289" s="573"/>
      <c r="DH4289" s="159"/>
      <c r="DI4289" s="1091"/>
      <c r="DJ4289" s="1187"/>
    </row>
    <row r="4290" spans="1:114" ht="15" hidden="1" customHeight="1" outlineLevel="1">
      <c r="A4290" s="453"/>
      <c r="C4290" s="51"/>
      <c r="D4290" s="4295"/>
      <c r="E4290" s="4295"/>
      <c r="F4290" s="4307" t="str">
        <f t="shared" si="374"/>
        <v>ASHP-SEER18-Replace_CAC_ElectricHeat_ER2_SF</v>
      </c>
      <c r="G4290" s="4307"/>
      <c r="H4290" s="4307"/>
      <c r="I4290" s="4307"/>
      <c r="J4290" s="1029" t="str">
        <f t="shared" si="375"/>
        <v>354250_2024_12_</v>
      </c>
      <c r="K4290" s="163"/>
      <c r="L4290" s="47" t="str">
        <f>IF(K4290&gt;0,VLOOKUP(J4290,$J$1914:$L$2106,3,FALSE),"")</f>
        <v/>
      </c>
      <c r="M4290" s="1743" t="str">
        <f>IF(K4290&gt;0,VLOOKUP(J4290,$J$3458:$K$3650,2,FALSE),"")</f>
        <v/>
      </c>
      <c r="P4290" s="261"/>
      <c r="Q4290" s="261"/>
      <c r="R4290" s="261"/>
      <c r="S4290" s="52"/>
      <c r="T4290" s="181"/>
      <c r="U4290" s="52"/>
      <c r="V4290" s="4295"/>
      <c r="W4290" s="163"/>
      <c r="X4290" s="166"/>
      <c r="Y4290" s="166"/>
      <c r="Z4290" s="163"/>
      <c r="AA4290" s="163"/>
      <c r="AB4290" s="166"/>
      <c r="AC4290" s="163"/>
      <c r="AD4290" s="163"/>
      <c r="AE4290" s="163"/>
      <c r="AF4290" s="271" t="str">
        <f t="shared" si="376"/>
        <v/>
      </c>
      <c r="AG4290" s="241"/>
      <c r="DG4290" s="573"/>
      <c r="DH4290" s="159"/>
      <c r="DI4290" s="1091"/>
      <c r="DJ4290" s="1187"/>
    </row>
    <row r="4291" spans="1:114" ht="15" hidden="1" customHeight="1" outlineLevel="1">
      <c r="A4291" s="453"/>
      <c r="C4291" s="51"/>
      <c r="D4291" s="4295"/>
      <c r="E4291" s="4295"/>
      <c r="F4291" s="4307" t="str">
        <f t="shared" si="374"/>
        <v>ASHP-SEER18-Replace_CAC_ElectricHeat_ER2_SF</v>
      </c>
      <c r="G4291" s="4307"/>
      <c r="H4291" s="4307"/>
      <c r="I4291" s="4307"/>
      <c r="J4291" s="1029" t="str">
        <f t="shared" si="375"/>
        <v>354250_2024_12_</v>
      </c>
      <c r="K4291" s="163"/>
      <c r="L4291" s="47" t="str">
        <f>IF(K4291&gt;0,VLOOKUP(J4291,$J$1914:$L$2106,3,FALSE),"")</f>
        <v/>
      </c>
      <c r="M4291" s="1743" t="str">
        <f>IF(K4291&gt;0,VLOOKUP(J4291,$J$3458:$K$3650,2,FALSE),"")</f>
        <v/>
      </c>
      <c r="P4291" s="261"/>
      <c r="Q4291" s="261"/>
      <c r="R4291" s="261"/>
      <c r="S4291" s="52"/>
      <c r="T4291" s="181"/>
      <c r="U4291" s="52"/>
      <c r="V4291" s="4295"/>
      <c r="W4291" s="163"/>
      <c r="X4291" s="166"/>
      <c r="Y4291" s="166"/>
      <c r="Z4291" s="163"/>
      <c r="AA4291" s="163"/>
      <c r="AB4291" s="166"/>
      <c r="AC4291" s="163"/>
      <c r="AD4291" s="163"/>
      <c r="AE4291" s="163"/>
      <c r="AF4291" s="271" t="str">
        <f t="shared" si="376"/>
        <v/>
      </c>
      <c r="AG4291" s="241"/>
      <c r="DG4291" s="573"/>
      <c r="DH4291" s="159"/>
      <c r="DI4291" s="1091"/>
      <c r="DJ4291" s="1187"/>
    </row>
    <row r="4292" spans="1:114" ht="15" hidden="1" customHeight="1" outlineLevel="1">
      <c r="A4292" s="453"/>
      <c r="C4292" s="51"/>
      <c r="D4292" s="4295"/>
      <c r="E4292" s="4295"/>
      <c r="F4292" s="4307" t="str">
        <f t="shared" si="374"/>
        <v>ASHP-SEER18-Replace_CAC_NonElectricHeat_ER1_SF</v>
      </c>
      <c r="G4292" s="4307"/>
      <c r="H4292" s="4307"/>
      <c r="I4292" s="4307"/>
      <c r="J4292" s="1029" t="str">
        <f t="shared" si="375"/>
        <v>354260_2024_12_</v>
      </c>
      <c r="K4292" s="1752">
        <f>((S$1918+L4292*T$1918)-((S$1926+L4292*T$1926)*S$1931))*VLOOKUP(J4292,$J$4424:$K$4467,2,FALSE)</f>
        <v>578.71908821532099</v>
      </c>
      <c r="L4292" s="47">
        <f>VLOOKUP(J4292,$J$1914:$L$2106,3,FALSE)*M4292</f>
        <v>2.8921256722608026</v>
      </c>
      <c r="M4292" s="1743">
        <f>VLOOKUP(J4292,$J$3458:$K$3650,2,FALSE)</f>
        <v>1</v>
      </c>
      <c r="N4292" s="553"/>
      <c r="P4292" s="261"/>
      <c r="Q4292" s="261"/>
      <c r="R4292" s="261"/>
      <c r="S4292" s="52"/>
      <c r="T4292" s="181"/>
      <c r="U4292" s="52"/>
      <c r="V4292" s="4295"/>
      <c r="W4292" s="163"/>
      <c r="X4292" s="166"/>
      <c r="Y4292" s="166"/>
      <c r="Z4292" s="163"/>
      <c r="AA4292" s="163"/>
      <c r="AB4292" s="166"/>
      <c r="AC4292" s="166">
        <v>1714.015989382433</v>
      </c>
      <c r="AD4292" s="166">
        <v>1681.5237652002679</v>
      </c>
      <c r="AE4292" s="166">
        <v>1751.9355683221515</v>
      </c>
      <c r="AF4292" s="271">
        <f t="shared" si="376"/>
        <v>578.71908821532099</v>
      </c>
      <c r="AG4292" s="241"/>
      <c r="DG4292" s="573"/>
      <c r="DH4292" s="159"/>
      <c r="DI4292" s="1091"/>
      <c r="DJ4292" s="1187"/>
    </row>
    <row r="4293" spans="1:114" ht="15" hidden="1" customHeight="1" outlineLevel="1">
      <c r="A4293" s="453"/>
      <c r="C4293" s="51"/>
      <c r="D4293" s="4295"/>
      <c r="E4293" s="4295"/>
      <c r="F4293" s="4307" t="str">
        <f t="shared" si="374"/>
        <v>ASHP-SEER18-Replace_CAC_NonElectricHeat_ER1_SF</v>
      </c>
      <c r="G4293" s="4307"/>
      <c r="H4293" s="4307"/>
      <c r="I4293" s="4307"/>
      <c r="J4293" s="1029" t="str">
        <f t="shared" si="375"/>
        <v>354260_2024_12_</v>
      </c>
      <c r="K4293" s="163"/>
      <c r="L4293" s="47"/>
      <c r="M4293" s="1743"/>
      <c r="P4293" s="261"/>
      <c r="Q4293" s="261"/>
      <c r="R4293" s="261"/>
      <c r="S4293" s="52"/>
      <c r="T4293" s="181"/>
      <c r="U4293" s="52"/>
      <c r="V4293" s="4295"/>
      <c r="W4293" s="163"/>
      <c r="X4293" s="166"/>
      <c r="Y4293" s="166"/>
      <c r="Z4293" s="163"/>
      <c r="AA4293" s="163"/>
      <c r="AB4293" s="166"/>
      <c r="AC4293" s="163"/>
      <c r="AD4293" s="163"/>
      <c r="AE4293" s="163"/>
      <c r="AF4293" s="271" t="str">
        <f t="shared" si="376"/>
        <v/>
      </c>
      <c r="AG4293" s="241"/>
      <c r="DG4293" s="573"/>
      <c r="DH4293" s="159"/>
      <c r="DI4293" s="1091"/>
      <c r="DJ4293" s="1187"/>
    </row>
    <row r="4294" spans="1:114" ht="15" hidden="1" customHeight="1" outlineLevel="1">
      <c r="A4294" s="453"/>
      <c r="C4294" s="51"/>
      <c r="D4294" s="4295"/>
      <c r="E4294" s="4295"/>
      <c r="F4294" s="4307" t="str">
        <f t="shared" ref="F4294:F4357" si="377">E1764</f>
        <v>ASHP-SEER18-Replace_CAC_NonElectricHeat_ER2_SF</v>
      </c>
      <c r="G4294" s="4307"/>
      <c r="H4294" s="4307"/>
      <c r="I4294" s="4307"/>
      <c r="J4294" s="1029" t="str">
        <f t="shared" ref="J4294:J4357" si="378">C1764</f>
        <v>354260_2024_12_</v>
      </c>
      <c r="K4294" s="163"/>
      <c r="L4294" s="47"/>
      <c r="M4294" s="1743"/>
      <c r="P4294" s="261"/>
      <c r="Q4294" s="261"/>
      <c r="R4294" s="261"/>
      <c r="S4294" s="52"/>
      <c r="T4294" s="181"/>
      <c r="U4294" s="52"/>
      <c r="V4294" s="4295"/>
      <c r="W4294" s="163"/>
      <c r="X4294" s="166"/>
      <c r="Y4294" s="166"/>
      <c r="Z4294" s="163"/>
      <c r="AA4294" s="163"/>
      <c r="AB4294" s="166"/>
      <c r="AC4294" s="163"/>
      <c r="AD4294" s="163"/>
      <c r="AE4294" s="163"/>
      <c r="AF4294" s="271" t="str">
        <f t="shared" si="376"/>
        <v/>
      </c>
      <c r="AG4294" s="241"/>
      <c r="DG4294" s="573"/>
      <c r="DH4294" s="159"/>
      <c r="DI4294" s="1091"/>
      <c r="DJ4294" s="1187"/>
    </row>
    <row r="4295" spans="1:114" ht="15" hidden="1" customHeight="1" outlineLevel="1">
      <c r="A4295" s="453"/>
      <c r="C4295" s="51"/>
      <c r="D4295" s="4295"/>
      <c r="E4295" s="4295"/>
      <c r="F4295" s="4307" t="str">
        <f t="shared" si="377"/>
        <v>ASHP-SEER18-Replace_CAC_NonElectricHeat_ER2_SF</v>
      </c>
      <c r="G4295" s="4307"/>
      <c r="H4295" s="4307"/>
      <c r="I4295" s="4307"/>
      <c r="J4295" s="1029" t="str">
        <f t="shared" si="378"/>
        <v>354260_2024_12_</v>
      </c>
      <c r="K4295" s="163"/>
      <c r="L4295" s="47"/>
      <c r="M4295" s="1743"/>
      <c r="P4295" s="261"/>
      <c r="Q4295" s="261"/>
      <c r="R4295" s="261"/>
      <c r="S4295" s="52"/>
      <c r="T4295" s="181"/>
      <c r="U4295" s="52"/>
      <c r="V4295" s="4295"/>
      <c r="W4295" s="163"/>
      <c r="X4295" s="166"/>
      <c r="Y4295" s="166"/>
      <c r="Z4295" s="163"/>
      <c r="AA4295" s="163"/>
      <c r="AB4295" s="166"/>
      <c r="AC4295" s="163"/>
      <c r="AD4295" s="163"/>
      <c r="AE4295" s="163"/>
      <c r="AF4295" s="271" t="str">
        <f t="shared" si="376"/>
        <v/>
      </c>
      <c r="AG4295" s="241"/>
      <c r="DG4295" s="573"/>
      <c r="DH4295" s="159"/>
      <c r="DI4295" s="1091"/>
      <c r="DJ4295" s="1187"/>
    </row>
    <row r="4296" spans="1:114" ht="15" hidden="1" customHeight="1" outlineLevel="1">
      <c r="A4296" s="453"/>
      <c r="C4296" s="51"/>
      <c r="D4296" s="4295"/>
      <c r="E4296" s="4295"/>
      <c r="F4296" s="4307" t="str">
        <f t="shared" si="377"/>
        <v>ASHP-SEER18-Replace_CAC_ElectricHeat_ER1_MF</v>
      </c>
      <c r="G4296" s="4307"/>
      <c r="H4296" s="4307"/>
      <c r="I4296" s="4307"/>
      <c r="J4296" s="1029" t="str">
        <f t="shared" si="378"/>
        <v>354300_2024_12_</v>
      </c>
      <c r="K4296" s="1752">
        <f>(S$1918+L4296*T$1918)-((S$1926+L4296*T$1926)*S$1931)</f>
        <v>3312.7316315552043</v>
      </c>
      <c r="L4296" s="47">
        <f>VLOOKUP(J4296,$J$1914:$L$2106,3,FALSE)*M4296</f>
        <v>1.5</v>
      </c>
      <c r="M4296" s="1743">
        <f>VLOOKUP(J4296,$J$3458:$K$3650,2,FALSE)</f>
        <v>1</v>
      </c>
      <c r="N4296" s="553"/>
      <c r="P4296" s="261"/>
      <c r="Q4296" s="261"/>
      <c r="R4296" s="261"/>
      <c r="S4296" s="52"/>
      <c r="T4296" s="181"/>
      <c r="U4296" s="52"/>
      <c r="V4296" s="4295"/>
      <c r="W4296" s="163">
        <v>4279.6282279230445</v>
      </c>
      <c r="X4296" s="166">
        <v>3589.451108410552</v>
      </c>
      <c r="Y4296" s="166">
        <v>1280.5879248769756</v>
      </c>
      <c r="Z4296" s="163">
        <v>1280.5879248769756</v>
      </c>
      <c r="AA4296" s="163">
        <v>1280.5879248769756</v>
      </c>
      <c r="AB4296" s="166">
        <v>1584.1584531821509</v>
      </c>
      <c r="AC4296" s="166">
        <v>1195.8844199433067</v>
      </c>
      <c r="AD4296" s="163">
        <v>1195.8844199433067</v>
      </c>
      <c r="AE4296" s="166">
        <v>1372.1426571738343</v>
      </c>
      <c r="AF4296" s="271">
        <f t="shared" si="376"/>
        <v>3312.7316315552043</v>
      </c>
      <c r="AG4296" s="241"/>
      <c r="DG4296" s="573"/>
      <c r="DH4296" s="159"/>
      <c r="DI4296" s="1091"/>
      <c r="DJ4296" s="1187"/>
    </row>
    <row r="4297" spans="1:114" ht="15" hidden="1" customHeight="1" outlineLevel="1">
      <c r="A4297" s="453"/>
      <c r="C4297" s="51"/>
      <c r="D4297" s="4295"/>
      <c r="E4297" s="4295"/>
      <c r="F4297" s="4307" t="str">
        <f t="shared" si="377"/>
        <v>ASHP-SEER18-Replace_CAC_ElectricHeat_ER1_MF</v>
      </c>
      <c r="G4297" s="4307"/>
      <c r="H4297" s="4307"/>
      <c r="I4297" s="4307"/>
      <c r="J4297" s="1029" t="str">
        <f t="shared" si="378"/>
        <v>354300_2024_12_</v>
      </c>
      <c r="K4297" s="163"/>
      <c r="L4297" s="47" t="str">
        <f>IF(K4297&gt;0,VLOOKUP(J4297,$J$1914:$L$2106,3,FALSE),"")</f>
        <v/>
      </c>
      <c r="M4297" s="1743" t="str">
        <f>IF(K4297&gt;0,VLOOKUP(J4297,$J$3458:$K$3650,2,FALSE),"")</f>
        <v/>
      </c>
      <c r="P4297" s="261"/>
      <c r="Q4297" s="261"/>
      <c r="R4297" s="261"/>
      <c r="S4297" s="52"/>
      <c r="T4297" s="181"/>
      <c r="U4297" s="52"/>
      <c r="V4297" s="4295"/>
      <c r="W4297" s="163"/>
      <c r="X4297" s="166"/>
      <c r="Y4297" s="166"/>
      <c r="Z4297" s="163"/>
      <c r="AA4297" s="163"/>
      <c r="AB4297" s="166"/>
      <c r="AC4297" s="163"/>
      <c r="AD4297" s="163"/>
      <c r="AE4297" s="163"/>
      <c r="AF4297" s="271" t="str">
        <f t="shared" si="376"/>
        <v/>
      </c>
      <c r="AG4297" s="241"/>
      <c r="DG4297" s="573"/>
      <c r="DH4297" s="159"/>
      <c r="DI4297" s="1091"/>
      <c r="DJ4297" s="1187"/>
    </row>
    <row r="4298" spans="1:114" ht="15" hidden="1" customHeight="1" outlineLevel="1">
      <c r="A4298" s="453"/>
      <c r="C4298" s="51"/>
      <c r="D4298" s="4295"/>
      <c r="E4298" s="4295"/>
      <c r="F4298" s="4307" t="str">
        <f t="shared" si="377"/>
        <v>ASHP-SEER18-Replace_CAC_ElectricHeat_ER2_MF</v>
      </c>
      <c r="G4298" s="4307"/>
      <c r="H4298" s="4307"/>
      <c r="I4298" s="4307"/>
      <c r="J4298" s="1029" t="str">
        <f t="shared" si="378"/>
        <v>354300_2024_12_</v>
      </c>
      <c r="K4298" s="163"/>
      <c r="L4298" s="47" t="str">
        <f>IF(K4298&gt;0,VLOOKUP(J4298,$J$1914:$L$2106,3,FALSE),"")</f>
        <v/>
      </c>
      <c r="M4298" s="1743" t="str">
        <f>IF(K4298&gt;0,VLOOKUP(J4298,$J$3458:$K$3650,2,FALSE),"")</f>
        <v/>
      </c>
      <c r="P4298" s="261"/>
      <c r="Q4298" s="261"/>
      <c r="R4298" s="261"/>
      <c r="S4298" s="52"/>
      <c r="T4298" s="181"/>
      <c r="U4298" s="52"/>
      <c r="V4298" s="4295"/>
      <c r="W4298" s="163"/>
      <c r="X4298" s="166"/>
      <c r="Y4298" s="166"/>
      <c r="Z4298" s="163"/>
      <c r="AA4298" s="163"/>
      <c r="AB4298" s="166"/>
      <c r="AC4298" s="163"/>
      <c r="AD4298" s="163"/>
      <c r="AE4298" s="163"/>
      <c r="AF4298" s="271" t="str">
        <f t="shared" si="376"/>
        <v/>
      </c>
      <c r="AG4298" s="241"/>
      <c r="DG4298" s="573"/>
      <c r="DH4298" s="159"/>
      <c r="DI4298" s="1091"/>
      <c r="DJ4298" s="1187"/>
    </row>
    <row r="4299" spans="1:114" ht="15" hidden="1" customHeight="1" outlineLevel="1">
      <c r="A4299" s="453"/>
      <c r="C4299" s="51"/>
      <c r="D4299" s="4295"/>
      <c r="E4299" s="4295"/>
      <c r="F4299" s="4307" t="str">
        <f t="shared" si="377"/>
        <v>ASHP-SEER18-Replace_CAC_ElectricHeat_ER2_MF</v>
      </c>
      <c r="G4299" s="4307"/>
      <c r="H4299" s="4307"/>
      <c r="I4299" s="4307"/>
      <c r="J4299" s="1029" t="str">
        <f t="shared" si="378"/>
        <v>354300_2024_12_</v>
      </c>
      <c r="K4299" s="163"/>
      <c r="L4299" s="47" t="str">
        <f>IF(K4299&gt;0,VLOOKUP(J4299,$J$1914:$L$2106,3,FALSE),"")</f>
        <v/>
      </c>
      <c r="M4299" s="1743" t="str">
        <f>IF(K4299&gt;0,VLOOKUP(J4299,$J$3458:$K$3650,2,FALSE),"")</f>
        <v/>
      </c>
      <c r="P4299" s="261"/>
      <c r="Q4299" s="209"/>
      <c r="R4299" s="261"/>
      <c r="S4299" s="52"/>
      <c r="T4299" s="181"/>
      <c r="U4299" s="52"/>
      <c r="V4299" s="4295"/>
      <c r="W4299" s="163"/>
      <c r="X4299" s="166"/>
      <c r="Y4299" s="166"/>
      <c r="Z4299" s="163"/>
      <c r="AA4299" s="163"/>
      <c r="AB4299" s="166"/>
      <c r="AC4299" s="163"/>
      <c r="AD4299" s="163"/>
      <c r="AE4299" s="163"/>
      <c r="AF4299" s="271" t="str">
        <f t="shared" si="376"/>
        <v/>
      </c>
      <c r="AG4299" s="241"/>
      <c r="DG4299" s="573"/>
      <c r="DH4299" s="159"/>
      <c r="DI4299" s="1091"/>
      <c r="DJ4299" s="1187"/>
    </row>
    <row r="4300" spans="1:114" ht="15" hidden="1" customHeight="1" outlineLevel="1">
      <c r="A4300" s="453"/>
      <c r="C4300" s="51"/>
      <c r="D4300" s="4295"/>
      <c r="E4300" s="4295"/>
      <c r="F4300" s="4347" t="str">
        <f t="shared" si="377"/>
        <v>ASHP-SEER18-Replace_CAC_ElectricHeat_ER1_MF_CompE</v>
      </c>
      <c r="G4300" s="4347"/>
      <c r="H4300" s="4347"/>
      <c r="I4300" s="4347"/>
      <c r="J4300" s="3471" t="str">
        <f t="shared" si="378"/>
        <v>354301_2024_12_</v>
      </c>
      <c r="K4300" s="3496">
        <f>(S$1918+L4300*T$1918)-((S$1926+L4300*T$1926)*S$1931)</f>
        <v>3312.7316315552043</v>
      </c>
      <c r="L4300" s="3221">
        <f>VLOOKUP(J4300,$J$1914:$L$2106,3,FALSE)*M4300</f>
        <v>1.5</v>
      </c>
      <c r="M4300" s="3497">
        <f>VLOOKUP(J4300,$J$3458:$K$3650,2,FALSE)</f>
        <v>1</v>
      </c>
      <c r="N4300" s="553"/>
      <c r="P4300" s="261"/>
      <c r="Q4300" s="209"/>
      <c r="R4300" s="261"/>
      <c r="S4300" s="52"/>
      <c r="T4300" s="181"/>
      <c r="U4300" s="52"/>
      <c r="V4300" s="4295"/>
      <c r="W4300" s="163"/>
      <c r="X4300" s="166"/>
      <c r="Y4300" s="166"/>
      <c r="Z4300" s="163"/>
      <c r="AA4300" s="163"/>
      <c r="AB4300" s="166"/>
      <c r="AC4300" s="2467">
        <v>1195.8844199433067</v>
      </c>
      <c r="AD4300" s="2894">
        <v>1195.8844199433067</v>
      </c>
      <c r="AE4300" s="2467">
        <v>1228.9147271629927</v>
      </c>
      <c r="AF4300" s="2236">
        <f t="shared" si="376"/>
        <v>3312.7316315552043</v>
      </c>
      <c r="AG4300" s="241"/>
      <c r="DG4300" s="573"/>
      <c r="DH4300" s="159"/>
      <c r="DI4300" s="1091"/>
      <c r="DJ4300" s="1187"/>
    </row>
    <row r="4301" spans="1:114" ht="15" hidden="1" customHeight="1" outlineLevel="1">
      <c r="A4301" s="453"/>
      <c r="C4301" s="51"/>
      <c r="D4301" s="4295"/>
      <c r="E4301" s="4295"/>
      <c r="F4301" s="4347" t="str">
        <f t="shared" si="377"/>
        <v>ASHP-SEER18-Replace_CAC_ElectricHeat_ER1_MF_CompE</v>
      </c>
      <c r="G4301" s="4347"/>
      <c r="H4301" s="4347"/>
      <c r="I4301" s="4347"/>
      <c r="J4301" s="3471" t="str">
        <f t="shared" si="378"/>
        <v>354301_2024_12_</v>
      </c>
      <c r="K4301" s="2894"/>
      <c r="L4301" s="3221"/>
      <c r="M4301" s="3497"/>
      <c r="P4301" s="261"/>
      <c r="Q4301" s="209"/>
      <c r="R4301" s="261"/>
      <c r="S4301" s="52"/>
      <c r="T4301" s="181"/>
      <c r="U4301" s="52"/>
      <c r="V4301" s="4295"/>
      <c r="W4301" s="163"/>
      <c r="X4301" s="166"/>
      <c r="Y4301" s="166"/>
      <c r="Z4301" s="163"/>
      <c r="AA4301" s="163"/>
      <c r="AB4301" s="166"/>
      <c r="AC4301" s="2894"/>
      <c r="AD4301" s="2894"/>
      <c r="AE4301" s="2894"/>
      <c r="AF4301" s="2236" t="str">
        <f t="shared" si="376"/>
        <v/>
      </c>
      <c r="AG4301" s="241"/>
      <c r="DG4301" s="573"/>
      <c r="DH4301" s="159"/>
      <c r="DI4301" s="1091"/>
      <c r="DJ4301" s="1187"/>
    </row>
    <row r="4302" spans="1:114" ht="15" hidden="1" customHeight="1" outlineLevel="1">
      <c r="A4302" s="453"/>
      <c r="C4302" s="51"/>
      <c r="D4302" s="4295"/>
      <c r="E4302" s="4295"/>
      <c r="F4302" s="4347" t="str">
        <f t="shared" si="377"/>
        <v>ASHP-SEER18-Replace_CAC_ElectricHeat_ER2_MF_CompE</v>
      </c>
      <c r="G4302" s="4347"/>
      <c r="H4302" s="4347"/>
      <c r="I4302" s="4347"/>
      <c r="J4302" s="3471" t="str">
        <f t="shared" si="378"/>
        <v>354301_2024_12_</v>
      </c>
      <c r="K4302" s="2894"/>
      <c r="L4302" s="3221"/>
      <c r="M4302" s="3497"/>
      <c r="P4302" s="261"/>
      <c r="Q4302" s="209"/>
      <c r="R4302" s="261"/>
      <c r="S4302" s="52"/>
      <c r="T4302" s="181"/>
      <c r="U4302" s="52"/>
      <c r="V4302" s="4295"/>
      <c r="W4302" s="163"/>
      <c r="X4302" s="166"/>
      <c r="Y4302" s="166"/>
      <c r="Z4302" s="163"/>
      <c r="AA4302" s="163"/>
      <c r="AB4302" s="166"/>
      <c r="AC4302" s="2894"/>
      <c r="AD4302" s="2894"/>
      <c r="AE4302" s="2894"/>
      <c r="AF4302" s="2236" t="str">
        <f t="shared" si="376"/>
        <v/>
      </c>
      <c r="AG4302" s="241"/>
      <c r="DG4302" s="573"/>
      <c r="DH4302" s="159"/>
      <c r="DI4302" s="1091"/>
      <c r="DJ4302" s="1187"/>
    </row>
    <row r="4303" spans="1:114" ht="15" hidden="1" customHeight="1" outlineLevel="1">
      <c r="A4303" s="453"/>
      <c r="C4303" s="51"/>
      <c r="D4303" s="4295"/>
      <c r="E4303" s="4295"/>
      <c r="F4303" s="4347" t="str">
        <f t="shared" si="377"/>
        <v>ASHP-SEER18-Replace_CAC_ElectricHeat_ER2_MF_CompE</v>
      </c>
      <c r="G4303" s="4347"/>
      <c r="H4303" s="4347"/>
      <c r="I4303" s="4347"/>
      <c r="J4303" s="3471" t="str">
        <f t="shared" si="378"/>
        <v>354301_2024_12_</v>
      </c>
      <c r="K4303" s="2894"/>
      <c r="L4303" s="3221"/>
      <c r="M4303" s="3497"/>
      <c r="P4303" s="261"/>
      <c r="Q4303" s="209"/>
      <c r="R4303" s="261"/>
      <c r="S4303" s="52"/>
      <c r="T4303" s="181"/>
      <c r="U4303" s="52"/>
      <c r="V4303" s="4295"/>
      <c r="W4303" s="163"/>
      <c r="X4303" s="166"/>
      <c r="Y4303" s="166"/>
      <c r="Z4303" s="163"/>
      <c r="AA4303" s="163"/>
      <c r="AB4303" s="166"/>
      <c r="AC4303" s="2894"/>
      <c r="AD4303" s="2894"/>
      <c r="AE4303" s="2894"/>
      <c r="AF4303" s="2236" t="str">
        <f t="shared" si="376"/>
        <v/>
      </c>
      <c r="AG4303" s="241"/>
      <c r="DG4303" s="573"/>
      <c r="DH4303" s="159"/>
      <c r="DI4303" s="1091"/>
      <c r="DJ4303" s="1187"/>
    </row>
    <row r="4304" spans="1:114" ht="15" hidden="1" customHeight="1" outlineLevel="1">
      <c r="A4304" s="453"/>
      <c r="C4304" s="51"/>
      <c r="D4304" s="4295"/>
      <c r="E4304" s="4295"/>
      <c r="F4304" s="4347" t="str">
        <f t="shared" si="377"/>
        <v>ASHP-SEER18-Replace_CAC_NonElectricHeat_ER1_MF</v>
      </c>
      <c r="G4304" s="4347"/>
      <c r="H4304" s="4347"/>
      <c r="I4304" s="4347"/>
      <c r="J4304" s="3471" t="str">
        <f t="shared" si="378"/>
        <v>354310_2024_12_</v>
      </c>
      <c r="K4304" s="3496">
        <f>((S$1918+L4304*T$1918)-((S$1926+L4304*T$1926)*S$1931))*VLOOKUP(J4304,$J$4424:$K$4467,2,FALSE)</f>
        <v>603.15715144054036</v>
      </c>
      <c r="L4304" s="3221">
        <f>VLOOKUP(J4304,$J$1914:$L$2106,3,FALSE)*M4304</f>
        <v>1.5</v>
      </c>
      <c r="M4304" s="3497">
        <f>VLOOKUP(J4304,$J$3458:$K$3650,2,FALSE)</f>
        <v>1</v>
      </c>
      <c r="N4304" s="553"/>
      <c r="P4304" s="261"/>
      <c r="Q4304" s="209"/>
      <c r="R4304" s="261"/>
      <c r="S4304" s="52"/>
      <c r="T4304" s="181"/>
      <c r="U4304" s="52"/>
      <c r="V4304" s="4295"/>
      <c r="W4304" s="163"/>
      <c r="X4304" s="166"/>
      <c r="Y4304" s="166"/>
      <c r="Z4304" s="163"/>
      <c r="AA4304" s="163"/>
      <c r="AB4304" s="166"/>
      <c r="AC4304" s="2467">
        <v>1195.8844199433067</v>
      </c>
      <c r="AD4304" s="2894">
        <v>1195.8844199433067</v>
      </c>
      <c r="AE4304" s="2467">
        <v>1228.9147271629927</v>
      </c>
      <c r="AF4304" s="2236">
        <f t="shared" si="376"/>
        <v>603.15715144054036</v>
      </c>
      <c r="AG4304" s="241"/>
      <c r="DG4304" s="573"/>
      <c r="DH4304" s="159"/>
      <c r="DI4304" s="1091"/>
      <c r="DJ4304" s="1187"/>
    </row>
    <row r="4305" spans="1:114" ht="15" hidden="1" customHeight="1" outlineLevel="1">
      <c r="A4305" s="453"/>
      <c r="C4305" s="51"/>
      <c r="D4305" s="4295"/>
      <c r="E4305" s="4295"/>
      <c r="F4305" s="4347" t="str">
        <f t="shared" si="377"/>
        <v>ASHP-SEER18-Replace_CAC_NonElectricHeat_ER1_MF</v>
      </c>
      <c r="G4305" s="4347"/>
      <c r="H4305" s="4347"/>
      <c r="I4305" s="4347"/>
      <c r="J4305" s="3471" t="str">
        <f t="shared" si="378"/>
        <v>354310_2024_12_</v>
      </c>
      <c r="K4305" s="2894"/>
      <c r="L4305" s="3221"/>
      <c r="M4305" s="3497"/>
      <c r="P4305" s="261"/>
      <c r="Q4305" s="209"/>
      <c r="R4305" s="261"/>
      <c r="S4305" s="52"/>
      <c r="T4305" s="181"/>
      <c r="U4305" s="52"/>
      <c r="V4305" s="4295"/>
      <c r="W4305" s="163"/>
      <c r="X4305" s="166"/>
      <c r="Y4305" s="166"/>
      <c r="Z4305" s="163"/>
      <c r="AA4305" s="163"/>
      <c r="AB4305" s="166"/>
      <c r="AC4305" s="2894"/>
      <c r="AD4305" s="2894"/>
      <c r="AE4305" s="2894"/>
      <c r="AF4305" s="2236" t="str">
        <f t="shared" si="376"/>
        <v/>
      </c>
      <c r="AG4305" s="241"/>
      <c r="DG4305" s="573"/>
      <c r="DH4305" s="159"/>
      <c r="DI4305" s="1091"/>
      <c r="DJ4305" s="1187"/>
    </row>
    <row r="4306" spans="1:114" ht="15" hidden="1" customHeight="1" outlineLevel="1">
      <c r="A4306" s="453"/>
      <c r="C4306" s="51"/>
      <c r="D4306" s="4295"/>
      <c r="E4306" s="4295"/>
      <c r="F4306" s="4347" t="str">
        <f t="shared" si="377"/>
        <v>ASHP-SEER18-Replace_CAC_NonElectricHeat_ER2_MF</v>
      </c>
      <c r="G4306" s="4347"/>
      <c r="H4306" s="4347"/>
      <c r="I4306" s="4347"/>
      <c r="J4306" s="3471" t="str">
        <f t="shared" si="378"/>
        <v>354310_2024_12_</v>
      </c>
      <c r="K4306" s="2894"/>
      <c r="L4306" s="3221"/>
      <c r="M4306" s="3497"/>
      <c r="P4306" s="261"/>
      <c r="Q4306" s="209"/>
      <c r="R4306" s="261"/>
      <c r="S4306" s="52"/>
      <c r="T4306" s="181"/>
      <c r="U4306" s="52"/>
      <c r="V4306" s="4295"/>
      <c r="W4306" s="163"/>
      <c r="X4306" s="166"/>
      <c r="Y4306" s="166"/>
      <c r="Z4306" s="163"/>
      <c r="AA4306" s="163"/>
      <c r="AB4306" s="166"/>
      <c r="AC4306" s="2894"/>
      <c r="AD4306" s="2894"/>
      <c r="AE4306" s="2894"/>
      <c r="AF4306" s="2236" t="str">
        <f t="shared" si="376"/>
        <v/>
      </c>
      <c r="AG4306" s="241"/>
      <c r="DG4306" s="573"/>
      <c r="DH4306" s="159"/>
      <c r="DI4306" s="1091"/>
      <c r="DJ4306" s="1187"/>
    </row>
    <row r="4307" spans="1:114" ht="15" hidden="1" customHeight="1" outlineLevel="1">
      <c r="A4307" s="453"/>
      <c r="C4307" s="51"/>
      <c r="D4307" s="4295"/>
      <c r="E4307" s="4295"/>
      <c r="F4307" s="4347" t="str">
        <f t="shared" si="377"/>
        <v>ASHP-SEER18-Replace_CAC_NonElectricHeat_ER2_MF</v>
      </c>
      <c r="G4307" s="4347"/>
      <c r="H4307" s="4347"/>
      <c r="I4307" s="4347"/>
      <c r="J4307" s="3471" t="str">
        <f t="shared" si="378"/>
        <v>354310_2024_12_</v>
      </c>
      <c r="K4307" s="2894"/>
      <c r="L4307" s="3221"/>
      <c r="M4307" s="3497"/>
      <c r="P4307" s="261"/>
      <c r="Q4307" s="209"/>
      <c r="R4307" s="261"/>
      <c r="S4307" s="52"/>
      <c r="T4307" s="181"/>
      <c r="U4307" s="52"/>
      <c r="V4307" s="4295"/>
      <c r="W4307" s="163"/>
      <c r="X4307" s="166"/>
      <c r="Y4307" s="166"/>
      <c r="Z4307" s="163"/>
      <c r="AA4307" s="163"/>
      <c r="AB4307" s="166"/>
      <c r="AC4307" s="2894"/>
      <c r="AD4307" s="2894"/>
      <c r="AE4307" s="2894"/>
      <c r="AF4307" s="2236" t="str">
        <f t="shared" si="376"/>
        <v/>
      </c>
      <c r="AG4307" s="241"/>
      <c r="DG4307" s="573"/>
      <c r="DH4307" s="159"/>
      <c r="DI4307" s="1091"/>
      <c r="DJ4307" s="1187"/>
    </row>
    <row r="4308" spans="1:114" ht="15" hidden="1" customHeight="1" outlineLevel="1">
      <c r="A4308" s="453"/>
      <c r="C4308" s="51"/>
      <c r="D4308" s="4295"/>
      <c r="E4308" s="4295"/>
      <c r="F4308" s="4347" t="str">
        <f t="shared" si="377"/>
        <v>ASHP-SEER18-Replace_CAC_NonElectricHeat_ER1_MF_CompE</v>
      </c>
      <c r="G4308" s="4347"/>
      <c r="H4308" s="4347"/>
      <c r="I4308" s="4347"/>
      <c r="J4308" s="3471" t="str">
        <f t="shared" si="378"/>
        <v>354311_2024_12_</v>
      </c>
      <c r="K4308" s="3496">
        <f>((S$1918+L4308*T$1918)-((S$1926+L4308*T$1926)*S$1931))*VLOOKUP(J4308,$J$4424:$K$4467,2,FALSE)</f>
        <v>700.0064619387266</v>
      </c>
      <c r="L4308" s="3221">
        <f>VLOOKUP(J4308,$J$1914:$L$2106,3,FALSE)*M4308</f>
        <v>1.5</v>
      </c>
      <c r="M4308" s="3497">
        <f>VLOOKUP(J4308,$J$3458:$K$3650,2,FALSE)</f>
        <v>1</v>
      </c>
      <c r="N4308" s="553"/>
      <c r="P4308" s="261"/>
      <c r="Q4308" s="209"/>
      <c r="R4308" s="261"/>
      <c r="S4308" s="52"/>
      <c r="T4308" s="181"/>
      <c r="U4308" s="52"/>
      <c r="V4308" s="4295"/>
      <c r="W4308" s="163"/>
      <c r="X4308" s="166"/>
      <c r="Y4308" s="166"/>
      <c r="Z4308" s="163"/>
      <c r="AA4308" s="163"/>
      <c r="AB4308" s="166"/>
      <c r="AC4308" s="2467">
        <v>1195.8844199433067</v>
      </c>
      <c r="AD4308" s="2894">
        <v>1195.8844199433067</v>
      </c>
      <c r="AE4308" s="2467">
        <v>1228.9147271629927</v>
      </c>
      <c r="AF4308" s="2236">
        <f t="shared" si="376"/>
        <v>700.0064619387266</v>
      </c>
      <c r="AG4308" s="241"/>
      <c r="DG4308" s="573"/>
      <c r="DH4308" s="159"/>
      <c r="DI4308" s="1091"/>
      <c r="DJ4308" s="1187"/>
    </row>
    <row r="4309" spans="1:114" ht="15" hidden="1" customHeight="1" outlineLevel="1">
      <c r="A4309" s="453"/>
      <c r="C4309" s="51"/>
      <c r="D4309" s="4295"/>
      <c r="E4309" s="4295"/>
      <c r="F4309" s="4347" t="str">
        <f t="shared" si="377"/>
        <v>ASHP-SEER18-Replace_CAC_NonElectricHeat_ER1_MF_CompE</v>
      </c>
      <c r="G4309" s="4347"/>
      <c r="H4309" s="4347"/>
      <c r="I4309" s="4347"/>
      <c r="J4309" s="3471" t="str">
        <f t="shared" si="378"/>
        <v>354311_2024_12_</v>
      </c>
      <c r="K4309" s="2894"/>
      <c r="L4309" s="3221"/>
      <c r="M4309" s="3497"/>
      <c r="P4309" s="261"/>
      <c r="Q4309" s="209"/>
      <c r="R4309" s="261"/>
      <c r="S4309" s="52"/>
      <c r="T4309" s="181"/>
      <c r="U4309" s="52"/>
      <c r="V4309" s="4295"/>
      <c r="W4309" s="163"/>
      <c r="X4309" s="166"/>
      <c r="Y4309" s="166"/>
      <c r="Z4309" s="163"/>
      <c r="AA4309" s="163"/>
      <c r="AB4309" s="166"/>
      <c r="AC4309" s="2894"/>
      <c r="AD4309" s="2894"/>
      <c r="AE4309" s="2894"/>
      <c r="AF4309" s="2236" t="str">
        <f t="shared" si="376"/>
        <v/>
      </c>
      <c r="AG4309" s="241"/>
      <c r="DG4309" s="573"/>
      <c r="DH4309" s="159"/>
      <c r="DI4309" s="1091"/>
      <c r="DJ4309" s="1187"/>
    </row>
    <row r="4310" spans="1:114" ht="15" hidden="1" customHeight="1" outlineLevel="1">
      <c r="A4310" s="453"/>
      <c r="C4310" s="51"/>
      <c r="D4310" s="4295"/>
      <c r="E4310" s="4295"/>
      <c r="F4310" s="4347" t="str">
        <f t="shared" si="377"/>
        <v>ASHP-SEER18-Replace_CAC_NonElectricHeat_ER2_MF_CompE</v>
      </c>
      <c r="G4310" s="4347"/>
      <c r="H4310" s="4347"/>
      <c r="I4310" s="4347"/>
      <c r="J4310" s="3471" t="str">
        <f t="shared" si="378"/>
        <v>354311_2024_12_</v>
      </c>
      <c r="K4310" s="2894"/>
      <c r="L4310" s="3221"/>
      <c r="M4310" s="3497"/>
      <c r="P4310" s="261"/>
      <c r="Q4310" s="209"/>
      <c r="R4310" s="261"/>
      <c r="S4310" s="52"/>
      <c r="T4310" s="181"/>
      <c r="U4310" s="52"/>
      <c r="V4310" s="4295"/>
      <c r="W4310" s="163"/>
      <c r="X4310" s="166"/>
      <c r="Y4310" s="166"/>
      <c r="Z4310" s="163"/>
      <c r="AA4310" s="163"/>
      <c r="AB4310" s="166"/>
      <c r="AC4310" s="2894"/>
      <c r="AD4310" s="2894"/>
      <c r="AE4310" s="2894"/>
      <c r="AF4310" s="2236" t="str">
        <f t="shared" si="376"/>
        <v/>
      </c>
      <c r="AG4310" s="241"/>
      <c r="DG4310" s="573"/>
      <c r="DH4310" s="159"/>
      <c r="DI4310" s="1091"/>
      <c r="DJ4310" s="1187"/>
    </row>
    <row r="4311" spans="1:114" ht="15" hidden="1" customHeight="1" outlineLevel="1">
      <c r="A4311" s="453"/>
      <c r="C4311" s="51"/>
      <c r="D4311" s="4295"/>
      <c r="E4311" s="4295"/>
      <c r="F4311" s="4347" t="str">
        <f t="shared" si="377"/>
        <v>ASHP-SEER18-Replace_CAC_NonElectricHeat_ER2_MF_CompE</v>
      </c>
      <c r="G4311" s="4347"/>
      <c r="H4311" s="4347"/>
      <c r="I4311" s="4347"/>
      <c r="J4311" s="3471" t="str">
        <f t="shared" si="378"/>
        <v>354311_2024_12_</v>
      </c>
      <c r="K4311" s="2894"/>
      <c r="L4311" s="3221"/>
      <c r="M4311" s="3497"/>
      <c r="P4311" s="261"/>
      <c r="Q4311" s="209"/>
      <c r="R4311" s="261"/>
      <c r="S4311" s="52"/>
      <c r="T4311" s="181"/>
      <c r="U4311" s="52"/>
      <c r="V4311" s="4295"/>
      <c r="W4311" s="163"/>
      <c r="X4311" s="166"/>
      <c r="Y4311" s="166"/>
      <c r="Z4311" s="163"/>
      <c r="AA4311" s="163"/>
      <c r="AB4311" s="166"/>
      <c r="AC4311" s="2894"/>
      <c r="AD4311" s="2894"/>
      <c r="AE4311" s="2894"/>
      <c r="AF4311" s="2236" t="str">
        <f t="shared" si="376"/>
        <v/>
      </c>
      <c r="AG4311" s="241"/>
      <c r="DG4311" s="573"/>
      <c r="DH4311" s="159"/>
      <c r="DI4311" s="1091"/>
      <c r="DJ4311" s="1187"/>
    </row>
    <row r="4312" spans="1:114" ht="15" hidden="1" customHeight="1" outlineLevel="1">
      <c r="A4312" s="453"/>
      <c r="C4312" s="51"/>
      <c r="D4312" s="4295"/>
      <c r="E4312" s="4295"/>
      <c r="F4312" s="4307" t="str">
        <f t="shared" si="377"/>
        <v>ASHP-SEER18_ER1_MF</v>
      </c>
      <c r="G4312" s="4307"/>
      <c r="H4312" s="4307"/>
      <c r="I4312" s="4307"/>
      <c r="J4312" s="1029" t="str">
        <f t="shared" si="378"/>
        <v>354350_2024_12_</v>
      </c>
      <c r="K4312" s="1752">
        <f>(S$1918+L4312*T$1918)-(S$1925+L4312*T$1925)*S$1931</f>
        <v>851.66719041900797</v>
      </c>
      <c r="L4312" s="47">
        <f>VLOOKUP(J4312,$J$1914:$L$2106,3,FALSE)*M4312</f>
        <v>2.5</v>
      </c>
      <c r="M4312" s="1743">
        <f>VLOOKUP(J4312,$J$3458:$K$3650,2,FALSE)</f>
        <v>1</v>
      </c>
      <c r="N4312" s="553"/>
      <c r="P4312" s="261"/>
      <c r="Q4312" s="209"/>
      <c r="R4312" s="261"/>
      <c r="S4312" s="52"/>
      <c r="T4312" s="181"/>
      <c r="U4312" s="52"/>
      <c r="V4312" s="4295"/>
      <c r="W4312" s="163">
        <v>6827.3247976250323</v>
      </c>
      <c r="X4312" s="166">
        <f>(X$2051/12000)*$T$1921*X$3595</f>
        <v>0</v>
      </c>
      <c r="Y4312" s="166">
        <v>1317.1849952991461</v>
      </c>
      <c r="Z4312" s="163">
        <v>1317.1849952991461</v>
      </c>
      <c r="AA4312" s="163">
        <v>1317.1849952991461</v>
      </c>
      <c r="AB4312" s="166">
        <v>1475.441723875274</v>
      </c>
      <c r="AC4312" s="166">
        <v>1739.4680664776884</v>
      </c>
      <c r="AD4312" s="163">
        <v>1739.4680664776884</v>
      </c>
      <c r="AE4312" s="166">
        <v>1644.9577619563906</v>
      </c>
      <c r="AF4312" s="271">
        <f t="shared" si="376"/>
        <v>851.66719041900797</v>
      </c>
      <c r="AG4312" s="241"/>
      <c r="DG4312" s="573"/>
      <c r="DH4312" s="159"/>
      <c r="DI4312" s="1091"/>
      <c r="DJ4312" s="1187"/>
    </row>
    <row r="4313" spans="1:114" ht="15" hidden="1" customHeight="1" outlineLevel="1">
      <c r="A4313" s="453"/>
      <c r="C4313" s="51"/>
      <c r="D4313" s="4295"/>
      <c r="E4313" s="4295"/>
      <c r="F4313" s="4307" t="str">
        <f t="shared" si="377"/>
        <v>ASHP-SEER18_ER1_MF</v>
      </c>
      <c r="G4313" s="4307"/>
      <c r="H4313" s="4307"/>
      <c r="I4313" s="4307"/>
      <c r="J4313" s="1029" t="str">
        <f t="shared" si="378"/>
        <v>354350_2024_12_</v>
      </c>
      <c r="K4313" s="163"/>
      <c r="L4313" s="47" t="str">
        <f>IF(K4313&gt;0,VLOOKUP(J4313,$J$1914:$L$2106,3,FALSE),"")</f>
        <v/>
      </c>
      <c r="M4313" s="1743" t="str">
        <f>IF(K4313&gt;0,VLOOKUP(J4313,$J$3458:$K$3650,2,FALSE),"")</f>
        <v/>
      </c>
      <c r="P4313" s="261"/>
      <c r="Q4313" s="209"/>
      <c r="R4313" s="261"/>
      <c r="S4313" s="52"/>
      <c r="T4313" s="181"/>
      <c r="U4313" s="52"/>
      <c r="V4313" s="4295"/>
      <c r="W4313" s="163"/>
      <c r="X4313" s="166"/>
      <c r="Y4313" s="166"/>
      <c r="Z4313" s="163"/>
      <c r="AA4313" s="163"/>
      <c r="AB4313" s="166"/>
      <c r="AC4313" s="163"/>
      <c r="AD4313" s="163"/>
      <c r="AE4313" s="163"/>
      <c r="AF4313" s="271" t="str">
        <f t="shared" si="376"/>
        <v/>
      </c>
      <c r="AG4313" s="241"/>
      <c r="DG4313" s="573"/>
      <c r="DH4313" s="159"/>
      <c r="DI4313" s="1091"/>
      <c r="DJ4313" s="1187"/>
    </row>
    <row r="4314" spans="1:114" ht="15" hidden="1" customHeight="1" outlineLevel="1">
      <c r="A4314" s="453"/>
      <c r="C4314" s="51"/>
      <c r="D4314" s="4295"/>
      <c r="E4314" s="4295"/>
      <c r="F4314" s="4307" t="str">
        <f t="shared" si="377"/>
        <v>ASHP-SEER18_ER2_MF</v>
      </c>
      <c r="G4314" s="4307"/>
      <c r="H4314" s="4307"/>
      <c r="I4314" s="4307"/>
      <c r="J4314" s="1029" t="str">
        <f t="shared" si="378"/>
        <v>354350_2024_12_</v>
      </c>
      <c r="K4314" s="163"/>
      <c r="L4314" s="47" t="str">
        <f>IF(K4314&gt;0,VLOOKUP(J4314,$J$1914:$L$2106,3,FALSE),"")</f>
        <v/>
      </c>
      <c r="M4314" s="1743" t="str">
        <f>IF(K4314&gt;0,VLOOKUP(J4314,$J$3458:$K$3650,2,FALSE),"")</f>
        <v/>
      </c>
      <c r="P4314" s="261"/>
      <c r="Q4314" s="209"/>
      <c r="R4314" s="261"/>
      <c r="S4314" s="52"/>
      <c r="T4314" s="181"/>
      <c r="U4314" s="52"/>
      <c r="V4314" s="4295"/>
      <c r="W4314" s="163"/>
      <c r="X4314" s="166"/>
      <c r="Y4314" s="166"/>
      <c r="Z4314" s="163"/>
      <c r="AA4314" s="163"/>
      <c r="AB4314" s="166"/>
      <c r="AC4314" s="163"/>
      <c r="AD4314" s="163"/>
      <c r="AE4314" s="163"/>
      <c r="AF4314" s="271" t="str">
        <f t="shared" si="376"/>
        <v/>
      </c>
      <c r="AG4314" s="241"/>
      <c r="DG4314" s="573"/>
      <c r="DH4314" s="159"/>
      <c r="DI4314" s="1091"/>
      <c r="DJ4314" s="1187"/>
    </row>
    <row r="4315" spans="1:114" ht="15" hidden="1" customHeight="1" outlineLevel="1">
      <c r="A4315" s="453"/>
      <c r="C4315" s="51"/>
      <c r="D4315" s="4295"/>
      <c r="E4315" s="4295"/>
      <c r="F4315" s="4307" t="str">
        <f t="shared" si="377"/>
        <v>ASHP-SEER18_ER2_MF</v>
      </c>
      <c r="G4315" s="4307"/>
      <c r="H4315" s="4307"/>
      <c r="I4315" s="4307"/>
      <c r="J4315" s="1029" t="str">
        <f t="shared" si="378"/>
        <v>354350_2024_12_</v>
      </c>
      <c r="K4315" s="163"/>
      <c r="L4315" s="47" t="str">
        <f>IF(K4315&gt;0,VLOOKUP(J4315,$J$1914:$L$2106,3,FALSE),"")</f>
        <v/>
      </c>
      <c r="M4315" s="1743" t="str">
        <f>IF(K4315&gt;0,VLOOKUP(J4315,$J$3458:$K$3650,2,FALSE),"")</f>
        <v/>
      </c>
      <c r="P4315" s="261"/>
      <c r="Q4315" s="209"/>
      <c r="R4315" s="261"/>
      <c r="S4315" s="52"/>
      <c r="T4315" s="181"/>
      <c r="U4315" s="52"/>
      <c r="V4315" s="4295"/>
      <c r="W4315" s="163"/>
      <c r="X4315" s="166"/>
      <c r="Y4315" s="166"/>
      <c r="Z4315" s="163"/>
      <c r="AA4315" s="163"/>
      <c r="AB4315" s="166"/>
      <c r="AC4315" s="163"/>
      <c r="AD4315" s="163"/>
      <c r="AE4315" s="163"/>
      <c r="AF4315" s="271" t="str">
        <f t="shared" si="376"/>
        <v/>
      </c>
      <c r="AG4315" s="241"/>
      <c r="DG4315" s="573"/>
      <c r="DH4315" s="159"/>
      <c r="DI4315" s="1091"/>
      <c r="DJ4315" s="1187"/>
    </row>
    <row r="4316" spans="1:114" ht="15" hidden="1" customHeight="1" outlineLevel="1">
      <c r="A4316" s="453"/>
      <c r="C4316" s="51"/>
      <c r="D4316" s="4295"/>
      <c r="E4316" s="4295"/>
      <c r="F4316" s="4347" t="str">
        <f t="shared" si="377"/>
        <v>ASHP-SEER18_ER1_MF_CompE</v>
      </c>
      <c r="G4316" s="4347"/>
      <c r="H4316" s="4347"/>
      <c r="I4316" s="4347"/>
      <c r="J4316" s="3471" t="str">
        <f t="shared" si="378"/>
        <v>354351_2024_12_</v>
      </c>
      <c r="K4316" s="3496">
        <f>(S$1918+L4316*T$1918)-(S$1925+L4316*T$1925)*S$1931</f>
        <v>851.66719041900797</v>
      </c>
      <c r="L4316" s="3221">
        <f>VLOOKUP(J4316,$J$1914:$L$2106,3,FALSE)*M4316</f>
        <v>2.5</v>
      </c>
      <c r="M4316" s="3497">
        <f>VLOOKUP(J4316,$J$3458:$K$3650,2,FALSE)</f>
        <v>1</v>
      </c>
      <c r="N4316" s="553"/>
      <c r="P4316" s="261"/>
      <c r="Q4316" s="209"/>
      <c r="R4316" s="261"/>
      <c r="S4316" s="52"/>
      <c r="T4316" s="181"/>
      <c r="U4316" s="52"/>
      <c r="V4316" s="4295"/>
      <c r="W4316" s="163"/>
      <c r="X4316" s="166"/>
      <c r="Y4316" s="166"/>
      <c r="Z4316" s="163"/>
      <c r="AA4316" s="163"/>
      <c r="AB4316" s="166"/>
      <c r="AC4316" s="2467">
        <v>1739.4680664776884</v>
      </c>
      <c r="AD4316" s="2894">
        <v>1739.4680664776884</v>
      </c>
      <c r="AE4316" s="2467">
        <v>1644.9577619563906</v>
      </c>
      <c r="AF4316" s="2236">
        <f t="shared" si="376"/>
        <v>851.66719041900797</v>
      </c>
      <c r="AG4316" s="241"/>
      <c r="DG4316" s="573"/>
      <c r="DH4316" s="159"/>
      <c r="DI4316" s="1091"/>
      <c r="DJ4316" s="1187"/>
    </row>
    <row r="4317" spans="1:114" ht="15" hidden="1" customHeight="1" outlineLevel="1">
      <c r="A4317" s="453"/>
      <c r="C4317" s="51"/>
      <c r="D4317" s="4295"/>
      <c r="E4317" s="4295"/>
      <c r="F4317" s="4347" t="str">
        <f t="shared" si="377"/>
        <v>ASHP-SEER18_ER1_MF_CompE</v>
      </c>
      <c r="G4317" s="4347"/>
      <c r="H4317" s="4347"/>
      <c r="I4317" s="4347"/>
      <c r="J4317" s="3471" t="str">
        <f t="shared" si="378"/>
        <v>354351_2024_12_</v>
      </c>
      <c r="K4317" s="2894"/>
      <c r="L4317" s="3221"/>
      <c r="M4317" s="3497"/>
      <c r="P4317" s="261"/>
      <c r="Q4317" s="209"/>
      <c r="R4317" s="261"/>
      <c r="S4317" s="52"/>
      <c r="T4317" s="181"/>
      <c r="U4317" s="52"/>
      <c r="V4317" s="4295"/>
      <c r="W4317" s="163"/>
      <c r="X4317" s="166"/>
      <c r="Y4317" s="166"/>
      <c r="Z4317" s="163"/>
      <c r="AA4317" s="163"/>
      <c r="AB4317" s="166"/>
      <c r="AC4317" s="163"/>
      <c r="AD4317" s="163"/>
      <c r="AE4317" s="163"/>
      <c r="AF4317" s="271" t="str">
        <f t="shared" si="376"/>
        <v/>
      </c>
      <c r="AG4317" s="241"/>
      <c r="DG4317" s="573"/>
      <c r="DH4317" s="159"/>
      <c r="DI4317" s="1091"/>
      <c r="DJ4317" s="1187"/>
    </row>
    <row r="4318" spans="1:114" ht="15" hidden="1" customHeight="1" outlineLevel="1">
      <c r="A4318" s="453"/>
      <c r="C4318" s="51"/>
      <c r="D4318" s="4295"/>
      <c r="E4318" s="4295"/>
      <c r="F4318" s="4347" t="str">
        <f t="shared" si="377"/>
        <v>ASHP-SEER18_ER2_MF_CompE</v>
      </c>
      <c r="G4318" s="4347"/>
      <c r="H4318" s="4347"/>
      <c r="I4318" s="4347"/>
      <c r="J4318" s="3471" t="str">
        <f t="shared" si="378"/>
        <v>354351_2024_12_</v>
      </c>
      <c r="K4318" s="2894"/>
      <c r="L4318" s="3221"/>
      <c r="M4318" s="3497"/>
      <c r="P4318" s="261"/>
      <c r="Q4318" s="209"/>
      <c r="R4318" s="261"/>
      <c r="S4318" s="52"/>
      <c r="T4318" s="181"/>
      <c r="U4318" s="52"/>
      <c r="V4318" s="4295"/>
      <c r="W4318" s="163"/>
      <c r="X4318" s="166"/>
      <c r="Y4318" s="166"/>
      <c r="Z4318" s="163"/>
      <c r="AA4318" s="163"/>
      <c r="AB4318" s="166"/>
      <c r="AC4318" s="163"/>
      <c r="AD4318" s="163"/>
      <c r="AE4318" s="163"/>
      <c r="AF4318" s="271" t="str">
        <f t="shared" si="376"/>
        <v/>
      </c>
      <c r="AG4318" s="241"/>
      <c r="DG4318" s="573"/>
      <c r="DH4318" s="159"/>
      <c r="DI4318" s="1091"/>
      <c r="DJ4318" s="1187"/>
    </row>
    <row r="4319" spans="1:114" ht="15" hidden="1" customHeight="1" outlineLevel="1">
      <c r="A4319" s="453"/>
      <c r="C4319" s="51"/>
      <c r="D4319" s="4295"/>
      <c r="E4319" s="4295"/>
      <c r="F4319" s="4347" t="str">
        <f t="shared" si="377"/>
        <v>ASHP-SEER18_ER2_MF_CompE</v>
      </c>
      <c r="G4319" s="4347"/>
      <c r="H4319" s="4347"/>
      <c r="I4319" s="4347"/>
      <c r="J4319" s="3471" t="str">
        <f t="shared" si="378"/>
        <v>354351_2024_12_</v>
      </c>
      <c r="K4319" s="2894"/>
      <c r="L4319" s="3221"/>
      <c r="M4319" s="3497"/>
      <c r="P4319" s="261"/>
      <c r="Q4319" s="209"/>
      <c r="R4319" s="261"/>
      <c r="S4319" s="52"/>
      <c r="T4319" s="181"/>
      <c r="U4319" s="52"/>
      <c r="V4319" s="4295"/>
      <c r="W4319" s="163"/>
      <c r="X4319" s="166"/>
      <c r="Y4319" s="166"/>
      <c r="Z4319" s="163"/>
      <c r="AA4319" s="163"/>
      <c r="AB4319" s="166"/>
      <c r="AC4319" s="163"/>
      <c r="AD4319" s="163"/>
      <c r="AE4319" s="163"/>
      <c r="AF4319" s="271" t="str">
        <f t="shared" si="376"/>
        <v/>
      </c>
      <c r="AG4319" s="241"/>
      <c r="DG4319" s="573"/>
      <c r="DH4319" s="159"/>
      <c r="DI4319" s="1091"/>
      <c r="DJ4319" s="1187"/>
    </row>
    <row r="4320" spans="1:114" ht="15" hidden="1" customHeight="1" outlineLevel="1">
      <c r="A4320" s="453"/>
      <c r="C4320" s="51"/>
      <c r="D4320" s="4295"/>
      <c r="E4320" s="4295"/>
      <c r="F4320" s="4307" t="str">
        <f t="shared" si="377"/>
        <v>ASHP-SEER19-Replace_CAC_ElectricHeat_ER1_SF</v>
      </c>
      <c r="G4320" s="4307"/>
      <c r="H4320" s="4307"/>
      <c r="I4320" s="4307"/>
      <c r="J4320" s="1029" t="str">
        <f t="shared" si="378"/>
        <v>354400_2024_12_</v>
      </c>
      <c r="K4320" s="1752">
        <f>(S$1919+L4320*T$1919)-((S$1926+L4320*T$1926)*S$1931)</f>
        <v>4902.6041805257928</v>
      </c>
      <c r="L4320" s="47">
        <f>VLOOKUP(J4320,$J$1914:$L$2106,3,FALSE)*M4320</f>
        <v>3.7731209149509803</v>
      </c>
      <c r="M4320" s="1743">
        <f>VLOOKUP(J4320,$J$3458:$K$3650,2,FALSE)</f>
        <v>1</v>
      </c>
      <c r="N4320" s="553"/>
      <c r="P4320" s="261"/>
      <c r="Q4320" s="209"/>
      <c r="R4320" s="261"/>
      <c r="S4320" s="52"/>
      <c r="T4320" s="181"/>
      <c r="U4320" s="52"/>
      <c r="V4320" s="4295"/>
      <c r="W4320" s="163">
        <v>4620.6282279230445</v>
      </c>
      <c r="X4320" s="166">
        <v>6268.4954744777742</v>
      </c>
      <c r="Y4320" s="166">
        <v>1686.03270493894</v>
      </c>
      <c r="Z4320" s="163">
        <v>1686.0327049389366</v>
      </c>
      <c r="AA4320" s="163">
        <v>1686.0327049389366</v>
      </c>
      <c r="AB4320" s="166">
        <v>1944.3573864864111</v>
      </c>
      <c r="AC4320" s="166">
        <v>2063.8263197906699</v>
      </c>
      <c r="AD4320" s="166">
        <v>2105.1914618743731</v>
      </c>
      <c r="AE4320" s="166">
        <v>2233.0143777696067</v>
      </c>
      <c r="AF4320" s="271">
        <f t="shared" si="376"/>
        <v>4902.6041805257928</v>
      </c>
      <c r="AG4320" s="241"/>
      <c r="DG4320" s="573"/>
      <c r="DH4320" s="159"/>
      <c r="DI4320" s="1091"/>
      <c r="DJ4320" s="1187"/>
    </row>
    <row r="4321" spans="1:114" ht="15" hidden="1" customHeight="1" outlineLevel="1">
      <c r="A4321" s="453"/>
      <c r="C4321" s="51"/>
      <c r="D4321" s="4295"/>
      <c r="E4321" s="4295"/>
      <c r="F4321" s="4307" t="str">
        <f t="shared" si="377"/>
        <v>ASHP-SEER19-Replace_CAC_ElectricHeat_ER1_SF</v>
      </c>
      <c r="G4321" s="4307"/>
      <c r="H4321" s="4307"/>
      <c r="I4321" s="4307"/>
      <c r="J4321" s="1029" t="str">
        <f t="shared" si="378"/>
        <v>354400_2024_12_</v>
      </c>
      <c r="K4321" s="163"/>
      <c r="L4321" s="47" t="str">
        <f>IF(K4321&gt;0,VLOOKUP(J4321,$J$1914:$L$2106,3,FALSE),"")</f>
        <v/>
      </c>
      <c r="M4321" s="1743" t="str">
        <f>IF(K4321&gt;0,VLOOKUP(J4321,$J$3458:$K$3650,2,FALSE),"")</f>
        <v/>
      </c>
      <c r="P4321" s="261"/>
      <c r="S4321" s="52"/>
      <c r="T4321" s="52"/>
      <c r="U4321" s="52"/>
      <c r="V4321" s="4295"/>
      <c r="W4321" s="163"/>
      <c r="X4321" s="166"/>
      <c r="Y4321" s="166"/>
      <c r="Z4321" s="163"/>
      <c r="AA4321" s="163"/>
      <c r="AB4321" s="166"/>
      <c r="AC4321" s="163"/>
      <c r="AD4321" s="163"/>
      <c r="AE4321" s="163"/>
      <c r="AF4321" s="271" t="str">
        <f t="shared" si="376"/>
        <v/>
      </c>
      <c r="AG4321" s="241"/>
      <c r="DG4321" s="573"/>
      <c r="DH4321" s="159"/>
      <c r="DI4321" s="1091"/>
      <c r="DJ4321" s="1187"/>
    </row>
    <row r="4322" spans="1:114" ht="15" hidden="1" customHeight="1" outlineLevel="1">
      <c r="A4322" s="453"/>
      <c r="C4322" s="51"/>
      <c r="D4322" s="4295"/>
      <c r="E4322" s="4295"/>
      <c r="F4322" s="4307" t="str">
        <f t="shared" si="377"/>
        <v>ASHP-SEER19-Replace_CAC_ElectricHeat_ER2_SF</v>
      </c>
      <c r="G4322" s="4307"/>
      <c r="H4322" s="4307"/>
      <c r="I4322" s="4307"/>
      <c r="J4322" s="1029" t="str">
        <f t="shared" si="378"/>
        <v>354400_2024_12_</v>
      </c>
      <c r="K4322" s="163"/>
      <c r="L4322" s="47" t="str">
        <f>IF(K4322&gt;0,VLOOKUP(J4322,$J$1914:$L$2106,3,FALSE),"")</f>
        <v/>
      </c>
      <c r="M4322" s="1743" t="str">
        <f>IF(K4322&gt;0,VLOOKUP(J4322,$J$3458:$K$3650,2,FALSE),"")</f>
        <v/>
      </c>
      <c r="P4322" s="261"/>
      <c r="Q4322" s="209"/>
      <c r="R4322" s="261"/>
      <c r="S4322" s="52"/>
      <c r="T4322" s="181"/>
      <c r="U4322" s="52"/>
      <c r="V4322" s="4295"/>
      <c r="W4322" s="163"/>
      <c r="X4322" s="166"/>
      <c r="Y4322" s="166"/>
      <c r="Z4322" s="163"/>
      <c r="AA4322" s="163"/>
      <c r="AB4322" s="166"/>
      <c r="AC4322" s="163"/>
      <c r="AD4322" s="163"/>
      <c r="AE4322" s="163"/>
      <c r="AF4322" s="271" t="str">
        <f t="shared" si="376"/>
        <v/>
      </c>
      <c r="AG4322" s="241"/>
      <c r="DG4322" s="573"/>
      <c r="DH4322" s="159"/>
      <c r="DI4322" s="1091"/>
      <c r="DJ4322" s="1187"/>
    </row>
    <row r="4323" spans="1:114" ht="15" hidden="1" customHeight="1" outlineLevel="1">
      <c r="A4323" s="453"/>
      <c r="C4323" s="51"/>
      <c r="D4323" s="4295"/>
      <c r="E4323" s="4295"/>
      <c r="F4323" s="4307" t="str">
        <f t="shared" si="377"/>
        <v>ASHP-SEER19-Replace_CAC_ElectricHeat_ER2_SF</v>
      </c>
      <c r="G4323" s="4307"/>
      <c r="H4323" s="4307"/>
      <c r="I4323" s="4307"/>
      <c r="J4323" s="1029" t="str">
        <f t="shared" si="378"/>
        <v>354400_2024_12_</v>
      </c>
      <c r="K4323" s="163"/>
      <c r="L4323" s="47" t="str">
        <f>IF(K4323&gt;0,VLOOKUP(J4323,$J$1914:$L$2106,3,FALSE),"")</f>
        <v/>
      </c>
      <c r="M4323" s="1743" t="str">
        <f>IF(K4323&gt;0,VLOOKUP(J4323,$J$3458:$K$3650,2,FALSE),"")</f>
        <v/>
      </c>
      <c r="P4323" s="261"/>
      <c r="S4323" s="52"/>
      <c r="T4323" s="52"/>
      <c r="U4323" s="52"/>
      <c r="V4323" s="4295"/>
      <c r="W4323" s="163"/>
      <c r="X4323" s="166"/>
      <c r="Y4323" s="166"/>
      <c r="Z4323" s="163"/>
      <c r="AA4323" s="163"/>
      <c r="AB4323" s="166"/>
      <c r="AC4323" s="163"/>
      <c r="AD4323" s="163"/>
      <c r="AE4323" s="163"/>
      <c r="AF4323" s="271" t="str">
        <f t="shared" si="376"/>
        <v/>
      </c>
      <c r="AG4323" s="241"/>
      <c r="DG4323" s="573"/>
      <c r="DH4323" s="159"/>
      <c r="DI4323" s="1091"/>
      <c r="DJ4323" s="1187"/>
    </row>
    <row r="4324" spans="1:114" ht="15" hidden="1" customHeight="1" outlineLevel="1">
      <c r="A4324" s="453"/>
      <c r="C4324" s="51"/>
      <c r="D4324" s="4295"/>
      <c r="E4324" s="4295"/>
      <c r="F4324" s="4307" t="str">
        <f t="shared" si="377"/>
        <v>ASHP-SEER19-Replace_CAC_NonElectricHeat_ER1_SF</v>
      </c>
      <c r="G4324" s="4307"/>
      <c r="H4324" s="4307"/>
      <c r="I4324" s="4307"/>
      <c r="J4324" s="1029" t="str">
        <f t="shared" si="378"/>
        <v>354410_2024_12_</v>
      </c>
      <c r="K4324" s="1752">
        <f>((S$1919+L4324*T$1919)-((S$1926+L4324*T$1926)*S$1931))*VLOOKUP(J4324,$J$4424:$K$4467,2,FALSE)</f>
        <v>550.39602164642804</v>
      </c>
      <c r="L4324" s="47">
        <f>VLOOKUP(J4324,$J$1914:$L$2106,3,FALSE)*M4324</f>
        <v>3.6</v>
      </c>
      <c r="M4324" s="1743">
        <f>VLOOKUP(J4324,$J$3458:$K$3650,2,FALSE)</f>
        <v>1</v>
      </c>
      <c r="N4324" s="553"/>
      <c r="P4324" s="261"/>
      <c r="S4324" s="52"/>
      <c r="T4324" s="52"/>
      <c r="U4324" s="52"/>
      <c r="V4324" s="4295"/>
      <c r="W4324" s="163"/>
      <c r="X4324" s="166"/>
      <c r="Y4324" s="166"/>
      <c r="Z4324" s="163"/>
      <c r="AA4324" s="163"/>
      <c r="AB4324" s="166"/>
      <c r="AC4324" s="166">
        <v>2063.8263197906699</v>
      </c>
      <c r="AD4324" s="163">
        <v>2063.8263197906699</v>
      </c>
      <c r="AE4324" s="166">
        <v>2185.7843772172032</v>
      </c>
      <c r="AF4324" s="271">
        <f t="shared" si="376"/>
        <v>550.39602164642804</v>
      </c>
      <c r="AG4324" s="241"/>
      <c r="DG4324" s="573"/>
      <c r="DH4324" s="159"/>
      <c r="DI4324" s="1091"/>
      <c r="DJ4324" s="1187"/>
    </row>
    <row r="4325" spans="1:114" ht="15" hidden="1" customHeight="1" outlineLevel="1">
      <c r="A4325" s="453"/>
      <c r="C4325" s="51"/>
      <c r="D4325" s="4295"/>
      <c r="E4325" s="4295"/>
      <c r="F4325" s="4307" t="str">
        <f t="shared" si="377"/>
        <v>ASHP-SEER19-Replace_CAC_NonElectricHeat_ER1_SF</v>
      </c>
      <c r="G4325" s="4307"/>
      <c r="H4325" s="4307"/>
      <c r="I4325" s="4307"/>
      <c r="J4325" s="1029" t="str">
        <f t="shared" si="378"/>
        <v>354410_2024_12_</v>
      </c>
      <c r="K4325" s="163"/>
      <c r="L4325" s="47"/>
      <c r="M4325" s="1743"/>
      <c r="P4325" s="261"/>
      <c r="S4325" s="52"/>
      <c r="T4325" s="52"/>
      <c r="U4325" s="52"/>
      <c r="V4325" s="4295"/>
      <c r="W4325" s="163"/>
      <c r="X4325" s="166"/>
      <c r="Y4325" s="166"/>
      <c r="Z4325" s="163"/>
      <c r="AA4325" s="163"/>
      <c r="AB4325" s="166"/>
      <c r="AC4325" s="163"/>
      <c r="AD4325" s="163"/>
      <c r="AE4325" s="163"/>
      <c r="AF4325" s="271" t="str">
        <f t="shared" si="376"/>
        <v/>
      </c>
      <c r="AG4325" s="241"/>
      <c r="DG4325" s="573"/>
      <c r="DH4325" s="159"/>
      <c r="DI4325" s="1091"/>
      <c r="DJ4325" s="1187"/>
    </row>
    <row r="4326" spans="1:114" ht="15" hidden="1" customHeight="1" outlineLevel="1">
      <c r="A4326" s="453"/>
      <c r="C4326" s="51"/>
      <c r="D4326" s="4295"/>
      <c r="E4326" s="4295"/>
      <c r="F4326" s="4307" t="str">
        <f t="shared" si="377"/>
        <v>ASHP-SEER19-Replace_CAC_NonElectricHeat_ER2_SF</v>
      </c>
      <c r="G4326" s="4307"/>
      <c r="H4326" s="4307"/>
      <c r="I4326" s="4307"/>
      <c r="J4326" s="1029" t="str">
        <f t="shared" si="378"/>
        <v>354410_2024_12_</v>
      </c>
      <c r="K4326" s="163"/>
      <c r="L4326" s="47"/>
      <c r="M4326" s="1743"/>
      <c r="P4326" s="261"/>
      <c r="S4326" s="52"/>
      <c r="T4326" s="52"/>
      <c r="U4326" s="52"/>
      <c r="V4326" s="4295"/>
      <c r="W4326" s="163"/>
      <c r="X4326" s="166"/>
      <c r="Y4326" s="166"/>
      <c r="Z4326" s="163"/>
      <c r="AA4326" s="163"/>
      <c r="AB4326" s="166"/>
      <c r="AC4326" s="163"/>
      <c r="AD4326" s="163"/>
      <c r="AE4326" s="163"/>
      <c r="AF4326" s="271" t="str">
        <f t="shared" si="376"/>
        <v/>
      </c>
      <c r="AG4326" s="241"/>
      <c r="DG4326" s="573"/>
      <c r="DH4326" s="159"/>
      <c r="DI4326" s="1091"/>
      <c r="DJ4326" s="1187"/>
    </row>
    <row r="4327" spans="1:114" ht="15" hidden="1" customHeight="1" outlineLevel="1">
      <c r="A4327" s="453"/>
      <c r="C4327" s="51"/>
      <c r="D4327" s="4295"/>
      <c r="E4327" s="4295"/>
      <c r="F4327" s="4307" t="str">
        <f t="shared" si="377"/>
        <v>ASHP-SEER19-Replace_CAC_NonElectricHeat_ER2_SF</v>
      </c>
      <c r="G4327" s="4307"/>
      <c r="H4327" s="4307"/>
      <c r="I4327" s="4307"/>
      <c r="J4327" s="1029" t="str">
        <f t="shared" si="378"/>
        <v>354410_2024_12_</v>
      </c>
      <c r="K4327" s="163"/>
      <c r="L4327" s="47"/>
      <c r="M4327" s="1743"/>
      <c r="P4327" s="261"/>
      <c r="S4327" s="52"/>
      <c r="T4327" s="52"/>
      <c r="U4327" s="52"/>
      <c r="V4327" s="4295"/>
      <c r="W4327" s="163"/>
      <c r="X4327" s="166"/>
      <c r="Y4327" s="166"/>
      <c r="Z4327" s="163"/>
      <c r="AA4327" s="163"/>
      <c r="AB4327" s="166"/>
      <c r="AC4327" s="163"/>
      <c r="AD4327" s="163"/>
      <c r="AE4327" s="163"/>
      <c r="AF4327" s="271" t="str">
        <f t="shared" si="376"/>
        <v/>
      </c>
      <c r="AG4327" s="241"/>
      <c r="DG4327" s="573"/>
      <c r="DH4327" s="159"/>
      <c r="DI4327" s="1091"/>
      <c r="DJ4327" s="1187"/>
    </row>
    <row r="4328" spans="1:114" ht="15" hidden="1" customHeight="1" outlineLevel="1">
      <c r="A4328" s="453"/>
      <c r="C4328" s="51"/>
      <c r="D4328" s="4295"/>
      <c r="E4328" s="4295"/>
      <c r="F4328" s="4307" t="str">
        <f t="shared" si="377"/>
        <v>ASHP-SEER19-Replace_CAC_ElectricHeat_ER1_MF</v>
      </c>
      <c r="G4328" s="4307"/>
      <c r="H4328" s="4307"/>
      <c r="I4328" s="4307"/>
      <c r="J4328" s="1029" t="str">
        <f t="shared" si="378"/>
        <v>354450_2024_12_</v>
      </c>
      <c r="K4328" s="1752">
        <f>(S$1919+L4328*T$1919)-((S$1926+L4328*T$1926)*S$1931)</f>
        <v>3847.7316315552043</v>
      </c>
      <c r="L4328" s="47">
        <f>VLOOKUP(J4328,$J$1914:$L$2106,3,FALSE)*M4328</f>
        <v>2.0150000000000001</v>
      </c>
      <c r="M4328" s="1743">
        <f>VLOOKUP(J4328,$J$3458:$K$3650,2,FALSE)</f>
        <v>0.65</v>
      </c>
      <c r="N4328" s="553"/>
      <c r="P4328" s="261"/>
      <c r="Q4328" s="209"/>
      <c r="R4328" s="261"/>
      <c r="S4328" s="52"/>
      <c r="T4328" s="181"/>
      <c r="U4328" s="52"/>
      <c r="V4328" s="4295"/>
      <c r="W4328" s="163">
        <v>4620.6282279230445</v>
      </c>
      <c r="X4328" s="166">
        <v>4074.5220584105532</v>
      </c>
      <c r="Y4328" s="166">
        <v>1380.5879248769756</v>
      </c>
      <c r="Z4328" s="163">
        <v>1380.5879248769756</v>
      </c>
      <c r="AA4328" s="163">
        <v>1380.5879248769756</v>
      </c>
      <c r="AB4328" s="166">
        <v>1685.1098012161674</v>
      </c>
      <c r="AC4328" s="163">
        <v>1685.1098012161674</v>
      </c>
      <c r="AD4328" s="163">
        <v>1685.1098012161674</v>
      </c>
      <c r="AE4328" s="166">
        <v>1753.3724361368513</v>
      </c>
      <c r="AF4328" s="271">
        <f t="shared" si="376"/>
        <v>3847.7316315552043</v>
      </c>
      <c r="AG4328" s="241"/>
      <c r="DG4328" s="573"/>
      <c r="DH4328" s="159"/>
      <c r="DI4328" s="1091"/>
      <c r="DJ4328" s="1187"/>
    </row>
    <row r="4329" spans="1:114" ht="15" hidden="1" customHeight="1" outlineLevel="1">
      <c r="A4329" s="453"/>
      <c r="C4329" s="51"/>
      <c r="D4329" s="4295"/>
      <c r="E4329" s="4295"/>
      <c r="F4329" s="4307" t="str">
        <f t="shared" si="377"/>
        <v>ASHP-SEER19-Replace_CAC_ElectricHeat_ER1_MF</v>
      </c>
      <c r="G4329" s="4307"/>
      <c r="H4329" s="4307"/>
      <c r="I4329" s="4307"/>
      <c r="J4329" s="1029" t="str">
        <f t="shared" si="378"/>
        <v>354450_2024_12_</v>
      </c>
      <c r="K4329" s="163"/>
      <c r="L4329" s="47" t="str">
        <f>IF(K4329&gt;0,VLOOKUP(J4329,$J$1914:$L$2106,3,FALSE),"")</f>
        <v/>
      </c>
      <c r="M4329" s="1743" t="str">
        <f>IF(K4329&gt;0,VLOOKUP(J4329,$J$3458:$K$3650,2,FALSE),"")</f>
        <v/>
      </c>
      <c r="P4329" s="261"/>
      <c r="S4329" s="52"/>
      <c r="T4329" s="52"/>
      <c r="U4329" s="52"/>
      <c r="V4329" s="4295"/>
      <c r="W4329" s="163"/>
      <c r="X4329" s="166"/>
      <c r="Y4329" s="166"/>
      <c r="Z4329" s="163"/>
      <c r="AA4329" s="163"/>
      <c r="AB4329" s="166"/>
      <c r="AC4329" s="163"/>
      <c r="AD4329" s="163"/>
      <c r="AE4329" s="163"/>
      <c r="AF4329" s="271" t="str">
        <f t="shared" si="376"/>
        <v/>
      </c>
      <c r="AG4329" s="241"/>
      <c r="DG4329" s="573"/>
      <c r="DH4329" s="159"/>
      <c r="DI4329" s="1091"/>
      <c r="DJ4329" s="1187"/>
    </row>
    <row r="4330" spans="1:114" ht="15" hidden="1" customHeight="1" outlineLevel="1">
      <c r="A4330" s="453"/>
      <c r="C4330" s="51"/>
      <c r="D4330" s="4295"/>
      <c r="E4330" s="4295"/>
      <c r="F4330" s="4307" t="str">
        <f t="shared" si="377"/>
        <v>ASHP-SEER19-Replace_CAC_ElectricHeat_ER2_MF</v>
      </c>
      <c r="G4330" s="4307"/>
      <c r="H4330" s="4307"/>
      <c r="I4330" s="4307"/>
      <c r="J4330" s="1029" t="str">
        <f t="shared" si="378"/>
        <v>354450_2024_12_</v>
      </c>
      <c r="K4330" s="163"/>
      <c r="L4330" s="47" t="str">
        <f>IF(K4330&gt;0,VLOOKUP(J4330,$J$1914:$L$2106,3,FALSE),"")</f>
        <v/>
      </c>
      <c r="M4330" s="1743" t="str">
        <f>IF(K4330&gt;0,VLOOKUP(J4330,$J$3458:$K$3650,2,FALSE),"")</f>
        <v/>
      </c>
      <c r="P4330" s="261"/>
      <c r="S4330" s="52"/>
      <c r="T4330" s="52"/>
      <c r="U4330" s="52"/>
      <c r="V4330" s="4295"/>
      <c r="W4330" s="163"/>
      <c r="X4330" s="166"/>
      <c r="Y4330" s="166"/>
      <c r="Z4330" s="163"/>
      <c r="AA4330" s="163"/>
      <c r="AB4330" s="166"/>
      <c r="AC4330" s="163"/>
      <c r="AD4330" s="163"/>
      <c r="AE4330" s="163"/>
      <c r="AF4330" s="271" t="str">
        <f t="shared" si="376"/>
        <v/>
      </c>
      <c r="AG4330" s="241"/>
      <c r="DG4330" s="573"/>
      <c r="DH4330" s="159"/>
      <c r="DI4330" s="1091"/>
      <c r="DJ4330" s="1187"/>
    </row>
    <row r="4331" spans="1:114" ht="15" hidden="1" customHeight="1" outlineLevel="1">
      <c r="A4331" s="453"/>
      <c r="C4331" s="51"/>
      <c r="D4331" s="4295"/>
      <c r="E4331" s="4295"/>
      <c r="F4331" s="4307" t="str">
        <f t="shared" si="377"/>
        <v>ASHP-SEER19-Replace_CAC_ElectricHeat_ER2_MF</v>
      </c>
      <c r="G4331" s="4307"/>
      <c r="H4331" s="4307"/>
      <c r="I4331" s="4307"/>
      <c r="J4331" s="1029" t="str">
        <f t="shared" si="378"/>
        <v>354450_2024_12_</v>
      </c>
      <c r="K4331" s="163"/>
      <c r="L4331" s="47" t="str">
        <f>IF(K4331&gt;0,VLOOKUP(J4331,$J$1914:$L$2106,3,FALSE),"")</f>
        <v/>
      </c>
      <c r="M4331" s="1743" t="str">
        <f>IF(K4331&gt;0,VLOOKUP(J4331,$J$3458:$K$3650,2,FALSE),"")</f>
        <v/>
      </c>
      <c r="P4331" s="261"/>
      <c r="Q4331" s="209"/>
      <c r="R4331" s="261"/>
      <c r="S4331" s="52"/>
      <c r="T4331" s="181"/>
      <c r="U4331" s="52"/>
      <c r="V4331" s="4295"/>
      <c r="W4331" s="163"/>
      <c r="X4331" s="166"/>
      <c r="Y4331" s="166"/>
      <c r="Z4331" s="163"/>
      <c r="AA4331" s="163"/>
      <c r="AB4331" s="166"/>
      <c r="AC4331" s="163"/>
      <c r="AD4331" s="163"/>
      <c r="AE4331" s="163"/>
      <c r="AF4331" s="271" t="str">
        <f t="shared" si="376"/>
        <v/>
      </c>
      <c r="AG4331" s="241"/>
      <c r="DG4331" s="573"/>
      <c r="DH4331" s="159"/>
      <c r="DI4331" s="1091"/>
      <c r="DJ4331" s="1187"/>
    </row>
    <row r="4332" spans="1:114" ht="15" hidden="1" customHeight="1" outlineLevel="1">
      <c r="A4332" s="453"/>
      <c r="C4332" s="51"/>
      <c r="D4332" s="4295"/>
      <c r="E4332" s="4295"/>
      <c r="F4332" s="4347" t="str">
        <f t="shared" si="377"/>
        <v>ASHP-SEER19-Replace_CAC_ElectricHeat_ER1_MF_CompE</v>
      </c>
      <c r="G4332" s="4347"/>
      <c r="H4332" s="4347"/>
      <c r="I4332" s="4347"/>
      <c r="J4332" s="3471" t="str">
        <f t="shared" si="378"/>
        <v>354451_2024_12_</v>
      </c>
      <c r="K4332" s="3496">
        <f>(S$1919+L4332*T$1919)-((S$1926+L4332*T$1926)*S$1931)</f>
        <v>3847.7316315552043</v>
      </c>
      <c r="L4332" s="3221">
        <f>VLOOKUP(J4332,$J$1914:$L$2106,3,FALSE)*M4332</f>
        <v>2.0150000000000001</v>
      </c>
      <c r="M4332" s="3497">
        <f>VLOOKUP(J4332,$J$3458:$K$3650,2,FALSE)</f>
        <v>0.65</v>
      </c>
      <c r="N4332" s="553"/>
      <c r="P4332" s="261"/>
      <c r="Q4332" s="209"/>
      <c r="R4332" s="261"/>
      <c r="S4332" s="52"/>
      <c r="T4332" s="181"/>
      <c r="U4332" s="52"/>
      <c r="V4332" s="4295"/>
      <c r="W4332" s="163"/>
      <c r="X4332" s="166"/>
      <c r="Y4332" s="166"/>
      <c r="Z4332" s="163"/>
      <c r="AA4332" s="163"/>
      <c r="AB4332" s="166"/>
      <c r="AC4332" s="2467">
        <v>1685.1098012161674</v>
      </c>
      <c r="AD4332" s="2894">
        <v>1685.1098012161674</v>
      </c>
      <c r="AE4332" s="2467">
        <v>1753.3724361368513</v>
      </c>
      <c r="AF4332" s="2236">
        <f t="shared" si="376"/>
        <v>3847.7316315552043</v>
      </c>
      <c r="AG4332" s="241"/>
      <c r="DG4332" s="573"/>
      <c r="DH4332" s="159"/>
      <c r="DI4332" s="1091"/>
      <c r="DJ4332" s="1187"/>
    </row>
    <row r="4333" spans="1:114" ht="15" hidden="1" customHeight="1" outlineLevel="1">
      <c r="A4333" s="453"/>
      <c r="C4333" s="51"/>
      <c r="D4333" s="4295"/>
      <c r="E4333" s="4295"/>
      <c r="F4333" s="4347" t="str">
        <f t="shared" si="377"/>
        <v>ASHP-SEER19-Replace_CAC_ElectricHeat_ER1_MF_CompE</v>
      </c>
      <c r="G4333" s="4347"/>
      <c r="H4333" s="4347"/>
      <c r="I4333" s="4347"/>
      <c r="J4333" s="3471" t="str">
        <f t="shared" si="378"/>
        <v>354451_2024_12_</v>
      </c>
      <c r="K4333" s="2894"/>
      <c r="L4333" s="3221"/>
      <c r="M4333" s="3497"/>
      <c r="P4333" s="261"/>
      <c r="Q4333" s="209"/>
      <c r="R4333" s="261"/>
      <c r="S4333" s="52"/>
      <c r="T4333" s="181"/>
      <c r="U4333" s="52"/>
      <c r="V4333" s="4295"/>
      <c r="W4333" s="163"/>
      <c r="X4333" s="166"/>
      <c r="Y4333" s="166"/>
      <c r="Z4333" s="163"/>
      <c r="AA4333" s="163"/>
      <c r="AB4333" s="166"/>
      <c r="AC4333" s="2894"/>
      <c r="AD4333" s="2894"/>
      <c r="AE4333" s="2894"/>
      <c r="AF4333" s="2236" t="str">
        <f t="shared" si="376"/>
        <v/>
      </c>
      <c r="AG4333" s="241"/>
      <c r="DG4333" s="573"/>
      <c r="DH4333" s="159"/>
      <c r="DI4333" s="1091"/>
      <c r="DJ4333" s="1187"/>
    </row>
    <row r="4334" spans="1:114" ht="15" hidden="1" customHeight="1" outlineLevel="1">
      <c r="A4334" s="453"/>
      <c r="C4334" s="51"/>
      <c r="D4334" s="4295"/>
      <c r="E4334" s="4295"/>
      <c r="F4334" s="4347" t="str">
        <f t="shared" si="377"/>
        <v>ASHP-SEER19-Replace_CAC_ElectricHeat_ER2_MF_CompE</v>
      </c>
      <c r="G4334" s="4347"/>
      <c r="H4334" s="4347"/>
      <c r="I4334" s="4347"/>
      <c r="J4334" s="3471" t="str">
        <f t="shared" si="378"/>
        <v>354451_2024_12_</v>
      </c>
      <c r="K4334" s="2894"/>
      <c r="L4334" s="3221"/>
      <c r="M4334" s="3497"/>
      <c r="P4334" s="261"/>
      <c r="Q4334" s="209"/>
      <c r="R4334" s="261"/>
      <c r="S4334" s="52"/>
      <c r="T4334" s="181"/>
      <c r="U4334" s="52"/>
      <c r="V4334" s="4295"/>
      <c r="W4334" s="163"/>
      <c r="X4334" s="166"/>
      <c r="Y4334" s="166"/>
      <c r="Z4334" s="163"/>
      <c r="AA4334" s="163"/>
      <c r="AB4334" s="166"/>
      <c r="AC4334" s="2894"/>
      <c r="AD4334" s="2894"/>
      <c r="AE4334" s="2894"/>
      <c r="AF4334" s="2236" t="str">
        <f t="shared" si="376"/>
        <v/>
      </c>
      <c r="AG4334" s="241"/>
      <c r="DG4334" s="573"/>
      <c r="DH4334" s="159"/>
      <c r="DI4334" s="1091"/>
      <c r="DJ4334" s="1187"/>
    </row>
    <row r="4335" spans="1:114" ht="15" hidden="1" customHeight="1" outlineLevel="1">
      <c r="A4335" s="453"/>
      <c r="C4335" s="51"/>
      <c r="D4335" s="4295"/>
      <c r="E4335" s="4295"/>
      <c r="F4335" s="4347" t="str">
        <f t="shared" si="377"/>
        <v>ASHP-SEER19-Replace_CAC_ElectricHeat_ER2_MF_CompE</v>
      </c>
      <c r="G4335" s="4347"/>
      <c r="H4335" s="4347"/>
      <c r="I4335" s="4347"/>
      <c r="J4335" s="3471" t="str">
        <f t="shared" si="378"/>
        <v>354451_2024_12_</v>
      </c>
      <c r="K4335" s="2894"/>
      <c r="L4335" s="3221"/>
      <c r="M4335" s="3497"/>
      <c r="P4335" s="261"/>
      <c r="Q4335" s="209"/>
      <c r="R4335" s="261"/>
      <c r="S4335" s="52"/>
      <c r="T4335" s="181"/>
      <c r="U4335" s="52"/>
      <c r="V4335" s="4295"/>
      <c r="W4335" s="163"/>
      <c r="X4335" s="166"/>
      <c r="Y4335" s="166"/>
      <c r="Z4335" s="163"/>
      <c r="AA4335" s="163"/>
      <c r="AB4335" s="166"/>
      <c r="AC4335" s="2894"/>
      <c r="AD4335" s="2894"/>
      <c r="AE4335" s="2894"/>
      <c r="AF4335" s="2236" t="str">
        <f t="shared" si="376"/>
        <v/>
      </c>
      <c r="AG4335" s="241"/>
      <c r="DG4335" s="573"/>
      <c r="DH4335" s="159"/>
      <c r="DI4335" s="1091"/>
      <c r="DJ4335" s="1187"/>
    </row>
    <row r="4336" spans="1:114" ht="15" hidden="1" customHeight="1" outlineLevel="1">
      <c r="A4336" s="453"/>
      <c r="C4336" s="51"/>
      <c r="D4336" s="4295"/>
      <c r="E4336" s="4295"/>
      <c r="F4336" s="4347" t="str">
        <f t="shared" si="377"/>
        <v>ASHP-SEER19-Replace_CAC_NonElectricHeat_ER1_MF</v>
      </c>
      <c r="G4336" s="4347"/>
      <c r="H4336" s="4347"/>
      <c r="I4336" s="4347"/>
      <c r="J4336" s="3471" t="str">
        <f t="shared" si="378"/>
        <v>354460_2024_12_</v>
      </c>
      <c r="K4336" s="3496">
        <f>((S$1919+L4336*T$1919)-((S$1926+L4336*T$1926)*S$1931))*VLOOKUP(J4336,$J$4424:$K$4467,2,FALSE)</f>
        <v>469.46228532769771</v>
      </c>
      <c r="L4336" s="3221">
        <f>VLOOKUP(J4336,$J$1914:$L$2106,3,FALSE)*M4336</f>
        <v>2.0150000000000001</v>
      </c>
      <c r="M4336" s="3497">
        <f>VLOOKUP(J4336,$J$3458:$K$3650,2,FALSE)</f>
        <v>0.65</v>
      </c>
      <c r="N4336" s="553"/>
      <c r="P4336" s="261"/>
      <c r="Q4336" s="209"/>
      <c r="R4336" s="261"/>
      <c r="S4336" s="52"/>
      <c r="T4336" s="181"/>
      <c r="U4336" s="52"/>
      <c r="V4336" s="4295"/>
      <c r="W4336" s="163"/>
      <c r="X4336" s="166"/>
      <c r="Y4336" s="166"/>
      <c r="Z4336" s="163"/>
      <c r="AA4336" s="163"/>
      <c r="AB4336" s="166"/>
      <c r="AC4336" s="2467">
        <v>1685.1098012161674</v>
      </c>
      <c r="AD4336" s="2894">
        <v>1685.1098012161674</v>
      </c>
      <c r="AE4336" s="2467">
        <v>1753.3724361368513</v>
      </c>
      <c r="AF4336" s="2236">
        <f t="shared" si="376"/>
        <v>469.46228532769771</v>
      </c>
      <c r="AG4336" s="241"/>
      <c r="DG4336" s="573"/>
      <c r="DH4336" s="159"/>
      <c r="DI4336" s="1091"/>
      <c r="DJ4336" s="1187"/>
    </row>
    <row r="4337" spans="1:114" ht="15" hidden="1" customHeight="1" outlineLevel="1">
      <c r="A4337" s="453"/>
      <c r="C4337" s="51"/>
      <c r="D4337" s="4295"/>
      <c r="E4337" s="4295"/>
      <c r="F4337" s="4347" t="str">
        <f t="shared" si="377"/>
        <v>ASHP-SEER19-Replace_CAC_NonElectricHeat_ER1_MF</v>
      </c>
      <c r="G4337" s="4347"/>
      <c r="H4337" s="4347"/>
      <c r="I4337" s="4347"/>
      <c r="J4337" s="3471" t="str">
        <f t="shared" si="378"/>
        <v>354460_2024_12_</v>
      </c>
      <c r="K4337" s="2894"/>
      <c r="L4337" s="3221"/>
      <c r="M4337" s="3497"/>
      <c r="P4337" s="261"/>
      <c r="Q4337" s="209"/>
      <c r="R4337" s="261"/>
      <c r="S4337" s="52"/>
      <c r="T4337" s="181"/>
      <c r="U4337" s="52"/>
      <c r="V4337" s="4295"/>
      <c r="W4337" s="163"/>
      <c r="X4337" s="166"/>
      <c r="Y4337" s="166"/>
      <c r="Z4337" s="163"/>
      <c r="AA4337" s="163"/>
      <c r="AB4337" s="166"/>
      <c r="AC4337" s="2894"/>
      <c r="AD4337" s="2894"/>
      <c r="AE4337" s="2894"/>
      <c r="AF4337" s="2236" t="str">
        <f t="shared" si="376"/>
        <v/>
      </c>
      <c r="AG4337" s="241"/>
      <c r="DG4337" s="573"/>
      <c r="DH4337" s="159"/>
      <c r="DI4337" s="1091"/>
      <c r="DJ4337" s="1187"/>
    </row>
    <row r="4338" spans="1:114" ht="15" hidden="1" customHeight="1" outlineLevel="1">
      <c r="A4338" s="453"/>
      <c r="C4338" s="51"/>
      <c r="D4338" s="4295"/>
      <c r="E4338" s="4295"/>
      <c r="F4338" s="4347" t="str">
        <f t="shared" si="377"/>
        <v>ASHP-SEER19-Replace_CAC_NonElectricHeat_ER2_MF</v>
      </c>
      <c r="G4338" s="4347"/>
      <c r="H4338" s="4347"/>
      <c r="I4338" s="4347"/>
      <c r="J4338" s="3471" t="str">
        <f t="shared" si="378"/>
        <v>354460_2024_12_</v>
      </c>
      <c r="K4338" s="2894"/>
      <c r="L4338" s="3221"/>
      <c r="M4338" s="3497"/>
      <c r="P4338" s="261"/>
      <c r="Q4338" s="209"/>
      <c r="R4338" s="261"/>
      <c r="S4338" s="52"/>
      <c r="T4338" s="181"/>
      <c r="U4338" s="52"/>
      <c r="V4338" s="4295"/>
      <c r="W4338" s="163"/>
      <c r="X4338" s="166"/>
      <c r="Y4338" s="166"/>
      <c r="Z4338" s="163"/>
      <c r="AA4338" s="163"/>
      <c r="AB4338" s="166"/>
      <c r="AC4338" s="2894"/>
      <c r="AD4338" s="2894"/>
      <c r="AE4338" s="2894"/>
      <c r="AF4338" s="2236" t="str">
        <f t="shared" si="376"/>
        <v/>
      </c>
      <c r="AG4338" s="241"/>
      <c r="DG4338" s="573"/>
      <c r="DH4338" s="159"/>
      <c r="DI4338" s="1091"/>
      <c r="DJ4338" s="1187"/>
    </row>
    <row r="4339" spans="1:114" ht="15" hidden="1" customHeight="1" outlineLevel="1">
      <c r="A4339" s="453"/>
      <c r="C4339" s="51"/>
      <c r="D4339" s="4295"/>
      <c r="E4339" s="4295"/>
      <c r="F4339" s="4347" t="str">
        <f t="shared" si="377"/>
        <v>ASHP-SEER19-Replace_CAC_NonElectricHeat_ER2_MF</v>
      </c>
      <c r="G4339" s="4347"/>
      <c r="H4339" s="4347"/>
      <c r="I4339" s="4347"/>
      <c r="J4339" s="3471" t="str">
        <f t="shared" si="378"/>
        <v>354460_2024_12_</v>
      </c>
      <c r="K4339" s="2894"/>
      <c r="L4339" s="3221"/>
      <c r="M4339" s="3497"/>
      <c r="P4339" s="261"/>
      <c r="Q4339" s="209"/>
      <c r="R4339" s="261"/>
      <c r="S4339" s="52"/>
      <c r="T4339" s="181"/>
      <c r="U4339" s="52"/>
      <c r="V4339" s="4295"/>
      <c r="W4339" s="163"/>
      <c r="X4339" s="166"/>
      <c r="Y4339" s="166"/>
      <c r="Z4339" s="163"/>
      <c r="AA4339" s="163"/>
      <c r="AB4339" s="166"/>
      <c r="AC4339" s="2894"/>
      <c r="AD4339" s="2894"/>
      <c r="AE4339" s="2894"/>
      <c r="AF4339" s="2236" t="str">
        <f t="shared" si="376"/>
        <v/>
      </c>
      <c r="AG4339" s="241"/>
      <c r="DG4339" s="573"/>
      <c r="DH4339" s="159"/>
      <c r="DI4339" s="1091"/>
      <c r="DJ4339" s="1187"/>
    </row>
    <row r="4340" spans="1:114" ht="15" hidden="1" customHeight="1" outlineLevel="1">
      <c r="A4340" s="453"/>
      <c r="C4340" s="51"/>
      <c r="D4340" s="4295"/>
      <c r="E4340" s="4295"/>
      <c r="F4340" s="4347" t="str">
        <f t="shared" si="377"/>
        <v>ASHP-SEER19-Replace_CAC_NonElectricHeat_ER1_MF_CompE</v>
      </c>
      <c r="G4340" s="4347"/>
      <c r="H4340" s="4347"/>
      <c r="I4340" s="4347"/>
      <c r="J4340" s="3471" t="str">
        <f t="shared" si="378"/>
        <v>354461_2024_12_</v>
      </c>
      <c r="K4340" s="3496">
        <f>((S$1919+L4340*T$1919)-((S$1926+L4340*T$1926)*S$1931))*VLOOKUP(J4340,$J$4424:$K$4467,2,FALSE)</f>
        <v>879.85812776376201</v>
      </c>
      <c r="L4340" s="3221">
        <f>VLOOKUP(J4340,$J$1914:$L$2106,3,FALSE)*M4340</f>
        <v>2.0150000000000001</v>
      </c>
      <c r="M4340" s="3497">
        <f>VLOOKUP(J4340,$J$3458:$K$3650,2,FALSE)</f>
        <v>0.65</v>
      </c>
      <c r="N4340" s="553"/>
      <c r="P4340" s="261"/>
      <c r="Q4340" s="209"/>
      <c r="R4340" s="261"/>
      <c r="S4340" s="52"/>
      <c r="T4340" s="181"/>
      <c r="U4340" s="52"/>
      <c r="V4340" s="4295"/>
      <c r="W4340" s="163"/>
      <c r="X4340" s="166"/>
      <c r="Y4340" s="166"/>
      <c r="Z4340" s="163"/>
      <c r="AA4340" s="163"/>
      <c r="AB4340" s="166"/>
      <c r="AC4340" s="2467">
        <v>1685.1098012161674</v>
      </c>
      <c r="AD4340" s="2894">
        <v>1685.1098012161674</v>
      </c>
      <c r="AE4340" s="2467">
        <v>1753.3724361368513</v>
      </c>
      <c r="AF4340" s="2236">
        <f t="shared" si="376"/>
        <v>879.85812776376201</v>
      </c>
      <c r="AG4340" s="241"/>
      <c r="DG4340" s="573"/>
      <c r="DH4340" s="159"/>
      <c r="DI4340" s="1091"/>
      <c r="DJ4340" s="1187"/>
    </row>
    <row r="4341" spans="1:114" ht="15" hidden="1" customHeight="1" outlineLevel="1">
      <c r="A4341" s="453"/>
      <c r="C4341" s="51"/>
      <c r="D4341" s="4295"/>
      <c r="E4341" s="4295"/>
      <c r="F4341" s="4347" t="str">
        <f t="shared" si="377"/>
        <v>ASHP-SEER19-Replace_CAC_NonElectricHeat_ER1_MF_CompE</v>
      </c>
      <c r="G4341" s="4347"/>
      <c r="H4341" s="4347"/>
      <c r="I4341" s="4347"/>
      <c r="J4341" s="3471" t="str">
        <f t="shared" si="378"/>
        <v>354461_2024_12_</v>
      </c>
      <c r="K4341" s="2894"/>
      <c r="L4341" s="3221"/>
      <c r="M4341" s="3497"/>
      <c r="P4341" s="261"/>
      <c r="Q4341" s="209"/>
      <c r="R4341" s="261"/>
      <c r="S4341" s="52"/>
      <c r="T4341" s="181"/>
      <c r="U4341" s="52"/>
      <c r="V4341" s="4295"/>
      <c r="W4341" s="163"/>
      <c r="X4341" s="166"/>
      <c r="Y4341" s="166"/>
      <c r="Z4341" s="163"/>
      <c r="AA4341" s="163"/>
      <c r="AB4341" s="166"/>
      <c r="AC4341" s="163"/>
      <c r="AD4341" s="163"/>
      <c r="AE4341" s="163"/>
      <c r="AF4341" s="271" t="str">
        <f t="shared" si="376"/>
        <v/>
      </c>
      <c r="AG4341" s="241"/>
      <c r="DG4341" s="573"/>
      <c r="DH4341" s="159"/>
      <c r="DI4341" s="1091"/>
      <c r="DJ4341" s="1187"/>
    </row>
    <row r="4342" spans="1:114" ht="15" hidden="1" customHeight="1" outlineLevel="1">
      <c r="A4342" s="453"/>
      <c r="C4342" s="51"/>
      <c r="D4342" s="4295"/>
      <c r="E4342" s="4295"/>
      <c r="F4342" s="4347" t="str">
        <f t="shared" si="377"/>
        <v>ASHP-SEER19-Replace_CAC_NonElectricHeat_ER2_MF_CompE</v>
      </c>
      <c r="G4342" s="4347"/>
      <c r="H4342" s="4347"/>
      <c r="I4342" s="4347"/>
      <c r="J4342" s="3471" t="str">
        <f t="shared" si="378"/>
        <v>354461_2024_12_</v>
      </c>
      <c r="K4342" s="2894"/>
      <c r="L4342" s="3221"/>
      <c r="M4342" s="3497"/>
      <c r="P4342" s="261"/>
      <c r="Q4342" s="209"/>
      <c r="R4342" s="261"/>
      <c r="S4342" s="52"/>
      <c r="T4342" s="181"/>
      <c r="U4342" s="52"/>
      <c r="V4342" s="4295"/>
      <c r="W4342" s="163"/>
      <c r="X4342" s="166"/>
      <c r="Y4342" s="166"/>
      <c r="Z4342" s="163"/>
      <c r="AA4342" s="163"/>
      <c r="AB4342" s="166"/>
      <c r="AC4342" s="163"/>
      <c r="AD4342" s="163"/>
      <c r="AE4342" s="163"/>
      <c r="AF4342" s="271" t="str">
        <f t="shared" si="376"/>
        <v/>
      </c>
      <c r="AG4342" s="241"/>
      <c r="DG4342" s="573"/>
      <c r="DH4342" s="159"/>
      <c r="DI4342" s="1091"/>
      <c r="DJ4342" s="1187"/>
    </row>
    <row r="4343" spans="1:114" ht="15" hidden="1" customHeight="1" outlineLevel="1">
      <c r="A4343" s="453"/>
      <c r="C4343" s="51"/>
      <c r="D4343" s="4295"/>
      <c r="E4343" s="4295"/>
      <c r="F4343" s="4347" t="str">
        <f t="shared" si="377"/>
        <v>ASHP-SEER19-Replace_CAC_NonElectricHeat_ER2_MF_CompE</v>
      </c>
      <c r="G4343" s="4347"/>
      <c r="H4343" s="4347"/>
      <c r="I4343" s="4347"/>
      <c r="J4343" s="3471" t="str">
        <f t="shared" si="378"/>
        <v>354461_2024_12_</v>
      </c>
      <c r="K4343" s="2894"/>
      <c r="L4343" s="3221"/>
      <c r="M4343" s="3497"/>
      <c r="P4343" s="261"/>
      <c r="Q4343" s="209"/>
      <c r="R4343" s="261"/>
      <c r="S4343" s="52"/>
      <c r="T4343" s="181"/>
      <c r="U4343" s="52"/>
      <c r="V4343" s="4295"/>
      <c r="W4343" s="163"/>
      <c r="X4343" s="166"/>
      <c r="Y4343" s="166"/>
      <c r="Z4343" s="163"/>
      <c r="AA4343" s="163"/>
      <c r="AB4343" s="166"/>
      <c r="AC4343" s="163"/>
      <c r="AD4343" s="163"/>
      <c r="AE4343" s="163"/>
      <c r="AF4343" s="271" t="str">
        <f t="shared" si="376"/>
        <v/>
      </c>
      <c r="AG4343" s="241"/>
      <c r="DG4343" s="573"/>
      <c r="DH4343" s="159"/>
      <c r="DI4343" s="1091"/>
      <c r="DJ4343" s="1187"/>
    </row>
    <row r="4344" spans="1:114" ht="15" hidden="1" customHeight="1" outlineLevel="1">
      <c r="A4344" s="453"/>
      <c r="C4344" s="51"/>
      <c r="D4344" s="4295"/>
      <c r="E4344" s="4295"/>
      <c r="F4344" s="4307" t="str">
        <f t="shared" si="377"/>
        <v>ASHP-SEER19_ER1_MF</v>
      </c>
      <c r="G4344" s="4307"/>
      <c r="H4344" s="4307"/>
      <c r="I4344" s="4307"/>
      <c r="J4344" s="1029" t="str">
        <f t="shared" si="378"/>
        <v>354500_2024_12_</v>
      </c>
      <c r="K4344" s="1752">
        <f>(S$1919+L4344*T$1919)-(S$1925+L4344*T$1925)*S$1931</f>
        <v>1077.5183641564863</v>
      </c>
      <c r="L4344" s="47">
        <f>VLOOKUP(J4344,$J$1914:$L$2106,3,FALSE)*M4344</f>
        <v>2.145</v>
      </c>
      <c r="M4344" s="1743">
        <f>VLOOKUP(J4344,$J$3458:$K$3650,2,FALSE)</f>
        <v>0.65</v>
      </c>
      <c r="N4344" s="553"/>
      <c r="P4344" s="261"/>
      <c r="Q4344" s="209"/>
      <c r="R4344" s="261"/>
      <c r="S4344" s="52"/>
      <c r="T4344" s="181"/>
      <c r="U4344" s="52"/>
      <c r="V4344" s="4295"/>
      <c r="W4344" s="163">
        <v>7371.3247976250323</v>
      </c>
      <c r="X4344" s="166">
        <v>4337.39444927575</v>
      </c>
      <c r="Y4344" s="166">
        <v>1417.1849952991461</v>
      </c>
      <c r="Z4344" s="163">
        <v>1417.1849952991461</v>
      </c>
      <c r="AA4344" s="163">
        <v>1417.1849952991461</v>
      </c>
      <c r="AB4344" s="166">
        <v>1716.1717238752744</v>
      </c>
      <c r="AC4344" s="163">
        <v>1716.1717238752744</v>
      </c>
      <c r="AD4344" s="163">
        <v>1716.1717238752744</v>
      </c>
      <c r="AE4344" s="166">
        <v>1788.8383997585838</v>
      </c>
      <c r="AF4344" s="271">
        <f t="shared" si="376"/>
        <v>1077.5183641564863</v>
      </c>
      <c r="AG4344" s="241"/>
      <c r="DG4344" s="573"/>
      <c r="DH4344" s="159"/>
      <c r="DI4344" s="1091"/>
      <c r="DJ4344" s="1187"/>
    </row>
    <row r="4345" spans="1:114" ht="15" hidden="1" customHeight="1" outlineLevel="1">
      <c r="A4345" s="453"/>
      <c r="C4345" s="51"/>
      <c r="D4345" s="4295"/>
      <c r="E4345" s="4295"/>
      <c r="F4345" s="4307" t="str">
        <f t="shared" si="377"/>
        <v>ASHP-SEER19_ER1_MF</v>
      </c>
      <c r="G4345" s="4307"/>
      <c r="H4345" s="4307"/>
      <c r="I4345" s="4307"/>
      <c r="J4345" s="1029" t="str">
        <f t="shared" si="378"/>
        <v>354500_2024_12_</v>
      </c>
      <c r="K4345" s="163"/>
      <c r="L4345" s="47" t="str">
        <f>IF(K4345&gt;0,VLOOKUP(J4345,$J$1914:$L$2106,3,FALSE),"")</f>
        <v/>
      </c>
      <c r="M4345" s="1743" t="str">
        <f>IF(K4345&gt;0,VLOOKUP(J4345,$J$3458:$K$3650,2,FALSE),"")</f>
        <v/>
      </c>
      <c r="P4345" s="261"/>
      <c r="S4345" s="52"/>
      <c r="T4345" s="52"/>
      <c r="U4345" s="52"/>
      <c r="V4345" s="4295"/>
      <c r="W4345" s="163"/>
      <c r="X4345" s="166"/>
      <c r="Y4345" s="166"/>
      <c r="Z4345" s="163"/>
      <c r="AA4345" s="163"/>
      <c r="AB4345" s="166"/>
      <c r="AC4345" s="163"/>
      <c r="AD4345" s="163"/>
      <c r="AE4345" s="163"/>
      <c r="AF4345" s="271" t="str">
        <f t="shared" si="376"/>
        <v/>
      </c>
      <c r="AG4345" s="241"/>
      <c r="DG4345" s="573"/>
      <c r="DH4345" s="159"/>
      <c r="DI4345" s="1091"/>
      <c r="DJ4345" s="1187"/>
    </row>
    <row r="4346" spans="1:114" ht="15" hidden="1" customHeight="1" outlineLevel="1">
      <c r="A4346" s="453"/>
      <c r="C4346" s="51"/>
      <c r="D4346" s="4295"/>
      <c r="E4346" s="4295"/>
      <c r="F4346" s="4307" t="str">
        <f t="shared" si="377"/>
        <v>ASHP-SEER19_ER2_MF</v>
      </c>
      <c r="G4346" s="4307"/>
      <c r="H4346" s="4307"/>
      <c r="I4346" s="4307"/>
      <c r="J4346" s="1029" t="str">
        <f t="shared" si="378"/>
        <v>354500_2024_12_</v>
      </c>
      <c r="K4346" s="163"/>
      <c r="L4346" s="47" t="str">
        <f>IF(K4346&gt;0,VLOOKUP(J4346,$J$1914:$L$2106,3,FALSE),"")</f>
        <v/>
      </c>
      <c r="M4346" s="1743" t="str">
        <f>IF(K4346&gt;0,VLOOKUP(J4346,$J$3458:$K$3650,2,FALSE),"")</f>
        <v/>
      </c>
      <c r="P4346" s="261"/>
      <c r="S4346" s="52"/>
      <c r="T4346" s="52"/>
      <c r="U4346" s="52"/>
      <c r="V4346" s="4295"/>
      <c r="W4346" s="163"/>
      <c r="X4346" s="166"/>
      <c r="Y4346" s="166"/>
      <c r="Z4346" s="163"/>
      <c r="AA4346" s="163"/>
      <c r="AB4346" s="166"/>
      <c r="AC4346" s="163"/>
      <c r="AD4346" s="163"/>
      <c r="AE4346" s="163"/>
      <c r="AF4346" s="271" t="str">
        <f t="shared" ref="AF4346:AF4409" si="379">IF(K4346&lt;&gt;"",K4346,"")</f>
        <v/>
      </c>
      <c r="AG4346" s="241"/>
      <c r="DG4346" s="573"/>
      <c r="DH4346" s="159"/>
      <c r="DI4346" s="1091"/>
      <c r="DJ4346" s="1187"/>
    </row>
    <row r="4347" spans="1:114" ht="15" hidden="1" customHeight="1" outlineLevel="1">
      <c r="A4347" s="453"/>
      <c r="C4347" s="51"/>
      <c r="D4347" s="4295"/>
      <c r="E4347" s="4295"/>
      <c r="F4347" s="4307" t="str">
        <f t="shared" si="377"/>
        <v>ASHP-SEER19_ER2_MF</v>
      </c>
      <c r="G4347" s="4307"/>
      <c r="H4347" s="4307"/>
      <c r="I4347" s="4307"/>
      <c r="J4347" s="1029" t="str">
        <f t="shared" si="378"/>
        <v>354500_2024_12_</v>
      </c>
      <c r="K4347" s="163"/>
      <c r="L4347" s="47" t="str">
        <f>IF(K4347&gt;0,VLOOKUP(J4347,$J$1914:$L$2106,3,FALSE),"")</f>
        <v/>
      </c>
      <c r="M4347" s="1743" t="str">
        <f>IF(K4347&gt;0,VLOOKUP(J4347,$J$3458:$K$3650,2,FALSE),"")</f>
        <v/>
      </c>
      <c r="P4347" s="261"/>
      <c r="Q4347" s="209"/>
      <c r="R4347" s="261"/>
      <c r="S4347" s="52"/>
      <c r="T4347" s="181"/>
      <c r="U4347" s="52"/>
      <c r="V4347" s="4295"/>
      <c r="W4347" s="163"/>
      <c r="X4347" s="166"/>
      <c r="Y4347" s="166"/>
      <c r="Z4347" s="163"/>
      <c r="AA4347" s="163"/>
      <c r="AB4347" s="166"/>
      <c r="AC4347" s="163"/>
      <c r="AD4347" s="163"/>
      <c r="AE4347" s="163"/>
      <c r="AF4347" s="271" t="str">
        <f t="shared" si="379"/>
        <v/>
      </c>
      <c r="AG4347" s="241"/>
      <c r="DG4347" s="573"/>
      <c r="DH4347" s="159"/>
      <c r="DI4347" s="1091"/>
      <c r="DJ4347" s="1187"/>
    </row>
    <row r="4348" spans="1:114" ht="15" hidden="1" customHeight="1" outlineLevel="1">
      <c r="A4348" s="453"/>
      <c r="C4348" s="51"/>
      <c r="D4348" s="4295"/>
      <c r="E4348" s="4295"/>
      <c r="F4348" s="4347" t="str">
        <f t="shared" si="377"/>
        <v>ASHP-SEER19_ER1_MF_CompE</v>
      </c>
      <c r="G4348" s="4347"/>
      <c r="H4348" s="4347"/>
      <c r="I4348" s="4347"/>
      <c r="J4348" s="3471" t="str">
        <f t="shared" si="378"/>
        <v>354501_2024_12_</v>
      </c>
      <c r="K4348" s="3496">
        <f>(S$1919+L4348*T$1919)-(S$1925+L4348*T$1925)*S$1931</f>
        <v>1077.5183641564863</v>
      </c>
      <c r="L4348" s="3221">
        <f>VLOOKUP(J4348,$J$1914:$L$2106,3,FALSE)*M4348</f>
        <v>2.145</v>
      </c>
      <c r="M4348" s="3497">
        <f>VLOOKUP(J4348,$J$3458:$K$3650,2,FALSE)</f>
        <v>0.65</v>
      </c>
      <c r="N4348" s="553"/>
      <c r="P4348" s="261"/>
      <c r="Q4348" s="209"/>
      <c r="R4348" s="261"/>
      <c r="S4348" s="52"/>
      <c r="T4348" s="181"/>
      <c r="U4348" s="52"/>
      <c r="V4348" s="4295"/>
      <c r="W4348" s="163"/>
      <c r="X4348" s="166"/>
      <c r="Y4348" s="166"/>
      <c r="Z4348" s="163"/>
      <c r="AA4348" s="163"/>
      <c r="AB4348" s="166"/>
      <c r="AC4348" s="2467">
        <v>1716.1717238752744</v>
      </c>
      <c r="AD4348" s="2894">
        <v>1716.1717238752744</v>
      </c>
      <c r="AE4348" s="2467">
        <v>1788.8383997585838</v>
      </c>
      <c r="AF4348" s="2236">
        <f t="shared" si="379"/>
        <v>1077.5183641564863</v>
      </c>
      <c r="AG4348" s="241"/>
      <c r="DG4348" s="573"/>
      <c r="DH4348" s="159"/>
      <c r="DI4348" s="1091"/>
      <c r="DJ4348" s="1187"/>
    </row>
    <row r="4349" spans="1:114" ht="15" hidden="1" customHeight="1" outlineLevel="1">
      <c r="A4349" s="453"/>
      <c r="C4349" s="51"/>
      <c r="D4349" s="4295"/>
      <c r="E4349" s="4295"/>
      <c r="F4349" s="4347" t="str">
        <f t="shared" si="377"/>
        <v>ASHP-SEER19_ER1_MF_CompE</v>
      </c>
      <c r="G4349" s="4347"/>
      <c r="H4349" s="4347"/>
      <c r="I4349" s="4347"/>
      <c r="J4349" s="3471" t="str">
        <f t="shared" si="378"/>
        <v>354501_2024_12_</v>
      </c>
      <c r="K4349" s="2894"/>
      <c r="L4349" s="3221"/>
      <c r="M4349" s="3497"/>
      <c r="P4349" s="261"/>
      <c r="Q4349" s="209"/>
      <c r="R4349" s="261"/>
      <c r="S4349" s="52"/>
      <c r="T4349" s="181"/>
      <c r="U4349" s="52"/>
      <c r="V4349" s="4295"/>
      <c r="W4349" s="163"/>
      <c r="X4349" s="166"/>
      <c r="Y4349" s="166"/>
      <c r="Z4349" s="163"/>
      <c r="AA4349" s="163"/>
      <c r="AB4349" s="166"/>
      <c r="AC4349" s="2894"/>
      <c r="AD4349" s="2894"/>
      <c r="AE4349" s="2894"/>
      <c r="AF4349" s="2236" t="str">
        <f t="shared" si="379"/>
        <v/>
      </c>
      <c r="AG4349" s="241"/>
      <c r="DG4349" s="573"/>
      <c r="DH4349" s="159"/>
      <c r="DI4349" s="1091"/>
      <c r="DJ4349" s="1187"/>
    </row>
    <row r="4350" spans="1:114" ht="15" hidden="1" customHeight="1" outlineLevel="1">
      <c r="A4350" s="453"/>
      <c r="C4350" s="51"/>
      <c r="D4350" s="4295"/>
      <c r="E4350" s="4295"/>
      <c r="F4350" s="4347" t="str">
        <f t="shared" si="377"/>
        <v>ASHP-SEER19_ER2_MF_CompE</v>
      </c>
      <c r="G4350" s="4347"/>
      <c r="H4350" s="4347"/>
      <c r="I4350" s="4347"/>
      <c r="J4350" s="3471" t="str">
        <f t="shared" si="378"/>
        <v>354501_2024_12_</v>
      </c>
      <c r="K4350" s="2894"/>
      <c r="L4350" s="3221"/>
      <c r="M4350" s="3497"/>
      <c r="P4350" s="261"/>
      <c r="Q4350" s="209"/>
      <c r="R4350" s="261"/>
      <c r="S4350" s="52"/>
      <c r="T4350" s="181"/>
      <c r="U4350" s="52"/>
      <c r="V4350" s="4295"/>
      <c r="W4350" s="163"/>
      <c r="X4350" s="166"/>
      <c r="Y4350" s="166"/>
      <c r="Z4350" s="163"/>
      <c r="AA4350" s="163"/>
      <c r="AB4350" s="166"/>
      <c r="AC4350" s="2894"/>
      <c r="AD4350" s="2894"/>
      <c r="AE4350" s="2894"/>
      <c r="AF4350" s="2236" t="str">
        <f t="shared" si="379"/>
        <v/>
      </c>
      <c r="AG4350" s="241"/>
      <c r="DG4350" s="573"/>
      <c r="DH4350" s="159"/>
      <c r="DI4350" s="1091"/>
      <c r="DJ4350" s="1187"/>
    </row>
    <row r="4351" spans="1:114" ht="15" hidden="1" customHeight="1" outlineLevel="1">
      <c r="A4351" s="453"/>
      <c r="C4351" s="51"/>
      <c r="D4351" s="4295"/>
      <c r="E4351" s="4295"/>
      <c r="F4351" s="4347" t="str">
        <f t="shared" si="377"/>
        <v>ASHP-SEER19_ER2_MF_CompE</v>
      </c>
      <c r="G4351" s="4347"/>
      <c r="H4351" s="4347"/>
      <c r="I4351" s="4347"/>
      <c r="J4351" s="3471" t="str">
        <f t="shared" si="378"/>
        <v>354501_2024_12_</v>
      </c>
      <c r="K4351" s="2894"/>
      <c r="L4351" s="3221"/>
      <c r="M4351" s="3497"/>
      <c r="P4351" s="261"/>
      <c r="Q4351" s="209"/>
      <c r="R4351" s="261"/>
      <c r="S4351" s="52"/>
      <c r="T4351" s="181"/>
      <c r="U4351" s="52"/>
      <c r="V4351" s="4295"/>
      <c r="W4351" s="163"/>
      <c r="X4351" s="166"/>
      <c r="Y4351" s="166"/>
      <c r="Z4351" s="163"/>
      <c r="AA4351" s="163"/>
      <c r="AB4351" s="166"/>
      <c r="AC4351" s="2894"/>
      <c r="AD4351" s="2894"/>
      <c r="AE4351" s="2894"/>
      <c r="AF4351" s="2236" t="str">
        <f t="shared" si="379"/>
        <v/>
      </c>
      <c r="AG4351" s="241"/>
      <c r="DG4351" s="573"/>
      <c r="DH4351" s="159"/>
      <c r="DI4351" s="1091"/>
      <c r="DJ4351" s="1187"/>
    </row>
    <row r="4352" spans="1:114" ht="15" hidden="1" customHeight="1" outlineLevel="1">
      <c r="A4352" s="453"/>
      <c r="C4352" s="51"/>
      <c r="D4352" s="4295"/>
      <c r="E4352" s="4295"/>
      <c r="F4352" s="4307" t="str">
        <f t="shared" si="377"/>
        <v>ASHP-SEER20_ER1_SF</v>
      </c>
      <c r="G4352" s="4307"/>
      <c r="H4352" s="4307"/>
      <c r="I4352" s="4307"/>
      <c r="J4352" s="1029" t="str">
        <f t="shared" si="378"/>
        <v>354550_2024_12_</v>
      </c>
      <c r="K4352" s="1752">
        <f>(S$1919+L4352*T$1919)-(S$1925+L4352*T$1925)*S$1931</f>
        <v>1077.7021397098724</v>
      </c>
      <c r="L4352" s="47">
        <f>VLOOKUP(J4352,$J$1914:$L$2106,3,FALSE)*M4352</f>
        <v>2.5833656509695291</v>
      </c>
      <c r="M4352" s="1743">
        <f>VLOOKUP(J4352,$J$3458:$K$3650,2,FALSE)</f>
        <v>1</v>
      </c>
      <c r="N4352" s="553"/>
      <c r="P4352" s="261"/>
      <c r="Q4352" s="209"/>
      <c r="R4352" s="261"/>
      <c r="S4352" s="52"/>
      <c r="T4352" s="181"/>
      <c r="U4352" s="52"/>
      <c r="V4352" s="4295"/>
      <c r="W4352" s="163">
        <v>13953.854780733807</v>
      </c>
      <c r="X4352" s="166">
        <v>7467.3235373473026</v>
      </c>
      <c r="Y4352" s="166">
        <v>2089.0025568704818</v>
      </c>
      <c r="Z4352" s="163">
        <v>2089.0025568704818</v>
      </c>
      <c r="AA4352" s="163">
        <v>2089.0025568704818</v>
      </c>
      <c r="AB4352" s="166">
        <v>2232.8749598081135</v>
      </c>
      <c r="AC4352" s="166">
        <v>2639.0693330425956</v>
      </c>
      <c r="AD4352" s="166">
        <v>2109.0699962597669</v>
      </c>
      <c r="AE4352" s="166">
        <v>2149.1611707609081</v>
      </c>
      <c r="AF4352" s="271">
        <f t="shared" si="379"/>
        <v>1077.7021397098724</v>
      </c>
      <c r="AG4352" s="241"/>
      <c r="DG4352" s="573"/>
      <c r="DH4352" s="159"/>
      <c r="DI4352" s="1091"/>
      <c r="DJ4352" s="1187"/>
    </row>
    <row r="4353" spans="1:114" ht="15" hidden="1" customHeight="1" outlineLevel="1">
      <c r="A4353" s="453"/>
      <c r="C4353" s="51"/>
      <c r="D4353" s="4295"/>
      <c r="E4353" s="4295"/>
      <c r="F4353" s="4307" t="str">
        <f t="shared" si="377"/>
        <v>ASHP-SEER20_ER1_SF</v>
      </c>
      <c r="G4353" s="4307"/>
      <c r="H4353" s="4307"/>
      <c r="I4353" s="4307"/>
      <c r="J4353" s="1029" t="str">
        <f t="shared" si="378"/>
        <v>354550_2024_12_</v>
      </c>
      <c r="K4353" s="163"/>
      <c r="L4353" s="47" t="str">
        <f>IF(K4353&gt;0,VLOOKUP(J4353,$J$1914:$L$2106,3,FALSE),"")</f>
        <v/>
      </c>
      <c r="M4353" s="1743" t="str">
        <f>IF(K4353&gt;0,VLOOKUP(J4353,$J$3458:$K$3650,2,FALSE),"")</f>
        <v/>
      </c>
      <c r="P4353" s="261"/>
      <c r="Q4353" s="209"/>
      <c r="R4353" s="261"/>
      <c r="S4353" s="52"/>
      <c r="T4353" s="181"/>
      <c r="U4353" s="52"/>
      <c r="V4353" s="4295"/>
      <c r="W4353" s="163"/>
      <c r="X4353" s="166"/>
      <c r="Y4353" s="166"/>
      <c r="Z4353" s="163"/>
      <c r="AA4353" s="163"/>
      <c r="AB4353" s="166"/>
      <c r="AC4353" s="163"/>
      <c r="AD4353" s="163"/>
      <c r="AE4353" s="163"/>
      <c r="AF4353" s="271" t="str">
        <f t="shared" si="379"/>
        <v/>
      </c>
      <c r="AG4353" s="241"/>
      <c r="DG4353" s="573"/>
      <c r="DH4353" s="159"/>
      <c r="DI4353" s="1091"/>
      <c r="DJ4353" s="1187"/>
    </row>
    <row r="4354" spans="1:114" ht="15" hidden="1" customHeight="1" outlineLevel="1">
      <c r="A4354" s="453"/>
      <c r="C4354" s="51"/>
      <c r="D4354" s="4295"/>
      <c r="E4354" s="4295"/>
      <c r="F4354" s="4307" t="str">
        <f t="shared" si="377"/>
        <v>ASHP-SEER20_ER2_SF</v>
      </c>
      <c r="G4354" s="4307"/>
      <c r="H4354" s="4307"/>
      <c r="I4354" s="4307"/>
      <c r="J4354" s="1029" t="str">
        <f t="shared" si="378"/>
        <v>354550_2024_12_</v>
      </c>
      <c r="K4354" s="163"/>
      <c r="L4354" s="47" t="str">
        <f>IF(K4354&gt;0,VLOOKUP(J4354,$J$1914:$L$2106,3,FALSE),"")</f>
        <v/>
      </c>
      <c r="M4354" s="1743" t="str">
        <f>IF(K4354&gt;0,VLOOKUP(J4354,$J$3458:$K$3650,2,FALSE),"")</f>
        <v/>
      </c>
      <c r="P4354" s="261"/>
      <c r="Q4354" s="209"/>
      <c r="R4354" s="261"/>
      <c r="S4354" s="52"/>
      <c r="T4354" s="181"/>
      <c r="U4354" s="52"/>
      <c r="V4354" s="4295"/>
      <c r="W4354" s="163"/>
      <c r="X4354" s="166"/>
      <c r="Y4354" s="166"/>
      <c r="Z4354" s="163"/>
      <c r="AA4354" s="163"/>
      <c r="AB4354" s="166"/>
      <c r="AC4354" s="163"/>
      <c r="AD4354" s="163"/>
      <c r="AE4354" s="163"/>
      <c r="AF4354" s="271" t="str">
        <f t="shared" si="379"/>
        <v/>
      </c>
      <c r="AG4354" s="241"/>
      <c r="DG4354" s="573"/>
      <c r="DH4354" s="159"/>
      <c r="DI4354" s="1091"/>
      <c r="DJ4354" s="1187"/>
    </row>
    <row r="4355" spans="1:114" ht="15" hidden="1" customHeight="1" outlineLevel="1">
      <c r="A4355" s="453"/>
      <c r="C4355" s="51"/>
      <c r="D4355" s="4295"/>
      <c r="E4355" s="4295"/>
      <c r="F4355" s="4307" t="str">
        <f t="shared" si="377"/>
        <v>ASHP-SEER20_ER2_SF</v>
      </c>
      <c r="G4355" s="4307"/>
      <c r="H4355" s="4307"/>
      <c r="I4355" s="4307"/>
      <c r="J4355" s="1029" t="str">
        <f t="shared" si="378"/>
        <v>354550_2024_12_</v>
      </c>
      <c r="K4355" s="163"/>
      <c r="L4355" s="47" t="str">
        <f>IF(K4355&gt;0,VLOOKUP(J4355,$J$1914:$L$2106,3,FALSE),"")</f>
        <v/>
      </c>
      <c r="M4355" s="1743" t="str">
        <f>IF(K4355&gt;0,VLOOKUP(J4355,$J$3458:$K$3650,2,FALSE),"")</f>
        <v/>
      </c>
      <c r="P4355" s="261"/>
      <c r="Q4355" s="209"/>
      <c r="R4355" s="261"/>
      <c r="S4355" s="52"/>
      <c r="T4355" s="181"/>
      <c r="U4355" s="52"/>
      <c r="V4355" s="4295"/>
      <c r="W4355" s="163"/>
      <c r="X4355" s="166"/>
      <c r="Y4355" s="166"/>
      <c r="Z4355" s="163"/>
      <c r="AA4355" s="163"/>
      <c r="AB4355" s="166"/>
      <c r="AC4355" s="163"/>
      <c r="AD4355" s="163"/>
      <c r="AE4355" s="163"/>
      <c r="AF4355" s="271" t="str">
        <f t="shared" si="379"/>
        <v/>
      </c>
      <c r="AG4355" s="241"/>
      <c r="DG4355" s="573"/>
      <c r="DH4355" s="159"/>
      <c r="DI4355" s="1091"/>
      <c r="DJ4355" s="1187"/>
    </row>
    <row r="4356" spans="1:114" ht="15" hidden="1" customHeight="1" outlineLevel="1">
      <c r="A4356" s="453"/>
      <c r="C4356" s="51"/>
      <c r="D4356" s="4295"/>
      <c r="E4356" s="4295"/>
      <c r="F4356" s="4307" t="str">
        <f t="shared" si="377"/>
        <v>ASHP-SEER20_ROF_SF</v>
      </c>
      <c r="G4356" s="4307"/>
      <c r="H4356" s="4307"/>
      <c r="I4356" s="4307"/>
      <c r="J4356" s="1029" t="str">
        <f t="shared" si="378"/>
        <v>354600_2024_12_</v>
      </c>
      <c r="K4356" s="1752">
        <f>(S$1919+L4356*T$1919)-(S$1923+L4356*T$1923)</f>
        <v>1081</v>
      </c>
      <c r="L4356" s="47">
        <f>VLOOKUP(J4356,$J$1914:$L$2106,3,FALSE)*M4356</f>
        <v>2.8870833333333334</v>
      </c>
      <c r="M4356" s="1743">
        <f>VLOOKUP(J4356,$J$3458:$K$3650,2,FALSE)</f>
        <v>1</v>
      </c>
      <c r="N4356" s="553"/>
      <c r="P4356" s="261"/>
      <c r="Q4356" s="209"/>
      <c r="R4356" s="261"/>
      <c r="S4356" s="52"/>
      <c r="T4356" s="181"/>
      <c r="U4356" s="52"/>
      <c r="V4356" s="4295"/>
      <c r="W4356" s="163">
        <v>9512</v>
      </c>
      <c r="X4356" s="166">
        <v>4766.4539999999979</v>
      </c>
      <c r="Y4356" s="166">
        <v>1160</v>
      </c>
      <c r="Z4356" s="163">
        <v>1160</v>
      </c>
      <c r="AA4356" s="163">
        <v>1160</v>
      </c>
      <c r="AB4356" s="166">
        <v>1444.3799999999994</v>
      </c>
      <c r="AC4356" s="163">
        <v>1444.3799999999994</v>
      </c>
      <c r="AD4356" s="163">
        <v>1444.3799999999994</v>
      </c>
      <c r="AE4356" s="163">
        <v>1444.3799999999994</v>
      </c>
      <c r="AF4356" s="271">
        <f t="shared" si="379"/>
        <v>1081</v>
      </c>
      <c r="AG4356" s="241"/>
      <c r="DG4356" s="573"/>
      <c r="DH4356" s="159"/>
      <c r="DI4356" s="1091"/>
      <c r="DJ4356" s="1187"/>
    </row>
    <row r="4357" spans="1:114" ht="15" hidden="1" customHeight="1" outlineLevel="1">
      <c r="A4357" s="453"/>
      <c r="C4357" s="51"/>
      <c r="D4357" s="4295"/>
      <c r="E4357" s="4295"/>
      <c r="F4357" s="4307" t="str">
        <f t="shared" si="377"/>
        <v>ASHP-SEER20_ROF_SF</v>
      </c>
      <c r="G4357" s="4307"/>
      <c r="H4357" s="4307"/>
      <c r="I4357" s="4307"/>
      <c r="J4357" s="1029" t="str">
        <f t="shared" si="378"/>
        <v>354600_2024_12_</v>
      </c>
      <c r="K4357" s="163"/>
      <c r="L4357" s="47" t="str">
        <f>IF(K4357&gt;0,VLOOKUP(J4357,$J$1914:$L$2106,3,FALSE),"")</f>
        <v/>
      </c>
      <c r="M4357" s="1743" t="str">
        <f>IF(K4357&gt;0,VLOOKUP(J4357,$J$3458:$K$3650,2,FALSE),"")</f>
        <v/>
      </c>
      <c r="P4357" s="261"/>
      <c r="Q4357" s="209"/>
      <c r="R4357" s="261"/>
      <c r="S4357" s="52"/>
      <c r="T4357" s="181"/>
      <c r="U4357" s="52"/>
      <c r="V4357" s="4295"/>
      <c r="W4357" s="163"/>
      <c r="X4357" s="166"/>
      <c r="Y4357" s="166"/>
      <c r="Z4357" s="163"/>
      <c r="AA4357" s="163"/>
      <c r="AB4357" s="166"/>
      <c r="AC4357" s="163"/>
      <c r="AD4357" s="163"/>
      <c r="AE4357" s="163"/>
      <c r="AF4357" s="271" t="str">
        <f t="shared" si="379"/>
        <v/>
      </c>
      <c r="AG4357" s="241"/>
      <c r="DG4357" s="573"/>
      <c r="DH4357" s="159"/>
      <c r="DI4357" s="1091"/>
      <c r="DJ4357" s="1187"/>
    </row>
    <row r="4358" spans="1:114" ht="14.65" hidden="1" customHeight="1" outlineLevel="1">
      <c r="A4358" s="453"/>
      <c r="C4358" s="51"/>
      <c r="D4358" s="4295"/>
      <c r="E4358" s="4295"/>
      <c r="F4358" s="4307" t="str">
        <f t="shared" ref="F4358:F4403" si="380">E1828</f>
        <v>ASHP-SEER20-Replace_CAC_ElectricHeat_ER1_MF</v>
      </c>
      <c r="G4358" s="4307"/>
      <c r="H4358" s="4307"/>
      <c r="I4358" s="4307"/>
      <c r="J4358" s="1029" t="str">
        <f t="shared" ref="J4358:J4421" si="381">C1828</f>
        <v>354650_2024_12_</v>
      </c>
      <c r="K4358" s="1752">
        <f>(S$1919+L4358*T$1919)-((S$1926+L4358*T$1926)*S$1931)</f>
        <v>3847.7316315552043</v>
      </c>
      <c r="L4358" s="47">
        <f>VLOOKUP(J4358,$J$1914:$L$2106,3,FALSE)*M4358</f>
        <v>2.0150000000000001</v>
      </c>
      <c r="M4358" s="1743">
        <f>VLOOKUP(J4358,$J$3458:$K$3650,2,FALSE)</f>
        <v>0.65</v>
      </c>
      <c r="N4358" s="553"/>
      <c r="P4358" s="261"/>
      <c r="Q4358" s="209"/>
      <c r="R4358" s="261"/>
      <c r="S4358" s="52"/>
      <c r="T4358" s="181"/>
      <c r="U4358" s="52"/>
      <c r="V4358" s="4295"/>
      <c r="W4358" s="163">
        <v>13953.854780733807</v>
      </c>
      <c r="X4358" s="166">
        <v>4559.5930084105512</v>
      </c>
      <c r="Y4358" s="166">
        <v>1727.2545915436422</v>
      </c>
      <c r="Z4358" s="163">
        <v>1727.2545915436422</v>
      </c>
      <c r="AA4358" s="163">
        <v>1727.2545915436422</v>
      </c>
      <c r="AB4358" s="166">
        <v>1925.8398012161661</v>
      </c>
      <c r="AC4358" s="163">
        <v>1925.8398012161661</v>
      </c>
      <c r="AD4358" s="163">
        <v>1925.8398012161661</v>
      </c>
      <c r="AE4358" s="166">
        <v>1994.10243613685</v>
      </c>
      <c r="AF4358" s="271">
        <f t="shared" si="379"/>
        <v>3847.7316315552043</v>
      </c>
      <c r="AG4358" s="241"/>
      <c r="DG4358" s="573"/>
      <c r="DH4358" s="159"/>
      <c r="DI4358" s="1091"/>
      <c r="DJ4358" s="1187"/>
    </row>
    <row r="4359" spans="1:114" ht="14.65" hidden="1" customHeight="1" outlineLevel="1">
      <c r="A4359" s="453"/>
      <c r="C4359" s="51"/>
      <c r="D4359" s="4295"/>
      <c r="E4359" s="4295"/>
      <c r="F4359" s="4307" t="str">
        <f t="shared" si="380"/>
        <v>ASHP-SEER20-Replace_CAC_ElectricHeat_ER1_MF</v>
      </c>
      <c r="G4359" s="4307"/>
      <c r="H4359" s="4307"/>
      <c r="I4359" s="4307"/>
      <c r="J4359" s="1029" t="str">
        <f t="shared" si="381"/>
        <v>354650_2024_12_</v>
      </c>
      <c r="K4359" s="163"/>
      <c r="L4359" s="47" t="str">
        <f>IF(K4359&gt;0,VLOOKUP(J4359,$J$1914:$L$2106,3,FALSE),"")</f>
        <v/>
      </c>
      <c r="M4359" s="1743" t="str">
        <f>IF(K4359&gt;0,VLOOKUP(J4359,$J$3458:$K$3650,2,FALSE),"")</f>
        <v/>
      </c>
      <c r="P4359" s="261"/>
      <c r="Q4359" s="209"/>
      <c r="R4359" s="261"/>
      <c r="S4359" s="52"/>
      <c r="T4359" s="181"/>
      <c r="U4359" s="52"/>
      <c r="V4359" s="4295"/>
      <c r="W4359" s="163"/>
      <c r="X4359" s="166"/>
      <c r="Y4359" s="166"/>
      <c r="Z4359" s="163"/>
      <c r="AA4359" s="163"/>
      <c r="AB4359" s="166"/>
      <c r="AC4359" s="163"/>
      <c r="AD4359" s="163"/>
      <c r="AE4359" s="163"/>
      <c r="AF4359" s="271" t="str">
        <f t="shared" si="379"/>
        <v/>
      </c>
      <c r="AG4359" s="241"/>
      <c r="DG4359" s="573"/>
      <c r="DH4359" s="159"/>
      <c r="DI4359" s="1091"/>
      <c r="DJ4359" s="1187"/>
    </row>
    <row r="4360" spans="1:114" ht="14.65" hidden="1" customHeight="1" outlineLevel="1">
      <c r="A4360" s="453"/>
      <c r="C4360" s="51"/>
      <c r="D4360" s="4295"/>
      <c r="E4360" s="4295"/>
      <c r="F4360" s="4307" t="str">
        <f t="shared" si="380"/>
        <v>ASHP-SEER20-Replace_CAC_ElectricHeat_ER2_MF</v>
      </c>
      <c r="G4360" s="4307"/>
      <c r="H4360" s="4307"/>
      <c r="I4360" s="4307"/>
      <c r="J4360" s="1029" t="str">
        <f t="shared" si="381"/>
        <v>354650_2024_12_</v>
      </c>
      <c r="K4360" s="163"/>
      <c r="L4360" s="47" t="str">
        <f>IF(K4360&gt;0,VLOOKUP(J4360,$J$1914:$L$2106,3,FALSE),"")</f>
        <v/>
      </c>
      <c r="M4360" s="1743" t="str">
        <f>IF(K4360&gt;0,VLOOKUP(J4360,$J$3458:$K$3650,2,FALSE),"")</f>
        <v/>
      </c>
      <c r="P4360" s="261"/>
      <c r="Q4360" s="209"/>
      <c r="R4360" s="261"/>
      <c r="S4360" s="52"/>
      <c r="T4360" s="181"/>
      <c r="U4360" s="52"/>
      <c r="V4360" s="4295"/>
      <c r="W4360" s="163"/>
      <c r="X4360" s="166"/>
      <c r="Y4360" s="166"/>
      <c r="Z4360" s="163"/>
      <c r="AA4360" s="163"/>
      <c r="AB4360" s="166"/>
      <c r="AC4360" s="163"/>
      <c r="AD4360" s="163"/>
      <c r="AE4360" s="163"/>
      <c r="AF4360" s="271" t="str">
        <f t="shared" si="379"/>
        <v/>
      </c>
      <c r="AG4360" s="241"/>
      <c r="DG4360" s="573"/>
      <c r="DH4360" s="159"/>
      <c r="DI4360" s="1091"/>
      <c r="DJ4360" s="1187"/>
    </row>
    <row r="4361" spans="1:114" ht="14.65" hidden="1" customHeight="1" outlineLevel="1">
      <c r="A4361" s="453"/>
      <c r="C4361" s="51"/>
      <c r="D4361" s="4295"/>
      <c r="E4361" s="4295"/>
      <c r="F4361" s="4307" t="str">
        <f t="shared" si="380"/>
        <v>ASHP-SEER20-Replace_CAC_ElectricHeat_ER2_MF</v>
      </c>
      <c r="G4361" s="4307"/>
      <c r="H4361" s="4307"/>
      <c r="I4361" s="4307"/>
      <c r="J4361" s="1029" t="str">
        <f t="shared" si="381"/>
        <v>354650_2024_12_</v>
      </c>
      <c r="K4361" s="163"/>
      <c r="L4361" s="47" t="str">
        <f>IF(K4361&gt;0,VLOOKUP(J4361,$J$1914:$L$2106,3,FALSE),"")</f>
        <v/>
      </c>
      <c r="M4361" s="1743" t="str">
        <f>IF(K4361&gt;0,VLOOKUP(J4361,$J$3458:$K$3650,2,FALSE),"")</f>
        <v/>
      </c>
      <c r="P4361" s="261"/>
      <c r="Q4361" s="209"/>
      <c r="R4361" s="261"/>
      <c r="S4361" s="52"/>
      <c r="T4361" s="181"/>
      <c r="U4361" s="52"/>
      <c r="V4361" s="4295"/>
      <c r="W4361" s="163"/>
      <c r="X4361" s="166"/>
      <c r="Y4361" s="166"/>
      <c r="Z4361" s="163"/>
      <c r="AA4361" s="163"/>
      <c r="AB4361" s="166"/>
      <c r="AC4361" s="163"/>
      <c r="AD4361" s="163"/>
      <c r="AE4361" s="163"/>
      <c r="AF4361" s="271" t="str">
        <f t="shared" si="379"/>
        <v/>
      </c>
      <c r="AG4361" s="241"/>
      <c r="DG4361" s="573"/>
      <c r="DH4361" s="159"/>
      <c r="DI4361" s="1091"/>
      <c r="DJ4361" s="1187"/>
    </row>
    <row r="4362" spans="1:114" ht="14.65" hidden="1" customHeight="1" outlineLevel="1">
      <c r="A4362" s="453"/>
      <c r="C4362" s="51"/>
      <c r="D4362" s="4295"/>
      <c r="E4362" s="4295"/>
      <c r="F4362" s="4347" t="str">
        <f t="shared" si="380"/>
        <v>ASHP-SEER20-Replace_CAC_ElectricHeat_ER1_MF_CompE</v>
      </c>
      <c r="G4362" s="4347"/>
      <c r="H4362" s="4347"/>
      <c r="I4362" s="4347"/>
      <c r="J4362" s="3471" t="str">
        <f t="shared" si="381"/>
        <v>354651_2024_12_</v>
      </c>
      <c r="K4362" s="3496">
        <f>(S$1919+L4362*T$1919)-((S$1926+L4362*T$1926)*S$1931)</f>
        <v>3847.7316315552043</v>
      </c>
      <c r="L4362" s="3221">
        <f>VLOOKUP(J4362,$J$1914:$L$2106,3,FALSE)*M4362</f>
        <v>2.0150000000000001</v>
      </c>
      <c r="M4362" s="3497">
        <f>VLOOKUP(J4362,$J$3458:$K$3650,2,FALSE)</f>
        <v>0.65</v>
      </c>
      <c r="N4362" s="553"/>
      <c r="P4362" s="261"/>
      <c r="Q4362" s="209"/>
      <c r="R4362" s="261"/>
      <c r="S4362" s="52"/>
      <c r="T4362" s="181"/>
      <c r="U4362" s="52"/>
      <c r="V4362" s="4295"/>
      <c r="W4362" s="163"/>
      <c r="X4362" s="166"/>
      <c r="Y4362" s="166"/>
      <c r="Z4362" s="163"/>
      <c r="AA4362" s="163"/>
      <c r="AB4362" s="166"/>
      <c r="AC4362" s="2467">
        <v>1925.8398012161661</v>
      </c>
      <c r="AD4362" s="2894">
        <v>1925.8398012161661</v>
      </c>
      <c r="AE4362" s="2467">
        <v>1994.10243613685</v>
      </c>
      <c r="AF4362" s="2236">
        <f t="shared" si="379"/>
        <v>3847.7316315552043</v>
      </c>
      <c r="AG4362" s="241"/>
      <c r="DG4362" s="573"/>
      <c r="DH4362" s="159"/>
      <c r="DI4362" s="1091"/>
      <c r="DJ4362" s="1187"/>
    </row>
    <row r="4363" spans="1:114" ht="14.65" hidden="1" customHeight="1" outlineLevel="1">
      <c r="A4363" s="453"/>
      <c r="C4363" s="51"/>
      <c r="D4363" s="4295"/>
      <c r="E4363" s="4295"/>
      <c r="F4363" s="4347" t="str">
        <f t="shared" si="380"/>
        <v>ASHP-SEER20-Replace_CAC_ElectricHeat_ER1_MF_CompE</v>
      </c>
      <c r="G4363" s="4347"/>
      <c r="H4363" s="4347"/>
      <c r="I4363" s="4347"/>
      <c r="J4363" s="3471" t="str">
        <f t="shared" si="381"/>
        <v>354651_2024_12_</v>
      </c>
      <c r="K4363" s="2894"/>
      <c r="L4363" s="3221"/>
      <c r="M4363" s="3497"/>
      <c r="P4363" s="261"/>
      <c r="Q4363" s="209"/>
      <c r="R4363" s="261"/>
      <c r="S4363" s="52"/>
      <c r="T4363" s="181"/>
      <c r="U4363" s="52"/>
      <c r="V4363" s="4295"/>
      <c r="W4363" s="163"/>
      <c r="X4363" s="166"/>
      <c r="Y4363" s="166"/>
      <c r="Z4363" s="163"/>
      <c r="AA4363" s="163"/>
      <c r="AB4363" s="166"/>
      <c r="AC4363" s="2894"/>
      <c r="AD4363" s="2894"/>
      <c r="AE4363" s="2894"/>
      <c r="AF4363" s="2236" t="str">
        <f t="shared" si="379"/>
        <v/>
      </c>
      <c r="AG4363" s="241"/>
      <c r="DG4363" s="573"/>
      <c r="DH4363" s="159"/>
      <c r="DI4363" s="1091"/>
      <c r="DJ4363" s="1187"/>
    </row>
    <row r="4364" spans="1:114" ht="14.65" hidden="1" customHeight="1" outlineLevel="1">
      <c r="A4364" s="453"/>
      <c r="C4364" s="51"/>
      <c r="D4364" s="4295"/>
      <c r="E4364" s="4295"/>
      <c r="F4364" s="4347" t="str">
        <f t="shared" si="380"/>
        <v>ASHP-SEER20-Replace_CAC_ElectricHeat_ER2_MF_CompE</v>
      </c>
      <c r="G4364" s="4347"/>
      <c r="H4364" s="4347"/>
      <c r="I4364" s="4347"/>
      <c r="J4364" s="3471" t="str">
        <f t="shared" si="381"/>
        <v>354651_2024_12_</v>
      </c>
      <c r="K4364" s="2894"/>
      <c r="L4364" s="3221"/>
      <c r="M4364" s="3497"/>
      <c r="P4364" s="261"/>
      <c r="Q4364" s="209"/>
      <c r="R4364" s="261"/>
      <c r="S4364" s="52"/>
      <c r="T4364" s="181"/>
      <c r="U4364" s="52"/>
      <c r="V4364" s="4295"/>
      <c r="W4364" s="163"/>
      <c r="X4364" s="166"/>
      <c r="Y4364" s="166"/>
      <c r="Z4364" s="163"/>
      <c r="AA4364" s="163"/>
      <c r="AB4364" s="166"/>
      <c r="AC4364" s="2894"/>
      <c r="AD4364" s="2894"/>
      <c r="AE4364" s="2894"/>
      <c r="AF4364" s="2236" t="str">
        <f t="shared" si="379"/>
        <v/>
      </c>
      <c r="AG4364" s="241"/>
      <c r="DG4364" s="573"/>
      <c r="DH4364" s="159"/>
      <c r="DI4364" s="1091"/>
      <c r="DJ4364" s="1187"/>
    </row>
    <row r="4365" spans="1:114" ht="14.65" hidden="1" customHeight="1" outlineLevel="1">
      <c r="A4365" s="453"/>
      <c r="C4365" s="51"/>
      <c r="D4365" s="4295"/>
      <c r="E4365" s="4295"/>
      <c r="F4365" s="4347" t="str">
        <f t="shared" si="380"/>
        <v>ASHP-SEER20-Replace_CAC_ElectricHeat_ER2_MF_CompE</v>
      </c>
      <c r="G4365" s="4347"/>
      <c r="H4365" s="4347"/>
      <c r="I4365" s="4347"/>
      <c r="J4365" s="3471" t="str">
        <f t="shared" si="381"/>
        <v>354651_2024_12_</v>
      </c>
      <c r="K4365" s="2894"/>
      <c r="L4365" s="3221"/>
      <c r="M4365" s="3497"/>
      <c r="P4365" s="261"/>
      <c r="Q4365" s="209"/>
      <c r="R4365" s="261"/>
      <c r="S4365" s="52"/>
      <c r="T4365" s="181"/>
      <c r="U4365" s="52"/>
      <c r="V4365" s="4295"/>
      <c r="W4365" s="163"/>
      <c r="X4365" s="166"/>
      <c r="Y4365" s="166"/>
      <c r="Z4365" s="163"/>
      <c r="AA4365" s="163"/>
      <c r="AB4365" s="166"/>
      <c r="AC4365" s="2894"/>
      <c r="AD4365" s="2894"/>
      <c r="AE4365" s="2894"/>
      <c r="AF4365" s="2236" t="str">
        <f t="shared" si="379"/>
        <v/>
      </c>
      <c r="AG4365" s="241"/>
      <c r="DG4365" s="573"/>
      <c r="DH4365" s="159"/>
      <c r="DI4365" s="1091"/>
      <c r="DJ4365" s="1187"/>
    </row>
    <row r="4366" spans="1:114" ht="14.65" hidden="1" customHeight="1" outlineLevel="1">
      <c r="A4366" s="453"/>
      <c r="C4366" s="51"/>
      <c r="D4366" s="4295"/>
      <c r="E4366" s="4295"/>
      <c r="F4366" s="4347" t="str">
        <f t="shared" si="380"/>
        <v>ASHP-SEER20-Replace_CAC_NonElectricHeat_ER1_MF</v>
      </c>
      <c r="G4366" s="4347"/>
      <c r="H4366" s="4347"/>
      <c r="I4366" s="4347"/>
      <c r="J4366" s="3471" t="str">
        <f t="shared" si="381"/>
        <v>354660_2024_12_</v>
      </c>
      <c r="K4366" s="3496">
        <f>((S$1919+L4366*T$1919)-((S$1926+L4366*T$1926)*S$1931))*VLOOKUP(J4366,$J$4424:$K$4467,2,FALSE)</f>
        <v>493.55402289615103</v>
      </c>
      <c r="L4366" s="3221">
        <f>VLOOKUP(J4366,$J$1914:$L$2106,3,FALSE)*M4366</f>
        <v>2.0150000000000001</v>
      </c>
      <c r="M4366" s="3497">
        <f>VLOOKUP(J4366,$J$3458:$K$3650,2,FALSE)</f>
        <v>0.65</v>
      </c>
      <c r="N4366" s="553"/>
      <c r="P4366" s="261"/>
      <c r="Q4366" s="209"/>
      <c r="R4366" s="261"/>
      <c r="S4366" s="52"/>
      <c r="T4366" s="181"/>
      <c r="U4366" s="52"/>
      <c r="V4366" s="4295"/>
      <c r="W4366" s="163"/>
      <c r="X4366" s="166"/>
      <c r="Y4366" s="166"/>
      <c r="Z4366" s="163"/>
      <c r="AA4366" s="163"/>
      <c r="AB4366" s="166"/>
      <c r="AC4366" s="2467">
        <v>1925.8398012161661</v>
      </c>
      <c r="AD4366" s="2894">
        <v>1925.8398012161661</v>
      </c>
      <c r="AE4366" s="2467">
        <v>1994.10243613685</v>
      </c>
      <c r="AF4366" s="2236">
        <f t="shared" si="379"/>
        <v>493.55402289615103</v>
      </c>
      <c r="AG4366" s="241"/>
      <c r="DG4366" s="573"/>
      <c r="DH4366" s="159"/>
      <c r="DI4366" s="1091"/>
      <c r="DJ4366" s="1187"/>
    </row>
    <row r="4367" spans="1:114" ht="14.65" hidden="1" customHeight="1" outlineLevel="1">
      <c r="A4367" s="453"/>
      <c r="C4367" s="51"/>
      <c r="D4367" s="4295"/>
      <c r="E4367" s="4295"/>
      <c r="F4367" s="4347" t="str">
        <f t="shared" si="380"/>
        <v>ASHP-SEER20-Replace_CAC_NonElectricHeat_ER1_MF</v>
      </c>
      <c r="G4367" s="4347"/>
      <c r="H4367" s="4347"/>
      <c r="I4367" s="4347"/>
      <c r="J4367" s="3471" t="str">
        <f t="shared" si="381"/>
        <v>354660_2024_12_</v>
      </c>
      <c r="K4367" s="2894"/>
      <c r="L4367" s="3221"/>
      <c r="M4367" s="3497"/>
      <c r="P4367" s="261"/>
      <c r="Q4367" s="209"/>
      <c r="R4367" s="261"/>
      <c r="S4367" s="52"/>
      <c r="T4367" s="181"/>
      <c r="U4367" s="52"/>
      <c r="V4367" s="4295"/>
      <c r="W4367" s="163"/>
      <c r="X4367" s="166"/>
      <c r="Y4367" s="166"/>
      <c r="Z4367" s="163"/>
      <c r="AA4367" s="163"/>
      <c r="AB4367" s="166"/>
      <c r="AC4367" s="2894"/>
      <c r="AD4367" s="2894"/>
      <c r="AE4367" s="2894"/>
      <c r="AF4367" s="2236" t="str">
        <f t="shared" si="379"/>
        <v/>
      </c>
      <c r="AG4367" s="241"/>
      <c r="DG4367" s="573"/>
      <c r="DH4367" s="159"/>
      <c r="DI4367" s="1091"/>
      <c r="DJ4367" s="1187"/>
    </row>
    <row r="4368" spans="1:114" ht="14.65" hidden="1" customHeight="1" outlineLevel="1">
      <c r="A4368" s="453"/>
      <c r="C4368" s="51"/>
      <c r="D4368" s="4295"/>
      <c r="E4368" s="4295"/>
      <c r="F4368" s="4347" t="str">
        <f t="shared" si="380"/>
        <v>ASHP-SEER20-Replace_CAC_NonElectricHeat_ER2_MF</v>
      </c>
      <c r="G4368" s="4347"/>
      <c r="H4368" s="4347"/>
      <c r="I4368" s="4347"/>
      <c r="J4368" s="3471" t="str">
        <f t="shared" si="381"/>
        <v>354660_2024_12_</v>
      </c>
      <c r="K4368" s="2894"/>
      <c r="L4368" s="3221"/>
      <c r="M4368" s="3497"/>
      <c r="P4368" s="261"/>
      <c r="Q4368" s="209"/>
      <c r="R4368" s="261"/>
      <c r="S4368" s="52"/>
      <c r="T4368" s="181"/>
      <c r="U4368" s="52"/>
      <c r="V4368" s="4295"/>
      <c r="W4368" s="163"/>
      <c r="X4368" s="166"/>
      <c r="Y4368" s="166"/>
      <c r="Z4368" s="163"/>
      <c r="AA4368" s="163"/>
      <c r="AB4368" s="166"/>
      <c r="AC4368" s="2894"/>
      <c r="AD4368" s="2894"/>
      <c r="AE4368" s="2894"/>
      <c r="AF4368" s="2236" t="str">
        <f t="shared" si="379"/>
        <v/>
      </c>
      <c r="AG4368" s="241"/>
      <c r="DG4368" s="573"/>
      <c r="DH4368" s="159"/>
      <c r="DI4368" s="1091"/>
      <c r="DJ4368" s="1187"/>
    </row>
    <row r="4369" spans="1:114" ht="14.65" hidden="1" customHeight="1" outlineLevel="1">
      <c r="A4369" s="453"/>
      <c r="C4369" s="51"/>
      <c r="D4369" s="4295"/>
      <c r="E4369" s="4295"/>
      <c r="F4369" s="4347" t="str">
        <f t="shared" si="380"/>
        <v>ASHP-SEER20-Replace_CAC_NonElectricHeat_ER2_MF</v>
      </c>
      <c r="G4369" s="4347"/>
      <c r="H4369" s="4347"/>
      <c r="I4369" s="4347"/>
      <c r="J4369" s="3471" t="str">
        <f t="shared" si="381"/>
        <v>354660_2024_12_</v>
      </c>
      <c r="K4369" s="2894"/>
      <c r="L4369" s="3221"/>
      <c r="M4369" s="3497"/>
      <c r="P4369" s="261"/>
      <c r="Q4369" s="209"/>
      <c r="R4369" s="261"/>
      <c r="S4369" s="52"/>
      <c r="T4369" s="181"/>
      <c r="U4369" s="52"/>
      <c r="V4369" s="4295"/>
      <c r="W4369" s="163"/>
      <c r="X4369" s="166"/>
      <c r="Y4369" s="166"/>
      <c r="Z4369" s="163"/>
      <c r="AA4369" s="163"/>
      <c r="AB4369" s="166"/>
      <c r="AC4369" s="2894"/>
      <c r="AD4369" s="2894"/>
      <c r="AE4369" s="2894"/>
      <c r="AF4369" s="2236" t="str">
        <f t="shared" si="379"/>
        <v/>
      </c>
      <c r="AG4369" s="241"/>
      <c r="DG4369" s="573"/>
      <c r="DH4369" s="159"/>
      <c r="DI4369" s="1091"/>
      <c r="DJ4369" s="1187"/>
    </row>
    <row r="4370" spans="1:114" ht="14.65" hidden="1" customHeight="1" outlineLevel="1">
      <c r="A4370" s="453"/>
      <c r="C4370" s="51"/>
      <c r="D4370" s="4295"/>
      <c r="E4370" s="4295"/>
      <c r="F4370" s="4347" t="str">
        <f t="shared" si="380"/>
        <v>ASHP-SEER20-Replace_CAC_NonElectricHeat_ER1_MF_CompE</v>
      </c>
      <c r="G4370" s="4347"/>
      <c r="H4370" s="4347"/>
      <c r="I4370" s="4347"/>
      <c r="J4370" s="3471" t="str">
        <f t="shared" si="381"/>
        <v>354661_2024_12_</v>
      </c>
      <c r="K4370" s="3496">
        <f>((S$1919+L4370*T$1919)-((S$1926+L4370*T$1926)*S$1931))*VLOOKUP(J4370,$J$4424:$K$4467,2,FALSE)</f>
        <v>919.27627747130316</v>
      </c>
      <c r="L4370" s="3221">
        <f>VLOOKUP(J4370,$J$1914:$L$2106,3,FALSE)*M4370</f>
        <v>2.0150000000000001</v>
      </c>
      <c r="M4370" s="3497">
        <f>VLOOKUP(J4370,$J$3458:$K$3650,2,FALSE)</f>
        <v>0.65</v>
      </c>
      <c r="N4370" s="553"/>
      <c r="P4370" s="261"/>
      <c r="Q4370" s="209"/>
      <c r="R4370" s="261"/>
      <c r="S4370" s="52"/>
      <c r="T4370" s="181"/>
      <c r="U4370" s="52"/>
      <c r="V4370" s="4295"/>
      <c r="W4370" s="163"/>
      <c r="X4370" s="166"/>
      <c r="Y4370" s="166"/>
      <c r="Z4370" s="163"/>
      <c r="AA4370" s="163"/>
      <c r="AB4370" s="166"/>
      <c r="AC4370" s="2467">
        <v>1925.8398012161661</v>
      </c>
      <c r="AD4370" s="2894">
        <v>1925.8398012161661</v>
      </c>
      <c r="AE4370" s="2467">
        <v>1994.10243613685</v>
      </c>
      <c r="AF4370" s="2236">
        <f t="shared" si="379"/>
        <v>919.27627747130316</v>
      </c>
      <c r="AG4370" s="241"/>
      <c r="DG4370" s="573"/>
      <c r="DH4370" s="159"/>
      <c r="DI4370" s="1091"/>
      <c r="DJ4370" s="1187"/>
    </row>
    <row r="4371" spans="1:114" ht="14.65" hidden="1" customHeight="1" outlineLevel="1">
      <c r="A4371" s="453"/>
      <c r="C4371" s="51"/>
      <c r="D4371" s="4295"/>
      <c r="E4371" s="4295"/>
      <c r="F4371" s="4347" t="str">
        <f t="shared" si="380"/>
        <v>ASHP-SEER20-Replace_CAC_NonElectricHeat_ER1_MF_CompE</v>
      </c>
      <c r="G4371" s="4347"/>
      <c r="H4371" s="4347"/>
      <c r="I4371" s="4347"/>
      <c r="J4371" s="3471" t="str">
        <f t="shared" si="381"/>
        <v>354661_2024_12_</v>
      </c>
      <c r="K4371" s="2894"/>
      <c r="L4371" s="3221"/>
      <c r="M4371" s="3497"/>
      <c r="P4371" s="261"/>
      <c r="Q4371" s="209"/>
      <c r="R4371" s="261"/>
      <c r="S4371" s="52"/>
      <c r="T4371" s="181"/>
      <c r="U4371" s="52"/>
      <c r="V4371" s="4295"/>
      <c r="W4371" s="163"/>
      <c r="X4371" s="166"/>
      <c r="Y4371" s="166"/>
      <c r="Z4371" s="163"/>
      <c r="AA4371" s="163"/>
      <c r="AB4371" s="166"/>
      <c r="AC4371" s="163"/>
      <c r="AD4371" s="163"/>
      <c r="AE4371" s="163"/>
      <c r="AF4371" s="271" t="str">
        <f t="shared" si="379"/>
        <v/>
      </c>
      <c r="AG4371" s="241"/>
      <c r="DG4371" s="573"/>
      <c r="DH4371" s="159"/>
      <c r="DI4371" s="1091"/>
      <c r="DJ4371" s="1187"/>
    </row>
    <row r="4372" spans="1:114" ht="14.65" hidden="1" customHeight="1" outlineLevel="1">
      <c r="A4372" s="453"/>
      <c r="C4372" s="51"/>
      <c r="D4372" s="4295"/>
      <c r="E4372" s="4295"/>
      <c r="F4372" s="4347" t="str">
        <f t="shared" si="380"/>
        <v>ASHP-SEER20-Replace_CAC_NonElectricHeat_ER2_MF_CompE</v>
      </c>
      <c r="G4372" s="4347"/>
      <c r="H4372" s="4347"/>
      <c r="I4372" s="4347"/>
      <c r="J4372" s="3471" t="str">
        <f t="shared" si="381"/>
        <v>354661_2024_12_</v>
      </c>
      <c r="K4372" s="2894"/>
      <c r="L4372" s="3221"/>
      <c r="M4372" s="3497"/>
      <c r="P4372" s="261"/>
      <c r="Q4372" s="209"/>
      <c r="R4372" s="261"/>
      <c r="S4372" s="52"/>
      <c r="T4372" s="181"/>
      <c r="U4372" s="52"/>
      <c r="V4372" s="4295"/>
      <c r="W4372" s="163"/>
      <c r="X4372" s="166"/>
      <c r="Y4372" s="166"/>
      <c r="Z4372" s="163"/>
      <c r="AA4372" s="163"/>
      <c r="AB4372" s="166"/>
      <c r="AC4372" s="163"/>
      <c r="AD4372" s="163"/>
      <c r="AE4372" s="163"/>
      <c r="AF4372" s="271" t="str">
        <f t="shared" si="379"/>
        <v/>
      </c>
      <c r="AG4372" s="241"/>
      <c r="DG4372" s="573"/>
      <c r="DH4372" s="159"/>
      <c r="DI4372" s="1091"/>
      <c r="DJ4372" s="1187"/>
    </row>
    <row r="4373" spans="1:114" ht="14.65" hidden="1" customHeight="1" outlineLevel="1">
      <c r="A4373" s="453"/>
      <c r="C4373" s="51"/>
      <c r="D4373" s="4295"/>
      <c r="E4373" s="4295"/>
      <c r="F4373" s="4347" t="str">
        <f t="shared" si="380"/>
        <v>ASHP-SEER20-Replace_CAC_NonElectricHeat_ER2_MF_CompE</v>
      </c>
      <c r="G4373" s="4347"/>
      <c r="H4373" s="4347"/>
      <c r="I4373" s="4347"/>
      <c r="J4373" s="3471" t="str">
        <f t="shared" si="381"/>
        <v>354661_2024_12_</v>
      </c>
      <c r="K4373" s="2894"/>
      <c r="L4373" s="3221"/>
      <c r="M4373" s="3497"/>
      <c r="P4373" s="261"/>
      <c r="Q4373" s="209"/>
      <c r="R4373" s="261"/>
      <c r="S4373" s="52"/>
      <c r="T4373" s="181"/>
      <c r="U4373" s="52"/>
      <c r="V4373" s="4295"/>
      <c r="W4373" s="163"/>
      <c r="X4373" s="166"/>
      <c r="Y4373" s="166"/>
      <c r="Z4373" s="163"/>
      <c r="AA4373" s="163"/>
      <c r="AB4373" s="166"/>
      <c r="AC4373" s="163"/>
      <c r="AD4373" s="163"/>
      <c r="AE4373" s="163"/>
      <c r="AF4373" s="271" t="str">
        <f t="shared" si="379"/>
        <v/>
      </c>
      <c r="AG4373" s="241"/>
      <c r="DG4373" s="573"/>
      <c r="DH4373" s="159"/>
      <c r="DI4373" s="1091"/>
      <c r="DJ4373" s="1187"/>
    </row>
    <row r="4374" spans="1:114" ht="14.65" hidden="1" customHeight="1" outlineLevel="1">
      <c r="A4374" s="453"/>
      <c r="C4374" s="51"/>
      <c r="D4374" s="4295"/>
      <c r="E4374" s="4295"/>
      <c r="F4374" s="4307" t="str">
        <f t="shared" si="380"/>
        <v>ASHP-SEER20_ER1_MF</v>
      </c>
      <c r="G4374" s="4307"/>
      <c r="H4374" s="4307"/>
      <c r="I4374" s="4307"/>
      <c r="J4374" s="1029" t="str">
        <f t="shared" si="381"/>
        <v>354700_2024_12_</v>
      </c>
      <c r="K4374" s="1752">
        <f>(S$1919+L4374*T$1919)-(S$1925+L4374*T$1925)*S$1931</f>
        <v>1077.5183641564863</v>
      </c>
      <c r="L4374" s="47">
        <f>VLOOKUP(J4374,$J$1914:$L$2106,3,FALSE)*M4374</f>
        <v>2.145</v>
      </c>
      <c r="M4374" s="1743">
        <f>VLOOKUP(J4374,$J$3458:$K$3650,2,FALSE)</f>
        <v>0.65</v>
      </c>
      <c r="N4374" s="553"/>
      <c r="P4374" s="261"/>
      <c r="Q4374" s="209"/>
      <c r="R4374" s="261"/>
      <c r="S4374" s="52"/>
      <c r="T4374" s="181"/>
      <c r="U4374" s="52"/>
      <c r="V4374" s="4295"/>
      <c r="W4374" s="163">
        <v>14804.699584437089</v>
      </c>
      <c r="X4374" s="166">
        <v>4853.7602992757465</v>
      </c>
      <c r="Y4374" s="166">
        <v>1763.8516619658126</v>
      </c>
      <c r="Z4374" s="163">
        <v>1763.8516619658126</v>
      </c>
      <c r="AA4374" s="163">
        <v>1763.8516619658126</v>
      </c>
      <c r="AB4374" s="166">
        <v>1956.9017238752731</v>
      </c>
      <c r="AC4374" s="163">
        <v>1956.9017238752731</v>
      </c>
      <c r="AD4374" s="163">
        <v>1956.9017238752731</v>
      </c>
      <c r="AE4374" s="166">
        <v>2029.5683997585825</v>
      </c>
      <c r="AF4374" s="271">
        <f t="shared" si="379"/>
        <v>1077.5183641564863</v>
      </c>
      <c r="AG4374" s="241"/>
      <c r="DG4374" s="573"/>
      <c r="DH4374" s="159"/>
      <c r="DI4374" s="1091"/>
      <c r="DJ4374" s="1187"/>
    </row>
    <row r="4375" spans="1:114" ht="14.65" hidden="1" customHeight="1" outlineLevel="1">
      <c r="A4375" s="453"/>
      <c r="C4375" s="51"/>
      <c r="D4375" s="4295"/>
      <c r="E4375" s="4295"/>
      <c r="F4375" s="4307" t="str">
        <f t="shared" si="380"/>
        <v>ASHP-SEER20_ER1_MF</v>
      </c>
      <c r="G4375" s="4307"/>
      <c r="H4375" s="4307"/>
      <c r="I4375" s="4307"/>
      <c r="J4375" s="1029" t="str">
        <f t="shared" si="381"/>
        <v>354700_2024_12_</v>
      </c>
      <c r="K4375" s="163"/>
      <c r="L4375" s="47" t="str">
        <f>IF(K4375&gt;0,VLOOKUP(J4375,$J$1914:$L$2106,3,FALSE),"")</f>
        <v/>
      </c>
      <c r="M4375" s="1743" t="str">
        <f>IF(K4375&gt;0,VLOOKUP(J4375,$J$3458:$K$3650,2,FALSE),"")</f>
        <v/>
      </c>
      <c r="P4375" s="261"/>
      <c r="Q4375" s="209"/>
      <c r="R4375" s="261"/>
      <c r="S4375" s="52"/>
      <c r="T4375" s="181"/>
      <c r="U4375" s="52"/>
      <c r="V4375" s="4295"/>
      <c r="W4375" s="163"/>
      <c r="X4375" s="166"/>
      <c r="Y4375" s="166"/>
      <c r="Z4375" s="163"/>
      <c r="AA4375" s="163"/>
      <c r="AB4375" s="166"/>
      <c r="AC4375" s="163"/>
      <c r="AD4375" s="163"/>
      <c r="AE4375" s="163"/>
      <c r="AF4375" s="271" t="str">
        <f t="shared" si="379"/>
        <v/>
      </c>
      <c r="AG4375" s="241"/>
      <c r="DG4375" s="573"/>
      <c r="DH4375" s="159"/>
      <c r="DI4375" s="1091"/>
      <c r="DJ4375" s="1187"/>
    </row>
    <row r="4376" spans="1:114" ht="14.65" hidden="1" customHeight="1" outlineLevel="1">
      <c r="A4376" s="453"/>
      <c r="C4376" s="51"/>
      <c r="D4376" s="4295"/>
      <c r="E4376" s="4295"/>
      <c r="F4376" s="4307" t="str">
        <f t="shared" si="380"/>
        <v>ASHP-SEER20_ER2_MF</v>
      </c>
      <c r="G4376" s="4307"/>
      <c r="H4376" s="4307"/>
      <c r="I4376" s="4307"/>
      <c r="J4376" s="1029" t="str">
        <f t="shared" si="381"/>
        <v>354700_2024_12_</v>
      </c>
      <c r="K4376" s="163"/>
      <c r="L4376" s="47" t="str">
        <f>IF(K4376&gt;0,VLOOKUP(J4376,$J$1914:$L$2106,3,FALSE),"")</f>
        <v/>
      </c>
      <c r="M4376" s="1743" t="str">
        <f>IF(K4376&gt;0,VLOOKUP(J4376,$J$3458:$K$3650,2,FALSE),"")</f>
        <v/>
      </c>
      <c r="P4376" s="261"/>
      <c r="Q4376" s="209"/>
      <c r="R4376" s="261"/>
      <c r="S4376" s="52"/>
      <c r="T4376" s="181"/>
      <c r="U4376" s="52"/>
      <c r="V4376" s="4295"/>
      <c r="W4376" s="163"/>
      <c r="X4376" s="166"/>
      <c r="Y4376" s="166"/>
      <c r="Z4376" s="163"/>
      <c r="AA4376" s="163"/>
      <c r="AB4376" s="166"/>
      <c r="AC4376" s="163"/>
      <c r="AD4376" s="163"/>
      <c r="AE4376" s="163"/>
      <c r="AF4376" s="271" t="str">
        <f t="shared" si="379"/>
        <v/>
      </c>
      <c r="AG4376" s="241"/>
      <c r="DG4376" s="573"/>
      <c r="DH4376" s="159"/>
      <c r="DI4376" s="1091"/>
      <c r="DJ4376" s="1187"/>
    </row>
    <row r="4377" spans="1:114" ht="14.65" hidden="1" customHeight="1" outlineLevel="1">
      <c r="A4377" s="453"/>
      <c r="C4377" s="51"/>
      <c r="D4377" s="4295"/>
      <c r="E4377" s="4295"/>
      <c r="F4377" s="4307" t="str">
        <f t="shared" si="380"/>
        <v>ASHP-SEER20_ER2_MF</v>
      </c>
      <c r="G4377" s="4307"/>
      <c r="H4377" s="4307"/>
      <c r="I4377" s="4307"/>
      <c r="J4377" s="1029" t="str">
        <f t="shared" si="381"/>
        <v>354700_2024_12_</v>
      </c>
      <c r="K4377" s="163"/>
      <c r="L4377" s="47" t="str">
        <f>IF(K4377&gt;0,VLOOKUP(J4377,$J$1914:$L$2106,3,FALSE),"")</f>
        <v/>
      </c>
      <c r="M4377" s="1743" t="str">
        <f>IF(K4377&gt;0,VLOOKUP(J4377,$J$3458:$K$3650,2,FALSE),"")</f>
        <v/>
      </c>
      <c r="P4377" s="261"/>
      <c r="Q4377" s="209"/>
      <c r="R4377" s="261"/>
      <c r="S4377" s="52"/>
      <c r="T4377" s="181"/>
      <c r="U4377" s="52"/>
      <c r="V4377" s="4295"/>
      <c r="W4377" s="163"/>
      <c r="X4377" s="166"/>
      <c r="Y4377" s="166"/>
      <c r="Z4377" s="163"/>
      <c r="AA4377" s="163"/>
      <c r="AB4377" s="166"/>
      <c r="AC4377" s="163"/>
      <c r="AD4377" s="163"/>
      <c r="AE4377" s="163"/>
      <c r="AF4377" s="271" t="str">
        <f t="shared" si="379"/>
        <v/>
      </c>
      <c r="AG4377" s="241"/>
      <c r="DG4377" s="573"/>
      <c r="DH4377" s="159"/>
      <c r="DI4377" s="1091"/>
      <c r="DJ4377" s="1187"/>
    </row>
    <row r="4378" spans="1:114" ht="14.65" hidden="1" customHeight="1" outlineLevel="1">
      <c r="A4378" s="453"/>
      <c r="C4378" s="51"/>
      <c r="D4378" s="4295"/>
      <c r="E4378" s="4295"/>
      <c r="F4378" s="4347" t="str">
        <f t="shared" si="380"/>
        <v>ASHP-SEER20_ER1_MF_CompE</v>
      </c>
      <c r="G4378" s="4347"/>
      <c r="H4378" s="4347"/>
      <c r="I4378" s="4347"/>
      <c r="J4378" s="3471" t="str">
        <f t="shared" si="381"/>
        <v>354701_2024_12_</v>
      </c>
      <c r="K4378" s="3496">
        <f>(S$1919+L4378*T$1919)-(S$1925+L4378*T$1925)*S$1931</f>
        <v>1077.5183641564863</v>
      </c>
      <c r="L4378" s="3221">
        <f>VLOOKUP(J4378,$J$1914:$L$2106,3,FALSE)*M4378</f>
        <v>2.145</v>
      </c>
      <c r="M4378" s="3497">
        <f>VLOOKUP(J4378,$J$3458:$K$3650,2,FALSE)</f>
        <v>0.65</v>
      </c>
      <c r="N4378" s="553"/>
      <c r="P4378" s="261"/>
      <c r="Q4378" s="209"/>
      <c r="R4378" s="261"/>
      <c r="S4378" s="52"/>
      <c r="T4378" s="181"/>
      <c r="U4378" s="52"/>
      <c r="V4378" s="4295"/>
      <c r="W4378" s="163"/>
      <c r="X4378" s="166"/>
      <c r="Y4378" s="166"/>
      <c r="Z4378" s="163"/>
      <c r="AA4378" s="163"/>
      <c r="AB4378" s="166"/>
      <c r="AC4378" s="2467">
        <v>1956.9017238752731</v>
      </c>
      <c r="AD4378" s="2894">
        <v>1956.9017238752731</v>
      </c>
      <c r="AE4378" s="2467">
        <v>2029.5683997585825</v>
      </c>
      <c r="AF4378" s="2236">
        <f t="shared" si="379"/>
        <v>1077.5183641564863</v>
      </c>
      <c r="AG4378" s="241"/>
      <c r="DG4378" s="573"/>
      <c r="DH4378" s="159"/>
      <c r="DI4378" s="1091"/>
      <c r="DJ4378" s="1187"/>
    </row>
    <row r="4379" spans="1:114" ht="14.65" hidden="1" customHeight="1" outlineLevel="1">
      <c r="A4379" s="453"/>
      <c r="C4379" s="51"/>
      <c r="D4379" s="4295"/>
      <c r="E4379" s="4295"/>
      <c r="F4379" s="4347" t="str">
        <f t="shared" si="380"/>
        <v>ASHP-SEER20_ER1_MF_CompE</v>
      </c>
      <c r="G4379" s="4347"/>
      <c r="H4379" s="4347"/>
      <c r="I4379" s="4347"/>
      <c r="J4379" s="3471" t="str">
        <f t="shared" si="381"/>
        <v>354701_2024_12_</v>
      </c>
      <c r="K4379" s="2894"/>
      <c r="L4379" s="3221"/>
      <c r="M4379" s="3497"/>
      <c r="P4379" s="261"/>
      <c r="Q4379" s="209"/>
      <c r="R4379" s="261"/>
      <c r="S4379" s="52"/>
      <c r="T4379" s="181"/>
      <c r="U4379" s="52"/>
      <c r="V4379" s="4295"/>
      <c r="W4379" s="163"/>
      <c r="X4379" s="166"/>
      <c r="Y4379" s="166"/>
      <c r="Z4379" s="163"/>
      <c r="AA4379" s="163"/>
      <c r="AB4379" s="166"/>
      <c r="AC4379" s="163"/>
      <c r="AD4379" s="163"/>
      <c r="AE4379" s="163"/>
      <c r="AF4379" s="271" t="str">
        <f t="shared" si="379"/>
        <v/>
      </c>
      <c r="AG4379" s="241"/>
      <c r="DG4379" s="573"/>
      <c r="DH4379" s="159"/>
      <c r="DI4379" s="1091"/>
      <c r="DJ4379" s="1187"/>
    </row>
    <row r="4380" spans="1:114" ht="14.65" hidden="1" customHeight="1" outlineLevel="1">
      <c r="A4380" s="453"/>
      <c r="C4380" s="51"/>
      <c r="D4380" s="4295"/>
      <c r="E4380" s="4295"/>
      <c r="F4380" s="4347" t="str">
        <f t="shared" si="380"/>
        <v>ASHP-SEER20_ER2_MF_CompE</v>
      </c>
      <c r="G4380" s="4347"/>
      <c r="H4380" s="4347"/>
      <c r="I4380" s="4347"/>
      <c r="J4380" s="3471" t="str">
        <f t="shared" si="381"/>
        <v>354701_2024_12_</v>
      </c>
      <c r="K4380" s="2894"/>
      <c r="L4380" s="3221"/>
      <c r="M4380" s="3497"/>
      <c r="P4380" s="261"/>
      <c r="Q4380" s="209"/>
      <c r="R4380" s="261"/>
      <c r="S4380" s="52"/>
      <c r="T4380" s="181"/>
      <c r="U4380" s="52"/>
      <c r="V4380" s="4295"/>
      <c r="W4380" s="163"/>
      <c r="X4380" s="166"/>
      <c r="Y4380" s="166"/>
      <c r="Z4380" s="163"/>
      <c r="AA4380" s="163"/>
      <c r="AB4380" s="166"/>
      <c r="AC4380" s="163"/>
      <c r="AD4380" s="163"/>
      <c r="AE4380" s="163"/>
      <c r="AF4380" s="271" t="str">
        <f t="shared" si="379"/>
        <v/>
      </c>
      <c r="AG4380" s="241"/>
      <c r="DG4380" s="573"/>
      <c r="DH4380" s="159"/>
      <c r="DI4380" s="1091"/>
      <c r="DJ4380" s="1187"/>
    </row>
    <row r="4381" spans="1:114" ht="14.65" hidden="1" customHeight="1" outlineLevel="1">
      <c r="A4381" s="453"/>
      <c r="C4381" s="51"/>
      <c r="D4381" s="4295"/>
      <c r="E4381" s="4295"/>
      <c r="F4381" s="4347" t="str">
        <f t="shared" si="380"/>
        <v>ASHP-SEER20_ER2_MF_CompE</v>
      </c>
      <c r="G4381" s="4347"/>
      <c r="H4381" s="4347"/>
      <c r="I4381" s="4347"/>
      <c r="J4381" s="3471" t="str">
        <f t="shared" si="381"/>
        <v>354701_2024_12_</v>
      </c>
      <c r="K4381" s="2894"/>
      <c r="L4381" s="3221"/>
      <c r="M4381" s="3497"/>
      <c r="P4381" s="261"/>
      <c r="Q4381" s="209"/>
      <c r="R4381" s="261"/>
      <c r="S4381" s="52"/>
      <c r="T4381" s="181"/>
      <c r="U4381" s="52"/>
      <c r="V4381" s="4295"/>
      <c r="W4381" s="163"/>
      <c r="X4381" s="166"/>
      <c r="Y4381" s="166"/>
      <c r="Z4381" s="163"/>
      <c r="AA4381" s="163"/>
      <c r="AB4381" s="166"/>
      <c r="AC4381" s="163"/>
      <c r="AD4381" s="163"/>
      <c r="AE4381" s="163"/>
      <c r="AF4381" s="271" t="str">
        <f t="shared" si="379"/>
        <v/>
      </c>
      <c r="AG4381" s="241"/>
      <c r="DG4381" s="573"/>
      <c r="DH4381" s="159"/>
      <c r="DI4381" s="1091"/>
      <c r="DJ4381" s="1187"/>
    </row>
    <row r="4382" spans="1:114" ht="14.65" hidden="1" customHeight="1" outlineLevel="1">
      <c r="A4382" s="453"/>
      <c r="C4382" s="51"/>
      <c r="D4382" s="4295"/>
      <c r="E4382" s="4295"/>
      <c r="F4382" s="4307" t="str">
        <f t="shared" si="380"/>
        <v>ASHP-SEER21_ER1_SF</v>
      </c>
      <c r="G4382" s="4307"/>
      <c r="H4382" s="4307"/>
      <c r="I4382" s="4307"/>
      <c r="J4382" s="1029" t="str">
        <f t="shared" si="381"/>
        <v>354750_2024_12_</v>
      </c>
      <c r="K4382" s="1752">
        <f>(S$1919+L4382*T$1919)-(S$1925+L4382*T$1925)*S$1931</f>
        <v>1078.0210431568885</v>
      </c>
      <c r="L4382" s="47">
        <f>VLOOKUP(J4382,$J$1914:$L$2106,3,FALSE)*M4382</f>
        <v>3.3440561485431846</v>
      </c>
      <c r="M4382" s="1743">
        <f>VLOOKUP(J4382,$J$3458:$K$3650,2,FALSE)</f>
        <v>1</v>
      </c>
      <c r="N4382" s="553"/>
      <c r="P4382" s="261"/>
      <c r="Q4382" s="209"/>
      <c r="R4382" s="261"/>
      <c r="S4382" s="52"/>
      <c r="T4382" s="181"/>
      <c r="U4382" s="52"/>
      <c r="V4382" s="4295"/>
      <c r="W4382" s="163">
        <v>14804.699584437089</v>
      </c>
      <c r="X4382" s="166">
        <v>8277.6207173473031</v>
      </c>
      <c r="Y4382" s="166">
        <v>2089.0025568704818</v>
      </c>
      <c r="Z4382" s="163">
        <v>2089.0025568704818</v>
      </c>
      <c r="AA4382" s="163">
        <v>2089.0025568704818</v>
      </c>
      <c r="AB4382" s="166">
        <v>2478.4195598081137</v>
      </c>
      <c r="AC4382" s="166">
        <v>2498.6373792903719</v>
      </c>
      <c r="AD4382" s="166">
        <v>2490.8675578660959</v>
      </c>
      <c r="AE4382" s="166">
        <v>2602.2336285635597</v>
      </c>
      <c r="AF4382" s="271">
        <f t="shared" si="379"/>
        <v>1078.0210431568885</v>
      </c>
      <c r="AG4382" s="241"/>
      <c r="DG4382" s="573"/>
      <c r="DH4382" s="159"/>
      <c r="DI4382" s="1091"/>
      <c r="DJ4382" s="1187"/>
    </row>
    <row r="4383" spans="1:114" ht="14.65" hidden="1" customHeight="1" outlineLevel="1">
      <c r="A4383" s="453"/>
      <c r="C4383" s="51"/>
      <c r="D4383" s="4295"/>
      <c r="E4383" s="4295"/>
      <c r="F4383" s="4307" t="str">
        <f t="shared" si="380"/>
        <v>ASHP-SEER21_ER1_SF</v>
      </c>
      <c r="G4383" s="4307"/>
      <c r="H4383" s="4307"/>
      <c r="I4383" s="4307"/>
      <c r="J4383" s="1029" t="str">
        <f t="shared" si="381"/>
        <v>354750_2024_12_</v>
      </c>
      <c r="K4383" s="163"/>
      <c r="L4383" s="47" t="str">
        <f>IF(K4383&gt;0,VLOOKUP(J4383,$J$1914:$L$2106,3,FALSE),"")</f>
        <v/>
      </c>
      <c r="M4383" s="1743" t="str">
        <f>IF(K4383&gt;0,VLOOKUP(J4383,$J$3458:$K$3650,2,FALSE),"")</f>
        <v/>
      </c>
      <c r="P4383" s="261"/>
      <c r="Q4383" s="209"/>
      <c r="R4383" s="261"/>
      <c r="S4383" s="52"/>
      <c r="T4383" s="181"/>
      <c r="U4383" s="52"/>
      <c r="V4383" s="4295"/>
      <c r="W4383" s="163"/>
      <c r="X4383" s="166"/>
      <c r="Y4383" s="166"/>
      <c r="Z4383" s="163"/>
      <c r="AA4383" s="163"/>
      <c r="AB4383" s="166"/>
      <c r="AC4383" s="163"/>
      <c r="AD4383" s="163"/>
      <c r="AE4383" s="163"/>
      <c r="AF4383" s="271" t="str">
        <f t="shared" si="379"/>
        <v/>
      </c>
      <c r="AG4383" s="241"/>
      <c r="DG4383" s="573"/>
      <c r="DH4383" s="159"/>
      <c r="DI4383" s="1091"/>
      <c r="DJ4383" s="1187"/>
    </row>
    <row r="4384" spans="1:114" ht="14.65" hidden="1" customHeight="1" outlineLevel="1">
      <c r="A4384" s="453"/>
      <c r="C4384" s="51"/>
      <c r="D4384" s="4295"/>
      <c r="E4384" s="4295"/>
      <c r="F4384" s="4307" t="str">
        <f t="shared" si="380"/>
        <v>ASHP-SEER21_ER2_SF</v>
      </c>
      <c r="G4384" s="4307"/>
      <c r="H4384" s="4307"/>
      <c r="I4384" s="4307"/>
      <c r="J4384" s="1029" t="str">
        <f t="shared" si="381"/>
        <v>354750_2024_12_</v>
      </c>
      <c r="K4384" s="163"/>
      <c r="L4384" s="47" t="str">
        <f>IF(K4384&gt;0,VLOOKUP(J4384,$J$1914:$L$2106,3,FALSE),"")</f>
        <v/>
      </c>
      <c r="M4384" s="1743" t="str">
        <f>IF(K4384&gt;0,VLOOKUP(J4384,$J$3458:$K$3650,2,FALSE),"")</f>
        <v/>
      </c>
      <c r="P4384" s="261"/>
      <c r="Q4384" s="209"/>
      <c r="R4384" s="261"/>
      <c r="S4384" s="52"/>
      <c r="T4384" s="181"/>
      <c r="U4384" s="52"/>
      <c r="V4384" s="4295"/>
      <c r="W4384" s="163"/>
      <c r="X4384" s="166"/>
      <c r="Y4384" s="166"/>
      <c r="Z4384" s="163"/>
      <c r="AA4384" s="163"/>
      <c r="AB4384" s="166"/>
      <c r="AC4384" s="163"/>
      <c r="AD4384" s="163"/>
      <c r="AE4384" s="163"/>
      <c r="AF4384" s="271" t="str">
        <f t="shared" si="379"/>
        <v/>
      </c>
      <c r="AG4384" s="241"/>
      <c r="DG4384" s="573"/>
      <c r="DH4384" s="159"/>
      <c r="DI4384" s="1091"/>
      <c r="DJ4384" s="1187"/>
    </row>
    <row r="4385" spans="1:114" ht="14.65" hidden="1" customHeight="1" outlineLevel="1">
      <c r="A4385" s="453"/>
      <c r="C4385" s="51"/>
      <c r="D4385" s="4295"/>
      <c r="E4385" s="4295"/>
      <c r="F4385" s="4307" t="str">
        <f t="shared" si="380"/>
        <v>ASHP-SEER21_ER2_SF</v>
      </c>
      <c r="G4385" s="4307"/>
      <c r="H4385" s="4307"/>
      <c r="I4385" s="4307"/>
      <c r="J4385" s="1029" t="str">
        <f t="shared" si="381"/>
        <v>354750_2024_12_</v>
      </c>
      <c r="K4385" s="163"/>
      <c r="L4385" s="47" t="str">
        <f>IF(K4385&gt;0,VLOOKUP(J4385,$J$1914:$L$2106,3,FALSE),"")</f>
        <v/>
      </c>
      <c r="M4385" s="1743" t="str">
        <f>IF(K4385&gt;0,VLOOKUP(J4385,$J$3458:$K$3650,2,FALSE),"")</f>
        <v/>
      </c>
      <c r="P4385" s="261"/>
      <c r="Q4385" s="209"/>
      <c r="R4385" s="261"/>
      <c r="S4385" s="52"/>
      <c r="T4385" s="181"/>
      <c r="U4385" s="52"/>
      <c r="V4385" s="4295"/>
      <c r="W4385" s="163"/>
      <c r="X4385" s="166"/>
      <c r="Y4385" s="166"/>
      <c r="Z4385" s="163"/>
      <c r="AA4385" s="163"/>
      <c r="AB4385" s="166"/>
      <c r="AC4385" s="163"/>
      <c r="AD4385" s="163"/>
      <c r="AE4385" s="163"/>
      <c r="AF4385" s="271" t="str">
        <f t="shared" si="379"/>
        <v/>
      </c>
      <c r="AG4385" s="241"/>
      <c r="DG4385" s="573"/>
      <c r="DH4385" s="159"/>
      <c r="DI4385" s="1091"/>
      <c r="DJ4385" s="1187"/>
    </row>
    <row r="4386" spans="1:114" ht="14.65" hidden="1" customHeight="1" outlineLevel="1">
      <c r="A4386" s="453"/>
      <c r="C4386" s="51"/>
      <c r="D4386" s="4295"/>
      <c r="E4386" s="4295"/>
      <c r="F4386" s="4307" t="str">
        <f t="shared" si="380"/>
        <v>ASHP-SEER21_ROF_SF</v>
      </c>
      <c r="G4386" s="4307"/>
      <c r="H4386" s="4307"/>
      <c r="I4386" s="4307"/>
      <c r="J4386" s="1029" t="str">
        <f t="shared" si="381"/>
        <v>354800_2024_12_</v>
      </c>
      <c r="K4386" s="1752">
        <f>(S$1919+L4386*T$1919)-(S$1923+L4386*T$1923)</f>
        <v>1081</v>
      </c>
      <c r="L4386" s="47">
        <f>VLOOKUP(J4386,$J$1914:$L$2106,3,FALSE)*M4386</f>
        <v>3.4699494950520831</v>
      </c>
      <c r="M4386" s="1743">
        <f>VLOOKUP(J4386,$J$3458:$K$3650,2,FALSE)</f>
        <v>1</v>
      </c>
      <c r="N4386" s="553"/>
      <c r="P4386" s="261"/>
      <c r="Q4386" s="209"/>
      <c r="R4386" s="261"/>
      <c r="S4386" s="52"/>
      <c r="T4386" s="181"/>
      <c r="U4386" s="52"/>
      <c r="V4386" s="4295"/>
      <c r="W4386" s="163">
        <v>9976</v>
      </c>
      <c r="X4386" s="166">
        <v>5576.7511799999966</v>
      </c>
      <c r="Y4386" s="166">
        <v>1160</v>
      </c>
      <c r="Z4386" s="163">
        <v>1160</v>
      </c>
      <c r="AA4386" s="163">
        <v>1160</v>
      </c>
      <c r="AB4386" s="166">
        <v>1689.9245999999991</v>
      </c>
      <c r="AC4386" s="163">
        <v>1689.9245999999991</v>
      </c>
      <c r="AD4386" s="163">
        <v>1689.9245999999991</v>
      </c>
      <c r="AE4386" s="163">
        <v>1689.9245999999991</v>
      </c>
      <c r="AF4386" s="271">
        <f t="shared" si="379"/>
        <v>1081</v>
      </c>
      <c r="AG4386" s="241"/>
      <c r="DG4386" s="573"/>
      <c r="DH4386" s="159"/>
      <c r="DI4386" s="1091"/>
      <c r="DJ4386" s="1187"/>
    </row>
    <row r="4387" spans="1:114" ht="14.65" hidden="1" customHeight="1" outlineLevel="1">
      <c r="A4387" s="453"/>
      <c r="C4387" s="51"/>
      <c r="D4387" s="4295"/>
      <c r="E4387" s="4295"/>
      <c r="F4387" s="4307" t="str">
        <f t="shared" si="380"/>
        <v>ASHP-SEER21_ROF_SF</v>
      </c>
      <c r="G4387" s="4307"/>
      <c r="H4387" s="4307"/>
      <c r="I4387" s="4307"/>
      <c r="J4387" s="1029" t="str">
        <f t="shared" si="381"/>
        <v>354800_2024_12_</v>
      </c>
      <c r="K4387" s="163"/>
      <c r="L4387" s="47" t="str">
        <f>IF(K4387&gt;0,VLOOKUP(J4387,$J$1914:$L$2106,3,FALSE),"")</f>
        <v/>
      </c>
      <c r="M4387" s="1743" t="str">
        <f>IF(K4387&gt;0,VLOOKUP(J4387,$J$3458:$K$3650,2,FALSE),"")</f>
        <v/>
      </c>
      <c r="P4387" s="261"/>
      <c r="Q4387" s="209"/>
      <c r="R4387" s="261"/>
      <c r="S4387" s="52"/>
      <c r="T4387" s="181"/>
      <c r="U4387" s="52"/>
      <c r="V4387" s="4295"/>
      <c r="W4387" s="163"/>
      <c r="X4387" s="166"/>
      <c r="Y4387" s="166"/>
      <c r="Z4387" s="163"/>
      <c r="AA4387" s="163"/>
      <c r="AB4387" s="166"/>
      <c r="AC4387" s="163"/>
      <c r="AD4387" s="163"/>
      <c r="AE4387" s="163"/>
      <c r="AF4387" s="271" t="str">
        <f t="shared" si="379"/>
        <v/>
      </c>
      <c r="AG4387" s="241"/>
      <c r="DG4387" s="573"/>
      <c r="DH4387" s="159"/>
      <c r="DI4387" s="1091"/>
      <c r="DJ4387" s="1187"/>
    </row>
    <row r="4388" spans="1:114" ht="14.65" hidden="1" customHeight="1" outlineLevel="1">
      <c r="A4388" s="453"/>
      <c r="C4388" s="51"/>
      <c r="D4388" s="4295"/>
      <c r="E4388" s="4295"/>
      <c r="F4388" s="4307" t="str">
        <f t="shared" si="380"/>
        <v>ASHP-SEER21-Replace_CAC_ElectricHeat_ROF_MF</v>
      </c>
      <c r="G4388" s="4307"/>
      <c r="H4388" s="4307"/>
      <c r="I4388" s="4307"/>
      <c r="J4388" s="1029" t="str">
        <f t="shared" si="381"/>
        <v>354850_2024_12_</v>
      </c>
      <c r="K4388" s="1752">
        <f>(S$1919+L4388*T$1919)-(S$1924+L4388*T$1924)</f>
        <v>3689</v>
      </c>
      <c r="L4388" s="47">
        <f>VLOOKUP(J4388,$J$1914:$L$2106,3,FALSE)*M4388</f>
        <v>1.8199999999999998</v>
      </c>
      <c r="M4388" s="1743">
        <f>VLOOKUP(J4388,$J$3458:$K$3650,2,FALSE)</f>
        <v>0.65</v>
      </c>
      <c r="N4388" s="553"/>
      <c r="P4388" s="261"/>
      <c r="Q4388" s="209"/>
      <c r="R4388" s="261"/>
      <c r="S4388" s="52"/>
      <c r="T4388" s="181"/>
      <c r="U4388" s="52"/>
      <c r="V4388" s="4295"/>
      <c r="W4388" s="163">
        <v>10092</v>
      </c>
      <c r="X4388" s="166">
        <v>3075.6627719999983</v>
      </c>
      <c r="Y4388" s="166">
        <v>1160</v>
      </c>
      <c r="Z4388" s="163">
        <v>1160</v>
      </c>
      <c r="AA4388" s="163">
        <v>1160</v>
      </c>
      <c r="AB4388" s="166">
        <v>1689.9245999999991</v>
      </c>
      <c r="AC4388" s="163">
        <v>1689.9245999999991</v>
      </c>
      <c r="AD4388" s="163">
        <v>1689.9245999999991</v>
      </c>
      <c r="AE4388" s="163">
        <v>1689.9245999999991</v>
      </c>
      <c r="AF4388" s="271">
        <f t="shared" si="379"/>
        <v>3689</v>
      </c>
      <c r="AG4388" s="241"/>
      <c r="DG4388" s="573"/>
      <c r="DH4388" s="159"/>
      <c r="DI4388" s="1091"/>
      <c r="DJ4388" s="1187"/>
    </row>
    <row r="4389" spans="1:114" ht="14.65" hidden="1" customHeight="1" outlineLevel="1">
      <c r="A4389" s="453"/>
      <c r="C4389" s="51"/>
      <c r="D4389" s="4295"/>
      <c r="E4389" s="4295"/>
      <c r="F4389" s="4307" t="str">
        <f t="shared" si="380"/>
        <v>ASHP-SEER21-Replace_CAC_ElectricHeat_ROF_MF</v>
      </c>
      <c r="G4389" s="4307"/>
      <c r="H4389" s="4307"/>
      <c r="I4389" s="4307"/>
      <c r="J4389" s="1029" t="str">
        <f t="shared" si="381"/>
        <v>354850_2024_12_</v>
      </c>
      <c r="K4389" s="163"/>
      <c r="L4389" s="47" t="str">
        <f>IF(K4389&gt;0,VLOOKUP(J4389,$J$1914:$L$2106,3,FALSE),"")</f>
        <v/>
      </c>
      <c r="M4389" s="1743" t="str">
        <f>IF(K4389&gt;0,VLOOKUP(J4389,$J$3458:$K$3650,2,FALSE),"")</f>
        <v/>
      </c>
      <c r="P4389" s="261"/>
      <c r="Q4389" s="209"/>
      <c r="R4389" s="261"/>
      <c r="S4389" s="52"/>
      <c r="T4389" s="181"/>
      <c r="U4389" s="52"/>
      <c r="V4389" s="4295"/>
      <c r="W4389" s="163"/>
      <c r="X4389" s="166"/>
      <c r="Y4389" s="166"/>
      <c r="Z4389" s="163"/>
      <c r="AA4389" s="163"/>
      <c r="AB4389" s="166"/>
      <c r="AC4389" s="163"/>
      <c r="AD4389" s="163"/>
      <c r="AE4389" s="163"/>
      <c r="AF4389" s="271" t="str">
        <f t="shared" si="379"/>
        <v/>
      </c>
      <c r="AG4389" s="241"/>
      <c r="DG4389" s="573"/>
      <c r="DH4389" s="159"/>
      <c r="DI4389" s="1091"/>
      <c r="DJ4389" s="1187"/>
    </row>
    <row r="4390" spans="1:114" ht="14.65" hidden="1" customHeight="1" outlineLevel="1">
      <c r="A4390" s="453"/>
      <c r="C4390" s="51"/>
      <c r="D4390" s="4295"/>
      <c r="E4390" s="4295"/>
      <c r="F4390" s="4347" t="str">
        <f t="shared" si="380"/>
        <v>ASHP-SEER21-Replace_CAC_ElectricHeat_ROF_MF_CompE</v>
      </c>
      <c r="G4390" s="4347"/>
      <c r="H4390" s="4347"/>
      <c r="I4390" s="4347"/>
      <c r="J4390" s="3471" t="str">
        <f t="shared" si="381"/>
        <v>354851_2024_12_</v>
      </c>
      <c r="K4390" s="3496">
        <f>(S$1919+L4390*T$1919)-(S$1924+L4390*T$1924)</f>
        <v>3689</v>
      </c>
      <c r="L4390" s="3221">
        <f>VLOOKUP(J4390,$J$1914:$L$2106,3,FALSE)*M4390</f>
        <v>1.8199999999999998</v>
      </c>
      <c r="M4390" s="3497">
        <f>VLOOKUP(J4390,$J$3458:$K$3650,2,FALSE)</f>
        <v>0.65</v>
      </c>
      <c r="N4390" s="553"/>
      <c r="P4390" s="261"/>
      <c r="Q4390" s="209"/>
      <c r="R4390" s="261"/>
      <c r="S4390" s="52"/>
      <c r="T4390" s="181"/>
      <c r="U4390" s="52"/>
      <c r="V4390" s="4295"/>
      <c r="W4390" s="163"/>
      <c r="X4390" s="166"/>
      <c r="Y4390" s="166"/>
      <c r="Z4390" s="163"/>
      <c r="AA4390" s="163"/>
      <c r="AB4390" s="166"/>
      <c r="AC4390" s="2467">
        <v>1689.9245999999991</v>
      </c>
      <c r="AD4390" s="2894">
        <v>1689.9245999999991</v>
      </c>
      <c r="AE4390" s="2894">
        <v>1689.9245999999991</v>
      </c>
      <c r="AF4390" s="2236">
        <f t="shared" si="379"/>
        <v>3689</v>
      </c>
      <c r="AG4390" s="241"/>
      <c r="DG4390" s="573"/>
      <c r="DH4390" s="159"/>
      <c r="DI4390" s="1091"/>
      <c r="DJ4390" s="1187"/>
    </row>
    <row r="4391" spans="1:114" ht="14.65" hidden="1" customHeight="1" outlineLevel="1">
      <c r="A4391" s="453"/>
      <c r="C4391" s="51"/>
      <c r="D4391" s="4295"/>
      <c r="E4391" s="4295"/>
      <c r="F4391" s="4347" t="str">
        <f t="shared" si="380"/>
        <v>ASHP-SEER21-Replace_CAC_ElectricHeat_ROF_MF_CompE</v>
      </c>
      <c r="G4391" s="4347"/>
      <c r="H4391" s="4347"/>
      <c r="I4391" s="4347"/>
      <c r="J4391" s="3471" t="str">
        <f t="shared" si="381"/>
        <v>354851_2024_12_</v>
      </c>
      <c r="K4391" s="2894"/>
      <c r="L4391" s="3221"/>
      <c r="M4391" s="3497"/>
      <c r="P4391" s="261"/>
      <c r="Q4391" s="209"/>
      <c r="R4391" s="261"/>
      <c r="S4391" s="52"/>
      <c r="T4391" s="181"/>
      <c r="U4391" s="52"/>
      <c r="V4391" s="4295"/>
      <c r="W4391" s="163"/>
      <c r="X4391" s="166"/>
      <c r="Y4391" s="166"/>
      <c r="Z4391" s="163"/>
      <c r="AA4391" s="163"/>
      <c r="AB4391" s="166"/>
      <c r="AC4391" s="2894"/>
      <c r="AD4391" s="2894"/>
      <c r="AE4391" s="2894"/>
      <c r="AF4391" s="2236" t="str">
        <f t="shared" si="379"/>
        <v/>
      </c>
      <c r="AG4391" s="241"/>
      <c r="DG4391" s="573"/>
      <c r="DH4391" s="159"/>
      <c r="DI4391" s="1091"/>
      <c r="DJ4391" s="1187"/>
    </row>
    <row r="4392" spans="1:114" ht="14.65" hidden="1" customHeight="1" outlineLevel="1">
      <c r="A4392" s="453"/>
      <c r="C4392" s="51"/>
      <c r="D4392" s="4295"/>
      <c r="E4392" s="4295"/>
      <c r="F4392" s="4347" t="str">
        <f t="shared" si="380"/>
        <v>ASHP-SEER21-Replace_CAC_NonElectricHeat_ROF_MF</v>
      </c>
      <c r="G4392" s="4347"/>
      <c r="H4392" s="4347"/>
      <c r="I4392" s="4347"/>
      <c r="J4392" s="3471" t="str">
        <f t="shared" si="381"/>
        <v>354860_2024_12_</v>
      </c>
      <c r="K4392" s="3496">
        <f>((S$1919+L4392*T$1919)-(S$1924+L4392*T$1924))*VLOOKUP(J4392,$J$4424:$K$4467,2,FALSE)</f>
        <v>281.14700796498209</v>
      </c>
      <c r="L4392" s="3221">
        <f>VLOOKUP(J4392,$J$1914:$L$2106,3,FALSE)*M4392</f>
        <v>1.8199999999999998</v>
      </c>
      <c r="M4392" s="3497">
        <f>VLOOKUP(J4392,$J$3458:$K$3650,2,FALSE)</f>
        <v>0.65</v>
      </c>
      <c r="N4392" s="553"/>
      <c r="P4392" s="261"/>
      <c r="Q4392" s="209"/>
      <c r="R4392" s="261"/>
      <c r="S4392" s="52"/>
      <c r="T4392" s="181"/>
      <c r="U4392" s="52"/>
      <c r="V4392" s="4295"/>
      <c r="W4392" s="163"/>
      <c r="X4392" s="166"/>
      <c r="Y4392" s="166"/>
      <c r="Z4392" s="163"/>
      <c r="AA4392" s="163"/>
      <c r="AB4392" s="166"/>
      <c r="AC4392" s="2467">
        <v>1689.9245999999991</v>
      </c>
      <c r="AD4392" s="2894">
        <v>1689.9245999999991</v>
      </c>
      <c r="AE4392" s="2894">
        <v>1689.9245999999991</v>
      </c>
      <c r="AF4392" s="2236">
        <f t="shared" si="379"/>
        <v>281.14700796498209</v>
      </c>
      <c r="AG4392" s="241"/>
      <c r="DG4392" s="573"/>
      <c r="DH4392" s="159"/>
      <c r="DI4392" s="1091"/>
      <c r="DJ4392" s="1187"/>
    </row>
    <row r="4393" spans="1:114" ht="14.65" hidden="1" customHeight="1" outlineLevel="1">
      <c r="A4393" s="453"/>
      <c r="C4393" s="51"/>
      <c r="D4393" s="4295"/>
      <c r="E4393" s="4295"/>
      <c r="F4393" s="4347" t="str">
        <f t="shared" si="380"/>
        <v>ASHP-SEER21-Replace_CAC_NonElectricHeat_ROF_MF</v>
      </c>
      <c r="G4393" s="4347"/>
      <c r="H4393" s="4347"/>
      <c r="I4393" s="4347"/>
      <c r="J4393" s="3471" t="str">
        <f t="shared" si="381"/>
        <v>354860_2024_12_</v>
      </c>
      <c r="K4393" s="2894"/>
      <c r="L4393" s="3221"/>
      <c r="M4393" s="3497"/>
      <c r="P4393" s="261"/>
      <c r="Q4393" s="209"/>
      <c r="R4393" s="261"/>
      <c r="S4393" s="52"/>
      <c r="T4393" s="181"/>
      <c r="U4393" s="52"/>
      <c r="V4393" s="4295"/>
      <c r="W4393" s="163"/>
      <c r="X4393" s="166"/>
      <c r="Y4393" s="166"/>
      <c r="Z4393" s="163"/>
      <c r="AA4393" s="163"/>
      <c r="AB4393" s="166"/>
      <c r="AC4393" s="2894"/>
      <c r="AD4393" s="2894"/>
      <c r="AE4393" s="2894"/>
      <c r="AF4393" s="2236" t="str">
        <f t="shared" si="379"/>
        <v/>
      </c>
      <c r="AG4393" s="241"/>
      <c r="DG4393" s="573"/>
      <c r="DH4393" s="159"/>
      <c r="DI4393" s="1091"/>
      <c r="DJ4393" s="1187"/>
    </row>
    <row r="4394" spans="1:114" ht="14.65" hidden="1" customHeight="1" outlineLevel="1">
      <c r="A4394" s="453"/>
      <c r="C4394" s="51"/>
      <c r="D4394" s="4295"/>
      <c r="E4394" s="4295"/>
      <c r="F4394" s="4347" t="str">
        <f t="shared" si="380"/>
        <v>ASHP-SEER21-Replace_CAC_NonElectricHeat_ROF_MF_CompE</v>
      </c>
      <c r="G4394" s="4347"/>
      <c r="H4394" s="4347"/>
      <c r="I4394" s="4347"/>
      <c r="J4394" s="3471" t="str">
        <f t="shared" si="381"/>
        <v>354861_2024_12_</v>
      </c>
      <c r="K4394" s="3496">
        <f>((S$1919+L4394*T$1919)-(S$1924+L4394*T$1924))*VLOOKUP(J4394,$J$4424:$K$4467,2,FALSE)</f>
        <v>552.10077923954907</v>
      </c>
      <c r="L4394" s="3221">
        <f>VLOOKUP(J4394,$J$1914:$L$2106,3,FALSE)*M4394</f>
        <v>1.8199999999999998</v>
      </c>
      <c r="M4394" s="3497">
        <f>VLOOKUP(J4394,$J$3458:$K$3650,2,FALSE)</f>
        <v>0.65</v>
      </c>
      <c r="N4394" s="553"/>
      <c r="P4394" s="261"/>
      <c r="Q4394" s="209"/>
      <c r="R4394" s="261"/>
      <c r="S4394" s="52"/>
      <c r="T4394" s="181"/>
      <c r="U4394" s="52"/>
      <c r="V4394" s="4295"/>
      <c r="W4394" s="163"/>
      <c r="X4394" s="166"/>
      <c r="Y4394" s="166"/>
      <c r="Z4394" s="163"/>
      <c r="AA4394" s="163"/>
      <c r="AB4394" s="166"/>
      <c r="AC4394" s="2467">
        <v>1689.9245999999991</v>
      </c>
      <c r="AD4394" s="2894">
        <v>1689.9245999999991</v>
      </c>
      <c r="AE4394" s="2894">
        <v>1689.9245999999991</v>
      </c>
      <c r="AF4394" s="2236">
        <f t="shared" si="379"/>
        <v>552.10077923954907</v>
      </c>
      <c r="AG4394" s="241"/>
      <c r="DG4394" s="573"/>
      <c r="DH4394" s="159"/>
      <c r="DI4394" s="1091"/>
      <c r="DJ4394" s="1187"/>
    </row>
    <row r="4395" spans="1:114" ht="14.65" hidden="1" customHeight="1" outlineLevel="1">
      <c r="A4395" s="453"/>
      <c r="C4395" s="51"/>
      <c r="D4395" s="4295"/>
      <c r="E4395" s="4295"/>
      <c r="F4395" s="4347" t="str">
        <f t="shared" si="380"/>
        <v>ASHP-SEER21-Replace_CAC_NonElectricHeat_ROF_MF_CompE</v>
      </c>
      <c r="G4395" s="4347"/>
      <c r="H4395" s="4347"/>
      <c r="I4395" s="4347"/>
      <c r="J4395" s="3471" t="str">
        <f t="shared" si="381"/>
        <v>354861_2024_12_</v>
      </c>
      <c r="K4395" s="2894"/>
      <c r="L4395" s="3221"/>
      <c r="M4395" s="3497"/>
      <c r="P4395" s="261"/>
      <c r="Q4395" s="209"/>
      <c r="R4395" s="261"/>
      <c r="S4395" s="52"/>
      <c r="T4395" s="181"/>
      <c r="U4395" s="52"/>
      <c r="V4395" s="4295"/>
      <c r="W4395" s="163"/>
      <c r="X4395" s="166"/>
      <c r="Y4395" s="166"/>
      <c r="Z4395" s="163"/>
      <c r="AA4395" s="163"/>
      <c r="AB4395" s="166"/>
      <c r="AC4395" s="2894"/>
      <c r="AD4395" s="2894"/>
      <c r="AE4395" s="2894"/>
      <c r="AF4395" s="2236" t="str">
        <f t="shared" si="379"/>
        <v/>
      </c>
      <c r="AG4395" s="241"/>
      <c r="DG4395" s="573"/>
      <c r="DH4395" s="159"/>
      <c r="DI4395" s="1091"/>
      <c r="DJ4395" s="1187"/>
    </row>
    <row r="4396" spans="1:114" ht="14.65" hidden="1" customHeight="1" outlineLevel="1">
      <c r="A4396" s="453"/>
      <c r="C4396" s="51"/>
      <c r="D4396" s="4295"/>
      <c r="E4396" s="4295"/>
      <c r="F4396" s="4307" t="str">
        <f t="shared" si="380"/>
        <v>ASHP-SEER21_ER1_MF</v>
      </c>
      <c r="G4396" s="4307"/>
      <c r="H4396" s="4307"/>
      <c r="I4396" s="4307"/>
      <c r="J4396" s="1029" t="str">
        <f t="shared" si="381"/>
        <v>354900_2024_12_</v>
      </c>
      <c r="K4396" s="1752">
        <f>(S$1919+L4396*T$1919)-(S$1925+L4396*T$1925)*S$1931</f>
        <v>1077.5183641564863</v>
      </c>
      <c r="L4396" s="47">
        <f>VLOOKUP(J4396,$J$1914:$L$2106,3,FALSE)*M4396</f>
        <v>2.145</v>
      </c>
      <c r="M4396" s="1743">
        <f>VLOOKUP(J4396,$J$3458:$K$3650,2,FALSE)</f>
        <v>0.65</v>
      </c>
      <c r="N4396" s="553"/>
      <c r="P4396" s="261"/>
      <c r="Q4396" s="209"/>
      <c r="R4396" s="261"/>
      <c r="S4396" s="52"/>
      <c r="T4396" s="181"/>
      <c r="U4396" s="52"/>
      <c r="V4396" s="4295"/>
      <c r="W4396" s="163">
        <v>15995.882309621684</v>
      </c>
      <c r="X4396" s="166">
        <v>5380.4534662757469</v>
      </c>
      <c r="Y4396" s="166">
        <v>1763.8516619658126</v>
      </c>
      <c r="Z4396" s="163">
        <v>1763.8516619658126</v>
      </c>
      <c r="AA4396" s="163">
        <v>1763.8516619658126</v>
      </c>
      <c r="AB4396" s="166">
        <v>2202.4463238752733</v>
      </c>
      <c r="AC4396" s="163">
        <v>2202.4463238752733</v>
      </c>
      <c r="AD4396" s="163">
        <v>2202.4463238752733</v>
      </c>
      <c r="AE4396" s="166">
        <v>2275.1129997585826</v>
      </c>
      <c r="AF4396" s="271">
        <f t="shared" si="379"/>
        <v>1077.5183641564863</v>
      </c>
      <c r="AG4396" s="241"/>
      <c r="DG4396" s="573"/>
      <c r="DH4396" s="159"/>
      <c r="DI4396" s="1091"/>
      <c r="DJ4396" s="1187"/>
    </row>
    <row r="4397" spans="1:114" ht="14.65" hidden="1" customHeight="1" outlineLevel="1">
      <c r="A4397" s="453"/>
      <c r="C4397" s="51"/>
      <c r="D4397" s="4295"/>
      <c r="E4397" s="4295"/>
      <c r="F4397" s="4307" t="str">
        <f t="shared" si="380"/>
        <v>ASHP-SEER21_ER1_MF</v>
      </c>
      <c r="G4397" s="4307"/>
      <c r="H4397" s="4307"/>
      <c r="I4397" s="4307"/>
      <c r="J4397" s="1029" t="str">
        <f t="shared" si="381"/>
        <v>354900_2024_12_</v>
      </c>
      <c r="K4397" s="163"/>
      <c r="L4397" s="47" t="str">
        <f>IF(K4397&gt;0,VLOOKUP(J4397,$J$1914:$L$2106,3,FALSE),"")</f>
        <v/>
      </c>
      <c r="M4397" s="1743" t="str">
        <f>IF(K4397&gt;0,VLOOKUP(J4397,$J$3458:$K$3650,2,FALSE),"")</f>
        <v/>
      </c>
      <c r="P4397" s="261"/>
      <c r="Q4397" s="209"/>
      <c r="R4397" s="261"/>
      <c r="S4397" s="52"/>
      <c r="T4397" s="181"/>
      <c r="U4397" s="52"/>
      <c r="V4397" s="4295"/>
      <c r="W4397" s="163"/>
      <c r="X4397" s="166"/>
      <c r="Y4397" s="166"/>
      <c r="Z4397" s="163"/>
      <c r="AA4397" s="163"/>
      <c r="AB4397" s="166"/>
      <c r="AC4397" s="163"/>
      <c r="AD4397" s="163"/>
      <c r="AE4397" s="163"/>
      <c r="AF4397" s="271" t="str">
        <f t="shared" si="379"/>
        <v/>
      </c>
      <c r="AG4397" s="241"/>
      <c r="DG4397" s="573"/>
      <c r="DH4397" s="159"/>
      <c r="DI4397" s="1091"/>
      <c r="DJ4397" s="1187"/>
    </row>
    <row r="4398" spans="1:114" ht="14.65" hidden="1" customHeight="1" outlineLevel="1">
      <c r="A4398" s="453"/>
      <c r="C4398" s="51"/>
      <c r="D4398" s="4295"/>
      <c r="E4398" s="4295"/>
      <c r="F4398" s="4307" t="str">
        <f t="shared" si="380"/>
        <v>ASHP-SEER21_ER2_MF</v>
      </c>
      <c r="G4398" s="4307"/>
      <c r="H4398" s="4307"/>
      <c r="I4398" s="4307"/>
      <c r="J4398" s="1029" t="str">
        <f t="shared" si="381"/>
        <v>354900_2024_12_</v>
      </c>
      <c r="K4398" s="163"/>
      <c r="L4398" s="47" t="str">
        <f>IF(K4398&gt;0,VLOOKUP(J4398,$J$1914:$L$2106,3,FALSE),"")</f>
        <v/>
      </c>
      <c r="M4398" s="1743" t="str">
        <f>IF(K4398&gt;0,VLOOKUP(J4398,$J$3458:$K$3650,2,FALSE),"")</f>
        <v/>
      </c>
      <c r="P4398" s="261"/>
      <c r="Q4398" s="209"/>
      <c r="R4398" s="261"/>
      <c r="S4398" s="52"/>
      <c r="T4398" s="181"/>
      <c r="U4398" s="52"/>
      <c r="V4398" s="4295"/>
      <c r="W4398" s="163"/>
      <c r="X4398" s="166"/>
      <c r="Y4398" s="166"/>
      <c r="Z4398" s="163"/>
      <c r="AA4398" s="163"/>
      <c r="AB4398" s="166"/>
      <c r="AC4398" s="163"/>
      <c r="AD4398" s="163"/>
      <c r="AE4398" s="163"/>
      <c r="AF4398" s="271" t="str">
        <f t="shared" si="379"/>
        <v/>
      </c>
      <c r="AG4398" s="241"/>
      <c r="DG4398" s="573"/>
      <c r="DH4398" s="159"/>
      <c r="DI4398" s="1091"/>
      <c r="DJ4398" s="1187"/>
    </row>
    <row r="4399" spans="1:114" ht="14.65" hidden="1" customHeight="1" outlineLevel="1">
      <c r="A4399" s="453"/>
      <c r="C4399" s="51"/>
      <c r="D4399" s="4295"/>
      <c r="E4399" s="4295"/>
      <c r="F4399" s="4307" t="str">
        <f t="shared" si="380"/>
        <v>ASHP-SEER21_ER2_MF</v>
      </c>
      <c r="G4399" s="4307"/>
      <c r="H4399" s="4307"/>
      <c r="I4399" s="4307"/>
      <c r="J4399" s="1029" t="str">
        <f t="shared" si="381"/>
        <v>354900_2024_12_</v>
      </c>
      <c r="K4399" s="163"/>
      <c r="L4399" s="47" t="str">
        <f>IF(K4399&gt;0,VLOOKUP(J4399,$J$1914:$L$2106,3,FALSE),"")</f>
        <v/>
      </c>
      <c r="M4399" s="1743" t="str">
        <f>IF(K4399&gt;0,VLOOKUP(J4399,$J$3458:$K$3650,2,FALSE),"")</f>
        <v/>
      </c>
      <c r="P4399" s="261"/>
      <c r="Q4399" s="209"/>
      <c r="R4399" s="261"/>
      <c r="S4399" s="52"/>
      <c r="T4399" s="181"/>
      <c r="U4399" s="52"/>
      <c r="V4399" s="4295"/>
      <c r="W4399" s="163"/>
      <c r="X4399" s="166"/>
      <c r="Y4399" s="166"/>
      <c r="Z4399" s="163"/>
      <c r="AA4399" s="163"/>
      <c r="AB4399" s="166"/>
      <c r="AC4399" s="163"/>
      <c r="AD4399" s="163"/>
      <c r="AE4399" s="163"/>
      <c r="AF4399" s="271" t="str">
        <f t="shared" si="379"/>
        <v/>
      </c>
      <c r="AG4399" s="241"/>
      <c r="DG4399" s="573"/>
      <c r="DH4399" s="159"/>
      <c r="DI4399" s="1091"/>
      <c r="DJ4399" s="1187"/>
    </row>
    <row r="4400" spans="1:114" ht="14.65" hidden="1" customHeight="1" outlineLevel="1">
      <c r="A4400" s="453"/>
      <c r="C4400" s="51"/>
      <c r="D4400" s="4295"/>
      <c r="E4400" s="4295"/>
      <c r="F4400" s="4347" t="str">
        <f t="shared" si="380"/>
        <v>ASHP-SEER21_ER1_MF_CompE</v>
      </c>
      <c r="G4400" s="4347"/>
      <c r="H4400" s="4347"/>
      <c r="I4400" s="4347"/>
      <c r="J4400" s="3471" t="str">
        <f t="shared" si="381"/>
        <v>354901_2024_12_</v>
      </c>
      <c r="K4400" s="3496">
        <f>(S$1919+L4400*T$1919)-(S$1925+L4400*T$1925)*S$1931</f>
        <v>1077.5183641564863</v>
      </c>
      <c r="L4400" s="3221">
        <f>VLOOKUP(J4400,$J$1914:$L$2106,3,FALSE)*M4400</f>
        <v>2.145</v>
      </c>
      <c r="M4400" s="3497">
        <f>VLOOKUP(J4400,$J$3458:$K$3650,2,FALSE)</f>
        <v>0.65</v>
      </c>
      <c r="N4400" s="553"/>
      <c r="P4400" s="261"/>
      <c r="Q4400" s="209"/>
      <c r="R4400" s="261"/>
      <c r="S4400" s="52"/>
      <c r="T4400" s="181"/>
      <c r="U4400" s="52"/>
      <c r="V4400" s="4295"/>
      <c r="W4400" s="163"/>
      <c r="X4400" s="166"/>
      <c r="Y4400" s="166"/>
      <c r="Z4400" s="163"/>
      <c r="AA4400" s="163"/>
      <c r="AB4400" s="166"/>
      <c r="AC4400" s="2467">
        <v>2202.4463238752733</v>
      </c>
      <c r="AD4400" s="2894">
        <v>2202.4463238752733</v>
      </c>
      <c r="AE4400" s="2467">
        <v>2275.1129997585826</v>
      </c>
      <c r="AF4400" s="2236">
        <f t="shared" si="379"/>
        <v>1077.5183641564863</v>
      </c>
      <c r="AG4400" s="241"/>
      <c r="DG4400" s="573"/>
      <c r="DH4400" s="159"/>
      <c r="DI4400" s="1091"/>
      <c r="DJ4400" s="1187"/>
    </row>
    <row r="4401" spans="1:114" ht="14.65" hidden="1" customHeight="1" outlineLevel="1">
      <c r="A4401" s="453"/>
      <c r="C4401" s="51"/>
      <c r="D4401" s="4295"/>
      <c r="E4401" s="4295"/>
      <c r="F4401" s="4347" t="str">
        <f t="shared" si="380"/>
        <v>ASHP-SEER21_ER1_MF_CompE</v>
      </c>
      <c r="G4401" s="4347"/>
      <c r="H4401" s="4347"/>
      <c r="I4401" s="4347"/>
      <c r="J4401" s="3471" t="str">
        <f t="shared" si="381"/>
        <v>354901_2024_12_</v>
      </c>
      <c r="K4401" s="2894"/>
      <c r="L4401" s="3221"/>
      <c r="M4401" s="3497"/>
      <c r="P4401" s="261"/>
      <c r="Q4401" s="209"/>
      <c r="R4401" s="261"/>
      <c r="S4401" s="52"/>
      <c r="T4401" s="181"/>
      <c r="U4401" s="52"/>
      <c r="V4401" s="4295"/>
      <c r="W4401" s="163"/>
      <c r="X4401" s="166"/>
      <c r="Y4401" s="166"/>
      <c r="Z4401" s="163"/>
      <c r="AA4401" s="163"/>
      <c r="AB4401" s="166"/>
      <c r="AC4401" s="163"/>
      <c r="AD4401" s="163"/>
      <c r="AE4401" s="163"/>
      <c r="AF4401" s="271" t="str">
        <f t="shared" si="379"/>
        <v/>
      </c>
      <c r="AG4401" s="241"/>
      <c r="DG4401" s="573"/>
      <c r="DH4401" s="159"/>
      <c r="DI4401" s="1091"/>
      <c r="DJ4401" s="1187"/>
    </row>
    <row r="4402" spans="1:114" ht="14.65" hidden="1" customHeight="1" outlineLevel="1">
      <c r="A4402" s="453"/>
      <c r="C4402" s="51"/>
      <c r="D4402" s="4295"/>
      <c r="E4402" s="4295"/>
      <c r="F4402" s="4347" t="str">
        <f t="shared" si="380"/>
        <v>ASHP-SEER21_ER2_MF_CompE</v>
      </c>
      <c r="G4402" s="4347"/>
      <c r="H4402" s="4347"/>
      <c r="I4402" s="4347"/>
      <c r="J4402" s="3471" t="str">
        <f t="shared" si="381"/>
        <v>354901_2024_12_</v>
      </c>
      <c r="K4402" s="2894"/>
      <c r="L4402" s="3221"/>
      <c r="M4402" s="3497"/>
      <c r="P4402" s="261"/>
      <c r="Q4402" s="209"/>
      <c r="R4402" s="261"/>
      <c r="S4402" s="52"/>
      <c r="T4402" s="181"/>
      <c r="U4402" s="52"/>
      <c r="V4402" s="4295"/>
      <c r="W4402" s="163"/>
      <c r="X4402" s="166"/>
      <c r="Y4402" s="166"/>
      <c r="Z4402" s="163"/>
      <c r="AA4402" s="163"/>
      <c r="AB4402" s="166"/>
      <c r="AC4402" s="163"/>
      <c r="AD4402" s="163"/>
      <c r="AE4402" s="163"/>
      <c r="AF4402" s="271" t="str">
        <f t="shared" si="379"/>
        <v/>
      </c>
      <c r="AG4402" s="241"/>
      <c r="DG4402" s="573"/>
      <c r="DH4402" s="159"/>
      <c r="DI4402" s="1091"/>
      <c r="DJ4402" s="1187"/>
    </row>
    <row r="4403" spans="1:114" ht="14.65" hidden="1" customHeight="1" outlineLevel="1">
      <c r="A4403" s="453"/>
      <c r="C4403" s="51"/>
      <c r="D4403" s="4295"/>
      <c r="E4403" s="4295"/>
      <c r="F4403" s="4347" t="str">
        <f t="shared" si="380"/>
        <v>ASHP-SEER21_ER2_MF_CompE</v>
      </c>
      <c r="G4403" s="4347"/>
      <c r="H4403" s="4347"/>
      <c r="I4403" s="4347"/>
      <c r="J4403" s="3471" t="str">
        <f t="shared" si="381"/>
        <v>354901_2024_12_</v>
      </c>
      <c r="K4403" s="2894"/>
      <c r="L4403" s="3221"/>
      <c r="M4403" s="3497"/>
      <c r="P4403" s="261"/>
      <c r="Q4403" s="209"/>
      <c r="R4403" s="261"/>
      <c r="S4403" s="52"/>
      <c r="T4403" s="181"/>
      <c r="U4403" s="52"/>
      <c r="V4403" s="4295"/>
      <c r="W4403" s="163"/>
      <c r="X4403" s="166"/>
      <c r="Y4403" s="166"/>
      <c r="Z4403" s="163"/>
      <c r="AA4403" s="163"/>
      <c r="AB4403" s="166"/>
      <c r="AC4403" s="163"/>
      <c r="AD4403" s="163"/>
      <c r="AE4403" s="163"/>
      <c r="AF4403" s="271" t="str">
        <f t="shared" si="379"/>
        <v/>
      </c>
      <c r="AG4403" s="241"/>
      <c r="DG4403" s="573"/>
      <c r="DH4403" s="159"/>
      <c r="DI4403" s="1091"/>
      <c r="DJ4403" s="1187"/>
    </row>
    <row r="4404" spans="1:114" ht="14.65" hidden="1" customHeight="1" outlineLevel="1">
      <c r="A4404" s="453"/>
      <c r="C4404" s="51"/>
      <c r="D4404" s="4295"/>
      <c r="E4404" s="4295"/>
      <c r="F4404" s="4307" t="str">
        <f t="shared" ref="F4404:F4421" si="382">E1874</f>
        <v>ASHP-SEER17_ROF_MF</v>
      </c>
      <c r="G4404" s="4307"/>
      <c r="H4404" s="4307"/>
      <c r="I4404" s="4307"/>
      <c r="J4404" s="1029" t="str">
        <f t="shared" si="381"/>
        <v>354950_2024_12_</v>
      </c>
      <c r="K4404" s="1752">
        <f>(S$1917+L4404*T$1917)-(S$1923+L4404*T$1923)</f>
        <v>630</v>
      </c>
      <c r="L4404" s="47">
        <f>VLOOKUP(J4404,$J$1914:$L$2106,3,FALSE)*M4404</f>
        <v>2.145</v>
      </c>
      <c r="M4404" s="1743">
        <f>VLOOKUP(J4404,$J$3458:$K$3650,2,FALSE)</f>
        <v>0.65</v>
      </c>
      <c r="N4404" s="553"/>
      <c r="P4404" s="261"/>
      <c r="Q4404" s="209"/>
      <c r="R4404" s="261"/>
      <c r="S4404" s="52"/>
      <c r="T4404" s="181"/>
      <c r="U4404" s="52"/>
      <c r="V4404" s="4295"/>
      <c r="W4404" s="163">
        <v>1914</v>
      </c>
      <c r="X4404" s="166">
        <v>1552.98</v>
      </c>
      <c r="Y4404" s="166">
        <v>580</v>
      </c>
      <c r="Z4404" s="163">
        <v>580</v>
      </c>
      <c r="AA4404" s="163">
        <v>580</v>
      </c>
      <c r="AB4404" s="166">
        <v>724</v>
      </c>
      <c r="AC4404" s="163">
        <v>724</v>
      </c>
      <c r="AD4404" s="163">
        <v>724</v>
      </c>
      <c r="AE4404" s="163">
        <v>724</v>
      </c>
      <c r="AF4404" s="271">
        <f t="shared" si="379"/>
        <v>630</v>
      </c>
      <c r="AG4404" s="241"/>
      <c r="DG4404" s="573"/>
      <c r="DH4404" s="159"/>
      <c r="DI4404" s="1091"/>
      <c r="DJ4404" s="1187"/>
    </row>
    <row r="4405" spans="1:114" ht="14.65" hidden="1" customHeight="1" outlineLevel="1">
      <c r="A4405" s="453"/>
      <c r="C4405" s="51"/>
      <c r="D4405" s="4295"/>
      <c r="E4405" s="4295"/>
      <c r="F4405" s="4307" t="str">
        <f t="shared" si="382"/>
        <v>ASHP-SEER17_ROF_MF</v>
      </c>
      <c r="G4405" s="4307"/>
      <c r="H4405" s="4307"/>
      <c r="I4405" s="4307"/>
      <c r="J4405" s="1029" t="str">
        <f t="shared" si="381"/>
        <v>354950_2024_12_</v>
      </c>
      <c r="K4405" s="163"/>
      <c r="L4405" s="47" t="str">
        <f>IF(K4405&gt;0,VLOOKUP(J4405,$J$1914:$L$2106,3,FALSE),"")</f>
        <v/>
      </c>
      <c r="M4405" s="1743" t="str">
        <f>IF(K4405&gt;0,VLOOKUP(J4405,$J$3458:$K$3650,2,FALSE),"")</f>
        <v/>
      </c>
      <c r="P4405" s="261"/>
      <c r="Q4405" s="209"/>
      <c r="R4405" s="261"/>
      <c r="S4405" s="52"/>
      <c r="T4405" s="181"/>
      <c r="U4405" s="52"/>
      <c r="V4405" s="4295"/>
      <c r="W4405" s="163"/>
      <c r="X4405" s="166"/>
      <c r="Y4405" s="166"/>
      <c r="Z4405" s="163"/>
      <c r="AA4405" s="163"/>
      <c r="AB4405" s="166"/>
      <c r="AC4405" s="163"/>
      <c r="AD4405" s="163"/>
      <c r="AE4405" s="163"/>
      <c r="AF4405" s="271" t="str">
        <f t="shared" si="379"/>
        <v/>
      </c>
      <c r="AG4405" s="241"/>
      <c r="DG4405" s="573"/>
      <c r="DH4405" s="159"/>
      <c r="DI4405" s="1091"/>
      <c r="DJ4405" s="1187"/>
    </row>
    <row r="4406" spans="1:114" ht="14.65" hidden="1" customHeight="1" outlineLevel="1">
      <c r="A4406" s="453"/>
      <c r="C4406" s="51"/>
      <c r="D4406" s="4295"/>
      <c r="E4406" s="4295"/>
      <c r="F4406" s="4347" t="str">
        <f t="shared" si="382"/>
        <v>ASHP-SEER17_ROF_MF_CompE</v>
      </c>
      <c r="G4406" s="4347"/>
      <c r="H4406" s="4347"/>
      <c r="I4406" s="4347"/>
      <c r="J4406" s="3471" t="str">
        <f t="shared" si="381"/>
        <v>354951_2024_12_</v>
      </c>
      <c r="K4406" s="3496">
        <f>(S$1917+L4406*T$1917)-(S$1923+L4406*T$1923)</f>
        <v>630</v>
      </c>
      <c r="L4406" s="3221">
        <f>VLOOKUP(J4406,$J$1914:$L$2106,3,FALSE)*M4406</f>
        <v>2.145</v>
      </c>
      <c r="M4406" s="3497">
        <f>VLOOKUP(J4406,$J$3458:$K$3650,2,FALSE)</f>
        <v>0.65</v>
      </c>
      <c r="N4406" s="553"/>
      <c r="P4406" s="261"/>
      <c r="Q4406" s="209"/>
      <c r="R4406" s="261"/>
      <c r="S4406" s="52"/>
      <c r="T4406" s="181"/>
      <c r="U4406" s="52"/>
      <c r="V4406" s="4295"/>
      <c r="W4406" s="163"/>
      <c r="X4406" s="166"/>
      <c r="Y4406" s="166"/>
      <c r="Z4406" s="163"/>
      <c r="AA4406" s="163"/>
      <c r="AB4406" s="166"/>
      <c r="AC4406" s="2467">
        <v>724</v>
      </c>
      <c r="AD4406" s="2894">
        <v>724</v>
      </c>
      <c r="AE4406" s="2894">
        <v>724</v>
      </c>
      <c r="AF4406" s="2236">
        <f t="shared" si="379"/>
        <v>630</v>
      </c>
      <c r="AG4406" s="241"/>
      <c r="DG4406" s="573"/>
      <c r="DH4406" s="159"/>
      <c r="DI4406" s="1091"/>
      <c r="DJ4406" s="1187"/>
    </row>
    <row r="4407" spans="1:114" ht="14.65" hidden="1" customHeight="1" outlineLevel="1">
      <c r="A4407" s="453"/>
      <c r="C4407" s="51"/>
      <c r="D4407" s="4295"/>
      <c r="E4407" s="4295"/>
      <c r="F4407" s="4347" t="str">
        <f t="shared" si="382"/>
        <v>ASHP-SEER17_ROF_MF_CompE</v>
      </c>
      <c r="G4407" s="4347"/>
      <c r="H4407" s="4347"/>
      <c r="I4407" s="4347"/>
      <c r="J4407" s="3471" t="str">
        <f t="shared" si="381"/>
        <v>354951_2024_12_</v>
      </c>
      <c r="K4407" s="2894"/>
      <c r="L4407" s="3221"/>
      <c r="M4407" s="3497"/>
      <c r="P4407" s="261"/>
      <c r="Q4407" s="209"/>
      <c r="R4407" s="261"/>
      <c r="S4407" s="52"/>
      <c r="T4407" s="181"/>
      <c r="U4407" s="52"/>
      <c r="V4407" s="4295"/>
      <c r="W4407" s="163"/>
      <c r="X4407" s="166"/>
      <c r="Y4407" s="166"/>
      <c r="Z4407" s="163"/>
      <c r="AA4407" s="163"/>
      <c r="AB4407" s="166"/>
      <c r="AC4407" s="163"/>
      <c r="AD4407" s="163"/>
      <c r="AE4407" s="163"/>
      <c r="AF4407" s="271" t="str">
        <f t="shared" si="379"/>
        <v/>
      </c>
      <c r="AG4407" s="241"/>
      <c r="DG4407" s="573"/>
      <c r="DH4407" s="159"/>
      <c r="DI4407" s="1091"/>
      <c r="DJ4407" s="1187"/>
    </row>
    <row r="4408" spans="1:114" ht="14.65" hidden="1" customHeight="1" outlineLevel="1">
      <c r="A4408" s="453"/>
      <c r="C4408" s="51"/>
      <c r="D4408" s="4295"/>
      <c r="E4408" s="4295"/>
      <c r="F4408" s="4307" t="str">
        <f t="shared" si="382"/>
        <v>ASHP-SEER18_ROF_MF</v>
      </c>
      <c r="G4408" s="4307"/>
      <c r="H4408" s="4307"/>
      <c r="I4408" s="4307"/>
      <c r="J4408" s="1029" t="str">
        <f t="shared" si="381"/>
        <v>355000_2024_12_</v>
      </c>
      <c r="K4408" s="1752">
        <f>(S$1918+L4408*T$1918)-(S$1923+L4408*T$1923)</f>
        <v>855</v>
      </c>
      <c r="L4408" s="47">
        <f>VLOOKUP(J4408,$J$1914:$L$2106,3,FALSE)*M4408</f>
        <v>2.145</v>
      </c>
      <c r="M4408" s="1743">
        <f>VLOOKUP(J4408,$J$3458:$K$3650,2,FALSE)</f>
        <v>0.65</v>
      </c>
      <c r="N4408" s="553"/>
      <c r="P4408" s="261"/>
      <c r="Q4408" s="209"/>
      <c r="R4408" s="261"/>
      <c r="S4408" s="52"/>
      <c r="T4408" s="181"/>
      <c r="U4408" s="52"/>
      <c r="V4408" s="4295"/>
      <c r="W4408" s="163">
        <v>2354</v>
      </c>
      <c r="X4408" s="166">
        <v>2065.4634000000001</v>
      </c>
      <c r="Y4408" s="166">
        <v>713.33333333333337</v>
      </c>
      <c r="Z4408" s="163">
        <v>713.33333333333337</v>
      </c>
      <c r="AA4408" s="163">
        <v>713.33333333333337</v>
      </c>
      <c r="AB4408" s="166">
        <v>962.92000000000007</v>
      </c>
      <c r="AC4408" s="163">
        <v>962.92000000000007</v>
      </c>
      <c r="AD4408" s="163">
        <v>962.92000000000007</v>
      </c>
      <c r="AE4408" s="163">
        <v>962.92000000000007</v>
      </c>
      <c r="AF4408" s="271">
        <f t="shared" si="379"/>
        <v>855</v>
      </c>
      <c r="AG4408" s="241"/>
      <c r="DG4408" s="573"/>
      <c r="DH4408" s="159"/>
      <c r="DI4408" s="1091"/>
      <c r="DJ4408" s="1187"/>
    </row>
    <row r="4409" spans="1:114" ht="14.65" hidden="1" customHeight="1" outlineLevel="1">
      <c r="A4409" s="453"/>
      <c r="C4409" s="51"/>
      <c r="D4409" s="4295"/>
      <c r="E4409" s="4295"/>
      <c r="F4409" s="4307" t="str">
        <f t="shared" si="382"/>
        <v>ASHP-SEER18_ROF_MF</v>
      </c>
      <c r="G4409" s="4307"/>
      <c r="H4409" s="4307"/>
      <c r="I4409" s="4307"/>
      <c r="J4409" s="1029" t="str">
        <f t="shared" si="381"/>
        <v>355000_2024_12_</v>
      </c>
      <c r="K4409" s="163"/>
      <c r="L4409" s="47" t="str">
        <f>IF(K4409&gt;0,VLOOKUP(J4409,$J$1914:$L$2106,3,FALSE),"")</f>
        <v/>
      </c>
      <c r="M4409" s="1743" t="str">
        <f>IF(K4409&gt;0,VLOOKUP(J4409,$J$3458:$K$3650,2,FALSE),"")</f>
        <v/>
      </c>
      <c r="P4409" s="261"/>
      <c r="Q4409" s="209"/>
      <c r="R4409" s="261"/>
      <c r="S4409" s="52"/>
      <c r="T4409" s="181"/>
      <c r="U4409" s="52"/>
      <c r="V4409" s="4295"/>
      <c r="W4409" s="163"/>
      <c r="X4409" s="166"/>
      <c r="Y4409" s="166"/>
      <c r="Z4409" s="163"/>
      <c r="AA4409" s="163"/>
      <c r="AB4409" s="166"/>
      <c r="AC4409" s="163"/>
      <c r="AD4409" s="163"/>
      <c r="AE4409" s="163"/>
      <c r="AF4409" s="271" t="str">
        <f t="shared" si="379"/>
        <v/>
      </c>
      <c r="AG4409" s="241"/>
      <c r="DG4409" s="573"/>
      <c r="DH4409" s="159"/>
      <c r="DI4409" s="1091"/>
      <c r="DJ4409" s="1187"/>
    </row>
    <row r="4410" spans="1:114" ht="14.65" hidden="1" customHeight="1" outlineLevel="1">
      <c r="A4410" s="453"/>
      <c r="C4410" s="51"/>
      <c r="D4410" s="4295"/>
      <c r="E4410" s="4295"/>
      <c r="F4410" s="4347" t="str">
        <f t="shared" si="382"/>
        <v>ASHP-SEER18_ROF_MF_CompE</v>
      </c>
      <c r="G4410" s="4347"/>
      <c r="H4410" s="4347"/>
      <c r="I4410" s="4347"/>
      <c r="J4410" s="3471" t="str">
        <f t="shared" si="381"/>
        <v>355001_2024_12_</v>
      </c>
      <c r="K4410" s="3496">
        <f>(S$1918+L4410*T$1918)-(S$1923+L4410*T$1923)</f>
        <v>855</v>
      </c>
      <c r="L4410" s="3221">
        <f>VLOOKUP(J4410,$J$1914:$L$2106,3,FALSE)*M4410</f>
        <v>2.145</v>
      </c>
      <c r="M4410" s="3497">
        <f>VLOOKUP(J4410,$J$3458:$K$3650,2,FALSE)</f>
        <v>0.65</v>
      </c>
      <c r="N4410" s="553"/>
      <c r="P4410" s="261"/>
      <c r="Q4410" s="209"/>
      <c r="R4410" s="261"/>
      <c r="S4410" s="52"/>
      <c r="T4410" s="181"/>
      <c r="U4410" s="52"/>
      <c r="V4410" s="4295"/>
      <c r="W4410" s="163"/>
      <c r="X4410" s="166"/>
      <c r="Y4410" s="166"/>
      <c r="Z4410" s="163"/>
      <c r="AA4410" s="163"/>
      <c r="AB4410" s="166"/>
      <c r="AC4410" s="2467">
        <v>962.92000000000007</v>
      </c>
      <c r="AD4410" s="2894">
        <v>962.92000000000007</v>
      </c>
      <c r="AE4410" s="2894">
        <v>962.92000000000007</v>
      </c>
      <c r="AF4410" s="2236">
        <f t="shared" ref="AF4410:AF4423" si="383">IF(K4410&lt;&gt;"",K4410,"")</f>
        <v>855</v>
      </c>
      <c r="AG4410" s="241"/>
      <c r="DG4410" s="573"/>
      <c r="DH4410" s="159"/>
      <c r="DI4410" s="1091"/>
      <c r="DJ4410" s="1187"/>
    </row>
    <row r="4411" spans="1:114" ht="14.65" hidden="1" customHeight="1" outlineLevel="1">
      <c r="A4411" s="453"/>
      <c r="C4411" s="51"/>
      <c r="D4411" s="4295"/>
      <c r="E4411" s="4295"/>
      <c r="F4411" s="4347" t="str">
        <f t="shared" si="382"/>
        <v>ASHP-SEER18_ROF_MF_CompE</v>
      </c>
      <c r="G4411" s="4347"/>
      <c r="H4411" s="4347"/>
      <c r="I4411" s="4347"/>
      <c r="J4411" s="3471" t="str">
        <f t="shared" si="381"/>
        <v>355001_2024_12_</v>
      </c>
      <c r="K4411" s="2894"/>
      <c r="L4411" s="3221"/>
      <c r="M4411" s="3497"/>
      <c r="P4411" s="261"/>
      <c r="Q4411" s="209"/>
      <c r="R4411" s="261"/>
      <c r="S4411" s="52"/>
      <c r="T4411" s="181"/>
      <c r="U4411" s="52"/>
      <c r="V4411" s="4295"/>
      <c r="W4411" s="163"/>
      <c r="X4411" s="166"/>
      <c r="Y4411" s="166"/>
      <c r="Z4411" s="163"/>
      <c r="AA4411" s="163"/>
      <c r="AB4411" s="166"/>
      <c r="AC4411" s="163"/>
      <c r="AD4411" s="163"/>
      <c r="AE4411" s="163"/>
      <c r="AF4411" s="271" t="str">
        <f t="shared" si="383"/>
        <v/>
      </c>
      <c r="AG4411" s="241"/>
      <c r="DG4411" s="573"/>
      <c r="DH4411" s="159"/>
      <c r="DI4411" s="1091"/>
      <c r="DJ4411" s="1187"/>
    </row>
    <row r="4412" spans="1:114" ht="14.65" hidden="1" customHeight="1" outlineLevel="1">
      <c r="A4412" s="453"/>
      <c r="C4412" s="51"/>
      <c r="D4412" s="4295"/>
      <c r="E4412" s="4295"/>
      <c r="F4412" s="4307" t="str">
        <f t="shared" si="382"/>
        <v>ASHP-SEER19_ROF_MF</v>
      </c>
      <c r="G4412" s="4307"/>
      <c r="H4412" s="4307"/>
      <c r="I4412" s="4307"/>
      <c r="J4412" s="1029" t="str">
        <f t="shared" si="381"/>
        <v>355050_2024_12_</v>
      </c>
      <c r="K4412" s="1752">
        <f>(S$1919+L4412*T$1919)-(S$1923+L4412*T$1923)</f>
        <v>1081</v>
      </c>
      <c r="L4412" s="47">
        <f>VLOOKUP(J4412,$J$1914:$L$2106,3,FALSE)*M4412</f>
        <v>2.145</v>
      </c>
      <c r="M4412" s="1743">
        <f>VLOOKUP(J4412,$J$3458:$K$3650,2,FALSE)</f>
        <v>0.65</v>
      </c>
      <c r="N4412" s="553"/>
      <c r="P4412" s="261"/>
      <c r="Q4412" s="209"/>
      <c r="R4412" s="261"/>
      <c r="S4412" s="52"/>
      <c r="T4412" s="181"/>
      <c r="U4412" s="52"/>
      <c r="V4412" s="4295"/>
      <c r="W4412" s="163">
        <v>2684</v>
      </c>
      <c r="X4412" s="166">
        <v>2581.8292500000007</v>
      </c>
      <c r="Y4412" s="166">
        <v>813.33333333333337</v>
      </c>
      <c r="Z4412" s="163">
        <v>813.33333333333337</v>
      </c>
      <c r="AA4412" s="163">
        <v>813.33333333333337</v>
      </c>
      <c r="AB4412" s="166">
        <v>1203.6500000000003</v>
      </c>
      <c r="AC4412" s="163">
        <v>1203.6500000000003</v>
      </c>
      <c r="AD4412" s="163">
        <v>1203.6500000000003</v>
      </c>
      <c r="AE4412" s="163">
        <v>1203.6500000000003</v>
      </c>
      <c r="AF4412" s="271">
        <f t="shared" si="383"/>
        <v>1081</v>
      </c>
      <c r="AG4412" s="241"/>
      <c r="DG4412" s="573"/>
      <c r="DH4412" s="159"/>
      <c r="DI4412" s="1091"/>
      <c r="DJ4412" s="1187"/>
    </row>
    <row r="4413" spans="1:114" ht="15" hidden="1" customHeight="1" outlineLevel="1">
      <c r="A4413" s="453"/>
      <c r="C4413" s="51"/>
      <c r="D4413" s="4295"/>
      <c r="E4413" s="4295"/>
      <c r="F4413" s="4307" t="str">
        <f t="shared" si="382"/>
        <v>ASHP-SEER19_ROF_MF</v>
      </c>
      <c r="G4413" s="4307"/>
      <c r="H4413" s="4307"/>
      <c r="I4413" s="4307"/>
      <c r="J4413" s="1029" t="str">
        <f t="shared" si="381"/>
        <v>355050_2024_12_</v>
      </c>
      <c r="K4413" s="163"/>
      <c r="L4413" s="47" t="str">
        <f>IF(K4413&gt;0,VLOOKUP(J4413,$J$1914:$L$2106,3,FALSE),"")</f>
        <v/>
      </c>
      <c r="M4413" s="1743" t="str">
        <f>IF(K4413&gt;0,VLOOKUP(J4413,$J$3458:$K$3650,2,FALSE),"")</f>
        <v/>
      </c>
      <c r="P4413" s="261"/>
      <c r="Q4413" s="209"/>
      <c r="R4413" s="261"/>
      <c r="S4413" s="52"/>
      <c r="T4413" s="181"/>
      <c r="U4413" s="52"/>
      <c r="V4413" s="4295"/>
      <c r="W4413" s="163"/>
      <c r="X4413" s="166"/>
      <c r="Y4413" s="166"/>
      <c r="Z4413" s="163"/>
      <c r="AA4413" s="163"/>
      <c r="AB4413" s="166"/>
      <c r="AC4413" s="163"/>
      <c r="AD4413" s="163"/>
      <c r="AE4413" s="163"/>
      <c r="AF4413" s="271" t="str">
        <f t="shared" si="383"/>
        <v/>
      </c>
      <c r="AG4413" s="241"/>
      <c r="DG4413" s="573"/>
      <c r="DH4413" s="159"/>
      <c r="DI4413" s="1091"/>
      <c r="DJ4413" s="1187"/>
    </row>
    <row r="4414" spans="1:114" ht="15" hidden="1" customHeight="1" outlineLevel="1">
      <c r="A4414" s="453"/>
      <c r="C4414" s="51"/>
      <c r="D4414" s="4295"/>
      <c r="E4414" s="4295"/>
      <c r="F4414" s="4347" t="str">
        <f t="shared" si="382"/>
        <v>ASHP-SEER19_ROF_MF_CompE</v>
      </c>
      <c r="G4414" s="4347"/>
      <c r="H4414" s="4347"/>
      <c r="I4414" s="4347"/>
      <c r="J4414" s="3471" t="str">
        <f t="shared" si="381"/>
        <v>355051_2024_12_</v>
      </c>
      <c r="K4414" s="3496">
        <f>(S$1919+L4414*T$1919)-(S$1923+L4414*T$1923)</f>
        <v>1081</v>
      </c>
      <c r="L4414" s="3221">
        <f>VLOOKUP(J4414,$J$1914:$L$2106,3,FALSE)*M4414</f>
        <v>2.145</v>
      </c>
      <c r="M4414" s="3497">
        <f>VLOOKUP(J4414,$J$3458:$K$3650,2,FALSE)</f>
        <v>0.65</v>
      </c>
      <c r="N4414" s="553"/>
      <c r="P4414" s="261"/>
      <c r="Q4414" s="209"/>
      <c r="R4414" s="261"/>
      <c r="S4414" s="52"/>
      <c r="T4414" s="181"/>
      <c r="U4414" s="52"/>
      <c r="V4414" s="4295"/>
      <c r="W4414" s="163"/>
      <c r="X4414" s="166"/>
      <c r="Y4414" s="166"/>
      <c r="Z4414" s="163"/>
      <c r="AA4414" s="163"/>
      <c r="AB4414" s="166"/>
      <c r="AC4414" s="2467">
        <v>1203.6500000000003</v>
      </c>
      <c r="AD4414" s="2894">
        <v>1203.6500000000003</v>
      </c>
      <c r="AE4414" s="2894">
        <v>1203.6500000000003</v>
      </c>
      <c r="AF4414" s="2236">
        <f t="shared" si="383"/>
        <v>1081</v>
      </c>
      <c r="AG4414" s="241"/>
      <c r="DG4414" s="573"/>
      <c r="DH4414" s="159"/>
      <c r="DI4414" s="1091"/>
      <c r="DJ4414" s="1187"/>
    </row>
    <row r="4415" spans="1:114" ht="15" hidden="1" customHeight="1" outlineLevel="1">
      <c r="A4415" s="453"/>
      <c r="C4415" s="51"/>
      <c r="D4415" s="4295"/>
      <c r="E4415" s="4295"/>
      <c r="F4415" s="4347" t="str">
        <f t="shared" si="382"/>
        <v>ASHP-SEER19_ROF_MF_CompE</v>
      </c>
      <c r="G4415" s="4347"/>
      <c r="H4415" s="4347"/>
      <c r="I4415" s="4347"/>
      <c r="J4415" s="3471" t="str">
        <f t="shared" si="381"/>
        <v>355051_2024_12_</v>
      </c>
      <c r="K4415" s="2894"/>
      <c r="L4415" s="3221"/>
      <c r="M4415" s="3497"/>
      <c r="P4415" s="261"/>
      <c r="Q4415" s="209"/>
      <c r="R4415" s="261"/>
      <c r="S4415" s="52"/>
      <c r="T4415" s="181"/>
      <c r="U4415" s="52"/>
      <c r="V4415" s="4295"/>
      <c r="W4415" s="163"/>
      <c r="X4415" s="166"/>
      <c r="Y4415" s="166"/>
      <c r="Z4415" s="163"/>
      <c r="AA4415" s="163"/>
      <c r="AB4415" s="166"/>
      <c r="AC4415" s="163"/>
      <c r="AD4415" s="163"/>
      <c r="AE4415" s="163"/>
      <c r="AF4415" s="271" t="str">
        <f t="shared" si="383"/>
        <v/>
      </c>
      <c r="AG4415" s="241"/>
      <c r="DG4415" s="573"/>
      <c r="DH4415" s="159"/>
      <c r="DI4415" s="1091"/>
      <c r="DJ4415" s="1187"/>
    </row>
    <row r="4416" spans="1:114" ht="15" hidden="1" customHeight="1" outlineLevel="1">
      <c r="A4416" s="453"/>
      <c r="C4416" s="51"/>
      <c r="D4416" s="4295"/>
      <c r="E4416" s="4295"/>
      <c r="F4416" s="4307" t="str">
        <f t="shared" si="382"/>
        <v>ASHP-SEER20_ROF_MF</v>
      </c>
      <c r="G4416" s="4307"/>
      <c r="H4416" s="4307"/>
      <c r="I4416" s="4307"/>
      <c r="J4416" s="1029" t="str">
        <f t="shared" si="381"/>
        <v>355100_2024_12_</v>
      </c>
      <c r="K4416" s="1752">
        <f>(S$1919+L4416*T$1919)-(S$1923+L4416*T$1923)</f>
        <v>1081</v>
      </c>
      <c r="L4416" s="47">
        <f>VLOOKUP(J4416,$J$1914:$L$2106,3,FALSE)*M4416</f>
        <v>2.145</v>
      </c>
      <c r="M4416" s="1743">
        <f>VLOOKUP(J4416,$J$3458:$K$3650,2,FALSE)</f>
        <v>0.65</v>
      </c>
      <c r="N4416" s="553"/>
      <c r="P4416" s="261"/>
      <c r="Q4416" s="209"/>
      <c r="R4416" s="261"/>
      <c r="S4416" s="52"/>
      <c r="T4416" s="181"/>
      <c r="U4416" s="52"/>
      <c r="V4416" s="4295"/>
      <c r="W4416" s="163">
        <v>3828</v>
      </c>
      <c r="X4416" s="166">
        <v>3098.1950999999985</v>
      </c>
      <c r="Y4416" s="166">
        <v>1160</v>
      </c>
      <c r="Z4416" s="163">
        <v>1160</v>
      </c>
      <c r="AA4416" s="163">
        <v>1160</v>
      </c>
      <c r="AB4416" s="166">
        <v>1444.3799999999994</v>
      </c>
      <c r="AC4416" s="163">
        <v>1444.3799999999994</v>
      </c>
      <c r="AD4416" s="163">
        <v>1444.3799999999994</v>
      </c>
      <c r="AE4416" s="163">
        <v>1444.3799999999994</v>
      </c>
      <c r="AF4416" s="271">
        <f t="shared" si="383"/>
        <v>1081</v>
      </c>
      <c r="AG4416" s="241"/>
      <c r="DG4416" s="573"/>
      <c r="DH4416" s="159"/>
      <c r="DI4416" s="1091"/>
      <c r="DJ4416" s="1187"/>
    </row>
    <row r="4417" spans="1:114" ht="15" hidden="1" customHeight="1" outlineLevel="1">
      <c r="A4417" s="453"/>
      <c r="C4417" s="51"/>
      <c r="D4417" s="4295"/>
      <c r="E4417" s="4295"/>
      <c r="F4417" s="4307" t="str">
        <f t="shared" si="382"/>
        <v>ASHP-SEER20_ROF_MF</v>
      </c>
      <c r="G4417" s="4307"/>
      <c r="H4417" s="4307"/>
      <c r="I4417" s="4307"/>
      <c r="J4417" s="1029" t="str">
        <f t="shared" si="381"/>
        <v>355100_2024_12_</v>
      </c>
      <c r="K4417" s="163"/>
      <c r="L4417" s="47" t="str">
        <f>IF(K4417&gt;0,VLOOKUP(J4417,$J$1914:$L$2106,3,FALSE),"")</f>
        <v/>
      </c>
      <c r="M4417" s="1743" t="str">
        <f>IF(K4417&gt;0,VLOOKUP(J4417,$J$3458:$K$3650,2,FALSE),"")</f>
        <v/>
      </c>
      <c r="P4417" s="261"/>
      <c r="Q4417" s="209"/>
      <c r="R4417" s="261"/>
      <c r="S4417" s="52"/>
      <c r="T4417" s="181"/>
      <c r="U4417" s="52"/>
      <c r="V4417" s="4295"/>
      <c r="W4417" s="163"/>
      <c r="X4417" s="166"/>
      <c r="Y4417" s="166"/>
      <c r="Z4417" s="163"/>
      <c r="AA4417" s="163"/>
      <c r="AB4417" s="166"/>
      <c r="AC4417" s="163"/>
      <c r="AD4417" s="163"/>
      <c r="AE4417" s="163"/>
      <c r="AF4417" s="271" t="str">
        <f t="shared" si="383"/>
        <v/>
      </c>
      <c r="AG4417" s="241"/>
      <c r="DG4417" s="573"/>
      <c r="DH4417" s="159"/>
      <c r="DI4417" s="1091"/>
      <c r="DJ4417" s="1187"/>
    </row>
    <row r="4418" spans="1:114" ht="15" hidden="1" customHeight="1" outlineLevel="1">
      <c r="A4418" s="453"/>
      <c r="C4418" s="51"/>
      <c r="D4418" s="4295"/>
      <c r="E4418" s="4295"/>
      <c r="F4418" s="4347" t="str">
        <f t="shared" si="382"/>
        <v>ASHP-SEER20_ROF_MF_CompE</v>
      </c>
      <c r="G4418" s="4347"/>
      <c r="H4418" s="4347"/>
      <c r="I4418" s="4347"/>
      <c r="J4418" s="3471" t="str">
        <f t="shared" si="381"/>
        <v>355101_2024_12_</v>
      </c>
      <c r="K4418" s="3496">
        <f>(S$1919+L4418*T$1919)-(S$1923+L4418*T$1923)</f>
        <v>1081</v>
      </c>
      <c r="L4418" s="3221">
        <f>VLOOKUP(J4418,$J$1914:$L$2106,3,FALSE)*M4418</f>
        <v>2.145</v>
      </c>
      <c r="M4418" s="3497">
        <f>VLOOKUP(J4418,$J$3458:$K$3650,2,FALSE)</f>
        <v>0.65</v>
      </c>
      <c r="N4418" s="553"/>
      <c r="P4418" s="261"/>
      <c r="Q4418" s="209"/>
      <c r="R4418" s="261"/>
      <c r="S4418" s="52"/>
      <c r="T4418" s="181"/>
      <c r="U4418" s="52"/>
      <c r="V4418" s="4295"/>
      <c r="W4418" s="163"/>
      <c r="X4418" s="166"/>
      <c r="Y4418" s="166"/>
      <c r="Z4418" s="163"/>
      <c r="AA4418" s="163"/>
      <c r="AB4418" s="166"/>
      <c r="AC4418" s="2467">
        <v>1444.3799999999994</v>
      </c>
      <c r="AD4418" s="2894">
        <v>1444.3799999999994</v>
      </c>
      <c r="AE4418" s="2894">
        <v>1444.3799999999994</v>
      </c>
      <c r="AF4418" s="2236">
        <f t="shared" si="383"/>
        <v>1081</v>
      </c>
      <c r="AG4418" s="241"/>
      <c r="DG4418" s="573"/>
      <c r="DH4418" s="159"/>
      <c r="DI4418" s="1091"/>
      <c r="DJ4418" s="1187"/>
    </row>
    <row r="4419" spans="1:114" ht="15" hidden="1" customHeight="1" outlineLevel="1">
      <c r="A4419" s="453"/>
      <c r="C4419" s="51"/>
      <c r="D4419" s="4295"/>
      <c r="E4419" s="4295"/>
      <c r="F4419" s="4347" t="str">
        <f t="shared" si="382"/>
        <v>ASHP-SEER20_ROF_MF_CompE</v>
      </c>
      <c r="G4419" s="4347"/>
      <c r="H4419" s="4347"/>
      <c r="I4419" s="4347"/>
      <c r="J4419" s="3471" t="str">
        <f t="shared" si="381"/>
        <v>355101_2024_12_</v>
      </c>
      <c r="K4419" s="2894"/>
      <c r="L4419" s="3221"/>
      <c r="M4419" s="3497"/>
      <c r="P4419" s="261"/>
      <c r="Q4419" s="209"/>
      <c r="R4419" s="261"/>
      <c r="S4419" s="52"/>
      <c r="T4419" s="181"/>
      <c r="U4419" s="52"/>
      <c r="V4419" s="4295"/>
      <c r="W4419" s="163"/>
      <c r="X4419" s="166"/>
      <c r="Y4419" s="166"/>
      <c r="Z4419" s="163"/>
      <c r="AA4419" s="163"/>
      <c r="AB4419" s="166"/>
      <c r="AC4419" s="163"/>
      <c r="AD4419" s="163"/>
      <c r="AE4419" s="163"/>
      <c r="AF4419" s="271" t="str">
        <f t="shared" si="383"/>
        <v/>
      </c>
      <c r="AG4419" s="241"/>
      <c r="DG4419" s="573"/>
      <c r="DH4419" s="159"/>
      <c r="DI4419" s="1091"/>
      <c r="DJ4419" s="1187"/>
    </row>
    <row r="4420" spans="1:114" ht="15" hidden="1" customHeight="1" outlineLevel="1">
      <c r="A4420" s="453"/>
      <c r="C4420" s="51"/>
      <c r="D4420" s="4295"/>
      <c r="E4420" s="4295"/>
      <c r="F4420" s="4307" t="str">
        <f t="shared" si="382"/>
        <v>ASHP-SEER21_ROF_MF</v>
      </c>
      <c r="G4420" s="4307"/>
      <c r="H4420" s="4307"/>
      <c r="I4420" s="4307"/>
      <c r="J4420" s="1029" t="str">
        <f t="shared" si="381"/>
        <v>355150_2024_12_</v>
      </c>
      <c r="K4420" s="1752">
        <f>(S$1919+L4420*T$1919)-(S$1923+L4420*T$1923)</f>
        <v>1081</v>
      </c>
      <c r="L4420" s="47">
        <f>VLOOKUP(J4420,$J$1914:$L$2106,3,FALSE)*M4420</f>
        <v>2.145</v>
      </c>
      <c r="M4420" s="1743">
        <f>VLOOKUP(J4420,$J$3458:$K$3650,2,FALSE)</f>
        <v>0.65</v>
      </c>
      <c r="N4420" s="553"/>
      <c r="P4420" s="261"/>
      <c r="Q4420" s="209"/>
      <c r="R4420" s="261"/>
      <c r="S4420" s="52"/>
      <c r="T4420" s="181"/>
      <c r="U4420" s="52"/>
      <c r="V4420" s="4295"/>
      <c r="W4420" s="163">
        <v>3828</v>
      </c>
      <c r="X4420" s="166">
        <v>3624.888266999998</v>
      </c>
      <c r="Y4420" s="166">
        <v>1160</v>
      </c>
      <c r="Z4420" s="163">
        <v>1160</v>
      </c>
      <c r="AA4420" s="163">
        <v>1160</v>
      </c>
      <c r="AB4420" s="166">
        <v>1689.9245999999991</v>
      </c>
      <c r="AC4420" s="163">
        <v>1689.9245999999991</v>
      </c>
      <c r="AD4420" s="163">
        <v>1689.9245999999991</v>
      </c>
      <c r="AE4420" s="163">
        <v>1689.9245999999991</v>
      </c>
      <c r="AF4420" s="271">
        <f t="shared" si="383"/>
        <v>1081</v>
      </c>
      <c r="AG4420" s="241"/>
      <c r="DG4420" s="573"/>
      <c r="DH4420" s="159"/>
      <c r="DI4420" s="1091"/>
      <c r="DJ4420" s="1187"/>
    </row>
    <row r="4421" spans="1:114" ht="15.75" hidden="1" customHeight="1" outlineLevel="1">
      <c r="A4421" s="453"/>
      <c r="C4421" s="51"/>
      <c r="D4421" s="4295"/>
      <c r="E4421" s="4295"/>
      <c r="F4421" s="4307" t="str">
        <f t="shared" si="382"/>
        <v>ASHP-SEER21_ROF_MF</v>
      </c>
      <c r="G4421" s="4307"/>
      <c r="H4421" s="4307"/>
      <c r="I4421" s="4307"/>
      <c r="J4421" s="1029" t="str">
        <f t="shared" si="381"/>
        <v>355150_2024_12_</v>
      </c>
      <c r="K4421" s="163"/>
      <c r="L4421" s="47" t="str">
        <f>IF(K4421&gt;0,VLOOKUP(J4421,$J$1914:$L$2106,3,FALSE),"")</f>
        <v/>
      </c>
      <c r="M4421" s="1743" t="str">
        <f>IF(K4421&gt;0,VLOOKUP(J4421,$J$3458:$K$3650,2,FALSE),"")</f>
        <v/>
      </c>
      <c r="P4421" s="261"/>
      <c r="Q4421" s="209"/>
      <c r="R4421" s="261"/>
      <c r="S4421" s="52"/>
      <c r="T4421" s="181"/>
      <c r="U4421" s="52"/>
      <c r="V4421" s="4295"/>
      <c r="W4421" s="163"/>
      <c r="X4421" s="166"/>
      <c r="Y4421" s="166"/>
      <c r="Z4421" s="163"/>
      <c r="AA4421" s="163"/>
      <c r="AB4421" s="166"/>
      <c r="AC4421" s="163"/>
      <c r="AD4421" s="163"/>
      <c r="AE4421" s="163"/>
      <c r="AF4421" s="271" t="str">
        <f t="shared" si="383"/>
        <v/>
      </c>
      <c r="AG4421" s="241"/>
      <c r="DG4421" s="573"/>
      <c r="DH4421" s="159"/>
      <c r="DI4421" s="1091"/>
      <c r="DJ4421" s="1187"/>
    </row>
    <row r="4422" spans="1:114" ht="15.75" hidden="1" customHeight="1" outlineLevel="1">
      <c r="A4422" s="453"/>
      <c r="C4422" s="51"/>
      <c r="D4422" s="4295"/>
      <c r="E4422" s="4295"/>
      <c r="F4422" s="4347" t="str">
        <f>E1892</f>
        <v>ASHP-SEER21_ROF_MF_CompE</v>
      </c>
      <c r="G4422" s="4347"/>
      <c r="H4422" s="4347"/>
      <c r="I4422" s="4347"/>
      <c r="J4422" s="3471" t="str">
        <f>C1892</f>
        <v>355151_2024_12_</v>
      </c>
      <c r="K4422" s="3496">
        <f>(S$1919+L4422*T$1919)-(S$1923+L4422*T$1923)</f>
        <v>1081</v>
      </c>
      <c r="L4422" s="3221">
        <f>VLOOKUP(J4422,$J$1914:$L$2106,3,FALSE)*M4422</f>
        <v>2.145</v>
      </c>
      <c r="M4422" s="3497">
        <f>VLOOKUP(J4422,$J$3458:$K$3650,2,FALSE)</f>
        <v>0.65</v>
      </c>
      <c r="N4422" s="553"/>
      <c r="P4422" s="261"/>
      <c r="Q4422" s="209"/>
      <c r="R4422" s="261"/>
      <c r="S4422" s="52"/>
      <c r="T4422" s="181"/>
      <c r="U4422" s="52"/>
      <c r="V4422" s="4295"/>
      <c r="W4422" s="163"/>
      <c r="X4422" s="166"/>
      <c r="Y4422" s="166"/>
      <c r="Z4422" s="163"/>
      <c r="AA4422" s="163"/>
      <c r="AB4422" s="166"/>
      <c r="AC4422" s="2467">
        <v>1689.9245999999991</v>
      </c>
      <c r="AD4422" s="2894">
        <v>1689.9245999999991</v>
      </c>
      <c r="AE4422" s="2894">
        <v>1689.9245999999991</v>
      </c>
      <c r="AF4422" s="2236">
        <f t="shared" si="383"/>
        <v>1081</v>
      </c>
      <c r="AG4422" s="241"/>
      <c r="DG4422" s="573"/>
      <c r="DH4422" s="159"/>
      <c r="DI4422" s="1091"/>
      <c r="DJ4422" s="1187"/>
    </row>
    <row r="4423" spans="1:114" ht="15.75" hidden="1" customHeight="1" outlineLevel="1">
      <c r="A4423" s="453"/>
      <c r="C4423" s="51"/>
      <c r="D4423" s="4295"/>
      <c r="E4423" s="4295"/>
      <c r="F4423" s="4347" t="str">
        <f>E1893</f>
        <v>ASHP-SEER21_ROF_MF_CompE</v>
      </c>
      <c r="G4423" s="4347"/>
      <c r="H4423" s="4347"/>
      <c r="I4423" s="4347"/>
      <c r="J4423" s="3471" t="str">
        <f>C1893</f>
        <v>355151_2024_12_</v>
      </c>
      <c r="K4423" s="2894"/>
      <c r="L4423" s="3221"/>
      <c r="M4423" s="3497"/>
      <c r="P4423" s="261"/>
      <c r="Q4423" s="209"/>
      <c r="R4423" s="261"/>
      <c r="S4423" s="52"/>
      <c r="T4423" s="181"/>
      <c r="U4423" s="52"/>
      <c r="V4423" s="4295"/>
      <c r="W4423" s="163"/>
      <c r="X4423" s="166"/>
      <c r="Y4423" s="166"/>
      <c r="Z4423" s="163"/>
      <c r="AA4423" s="163"/>
      <c r="AB4423" s="166"/>
      <c r="AC4423" s="163"/>
      <c r="AD4423" s="163"/>
      <c r="AE4423" s="163"/>
      <c r="AF4423" s="271" t="str">
        <f t="shared" si="383"/>
        <v/>
      </c>
      <c r="AG4423" s="241"/>
      <c r="DG4423" s="573"/>
      <c r="DH4423" s="159"/>
      <c r="DI4423" s="1091"/>
      <c r="DJ4423" s="1187"/>
    </row>
    <row r="4424" spans="1:114" ht="15.75" hidden="1" customHeight="1" outlineLevel="1">
      <c r="A4424" s="453"/>
      <c r="C4424" s="51"/>
      <c r="D4424" s="4303" t="s">
        <v>2072</v>
      </c>
      <c r="E4424" s="4303" t="s">
        <v>2073</v>
      </c>
      <c r="F4424" s="4291" t="str">
        <f>VLOOKUP(J4424,$C$1508:$E$1893,3,FALSE)</f>
        <v>ASHP-SEER15-Replace_CAC_NonElectricHeat_ER1_SF</v>
      </c>
      <c r="G4424" s="4291"/>
      <c r="H4424" s="4291"/>
      <c r="I4424" s="4291"/>
      <c r="J4424" s="1750" t="s">
        <v>2174</v>
      </c>
      <c r="K4424" s="1674">
        <f t="shared" ref="K4424:K4467" si="384">SUMIFS(F$1508:F$1893,C$1508:C$1893,J4424)/SUMIFS(F$1508:F$1893,C$1508:C$1893,M4424)</f>
        <v>0.12033748297481067</v>
      </c>
      <c r="L4424" s="48"/>
      <c r="M4424" s="1751" t="str">
        <f t="shared" ref="M4424:M4467" si="385">INDEX($C$1508:$E$1893,MATCH(SUBSTITUTE(F4424, "NonElectric", "Electric"),$E$1508:$E$1893,0),1)</f>
        <v>352300_2024_12_</v>
      </c>
      <c r="P4424" s="261"/>
      <c r="Q4424" s="209"/>
      <c r="R4424" s="261"/>
      <c r="S4424" s="52"/>
      <c r="T4424" s="181"/>
      <c r="U4424" s="52"/>
      <c r="V4424" s="409"/>
      <c r="W4424" s="1745"/>
      <c r="X4424" s="1748"/>
      <c r="Y4424" s="1748"/>
      <c r="Z4424" s="1745"/>
      <c r="AA4424" s="1745"/>
      <c r="AB4424" s="1748"/>
      <c r="AC4424" s="1745"/>
      <c r="AD4424" s="1745"/>
      <c r="AE4424" s="1745"/>
      <c r="AF4424" s="1745"/>
      <c r="AG4424" s="1749"/>
      <c r="DG4424" s="573"/>
      <c r="DH4424" s="159"/>
      <c r="DI4424" s="1091"/>
      <c r="DJ4424" s="1187"/>
    </row>
    <row r="4425" spans="1:114" ht="15.75" hidden="1" customHeight="1" outlineLevel="1">
      <c r="A4425" s="453"/>
      <c r="C4425" s="51"/>
      <c r="D4425" s="4303"/>
      <c r="E4425" s="4303"/>
      <c r="F4425" s="4291" t="str">
        <f t="shared" ref="F4425:F4467" si="386">VLOOKUP(J4425,$C$1508:$E$1893,3,FALSE)</f>
        <v>ASHP-SEER15-Replace_CAC_NonElectricHeat_ROF_SF</v>
      </c>
      <c r="G4425" s="4291"/>
      <c r="H4425" s="4291"/>
      <c r="I4425" s="4291"/>
      <c r="J4425" s="1750" t="s">
        <v>2182</v>
      </c>
      <c r="K4425" s="1674">
        <f t="shared" si="384"/>
        <v>2.9641511763673745E-2</v>
      </c>
      <c r="L4425" s="48"/>
      <c r="M4425" s="1751" t="str">
        <f t="shared" si="385"/>
        <v>352400_2024_12_</v>
      </c>
      <c r="P4425" s="261"/>
      <c r="Q4425" s="209"/>
      <c r="R4425" s="261"/>
      <c r="S4425" s="52"/>
      <c r="T4425" s="181"/>
      <c r="U4425" s="52"/>
      <c r="V4425" s="409"/>
      <c r="W4425" s="1745"/>
      <c r="X4425" s="1748"/>
      <c r="Y4425" s="1748"/>
      <c r="Z4425" s="1745"/>
      <c r="AA4425" s="1745"/>
      <c r="AB4425" s="1748"/>
      <c r="AC4425" s="1745"/>
      <c r="AD4425" s="1745"/>
      <c r="AE4425" s="1745"/>
      <c r="AF4425" s="1745"/>
      <c r="AG4425" s="1749"/>
      <c r="DG4425" s="573"/>
      <c r="DH4425" s="159"/>
      <c r="DI4425" s="1091"/>
      <c r="DJ4425" s="1187"/>
    </row>
    <row r="4426" spans="1:114" ht="15.75" hidden="1" customHeight="1" outlineLevel="1">
      <c r="A4426" s="453"/>
      <c r="C4426" s="51"/>
      <c r="D4426" s="4303"/>
      <c r="E4426" s="4303"/>
      <c r="F4426" s="4291" t="str">
        <f t="shared" si="386"/>
        <v>ASHP-SEER16-Replace_CAC_NonElectricHeat_ER1_SF</v>
      </c>
      <c r="G4426" s="4291"/>
      <c r="H4426" s="4291"/>
      <c r="I4426" s="4291"/>
      <c r="J4426" s="1750" t="s">
        <v>2189</v>
      </c>
      <c r="K4426" s="1674">
        <f t="shared" si="384"/>
        <v>0.13195861492283978</v>
      </c>
      <c r="L4426" s="48"/>
      <c r="M4426" s="1751" t="str">
        <f t="shared" si="385"/>
        <v>352500_2024_12_</v>
      </c>
      <c r="P4426" s="261"/>
      <c r="Q4426" s="209"/>
      <c r="R4426" s="261"/>
      <c r="S4426" s="52"/>
      <c r="T4426" s="181"/>
      <c r="U4426" s="52"/>
      <c r="V4426" s="409"/>
      <c r="W4426" s="1745"/>
      <c r="X4426" s="1748"/>
      <c r="Y4426" s="1748"/>
      <c r="Z4426" s="1745"/>
      <c r="AA4426" s="1745"/>
      <c r="AB4426" s="1748"/>
      <c r="AC4426" s="1745"/>
      <c r="AD4426" s="1745"/>
      <c r="AE4426" s="1745"/>
      <c r="AF4426" s="1745"/>
      <c r="AG4426" s="1749"/>
      <c r="DG4426" s="573"/>
      <c r="DH4426" s="159"/>
      <c r="DI4426" s="1091"/>
      <c r="DJ4426" s="1187"/>
    </row>
    <row r="4427" spans="1:114" ht="15.75" hidden="1" customHeight="1" outlineLevel="1">
      <c r="A4427" s="453"/>
      <c r="C4427" s="51"/>
      <c r="D4427" s="4303"/>
      <c r="E4427" s="4303"/>
      <c r="F4427" s="4291" t="str">
        <f t="shared" si="386"/>
        <v>ASHP-SEER16-Replace_CAC_NonElectricHeat_ROF_SF</v>
      </c>
      <c r="G4427" s="4291"/>
      <c r="H4427" s="4291"/>
      <c r="I4427" s="4291"/>
      <c r="J4427" s="1750" t="s">
        <v>2197</v>
      </c>
      <c r="K4427" s="1674">
        <f t="shared" si="384"/>
        <v>4.1245065423315345E-2</v>
      </c>
      <c r="L4427" s="48"/>
      <c r="M4427" s="1751" t="str">
        <f t="shared" si="385"/>
        <v>352600_2024_12_</v>
      </c>
      <c r="P4427" s="261"/>
      <c r="Q4427" s="209"/>
      <c r="R4427" s="261"/>
      <c r="S4427" s="52"/>
      <c r="T4427" s="181"/>
      <c r="U4427" s="52"/>
      <c r="V4427" s="409"/>
      <c r="W4427" s="1745"/>
      <c r="X4427" s="1748"/>
      <c r="Y4427" s="1748"/>
      <c r="Z4427" s="1745"/>
      <c r="AA4427" s="1745"/>
      <c r="AB4427" s="1748"/>
      <c r="AC4427" s="1745"/>
      <c r="AD4427" s="1745"/>
      <c r="AE4427" s="1745"/>
      <c r="AF4427" s="1745"/>
      <c r="AG4427" s="1749"/>
      <c r="DG4427" s="573"/>
      <c r="DH4427" s="159"/>
      <c r="DI4427" s="1091"/>
      <c r="DJ4427" s="1187"/>
    </row>
    <row r="4428" spans="1:114" ht="15.75" hidden="1" customHeight="1" outlineLevel="1">
      <c r="A4428" s="453"/>
      <c r="C4428" s="51"/>
      <c r="D4428" s="4303"/>
      <c r="E4428" s="4303"/>
      <c r="F4428" s="4296" t="str">
        <f t="shared" si="386"/>
        <v>ASHP-SEER15-Replace_CAC_NonElectricHeat_ER1_MF</v>
      </c>
      <c r="G4428" s="4296"/>
      <c r="H4428" s="4296"/>
      <c r="I4428" s="4296"/>
      <c r="J4428" s="3498" t="s">
        <v>2213</v>
      </c>
      <c r="K4428" s="3001">
        <f t="shared" si="384"/>
        <v>0.11812956116723183</v>
      </c>
      <c r="L4428" s="3220"/>
      <c r="M4428" s="3368" t="str">
        <f t="shared" si="385"/>
        <v>352750_2024_12_</v>
      </c>
      <c r="P4428" s="261"/>
      <c r="Q4428" s="209"/>
      <c r="R4428" s="261"/>
      <c r="S4428" s="52"/>
      <c r="T4428" s="181"/>
      <c r="U4428" s="52"/>
      <c r="V4428" s="409"/>
      <c r="W4428" s="1745"/>
      <c r="X4428" s="1748"/>
      <c r="Y4428" s="1748"/>
      <c r="Z4428" s="1745"/>
      <c r="AA4428" s="1745"/>
      <c r="AB4428" s="1748"/>
      <c r="AC4428" s="1745"/>
      <c r="AD4428" s="1745"/>
      <c r="AE4428" s="1745"/>
      <c r="AF4428" s="1745"/>
      <c r="AG4428" s="1749"/>
      <c r="DG4428" s="573"/>
      <c r="DH4428" s="159"/>
      <c r="DI4428" s="1091"/>
      <c r="DJ4428" s="1187"/>
    </row>
    <row r="4429" spans="1:114" ht="15.75" hidden="1" customHeight="1" outlineLevel="1">
      <c r="A4429" s="453"/>
      <c r="C4429" s="51"/>
      <c r="D4429" s="4303"/>
      <c r="E4429" s="4303"/>
      <c r="F4429" s="4296" t="str">
        <f t="shared" si="386"/>
        <v>ASHP-SEER15-Replace_CAC_NonElectricHeat_ER1_MF_CompE</v>
      </c>
      <c r="G4429" s="4296"/>
      <c r="H4429" s="4296"/>
      <c r="I4429" s="4296"/>
      <c r="J4429" s="3498" t="s">
        <v>2216</v>
      </c>
      <c r="K4429" s="3001">
        <f t="shared" si="384"/>
        <v>0.2222540562495757</v>
      </c>
      <c r="L4429" s="3220"/>
      <c r="M4429" s="3368" t="str">
        <f t="shared" si="385"/>
        <v>352751_2024_12_</v>
      </c>
      <c r="P4429" s="261"/>
      <c r="Q4429" s="209"/>
      <c r="R4429" s="261"/>
      <c r="S4429" s="52"/>
      <c r="T4429" s="181"/>
      <c r="U4429" s="52"/>
      <c r="V4429" s="409"/>
      <c r="W4429" s="1745"/>
      <c r="X4429" s="1748"/>
      <c r="Y4429" s="1748"/>
      <c r="Z4429" s="1745"/>
      <c r="AA4429" s="1745"/>
      <c r="AB4429" s="1748"/>
      <c r="AC4429" s="1745"/>
      <c r="AD4429" s="1745"/>
      <c r="AE4429" s="1745"/>
      <c r="AF4429" s="1745"/>
      <c r="AG4429" s="1749"/>
      <c r="DG4429" s="573"/>
      <c r="DH4429" s="159"/>
      <c r="DI4429" s="1091"/>
      <c r="DJ4429" s="1187"/>
    </row>
    <row r="4430" spans="1:114" ht="15.75" hidden="1" customHeight="1" outlineLevel="1">
      <c r="A4430" s="453"/>
      <c r="C4430" s="51"/>
      <c r="D4430" s="4303"/>
      <c r="E4430" s="4303"/>
      <c r="F4430" s="4296" t="str">
        <f t="shared" si="386"/>
        <v>ASHP-SEER15-Replace_CAC_NonElectricHeat_ROF_MF</v>
      </c>
      <c r="G4430" s="4296"/>
      <c r="H4430" s="4296"/>
      <c r="I4430" s="4296"/>
      <c r="J4430" s="3498" t="s">
        <v>2223</v>
      </c>
      <c r="K4430" s="3001">
        <f t="shared" si="384"/>
        <v>2.9267288248659123E-2</v>
      </c>
      <c r="L4430" s="3220"/>
      <c r="M4430" s="3368" t="str">
        <f t="shared" si="385"/>
        <v>352800_2024_12_</v>
      </c>
      <c r="P4430" s="261"/>
      <c r="Q4430" s="209"/>
      <c r="R4430" s="261"/>
      <c r="S4430" s="52"/>
      <c r="T4430" s="181"/>
      <c r="U4430" s="52"/>
      <c r="V4430" s="409"/>
      <c r="W4430" s="1745"/>
      <c r="X4430" s="1748"/>
      <c r="Y4430" s="1748"/>
      <c r="Z4430" s="1745"/>
      <c r="AA4430" s="1745"/>
      <c r="AB4430" s="1748"/>
      <c r="AC4430" s="1745"/>
      <c r="AD4430" s="1745"/>
      <c r="AE4430" s="1745"/>
      <c r="AF4430" s="1745"/>
      <c r="AG4430" s="1749"/>
      <c r="DG4430" s="573"/>
      <c r="DH4430" s="159"/>
      <c r="DI4430" s="1091"/>
      <c r="DJ4430" s="1187"/>
    </row>
    <row r="4431" spans="1:114" ht="15.75" hidden="1" customHeight="1" outlineLevel="1">
      <c r="A4431" s="453"/>
      <c r="C4431" s="51"/>
      <c r="D4431" s="4303"/>
      <c r="E4431" s="4303"/>
      <c r="F4431" s="4296" t="str">
        <f t="shared" si="386"/>
        <v>ASHP-SEER15-Replace_CAC_NonElectricHeat_ROF_MF_CompE</v>
      </c>
      <c r="G4431" s="4296"/>
      <c r="H4431" s="4296"/>
      <c r="I4431" s="4296"/>
      <c r="J4431" s="3498" t="s">
        <v>2225</v>
      </c>
      <c r="K4431" s="3001">
        <f t="shared" si="384"/>
        <v>6.0434610256225457E-2</v>
      </c>
      <c r="L4431" s="3220"/>
      <c r="M4431" s="3368" t="str">
        <f t="shared" si="385"/>
        <v>352801_2024_12_</v>
      </c>
      <c r="P4431" s="261"/>
      <c r="Q4431" s="209"/>
      <c r="R4431" s="261"/>
      <c r="S4431" s="52"/>
      <c r="T4431" s="181"/>
      <c r="U4431" s="52"/>
      <c r="V4431" s="409"/>
      <c r="W4431" s="1745"/>
      <c r="X4431" s="1748"/>
      <c r="Y4431" s="1748"/>
      <c r="Z4431" s="1745"/>
      <c r="AA4431" s="1745"/>
      <c r="AB4431" s="1748"/>
      <c r="AC4431" s="1745"/>
      <c r="AD4431" s="1745"/>
      <c r="AE4431" s="1745"/>
      <c r="AF4431" s="1745"/>
      <c r="AG4431" s="1749"/>
      <c r="DG4431" s="573"/>
      <c r="DH4431" s="159"/>
      <c r="DI4431" s="1091"/>
      <c r="DJ4431" s="1187"/>
    </row>
    <row r="4432" spans="1:114" ht="15.75" hidden="1" customHeight="1" outlineLevel="1">
      <c r="A4432" s="453"/>
      <c r="C4432" s="51"/>
      <c r="D4432" s="4303"/>
      <c r="E4432" s="4303"/>
      <c r="F4432" s="4296" t="str">
        <f t="shared" si="386"/>
        <v>ASHP-SEER16-Replace_CAC_NonElectricHeat_ROF_MF</v>
      </c>
      <c r="G4432" s="4296"/>
      <c r="H4432" s="4296"/>
      <c r="I4432" s="4296"/>
      <c r="J4432" s="3498" t="s">
        <v>2241</v>
      </c>
      <c r="K4432" s="3001">
        <f t="shared" si="384"/>
        <v>3.7501367436429033E-2</v>
      </c>
      <c r="L4432" s="3220"/>
      <c r="M4432" s="3368" t="str">
        <f t="shared" si="385"/>
        <v>352950_2024_12_</v>
      </c>
      <c r="P4432" s="261"/>
      <c r="Q4432" s="209"/>
      <c r="R4432" s="261"/>
      <c r="S4432" s="52"/>
      <c r="T4432" s="181"/>
      <c r="U4432" s="52"/>
      <c r="V4432" s="409"/>
      <c r="W4432" s="1745"/>
      <c r="X4432" s="1748"/>
      <c r="Y4432" s="1748"/>
      <c r="Z4432" s="1745"/>
      <c r="AA4432" s="1745"/>
      <c r="AB4432" s="1748"/>
      <c r="AC4432" s="1745"/>
      <c r="AD4432" s="1745"/>
      <c r="AE4432" s="1745"/>
      <c r="AF4432" s="1745"/>
      <c r="AG4432" s="1749"/>
      <c r="DG4432" s="573"/>
      <c r="DH4432" s="159"/>
      <c r="DI4432" s="1091"/>
      <c r="DJ4432" s="1187"/>
    </row>
    <row r="4433" spans="1:114" ht="15.75" hidden="1" customHeight="1" outlineLevel="1">
      <c r="A4433" s="453"/>
      <c r="C4433" s="51"/>
      <c r="D4433" s="4303"/>
      <c r="E4433" s="4303"/>
      <c r="F4433" s="4296" t="str">
        <f t="shared" si="386"/>
        <v>ASHP-SEER16-Replace_CAC_NonElectricHeat_ROF_MF_CompE</v>
      </c>
      <c r="G4433" s="4296"/>
      <c r="H4433" s="4296"/>
      <c r="I4433" s="4296"/>
      <c r="J4433" s="3498" t="s">
        <v>2243</v>
      </c>
      <c r="K4433" s="3001">
        <f t="shared" si="384"/>
        <v>7.6741072587494033E-2</v>
      </c>
      <c r="L4433" s="3220"/>
      <c r="M4433" s="3368" t="str">
        <f t="shared" si="385"/>
        <v>352951_2024_12_</v>
      </c>
      <c r="P4433" s="261"/>
      <c r="Q4433" s="209"/>
      <c r="R4433" s="261"/>
      <c r="S4433" s="52"/>
      <c r="T4433" s="181"/>
      <c r="U4433" s="52"/>
      <c r="V4433" s="409"/>
      <c r="W4433" s="1745"/>
      <c r="X4433" s="1748"/>
      <c r="Y4433" s="1748"/>
      <c r="Z4433" s="1745"/>
      <c r="AA4433" s="1745"/>
      <c r="AB4433" s="1748"/>
      <c r="AC4433" s="1745"/>
      <c r="AD4433" s="1745"/>
      <c r="AE4433" s="1745"/>
      <c r="AF4433" s="1745"/>
      <c r="AG4433" s="1749"/>
      <c r="DG4433" s="573"/>
      <c r="DH4433" s="159"/>
      <c r="DI4433" s="1091"/>
      <c r="DJ4433" s="1187"/>
    </row>
    <row r="4434" spans="1:114" ht="15.75" hidden="1" customHeight="1" outlineLevel="1">
      <c r="A4434" s="453"/>
      <c r="C4434" s="51"/>
      <c r="D4434" s="4303"/>
      <c r="E4434" s="4303"/>
      <c r="F4434" s="4296" t="str">
        <f t="shared" si="386"/>
        <v>ASHP-SEER16-Replace_CAC_NonElectricHeat_ER1_MF</v>
      </c>
      <c r="G4434" s="4296"/>
      <c r="H4434" s="4296"/>
      <c r="I4434" s="4296"/>
      <c r="J4434" s="3498" t="s">
        <v>2251</v>
      </c>
      <c r="K4434" s="3001">
        <f t="shared" si="384"/>
        <v>0.11640439810440725</v>
      </c>
      <c r="L4434" s="3220"/>
      <c r="M4434" s="3368" t="str">
        <f t="shared" si="385"/>
        <v>353000_2024_12_</v>
      </c>
      <c r="P4434" s="261"/>
      <c r="Q4434" s="209"/>
      <c r="R4434" s="261"/>
      <c r="S4434" s="52"/>
      <c r="T4434" s="181"/>
      <c r="U4434" s="52"/>
      <c r="V4434" s="409"/>
      <c r="W4434" s="1745"/>
      <c r="X4434" s="1748"/>
      <c r="Y4434" s="1748"/>
      <c r="Z4434" s="1745"/>
      <c r="AA4434" s="1745"/>
      <c r="AB4434" s="1748"/>
      <c r="AC4434" s="1745"/>
      <c r="AD4434" s="1745"/>
      <c r="AE4434" s="1745"/>
      <c r="AF4434" s="1745"/>
      <c r="AG4434" s="1749"/>
      <c r="DG4434" s="573"/>
      <c r="DH4434" s="159"/>
      <c r="DI4434" s="1091"/>
      <c r="DJ4434" s="1187"/>
    </row>
    <row r="4435" spans="1:114" ht="15.75" hidden="1" customHeight="1" outlineLevel="1">
      <c r="A4435" s="453"/>
      <c r="C4435" s="51"/>
      <c r="D4435" s="4303"/>
      <c r="E4435" s="4303"/>
      <c r="F4435" s="4296" t="str">
        <f t="shared" si="386"/>
        <v>ASHP-SEER16-Replace_CAC_NonElectricHeat_ER1_MF_CompE</v>
      </c>
      <c r="G4435" s="4296"/>
      <c r="H4435" s="4296"/>
      <c r="I4435" s="4296"/>
      <c r="J4435" s="3498" t="s">
        <v>2254</v>
      </c>
      <c r="K4435" s="3001">
        <f t="shared" si="384"/>
        <v>0.21938661103993465</v>
      </c>
      <c r="L4435" s="3220"/>
      <c r="M4435" s="3368" t="str">
        <f t="shared" si="385"/>
        <v>353001_2024_12_</v>
      </c>
      <c r="P4435" s="261"/>
      <c r="Q4435" s="209"/>
      <c r="R4435" s="261"/>
      <c r="S4435" s="52"/>
      <c r="T4435" s="181"/>
      <c r="U4435" s="52"/>
      <c r="V4435" s="409"/>
      <c r="W4435" s="1745"/>
      <c r="X4435" s="1748"/>
      <c r="Y4435" s="1748"/>
      <c r="Z4435" s="1745"/>
      <c r="AA4435" s="1745"/>
      <c r="AB4435" s="1748"/>
      <c r="AC4435" s="1745"/>
      <c r="AD4435" s="1745"/>
      <c r="AE4435" s="1745"/>
      <c r="AF4435" s="1745"/>
      <c r="AG4435" s="1749"/>
      <c r="DG4435" s="573"/>
      <c r="DH4435" s="159"/>
      <c r="DI4435" s="1091"/>
      <c r="DJ4435" s="1187"/>
    </row>
    <row r="4436" spans="1:114" ht="15.75" hidden="1" customHeight="1" outlineLevel="1">
      <c r="A4436" s="453"/>
      <c r="C4436" s="51"/>
      <c r="D4436" s="4303"/>
      <c r="E4436" s="4303"/>
      <c r="F4436" s="4291" t="str">
        <f t="shared" si="386"/>
        <v>ASHP-SEER17-Replace_CAC_NonElectricHeat_ROF_SF</v>
      </c>
      <c r="G4436" s="4291"/>
      <c r="H4436" s="4291"/>
      <c r="I4436" s="4291"/>
      <c r="J4436" s="1750" t="s">
        <v>2263</v>
      </c>
      <c r="K4436" s="1674">
        <f t="shared" si="384"/>
        <v>4.5152187950570979E-2</v>
      </c>
      <c r="L4436" s="48"/>
      <c r="M4436" s="1751" t="str">
        <f t="shared" si="385"/>
        <v>353100_2024_12_</v>
      </c>
      <c r="P4436" s="261"/>
      <c r="Q4436" s="209"/>
      <c r="R4436" s="261"/>
      <c r="S4436" s="52"/>
      <c r="T4436" s="181"/>
      <c r="U4436" s="52"/>
      <c r="V4436" s="409"/>
      <c r="W4436" s="1745"/>
      <c r="X4436" s="1748"/>
      <c r="Y4436" s="1748"/>
      <c r="Z4436" s="1745"/>
      <c r="AA4436" s="1745"/>
      <c r="AB4436" s="1748"/>
      <c r="AC4436" s="1745"/>
      <c r="AD4436" s="1745"/>
      <c r="AE4436" s="1745"/>
      <c r="AF4436" s="1745"/>
      <c r="AG4436" s="1749"/>
      <c r="DG4436" s="573"/>
      <c r="DH4436" s="159"/>
      <c r="DI4436" s="1091"/>
      <c r="DJ4436" s="1187"/>
    </row>
    <row r="4437" spans="1:114" ht="15.75" hidden="1" customHeight="1" outlineLevel="1">
      <c r="A4437" s="453"/>
      <c r="C4437" s="51"/>
      <c r="D4437" s="4303"/>
      <c r="E4437" s="4303"/>
      <c r="F4437" s="4296" t="str">
        <f t="shared" si="386"/>
        <v>ASHP-SEER17-Replace_CAC_NonElectricHeat_ROF_MF</v>
      </c>
      <c r="G4437" s="4296"/>
      <c r="H4437" s="4296"/>
      <c r="I4437" s="4296"/>
      <c r="J4437" s="3498" t="s">
        <v>2269</v>
      </c>
      <c r="K4437" s="3001">
        <f t="shared" si="384"/>
        <v>4.6050692149902352E-2</v>
      </c>
      <c r="L4437" s="3220"/>
      <c r="M4437" s="3368" t="str">
        <f t="shared" si="385"/>
        <v>353150_2024_12_</v>
      </c>
      <c r="P4437" s="261"/>
      <c r="Q4437" s="209"/>
      <c r="R4437" s="261"/>
      <c r="S4437" s="52"/>
      <c r="T4437" s="181"/>
      <c r="U4437" s="52"/>
      <c r="V4437" s="409"/>
      <c r="W4437" s="1745"/>
      <c r="X4437" s="1748"/>
      <c r="Y4437" s="1748"/>
      <c r="Z4437" s="1745"/>
      <c r="AA4437" s="1745"/>
      <c r="AB4437" s="1748"/>
      <c r="AC4437" s="1745"/>
      <c r="AD4437" s="1745"/>
      <c r="AE4437" s="1745"/>
      <c r="AF4437" s="1745"/>
      <c r="AG4437" s="1749"/>
      <c r="DG4437" s="573"/>
      <c r="DH4437" s="159"/>
      <c r="DI4437" s="1091"/>
      <c r="DJ4437" s="1187"/>
    </row>
    <row r="4438" spans="1:114" ht="15.75" hidden="1" customHeight="1" outlineLevel="1">
      <c r="A4438" s="453"/>
      <c r="C4438" s="51"/>
      <c r="D4438" s="4303"/>
      <c r="E4438" s="4303"/>
      <c r="F4438" s="4296" t="str">
        <f t="shared" si="386"/>
        <v>ASHP-SEER17-Replace_CAC_NonElectricHeat_ROF_MF_CompE</v>
      </c>
      <c r="G4438" s="4296"/>
      <c r="H4438" s="4296"/>
      <c r="I4438" s="4296"/>
      <c r="J4438" s="3498" t="s">
        <v>2271</v>
      </c>
      <c r="K4438" s="3001">
        <f t="shared" si="384"/>
        <v>9.3368375545216015E-2</v>
      </c>
      <c r="L4438" s="3220"/>
      <c r="M4438" s="3368" t="str">
        <f t="shared" si="385"/>
        <v>353151_2024_12_</v>
      </c>
      <c r="P4438" s="261"/>
      <c r="Q4438" s="209"/>
      <c r="R4438" s="261"/>
      <c r="S4438" s="52"/>
      <c r="T4438" s="181"/>
      <c r="U4438" s="52"/>
      <c r="V4438" s="409"/>
      <c r="W4438" s="1745"/>
      <c r="X4438" s="1748"/>
      <c r="Y4438" s="1748"/>
      <c r="Z4438" s="1745"/>
      <c r="AA4438" s="1745"/>
      <c r="AB4438" s="1748"/>
      <c r="AC4438" s="1745"/>
      <c r="AD4438" s="1745"/>
      <c r="AE4438" s="1745"/>
      <c r="AF4438" s="1745"/>
      <c r="AG4438" s="1749"/>
      <c r="DG4438" s="573"/>
      <c r="DH4438" s="159"/>
      <c r="DI4438" s="1091"/>
      <c r="DJ4438" s="1187"/>
    </row>
    <row r="4439" spans="1:114" ht="15.75" hidden="1" customHeight="1" outlineLevel="1">
      <c r="A4439" s="453"/>
      <c r="C4439" s="51"/>
      <c r="D4439" s="4303"/>
      <c r="E4439" s="4303"/>
      <c r="F4439" s="4291" t="str">
        <f t="shared" si="386"/>
        <v>ASHP-SEER18-Replace_CAC_NonElectricHeat_ROF_SF</v>
      </c>
      <c r="G4439" s="4291"/>
      <c r="H4439" s="4291"/>
      <c r="I4439" s="4291"/>
      <c r="J4439" s="1750" t="s">
        <v>2275</v>
      </c>
      <c r="K4439" s="1674">
        <f t="shared" si="384"/>
        <v>6.3342831125872731E-2</v>
      </c>
      <c r="L4439" s="48"/>
      <c r="M4439" s="1751" t="str">
        <f t="shared" si="385"/>
        <v>353200_2024_12_</v>
      </c>
      <c r="P4439" s="261"/>
      <c r="Q4439" s="209"/>
      <c r="R4439" s="261"/>
      <c r="S4439" s="52"/>
      <c r="T4439" s="181"/>
      <c r="U4439" s="52"/>
      <c r="V4439" s="409"/>
      <c r="W4439" s="1745"/>
      <c r="X4439" s="1748"/>
      <c r="Y4439" s="1748"/>
      <c r="Z4439" s="1745"/>
      <c r="AA4439" s="1745"/>
      <c r="AB4439" s="1748"/>
      <c r="AC4439" s="1745"/>
      <c r="AD4439" s="1745"/>
      <c r="AE4439" s="1745"/>
      <c r="AF4439" s="1745"/>
      <c r="AG4439" s="1749"/>
      <c r="DG4439" s="573"/>
      <c r="DH4439" s="159"/>
      <c r="DI4439" s="1091"/>
      <c r="DJ4439" s="1187"/>
    </row>
    <row r="4440" spans="1:114" ht="15.75" hidden="1" customHeight="1" outlineLevel="1">
      <c r="A4440" s="453"/>
      <c r="C4440" s="51"/>
      <c r="D4440" s="4303"/>
      <c r="E4440" s="4303"/>
      <c r="F4440" s="4296" t="str">
        <f t="shared" si="386"/>
        <v>ASHP-SEER18-Replace_CAC_NonElectricHeat_ROF_MF</v>
      </c>
      <c r="G4440" s="4296"/>
      <c r="H4440" s="4296"/>
      <c r="I4440" s="4296"/>
      <c r="J4440" s="3498" t="s">
        <v>2281</v>
      </c>
      <c r="K4440" s="3001">
        <f t="shared" si="384"/>
        <v>5.5649917499368075E-2</v>
      </c>
      <c r="L4440" s="3220"/>
      <c r="M4440" s="3368" t="str">
        <f t="shared" si="385"/>
        <v>353250_2024_12_</v>
      </c>
      <c r="P4440" s="261"/>
      <c r="Q4440" s="209"/>
      <c r="R4440" s="261"/>
      <c r="S4440" s="52"/>
      <c r="T4440" s="181"/>
      <c r="U4440" s="52"/>
      <c r="V4440" s="409"/>
      <c r="W4440" s="1745"/>
      <c r="X4440" s="1748"/>
      <c r="Y4440" s="1748"/>
      <c r="Z4440" s="1745"/>
      <c r="AA4440" s="1745"/>
      <c r="AB4440" s="1748"/>
      <c r="AC4440" s="1745"/>
      <c r="AD4440" s="1745"/>
      <c r="AE4440" s="1745"/>
      <c r="AF4440" s="1745"/>
      <c r="AG4440" s="1749"/>
      <c r="DG4440" s="573"/>
      <c r="DH4440" s="159"/>
      <c r="DI4440" s="1091"/>
      <c r="DJ4440" s="1187"/>
    </row>
    <row r="4441" spans="1:114" ht="15.75" hidden="1" customHeight="1" outlineLevel="1">
      <c r="A4441" s="453"/>
      <c r="C4441" s="51"/>
      <c r="D4441" s="4303"/>
      <c r="E4441" s="4303"/>
      <c r="F4441" s="4296" t="str">
        <f t="shared" si="386"/>
        <v>ASHP-SEER18-Replace_CAC_NonElectricHeat_ROF_MF_CompE</v>
      </c>
      <c r="G4441" s="4296"/>
      <c r="H4441" s="4296"/>
      <c r="I4441" s="4296"/>
      <c r="J4441" s="3498" t="s">
        <v>2283</v>
      </c>
      <c r="K4441" s="3001">
        <f t="shared" si="384"/>
        <v>0.11167589771042662</v>
      </c>
      <c r="L4441" s="3220"/>
      <c r="M4441" s="3368" t="str">
        <f t="shared" si="385"/>
        <v>353251_2024_12_</v>
      </c>
      <c r="P4441" s="261"/>
      <c r="Q4441" s="209"/>
      <c r="R4441" s="261"/>
      <c r="S4441" s="52"/>
      <c r="T4441" s="181"/>
      <c r="U4441" s="52"/>
      <c r="V4441" s="409"/>
      <c r="W4441" s="1745"/>
      <c r="X4441" s="1748"/>
      <c r="Y4441" s="1748"/>
      <c r="Z4441" s="1745"/>
      <c r="AA4441" s="1745"/>
      <c r="AB4441" s="1748"/>
      <c r="AC4441" s="1745"/>
      <c r="AD4441" s="1745"/>
      <c r="AE4441" s="1745"/>
      <c r="AF4441" s="1745"/>
      <c r="AG4441" s="1749"/>
      <c r="DG4441" s="573"/>
      <c r="DH4441" s="159"/>
      <c r="DI4441" s="1091"/>
      <c r="DJ4441" s="1187"/>
    </row>
    <row r="4442" spans="1:114" ht="15.75" hidden="1" customHeight="1" outlineLevel="1">
      <c r="A4442" s="453"/>
      <c r="C4442" s="51"/>
      <c r="D4442" s="4303"/>
      <c r="E4442" s="4303"/>
      <c r="F4442" s="4291" t="str">
        <f t="shared" si="386"/>
        <v>ASHP-SEER19-Replace_CAC_NonElectricHeat_ROF_SF</v>
      </c>
      <c r="G4442" s="4291"/>
      <c r="H4442" s="4291"/>
      <c r="I4442" s="4291"/>
      <c r="J4442" s="1750" t="s">
        <v>2287</v>
      </c>
      <c r="K4442" s="1674">
        <f t="shared" si="384"/>
        <v>7.4302573918254844E-2</v>
      </c>
      <c r="L4442" s="48"/>
      <c r="M4442" s="1751" t="str">
        <f t="shared" si="385"/>
        <v>353300_2024_12_</v>
      </c>
      <c r="P4442" s="261"/>
      <c r="Q4442" s="209"/>
      <c r="R4442" s="261"/>
      <c r="S4442" s="52"/>
      <c r="T4442" s="181"/>
      <c r="U4442" s="52"/>
      <c r="V4442" s="409"/>
      <c r="W4442" s="1745"/>
      <c r="X4442" s="1748"/>
      <c r="Y4442" s="1748"/>
      <c r="Z4442" s="1745"/>
      <c r="AA4442" s="1745"/>
      <c r="AB4442" s="1748"/>
      <c r="AC4442" s="1745"/>
      <c r="AD4442" s="1745"/>
      <c r="AE4442" s="1745"/>
      <c r="AF4442" s="1745"/>
      <c r="AG4442" s="1749"/>
      <c r="DG4442" s="573"/>
      <c r="DH4442" s="159"/>
      <c r="DI4442" s="1091"/>
      <c r="DJ4442" s="1187"/>
    </row>
    <row r="4443" spans="1:114" ht="15.75" hidden="1" customHeight="1" outlineLevel="1">
      <c r="A4443" s="453"/>
      <c r="C4443" s="51"/>
      <c r="D4443" s="4303"/>
      <c r="E4443" s="4303"/>
      <c r="F4443" s="4296" t="str">
        <f t="shared" si="386"/>
        <v>ASHP-SEER19-Replace_CAC_NonElectricHeat_ROF_MF</v>
      </c>
      <c r="G4443" s="4296"/>
      <c r="H4443" s="4296"/>
      <c r="I4443" s="4296"/>
      <c r="J4443" s="3498" t="s">
        <v>2293</v>
      </c>
      <c r="K4443" s="3001">
        <f t="shared" si="384"/>
        <v>6.6563804710516705E-2</v>
      </c>
      <c r="L4443" s="3220"/>
      <c r="M4443" s="3368" t="str">
        <f t="shared" si="385"/>
        <v>353350_2024_12_</v>
      </c>
      <c r="P4443" s="261"/>
      <c r="Q4443" s="209"/>
      <c r="R4443" s="261"/>
      <c r="S4443" s="52"/>
      <c r="T4443" s="181"/>
      <c r="U4443" s="52"/>
      <c r="V4443" s="409"/>
      <c r="W4443" s="1745"/>
      <c r="X4443" s="1748"/>
      <c r="Y4443" s="1748"/>
      <c r="Z4443" s="1745"/>
      <c r="AA4443" s="1745"/>
      <c r="AB4443" s="1748"/>
      <c r="AC4443" s="1745"/>
      <c r="AD4443" s="1745"/>
      <c r="AE4443" s="1745"/>
      <c r="AF4443" s="1745"/>
      <c r="AG4443" s="1749"/>
      <c r="DG4443" s="573"/>
      <c r="DH4443" s="159"/>
      <c r="DI4443" s="1091"/>
      <c r="DJ4443" s="1187"/>
    </row>
    <row r="4444" spans="1:114" ht="15.75" hidden="1" customHeight="1" outlineLevel="1">
      <c r="A4444" s="453"/>
      <c r="C4444" s="51"/>
      <c r="D4444" s="4303"/>
      <c r="E4444" s="4303"/>
      <c r="F4444" s="4296" t="str">
        <f t="shared" si="386"/>
        <v>ASHP-SEER19-Replace_CAC_NonElectricHeat_ROF_MF_CompE</v>
      </c>
      <c r="G4444" s="4296"/>
      <c r="H4444" s="4296"/>
      <c r="I4444" s="4296"/>
      <c r="J4444" s="3498" t="s">
        <v>2295</v>
      </c>
      <c r="K4444" s="3001">
        <f t="shared" si="384"/>
        <v>0.125366478093901</v>
      </c>
      <c r="L4444" s="3220"/>
      <c r="M4444" s="3368" t="str">
        <f t="shared" si="385"/>
        <v>353351_2024_12_</v>
      </c>
      <c r="P4444" s="261"/>
      <c r="Q4444" s="209"/>
      <c r="R4444" s="261"/>
      <c r="S4444" s="52"/>
      <c r="T4444" s="181"/>
      <c r="U4444" s="52"/>
      <c r="V4444" s="409"/>
      <c r="W4444" s="1745"/>
      <c r="X4444" s="1748"/>
      <c r="Y4444" s="1748"/>
      <c r="Z4444" s="1745"/>
      <c r="AA4444" s="1745"/>
      <c r="AB4444" s="1748"/>
      <c r="AC4444" s="1745"/>
      <c r="AD4444" s="1745"/>
      <c r="AE4444" s="1745"/>
      <c r="AF4444" s="1745"/>
      <c r="AG4444" s="1749"/>
      <c r="DG4444" s="573"/>
      <c r="DH4444" s="159"/>
      <c r="DI4444" s="1091"/>
      <c r="DJ4444" s="1187"/>
    </row>
    <row r="4445" spans="1:114" ht="15.75" hidden="1" customHeight="1" outlineLevel="1">
      <c r="A4445" s="453"/>
      <c r="C4445" s="51"/>
      <c r="D4445" s="4303"/>
      <c r="E4445" s="4303"/>
      <c r="F4445" s="4291" t="str">
        <f t="shared" si="386"/>
        <v>ASHP-SEER20-Replace_CAC_NonElectricHeat_ER1_SF</v>
      </c>
      <c r="G4445" s="4291"/>
      <c r="H4445" s="4291"/>
      <c r="I4445" s="4291"/>
      <c r="J4445" s="1750" t="s">
        <v>2300</v>
      </c>
      <c r="K4445" s="1674">
        <f t="shared" si="384"/>
        <v>0.14184195057722604</v>
      </c>
      <c r="L4445" s="48"/>
      <c r="M4445" s="1751" t="str">
        <f t="shared" si="385"/>
        <v>353400_2024_12_</v>
      </c>
      <c r="P4445" s="261"/>
      <c r="Q4445" s="209"/>
      <c r="R4445" s="261"/>
      <c r="S4445" s="52"/>
      <c r="T4445" s="181"/>
      <c r="U4445" s="52"/>
      <c r="V4445" s="409"/>
      <c r="W4445" s="1745"/>
      <c r="X4445" s="1748"/>
      <c r="Y4445" s="1748"/>
      <c r="Z4445" s="1745"/>
      <c r="AA4445" s="1745"/>
      <c r="AB4445" s="1748"/>
      <c r="AC4445" s="1745"/>
      <c r="AD4445" s="1745"/>
      <c r="AE4445" s="1745"/>
      <c r="AF4445" s="1745"/>
      <c r="AG4445" s="1749"/>
      <c r="DG4445" s="573"/>
      <c r="DH4445" s="159"/>
      <c r="DI4445" s="1091"/>
      <c r="DJ4445" s="1187"/>
    </row>
    <row r="4446" spans="1:114" ht="15.75" hidden="1" customHeight="1" outlineLevel="1">
      <c r="A4446" s="453"/>
      <c r="C4446" s="51"/>
      <c r="D4446" s="4303"/>
      <c r="E4446" s="4303"/>
      <c r="F4446" s="4291" t="str">
        <f t="shared" si="386"/>
        <v>ASHP-SEER20-Replace_CAC_NonElectricHeat_ROF_SF</v>
      </c>
      <c r="G4446" s="4291"/>
      <c r="H4446" s="4291"/>
      <c r="I4446" s="4291"/>
      <c r="J4446" s="1750" t="s">
        <v>2305</v>
      </c>
      <c r="K4446" s="1674">
        <f t="shared" si="384"/>
        <v>7.4599829180746882E-2</v>
      </c>
      <c r="L4446" s="48"/>
      <c r="M4446" s="1751" t="str">
        <f t="shared" si="385"/>
        <v>353450_2024_12_</v>
      </c>
      <c r="P4446" s="261"/>
      <c r="Q4446" s="209"/>
      <c r="R4446" s="261"/>
      <c r="S4446" s="52"/>
      <c r="T4446" s="181"/>
      <c r="U4446" s="52"/>
      <c r="V4446" s="409"/>
      <c r="W4446" s="1745"/>
      <c r="X4446" s="1748"/>
      <c r="Y4446" s="1748"/>
      <c r="Z4446" s="1745"/>
      <c r="AA4446" s="1745"/>
      <c r="AB4446" s="1748"/>
      <c r="AC4446" s="1745"/>
      <c r="AD4446" s="1745"/>
      <c r="AE4446" s="1745"/>
      <c r="AF4446" s="1745"/>
      <c r="AG4446" s="1749"/>
      <c r="DG4446" s="573"/>
      <c r="DH4446" s="159"/>
      <c r="DI4446" s="1091"/>
      <c r="DJ4446" s="1187"/>
    </row>
    <row r="4447" spans="1:114" ht="15.75" hidden="1" customHeight="1" outlineLevel="1">
      <c r="A4447" s="453"/>
      <c r="C4447" s="51"/>
      <c r="D4447" s="4303"/>
      <c r="E4447" s="4303"/>
      <c r="F4447" s="4296" t="str">
        <f t="shared" si="386"/>
        <v>ASHP-SEER20-Replace_CAC_NonElectricHeat_ROF_MF</v>
      </c>
      <c r="G4447" s="4296"/>
      <c r="H4447" s="4296"/>
      <c r="I4447" s="4296"/>
      <c r="J4447" s="3498" t="s">
        <v>2311</v>
      </c>
      <c r="K4447" s="3001">
        <f t="shared" si="384"/>
        <v>6.9963391553206675E-2</v>
      </c>
      <c r="L4447" s="3220"/>
      <c r="M4447" s="3368" t="str">
        <f t="shared" si="385"/>
        <v>353500_2024_12_</v>
      </c>
      <c r="P4447" s="261"/>
      <c r="Q4447" s="209"/>
      <c r="R4447" s="261"/>
      <c r="S4447" s="52"/>
      <c r="T4447" s="181"/>
      <c r="U4447" s="52"/>
      <c r="V4447" s="409"/>
      <c r="W4447" s="1745"/>
      <c r="X4447" s="1748"/>
      <c r="Y4447" s="1748"/>
      <c r="Z4447" s="1745"/>
      <c r="AA4447" s="1745"/>
      <c r="AB4447" s="1748"/>
      <c r="AC4447" s="1745"/>
      <c r="AD4447" s="1745"/>
      <c r="AE4447" s="1745"/>
      <c r="AF4447" s="1745"/>
      <c r="AG4447" s="1749"/>
      <c r="DG4447" s="573"/>
      <c r="DH4447" s="159"/>
      <c r="DI4447" s="1091"/>
      <c r="DJ4447" s="1187"/>
    </row>
    <row r="4448" spans="1:114" ht="15.75" hidden="1" customHeight="1" outlineLevel="1">
      <c r="A4448" s="453"/>
      <c r="C4448" s="51"/>
      <c r="D4448" s="4303"/>
      <c r="E4448" s="4303"/>
      <c r="F4448" s="4296" t="str">
        <f t="shared" si="386"/>
        <v>ASHP-SEER20-Replace_CAC_NonElectricHeat_ROF_MF_CompE</v>
      </c>
      <c r="G4448" s="4296"/>
      <c r="H4448" s="4296"/>
      <c r="I4448" s="4296"/>
      <c r="J4448" s="3498" t="s">
        <v>2313</v>
      </c>
      <c r="K4448" s="3001">
        <f t="shared" si="384"/>
        <v>0.13828995753194004</v>
      </c>
      <c r="L4448" s="3220"/>
      <c r="M4448" s="3368" t="str">
        <f t="shared" si="385"/>
        <v>353501_2024_12_</v>
      </c>
      <c r="P4448" s="261"/>
      <c r="Q4448" s="209"/>
      <c r="R4448" s="261"/>
      <c r="S4448" s="52"/>
      <c r="T4448" s="181"/>
      <c r="U4448" s="52"/>
      <c r="V4448" s="409"/>
      <c r="W4448" s="1745"/>
      <c r="X4448" s="1748"/>
      <c r="Y4448" s="1748"/>
      <c r="Z4448" s="1745"/>
      <c r="AA4448" s="1745"/>
      <c r="AB4448" s="1748"/>
      <c r="AC4448" s="1745"/>
      <c r="AD4448" s="1745"/>
      <c r="AE4448" s="1745"/>
      <c r="AF4448" s="1745"/>
      <c r="AG4448" s="1749"/>
      <c r="DG4448" s="573"/>
      <c r="DH4448" s="159"/>
      <c r="DI4448" s="1091"/>
      <c r="DJ4448" s="1187"/>
    </row>
    <row r="4449" spans="1:114" ht="15.75" hidden="1" customHeight="1" outlineLevel="1">
      <c r="A4449" s="453"/>
      <c r="C4449" s="51"/>
      <c r="D4449" s="4303"/>
      <c r="E4449" s="4303"/>
      <c r="F4449" s="4291" t="str">
        <f t="shared" si="386"/>
        <v>ASHP-SEER21-Replace_CAC_NonElectricHeat_ER1_SF</v>
      </c>
      <c r="G4449" s="4291"/>
      <c r="H4449" s="4291"/>
      <c r="I4449" s="4291"/>
      <c r="J4449" s="1750" t="s">
        <v>2318</v>
      </c>
      <c r="K4449" s="1674">
        <f t="shared" si="384"/>
        <v>0.12587351572310124</v>
      </c>
      <c r="L4449" s="48"/>
      <c r="M4449" s="1751" t="str">
        <f t="shared" si="385"/>
        <v>353550_2024_12_</v>
      </c>
      <c r="P4449" s="261"/>
      <c r="Q4449" s="209"/>
      <c r="R4449" s="261"/>
      <c r="S4449" s="52"/>
      <c r="T4449" s="181"/>
      <c r="U4449" s="52"/>
      <c r="V4449" s="409"/>
      <c r="W4449" s="1745"/>
      <c r="X4449" s="1748"/>
      <c r="Y4449" s="1748"/>
      <c r="Z4449" s="1745"/>
      <c r="AA4449" s="1745"/>
      <c r="AB4449" s="1748"/>
      <c r="AC4449" s="1745"/>
      <c r="AD4449" s="1745"/>
      <c r="AE4449" s="1745"/>
      <c r="AF4449" s="1745"/>
      <c r="AG4449" s="1749"/>
      <c r="DG4449" s="573"/>
      <c r="DH4449" s="159"/>
      <c r="DI4449" s="1091"/>
      <c r="DJ4449" s="1187"/>
    </row>
    <row r="4450" spans="1:114" ht="15.75" hidden="1" customHeight="1" outlineLevel="1">
      <c r="A4450" s="453"/>
      <c r="C4450" s="51"/>
      <c r="D4450" s="4303"/>
      <c r="E4450" s="4303"/>
      <c r="F4450" s="4296" t="str">
        <f t="shared" si="386"/>
        <v>ASHP-SEER21-Replace_CAC_NonElectricHeat_ER1_MF</v>
      </c>
      <c r="G4450" s="4296"/>
      <c r="H4450" s="4296"/>
      <c r="I4450" s="4296"/>
      <c r="J4450" s="3498" t="s">
        <v>2327</v>
      </c>
      <c r="K4450" s="3001">
        <f t="shared" si="384"/>
        <v>0.13385956920924313</v>
      </c>
      <c r="L4450" s="3220"/>
      <c r="M4450" s="3368" t="str">
        <f t="shared" si="385"/>
        <v>353600_2024_12_</v>
      </c>
      <c r="P4450" s="261"/>
      <c r="Q4450" s="209"/>
      <c r="R4450" s="261"/>
      <c r="S4450" s="52"/>
      <c r="T4450" s="181"/>
      <c r="U4450" s="52"/>
      <c r="V4450" s="409"/>
      <c r="W4450" s="1745"/>
      <c r="X4450" s="1748"/>
      <c r="Y4450" s="1748"/>
      <c r="Z4450" s="1745"/>
      <c r="AA4450" s="1745"/>
      <c r="AB4450" s="1748"/>
      <c r="AC4450" s="1745"/>
      <c r="AD4450" s="1745"/>
      <c r="AE4450" s="1745"/>
      <c r="AF4450" s="1745"/>
      <c r="AG4450" s="1749"/>
      <c r="DG4450" s="573"/>
      <c r="DH4450" s="159"/>
      <c r="DI4450" s="1091"/>
      <c r="DJ4450" s="1187"/>
    </row>
    <row r="4451" spans="1:114" ht="15.75" hidden="1" customHeight="1" outlineLevel="1">
      <c r="A4451" s="453"/>
      <c r="C4451" s="51"/>
      <c r="D4451" s="4303"/>
      <c r="E4451" s="4303"/>
      <c r="F4451" s="4296" t="str">
        <f t="shared" si="386"/>
        <v>ASHP-SEER21-Replace_CAC_NonElectricHeat_ER1_MF_CompE</v>
      </c>
      <c r="G4451" s="4296"/>
      <c r="H4451" s="4296"/>
      <c r="I4451" s="4296"/>
      <c r="J4451" s="3498" t="s">
        <v>2330</v>
      </c>
      <c r="K4451" s="3001">
        <f t="shared" si="384"/>
        <v>0.24795097013792913</v>
      </c>
      <c r="L4451" s="3220"/>
      <c r="M4451" s="3368" t="str">
        <f t="shared" si="385"/>
        <v>353601_2024_12_</v>
      </c>
      <c r="P4451" s="261"/>
      <c r="Q4451" s="209"/>
      <c r="R4451" s="261"/>
      <c r="S4451" s="52"/>
      <c r="T4451" s="181"/>
      <c r="U4451" s="52"/>
      <c r="V4451" s="409"/>
      <c r="W4451" s="1745"/>
      <c r="X4451" s="1748"/>
      <c r="Y4451" s="1748"/>
      <c r="Z4451" s="1745"/>
      <c r="AA4451" s="1745"/>
      <c r="AB4451" s="1748"/>
      <c r="AC4451" s="1745"/>
      <c r="AD4451" s="1745"/>
      <c r="AE4451" s="1745"/>
      <c r="AF4451" s="1745"/>
      <c r="AG4451" s="1749"/>
      <c r="DG4451" s="573"/>
      <c r="DH4451" s="159"/>
      <c r="DI4451" s="1091"/>
      <c r="DJ4451" s="1187"/>
    </row>
    <row r="4452" spans="1:114" ht="15.75" hidden="1" customHeight="1" outlineLevel="1">
      <c r="A4452" s="453"/>
      <c r="C4452" s="51"/>
      <c r="D4452" s="4303"/>
      <c r="E4452" s="4303"/>
      <c r="F4452" s="4291" t="str">
        <f t="shared" si="386"/>
        <v>ASHP-SEER21-Replace_CAC_NonElectricHeat_ROF_SF</v>
      </c>
      <c r="G4452" s="4291"/>
      <c r="H4452" s="4291"/>
      <c r="I4452" s="4291"/>
      <c r="J4452" s="1750" t="s">
        <v>2335</v>
      </c>
      <c r="K4452" s="1674">
        <f t="shared" si="384"/>
        <v>7.3343195951890955E-2</v>
      </c>
      <c r="L4452" s="48"/>
      <c r="M4452" s="1751" t="str">
        <f t="shared" si="385"/>
        <v>353650_2024_12_</v>
      </c>
      <c r="P4452" s="261"/>
      <c r="Q4452" s="209"/>
      <c r="R4452" s="261"/>
      <c r="S4452" s="52"/>
      <c r="T4452" s="181"/>
      <c r="U4452" s="52"/>
      <c r="V4452" s="409"/>
      <c r="W4452" s="1745"/>
      <c r="X4452" s="1748"/>
      <c r="Y4452" s="1748"/>
      <c r="Z4452" s="1745"/>
      <c r="AA4452" s="1745"/>
      <c r="AB4452" s="1748"/>
      <c r="AC4452" s="1745"/>
      <c r="AD4452" s="1745"/>
      <c r="AE4452" s="1745"/>
      <c r="AF4452" s="1745"/>
      <c r="AG4452" s="1749"/>
      <c r="DG4452" s="573"/>
      <c r="DH4452" s="159"/>
      <c r="DI4452" s="1091"/>
      <c r="DJ4452" s="1187"/>
    </row>
    <row r="4453" spans="1:114" ht="15.75" hidden="1" customHeight="1" outlineLevel="1">
      <c r="A4453" s="453"/>
      <c r="C4453" s="51"/>
      <c r="D4453" s="4303"/>
      <c r="E4453" s="4303"/>
      <c r="F4453" s="4296" t="str">
        <f t="shared" si="386"/>
        <v>ASHP-SEER21+-Replace_CAC_NonElectricHeat_ROF_MF</v>
      </c>
      <c r="G4453" s="4296"/>
      <c r="H4453" s="4296"/>
      <c r="I4453" s="4296"/>
      <c r="J4453" s="3498" t="s">
        <v>2341</v>
      </c>
      <c r="K4453" s="3001">
        <f t="shared" si="384"/>
        <v>7.6212840694724504E-2</v>
      </c>
      <c r="L4453" s="3220"/>
      <c r="M4453" s="3368" t="str">
        <f t="shared" si="385"/>
        <v>353700_2024_12_</v>
      </c>
      <c r="P4453" s="261"/>
      <c r="Q4453" s="209"/>
      <c r="R4453" s="261"/>
      <c r="S4453" s="52"/>
      <c r="T4453" s="181"/>
      <c r="U4453" s="52"/>
      <c r="V4453" s="409"/>
      <c r="W4453" s="1745"/>
      <c r="X4453" s="1748"/>
      <c r="Y4453" s="1748"/>
      <c r="Z4453" s="1745"/>
      <c r="AA4453" s="1745"/>
      <c r="AB4453" s="1748"/>
      <c r="AC4453" s="1745"/>
      <c r="AD4453" s="1745"/>
      <c r="AE4453" s="1745"/>
      <c r="AF4453" s="1745"/>
      <c r="AG4453" s="1749"/>
      <c r="DG4453" s="573"/>
      <c r="DH4453" s="159"/>
      <c r="DI4453" s="1091"/>
      <c r="DJ4453" s="1187"/>
    </row>
    <row r="4454" spans="1:114" ht="15.75" hidden="1" customHeight="1" outlineLevel="1">
      <c r="A4454" s="453"/>
      <c r="C4454" s="51"/>
      <c r="D4454" s="4303"/>
      <c r="E4454" s="4303"/>
      <c r="F4454" s="4296" t="str">
        <f t="shared" si="386"/>
        <v>ASHP-SEER21+-Replace_CAC_NonElectricHeat_ROF_MF_CompE</v>
      </c>
      <c r="G4454" s="4296"/>
      <c r="H4454" s="4296"/>
      <c r="I4454" s="4296"/>
      <c r="J4454" s="3498" t="s">
        <v>2343</v>
      </c>
      <c r="K4454" s="3001">
        <f t="shared" si="384"/>
        <v>0.14965943380650781</v>
      </c>
      <c r="L4454" s="3220"/>
      <c r="M4454" s="3368" t="str">
        <f t="shared" si="385"/>
        <v>353701_2024_12_</v>
      </c>
      <c r="P4454" s="261"/>
      <c r="Q4454" s="209"/>
      <c r="R4454" s="261"/>
      <c r="S4454" s="52"/>
      <c r="T4454" s="181"/>
      <c r="U4454" s="52"/>
      <c r="V4454" s="409"/>
      <c r="W4454" s="1745"/>
      <c r="X4454" s="1748"/>
      <c r="Y4454" s="1748"/>
      <c r="Z4454" s="1745"/>
      <c r="AA4454" s="1745"/>
      <c r="AB4454" s="1748"/>
      <c r="AC4454" s="1745"/>
      <c r="AD4454" s="1745"/>
      <c r="AE4454" s="1745"/>
      <c r="AF4454" s="1745"/>
      <c r="AG4454" s="1749"/>
      <c r="DG4454" s="573"/>
      <c r="DH4454" s="159"/>
      <c r="DI4454" s="1091"/>
      <c r="DJ4454" s="1187"/>
    </row>
    <row r="4455" spans="1:114" ht="15.75" hidden="1" customHeight="1" outlineLevel="1">
      <c r="A4455" s="453"/>
      <c r="C4455" s="51"/>
      <c r="D4455" s="4303"/>
      <c r="E4455" s="4303"/>
      <c r="F4455" s="4291" t="str">
        <f t="shared" si="386"/>
        <v>ASHP-SEER17-Replace_CAC_NonElectricHeat_ER1_SF</v>
      </c>
      <c r="G4455" s="4291"/>
      <c r="H4455" s="4291"/>
      <c r="I4455" s="4291"/>
      <c r="J4455" s="1750" t="s">
        <v>2363</v>
      </c>
      <c r="K4455" s="1674">
        <f t="shared" si="384"/>
        <v>0.13249126006550532</v>
      </c>
      <c r="L4455" s="48"/>
      <c r="M4455" s="1751" t="str">
        <f t="shared" si="385"/>
        <v>354100_2024_12_</v>
      </c>
      <c r="P4455" s="261"/>
      <c r="Q4455" s="209"/>
      <c r="R4455" s="261"/>
      <c r="S4455" s="52"/>
      <c r="T4455" s="181"/>
      <c r="U4455" s="52"/>
      <c r="V4455" s="409"/>
      <c r="W4455" s="1745"/>
      <c r="X4455" s="1748"/>
      <c r="Y4455" s="1748"/>
      <c r="Z4455" s="1745"/>
      <c r="AA4455" s="1745"/>
      <c r="AB4455" s="1748"/>
      <c r="AC4455" s="1745"/>
      <c r="AD4455" s="1745"/>
      <c r="AE4455" s="1745"/>
      <c r="AF4455" s="1745"/>
      <c r="AG4455" s="1749"/>
      <c r="DG4455" s="573"/>
      <c r="DH4455" s="159"/>
      <c r="DI4455" s="1091"/>
      <c r="DJ4455" s="1187"/>
    </row>
    <row r="4456" spans="1:114" ht="15.75" hidden="1" customHeight="1" outlineLevel="1">
      <c r="A4456" s="453"/>
      <c r="C4456" s="51"/>
      <c r="D4456" s="4303"/>
      <c r="E4456" s="4303"/>
      <c r="F4456" s="4296" t="str">
        <f t="shared" si="386"/>
        <v>ASHP-SEER17-Replace_CAC_NonElectricHeat_ER1_MF</v>
      </c>
      <c r="G4456" s="4296"/>
      <c r="H4456" s="4296"/>
      <c r="I4456" s="4296"/>
      <c r="J4456" s="3498" t="s">
        <v>2372</v>
      </c>
      <c r="K4456" s="3001">
        <f t="shared" si="384"/>
        <v>0.10691830546766108</v>
      </c>
      <c r="L4456" s="3220"/>
      <c r="M4456" s="3368" t="str">
        <f t="shared" si="385"/>
        <v>354150_2024_12_</v>
      </c>
      <c r="P4456" s="261"/>
      <c r="Q4456" s="209"/>
      <c r="R4456" s="261"/>
      <c r="S4456" s="52"/>
      <c r="T4456" s="181"/>
      <c r="U4456" s="52"/>
      <c r="V4456" s="409"/>
      <c r="W4456" s="1745"/>
      <c r="X4456" s="1748"/>
      <c r="Y4456" s="1748"/>
      <c r="Z4456" s="1745"/>
      <c r="AA4456" s="1745"/>
      <c r="AB4456" s="1748"/>
      <c r="AC4456" s="1745"/>
      <c r="AD4456" s="1745"/>
      <c r="AE4456" s="1745"/>
      <c r="AF4456" s="1745"/>
      <c r="AG4456" s="1749"/>
      <c r="DG4456" s="573"/>
      <c r="DH4456" s="159"/>
      <c r="DI4456" s="1091"/>
      <c r="DJ4456" s="1187"/>
    </row>
    <row r="4457" spans="1:114" ht="15.75" hidden="1" customHeight="1" outlineLevel="1">
      <c r="A4457" s="453"/>
      <c r="C4457" s="51"/>
      <c r="D4457" s="4303"/>
      <c r="E4457" s="4303"/>
      <c r="F4457" s="4296" t="str">
        <f t="shared" si="386"/>
        <v>ASHP-SEER17-Replace_CAC_NonElectricHeat_ER1_MF_CompE</v>
      </c>
      <c r="G4457" s="4296"/>
      <c r="H4457" s="4296"/>
      <c r="I4457" s="4296"/>
      <c r="J4457" s="3498" t="s">
        <v>2375</v>
      </c>
      <c r="K4457" s="3001">
        <f t="shared" si="384"/>
        <v>0.20344068329744247</v>
      </c>
      <c r="L4457" s="3220"/>
      <c r="M4457" s="3368" t="str">
        <f t="shared" si="385"/>
        <v>354151_2024_12_</v>
      </c>
      <c r="P4457" s="261"/>
      <c r="Q4457" s="209"/>
      <c r="R4457" s="261"/>
      <c r="S4457" s="52"/>
      <c r="T4457" s="181"/>
      <c r="U4457" s="52"/>
      <c r="V4457" s="409"/>
      <c r="W4457" s="1745"/>
      <c r="X4457" s="1748"/>
      <c r="Y4457" s="1748"/>
      <c r="Z4457" s="1745"/>
      <c r="AA4457" s="1745"/>
      <c r="AB4457" s="1748"/>
      <c r="AC4457" s="1745"/>
      <c r="AD4457" s="1745"/>
      <c r="AE4457" s="1745"/>
      <c r="AF4457" s="1745"/>
      <c r="AG4457" s="1749"/>
      <c r="DG4457" s="573"/>
      <c r="DH4457" s="159"/>
      <c r="DI4457" s="1091"/>
      <c r="DJ4457" s="1187"/>
    </row>
    <row r="4458" spans="1:114" ht="15.75" hidden="1" customHeight="1" outlineLevel="1">
      <c r="A4458" s="453"/>
      <c r="C4458" s="51"/>
      <c r="D4458" s="4303"/>
      <c r="E4458" s="4303"/>
      <c r="F4458" s="4291" t="str">
        <f t="shared" si="386"/>
        <v>ASHP-SEER18-Replace_CAC_NonElectricHeat_ER1_SF</v>
      </c>
      <c r="G4458" s="4291"/>
      <c r="H4458" s="4291"/>
      <c r="I4458" s="4291"/>
      <c r="J4458" s="1750" t="s">
        <v>2387</v>
      </c>
      <c r="K4458" s="1674">
        <f t="shared" si="384"/>
        <v>0.13951738349152593</v>
      </c>
      <c r="L4458" s="48"/>
      <c r="M4458" s="1751" t="str">
        <f t="shared" si="385"/>
        <v>354250_2024_12_</v>
      </c>
      <c r="P4458" s="261"/>
      <c r="Q4458" s="209"/>
      <c r="R4458" s="261"/>
      <c r="S4458" s="52"/>
      <c r="T4458" s="181"/>
      <c r="U4458" s="52"/>
      <c r="V4458" s="409"/>
      <c r="W4458" s="1745"/>
      <c r="X4458" s="1748"/>
      <c r="Y4458" s="1748"/>
      <c r="Z4458" s="1745"/>
      <c r="AA4458" s="1745"/>
      <c r="AB4458" s="1748"/>
      <c r="AC4458" s="1745"/>
      <c r="AD4458" s="1745"/>
      <c r="AE4458" s="1745"/>
      <c r="AF4458" s="1745"/>
      <c r="AG4458" s="1749"/>
      <c r="DG4458" s="573"/>
      <c r="DH4458" s="159"/>
      <c r="DI4458" s="1091"/>
      <c r="DJ4458" s="1187"/>
    </row>
    <row r="4459" spans="1:114" ht="15.75" hidden="1" customHeight="1" outlineLevel="1">
      <c r="A4459" s="453"/>
      <c r="C4459" s="51"/>
      <c r="D4459" s="4303"/>
      <c r="E4459" s="4303"/>
      <c r="F4459" s="4296" t="str">
        <f t="shared" si="386"/>
        <v>ASHP-SEER18-Replace_CAC_NonElectricHeat_ER1_MF</v>
      </c>
      <c r="G4459" s="4296"/>
      <c r="H4459" s="4296"/>
      <c r="I4459" s="4296"/>
      <c r="J4459" s="3498" t="s">
        <v>2396</v>
      </c>
      <c r="K4459" s="3001">
        <f t="shared" si="384"/>
        <v>0.18207244610315157</v>
      </c>
      <c r="L4459" s="3220"/>
      <c r="M4459" s="3368" t="str">
        <f t="shared" si="385"/>
        <v>354300_2024_12_</v>
      </c>
      <c r="P4459" s="261"/>
      <c r="Q4459" s="209"/>
      <c r="R4459" s="261"/>
      <c r="S4459" s="52"/>
      <c r="T4459" s="181"/>
      <c r="U4459" s="52"/>
      <c r="V4459" s="409"/>
      <c r="W4459" s="1745"/>
      <c r="X4459" s="1748"/>
      <c r="Y4459" s="1748"/>
      <c r="Z4459" s="1745"/>
      <c r="AA4459" s="1745"/>
      <c r="AB4459" s="1748"/>
      <c r="AC4459" s="1745"/>
      <c r="AD4459" s="1745"/>
      <c r="AE4459" s="1745"/>
      <c r="AF4459" s="1745"/>
      <c r="AG4459" s="1749"/>
      <c r="DG4459" s="573"/>
      <c r="DH4459" s="159"/>
      <c r="DI4459" s="1091"/>
      <c r="DJ4459" s="1187"/>
    </row>
    <row r="4460" spans="1:114" ht="15.75" hidden="1" customHeight="1" outlineLevel="1">
      <c r="A4460" s="453"/>
      <c r="C4460" s="51"/>
      <c r="D4460" s="4303"/>
      <c r="E4460" s="4303"/>
      <c r="F4460" s="4296" t="str">
        <f t="shared" si="386"/>
        <v>ASHP-SEER18-Replace_CAC_NonElectricHeat_ER1_MF_CompE</v>
      </c>
      <c r="G4460" s="4296"/>
      <c r="H4460" s="4296"/>
      <c r="I4460" s="4296"/>
      <c r="J4460" s="3498" t="s">
        <v>2399</v>
      </c>
      <c r="K4460" s="3001">
        <f t="shared" si="384"/>
        <v>0.21130792946547849</v>
      </c>
      <c r="L4460" s="3220"/>
      <c r="M4460" s="3368" t="str">
        <f t="shared" si="385"/>
        <v>354301_2024_12_</v>
      </c>
      <c r="P4460" s="261"/>
      <c r="Q4460" s="209"/>
      <c r="R4460" s="261"/>
      <c r="S4460" s="52"/>
      <c r="T4460" s="181"/>
      <c r="U4460" s="52"/>
      <c r="V4460" s="409"/>
      <c r="W4460" s="1745"/>
      <c r="X4460" s="1748"/>
      <c r="Y4460" s="1748"/>
      <c r="Z4460" s="1745"/>
      <c r="AA4460" s="1745"/>
      <c r="AB4460" s="1748"/>
      <c r="AC4460" s="1745"/>
      <c r="AD4460" s="1745"/>
      <c r="AE4460" s="1745"/>
      <c r="AF4460" s="1745"/>
      <c r="AG4460" s="1749"/>
      <c r="DG4460" s="573"/>
      <c r="DH4460" s="159"/>
      <c r="DI4460" s="1091"/>
      <c r="DJ4460" s="1187"/>
    </row>
    <row r="4461" spans="1:114" ht="15.75" hidden="1" customHeight="1" outlineLevel="1">
      <c r="A4461" s="453"/>
      <c r="C4461" s="51"/>
      <c r="D4461" s="4303"/>
      <c r="E4461" s="4303"/>
      <c r="F4461" s="4291" t="str">
        <f t="shared" si="386"/>
        <v>ASHP-SEER19-Replace_CAC_NonElectricHeat_ER1_SF</v>
      </c>
      <c r="G4461" s="4291"/>
      <c r="H4461" s="4291"/>
      <c r="I4461" s="4291"/>
      <c r="J4461" s="1750" t="s">
        <v>2411</v>
      </c>
      <c r="K4461" s="1674">
        <f t="shared" si="384"/>
        <v>0.11469614554545365</v>
      </c>
      <c r="L4461" s="48"/>
      <c r="M4461" s="1751" t="str">
        <f t="shared" si="385"/>
        <v>354400_2024_12_</v>
      </c>
      <c r="P4461" s="261"/>
      <c r="Q4461" s="209"/>
      <c r="R4461" s="261"/>
      <c r="S4461" s="52"/>
      <c r="T4461" s="181"/>
      <c r="U4461" s="52"/>
      <c r="V4461" s="409"/>
      <c r="W4461" s="1745"/>
      <c r="X4461" s="1748"/>
      <c r="Y4461" s="1748"/>
      <c r="Z4461" s="1745"/>
      <c r="AA4461" s="1745"/>
      <c r="AB4461" s="1748"/>
      <c r="AC4461" s="1745"/>
      <c r="AD4461" s="1745"/>
      <c r="AE4461" s="1745"/>
      <c r="AF4461" s="1745"/>
      <c r="AG4461" s="1749"/>
      <c r="DG4461" s="573"/>
      <c r="DH4461" s="159"/>
      <c r="DI4461" s="1091"/>
      <c r="DJ4461" s="1187"/>
    </row>
    <row r="4462" spans="1:114" ht="15.75" hidden="1" customHeight="1" outlineLevel="1">
      <c r="A4462" s="453"/>
      <c r="C4462" s="51"/>
      <c r="D4462" s="4303"/>
      <c r="E4462" s="4303"/>
      <c r="F4462" s="4296" t="str">
        <f t="shared" si="386"/>
        <v>ASHP-SEER19-Replace_CAC_NonElectricHeat_ER1_MF</v>
      </c>
      <c r="G4462" s="4296"/>
      <c r="H4462" s="4296"/>
      <c r="I4462" s="4296"/>
      <c r="J4462" s="3498" t="s">
        <v>2420</v>
      </c>
      <c r="K4462" s="3001">
        <f t="shared" si="384"/>
        <v>0.12201014267150098</v>
      </c>
      <c r="L4462" s="3220"/>
      <c r="M4462" s="3368" t="str">
        <f t="shared" si="385"/>
        <v>354450_2024_12_</v>
      </c>
      <c r="P4462" s="261"/>
      <c r="Q4462" s="209"/>
      <c r="R4462" s="261"/>
      <c r="S4462" s="52"/>
      <c r="T4462" s="181"/>
      <c r="U4462" s="52"/>
      <c r="V4462" s="409"/>
      <c r="W4462" s="1745"/>
      <c r="X4462" s="1748"/>
      <c r="Y4462" s="1748"/>
      <c r="Z4462" s="1745"/>
      <c r="AA4462" s="1745"/>
      <c r="AB4462" s="1748"/>
      <c r="AC4462" s="1745"/>
      <c r="AD4462" s="1745"/>
      <c r="AE4462" s="1745"/>
      <c r="AF4462" s="1745"/>
      <c r="AG4462" s="1749"/>
      <c r="DG4462" s="573"/>
      <c r="DH4462" s="159"/>
      <c r="DI4462" s="1091"/>
      <c r="DJ4462" s="1187"/>
    </row>
    <row r="4463" spans="1:114" ht="15.75" hidden="1" customHeight="1" outlineLevel="1">
      <c r="A4463" s="453"/>
      <c r="C4463" s="51"/>
      <c r="D4463" s="4303"/>
      <c r="E4463" s="4303"/>
      <c r="F4463" s="4296" t="str">
        <f t="shared" si="386"/>
        <v>ASHP-SEER19-Replace_CAC_NonElectricHeat_ER1_MF_CompE</v>
      </c>
      <c r="G4463" s="4296"/>
      <c r="H4463" s="4296"/>
      <c r="I4463" s="4296"/>
      <c r="J4463" s="3498" t="s">
        <v>2423</v>
      </c>
      <c r="K4463" s="3001">
        <f t="shared" si="384"/>
        <v>0.22866930753383508</v>
      </c>
      <c r="L4463" s="3220"/>
      <c r="M4463" s="3368" t="str">
        <f t="shared" si="385"/>
        <v>354451_2024_12_</v>
      </c>
      <c r="P4463" s="261"/>
      <c r="Q4463" s="209"/>
      <c r="R4463" s="261"/>
      <c r="S4463" s="52"/>
      <c r="T4463" s="181"/>
      <c r="U4463" s="52"/>
      <c r="V4463" s="409"/>
      <c r="W4463" s="1745"/>
      <c r="X4463" s="1748"/>
      <c r="Y4463" s="1748"/>
      <c r="Z4463" s="1745"/>
      <c r="AA4463" s="1745"/>
      <c r="AB4463" s="1748"/>
      <c r="AC4463" s="1745"/>
      <c r="AD4463" s="1745"/>
      <c r="AE4463" s="1745"/>
      <c r="AF4463" s="1745"/>
      <c r="AG4463" s="1749"/>
      <c r="DG4463" s="573"/>
      <c r="DH4463" s="159"/>
      <c r="DI4463" s="1091"/>
      <c r="DJ4463" s="1187"/>
    </row>
    <row r="4464" spans="1:114" ht="15.75" hidden="1" customHeight="1" outlineLevel="1">
      <c r="A4464" s="453"/>
      <c r="C4464" s="51"/>
      <c r="D4464" s="4303"/>
      <c r="E4464" s="4303"/>
      <c r="F4464" s="4291" t="str">
        <f t="shared" si="386"/>
        <v>ASHP-SEER20-Replace_CAC_NonElectricHeat_ER1_MF</v>
      </c>
      <c r="G4464" s="4291"/>
      <c r="H4464" s="4291"/>
      <c r="I4464" s="4291"/>
      <c r="J4464" s="1750" t="s">
        <v>2443</v>
      </c>
      <c r="K4464" s="1674">
        <f t="shared" si="384"/>
        <v>0.12827142590936436</v>
      </c>
      <c r="L4464" s="48"/>
      <c r="M4464" s="1751" t="str">
        <f t="shared" si="385"/>
        <v>354650_2024_12_</v>
      </c>
      <c r="P4464" s="261"/>
      <c r="Q4464" s="209"/>
      <c r="R4464" s="261"/>
      <c r="S4464" s="52"/>
      <c r="T4464" s="181"/>
      <c r="U4464" s="52"/>
      <c r="V4464" s="409"/>
      <c r="W4464" s="1745"/>
      <c r="X4464" s="1748"/>
      <c r="Y4464" s="1748"/>
      <c r="Z4464" s="1745"/>
      <c r="AA4464" s="1745"/>
      <c r="AB4464" s="1748"/>
      <c r="AC4464" s="1745"/>
      <c r="AD4464" s="1745"/>
      <c r="AE4464" s="1745"/>
      <c r="AF4464" s="1745"/>
      <c r="AG4464" s="1749"/>
      <c r="DG4464" s="573"/>
      <c r="DH4464" s="159"/>
      <c r="DI4464" s="1091"/>
      <c r="DJ4464" s="1187"/>
    </row>
    <row r="4465" spans="1:114" ht="15.75" hidden="1" customHeight="1" outlineLevel="1">
      <c r="A4465" s="453"/>
      <c r="C4465" s="51"/>
      <c r="D4465" s="4303"/>
      <c r="E4465" s="4303"/>
      <c r="F4465" s="4296" t="str">
        <f t="shared" si="386"/>
        <v>ASHP-SEER20-Replace_CAC_NonElectricHeat_ER1_MF_CompE</v>
      </c>
      <c r="G4465" s="4296"/>
      <c r="H4465" s="4296"/>
      <c r="I4465" s="4296"/>
      <c r="J4465" s="3498" t="s">
        <v>2446</v>
      </c>
      <c r="K4465" s="3001">
        <f t="shared" si="384"/>
        <v>0.2389138239092167</v>
      </c>
      <c r="L4465" s="3220"/>
      <c r="M4465" s="3368" t="str">
        <f t="shared" si="385"/>
        <v>354651_2024_12_</v>
      </c>
      <c r="P4465" s="261"/>
      <c r="Q4465" s="209"/>
      <c r="R4465" s="261"/>
      <c r="S4465" s="52"/>
      <c r="T4465" s="181"/>
      <c r="U4465" s="52"/>
      <c r="V4465" s="409"/>
      <c r="W4465" s="1745"/>
      <c r="X4465" s="1748"/>
      <c r="Y4465" s="1748"/>
      <c r="Z4465" s="1745"/>
      <c r="AA4465" s="1745"/>
      <c r="AB4465" s="1748"/>
      <c r="AC4465" s="1745"/>
      <c r="AD4465" s="1745"/>
      <c r="AE4465" s="1745"/>
      <c r="AF4465" s="1745"/>
      <c r="AG4465" s="1749"/>
      <c r="DG4465" s="573"/>
      <c r="DH4465" s="159"/>
      <c r="DI4465" s="1091"/>
      <c r="DJ4465" s="1187"/>
    </row>
    <row r="4466" spans="1:114" ht="15.75" hidden="1" customHeight="1" outlineLevel="1">
      <c r="A4466" s="453"/>
      <c r="C4466" s="51"/>
      <c r="D4466" s="4303"/>
      <c r="E4466" s="4303"/>
      <c r="F4466" s="4296" t="str">
        <f t="shared" si="386"/>
        <v>ASHP-SEER21-Replace_CAC_NonElectricHeat_ROF_MF</v>
      </c>
      <c r="G4466" s="4296"/>
      <c r="H4466" s="4296"/>
      <c r="I4466" s="4296"/>
      <c r="J4466" s="3498" t="s">
        <v>2464</v>
      </c>
      <c r="K4466" s="3001">
        <f t="shared" si="384"/>
        <v>7.6212254802109539E-2</v>
      </c>
      <c r="L4466" s="3220"/>
      <c r="M4466" s="3368" t="str">
        <f t="shared" si="385"/>
        <v>354850_2024_12_</v>
      </c>
      <c r="P4466" s="261"/>
      <c r="Q4466" s="209"/>
      <c r="R4466" s="261"/>
      <c r="S4466" s="52"/>
      <c r="T4466" s="181"/>
      <c r="U4466" s="52"/>
      <c r="V4466" s="409"/>
      <c r="W4466" s="1745"/>
      <c r="X4466" s="1748"/>
      <c r="Y4466" s="1748"/>
      <c r="Z4466" s="1745"/>
      <c r="AA4466" s="1745"/>
      <c r="AB4466" s="1748"/>
      <c r="AC4466" s="1745"/>
      <c r="AD4466" s="1745"/>
      <c r="AE4466" s="1745"/>
      <c r="AF4466" s="1745"/>
      <c r="AG4466" s="1749"/>
      <c r="DG4466" s="573"/>
      <c r="DH4466" s="159"/>
      <c r="DI4466" s="1091"/>
      <c r="DJ4466" s="1187"/>
    </row>
    <row r="4467" spans="1:114" ht="15.75" hidden="1" customHeight="1" outlineLevel="1">
      <c r="A4467" s="453"/>
      <c r="C4467" s="51"/>
      <c r="D4467" s="4303"/>
      <c r="E4467" s="4303"/>
      <c r="F4467" s="4296" t="str">
        <f t="shared" si="386"/>
        <v>ASHP-SEER21-Replace_CAC_NonElectricHeat_ROF_MF_CompE</v>
      </c>
      <c r="G4467" s="4296"/>
      <c r="H4467" s="4296"/>
      <c r="I4467" s="4296"/>
      <c r="J4467" s="3498" t="s">
        <v>2466</v>
      </c>
      <c r="K4467" s="3001">
        <f t="shared" si="384"/>
        <v>0.14966136601776878</v>
      </c>
      <c r="L4467" s="3220"/>
      <c r="M4467" s="3368" t="str">
        <f t="shared" si="385"/>
        <v>354851_2024_12_</v>
      </c>
      <c r="P4467" s="261"/>
      <c r="Q4467" s="209"/>
      <c r="R4467" s="261"/>
      <c r="S4467" s="52"/>
      <c r="T4467" s="181"/>
      <c r="U4467" s="52"/>
      <c r="V4467" s="409"/>
      <c r="W4467" s="1745"/>
      <c r="X4467" s="1748"/>
      <c r="Y4467" s="1748"/>
      <c r="Z4467" s="1745"/>
      <c r="AA4467" s="1745"/>
      <c r="AB4467" s="1748"/>
      <c r="AC4467" s="1745"/>
      <c r="AD4467" s="1745"/>
      <c r="AE4467" s="1745"/>
      <c r="AF4467" s="1745"/>
      <c r="AG4467" s="1749"/>
      <c r="DG4467" s="573"/>
      <c r="DH4467" s="159"/>
      <c r="DI4467" s="1091"/>
      <c r="DJ4467" s="1187"/>
    </row>
    <row r="4468" spans="1:114" ht="15.75" hidden="1" customHeight="1" outlineLevel="1">
      <c r="A4468" s="453"/>
      <c r="C4468" s="51"/>
      <c r="D4468" s="409"/>
      <c r="E4468" s="409"/>
      <c r="F4468" s="562"/>
      <c r="G4468" s="562"/>
      <c r="H4468" s="562"/>
      <c r="I4468" s="562"/>
      <c r="J4468" s="1744"/>
      <c r="K4468" s="1745"/>
      <c r="L4468" s="1746"/>
      <c r="M4468" s="1747"/>
      <c r="P4468" s="261"/>
      <c r="Q4468" s="209"/>
      <c r="R4468" s="261"/>
      <c r="S4468" s="52"/>
      <c r="T4468" s="181"/>
      <c r="U4468" s="52"/>
      <c r="V4468" s="409"/>
      <c r="W4468" s="1745"/>
      <c r="X4468" s="1748"/>
      <c r="Y4468" s="1748"/>
      <c r="Z4468" s="1745"/>
      <c r="AA4468" s="1745"/>
      <c r="AB4468" s="1748"/>
      <c r="AC4468" s="1745"/>
      <c r="AD4468" s="1745"/>
      <c r="AE4468" s="1745"/>
      <c r="AF4468" s="1745"/>
      <c r="AG4468" s="1749"/>
      <c r="DG4468" s="573"/>
      <c r="DH4468" s="159"/>
      <c r="DI4468" s="1091"/>
      <c r="DJ4468" s="1187"/>
    </row>
    <row r="4469" spans="1:114" ht="15" customHeight="1" collapsed="1">
      <c r="A4469" s="453"/>
      <c r="C4469" s="51"/>
      <c r="D4469" s="104"/>
      <c r="E4469" s="104"/>
      <c r="G4469" s="104"/>
      <c r="S4469" s="52"/>
      <c r="T4469" s="52"/>
      <c r="U4469" s="52"/>
      <c r="V4469" s="52"/>
      <c r="DG4469" s="573"/>
      <c r="DH4469" s="159"/>
      <c r="DI4469" s="1091"/>
    </row>
    <row r="4470" spans="1:114">
      <c r="A4470" s="453"/>
      <c r="C4470" s="51"/>
      <c r="D4470" s="104"/>
      <c r="E4470" s="104"/>
      <c r="G4470" s="104"/>
      <c r="S4470" s="52"/>
      <c r="T4470" s="52"/>
      <c r="U4470" s="52"/>
      <c r="V4470" s="52"/>
      <c r="DG4470" s="573"/>
      <c r="DH4470" s="159"/>
      <c r="DI4470" s="1091"/>
    </row>
    <row r="4471" spans="1:114">
      <c r="A4471" s="453"/>
      <c r="C4471" s="51"/>
      <c r="D4471" s="104"/>
      <c r="E4471" s="104"/>
      <c r="G4471" s="104"/>
      <c r="S4471" s="52"/>
      <c r="T4471" s="52"/>
      <c r="U4471" s="52"/>
      <c r="V4471" s="52"/>
      <c r="DG4471" s="573"/>
      <c r="DH4471" s="159"/>
      <c r="DI4471" s="1091"/>
    </row>
    <row r="4472" spans="1:114">
      <c r="A4472" s="453"/>
      <c r="B4472" s="1363" t="s">
        <v>2509</v>
      </c>
      <c r="C4472" s="220"/>
      <c r="D4472" s="1364"/>
      <c r="E4472" s="1364"/>
      <c r="F4472" s="1364"/>
      <c r="G4472" s="1364"/>
      <c r="H4472" s="1364"/>
      <c r="I4472" s="1364"/>
      <c r="J4472" s="1364"/>
      <c r="K4472" s="1364"/>
      <c r="L4472" s="1364"/>
      <c r="M4472" s="1364"/>
      <c r="N4472" s="1364"/>
      <c r="O4472" s="1364"/>
      <c r="P4472" s="1364"/>
      <c r="Q4472" s="1397"/>
      <c r="S4472" s="52"/>
      <c r="T4472" s="52"/>
      <c r="U4472" s="52"/>
      <c r="V4472" s="4066" t="str">
        <f>B4472</f>
        <v>Packaged Terminal Air Source Heat Pumps</v>
      </c>
      <c r="W4472" s="4067"/>
      <c r="X4472" s="4067"/>
      <c r="Y4472" s="4067"/>
      <c r="Z4472" s="4067"/>
      <c r="AA4472" s="4067"/>
      <c r="AB4472" s="4067"/>
      <c r="AC4472" s="4837"/>
      <c r="AD4472" s="4837"/>
      <c r="AE4472" s="4837"/>
      <c r="AF4472" s="4837"/>
      <c r="AG4472" s="4837"/>
      <c r="AH4472" s="4838"/>
      <c r="DG4472" s="573"/>
      <c r="DH4472" s="159"/>
      <c r="DI4472" s="1091"/>
    </row>
    <row r="4473" spans="1:114">
      <c r="A4473" s="453"/>
      <c r="C4473" s="51"/>
      <c r="D4473" s="104"/>
      <c r="E4473" s="104"/>
      <c r="G4473" s="104"/>
      <c r="H4473" s="51"/>
      <c r="I4473" s="51"/>
      <c r="J4473" s="51"/>
      <c r="K4473" s="51"/>
      <c r="L4473" s="51"/>
      <c r="M4473" s="51"/>
      <c r="Q4473" s="104"/>
      <c r="T4473" s="52"/>
      <c r="U4473" s="52"/>
      <c r="V4473" s="52"/>
      <c r="DG4473" s="573"/>
      <c r="DH4473" s="159"/>
      <c r="DI4473" s="1091"/>
    </row>
    <row r="4474" spans="1:114">
      <c r="A4474" s="453"/>
      <c r="C4474" s="51"/>
      <c r="D4474" s="2206" t="s">
        <v>1781</v>
      </c>
      <c r="E4474" s="104"/>
      <c r="G4474" s="104"/>
      <c r="I4474" s="51"/>
      <c r="J4474" s="51"/>
      <c r="K4474" s="51"/>
      <c r="L4474" s="51"/>
      <c r="M4474" s="51"/>
      <c r="Q4474" s="104"/>
      <c r="T4474" s="52"/>
      <c r="U4474" s="52"/>
      <c r="V4474" s="52"/>
      <c r="W4474" s="52"/>
      <c r="DG4474" s="573"/>
      <c r="DH4474" s="159"/>
      <c r="DI4474" s="1091"/>
    </row>
    <row r="4475" spans="1:114" ht="30">
      <c r="A4475" s="453"/>
      <c r="C4475" s="1371" t="s">
        <v>42</v>
      </c>
      <c r="D4475" s="1371" t="s">
        <v>953</v>
      </c>
      <c r="E4475" s="1371" t="s">
        <v>44</v>
      </c>
      <c r="F4475" s="1371" t="s">
        <v>45</v>
      </c>
      <c r="G4475" s="1371" t="s">
        <v>46</v>
      </c>
      <c r="H4475" s="1371" t="s">
        <v>47</v>
      </c>
      <c r="I4475" s="1371" t="s">
        <v>48</v>
      </c>
      <c r="J4475" s="1383" t="s">
        <v>49</v>
      </c>
      <c r="K4475" s="1371" t="s">
        <v>50</v>
      </c>
      <c r="L4475" s="1371" t="s">
        <v>1782</v>
      </c>
      <c r="T4475" s="52"/>
      <c r="U4475" s="52"/>
      <c r="V4475" s="177" t="s">
        <v>52</v>
      </c>
      <c r="W4475" s="669">
        <f>W$6</f>
        <v>43252</v>
      </c>
      <c r="X4475" s="669">
        <f t="shared" ref="X4475:AG4475" si="387">X$6</f>
        <v>43465</v>
      </c>
      <c r="Y4475" s="669">
        <f t="shared" si="387"/>
        <v>43800</v>
      </c>
      <c r="Z4475" s="669">
        <f t="shared" si="387"/>
        <v>43862</v>
      </c>
      <c r="AA4475" s="669">
        <f t="shared" si="387"/>
        <v>44013</v>
      </c>
      <c r="AB4475" s="669">
        <f t="shared" si="387"/>
        <v>44166</v>
      </c>
      <c r="AC4475" s="669">
        <f t="shared" si="387"/>
        <v>44531</v>
      </c>
      <c r="AD4475" s="669">
        <f t="shared" si="387"/>
        <v>44774</v>
      </c>
      <c r="AE4475" s="669">
        <f t="shared" si="387"/>
        <v>45142</v>
      </c>
      <c r="AF4475" s="669">
        <f t="shared" si="387"/>
        <v>45672</v>
      </c>
      <c r="AG4475" s="669" t="str">
        <f t="shared" si="387"/>
        <v>-</v>
      </c>
      <c r="DG4475" s="811" t="str">
        <f>$DG$6</f>
        <v>TRC (2025)</v>
      </c>
      <c r="DH4475" s="997" t="str">
        <f>$DH$6</f>
        <v>Benefit Lookup</v>
      </c>
      <c r="DI4475" s="1086" t="str">
        <f>$DI$6</f>
        <v>Benefits (2025 $)</v>
      </c>
      <c r="DJ4475" s="1186" t="str">
        <f>$DJ$6</f>
        <v>Incremental Cost (2025 $)</v>
      </c>
    </row>
    <row r="4476" spans="1:114">
      <c r="A4476" s="453"/>
      <c r="B4476" s="1454">
        <f t="shared" ref="B4476:B4539" si="388">VALUE(LEFT(C4476,6))</f>
        <v>356200</v>
      </c>
      <c r="C4476" s="2007" t="s">
        <v>2510</v>
      </c>
      <c r="D4476" s="3473" t="s">
        <v>959</v>
      </c>
      <c r="E4476" s="1393" t="s">
        <v>2511</v>
      </c>
      <c r="F4476" s="1585">
        <f>ROUND(((J$4596*J$4597*(1/J$4599-1/J$4602))/1000),2)</f>
        <v>459.54</v>
      </c>
      <c r="G4476" s="1048" t="s">
        <v>2077</v>
      </c>
      <c r="H4476" s="978">
        <f>VLOOKUP(G4476,'CP FACTORS'!$A$3:$B$38, 2, FALSE)</f>
        <v>9.4741810000000004E-4</v>
      </c>
      <c r="I4476" s="2080">
        <f t="shared" ref="I4476:I4507" si="389">ROUND(F4476*H4476,6)</f>
        <v>0.43537700000000001</v>
      </c>
      <c r="J4476" s="1050">
        <f>$J$4608</f>
        <v>5</v>
      </c>
      <c r="K4476" s="2072">
        <f>J$4610</f>
        <v>224.93182686576984</v>
      </c>
      <c r="L4476" s="1051">
        <f>K$4585</f>
        <v>1.0111111111111111</v>
      </c>
      <c r="M4476" s="238"/>
      <c r="R4476" s="532"/>
      <c r="T4476" s="52"/>
      <c r="U4476" s="52"/>
      <c r="V4476" s="1389" t="s">
        <v>45</v>
      </c>
      <c r="W4476" s="966"/>
      <c r="X4476" s="966"/>
      <c r="Y4476" s="966"/>
      <c r="Z4476" s="966"/>
      <c r="AA4476" s="966"/>
      <c r="AB4476" s="966"/>
      <c r="AC4476" s="966"/>
      <c r="AD4476" s="1032">
        <v>415.9</v>
      </c>
      <c r="AE4476" s="1047">
        <v>415.9</v>
      </c>
      <c r="AF4476" s="271">
        <v>459.54</v>
      </c>
      <c r="AG4476" s="966"/>
      <c r="DG4476" s="1095">
        <f>(DI4476+DI4477+DI4478+DI4479)/(DJ4476+DJ4477+DJ4478+DJ4479)</f>
        <v>3.2268773695351931</v>
      </c>
      <c r="DH4476" s="1369" t="str">
        <f t="shared" ref="DH4476:DH4515" si="390">CONCATENATE(G4476," ",J4476," Year EUL")</f>
        <v>Cooling Res 5 Year EUL</v>
      </c>
      <c r="DI4476" s="993">
        <f>(INDEX('Avoided Cost Benefits'!$B$4:$B$866,MATCH(DH4476,'Avoided Cost Benefits'!$A$4:$A$866,0)))*F4476</f>
        <v>390.45761855945153</v>
      </c>
      <c r="DJ4476" s="1169">
        <f t="shared" ref="DJ4476:DJ4507" si="391">K4476/(1.0686^(2025-2025))</f>
        <v>224.93182686576984</v>
      </c>
    </row>
    <row r="4477" spans="1:114">
      <c r="A4477" s="453"/>
      <c r="B4477" s="1454">
        <f t="shared" si="388"/>
        <v>356200</v>
      </c>
      <c r="C4477" s="1608" t="s">
        <v>2510</v>
      </c>
      <c r="D4477" s="3473" t="s">
        <v>959</v>
      </c>
      <c r="E4477" s="1393" t="s">
        <v>2511</v>
      </c>
      <c r="F4477" s="225">
        <f>ROUND(((J$4585*J$4586*(1/J$4588-1/J$4592))/1000),2)</f>
        <v>1229.9100000000001</v>
      </c>
      <c r="G4477" s="84" t="s">
        <v>2078</v>
      </c>
      <c r="H4477" s="69">
        <f>VLOOKUP(G4477,'CP FACTORS'!$A$3:$B$38, 2, FALSE)</f>
        <v>0</v>
      </c>
      <c r="I4477" s="1028">
        <f t="shared" si="389"/>
        <v>0</v>
      </c>
      <c r="J4477" s="59">
        <f>$J$4608</f>
        <v>5</v>
      </c>
      <c r="K4477" s="174">
        <v>0</v>
      </c>
      <c r="L4477" s="1034"/>
      <c r="M4477" s="238"/>
      <c r="R4477" s="532"/>
      <c r="T4477" s="52"/>
      <c r="U4477" s="52"/>
      <c r="V4477" s="1385" t="s">
        <v>45</v>
      </c>
      <c r="W4477" s="165"/>
      <c r="X4477" s="165"/>
      <c r="Y4477" s="165"/>
      <c r="Z4477" s="165"/>
      <c r="AA4477" s="165"/>
      <c r="AB4477" s="165"/>
      <c r="AC4477" s="165"/>
      <c r="AD4477" s="49">
        <v>1229.9100000000001</v>
      </c>
      <c r="AE4477" s="225">
        <v>1229.9100000000001</v>
      </c>
      <c r="AF4477" s="271">
        <v>1229.9100000000001</v>
      </c>
      <c r="AG4477" s="165"/>
      <c r="DG4477" s="1096"/>
      <c r="DH4477" s="1393" t="str">
        <f t="shared" si="390"/>
        <v>Heating Res 5 Year EUL</v>
      </c>
      <c r="DI4477" s="1011">
        <f>(INDEX('Avoided Cost Benefits'!$B$4:$B$866,MATCH(DH4477,'Avoided Cost Benefits'!$A$4:$A$866,0)))*F4477</f>
        <v>281.59647518713859</v>
      </c>
      <c r="DJ4477" s="1170">
        <f t="shared" si="391"/>
        <v>0</v>
      </c>
    </row>
    <row r="4478" spans="1:114">
      <c r="A4478" s="453"/>
      <c r="B4478" s="1454">
        <f t="shared" si="388"/>
        <v>356200</v>
      </c>
      <c r="C4478" s="1608" t="s">
        <v>2510</v>
      </c>
      <c r="D4478" s="3473" t="s">
        <v>959</v>
      </c>
      <c r="E4478" s="1393" t="s">
        <v>2512</v>
      </c>
      <c r="F4478" s="1047">
        <f>ROUND(((J$4596*J$4597*(1/J$4601-1/J$4602))/1000),2)</f>
        <v>16</v>
      </c>
      <c r="G4478" s="84" t="s">
        <v>2138</v>
      </c>
      <c r="H4478" s="69">
        <f>VLOOKUP(G4478,'CP FACTORS'!$A$3:$B$38, 2, FALSE)</f>
        <v>9.4741810000000004E-4</v>
      </c>
      <c r="I4478" s="1049">
        <f t="shared" si="389"/>
        <v>1.5159000000000001E-2</v>
      </c>
      <c r="J4478" s="59">
        <f>$J$4609</f>
        <v>10</v>
      </c>
      <c r="K4478" s="174">
        <v>0</v>
      </c>
      <c r="L4478" s="1034"/>
      <c r="M4478" s="238"/>
      <c r="R4478" s="532"/>
      <c r="T4478" s="52"/>
      <c r="U4478" s="52"/>
      <c r="V4478" s="1385" t="s">
        <v>45</v>
      </c>
      <c r="W4478" s="165"/>
      <c r="X4478" s="165"/>
      <c r="Y4478" s="165"/>
      <c r="Z4478" s="165"/>
      <c r="AA4478" s="165"/>
      <c r="AB4478" s="165"/>
      <c r="AC4478" s="165"/>
      <c r="AD4478" s="49">
        <v>16</v>
      </c>
      <c r="AE4478" s="1047">
        <v>16</v>
      </c>
      <c r="AF4478" s="271">
        <v>16</v>
      </c>
      <c r="AG4478" s="165"/>
      <c r="DG4478" s="1096"/>
      <c r="DH4478" s="1393" t="str">
        <f t="shared" si="390"/>
        <v>Cooling Res ER2 10 Year EUL</v>
      </c>
      <c r="DI4478" s="1011">
        <f>(INDEX('Avoided Cost Benefits'!$B$4:$B$866,MATCH(DH4478,'Avoided Cost Benefits'!$A$4:$A$866,0)))*F4478</f>
        <v>18.922991283545176</v>
      </c>
      <c r="DJ4478" s="1170">
        <f t="shared" si="391"/>
        <v>0</v>
      </c>
    </row>
    <row r="4479" spans="1:114">
      <c r="A4479" s="453"/>
      <c r="B4479" s="1454">
        <f t="shared" si="388"/>
        <v>356200</v>
      </c>
      <c r="C4479" s="1608" t="s">
        <v>2510</v>
      </c>
      <c r="D4479" s="3473" t="s">
        <v>959</v>
      </c>
      <c r="E4479" s="1370" t="s">
        <v>2512</v>
      </c>
      <c r="F4479" s="225">
        <f>ROUND(((J$4585*J$4586*(1/J$4589-1/J$4592))/1000),2)</f>
        <v>112.08</v>
      </c>
      <c r="G4479" s="84" t="s">
        <v>2173</v>
      </c>
      <c r="H4479" s="69">
        <f>VLOOKUP(G4479,'CP FACTORS'!$A$3:$B$38, 2, FALSE)</f>
        <v>0</v>
      </c>
      <c r="I4479" s="1028">
        <f t="shared" si="389"/>
        <v>0</v>
      </c>
      <c r="J4479" s="59">
        <f>$J$4609</f>
        <v>10</v>
      </c>
      <c r="K4479" s="174">
        <v>0</v>
      </c>
      <c r="L4479" s="1034"/>
      <c r="M4479" s="238"/>
      <c r="R4479" s="532"/>
      <c r="T4479" s="52"/>
      <c r="U4479" s="52"/>
      <c r="V4479" s="1385" t="s">
        <v>45</v>
      </c>
      <c r="W4479" s="165"/>
      <c r="X4479" s="165"/>
      <c r="Y4479" s="165"/>
      <c r="Z4479" s="165"/>
      <c r="AA4479" s="165"/>
      <c r="AB4479" s="165"/>
      <c r="AC4479" s="165"/>
      <c r="AD4479" s="49">
        <v>112.08</v>
      </c>
      <c r="AE4479" s="225">
        <v>112.08</v>
      </c>
      <c r="AF4479" s="271">
        <v>112.08</v>
      </c>
      <c r="AG4479" s="165"/>
      <c r="DG4479" s="812"/>
      <c r="DH4479" s="1370" t="str">
        <f t="shared" si="390"/>
        <v>Heating Res ER2 10 Year EUL</v>
      </c>
      <c r="DI4479" s="996">
        <f>(INDEX('Avoided Cost Benefits'!$B$4:$B$866,MATCH(DH4479,'Avoided Cost Benefits'!$A$4:$A$866,0)))*F4479</f>
        <v>34.850336771225535</v>
      </c>
      <c r="DJ4479" s="1171">
        <f t="shared" si="391"/>
        <v>0</v>
      </c>
    </row>
    <row r="4480" spans="1:114">
      <c r="A4480" s="453"/>
      <c r="B4480" s="1454">
        <f t="shared" si="388"/>
        <v>356225</v>
      </c>
      <c r="C4480" s="2209" t="s">
        <v>2513</v>
      </c>
      <c r="D4480" s="3383" t="s">
        <v>1118</v>
      </c>
      <c r="E4480" s="2521" t="s">
        <v>2514</v>
      </c>
      <c r="F4480" s="3369">
        <f>ROUND(((J$4596*J$4598*(1/J$4599-1/J$4602))/1000),2)</f>
        <v>334.41</v>
      </c>
      <c r="G4480" s="2643" t="s">
        <v>2077</v>
      </c>
      <c r="H4480" s="2213">
        <f>VLOOKUP(G4480,'CP FACTORS'!$A$3:$B$38, 2, FALSE)</f>
        <v>9.4741810000000004E-4</v>
      </c>
      <c r="I4480" s="3394">
        <f t="shared" si="389"/>
        <v>0.316826</v>
      </c>
      <c r="J4480" s="3406">
        <f>$J$4608</f>
        <v>5</v>
      </c>
      <c r="K4480" s="3407">
        <f>J$4610</f>
        <v>224.93182686576984</v>
      </c>
      <c r="L4480" s="2212">
        <f>K$4585</f>
        <v>1.0111111111111111</v>
      </c>
      <c r="M4480" s="3408"/>
      <c r="N4480" s="635"/>
      <c r="O4480" s="635"/>
      <c r="P4480" s="635"/>
      <c r="Q4480" s="635"/>
      <c r="R4480" s="2966"/>
      <c r="S4480" s="2237"/>
      <c r="T4480" s="635"/>
      <c r="U4480" s="635"/>
      <c r="V4480" s="3409" t="s">
        <v>45</v>
      </c>
      <c r="W4480" s="3410"/>
      <c r="X4480" s="3410"/>
      <c r="Y4480" s="3410"/>
      <c r="Z4480" s="3410"/>
      <c r="AA4480" s="3410"/>
      <c r="AB4480" s="3410"/>
      <c r="AC4480" s="3410"/>
      <c r="AD4480" s="3411">
        <v>302.66000000000003</v>
      </c>
      <c r="AE4480" s="3373">
        <v>302.66000000000003</v>
      </c>
      <c r="AF4480" s="2236">
        <v>334.41</v>
      </c>
      <c r="AG4480" s="3410"/>
      <c r="AH4480" s="2237"/>
      <c r="AI4480" s="2237"/>
      <c r="AJ4480" s="2237"/>
      <c r="AK4480" s="2237"/>
      <c r="AL4480" s="2237"/>
      <c r="AM4480" s="2237"/>
      <c r="AN4480" s="2237"/>
      <c r="AO4480" s="2237"/>
      <c r="AP4480" s="2237"/>
      <c r="AQ4480" s="2237"/>
      <c r="AR4480" s="2237"/>
      <c r="AS4480" s="2237"/>
      <c r="AT4480" s="2237"/>
      <c r="AU4480" s="2237"/>
      <c r="AV4480" s="2237"/>
      <c r="AW4480" s="2237"/>
      <c r="AX4480" s="2237"/>
      <c r="AY4480" s="2237"/>
      <c r="AZ4480" s="2237"/>
      <c r="BA4480" s="2237"/>
      <c r="BB4480" s="2237"/>
      <c r="BC4480" s="2237"/>
      <c r="BD4480" s="2237"/>
      <c r="BE4480" s="2237"/>
      <c r="BF4480" s="2237"/>
      <c r="BG4480" s="2237"/>
      <c r="BH4480" s="2237"/>
      <c r="BI4480" s="2237"/>
      <c r="BJ4480" s="2237"/>
      <c r="BK4480" s="2237"/>
      <c r="BL4480" s="2237"/>
      <c r="BM4480" s="2237"/>
      <c r="BN4480" s="2237"/>
      <c r="BO4480" s="2237"/>
      <c r="BP4480" s="2237"/>
      <c r="BQ4480" s="2237"/>
      <c r="BR4480" s="2237"/>
      <c r="BS4480" s="2237"/>
      <c r="BT4480" s="2237"/>
      <c r="BU4480" s="2237"/>
      <c r="BV4480" s="2237"/>
      <c r="BW4480" s="2237"/>
      <c r="BX4480" s="2237"/>
      <c r="BY4480" s="2237"/>
      <c r="BZ4480" s="2237"/>
      <c r="CA4480" s="2237"/>
      <c r="CB4480" s="2237"/>
      <c r="CC4480" s="2237"/>
      <c r="CD4480" s="2237"/>
      <c r="CE4480" s="2237"/>
      <c r="CF4480" s="2237"/>
      <c r="CG4480" s="2237"/>
      <c r="CH4480" s="2237"/>
      <c r="CI4480" s="2237"/>
      <c r="CJ4480" s="2237"/>
      <c r="CK4480" s="2237"/>
      <c r="CL4480" s="2237"/>
      <c r="CM4480" s="2237"/>
      <c r="CN4480" s="2237"/>
      <c r="CO4480" s="2237"/>
      <c r="CP4480" s="2237"/>
      <c r="CQ4480" s="2237"/>
      <c r="CR4480" s="2237"/>
      <c r="CS4480" s="2237"/>
      <c r="CT4480" s="2237"/>
      <c r="CU4480" s="2237"/>
      <c r="CV4480" s="2237"/>
      <c r="CW4480" s="2237"/>
      <c r="CX4480" s="2237"/>
      <c r="CY4480" s="2237"/>
      <c r="CZ4480" s="2237"/>
      <c r="DA4480" s="2237"/>
      <c r="DB4480" s="2237"/>
      <c r="DC4480" s="2237"/>
      <c r="DD4480" s="2237"/>
      <c r="DE4480" s="2237"/>
      <c r="DF4480" s="2237"/>
      <c r="DG4480" s="3412">
        <f>(DI4480+DI4481)/(DJ4480+DJ4481)</f>
        <v>1.6905626546503318</v>
      </c>
      <c r="DH4480" s="2521" t="str">
        <f t="shared" si="390"/>
        <v>Cooling Res 5 Year EUL</v>
      </c>
      <c r="DI4480" s="3245">
        <f>(INDEX('Avoided Cost Benefits'!$B$4:$B$866,MATCH(DH4480,'Avoided Cost Benefits'!$A$4:$A$866,0)))*F4480</f>
        <v>284.13833882244461</v>
      </c>
      <c r="DJ4480" s="2421">
        <f t="shared" si="391"/>
        <v>224.93182686576984</v>
      </c>
    </row>
    <row r="4481" spans="1:114">
      <c r="A4481" s="453"/>
      <c r="B4481" s="1454">
        <f t="shared" si="388"/>
        <v>356225</v>
      </c>
      <c r="C4481" s="2209" t="s">
        <v>2513</v>
      </c>
      <c r="D4481" s="3383" t="s">
        <v>1118</v>
      </c>
      <c r="E4481" s="2882" t="s">
        <v>2514</v>
      </c>
      <c r="F4481" s="3373">
        <f>ROUND(((J$4585*J$4587*(1/J$4588-1/J$4592))/1000),2)</f>
        <v>419.83</v>
      </c>
      <c r="G4481" s="2643" t="s">
        <v>2078</v>
      </c>
      <c r="H4481" s="2213">
        <f>VLOOKUP(G4481,'CP FACTORS'!$A$3:$B$38, 2, FALSE)</f>
        <v>0</v>
      </c>
      <c r="I4481" s="3385">
        <f t="shared" si="389"/>
        <v>0</v>
      </c>
      <c r="J4481" s="2449">
        <f>$J$4608</f>
        <v>5</v>
      </c>
      <c r="K4481" s="2592">
        <v>0</v>
      </c>
      <c r="L4481" s="2212"/>
      <c r="M4481" s="3408"/>
      <c r="N4481" s="635"/>
      <c r="O4481" s="635"/>
      <c r="P4481" s="635"/>
      <c r="Q4481" s="635"/>
      <c r="R4481" s="2966"/>
      <c r="S4481" s="2237"/>
      <c r="T4481" s="635"/>
      <c r="U4481" s="635"/>
      <c r="V4481" s="2308" t="s">
        <v>45</v>
      </c>
      <c r="W4481" s="2234"/>
      <c r="X4481" s="2234"/>
      <c r="Y4481" s="2234"/>
      <c r="Z4481" s="2234"/>
      <c r="AA4481" s="2234"/>
      <c r="AB4481" s="2234"/>
      <c r="AC4481" s="2234"/>
      <c r="AD4481" s="2235">
        <v>419.83</v>
      </c>
      <c r="AE4481" s="3373">
        <v>419.83</v>
      </c>
      <c r="AF4481" s="2236">
        <v>419.83</v>
      </c>
      <c r="AG4481" s="2234"/>
      <c r="AH4481" s="2237"/>
      <c r="AI4481" s="2237"/>
      <c r="AJ4481" s="2237"/>
      <c r="AK4481" s="2237"/>
      <c r="AL4481" s="2237"/>
      <c r="AM4481" s="2237"/>
      <c r="AN4481" s="2237"/>
      <c r="AO4481" s="2237"/>
      <c r="AP4481" s="2237"/>
      <c r="AQ4481" s="2237"/>
      <c r="AR4481" s="2237"/>
      <c r="AS4481" s="2237"/>
      <c r="AT4481" s="2237"/>
      <c r="AU4481" s="2237"/>
      <c r="AV4481" s="2237"/>
      <c r="AW4481" s="2237"/>
      <c r="AX4481" s="2237"/>
      <c r="AY4481" s="2237"/>
      <c r="AZ4481" s="2237"/>
      <c r="BA4481" s="2237"/>
      <c r="BB4481" s="2237"/>
      <c r="BC4481" s="2237"/>
      <c r="BD4481" s="2237"/>
      <c r="BE4481" s="2237"/>
      <c r="BF4481" s="2237"/>
      <c r="BG4481" s="2237"/>
      <c r="BH4481" s="2237"/>
      <c r="BI4481" s="2237"/>
      <c r="BJ4481" s="2237"/>
      <c r="BK4481" s="2237"/>
      <c r="BL4481" s="2237"/>
      <c r="BM4481" s="2237"/>
      <c r="BN4481" s="2237"/>
      <c r="BO4481" s="2237"/>
      <c r="BP4481" s="2237"/>
      <c r="BQ4481" s="2237"/>
      <c r="BR4481" s="2237"/>
      <c r="BS4481" s="2237"/>
      <c r="BT4481" s="2237"/>
      <c r="BU4481" s="2237"/>
      <c r="BV4481" s="2237"/>
      <c r="BW4481" s="2237"/>
      <c r="BX4481" s="2237"/>
      <c r="BY4481" s="2237"/>
      <c r="BZ4481" s="2237"/>
      <c r="CA4481" s="2237"/>
      <c r="CB4481" s="2237"/>
      <c r="CC4481" s="2237"/>
      <c r="CD4481" s="2237"/>
      <c r="CE4481" s="2237"/>
      <c r="CF4481" s="2237"/>
      <c r="CG4481" s="2237"/>
      <c r="CH4481" s="2237"/>
      <c r="CI4481" s="2237"/>
      <c r="CJ4481" s="2237"/>
      <c r="CK4481" s="2237"/>
      <c r="CL4481" s="2237"/>
      <c r="CM4481" s="2237"/>
      <c r="CN4481" s="2237"/>
      <c r="CO4481" s="2237"/>
      <c r="CP4481" s="2237"/>
      <c r="CQ4481" s="2237"/>
      <c r="CR4481" s="2237"/>
      <c r="CS4481" s="2237"/>
      <c r="CT4481" s="2237"/>
      <c r="CU4481" s="2237"/>
      <c r="CV4481" s="2237"/>
      <c r="CW4481" s="2237"/>
      <c r="CX4481" s="2237"/>
      <c r="CY4481" s="2237"/>
      <c r="CZ4481" s="2237"/>
      <c r="DA4481" s="2237"/>
      <c r="DB4481" s="2237"/>
      <c r="DC4481" s="2237"/>
      <c r="DD4481" s="2237"/>
      <c r="DE4481" s="2237"/>
      <c r="DF4481" s="2237"/>
      <c r="DG4481" s="3413"/>
      <c r="DH4481" s="2882" t="str">
        <f t="shared" si="390"/>
        <v>Heating Res 5 Year EUL</v>
      </c>
      <c r="DI4481" s="2509">
        <f>(INDEX('Avoided Cost Benefits'!$B$4:$B$866,MATCH(DH4481,'Avoided Cost Benefits'!$A$4:$A$866,0)))*F4481</f>
        <v>96.123007519100071</v>
      </c>
      <c r="DJ4481" s="2424">
        <f t="shared" si="391"/>
        <v>0</v>
      </c>
    </row>
    <row r="4482" spans="1:114">
      <c r="A4482" s="453"/>
      <c r="B4482" s="1454">
        <f t="shared" si="388"/>
        <v>356225</v>
      </c>
      <c r="C4482" s="2209" t="s">
        <v>2513</v>
      </c>
      <c r="D4482" s="3383" t="s">
        <v>1118</v>
      </c>
      <c r="E4482" s="2882" t="s">
        <v>2515</v>
      </c>
      <c r="F4482" s="3373">
        <f>ROUND(((J$4596*J$4598*(1/J$4601-1/J$4602))/1000),2)</f>
        <v>11.64</v>
      </c>
      <c r="G4482" s="2643" t="s">
        <v>2138</v>
      </c>
      <c r="H4482" s="2213">
        <f>VLOOKUP(G4482,'CP FACTORS'!$A$3:$B$38, 2, FALSE)</f>
        <v>9.4741810000000004E-4</v>
      </c>
      <c r="I4482" s="3414">
        <f t="shared" si="389"/>
        <v>1.1028E-2</v>
      </c>
      <c r="J4482" s="2449">
        <f>$J$4609</f>
        <v>10</v>
      </c>
      <c r="K4482" s="2592">
        <v>0</v>
      </c>
      <c r="L4482" s="2212"/>
      <c r="M4482" s="3408"/>
      <c r="N4482" s="635"/>
      <c r="O4482" s="635"/>
      <c r="P4482" s="635"/>
      <c r="Q4482" s="635"/>
      <c r="R4482" s="2966"/>
      <c r="S4482" s="2237"/>
      <c r="T4482" s="635"/>
      <c r="U4482" s="635"/>
      <c r="V4482" s="2308" t="s">
        <v>45</v>
      </c>
      <c r="W4482" s="2234"/>
      <c r="X4482" s="2234"/>
      <c r="Y4482" s="2234"/>
      <c r="Z4482" s="2234"/>
      <c r="AA4482" s="2234"/>
      <c r="AB4482" s="2234"/>
      <c r="AC4482" s="2234"/>
      <c r="AD4482" s="2235">
        <v>11.64</v>
      </c>
      <c r="AE4482" s="3373">
        <v>11.64</v>
      </c>
      <c r="AF4482" s="2236">
        <v>11.64</v>
      </c>
      <c r="AG4482" s="2234"/>
      <c r="AH4482" s="2237"/>
      <c r="AI4482" s="2237"/>
      <c r="AJ4482" s="2237"/>
      <c r="AK4482" s="2237"/>
      <c r="AL4482" s="2237"/>
      <c r="AM4482" s="2237"/>
      <c r="AN4482" s="2237"/>
      <c r="AO4482" s="2237"/>
      <c r="AP4482" s="2237"/>
      <c r="AQ4482" s="2237"/>
      <c r="AR4482" s="2237"/>
      <c r="AS4482" s="2237"/>
      <c r="AT4482" s="2237"/>
      <c r="AU4482" s="2237"/>
      <c r="AV4482" s="2237"/>
      <c r="AW4482" s="2237"/>
      <c r="AX4482" s="2237"/>
      <c r="AY4482" s="2237"/>
      <c r="AZ4482" s="2237"/>
      <c r="BA4482" s="2237"/>
      <c r="BB4482" s="2237"/>
      <c r="BC4482" s="2237"/>
      <c r="BD4482" s="2237"/>
      <c r="BE4482" s="2237"/>
      <c r="BF4482" s="2237"/>
      <c r="BG4482" s="2237"/>
      <c r="BH4482" s="2237"/>
      <c r="BI4482" s="2237"/>
      <c r="BJ4482" s="2237"/>
      <c r="BK4482" s="2237"/>
      <c r="BL4482" s="2237"/>
      <c r="BM4482" s="2237"/>
      <c r="BN4482" s="2237"/>
      <c r="BO4482" s="2237"/>
      <c r="BP4482" s="2237"/>
      <c r="BQ4482" s="2237"/>
      <c r="BR4482" s="2237"/>
      <c r="BS4482" s="2237"/>
      <c r="BT4482" s="2237"/>
      <c r="BU4482" s="2237"/>
      <c r="BV4482" s="2237"/>
      <c r="BW4482" s="2237"/>
      <c r="BX4482" s="2237"/>
      <c r="BY4482" s="2237"/>
      <c r="BZ4482" s="2237"/>
      <c r="CA4482" s="2237"/>
      <c r="CB4482" s="2237"/>
      <c r="CC4482" s="2237"/>
      <c r="CD4482" s="2237"/>
      <c r="CE4482" s="2237"/>
      <c r="CF4482" s="2237"/>
      <c r="CG4482" s="2237"/>
      <c r="CH4482" s="2237"/>
      <c r="CI4482" s="2237"/>
      <c r="CJ4482" s="2237"/>
      <c r="CK4482" s="2237"/>
      <c r="CL4482" s="2237"/>
      <c r="CM4482" s="2237"/>
      <c r="CN4482" s="2237"/>
      <c r="CO4482" s="2237"/>
      <c r="CP4482" s="2237"/>
      <c r="CQ4482" s="2237"/>
      <c r="CR4482" s="2237"/>
      <c r="CS4482" s="2237"/>
      <c r="CT4482" s="2237"/>
      <c r="CU4482" s="2237"/>
      <c r="CV4482" s="2237"/>
      <c r="CW4482" s="2237"/>
      <c r="CX4482" s="2237"/>
      <c r="CY4482" s="2237"/>
      <c r="CZ4482" s="2237"/>
      <c r="DA4482" s="2237"/>
      <c r="DB4482" s="2237"/>
      <c r="DC4482" s="2237"/>
      <c r="DD4482" s="2237"/>
      <c r="DE4482" s="2237"/>
      <c r="DF4482" s="2237"/>
      <c r="DG4482" s="3413"/>
      <c r="DH4482" s="2882" t="str">
        <f t="shared" si="390"/>
        <v>Cooling Res ER2 10 Year EUL</v>
      </c>
      <c r="DI4482" s="2509">
        <f>(INDEX('Avoided Cost Benefits'!$B$4:$B$866,MATCH(DH4482,'Avoided Cost Benefits'!$A$4:$A$866,0)))*F4482</f>
        <v>13.766476158779117</v>
      </c>
      <c r="DJ4482" s="2424">
        <f t="shared" si="391"/>
        <v>0</v>
      </c>
    </row>
    <row r="4483" spans="1:114">
      <c r="A4483" s="453"/>
      <c r="B4483" s="1454">
        <f t="shared" si="388"/>
        <v>356225</v>
      </c>
      <c r="C4483" s="2209" t="s">
        <v>2513</v>
      </c>
      <c r="D4483" s="3383" t="s">
        <v>1118</v>
      </c>
      <c r="E4483" s="2522" t="s">
        <v>2515</v>
      </c>
      <c r="F4483" s="3373">
        <f>ROUND(((J$4585*J$4587*(1/J$4589-1/J$4592))/1000),2)</f>
        <v>38.26</v>
      </c>
      <c r="G4483" s="2643" t="s">
        <v>2173</v>
      </c>
      <c r="H4483" s="2213">
        <f>VLOOKUP(G4483,'CP FACTORS'!$A$3:$B$38, 2, FALSE)</f>
        <v>0</v>
      </c>
      <c r="I4483" s="3385">
        <f t="shared" si="389"/>
        <v>0</v>
      </c>
      <c r="J4483" s="2449">
        <f>$J$4609</f>
        <v>10</v>
      </c>
      <c r="K4483" s="2592">
        <v>0</v>
      </c>
      <c r="L4483" s="2212"/>
      <c r="M4483" s="3408"/>
      <c r="N4483" s="635"/>
      <c r="O4483" s="635"/>
      <c r="P4483" s="635"/>
      <c r="Q4483" s="635"/>
      <c r="R4483" s="2966"/>
      <c r="S4483" s="2237"/>
      <c r="T4483" s="635"/>
      <c r="U4483" s="635"/>
      <c r="V4483" s="2308" t="s">
        <v>45</v>
      </c>
      <c r="W4483" s="2234"/>
      <c r="X4483" s="2234"/>
      <c r="Y4483" s="2234"/>
      <c r="Z4483" s="2234"/>
      <c r="AA4483" s="2234"/>
      <c r="AB4483" s="2234"/>
      <c r="AC4483" s="2234"/>
      <c r="AD4483" s="2235">
        <v>38.26</v>
      </c>
      <c r="AE4483" s="3373">
        <v>38.26</v>
      </c>
      <c r="AF4483" s="2236">
        <v>38.26</v>
      </c>
      <c r="AG4483" s="2234"/>
      <c r="AH4483" s="2237"/>
      <c r="AI4483" s="2237"/>
      <c r="AJ4483" s="2237"/>
      <c r="AK4483" s="2237"/>
      <c r="AL4483" s="2237"/>
      <c r="AM4483" s="2237"/>
      <c r="AN4483" s="2237"/>
      <c r="AO4483" s="2237"/>
      <c r="AP4483" s="2237"/>
      <c r="AQ4483" s="2237"/>
      <c r="AR4483" s="2237"/>
      <c r="AS4483" s="2237"/>
      <c r="AT4483" s="2237"/>
      <c r="AU4483" s="2237"/>
      <c r="AV4483" s="2237"/>
      <c r="AW4483" s="2237"/>
      <c r="AX4483" s="2237"/>
      <c r="AY4483" s="2237"/>
      <c r="AZ4483" s="2237"/>
      <c r="BA4483" s="2237"/>
      <c r="BB4483" s="2237"/>
      <c r="BC4483" s="2237"/>
      <c r="BD4483" s="2237"/>
      <c r="BE4483" s="2237"/>
      <c r="BF4483" s="2237"/>
      <c r="BG4483" s="2237"/>
      <c r="BH4483" s="2237"/>
      <c r="BI4483" s="2237"/>
      <c r="BJ4483" s="2237"/>
      <c r="BK4483" s="2237"/>
      <c r="BL4483" s="2237"/>
      <c r="BM4483" s="2237"/>
      <c r="BN4483" s="2237"/>
      <c r="BO4483" s="2237"/>
      <c r="BP4483" s="2237"/>
      <c r="BQ4483" s="2237"/>
      <c r="BR4483" s="2237"/>
      <c r="BS4483" s="2237"/>
      <c r="BT4483" s="2237"/>
      <c r="BU4483" s="2237"/>
      <c r="BV4483" s="2237"/>
      <c r="BW4483" s="2237"/>
      <c r="BX4483" s="2237"/>
      <c r="BY4483" s="2237"/>
      <c r="BZ4483" s="2237"/>
      <c r="CA4483" s="2237"/>
      <c r="CB4483" s="2237"/>
      <c r="CC4483" s="2237"/>
      <c r="CD4483" s="2237"/>
      <c r="CE4483" s="2237"/>
      <c r="CF4483" s="2237"/>
      <c r="CG4483" s="2237"/>
      <c r="CH4483" s="2237"/>
      <c r="CI4483" s="2237"/>
      <c r="CJ4483" s="2237"/>
      <c r="CK4483" s="2237"/>
      <c r="CL4483" s="2237"/>
      <c r="CM4483" s="2237"/>
      <c r="CN4483" s="2237"/>
      <c r="CO4483" s="2237"/>
      <c r="CP4483" s="2237"/>
      <c r="CQ4483" s="2237"/>
      <c r="CR4483" s="2237"/>
      <c r="CS4483" s="2237"/>
      <c r="CT4483" s="2237"/>
      <c r="CU4483" s="2237"/>
      <c r="CV4483" s="2237"/>
      <c r="CW4483" s="2237"/>
      <c r="CX4483" s="2237"/>
      <c r="CY4483" s="2237"/>
      <c r="CZ4483" s="2237"/>
      <c r="DA4483" s="2237"/>
      <c r="DB4483" s="2237"/>
      <c r="DC4483" s="2237"/>
      <c r="DD4483" s="2237"/>
      <c r="DE4483" s="2237"/>
      <c r="DF4483" s="2237"/>
      <c r="DG4483" s="3415"/>
      <c r="DH4483" s="2522" t="str">
        <f t="shared" si="390"/>
        <v>Heating Res ER2 10 Year EUL</v>
      </c>
      <c r="DI4483" s="2511">
        <f>(INDEX('Avoided Cost Benefits'!$B$4:$B$866,MATCH(DH4483,'Avoided Cost Benefits'!$A$4:$A$866,0)))*F4483</f>
        <v>11.896626381754899</v>
      </c>
      <c r="DJ4483" s="2431">
        <f t="shared" si="391"/>
        <v>0</v>
      </c>
    </row>
    <row r="4484" spans="1:114">
      <c r="A4484" s="453"/>
      <c r="B4484" s="1454">
        <f t="shared" si="388"/>
        <v>356250</v>
      </c>
      <c r="C4484" s="1608" t="s">
        <v>2516</v>
      </c>
      <c r="D4484" s="3473" t="s">
        <v>959</v>
      </c>
      <c r="E4484" s="1369" t="s">
        <v>2517</v>
      </c>
      <c r="F4484" s="227">
        <f>ROUND(((J$4596*J$4597*(1/J$4600-1/J$4602))/1000),2)</f>
        <v>522.59</v>
      </c>
      <c r="G4484" s="84" t="s">
        <v>2077</v>
      </c>
      <c r="H4484" s="69">
        <f>VLOOKUP(G4484,'CP FACTORS'!$A$3:$B$38, 2, FALSE)</f>
        <v>9.4741810000000004E-4</v>
      </c>
      <c r="I4484" s="1476">
        <f t="shared" si="389"/>
        <v>0.49511100000000002</v>
      </c>
      <c r="J4484" s="1050">
        <f>$J$4608</f>
        <v>5</v>
      </c>
      <c r="K4484" s="2072">
        <f>J$4610</f>
        <v>224.93182686576984</v>
      </c>
      <c r="L4484" s="1034">
        <f>K$4585</f>
        <v>1.0111111111111111</v>
      </c>
      <c r="M4484" s="238"/>
      <c r="R4484" s="532"/>
      <c r="T4484" s="52"/>
      <c r="U4484" s="52"/>
      <c r="V4484" s="1389" t="s">
        <v>45</v>
      </c>
      <c r="W4484" s="966"/>
      <c r="X4484" s="966"/>
      <c r="Y4484" s="966"/>
      <c r="Z4484" s="966"/>
      <c r="AA4484" s="966"/>
      <c r="AB4484" s="966"/>
      <c r="AC4484" s="966"/>
      <c r="AD4484" s="1032">
        <v>477.07</v>
      </c>
      <c r="AE4484" s="225">
        <v>477.07</v>
      </c>
      <c r="AF4484" s="271">
        <v>522.59</v>
      </c>
      <c r="AG4484" s="966"/>
      <c r="DG4484" s="1095">
        <f>(DI4484+DI4485+DI4486+DI4487)/(DJ4484+DJ4485+DJ4486+DJ4487)</f>
        <v>8.3248076685992256</v>
      </c>
      <c r="DH4484" s="1369" t="str">
        <f t="shared" si="390"/>
        <v>Cooling Res 5 Year EUL</v>
      </c>
      <c r="DI4484" s="993">
        <f>(INDEX('Avoided Cost Benefits'!$B$4:$B$866,MATCH(DH4484,'Avoided Cost Benefits'!$A$4:$A$866,0)))*F4484</f>
        <v>444.02934865949379</v>
      </c>
      <c r="DJ4484" s="1169">
        <f t="shared" si="391"/>
        <v>224.93182686576984</v>
      </c>
    </row>
    <row r="4485" spans="1:114">
      <c r="A4485" s="453"/>
      <c r="B4485" s="1454">
        <f t="shared" si="388"/>
        <v>356250</v>
      </c>
      <c r="C4485" s="1608" t="s">
        <v>2516</v>
      </c>
      <c r="D4485" s="3473" t="s">
        <v>959</v>
      </c>
      <c r="E4485" s="1393" t="s">
        <v>2517</v>
      </c>
      <c r="F4485" s="225">
        <f>ROUND(((J$4585*J$4586*(1/J$4590-1/J$4592))/1000),2)</f>
        <v>2610.79</v>
      </c>
      <c r="G4485" s="84" t="s">
        <v>2078</v>
      </c>
      <c r="H4485" s="69">
        <f>VLOOKUP(G4485,'CP FACTORS'!$A$3:$B$38, 2, FALSE)</f>
        <v>0</v>
      </c>
      <c r="I4485" s="1028">
        <f t="shared" si="389"/>
        <v>0</v>
      </c>
      <c r="J4485" s="59">
        <f>$J$4608</f>
        <v>5</v>
      </c>
      <c r="K4485" s="174">
        <v>0</v>
      </c>
      <c r="L4485" s="1034"/>
      <c r="M4485" s="238"/>
      <c r="R4485" s="532"/>
      <c r="T4485" s="52"/>
      <c r="U4485" s="52"/>
      <c r="V4485" s="1385" t="s">
        <v>45</v>
      </c>
      <c r="W4485" s="165"/>
      <c r="X4485" s="165"/>
      <c r="Y4485" s="165"/>
      <c r="Z4485" s="165"/>
      <c r="AA4485" s="165"/>
      <c r="AB4485" s="165"/>
      <c r="AC4485" s="165"/>
      <c r="AD4485" s="49">
        <v>2610.79</v>
      </c>
      <c r="AE4485" s="225">
        <v>2610.79</v>
      </c>
      <c r="AF4485" s="271">
        <v>2610.79</v>
      </c>
      <c r="AG4485" s="165"/>
      <c r="DG4485" s="1096"/>
      <c r="DH4485" s="1393" t="str">
        <f t="shared" si="390"/>
        <v>Heating Res 5 Year EUL</v>
      </c>
      <c r="DI4485" s="1011">
        <f>(INDEX('Avoided Cost Benefits'!$B$4:$B$866,MATCH(DH4485,'Avoided Cost Benefits'!$A$4:$A$866,0)))*F4485</f>
        <v>597.75858514348977</v>
      </c>
      <c r="DJ4485" s="1170">
        <f t="shared" si="391"/>
        <v>0</v>
      </c>
    </row>
    <row r="4486" spans="1:114">
      <c r="A4486" s="453"/>
      <c r="B4486" s="1454">
        <f t="shared" si="388"/>
        <v>356250</v>
      </c>
      <c r="C4486" s="1608" t="s">
        <v>2516</v>
      </c>
      <c r="D4486" s="3473" t="s">
        <v>959</v>
      </c>
      <c r="E4486" s="1393" t="s">
        <v>2518</v>
      </c>
      <c r="F4486" s="225">
        <f>ROUND(((J$4596*J$4597*(1/J$4601-1/J$4602))/1000),2)</f>
        <v>16</v>
      </c>
      <c r="G4486" s="84" t="s">
        <v>2138</v>
      </c>
      <c r="H4486" s="69">
        <f>VLOOKUP(G4486,'CP FACTORS'!$A$3:$B$38, 2, FALSE)</f>
        <v>9.4741810000000004E-4</v>
      </c>
      <c r="I4486" s="1049">
        <f t="shared" si="389"/>
        <v>1.5159000000000001E-2</v>
      </c>
      <c r="J4486" s="59">
        <f>$J$4609</f>
        <v>10</v>
      </c>
      <c r="K4486" s="174">
        <v>0</v>
      </c>
      <c r="L4486" s="1034"/>
      <c r="M4486" s="238"/>
      <c r="R4486" s="532"/>
      <c r="T4486" s="52"/>
      <c r="U4486" s="52"/>
      <c r="V4486" s="1385" t="s">
        <v>45</v>
      </c>
      <c r="W4486" s="165"/>
      <c r="X4486" s="165"/>
      <c r="Y4486" s="165"/>
      <c r="Z4486" s="165"/>
      <c r="AA4486" s="165"/>
      <c r="AB4486" s="165"/>
      <c r="AC4486" s="165"/>
      <c r="AD4486" s="49">
        <v>16</v>
      </c>
      <c r="AE4486" s="225">
        <v>16</v>
      </c>
      <c r="AF4486" s="271">
        <v>16</v>
      </c>
      <c r="AG4486" s="165"/>
      <c r="DG4486" s="1096"/>
      <c r="DH4486" s="1393" t="str">
        <f t="shared" si="390"/>
        <v>Cooling Res ER2 10 Year EUL</v>
      </c>
      <c r="DI4486" s="1011">
        <f>(INDEX('Avoided Cost Benefits'!$B$4:$B$866,MATCH(DH4486,'Avoided Cost Benefits'!$A$4:$A$866,0)))*F4486</f>
        <v>18.922991283545176</v>
      </c>
      <c r="DJ4486" s="1170">
        <f t="shared" si="391"/>
        <v>0</v>
      </c>
    </row>
    <row r="4487" spans="1:114">
      <c r="A4487" s="453"/>
      <c r="B4487" s="1454">
        <f t="shared" si="388"/>
        <v>356250</v>
      </c>
      <c r="C4487" s="1608" t="s">
        <v>2516</v>
      </c>
      <c r="D4487" s="3473" t="s">
        <v>959</v>
      </c>
      <c r="E4487" s="1370" t="s">
        <v>2518</v>
      </c>
      <c r="F4487" s="225">
        <f>ROUND(((J$4585*J$4586*(1/J$4591-1/J$4592))/1000),2)</f>
        <v>2610.79</v>
      </c>
      <c r="G4487" s="84" t="s">
        <v>2173</v>
      </c>
      <c r="H4487" s="69">
        <f>VLOOKUP(G4487,'CP FACTORS'!$A$3:$B$38, 2, FALSE)</f>
        <v>0</v>
      </c>
      <c r="I4487" s="1028">
        <f t="shared" si="389"/>
        <v>0</v>
      </c>
      <c r="J4487" s="59">
        <f>$J$4609</f>
        <v>10</v>
      </c>
      <c r="K4487" s="174">
        <v>0</v>
      </c>
      <c r="L4487" s="1034"/>
      <c r="M4487" s="238"/>
      <c r="R4487" s="532"/>
      <c r="T4487" s="52"/>
      <c r="U4487" s="52"/>
      <c r="V4487" s="1385" t="s">
        <v>45</v>
      </c>
      <c r="W4487" s="165"/>
      <c r="X4487" s="165"/>
      <c r="Y4487" s="165"/>
      <c r="Z4487" s="165"/>
      <c r="AA4487" s="165"/>
      <c r="AB4487" s="165"/>
      <c r="AC4487" s="165"/>
      <c r="AD4487" s="49">
        <v>2610.79</v>
      </c>
      <c r="AE4487" s="225">
        <v>2610.79</v>
      </c>
      <c r="AF4487" s="271">
        <v>2610.79</v>
      </c>
      <c r="AG4487" s="165"/>
      <c r="DG4487" s="812"/>
      <c r="DH4487" s="1370" t="str">
        <f t="shared" si="390"/>
        <v>Heating Res ER2 10 Year EUL</v>
      </c>
      <c r="DI4487" s="996">
        <f>(INDEX('Avoided Cost Benefits'!$B$4:$B$866,MATCH(DH4487,'Avoided Cost Benefits'!$A$4:$A$866,0)))*F4487</f>
        <v>811.8032721176653</v>
      </c>
      <c r="DJ4487" s="1171">
        <f t="shared" si="391"/>
        <v>0</v>
      </c>
    </row>
    <row r="4488" spans="1:114">
      <c r="A4488" s="453"/>
      <c r="B4488" s="1454">
        <f t="shared" si="388"/>
        <v>356275</v>
      </c>
      <c r="C4488" s="2209" t="s">
        <v>2519</v>
      </c>
      <c r="D4488" s="3383" t="s">
        <v>1118</v>
      </c>
      <c r="E4488" s="2521" t="s">
        <v>2520</v>
      </c>
      <c r="F4488" s="3369">
        <f>ROUND(((J$4596*J$4598*(1/J$4600-1/J$4602))/1000),2)</f>
        <v>380.29</v>
      </c>
      <c r="G4488" s="2643" t="s">
        <v>2077</v>
      </c>
      <c r="H4488" s="2213">
        <f>VLOOKUP(G4488,'CP FACTORS'!$A$3:$B$38, 2, FALSE)</f>
        <v>9.4741810000000004E-4</v>
      </c>
      <c r="I4488" s="3394">
        <f t="shared" si="389"/>
        <v>0.360294</v>
      </c>
      <c r="J4488" s="3406">
        <f>$J$4608</f>
        <v>5</v>
      </c>
      <c r="K4488" s="3407">
        <f>J$4610</f>
        <v>224.93182686576984</v>
      </c>
      <c r="L4488" s="2212">
        <f>K$4585</f>
        <v>1.0111111111111111</v>
      </c>
      <c r="M4488" s="3408"/>
      <c r="N4488" s="635"/>
      <c r="O4488" s="635"/>
      <c r="P4488" s="635"/>
      <c r="Q4488" s="635"/>
      <c r="R4488" s="2966"/>
      <c r="S4488" s="2237"/>
      <c r="T4488" s="635"/>
      <c r="U4488" s="635"/>
      <c r="V4488" s="3409" t="s">
        <v>45</v>
      </c>
      <c r="W4488" s="3410"/>
      <c r="X4488" s="3410"/>
      <c r="Y4488" s="3410"/>
      <c r="Z4488" s="3410"/>
      <c r="AA4488" s="3410"/>
      <c r="AB4488" s="3410"/>
      <c r="AC4488" s="3410"/>
      <c r="AD4488" s="3411">
        <v>347.17</v>
      </c>
      <c r="AE4488" s="3373">
        <v>347.17</v>
      </c>
      <c r="AF4488" s="2236">
        <v>380.29</v>
      </c>
      <c r="AG4488" s="3410"/>
      <c r="AH4488" s="2237"/>
      <c r="AI4488" s="2237"/>
      <c r="AJ4488" s="2237"/>
      <c r="AK4488" s="2237"/>
      <c r="AL4488" s="2237"/>
      <c r="AM4488" s="2237"/>
      <c r="AN4488" s="2237"/>
      <c r="AO4488" s="2237"/>
      <c r="AP4488" s="2237"/>
      <c r="AQ4488" s="2237"/>
      <c r="AR4488" s="2237"/>
      <c r="AS4488" s="2237"/>
      <c r="AT4488" s="2237"/>
      <c r="AU4488" s="2237"/>
      <c r="AV4488" s="2237"/>
      <c r="AW4488" s="2237"/>
      <c r="AX4488" s="2237"/>
      <c r="AY4488" s="2237"/>
      <c r="AZ4488" s="2237"/>
      <c r="BA4488" s="2237"/>
      <c r="BB4488" s="2237"/>
      <c r="BC4488" s="2237"/>
      <c r="BD4488" s="2237"/>
      <c r="BE4488" s="2237"/>
      <c r="BF4488" s="2237"/>
      <c r="BG4488" s="2237"/>
      <c r="BH4488" s="2237"/>
      <c r="BI4488" s="2237"/>
      <c r="BJ4488" s="2237"/>
      <c r="BK4488" s="2237"/>
      <c r="BL4488" s="2237"/>
      <c r="BM4488" s="2237"/>
      <c r="BN4488" s="2237"/>
      <c r="BO4488" s="2237"/>
      <c r="BP4488" s="2237"/>
      <c r="BQ4488" s="2237"/>
      <c r="BR4488" s="2237"/>
      <c r="BS4488" s="2237"/>
      <c r="BT4488" s="2237"/>
      <c r="BU4488" s="2237"/>
      <c r="BV4488" s="2237"/>
      <c r="BW4488" s="2237"/>
      <c r="BX4488" s="2237"/>
      <c r="BY4488" s="2237"/>
      <c r="BZ4488" s="2237"/>
      <c r="CA4488" s="2237"/>
      <c r="CB4488" s="2237"/>
      <c r="CC4488" s="2237"/>
      <c r="CD4488" s="2237"/>
      <c r="CE4488" s="2237"/>
      <c r="CF4488" s="2237"/>
      <c r="CG4488" s="2237"/>
      <c r="CH4488" s="2237"/>
      <c r="CI4488" s="2237"/>
      <c r="CJ4488" s="2237"/>
      <c r="CK4488" s="2237"/>
      <c r="CL4488" s="2237"/>
      <c r="CM4488" s="2237"/>
      <c r="CN4488" s="2237"/>
      <c r="CO4488" s="2237"/>
      <c r="CP4488" s="2237"/>
      <c r="CQ4488" s="2237"/>
      <c r="CR4488" s="2237"/>
      <c r="CS4488" s="2237"/>
      <c r="CT4488" s="2237"/>
      <c r="CU4488" s="2237"/>
      <c r="CV4488" s="2237"/>
      <c r="CW4488" s="2237"/>
      <c r="CX4488" s="2237"/>
      <c r="CY4488" s="2237"/>
      <c r="CZ4488" s="2237"/>
      <c r="DA4488" s="2237"/>
      <c r="DB4488" s="2237"/>
      <c r="DC4488" s="2237"/>
      <c r="DD4488" s="2237"/>
      <c r="DE4488" s="2237"/>
      <c r="DF4488" s="2237"/>
      <c r="DG4488" s="3412">
        <f>(DI4488+DI4489+DI4490+DI4491)/(DJ4488+DJ4489+DJ4490+DJ4491)</f>
        <v>3.6368109574089043</v>
      </c>
      <c r="DH4488" s="2521" t="str">
        <f t="shared" si="390"/>
        <v>Cooling Res 5 Year EUL</v>
      </c>
      <c r="DI4488" s="3245">
        <f>(INDEX('Avoided Cost Benefits'!$B$4:$B$866,MATCH(DH4488,'Avoided Cost Benefits'!$A$4:$A$866,0)))*F4488</f>
        <v>323.12122505543329</v>
      </c>
      <c r="DJ4488" s="2421">
        <f t="shared" si="391"/>
        <v>224.93182686576984</v>
      </c>
    </row>
    <row r="4489" spans="1:114">
      <c r="A4489" s="453"/>
      <c r="B4489" s="1454">
        <f t="shared" si="388"/>
        <v>356275</v>
      </c>
      <c r="C4489" s="2209" t="s">
        <v>2519</v>
      </c>
      <c r="D4489" s="3383" t="s">
        <v>1118</v>
      </c>
      <c r="E4489" s="2882" t="s">
        <v>2520</v>
      </c>
      <c r="F4489" s="3373">
        <f>ROUND(((J$4585*J$4587*(1/J$4590-1/J$4592))/1000),2)</f>
        <v>891.18</v>
      </c>
      <c r="G4489" s="2643" t="s">
        <v>2078</v>
      </c>
      <c r="H4489" s="2213">
        <f>VLOOKUP(G4489,'CP FACTORS'!$A$3:$B$38, 2, FALSE)</f>
        <v>0</v>
      </c>
      <c r="I4489" s="3385">
        <f t="shared" si="389"/>
        <v>0</v>
      </c>
      <c r="J4489" s="2449">
        <f>$J$4608</f>
        <v>5</v>
      </c>
      <c r="K4489" s="2592">
        <v>0</v>
      </c>
      <c r="L4489" s="2212"/>
      <c r="M4489" s="3408"/>
      <c r="N4489" s="635"/>
      <c r="O4489" s="635"/>
      <c r="P4489" s="635"/>
      <c r="Q4489" s="635"/>
      <c r="R4489" s="2966"/>
      <c r="S4489" s="2237"/>
      <c r="T4489" s="635"/>
      <c r="U4489" s="635"/>
      <c r="V4489" s="2308" t="s">
        <v>45</v>
      </c>
      <c r="W4489" s="2234"/>
      <c r="X4489" s="2234"/>
      <c r="Y4489" s="2234"/>
      <c r="Z4489" s="2234"/>
      <c r="AA4489" s="2234"/>
      <c r="AB4489" s="2234"/>
      <c r="AC4489" s="2234"/>
      <c r="AD4489" s="2235">
        <v>891.18</v>
      </c>
      <c r="AE4489" s="3373">
        <v>891.18</v>
      </c>
      <c r="AF4489" s="2236">
        <v>891.18</v>
      </c>
      <c r="AG4489" s="2234"/>
      <c r="AH4489" s="2237"/>
      <c r="AI4489" s="2237"/>
      <c r="AJ4489" s="2237"/>
      <c r="AK4489" s="2237"/>
      <c r="AL4489" s="2237"/>
      <c r="AM4489" s="2237"/>
      <c r="AN4489" s="2237"/>
      <c r="AO4489" s="2237"/>
      <c r="AP4489" s="2237"/>
      <c r="AQ4489" s="2237"/>
      <c r="AR4489" s="2237"/>
      <c r="AS4489" s="2237"/>
      <c r="AT4489" s="2237"/>
      <c r="AU4489" s="2237"/>
      <c r="AV4489" s="2237"/>
      <c r="AW4489" s="2237"/>
      <c r="AX4489" s="2237"/>
      <c r="AY4489" s="2237"/>
      <c r="AZ4489" s="2237"/>
      <c r="BA4489" s="2237"/>
      <c r="BB4489" s="2237"/>
      <c r="BC4489" s="2237"/>
      <c r="BD4489" s="2237"/>
      <c r="BE4489" s="2237"/>
      <c r="BF4489" s="2237"/>
      <c r="BG4489" s="2237"/>
      <c r="BH4489" s="2237"/>
      <c r="BI4489" s="2237"/>
      <c r="BJ4489" s="2237"/>
      <c r="BK4489" s="2237"/>
      <c r="BL4489" s="2237"/>
      <c r="BM4489" s="2237"/>
      <c r="BN4489" s="2237"/>
      <c r="BO4489" s="2237"/>
      <c r="BP4489" s="2237"/>
      <c r="BQ4489" s="2237"/>
      <c r="BR4489" s="2237"/>
      <c r="BS4489" s="2237"/>
      <c r="BT4489" s="2237"/>
      <c r="BU4489" s="2237"/>
      <c r="BV4489" s="2237"/>
      <c r="BW4489" s="2237"/>
      <c r="BX4489" s="2237"/>
      <c r="BY4489" s="2237"/>
      <c r="BZ4489" s="2237"/>
      <c r="CA4489" s="2237"/>
      <c r="CB4489" s="2237"/>
      <c r="CC4489" s="2237"/>
      <c r="CD4489" s="2237"/>
      <c r="CE4489" s="2237"/>
      <c r="CF4489" s="2237"/>
      <c r="CG4489" s="2237"/>
      <c r="CH4489" s="2237"/>
      <c r="CI4489" s="2237"/>
      <c r="CJ4489" s="2237"/>
      <c r="CK4489" s="2237"/>
      <c r="CL4489" s="2237"/>
      <c r="CM4489" s="2237"/>
      <c r="CN4489" s="2237"/>
      <c r="CO4489" s="2237"/>
      <c r="CP4489" s="2237"/>
      <c r="CQ4489" s="2237"/>
      <c r="CR4489" s="2237"/>
      <c r="CS4489" s="2237"/>
      <c r="CT4489" s="2237"/>
      <c r="CU4489" s="2237"/>
      <c r="CV4489" s="2237"/>
      <c r="CW4489" s="2237"/>
      <c r="CX4489" s="2237"/>
      <c r="CY4489" s="2237"/>
      <c r="CZ4489" s="2237"/>
      <c r="DA4489" s="2237"/>
      <c r="DB4489" s="2237"/>
      <c r="DC4489" s="2237"/>
      <c r="DD4489" s="2237"/>
      <c r="DE4489" s="2237"/>
      <c r="DF4489" s="2237"/>
      <c r="DG4489" s="3413"/>
      <c r="DH4489" s="2882" t="str">
        <f t="shared" si="390"/>
        <v>Heating Res 5 Year EUL</v>
      </c>
      <c r="DI4489" s="2509">
        <f>(INDEX('Avoided Cost Benefits'!$B$4:$B$866,MATCH(DH4489,'Avoided Cost Benefits'!$A$4:$A$866,0)))*F4489</f>
        <v>204.04187847669678</v>
      </c>
      <c r="DJ4489" s="2424">
        <f t="shared" si="391"/>
        <v>0</v>
      </c>
    </row>
    <row r="4490" spans="1:114">
      <c r="A4490" s="453"/>
      <c r="B4490" s="1454">
        <f t="shared" si="388"/>
        <v>356275</v>
      </c>
      <c r="C4490" s="2209" t="s">
        <v>2519</v>
      </c>
      <c r="D4490" s="3383" t="s">
        <v>1118</v>
      </c>
      <c r="E4490" s="2882" t="s">
        <v>2521</v>
      </c>
      <c r="F4490" s="3373">
        <f>ROUND(((J$4596*J$4598*(1/J$4601-1/J$4602))/1000),2)</f>
        <v>11.64</v>
      </c>
      <c r="G4490" s="2643" t="s">
        <v>2138</v>
      </c>
      <c r="H4490" s="2213">
        <f>VLOOKUP(G4490,'CP FACTORS'!$A$3:$B$38, 2, FALSE)</f>
        <v>9.4741810000000004E-4</v>
      </c>
      <c r="I4490" s="3414">
        <f t="shared" si="389"/>
        <v>1.1028E-2</v>
      </c>
      <c r="J4490" s="2449">
        <f>$J$4609</f>
        <v>10</v>
      </c>
      <c r="K4490" s="2592">
        <v>0</v>
      </c>
      <c r="L4490" s="2212"/>
      <c r="M4490" s="3408"/>
      <c r="N4490" s="635"/>
      <c r="O4490" s="635"/>
      <c r="P4490" s="635"/>
      <c r="Q4490" s="635"/>
      <c r="R4490" s="2966"/>
      <c r="S4490" s="2237"/>
      <c r="T4490" s="635"/>
      <c r="U4490" s="635"/>
      <c r="V4490" s="2308" t="s">
        <v>45</v>
      </c>
      <c r="W4490" s="2234"/>
      <c r="X4490" s="2234"/>
      <c r="Y4490" s="2234"/>
      <c r="Z4490" s="2234"/>
      <c r="AA4490" s="2234"/>
      <c r="AB4490" s="2234"/>
      <c r="AC4490" s="2234"/>
      <c r="AD4490" s="2235">
        <v>11.64</v>
      </c>
      <c r="AE4490" s="3373">
        <v>11.64</v>
      </c>
      <c r="AF4490" s="2236">
        <v>11.64</v>
      </c>
      <c r="AG4490" s="2234"/>
      <c r="AH4490" s="2237"/>
      <c r="AI4490" s="2237"/>
      <c r="AJ4490" s="2237"/>
      <c r="AK4490" s="2237"/>
      <c r="AL4490" s="2237"/>
      <c r="AM4490" s="2237"/>
      <c r="AN4490" s="2237"/>
      <c r="AO4490" s="2237"/>
      <c r="AP4490" s="2237"/>
      <c r="AQ4490" s="2237"/>
      <c r="AR4490" s="2237"/>
      <c r="AS4490" s="2237"/>
      <c r="AT4490" s="2237"/>
      <c r="AU4490" s="2237"/>
      <c r="AV4490" s="2237"/>
      <c r="AW4490" s="2237"/>
      <c r="AX4490" s="2237"/>
      <c r="AY4490" s="2237"/>
      <c r="AZ4490" s="2237"/>
      <c r="BA4490" s="2237"/>
      <c r="BB4490" s="2237"/>
      <c r="BC4490" s="2237"/>
      <c r="BD4490" s="2237"/>
      <c r="BE4490" s="2237"/>
      <c r="BF4490" s="2237"/>
      <c r="BG4490" s="2237"/>
      <c r="BH4490" s="2237"/>
      <c r="BI4490" s="2237"/>
      <c r="BJ4490" s="2237"/>
      <c r="BK4490" s="2237"/>
      <c r="BL4490" s="2237"/>
      <c r="BM4490" s="2237"/>
      <c r="BN4490" s="2237"/>
      <c r="BO4490" s="2237"/>
      <c r="BP4490" s="2237"/>
      <c r="BQ4490" s="2237"/>
      <c r="BR4490" s="2237"/>
      <c r="BS4490" s="2237"/>
      <c r="BT4490" s="2237"/>
      <c r="BU4490" s="2237"/>
      <c r="BV4490" s="2237"/>
      <c r="BW4490" s="2237"/>
      <c r="BX4490" s="2237"/>
      <c r="BY4490" s="2237"/>
      <c r="BZ4490" s="2237"/>
      <c r="CA4490" s="2237"/>
      <c r="CB4490" s="2237"/>
      <c r="CC4490" s="2237"/>
      <c r="CD4490" s="2237"/>
      <c r="CE4490" s="2237"/>
      <c r="CF4490" s="2237"/>
      <c r="CG4490" s="2237"/>
      <c r="CH4490" s="2237"/>
      <c r="CI4490" s="2237"/>
      <c r="CJ4490" s="2237"/>
      <c r="CK4490" s="2237"/>
      <c r="CL4490" s="2237"/>
      <c r="CM4490" s="2237"/>
      <c r="CN4490" s="2237"/>
      <c r="CO4490" s="2237"/>
      <c r="CP4490" s="2237"/>
      <c r="CQ4490" s="2237"/>
      <c r="CR4490" s="2237"/>
      <c r="CS4490" s="2237"/>
      <c r="CT4490" s="2237"/>
      <c r="CU4490" s="2237"/>
      <c r="CV4490" s="2237"/>
      <c r="CW4490" s="2237"/>
      <c r="CX4490" s="2237"/>
      <c r="CY4490" s="2237"/>
      <c r="CZ4490" s="2237"/>
      <c r="DA4490" s="2237"/>
      <c r="DB4490" s="2237"/>
      <c r="DC4490" s="2237"/>
      <c r="DD4490" s="2237"/>
      <c r="DE4490" s="2237"/>
      <c r="DF4490" s="2237"/>
      <c r="DG4490" s="3413"/>
      <c r="DH4490" s="2882" t="str">
        <f t="shared" si="390"/>
        <v>Cooling Res ER2 10 Year EUL</v>
      </c>
      <c r="DI4490" s="2509">
        <f>(INDEX('Avoided Cost Benefits'!$B$4:$B$866,MATCH(DH4490,'Avoided Cost Benefits'!$A$4:$A$866,0)))*F4490</f>
        <v>13.766476158779117</v>
      </c>
      <c r="DJ4490" s="2424">
        <f t="shared" si="391"/>
        <v>0</v>
      </c>
    </row>
    <row r="4491" spans="1:114">
      <c r="A4491" s="453"/>
      <c r="B4491" s="1454">
        <f t="shared" si="388"/>
        <v>356275</v>
      </c>
      <c r="C4491" s="2209" t="s">
        <v>2519</v>
      </c>
      <c r="D4491" s="3383" t="s">
        <v>1118</v>
      </c>
      <c r="E4491" s="2522" t="s">
        <v>2521</v>
      </c>
      <c r="F4491" s="3373">
        <f>ROUND(((J$4585*J$4587*(1/J$4591-1/J$4592))/1000),2)</f>
        <v>891.18</v>
      </c>
      <c r="G4491" s="2643" t="s">
        <v>2173</v>
      </c>
      <c r="H4491" s="2213">
        <f>VLOOKUP(G4491,'CP FACTORS'!$A$3:$B$38, 2, FALSE)</f>
        <v>0</v>
      </c>
      <c r="I4491" s="3385">
        <f t="shared" si="389"/>
        <v>0</v>
      </c>
      <c r="J4491" s="2449">
        <f>$J$4609</f>
        <v>10</v>
      </c>
      <c r="K4491" s="2592">
        <v>0</v>
      </c>
      <c r="L4491" s="2212"/>
      <c r="M4491" s="3408"/>
      <c r="N4491" s="635"/>
      <c r="O4491" s="635"/>
      <c r="P4491" s="635"/>
      <c r="Q4491" s="635"/>
      <c r="R4491" s="2966"/>
      <c r="S4491" s="2237"/>
      <c r="T4491" s="635"/>
      <c r="U4491" s="635"/>
      <c r="V4491" s="2308" t="s">
        <v>45</v>
      </c>
      <c r="W4491" s="2234"/>
      <c r="X4491" s="2234"/>
      <c r="Y4491" s="2234"/>
      <c r="Z4491" s="2234"/>
      <c r="AA4491" s="2234"/>
      <c r="AB4491" s="2234"/>
      <c r="AC4491" s="2234"/>
      <c r="AD4491" s="2235">
        <v>891.18</v>
      </c>
      <c r="AE4491" s="3373">
        <v>891.18</v>
      </c>
      <c r="AF4491" s="2236">
        <v>891.18</v>
      </c>
      <c r="AG4491" s="2234"/>
      <c r="AH4491" s="2237"/>
      <c r="AI4491" s="2237"/>
      <c r="AJ4491" s="2237"/>
      <c r="AK4491" s="2237"/>
      <c r="AL4491" s="2237"/>
      <c r="AM4491" s="2237"/>
      <c r="AN4491" s="2237"/>
      <c r="AO4491" s="2237"/>
      <c r="AP4491" s="2237"/>
      <c r="AQ4491" s="2237"/>
      <c r="AR4491" s="2237"/>
      <c r="AS4491" s="2237"/>
      <c r="AT4491" s="2237"/>
      <c r="AU4491" s="2237"/>
      <c r="AV4491" s="2237"/>
      <c r="AW4491" s="2237"/>
      <c r="AX4491" s="2237"/>
      <c r="AY4491" s="2237"/>
      <c r="AZ4491" s="2237"/>
      <c r="BA4491" s="2237"/>
      <c r="BB4491" s="2237"/>
      <c r="BC4491" s="2237"/>
      <c r="BD4491" s="2237"/>
      <c r="BE4491" s="2237"/>
      <c r="BF4491" s="2237"/>
      <c r="BG4491" s="2237"/>
      <c r="BH4491" s="2237"/>
      <c r="BI4491" s="2237"/>
      <c r="BJ4491" s="2237"/>
      <c r="BK4491" s="2237"/>
      <c r="BL4491" s="2237"/>
      <c r="BM4491" s="2237"/>
      <c r="BN4491" s="2237"/>
      <c r="BO4491" s="2237"/>
      <c r="BP4491" s="2237"/>
      <c r="BQ4491" s="2237"/>
      <c r="BR4491" s="2237"/>
      <c r="BS4491" s="2237"/>
      <c r="BT4491" s="2237"/>
      <c r="BU4491" s="2237"/>
      <c r="BV4491" s="2237"/>
      <c r="BW4491" s="2237"/>
      <c r="BX4491" s="2237"/>
      <c r="BY4491" s="2237"/>
      <c r="BZ4491" s="2237"/>
      <c r="CA4491" s="2237"/>
      <c r="CB4491" s="2237"/>
      <c r="CC4491" s="2237"/>
      <c r="CD4491" s="2237"/>
      <c r="CE4491" s="2237"/>
      <c r="CF4491" s="2237"/>
      <c r="CG4491" s="2237"/>
      <c r="CH4491" s="2237"/>
      <c r="CI4491" s="2237"/>
      <c r="CJ4491" s="2237"/>
      <c r="CK4491" s="2237"/>
      <c r="CL4491" s="2237"/>
      <c r="CM4491" s="2237"/>
      <c r="CN4491" s="2237"/>
      <c r="CO4491" s="2237"/>
      <c r="CP4491" s="2237"/>
      <c r="CQ4491" s="2237"/>
      <c r="CR4491" s="2237"/>
      <c r="CS4491" s="2237"/>
      <c r="CT4491" s="2237"/>
      <c r="CU4491" s="2237"/>
      <c r="CV4491" s="2237"/>
      <c r="CW4491" s="2237"/>
      <c r="CX4491" s="2237"/>
      <c r="CY4491" s="2237"/>
      <c r="CZ4491" s="2237"/>
      <c r="DA4491" s="2237"/>
      <c r="DB4491" s="2237"/>
      <c r="DC4491" s="2237"/>
      <c r="DD4491" s="2237"/>
      <c r="DE4491" s="2237"/>
      <c r="DF4491" s="2237"/>
      <c r="DG4491" s="3415"/>
      <c r="DH4491" s="2522" t="str">
        <f t="shared" si="390"/>
        <v>Heating Res ER2 10 Year EUL</v>
      </c>
      <c r="DI4491" s="2511">
        <f>(INDEX('Avoided Cost Benefits'!$B$4:$B$866,MATCH(DH4491,'Avoided Cost Benefits'!$A$4:$A$866,0)))*F4491</f>
        <v>277.10495292452509</v>
      </c>
      <c r="DJ4491" s="2431">
        <f t="shared" si="391"/>
        <v>0</v>
      </c>
    </row>
    <row r="4492" spans="1:114">
      <c r="A4492" s="453"/>
      <c r="B4492" s="1454">
        <f t="shared" si="388"/>
        <v>356300</v>
      </c>
      <c r="C4492" s="1608" t="s">
        <v>2522</v>
      </c>
      <c r="D4492" s="3470" t="s">
        <v>959</v>
      </c>
      <c r="E4492" s="1369" t="s">
        <v>2523</v>
      </c>
      <c r="F4492" s="225">
        <f>ROUND(((J$4596*J$4597*(1/J$4601-1/J$4602))/1000),2)</f>
        <v>16</v>
      </c>
      <c r="G4492" s="84" t="s">
        <v>2077</v>
      </c>
      <c r="H4492" s="69">
        <f>VLOOKUP(G4492,'CP FACTORS'!$A$3:$B$38, 2, FALSE)</f>
        <v>9.4741810000000004E-4</v>
      </c>
      <c r="I4492" s="1028">
        <f t="shared" si="389"/>
        <v>1.5159000000000001E-2</v>
      </c>
      <c r="J4492" s="59">
        <f t="shared" ref="J4492:J4499" si="392">$J$4607</f>
        <v>15</v>
      </c>
      <c r="K4492" s="174">
        <f>J$4611</f>
        <v>84.93</v>
      </c>
      <c r="L4492" s="1034">
        <f>K$4585</f>
        <v>1.0111111111111111</v>
      </c>
      <c r="M4492" s="238"/>
      <c r="R4492" s="532"/>
      <c r="T4492" s="52"/>
      <c r="U4492" s="52"/>
      <c r="V4492" s="1385" t="s">
        <v>45</v>
      </c>
      <c r="W4492" s="165"/>
      <c r="X4492" s="165"/>
      <c r="Y4492" s="165"/>
      <c r="Z4492" s="165"/>
      <c r="AA4492" s="165"/>
      <c r="AB4492" s="165"/>
      <c r="AC4492" s="165"/>
      <c r="AD4492" s="49">
        <v>16</v>
      </c>
      <c r="AE4492" s="225">
        <v>16</v>
      </c>
      <c r="AF4492" s="271">
        <v>16</v>
      </c>
      <c r="AG4492" s="165"/>
      <c r="DG4492" s="1095">
        <f>(DI4492+DI4493)/(DJ4492+DJ4493)</f>
        <v>1.0953674236290907</v>
      </c>
      <c r="DH4492" s="1369" t="str">
        <f>CONCATENATE(G4492," ",J4492," Year EUL")</f>
        <v>Cooling Res 15 Year EUL</v>
      </c>
      <c r="DI4492" s="993">
        <f>(INDEX('Avoided Cost Benefits'!$B$4:$B$866,MATCH(DH4492,'Avoided Cost Benefits'!$A$4:$A$866,0)))*F4492</f>
        <v>32.517720571422672</v>
      </c>
      <c r="DJ4492" s="1169">
        <f t="shared" si="391"/>
        <v>84.93</v>
      </c>
    </row>
    <row r="4493" spans="1:114">
      <c r="A4493" s="453"/>
      <c r="B4493" s="1454">
        <f t="shared" si="388"/>
        <v>356300</v>
      </c>
      <c r="C4493" s="1608" t="s">
        <v>2522</v>
      </c>
      <c r="D4493" s="3470" t="s">
        <v>959</v>
      </c>
      <c r="E4493" s="1370" t="s">
        <v>2523</v>
      </c>
      <c r="F4493" s="225">
        <f>ROUND(((J$4585*J$4586*(1/J$4589-1/J$4592))/1000),2)</f>
        <v>112.08</v>
      </c>
      <c r="G4493" s="84" t="s">
        <v>2078</v>
      </c>
      <c r="H4493" s="69">
        <f>VLOOKUP(G4493,'CP FACTORS'!$A$3:$B$38, 2, FALSE)</f>
        <v>0</v>
      </c>
      <c r="I4493" s="1028">
        <f t="shared" si="389"/>
        <v>0</v>
      </c>
      <c r="J4493" s="59">
        <f t="shared" si="392"/>
        <v>15</v>
      </c>
      <c r="K4493" s="174">
        <v>0</v>
      </c>
      <c r="L4493" s="1034"/>
      <c r="M4493" s="238"/>
      <c r="R4493" s="532"/>
      <c r="T4493" s="52"/>
      <c r="U4493" s="52"/>
      <c r="V4493" s="1385" t="s">
        <v>45</v>
      </c>
      <c r="W4493" s="165"/>
      <c r="X4493" s="165"/>
      <c r="Y4493" s="165"/>
      <c r="Z4493" s="165"/>
      <c r="AA4493" s="165"/>
      <c r="AB4493" s="165"/>
      <c r="AC4493" s="165"/>
      <c r="AD4493" s="49">
        <v>112.08</v>
      </c>
      <c r="AE4493" s="225">
        <v>112.08</v>
      </c>
      <c r="AF4493" s="271">
        <v>112.08</v>
      </c>
      <c r="AG4493" s="165"/>
      <c r="DG4493" s="812"/>
      <c r="DH4493" s="1370" t="str">
        <f>CONCATENATE(G4493," ",J4493," Year EUL")</f>
        <v>Heating Res 15 Year EUL</v>
      </c>
      <c r="DI4493" s="996">
        <f>(INDEX('Avoided Cost Benefits'!$B$4:$B$866,MATCH(DH4493,'Avoided Cost Benefits'!$A$4:$A$866,0)))*F4493</f>
        <v>60.511834717396013</v>
      </c>
      <c r="DJ4493" s="1171">
        <f t="shared" si="391"/>
        <v>0</v>
      </c>
    </row>
    <row r="4494" spans="1:114">
      <c r="A4494" s="453"/>
      <c r="B4494" s="1454">
        <f t="shared" si="388"/>
        <v>356325</v>
      </c>
      <c r="C4494" s="3416" t="s">
        <v>2524</v>
      </c>
      <c r="D4494" s="3417" t="s">
        <v>1118</v>
      </c>
      <c r="E4494" s="2882" t="s">
        <v>2525</v>
      </c>
      <c r="F4494" s="3418">
        <f>ROUND(((J$4596*J$4598*(1/J$4601-1/J$4602))/1000),2)</f>
        <v>11.64</v>
      </c>
      <c r="G4494" s="3419" t="s">
        <v>2077</v>
      </c>
      <c r="H4494" s="3318">
        <f>VLOOKUP(G4494,'CP FACTORS'!$A$3:$B$38, 2, FALSE)</f>
        <v>9.4741810000000004E-4</v>
      </c>
      <c r="I4494" s="3414">
        <f t="shared" si="389"/>
        <v>1.1028E-2</v>
      </c>
      <c r="J4494" s="3406">
        <f t="shared" si="392"/>
        <v>15</v>
      </c>
      <c r="K4494" s="3420">
        <f>J$4611</f>
        <v>84.93</v>
      </c>
      <c r="L4494" s="2212">
        <f>K$4585</f>
        <v>1.0111111111111111</v>
      </c>
      <c r="M4494" s="3408"/>
      <c r="N4494" s="635"/>
      <c r="O4494" s="635"/>
      <c r="P4494" s="635"/>
      <c r="Q4494" s="635"/>
      <c r="R4494" s="2966"/>
      <c r="S4494" s="2237"/>
      <c r="T4494" s="635"/>
      <c r="U4494" s="635"/>
      <c r="V4494" s="2308" t="s">
        <v>45</v>
      </c>
      <c r="W4494" s="2234"/>
      <c r="X4494" s="2234"/>
      <c r="Y4494" s="2234"/>
      <c r="Z4494" s="2234"/>
      <c r="AA4494" s="2234"/>
      <c r="AB4494" s="2234"/>
      <c r="AC4494" s="2234"/>
      <c r="AD4494" s="2235">
        <v>11.64</v>
      </c>
      <c r="AE4494" s="3418">
        <v>11.64</v>
      </c>
      <c r="AF4494" s="2236">
        <v>11.64</v>
      </c>
      <c r="AG4494" s="2234"/>
      <c r="AH4494" s="2237"/>
      <c r="AI4494" s="2237"/>
      <c r="AJ4494" s="2237"/>
      <c r="AK4494" s="2237"/>
      <c r="AL4494" s="2237"/>
      <c r="AM4494" s="2237"/>
      <c r="AN4494" s="2237"/>
      <c r="AO4494" s="2237"/>
      <c r="AP4494" s="2237"/>
      <c r="AQ4494" s="2237"/>
      <c r="AR4494" s="2237"/>
      <c r="AS4494" s="2237"/>
      <c r="AT4494" s="2237"/>
      <c r="AU4494" s="2237"/>
      <c r="AV4494" s="2237"/>
      <c r="AW4494" s="2237"/>
      <c r="AX4494" s="2237"/>
      <c r="AY4494" s="2237"/>
      <c r="AZ4494" s="2237"/>
      <c r="BA4494" s="2237"/>
      <c r="BB4494" s="2237"/>
      <c r="BC4494" s="2237"/>
      <c r="BD4494" s="2237"/>
      <c r="BE4494" s="2237"/>
      <c r="BF4494" s="2237"/>
      <c r="BG4494" s="2237"/>
      <c r="BH4494" s="2237"/>
      <c r="BI4494" s="2237"/>
      <c r="BJ4494" s="2237"/>
      <c r="BK4494" s="2237"/>
      <c r="BL4494" s="2237"/>
      <c r="BM4494" s="2237"/>
      <c r="BN4494" s="2237"/>
      <c r="BO4494" s="2237"/>
      <c r="BP4494" s="2237"/>
      <c r="BQ4494" s="2237"/>
      <c r="BR4494" s="2237"/>
      <c r="BS4494" s="2237"/>
      <c r="BT4494" s="2237"/>
      <c r="BU4494" s="2237"/>
      <c r="BV4494" s="2237"/>
      <c r="BW4494" s="2237"/>
      <c r="BX4494" s="2237"/>
      <c r="BY4494" s="2237"/>
      <c r="BZ4494" s="2237"/>
      <c r="CA4494" s="2237"/>
      <c r="CB4494" s="2237"/>
      <c r="CC4494" s="2237"/>
      <c r="CD4494" s="2237"/>
      <c r="CE4494" s="2237"/>
      <c r="CF4494" s="2237"/>
      <c r="CG4494" s="2237"/>
      <c r="CH4494" s="2237"/>
      <c r="CI4494" s="2237"/>
      <c r="CJ4494" s="2237"/>
      <c r="CK4494" s="2237"/>
      <c r="CL4494" s="2237"/>
      <c r="CM4494" s="2237"/>
      <c r="CN4494" s="2237"/>
      <c r="CO4494" s="2237"/>
      <c r="CP4494" s="2237"/>
      <c r="CQ4494" s="2237"/>
      <c r="CR4494" s="2237"/>
      <c r="CS4494" s="2237"/>
      <c r="CT4494" s="2237"/>
      <c r="CU4494" s="2237"/>
      <c r="CV4494" s="2237"/>
      <c r="CW4494" s="2237"/>
      <c r="CX4494" s="2237"/>
      <c r="CY4494" s="2237"/>
      <c r="CZ4494" s="2237"/>
      <c r="DA4494" s="2237"/>
      <c r="DB4494" s="2237"/>
      <c r="DC4494" s="2237"/>
      <c r="DD4494" s="2237"/>
      <c r="DE4494" s="2237"/>
      <c r="DF4494" s="2237"/>
      <c r="DG4494" s="3412">
        <f>(DI4494+DI4495)/(DJ4494+DJ4495)</f>
        <v>0.52176100347579635</v>
      </c>
      <c r="DH4494" s="2521" t="str">
        <f>CONCATENATE(G4494," ",J4494," Year EUL")</f>
        <v>Cooling Res 15 Year EUL</v>
      </c>
      <c r="DI4494" s="3245">
        <f>(INDEX('Avoided Cost Benefits'!$B$4:$B$866,MATCH(DH4494,'Avoided Cost Benefits'!$A$4:$A$866,0)))*F4494</f>
        <v>23.656641715709995</v>
      </c>
      <c r="DJ4494" s="2421">
        <f t="shared" si="391"/>
        <v>84.93</v>
      </c>
    </row>
    <row r="4495" spans="1:114">
      <c r="A4495" s="453"/>
      <c r="B4495" s="1454">
        <f t="shared" si="388"/>
        <v>356325</v>
      </c>
      <c r="C4495" s="2209" t="s">
        <v>2524</v>
      </c>
      <c r="D4495" s="3383" t="s">
        <v>1118</v>
      </c>
      <c r="E4495" s="2882" t="s">
        <v>2525</v>
      </c>
      <c r="F4495" s="3373">
        <f>ROUND(((J$4585*J$4587*(1/J$4589-1/J$4592))/1000),2)</f>
        <v>38.26</v>
      </c>
      <c r="G4495" s="2643" t="s">
        <v>2078</v>
      </c>
      <c r="H4495" s="2213">
        <f>VLOOKUP(G4495,'CP FACTORS'!$A$3:$B$38, 2, FALSE)</f>
        <v>0</v>
      </c>
      <c r="I4495" s="3385">
        <f t="shared" si="389"/>
        <v>0</v>
      </c>
      <c r="J4495" s="2449">
        <f t="shared" si="392"/>
        <v>15</v>
      </c>
      <c r="K4495" s="2592">
        <v>0</v>
      </c>
      <c r="L4495" s="2212"/>
      <c r="M4495" s="3408"/>
      <c r="N4495" s="635"/>
      <c r="O4495" s="635"/>
      <c r="P4495" s="635"/>
      <c r="Q4495" s="635"/>
      <c r="R4495" s="2966"/>
      <c r="S4495" s="2237"/>
      <c r="T4495" s="635"/>
      <c r="U4495" s="635"/>
      <c r="V4495" s="2308" t="s">
        <v>45</v>
      </c>
      <c r="W4495" s="2234"/>
      <c r="X4495" s="2234"/>
      <c r="Y4495" s="2234"/>
      <c r="Z4495" s="2234"/>
      <c r="AA4495" s="2234"/>
      <c r="AB4495" s="2234"/>
      <c r="AC4495" s="2234"/>
      <c r="AD4495" s="2235">
        <v>38.26</v>
      </c>
      <c r="AE4495" s="3373">
        <v>38.26</v>
      </c>
      <c r="AF4495" s="2236">
        <v>38.26</v>
      </c>
      <c r="AG4495" s="2234"/>
      <c r="AH4495" s="2237"/>
      <c r="AI4495" s="2237"/>
      <c r="AJ4495" s="2237"/>
      <c r="AK4495" s="2237"/>
      <c r="AL4495" s="2237"/>
      <c r="AM4495" s="2237"/>
      <c r="AN4495" s="2237"/>
      <c r="AO4495" s="2237"/>
      <c r="AP4495" s="2237"/>
      <c r="AQ4495" s="2237"/>
      <c r="AR4495" s="2237"/>
      <c r="AS4495" s="2237"/>
      <c r="AT4495" s="2237"/>
      <c r="AU4495" s="2237"/>
      <c r="AV4495" s="2237"/>
      <c r="AW4495" s="2237"/>
      <c r="AX4495" s="2237"/>
      <c r="AY4495" s="2237"/>
      <c r="AZ4495" s="2237"/>
      <c r="BA4495" s="2237"/>
      <c r="BB4495" s="2237"/>
      <c r="BC4495" s="2237"/>
      <c r="BD4495" s="2237"/>
      <c r="BE4495" s="2237"/>
      <c r="BF4495" s="2237"/>
      <c r="BG4495" s="2237"/>
      <c r="BH4495" s="2237"/>
      <c r="BI4495" s="2237"/>
      <c r="BJ4495" s="2237"/>
      <c r="BK4495" s="2237"/>
      <c r="BL4495" s="2237"/>
      <c r="BM4495" s="2237"/>
      <c r="BN4495" s="2237"/>
      <c r="BO4495" s="2237"/>
      <c r="BP4495" s="2237"/>
      <c r="BQ4495" s="2237"/>
      <c r="BR4495" s="2237"/>
      <c r="BS4495" s="2237"/>
      <c r="BT4495" s="2237"/>
      <c r="BU4495" s="2237"/>
      <c r="BV4495" s="2237"/>
      <c r="BW4495" s="2237"/>
      <c r="BX4495" s="2237"/>
      <c r="BY4495" s="2237"/>
      <c r="BZ4495" s="2237"/>
      <c r="CA4495" s="2237"/>
      <c r="CB4495" s="2237"/>
      <c r="CC4495" s="2237"/>
      <c r="CD4495" s="2237"/>
      <c r="CE4495" s="2237"/>
      <c r="CF4495" s="2237"/>
      <c r="CG4495" s="2237"/>
      <c r="CH4495" s="2237"/>
      <c r="CI4495" s="2237"/>
      <c r="CJ4495" s="2237"/>
      <c r="CK4495" s="2237"/>
      <c r="CL4495" s="2237"/>
      <c r="CM4495" s="2237"/>
      <c r="CN4495" s="2237"/>
      <c r="CO4495" s="2237"/>
      <c r="CP4495" s="2237"/>
      <c r="CQ4495" s="2237"/>
      <c r="CR4495" s="2237"/>
      <c r="CS4495" s="2237"/>
      <c r="CT4495" s="2237"/>
      <c r="CU4495" s="2237"/>
      <c r="CV4495" s="2237"/>
      <c r="CW4495" s="2237"/>
      <c r="CX4495" s="2237"/>
      <c r="CY4495" s="2237"/>
      <c r="CZ4495" s="2237"/>
      <c r="DA4495" s="2237"/>
      <c r="DB4495" s="2237"/>
      <c r="DC4495" s="2237"/>
      <c r="DD4495" s="2237"/>
      <c r="DE4495" s="2237"/>
      <c r="DF4495" s="2237"/>
      <c r="DG4495" s="3415"/>
      <c r="DH4495" s="2522" t="str">
        <f>CONCATENATE(G4495," ",J4495," Year EUL")</f>
        <v>Heating Res 15 Year EUL</v>
      </c>
      <c r="DI4495" s="2511">
        <f>(INDEX('Avoided Cost Benefits'!$B$4:$B$866,MATCH(DH4495,'Avoided Cost Benefits'!$A$4:$A$866,0)))*F4495</f>
        <v>20.656520309489395</v>
      </c>
      <c r="DJ4495" s="2431">
        <f t="shared" si="391"/>
        <v>0</v>
      </c>
    </row>
    <row r="4496" spans="1:114">
      <c r="A4496" s="453"/>
      <c r="B4496" s="1454">
        <f t="shared" si="388"/>
        <v>356350</v>
      </c>
      <c r="C4496" s="1608" t="s">
        <v>2526</v>
      </c>
      <c r="D4496" s="3470" t="s">
        <v>959</v>
      </c>
      <c r="E4496" s="1369" t="s">
        <v>2527</v>
      </c>
      <c r="F4496" s="225">
        <f>ROUND(((J$4596*J$4597*(1/J$4601-1/J$4602))/1000),2)</f>
        <v>16</v>
      </c>
      <c r="G4496" s="84" t="s">
        <v>2077</v>
      </c>
      <c r="H4496" s="69">
        <f>VLOOKUP(G4496,'CP FACTORS'!$A$3:$B$38, 2, FALSE)</f>
        <v>9.4741810000000004E-4</v>
      </c>
      <c r="I4496" s="1028">
        <f t="shared" si="389"/>
        <v>1.5159000000000001E-2</v>
      </c>
      <c r="J4496" s="59">
        <f t="shared" si="392"/>
        <v>15</v>
      </c>
      <c r="K4496" s="174">
        <f>J$4611</f>
        <v>84.93</v>
      </c>
      <c r="L4496" s="1034">
        <f>K$4585</f>
        <v>1.0111111111111111</v>
      </c>
      <c r="M4496" s="238"/>
      <c r="R4496" s="532"/>
      <c r="T4496" s="52"/>
      <c r="U4496" s="52"/>
      <c r="V4496" s="1385" t="s">
        <v>45</v>
      </c>
      <c r="W4496" s="165"/>
      <c r="X4496" s="165"/>
      <c r="Y4496" s="165"/>
      <c r="Z4496" s="165"/>
      <c r="AA4496" s="165"/>
      <c r="AB4496" s="165"/>
      <c r="AC4496" s="165"/>
      <c r="AD4496" s="49">
        <v>16</v>
      </c>
      <c r="AE4496" s="225">
        <v>16</v>
      </c>
      <c r="AF4496" s="271">
        <v>16</v>
      </c>
      <c r="AG4496" s="165"/>
      <c r="DG4496" s="1095">
        <f>(DI4496+DI4497)/(DJ4496+DJ4497)</f>
        <v>16.979625312993974</v>
      </c>
      <c r="DH4496" s="1369" t="str">
        <f t="shared" si="390"/>
        <v>Cooling Res 15 Year EUL</v>
      </c>
      <c r="DI4496" s="993">
        <f>(INDEX('Avoided Cost Benefits'!$B$4:$B$866,MATCH(DH4496,'Avoided Cost Benefits'!$A$4:$A$866,0)))*F4496</f>
        <v>32.517720571422672</v>
      </c>
      <c r="DJ4496" s="1169">
        <f t="shared" si="391"/>
        <v>84.93</v>
      </c>
    </row>
    <row r="4497" spans="1:114">
      <c r="A4497" s="453"/>
      <c r="B4497" s="1454">
        <f t="shared" si="388"/>
        <v>356350</v>
      </c>
      <c r="C4497" s="1608" t="s">
        <v>2526</v>
      </c>
      <c r="D4497" s="3470" t="s">
        <v>959</v>
      </c>
      <c r="E4497" s="1370" t="s">
        <v>2527</v>
      </c>
      <c r="F4497" s="225">
        <f>ROUND(((J$4585*J$4586*(1/J$4591-1/J$4592))/1000),2)</f>
        <v>2610.79</v>
      </c>
      <c r="G4497" s="84" t="s">
        <v>2078</v>
      </c>
      <c r="H4497" s="69">
        <f>VLOOKUP(G4497,'CP FACTORS'!$A$3:$B$38, 2, FALSE)</f>
        <v>0</v>
      </c>
      <c r="I4497" s="1028">
        <f t="shared" si="389"/>
        <v>0</v>
      </c>
      <c r="J4497" s="59">
        <f t="shared" si="392"/>
        <v>15</v>
      </c>
      <c r="K4497" s="174">
        <v>0</v>
      </c>
      <c r="L4497" s="1034"/>
      <c r="M4497" s="238"/>
      <c r="R4497" s="532"/>
      <c r="T4497" s="52"/>
      <c r="U4497" s="52"/>
      <c r="V4497" s="1385" t="s">
        <v>45</v>
      </c>
      <c r="W4497" s="165"/>
      <c r="X4497" s="165"/>
      <c r="Y4497" s="165"/>
      <c r="Z4497" s="165"/>
      <c r="AA4497" s="165"/>
      <c r="AB4497" s="165"/>
      <c r="AC4497" s="165"/>
      <c r="AD4497" s="49">
        <v>2610.79</v>
      </c>
      <c r="AE4497" s="225">
        <v>2610.79</v>
      </c>
      <c r="AF4497" s="271">
        <v>2610.79</v>
      </c>
      <c r="AG4497" s="165"/>
      <c r="DG4497" s="812"/>
      <c r="DH4497" s="1370" t="str">
        <f t="shared" si="390"/>
        <v>Heating Res 15 Year EUL</v>
      </c>
      <c r="DI4497" s="996">
        <f>(INDEX('Avoided Cost Benefits'!$B$4:$B$866,MATCH(DH4497,'Avoided Cost Benefits'!$A$4:$A$866,0)))*F4497</f>
        <v>1409.5618572611556</v>
      </c>
      <c r="DJ4497" s="1171">
        <f t="shared" si="391"/>
        <v>0</v>
      </c>
    </row>
    <row r="4498" spans="1:114">
      <c r="A4498" s="453"/>
      <c r="B4498" s="1454">
        <f t="shared" si="388"/>
        <v>356375</v>
      </c>
      <c r="C4498" s="3416" t="s">
        <v>2528</v>
      </c>
      <c r="D4498" s="3421" t="s">
        <v>1118</v>
      </c>
      <c r="E4498" s="2882" t="s">
        <v>2529</v>
      </c>
      <c r="F4498" s="3418">
        <f>ROUND(((J$4596*J$4598*(1/J$4601-1/J$4602))/1000),2)</f>
        <v>11.64</v>
      </c>
      <c r="G4498" s="3419" t="s">
        <v>2077</v>
      </c>
      <c r="H4498" s="3318">
        <f>VLOOKUP(G4498,'CP FACTORS'!$A$3:$B$38, 2, FALSE)</f>
        <v>9.4741810000000004E-4</v>
      </c>
      <c r="I4498" s="3414">
        <f t="shared" si="389"/>
        <v>1.1028E-2</v>
      </c>
      <c r="J4498" s="3406">
        <f t="shared" si="392"/>
        <v>15</v>
      </c>
      <c r="K4498" s="3420">
        <f>J$4611</f>
        <v>84.93</v>
      </c>
      <c r="L4498" s="2212">
        <f>K$4585</f>
        <v>1.0111111111111111</v>
      </c>
      <c r="M4498" s="3408"/>
      <c r="N4498" s="635"/>
      <c r="O4498" s="635"/>
      <c r="P4498" s="635"/>
      <c r="Q4498" s="635"/>
      <c r="R4498" s="2966"/>
      <c r="S4498" s="2237"/>
      <c r="T4498" s="635"/>
      <c r="U4498" s="635"/>
      <c r="V4498" s="2308" t="s">
        <v>45</v>
      </c>
      <c r="W4498" s="2234"/>
      <c r="X4498" s="2234"/>
      <c r="Y4498" s="2234"/>
      <c r="Z4498" s="2234"/>
      <c r="AA4498" s="2234"/>
      <c r="AB4498" s="2234"/>
      <c r="AC4498" s="2234"/>
      <c r="AD4498" s="2235">
        <v>11.64</v>
      </c>
      <c r="AE4498" s="3418">
        <v>11.64</v>
      </c>
      <c r="AF4498" s="2236">
        <v>11.64</v>
      </c>
      <c r="AG4498" s="2234"/>
      <c r="AH4498" s="2237"/>
      <c r="AI4498" s="2237"/>
      <c r="AJ4498" s="2237"/>
      <c r="AK4498" s="2237"/>
      <c r="AL4498" s="2237"/>
      <c r="AM4498" s="2237"/>
      <c r="AN4498" s="2237"/>
      <c r="AO4498" s="2237"/>
      <c r="AP4498" s="2237"/>
      <c r="AQ4498" s="2237"/>
      <c r="AR4498" s="2237"/>
      <c r="AS4498" s="2237"/>
      <c r="AT4498" s="2237"/>
      <c r="AU4498" s="2237"/>
      <c r="AV4498" s="2237"/>
      <c r="AW4498" s="2237"/>
      <c r="AX4498" s="2237"/>
      <c r="AY4498" s="2237"/>
      <c r="AZ4498" s="2237"/>
      <c r="BA4498" s="2237"/>
      <c r="BB4498" s="2237"/>
      <c r="BC4498" s="2237"/>
      <c r="BD4498" s="2237"/>
      <c r="BE4498" s="2237"/>
      <c r="BF4498" s="2237"/>
      <c r="BG4498" s="2237"/>
      <c r="BH4498" s="2237"/>
      <c r="BI4498" s="2237"/>
      <c r="BJ4498" s="2237"/>
      <c r="BK4498" s="2237"/>
      <c r="BL4498" s="2237"/>
      <c r="BM4498" s="2237"/>
      <c r="BN4498" s="2237"/>
      <c r="BO4498" s="2237"/>
      <c r="BP4498" s="2237"/>
      <c r="BQ4498" s="2237"/>
      <c r="BR4498" s="2237"/>
      <c r="BS4498" s="2237"/>
      <c r="BT4498" s="2237"/>
      <c r="BU4498" s="2237"/>
      <c r="BV4498" s="2237"/>
      <c r="BW4498" s="2237"/>
      <c r="BX4498" s="2237"/>
      <c r="BY4498" s="2237"/>
      <c r="BZ4498" s="2237"/>
      <c r="CA4498" s="2237"/>
      <c r="CB4498" s="2237"/>
      <c r="CC4498" s="2237"/>
      <c r="CD4498" s="2237"/>
      <c r="CE4498" s="2237"/>
      <c r="CF4498" s="2237"/>
      <c r="CG4498" s="2237"/>
      <c r="CH4498" s="2237"/>
      <c r="CI4498" s="2237"/>
      <c r="CJ4498" s="2237"/>
      <c r="CK4498" s="2237"/>
      <c r="CL4498" s="2237"/>
      <c r="CM4498" s="2237"/>
      <c r="CN4498" s="2237"/>
      <c r="CO4498" s="2237"/>
      <c r="CP4498" s="2237"/>
      <c r="CQ4498" s="2237"/>
      <c r="CR4498" s="2237"/>
      <c r="CS4498" s="2237"/>
      <c r="CT4498" s="2237"/>
      <c r="CU4498" s="2237"/>
      <c r="CV4498" s="2237"/>
      <c r="CW4498" s="2237"/>
      <c r="CX4498" s="2237"/>
      <c r="CY4498" s="2237"/>
      <c r="CZ4498" s="2237"/>
      <c r="DA4498" s="2237"/>
      <c r="DB4498" s="2237"/>
      <c r="DC4498" s="2237"/>
      <c r="DD4498" s="2237"/>
      <c r="DE4498" s="2237"/>
      <c r="DF4498" s="2237"/>
      <c r="DG4498" s="3412">
        <f>(DI4498+DI4499)/(DJ4498+DJ4499)</f>
        <v>5.9437592501699292</v>
      </c>
      <c r="DH4498" s="2521" t="str">
        <f>CONCATENATE(G4498," ",J4498," Year EUL")</f>
        <v>Cooling Res 15 Year EUL</v>
      </c>
      <c r="DI4498" s="3245">
        <f>(INDEX('Avoided Cost Benefits'!$B$4:$B$866,MATCH(DH4498,'Avoided Cost Benefits'!$A$4:$A$866,0)))*F4498</f>
        <v>23.656641715709995</v>
      </c>
      <c r="DJ4498" s="2421">
        <f t="shared" si="391"/>
        <v>84.93</v>
      </c>
    </row>
    <row r="4499" spans="1:114">
      <c r="A4499" s="453"/>
      <c r="B4499" s="1454">
        <f t="shared" si="388"/>
        <v>356375</v>
      </c>
      <c r="C4499" s="2209" t="s">
        <v>2528</v>
      </c>
      <c r="D4499" s="3383" t="s">
        <v>1118</v>
      </c>
      <c r="E4499" s="2522" t="s">
        <v>2529</v>
      </c>
      <c r="F4499" s="3373">
        <f>ROUND(((J$4585*J$4587*(1/J$4591-1/J$4592))/1000),2)</f>
        <v>891.18</v>
      </c>
      <c r="G4499" s="2643" t="s">
        <v>2078</v>
      </c>
      <c r="H4499" s="2213">
        <f>VLOOKUP(G4499,'CP FACTORS'!$A$3:$B$38, 2, FALSE)</f>
        <v>0</v>
      </c>
      <c r="I4499" s="3385">
        <f t="shared" si="389"/>
        <v>0</v>
      </c>
      <c r="J4499" s="2449">
        <f t="shared" si="392"/>
        <v>15</v>
      </c>
      <c r="K4499" s="2592">
        <v>0</v>
      </c>
      <c r="L4499" s="2212"/>
      <c r="M4499" s="3408"/>
      <c r="N4499" s="635"/>
      <c r="O4499" s="635"/>
      <c r="P4499" s="635"/>
      <c r="Q4499" s="635"/>
      <c r="R4499" s="2966"/>
      <c r="S4499" s="2237"/>
      <c r="T4499" s="635"/>
      <c r="U4499" s="635"/>
      <c r="V4499" s="2308" t="s">
        <v>45</v>
      </c>
      <c r="W4499" s="2234"/>
      <c r="X4499" s="2234"/>
      <c r="Y4499" s="2234"/>
      <c r="Z4499" s="2234"/>
      <c r="AA4499" s="2234"/>
      <c r="AB4499" s="2234"/>
      <c r="AC4499" s="2234"/>
      <c r="AD4499" s="2235">
        <v>891.18</v>
      </c>
      <c r="AE4499" s="3373">
        <v>891.18</v>
      </c>
      <c r="AF4499" s="2236">
        <v>891.18</v>
      </c>
      <c r="AG4499" s="2234"/>
      <c r="AH4499" s="2237"/>
      <c r="AI4499" s="2237"/>
      <c r="AJ4499" s="2237"/>
      <c r="AK4499" s="2237"/>
      <c r="AL4499" s="2237"/>
      <c r="AM4499" s="2237"/>
      <c r="AN4499" s="2237"/>
      <c r="AO4499" s="2237"/>
      <c r="AP4499" s="2237"/>
      <c r="AQ4499" s="2237"/>
      <c r="AR4499" s="2237"/>
      <c r="AS4499" s="2237"/>
      <c r="AT4499" s="2237"/>
      <c r="AU4499" s="2237"/>
      <c r="AV4499" s="2237"/>
      <c r="AW4499" s="2237"/>
      <c r="AX4499" s="2237"/>
      <c r="AY4499" s="2237"/>
      <c r="AZ4499" s="2237"/>
      <c r="BA4499" s="2237"/>
      <c r="BB4499" s="2237"/>
      <c r="BC4499" s="2237"/>
      <c r="BD4499" s="2237"/>
      <c r="BE4499" s="2237"/>
      <c r="BF4499" s="2237"/>
      <c r="BG4499" s="2237"/>
      <c r="BH4499" s="2237"/>
      <c r="BI4499" s="2237"/>
      <c r="BJ4499" s="2237"/>
      <c r="BK4499" s="2237"/>
      <c r="BL4499" s="2237"/>
      <c r="BM4499" s="2237"/>
      <c r="BN4499" s="2237"/>
      <c r="BO4499" s="2237"/>
      <c r="BP4499" s="2237"/>
      <c r="BQ4499" s="2237"/>
      <c r="BR4499" s="2237"/>
      <c r="BS4499" s="2237"/>
      <c r="BT4499" s="2237"/>
      <c r="BU4499" s="2237"/>
      <c r="BV4499" s="2237"/>
      <c r="BW4499" s="2237"/>
      <c r="BX4499" s="2237"/>
      <c r="BY4499" s="2237"/>
      <c r="BZ4499" s="2237"/>
      <c r="CA4499" s="2237"/>
      <c r="CB4499" s="2237"/>
      <c r="CC4499" s="2237"/>
      <c r="CD4499" s="2237"/>
      <c r="CE4499" s="2237"/>
      <c r="CF4499" s="2237"/>
      <c r="CG4499" s="2237"/>
      <c r="CH4499" s="2237"/>
      <c r="CI4499" s="2237"/>
      <c r="CJ4499" s="2237"/>
      <c r="CK4499" s="2237"/>
      <c r="CL4499" s="2237"/>
      <c r="CM4499" s="2237"/>
      <c r="CN4499" s="2237"/>
      <c r="CO4499" s="2237"/>
      <c r="CP4499" s="2237"/>
      <c r="CQ4499" s="2237"/>
      <c r="CR4499" s="2237"/>
      <c r="CS4499" s="2237"/>
      <c r="CT4499" s="2237"/>
      <c r="CU4499" s="2237"/>
      <c r="CV4499" s="2237"/>
      <c r="CW4499" s="2237"/>
      <c r="CX4499" s="2237"/>
      <c r="CY4499" s="2237"/>
      <c r="CZ4499" s="2237"/>
      <c r="DA4499" s="2237"/>
      <c r="DB4499" s="2237"/>
      <c r="DC4499" s="2237"/>
      <c r="DD4499" s="2237"/>
      <c r="DE4499" s="2237"/>
      <c r="DF4499" s="2237"/>
      <c r="DG4499" s="3415"/>
      <c r="DH4499" s="2522" t="str">
        <f>CONCATENATE(G4499," ",J4499," Year EUL")</f>
        <v>Heating Res 15 Year EUL</v>
      </c>
      <c r="DI4499" s="2511">
        <f>(INDEX('Avoided Cost Benefits'!$B$4:$B$866,MATCH(DH4499,'Avoided Cost Benefits'!$A$4:$A$866,0)))*F4499</f>
        <v>481.14683140122213</v>
      </c>
      <c r="DJ4499" s="2431">
        <f t="shared" si="391"/>
        <v>0</v>
      </c>
    </row>
    <row r="4500" spans="1:114">
      <c r="A4500" s="453"/>
      <c r="B4500" s="1454">
        <f t="shared" si="388"/>
        <v>356400</v>
      </c>
      <c r="C4500" s="2007" t="s">
        <v>2530</v>
      </c>
      <c r="D4500" s="3470" t="s">
        <v>959</v>
      </c>
      <c r="E4500" s="1393" t="s">
        <v>2531</v>
      </c>
      <c r="F4500" s="1585">
        <f>ROUND(((J$4596*J$4597*(1/J$4599-1/J$4603))/1000),2)</f>
        <v>507.53</v>
      </c>
      <c r="G4500" s="1048" t="s">
        <v>2077</v>
      </c>
      <c r="H4500" s="978">
        <f>VLOOKUP(G4500,'CP FACTORS'!$A$3:$B$38, 2, FALSE)</f>
        <v>9.4741810000000004E-4</v>
      </c>
      <c r="I4500" s="2080">
        <f t="shared" si="389"/>
        <v>0.48084300000000002</v>
      </c>
      <c r="J4500" s="1050">
        <f>$J$4608</f>
        <v>5</v>
      </c>
      <c r="K4500" s="2072">
        <f>J$4610</f>
        <v>224.93182686576984</v>
      </c>
      <c r="L4500" s="1051">
        <f>K$4585</f>
        <v>1.0111111111111111</v>
      </c>
      <c r="M4500" s="238"/>
      <c r="R4500" s="532"/>
      <c r="T4500" s="52"/>
      <c r="U4500" s="52"/>
      <c r="V4500" s="1385" t="s">
        <v>45</v>
      </c>
      <c r="W4500" s="165"/>
      <c r="X4500" s="165"/>
      <c r="Y4500" s="165"/>
      <c r="Z4500" s="165"/>
      <c r="AA4500" s="165"/>
      <c r="AB4500" s="165"/>
      <c r="AC4500" s="165"/>
      <c r="AD4500" s="49">
        <v>463.89</v>
      </c>
      <c r="AE4500" s="225">
        <v>463.89</v>
      </c>
      <c r="AF4500" s="271">
        <v>507.53</v>
      </c>
      <c r="AG4500" s="165"/>
      <c r="DG4500" s="1095">
        <f>(DI4500+DI4501+DI4502+DI4503)/(DJ4500+DJ4501+DJ4502+DJ4503)</f>
        <v>3.7048931473641917</v>
      </c>
      <c r="DH4500" s="1369" t="str">
        <f t="shared" si="390"/>
        <v>Cooling Res 5 Year EUL</v>
      </c>
      <c r="DI4500" s="993">
        <f>(INDEX('Avoided Cost Benefits'!$B$4:$B$866,MATCH(DH4500,'Avoided Cost Benefits'!$A$4:$A$866,0)))*F4500</f>
        <v>431.23330971727904</v>
      </c>
      <c r="DJ4500" s="1169">
        <f t="shared" si="391"/>
        <v>224.93182686576984</v>
      </c>
    </row>
    <row r="4501" spans="1:114">
      <c r="A4501" s="453"/>
      <c r="B4501" s="1454">
        <f t="shared" si="388"/>
        <v>356400</v>
      </c>
      <c r="C4501" s="1608" t="s">
        <v>2530</v>
      </c>
      <c r="D4501" s="3470" t="s">
        <v>959</v>
      </c>
      <c r="E4501" s="1393" t="s">
        <v>2531</v>
      </c>
      <c r="F4501" s="225">
        <f>ROUND(((J$4585*J$4586*(1/J$4588-1/J$4593))/1000),2)</f>
        <v>1248.4100000000001</v>
      </c>
      <c r="G4501" s="84" t="s">
        <v>2078</v>
      </c>
      <c r="H4501" s="69">
        <f>VLOOKUP(G4501,'CP FACTORS'!$A$3:$B$38, 2, FALSE)</f>
        <v>0</v>
      </c>
      <c r="I4501" s="1028">
        <f t="shared" si="389"/>
        <v>0</v>
      </c>
      <c r="J4501" s="59">
        <f>$J$4608</f>
        <v>5</v>
      </c>
      <c r="K4501" s="174">
        <v>0</v>
      </c>
      <c r="L4501" s="1034"/>
      <c r="M4501" s="238"/>
      <c r="R4501" s="532"/>
      <c r="T4501" s="52"/>
      <c r="U4501" s="52"/>
      <c r="V4501" s="1385" t="s">
        <v>45</v>
      </c>
      <c r="W4501" s="165"/>
      <c r="X4501" s="165"/>
      <c r="Y4501" s="165"/>
      <c r="Z4501" s="165"/>
      <c r="AA4501" s="165"/>
      <c r="AB4501" s="165"/>
      <c r="AC4501" s="165"/>
      <c r="AD4501" s="49">
        <v>1248.4100000000001</v>
      </c>
      <c r="AE4501" s="225">
        <v>1248.4100000000001</v>
      </c>
      <c r="AF4501" s="271">
        <v>1248.4100000000001</v>
      </c>
      <c r="AG4501" s="165"/>
      <c r="DG4501" s="1096"/>
      <c r="DH4501" s="1393" t="str">
        <f t="shared" si="390"/>
        <v>Heating Res 5 Year EUL</v>
      </c>
      <c r="DI4501" s="1011">
        <f>(INDEX('Avoided Cost Benefits'!$B$4:$B$866,MATCH(DH4501,'Avoided Cost Benefits'!$A$4:$A$866,0)))*F4501</f>
        <v>285.83217925569812</v>
      </c>
      <c r="DJ4501" s="1170">
        <f t="shared" si="391"/>
        <v>0</v>
      </c>
    </row>
    <row r="4502" spans="1:114">
      <c r="A4502" s="453"/>
      <c r="B4502" s="1454">
        <f t="shared" si="388"/>
        <v>356400</v>
      </c>
      <c r="C4502" s="1608" t="s">
        <v>2530</v>
      </c>
      <c r="D4502" s="3470" t="s">
        <v>959</v>
      </c>
      <c r="E4502" s="1393" t="s">
        <v>2532</v>
      </c>
      <c r="F4502" s="1047">
        <f>ROUND(((J$4596*J$4597*(1/J$4601-1/J$4603))/1000),2)</f>
        <v>63.99</v>
      </c>
      <c r="G4502" s="84" t="s">
        <v>2138</v>
      </c>
      <c r="H4502" s="69">
        <f>VLOOKUP(G4502,'CP FACTORS'!$A$3:$B$38, 2, FALSE)</f>
        <v>9.4741810000000004E-4</v>
      </c>
      <c r="I4502" s="1049">
        <f t="shared" si="389"/>
        <v>6.0624999999999998E-2</v>
      </c>
      <c r="J4502" s="59">
        <f>$J$4609</f>
        <v>10</v>
      </c>
      <c r="K4502" s="174">
        <v>0</v>
      </c>
      <c r="L4502" s="1034"/>
      <c r="M4502" s="238"/>
      <c r="R4502" s="532"/>
      <c r="T4502" s="52"/>
      <c r="U4502" s="52"/>
      <c r="V4502" s="1385" t="s">
        <v>45</v>
      </c>
      <c r="W4502" s="165"/>
      <c r="X4502" s="165"/>
      <c r="Y4502" s="165"/>
      <c r="Z4502" s="165"/>
      <c r="AA4502" s="165"/>
      <c r="AB4502" s="165"/>
      <c r="AC4502" s="165"/>
      <c r="AD4502" s="49">
        <v>63.99</v>
      </c>
      <c r="AE4502" s="1047">
        <v>63.99</v>
      </c>
      <c r="AF4502" s="271">
        <v>63.99</v>
      </c>
      <c r="AG4502" s="165"/>
      <c r="DG4502" s="1096"/>
      <c r="DH4502" s="1393" t="str">
        <f t="shared" si="390"/>
        <v>Cooling Res ER2 10 Year EUL</v>
      </c>
      <c r="DI4502" s="1011">
        <f>(INDEX('Avoided Cost Benefits'!$B$4:$B$866,MATCH(DH4502,'Avoided Cost Benefits'!$A$4:$A$866,0)))*F4502</f>
        <v>75.680138264628496</v>
      </c>
      <c r="DJ4502" s="1170">
        <f t="shared" si="391"/>
        <v>0</v>
      </c>
    </row>
    <row r="4503" spans="1:114">
      <c r="A4503" s="453"/>
      <c r="B4503" s="1454">
        <f t="shared" si="388"/>
        <v>356400</v>
      </c>
      <c r="C4503" s="1608" t="s">
        <v>2530</v>
      </c>
      <c r="D4503" s="3470" t="s">
        <v>959</v>
      </c>
      <c r="E4503" s="1370" t="s">
        <v>2532</v>
      </c>
      <c r="F4503" s="225">
        <f>ROUND(((J$4585*J$4586*(1/J$4589-1/J$4593))/1000),2)</f>
        <v>130.58000000000001</v>
      </c>
      <c r="G4503" s="84" t="s">
        <v>2173</v>
      </c>
      <c r="H4503" s="69">
        <f>VLOOKUP(G4503,'CP FACTORS'!$A$3:$B$38, 2, FALSE)</f>
        <v>0</v>
      </c>
      <c r="I4503" s="1028">
        <f t="shared" si="389"/>
        <v>0</v>
      </c>
      <c r="J4503" s="59">
        <f>$J$4609</f>
        <v>10</v>
      </c>
      <c r="K4503" s="174">
        <v>0</v>
      </c>
      <c r="L4503" s="1034"/>
      <c r="M4503" s="238"/>
      <c r="R4503" s="532"/>
      <c r="T4503" s="52"/>
      <c r="U4503" s="52"/>
      <c r="V4503" s="1385" t="s">
        <v>45</v>
      </c>
      <c r="W4503" s="165"/>
      <c r="X4503" s="165"/>
      <c r="Y4503" s="165"/>
      <c r="Z4503" s="165"/>
      <c r="AA4503" s="165"/>
      <c r="AB4503" s="165"/>
      <c r="AC4503" s="165"/>
      <c r="AD4503" s="49">
        <v>130.58000000000001</v>
      </c>
      <c r="AE4503" s="225">
        <v>130.58000000000001</v>
      </c>
      <c r="AF4503" s="271">
        <v>130.58000000000001</v>
      </c>
      <c r="AG4503" s="165"/>
      <c r="DG4503" s="812"/>
      <c r="DH4503" s="1370" t="str">
        <f t="shared" si="390"/>
        <v>Heating Res ER2 10 Year EUL</v>
      </c>
      <c r="DI4503" s="996">
        <f>(INDEX('Avoided Cost Benefits'!$B$4:$B$866,MATCH(DH4503,'Avoided Cost Benefits'!$A$4:$A$866,0)))*F4503</f>
        <v>40.602756741493856</v>
      </c>
      <c r="DJ4503" s="1171">
        <f t="shared" si="391"/>
        <v>0</v>
      </c>
    </row>
    <row r="4504" spans="1:114">
      <c r="A4504" s="453"/>
      <c r="B4504" s="1454">
        <f t="shared" si="388"/>
        <v>356425</v>
      </c>
      <c r="C4504" s="2209" t="s">
        <v>2533</v>
      </c>
      <c r="D4504" s="3383" t="s">
        <v>1118</v>
      </c>
      <c r="E4504" s="2521" t="s">
        <v>2534</v>
      </c>
      <c r="F4504" s="3369">
        <f>ROUND(((J$4596*J$4598*(1/J$4599-1/J$4603))/1000),2)</f>
        <v>369.34</v>
      </c>
      <c r="G4504" s="2643" t="s">
        <v>2077</v>
      </c>
      <c r="H4504" s="2213">
        <f>VLOOKUP(G4504,'CP FACTORS'!$A$3:$B$38, 2, FALSE)</f>
        <v>9.4741810000000004E-4</v>
      </c>
      <c r="I4504" s="3394">
        <f t="shared" si="389"/>
        <v>0.34991899999999998</v>
      </c>
      <c r="J4504" s="3406">
        <f>$J$4608</f>
        <v>5</v>
      </c>
      <c r="K4504" s="3407">
        <f>J$4610</f>
        <v>224.93182686576984</v>
      </c>
      <c r="L4504" s="2212">
        <f>K$4585</f>
        <v>1.0111111111111111</v>
      </c>
      <c r="M4504" s="3408"/>
      <c r="N4504" s="635"/>
      <c r="O4504" s="635"/>
      <c r="P4504" s="635"/>
      <c r="Q4504" s="635"/>
      <c r="R4504" s="2966"/>
      <c r="S4504" s="2237"/>
      <c r="T4504" s="635"/>
      <c r="U4504" s="635"/>
      <c r="V4504" s="3409" t="s">
        <v>45</v>
      </c>
      <c r="W4504" s="3410"/>
      <c r="X4504" s="3410"/>
      <c r="Y4504" s="3410"/>
      <c r="Z4504" s="3410"/>
      <c r="AA4504" s="3410"/>
      <c r="AB4504" s="3410"/>
      <c r="AC4504" s="3410"/>
      <c r="AD4504" s="3411">
        <v>337.58</v>
      </c>
      <c r="AE4504" s="3373">
        <v>337.58</v>
      </c>
      <c r="AF4504" s="2236">
        <v>369.34</v>
      </c>
      <c r="AG4504" s="3410"/>
      <c r="AH4504" s="2237"/>
      <c r="AI4504" s="2237"/>
      <c r="AJ4504" s="2237"/>
      <c r="AK4504" s="2237"/>
      <c r="AL4504" s="2237"/>
      <c r="AM4504" s="2237"/>
      <c r="AN4504" s="2237"/>
      <c r="AO4504" s="2237"/>
      <c r="AP4504" s="2237"/>
      <c r="AQ4504" s="2237"/>
      <c r="AR4504" s="2237"/>
      <c r="AS4504" s="2237"/>
      <c r="AT4504" s="2237"/>
      <c r="AU4504" s="2237"/>
      <c r="AV4504" s="2237"/>
      <c r="AW4504" s="2237"/>
      <c r="AX4504" s="2237"/>
      <c r="AY4504" s="2237"/>
      <c r="AZ4504" s="2237"/>
      <c r="BA4504" s="2237"/>
      <c r="BB4504" s="2237"/>
      <c r="BC4504" s="2237"/>
      <c r="BD4504" s="2237"/>
      <c r="BE4504" s="2237"/>
      <c r="BF4504" s="2237"/>
      <c r="BG4504" s="2237"/>
      <c r="BH4504" s="2237"/>
      <c r="BI4504" s="2237"/>
      <c r="BJ4504" s="2237"/>
      <c r="BK4504" s="2237"/>
      <c r="BL4504" s="2237"/>
      <c r="BM4504" s="2237"/>
      <c r="BN4504" s="2237"/>
      <c r="BO4504" s="2237"/>
      <c r="BP4504" s="2237"/>
      <c r="BQ4504" s="2237"/>
      <c r="BR4504" s="2237"/>
      <c r="BS4504" s="2237"/>
      <c r="BT4504" s="2237"/>
      <c r="BU4504" s="2237"/>
      <c r="BV4504" s="2237"/>
      <c r="BW4504" s="2237"/>
      <c r="BX4504" s="2237"/>
      <c r="BY4504" s="2237"/>
      <c r="BZ4504" s="2237"/>
      <c r="CA4504" s="2237"/>
      <c r="CB4504" s="2237"/>
      <c r="CC4504" s="2237"/>
      <c r="CD4504" s="2237"/>
      <c r="CE4504" s="2237"/>
      <c r="CF4504" s="2237"/>
      <c r="CG4504" s="2237"/>
      <c r="CH4504" s="2237"/>
      <c r="CI4504" s="2237"/>
      <c r="CJ4504" s="2237"/>
      <c r="CK4504" s="2237"/>
      <c r="CL4504" s="2237"/>
      <c r="CM4504" s="2237"/>
      <c r="CN4504" s="2237"/>
      <c r="CO4504" s="2237"/>
      <c r="CP4504" s="2237"/>
      <c r="CQ4504" s="2237"/>
      <c r="CR4504" s="2237"/>
      <c r="CS4504" s="2237"/>
      <c r="CT4504" s="2237"/>
      <c r="CU4504" s="2237"/>
      <c r="CV4504" s="2237"/>
      <c r="CW4504" s="2237"/>
      <c r="CX4504" s="2237"/>
      <c r="CY4504" s="2237"/>
      <c r="CZ4504" s="2237"/>
      <c r="DA4504" s="2237"/>
      <c r="DB4504" s="2237"/>
      <c r="DC4504" s="2237"/>
      <c r="DD4504" s="2237"/>
      <c r="DE4504" s="2237"/>
      <c r="DF4504" s="2237"/>
      <c r="DG4504" s="3412">
        <f>(DI4504+DI4505+DI4506+DI4507)/(DJ4504+DJ4505+DJ4506+DJ4507)</f>
        <v>2.1353564658805624</v>
      </c>
      <c r="DH4504" s="2521" t="str">
        <f t="shared" si="390"/>
        <v>Cooling Res 5 Year EUL</v>
      </c>
      <c r="DI4504" s="3245">
        <f>(INDEX('Avoided Cost Benefits'!$B$4:$B$866,MATCH(DH4504,'Avoided Cost Benefits'!$A$4:$A$866,0)))*F4504</f>
        <v>313.81733219904208</v>
      </c>
      <c r="DJ4504" s="2421">
        <f t="shared" si="391"/>
        <v>224.93182686576984</v>
      </c>
    </row>
    <row r="4505" spans="1:114">
      <c r="A4505" s="453"/>
      <c r="B4505" s="1454">
        <f t="shared" si="388"/>
        <v>356425</v>
      </c>
      <c r="C4505" s="2209" t="s">
        <v>2533</v>
      </c>
      <c r="D4505" s="3383" t="s">
        <v>1118</v>
      </c>
      <c r="E4505" s="2882" t="s">
        <v>2534</v>
      </c>
      <c r="F4505" s="3373">
        <f>ROUND(((J$4585*J$4587*(1/J$4588-1/J$4593))/1000),2)</f>
        <v>426.14</v>
      </c>
      <c r="G4505" s="2643" t="s">
        <v>2078</v>
      </c>
      <c r="H4505" s="2213">
        <f>VLOOKUP(G4505,'CP FACTORS'!$A$3:$B$38, 2, FALSE)</f>
        <v>0</v>
      </c>
      <c r="I4505" s="3385">
        <f t="shared" si="389"/>
        <v>0</v>
      </c>
      <c r="J4505" s="2449">
        <f>$J$4608</f>
        <v>5</v>
      </c>
      <c r="K4505" s="2592">
        <v>0</v>
      </c>
      <c r="L4505" s="2212"/>
      <c r="M4505" s="3408"/>
      <c r="N4505" s="635"/>
      <c r="O4505" s="635"/>
      <c r="P4505" s="635"/>
      <c r="Q4505" s="635"/>
      <c r="R4505" s="2966"/>
      <c r="S4505" s="2237"/>
      <c r="T4505" s="635"/>
      <c r="U4505" s="635"/>
      <c r="V4505" s="2308" t="s">
        <v>45</v>
      </c>
      <c r="W4505" s="2234"/>
      <c r="X4505" s="2234"/>
      <c r="Y4505" s="2234"/>
      <c r="Z4505" s="2234"/>
      <c r="AA4505" s="2234"/>
      <c r="AB4505" s="2234"/>
      <c r="AC4505" s="2234"/>
      <c r="AD4505" s="2235">
        <v>426.14</v>
      </c>
      <c r="AE4505" s="3373">
        <v>426.14</v>
      </c>
      <c r="AF4505" s="2236">
        <v>426.14</v>
      </c>
      <c r="AG4505" s="2234"/>
      <c r="AH4505" s="2237"/>
      <c r="AI4505" s="2237"/>
      <c r="AJ4505" s="2237"/>
      <c r="AK4505" s="2237"/>
      <c r="AL4505" s="2237"/>
      <c r="AM4505" s="2237"/>
      <c r="AN4505" s="2237"/>
      <c r="AO4505" s="2237"/>
      <c r="AP4505" s="2237"/>
      <c r="AQ4505" s="2237"/>
      <c r="AR4505" s="2237"/>
      <c r="AS4505" s="2237"/>
      <c r="AT4505" s="2237"/>
      <c r="AU4505" s="2237"/>
      <c r="AV4505" s="2237"/>
      <c r="AW4505" s="2237"/>
      <c r="AX4505" s="2237"/>
      <c r="AY4505" s="2237"/>
      <c r="AZ4505" s="2237"/>
      <c r="BA4505" s="2237"/>
      <c r="BB4505" s="2237"/>
      <c r="BC4505" s="2237"/>
      <c r="BD4505" s="2237"/>
      <c r="BE4505" s="2237"/>
      <c r="BF4505" s="2237"/>
      <c r="BG4505" s="2237"/>
      <c r="BH4505" s="2237"/>
      <c r="BI4505" s="2237"/>
      <c r="BJ4505" s="2237"/>
      <c r="BK4505" s="2237"/>
      <c r="BL4505" s="2237"/>
      <c r="BM4505" s="2237"/>
      <c r="BN4505" s="2237"/>
      <c r="BO4505" s="2237"/>
      <c r="BP4505" s="2237"/>
      <c r="BQ4505" s="2237"/>
      <c r="BR4505" s="2237"/>
      <c r="BS4505" s="2237"/>
      <c r="BT4505" s="2237"/>
      <c r="BU4505" s="2237"/>
      <c r="BV4505" s="2237"/>
      <c r="BW4505" s="2237"/>
      <c r="BX4505" s="2237"/>
      <c r="BY4505" s="2237"/>
      <c r="BZ4505" s="2237"/>
      <c r="CA4505" s="2237"/>
      <c r="CB4505" s="2237"/>
      <c r="CC4505" s="2237"/>
      <c r="CD4505" s="2237"/>
      <c r="CE4505" s="2237"/>
      <c r="CF4505" s="2237"/>
      <c r="CG4505" s="2237"/>
      <c r="CH4505" s="2237"/>
      <c r="CI4505" s="2237"/>
      <c r="CJ4505" s="2237"/>
      <c r="CK4505" s="2237"/>
      <c r="CL4505" s="2237"/>
      <c r="CM4505" s="2237"/>
      <c r="CN4505" s="2237"/>
      <c r="CO4505" s="2237"/>
      <c r="CP4505" s="2237"/>
      <c r="CQ4505" s="2237"/>
      <c r="CR4505" s="2237"/>
      <c r="CS4505" s="2237"/>
      <c r="CT4505" s="2237"/>
      <c r="CU4505" s="2237"/>
      <c r="CV4505" s="2237"/>
      <c r="CW4505" s="2237"/>
      <c r="CX4505" s="2237"/>
      <c r="CY4505" s="2237"/>
      <c r="CZ4505" s="2237"/>
      <c r="DA4505" s="2237"/>
      <c r="DB4505" s="2237"/>
      <c r="DC4505" s="2237"/>
      <c r="DD4505" s="2237"/>
      <c r="DE4505" s="2237"/>
      <c r="DF4505" s="2237"/>
      <c r="DG4505" s="3413"/>
      <c r="DH4505" s="2882" t="str">
        <f t="shared" si="390"/>
        <v>Heating Res 5 Year EUL</v>
      </c>
      <c r="DI4505" s="2509">
        <f>(INDEX('Avoided Cost Benefits'!$B$4:$B$866,MATCH(DH4505,'Avoided Cost Benefits'!$A$4:$A$866,0)))*F4505</f>
        <v>97.567726041943899</v>
      </c>
      <c r="DJ4505" s="2424">
        <f t="shared" si="391"/>
        <v>0</v>
      </c>
    </row>
    <row r="4506" spans="1:114">
      <c r="A4506" s="453"/>
      <c r="B4506" s="1454">
        <f t="shared" si="388"/>
        <v>356425</v>
      </c>
      <c r="C4506" s="2209" t="s">
        <v>2533</v>
      </c>
      <c r="D4506" s="3383" t="s">
        <v>1118</v>
      </c>
      <c r="E4506" s="2882" t="s">
        <v>2535</v>
      </c>
      <c r="F4506" s="3373">
        <f>ROUND(((J$4596*J$4598*(1/J$4601-1/J$4603))/1000),2)</f>
        <v>46.56</v>
      </c>
      <c r="G4506" s="2643" t="s">
        <v>2138</v>
      </c>
      <c r="H4506" s="2213">
        <f>VLOOKUP(G4506,'CP FACTORS'!$A$3:$B$38, 2, FALSE)</f>
        <v>9.4741810000000004E-4</v>
      </c>
      <c r="I4506" s="3414">
        <f t="shared" si="389"/>
        <v>4.4111999999999998E-2</v>
      </c>
      <c r="J4506" s="2449">
        <f>$J$4609</f>
        <v>10</v>
      </c>
      <c r="K4506" s="2592">
        <v>0</v>
      </c>
      <c r="L4506" s="2212"/>
      <c r="M4506" s="3408"/>
      <c r="N4506" s="635"/>
      <c r="O4506" s="635"/>
      <c r="P4506" s="635"/>
      <c r="Q4506" s="635"/>
      <c r="R4506" s="2966"/>
      <c r="S4506" s="2237"/>
      <c r="T4506" s="635"/>
      <c r="U4506" s="635"/>
      <c r="V4506" s="2308" t="s">
        <v>45</v>
      </c>
      <c r="W4506" s="2234"/>
      <c r="X4506" s="2234"/>
      <c r="Y4506" s="2234"/>
      <c r="Z4506" s="2234"/>
      <c r="AA4506" s="2234"/>
      <c r="AB4506" s="2234"/>
      <c r="AC4506" s="2234"/>
      <c r="AD4506" s="2235">
        <v>46.56</v>
      </c>
      <c r="AE4506" s="3373">
        <v>46.56</v>
      </c>
      <c r="AF4506" s="2236">
        <v>46.56</v>
      </c>
      <c r="AG4506" s="2234"/>
      <c r="AH4506" s="2237"/>
      <c r="AI4506" s="2237"/>
      <c r="AJ4506" s="2237"/>
      <c r="AK4506" s="2237"/>
      <c r="AL4506" s="2237"/>
      <c r="AM4506" s="2237"/>
      <c r="AN4506" s="2237"/>
      <c r="AO4506" s="2237"/>
      <c r="AP4506" s="2237"/>
      <c r="AQ4506" s="2237"/>
      <c r="AR4506" s="2237"/>
      <c r="AS4506" s="2237"/>
      <c r="AT4506" s="2237"/>
      <c r="AU4506" s="2237"/>
      <c r="AV4506" s="2237"/>
      <c r="AW4506" s="2237"/>
      <c r="AX4506" s="2237"/>
      <c r="AY4506" s="2237"/>
      <c r="AZ4506" s="2237"/>
      <c r="BA4506" s="2237"/>
      <c r="BB4506" s="2237"/>
      <c r="BC4506" s="2237"/>
      <c r="BD4506" s="2237"/>
      <c r="BE4506" s="2237"/>
      <c r="BF4506" s="2237"/>
      <c r="BG4506" s="2237"/>
      <c r="BH4506" s="2237"/>
      <c r="BI4506" s="2237"/>
      <c r="BJ4506" s="2237"/>
      <c r="BK4506" s="2237"/>
      <c r="BL4506" s="2237"/>
      <c r="BM4506" s="2237"/>
      <c r="BN4506" s="2237"/>
      <c r="BO4506" s="2237"/>
      <c r="BP4506" s="2237"/>
      <c r="BQ4506" s="2237"/>
      <c r="BR4506" s="2237"/>
      <c r="BS4506" s="2237"/>
      <c r="BT4506" s="2237"/>
      <c r="BU4506" s="2237"/>
      <c r="BV4506" s="2237"/>
      <c r="BW4506" s="2237"/>
      <c r="BX4506" s="2237"/>
      <c r="BY4506" s="2237"/>
      <c r="BZ4506" s="2237"/>
      <c r="CA4506" s="2237"/>
      <c r="CB4506" s="2237"/>
      <c r="CC4506" s="2237"/>
      <c r="CD4506" s="2237"/>
      <c r="CE4506" s="2237"/>
      <c r="CF4506" s="2237"/>
      <c r="CG4506" s="2237"/>
      <c r="CH4506" s="2237"/>
      <c r="CI4506" s="2237"/>
      <c r="CJ4506" s="2237"/>
      <c r="CK4506" s="2237"/>
      <c r="CL4506" s="2237"/>
      <c r="CM4506" s="2237"/>
      <c r="CN4506" s="2237"/>
      <c r="CO4506" s="2237"/>
      <c r="CP4506" s="2237"/>
      <c r="CQ4506" s="2237"/>
      <c r="CR4506" s="2237"/>
      <c r="CS4506" s="2237"/>
      <c r="CT4506" s="2237"/>
      <c r="CU4506" s="2237"/>
      <c r="CV4506" s="2237"/>
      <c r="CW4506" s="2237"/>
      <c r="CX4506" s="2237"/>
      <c r="CY4506" s="2237"/>
      <c r="CZ4506" s="2237"/>
      <c r="DA4506" s="2237"/>
      <c r="DB4506" s="2237"/>
      <c r="DC4506" s="2237"/>
      <c r="DD4506" s="2237"/>
      <c r="DE4506" s="2237"/>
      <c r="DF4506" s="2237"/>
      <c r="DG4506" s="3413"/>
      <c r="DH4506" s="2882" t="str">
        <f t="shared" si="390"/>
        <v>Cooling Res ER2 10 Year EUL</v>
      </c>
      <c r="DI4506" s="2509">
        <f>(INDEX('Avoided Cost Benefits'!$B$4:$B$866,MATCH(DH4506,'Avoided Cost Benefits'!$A$4:$A$866,0)))*F4506</f>
        <v>55.065904635116468</v>
      </c>
      <c r="DJ4506" s="2424">
        <f t="shared" si="391"/>
        <v>0</v>
      </c>
    </row>
    <row r="4507" spans="1:114">
      <c r="A4507" s="453"/>
      <c r="B4507" s="1454">
        <f t="shared" si="388"/>
        <v>356425</v>
      </c>
      <c r="C4507" s="2209" t="s">
        <v>2533</v>
      </c>
      <c r="D4507" s="3383" t="s">
        <v>1118</v>
      </c>
      <c r="E4507" s="2522" t="s">
        <v>2535</v>
      </c>
      <c r="F4507" s="3373">
        <f>ROUND(((J$4585*J$4587*(1/J$4589-1/J$4593))/1000),2)</f>
        <v>44.57</v>
      </c>
      <c r="G4507" s="2643" t="s">
        <v>2173</v>
      </c>
      <c r="H4507" s="2213">
        <f>VLOOKUP(G4507,'CP FACTORS'!$A$3:$B$38, 2, FALSE)</f>
        <v>0</v>
      </c>
      <c r="I4507" s="3385">
        <f t="shared" si="389"/>
        <v>0</v>
      </c>
      <c r="J4507" s="2449">
        <f>$J$4609</f>
        <v>10</v>
      </c>
      <c r="K4507" s="2592">
        <v>0</v>
      </c>
      <c r="L4507" s="2212"/>
      <c r="M4507" s="3408"/>
      <c r="N4507" s="635"/>
      <c r="O4507" s="635"/>
      <c r="P4507" s="635"/>
      <c r="Q4507" s="635"/>
      <c r="R4507" s="2966"/>
      <c r="S4507" s="2237"/>
      <c r="T4507" s="635"/>
      <c r="U4507" s="635"/>
      <c r="V4507" s="2308" t="s">
        <v>45</v>
      </c>
      <c r="W4507" s="2234"/>
      <c r="X4507" s="2234"/>
      <c r="Y4507" s="2234"/>
      <c r="Z4507" s="2234"/>
      <c r="AA4507" s="2234"/>
      <c r="AB4507" s="2234"/>
      <c r="AC4507" s="2234"/>
      <c r="AD4507" s="2235">
        <v>44.57</v>
      </c>
      <c r="AE4507" s="3373">
        <v>44.57</v>
      </c>
      <c r="AF4507" s="2236">
        <v>44.57</v>
      </c>
      <c r="AG4507" s="2234"/>
      <c r="AH4507" s="2237"/>
      <c r="AI4507" s="2237"/>
      <c r="AJ4507" s="2237"/>
      <c r="AK4507" s="2237"/>
      <c r="AL4507" s="2237"/>
      <c r="AM4507" s="2237"/>
      <c r="AN4507" s="2237"/>
      <c r="AO4507" s="2237"/>
      <c r="AP4507" s="2237"/>
      <c r="AQ4507" s="2237"/>
      <c r="AR4507" s="2237"/>
      <c r="AS4507" s="2237"/>
      <c r="AT4507" s="2237"/>
      <c r="AU4507" s="2237"/>
      <c r="AV4507" s="2237"/>
      <c r="AW4507" s="2237"/>
      <c r="AX4507" s="2237"/>
      <c r="AY4507" s="2237"/>
      <c r="AZ4507" s="2237"/>
      <c r="BA4507" s="2237"/>
      <c r="BB4507" s="2237"/>
      <c r="BC4507" s="2237"/>
      <c r="BD4507" s="2237"/>
      <c r="BE4507" s="2237"/>
      <c r="BF4507" s="2237"/>
      <c r="BG4507" s="2237"/>
      <c r="BH4507" s="2237"/>
      <c r="BI4507" s="2237"/>
      <c r="BJ4507" s="2237"/>
      <c r="BK4507" s="2237"/>
      <c r="BL4507" s="2237"/>
      <c r="BM4507" s="2237"/>
      <c r="BN4507" s="2237"/>
      <c r="BO4507" s="2237"/>
      <c r="BP4507" s="2237"/>
      <c r="BQ4507" s="2237"/>
      <c r="BR4507" s="2237"/>
      <c r="BS4507" s="2237"/>
      <c r="BT4507" s="2237"/>
      <c r="BU4507" s="2237"/>
      <c r="BV4507" s="2237"/>
      <c r="BW4507" s="2237"/>
      <c r="BX4507" s="2237"/>
      <c r="BY4507" s="2237"/>
      <c r="BZ4507" s="2237"/>
      <c r="CA4507" s="2237"/>
      <c r="CB4507" s="2237"/>
      <c r="CC4507" s="2237"/>
      <c r="CD4507" s="2237"/>
      <c r="CE4507" s="2237"/>
      <c r="CF4507" s="2237"/>
      <c r="CG4507" s="2237"/>
      <c r="CH4507" s="2237"/>
      <c r="CI4507" s="2237"/>
      <c r="CJ4507" s="2237"/>
      <c r="CK4507" s="2237"/>
      <c r="CL4507" s="2237"/>
      <c r="CM4507" s="2237"/>
      <c r="CN4507" s="2237"/>
      <c r="CO4507" s="2237"/>
      <c r="CP4507" s="2237"/>
      <c r="CQ4507" s="2237"/>
      <c r="CR4507" s="2237"/>
      <c r="CS4507" s="2237"/>
      <c r="CT4507" s="2237"/>
      <c r="CU4507" s="2237"/>
      <c r="CV4507" s="2237"/>
      <c r="CW4507" s="2237"/>
      <c r="CX4507" s="2237"/>
      <c r="CY4507" s="2237"/>
      <c r="CZ4507" s="2237"/>
      <c r="DA4507" s="2237"/>
      <c r="DB4507" s="2237"/>
      <c r="DC4507" s="2237"/>
      <c r="DD4507" s="2237"/>
      <c r="DE4507" s="2237"/>
      <c r="DF4507" s="2237"/>
      <c r="DG4507" s="3415"/>
      <c r="DH4507" s="2522" t="str">
        <f t="shared" si="390"/>
        <v>Heating Res ER2 10 Year EUL</v>
      </c>
      <c r="DI4507" s="2511">
        <f>(INDEX('Avoided Cost Benefits'!$B$4:$B$866,MATCH(DH4507,'Avoided Cost Benefits'!$A$4:$A$866,0)))*F4507</f>
        <v>13.858668004046415</v>
      </c>
      <c r="DJ4507" s="2431">
        <f t="shared" si="391"/>
        <v>0</v>
      </c>
    </row>
    <row r="4508" spans="1:114">
      <c r="A4508" s="453"/>
      <c r="B4508" s="1454">
        <f t="shared" si="388"/>
        <v>356450</v>
      </c>
      <c r="C4508" s="1608" t="s">
        <v>2536</v>
      </c>
      <c r="D4508" s="3470" t="s">
        <v>959</v>
      </c>
      <c r="E4508" s="1369" t="s">
        <v>2537</v>
      </c>
      <c r="F4508" s="227">
        <f>ROUND(((J$4596*J$4597*(1/J$4600-1/J$4603))/1000),2)</f>
        <v>570.58000000000004</v>
      </c>
      <c r="G4508" s="84" t="s">
        <v>2077</v>
      </c>
      <c r="H4508" s="69">
        <f>VLOOKUP(G4508,'CP FACTORS'!$A$3:$B$38, 2, FALSE)</f>
        <v>9.4741810000000004E-4</v>
      </c>
      <c r="I4508" s="1476">
        <f t="shared" ref="I4508:I4539" si="393">ROUND(F4508*H4508,6)</f>
        <v>0.540578</v>
      </c>
      <c r="J4508" s="1050">
        <f>$J$4608</f>
        <v>5</v>
      </c>
      <c r="K4508" s="2072">
        <f>J$4610</f>
        <v>224.93182686576984</v>
      </c>
      <c r="L4508" s="1034">
        <f>K$4585</f>
        <v>1.0111111111111111</v>
      </c>
      <c r="M4508" s="238"/>
      <c r="R4508" s="532"/>
      <c r="T4508" s="52"/>
      <c r="U4508" s="52"/>
      <c r="V4508" s="1389" t="s">
        <v>45</v>
      </c>
      <c r="W4508" s="966"/>
      <c r="X4508" s="966"/>
      <c r="Y4508" s="966"/>
      <c r="Z4508" s="966"/>
      <c r="AA4508" s="966"/>
      <c r="AB4508" s="966"/>
      <c r="AC4508" s="966"/>
      <c r="AD4508" s="1032">
        <v>525.04999999999995</v>
      </c>
      <c r="AE4508" s="225">
        <v>525.04999999999995</v>
      </c>
      <c r="AF4508" s="271">
        <v>570.58000000000004</v>
      </c>
      <c r="AG4508" s="966"/>
      <c r="DG4508" s="1095">
        <f>(DI4508+DI4509+DI4510+DI4511)/(DJ4508+DJ4509+DJ4510+DJ4511)</f>
        <v>8.8028234464282242</v>
      </c>
      <c r="DH4508" s="1369" t="str">
        <f t="shared" si="390"/>
        <v>Cooling Res 5 Year EUL</v>
      </c>
      <c r="DI4508" s="993">
        <f>(INDEX('Avoided Cost Benefits'!$B$4:$B$866,MATCH(DH4508,'Avoided Cost Benefits'!$A$4:$A$866,0)))*F4508</f>
        <v>484.80503981732136</v>
      </c>
      <c r="DJ4508" s="1169">
        <f t="shared" ref="DJ4508:DJ4539" si="394">K4508/(1.0686^(2025-2025))</f>
        <v>224.93182686576984</v>
      </c>
    </row>
    <row r="4509" spans="1:114">
      <c r="A4509" s="453"/>
      <c r="B4509" s="1454">
        <f t="shared" si="388"/>
        <v>356450</v>
      </c>
      <c r="C4509" s="1608" t="s">
        <v>2536</v>
      </c>
      <c r="D4509" s="3470" t="s">
        <v>959</v>
      </c>
      <c r="E4509" s="1393" t="s">
        <v>2537</v>
      </c>
      <c r="F4509" s="225">
        <f>ROUND(((J$4585*J$4586*(1/J$4590-1/J$4593))/1000),2)</f>
        <v>2629.29</v>
      </c>
      <c r="G4509" s="84" t="s">
        <v>2078</v>
      </c>
      <c r="H4509" s="69">
        <f>VLOOKUP(G4509,'CP FACTORS'!$A$3:$B$38, 2, FALSE)</f>
        <v>0</v>
      </c>
      <c r="I4509" s="1028">
        <f t="shared" si="393"/>
        <v>0</v>
      </c>
      <c r="J4509" s="59">
        <f>$J$4608</f>
        <v>5</v>
      </c>
      <c r="K4509" s="174">
        <v>0</v>
      </c>
      <c r="L4509" s="1034"/>
      <c r="M4509" s="238"/>
      <c r="R4509" s="532"/>
      <c r="T4509" s="52"/>
      <c r="U4509" s="52"/>
      <c r="V4509" s="1385" t="s">
        <v>45</v>
      </c>
      <c r="W4509" s="165"/>
      <c r="X4509" s="165"/>
      <c r="Y4509" s="165"/>
      <c r="Z4509" s="165"/>
      <c r="AA4509" s="165"/>
      <c r="AB4509" s="165"/>
      <c r="AC4509" s="165"/>
      <c r="AD4509" s="49">
        <v>2629.29</v>
      </c>
      <c r="AE4509" s="225">
        <v>2629.29</v>
      </c>
      <c r="AF4509" s="271">
        <v>2629.29</v>
      </c>
      <c r="AG4509" s="165"/>
      <c r="DG4509" s="1096"/>
      <c r="DH4509" s="1393" t="str">
        <f t="shared" si="390"/>
        <v>Heating Res 5 Year EUL</v>
      </c>
      <c r="DI4509" s="1011">
        <f>(INDEX('Avoided Cost Benefits'!$B$4:$B$866,MATCH(DH4509,'Avoided Cost Benefits'!$A$4:$A$866,0)))*F4509</f>
        <v>601.99428921204924</v>
      </c>
      <c r="DJ4509" s="1170">
        <f t="shared" si="394"/>
        <v>0</v>
      </c>
    </row>
    <row r="4510" spans="1:114">
      <c r="A4510" s="453"/>
      <c r="B4510" s="1454">
        <f t="shared" si="388"/>
        <v>356450</v>
      </c>
      <c r="C4510" s="1608" t="s">
        <v>2536</v>
      </c>
      <c r="D4510" s="3470" t="s">
        <v>959</v>
      </c>
      <c r="E4510" s="1393" t="s">
        <v>2538</v>
      </c>
      <c r="F4510" s="225">
        <f>ROUND(((J$4596*J$4597*(1/J$4601-1/J$4603))/1000),2)</f>
        <v>63.99</v>
      </c>
      <c r="G4510" s="84" t="s">
        <v>2138</v>
      </c>
      <c r="H4510" s="69">
        <f>VLOOKUP(G4510,'CP FACTORS'!$A$3:$B$38, 2, FALSE)</f>
        <v>9.4741810000000004E-4</v>
      </c>
      <c r="I4510" s="1049">
        <f t="shared" si="393"/>
        <v>6.0624999999999998E-2</v>
      </c>
      <c r="J4510" s="59">
        <f>$J$4609</f>
        <v>10</v>
      </c>
      <c r="K4510" s="174">
        <v>0</v>
      </c>
      <c r="L4510" s="1034"/>
      <c r="M4510" s="238"/>
      <c r="R4510" s="532"/>
      <c r="T4510" s="52"/>
      <c r="U4510" s="52"/>
      <c r="V4510" s="1385" t="s">
        <v>45</v>
      </c>
      <c r="W4510" s="165"/>
      <c r="X4510" s="165"/>
      <c r="Y4510" s="165"/>
      <c r="Z4510" s="165"/>
      <c r="AA4510" s="165"/>
      <c r="AB4510" s="165"/>
      <c r="AC4510" s="165"/>
      <c r="AD4510" s="49">
        <v>63.99</v>
      </c>
      <c r="AE4510" s="225">
        <v>63.99</v>
      </c>
      <c r="AF4510" s="271">
        <v>63.99</v>
      </c>
      <c r="AG4510" s="165"/>
      <c r="DG4510" s="1096"/>
      <c r="DH4510" s="1393" t="str">
        <f t="shared" si="390"/>
        <v>Cooling Res ER2 10 Year EUL</v>
      </c>
      <c r="DI4510" s="1011">
        <f>(INDEX('Avoided Cost Benefits'!$B$4:$B$866,MATCH(DH4510,'Avoided Cost Benefits'!$A$4:$A$866,0)))*F4510</f>
        <v>75.680138264628496</v>
      </c>
      <c r="DJ4510" s="1170">
        <f t="shared" si="394"/>
        <v>0</v>
      </c>
    </row>
    <row r="4511" spans="1:114">
      <c r="A4511" s="453"/>
      <c r="B4511" s="1454">
        <f t="shared" si="388"/>
        <v>356450</v>
      </c>
      <c r="C4511" s="1608" t="s">
        <v>2536</v>
      </c>
      <c r="D4511" s="3470" t="s">
        <v>959</v>
      </c>
      <c r="E4511" s="1370" t="s">
        <v>2538</v>
      </c>
      <c r="F4511" s="225">
        <f>ROUND(((J$4585*J$4586*(1/J$4591-1/J$4593))/1000),2)</f>
        <v>2629.29</v>
      </c>
      <c r="G4511" s="84" t="s">
        <v>2173</v>
      </c>
      <c r="H4511" s="69">
        <f>VLOOKUP(G4511,'CP FACTORS'!$A$3:$B$38, 2, FALSE)</f>
        <v>0</v>
      </c>
      <c r="I4511" s="1028">
        <f t="shared" si="393"/>
        <v>0</v>
      </c>
      <c r="J4511" s="59">
        <f>$J$4609</f>
        <v>10</v>
      </c>
      <c r="K4511" s="174">
        <v>0</v>
      </c>
      <c r="L4511" s="1034"/>
      <c r="M4511" s="238"/>
      <c r="R4511" s="532"/>
      <c r="T4511" s="52"/>
      <c r="U4511" s="52"/>
      <c r="V4511" s="1385" t="s">
        <v>45</v>
      </c>
      <c r="W4511" s="165"/>
      <c r="X4511" s="165"/>
      <c r="Y4511" s="165"/>
      <c r="Z4511" s="165"/>
      <c r="AA4511" s="165"/>
      <c r="AB4511" s="165"/>
      <c r="AC4511" s="165"/>
      <c r="AD4511" s="49">
        <v>2629.29</v>
      </c>
      <c r="AE4511" s="225">
        <v>2629.29</v>
      </c>
      <c r="AF4511" s="271">
        <v>2629.29</v>
      </c>
      <c r="AG4511" s="165"/>
      <c r="DG4511" s="812"/>
      <c r="DH4511" s="1370" t="str">
        <f t="shared" si="390"/>
        <v>Heating Res ER2 10 Year EUL</v>
      </c>
      <c r="DI4511" s="996">
        <f>(INDEX('Avoided Cost Benefits'!$B$4:$B$866,MATCH(DH4511,'Avoided Cost Benefits'!$A$4:$A$866,0)))*F4511</f>
        <v>817.55569208793361</v>
      </c>
      <c r="DJ4511" s="1171">
        <f t="shared" si="394"/>
        <v>0</v>
      </c>
    </row>
    <row r="4512" spans="1:114">
      <c r="A4512" s="453"/>
      <c r="B4512" s="1454">
        <f t="shared" si="388"/>
        <v>356475</v>
      </c>
      <c r="C4512" s="2209" t="s">
        <v>2539</v>
      </c>
      <c r="D4512" s="3383" t="s">
        <v>1118</v>
      </c>
      <c r="E4512" s="2521" t="s">
        <v>2540</v>
      </c>
      <c r="F4512" s="3369">
        <f>ROUND(((J$4596*J$4598*(1/J$4600-1/J$4603))/1000),2)</f>
        <v>415.22</v>
      </c>
      <c r="G4512" s="2643" t="s">
        <v>2077</v>
      </c>
      <c r="H4512" s="2213">
        <f>VLOOKUP(G4512,'CP FACTORS'!$A$3:$B$38, 2, FALSE)</f>
        <v>9.4741810000000004E-4</v>
      </c>
      <c r="I4512" s="3394">
        <f t="shared" si="393"/>
        <v>0.39338699999999999</v>
      </c>
      <c r="J4512" s="3406">
        <f>$J$4608</f>
        <v>5</v>
      </c>
      <c r="K4512" s="3407">
        <f>J$4610</f>
        <v>224.93182686576984</v>
      </c>
      <c r="L4512" s="2212">
        <f>K$4585</f>
        <v>1.0111111111111111</v>
      </c>
      <c r="M4512" s="3408"/>
      <c r="N4512" s="635"/>
      <c r="O4512" s="635"/>
      <c r="P4512" s="635"/>
      <c r="Q4512" s="635"/>
      <c r="R4512" s="2966"/>
      <c r="S4512" s="2237"/>
      <c r="T4512" s="635"/>
      <c r="U4512" s="635"/>
      <c r="V4512" s="3409" t="s">
        <v>45</v>
      </c>
      <c r="W4512" s="3410"/>
      <c r="X4512" s="3410"/>
      <c r="Y4512" s="3410"/>
      <c r="Z4512" s="3410"/>
      <c r="AA4512" s="3410"/>
      <c r="AB4512" s="3410"/>
      <c r="AC4512" s="3410"/>
      <c r="AD4512" s="3411">
        <v>382.09</v>
      </c>
      <c r="AE4512" s="3373">
        <v>382.09</v>
      </c>
      <c r="AF4512" s="2236">
        <v>415.22</v>
      </c>
      <c r="AG4512" s="3410"/>
      <c r="AH4512" s="2237"/>
      <c r="AI4512" s="2237"/>
      <c r="AJ4512" s="2237"/>
      <c r="AK4512" s="2237"/>
      <c r="AL4512" s="2237"/>
      <c r="AM4512" s="2237"/>
      <c r="AN4512" s="2237"/>
      <c r="AO4512" s="2237"/>
      <c r="AP4512" s="2237"/>
      <c r="AQ4512" s="2237"/>
      <c r="AR4512" s="2237"/>
      <c r="AS4512" s="2237"/>
      <c r="AT4512" s="2237"/>
      <c r="AU4512" s="2237"/>
      <c r="AV4512" s="2237"/>
      <c r="AW4512" s="2237"/>
      <c r="AX4512" s="2237"/>
      <c r="AY4512" s="2237"/>
      <c r="AZ4512" s="2237"/>
      <c r="BA4512" s="2237"/>
      <c r="BB4512" s="2237"/>
      <c r="BC4512" s="2237"/>
      <c r="BD4512" s="2237"/>
      <c r="BE4512" s="2237"/>
      <c r="BF4512" s="2237"/>
      <c r="BG4512" s="2237"/>
      <c r="BH4512" s="2237"/>
      <c r="BI4512" s="2237"/>
      <c r="BJ4512" s="2237"/>
      <c r="BK4512" s="2237"/>
      <c r="BL4512" s="2237"/>
      <c r="BM4512" s="2237"/>
      <c r="BN4512" s="2237"/>
      <c r="BO4512" s="2237"/>
      <c r="BP4512" s="2237"/>
      <c r="BQ4512" s="2237"/>
      <c r="BR4512" s="2237"/>
      <c r="BS4512" s="2237"/>
      <c r="BT4512" s="2237"/>
      <c r="BU4512" s="2237"/>
      <c r="BV4512" s="2237"/>
      <c r="BW4512" s="2237"/>
      <c r="BX4512" s="2237"/>
      <c r="BY4512" s="2237"/>
      <c r="BZ4512" s="2237"/>
      <c r="CA4512" s="2237"/>
      <c r="CB4512" s="2237"/>
      <c r="CC4512" s="2237"/>
      <c r="CD4512" s="2237"/>
      <c r="CE4512" s="2237"/>
      <c r="CF4512" s="2237"/>
      <c r="CG4512" s="2237"/>
      <c r="CH4512" s="2237"/>
      <c r="CI4512" s="2237"/>
      <c r="CJ4512" s="2237"/>
      <c r="CK4512" s="2237"/>
      <c r="CL4512" s="2237"/>
      <c r="CM4512" s="2237"/>
      <c r="CN4512" s="2237"/>
      <c r="CO4512" s="2237"/>
      <c r="CP4512" s="2237"/>
      <c r="CQ4512" s="2237"/>
      <c r="CR4512" s="2237"/>
      <c r="CS4512" s="2237"/>
      <c r="CT4512" s="2237"/>
      <c r="CU4512" s="2237"/>
      <c r="CV4512" s="2237"/>
      <c r="CW4512" s="2237"/>
      <c r="CX4512" s="2237"/>
      <c r="CY4512" s="2237"/>
      <c r="CZ4512" s="2237"/>
      <c r="DA4512" s="2237"/>
      <c r="DB4512" s="2237"/>
      <c r="DC4512" s="2237"/>
      <c r="DD4512" s="2237"/>
      <c r="DE4512" s="2237"/>
      <c r="DF4512" s="2237"/>
      <c r="DG4512" s="3412">
        <f>(DI4512+DI4513)/(DJ4512+DJ4513)</f>
        <v>2.4820369477304007</v>
      </c>
      <c r="DH4512" s="2521" t="str">
        <f t="shared" si="390"/>
        <v>Cooling Res 5 Year EUL</v>
      </c>
      <c r="DI4512" s="3245">
        <f>(INDEX('Avoided Cost Benefits'!$B$4:$B$866,MATCH(DH4512,'Avoided Cost Benefits'!$A$4:$A$866,0)))*F4512</f>
        <v>352.80021843203087</v>
      </c>
      <c r="DJ4512" s="2421">
        <f t="shared" si="394"/>
        <v>224.93182686576984</v>
      </c>
    </row>
    <row r="4513" spans="1:114">
      <c r="A4513" s="453"/>
      <c r="B4513" s="1454">
        <f t="shared" si="388"/>
        <v>356475</v>
      </c>
      <c r="C4513" s="2209" t="s">
        <v>2539</v>
      </c>
      <c r="D4513" s="3383" t="s">
        <v>1118</v>
      </c>
      <c r="E4513" s="2882" t="s">
        <v>2540</v>
      </c>
      <c r="F4513" s="3373">
        <f>ROUND(((J$4585*J$4587*(1/J$4590-1/J$4593))/1000),2)</f>
        <v>897.5</v>
      </c>
      <c r="G4513" s="2643" t="s">
        <v>2078</v>
      </c>
      <c r="H4513" s="2213">
        <f>VLOOKUP(G4513,'CP FACTORS'!$A$3:$B$38, 2, FALSE)</f>
        <v>0</v>
      </c>
      <c r="I4513" s="3385">
        <f t="shared" si="393"/>
        <v>0</v>
      </c>
      <c r="J4513" s="2449">
        <f>$J$4608</f>
        <v>5</v>
      </c>
      <c r="K4513" s="2592">
        <v>0</v>
      </c>
      <c r="L4513" s="2212"/>
      <c r="M4513" s="3408"/>
      <c r="N4513" s="635"/>
      <c r="O4513" s="635"/>
      <c r="P4513" s="635"/>
      <c r="Q4513" s="635"/>
      <c r="R4513" s="2966"/>
      <c r="S4513" s="2237"/>
      <c r="T4513" s="635"/>
      <c r="U4513" s="635"/>
      <c r="V4513" s="2308" t="s">
        <v>45</v>
      </c>
      <c r="W4513" s="2234"/>
      <c r="X4513" s="2234"/>
      <c r="Y4513" s="2234"/>
      <c r="Z4513" s="2234"/>
      <c r="AA4513" s="2234"/>
      <c r="AB4513" s="2234"/>
      <c r="AC4513" s="2234"/>
      <c r="AD4513" s="2235">
        <v>897.5</v>
      </c>
      <c r="AE4513" s="3373">
        <v>897.5</v>
      </c>
      <c r="AF4513" s="2236">
        <v>897.5</v>
      </c>
      <c r="AG4513" s="2234"/>
      <c r="AH4513" s="2237"/>
      <c r="AI4513" s="2237"/>
      <c r="AJ4513" s="2237"/>
      <c r="AK4513" s="2237"/>
      <c r="AL4513" s="2237"/>
      <c r="AM4513" s="2237"/>
      <c r="AN4513" s="2237"/>
      <c r="AO4513" s="2237"/>
      <c r="AP4513" s="2237"/>
      <c r="AQ4513" s="2237"/>
      <c r="AR4513" s="2237"/>
      <c r="AS4513" s="2237"/>
      <c r="AT4513" s="2237"/>
      <c r="AU4513" s="2237"/>
      <c r="AV4513" s="2237"/>
      <c r="AW4513" s="2237"/>
      <c r="AX4513" s="2237"/>
      <c r="AY4513" s="2237"/>
      <c r="AZ4513" s="2237"/>
      <c r="BA4513" s="2237"/>
      <c r="BB4513" s="2237"/>
      <c r="BC4513" s="2237"/>
      <c r="BD4513" s="2237"/>
      <c r="BE4513" s="2237"/>
      <c r="BF4513" s="2237"/>
      <c r="BG4513" s="2237"/>
      <c r="BH4513" s="2237"/>
      <c r="BI4513" s="2237"/>
      <c r="BJ4513" s="2237"/>
      <c r="BK4513" s="2237"/>
      <c r="BL4513" s="2237"/>
      <c r="BM4513" s="2237"/>
      <c r="BN4513" s="2237"/>
      <c r="BO4513" s="2237"/>
      <c r="BP4513" s="2237"/>
      <c r="BQ4513" s="2237"/>
      <c r="BR4513" s="2237"/>
      <c r="BS4513" s="2237"/>
      <c r="BT4513" s="2237"/>
      <c r="BU4513" s="2237"/>
      <c r="BV4513" s="2237"/>
      <c r="BW4513" s="2237"/>
      <c r="BX4513" s="2237"/>
      <c r="BY4513" s="2237"/>
      <c r="BZ4513" s="2237"/>
      <c r="CA4513" s="2237"/>
      <c r="CB4513" s="2237"/>
      <c r="CC4513" s="2237"/>
      <c r="CD4513" s="2237"/>
      <c r="CE4513" s="2237"/>
      <c r="CF4513" s="2237"/>
      <c r="CG4513" s="2237"/>
      <c r="CH4513" s="2237"/>
      <c r="CI4513" s="2237"/>
      <c r="CJ4513" s="2237"/>
      <c r="CK4513" s="2237"/>
      <c r="CL4513" s="2237"/>
      <c r="CM4513" s="2237"/>
      <c r="CN4513" s="2237"/>
      <c r="CO4513" s="2237"/>
      <c r="CP4513" s="2237"/>
      <c r="CQ4513" s="2237"/>
      <c r="CR4513" s="2237"/>
      <c r="CS4513" s="2237"/>
      <c r="CT4513" s="2237"/>
      <c r="CU4513" s="2237"/>
      <c r="CV4513" s="2237"/>
      <c r="CW4513" s="2237"/>
      <c r="CX4513" s="2237"/>
      <c r="CY4513" s="2237"/>
      <c r="CZ4513" s="2237"/>
      <c r="DA4513" s="2237"/>
      <c r="DB4513" s="2237"/>
      <c r="DC4513" s="2237"/>
      <c r="DD4513" s="2237"/>
      <c r="DE4513" s="2237"/>
      <c r="DF4513" s="2237"/>
      <c r="DG4513" s="3413"/>
      <c r="DH4513" s="2882" t="str">
        <f t="shared" si="390"/>
        <v>Heating Res 5 Year EUL</v>
      </c>
      <c r="DI4513" s="2509">
        <f>(INDEX('Avoided Cost Benefits'!$B$4:$B$866,MATCH(DH4513,'Avoided Cost Benefits'!$A$4:$A$866,0)))*F4513</f>
        <v>205.4888865693074</v>
      </c>
      <c r="DJ4513" s="2424">
        <f t="shared" si="394"/>
        <v>0</v>
      </c>
    </row>
    <row r="4514" spans="1:114">
      <c r="A4514" s="453"/>
      <c r="B4514" s="1454">
        <f t="shared" si="388"/>
        <v>356475</v>
      </c>
      <c r="C4514" s="2209" t="s">
        <v>2539</v>
      </c>
      <c r="D4514" s="3383" t="s">
        <v>1118</v>
      </c>
      <c r="E4514" s="2882" t="s">
        <v>2541</v>
      </c>
      <c r="F4514" s="3373">
        <f>ROUND(((J$4596*J$4598*(1/J$4601-1/J$4603))/1000),2)</f>
        <v>46.56</v>
      </c>
      <c r="G4514" s="2643" t="s">
        <v>2138</v>
      </c>
      <c r="H4514" s="2213">
        <f>VLOOKUP(G4514,'CP FACTORS'!$A$3:$B$38, 2, FALSE)</f>
        <v>9.4741810000000004E-4</v>
      </c>
      <c r="I4514" s="3414">
        <f t="shared" si="393"/>
        <v>4.4111999999999998E-2</v>
      </c>
      <c r="J4514" s="2449">
        <f>$J$4609</f>
        <v>10</v>
      </c>
      <c r="K4514" s="2592">
        <v>0</v>
      </c>
      <c r="L4514" s="2212"/>
      <c r="M4514" s="3408"/>
      <c r="N4514" s="635"/>
      <c r="O4514" s="635"/>
      <c r="P4514" s="635"/>
      <c r="Q4514" s="635"/>
      <c r="R4514" s="2966"/>
      <c r="S4514" s="2237"/>
      <c r="T4514" s="635"/>
      <c r="U4514" s="635"/>
      <c r="V4514" s="2308" t="s">
        <v>45</v>
      </c>
      <c r="W4514" s="2234"/>
      <c r="X4514" s="2234"/>
      <c r="Y4514" s="2234"/>
      <c r="Z4514" s="2234"/>
      <c r="AA4514" s="2234"/>
      <c r="AB4514" s="2234"/>
      <c r="AC4514" s="2234"/>
      <c r="AD4514" s="2235">
        <v>46.56</v>
      </c>
      <c r="AE4514" s="3373">
        <v>46.56</v>
      </c>
      <c r="AF4514" s="2236">
        <v>46.56</v>
      </c>
      <c r="AG4514" s="2234"/>
      <c r="AH4514" s="2237"/>
      <c r="AI4514" s="2237"/>
      <c r="AJ4514" s="2237"/>
      <c r="AK4514" s="2237"/>
      <c r="AL4514" s="2237"/>
      <c r="AM4514" s="2237"/>
      <c r="AN4514" s="2237"/>
      <c r="AO4514" s="2237"/>
      <c r="AP4514" s="2237"/>
      <c r="AQ4514" s="2237"/>
      <c r="AR4514" s="2237"/>
      <c r="AS4514" s="2237"/>
      <c r="AT4514" s="2237"/>
      <c r="AU4514" s="2237"/>
      <c r="AV4514" s="2237"/>
      <c r="AW4514" s="2237"/>
      <c r="AX4514" s="2237"/>
      <c r="AY4514" s="2237"/>
      <c r="AZ4514" s="2237"/>
      <c r="BA4514" s="2237"/>
      <c r="BB4514" s="2237"/>
      <c r="BC4514" s="2237"/>
      <c r="BD4514" s="2237"/>
      <c r="BE4514" s="2237"/>
      <c r="BF4514" s="2237"/>
      <c r="BG4514" s="2237"/>
      <c r="BH4514" s="2237"/>
      <c r="BI4514" s="2237"/>
      <c r="BJ4514" s="2237"/>
      <c r="BK4514" s="2237"/>
      <c r="BL4514" s="2237"/>
      <c r="BM4514" s="2237"/>
      <c r="BN4514" s="2237"/>
      <c r="BO4514" s="2237"/>
      <c r="BP4514" s="2237"/>
      <c r="BQ4514" s="2237"/>
      <c r="BR4514" s="2237"/>
      <c r="BS4514" s="2237"/>
      <c r="BT4514" s="2237"/>
      <c r="BU4514" s="2237"/>
      <c r="BV4514" s="2237"/>
      <c r="BW4514" s="2237"/>
      <c r="BX4514" s="2237"/>
      <c r="BY4514" s="2237"/>
      <c r="BZ4514" s="2237"/>
      <c r="CA4514" s="2237"/>
      <c r="CB4514" s="2237"/>
      <c r="CC4514" s="2237"/>
      <c r="CD4514" s="2237"/>
      <c r="CE4514" s="2237"/>
      <c r="CF4514" s="2237"/>
      <c r="CG4514" s="2237"/>
      <c r="CH4514" s="2237"/>
      <c r="CI4514" s="2237"/>
      <c r="CJ4514" s="2237"/>
      <c r="CK4514" s="2237"/>
      <c r="CL4514" s="2237"/>
      <c r="CM4514" s="2237"/>
      <c r="CN4514" s="2237"/>
      <c r="CO4514" s="2237"/>
      <c r="CP4514" s="2237"/>
      <c r="CQ4514" s="2237"/>
      <c r="CR4514" s="2237"/>
      <c r="CS4514" s="2237"/>
      <c r="CT4514" s="2237"/>
      <c r="CU4514" s="2237"/>
      <c r="CV4514" s="2237"/>
      <c r="CW4514" s="2237"/>
      <c r="CX4514" s="2237"/>
      <c r="CY4514" s="2237"/>
      <c r="CZ4514" s="2237"/>
      <c r="DA4514" s="2237"/>
      <c r="DB4514" s="2237"/>
      <c r="DC4514" s="2237"/>
      <c r="DD4514" s="2237"/>
      <c r="DE4514" s="2237"/>
      <c r="DF4514" s="2237"/>
      <c r="DG4514" s="3413"/>
      <c r="DH4514" s="2882" t="str">
        <f t="shared" si="390"/>
        <v>Cooling Res ER2 10 Year EUL</v>
      </c>
      <c r="DI4514" s="2509">
        <f>(INDEX('Avoided Cost Benefits'!$B$4:$B$866,MATCH(DH4514,'Avoided Cost Benefits'!$A$4:$A$866,0)))*F4514</f>
        <v>55.065904635116468</v>
      </c>
      <c r="DJ4514" s="2424">
        <f t="shared" si="394"/>
        <v>0</v>
      </c>
    </row>
    <row r="4515" spans="1:114">
      <c r="A4515" s="453"/>
      <c r="B4515" s="1454">
        <f t="shared" si="388"/>
        <v>356475</v>
      </c>
      <c r="C4515" s="2209" t="s">
        <v>2539</v>
      </c>
      <c r="D4515" s="3383" t="s">
        <v>1118</v>
      </c>
      <c r="E4515" s="2522" t="s">
        <v>2541</v>
      </c>
      <c r="F4515" s="3373">
        <f>ROUND(((J$4585*J$4587*(1/J$4591-1/J$4593))/1000),2)</f>
        <v>897.5</v>
      </c>
      <c r="G4515" s="2643" t="s">
        <v>2173</v>
      </c>
      <c r="H4515" s="2213">
        <f>VLOOKUP(G4515,'CP FACTORS'!$A$3:$B$38, 2, FALSE)</f>
        <v>0</v>
      </c>
      <c r="I4515" s="3385">
        <f t="shared" si="393"/>
        <v>0</v>
      </c>
      <c r="J4515" s="2449">
        <f>$J$4609</f>
        <v>10</v>
      </c>
      <c r="K4515" s="2592">
        <v>0</v>
      </c>
      <c r="L4515" s="2212"/>
      <c r="M4515" s="3408"/>
      <c r="N4515" s="635"/>
      <c r="O4515" s="635"/>
      <c r="P4515" s="635"/>
      <c r="Q4515" s="635"/>
      <c r="R4515" s="2966"/>
      <c r="S4515" s="2237"/>
      <c r="T4515" s="635"/>
      <c r="U4515" s="635"/>
      <c r="V4515" s="2308" t="s">
        <v>45</v>
      </c>
      <c r="W4515" s="2234"/>
      <c r="X4515" s="2234"/>
      <c r="Y4515" s="2234"/>
      <c r="Z4515" s="2234"/>
      <c r="AA4515" s="2234"/>
      <c r="AB4515" s="2234"/>
      <c r="AC4515" s="2234"/>
      <c r="AD4515" s="2235">
        <v>897.5</v>
      </c>
      <c r="AE4515" s="3373">
        <v>897.5</v>
      </c>
      <c r="AF4515" s="2236">
        <v>897.5</v>
      </c>
      <c r="AG4515" s="2234"/>
      <c r="AH4515" s="2237"/>
      <c r="AI4515" s="2237"/>
      <c r="AJ4515" s="2237"/>
      <c r="AK4515" s="2237"/>
      <c r="AL4515" s="2237"/>
      <c r="AM4515" s="2237"/>
      <c r="AN4515" s="2237"/>
      <c r="AO4515" s="2237"/>
      <c r="AP4515" s="2237"/>
      <c r="AQ4515" s="2237"/>
      <c r="AR4515" s="2237"/>
      <c r="AS4515" s="2237"/>
      <c r="AT4515" s="2237"/>
      <c r="AU4515" s="2237"/>
      <c r="AV4515" s="2237"/>
      <c r="AW4515" s="2237"/>
      <c r="AX4515" s="2237"/>
      <c r="AY4515" s="2237"/>
      <c r="AZ4515" s="2237"/>
      <c r="BA4515" s="2237"/>
      <c r="BB4515" s="2237"/>
      <c r="BC4515" s="2237"/>
      <c r="BD4515" s="2237"/>
      <c r="BE4515" s="2237"/>
      <c r="BF4515" s="2237"/>
      <c r="BG4515" s="2237"/>
      <c r="BH4515" s="2237"/>
      <c r="BI4515" s="2237"/>
      <c r="BJ4515" s="2237"/>
      <c r="BK4515" s="2237"/>
      <c r="BL4515" s="2237"/>
      <c r="BM4515" s="2237"/>
      <c r="BN4515" s="2237"/>
      <c r="BO4515" s="2237"/>
      <c r="BP4515" s="2237"/>
      <c r="BQ4515" s="2237"/>
      <c r="BR4515" s="2237"/>
      <c r="BS4515" s="2237"/>
      <c r="BT4515" s="2237"/>
      <c r="BU4515" s="2237"/>
      <c r="BV4515" s="2237"/>
      <c r="BW4515" s="2237"/>
      <c r="BX4515" s="2237"/>
      <c r="BY4515" s="2237"/>
      <c r="BZ4515" s="2237"/>
      <c r="CA4515" s="2237"/>
      <c r="CB4515" s="2237"/>
      <c r="CC4515" s="2237"/>
      <c r="CD4515" s="2237"/>
      <c r="CE4515" s="2237"/>
      <c r="CF4515" s="2237"/>
      <c r="CG4515" s="2237"/>
      <c r="CH4515" s="2237"/>
      <c r="CI4515" s="2237"/>
      <c r="CJ4515" s="2237"/>
      <c r="CK4515" s="2237"/>
      <c r="CL4515" s="2237"/>
      <c r="CM4515" s="2237"/>
      <c r="CN4515" s="2237"/>
      <c r="CO4515" s="2237"/>
      <c r="CP4515" s="2237"/>
      <c r="CQ4515" s="2237"/>
      <c r="CR4515" s="2237"/>
      <c r="CS4515" s="2237"/>
      <c r="CT4515" s="2237"/>
      <c r="CU4515" s="2237"/>
      <c r="CV4515" s="2237"/>
      <c r="CW4515" s="2237"/>
      <c r="CX4515" s="2237"/>
      <c r="CY4515" s="2237"/>
      <c r="CZ4515" s="2237"/>
      <c r="DA4515" s="2237"/>
      <c r="DB4515" s="2237"/>
      <c r="DC4515" s="2237"/>
      <c r="DD4515" s="2237"/>
      <c r="DE4515" s="2237"/>
      <c r="DF4515" s="2237"/>
      <c r="DG4515" s="3415"/>
      <c r="DH4515" s="2522" t="str">
        <f t="shared" si="390"/>
        <v>Heating Res ER2 10 Year EUL</v>
      </c>
      <c r="DI4515" s="2511">
        <f>(INDEX('Avoided Cost Benefits'!$B$4:$B$866,MATCH(DH4515,'Avoided Cost Benefits'!$A$4:$A$866,0)))*F4515</f>
        <v>279.07010396301678</v>
      </c>
      <c r="DJ4515" s="2431">
        <f t="shared" si="394"/>
        <v>0</v>
      </c>
    </row>
    <row r="4516" spans="1:114">
      <c r="A4516" s="453"/>
      <c r="B4516" s="1454">
        <f t="shared" si="388"/>
        <v>356500</v>
      </c>
      <c r="C4516" s="1608" t="s">
        <v>2542</v>
      </c>
      <c r="D4516" s="3470" t="s">
        <v>959</v>
      </c>
      <c r="E4516" s="1369" t="s">
        <v>2543</v>
      </c>
      <c r="F4516" s="225">
        <f>ROUND(((J$4596*J$4597*(1/J$4601-1/J$4603))/1000),2)</f>
        <v>63.99</v>
      </c>
      <c r="G4516" s="84" t="s">
        <v>2077</v>
      </c>
      <c r="H4516" s="69">
        <f>VLOOKUP(G4516,'CP FACTORS'!$A$3:$B$38, 2, FALSE)</f>
        <v>9.4741810000000004E-4</v>
      </c>
      <c r="I4516" s="1028">
        <f t="shared" si="393"/>
        <v>6.0624999999999998E-2</v>
      </c>
      <c r="J4516" s="59">
        <f t="shared" ref="J4516:J4523" si="395">$J$4607</f>
        <v>15</v>
      </c>
      <c r="K4516" s="174">
        <f>J$4611</f>
        <v>84.93</v>
      </c>
      <c r="L4516" s="1034">
        <f>K$4585</f>
        <v>1.0111111111111111</v>
      </c>
      <c r="M4516" s="238"/>
      <c r="R4516" s="532"/>
      <c r="T4516" s="52"/>
      <c r="U4516" s="52"/>
      <c r="V4516" s="1385" t="s">
        <v>45</v>
      </c>
      <c r="W4516" s="165"/>
      <c r="X4516" s="165"/>
      <c r="Y4516" s="165"/>
      <c r="Z4516" s="165"/>
      <c r="AA4516" s="165"/>
      <c r="AB4516" s="165"/>
      <c r="AC4516" s="165"/>
      <c r="AD4516" s="49">
        <v>63.99</v>
      </c>
      <c r="AE4516" s="225">
        <v>63.99</v>
      </c>
      <c r="AF4516" s="271">
        <v>63.99</v>
      </c>
      <c r="AG4516" s="165"/>
      <c r="DG4516" s="1095">
        <f>(DI4516+DI4517)/(DJ4516+DJ4517)</f>
        <v>2.3613625040216344</v>
      </c>
      <c r="DH4516" s="1369" t="str">
        <f>CONCATENATE(G4516," ",J4516," Year EUL")</f>
        <v>Cooling Res 15 Year EUL</v>
      </c>
      <c r="DI4516" s="993">
        <f>(INDEX('Avoided Cost Benefits'!$B$4:$B$866,MATCH(DH4516,'Avoided Cost Benefits'!$A$4:$A$866,0)))*F4516</f>
        <v>130.05055871033355</v>
      </c>
      <c r="DJ4516" s="1169">
        <f t="shared" si="394"/>
        <v>84.93</v>
      </c>
    </row>
    <row r="4517" spans="1:114">
      <c r="A4517" s="453"/>
      <c r="B4517" s="1454">
        <f t="shared" si="388"/>
        <v>356500</v>
      </c>
      <c r="C4517" s="1608" t="s">
        <v>2542</v>
      </c>
      <c r="D4517" s="3470" t="s">
        <v>959</v>
      </c>
      <c r="E4517" s="1370" t="s">
        <v>2543</v>
      </c>
      <c r="F4517" s="225">
        <f>ROUND(((J$4585*J$4586*(1/J$4589-1/J$4593))/1000),2)</f>
        <v>130.58000000000001</v>
      </c>
      <c r="G4517" s="84" t="s">
        <v>2078</v>
      </c>
      <c r="H4517" s="69">
        <f>VLOOKUP(G4517,'CP FACTORS'!$A$3:$B$38, 2, FALSE)</f>
        <v>0</v>
      </c>
      <c r="I4517" s="1028">
        <f t="shared" si="393"/>
        <v>0</v>
      </c>
      <c r="J4517" s="59">
        <f t="shared" si="395"/>
        <v>15</v>
      </c>
      <c r="K4517" s="174">
        <v>0</v>
      </c>
      <c r="L4517" s="1034"/>
      <c r="M4517" s="238"/>
      <c r="R4517" s="532"/>
      <c r="T4517" s="52"/>
      <c r="U4517" s="52"/>
      <c r="V4517" s="1385" t="s">
        <v>45</v>
      </c>
      <c r="W4517" s="165"/>
      <c r="X4517" s="165"/>
      <c r="Y4517" s="165"/>
      <c r="Z4517" s="165"/>
      <c r="AA4517" s="165"/>
      <c r="AB4517" s="165"/>
      <c r="AC4517" s="165"/>
      <c r="AD4517" s="49">
        <v>130.58000000000001</v>
      </c>
      <c r="AE4517" s="225">
        <v>130.58000000000001</v>
      </c>
      <c r="AF4517" s="271">
        <v>130.58000000000001</v>
      </c>
      <c r="AG4517" s="165"/>
      <c r="DG4517" s="812"/>
      <c r="DH4517" s="1370" t="str">
        <f>CONCATENATE(G4517," ",J4517," Year EUL")</f>
        <v>Heating Res 15 Year EUL</v>
      </c>
      <c r="DI4517" s="996">
        <f>(INDEX('Avoided Cost Benefits'!$B$4:$B$866,MATCH(DH4517,'Avoided Cost Benefits'!$A$4:$A$866,0)))*F4517</f>
        <v>70.499958756223876</v>
      </c>
      <c r="DJ4517" s="1171">
        <f t="shared" si="394"/>
        <v>0</v>
      </c>
    </row>
    <row r="4518" spans="1:114">
      <c r="A4518" s="453"/>
      <c r="B4518" s="1454">
        <f t="shared" si="388"/>
        <v>356525</v>
      </c>
      <c r="C4518" s="3416" t="s">
        <v>2544</v>
      </c>
      <c r="D4518" s="3417" t="s">
        <v>1118</v>
      </c>
      <c r="E4518" s="2882" t="s">
        <v>2545</v>
      </c>
      <c r="F4518" s="3418">
        <f>ROUND(((J$4596*J$4598*(1/J$4601-1/J$4603))/1000),2)</f>
        <v>46.56</v>
      </c>
      <c r="G4518" s="3419" t="s">
        <v>2077</v>
      </c>
      <c r="H4518" s="3318">
        <f>VLOOKUP(G4518,'CP FACTORS'!$A$3:$B$38, 2, FALSE)</f>
        <v>9.4741810000000004E-4</v>
      </c>
      <c r="I4518" s="3414">
        <f t="shared" si="393"/>
        <v>4.4111999999999998E-2</v>
      </c>
      <c r="J4518" s="3406">
        <f t="shared" si="395"/>
        <v>15</v>
      </c>
      <c r="K4518" s="3420">
        <f>J$4611</f>
        <v>84.93</v>
      </c>
      <c r="L4518" s="2212">
        <f>K$4585</f>
        <v>1.0111111111111111</v>
      </c>
      <c r="M4518" s="3408"/>
      <c r="N4518" s="635"/>
      <c r="O4518" s="635"/>
      <c r="P4518" s="635"/>
      <c r="Q4518" s="635"/>
      <c r="R4518" s="2966"/>
      <c r="S4518" s="2237"/>
      <c r="T4518" s="635"/>
      <c r="U4518" s="635"/>
      <c r="V4518" s="2308" t="s">
        <v>45</v>
      </c>
      <c r="W4518" s="2234"/>
      <c r="X4518" s="2234"/>
      <c r="Y4518" s="2234"/>
      <c r="Z4518" s="2234"/>
      <c r="AA4518" s="2234"/>
      <c r="AB4518" s="2234"/>
      <c r="AC4518" s="2234"/>
      <c r="AD4518" s="2235">
        <v>46.56</v>
      </c>
      <c r="AE4518" s="3373">
        <v>46.56</v>
      </c>
      <c r="AF4518" s="2236">
        <v>46.56</v>
      </c>
      <c r="AG4518" s="2234"/>
      <c r="AH4518" s="2237"/>
      <c r="AI4518" s="2237"/>
      <c r="AJ4518" s="2237"/>
      <c r="AK4518" s="2237"/>
      <c r="AL4518" s="2237"/>
      <c r="AM4518" s="2237"/>
      <c r="AN4518" s="2237"/>
      <c r="AO4518" s="2237"/>
      <c r="AP4518" s="2237"/>
      <c r="AQ4518" s="2237"/>
      <c r="AR4518" s="2237"/>
      <c r="AS4518" s="2237"/>
      <c r="AT4518" s="2237"/>
      <c r="AU4518" s="2237"/>
      <c r="AV4518" s="2237"/>
      <c r="AW4518" s="2237"/>
      <c r="AX4518" s="2237"/>
      <c r="AY4518" s="2237"/>
      <c r="AZ4518" s="2237"/>
      <c r="BA4518" s="2237"/>
      <c r="BB4518" s="2237"/>
      <c r="BC4518" s="2237"/>
      <c r="BD4518" s="2237"/>
      <c r="BE4518" s="2237"/>
      <c r="BF4518" s="2237"/>
      <c r="BG4518" s="2237"/>
      <c r="BH4518" s="2237"/>
      <c r="BI4518" s="2237"/>
      <c r="BJ4518" s="2237"/>
      <c r="BK4518" s="2237"/>
      <c r="BL4518" s="2237"/>
      <c r="BM4518" s="2237"/>
      <c r="BN4518" s="2237"/>
      <c r="BO4518" s="2237"/>
      <c r="BP4518" s="2237"/>
      <c r="BQ4518" s="2237"/>
      <c r="BR4518" s="2237"/>
      <c r="BS4518" s="2237"/>
      <c r="BT4518" s="2237"/>
      <c r="BU4518" s="2237"/>
      <c r="BV4518" s="2237"/>
      <c r="BW4518" s="2237"/>
      <c r="BX4518" s="2237"/>
      <c r="BY4518" s="2237"/>
      <c r="BZ4518" s="2237"/>
      <c r="CA4518" s="2237"/>
      <c r="CB4518" s="2237"/>
      <c r="CC4518" s="2237"/>
      <c r="CD4518" s="2237"/>
      <c r="CE4518" s="2237"/>
      <c r="CF4518" s="2237"/>
      <c r="CG4518" s="2237"/>
      <c r="CH4518" s="2237"/>
      <c r="CI4518" s="2237"/>
      <c r="CJ4518" s="2237"/>
      <c r="CK4518" s="2237"/>
      <c r="CL4518" s="2237"/>
      <c r="CM4518" s="2237"/>
      <c r="CN4518" s="2237"/>
      <c r="CO4518" s="2237"/>
      <c r="CP4518" s="2237"/>
      <c r="CQ4518" s="2237"/>
      <c r="CR4518" s="2237"/>
      <c r="CS4518" s="2237"/>
      <c r="CT4518" s="2237"/>
      <c r="CU4518" s="2237"/>
      <c r="CV4518" s="2237"/>
      <c r="CW4518" s="2237"/>
      <c r="CX4518" s="2237"/>
      <c r="CY4518" s="2237"/>
      <c r="CZ4518" s="2237"/>
      <c r="DA4518" s="2237"/>
      <c r="DB4518" s="2237"/>
      <c r="DC4518" s="2237"/>
      <c r="DD4518" s="2237"/>
      <c r="DE4518" s="2237"/>
      <c r="DF4518" s="2237"/>
      <c r="DG4518" s="3412">
        <f>(DI4518+DI4519)/(DJ4518+DJ4519)</f>
        <v>1.3975020289351785</v>
      </c>
      <c r="DH4518" s="2521" t="str">
        <f>CONCATENATE(G4518," ",J4518," Year EUL")</f>
        <v>Cooling Res 15 Year EUL</v>
      </c>
      <c r="DI4518" s="3245">
        <f>(INDEX('Avoided Cost Benefits'!$B$4:$B$866,MATCH(DH4518,'Avoided Cost Benefits'!$A$4:$A$866,0)))*F4518</f>
        <v>94.626566862839979</v>
      </c>
      <c r="DJ4518" s="2421">
        <f t="shared" si="394"/>
        <v>84.93</v>
      </c>
    </row>
    <row r="4519" spans="1:114">
      <c r="A4519" s="453"/>
      <c r="B4519" s="1454">
        <f t="shared" si="388"/>
        <v>356525</v>
      </c>
      <c r="C4519" s="2209" t="s">
        <v>2544</v>
      </c>
      <c r="D4519" s="3383" t="s">
        <v>1118</v>
      </c>
      <c r="E4519" s="2882" t="s">
        <v>2545</v>
      </c>
      <c r="F4519" s="3373">
        <f>ROUND(((J$4585*J$4587*(1/J$4589-1/J$4593))/1000),2)</f>
        <v>44.57</v>
      </c>
      <c r="G4519" s="2643" t="s">
        <v>2078</v>
      </c>
      <c r="H4519" s="2213">
        <f>VLOOKUP(G4519,'CP FACTORS'!$A$3:$B$38, 2, FALSE)</f>
        <v>0</v>
      </c>
      <c r="I4519" s="3385">
        <f t="shared" si="393"/>
        <v>0</v>
      </c>
      <c r="J4519" s="2449">
        <f t="shared" si="395"/>
        <v>15</v>
      </c>
      <c r="K4519" s="2592">
        <v>0</v>
      </c>
      <c r="L4519" s="2212"/>
      <c r="M4519" s="3408"/>
      <c r="N4519" s="635"/>
      <c r="O4519" s="635"/>
      <c r="P4519" s="635"/>
      <c r="Q4519" s="635"/>
      <c r="R4519" s="2966"/>
      <c r="S4519" s="2237"/>
      <c r="T4519" s="635"/>
      <c r="U4519" s="635"/>
      <c r="V4519" s="2308" t="s">
        <v>45</v>
      </c>
      <c r="W4519" s="2234"/>
      <c r="X4519" s="2234"/>
      <c r="Y4519" s="2234"/>
      <c r="Z4519" s="2234"/>
      <c r="AA4519" s="2234"/>
      <c r="AB4519" s="2234"/>
      <c r="AC4519" s="2234"/>
      <c r="AD4519" s="2235">
        <v>44.57</v>
      </c>
      <c r="AE4519" s="3373">
        <v>44.57</v>
      </c>
      <c r="AF4519" s="2236">
        <v>44.57</v>
      </c>
      <c r="AG4519" s="2234"/>
      <c r="AH4519" s="2237"/>
      <c r="AI4519" s="2237"/>
      <c r="AJ4519" s="2237"/>
      <c r="AK4519" s="2237"/>
      <c r="AL4519" s="2237"/>
      <c r="AM4519" s="2237"/>
      <c r="AN4519" s="2237"/>
      <c r="AO4519" s="2237"/>
      <c r="AP4519" s="2237"/>
      <c r="AQ4519" s="2237"/>
      <c r="AR4519" s="2237"/>
      <c r="AS4519" s="2237"/>
      <c r="AT4519" s="2237"/>
      <c r="AU4519" s="2237"/>
      <c r="AV4519" s="2237"/>
      <c r="AW4519" s="2237"/>
      <c r="AX4519" s="2237"/>
      <c r="AY4519" s="2237"/>
      <c r="AZ4519" s="2237"/>
      <c r="BA4519" s="2237"/>
      <c r="BB4519" s="2237"/>
      <c r="BC4519" s="2237"/>
      <c r="BD4519" s="2237"/>
      <c r="BE4519" s="2237"/>
      <c r="BF4519" s="2237"/>
      <c r="BG4519" s="2237"/>
      <c r="BH4519" s="2237"/>
      <c r="BI4519" s="2237"/>
      <c r="BJ4519" s="2237"/>
      <c r="BK4519" s="2237"/>
      <c r="BL4519" s="2237"/>
      <c r="BM4519" s="2237"/>
      <c r="BN4519" s="2237"/>
      <c r="BO4519" s="2237"/>
      <c r="BP4519" s="2237"/>
      <c r="BQ4519" s="2237"/>
      <c r="BR4519" s="2237"/>
      <c r="BS4519" s="2237"/>
      <c r="BT4519" s="2237"/>
      <c r="BU4519" s="2237"/>
      <c r="BV4519" s="2237"/>
      <c r="BW4519" s="2237"/>
      <c r="BX4519" s="2237"/>
      <c r="BY4519" s="2237"/>
      <c r="BZ4519" s="2237"/>
      <c r="CA4519" s="2237"/>
      <c r="CB4519" s="2237"/>
      <c r="CC4519" s="2237"/>
      <c r="CD4519" s="2237"/>
      <c r="CE4519" s="2237"/>
      <c r="CF4519" s="2237"/>
      <c r="CG4519" s="2237"/>
      <c r="CH4519" s="2237"/>
      <c r="CI4519" s="2237"/>
      <c r="CJ4519" s="2237"/>
      <c r="CK4519" s="2237"/>
      <c r="CL4519" s="2237"/>
      <c r="CM4519" s="2237"/>
      <c r="CN4519" s="2237"/>
      <c r="CO4519" s="2237"/>
      <c r="CP4519" s="2237"/>
      <c r="CQ4519" s="2237"/>
      <c r="CR4519" s="2237"/>
      <c r="CS4519" s="2237"/>
      <c r="CT4519" s="2237"/>
      <c r="CU4519" s="2237"/>
      <c r="CV4519" s="2237"/>
      <c r="CW4519" s="2237"/>
      <c r="CX4519" s="2237"/>
      <c r="CY4519" s="2237"/>
      <c r="CZ4519" s="2237"/>
      <c r="DA4519" s="2237"/>
      <c r="DB4519" s="2237"/>
      <c r="DC4519" s="2237"/>
      <c r="DD4519" s="2237"/>
      <c r="DE4519" s="2237"/>
      <c r="DF4519" s="2237"/>
      <c r="DG4519" s="3415"/>
      <c r="DH4519" s="2522" t="str">
        <f>CONCATENATE(G4519," ",J4519," Year EUL")</f>
        <v>Heating Res 15 Year EUL</v>
      </c>
      <c r="DI4519" s="2511">
        <f>(INDEX('Avoided Cost Benefits'!$B$4:$B$866,MATCH(DH4519,'Avoided Cost Benefits'!$A$4:$A$866,0)))*F4519</f>
        <v>24.063280454624735</v>
      </c>
      <c r="DJ4519" s="2431">
        <f t="shared" si="394"/>
        <v>0</v>
      </c>
    </row>
    <row r="4520" spans="1:114">
      <c r="A4520" s="453"/>
      <c r="B4520" s="1454">
        <f t="shared" si="388"/>
        <v>356550</v>
      </c>
      <c r="C4520" s="1608" t="s">
        <v>2546</v>
      </c>
      <c r="D4520" s="3470" t="s">
        <v>959</v>
      </c>
      <c r="E4520" s="1369" t="s">
        <v>2547</v>
      </c>
      <c r="F4520" s="225">
        <f>ROUND(((J$4596*J$4597*(1/J$4601-1/J$4603))/1000),2)</f>
        <v>63.99</v>
      </c>
      <c r="G4520" s="84" t="s">
        <v>2077</v>
      </c>
      <c r="H4520" s="69">
        <f>VLOOKUP(G4520,'CP FACTORS'!$A$3:$B$38, 2, FALSE)</f>
        <v>9.4741810000000004E-4</v>
      </c>
      <c r="I4520" s="1028">
        <f t="shared" si="393"/>
        <v>6.0624999999999998E-2</v>
      </c>
      <c r="J4520" s="59">
        <f t="shared" si="395"/>
        <v>15</v>
      </c>
      <c r="K4520" s="174">
        <f>J$4611</f>
        <v>84.93</v>
      </c>
      <c r="L4520" s="1034">
        <f>K$4585</f>
        <v>1.0111111111111111</v>
      </c>
      <c r="M4520" s="238"/>
      <c r="R4520" s="532"/>
      <c r="T4520" s="52"/>
      <c r="U4520" s="52"/>
      <c r="V4520" s="1385" t="s">
        <v>45</v>
      </c>
      <c r="W4520" s="165"/>
      <c r="X4520" s="165"/>
      <c r="Y4520" s="165"/>
      <c r="Z4520" s="165"/>
      <c r="AA4520" s="165"/>
      <c r="AB4520" s="165"/>
      <c r="AC4520" s="165"/>
      <c r="AD4520" s="49">
        <v>63.99</v>
      </c>
      <c r="AE4520" s="225">
        <v>63.99</v>
      </c>
      <c r="AF4520" s="271">
        <v>63.99</v>
      </c>
      <c r="AG4520" s="165"/>
      <c r="DG4520" s="1095">
        <f>(DI4520+DI4521)/(DJ4520+DJ4521)</f>
        <v>18.245620393386517</v>
      </c>
      <c r="DH4520" s="1369" t="str">
        <f t="shared" ref="DH4520:DH4571" si="396">CONCATENATE(G4520," ",J4520," Year EUL")</f>
        <v>Cooling Res 15 Year EUL</v>
      </c>
      <c r="DI4520" s="993">
        <f>(INDEX('Avoided Cost Benefits'!$B$4:$B$866,MATCH(DH4520,'Avoided Cost Benefits'!$A$4:$A$866,0)))*F4520</f>
        <v>130.05055871033355</v>
      </c>
      <c r="DJ4520" s="1169">
        <f t="shared" si="394"/>
        <v>84.93</v>
      </c>
    </row>
    <row r="4521" spans="1:114">
      <c r="A4521" s="453"/>
      <c r="B4521" s="1454">
        <f t="shared" si="388"/>
        <v>356550</v>
      </c>
      <c r="C4521" s="1608" t="s">
        <v>2546</v>
      </c>
      <c r="D4521" s="3470" t="s">
        <v>959</v>
      </c>
      <c r="E4521" s="1370" t="s">
        <v>2547</v>
      </c>
      <c r="F4521" s="225">
        <f>ROUND(((J$4585*J$4586*(1/J$4591-1/J$4593))/1000),2)</f>
        <v>2629.29</v>
      </c>
      <c r="G4521" s="84" t="s">
        <v>2078</v>
      </c>
      <c r="H4521" s="69">
        <f>VLOOKUP(G4521,'CP FACTORS'!$A$3:$B$38, 2, FALSE)</f>
        <v>0</v>
      </c>
      <c r="I4521" s="1028">
        <f t="shared" si="393"/>
        <v>0</v>
      </c>
      <c r="J4521" s="59">
        <f t="shared" si="395"/>
        <v>15</v>
      </c>
      <c r="K4521" s="174">
        <v>0</v>
      </c>
      <c r="L4521" s="1034"/>
      <c r="M4521" s="238"/>
      <c r="R4521" s="532"/>
      <c r="T4521" s="52"/>
      <c r="U4521" s="52"/>
      <c r="V4521" s="1385" t="s">
        <v>45</v>
      </c>
      <c r="W4521" s="165"/>
      <c r="X4521" s="165"/>
      <c r="Y4521" s="165"/>
      <c r="Z4521" s="165"/>
      <c r="AA4521" s="165"/>
      <c r="AB4521" s="165"/>
      <c r="AC4521" s="165"/>
      <c r="AD4521" s="49">
        <v>2629.29</v>
      </c>
      <c r="AE4521" s="225">
        <v>2629.29</v>
      </c>
      <c r="AF4521" s="271">
        <v>2629.29</v>
      </c>
      <c r="AG4521" s="165"/>
      <c r="DG4521" s="812"/>
      <c r="DH4521" s="1370" t="str">
        <f t="shared" si="396"/>
        <v>Heating Res 15 Year EUL</v>
      </c>
      <c r="DI4521" s="996">
        <f>(INDEX('Avoided Cost Benefits'!$B$4:$B$866,MATCH(DH4521,'Avoided Cost Benefits'!$A$4:$A$866,0)))*F4521</f>
        <v>1419.5499812999835</v>
      </c>
      <c r="DJ4521" s="1171">
        <f t="shared" si="394"/>
        <v>0</v>
      </c>
    </row>
    <row r="4522" spans="1:114">
      <c r="A4522" s="453"/>
      <c r="B4522" s="1454">
        <f t="shared" si="388"/>
        <v>356575</v>
      </c>
      <c r="C4522" s="3416" t="s">
        <v>2548</v>
      </c>
      <c r="D4522" s="3421" t="s">
        <v>1118</v>
      </c>
      <c r="E4522" s="2882" t="s">
        <v>2549</v>
      </c>
      <c r="F4522" s="3418">
        <f>ROUND(((J$4596*J$4598*(1/J$4601-1/J$4603))/1000),2)</f>
        <v>46.56</v>
      </c>
      <c r="G4522" s="3419" t="s">
        <v>2077</v>
      </c>
      <c r="H4522" s="3318">
        <f>VLOOKUP(G4522,'CP FACTORS'!$A$3:$B$38, 2, FALSE)</f>
        <v>9.4741810000000004E-4</v>
      </c>
      <c r="I4522" s="3414">
        <f t="shared" si="393"/>
        <v>4.4111999999999998E-2</v>
      </c>
      <c r="J4522" s="3406">
        <f t="shared" si="395"/>
        <v>15</v>
      </c>
      <c r="K4522" s="3420">
        <f>J$4611</f>
        <v>84.93</v>
      </c>
      <c r="L4522" s="2212">
        <f>K$4585</f>
        <v>1.0111111111111111</v>
      </c>
      <c r="M4522" s="3408"/>
      <c r="N4522" s="635"/>
      <c r="O4522" s="635"/>
      <c r="P4522" s="635"/>
      <c r="Q4522" s="635"/>
      <c r="R4522" s="2966"/>
      <c r="S4522" s="2237"/>
      <c r="T4522" s="635"/>
      <c r="U4522" s="635"/>
      <c r="V4522" s="2308" t="s">
        <v>45</v>
      </c>
      <c r="W4522" s="2234"/>
      <c r="X4522" s="2234"/>
      <c r="Y4522" s="2234"/>
      <c r="Z4522" s="2234"/>
      <c r="AA4522" s="2234"/>
      <c r="AB4522" s="2234"/>
      <c r="AC4522" s="2234"/>
      <c r="AD4522" s="2235">
        <v>46.56</v>
      </c>
      <c r="AE4522" s="3373">
        <v>46.56</v>
      </c>
      <c r="AF4522" s="2236">
        <v>46.56</v>
      </c>
      <c r="AG4522" s="2234"/>
      <c r="AH4522" s="2237"/>
      <c r="AI4522" s="2237"/>
      <c r="AJ4522" s="2237"/>
      <c r="AK4522" s="2237"/>
      <c r="AL4522" s="2237"/>
      <c r="AM4522" s="2237"/>
      <c r="AN4522" s="2237"/>
      <c r="AO4522" s="2237"/>
      <c r="AP4522" s="2237"/>
      <c r="AQ4522" s="2237"/>
      <c r="AR4522" s="2237"/>
      <c r="AS4522" s="2237"/>
      <c r="AT4522" s="2237"/>
      <c r="AU4522" s="2237"/>
      <c r="AV4522" s="2237"/>
      <c r="AW4522" s="2237"/>
      <c r="AX4522" s="2237"/>
      <c r="AY4522" s="2237"/>
      <c r="AZ4522" s="2237"/>
      <c r="BA4522" s="2237"/>
      <c r="BB4522" s="2237"/>
      <c r="BC4522" s="2237"/>
      <c r="BD4522" s="2237"/>
      <c r="BE4522" s="2237"/>
      <c r="BF4522" s="2237"/>
      <c r="BG4522" s="2237"/>
      <c r="BH4522" s="2237"/>
      <c r="BI4522" s="2237"/>
      <c r="BJ4522" s="2237"/>
      <c r="BK4522" s="2237"/>
      <c r="BL4522" s="2237"/>
      <c r="BM4522" s="2237"/>
      <c r="BN4522" s="2237"/>
      <c r="BO4522" s="2237"/>
      <c r="BP4522" s="2237"/>
      <c r="BQ4522" s="2237"/>
      <c r="BR4522" s="2237"/>
      <c r="BS4522" s="2237"/>
      <c r="BT4522" s="2237"/>
      <c r="BU4522" s="2237"/>
      <c r="BV4522" s="2237"/>
      <c r="BW4522" s="2237"/>
      <c r="BX4522" s="2237"/>
      <c r="BY4522" s="2237"/>
      <c r="BZ4522" s="2237"/>
      <c r="CA4522" s="2237"/>
      <c r="CB4522" s="2237"/>
      <c r="CC4522" s="2237"/>
      <c r="CD4522" s="2237"/>
      <c r="CE4522" s="2237"/>
      <c r="CF4522" s="2237"/>
      <c r="CG4522" s="2237"/>
      <c r="CH4522" s="2237"/>
      <c r="CI4522" s="2237"/>
      <c r="CJ4522" s="2237"/>
      <c r="CK4522" s="2237"/>
      <c r="CL4522" s="2237"/>
      <c r="CM4522" s="2237"/>
      <c r="CN4522" s="2237"/>
      <c r="CO4522" s="2237"/>
      <c r="CP4522" s="2237"/>
      <c r="CQ4522" s="2237"/>
      <c r="CR4522" s="2237"/>
      <c r="CS4522" s="2237"/>
      <c r="CT4522" s="2237"/>
      <c r="CU4522" s="2237"/>
      <c r="CV4522" s="2237"/>
      <c r="CW4522" s="2237"/>
      <c r="CX4522" s="2237"/>
      <c r="CY4522" s="2237"/>
      <c r="CZ4522" s="2237"/>
      <c r="DA4522" s="2237"/>
      <c r="DB4522" s="2237"/>
      <c r="DC4522" s="2237"/>
      <c r="DD4522" s="2237"/>
      <c r="DE4522" s="2237"/>
      <c r="DF4522" s="2237"/>
      <c r="DG4522" s="3412">
        <f>(DI4522+DI4523)/(DJ4522+DJ4523)</f>
        <v>6.819563845462902</v>
      </c>
      <c r="DH4522" s="2521" t="str">
        <f t="shared" si="396"/>
        <v>Cooling Res 15 Year EUL</v>
      </c>
      <c r="DI4522" s="3245">
        <f>(INDEX('Avoided Cost Benefits'!$B$4:$B$866,MATCH(DH4522,'Avoided Cost Benefits'!$A$4:$A$866,0)))*F4522</f>
        <v>94.626566862839979</v>
      </c>
      <c r="DJ4522" s="2421">
        <f t="shared" si="394"/>
        <v>84.93</v>
      </c>
    </row>
    <row r="4523" spans="1:114">
      <c r="A4523" s="453"/>
      <c r="B4523" s="1454">
        <f t="shared" si="388"/>
        <v>356575</v>
      </c>
      <c r="C4523" s="2209" t="s">
        <v>2548</v>
      </c>
      <c r="D4523" s="3383" t="s">
        <v>1118</v>
      </c>
      <c r="E4523" s="2522" t="s">
        <v>2549</v>
      </c>
      <c r="F4523" s="3373">
        <f>ROUND(((J$4585*J$4587*(1/J$4591-1/J$4593))/1000),2)</f>
        <v>897.5</v>
      </c>
      <c r="G4523" s="2643" t="s">
        <v>2078</v>
      </c>
      <c r="H4523" s="2213">
        <f>VLOOKUP(G4523,'CP FACTORS'!$A$3:$B$38, 2, FALSE)</f>
        <v>0</v>
      </c>
      <c r="I4523" s="3385">
        <f t="shared" si="393"/>
        <v>0</v>
      </c>
      <c r="J4523" s="2449">
        <f t="shared" si="395"/>
        <v>15</v>
      </c>
      <c r="K4523" s="2592">
        <v>0</v>
      </c>
      <c r="L4523" s="2212"/>
      <c r="M4523" s="3408"/>
      <c r="N4523" s="635"/>
      <c r="O4523" s="635"/>
      <c r="P4523" s="635"/>
      <c r="Q4523" s="635"/>
      <c r="R4523" s="2966"/>
      <c r="S4523" s="2237"/>
      <c r="T4523" s="635"/>
      <c r="U4523" s="635"/>
      <c r="V4523" s="2308" t="s">
        <v>45</v>
      </c>
      <c r="W4523" s="2234"/>
      <c r="X4523" s="2234"/>
      <c r="Y4523" s="2234"/>
      <c r="Z4523" s="2234"/>
      <c r="AA4523" s="2234"/>
      <c r="AB4523" s="2234"/>
      <c r="AC4523" s="2234"/>
      <c r="AD4523" s="2235">
        <v>897.5</v>
      </c>
      <c r="AE4523" s="3373">
        <v>897.5</v>
      </c>
      <c r="AF4523" s="2236">
        <v>897.5</v>
      </c>
      <c r="AG4523" s="2234"/>
      <c r="AH4523" s="2237"/>
      <c r="AI4523" s="2237"/>
      <c r="AJ4523" s="2237"/>
      <c r="AK4523" s="2237"/>
      <c r="AL4523" s="2237"/>
      <c r="AM4523" s="2237"/>
      <c r="AN4523" s="2237"/>
      <c r="AO4523" s="2237"/>
      <c r="AP4523" s="2237"/>
      <c r="AQ4523" s="2237"/>
      <c r="AR4523" s="2237"/>
      <c r="AS4523" s="2237"/>
      <c r="AT4523" s="2237"/>
      <c r="AU4523" s="2237"/>
      <c r="AV4523" s="2237"/>
      <c r="AW4523" s="2237"/>
      <c r="AX4523" s="2237"/>
      <c r="AY4523" s="2237"/>
      <c r="AZ4523" s="2237"/>
      <c r="BA4523" s="2237"/>
      <c r="BB4523" s="2237"/>
      <c r="BC4523" s="2237"/>
      <c r="BD4523" s="2237"/>
      <c r="BE4523" s="2237"/>
      <c r="BF4523" s="2237"/>
      <c r="BG4523" s="2237"/>
      <c r="BH4523" s="2237"/>
      <c r="BI4523" s="2237"/>
      <c r="BJ4523" s="2237"/>
      <c r="BK4523" s="2237"/>
      <c r="BL4523" s="2237"/>
      <c r="BM4523" s="2237"/>
      <c r="BN4523" s="2237"/>
      <c r="BO4523" s="2237"/>
      <c r="BP4523" s="2237"/>
      <c r="BQ4523" s="2237"/>
      <c r="BR4523" s="2237"/>
      <c r="BS4523" s="2237"/>
      <c r="BT4523" s="2237"/>
      <c r="BU4523" s="2237"/>
      <c r="BV4523" s="2237"/>
      <c r="BW4523" s="2237"/>
      <c r="BX4523" s="2237"/>
      <c r="BY4523" s="2237"/>
      <c r="BZ4523" s="2237"/>
      <c r="CA4523" s="2237"/>
      <c r="CB4523" s="2237"/>
      <c r="CC4523" s="2237"/>
      <c r="CD4523" s="2237"/>
      <c r="CE4523" s="2237"/>
      <c r="CF4523" s="2237"/>
      <c r="CG4523" s="2237"/>
      <c r="CH4523" s="2237"/>
      <c r="CI4523" s="2237"/>
      <c r="CJ4523" s="2237"/>
      <c r="CK4523" s="2237"/>
      <c r="CL4523" s="2237"/>
      <c r="CM4523" s="2237"/>
      <c r="CN4523" s="2237"/>
      <c r="CO4523" s="2237"/>
      <c r="CP4523" s="2237"/>
      <c r="CQ4523" s="2237"/>
      <c r="CR4523" s="2237"/>
      <c r="CS4523" s="2237"/>
      <c r="CT4523" s="2237"/>
      <c r="CU4523" s="2237"/>
      <c r="CV4523" s="2237"/>
      <c r="CW4523" s="2237"/>
      <c r="CX4523" s="2237"/>
      <c r="CY4523" s="2237"/>
      <c r="CZ4523" s="2237"/>
      <c r="DA4523" s="2237"/>
      <c r="DB4523" s="2237"/>
      <c r="DC4523" s="2237"/>
      <c r="DD4523" s="2237"/>
      <c r="DE4523" s="2237"/>
      <c r="DF4523" s="2237"/>
      <c r="DG4523" s="3415"/>
      <c r="DH4523" s="2522" t="str">
        <f t="shared" si="396"/>
        <v>Heating Res 15 Year EUL</v>
      </c>
      <c r="DI4523" s="2511">
        <f>(INDEX('Avoided Cost Benefits'!$B$4:$B$866,MATCH(DH4523,'Avoided Cost Benefits'!$A$4:$A$866,0)))*F4523</f>
        <v>484.5589905323244</v>
      </c>
      <c r="DJ4523" s="2431">
        <f t="shared" si="394"/>
        <v>0</v>
      </c>
    </row>
    <row r="4524" spans="1:114">
      <c r="A4524" s="453"/>
      <c r="B4524" s="1454">
        <f t="shared" si="388"/>
        <v>356600</v>
      </c>
      <c r="C4524" s="2007" t="s">
        <v>2550</v>
      </c>
      <c r="D4524" s="3470" t="s">
        <v>959</v>
      </c>
      <c r="E4524" s="1393" t="s">
        <v>2551</v>
      </c>
      <c r="F4524" s="1585">
        <f>ROUND(((J$4596*J$4597*(1/J$4599-1/J$4604))/1000),2)</f>
        <v>548.66</v>
      </c>
      <c r="G4524" s="1048" t="s">
        <v>2077</v>
      </c>
      <c r="H4524" s="978">
        <f>VLOOKUP(G4524,'CP FACTORS'!$A$3:$B$38, 2, FALSE)</f>
        <v>9.4741810000000004E-4</v>
      </c>
      <c r="I4524" s="2080">
        <f t="shared" si="393"/>
        <v>0.51980999999999999</v>
      </c>
      <c r="J4524" s="1050">
        <f>$J$4608</f>
        <v>5</v>
      </c>
      <c r="K4524" s="2072">
        <f>J$4610</f>
        <v>224.93182686576984</v>
      </c>
      <c r="L4524" s="1051">
        <f>K$4585</f>
        <v>1.0111111111111111</v>
      </c>
      <c r="M4524" s="238"/>
      <c r="R4524" s="532"/>
      <c r="T4524" s="52"/>
      <c r="U4524" s="52"/>
      <c r="V4524" s="1385" t="s">
        <v>45</v>
      </c>
      <c r="W4524" s="165"/>
      <c r="X4524" s="165"/>
      <c r="Y4524" s="165"/>
      <c r="Z4524" s="165"/>
      <c r="AA4524" s="165"/>
      <c r="AB4524" s="165"/>
      <c r="AC4524" s="165"/>
      <c r="AD4524" s="49">
        <v>505.03</v>
      </c>
      <c r="AE4524" s="225">
        <v>505.03</v>
      </c>
      <c r="AF4524" s="271">
        <v>548.66</v>
      </c>
      <c r="AG4524" s="165"/>
      <c r="DG4524" s="1095">
        <f>(DI4524+DI4525+DI4526+DI4527)/(DJ4524+DJ4525+DJ4526+DJ4527)</f>
        <v>4.1731558401739761</v>
      </c>
      <c r="DH4524" s="1369" t="str">
        <f t="shared" si="396"/>
        <v>Cooling Res 5 Year EUL</v>
      </c>
      <c r="DI4524" s="993">
        <f>(INDEX('Avoided Cost Benefits'!$B$4:$B$866,MATCH(DH4524,'Avoided Cost Benefits'!$A$4:$A$866,0)))*F4524</f>
        <v>466.18026069292915</v>
      </c>
      <c r="DJ4524" s="1169">
        <f t="shared" si="394"/>
        <v>224.93182686576984</v>
      </c>
    </row>
    <row r="4525" spans="1:114">
      <c r="A4525" s="453"/>
      <c r="B4525" s="1454">
        <f t="shared" si="388"/>
        <v>356600</v>
      </c>
      <c r="C4525" s="1608" t="s">
        <v>2550</v>
      </c>
      <c r="D4525" s="3470" t="s">
        <v>959</v>
      </c>
      <c r="E4525" s="1393" t="s">
        <v>2551</v>
      </c>
      <c r="F4525" s="225">
        <f>ROUND(((J$4585*J$4586*(1/J$4588-1/J$4594))/1000),2)</f>
        <v>1288.67</v>
      </c>
      <c r="G4525" s="84" t="s">
        <v>2078</v>
      </c>
      <c r="H4525" s="69">
        <f>VLOOKUP(G4525,'CP FACTORS'!$A$3:$B$38, 2, FALSE)</f>
        <v>0</v>
      </c>
      <c r="I4525" s="1028">
        <f t="shared" si="393"/>
        <v>0</v>
      </c>
      <c r="J4525" s="59">
        <f>$J$4608</f>
        <v>5</v>
      </c>
      <c r="K4525" s="174">
        <v>0</v>
      </c>
      <c r="L4525" s="1034"/>
      <c r="M4525" s="238"/>
      <c r="R4525" s="532"/>
      <c r="T4525" s="52"/>
      <c r="U4525" s="52"/>
      <c r="V4525" s="1385" t="s">
        <v>45</v>
      </c>
      <c r="W4525" s="165"/>
      <c r="X4525" s="165"/>
      <c r="Y4525" s="165"/>
      <c r="Z4525" s="165"/>
      <c r="AA4525" s="165"/>
      <c r="AB4525" s="165"/>
      <c r="AC4525" s="165"/>
      <c r="AD4525" s="49">
        <v>1288.67</v>
      </c>
      <c r="AE4525" s="225">
        <v>1288.67</v>
      </c>
      <c r="AF4525" s="271">
        <v>1288.67</v>
      </c>
      <c r="AG4525" s="165"/>
      <c r="DG4525" s="1096"/>
      <c r="DH4525" s="1393" t="str">
        <f t="shared" si="396"/>
        <v>Heating Res 5 Year EUL</v>
      </c>
      <c r="DI4525" s="1011">
        <f>(INDEX('Avoided Cost Benefits'!$B$4:$B$866,MATCH(DH4525,'Avoided Cost Benefits'!$A$4:$A$866,0)))*F4525</f>
        <v>295.04998713679038</v>
      </c>
      <c r="DJ4525" s="1170">
        <f t="shared" si="394"/>
        <v>0</v>
      </c>
    </row>
    <row r="4526" spans="1:114">
      <c r="A4526" s="453"/>
      <c r="B4526" s="1454">
        <f t="shared" si="388"/>
        <v>356600</v>
      </c>
      <c r="C4526" s="1608" t="s">
        <v>2550</v>
      </c>
      <c r="D4526" s="3470" t="s">
        <v>959</v>
      </c>
      <c r="E4526" s="1393" t="s">
        <v>2552</v>
      </c>
      <c r="F4526" s="1047">
        <f>ROUND(((J$4596*J$4597*(1/J$4601-1/J$4604))/1000),2)</f>
        <v>105.12</v>
      </c>
      <c r="G4526" s="84" t="s">
        <v>2138</v>
      </c>
      <c r="H4526" s="69">
        <f>VLOOKUP(G4526,'CP FACTORS'!$A$3:$B$38, 2, FALSE)</f>
        <v>9.4741810000000004E-4</v>
      </c>
      <c r="I4526" s="1049">
        <f t="shared" si="393"/>
        <v>9.9593000000000001E-2</v>
      </c>
      <c r="J4526" s="59">
        <f>$J$4609</f>
        <v>10</v>
      </c>
      <c r="K4526" s="174">
        <v>0</v>
      </c>
      <c r="L4526" s="1034"/>
      <c r="M4526" s="238"/>
      <c r="R4526" s="532"/>
      <c r="T4526" s="52"/>
      <c r="U4526" s="52"/>
      <c r="V4526" s="1385" t="s">
        <v>45</v>
      </c>
      <c r="W4526" s="165"/>
      <c r="X4526" s="165"/>
      <c r="Y4526" s="165"/>
      <c r="Z4526" s="165"/>
      <c r="AA4526" s="165"/>
      <c r="AB4526" s="165"/>
      <c r="AC4526" s="165"/>
      <c r="AD4526" s="49">
        <v>105.12</v>
      </c>
      <c r="AE4526" s="225">
        <v>105.12</v>
      </c>
      <c r="AF4526" s="271">
        <v>105.12</v>
      </c>
      <c r="AG4526" s="165"/>
      <c r="DG4526" s="1096"/>
      <c r="DH4526" s="1393" t="str">
        <f t="shared" si="396"/>
        <v>Cooling Res ER2 10 Year EUL</v>
      </c>
      <c r="DI4526" s="1011">
        <f>(INDEX('Avoided Cost Benefits'!$B$4:$B$866,MATCH(DH4526,'Avoided Cost Benefits'!$A$4:$A$866,0)))*F4526</f>
        <v>124.32405273289181</v>
      </c>
      <c r="DJ4526" s="1170">
        <f t="shared" si="394"/>
        <v>0</v>
      </c>
    </row>
    <row r="4527" spans="1:114">
      <c r="A4527" s="453"/>
      <c r="B4527" s="1454">
        <f t="shared" si="388"/>
        <v>356600</v>
      </c>
      <c r="C4527" s="1608" t="s">
        <v>2550</v>
      </c>
      <c r="D4527" s="3470" t="s">
        <v>959</v>
      </c>
      <c r="E4527" s="1370" t="s">
        <v>2552</v>
      </c>
      <c r="F4527" s="225">
        <f>ROUND(((J$4585*J$4586*(1/J$4589-1/J$4594))/1000),2)</f>
        <v>170.84</v>
      </c>
      <c r="G4527" s="84" t="s">
        <v>2173</v>
      </c>
      <c r="H4527" s="69">
        <f>VLOOKUP(G4527,'CP FACTORS'!$A$3:$B$38, 2, FALSE)</f>
        <v>0</v>
      </c>
      <c r="I4527" s="1028">
        <f t="shared" si="393"/>
        <v>0</v>
      </c>
      <c r="J4527" s="59">
        <f>$J$4609</f>
        <v>10</v>
      </c>
      <c r="K4527" s="174">
        <v>0</v>
      </c>
      <c r="L4527" s="1034"/>
      <c r="M4527" s="238"/>
      <c r="R4527" s="532"/>
      <c r="T4527" s="52"/>
      <c r="U4527" s="52"/>
      <c r="V4527" s="1385" t="s">
        <v>45</v>
      </c>
      <c r="W4527" s="165"/>
      <c r="X4527" s="165"/>
      <c r="Y4527" s="165"/>
      <c r="Z4527" s="165"/>
      <c r="AA4527" s="165"/>
      <c r="AB4527" s="165"/>
      <c r="AC4527" s="165"/>
      <c r="AD4527" s="49">
        <v>170.84</v>
      </c>
      <c r="AE4527" s="225">
        <v>170.84</v>
      </c>
      <c r="AF4527" s="271">
        <v>170.84</v>
      </c>
      <c r="AG4527" s="165"/>
      <c r="DG4527" s="812"/>
      <c r="DH4527" s="1370" t="str">
        <f t="shared" si="396"/>
        <v>Heating Res ER2 10 Year EUL</v>
      </c>
      <c r="DI4527" s="996">
        <f>(INDEX('Avoided Cost Benefits'!$B$4:$B$866,MATCH(DH4527,'Avoided Cost Benefits'!$A$4:$A$866,0)))*F4527</f>
        <v>53.121266363277755</v>
      </c>
      <c r="DJ4527" s="1171">
        <f t="shared" si="394"/>
        <v>0</v>
      </c>
    </row>
    <row r="4528" spans="1:114">
      <c r="A4528" s="453"/>
      <c r="B4528" s="1454">
        <f t="shared" si="388"/>
        <v>356625</v>
      </c>
      <c r="C4528" s="2209" t="s">
        <v>2553</v>
      </c>
      <c r="D4528" s="3383" t="s">
        <v>1118</v>
      </c>
      <c r="E4528" s="2521" t="s">
        <v>2554</v>
      </c>
      <c r="F4528" s="3369">
        <f>ROUND(((J$4596*J$4598*(1/J$4599-1/J$4604))/1000),2)</f>
        <v>399.27</v>
      </c>
      <c r="G4528" s="2643" t="s">
        <v>2077</v>
      </c>
      <c r="H4528" s="2213">
        <f>VLOOKUP(G4528,'CP FACTORS'!$A$3:$B$38, 2, FALSE)</f>
        <v>9.4741810000000004E-4</v>
      </c>
      <c r="I4528" s="3394">
        <f t="shared" si="393"/>
        <v>0.378276</v>
      </c>
      <c r="J4528" s="3406">
        <f>$J$4608</f>
        <v>5</v>
      </c>
      <c r="K4528" s="3407">
        <f>J$4610</f>
        <v>224.93182686576984</v>
      </c>
      <c r="L4528" s="2212">
        <f>K$4585</f>
        <v>1.0111111111111111</v>
      </c>
      <c r="M4528" s="3408"/>
      <c r="N4528" s="635"/>
      <c r="O4528" s="635"/>
      <c r="P4528" s="635"/>
      <c r="Q4528" s="635"/>
      <c r="R4528" s="2966"/>
      <c r="S4528" s="2237"/>
      <c r="T4528" s="635"/>
      <c r="U4528" s="635"/>
      <c r="V4528" s="2308" t="s">
        <v>45</v>
      </c>
      <c r="W4528" s="2234"/>
      <c r="X4528" s="2234"/>
      <c r="Y4528" s="2234"/>
      <c r="Z4528" s="2234"/>
      <c r="AA4528" s="2234"/>
      <c r="AB4528" s="2234"/>
      <c r="AC4528" s="2234"/>
      <c r="AD4528" s="2235">
        <v>367.51</v>
      </c>
      <c r="AE4528" s="3373">
        <v>367.51</v>
      </c>
      <c r="AF4528" s="2236">
        <v>399.27</v>
      </c>
      <c r="AG4528" s="2234"/>
      <c r="AH4528" s="2237"/>
      <c r="AI4528" s="2237"/>
      <c r="AJ4528" s="2237"/>
      <c r="AK4528" s="2237"/>
      <c r="AL4528" s="2237"/>
      <c r="AM4528" s="2237"/>
      <c r="AN4528" s="2237"/>
      <c r="AO4528" s="2237"/>
      <c r="AP4528" s="2237"/>
      <c r="AQ4528" s="2237"/>
      <c r="AR4528" s="2237"/>
      <c r="AS4528" s="2237"/>
      <c r="AT4528" s="2237"/>
      <c r="AU4528" s="2237"/>
      <c r="AV4528" s="2237"/>
      <c r="AW4528" s="2237"/>
      <c r="AX4528" s="2237"/>
      <c r="AY4528" s="2237"/>
      <c r="AZ4528" s="2237"/>
      <c r="BA4528" s="2237"/>
      <c r="BB4528" s="2237"/>
      <c r="BC4528" s="2237"/>
      <c r="BD4528" s="2237"/>
      <c r="BE4528" s="2237"/>
      <c r="BF4528" s="2237"/>
      <c r="BG4528" s="2237"/>
      <c r="BH4528" s="2237"/>
      <c r="BI4528" s="2237"/>
      <c r="BJ4528" s="2237"/>
      <c r="BK4528" s="2237"/>
      <c r="BL4528" s="2237"/>
      <c r="BM4528" s="2237"/>
      <c r="BN4528" s="2237"/>
      <c r="BO4528" s="2237"/>
      <c r="BP4528" s="2237"/>
      <c r="BQ4528" s="2237"/>
      <c r="BR4528" s="2237"/>
      <c r="BS4528" s="2237"/>
      <c r="BT4528" s="2237"/>
      <c r="BU4528" s="2237"/>
      <c r="BV4528" s="2237"/>
      <c r="BW4528" s="2237"/>
      <c r="BX4528" s="2237"/>
      <c r="BY4528" s="2237"/>
      <c r="BZ4528" s="2237"/>
      <c r="CA4528" s="2237"/>
      <c r="CB4528" s="2237"/>
      <c r="CC4528" s="2237"/>
      <c r="CD4528" s="2237"/>
      <c r="CE4528" s="2237"/>
      <c r="CF4528" s="2237"/>
      <c r="CG4528" s="2237"/>
      <c r="CH4528" s="2237"/>
      <c r="CI4528" s="2237"/>
      <c r="CJ4528" s="2237"/>
      <c r="CK4528" s="2237"/>
      <c r="CL4528" s="2237"/>
      <c r="CM4528" s="2237"/>
      <c r="CN4528" s="2237"/>
      <c r="CO4528" s="2237"/>
      <c r="CP4528" s="2237"/>
      <c r="CQ4528" s="2237"/>
      <c r="CR4528" s="2237"/>
      <c r="CS4528" s="2237"/>
      <c r="CT4528" s="2237"/>
      <c r="CU4528" s="2237"/>
      <c r="CV4528" s="2237"/>
      <c r="CW4528" s="2237"/>
      <c r="CX4528" s="2237"/>
      <c r="CY4528" s="2237"/>
      <c r="CZ4528" s="2237"/>
      <c r="DA4528" s="2237"/>
      <c r="DB4528" s="2237"/>
      <c r="DC4528" s="2237"/>
      <c r="DD4528" s="2237"/>
      <c r="DE4528" s="2237"/>
      <c r="DF4528" s="2237"/>
      <c r="DG4528" s="3412">
        <f>(DI4528+DI4529+DI4530+DI4531)/(DJ4528+DJ4529+DJ4530+DJ4531)</f>
        <v>2.438833323733022</v>
      </c>
      <c r="DH4528" s="2521" t="str">
        <f t="shared" si="396"/>
        <v>Cooling Res 5 Year EUL</v>
      </c>
      <c r="DI4528" s="3245">
        <f>(INDEX('Avoided Cost Benefits'!$B$4:$B$866,MATCH(DH4528,'Avoided Cost Benefits'!$A$4:$A$866,0)))*F4528</f>
        <v>339.24797267317797</v>
      </c>
      <c r="DJ4528" s="2421">
        <f t="shared" si="394"/>
        <v>224.93182686576984</v>
      </c>
    </row>
    <row r="4529" spans="1:114">
      <c r="A4529" s="453"/>
      <c r="B4529" s="1454">
        <f t="shared" si="388"/>
        <v>356625</v>
      </c>
      <c r="C4529" s="2209" t="s">
        <v>2553</v>
      </c>
      <c r="D4529" s="3383" t="s">
        <v>1118</v>
      </c>
      <c r="E4529" s="2882" t="s">
        <v>2554</v>
      </c>
      <c r="F4529" s="3373">
        <f>ROUND(((J$4585*J$4587*(1/J$4588-1/J$4594))/1000),2)</f>
        <v>439.88</v>
      </c>
      <c r="G4529" s="2643" t="s">
        <v>2078</v>
      </c>
      <c r="H4529" s="2213">
        <f>VLOOKUP(G4529,'CP FACTORS'!$A$3:$B$38, 2, FALSE)</f>
        <v>0</v>
      </c>
      <c r="I4529" s="3385">
        <f t="shared" si="393"/>
        <v>0</v>
      </c>
      <c r="J4529" s="2449">
        <f>$J$4608</f>
        <v>5</v>
      </c>
      <c r="K4529" s="2592">
        <v>0</v>
      </c>
      <c r="L4529" s="2212"/>
      <c r="M4529" s="3408"/>
      <c r="N4529" s="635"/>
      <c r="O4529" s="635"/>
      <c r="P4529" s="635"/>
      <c r="Q4529" s="635"/>
      <c r="R4529" s="2966"/>
      <c r="S4529" s="2237"/>
      <c r="T4529" s="635"/>
      <c r="U4529" s="635"/>
      <c r="V4529" s="2308" t="s">
        <v>45</v>
      </c>
      <c r="W4529" s="2234"/>
      <c r="X4529" s="2234"/>
      <c r="Y4529" s="2234"/>
      <c r="Z4529" s="2234"/>
      <c r="AA4529" s="2234"/>
      <c r="AB4529" s="2234"/>
      <c r="AC4529" s="2234"/>
      <c r="AD4529" s="2235">
        <v>439.88</v>
      </c>
      <c r="AE4529" s="3373">
        <v>439.88</v>
      </c>
      <c r="AF4529" s="2236">
        <v>439.88</v>
      </c>
      <c r="AG4529" s="2234"/>
      <c r="AH4529" s="2237"/>
      <c r="AI4529" s="2237"/>
      <c r="AJ4529" s="2237"/>
      <c r="AK4529" s="2237"/>
      <c r="AL4529" s="2237"/>
      <c r="AM4529" s="2237"/>
      <c r="AN4529" s="2237"/>
      <c r="AO4529" s="2237"/>
      <c r="AP4529" s="2237"/>
      <c r="AQ4529" s="2237"/>
      <c r="AR4529" s="2237"/>
      <c r="AS4529" s="2237"/>
      <c r="AT4529" s="2237"/>
      <c r="AU4529" s="2237"/>
      <c r="AV4529" s="2237"/>
      <c r="AW4529" s="2237"/>
      <c r="AX4529" s="2237"/>
      <c r="AY4529" s="2237"/>
      <c r="AZ4529" s="2237"/>
      <c r="BA4529" s="2237"/>
      <c r="BB4529" s="2237"/>
      <c r="BC4529" s="2237"/>
      <c r="BD4529" s="2237"/>
      <c r="BE4529" s="2237"/>
      <c r="BF4529" s="2237"/>
      <c r="BG4529" s="2237"/>
      <c r="BH4529" s="2237"/>
      <c r="BI4529" s="2237"/>
      <c r="BJ4529" s="2237"/>
      <c r="BK4529" s="2237"/>
      <c r="BL4529" s="2237"/>
      <c r="BM4529" s="2237"/>
      <c r="BN4529" s="2237"/>
      <c r="BO4529" s="2237"/>
      <c r="BP4529" s="2237"/>
      <c r="BQ4529" s="2237"/>
      <c r="BR4529" s="2237"/>
      <c r="BS4529" s="2237"/>
      <c r="BT4529" s="2237"/>
      <c r="BU4529" s="2237"/>
      <c r="BV4529" s="2237"/>
      <c r="BW4529" s="2237"/>
      <c r="BX4529" s="2237"/>
      <c r="BY4529" s="2237"/>
      <c r="BZ4529" s="2237"/>
      <c r="CA4529" s="2237"/>
      <c r="CB4529" s="2237"/>
      <c r="CC4529" s="2237"/>
      <c r="CD4529" s="2237"/>
      <c r="CE4529" s="2237"/>
      <c r="CF4529" s="2237"/>
      <c r="CG4529" s="2237"/>
      <c r="CH4529" s="2237"/>
      <c r="CI4529" s="2237"/>
      <c r="CJ4529" s="2237"/>
      <c r="CK4529" s="2237"/>
      <c r="CL4529" s="2237"/>
      <c r="CM4529" s="2237"/>
      <c r="CN4529" s="2237"/>
      <c r="CO4529" s="2237"/>
      <c r="CP4529" s="2237"/>
      <c r="CQ4529" s="2237"/>
      <c r="CR4529" s="2237"/>
      <c r="CS4529" s="2237"/>
      <c r="CT4529" s="2237"/>
      <c r="CU4529" s="2237"/>
      <c r="CV4529" s="2237"/>
      <c r="CW4529" s="2237"/>
      <c r="CX4529" s="2237"/>
      <c r="CY4529" s="2237"/>
      <c r="CZ4529" s="2237"/>
      <c r="DA4529" s="2237"/>
      <c r="DB4529" s="2237"/>
      <c r="DC4529" s="2237"/>
      <c r="DD4529" s="2237"/>
      <c r="DE4529" s="2237"/>
      <c r="DF4529" s="2237"/>
      <c r="DG4529" s="3413"/>
      <c r="DH4529" s="2882" t="str">
        <f t="shared" si="396"/>
        <v>Heating Res 5 Year EUL</v>
      </c>
      <c r="DI4529" s="2509">
        <f>(INDEX('Avoided Cost Benefits'!$B$4:$B$866,MATCH(DH4529,'Avoided Cost Benefits'!$A$4:$A$866,0)))*F4529</f>
        <v>100.71359490151191</v>
      </c>
      <c r="DJ4529" s="2424">
        <f t="shared" si="394"/>
        <v>0</v>
      </c>
    </row>
    <row r="4530" spans="1:114">
      <c r="A4530" s="453"/>
      <c r="B4530" s="1454">
        <f t="shared" si="388"/>
        <v>356625</v>
      </c>
      <c r="C4530" s="2209" t="s">
        <v>2553</v>
      </c>
      <c r="D4530" s="3383" t="s">
        <v>1118</v>
      </c>
      <c r="E4530" s="2882" t="s">
        <v>2555</v>
      </c>
      <c r="F4530" s="3373">
        <f>ROUND(((J$4596*J$4598*(1/J$4601-1/J$4604))/1000),2)</f>
        <v>76.5</v>
      </c>
      <c r="G4530" s="2643" t="s">
        <v>2138</v>
      </c>
      <c r="H4530" s="2213">
        <f>VLOOKUP(G4530,'CP FACTORS'!$A$3:$B$38, 2, FALSE)</f>
        <v>9.4741810000000004E-4</v>
      </c>
      <c r="I4530" s="3414">
        <f t="shared" si="393"/>
        <v>7.2477E-2</v>
      </c>
      <c r="J4530" s="2449">
        <f>$J$4609</f>
        <v>10</v>
      </c>
      <c r="K4530" s="2592">
        <v>0</v>
      </c>
      <c r="L4530" s="2212"/>
      <c r="M4530" s="3408"/>
      <c r="N4530" s="635"/>
      <c r="O4530" s="635"/>
      <c r="P4530" s="635"/>
      <c r="Q4530" s="635"/>
      <c r="R4530" s="2966"/>
      <c r="S4530" s="2237"/>
      <c r="T4530" s="635"/>
      <c r="U4530" s="635"/>
      <c r="V4530" s="2308" t="s">
        <v>45</v>
      </c>
      <c r="W4530" s="2234"/>
      <c r="X4530" s="2234"/>
      <c r="Y4530" s="2234"/>
      <c r="Z4530" s="2234"/>
      <c r="AA4530" s="2234"/>
      <c r="AB4530" s="2234"/>
      <c r="AC4530" s="2234"/>
      <c r="AD4530" s="2235">
        <v>76.5</v>
      </c>
      <c r="AE4530" s="3373">
        <v>76.5</v>
      </c>
      <c r="AF4530" s="2236">
        <v>76.5</v>
      </c>
      <c r="AG4530" s="2234"/>
      <c r="AH4530" s="2237"/>
      <c r="AI4530" s="2237"/>
      <c r="AJ4530" s="2237"/>
      <c r="AK4530" s="2237"/>
      <c r="AL4530" s="2237"/>
      <c r="AM4530" s="2237"/>
      <c r="AN4530" s="2237"/>
      <c r="AO4530" s="2237"/>
      <c r="AP4530" s="2237"/>
      <c r="AQ4530" s="2237"/>
      <c r="AR4530" s="2237"/>
      <c r="AS4530" s="2237"/>
      <c r="AT4530" s="2237"/>
      <c r="AU4530" s="2237"/>
      <c r="AV4530" s="2237"/>
      <c r="AW4530" s="2237"/>
      <c r="AX4530" s="2237"/>
      <c r="AY4530" s="2237"/>
      <c r="AZ4530" s="2237"/>
      <c r="BA4530" s="2237"/>
      <c r="BB4530" s="2237"/>
      <c r="BC4530" s="2237"/>
      <c r="BD4530" s="2237"/>
      <c r="BE4530" s="2237"/>
      <c r="BF4530" s="2237"/>
      <c r="BG4530" s="2237"/>
      <c r="BH4530" s="2237"/>
      <c r="BI4530" s="2237"/>
      <c r="BJ4530" s="2237"/>
      <c r="BK4530" s="2237"/>
      <c r="BL4530" s="2237"/>
      <c r="BM4530" s="2237"/>
      <c r="BN4530" s="2237"/>
      <c r="BO4530" s="2237"/>
      <c r="BP4530" s="2237"/>
      <c r="BQ4530" s="2237"/>
      <c r="BR4530" s="2237"/>
      <c r="BS4530" s="2237"/>
      <c r="BT4530" s="2237"/>
      <c r="BU4530" s="2237"/>
      <c r="BV4530" s="2237"/>
      <c r="BW4530" s="2237"/>
      <c r="BX4530" s="2237"/>
      <c r="BY4530" s="2237"/>
      <c r="BZ4530" s="2237"/>
      <c r="CA4530" s="2237"/>
      <c r="CB4530" s="2237"/>
      <c r="CC4530" s="2237"/>
      <c r="CD4530" s="2237"/>
      <c r="CE4530" s="2237"/>
      <c r="CF4530" s="2237"/>
      <c r="CG4530" s="2237"/>
      <c r="CH4530" s="2237"/>
      <c r="CI4530" s="2237"/>
      <c r="CJ4530" s="2237"/>
      <c r="CK4530" s="2237"/>
      <c r="CL4530" s="2237"/>
      <c r="CM4530" s="2237"/>
      <c r="CN4530" s="2237"/>
      <c r="CO4530" s="2237"/>
      <c r="CP4530" s="2237"/>
      <c r="CQ4530" s="2237"/>
      <c r="CR4530" s="2237"/>
      <c r="CS4530" s="2237"/>
      <c r="CT4530" s="2237"/>
      <c r="CU4530" s="2237"/>
      <c r="CV4530" s="2237"/>
      <c r="CW4530" s="2237"/>
      <c r="CX4530" s="2237"/>
      <c r="CY4530" s="2237"/>
      <c r="CZ4530" s="2237"/>
      <c r="DA4530" s="2237"/>
      <c r="DB4530" s="2237"/>
      <c r="DC4530" s="2237"/>
      <c r="DD4530" s="2237"/>
      <c r="DE4530" s="2237"/>
      <c r="DF4530" s="2237"/>
      <c r="DG4530" s="3413"/>
      <c r="DH4530" s="2882" t="str">
        <f t="shared" si="396"/>
        <v>Cooling Res ER2 10 Year EUL</v>
      </c>
      <c r="DI4530" s="2509">
        <f>(INDEX('Avoided Cost Benefits'!$B$4:$B$866,MATCH(DH4530,'Avoided Cost Benefits'!$A$4:$A$866,0)))*F4530</f>
        <v>90.475552074450377</v>
      </c>
      <c r="DJ4530" s="2424">
        <f t="shared" si="394"/>
        <v>0</v>
      </c>
    </row>
    <row r="4531" spans="1:114">
      <c r="A4531" s="453"/>
      <c r="B4531" s="1454">
        <f t="shared" si="388"/>
        <v>356625</v>
      </c>
      <c r="C4531" s="2209" t="s">
        <v>2553</v>
      </c>
      <c r="D4531" s="3383" t="s">
        <v>1118</v>
      </c>
      <c r="E4531" s="2522" t="s">
        <v>2555</v>
      </c>
      <c r="F4531" s="3373">
        <f>ROUND(((J$4585*J$4587*(1/J$4589-1/J$4594))/1000),2)</f>
        <v>58.32</v>
      </c>
      <c r="G4531" s="2643" t="s">
        <v>2173</v>
      </c>
      <c r="H4531" s="2213">
        <f>VLOOKUP(G4531,'CP FACTORS'!$A$3:$B$38, 2, FALSE)</f>
        <v>0</v>
      </c>
      <c r="I4531" s="3385">
        <f t="shared" si="393"/>
        <v>0</v>
      </c>
      <c r="J4531" s="2449">
        <f>$J$4609</f>
        <v>10</v>
      </c>
      <c r="K4531" s="2592">
        <v>0</v>
      </c>
      <c r="L4531" s="2212"/>
      <c r="M4531" s="3408"/>
      <c r="N4531" s="635"/>
      <c r="O4531" s="635"/>
      <c r="P4531" s="635"/>
      <c r="Q4531" s="635"/>
      <c r="R4531" s="2966"/>
      <c r="S4531" s="2237"/>
      <c r="T4531" s="635"/>
      <c r="U4531" s="635"/>
      <c r="V4531" s="2308" t="s">
        <v>45</v>
      </c>
      <c r="W4531" s="2234"/>
      <c r="X4531" s="2234"/>
      <c r="Y4531" s="2234"/>
      <c r="Z4531" s="2234"/>
      <c r="AA4531" s="2234"/>
      <c r="AB4531" s="2234"/>
      <c r="AC4531" s="2234"/>
      <c r="AD4531" s="2235">
        <v>58.32</v>
      </c>
      <c r="AE4531" s="3373">
        <v>58.32</v>
      </c>
      <c r="AF4531" s="2236">
        <v>58.32</v>
      </c>
      <c r="AG4531" s="2234"/>
      <c r="AH4531" s="2237"/>
      <c r="AI4531" s="2237"/>
      <c r="AJ4531" s="2237"/>
      <c r="AK4531" s="2237"/>
      <c r="AL4531" s="2237"/>
      <c r="AM4531" s="2237"/>
      <c r="AN4531" s="2237"/>
      <c r="AO4531" s="2237"/>
      <c r="AP4531" s="2237"/>
      <c r="AQ4531" s="2237"/>
      <c r="AR4531" s="2237"/>
      <c r="AS4531" s="2237"/>
      <c r="AT4531" s="2237"/>
      <c r="AU4531" s="2237"/>
      <c r="AV4531" s="2237"/>
      <c r="AW4531" s="2237"/>
      <c r="AX4531" s="2237"/>
      <c r="AY4531" s="2237"/>
      <c r="AZ4531" s="2237"/>
      <c r="BA4531" s="2237"/>
      <c r="BB4531" s="2237"/>
      <c r="BC4531" s="2237"/>
      <c r="BD4531" s="2237"/>
      <c r="BE4531" s="2237"/>
      <c r="BF4531" s="2237"/>
      <c r="BG4531" s="2237"/>
      <c r="BH4531" s="2237"/>
      <c r="BI4531" s="2237"/>
      <c r="BJ4531" s="2237"/>
      <c r="BK4531" s="2237"/>
      <c r="BL4531" s="2237"/>
      <c r="BM4531" s="2237"/>
      <c r="BN4531" s="2237"/>
      <c r="BO4531" s="2237"/>
      <c r="BP4531" s="2237"/>
      <c r="BQ4531" s="2237"/>
      <c r="BR4531" s="2237"/>
      <c r="BS4531" s="2237"/>
      <c r="BT4531" s="2237"/>
      <c r="BU4531" s="2237"/>
      <c r="BV4531" s="2237"/>
      <c r="BW4531" s="2237"/>
      <c r="BX4531" s="2237"/>
      <c r="BY4531" s="2237"/>
      <c r="BZ4531" s="2237"/>
      <c r="CA4531" s="2237"/>
      <c r="CB4531" s="2237"/>
      <c r="CC4531" s="2237"/>
      <c r="CD4531" s="2237"/>
      <c r="CE4531" s="2237"/>
      <c r="CF4531" s="2237"/>
      <c r="CG4531" s="2237"/>
      <c r="CH4531" s="2237"/>
      <c r="CI4531" s="2237"/>
      <c r="CJ4531" s="2237"/>
      <c r="CK4531" s="2237"/>
      <c r="CL4531" s="2237"/>
      <c r="CM4531" s="2237"/>
      <c r="CN4531" s="2237"/>
      <c r="CO4531" s="2237"/>
      <c r="CP4531" s="2237"/>
      <c r="CQ4531" s="2237"/>
      <c r="CR4531" s="2237"/>
      <c r="CS4531" s="2237"/>
      <c r="CT4531" s="2237"/>
      <c r="CU4531" s="2237"/>
      <c r="CV4531" s="2237"/>
      <c r="CW4531" s="2237"/>
      <c r="CX4531" s="2237"/>
      <c r="CY4531" s="2237"/>
      <c r="CZ4531" s="2237"/>
      <c r="DA4531" s="2237"/>
      <c r="DB4531" s="2237"/>
      <c r="DC4531" s="2237"/>
      <c r="DD4531" s="2237"/>
      <c r="DE4531" s="2237"/>
      <c r="DF4531" s="2237"/>
      <c r="DG4531" s="3415"/>
      <c r="DH4531" s="2522" t="str">
        <f t="shared" si="396"/>
        <v>Heating Res ER2 10 Year EUL</v>
      </c>
      <c r="DI4531" s="2511">
        <f>(INDEX('Avoided Cost Benefits'!$B$4:$B$866,MATCH(DH4531,'Avoided Cost Benefits'!$A$4:$A$866,0)))*F4531</f>
        <v>18.134115279245837</v>
      </c>
      <c r="DJ4531" s="2431">
        <f t="shared" si="394"/>
        <v>0</v>
      </c>
    </row>
    <row r="4532" spans="1:114">
      <c r="A4532" s="453"/>
      <c r="B4532" s="1454">
        <f t="shared" si="388"/>
        <v>356650</v>
      </c>
      <c r="C4532" s="1608" t="s">
        <v>2556</v>
      </c>
      <c r="D4532" s="3470" t="s">
        <v>959</v>
      </c>
      <c r="E4532" s="1369" t="s">
        <v>2557</v>
      </c>
      <c r="F4532" s="227">
        <f>ROUND(((J$4596*J$4597*(1/J$4600-1/J$4604))/1000),2)</f>
        <v>611.71</v>
      </c>
      <c r="G4532" s="84" t="s">
        <v>2077</v>
      </c>
      <c r="H4532" s="69">
        <f>VLOOKUP(G4532,'CP FACTORS'!$A$3:$B$38, 2, FALSE)</f>
        <v>9.4741810000000004E-4</v>
      </c>
      <c r="I4532" s="1476">
        <f t="shared" si="393"/>
        <v>0.57954499999999998</v>
      </c>
      <c r="J4532" s="1050">
        <f>$J$4608</f>
        <v>5</v>
      </c>
      <c r="K4532" s="2072">
        <f>J$4610</f>
        <v>224.93182686576984</v>
      </c>
      <c r="L4532" s="1034">
        <f>K$4585</f>
        <v>1.0111111111111111</v>
      </c>
      <c r="M4532" s="238"/>
      <c r="R4532" s="532"/>
      <c r="T4532" s="52"/>
      <c r="U4532" s="52"/>
      <c r="V4532" s="1385" t="s">
        <v>45</v>
      </c>
      <c r="W4532" s="165"/>
      <c r="X4532" s="165"/>
      <c r="Y4532" s="165"/>
      <c r="Z4532" s="165"/>
      <c r="AA4532" s="165"/>
      <c r="AB4532" s="165"/>
      <c r="AC4532" s="165"/>
      <c r="AD4532" s="49">
        <v>566.19000000000005</v>
      </c>
      <c r="AE4532" s="225">
        <v>566.19000000000005</v>
      </c>
      <c r="AF4532" s="271">
        <v>611.71</v>
      </c>
      <c r="AG4532" s="165"/>
      <c r="DG4532" s="1095">
        <f>(DI4532+DI4533+DI4534+DI4535)/(DJ4532+DJ4533+DJ4534+DJ4535)</f>
        <v>9.2710861392380099</v>
      </c>
      <c r="DH4532" s="1369" t="str">
        <f t="shared" si="396"/>
        <v>Cooling Res 5 Year EUL</v>
      </c>
      <c r="DI4532" s="993">
        <f>(INDEX('Avoided Cost Benefits'!$B$4:$B$866,MATCH(DH4532,'Avoided Cost Benefits'!$A$4:$A$866,0)))*F4532</f>
        <v>519.75199079297147</v>
      </c>
      <c r="DJ4532" s="1169">
        <f t="shared" si="394"/>
        <v>224.93182686576984</v>
      </c>
    </row>
    <row r="4533" spans="1:114">
      <c r="A4533" s="453"/>
      <c r="B4533" s="1454">
        <f t="shared" si="388"/>
        <v>356650</v>
      </c>
      <c r="C4533" s="1608" t="s">
        <v>2556</v>
      </c>
      <c r="D4533" s="3470" t="s">
        <v>959</v>
      </c>
      <c r="E4533" s="1393" t="s">
        <v>2557</v>
      </c>
      <c r="F4533" s="225">
        <f>ROUND(((J$4585*J$4586*(1/J$4590-1/J$4594))/1000),2)</f>
        <v>2669.55</v>
      </c>
      <c r="G4533" s="84" t="s">
        <v>2078</v>
      </c>
      <c r="H4533" s="69">
        <f>VLOOKUP(G4533,'CP FACTORS'!$A$3:$B$38, 2, FALSE)</f>
        <v>0</v>
      </c>
      <c r="I4533" s="1028">
        <f t="shared" si="393"/>
        <v>0</v>
      </c>
      <c r="J4533" s="59">
        <f>$J$4608</f>
        <v>5</v>
      </c>
      <c r="K4533" s="174">
        <v>0</v>
      </c>
      <c r="L4533" s="1034"/>
      <c r="M4533" s="238"/>
      <c r="R4533" s="532"/>
      <c r="T4533" s="52"/>
      <c r="U4533" s="52"/>
      <c r="V4533" s="1385" t="s">
        <v>45</v>
      </c>
      <c r="W4533" s="165"/>
      <c r="X4533" s="165"/>
      <c r="Y4533" s="165"/>
      <c r="Z4533" s="165"/>
      <c r="AA4533" s="165"/>
      <c r="AB4533" s="165"/>
      <c r="AC4533" s="165"/>
      <c r="AD4533" s="49">
        <v>2669.55</v>
      </c>
      <c r="AE4533" s="225">
        <v>2669.55</v>
      </c>
      <c r="AF4533" s="271">
        <v>2669.55</v>
      </c>
      <c r="AG4533" s="165"/>
      <c r="DG4533" s="1096"/>
      <c r="DH4533" s="1393" t="str">
        <f t="shared" si="396"/>
        <v>Heating Res 5 Year EUL</v>
      </c>
      <c r="DI4533" s="1011">
        <f>(INDEX('Avoided Cost Benefits'!$B$4:$B$866,MATCH(DH4533,'Avoided Cost Benefits'!$A$4:$A$866,0)))*F4533</f>
        <v>611.21209709314155</v>
      </c>
      <c r="DJ4533" s="1170">
        <f t="shared" si="394"/>
        <v>0</v>
      </c>
    </row>
    <row r="4534" spans="1:114">
      <c r="A4534" s="453"/>
      <c r="B4534" s="1454">
        <f t="shared" si="388"/>
        <v>356650</v>
      </c>
      <c r="C4534" s="1608" t="s">
        <v>2556</v>
      </c>
      <c r="D4534" s="3470" t="s">
        <v>959</v>
      </c>
      <c r="E4534" s="1393" t="s">
        <v>2558</v>
      </c>
      <c r="F4534" s="225">
        <f>ROUND(((J$4596*J$4597*(1/J$4601-1/J$4604))/1000),2)</f>
        <v>105.12</v>
      </c>
      <c r="G4534" s="84" t="s">
        <v>2138</v>
      </c>
      <c r="H4534" s="69">
        <f>VLOOKUP(G4534,'CP FACTORS'!$A$3:$B$38, 2, FALSE)</f>
        <v>9.4741810000000004E-4</v>
      </c>
      <c r="I4534" s="1049">
        <f t="shared" si="393"/>
        <v>9.9593000000000001E-2</v>
      </c>
      <c r="J4534" s="59">
        <f>$J$4609</f>
        <v>10</v>
      </c>
      <c r="K4534" s="174">
        <v>0</v>
      </c>
      <c r="L4534" s="1034"/>
      <c r="M4534" s="238"/>
      <c r="R4534" s="532"/>
      <c r="T4534" s="52"/>
      <c r="U4534" s="52"/>
      <c r="V4534" s="1385" t="s">
        <v>45</v>
      </c>
      <c r="W4534" s="165"/>
      <c r="X4534" s="165"/>
      <c r="Y4534" s="165"/>
      <c r="Z4534" s="165"/>
      <c r="AA4534" s="165"/>
      <c r="AB4534" s="165"/>
      <c r="AC4534" s="165"/>
      <c r="AD4534" s="49">
        <v>105.12</v>
      </c>
      <c r="AE4534" s="225">
        <v>105.12</v>
      </c>
      <c r="AF4534" s="271">
        <v>105.12</v>
      </c>
      <c r="AG4534" s="165"/>
      <c r="DG4534" s="1096"/>
      <c r="DH4534" s="1393" t="str">
        <f t="shared" si="396"/>
        <v>Cooling Res ER2 10 Year EUL</v>
      </c>
      <c r="DI4534" s="1011">
        <f>(INDEX('Avoided Cost Benefits'!$B$4:$B$866,MATCH(DH4534,'Avoided Cost Benefits'!$A$4:$A$866,0)))*F4534</f>
        <v>124.32405273289181</v>
      </c>
      <c r="DJ4534" s="1170">
        <f t="shared" si="394"/>
        <v>0</v>
      </c>
    </row>
    <row r="4535" spans="1:114">
      <c r="A4535" s="453"/>
      <c r="B4535" s="1454">
        <f t="shared" si="388"/>
        <v>356650</v>
      </c>
      <c r="C4535" s="1608" t="s">
        <v>2556</v>
      </c>
      <c r="D4535" s="3470" t="s">
        <v>959</v>
      </c>
      <c r="E4535" s="1370" t="s">
        <v>2558</v>
      </c>
      <c r="F4535" s="225">
        <f>ROUND(((J$4585*J$4586*(1/J$4591-1/J$4594))/1000),2)</f>
        <v>2669.55</v>
      </c>
      <c r="G4535" s="84" t="s">
        <v>2173</v>
      </c>
      <c r="H4535" s="69">
        <f>VLOOKUP(G4535,'CP FACTORS'!$A$3:$B$38, 2, FALSE)</f>
        <v>0</v>
      </c>
      <c r="I4535" s="1028">
        <f t="shared" si="393"/>
        <v>0</v>
      </c>
      <c r="J4535" s="59">
        <f>$J$4609</f>
        <v>10</v>
      </c>
      <c r="K4535" s="174">
        <v>0</v>
      </c>
      <c r="L4535" s="1034"/>
      <c r="M4535" s="238"/>
      <c r="R4535" s="532"/>
      <c r="T4535" s="52"/>
      <c r="U4535" s="52"/>
      <c r="V4535" s="1385" t="s">
        <v>45</v>
      </c>
      <c r="W4535" s="165"/>
      <c r="X4535" s="165"/>
      <c r="Y4535" s="165"/>
      <c r="Z4535" s="165"/>
      <c r="AA4535" s="165"/>
      <c r="AB4535" s="165"/>
      <c r="AC4535" s="165"/>
      <c r="AD4535" s="49">
        <v>2669.55</v>
      </c>
      <c r="AE4535" s="225">
        <v>2669.55</v>
      </c>
      <c r="AF4535" s="271">
        <v>2669.55</v>
      </c>
      <c r="AG4535" s="165"/>
      <c r="DG4535" s="812"/>
      <c r="DH4535" s="1370" t="str">
        <f t="shared" si="396"/>
        <v>Heating Res ER2 10 Year EUL</v>
      </c>
      <c r="DI4535" s="996">
        <f>(INDEX('Avoided Cost Benefits'!$B$4:$B$866,MATCH(DH4535,'Avoided Cost Benefits'!$A$4:$A$866,0)))*F4535</f>
        <v>830.0742017097175</v>
      </c>
      <c r="DJ4535" s="1171">
        <f t="shared" si="394"/>
        <v>0</v>
      </c>
    </row>
    <row r="4536" spans="1:114">
      <c r="A4536" s="453"/>
      <c r="B4536" s="1454">
        <f t="shared" si="388"/>
        <v>356675</v>
      </c>
      <c r="C4536" s="2209" t="s">
        <v>2559</v>
      </c>
      <c r="D4536" s="3383" t="s">
        <v>1118</v>
      </c>
      <c r="E4536" s="2521" t="s">
        <v>2560</v>
      </c>
      <c r="F4536" s="3369">
        <f>ROUND(((J$4596*J$4598*(1/J$4600-1/J$4604))/1000),2)</f>
        <v>445.15</v>
      </c>
      <c r="G4536" s="2643" t="s">
        <v>2077</v>
      </c>
      <c r="H4536" s="2213">
        <f>VLOOKUP(G4536,'CP FACTORS'!$A$3:$B$38, 2, FALSE)</f>
        <v>9.4741810000000004E-4</v>
      </c>
      <c r="I4536" s="3394">
        <f t="shared" si="393"/>
        <v>0.42174299999999998</v>
      </c>
      <c r="J4536" s="3406">
        <f>$J$4608</f>
        <v>5</v>
      </c>
      <c r="K4536" s="3407">
        <f>J$4610</f>
        <v>224.93182686576984</v>
      </c>
      <c r="L4536" s="2212">
        <f>K$4585</f>
        <v>1.0111111111111111</v>
      </c>
      <c r="M4536" s="3408"/>
      <c r="N4536" s="635"/>
      <c r="O4536" s="635"/>
      <c r="P4536" s="635"/>
      <c r="Q4536" s="635"/>
      <c r="R4536" s="2966"/>
      <c r="S4536" s="2237"/>
      <c r="T4536" s="635"/>
      <c r="U4536" s="635"/>
      <c r="V4536" s="2308" t="s">
        <v>45</v>
      </c>
      <c r="W4536" s="2234"/>
      <c r="X4536" s="2234"/>
      <c r="Y4536" s="2234"/>
      <c r="Z4536" s="2234"/>
      <c r="AA4536" s="2234"/>
      <c r="AB4536" s="2234"/>
      <c r="AC4536" s="2234"/>
      <c r="AD4536" s="2235">
        <v>412.02</v>
      </c>
      <c r="AE4536" s="3373">
        <v>412.02</v>
      </c>
      <c r="AF4536" s="2236">
        <v>445.15</v>
      </c>
      <c r="AG4536" s="2234"/>
      <c r="AH4536" s="2237"/>
      <c r="AI4536" s="2237"/>
      <c r="AJ4536" s="2237"/>
      <c r="AK4536" s="2237"/>
      <c r="AL4536" s="2237"/>
      <c r="AM4536" s="2237"/>
      <c r="AN4536" s="2237"/>
      <c r="AO4536" s="2237"/>
      <c r="AP4536" s="2237"/>
      <c r="AQ4536" s="2237"/>
      <c r="AR4536" s="2237"/>
      <c r="AS4536" s="2237"/>
      <c r="AT4536" s="2237"/>
      <c r="AU4536" s="2237"/>
      <c r="AV4536" s="2237"/>
      <c r="AW4536" s="2237"/>
      <c r="AX4536" s="2237"/>
      <c r="AY4536" s="2237"/>
      <c r="AZ4536" s="2237"/>
      <c r="BA4536" s="2237"/>
      <c r="BB4536" s="2237"/>
      <c r="BC4536" s="2237"/>
      <c r="BD4536" s="2237"/>
      <c r="BE4536" s="2237"/>
      <c r="BF4536" s="2237"/>
      <c r="BG4536" s="2237"/>
      <c r="BH4536" s="2237"/>
      <c r="BI4536" s="2237"/>
      <c r="BJ4536" s="2237"/>
      <c r="BK4536" s="2237"/>
      <c r="BL4536" s="2237"/>
      <c r="BM4536" s="2237"/>
      <c r="BN4536" s="2237"/>
      <c r="BO4536" s="2237"/>
      <c r="BP4536" s="2237"/>
      <c r="BQ4536" s="2237"/>
      <c r="BR4536" s="2237"/>
      <c r="BS4536" s="2237"/>
      <c r="BT4536" s="2237"/>
      <c r="BU4536" s="2237"/>
      <c r="BV4536" s="2237"/>
      <c r="BW4536" s="2237"/>
      <c r="BX4536" s="2237"/>
      <c r="BY4536" s="2237"/>
      <c r="BZ4536" s="2237"/>
      <c r="CA4536" s="2237"/>
      <c r="CB4536" s="2237"/>
      <c r="CC4536" s="2237"/>
      <c r="CD4536" s="2237"/>
      <c r="CE4536" s="2237"/>
      <c r="CF4536" s="2237"/>
      <c r="CG4536" s="2237"/>
      <c r="CH4536" s="2237"/>
      <c r="CI4536" s="2237"/>
      <c r="CJ4536" s="2237"/>
      <c r="CK4536" s="2237"/>
      <c r="CL4536" s="2237"/>
      <c r="CM4536" s="2237"/>
      <c r="CN4536" s="2237"/>
      <c r="CO4536" s="2237"/>
      <c r="CP4536" s="2237"/>
      <c r="CQ4536" s="2237"/>
      <c r="CR4536" s="2237"/>
      <c r="CS4536" s="2237"/>
      <c r="CT4536" s="2237"/>
      <c r="CU4536" s="2237"/>
      <c r="CV4536" s="2237"/>
      <c r="CW4536" s="2237"/>
      <c r="CX4536" s="2237"/>
      <c r="CY4536" s="2237"/>
      <c r="CZ4536" s="2237"/>
      <c r="DA4536" s="2237"/>
      <c r="DB4536" s="2237"/>
      <c r="DC4536" s="2237"/>
      <c r="DD4536" s="2237"/>
      <c r="DE4536" s="2237"/>
      <c r="DF4536" s="2237"/>
      <c r="DG4536" s="3412">
        <f>(DI4536+DI4537+DI4538+DI4539)/(DJ4536+DJ4537+DJ4538+DJ4539)</f>
        <v>4.2709990027547562</v>
      </c>
      <c r="DH4536" s="2521" t="str">
        <f t="shared" si="396"/>
        <v>Cooling Res 5 Year EUL</v>
      </c>
      <c r="DI4536" s="3245">
        <f>(INDEX('Avoided Cost Benefits'!$B$4:$B$866,MATCH(DH4536,'Avoided Cost Benefits'!$A$4:$A$866,0)))*F4536</f>
        <v>378.23085890616665</v>
      </c>
      <c r="DJ4536" s="2421">
        <f t="shared" si="394"/>
        <v>224.93182686576984</v>
      </c>
    </row>
    <row r="4537" spans="1:114">
      <c r="A4537" s="453"/>
      <c r="B4537" s="1454">
        <f t="shared" si="388"/>
        <v>356675</v>
      </c>
      <c r="C4537" s="2209" t="s">
        <v>2559</v>
      </c>
      <c r="D4537" s="3383" t="s">
        <v>1118</v>
      </c>
      <c r="E4537" s="2882" t="s">
        <v>2560</v>
      </c>
      <c r="F4537" s="3373">
        <f>ROUND(((J$4585*J$4587*(1/J$4590-1/J$4594))/1000),2)</f>
        <v>911.24</v>
      </c>
      <c r="G4537" s="2643" t="s">
        <v>2078</v>
      </c>
      <c r="H4537" s="2213">
        <f>VLOOKUP(G4537,'CP FACTORS'!$A$3:$B$38, 2, FALSE)</f>
        <v>0</v>
      </c>
      <c r="I4537" s="3385">
        <f t="shared" si="393"/>
        <v>0</v>
      </c>
      <c r="J4537" s="2449">
        <f>$J$4608</f>
        <v>5</v>
      </c>
      <c r="K4537" s="2592">
        <v>0</v>
      </c>
      <c r="L4537" s="2212"/>
      <c r="M4537" s="3408"/>
      <c r="N4537" s="635"/>
      <c r="O4537" s="635"/>
      <c r="P4537" s="635"/>
      <c r="Q4537" s="635"/>
      <c r="R4537" s="2966"/>
      <c r="S4537" s="2237"/>
      <c r="T4537" s="635"/>
      <c r="U4537" s="635"/>
      <c r="V4537" s="2308" t="s">
        <v>45</v>
      </c>
      <c r="W4537" s="2234"/>
      <c r="X4537" s="2234"/>
      <c r="Y4537" s="2234"/>
      <c r="Z4537" s="2234"/>
      <c r="AA4537" s="2234"/>
      <c r="AB4537" s="2234"/>
      <c r="AC4537" s="2234"/>
      <c r="AD4537" s="2235">
        <v>911.24</v>
      </c>
      <c r="AE4537" s="3373">
        <v>911.24</v>
      </c>
      <c r="AF4537" s="2236">
        <v>911.24</v>
      </c>
      <c r="AG4537" s="2234"/>
      <c r="AH4537" s="2237"/>
      <c r="AI4537" s="2237"/>
      <c r="AJ4537" s="2237"/>
      <c r="AK4537" s="2237"/>
      <c r="AL4537" s="2237"/>
      <c r="AM4537" s="2237"/>
      <c r="AN4537" s="2237"/>
      <c r="AO4537" s="2237"/>
      <c r="AP4537" s="2237"/>
      <c r="AQ4537" s="2237"/>
      <c r="AR4537" s="2237"/>
      <c r="AS4537" s="2237"/>
      <c r="AT4537" s="2237"/>
      <c r="AU4537" s="2237"/>
      <c r="AV4537" s="2237"/>
      <c r="AW4537" s="2237"/>
      <c r="AX4537" s="2237"/>
      <c r="AY4537" s="2237"/>
      <c r="AZ4537" s="2237"/>
      <c r="BA4537" s="2237"/>
      <c r="BB4537" s="2237"/>
      <c r="BC4537" s="2237"/>
      <c r="BD4537" s="2237"/>
      <c r="BE4537" s="2237"/>
      <c r="BF4537" s="2237"/>
      <c r="BG4537" s="2237"/>
      <c r="BH4537" s="2237"/>
      <c r="BI4537" s="2237"/>
      <c r="BJ4537" s="2237"/>
      <c r="BK4537" s="2237"/>
      <c r="BL4537" s="2237"/>
      <c r="BM4537" s="2237"/>
      <c r="BN4537" s="2237"/>
      <c r="BO4537" s="2237"/>
      <c r="BP4537" s="2237"/>
      <c r="BQ4537" s="2237"/>
      <c r="BR4537" s="2237"/>
      <c r="BS4537" s="2237"/>
      <c r="BT4537" s="2237"/>
      <c r="BU4537" s="2237"/>
      <c r="BV4537" s="2237"/>
      <c r="BW4537" s="2237"/>
      <c r="BX4537" s="2237"/>
      <c r="BY4537" s="2237"/>
      <c r="BZ4537" s="2237"/>
      <c r="CA4537" s="2237"/>
      <c r="CB4537" s="2237"/>
      <c r="CC4537" s="2237"/>
      <c r="CD4537" s="2237"/>
      <c r="CE4537" s="2237"/>
      <c r="CF4537" s="2237"/>
      <c r="CG4537" s="2237"/>
      <c r="CH4537" s="2237"/>
      <c r="CI4537" s="2237"/>
      <c r="CJ4537" s="2237"/>
      <c r="CK4537" s="2237"/>
      <c r="CL4537" s="2237"/>
      <c r="CM4537" s="2237"/>
      <c r="CN4537" s="2237"/>
      <c r="CO4537" s="2237"/>
      <c r="CP4537" s="2237"/>
      <c r="CQ4537" s="2237"/>
      <c r="CR4537" s="2237"/>
      <c r="CS4537" s="2237"/>
      <c r="CT4537" s="2237"/>
      <c r="CU4537" s="2237"/>
      <c r="CV4537" s="2237"/>
      <c r="CW4537" s="2237"/>
      <c r="CX4537" s="2237"/>
      <c r="CY4537" s="2237"/>
      <c r="CZ4537" s="2237"/>
      <c r="DA4537" s="2237"/>
      <c r="DB4537" s="2237"/>
      <c r="DC4537" s="2237"/>
      <c r="DD4537" s="2237"/>
      <c r="DE4537" s="2237"/>
      <c r="DF4537" s="2237"/>
      <c r="DG4537" s="3413"/>
      <c r="DH4537" s="2882" t="str">
        <f t="shared" si="396"/>
        <v>Heating Res 5 Year EUL</v>
      </c>
      <c r="DI4537" s="2509">
        <f>(INDEX('Avoided Cost Benefits'!$B$4:$B$866,MATCH(DH4537,'Avoided Cost Benefits'!$A$4:$A$866,0)))*F4537</f>
        <v>208.63475542887539</v>
      </c>
      <c r="DJ4537" s="2424">
        <f t="shared" si="394"/>
        <v>0</v>
      </c>
    </row>
    <row r="4538" spans="1:114">
      <c r="A4538" s="453"/>
      <c r="B4538" s="1454">
        <f t="shared" si="388"/>
        <v>356675</v>
      </c>
      <c r="C4538" s="2209" t="s">
        <v>2559</v>
      </c>
      <c r="D4538" s="3383" t="s">
        <v>1118</v>
      </c>
      <c r="E4538" s="2882" t="s">
        <v>2561</v>
      </c>
      <c r="F4538" s="3373">
        <f>ROUND(((J$4596*J$4598*(1/J$4601-1/J$4604))/1000),2)</f>
        <v>76.5</v>
      </c>
      <c r="G4538" s="2643" t="s">
        <v>2138</v>
      </c>
      <c r="H4538" s="2213">
        <f>VLOOKUP(G4538,'CP FACTORS'!$A$3:$B$38, 2, FALSE)</f>
        <v>9.4741810000000004E-4</v>
      </c>
      <c r="I4538" s="3414">
        <f t="shared" si="393"/>
        <v>7.2477E-2</v>
      </c>
      <c r="J4538" s="2449">
        <f>$J$4609</f>
        <v>10</v>
      </c>
      <c r="K4538" s="2592">
        <v>0</v>
      </c>
      <c r="L4538" s="2212"/>
      <c r="M4538" s="3408"/>
      <c r="N4538" s="635"/>
      <c r="O4538" s="635"/>
      <c r="P4538" s="635"/>
      <c r="Q4538" s="635"/>
      <c r="R4538" s="2966"/>
      <c r="S4538" s="2237"/>
      <c r="T4538" s="635"/>
      <c r="U4538" s="635"/>
      <c r="V4538" s="2308" t="s">
        <v>45</v>
      </c>
      <c r="W4538" s="2234"/>
      <c r="X4538" s="2234"/>
      <c r="Y4538" s="2234"/>
      <c r="Z4538" s="2234"/>
      <c r="AA4538" s="2234"/>
      <c r="AB4538" s="2234"/>
      <c r="AC4538" s="2234"/>
      <c r="AD4538" s="2235">
        <v>76.5</v>
      </c>
      <c r="AE4538" s="3373">
        <v>76.5</v>
      </c>
      <c r="AF4538" s="2236">
        <v>76.5</v>
      </c>
      <c r="AG4538" s="2234"/>
      <c r="AH4538" s="2237"/>
      <c r="AI4538" s="2237"/>
      <c r="AJ4538" s="2237"/>
      <c r="AK4538" s="2237"/>
      <c r="AL4538" s="2237"/>
      <c r="AM4538" s="2237"/>
      <c r="AN4538" s="2237"/>
      <c r="AO4538" s="2237"/>
      <c r="AP4538" s="2237"/>
      <c r="AQ4538" s="2237"/>
      <c r="AR4538" s="2237"/>
      <c r="AS4538" s="2237"/>
      <c r="AT4538" s="2237"/>
      <c r="AU4538" s="2237"/>
      <c r="AV4538" s="2237"/>
      <c r="AW4538" s="2237"/>
      <c r="AX4538" s="2237"/>
      <c r="AY4538" s="2237"/>
      <c r="AZ4538" s="2237"/>
      <c r="BA4538" s="2237"/>
      <c r="BB4538" s="2237"/>
      <c r="BC4538" s="2237"/>
      <c r="BD4538" s="2237"/>
      <c r="BE4538" s="2237"/>
      <c r="BF4538" s="2237"/>
      <c r="BG4538" s="2237"/>
      <c r="BH4538" s="2237"/>
      <c r="BI4538" s="2237"/>
      <c r="BJ4538" s="2237"/>
      <c r="BK4538" s="2237"/>
      <c r="BL4538" s="2237"/>
      <c r="BM4538" s="2237"/>
      <c r="BN4538" s="2237"/>
      <c r="BO4538" s="2237"/>
      <c r="BP4538" s="2237"/>
      <c r="BQ4538" s="2237"/>
      <c r="BR4538" s="2237"/>
      <c r="BS4538" s="2237"/>
      <c r="BT4538" s="2237"/>
      <c r="BU4538" s="2237"/>
      <c r="BV4538" s="2237"/>
      <c r="BW4538" s="2237"/>
      <c r="BX4538" s="2237"/>
      <c r="BY4538" s="2237"/>
      <c r="BZ4538" s="2237"/>
      <c r="CA4538" s="2237"/>
      <c r="CB4538" s="2237"/>
      <c r="CC4538" s="2237"/>
      <c r="CD4538" s="2237"/>
      <c r="CE4538" s="2237"/>
      <c r="CF4538" s="2237"/>
      <c r="CG4538" s="2237"/>
      <c r="CH4538" s="2237"/>
      <c r="CI4538" s="2237"/>
      <c r="CJ4538" s="2237"/>
      <c r="CK4538" s="2237"/>
      <c r="CL4538" s="2237"/>
      <c r="CM4538" s="2237"/>
      <c r="CN4538" s="2237"/>
      <c r="CO4538" s="2237"/>
      <c r="CP4538" s="2237"/>
      <c r="CQ4538" s="2237"/>
      <c r="CR4538" s="2237"/>
      <c r="CS4538" s="2237"/>
      <c r="CT4538" s="2237"/>
      <c r="CU4538" s="2237"/>
      <c r="CV4538" s="2237"/>
      <c r="CW4538" s="2237"/>
      <c r="CX4538" s="2237"/>
      <c r="CY4538" s="2237"/>
      <c r="CZ4538" s="2237"/>
      <c r="DA4538" s="2237"/>
      <c r="DB4538" s="2237"/>
      <c r="DC4538" s="2237"/>
      <c r="DD4538" s="2237"/>
      <c r="DE4538" s="2237"/>
      <c r="DF4538" s="2237"/>
      <c r="DG4538" s="3413"/>
      <c r="DH4538" s="2882" t="str">
        <f t="shared" si="396"/>
        <v>Cooling Res ER2 10 Year EUL</v>
      </c>
      <c r="DI4538" s="2509">
        <f>(INDEX('Avoided Cost Benefits'!$B$4:$B$866,MATCH(DH4538,'Avoided Cost Benefits'!$A$4:$A$866,0)))*F4538</f>
        <v>90.475552074450377</v>
      </c>
      <c r="DJ4538" s="2424">
        <f t="shared" si="394"/>
        <v>0</v>
      </c>
    </row>
    <row r="4539" spans="1:114">
      <c r="A4539" s="453"/>
      <c r="B4539" s="1454">
        <f t="shared" si="388"/>
        <v>356675</v>
      </c>
      <c r="C4539" s="2209" t="s">
        <v>2559</v>
      </c>
      <c r="D4539" s="3383" t="s">
        <v>1118</v>
      </c>
      <c r="E4539" s="2522" t="s">
        <v>2561</v>
      </c>
      <c r="F4539" s="3373">
        <f>ROUND(((J$4585*J$4587*(1/J$4591-1/J$4594))/1000),2)</f>
        <v>911.24</v>
      </c>
      <c r="G4539" s="2643" t="s">
        <v>2173</v>
      </c>
      <c r="H4539" s="2213">
        <f>VLOOKUP(G4539,'CP FACTORS'!$A$3:$B$38, 2, FALSE)</f>
        <v>0</v>
      </c>
      <c r="I4539" s="3385">
        <f t="shared" si="393"/>
        <v>0</v>
      </c>
      <c r="J4539" s="2449">
        <f>$J$4609</f>
        <v>10</v>
      </c>
      <c r="K4539" s="2592">
        <v>0</v>
      </c>
      <c r="L4539" s="2212"/>
      <c r="M4539" s="3408"/>
      <c r="N4539" s="635"/>
      <c r="O4539" s="635"/>
      <c r="P4539" s="635"/>
      <c r="Q4539" s="635"/>
      <c r="R4539" s="2966"/>
      <c r="S4539" s="2237"/>
      <c r="T4539" s="635"/>
      <c r="U4539" s="635"/>
      <c r="V4539" s="2308" t="s">
        <v>45</v>
      </c>
      <c r="W4539" s="2234"/>
      <c r="X4539" s="2234"/>
      <c r="Y4539" s="2234"/>
      <c r="Z4539" s="2234"/>
      <c r="AA4539" s="2234"/>
      <c r="AB4539" s="2234"/>
      <c r="AC4539" s="2234"/>
      <c r="AD4539" s="2235">
        <v>911.24</v>
      </c>
      <c r="AE4539" s="3373">
        <v>911.24</v>
      </c>
      <c r="AF4539" s="2236">
        <v>911.24</v>
      </c>
      <c r="AG4539" s="2234"/>
      <c r="AH4539" s="2237"/>
      <c r="AI4539" s="2237"/>
      <c r="AJ4539" s="2237"/>
      <c r="AK4539" s="2237"/>
      <c r="AL4539" s="2237"/>
      <c r="AM4539" s="2237"/>
      <c r="AN4539" s="2237"/>
      <c r="AO4539" s="2237"/>
      <c r="AP4539" s="2237"/>
      <c r="AQ4539" s="2237"/>
      <c r="AR4539" s="2237"/>
      <c r="AS4539" s="2237"/>
      <c r="AT4539" s="2237"/>
      <c r="AU4539" s="2237"/>
      <c r="AV4539" s="2237"/>
      <c r="AW4539" s="2237"/>
      <c r="AX4539" s="2237"/>
      <c r="AY4539" s="2237"/>
      <c r="AZ4539" s="2237"/>
      <c r="BA4539" s="2237"/>
      <c r="BB4539" s="2237"/>
      <c r="BC4539" s="2237"/>
      <c r="BD4539" s="2237"/>
      <c r="BE4539" s="2237"/>
      <c r="BF4539" s="2237"/>
      <c r="BG4539" s="2237"/>
      <c r="BH4539" s="2237"/>
      <c r="BI4539" s="2237"/>
      <c r="BJ4539" s="2237"/>
      <c r="BK4539" s="2237"/>
      <c r="BL4539" s="2237"/>
      <c r="BM4539" s="2237"/>
      <c r="BN4539" s="2237"/>
      <c r="BO4539" s="2237"/>
      <c r="BP4539" s="2237"/>
      <c r="BQ4539" s="2237"/>
      <c r="BR4539" s="2237"/>
      <c r="BS4539" s="2237"/>
      <c r="BT4539" s="2237"/>
      <c r="BU4539" s="2237"/>
      <c r="BV4539" s="2237"/>
      <c r="BW4539" s="2237"/>
      <c r="BX4539" s="2237"/>
      <c r="BY4539" s="2237"/>
      <c r="BZ4539" s="2237"/>
      <c r="CA4539" s="2237"/>
      <c r="CB4539" s="2237"/>
      <c r="CC4539" s="2237"/>
      <c r="CD4539" s="2237"/>
      <c r="CE4539" s="2237"/>
      <c r="CF4539" s="2237"/>
      <c r="CG4539" s="2237"/>
      <c r="CH4539" s="2237"/>
      <c r="CI4539" s="2237"/>
      <c r="CJ4539" s="2237"/>
      <c r="CK4539" s="2237"/>
      <c r="CL4539" s="2237"/>
      <c r="CM4539" s="2237"/>
      <c r="CN4539" s="2237"/>
      <c r="CO4539" s="2237"/>
      <c r="CP4539" s="2237"/>
      <c r="CQ4539" s="2237"/>
      <c r="CR4539" s="2237"/>
      <c r="CS4539" s="2237"/>
      <c r="CT4539" s="2237"/>
      <c r="CU4539" s="2237"/>
      <c r="CV4539" s="2237"/>
      <c r="CW4539" s="2237"/>
      <c r="CX4539" s="2237"/>
      <c r="CY4539" s="2237"/>
      <c r="CZ4539" s="2237"/>
      <c r="DA4539" s="2237"/>
      <c r="DB4539" s="2237"/>
      <c r="DC4539" s="2237"/>
      <c r="DD4539" s="2237"/>
      <c r="DE4539" s="2237"/>
      <c r="DF4539" s="2237"/>
      <c r="DG4539" s="3415"/>
      <c r="DH4539" s="2522" t="str">
        <f t="shared" si="396"/>
        <v>Heating Res ER2 10 Year EUL</v>
      </c>
      <c r="DI4539" s="2511">
        <f>(INDEX('Avoided Cost Benefits'!$B$4:$B$866,MATCH(DH4539,'Avoided Cost Benefits'!$A$4:$A$866,0)))*F4539</f>
        <v>283.34244182201604</v>
      </c>
      <c r="DJ4539" s="2431">
        <f t="shared" si="394"/>
        <v>0</v>
      </c>
    </row>
    <row r="4540" spans="1:114">
      <c r="A4540" s="453"/>
      <c r="B4540" s="1454">
        <f t="shared" ref="B4540:B4571" si="397">VALUE(LEFT(C4540,6))</f>
        <v>356700</v>
      </c>
      <c r="C4540" s="1608" t="s">
        <v>2562</v>
      </c>
      <c r="D4540" s="3470" t="s">
        <v>959</v>
      </c>
      <c r="E4540" s="1369" t="s">
        <v>2563</v>
      </c>
      <c r="F4540" s="225">
        <f>ROUND(((J$4596*J$4597*(1/J$4601-1/J$4604))/1000),2)</f>
        <v>105.12</v>
      </c>
      <c r="G4540" s="84" t="s">
        <v>2077</v>
      </c>
      <c r="H4540" s="69">
        <f>VLOOKUP(G4540,'CP FACTORS'!$A$3:$B$38, 2, FALSE)</f>
        <v>9.4741810000000004E-4</v>
      </c>
      <c r="I4540" s="1028">
        <f t="shared" ref="I4540:I4571" si="398">ROUND(F4540*H4540,6)</f>
        <v>9.9593000000000001E-2</v>
      </c>
      <c r="J4540" s="59">
        <f t="shared" ref="J4540:J4547" si="399">$J$4607</f>
        <v>15</v>
      </c>
      <c r="K4540" s="174">
        <f>J$4611</f>
        <v>84.93</v>
      </c>
      <c r="L4540" s="1034">
        <f>K$4585</f>
        <v>1.0111111111111111</v>
      </c>
      <c r="M4540" s="238"/>
      <c r="R4540" s="532"/>
      <c r="T4540" s="52"/>
      <c r="U4540" s="52"/>
      <c r="V4540" s="1385" t="s">
        <v>45</v>
      </c>
      <c r="W4540" s="165"/>
      <c r="X4540" s="165"/>
      <c r="Y4540" s="165"/>
      <c r="Z4540" s="165"/>
      <c r="AA4540" s="165"/>
      <c r="AB4540" s="165"/>
      <c r="AC4540" s="165"/>
      <c r="AD4540" s="49">
        <v>105.12</v>
      </c>
      <c r="AE4540" s="225">
        <v>105.12</v>
      </c>
      <c r="AF4540" s="271">
        <v>105.12</v>
      </c>
      <c r="AG4540" s="165"/>
      <c r="DG4540" s="1095">
        <f>(DI4540+DI4541)/(DJ4540+DJ4541)</f>
        <v>3.6015271448645594</v>
      </c>
      <c r="DH4540" s="1369" t="str">
        <f t="shared" si="396"/>
        <v>Cooling Res 15 Year EUL</v>
      </c>
      <c r="DI4540" s="993">
        <f>(INDEX('Avoided Cost Benefits'!$B$4:$B$866,MATCH(DH4540,'Avoided Cost Benefits'!$A$4:$A$866,0)))*F4540</f>
        <v>213.64142415424695</v>
      </c>
      <c r="DJ4540" s="1169">
        <f t="shared" ref="DJ4540:DJ4571" si="400">K4540/(1.0686^(2025-2025))</f>
        <v>84.93</v>
      </c>
    </row>
    <row r="4541" spans="1:114">
      <c r="A4541" s="453"/>
      <c r="B4541" s="1454">
        <f t="shared" si="397"/>
        <v>356700</v>
      </c>
      <c r="C4541" s="1608" t="s">
        <v>2562</v>
      </c>
      <c r="D4541" s="3470" t="s">
        <v>959</v>
      </c>
      <c r="E4541" s="1370" t="s">
        <v>2563</v>
      </c>
      <c r="F4541" s="225">
        <f>ROUND(((J$4585*J$4586*(1/J$4589-1/J$4594))/1000),2)</f>
        <v>170.84</v>
      </c>
      <c r="G4541" s="84" t="s">
        <v>2078</v>
      </c>
      <c r="H4541" s="69">
        <f>VLOOKUP(G4541,'CP FACTORS'!$A$3:$B$38, 2, FALSE)</f>
        <v>0</v>
      </c>
      <c r="I4541" s="1028">
        <f t="shared" si="398"/>
        <v>0</v>
      </c>
      <c r="J4541" s="59">
        <f t="shared" si="399"/>
        <v>15</v>
      </c>
      <c r="K4541" s="174">
        <v>0</v>
      </c>
      <c r="L4541" s="1034"/>
      <c r="M4541" s="238"/>
      <c r="R4541" s="532"/>
      <c r="T4541" s="52"/>
      <c r="U4541" s="52"/>
      <c r="V4541" s="1385" t="s">
        <v>45</v>
      </c>
      <c r="W4541" s="165"/>
      <c r="X4541" s="165"/>
      <c r="Y4541" s="165"/>
      <c r="Z4541" s="165"/>
      <c r="AA4541" s="165"/>
      <c r="AB4541" s="165"/>
      <c r="AC4541" s="165"/>
      <c r="AD4541" s="49">
        <v>170.84</v>
      </c>
      <c r="AE4541" s="225">
        <v>170.84</v>
      </c>
      <c r="AF4541" s="271">
        <v>170.84</v>
      </c>
      <c r="AG4541" s="165"/>
      <c r="DG4541" s="812"/>
      <c r="DH4541" s="1370" t="str">
        <f t="shared" si="396"/>
        <v>Heating Res 15 Year EUL</v>
      </c>
      <c r="DI4541" s="996">
        <f>(INDEX('Avoided Cost Benefits'!$B$4:$B$866,MATCH(DH4541,'Avoided Cost Benefits'!$A$4:$A$866,0)))*F4541</f>
        <v>92.236276259100066</v>
      </c>
      <c r="DJ4541" s="1171">
        <f t="shared" si="400"/>
        <v>0</v>
      </c>
    </row>
    <row r="4542" spans="1:114">
      <c r="A4542" s="453"/>
      <c r="B4542" s="1454">
        <f t="shared" si="397"/>
        <v>356725</v>
      </c>
      <c r="C4542" s="3416" t="s">
        <v>2564</v>
      </c>
      <c r="D4542" s="3417" t="s">
        <v>1118</v>
      </c>
      <c r="E4542" s="2882" t="s">
        <v>2565</v>
      </c>
      <c r="F4542" s="3418">
        <f>ROUND(((J$4596*J$4598*(1/J$4601-1/J$4604))/1000),2)</f>
        <v>76.5</v>
      </c>
      <c r="G4542" s="3419" t="s">
        <v>2077</v>
      </c>
      <c r="H4542" s="3318">
        <f>VLOOKUP(G4542,'CP FACTORS'!$A$3:$B$38, 2, FALSE)</f>
        <v>9.4741810000000004E-4</v>
      </c>
      <c r="I4542" s="3414">
        <f t="shared" si="398"/>
        <v>7.2477E-2</v>
      </c>
      <c r="J4542" s="3406">
        <f t="shared" si="399"/>
        <v>15</v>
      </c>
      <c r="K4542" s="3420">
        <f>J$4611</f>
        <v>84.93</v>
      </c>
      <c r="L4542" s="2212">
        <f>K$4585</f>
        <v>1.0111111111111111</v>
      </c>
      <c r="M4542" s="3408"/>
      <c r="N4542" s="635"/>
      <c r="O4542" s="635"/>
      <c r="P4542" s="635"/>
      <c r="Q4542" s="635"/>
      <c r="R4542" s="2966"/>
      <c r="S4542" s="2237"/>
      <c r="T4542" s="635"/>
      <c r="U4542" s="635"/>
      <c r="V4542" s="2308" t="s">
        <v>45</v>
      </c>
      <c r="W4542" s="2234"/>
      <c r="X4542" s="2234"/>
      <c r="Y4542" s="2234"/>
      <c r="Z4542" s="2234"/>
      <c r="AA4542" s="2234"/>
      <c r="AB4542" s="2234"/>
      <c r="AC4542" s="2234"/>
      <c r="AD4542" s="2235">
        <v>76.5</v>
      </c>
      <c r="AE4542" s="3373">
        <v>76.5</v>
      </c>
      <c r="AF4542" s="2236">
        <v>76.5</v>
      </c>
      <c r="AG4542" s="2234"/>
      <c r="AH4542" s="2237"/>
      <c r="AI4542" s="2237"/>
      <c r="AJ4542" s="2237"/>
      <c r="AK4542" s="2237"/>
      <c r="AL4542" s="2237"/>
      <c r="AM4542" s="2237"/>
      <c r="AN4542" s="2237"/>
      <c r="AO4542" s="2237"/>
      <c r="AP4542" s="2237"/>
      <c r="AQ4542" s="2237"/>
      <c r="AR4542" s="2237"/>
      <c r="AS4542" s="2237"/>
      <c r="AT4542" s="2237"/>
      <c r="AU4542" s="2237"/>
      <c r="AV4542" s="2237"/>
      <c r="AW4542" s="2237"/>
      <c r="AX4542" s="2237"/>
      <c r="AY4542" s="2237"/>
      <c r="AZ4542" s="2237"/>
      <c r="BA4542" s="2237"/>
      <c r="BB4542" s="2237"/>
      <c r="BC4542" s="2237"/>
      <c r="BD4542" s="2237"/>
      <c r="BE4542" s="2237"/>
      <c r="BF4542" s="2237"/>
      <c r="BG4542" s="2237"/>
      <c r="BH4542" s="2237"/>
      <c r="BI4542" s="2237"/>
      <c r="BJ4542" s="2237"/>
      <c r="BK4542" s="2237"/>
      <c r="BL4542" s="2237"/>
      <c r="BM4542" s="2237"/>
      <c r="BN4542" s="2237"/>
      <c r="BO4542" s="2237"/>
      <c r="BP4542" s="2237"/>
      <c r="BQ4542" s="2237"/>
      <c r="BR4542" s="2237"/>
      <c r="BS4542" s="2237"/>
      <c r="BT4542" s="2237"/>
      <c r="BU4542" s="2237"/>
      <c r="BV4542" s="2237"/>
      <c r="BW4542" s="2237"/>
      <c r="BX4542" s="2237"/>
      <c r="BY4542" s="2237"/>
      <c r="BZ4542" s="2237"/>
      <c r="CA4542" s="2237"/>
      <c r="CB4542" s="2237"/>
      <c r="CC4542" s="2237"/>
      <c r="CD4542" s="2237"/>
      <c r="CE4542" s="2237"/>
      <c r="CF4542" s="2237"/>
      <c r="CG4542" s="2237"/>
      <c r="CH4542" s="2237"/>
      <c r="CI4542" s="2237"/>
      <c r="CJ4542" s="2237"/>
      <c r="CK4542" s="2237"/>
      <c r="CL4542" s="2237"/>
      <c r="CM4542" s="2237"/>
      <c r="CN4542" s="2237"/>
      <c r="CO4542" s="2237"/>
      <c r="CP4542" s="2237"/>
      <c r="CQ4542" s="2237"/>
      <c r="CR4542" s="2237"/>
      <c r="CS4542" s="2237"/>
      <c r="CT4542" s="2237"/>
      <c r="CU4542" s="2237"/>
      <c r="CV4542" s="2237"/>
      <c r="CW4542" s="2237"/>
      <c r="CX4542" s="2237"/>
      <c r="CY4542" s="2237"/>
      <c r="CZ4542" s="2237"/>
      <c r="DA4542" s="2237"/>
      <c r="DB4542" s="2237"/>
      <c r="DC4542" s="2237"/>
      <c r="DD4542" s="2237"/>
      <c r="DE4542" s="2237"/>
      <c r="DF4542" s="2237"/>
      <c r="DG4542" s="3412">
        <f>(DI4542+DI4543)/(DJ4542+DJ4543)</f>
        <v>2.2013686287680865</v>
      </c>
      <c r="DH4542" s="2521" t="str">
        <f t="shared" si="396"/>
        <v>Cooling Res 15 Year EUL</v>
      </c>
      <c r="DI4542" s="3245">
        <f>(INDEX('Avoided Cost Benefits'!$B$4:$B$866,MATCH(DH4542,'Avoided Cost Benefits'!$A$4:$A$866,0)))*F4542</f>
        <v>155.47535148211466</v>
      </c>
      <c r="DJ4542" s="2421">
        <f t="shared" si="400"/>
        <v>84.93</v>
      </c>
    </row>
    <row r="4543" spans="1:114">
      <c r="A4543" s="453"/>
      <c r="B4543" s="1454">
        <f t="shared" si="397"/>
        <v>356725</v>
      </c>
      <c r="C4543" s="2209" t="s">
        <v>2564</v>
      </c>
      <c r="D4543" s="3383" t="s">
        <v>1118</v>
      </c>
      <c r="E4543" s="2882" t="s">
        <v>2565</v>
      </c>
      <c r="F4543" s="3373">
        <f>ROUND(((J$4585*J$4587*(1/J$4589-1/J$4594))/1000),2)</f>
        <v>58.32</v>
      </c>
      <c r="G4543" s="2643" t="s">
        <v>2078</v>
      </c>
      <c r="H4543" s="2213">
        <f>VLOOKUP(G4543,'CP FACTORS'!$A$3:$B$38, 2, FALSE)</f>
        <v>0</v>
      </c>
      <c r="I4543" s="3385">
        <f t="shared" si="398"/>
        <v>0</v>
      </c>
      <c r="J4543" s="2449">
        <f t="shared" si="399"/>
        <v>15</v>
      </c>
      <c r="K4543" s="2592">
        <v>0</v>
      </c>
      <c r="L4543" s="2212"/>
      <c r="M4543" s="3408"/>
      <c r="N4543" s="635"/>
      <c r="O4543" s="635"/>
      <c r="P4543" s="635"/>
      <c r="Q4543" s="635"/>
      <c r="R4543" s="2966"/>
      <c r="S4543" s="2237"/>
      <c r="T4543" s="635"/>
      <c r="U4543" s="635"/>
      <c r="V4543" s="2308" t="s">
        <v>45</v>
      </c>
      <c r="W4543" s="2234"/>
      <c r="X4543" s="2234"/>
      <c r="Y4543" s="2234"/>
      <c r="Z4543" s="2234"/>
      <c r="AA4543" s="2234"/>
      <c r="AB4543" s="2234"/>
      <c r="AC4543" s="2234"/>
      <c r="AD4543" s="2235">
        <v>58.32</v>
      </c>
      <c r="AE4543" s="3373">
        <v>58.32</v>
      </c>
      <c r="AF4543" s="2236">
        <v>58.32</v>
      </c>
      <c r="AG4543" s="2234"/>
      <c r="AH4543" s="2237"/>
      <c r="AI4543" s="2237"/>
      <c r="AJ4543" s="2237"/>
      <c r="AK4543" s="2237"/>
      <c r="AL4543" s="2237"/>
      <c r="AM4543" s="2237"/>
      <c r="AN4543" s="2237"/>
      <c r="AO4543" s="2237"/>
      <c r="AP4543" s="2237"/>
      <c r="AQ4543" s="2237"/>
      <c r="AR4543" s="2237"/>
      <c r="AS4543" s="2237"/>
      <c r="AT4543" s="2237"/>
      <c r="AU4543" s="2237"/>
      <c r="AV4543" s="2237"/>
      <c r="AW4543" s="2237"/>
      <c r="AX4543" s="2237"/>
      <c r="AY4543" s="2237"/>
      <c r="AZ4543" s="2237"/>
      <c r="BA4543" s="2237"/>
      <c r="BB4543" s="2237"/>
      <c r="BC4543" s="2237"/>
      <c r="BD4543" s="2237"/>
      <c r="BE4543" s="2237"/>
      <c r="BF4543" s="2237"/>
      <c r="BG4543" s="2237"/>
      <c r="BH4543" s="2237"/>
      <c r="BI4543" s="2237"/>
      <c r="BJ4543" s="2237"/>
      <c r="BK4543" s="2237"/>
      <c r="BL4543" s="2237"/>
      <c r="BM4543" s="2237"/>
      <c r="BN4543" s="2237"/>
      <c r="BO4543" s="2237"/>
      <c r="BP4543" s="2237"/>
      <c r="BQ4543" s="2237"/>
      <c r="BR4543" s="2237"/>
      <c r="BS4543" s="2237"/>
      <c r="BT4543" s="2237"/>
      <c r="BU4543" s="2237"/>
      <c r="BV4543" s="2237"/>
      <c r="BW4543" s="2237"/>
      <c r="BX4543" s="2237"/>
      <c r="BY4543" s="2237"/>
      <c r="BZ4543" s="2237"/>
      <c r="CA4543" s="2237"/>
      <c r="CB4543" s="2237"/>
      <c r="CC4543" s="2237"/>
      <c r="CD4543" s="2237"/>
      <c r="CE4543" s="2237"/>
      <c r="CF4543" s="2237"/>
      <c r="CG4543" s="2237"/>
      <c r="CH4543" s="2237"/>
      <c r="CI4543" s="2237"/>
      <c r="CJ4543" s="2237"/>
      <c r="CK4543" s="2237"/>
      <c r="CL4543" s="2237"/>
      <c r="CM4543" s="2237"/>
      <c r="CN4543" s="2237"/>
      <c r="CO4543" s="2237"/>
      <c r="CP4543" s="2237"/>
      <c r="CQ4543" s="2237"/>
      <c r="CR4543" s="2237"/>
      <c r="CS4543" s="2237"/>
      <c r="CT4543" s="2237"/>
      <c r="CU4543" s="2237"/>
      <c r="CV4543" s="2237"/>
      <c r="CW4543" s="2237"/>
      <c r="CX4543" s="2237"/>
      <c r="CY4543" s="2237"/>
      <c r="CZ4543" s="2237"/>
      <c r="DA4543" s="2237"/>
      <c r="DB4543" s="2237"/>
      <c r="DC4543" s="2237"/>
      <c r="DD4543" s="2237"/>
      <c r="DE4543" s="2237"/>
      <c r="DF4543" s="2237"/>
      <c r="DG4543" s="3415"/>
      <c r="DH4543" s="2522" t="str">
        <f t="shared" si="396"/>
        <v>Heating Res 15 Year EUL</v>
      </c>
      <c r="DI4543" s="2511">
        <f>(INDEX('Avoided Cost Benefits'!$B$4:$B$866,MATCH(DH4543,'Avoided Cost Benefits'!$A$4:$A$866,0)))*F4543</f>
        <v>31.486886159158953</v>
      </c>
      <c r="DJ4543" s="2431">
        <f t="shared" si="400"/>
        <v>0</v>
      </c>
    </row>
    <row r="4544" spans="1:114">
      <c r="A4544" s="453"/>
      <c r="B4544" s="1454">
        <f t="shared" si="397"/>
        <v>356750</v>
      </c>
      <c r="C4544" s="1608" t="s">
        <v>2566</v>
      </c>
      <c r="D4544" s="3470" t="s">
        <v>959</v>
      </c>
      <c r="E4544" s="1369" t="s">
        <v>2567</v>
      </c>
      <c r="F4544" s="225">
        <f>ROUND(((J$4596*J$4597*(1/J$4601-1/J$4604))/1000),2)</f>
        <v>105.12</v>
      </c>
      <c r="G4544" s="84" t="s">
        <v>2077</v>
      </c>
      <c r="H4544" s="69">
        <f>VLOOKUP(G4544,'CP FACTORS'!$A$3:$B$38, 2, FALSE)</f>
        <v>9.4741810000000004E-4</v>
      </c>
      <c r="I4544" s="1028">
        <f t="shared" si="398"/>
        <v>9.9593000000000001E-2</v>
      </c>
      <c r="J4544" s="59">
        <f t="shared" si="399"/>
        <v>15</v>
      </c>
      <c r="K4544" s="174">
        <f>J$4611</f>
        <v>84.93</v>
      </c>
      <c r="L4544" s="1034">
        <f>K$4585</f>
        <v>1.0111111111111111</v>
      </c>
      <c r="M4544" s="238"/>
      <c r="R4544" s="532"/>
      <c r="T4544" s="52"/>
      <c r="U4544" s="52"/>
      <c r="V4544" s="1385" t="s">
        <v>45</v>
      </c>
      <c r="W4544" s="165"/>
      <c r="X4544" s="165"/>
      <c r="Y4544" s="165"/>
      <c r="Z4544" s="165"/>
      <c r="AA4544" s="165"/>
      <c r="AB4544" s="165"/>
      <c r="AC4544" s="165"/>
      <c r="AD4544" s="49">
        <v>105.12</v>
      </c>
      <c r="AE4544" s="225">
        <v>105.12</v>
      </c>
      <c r="AF4544" s="271">
        <v>105.12</v>
      </c>
      <c r="AG4544" s="165"/>
      <c r="DG4544" s="1095">
        <f>(DI4544+DI4545)/(DJ4544+DJ4545)</f>
        <v>19.485785034229444</v>
      </c>
      <c r="DH4544" s="1369" t="str">
        <f t="shared" si="396"/>
        <v>Cooling Res 15 Year EUL</v>
      </c>
      <c r="DI4544" s="993">
        <f>(INDEX('Avoided Cost Benefits'!$B$4:$B$866,MATCH(DH4544,'Avoided Cost Benefits'!$A$4:$A$866,0)))*F4544</f>
        <v>213.64142415424695</v>
      </c>
      <c r="DJ4544" s="1169">
        <f t="shared" si="400"/>
        <v>84.93</v>
      </c>
    </row>
    <row r="4545" spans="1:114">
      <c r="A4545" s="453"/>
      <c r="B4545" s="1454">
        <f t="shared" si="397"/>
        <v>356750</v>
      </c>
      <c r="C4545" s="1608" t="s">
        <v>2566</v>
      </c>
      <c r="D4545" s="3470" t="s">
        <v>959</v>
      </c>
      <c r="E4545" s="1370" t="s">
        <v>2567</v>
      </c>
      <c r="F4545" s="225">
        <f>ROUND(((J$4585*J$4586*(1/J$4591-1/J$4594))/1000),2)</f>
        <v>2669.55</v>
      </c>
      <c r="G4545" s="84" t="s">
        <v>2078</v>
      </c>
      <c r="H4545" s="69">
        <f>VLOOKUP(G4545,'CP FACTORS'!$A$3:$B$38, 2, FALSE)</f>
        <v>0</v>
      </c>
      <c r="I4545" s="1028">
        <f t="shared" si="398"/>
        <v>0</v>
      </c>
      <c r="J4545" s="59">
        <f t="shared" si="399"/>
        <v>15</v>
      </c>
      <c r="K4545" s="174">
        <v>0</v>
      </c>
      <c r="L4545" s="1034"/>
      <c r="M4545" s="238"/>
      <c r="R4545" s="532"/>
      <c r="T4545" s="52"/>
      <c r="U4545" s="52"/>
      <c r="V4545" s="1385" t="s">
        <v>45</v>
      </c>
      <c r="W4545" s="165"/>
      <c r="X4545" s="165"/>
      <c r="Y4545" s="165"/>
      <c r="Z4545" s="165"/>
      <c r="AA4545" s="165"/>
      <c r="AB4545" s="165"/>
      <c r="AC4545" s="165"/>
      <c r="AD4545" s="49">
        <v>2669.55</v>
      </c>
      <c r="AE4545" s="225">
        <v>2669.55</v>
      </c>
      <c r="AF4545" s="271">
        <v>2669.55</v>
      </c>
      <c r="AG4545" s="165"/>
      <c r="DG4545" s="812"/>
      <c r="DH4545" s="1370" t="str">
        <f t="shared" si="396"/>
        <v>Heating Res 15 Year EUL</v>
      </c>
      <c r="DI4545" s="996">
        <f>(INDEX('Avoided Cost Benefits'!$B$4:$B$866,MATCH(DH4545,'Avoided Cost Benefits'!$A$4:$A$866,0)))*F4545</f>
        <v>1441.2862988028598</v>
      </c>
      <c r="DJ4545" s="1171">
        <f t="shared" si="400"/>
        <v>0</v>
      </c>
    </row>
    <row r="4546" spans="1:114">
      <c r="A4546" s="453"/>
      <c r="B4546" s="1454">
        <f t="shared" si="397"/>
        <v>356775</v>
      </c>
      <c r="C4546" s="3416" t="s">
        <v>2568</v>
      </c>
      <c r="D4546" s="3421" t="s">
        <v>1118</v>
      </c>
      <c r="E4546" s="2882" t="s">
        <v>2569</v>
      </c>
      <c r="F4546" s="3418">
        <f>ROUND(((J$4596*J$4598*(1/J$4601-1/J$4604))/1000),2)</f>
        <v>76.5</v>
      </c>
      <c r="G4546" s="3419" t="s">
        <v>2077</v>
      </c>
      <c r="H4546" s="3318">
        <f>VLOOKUP(G4546,'CP FACTORS'!$A$3:$B$38, 2, FALSE)</f>
        <v>9.4741810000000004E-4</v>
      </c>
      <c r="I4546" s="3414">
        <f t="shared" si="398"/>
        <v>7.2477E-2</v>
      </c>
      <c r="J4546" s="3406">
        <f t="shared" si="399"/>
        <v>15</v>
      </c>
      <c r="K4546" s="3420">
        <f>J$4611</f>
        <v>84.93</v>
      </c>
      <c r="L4546" s="2212">
        <f>K$4585</f>
        <v>1.0111111111111111</v>
      </c>
      <c r="M4546" s="3408"/>
      <c r="N4546" s="635"/>
      <c r="O4546" s="635"/>
      <c r="P4546" s="635"/>
      <c r="Q4546" s="635"/>
      <c r="R4546" s="2966"/>
      <c r="S4546" s="2237"/>
      <c r="T4546" s="635"/>
      <c r="U4546" s="635"/>
      <c r="V4546" s="2308" t="s">
        <v>45</v>
      </c>
      <c r="W4546" s="2234"/>
      <c r="X4546" s="2234"/>
      <c r="Y4546" s="2234"/>
      <c r="Z4546" s="2234"/>
      <c r="AA4546" s="2234"/>
      <c r="AB4546" s="2234"/>
      <c r="AC4546" s="2234"/>
      <c r="AD4546" s="2235">
        <v>76.5</v>
      </c>
      <c r="AE4546" s="3373">
        <v>76.5</v>
      </c>
      <c r="AF4546" s="2236">
        <v>76.5</v>
      </c>
      <c r="AG4546" s="2234"/>
      <c r="AH4546" s="2237"/>
      <c r="AI4546" s="2237"/>
      <c r="AJ4546" s="2237"/>
      <c r="AK4546" s="2237"/>
      <c r="AL4546" s="2237"/>
      <c r="AM4546" s="2237"/>
      <c r="AN4546" s="2237"/>
      <c r="AO4546" s="2237"/>
      <c r="AP4546" s="2237"/>
      <c r="AQ4546" s="2237"/>
      <c r="AR4546" s="2237"/>
      <c r="AS4546" s="2237"/>
      <c r="AT4546" s="2237"/>
      <c r="AU4546" s="2237"/>
      <c r="AV4546" s="2237"/>
      <c r="AW4546" s="2237"/>
      <c r="AX4546" s="2237"/>
      <c r="AY4546" s="2237"/>
      <c r="AZ4546" s="2237"/>
      <c r="BA4546" s="2237"/>
      <c r="BB4546" s="2237"/>
      <c r="BC4546" s="2237"/>
      <c r="BD4546" s="2237"/>
      <c r="BE4546" s="2237"/>
      <c r="BF4546" s="2237"/>
      <c r="BG4546" s="2237"/>
      <c r="BH4546" s="2237"/>
      <c r="BI4546" s="2237"/>
      <c r="BJ4546" s="2237"/>
      <c r="BK4546" s="2237"/>
      <c r="BL4546" s="2237"/>
      <c r="BM4546" s="2237"/>
      <c r="BN4546" s="2237"/>
      <c r="BO4546" s="2237"/>
      <c r="BP4546" s="2237"/>
      <c r="BQ4546" s="2237"/>
      <c r="BR4546" s="2237"/>
      <c r="BS4546" s="2237"/>
      <c r="BT4546" s="2237"/>
      <c r="BU4546" s="2237"/>
      <c r="BV4546" s="2237"/>
      <c r="BW4546" s="2237"/>
      <c r="BX4546" s="2237"/>
      <c r="BY4546" s="2237"/>
      <c r="BZ4546" s="2237"/>
      <c r="CA4546" s="2237"/>
      <c r="CB4546" s="2237"/>
      <c r="CC4546" s="2237"/>
      <c r="CD4546" s="2237"/>
      <c r="CE4546" s="2237"/>
      <c r="CF4546" s="2237"/>
      <c r="CG4546" s="2237"/>
      <c r="CH4546" s="2237"/>
      <c r="CI4546" s="2237"/>
      <c r="CJ4546" s="2237"/>
      <c r="CK4546" s="2237"/>
      <c r="CL4546" s="2237"/>
      <c r="CM4546" s="2237"/>
      <c r="CN4546" s="2237"/>
      <c r="CO4546" s="2237"/>
      <c r="CP4546" s="2237"/>
      <c r="CQ4546" s="2237"/>
      <c r="CR4546" s="2237"/>
      <c r="CS4546" s="2237"/>
      <c r="CT4546" s="2237"/>
      <c r="CU4546" s="2237"/>
      <c r="CV4546" s="2237"/>
      <c r="CW4546" s="2237"/>
      <c r="CX4546" s="2237"/>
      <c r="CY4546" s="2237"/>
      <c r="CZ4546" s="2237"/>
      <c r="DA4546" s="2237"/>
      <c r="DB4546" s="2237"/>
      <c r="DC4546" s="2237"/>
      <c r="DD4546" s="2237"/>
      <c r="DE4546" s="2237"/>
      <c r="DF4546" s="2237"/>
      <c r="DG4546" s="3412">
        <f>(DI4546+DI4547)/(DJ4546+DJ4547)</f>
        <v>7.623366875462219</v>
      </c>
      <c r="DH4546" s="2521" t="str">
        <f t="shared" si="396"/>
        <v>Cooling Res 15 Year EUL</v>
      </c>
      <c r="DI4546" s="3245">
        <f>(INDEX('Avoided Cost Benefits'!$B$4:$B$866,MATCH(DH4546,'Avoided Cost Benefits'!$A$4:$A$866,0)))*F4546</f>
        <v>155.47535148211466</v>
      </c>
      <c r="DJ4546" s="2421">
        <f t="shared" si="400"/>
        <v>84.93</v>
      </c>
    </row>
    <row r="4547" spans="1:114">
      <c r="A4547" s="453"/>
      <c r="B4547" s="1454">
        <f t="shared" si="397"/>
        <v>356775</v>
      </c>
      <c r="C4547" s="2209" t="s">
        <v>2568</v>
      </c>
      <c r="D4547" s="3383" t="s">
        <v>1118</v>
      </c>
      <c r="E4547" s="2522" t="s">
        <v>2569</v>
      </c>
      <c r="F4547" s="3373">
        <f>ROUND(((J$4585*J$4587*(1/J$4591-1/J$4594))/1000),2)</f>
        <v>911.24</v>
      </c>
      <c r="G4547" s="2643" t="s">
        <v>2078</v>
      </c>
      <c r="H4547" s="2213">
        <f>VLOOKUP(G4547,'CP FACTORS'!$A$3:$B$38, 2, FALSE)</f>
        <v>0</v>
      </c>
      <c r="I4547" s="3385">
        <f t="shared" si="398"/>
        <v>0</v>
      </c>
      <c r="J4547" s="2449">
        <f t="shared" si="399"/>
        <v>15</v>
      </c>
      <c r="K4547" s="2592">
        <v>0</v>
      </c>
      <c r="L4547" s="2212"/>
      <c r="M4547" s="3408"/>
      <c r="N4547" s="635"/>
      <c r="O4547" s="635"/>
      <c r="P4547" s="635"/>
      <c r="Q4547" s="635"/>
      <c r="R4547" s="2966"/>
      <c r="S4547" s="2237"/>
      <c r="T4547" s="635"/>
      <c r="U4547" s="635"/>
      <c r="V4547" s="2308" t="s">
        <v>45</v>
      </c>
      <c r="W4547" s="2234"/>
      <c r="X4547" s="2234"/>
      <c r="Y4547" s="2234"/>
      <c r="Z4547" s="2234"/>
      <c r="AA4547" s="2234"/>
      <c r="AB4547" s="2234"/>
      <c r="AC4547" s="2234"/>
      <c r="AD4547" s="2235">
        <v>911.24</v>
      </c>
      <c r="AE4547" s="3373">
        <v>911.24</v>
      </c>
      <c r="AF4547" s="2236">
        <v>911.24</v>
      </c>
      <c r="AG4547" s="2234"/>
      <c r="AH4547" s="2237"/>
      <c r="AI4547" s="2237"/>
      <c r="AJ4547" s="2237"/>
      <c r="AK4547" s="2237"/>
      <c r="AL4547" s="2237"/>
      <c r="AM4547" s="2237"/>
      <c r="AN4547" s="2237"/>
      <c r="AO4547" s="2237"/>
      <c r="AP4547" s="2237"/>
      <c r="AQ4547" s="2237"/>
      <c r="AR4547" s="2237"/>
      <c r="AS4547" s="2237"/>
      <c r="AT4547" s="2237"/>
      <c r="AU4547" s="2237"/>
      <c r="AV4547" s="2237"/>
      <c r="AW4547" s="2237"/>
      <c r="AX4547" s="2237"/>
      <c r="AY4547" s="2237"/>
      <c r="AZ4547" s="2237"/>
      <c r="BA4547" s="2237"/>
      <c r="BB4547" s="2237"/>
      <c r="BC4547" s="2237"/>
      <c r="BD4547" s="2237"/>
      <c r="BE4547" s="2237"/>
      <c r="BF4547" s="2237"/>
      <c r="BG4547" s="2237"/>
      <c r="BH4547" s="2237"/>
      <c r="BI4547" s="2237"/>
      <c r="BJ4547" s="2237"/>
      <c r="BK4547" s="2237"/>
      <c r="BL4547" s="2237"/>
      <c r="BM4547" s="2237"/>
      <c r="BN4547" s="2237"/>
      <c r="BO4547" s="2237"/>
      <c r="BP4547" s="2237"/>
      <c r="BQ4547" s="2237"/>
      <c r="BR4547" s="2237"/>
      <c r="BS4547" s="2237"/>
      <c r="BT4547" s="2237"/>
      <c r="BU4547" s="2237"/>
      <c r="BV4547" s="2237"/>
      <c r="BW4547" s="2237"/>
      <c r="BX4547" s="2237"/>
      <c r="BY4547" s="2237"/>
      <c r="BZ4547" s="2237"/>
      <c r="CA4547" s="2237"/>
      <c r="CB4547" s="2237"/>
      <c r="CC4547" s="2237"/>
      <c r="CD4547" s="2237"/>
      <c r="CE4547" s="2237"/>
      <c r="CF4547" s="2237"/>
      <c r="CG4547" s="2237"/>
      <c r="CH4547" s="2237"/>
      <c r="CI4547" s="2237"/>
      <c r="CJ4547" s="2237"/>
      <c r="CK4547" s="2237"/>
      <c r="CL4547" s="2237"/>
      <c r="CM4547" s="2237"/>
      <c r="CN4547" s="2237"/>
      <c r="CO4547" s="2237"/>
      <c r="CP4547" s="2237"/>
      <c r="CQ4547" s="2237"/>
      <c r="CR4547" s="2237"/>
      <c r="CS4547" s="2237"/>
      <c r="CT4547" s="2237"/>
      <c r="CU4547" s="2237"/>
      <c r="CV4547" s="2237"/>
      <c r="CW4547" s="2237"/>
      <c r="CX4547" s="2237"/>
      <c r="CY4547" s="2237"/>
      <c r="CZ4547" s="2237"/>
      <c r="DA4547" s="2237"/>
      <c r="DB4547" s="2237"/>
      <c r="DC4547" s="2237"/>
      <c r="DD4547" s="2237"/>
      <c r="DE4547" s="2237"/>
      <c r="DF4547" s="2237"/>
      <c r="DG4547" s="3415"/>
      <c r="DH4547" s="2522" t="str">
        <f t="shared" si="396"/>
        <v>Heating Res 15 Year EUL</v>
      </c>
      <c r="DI4547" s="2511">
        <f>(INDEX('Avoided Cost Benefits'!$B$4:$B$866,MATCH(DH4547,'Avoided Cost Benefits'!$A$4:$A$866,0)))*F4547</f>
        <v>491.97719725089172</v>
      </c>
      <c r="DJ4547" s="2431">
        <f t="shared" si="400"/>
        <v>0</v>
      </c>
    </row>
    <row r="4548" spans="1:114">
      <c r="A4548" s="453"/>
      <c r="B4548" s="1454">
        <f t="shared" si="397"/>
        <v>356800</v>
      </c>
      <c r="C4548" s="2007" t="s">
        <v>2570</v>
      </c>
      <c r="D4548" s="3470" t="s">
        <v>959</v>
      </c>
      <c r="E4548" s="1393" t="s">
        <v>2571</v>
      </c>
      <c r="F4548" s="1585">
        <f>ROUND(((J$4596*J$4597*(1/J$4599-1/J$4605))/1000),2)</f>
        <v>584.30999999999995</v>
      </c>
      <c r="G4548" s="1048" t="s">
        <v>2077</v>
      </c>
      <c r="H4548" s="978">
        <f>VLOOKUP(G4548,'CP FACTORS'!$A$3:$B$38, 2, FALSE)</f>
        <v>9.4741810000000004E-4</v>
      </c>
      <c r="I4548" s="2080">
        <f t="shared" si="398"/>
        <v>0.55358600000000002</v>
      </c>
      <c r="J4548" s="1050">
        <f>$J$4608</f>
        <v>5</v>
      </c>
      <c r="K4548" s="2072">
        <f>J$4610</f>
        <v>224.93182686576984</v>
      </c>
      <c r="L4548" s="1051">
        <f>K$4585</f>
        <v>1.0111111111111111</v>
      </c>
      <c r="M4548" s="238"/>
      <c r="R4548" s="532"/>
      <c r="T4548" s="52"/>
      <c r="U4548" s="52"/>
      <c r="V4548" s="1385" t="s">
        <v>45</v>
      </c>
      <c r="W4548" s="165"/>
      <c r="X4548" s="165"/>
      <c r="Y4548" s="165"/>
      <c r="Z4548" s="165"/>
      <c r="AA4548" s="165"/>
      <c r="AB4548" s="165"/>
      <c r="AC4548" s="165"/>
      <c r="AD4548" s="49">
        <v>540.66999999999996</v>
      </c>
      <c r="AE4548" s="225">
        <v>540.66999999999996</v>
      </c>
      <c r="AF4548" s="271">
        <v>584.30999999999995</v>
      </c>
      <c r="AG4548" s="165"/>
      <c r="DG4548" s="1095">
        <f>(DI4548+DI4549+DI4550+DI4551)/(DJ4548+DJ4549+DJ4550+DJ4551)</f>
        <v>4.5905121733042673</v>
      </c>
      <c r="DH4548" s="1369" t="str">
        <f t="shared" si="396"/>
        <v>Cooling Res 5 Year EUL</v>
      </c>
      <c r="DI4548" s="993">
        <f>(INDEX('Avoided Cost Benefits'!$B$4:$B$866,MATCH(DH4548,'Avoided Cost Benefits'!$A$4:$A$866,0)))*F4548</f>
        <v>496.47101688748114</v>
      </c>
      <c r="DJ4548" s="1169">
        <f t="shared" si="400"/>
        <v>224.93182686576984</v>
      </c>
    </row>
    <row r="4549" spans="1:114">
      <c r="A4549" s="453"/>
      <c r="B4549" s="1454">
        <f t="shared" si="397"/>
        <v>356800</v>
      </c>
      <c r="C4549" s="1608" t="s">
        <v>2570</v>
      </c>
      <c r="D4549" s="3470" t="s">
        <v>959</v>
      </c>
      <c r="E4549" s="1393" t="s">
        <v>2571</v>
      </c>
      <c r="F4549" s="225">
        <f>ROUND(((J$4585*J$4586*(1/J$4588-1/J$4595))/1000),2)</f>
        <v>1328.35</v>
      </c>
      <c r="G4549" s="84" t="s">
        <v>2078</v>
      </c>
      <c r="H4549" s="69">
        <f>VLOOKUP(G4549,'CP FACTORS'!$A$3:$B$38, 2, FALSE)</f>
        <v>0</v>
      </c>
      <c r="I4549" s="1028">
        <f t="shared" si="398"/>
        <v>0</v>
      </c>
      <c r="J4549" s="59">
        <f>$J$4608</f>
        <v>5</v>
      </c>
      <c r="K4549" s="174">
        <v>0</v>
      </c>
      <c r="L4549" s="1034"/>
      <c r="M4549" s="238"/>
      <c r="R4549" s="532"/>
      <c r="T4549" s="52"/>
      <c r="U4549" s="52"/>
      <c r="V4549" s="1385" t="s">
        <v>45</v>
      </c>
      <c r="W4549" s="165"/>
      <c r="X4549" s="165"/>
      <c r="Y4549" s="165"/>
      <c r="Z4549" s="165"/>
      <c r="AA4549" s="165"/>
      <c r="AB4549" s="165"/>
      <c r="AC4549" s="165"/>
      <c r="AD4549" s="49">
        <v>1328.35</v>
      </c>
      <c r="AE4549" s="225">
        <v>1328.35</v>
      </c>
      <c r="AF4549" s="271">
        <v>1328.35</v>
      </c>
      <c r="AG4549" s="165"/>
      <c r="DG4549" s="1096"/>
      <c r="DH4549" s="1393" t="str">
        <f t="shared" si="396"/>
        <v>Heating Res 5 Year EUL</v>
      </c>
      <c r="DI4549" s="1011">
        <f>(INDEX('Avoided Cost Benefits'!$B$4:$B$866,MATCH(DH4549,'Avoided Cost Benefits'!$A$4:$A$866,0)))*F4549</f>
        <v>304.13499997140889</v>
      </c>
      <c r="DJ4549" s="1170">
        <f t="shared" si="400"/>
        <v>0</v>
      </c>
    </row>
    <row r="4550" spans="1:114">
      <c r="A4550" s="453"/>
      <c r="B4550" s="1454">
        <f t="shared" si="397"/>
        <v>356800</v>
      </c>
      <c r="C4550" s="1608" t="s">
        <v>2570</v>
      </c>
      <c r="D4550" s="3470" t="s">
        <v>959</v>
      </c>
      <c r="E4550" s="1393" t="s">
        <v>2572</v>
      </c>
      <c r="F4550" s="1047">
        <f>ROUND(((J$4596*J$4597*(1/J$4601-1/J$4605))/1000),2)</f>
        <v>140.77000000000001</v>
      </c>
      <c r="G4550" s="84" t="s">
        <v>2138</v>
      </c>
      <c r="H4550" s="69">
        <f>VLOOKUP(G4550,'CP FACTORS'!$A$3:$B$38, 2, FALSE)</f>
        <v>9.4741810000000004E-4</v>
      </c>
      <c r="I4550" s="1049">
        <f t="shared" si="398"/>
        <v>0.13336799999999999</v>
      </c>
      <c r="J4550" s="59">
        <f>$J$4609</f>
        <v>10</v>
      </c>
      <c r="K4550" s="174">
        <v>0</v>
      </c>
      <c r="L4550" s="1034"/>
      <c r="M4550" s="238"/>
      <c r="R4550" s="532"/>
      <c r="T4550" s="52"/>
      <c r="U4550" s="52"/>
      <c r="V4550" s="1385" t="s">
        <v>45</v>
      </c>
      <c r="W4550" s="165"/>
      <c r="X4550" s="165"/>
      <c r="Y4550" s="165"/>
      <c r="Z4550" s="165"/>
      <c r="AA4550" s="165"/>
      <c r="AB4550" s="165"/>
      <c r="AC4550" s="165"/>
      <c r="AD4550" s="49">
        <v>140.77000000000001</v>
      </c>
      <c r="AE4550" s="225">
        <v>140.77000000000001</v>
      </c>
      <c r="AF4550" s="271">
        <v>140.77000000000001</v>
      </c>
      <c r="AG4550" s="165"/>
      <c r="DG4550" s="1096"/>
      <c r="DH4550" s="1393" t="str">
        <f t="shared" si="396"/>
        <v>Cooling Res ER2 10 Year EUL</v>
      </c>
      <c r="DI4550" s="1011">
        <f>(INDEX('Avoided Cost Benefits'!$B$4:$B$866,MATCH(DH4550,'Avoided Cost Benefits'!$A$4:$A$866,0)))*F4550</f>
        <v>166.48684268654091</v>
      </c>
      <c r="DJ4550" s="1170">
        <f t="shared" si="400"/>
        <v>0</v>
      </c>
    </row>
    <row r="4551" spans="1:114">
      <c r="A4551" s="453"/>
      <c r="B4551" s="1454">
        <f t="shared" si="397"/>
        <v>356800</v>
      </c>
      <c r="C4551" s="1608" t="s">
        <v>2570</v>
      </c>
      <c r="D4551" s="3470" t="s">
        <v>959</v>
      </c>
      <c r="E4551" s="1370" t="s">
        <v>2572</v>
      </c>
      <c r="F4551" s="225">
        <f>ROUND(((J$4585*J$4586*(1/J$4589-1/J$4595))/1000),2)</f>
        <v>210.52</v>
      </c>
      <c r="G4551" s="84" t="s">
        <v>2173</v>
      </c>
      <c r="H4551" s="69">
        <f>VLOOKUP(G4551,'CP FACTORS'!$A$3:$B$38, 2, FALSE)</f>
        <v>0</v>
      </c>
      <c r="I4551" s="1028">
        <f t="shared" si="398"/>
        <v>0</v>
      </c>
      <c r="J4551" s="59">
        <f>$J$4609</f>
        <v>10</v>
      </c>
      <c r="K4551" s="174">
        <v>0</v>
      </c>
      <c r="L4551" s="1034"/>
      <c r="M4551" s="238"/>
      <c r="R4551" s="532"/>
      <c r="T4551" s="52"/>
      <c r="U4551" s="52"/>
      <c r="V4551" s="1385" t="s">
        <v>45</v>
      </c>
      <c r="W4551" s="165"/>
      <c r="X4551" s="165"/>
      <c r="Y4551" s="165"/>
      <c r="Z4551" s="165"/>
      <c r="AA4551" s="165"/>
      <c r="AB4551" s="165"/>
      <c r="AC4551" s="165"/>
      <c r="AD4551" s="49">
        <v>210.52</v>
      </c>
      <c r="AE4551" s="225">
        <v>210.52</v>
      </c>
      <c r="AF4551" s="271">
        <v>210.52</v>
      </c>
      <c r="AG4551" s="165"/>
      <c r="DG4551" s="812"/>
      <c r="DH4551" s="1370" t="str">
        <f t="shared" si="396"/>
        <v>Heating Res ER2 10 Year EUL</v>
      </c>
      <c r="DI4551" s="996">
        <f>(INDEX('Avoided Cost Benefits'!$B$4:$B$866,MATCH(DH4551,'Avoided Cost Benefits'!$A$4:$A$866,0)))*F4551</f>
        <v>65.459429845453258</v>
      </c>
      <c r="DJ4551" s="1171">
        <f t="shared" si="400"/>
        <v>0</v>
      </c>
    </row>
    <row r="4552" spans="1:114">
      <c r="A4552" s="453"/>
      <c r="B4552" s="1454">
        <f t="shared" si="397"/>
        <v>356825</v>
      </c>
      <c r="C4552" s="2209" t="s">
        <v>2573</v>
      </c>
      <c r="D4552" s="3383" t="s">
        <v>1118</v>
      </c>
      <c r="E4552" s="2521" t="s">
        <v>2574</v>
      </c>
      <c r="F4552" s="3369">
        <f>ROUND(((J$4596*J$4598*(1/J$4599-1/J$4605))/1000),2)</f>
        <v>425.21</v>
      </c>
      <c r="G4552" s="2643" t="s">
        <v>2077</v>
      </c>
      <c r="H4552" s="2213">
        <f>VLOOKUP(G4552,'CP FACTORS'!$A$3:$B$38, 2, FALSE)</f>
        <v>9.4741810000000004E-4</v>
      </c>
      <c r="I4552" s="3394">
        <f t="shared" si="398"/>
        <v>0.40285199999999999</v>
      </c>
      <c r="J4552" s="3406">
        <f>$J$4608</f>
        <v>5</v>
      </c>
      <c r="K4552" s="3407">
        <f>J$4610</f>
        <v>224.93182686576984</v>
      </c>
      <c r="L4552" s="2212">
        <f>K$4585</f>
        <v>1.0111111111111111</v>
      </c>
      <c r="M4552" s="3408"/>
      <c r="N4552" s="635"/>
      <c r="O4552" s="635"/>
      <c r="P4552" s="635"/>
      <c r="Q4552" s="635"/>
      <c r="R4552" s="2966"/>
      <c r="S4552" s="2237"/>
      <c r="T4552" s="635"/>
      <c r="U4552" s="635"/>
      <c r="V4552" s="2308" t="s">
        <v>45</v>
      </c>
      <c r="W4552" s="2234"/>
      <c r="X4552" s="2234"/>
      <c r="Y4552" s="2234"/>
      <c r="Z4552" s="2234"/>
      <c r="AA4552" s="2234"/>
      <c r="AB4552" s="2234"/>
      <c r="AC4552" s="2234"/>
      <c r="AD4552" s="2235">
        <v>393.46</v>
      </c>
      <c r="AE4552" s="3373">
        <v>393.46</v>
      </c>
      <c r="AF4552" s="2236">
        <v>425.21</v>
      </c>
      <c r="AG4552" s="2234"/>
      <c r="AH4552" s="2237"/>
      <c r="AI4552" s="2237"/>
      <c r="AJ4552" s="2237"/>
      <c r="AK4552" s="2237"/>
      <c r="AL4552" s="2237"/>
      <c r="AM4552" s="2237"/>
      <c r="AN4552" s="2237"/>
      <c r="AO4552" s="2237"/>
      <c r="AP4552" s="2237"/>
      <c r="AQ4552" s="2237"/>
      <c r="AR4552" s="2237"/>
      <c r="AS4552" s="2237"/>
      <c r="AT4552" s="2237"/>
      <c r="AU4552" s="2237"/>
      <c r="AV4552" s="2237"/>
      <c r="AW4552" s="2237"/>
      <c r="AX4552" s="2237"/>
      <c r="AY4552" s="2237"/>
      <c r="AZ4552" s="2237"/>
      <c r="BA4552" s="2237"/>
      <c r="BB4552" s="2237"/>
      <c r="BC4552" s="2237"/>
      <c r="BD4552" s="2237"/>
      <c r="BE4552" s="2237"/>
      <c r="BF4552" s="2237"/>
      <c r="BG4552" s="2237"/>
      <c r="BH4552" s="2237"/>
      <c r="BI4552" s="2237"/>
      <c r="BJ4552" s="2237"/>
      <c r="BK4552" s="2237"/>
      <c r="BL4552" s="2237"/>
      <c r="BM4552" s="2237"/>
      <c r="BN4552" s="2237"/>
      <c r="BO4552" s="2237"/>
      <c r="BP4552" s="2237"/>
      <c r="BQ4552" s="2237"/>
      <c r="BR4552" s="2237"/>
      <c r="BS4552" s="2237"/>
      <c r="BT4552" s="2237"/>
      <c r="BU4552" s="2237"/>
      <c r="BV4552" s="2237"/>
      <c r="BW4552" s="2237"/>
      <c r="BX4552" s="2237"/>
      <c r="BY4552" s="2237"/>
      <c r="BZ4552" s="2237"/>
      <c r="CA4552" s="2237"/>
      <c r="CB4552" s="2237"/>
      <c r="CC4552" s="2237"/>
      <c r="CD4552" s="2237"/>
      <c r="CE4552" s="2237"/>
      <c r="CF4552" s="2237"/>
      <c r="CG4552" s="2237"/>
      <c r="CH4552" s="2237"/>
      <c r="CI4552" s="2237"/>
      <c r="CJ4552" s="2237"/>
      <c r="CK4552" s="2237"/>
      <c r="CL4552" s="2237"/>
      <c r="CM4552" s="2237"/>
      <c r="CN4552" s="2237"/>
      <c r="CO4552" s="2237"/>
      <c r="CP4552" s="2237"/>
      <c r="CQ4552" s="2237"/>
      <c r="CR4552" s="2237"/>
      <c r="CS4552" s="2237"/>
      <c r="CT4552" s="2237"/>
      <c r="CU4552" s="2237"/>
      <c r="CV4552" s="2237"/>
      <c r="CW4552" s="2237"/>
      <c r="CX4552" s="2237"/>
      <c r="CY4552" s="2237"/>
      <c r="CZ4552" s="2237"/>
      <c r="DA4552" s="2237"/>
      <c r="DB4552" s="2237"/>
      <c r="DC4552" s="2237"/>
      <c r="DD4552" s="2237"/>
      <c r="DE4552" s="2237"/>
      <c r="DF4552" s="2237"/>
      <c r="DG4552" s="3412">
        <f>(DI4552+DI4553+DI4554+DI4555)/(DJ4552+DJ4553+DJ4554+DJ4555)</f>
        <v>2.7057225046991245</v>
      </c>
      <c r="DH4552" s="2521" t="str">
        <f t="shared" si="396"/>
        <v>Cooling Res 5 Year EUL</v>
      </c>
      <c r="DI4552" s="3245">
        <f>(INDEX('Avoided Cost Benefits'!$B$4:$B$866,MATCH(DH4552,'Avoided Cost Benefits'!$A$4:$A$866,0)))*F4552</f>
        <v>361.28842753114935</v>
      </c>
      <c r="DJ4552" s="2421">
        <f t="shared" si="400"/>
        <v>224.93182686576984</v>
      </c>
    </row>
    <row r="4553" spans="1:114">
      <c r="A4553" s="453"/>
      <c r="B4553" s="1454">
        <f t="shared" si="397"/>
        <v>356825</v>
      </c>
      <c r="C4553" s="2209" t="s">
        <v>2573</v>
      </c>
      <c r="D4553" s="3383" t="s">
        <v>1118</v>
      </c>
      <c r="E4553" s="2882" t="s">
        <v>2574</v>
      </c>
      <c r="F4553" s="3373">
        <f>ROUND(((J$4585*J$4587*(1/J$4588-1/J$4595))/1000),2)</f>
        <v>453.43</v>
      </c>
      <c r="G4553" s="2643" t="s">
        <v>2078</v>
      </c>
      <c r="H4553" s="2213">
        <f>VLOOKUP(G4553,'CP FACTORS'!$A$3:$B$38, 2, FALSE)</f>
        <v>0</v>
      </c>
      <c r="I4553" s="3385">
        <f t="shared" si="398"/>
        <v>0</v>
      </c>
      <c r="J4553" s="2449">
        <f>$J$4608</f>
        <v>5</v>
      </c>
      <c r="K4553" s="2592">
        <v>0</v>
      </c>
      <c r="L4553" s="2212"/>
      <c r="M4553" s="3408"/>
      <c r="N4553" s="635"/>
      <c r="O4553" s="635"/>
      <c r="P4553" s="635"/>
      <c r="Q4553" s="635"/>
      <c r="R4553" s="2966"/>
      <c r="S4553" s="2237"/>
      <c r="T4553" s="635"/>
      <c r="U4553" s="635"/>
      <c r="V4553" s="2308" t="s">
        <v>45</v>
      </c>
      <c r="W4553" s="2234"/>
      <c r="X4553" s="2234"/>
      <c r="Y4553" s="2234"/>
      <c r="Z4553" s="2234"/>
      <c r="AA4553" s="2234"/>
      <c r="AB4553" s="2234"/>
      <c r="AC4553" s="2234"/>
      <c r="AD4553" s="2235">
        <v>453.43</v>
      </c>
      <c r="AE4553" s="3373">
        <v>453.43</v>
      </c>
      <c r="AF4553" s="2236">
        <v>453.43</v>
      </c>
      <c r="AG4553" s="2234"/>
      <c r="AH4553" s="2237"/>
      <c r="AI4553" s="2237"/>
      <c r="AJ4553" s="2237"/>
      <c r="AK4553" s="2237"/>
      <c r="AL4553" s="2237"/>
      <c r="AM4553" s="2237"/>
      <c r="AN4553" s="2237"/>
      <c r="AO4553" s="2237"/>
      <c r="AP4553" s="2237"/>
      <c r="AQ4553" s="2237"/>
      <c r="AR4553" s="2237"/>
      <c r="AS4553" s="2237"/>
      <c r="AT4553" s="2237"/>
      <c r="AU4553" s="2237"/>
      <c r="AV4553" s="2237"/>
      <c r="AW4553" s="2237"/>
      <c r="AX4553" s="2237"/>
      <c r="AY4553" s="2237"/>
      <c r="AZ4553" s="2237"/>
      <c r="BA4553" s="2237"/>
      <c r="BB4553" s="2237"/>
      <c r="BC4553" s="2237"/>
      <c r="BD4553" s="2237"/>
      <c r="BE4553" s="2237"/>
      <c r="BF4553" s="2237"/>
      <c r="BG4553" s="2237"/>
      <c r="BH4553" s="2237"/>
      <c r="BI4553" s="2237"/>
      <c r="BJ4553" s="2237"/>
      <c r="BK4553" s="2237"/>
      <c r="BL4553" s="2237"/>
      <c r="BM4553" s="2237"/>
      <c r="BN4553" s="2237"/>
      <c r="BO4553" s="2237"/>
      <c r="BP4553" s="2237"/>
      <c r="BQ4553" s="2237"/>
      <c r="BR4553" s="2237"/>
      <c r="BS4553" s="2237"/>
      <c r="BT4553" s="2237"/>
      <c r="BU4553" s="2237"/>
      <c r="BV4553" s="2237"/>
      <c r="BW4553" s="2237"/>
      <c r="BX4553" s="2237"/>
      <c r="BY4553" s="2237"/>
      <c r="BZ4553" s="2237"/>
      <c r="CA4553" s="2237"/>
      <c r="CB4553" s="2237"/>
      <c r="CC4553" s="2237"/>
      <c r="CD4553" s="2237"/>
      <c r="CE4553" s="2237"/>
      <c r="CF4553" s="2237"/>
      <c r="CG4553" s="2237"/>
      <c r="CH4553" s="2237"/>
      <c r="CI4553" s="2237"/>
      <c r="CJ4553" s="2237"/>
      <c r="CK4553" s="2237"/>
      <c r="CL4553" s="2237"/>
      <c r="CM4553" s="2237"/>
      <c r="CN4553" s="2237"/>
      <c r="CO4553" s="2237"/>
      <c r="CP4553" s="2237"/>
      <c r="CQ4553" s="2237"/>
      <c r="CR4553" s="2237"/>
      <c r="CS4553" s="2237"/>
      <c r="CT4553" s="2237"/>
      <c r="CU4553" s="2237"/>
      <c r="CV4553" s="2237"/>
      <c r="CW4553" s="2237"/>
      <c r="CX4553" s="2237"/>
      <c r="CY4553" s="2237"/>
      <c r="CZ4553" s="2237"/>
      <c r="DA4553" s="2237"/>
      <c r="DB4553" s="2237"/>
      <c r="DC4553" s="2237"/>
      <c r="DD4553" s="2237"/>
      <c r="DE4553" s="2237"/>
      <c r="DF4553" s="2237"/>
      <c r="DG4553" s="3413"/>
      <c r="DH4553" s="2882" t="str">
        <f t="shared" si="396"/>
        <v>Heating Res 5 Year EUL</v>
      </c>
      <c r="DI4553" s="2509">
        <f>(INDEX('Avoided Cost Benefits'!$B$4:$B$866,MATCH(DH4553,'Avoided Cost Benefits'!$A$4:$A$866,0)))*F4553</f>
        <v>103.81596193551093</v>
      </c>
      <c r="DJ4553" s="2424">
        <f t="shared" si="400"/>
        <v>0</v>
      </c>
    </row>
    <row r="4554" spans="1:114">
      <c r="A4554" s="453"/>
      <c r="B4554" s="1454">
        <f t="shared" si="397"/>
        <v>356825</v>
      </c>
      <c r="C4554" s="2209" t="s">
        <v>2573</v>
      </c>
      <c r="D4554" s="3383" t="s">
        <v>1118</v>
      </c>
      <c r="E4554" s="2882" t="s">
        <v>2575</v>
      </c>
      <c r="F4554" s="3373">
        <f>ROUND(((J$4596*J$4598*(1/J$4601-1/J$4605))/1000),2)</f>
        <v>102.44</v>
      </c>
      <c r="G4554" s="2643" t="s">
        <v>2138</v>
      </c>
      <c r="H4554" s="2213">
        <f>VLOOKUP(G4554,'CP FACTORS'!$A$3:$B$38, 2, FALSE)</f>
        <v>9.4741810000000004E-4</v>
      </c>
      <c r="I4554" s="3414">
        <f t="shared" si="398"/>
        <v>9.7054000000000001E-2</v>
      </c>
      <c r="J4554" s="2449">
        <f>$J$4609</f>
        <v>10</v>
      </c>
      <c r="K4554" s="2592">
        <v>0</v>
      </c>
      <c r="L4554" s="2212"/>
      <c r="M4554" s="3408"/>
      <c r="N4554" s="635"/>
      <c r="O4554" s="635"/>
      <c r="P4554" s="635"/>
      <c r="Q4554" s="635"/>
      <c r="R4554" s="2966"/>
      <c r="S4554" s="2237"/>
      <c r="T4554" s="635"/>
      <c r="U4554" s="635"/>
      <c r="V4554" s="2308" t="s">
        <v>45</v>
      </c>
      <c r="W4554" s="2234"/>
      <c r="X4554" s="2234"/>
      <c r="Y4554" s="2234"/>
      <c r="Z4554" s="2234"/>
      <c r="AA4554" s="2234"/>
      <c r="AB4554" s="2234"/>
      <c r="AC4554" s="2234"/>
      <c r="AD4554" s="2235">
        <v>102.44</v>
      </c>
      <c r="AE4554" s="3373">
        <v>102.44</v>
      </c>
      <c r="AF4554" s="2236">
        <v>102.44</v>
      </c>
      <c r="AG4554" s="2234"/>
      <c r="AH4554" s="2237"/>
      <c r="AI4554" s="2237"/>
      <c r="AJ4554" s="2237"/>
      <c r="AK4554" s="2237"/>
      <c r="AL4554" s="2237"/>
      <c r="AM4554" s="2237"/>
      <c r="AN4554" s="2237"/>
      <c r="AO4554" s="2237"/>
      <c r="AP4554" s="2237"/>
      <c r="AQ4554" s="2237"/>
      <c r="AR4554" s="2237"/>
      <c r="AS4554" s="2237"/>
      <c r="AT4554" s="2237"/>
      <c r="AU4554" s="2237"/>
      <c r="AV4554" s="2237"/>
      <c r="AW4554" s="2237"/>
      <c r="AX4554" s="2237"/>
      <c r="AY4554" s="2237"/>
      <c r="AZ4554" s="2237"/>
      <c r="BA4554" s="2237"/>
      <c r="BB4554" s="2237"/>
      <c r="BC4554" s="2237"/>
      <c r="BD4554" s="2237"/>
      <c r="BE4554" s="2237"/>
      <c r="BF4554" s="2237"/>
      <c r="BG4554" s="2237"/>
      <c r="BH4554" s="2237"/>
      <c r="BI4554" s="2237"/>
      <c r="BJ4554" s="2237"/>
      <c r="BK4554" s="2237"/>
      <c r="BL4554" s="2237"/>
      <c r="BM4554" s="2237"/>
      <c r="BN4554" s="2237"/>
      <c r="BO4554" s="2237"/>
      <c r="BP4554" s="2237"/>
      <c r="BQ4554" s="2237"/>
      <c r="BR4554" s="2237"/>
      <c r="BS4554" s="2237"/>
      <c r="BT4554" s="2237"/>
      <c r="BU4554" s="2237"/>
      <c r="BV4554" s="2237"/>
      <c r="BW4554" s="2237"/>
      <c r="BX4554" s="2237"/>
      <c r="BY4554" s="2237"/>
      <c r="BZ4554" s="2237"/>
      <c r="CA4554" s="2237"/>
      <c r="CB4554" s="2237"/>
      <c r="CC4554" s="2237"/>
      <c r="CD4554" s="2237"/>
      <c r="CE4554" s="2237"/>
      <c r="CF4554" s="2237"/>
      <c r="CG4554" s="2237"/>
      <c r="CH4554" s="2237"/>
      <c r="CI4554" s="2237"/>
      <c r="CJ4554" s="2237"/>
      <c r="CK4554" s="2237"/>
      <c r="CL4554" s="2237"/>
      <c r="CM4554" s="2237"/>
      <c r="CN4554" s="2237"/>
      <c r="CO4554" s="2237"/>
      <c r="CP4554" s="2237"/>
      <c r="CQ4554" s="2237"/>
      <c r="CR4554" s="2237"/>
      <c r="CS4554" s="2237"/>
      <c r="CT4554" s="2237"/>
      <c r="CU4554" s="2237"/>
      <c r="CV4554" s="2237"/>
      <c r="CW4554" s="2237"/>
      <c r="CX4554" s="2237"/>
      <c r="CY4554" s="2237"/>
      <c r="CZ4554" s="2237"/>
      <c r="DA4554" s="2237"/>
      <c r="DB4554" s="2237"/>
      <c r="DC4554" s="2237"/>
      <c r="DD4554" s="2237"/>
      <c r="DE4554" s="2237"/>
      <c r="DF4554" s="2237"/>
      <c r="DG4554" s="3413"/>
      <c r="DH4554" s="2882" t="str">
        <f t="shared" si="396"/>
        <v>Cooling Res ER2 10 Year EUL</v>
      </c>
      <c r="DI4554" s="2509">
        <f>(INDEX('Avoided Cost Benefits'!$B$4:$B$866,MATCH(DH4554,'Avoided Cost Benefits'!$A$4:$A$866,0)))*F4554</f>
        <v>121.15445169289799</v>
      </c>
      <c r="DJ4554" s="2424">
        <f t="shared" si="400"/>
        <v>0</v>
      </c>
    </row>
    <row r="4555" spans="1:114">
      <c r="A4555" s="453"/>
      <c r="B4555" s="1454">
        <f t="shared" si="397"/>
        <v>356825</v>
      </c>
      <c r="C4555" s="2209" t="s">
        <v>2573</v>
      </c>
      <c r="D4555" s="3383" t="s">
        <v>1118</v>
      </c>
      <c r="E4555" s="2522" t="s">
        <v>2575</v>
      </c>
      <c r="F4555" s="3373">
        <f>ROUND(((J$4585*J$4587*(1/J$4589-1/J$4595))/1000),2)</f>
        <v>71.86</v>
      </c>
      <c r="G4555" s="2643" t="s">
        <v>2173</v>
      </c>
      <c r="H4555" s="2213">
        <f>VLOOKUP(G4555,'CP FACTORS'!$A$3:$B$38, 2, FALSE)</f>
        <v>0</v>
      </c>
      <c r="I4555" s="3385">
        <f t="shared" si="398"/>
        <v>0</v>
      </c>
      <c r="J4555" s="2449">
        <f>$J$4609</f>
        <v>10</v>
      </c>
      <c r="K4555" s="2592">
        <v>0</v>
      </c>
      <c r="L4555" s="2212"/>
      <c r="M4555" s="3408"/>
      <c r="N4555" s="635"/>
      <c r="O4555" s="635"/>
      <c r="P4555" s="635"/>
      <c r="Q4555" s="635"/>
      <c r="R4555" s="2966"/>
      <c r="S4555" s="2237"/>
      <c r="T4555" s="635"/>
      <c r="U4555" s="635"/>
      <c r="V4555" s="2308" t="s">
        <v>45</v>
      </c>
      <c r="W4555" s="2234"/>
      <c r="X4555" s="2234"/>
      <c r="Y4555" s="2234"/>
      <c r="Z4555" s="2234"/>
      <c r="AA4555" s="2234"/>
      <c r="AB4555" s="2234"/>
      <c r="AC4555" s="2234"/>
      <c r="AD4555" s="2235">
        <v>71.86</v>
      </c>
      <c r="AE4555" s="3373">
        <v>71.86</v>
      </c>
      <c r="AF4555" s="2236">
        <v>71.86</v>
      </c>
      <c r="AG4555" s="2234"/>
      <c r="AH4555" s="2237"/>
      <c r="AI4555" s="2237"/>
      <c r="AJ4555" s="2237"/>
      <c r="AK4555" s="2237"/>
      <c r="AL4555" s="2237"/>
      <c r="AM4555" s="2237"/>
      <c r="AN4555" s="2237"/>
      <c r="AO4555" s="2237"/>
      <c r="AP4555" s="2237"/>
      <c r="AQ4555" s="2237"/>
      <c r="AR4555" s="2237"/>
      <c r="AS4555" s="2237"/>
      <c r="AT4555" s="2237"/>
      <c r="AU4555" s="2237"/>
      <c r="AV4555" s="2237"/>
      <c r="AW4555" s="2237"/>
      <c r="AX4555" s="2237"/>
      <c r="AY4555" s="2237"/>
      <c r="AZ4555" s="2237"/>
      <c r="BA4555" s="2237"/>
      <c r="BB4555" s="2237"/>
      <c r="BC4555" s="2237"/>
      <c r="BD4555" s="2237"/>
      <c r="BE4555" s="2237"/>
      <c r="BF4555" s="2237"/>
      <c r="BG4555" s="2237"/>
      <c r="BH4555" s="2237"/>
      <c r="BI4555" s="2237"/>
      <c r="BJ4555" s="2237"/>
      <c r="BK4555" s="2237"/>
      <c r="BL4555" s="2237"/>
      <c r="BM4555" s="2237"/>
      <c r="BN4555" s="2237"/>
      <c r="BO4555" s="2237"/>
      <c r="BP4555" s="2237"/>
      <c r="BQ4555" s="2237"/>
      <c r="BR4555" s="2237"/>
      <c r="BS4555" s="2237"/>
      <c r="BT4555" s="2237"/>
      <c r="BU4555" s="2237"/>
      <c r="BV4555" s="2237"/>
      <c r="BW4555" s="2237"/>
      <c r="BX4555" s="2237"/>
      <c r="BY4555" s="2237"/>
      <c r="BZ4555" s="2237"/>
      <c r="CA4555" s="2237"/>
      <c r="CB4555" s="2237"/>
      <c r="CC4555" s="2237"/>
      <c r="CD4555" s="2237"/>
      <c r="CE4555" s="2237"/>
      <c r="CF4555" s="2237"/>
      <c r="CG4555" s="2237"/>
      <c r="CH4555" s="2237"/>
      <c r="CI4555" s="2237"/>
      <c r="CJ4555" s="2237"/>
      <c r="CK4555" s="2237"/>
      <c r="CL4555" s="2237"/>
      <c r="CM4555" s="2237"/>
      <c r="CN4555" s="2237"/>
      <c r="CO4555" s="2237"/>
      <c r="CP4555" s="2237"/>
      <c r="CQ4555" s="2237"/>
      <c r="CR4555" s="2237"/>
      <c r="CS4555" s="2237"/>
      <c r="CT4555" s="2237"/>
      <c r="CU4555" s="2237"/>
      <c r="CV4555" s="2237"/>
      <c r="CW4555" s="2237"/>
      <c r="CX4555" s="2237"/>
      <c r="CY4555" s="2237"/>
      <c r="CZ4555" s="2237"/>
      <c r="DA4555" s="2237"/>
      <c r="DB4555" s="2237"/>
      <c r="DC4555" s="2237"/>
      <c r="DD4555" s="2237"/>
      <c r="DE4555" s="2237"/>
      <c r="DF4555" s="2237"/>
      <c r="DG4555" s="3415"/>
      <c r="DH4555" s="2522" t="str">
        <f t="shared" si="396"/>
        <v>Heating Res ER2 10 Year EUL</v>
      </c>
      <c r="DI4555" s="2511">
        <f>(INDEX('Avoided Cost Benefits'!$B$4:$B$866,MATCH(DH4555,'Avoided Cost Benefits'!$A$4:$A$866,0)))*F4555</f>
        <v>22.344264814242212</v>
      </c>
      <c r="DJ4555" s="2431">
        <f t="shared" si="400"/>
        <v>0</v>
      </c>
    </row>
    <row r="4556" spans="1:114">
      <c r="A4556" s="453"/>
      <c r="B4556" s="1454">
        <f t="shared" si="397"/>
        <v>356850</v>
      </c>
      <c r="C4556" s="1608" t="s">
        <v>2576</v>
      </c>
      <c r="D4556" s="3470" t="s">
        <v>959</v>
      </c>
      <c r="E4556" s="1369" t="s">
        <v>2577</v>
      </c>
      <c r="F4556" s="227">
        <f>ROUND(((J$4596*J$4597*(1/J$4600-1/J$4605))/1000),2)</f>
        <v>647.36</v>
      </c>
      <c r="G4556" s="84" t="s">
        <v>2077</v>
      </c>
      <c r="H4556" s="69">
        <f>VLOOKUP(G4556,'CP FACTORS'!$A$3:$B$38, 2, FALSE)</f>
        <v>9.4741810000000004E-4</v>
      </c>
      <c r="I4556" s="1476">
        <f t="shared" si="398"/>
        <v>0.61332100000000001</v>
      </c>
      <c r="J4556" s="1050">
        <f>$J$4608</f>
        <v>5</v>
      </c>
      <c r="K4556" s="2072">
        <f>J$4610</f>
        <v>224.93182686576984</v>
      </c>
      <c r="L4556" s="1034">
        <f>K$4585</f>
        <v>1.0111111111111111</v>
      </c>
      <c r="M4556" s="238"/>
      <c r="R4556" s="532"/>
      <c r="T4556" s="52"/>
      <c r="U4556" s="52"/>
      <c r="V4556" s="1385" t="s">
        <v>45</v>
      </c>
      <c r="W4556" s="165"/>
      <c r="X4556" s="165"/>
      <c r="Y4556" s="165"/>
      <c r="Z4556" s="165"/>
      <c r="AA4556" s="165"/>
      <c r="AB4556" s="165"/>
      <c r="AC4556" s="165"/>
      <c r="AD4556" s="49">
        <v>601.84</v>
      </c>
      <c r="AE4556" s="225">
        <v>601.84</v>
      </c>
      <c r="AF4556" s="271">
        <v>647.36</v>
      </c>
      <c r="AG4556" s="165"/>
      <c r="DG4556" s="1095">
        <f>(DI4556+DI4557+DI4558+DI4559)/(DJ4556+DJ4557+DJ4558+DJ4559)</f>
        <v>9.6884424723683011</v>
      </c>
      <c r="DH4556" s="1369" t="str">
        <f t="shared" si="396"/>
        <v>Cooling Res 5 Year EUL</v>
      </c>
      <c r="DI4556" s="993">
        <f>(INDEX('Avoided Cost Benefits'!$B$4:$B$866,MATCH(DH4556,'Avoided Cost Benefits'!$A$4:$A$866,0)))*F4556</f>
        <v>550.04274698752351</v>
      </c>
      <c r="DJ4556" s="1169">
        <f t="shared" si="400"/>
        <v>224.93182686576984</v>
      </c>
    </row>
    <row r="4557" spans="1:114">
      <c r="A4557" s="453"/>
      <c r="B4557" s="1454">
        <f t="shared" si="397"/>
        <v>356850</v>
      </c>
      <c r="C4557" s="1608" t="s">
        <v>2576</v>
      </c>
      <c r="D4557" s="3470" t="s">
        <v>959</v>
      </c>
      <c r="E4557" s="1393" t="s">
        <v>2577</v>
      </c>
      <c r="F4557" s="182">
        <f>ROUND(((J$4585*J$4586*(1/J$4590-1/J$4595))/1000),2)</f>
        <v>2709.23</v>
      </c>
      <c r="G4557" s="84" t="s">
        <v>2078</v>
      </c>
      <c r="H4557" s="69">
        <f>VLOOKUP(G4557,'CP FACTORS'!$A$3:$B$38, 2, FALSE)</f>
        <v>0</v>
      </c>
      <c r="I4557" s="1028">
        <f t="shared" si="398"/>
        <v>0</v>
      </c>
      <c r="J4557" s="59">
        <f>$J$4608</f>
        <v>5</v>
      </c>
      <c r="K4557" s="174">
        <v>0</v>
      </c>
      <c r="L4557" s="1034"/>
      <c r="M4557" s="238"/>
      <c r="R4557" s="532"/>
      <c r="T4557" s="52"/>
      <c r="U4557" s="52"/>
      <c r="V4557" s="1385" t="s">
        <v>45</v>
      </c>
      <c r="W4557" s="165"/>
      <c r="X4557" s="165"/>
      <c r="Y4557" s="165"/>
      <c r="Z4557" s="165"/>
      <c r="AA4557" s="165"/>
      <c r="AB4557" s="165"/>
      <c r="AC4557" s="165"/>
      <c r="AD4557" s="49">
        <v>2709.23</v>
      </c>
      <c r="AE4557" s="225">
        <v>2709.23</v>
      </c>
      <c r="AF4557" s="271">
        <v>2709.23</v>
      </c>
      <c r="AG4557" s="165"/>
      <c r="DG4557" s="1096"/>
      <c r="DH4557" s="1393" t="str">
        <f t="shared" si="396"/>
        <v>Heating Res 5 Year EUL</v>
      </c>
      <c r="DI4557" s="1011">
        <f>(INDEX('Avoided Cost Benefits'!$B$4:$B$866,MATCH(DH4557,'Avoided Cost Benefits'!$A$4:$A$866,0)))*F4557</f>
        <v>620.29710992776006</v>
      </c>
      <c r="DJ4557" s="1170">
        <f t="shared" si="400"/>
        <v>0</v>
      </c>
    </row>
    <row r="4558" spans="1:114">
      <c r="A4558" s="453"/>
      <c r="B4558" s="1454">
        <f t="shared" si="397"/>
        <v>356850</v>
      </c>
      <c r="C4558" s="1608" t="s">
        <v>2576</v>
      </c>
      <c r="D4558" s="3470" t="s">
        <v>959</v>
      </c>
      <c r="E4558" s="1393" t="s">
        <v>2578</v>
      </c>
      <c r="F4558" s="225">
        <f>ROUND(((J$4596*J$4597*(1/J$4601-1/J$4605))/1000),2)</f>
        <v>140.77000000000001</v>
      </c>
      <c r="G4558" s="84" t="s">
        <v>2138</v>
      </c>
      <c r="H4558" s="69">
        <f>VLOOKUP(G4558,'CP FACTORS'!$A$3:$B$38, 2, FALSE)</f>
        <v>9.4741810000000004E-4</v>
      </c>
      <c r="I4558" s="1049">
        <f t="shared" si="398"/>
        <v>0.13336799999999999</v>
      </c>
      <c r="J4558" s="59">
        <f>$J$4609</f>
        <v>10</v>
      </c>
      <c r="K4558" s="174">
        <v>0</v>
      </c>
      <c r="L4558" s="1034"/>
      <c r="M4558" s="238"/>
      <c r="R4558" s="532"/>
      <c r="T4558" s="52"/>
      <c r="U4558" s="52"/>
      <c r="V4558" s="1385" t="s">
        <v>45</v>
      </c>
      <c r="W4558" s="165"/>
      <c r="X4558" s="165"/>
      <c r="Y4558" s="165"/>
      <c r="Z4558" s="165"/>
      <c r="AA4558" s="165"/>
      <c r="AB4558" s="165"/>
      <c r="AC4558" s="165"/>
      <c r="AD4558" s="49">
        <v>140.77000000000001</v>
      </c>
      <c r="AE4558" s="225">
        <v>140.77000000000001</v>
      </c>
      <c r="AF4558" s="271">
        <v>140.77000000000001</v>
      </c>
      <c r="AG4558" s="165"/>
      <c r="DG4558" s="1096"/>
      <c r="DH4558" s="1393" t="str">
        <f t="shared" si="396"/>
        <v>Cooling Res ER2 10 Year EUL</v>
      </c>
      <c r="DI4558" s="1011">
        <f>(INDEX('Avoided Cost Benefits'!$B$4:$B$866,MATCH(DH4558,'Avoided Cost Benefits'!$A$4:$A$866,0)))*F4558</f>
        <v>166.48684268654091</v>
      </c>
      <c r="DJ4558" s="1170">
        <f t="shared" si="400"/>
        <v>0</v>
      </c>
    </row>
    <row r="4559" spans="1:114">
      <c r="A4559" s="453"/>
      <c r="B4559" s="1454">
        <f t="shared" si="397"/>
        <v>356850</v>
      </c>
      <c r="C4559" s="1608" t="s">
        <v>2576</v>
      </c>
      <c r="D4559" s="3470" t="s">
        <v>959</v>
      </c>
      <c r="E4559" s="1370" t="s">
        <v>2578</v>
      </c>
      <c r="F4559" s="225">
        <f>ROUND(((J$4585*J$4586*(1/J$4591-1/J$4595))/1000),2)</f>
        <v>2709.23</v>
      </c>
      <c r="G4559" s="84" t="s">
        <v>2173</v>
      </c>
      <c r="H4559" s="69">
        <f>VLOOKUP(G4559,'CP FACTORS'!$A$3:$B$38, 2, FALSE)</f>
        <v>0</v>
      </c>
      <c r="I4559" s="1028">
        <f t="shared" si="398"/>
        <v>0</v>
      </c>
      <c r="J4559" s="59">
        <f>$J$4609</f>
        <v>10</v>
      </c>
      <c r="K4559" s="174">
        <v>0</v>
      </c>
      <c r="L4559" s="1034"/>
      <c r="M4559" s="238"/>
      <c r="R4559" s="532"/>
      <c r="T4559" s="52"/>
      <c r="U4559" s="52"/>
      <c r="V4559" s="1385" t="s">
        <v>45</v>
      </c>
      <c r="W4559" s="165"/>
      <c r="X4559" s="165"/>
      <c r="Y4559" s="165"/>
      <c r="Z4559" s="165"/>
      <c r="AA4559" s="165"/>
      <c r="AB4559" s="165"/>
      <c r="AC4559" s="165"/>
      <c r="AD4559" s="49">
        <v>2709.23</v>
      </c>
      <c r="AE4559" s="225">
        <v>2709.23</v>
      </c>
      <c r="AF4559" s="271">
        <v>2709.23</v>
      </c>
      <c r="AG4559" s="165"/>
      <c r="DG4559" s="812"/>
      <c r="DH4559" s="1370" t="str">
        <f t="shared" si="396"/>
        <v>Heating Res ER2 10 Year EUL</v>
      </c>
      <c r="DI4559" s="996">
        <f>(INDEX('Avoided Cost Benefits'!$B$4:$B$866,MATCH(DH4559,'Avoided Cost Benefits'!$A$4:$A$866,0)))*F4559</f>
        <v>842.41236519189295</v>
      </c>
      <c r="DJ4559" s="1171">
        <f t="shared" si="400"/>
        <v>0</v>
      </c>
    </row>
    <row r="4560" spans="1:114">
      <c r="A4560" s="453"/>
      <c r="B4560" s="1454">
        <f t="shared" si="397"/>
        <v>356875</v>
      </c>
      <c r="C4560" s="2209" t="s">
        <v>2579</v>
      </c>
      <c r="D4560" s="3383" t="s">
        <v>1118</v>
      </c>
      <c r="E4560" s="2521" t="s">
        <v>2580</v>
      </c>
      <c r="F4560" s="3369">
        <f>ROUND(((J$4596*J$4598*(1/J$4600-1/J$4605))/1000),2)</f>
        <v>471.09</v>
      </c>
      <c r="G4560" s="2643" t="s">
        <v>2077</v>
      </c>
      <c r="H4560" s="2213">
        <f>VLOOKUP(G4560,'CP FACTORS'!$A$3:$B$38, 2, FALSE)</f>
        <v>9.4741810000000004E-4</v>
      </c>
      <c r="I4560" s="3394">
        <f t="shared" si="398"/>
        <v>0.44631900000000002</v>
      </c>
      <c r="J4560" s="3406">
        <f>$J$4608</f>
        <v>5</v>
      </c>
      <c r="K4560" s="3407">
        <f>J$4610</f>
        <v>224.93182686576984</v>
      </c>
      <c r="L4560" s="2212">
        <f>K$4585</f>
        <v>1.0111111111111111</v>
      </c>
      <c r="M4560" s="3408"/>
      <c r="N4560" s="635"/>
      <c r="O4560" s="635"/>
      <c r="P4560" s="635"/>
      <c r="Q4560" s="635"/>
      <c r="R4560" s="2966"/>
      <c r="S4560" s="2237"/>
      <c r="T4560" s="635"/>
      <c r="U4560" s="635"/>
      <c r="V4560" s="2308" t="s">
        <v>45</v>
      </c>
      <c r="W4560" s="2234"/>
      <c r="X4560" s="2234"/>
      <c r="Y4560" s="2234"/>
      <c r="Z4560" s="2234"/>
      <c r="AA4560" s="2234"/>
      <c r="AB4560" s="2234"/>
      <c r="AC4560" s="2234"/>
      <c r="AD4560" s="2235">
        <v>437.97</v>
      </c>
      <c r="AE4560" s="3373">
        <v>437.97</v>
      </c>
      <c r="AF4560" s="2236">
        <v>471.09</v>
      </c>
      <c r="AG4560" s="2234"/>
      <c r="AH4560" s="2237"/>
      <c r="AI4560" s="2237"/>
      <c r="AJ4560" s="2237"/>
      <c r="AK4560" s="2237"/>
      <c r="AL4560" s="2237"/>
      <c r="AM4560" s="2237"/>
      <c r="AN4560" s="2237"/>
      <c r="AO4560" s="2237"/>
      <c r="AP4560" s="2237"/>
      <c r="AQ4560" s="2237"/>
      <c r="AR4560" s="2237"/>
      <c r="AS4560" s="2237"/>
      <c r="AT4560" s="2237"/>
      <c r="AU4560" s="2237"/>
      <c r="AV4560" s="2237"/>
      <c r="AW4560" s="2237"/>
      <c r="AX4560" s="2237"/>
      <c r="AY4560" s="2237"/>
      <c r="AZ4560" s="2237"/>
      <c r="BA4560" s="2237"/>
      <c r="BB4560" s="2237"/>
      <c r="BC4560" s="2237"/>
      <c r="BD4560" s="2237"/>
      <c r="BE4560" s="2237"/>
      <c r="BF4560" s="2237"/>
      <c r="BG4560" s="2237"/>
      <c r="BH4560" s="2237"/>
      <c r="BI4560" s="2237"/>
      <c r="BJ4560" s="2237"/>
      <c r="BK4560" s="2237"/>
      <c r="BL4560" s="2237"/>
      <c r="BM4560" s="2237"/>
      <c r="BN4560" s="2237"/>
      <c r="BO4560" s="2237"/>
      <c r="BP4560" s="2237"/>
      <c r="BQ4560" s="2237"/>
      <c r="BR4560" s="2237"/>
      <c r="BS4560" s="2237"/>
      <c r="BT4560" s="2237"/>
      <c r="BU4560" s="2237"/>
      <c r="BV4560" s="2237"/>
      <c r="BW4560" s="2237"/>
      <c r="BX4560" s="2237"/>
      <c r="BY4560" s="2237"/>
      <c r="BZ4560" s="2237"/>
      <c r="CA4560" s="2237"/>
      <c r="CB4560" s="2237"/>
      <c r="CC4560" s="2237"/>
      <c r="CD4560" s="2237"/>
      <c r="CE4560" s="2237"/>
      <c r="CF4560" s="2237"/>
      <c r="CG4560" s="2237"/>
      <c r="CH4560" s="2237"/>
      <c r="CI4560" s="2237"/>
      <c r="CJ4560" s="2237"/>
      <c r="CK4560" s="2237"/>
      <c r="CL4560" s="2237"/>
      <c r="CM4560" s="2237"/>
      <c r="CN4560" s="2237"/>
      <c r="CO4560" s="2237"/>
      <c r="CP4560" s="2237"/>
      <c r="CQ4560" s="2237"/>
      <c r="CR4560" s="2237"/>
      <c r="CS4560" s="2237"/>
      <c r="CT4560" s="2237"/>
      <c r="CU4560" s="2237"/>
      <c r="CV4560" s="2237"/>
      <c r="CW4560" s="2237"/>
      <c r="CX4560" s="2237"/>
      <c r="CY4560" s="2237"/>
      <c r="CZ4560" s="2237"/>
      <c r="DA4560" s="2237"/>
      <c r="DB4560" s="2237"/>
      <c r="DC4560" s="2237"/>
      <c r="DD4560" s="2237"/>
      <c r="DE4560" s="2237"/>
      <c r="DF4560" s="2237"/>
      <c r="DG4560" s="3412">
        <f>(DI4560+DI4561+DI4562+DI4563)/(DJ4560+DJ4561+DJ4562+DJ4563)</f>
        <v>4.5379020075369159</v>
      </c>
      <c r="DH4560" s="2521" t="str">
        <f t="shared" si="396"/>
        <v>Cooling Res 5 Year EUL</v>
      </c>
      <c r="DI4560" s="3245">
        <f>(INDEX('Avoided Cost Benefits'!$B$4:$B$866,MATCH(DH4560,'Avoided Cost Benefits'!$A$4:$A$866,0)))*F4560</f>
        <v>400.27131376413803</v>
      </c>
      <c r="DJ4560" s="2421">
        <f t="shared" si="400"/>
        <v>224.93182686576984</v>
      </c>
    </row>
    <row r="4561" spans="1:114">
      <c r="A4561" s="453"/>
      <c r="B4561" s="1454">
        <f t="shared" si="397"/>
        <v>356875</v>
      </c>
      <c r="C4561" s="2209" t="s">
        <v>2579</v>
      </c>
      <c r="D4561" s="3383" t="s">
        <v>1118</v>
      </c>
      <c r="E4561" s="2882" t="s">
        <v>2580</v>
      </c>
      <c r="F4561" s="3373">
        <f>ROUND(((J$4585*J$4587*(1/J$4590-1/J$4595))/1000),2)</f>
        <v>924.79</v>
      </c>
      <c r="G4561" s="2643" t="s">
        <v>2078</v>
      </c>
      <c r="H4561" s="2213">
        <f>VLOOKUP(G4561,'CP FACTORS'!$A$3:$B$38, 2, FALSE)</f>
        <v>0</v>
      </c>
      <c r="I4561" s="3385">
        <f t="shared" si="398"/>
        <v>0</v>
      </c>
      <c r="J4561" s="2449">
        <f>$J$4608</f>
        <v>5</v>
      </c>
      <c r="K4561" s="2592">
        <v>0</v>
      </c>
      <c r="L4561" s="2212"/>
      <c r="M4561" s="3408"/>
      <c r="N4561" s="635"/>
      <c r="O4561" s="635"/>
      <c r="P4561" s="635"/>
      <c r="Q4561" s="635"/>
      <c r="R4561" s="2966"/>
      <c r="S4561" s="2237"/>
      <c r="T4561" s="635"/>
      <c r="U4561" s="635"/>
      <c r="V4561" s="2308" t="s">
        <v>45</v>
      </c>
      <c r="W4561" s="2234"/>
      <c r="X4561" s="2234"/>
      <c r="Y4561" s="2234"/>
      <c r="Z4561" s="2234"/>
      <c r="AA4561" s="2234"/>
      <c r="AB4561" s="2234"/>
      <c r="AC4561" s="2234"/>
      <c r="AD4561" s="2235">
        <v>924.79</v>
      </c>
      <c r="AE4561" s="3373">
        <v>924.79</v>
      </c>
      <c r="AF4561" s="2236">
        <v>924.79</v>
      </c>
      <c r="AG4561" s="2234"/>
      <c r="AH4561" s="2237"/>
      <c r="AI4561" s="2237"/>
      <c r="AJ4561" s="2237"/>
      <c r="AK4561" s="2237"/>
      <c r="AL4561" s="2237"/>
      <c r="AM4561" s="2237"/>
      <c r="AN4561" s="2237"/>
      <c r="AO4561" s="2237"/>
      <c r="AP4561" s="2237"/>
      <c r="AQ4561" s="2237"/>
      <c r="AR4561" s="2237"/>
      <c r="AS4561" s="2237"/>
      <c r="AT4561" s="2237"/>
      <c r="AU4561" s="2237"/>
      <c r="AV4561" s="2237"/>
      <c r="AW4561" s="2237"/>
      <c r="AX4561" s="2237"/>
      <c r="AY4561" s="2237"/>
      <c r="AZ4561" s="2237"/>
      <c r="BA4561" s="2237"/>
      <c r="BB4561" s="2237"/>
      <c r="BC4561" s="2237"/>
      <c r="BD4561" s="2237"/>
      <c r="BE4561" s="2237"/>
      <c r="BF4561" s="2237"/>
      <c r="BG4561" s="2237"/>
      <c r="BH4561" s="2237"/>
      <c r="BI4561" s="2237"/>
      <c r="BJ4561" s="2237"/>
      <c r="BK4561" s="2237"/>
      <c r="BL4561" s="2237"/>
      <c r="BM4561" s="2237"/>
      <c r="BN4561" s="2237"/>
      <c r="BO4561" s="2237"/>
      <c r="BP4561" s="2237"/>
      <c r="BQ4561" s="2237"/>
      <c r="BR4561" s="2237"/>
      <c r="BS4561" s="2237"/>
      <c r="BT4561" s="2237"/>
      <c r="BU4561" s="2237"/>
      <c r="BV4561" s="2237"/>
      <c r="BW4561" s="2237"/>
      <c r="BX4561" s="2237"/>
      <c r="BY4561" s="2237"/>
      <c r="BZ4561" s="2237"/>
      <c r="CA4561" s="2237"/>
      <c r="CB4561" s="2237"/>
      <c r="CC4561" s="2237"/>
      <c r="CD4561" s="2237"/>
      <c r="CE4561" s="2237"/>
      <c r="CF4561" s="2237"/>
      <c r="CG4561" s="2237"/>
      <c r="CH4561" s="2237"/>
      <c r="CI4561" s="2237"/>
      <c r="CJ4561" s="2237"/>
      <c r="CK4561" s="2237"/>
      <c r="CL4561" s="2237"/>
      <c r="CM4561" s="2237"/>
      <c r="CN4561" s="2237"/>
      <c r="CO4561" s="2237"/>
      <c r="CP4561" s="2237"/>
      <c r="CQ4561" s="2237"/>
      <c r="CR4561" s="2237"/>
      <c r="CS4561" s="2237"/>
      <c r="CT4561" s="2237"/>
      <c r="CU4561" s="2237"/>
      <c r="CV4561" s="2237"/>
      <c r="CW4561" s="2237"/>
      <c r="CX4561" s="2237"/>
      <c r="CY4561" s="2237"/>
      <c r="CZ4561" s="2237"/>
      <c r="DA4561" s="2237"/>
      <c r="DB4561" s="2237"/>
      <c r="DC4561" s="2237"/>
      <c r="DD4561" s="2237"/>
      <c r="DE4561" s="2237"/>
      <c r="DF4561" s="2237"/>
      <c r="DG4561" s="3413"/>
      <c r="DH4561" s="2882" t="str">
        <f t="shared" si="396"/>
        <v>Heating Res 5 Year EUL</v>
      </c>
      <c r="DI4561" s="2509">
        <f>(INDEX('Avoided Cost Benefits'!$B$4:$B$866,MATCH(DH4561,'Avoided Cost Benefits'!$A$4:$A$866,0)))*F4561</f>
        <v>211.7371224628744</v>
      </c>
      <c r="DJ4561" s="2424">
        <f t="shared" si="400"/>
        <v>0</v>
      </c>
    </row>
    <row r="4562" spans="1:114">
      <c r="A4562" s="453"/>
      <c r="B4562" s="1454">
        <f t="shared" si="397"/>
        <v>356875</v>
      </c>
      <c r="C4562" s="2209" t="s">
        <v>2579</v>
      </c>
      <c r="D4562" s="3383" t="s">
        <v>1118</v>
      </c>
      <c r="E4562" s="2882" t="s">
        <v>2581</v>
      </c>
      <c r="F4562" s="3373">
        <f>ROUND(((J$4596*J$4598*(1/J$4601-1/J$4605))/1000),2)</f>
        <v>102.44</v>
      </c>
      <c r="G4562" s="2643" t="s">
        <v>2138</v>
      </c>
      <c r="H4562" s="2213">
        <f>VLOOKUP(G4562,'CP FACTORS'!$A$3:$B$38, 2, FALSE)</f>
        <v>9.4741810000000004E-4</v>
      </c>
      <c r="I4562" s="3414">
        <f t="shared" si="398"/>
        <v>9.7054000000000001E-2</v>
      </c>
      <c r="J4562" s="2449">
        <f>$J$4609</f>
        <v>10</v>
      </c>
      <c r="K4562" s="2592">
        <v>0</v>
      </c>
      <c r="L4562" s="2212"/>
      <c r="M4562" s="3408"/>
      <c r="N4562" s="635"/>
      <c r="O4562" s="635"/>
      <c r="P4562" s="635"/>
      <c r="Q4562" s="635"/>
      <c r="R4562" s="2966"/>
      <c r="S4562" s="2237"/>
      <c r="T4562" s="635"/>
      <c r="U4562" s="635"/>
      <c r="V4562" s="2308" t="s">
        <v>45</v>
      </c>
      <c r="W4562" s="2234"/>
      <c r="X4562" s="2234"/>
      <c r="Y4562" s="2234"/>
      <c r="Z4562" s="2234"/>
      <c r="AA4562" s="2234"/>
      <c r="AB4562" s="2234"/>
      <c r="AC4562" s="2234"/>
      <c r="AD4562" s="2235">
        <v>102.44</v>
      </c>
      <c r="AE4562" s="3373">
        <v>102.44</v>
      </c>
      <c r="AF4562" s="2236">
        <v>102.44</v>
      </c>
      <c r="AG4562" s="2234"/>
      <c r="AH4562" s="2237"/>
      <c r="AI4562" s="2237"/>
      <c r="AJ4562" s="2237"/>
      <c r="AK4562" s="2237"/>
      <c r="AL4562" s="2237"/>
      <c r="AM4562" s="2237"/>
      <c r="AN4562" s="2237"/>
      <c r="AO4562" s="2237"/>
      <c r="AP4562" s="2237"/>
      <c r="AQ4562" s="2237"/>
      <c r="AR4562" s="2237"/>
      <c r="AS4562" s="2237"/>
      <c r="AT4562" s="2237"/>
      <c r="AU4562" s="2237"/>
      <c r="AV4562" s="2237"/>
      <c r="AW4562" s="2237"/>
      <c r="AX4562" s="2237"/>
      <c r="AY4562" s="2237"/>
      <c r="AZ4562" s="2237"/>
      <c r="BA4562" s="2237"/>
      <c r="BB4562" s="2237"/>
      <c r="BC4562" s="2237"/>
      <c r="BD4562" s="2237"/>
      <c r="BE4562" s="2237"/>
      <c r="BF4562" s="2237"/>
      <c r="BG4562" s="2237"/>
      <c r="BH4562" s="2237"/>
      <c r="BI4562" s="2237"/>
      <c r="BJ4562" s="2237"/>
      <c r="BK4562" s="2237"/>
      <c r="BL4562" s="2237"/>
      <c r="BM4562" s="2237"/>
      <c r="BN4562" s="2237"/>
      <c r="BO4562" s="2237"/>
      <c r="BP4562" s="2237"/>
      <c r="BQ4562" s="2237"/>
      <c r="BR4562" s="2237"/>
      <c r="BS4562" s="2237"/>
      <c r="BT4562" s="2237"/>
      <c r="BU4562" s="2237"/>
      <c r="BV4562" s="2237"/>
      <c r="BW4562" s="2237"/>
      <c r="BX4562" s="2237"/>
      <c r="BY4562" s="2237"/>
      <c r="BZ4562" s="2237"/>
      <c r="CA4562" s="2237"/>
      <c r="CB4562" s="2237"/>
      <c r="CC4562" s="2237"/>
      <c r="CD4562" s="2237"/>
      <c r="CE4562" s="2237"/>
      <c r="CF4562" s="2237"/>
      <c r="CG4562" s="2237"/>
      <c r="CH4562" s="2237"/>
      <c r="CI4562" s="2237"/>
      <c r="CJ4562" s="2237"/>
      <c r="CK4562" s="2237"/>
      <c r="CL4562" s="2237"/>
      <c r="CM4562" s="2237"/>
      <c r="CN4562" s="2237"/>
      <c r="CO4562" s="2237"/>
      <c r="CP4562" s="2237"/>
      <c r="CQ4562" s="2237"/>
      <c r="CR4562" s="2237"/>
      <c r="CS4562" s="2237"/>
      <c r="CT4562" s="2237"/>
      <c r="CU4562" s="2237"/>
      <c r="CV4562" s="2237"/>
      <c r="CW4562" s="2237"/>
      <c r="CX4562" s="2237"/>
      <c r="CY4562" s="2237"/>
      <c r="CZ4562" s="2237"/>
      <c r="DA4562" s="2237"/>
      <c r="DB4562" s="2237"/>
      <c r="DC4562" s="2237"/>
      <c r="DD4562" s="2237"/>
      <c r="DE4562" s="2237"/>
      <c r="DF4562" s="2237"/>
      <c r="DG4562" s="3413"/>
      <c r="DH4562" s="2882" t="str">
        <f t="shared" si="396"/>
        <v>Cooling Res ER2 10 Year EUL</v>
      </c>
      <c r="DI4562" s="2509">
        <f>(INDEX('Avoided Cost Benefits'!$B$4:$B$866,MATCH(DH4562,'Avoided Cost Benefits'!$A$4:$A$866,0)))*F4562</f>
        <v>121.15445169289799</v>
      </c>
      <c r="DJ4562" s="2424">
        <f t="shared" si="400"/>
        <v>0</v>
      </c>
    </row>
    <row r="4563" spans="1:114">
      <c r="A4563" s="453"/>
      <c r="B4563" s="1454">
        <f t="shared" si="397"/>
        <v>356875</v>
      </c>
      <c r="C4563" s="2209" t="s">
        <v>2579</v>
      </c>
      <c r="D4563" s="3383" t="s">
        <v>1118</v>
      </c>
      <c r="E4563" s="2522" t="s">
        <v>2581</v>
      </c>
      <c r="F4563" s="3373">
        <f>ROUND(((J$4585*J$4587*(1/J$4591-1/J$4595))/1000),2)</f>
        <v>924.79</v>
      </c>
      <c r="G4563" s="2643" t="s">
        <v>2173</v>
      </c>
      <c r="H4563" s="2213">
        <f>VLOOKUP(G4563,'CP FACTORS'!$A$3:$B$38, 2, FALSE)</f>
        <v>0</v>
      </c>
      <c r="I4563" s="3385">
        <f t="shared" si="398"/>
        <v>0</v>
      </c>
      <c r="J4563" s="2449">
        <f>$J$4609</f>
        <v>10</v>
      </c>
      <c r="K4563" s="2592">
        <v>0</v>
      </c>
      <c r="L4563" s="2212"/>
      <c r="M4563" s="3408"/>
      <c r="N4563" s="635"/>
      <c r="O4563" s="635"/>
      <c r="P4563" s="635"/>
      <c r="Q4563" s="635"/>
      <c r="R4563" s="2966"/>
      <c r="S4563" s="2237"/>
      <c r="T4563" s="635"/>
      <c r="U4563" s="635"/>
      <c r="V4563" s="2308" t="s">
        <v>45</v>
      </c>
      <c r="W4563" s="2234"/>
      <c r="X4563" s="2234"/>
      <c r="Y4563" s="2234"/>
      <c r="Z4563" s="2234"/>
      <c r="AA4563" s="2234"/>
      <c r="AB4563" s="2234"/>
      <c r="AC4563" s="2234"/>
      <c r="AD4563" s="2235">
        <v>924.79</v>
      </c>
      <c r="AE4563" s="3373">
        <v>924.79</v>
      </c>
      <c r="AF4563" s="2236">
        <v>924.79</v>
      </c>
      <c r="AG4563" s="2234"/>
      <c r="AH4563" s="2237"/>
      <c r="AI4563" s="2237"/>
      <c r="AJ4563" s="2237"/>
      <c r="AK4563" s="2237"/>
      <c r="AL4563" s="2237"/>
      <c r="AM4563" s="2237"/>
      <c r="AN4563" s="2237"/>
      <c r="AO4563" s="2237"/>
      <c r="AP4563" s="2237"/>
      <c r="AQ4563" s="2237"/>
      <c r="AR4563" s="2237"/>
      <c r="AS4563" s="2237"/>
      <c r="AT4563" s="2237"/>
      <c r="AU4563" s="2237"/>
      <c r="AV4563" s="2237"/>
      <c r="AW4563" s="2237"/>
      <c r="AX4563" s="2237"/>
      <c r="AY4563" s="2237"/>
      <c r="AZ4563" s="2237"/>
      <c r="BA4563" s="2237"/>
      <c r="BB4563" s="2237"/>
      <c r="BC4563" s="2237"/>
      <c r="BD4563" s="2237"/>
      <c r="BE4563" s="2237"/>
      <c r="BF4563" s="2237"/>
      <c r="BG4563" s="2237"/>
      <c r="BH4563" s="2237"/>
      <c r="BI4563" s="2237"/>
      <c r="BJ4563" s="2237"/>
      <c r="BK4563" s="2237"/>
      <c r="BL4563" s="2237"/>
      <c r="BM4563" s="2237"/>
      <c r="BN4563" s="2237"/>
      <c r="BO4563" s="2237"/>
      <c r="BP4563" s="2237"/>
      <c r="BQ4563" s="2237"/>
      <c r="BR4563" s="2237"/>
      <c r="BS4563" s="2237"/>
      <c r="BT4563" s="2237"/>
      <c r="BU4563" s="2237"/>
      <c r="BV4563" s="2237"/>
      <c r="BW4563" s="2237"/>
      <c r="BX4563" s="2237"/>
      <c r="BY4563" s="2237"/>
      <c r="BZ4563" s="2237"/>
      <c r="CA4563" s="2237"/>
      <c r="CB4563" s="2237"/>
      <c r="CC4563" s="2237"/>
      <c r="CD4563" s="2237"/>
      <c r="CE4563" s="2237"/>
      <c r="CF4563" s="2237"/>
      <c r="CG4563" s="2237"/>
      <c r="CH4563" s="2237"/>
      <c r="CI4563" s="2237"/>
      <c r="CJ4563" s="2237"/>
      <c r="CK4563" s="2237"/>
      <c r="CL4563" s="2237"/>
      <c r="CM4563" s="2237"/>
      <c r="CN4563" s="2237"/>
      <c r="CO4563" s="2237"/>
      <c r="CP4563" s="2237"/>
      <c r="CQ4563" s="2237"/>
      <c r="CR4563" s="2237"/>
      <c r="CS4563" s="2237"/>
      <c r="CT4563" s="2237"/>
      <c r="CU4563" s="2237"/>
      <c r="CV4563" s="2237"/>
      <c r="CW4563" s="2237"/>
      <c r="CX4563" s="2237"/>
      <c r="CY4563" s="2237"/>
      <c r="CZ4563" s="2237"/>
      <c r="DA4563" s="2237"/>
      <c r="DB4563" s="2237"/>
      <c r="DC4563" s="2237"/>
      <c r="DD4563" s="2237"/>
      <c r="DE4563" s="2237"/>
      <c r="DF4563" s="2237"/>
      <c r="DG4563" s="3415"/>
      <c r="DH4563" s="2522" t="str">
        <f t="shared" si="396"/>
        <v>Heating Res ER2 10 Year EUL</v>
      </c>
      <c r="DI4563" s="2511">
        <f>(INDEX('Avoided Cost Benefits'!$B$4:$B$866,MATCH(DH4563,'Avoided Cost Benefits'!$A$4:$A$866,0)))*F4563</f>
        <v>287.55570077321255</v>
      </c>
      <c r="DJ4563" s="2431">
        <f t="shared" si="400"/>
        <v>0</v>
      </c>
    </row>
    <row r="4564" spans="1:114">
      <c r="A4564" s="453"/>
      <c r="B4564" s="1454">
        <f t="shared" si="397"/>
        <v>356900</v>
      </c>
      <c r="C4564" s="1608" t="s">
        <v>2582</v>
      </c>
      <c r="D4564" s="3470" t="s">
        <v>959</v>
      </c>
      <c r="E4564" s="1369" t="s">
        <v>2583</v>
      </c>
      <c r="F4564" s="225">
        <f>ROUND(((J$4596*J$4597*(1/J$4601-1/J$4605))/1000),2)</f>
        <v>140.77000000000001</v>
      </c>
      <c r="G4564" s="84" t="s">
        <v>2077</v>
      </c>
      <c r="H4564" s="69">
        <f>VLOOKUP(G4564,'CP FACTORS'!$A$3:$B$38, 2, FALSE)</f>
        <v>9.4741810000000004E-4</v>
      </c>
      <c r="I4564" s="1028">
        <f t="shared" si="398"/>
        <v>0.13336799999999999</v>
      </c>
      <c r="J4564" s="59">
        <f t="shared" ref="J4564:J4571" si="401">$J$4607</f>
        <v>15</v>
      </c>
      <c r="K4564" s="174">
        <f>J$4611</f>
        <v>84.93</v>
      </c>
      <c r="L4564" s="1034">
        <f>K$4585</f>
        <v>1.0111111111111111</v>
      </c>
      <c r="M4564" s="238"/>
      <c r="R4564" s="532"/>
      <c r="T4564" s="52"/>
      <c r="U4564" s="52"/>
      <c r="V4564" s="1385" t="s">
        <v>45</v>
      </c>
      <c r="W4564" s="165"/>
      <c r="X4564" s="165"/>
      <c r="Y4564" s="165"/>
      <c r="Z4564" s="165"/>
      <c r="AA4564" s="165"/>
      <c r="AB4564" s="165"/>
      <c r="AC4564" s="165"/>
      <c r="AD4564" s="49">
        <v>140.77000000000001</v>
      </c>
      <c r="AE4564" s="225">
        <v>140.77000000000001</v>
      </c>
      <c r="AF4564" s="271">
        <v>140.77000000000001</v>
      </c>
      <c r="AG4564" s="165"/>
      <c r="DG4564" s="1095">
        <f>(DI4564+DI4565)/(DJ4564+DJ4565)</f>
        <v>4.706869455767599</v>
      </c>
      <c r="DH4564" s="1369" t="str">
        <f t="shared" si="396"/>
        <v>Cooling Res 15 Year EUL</v>
      </c>
      <c r="DI4564" s="993">
        <f>(INDEX('Avoided Cost Benefits'!$B$4:$B$866,MATCH(DH4564,'Avoided Cost Benefits'!$A$4:$A$866,0)))*F4564</f>
        <v>286.09497030244813</v>
      </c>
      <c r="DJ4564" s="1169">
        <f t="shared" si="400"/>
        <v>84.93</v>
      </c>
    </row>
    <row r="4565" spans="1:114">
      <c r="A4565" s="453"/>
      <c r="B4565" s="1454">
        <f t="shared" si="397"/>
        <v>356900</v>
      </c>
      <c r="C4565" s="1608" t="s">
        <v>2582</v>
      </c>
      <c r="D4565" s="3470" t="s">
        <v>959</v>
      </c>
      <c r="E4565" s="1370" t="s">
        <v>2583</v>
      </c>
      <c r="F4565" s="225">
        <f>ROUND(((J$4585*J$4586*(1/J$4589-1/J$4595))/1000),2)</f>
        <v>210.52</v>
      </c>
      <c r="G4565" s="84" t="s">
        <v>2078</v>
      </c>
      <c r="H4565" s="69">
        <f>VLOOKUP(G4565,'CP FACTORS'!$A$3:$B$38, 2, FALSE)</f>
        <v>0</v>
      </c>
      <c r="I4565" s="1028">
        <f t="shared" si="398"/>
        <v>0</v>
      </c>
      <c r="J4565" s="59">
        <f t="shared" si="401"/>
        <v>15</v>
      </c>
      <c r="K4565" s="174">
        <v>0</v>
      </c>
      <c r="L4565" s="1034"/>
      <c r="M4565" s="238"/>
      <c r="R4565" s="532"/>
      <c r="T4565" s="52"/>
      <c r="U4565" s="52"/>
      <c r="V4565" s="1385" t="s">
        <v>45</v>
      </c>
      <c r="W4565" s="165"/>
      <c r="X4565" s="165"/>
      <c r="Y4565" s="165"/>
      <c r="Z4565" s="165"/>
      <c r="AA4565" s="165"/>
      <c r="AB4565" s="165"/>
      <c r="AC4565" s="165"/>
      <c r="AD4565" s="49">
        <v>210.52</v>
      </c>
      <c r="AE4565" s="225">
        <v>210.52</v>
      </c>
      <c r="AF4565" s="271">
        <v>210.52</v>
      </c>
      <c r="AG4565" s="165"/>
      <c r="DG4565" s="812"/>
      <c r="DH4565" s="1370" t="str">
        <f t="shared" si="396"/>
        <v>Heating Res 15 Year EUL</v>
      </c>
      <c r="DI4565" s="996">
        <f>(INDEX('Avoided Cost Benefits'!$B$4:$B$866,MATCH(DH4565,'Avoided Cost Benefits'!$A$4:$A$866,0)))*F4565</f>
        <v>113.65945257589408</v>
      </c>
      <c r="DJ4565" s="1171">
        <f t="shared" si="400"/>
        <v>0</v>
      </c>
    </row>
    <row r="4566" spans="1:114">
      <c r="A4566" s="453"/>
      <c r="B4566" s="1454">
        <f t="shared" si="397"/>
        <v>356925</v>
      </c>
      <c r="C4566" s="3416" t="s">
        <v>2584</v>
      </c>
      <c r="D4566" s="3417" t="s">
        <v>1118</v>
      </c>
      <c r="E4566" s="2882" t="s">
        <v>2585</v>
      </c>
      <c r="F4566" s="3418">
        <f>ROUND(((J$4596*J$4598*(1/J$4601-1/J$4605))/1000),2)</f>
        <v>102.44</v>
      </c>
      <c r="G4566" s="3419" t="s">
        <v>2077</v>
      </c>
      <c r="H4566" s="3318">
        <f>VLOOKUP(G4566,'CP FACTORS'!$A$3:$B$38, 2, FALSE)</f>
        <v>9.4741810000000004E-4</v>
      </c>
      <c r="I4566" s="3414">
        <f t="shared" si="398"/>
        <v>9.7054000000000001E-2</v>
      </c>
      <c r="J4566" s="3406">
        <f t="shared" si="401"/>
        <v>15</v>
      </c>
      <c r="K4566" s="3420">
        <f>J$4611</f>
        <v>84.93</v>
      </c>
      <c r="L4566" s="2212">
        <f>K$4585</f>
        <v>1.0111111111111111</v>
      </c>
      <c r="M4566" s="3408"/>
      <c r="N4566" s="635"/>
      <c r="O4566" s="635"/>
      <c r="P4566" s="635"/>
      <c r="Q4566" s="635"/>
      <c r="R4566" s="2966"/>
      <c r="S4566" s="2237"/>
      <c r="T4566" s="635"/>
      <c r="U4566" s="635"/>
      <c r="V4566" s="2308" t="s">
        <v>45</v>
      </c>
      <c r="W4566" s="2234"/>
      <c r="X4566" s="2234"/>
      <c r="Y4566" s="2234"/>
      <c r="Z4566" s="2234"/>
      <c r="AA4566" s="2234"/>
      <c r="AB4566" s="2234"/>
      <c r="AC4566" s="2234"/>
      <c r="AD4566" s="2235">
        <v>102.44</v>
      </c>
      <c r="AE4566" s="3373">
        <v>102.44</v>
      </c>
      <c r="AF4566" s="2236">
        <v>102.44</v>
      </c>
      <c r="AG4566" s="2234"/>
      <c r="AH4566" s="2237"/>
      <c r="AI4566" s="2237"/>
      <c r="AJ4566" s="2237"/>
      <c r="AK4566" s="2237"/>
      <c r="AL4566" s="2237"/>
      <c r="AM4566" s="2237"/>
      <c r="AN4566" s="2237"/>
      <c r="AO4566" s="2237"/>
      <c r="AP4566" s="2237"/>
      <c r="AQ4566" s="2237"/>
      <c r="AR4566" s="2237"/>
      <c r="AS4566" s="2237"/>
      <c r="AT4566" s="2237"/>
      <c r="AU4566" s="2237"/>
      <c r="AV4566" s="2237"/>
      <c r="AW4566" s="2237"/>
      <c r="AX4566" s="2237"/>
      <c r="AY4566" s="2237"/>
      <c r="AZ4566" s="2237"/>
      <c r="BA4566" s="2237"/>
      <c r="BB4566" s="2237"/>
      <c r="BC4566" s="2237"/>
      <c r="BD4566" s="2237"/>
      <c r="BE4566" s="2237"/>
      <c r="BF4566" s="2237"/>
      <c r="BG4566" s="2237"/>
      <c r="BH4566" s="2237"/>
      <c r="BI4566" s="2237"/>
      <c r="BJ4566" s="2237"/>
      <c r="BK4566" s="2237"/>
      <c r="BL4566" s="2237"/>
      <c r="BM4566" s="2237"/>
      <c r="BN4566" s="2237"/>
      <c r="BO4566" s="2237"/>
      <c r="BP4566" s="2237"/>
      <c r="BQ4566" s="2237"/>
      <c r="BR4566" s="2237"/>
      <c r="BS4566" s="2237"/>
      <c r="BT4566" s="2237"/>
      <c r="BU4566" s="2237"/>
      <c r="BV4566" s="2237"/>
      <c r="BW4566" s="2237"/>
      <c r="BX4566" s="2237"/>
      <c r="BY4566" s="2237"/>
      <c r="BZ4566" s="2237"/>
      <c r="CA4566" s="2237"/>
      <c r="CB4566" s="2237"/>
      <c r="CC4566" s="2237"/>
      <c r="CD4566" s="2237"/>
      <c r="CE4566" s="2237"/>
      <c r="CF4566" s="2237"/>
      <c r="CG4566" s="2237"/>
      <c r="CH4566" s="2237"/>
      <c r="CI4566" s="2237"/>
      <c r="CJ4566" s="2237"/>
      <c r="CK4566" s="2237"/>
      <c r="CL4566" s="2237"/>
      <c r="CM4566" s="2237"/>
      <c r="CN4566" s="2237"/>
      <c r="CO4566" s="2237"/>
      <c r="CP4566" s="2237"/>
      <c r="CQ4566" s="2237"/>
      <c r="CR4566" s="2237"/>
      <c r="CS4566" s="2237"/>
      <c r="CT4566" s="2237"/>
      <c r="CU4566" s="2237"/>
      <c r="CV4566" s="2237"/>
      <c r="CW4566" s="2237"/>
      <c r="CX4566" s="2237"/>
      <c r="CY4566" s="2237"/>
      <c r="CZ4566" s="2237"/>
      <c r="DA4566" s="2237"/>
      <c r="DB4566" s="2237"/>
      <c r="DC4566" s="2237"/>
      <c r="DD4566" s="2237"/>
      <c r="DE4566" s="2237"/>
      <c r="DF4566" s="2237"/>
      <c r="DG4566" s="3412">
        <f>(DI4566+DI4567)/(DJ4566+DJ4567)</f>
        <v>2.9081810799119414</v>
      </c>
      <c r="DH4566" s="2521" t="str">
        <f t="shared" si="396"/>
        <v>Cooling Res 15 Year EUL</v>
      </c>
      <c r="DI4566" s="3245">
        <f>(INDEX('Avoided Cost Benefits'!$B$4:$B$866,MATCH(DH4566,'Avoided Cost Benefits'!$A$4:$A$866,0)))*F4566</f>
        <v>208.19470595853366</v>
      </c>
      <c r="DJ4566" s="2421">
        <f t="shared" si="400"/>
        <v>84.93</v>
      </c>
    </row>
    <row r="4567" spans="1:114">
      <c r="A4567" s="453"/>
      <c r="B4567" s="1454">
        <f t="shared" si="397"/>
        <v>356925</v>
      </c>
      <c r="C4567" s="2209" t="s">
        <v>2584</v>
      </c>
      <c r="D4567" s="3383" t="s">
        <v>1118</v>
      </c>
      <c r="E4567" s="2882" t="s">
        <v>2585</v>
      </c>
      <c r="F4567" s="3373">
        <f>ROUND(((J$4585*J$4587*(1/J$4589-1/J$4595))/1000),2)</f>
        <v>71.86</v>
      </c>
      <c r="G4567" s="2643" t="s">
        <v>2078</v>
      </c>
      <c r="H4567" s="2213">
        <f>VLOOKUP(G4567,'CP FACTORS'!$A$3:$B$38, 2, FALSE)</f>
        <v>0</v>
      </c>
      <c r="I4567" s="3385">
        <f t="shared" si="398"/>
        <v>0</v>
      </c>
      <c r="J4567" s="2449">
        <f t="shared" si="401"/>
        <v>15</v>
      </c>
      <c r="K4567" s="2592">
        <v>0</v>
      </c>
      <c r="L4567" s="2212"/>
      <c r="M4567" s="3408"/>
      <c r="N4567" s="635"/>
      <c r="O4567" s="635"/>
      <c r="P4567" s="635"/>
      <c r="Q4567" s="635"/>
      <c r="R4567" s="2966"/>
      <c r="S4567" s="2237"/>
      <c r="T4567" s="635"/>
      <c r="U4567" s="635"/>
      <c r="V4567" s="2308" t="s">
        <v>45</v>
      </c>
      <c r="W4567" s="2234"/>
      <c r="X4567" s="2234"/>
      <c r="Y4567" s="2234"/>
      <c r="Z4567" s="2234"/>
      <c r="AA4567" s="2234"/>
      <c r="AB4567" s="2234"/>
      <c r="AC4567" s="2234"/>
      <c r="AD4567" s="2235">
        <v>71.86</v>
      </c>
      <c r="AE4567" s="3373">
        <v>71.86</v>
      </c>
      <c r="AF4567" s="2236">
        <v>71.86</v>
      </c>
      <c r="AG4567" s="2234"/>
      <c r="AH4567" s="2237"/>
      <c r="AI4567" s="2237"/>
      <c r="AJ4567" s="2237"/>
      <c r="AK4567" s="2237"/>
      <c r="AL4567" s="2237"/>
      <c r="AM4567" s="2237"/>
      <c r="AN4567" s="2237"/>
      <c r="AO4567" s="2237"/>
      <c r="AP4567" s="2237"/>
      <c r="AQ4567" s="2237"/>
      <c r="AR4567" s="2237"/>
      <c r="AS4567" s="2237"/>
      <c r="AT4567" s="2237"/>
      <c r="AU4567" s="2237"/>
      <c r="AV4567" s="2237"/>
      <c r="AW4567" s="2237"/>
      <c r="AX4567" s="2237"/>
      <c r="AY4567" s="2237"/>
      <c r="AZ4567" s="2237"/>
      <c r="BA4567" s="2237"/>
      <c r="BB4567" s="2237"/>
      <c r="BC4567" s="2237"/>
      <c r="BD4567" s="2237"/>
      <c r="BE4567" s="2237"/>
      <c r="BF4567" s="2237"/>
      <c r="BG4567" s="2237"/>
      <c r="BH4567" s="2237"/>
      <c r="BI4567" s="2237"/>
      <c r="BJ4567" s="2237"/>
      <c r="BK4567" s="2237"/>
      <c r="BL4567" s="2237"/>
      <c r="BM4567" s="2237"/>
      <c r="BN4567" s="2237"/>
      <c r="BO4567" s="2237"/>
      <c r="BP4567" s="2237"/>
      <c r="BQ4567" s="2237"/>
      <c r="BR4567" s="2237"/>
      <c r="BS4567" s="2237"/>
      <c r="BT4567" s="2237"/>
      <c r="BU4567" s="2237"/>
      <c r="BV4567" s="2237"/>
      <c r="BW4567" s="2237"/>
      <c r="BX4567" s="2237"/>
      <c r="BY4567" s="2237"/>
      <c r="BZ4567" s="2237"/>
      <c r="CA4567" s="2237"/>
      <c r="CB4567" s="2237"/>
      <c r="CC4567" s="2237"/>
      <c r="CD4567" s="2237"/>
      <c r="CE4567" s="2237"/>
      <c r="CF4567" s="2237"/>
      <c r="CG4567" s="2237"/>
      <c r="CH4567" s="2237"/>
      <c r="CI4567" s="2237"/>
      <c r="CJ4567" s="2237"/>
      <c r="CK4567" s="2237"/>
      <c r="CL4567" s="2237"/>
      <c r="CM4567" s="2237"/>
      <c r="CN4567" s="2237"/>
      <c r="CO4567" s="2237"/>
      <c r="CP4567" s="2237"/>
      <c r="CQ4567" s="2237"/>
      <c r="CR4567" s="2237"/>
      <c r="CS4567" s="2237"/>
      <c r="CT4567" s="2237"/>
      <c r="CU4567" s="2237"/>
      <c r="CV4567" s="2237"/>
      <c r="CW4567" s="2237"/>
      <c r="CX4567" s="2237"/>
      <c r="CY4567" s="2237"/>
      <c r="CZ4567" s="2237"/>
      <c r="DA4567" s="2237"/>
      <c r="DB4567" s="2237"/>
      <c r="DC4567" s="2237"/>
      <c r="DD4567" s="2237"/>
      <c r="DE4567" s="2237"/>
      <c r="DF4567" s="2237"/>
      <c r="DG4567" s="3415"/>
      <c r="DH4567" s="2522" t="str">
        <f t="shared" si="396"/>
        <v>Heating Res 15 Year EUL</v>
      </c>
      <c r="DI4567" s="2511">
        <f>(INDEX('Avoided Cost Benefits'!$B$4:$B$866,MATCH(DH4567,'Avoided Cost Benefits'!$A$4:$A$866,0)))*F4567</f>
        <v>38.79711315838756</v>
      </c>
      <c r="DJ4567" s="2431">
        <f t="shared" si="400"/>
        <v>0</v>
      </c>
    </row>
    <row r="4568" spans="1:114">
      <c r="A4568" s="453"/>
      <c r="B4568" s="1454">
        <f t="shared" si="397"/>
        <v>356950</v>
      </c>
      <c r="C4568" s="1608" t="s">
        <v>2586</v>
      </c>
      <c r="D4568" s="3470" t="s">
        <v>959</v>
      </c>
      <c r="E4568" s="1369" t="s">
        <v>2587</v>
      </c>
      <c r="F4568" s="225">
        <f>ROUND(((J$4596*J$4597*(1/J$4601-1/J$4605))/1000),2)</f>
        <v>140.77000000000001</v>
      </c>
      <c r="G4568" s="84" t="s">
        <v>2077</v>
      </c>
      <c r="H4568" s="69">
        <f>VLOOKUP(G4568,'CP FACTORS'!$A$3:$B$38, 2, FALSE)</f>
        <v>9.4741810000000004E-4</v>
      </c>
      <c r="I4568" s="1028">
        <f t="shared" si="398"/>
        <v>0.13336799999999999</v>
      </c>
      <c r="J4568" s="59">
        <f t="shared" si="401"/>
        <v>15</v>
      </c>
      <c r="K4568" s="174">
        <f>J$4611</f>
        <v>84.93</v>
      </c>
      <c r="L4568" s="1034">
        <f>K$4585</f>
        <v>1.0111111111111111</v>
      </c>
      <c r="M4568" s="238"/>
      <c r="R4568" s="532"/>
      <c r="T4568" s="52"/>
      <c r="U4568" s="52"/>
      <c r="V4568" s="1385" t="s">
        <v>45</v>
      </c>
      <c r="W4568" s="165"/>
      <c r="X4568" s="165"/>
      <c r="Y4568" s="165"/>
      <c r="Z4568" s="165"/>
      <c r="AA4568" s="165"/>
      <c r="AB4568" s="165"/>
      <c r="AC4568" s="165"/>
      <c r="AD4568" s="49">
        <v>140.77000000000001</v>
      </c>
      <c r="AE4568" s="225">
        <v>140.77000000000001</v>
      </c>
      <c r="AF4568" s="271">
        <v>140.77000000000001</v>
      </c>
      <c r="AG4568" s="165"/>
      <c r="DG4568" s="1095">
        <f>(DI4568+DI4569)/(DJ4568+DJ4569)</f>
        <v>20.591127345132485</v>
      </c>
      <c r="DH4568" s="1369" t="str">
        <f t="shared" si="396"/>
        <v>Cooling Res 15 Year EUL</v>
      </c>
      <c r="DI4568" s="993">
        <f>(INDEX('Avoided Cost Benefits'!$B$4:$B$866,MATCH(DH4568,'Avoided Cost Benefits'!$A$4:$A$866,0)))*F4568</f>
        <v>286.09497030244813</v>
      </c>
      <c r="DJ4568" s="1169">
        <f t="shared" si="400"/>
        <v>84.93</v>
      </c>
    </row>
    <row r="4569" spans="1:114">
      <c r="A4569" s="453"/>
      <c r="B4569" s="1454">
        <f t="shared" si="397"/>
        <v>356950</v>
      </c>
      <c r="C4569" s="1608" t="s">
        <v>2586</v>
      </c>
      <c r="D4569" s="3470" t="s">
        <v>959</v>
      </c>
      <c r="E4569" s="1370" t="s">
        <v>2587</v>
      </c>
      <c r="F4569" s="225">
        <f>ROUND(((J$4585*J$4586*(1/J$4591-1/J$4595))/1000),2)</f>
        <v>2709.23</v>
      </c>
      <c r="G4569" s="84" t="s">
        <v>2078</v>
      </c>
      <c r="H4569" s="69">
        <f>VLOOKUP(G4569,'CP FACTORS'!$A$3:$B$38, 2, FALSE)</f>
        <v>0</v>
      </c>
      <c r="I4569" s="1028">
        <f t="shared" si="398"/>
        <v>0</v>
      </c>
      <c r="J4569" s="59">
        <f t="shared" si="401"/>
        <v>15</v>
      </c>
      <c r="K4569" s="174">
        <v>0</v>
      </c>
      <c r="L4569" s="1034"/>
      <c r="M4569" s="238"/>
      <c r="R4569" s="532"/>
      <c r="T4569" s="52"/>
      <c r="U4569" s="52"/>
      <c r="V4569" s="1385" t="s">
        <v>45</v>
      </c>
      <c r="W4569" s="165"/>
      <c r="X4569" s="165"/>
      <c r="Y4569" s="165"/>
      <c r="Z4569" s="165"/>
      <c r="AA4569" s="165"/>
      <c r="AB4569" s="165"/>
      <c r="AC4569" s="165"/>
      <c r="AD4569" s="49">
        <v>2709.23</v>
      </c>
      <c r="AE4569" s="225">
        <v>2709.23</v>
      </c>
      <c r="AF4569" s="271">
        <v>2709.23</v>
      </c>
      <c r="AG4569" s="165"/>
      <c r="DG4569" s="812"/>
      <c r="DH4569" s="1370" t="str">
        <f t="shared" si="396"/>
        <v>Heating Res 15 Year EUL</v>
      </c>
      <c r="DI4569" s="996">
        <f>(INDEX('Avoided Cost Benefits'!$B$4:$B$866,MATCH(DH4569,'Avoided Cost Benefits'!$A$4:$A$866,0)))*F4569</f>
        <v>1462.7094751196539</v>
      </c>
      <c r="DJ4569" s="1171">
        <f t="shared" si="400"/>
        <v>0</v>
      </c>
    </row>
    <row r="4570" spans="1:114">
      <c r="A4570" s="453"/>
      <c r="B4570" s="1454">
        <f t="shared" si="397"/>
        <v>356975</v>
      </c>
      <c r="C4570" s="3416" t="s">
        <v>2588</v>
      </c>
      <c r="D4570" s="3421" t="s">
        <v>1118</v>
      </c>
      <c r="E4570" s="2882" t="s">
        <v>2589</v>
      </c>
      <c r="F4570" s="3418">
        <f>ROUND(((J$4596*J$4598*(1/J$4601-1/J$4605))/1000),2)</f>
        <v>102.44</v>
      </c>
      <c r="G4570" s="3419" t="s">
        <v>2077</v>
      </c>
      <c r="H4570" s="3318">
        <f>VLOOKUP(G4570,'CP FACTORS'!$A$3:$B$38, 2, FALSE)</f>
        <v>9.4741810000000004E-4</v>
      </c>
      <c r="I4570" s="3414">
        <f t="shared" si="398"/>
        <v>9.7054000000000001E-2</v>
      </c>
      <c r="J4570" s="3406">
        <f t="shared" si="401"/>
        <v>15</v>
      </c>
      <c r="K4570" s="3420">
        <f>J$4611</f>
        <v>84.93</v>
      </c>
      <c r="L4570" s="2212">
        <f>K$4585</f>
        <v>1.0111111111111111</v>
      </c>
      <c r="M4570" s="3408"/>
      <c r="N4570" s="635"/>
      <c r="O4570" s="635"/>
      <c r="P4570" s="635"/>
      <c r="Q4570" s="635"/>
      <c r="R4570" s="2966"/>
      <c r="S4570" s="2237"/>
      <c r="T4570" s="635"/>
      <c r="U4570" s="635"/>
      <c r="V4570" s="2308" t="s">
        <v>45</v>
      </c>
      <c r="W4570" s="2234"/>
      <c r="X4570" s="2234"/>
      <c r="Y4570" s="2234"/>
      <c r="Z4570" s="2234"/>
      <c r="AA4570" s="2234"/>
      <c r="AB4570" s="2234"/>
      <c r="AC4570" s="2234"/>
      <c r="AD4570" s="2235">
        <v>102.44</v>
      </c>
      <c r="AE4570" s="3373">
        <v>102.44</v>
      </c>
      <c r="AF4570" s="2236">
        <v>102.44</v>
      </c>
      <c r="AG4570" s="2234"/>
      <c r="AH4570" s="2237"/>
      <c r="AI4570" s="2237"/>
      <c r="AJ4570" s="2237"/>
      <c r="AK4570" s="2237"/>
      <c r="AL4570" s="2237"/>
      <c r="AM4570" s="2237"/>
      <c r="AN4570" s="2237"/>
      <c r="AO4570" s="2237"/>
      <c r="AP4570" s="2237"/>
      <c r="AQ4570" s="2237"/>
      <c r="AR4570" s="2237"/>
      <c r="AS4570" s="2237"/>
      <c r="AT4570" s="2237"/>
      <c r="AU4570" s="2237"/>
      <c r="AV4570" s="2237"/>
      <c r="AW4570" s="2237"/>
      <c r="AX4570" s="2237"/>
      <c r="AY4570" s="2237"/>
      <c r="AZ4570" s="2237"/>
      <c r="BA4570" s="2237"/>
      <c r="BB4570" s="2237"/>
      <c r="BC4570" s="2237"/>
      <c r="BD4570" s="2237"/>
      <c r="BE4570" s="2237"/>
      <c r="BF4570" s="2237"/>
      <c r="BG4570" s="2237"/>
      <c r="BH4570" s="2237"/>
      <c r="BI4570" s="2237"/>
      <c r="BJ4570" s="2237"/>
      <c r="BK4570" s="2237"/>
      <c r="BL4570" s="2237"/>
      <c r="BM4570" s="2237"/>
      <c r="BN4570" s="2237"/>
      <c r="BO4570" s="2237"/>
      <c r="BP4570" s="2237"/>
      <c r="BQ4570" s="2237"/>
      <c r="BR4570" s="2237"/>
      <c r="BS4570" s="2237"/>
      <c r="BT4570" s="2237"/>
      <c r="BU4570" s="2237"/>
      <c r="BV4570" s="2237"/>
      <c r="BW4570" s="2237"/>
      <c r="BX4570" s="2237"/>
      <c r="BY4570" s="2237"/>
      <c r="BZ4570" s="2237"/>
      <c r="CA4570" s="2237"/>
      <c r="CB4570" s="2237"/>
      <c r="CC4570" s="2237"/>
      <c r="CD4570" s="2237"/>
      <c r="CE4570" s="2237"/>
      <c r="CF4570" s="2237"/>
      <c r="CG4570" s="2237"/>
      <c r="CH4570" s="2237"/>
      <c r="CI4570" s="2237"/>
      <c r="CJ4570" s="2237"/>
      <c r="CK4570" s="2237"/>
      <c r="CL4570" s="2237"/>
      <c r="CM4570" s="2237"/>
      <c r="CN4570" s="2237"/>
      <c r="CO4570" s="2237"/>
      <c r="CP4570" s="2237"/>
      <c r="CQ4570" s="2237"/>
      <c r="CR4570" s="2237"/>
      <c r="CS4570" s="2237"/>
      <c r="CT4570" s="2237"/>
      <c r="CU4570" s="2237"/>
      <c r="CV4570" s="2237"/>
      <c r="CW4570" s="2237"/>
      <c r="CX4570" s="2237"/>
      <c r="CY4570" s="2237"/>
      <c r="CZ4570" s="2237"/>
      <c r="DA4570" s="2237"/>
      <c r="DB4570" s="2237"/>
      <c r="DC4570" s="2237"/>
      <c r="DD4570" s="2237"/>
      <c r="DE4570" s="2237"/>
      <c r="DF4570" s="2237"/>
      <c r="DG4570" s="3412">
        <f>(DI4570+DI4571)/(DJ4570+DJ4571)</f>
        <v>8.3302428964396658</v>
      </c>
      <c r="DH4570" s="2521" t="str">
        <f t="shared" si="396"/>
        <v>Cooling Res 15 Year EUL</v>
      </c>
      <c r="DI4570" s="3245">
        <f>(INDEX('Avoided Cost Benefits'!$B$4:$B$866,MATCH(DH4570,'Avoided Cost Benefits'!$A$4:$A$866,0)))*F4570</f>
        <v>208.19470595853366</v>
      </c>
      <c r="DJ4570" s="2421">
        <f t="shared" si="400"/>
        <v>84.93</v>
      </c>
    </row>
    <row r="4571" spans="1:114">
      <c r="A4571" s="453"/>
      <c r="B4571" s="1454">
        <f t="shared" si="397"/>
        <v>356975</v>
      </c>
      <c r="C4571" s="2209" t="s">
        <v>2588</v>
      </c>
      <c r="D4571" s="3383" t="s">
        <v>1118</v>
      </c>
      <c r="E4571" s="2522" t="s">
        <v>2589</v>
      </c>
      <c r="F4571" s="3373">
        <f>ROUND(((J$4585*J$4587*(1/J$4591-1/J$4595))/1000),2)</f>
        <v>924.79</v>
      </c>
      <c r="G4571" s="2643" t="s">
        <v>2078</v>
      </c>
      <c r="H4571" s="2213">
        <f>VLOOKUP(G4571,'CP FACTORS'!$A$3:$B$38, 2, FALSE)</f>
        <v>0</v>
      </c>
      <c r="I4571" s="3385">
        <f t="shared" si="398"/>
        <v>0</v>
      </c>
      <c r="J4571" s="2449">
        <f t="shared" si="401"/>
        <v>15</v>
      </c>
      <c r="K4571" s="2592">
        <v>0</v>
      </c>
      <c r="L4571" s="2212"/>
      <c r="M4571" s="3408"/>
      <c r="N4571" s="635"/>
      <c r="O4571" s="635"/>
      <c r="P4571" s="635"/>
      <c r="Q4571" s="635"/>
      <c r="R4571" s="2966"/>
      <c r="S4571" s="2237"/>
      <c r="T4571" s="635"/>
      <c r="U4571" s="635"/>
      <c r="V4571" s="2308" t="s">
        <v>45</v>
      </c>
      <c r="W4571" s="2234"/>
      <c r="X4571" s="2234"/>
      <c r="Y4571" s="2234"/>
      <c r="Z4571" s="2234"/>
      <c r="AA4571" s="2234"/>
      <c r="AB4571" s="2234"/>
      <c r="AC4571" s="2234"/>
      <c r="AD4571" s="2235">
        <v>924.79</v>
      </c>
      <c r="AE4571" s="3373">
        <v>924.79</v>
      </c>
      <c r="AF4571" s="2236">
        <v>924.79</v>
      </c>
      <c r="AG4571" s="2234"/>
      <c r="AH4571" s="2237"/>
      <c r="AI4571" s="2237"/>
      <c r="AJ4571" s="2237"/>
      <c r="AK4571" s="2237"/>
      <c r="AL4571" s="2237"/>
      <c r="AM4571" s="2237"/>
      <c r="AN4571" s="2237"/>
      <c r="AO4571" s="2237"/>
      <c r="AP4571" s="2237"/>
      <c r="AQ4571" s="2237"/>
      <c r="AR4571" s="2237"/>
      <c r="AS4571" s="2237"/>
      <c r="AT4571" s="2237"/>
      <c r="AU4571" s="2237"/>
      <c r="AV4571" s="2237"/>
      <c r="AW4571" s="2237"/>
      <c r="AX4571" s="2237"/>
      <c r="AY4571" s="2237"/>
      <c r="AZ4571" s="2237"/>
      <c r="BA4571" s="2237"/>
      <c r="BB4571" s="2237"/>
      <c r="BC4571" s="2237"/>
      <c r="BD4571" s="2237"/>
      <c r="BE4571" s="2237"/>
      <c r="BF4571" s="2237"/>
      <c r="BG4571" s="2237"/>
      <c r="BH4571" s="2237"/>
      <c r="BI4571" s="2237"/>
      <c r="BJ4571" s="2237"/>
      <c r="BK4571" s="2237"/>
      <c r="BL4571" s="2237"/>
      <c r="BM4571" s="2237"/>
      <c r="BN4571" s="2237"/>
      <c r="BO4571" s="2237"/>
      <c r="BP4571" s="2237"/>
      <c r="BQ4571" s="2237"/>
      <c r="BR4571" s="2237"/>
      <c r="BS4571" s="2237"/>
      <c r="BT4571" s="2237"/>
      <c r="BU4571" s="2237"/>
      <c r="BV4571" s="2237"/>
      <c r="BW4571" s="2237"/>
      <c r="BX4571" s="2237"/>
      <c r="BY4571" s="2237"/>
      <c r="BZ4571" s="2237"/>
      <c r="CA4571" s="2237"/>
      <c r="CB4571" s="2237"/>
      <c r="CC4571" s="2237"/>
      <c r="CD4571" s="2237"/>
      <c r="CE4571" s="2237"/>
      <c r="CF4571" s="2237"/>
      <c r="CG4571" s="2237"/>
      <c r="CH4571" s="2237"/>
      <c r="CI4571" s="2237"/>
      <c r="CJ4571" s="2237"/>
      <c r="CK4571" s="2237"/>
      <c r="CL4571" s="2237"/>
      <c r="CM4571" s="2237"/>
      <c r="CN4571" s="2237"/>
      <c r="CO4571" s="2237"/>
      <c r="CP4571" s="2237"/>
      <c r="CQ4571" s="2237"/>
      <c r="CR4571" s="2237"/>
      <c r="CS4571" s="2237"/>
      <c r="CT4571" s="2237"/>
      <c r="CU4571" s="2237"/>
      <c r="CV4571" s="2237"/>
      <c r="CW4571" s="2237"/>
      <c r="CX4571" s="2237"/>
      <c r="CY4571" s="2237"/>
      <c r="CZ4571" s="2237"/>
      <c r="DA4571" s="2237"/>
      <c r="DB4571" s="2237"/>
      <c r="DC4571" s="2237"/>
      <c r="DD4571" s="2237"/>
      <c r="DE4571" s="2237"/>
      <c r="DF4571" s="2237"/>
      <c r="DG4571" s="3415"/>
      <c r="DH4571" s="2522" t="str">
        <f t="shared" si="396"/>
        <v>Heating Res 15 Year EUL</v>
      </c>
      <c r="DI4571" s="2511">
        <f>(INDEX('Avoided Cost Benefits'!$B$4:$B$866,MATCH(DH4571,'Avoided Cost Benefits'!$A$4:$A$866,0)))*F4571</f>
        <v>499.2928232360872</v>
      </c>
      <c r="DJ4571" s="2431">
        <f t="shared" si="400"/>
        <v>0</v>
      </c>
    </row>
    <row r="4572" spans="1:114" hidden="1" outlineLevel="1">
      <c r="A4572" s="453"/>
      <c r="C4572" s="51"/>
      <c r="D4572" s="77" t="s">
        <v>118</v>
      </c>
      <c r="E4572" s="283" t="s">
        <v>2590</v>
      </c>
      <c r="F4572" s="542"/>
      <c r="G4572" s="568"/>
      <c r="H4572" s="51"/>
      <c r="I4572" s="104" t="s">
        <v>2591</v>
      </c>
      <c r="J4572" s="51"/>
      <c r="K4572" s="51"/>
      <c r="L4572" s="51"/>
      <c r="M4572" s="51"/>
      <c r="Q4572" s="104"/>
      <c r="T4572" s="52"/>
      <c r="U4572" s="52"/>
      <c r="V4572" s="52"/>
      <c r="DG4572" s="573"/>
      <c r="DH4572" s="573"/>
      <c r="DI4572" s="1091"/>
      <c r="DJ4572" s="1187"/>
    </row>
    <row r="4573" spans="1:114" hidden="1" outlineLevel="1">
      <c r="A4573" s="453"/>
      <c r="C4573" s="51"/>
      <c r="D4573" s="74" t="s">
        <v>963</v>
      </c>
      <c r="E4573" s="52" t="s">
        <v>2091</v>
      </c>
      <c r="G4573" s="104"/>
      <c r="I4573" s="104" t="s">
        <v>2592</v>
      </c>
      <c r="T4573" s="52"/>
      <c r="U4573" s="52"/>
      <c r="V4573" s="52"/>
      <c r="DG4573" s="573"/>
      <c r="DH4573" s="573"/>
      <c r="DI4573" s="1091"/>
      <c r="DJ4573" s="1187"/>
    </row>
    <row r="4574" spans="1:114" hidden="1" outlineLevel="1">
      <c r="A4574" s="453"/>
      <c r="C4574" s="51"/>
      <c r="D4574" s="74"/>
      <c r="E4574" s="52" t="s">
        <v>2092</v>
      </c>
      <c r="G4574" s="104"/>
      <c r="H4574" s="51"/>
      <c r="T4574" s="52"/>
      <c r="U4574" s="52"/>
      <c r="V4574" s="52"/>
      <c r="W4574" s="52"/>
      <c r="X4574" s="52"/>
      <c r="Y4574" s="52"/>
      <c r="Z4574" s="52"/>
      <c r="AA4574" s="52"/>
      <c r="AB4574" s="52"/>
      <c r="AC4574" s="52"/>
      <c r="AD4574" s="52"/>
      <c r="AE4574" s="52"/>
      <c r="DG4574" s="573"/>
      <c r="DH4574" s="573"/>
      <c r="DI4574" s="1091"/>
      <c r="DJ4574" s="1187"/>
    </row>
    <row r="4575" spans="1:114" hidden="1" outlineLevel="1">
      <c r="A4575" s="453"/>
      <c r="C4575" s="51"/>
      <c r="D4575" s="104"/>
      <c r="E4575" s="104"/>
      <c r="G4575" s="104"/>
      <c r="H4575" s="51"/>
      <c r="T4575" s="52"/>
      <c r="U4575" s="52"/>
      <c r="V4575" s="52"/>
      <c r="W4575" s="52"/>
      <c r="X4575" s="52"/>
      <c r="Y4575" s="52"/>
      <c r="Z4575" s="52"/>
      <c r="AA4575" s="52"/>
      <c r="AB4575" s="52"/>
      <c r="AC4575" s="52"/>
      <c r="AD4575" s="52"/>
      <c r="AE4575" s="52"/>
      <c r="DG4575" s="573"/>
      <c r="DH4575" s="573"/>
      <c r="DI4575" s="1091"/>
      <c r="DJ4575" s="1187"/>
    </row>
    <row r="4576" spans="1:114" hidden="1" outlineLevel="1">
      <c r="A4576" s="453"/>
      <c r="C4576" s="51"/>
      <c r="D4576" s="104"/>
      <c r="E4576" s="104" t="s">
        <v>2593</v>
      </c>
      <c r="G4576" s="104"/>
      <c r="H4576" s="51"/>
      <c r="T4576" s="52"/>
      <c r="U4576" s="52"/>
      <c r="V4576" s="52"/>
      <c r="W4576" s="52"/>
      <c r="X4576" s="52"/>
      <c r="Y4576" s="52"/>
      <c r="Z4576" s="52"/>
      <c r="AA4576" s="52"/>
      <c r="AB4576" s="52"/>
      <c r="AC4576" s="52"/>
      <c r="AD4576" s="52"/>
      <c r="AE4576" s="52"/>
      <c r="DG4576" s="573"/>
      <c r="DH4576" s="573"/>
      <c r="DI4576" s="1091"/>
      <c r="DJ4576" s="1187"/>
    </row>
    <row r="4577" spans="1:114" hidden="1" outlineLevel="1">
      <c r="A4577" s="453"/>
      <c r="C4577" s="51"/>
      <c r="D4577" s="104"/>
      <c r="E4577" s="104" t="s">
        <v>2594</v>
      </c>
      <c r="G4577" s="104"/>
      <c r="H4577" s="51"/>
      <c r="T4577" s="52"/>
      <c r="U4577" s="52"/>
      <c r="V4577" s="52"/>
      <c r="W4577" s="52"/>
      <c r="X4577" s="52"/>
      <c r="Y4577" s="52"/>
      <c r="Z4577" s="52"/>
      <c r="AA4577" s="52"/>
      <c r="AB4577" s="52"/>
      <c r="AC4577" s="52"/>
      <c r="AD4577" s="52"/>
      <c r="AE4577" s="52"/>
      <c r="DG4577" s="573"/>
      <c r="DH4577" s="573"/>
      <c r="DI4577" s="1091"/>
      <c r="DJ4577" s="1187"/>
    </row>
    <row r="4578" spans="1:114" hidden="1" outlineLevel="1">
      <c r="A4578" s="453"/>
      <c r="C4578" s="51"/>
      <c r="D4578" s="104"/>
      <c r="E4578" s="104" t="s">
        <v>2595</v>
      </c>
      <c r="G4578" s="104"/>
      <c r="H4578" s="51"/>
      <c r="T4578" s="52"/>
      <c r="U4578" s="52"/>
      <c r="V4578" s="52"/>
      <c r="W4578" s="52"/>
      <c r="X4578" s="52"/>
      <c r="Y4578" s="52"/>
      <c r="Z4578" s="52"/>
      <c r="AA4578" s="52"/>
      <c r="AB4578" s="52"/>
      <c r="AC4578" s="52"/>
      <c r="AD4578" s="52"/>
      <c r="AE4578" s="52"/>
      <c r="DG4578" s="573"/>
      <c r="DH4578" s="573"/>
      <c r="DI4578" s="1091"/>
      <c r="DJ4578" s="1187"/>
    </row>
    <row r="4579" spans="1:114" hidden="1" outlineLevel="1">
      <c r="A4579" s="453"/>
      <c r="C4579" s="51"/>
      <c r="E4579" s="104" t="s">
        <v>2596</v>
      </c>
      <c r="G4579" s="104"/>
      <c r="H4579" s="51"/>
      <c r="T4579" s="52"/>
      <c r="U4579" s="52"/>
      <c r="V4579" s="52"/>
      <c r="W4579" s="52"/>
      <c r="X4579" s="52"/>
      <c r="Y4579" s="52"/>
      <c r="Z4579" s="52"/>
      <c r="AA4579" s="52"/>
      <c r="AB4579" s="52"/>
      <c r="AC4579" s="52"/>
      <c r="AD4579" s="52"/>
      <c r="AE4579" s="52"/>
      <c r="DG4579" s="573"/>
      <c r="DH4579" s="573"/>
      <c r="DI4579" s="1091"/>
      <c r="DJ4579" s="1187"/>
    </row>
    <row r="4580" spans="1:114" hidden="1" outlineLevel="1">
      <c r="A4580" s="453"/>
      <c r="C4580" s="51"/>
      <c r="D4580" s="104"/>
      <c r="E4580" s="52" t="s">
        <v>2100</v>
      </c>
      <c r="G4580" s="104"/>
      <c r="H4580" s="51"/>
      <c r="T4580" s="52"/>
      <c r="U4580" s="52"/>
      <c r="V4580" s="52"/>
      <c r="W4580" s="52"/>
      <c r="X4580" s="52"/>
      <c r="Y4580" s="52"/>
      <c r="Z4580" s="52"/>
      <c r="AA4580" s="52"/>
      <c r="AB4580" s="52"/>
      <c r="AC4580" s="52"/>
      <c r="AD4580" s="52"/>
      <c r="AE4580" s="52"/>
      <c r="DG4580" s="573"/>
      <c r="DH4580" s="573"/>
      <c r="DI4580" s="1091"/>
      <c r="DJ4580" s="1187"/>
    </row>
    <row r="4581" spans="1:114" hidden="1" outlineLevel="1">
      <c r="A4581" s="453"/>
      <c r="C4581" s="51"/>
      <c r="D4581" s="104"/>
      <c r="G4581" s="104"/>
      <c r="H4581" s="51"/>
      <c r="T4581" s="52"/>
      <c r="U4581" s="52"/>
      <c r="V4581" s="52"/>
      <c r="W4581" s="52"/>
      <c r="X4581" s="52"/>
      <c r="Y4581" s="52"/>
      <c r="Z4581" s="52"/>
      <c r="AA4581" s="52"/>
      <c r="AB4581" s="52"/>
      <c r="AC4581" s="52"/>
      <c r="AD4581" s="52"/>
      <c r="AE4581" s="52"/>
      <c r="DG4581" s="573"/>
      <c r="DH4581" s="573"/>
      <c r="DI4581" s="1091"/>
      <c r="DJ4581" s="1187"/>
    </row>
    <row r="4582" spans="1:114" hidden="1" outlineLevel="1">
      <c r="A4582" s="453"/>
      <c r="C4582" s="51"/>
      <c r="D4582" s="104"/>
      <c r="E4582" s="52" t="s">
        <v>1075</v>
      </c>
      <c r="G4582" s="104"/>
      <c r="H4582" s="51"/>
      <c r="T4582" s="52"/>
      <c r="U4582" s="52"/>
      <c r="V4582" s="52"/>
      <c r="W4582" s="52"/>
      <c r="X4582" s="52"/>
      <c r="Y4582" s="52"/>
      <c r="Z4582" s="52"/>
      <c r="AA4582" s="52"/>
      <c r="AB4582" s="52"/>
      <c r="AC4582" s="52"/>
      <c r="AD4582" s="52"/>
      <c r="AE4582" s="52"/>
      <c r="DG4582" s="573"/>
      <c r="DH4582" s="573"/>
      <c r="DI4582" s="1091"/>
      <c r="DJ4582" s="1187"/>
    </row>
    <row r="4583" spans="1:114" hidden="1" outlineLevel="1">
      <c r="A4583" s="453"/>
      <c r="C4583" s="51"/>
      <c r="D4583" s="104"/>
      <c r="E4583" s="104"/>
      <c r="G4583" s="104"/>
      <c r="H4583" s="51"/>
      <c r="I4583" s="51"/>
      <c r="J4583" s="51"/>
      <c r="K4583" s="51"/>
      <c r="L4583" s="51"/>
      <c r="M4583" s="51"/>
      <c r="T4583" s="52"/>
      <c r="U4583" s="52"/>
      <c r="V4583" s="52"/>
      <c r="DG4583" s="573"/>
      <c r="DH4583" s="573"/>
      <c r="DI4583" s="1091"/>
    </row>
    <row r="4584" spans="1:114" ht="30" hidden="1" outlineLevel="1">
      <c r="A4584" s="453"/>
      <c r="C4584" s="51"/>
      <c r="D4584" s="1443" t="s">
        <v>1078</v>
      </c>
      <c r="E4584" s="1443" t="s">
        <v>967</v>
      </c>
      <c r="F4584" s="4068" t="s">
        <v>968</v>
      </c>
      <c r="G4584" s="4068"/>
      <c r="H4584" s="4068"/>
      <c r="I4584" s="1371" t="s">
        <v>42</v>
      </c>
      <c r="J4584" s="1371" t="s">
        <v>969</v>
      </c>
      <c r="K4584" s="1371" t="s">
        <v>1912</v>
      </c>
      <c r="L4584" s="1371" t="s">
        <v>1184</v>
      </c>
      <c r="T4584" s="52"/>
      <c r="U4584" s="52"/>
      <c r="V4584" s="177" t="s">
        <v>52</v>
      </c>
      <c r="W4584" s="669">
        <f>W$6</f>
        <v>43252</v>
      </c>
      <c r="X4584" s="669">
        <f t="shared" ref="X4584:AG4584" si="402">X$6</f>
        <v>43465</v>
      </c>
      <c r="Y4584" s="669">
        <f t="shared" si="402"/>
        <v>43800</v>
      </c>
      <c r="Z4584" s="669">
        <f t="shared" si="402"/>
        <v>43862</v>
      </c>
      <c r="AA4584" s="669">
        <f t="shared" si="402"/>
        <v>44013</v>
      </c>
      <c r="AB4584" s="669">
        <f t="shared" si="402"/>
        <v>44166</v>
      </c>
      <c r="AC4584" s="669">
        <f t="shared" si="402"/>
        <v>44531</v>
      </c>
      <c r="AD4584" s="669">
        <f t="shared" si="402"/>
        <v>44774</v>
      </c>
      <c r="AE4584" s="669">
        <f t="shared" si="402"/>
        <v>45142</v>
      </c>
      <c r="AF4584" s="669">
        <f t="shared" si="402"/>
        <v>45672</v>
      </c>
      <c r="AG4584" s="669" t="str">
        <f t="shared" si="402"/>
        <v>-</v>
      </c>
      <c r="DG4584" s="573"/>
      <c r="DH4584" s="573"/>
      <c r="DI4584" s="1091"/>
    </row>
    <row r="4585" spans="1:114" hidden="1" outlineLevel="1">
      <c r="A4585" s="453"/>
      <c r="C4585" s="51"/>
      <c r="D4585" s="1385" t="s">
        <v>2102</v>
      </c>
      <c r="E4585" s="1368" t="s">
        <v>2597</v>
      </c>
      <c r="F4585" s="4307" t="s">
        <v>889</v>
      </c>
      <c r="G4585" s="4307"/>
      <c r="H4585" s="4307"/>
      <c r="I4585" s="1396"/>
      <c r="J4585" s="1789">
        <f>AVERAGE(9400, 12000,15000)</f>
        <v>12133.333333333334</v>
      </c>
      <c r="K4585" s="47">
        <f>J4585/12000</f>
        <v>1.0111111111111111</v>
      </c>
      <c r="L4585" s="927" t="s">
        <v>2598</v>
      </c>
      <c r="T4585" s="52"/>
      <c r="U4585" s="52"/>
      <c r="V4585" s="1368" t="s">
        <v>2102</v>
      </c>
      <c r="W4585" s="1776"/>
      <c r="X4585" s="1776"/>
      <c r="Y4585" s="1776"/>
      <c r="Z4585" s="1776"/>
      <c r="AA4585" s="1776"/>
      <c r="AB4585" s="1776"/>
      <c r="AC4585" s="1776"/>
      <c r="AD4585" s="1849">
        <v>12133.333333333334</v>
      </c>
      <c r="AE4585" s="1776">
        <v>12133.333333333334</v>
      </c>
      <c r="AF4585" s="271">
        <f t="shared" ref="AF4585:AF4611" si="403">IF(J4585&lt;&gt;"",J4585,"")</f>
        <v>12133.333333333334</v>
      </c>
      <c r="AG4585" s="1776"/>
      <c r="DG4585" s="573"/>
      <c r="DH4585" s="573"/>
      <c r="DI4585" s="1091"/>
    </row>
    <row r="4586" spans="1:114" ht="15" hidden="1" customHeight="1" outlineLevel="1">
      <c r="A4586" s="453"/>
      <c r="C4586" s="51"/>
      <c r="D4586" s="4308" t="s">
        <v>2105</v>
      </c>
      <c r="E4586" s="4295" t="s">
        <v>2106</v>
      </c>
      <c r="F4586" s="4309" t="s">
        <v>2599</v>
      </c>
      <c r="G4586" s="4309"/>
      <c r="H4586" s="4309"/>
      <c r="I4586" s="1396"/>
      <c r="J4586" s="1790">
        <v>1040</v>
      </c>
      <c r="K4586" s="1442"/>
      <c r="L4586" s="927" t="s">
        <v>2600</v>
      </c>
      <c r="T4586" s="52"/>
      <c r="U4586" s="52"/>
      <c r="V4586" s="4295" t="s">
        <v>2105</v>
      </c>
      <c r="W4586" s="1396"/>
      <c r="X4586" s="1396"/>
      <c r="Y4586" s="1396"/>
      <c r="Z4586" s="1396"/>
      <c r="AA4586" s="1396"/>
      <c r="AB4586" s="1396"/>
      <c r="AC4586" s="1396"/>
      <c r="AD4586" s="833">
        <v>1040</v>
      </c>
      <c r="AE4586" s="1396">
        <v>1040</v>
      </c>
      <c r="AF4586" s="271">
        <f t="shared" si="403"/>
        <v>1040</v>
      </c>
      <c r="AG4586" s="1396"/>
      <c r="DG4586" s="573"/>
      <c r="DH4586" s="573"/>
      <c r="DI4586" s="1091"/>
    </row>
    <row r="4587" spans="1:114" ht="15.75" hidden="1" customHeight="1" outlineLevel="1">
      <c r="A4587" s="453"/>
      <c r="C4587" s="51"/>
      <c r="D4587" s="4308"/>
      <c r="E4587" s="4295"/>
      <c r="F4587" s="4309" t="s">
        <v>2601</v>
      </c>
      <c r="G4587" s="4309"/>
      <c r="H4587" s="4309"/>
      <c r="I4587" s="3262"/>
      <c r="J4587" s="3342">
        <f>ROUND(510/1496*J4586,0)</f>
        <v>355</v>
      </c>
      <c r="K4587" s="2962"/>
      <c r="L4587" s="3295" t="s">
        <v>2602</v>
      </c>
      <c r="M4587" s="635"/>
      <c r="T4587" s="52"/>
      <c r="U4587" s="52"/>
      <c r="V4587" s="4295"/>
      <c r="W4587" s="3267"/>
      <c r="X4587" s="3267"/>
      <c r="Y4587" s="3267"/>
      <c r="Z4587" s="3267"/>
      <c r="AA4587" s="3267"/>
      <c r="AB4587" s="3267"/>
      <c r="AC4587" s="3267"/>
      <c r="AD4587" s="3279">
        <v>355</v>
      </c>
      <c r="AE4587" s="3267">
        <v>355</v>
      </c>
      <c r="AF4587" s="2236">
        <f t="shared" si="403"/>
        <v>355</v>
      </c>
      <c r="AG4587" s="3267"/>
      <c r="DG4587" s="573"/>
      <c r="DH4587" s="573"/>
      <c r="DI4587" s="1091"/>
    </row>
    <row r="4588" spans="1:114" ht="14.65" hidden="1" customHeight="1" outlineLevel="1">
      <c r="A4588" s="453"/>
      <c r="C4588" s="51"/>
      <c r="D4588" s="4346" t="s">
        <v>2111</v>
      </c>
      <c r="E4588" s="4295" t="s">
        <v>2112</v>
      </c>
      <c r="F4588" s="4307" t="s">
        <v>2603</v>
      </c>
      <c r="G4588" s="4307"/>
      <c r="H4588" s="4307"/>
      <c r="I4588" s="1396"/>
      <c r="J4588" s="1665">
        <v>5.44</v>
      </c>
      <c r="K4588" s="1442"/>
      <c r="L4588" s="927" t="s">
        <v>2600</v>
      </c>
      <c r="T4588" s="52"/>
      <c r="U4588" s="52"/>
      <c r="V4588" s="4295" t="s">
        <v>2113</v>
      </c>
      <c r="W4588" s="1396"/>
      <c r="X4588" s="1396"/>
      <c r="Y4588" s="1396"/>
      <c r="Z4588" s="1396"/>
      <c r="AA4588" s="1396"/>
      <c r="AB4588" s="1396"/>
      <c r="AC4588" s="1396"/>
      <c r="AD4588" s="833">
        <v>5.44</v>
      </c>
      <c r="AE4588" s="1396">
        <v>5.44</v>
      </c>
      <c r="AF4588" s="271">
        <f t="shared" si="403"/>
        <v>5.44</v>
      </c>
      <c r="AG4588" s="1396"/>
      <c r="DG4588" s="573"/>
      <c r="DH4588" s="573"/>
      <c r="DI4588" s="1091"/>
    </row>
    <row r="4589" spans="1:114" hidden="1" outlineLevel="1">
      <c r="A4589" s="453"/>
      <c r="C4589" s="51"/>
      <c r="D4589" s="4346"/>
      <c r="E4589" s="4295"/>
      <c r="F4589" s="4307" t="s">
        <v>2604</v>
      </c>
      <c r="G4589" s="4307"/>
      <c r="H4589" s="4307"/>
      <c r="I4589" s="1396"/>
      <c r="J4589" s="1770">
        <v>10.5</v>
      </c>
      <c r="K4589" s="1442"/>
      <c r="L4589" s="927" t="s">
        <v>2605</v>
      </c>
      <c r="T4589" s="52"/>
      <c r="U4589" s="52"/>
      <c r="V4589" s="4295"/>
      <c r="W4589" s="1396"/>
      <c r="X4589" s="1396"/>
      <c r="Y4589" s="1396"/>
      <c r="Z4589" s="1396"/>
      <c r="AA4589" s="1396"/>
      <c r="AB4589" s="1396"/>
      <c r="AC4589" s="1396"/>
      <c r="AD4589" s="833">
        <v>10.5</v>
      </c>
      <c r="AE4589" s="1396">
        <v>10.5</v>
      </c>
      <c r="AF4589" s="271">
        <f t="shared" si="403"/>
        <v>10.5</v>
      </c>
      <c r="AG4589" s="1396"/>
      <c r="DG4589" s="573"/>
      <c r="DH4589" s="573"/>
      <c r="DI4589" s="1091"/>
    </row>
    <row r="4590" spans="1:114" hidden="1" outlineLevel="1">
      <c r="A4590" s="453"/>
      <c r="C4590" s="51"/>
      <c r="D4590" s="4346"/>
      <c r="E4590" s="4295"/>
      <c r="F4590" s="4307" t="s">
        <v>2606</v>
      </c>
      <c r="G4590" s="4307"/>
      <c r="H4590" s="4307"/>
      <c r="I4590" s="1396"/>
      <c r="J4590" s="1790">
        <v>3.41</v>
      </c>
      <c r="K4590" s="1442"/>
      <c r="L4590" s="927" t="s">
        <v>2607</v>
      </c>
      <c r="T4590" s="52"/>
      <c r="U4590" s="52"/>
      <c r="V4590" s="4295"/>
      <c r="W4590" s="1396"/>
      <c r="X4590" s="1396"/>
      <c r="Y4590" s="1396"/>
      <c r="Z4590" s="1396"/>
      <c r="AA4590" s="1396"/>
      <c r="AB4590" s="1396"/>
      <c r="AC4590" s="1396"/>
      <c r="AD4590" s="833">
        <v>3.41</v>
      </c>
      <c r="AE4590" s="1396">
        <v>3.41</v>
      </c>
      <c r="AF4590" s="271">
        <f t="shared" si="403"/>
        <v>3.41</v>
      </c>
      <c r="AG4590" s="1396"/>
      <c r="DG4590" s="573"/>
      <c r="DH4590" s="573"/>
      <c r="DI4590" s="1091"/>
    </row>
    <row r="4591" spans="1:114" hidden="1" outlineLevel="1">
      <c r="A4591" s="453"/>
      <c r="C4591" s="51"/>
      <c r="D4591" s="4346"/>
      <c r="E4591" s="4295"/>
      <c r="F4591" s="4307" t="s">
        <v>2608</v>
      </c>
      <c r="G4591" s="4307"/>
      <c r="H4591" s="4307"/>
      <c r="I4591" s="1396"/>
      <c r="J4591" s="1790">
        <v>3.41</v>
      </c>
      <c r="K4591" s="1442"/>
      <c r="L4591" s="927" t="s">
        <v>2607</v>
      </c>
      <c r="T4591" s="52"/>
      <c r="U4591" s="52"/>
      <c r="V4591" s="4295"/>
      <c r="W4591" s="1396"/>
      <c r="X4591" s="1396"/>
      <c r="Y4591" s="1396"/>
      <c r="Z4591" s="1396"/>
      <c r="AA4591" s="1396"/>
      <c r="AB4591" s="1396"/>
      <c r="AC4591" s="1396"/>
      <c r="AD4591" s="833">
        <v>3.41</v>
      </c>
      <c r="AE4591" s="1396">
        <v>3.41</v>
      </c>
      <c r="AF4591" s="271">
        <f t="shared" si="403"/>
        <v>3.41</v>
      </c>
      <c r="AG4591" s="1396"/>
      <c r="DG4591" s="573"/>
      <c r="DH4591" s="573"/>
      <c r="DI4591" s="1091"/>
    </row>
    <row r="4592" spans="1:114" ht="15" hidden="1" customHeight="1" outlineLevel="1">
      <c r="A4592" s="453"/>
      <c r="C4592" s="51"/>
      <c r="D4592" s="4308"/>
      <c r="E4592" s="4295"/>
      <c r="F4592" s="4307" t="s">
        <v>2609</v>
      </c>
      <c r="G4592" s="4307"/>
      <c r="H4592" s="4307"/>
      <c r="I4592" s="1396"/>
      <c r="J4592" s="1770">
        <v>11.58</v>
      </c>
      <c r="K4592" s="1442"/>
      <c r="L4592" s="927" t="s">
        <v>2610</v>
      </c>
      <c r="T4592" s="52"/>
      <c r="U4592" s="52"/>
      <c r="V4592" s="4295"/>
      <c r="W4592" s="1396"/>
      <c r="X4592" s="1396"/>
      <c r="Y4592" s="1396"/>
      <c r="Z4592" s="1396"/>
      <c r="AA4592" s="1396"/>
      <c r="AB4592" s="1396"/>
      <c r="AC4592" s="1396"/>
      <c r="AD4592" s="833">
        <v>11.58</v>
      </c>
      <c r="AE4592" s="1396">
        <v>11.58</v>
      </c>
      <c r="AF4592" s="271">
        <f t="shared" si="403"/>
        <v>11.58</v>
      </c>
      <c r="AG4592" s="1396"/>
      <c r="DG4592" s="573"/>
      <c r="DH4592" s="573"/>
      <c r="DI4592" s="1091"/>
    </row>
    <row r="4593" spans="1:115" ht="15" hidden="1" customHeight="1" outlineLevel="1">
      <c r="A4593" s="453"/>
      <c r="C4593" s="51"/>
      <c r="D4593" s="4308"/>
      <c r="E4593" s="4295"/>
      <c r="F4593" s="4307" t="s">
        <v>2611</v>
      </c>
      <c r="G4593" s="4307"/>
      <c r="H4593" s="4307"/>
      <c r="I4593" s="1396"/>
      <c r="J4593" s="1770">
        <v>11.78</v>
      </c>
      <c r="K4593" s="1442"/>
      <c r="L4593" s="927" t="s">
        <v>2610</v>
      </c>
      <c r="T4593" s="52"/>
      <c r="U4593" s="52"/>
      <c r="V4593" s="4295"/>
      <c r="W4593" s="1396"/>
      <c r="X4593" s="1396"/>
      <c r="Y4593" s="1396"/>
      <c r="Z4593" s="1396"/>
      <c r="AA4593" s="1396"/>
      <c r="AB4593" s="1396"/>
      <c r="AC4593" s="1396"/>
      <c r="AD4593" s="833">
        <v>11.78</v>
      </c>
      <c r="AE4593" s="1396">
        <v>11.78</v>
      </c>
      <c r="AF4593" s="271">
        <f t="shared" si="403"/>
        <v>11.78</v>
      </c>
      <c r="AG4593" s="1396"/>
      <c r="DG4593" s="573"/>
      <c r="DH4593" s="573"/>
      <c r="DI4593" s="1091"/>
    </row>
    <row r="4594" spans="1:115" ht="15" hidden="1" customHeight="1" outlineLevel="1">
      <c r="A4594" s="453"/>
      <c r="C4594" s="51"/>
      <c r="D4594" s="4308"/>
      <c r="E4594" s="4295"/>
      <c r="F4594" s="4307" t="s">
        <v>2612</v>
      </c>
      <c r="G4594" s="4307"/>
      <c r="H4594" s="4307"/>
      <c r="I4594" s="1396"/>
      <c r="J4594" s="1770">
        <v>12.24</v>
      </c>
      <c r="K4594" s="1442"/>
      <c r="L4594" s="927" t="s">
        <v>2610</v>
      </c>
      <c r="T4594" s="52"/>
      <c r="U4594" s="52"/>
      <c r="V4594" s="4295"/>
      <c r="W4594" s="1396"/>
      <c r="X4594" s="1396"/>
      <c r="Y4594" s="1396"/>
      <c r="Z4594" s="1396"/>
      <c r="AA4594" s="1396"/>
      <c r="AB4594" s="1396"/>
      <c r="AC4594" s="1396"/>
      <c r="AD4594" s="833">
        <v>12.24</v>
      </c>
      <c r="AE4594" s="1396">
        <v>12.24</v>
      </c>
      <c r="AF4594" s="271">
        <f t="shared" si="403"/>
        <v>12.24</v>
      </c>
      <c r="AG4594" s="1396"/>
      <c r="DG4594" s="573"/>
      <c r="DH4594" s="573"/>
      <c r="DI4594" s="1091"/>
    </row>
    <row r="4595" spans="1:115" ht="15" hidden="1" customHeight="1" outlineLevel="1">
      <c r="A4595" s="453"/>
      <c r="C4595" s="51"/>
      <c r="D4595" s="4308"/>
      <c r="E4595" s="4295"/>
      <c r="F4595" s="4307" t="s">
        <v>2613</v>
      </c>
      <c r="G4595" s="4307"/>
      <c r="H4595" s="4307"/>
      <c r="I4595" s="1396"/>
      <c r="J4595" s="1770">
        <v>12.73</v>
      </c>
      <c r="K4595" s="1442"/>
      <c r="L4595" s="927" t="s">
        <v>2610</v>
      </c>
      <c r="T4595" s="52"/>
      <c r="U4595" s="52"/>
      <c r="V4595" s="4295"/>
      <c r="W4595" s="1396"/>
      <c r="X4595" s="1396"/>
      <c r="Y4595" s="1396"/>
      <c r="Z4595" s="1396"/>
      <c r="AA4595" s="1396"/>
      <c r="AB4595" s="1396"/>
      <c r="AC4595" s="1396"/>
      <c r="AD4595" s="833">
        <v>12.73</v>
      </c>
      <c r="AE4595" s="1396">
        <v>12.73</v>
      </c>
      <c r="AF4595" s="271">
        <f t="shared" si="403"/>
        <v>12.73</v>
      </c>
      <c r="AG4595" s="1396"/>
      <c r="DG4595" s="573"/>
      <c r="DH4595" s="573"/>
      <c r="DI4595" s="1091"/>
    </row>
    <row r="4596" spans="1:115" hidden="1" outlineLevel="1">
      <c r="A4596" s="453"/>
      <c r="C4596" s="51"/>
      <c r="D4596" s="1385" t="s">
        <v>2118</v>
      </c>
      <c r="E4596" s="1368" t="s">
        <v>2614</v>
      </c>
      <c r="F4596" s="4307" t="s">
        <v>889</v>
      </c>
      <c r="G4596" s="4307"/>
      <c r="H4596" s="4307"/>
      <c r="I4596" s="1396"/>
      <c r="J4596" s="1789">
        <f>AVERAGE(9400, 12000,15000)</f>
        <v>12133.333333333334</v>
      </c>
      <c r="K4596" s="47">
        <f>J4596/12000</f>
        <v>1.0111111111111111</v>
      </c>
      <c r="L4596" s="927" t="s">
        <v>2598</v>
      </c>
      <c r="T4596" s="52"/>
      <c r="U4596" s="52"/>
      <c r="V4596" s="1368" t="s">
        <v>2118</v>
      </c>
      <c r="W4596" s="1776"/>
      <c r="X4596" s="1776"/>
      <c r="Y4596" s="1776"/>
      <c r="Z4596" s="1776"/>
      <c r="AA4596" s="1776"/>
      <c r="AB4596" s="1776"/>
      <c r="AC4596" s="1776"/>
      <c r="AD4596" s="1849">
        <v>12133.333333333334</v>
      </c>
      <c r="AE4596" s="1776">
        <v>12133.333333333334</v>
      </c>
      <c r="AF4596" s="271">
        <f t="shared" si="403"/>
        <v>12133.333333333334</v>
      </c>
      <c r="AG4596" s="1776"/>
      <c r="DG4596" s="573"/>
      <c r="DH4596" s="573"/>
      <c r="DI4596" s="1091"/>
    </row>
    <row r="4597" spans="1:115" hidden="1" outlineLevel="1">
      <c r="A4597" s="453"/>
      <c r="C4597" s="51"/>
      <c r="D4597" s="4345" t="s">
        <v>2120</v>
      </c>
      <c r="E4597" s="4344" t="s">
        <v>2121</v>
      </c>
      <c r="F4597" s="4309" t="s">
        <v>2599</v>
      </c>
      <c r="G4597" s="4309"/>
      <c r="H4597" s="4309"/>
      <c r="I4597" s="927"/>
      <c r="J4597" s="1801">
        <v>617</v>
      </c>
      <c r="K4597" s="1442"/>
      <c r="L4597" s="927" t="s">
        <v>2600</v>
      </c>
      <c r="T4597" s="52"/>
      <c r="U4597" s="52"/>
      <c r="V4597" s="4344" t="s">
        <v>2120</v>
      </c>
      <c r="W4597" s="927"/>
      <c r="X4597" s="927"/>
      <c r="Y4597" s="927"/>
      <c r="Z4597" s="927"/>
      <c r="AA4597" s="927"/>
      <c r="AB4597" s="927"/>
      <c r="AC4597" s="927"/>
      <c r="AD4597" s="1618">
        <v>617</v>
      </c>
      <c r="AE4597" s="927">
        <v>617</v>
      </c>
      <c r="AF4597" s="271">
        <f t="shared" si="403"/>
        <v>617</v>
      </c>
      <c r="AG4597" s="927"/>
      <c r="DG4597" s="573"/>
      <c r="DH4597" s="573"/>
      <c r="DI4597" s="1091"/>
    </row>
    <row r="4598" spans="1:115" ht="15.75" hidden="1" customHeight="1" outlineLevel="1">
      <c r="A4598" s="453"/>
      <c r="C4598" s="51"/>
      <c r="D4598" s="4345"/>
      <c r="E4598" s="4344"/>
      <c r="F4598" s="4309" t="s">
        <v>2601</v>
      </c>
      <c r="G4598" s="4309"/>
      <c r="H4598" s="4309"/>
      <c r="I4598" s="3295"/>
      <c r="J4598" s="3422">
        <f>ROUND(632/869*J4597,0)</f>
        <v>449</v>
      </c>
      <c r="K4598" s="2962"/>
      <c r="L4598" s="3295" t="s">
        <v>2602</v>
      </c>
      <c r="T4598" s="52"/>
      <c r="U4598" s="52"/>
      <c r="V4598" s="4344"/>
      <c r="W4598" s="3423"/>
      <c r="X4598" s="3423"/>
      <c r="Y4598" s="3423"/>
      <c r="Z4598" s="3423"/>
      <c r="AA4598" s="3423"/>
      <c r="AB4598" s="3423"/>
      <c r="AC4598" s="3423"/>
      <c r="AD4598" s="3424">
        <v>449</v>
      </c>
      <c r="AE4598" s="3423">
        <v>449</v>
      </c>
      <c r="AF4598" s="2236">
        <f t="shared" si="403"/>
        <v>449</v>
      </c>
      <c r="AG4598" s="3423"/>
      <c r="DG4598" s="573"/>
      <c r="DH4598" s="573"/>
      <c r="DI4598" s="1091"/>
    </row>
    <row r="4599" spans="1:115" ht="14.65" hidden="1" customHeight="1" outlineLevel="1">
      <c r="A4599" s="453"/>
      <c r="C4599" s="51"/>
      <c r="D4599" s="4346" t="s">
        <v>2122</v>
      </c>
      <c r="E4599" s="4295" t="s">
        <v>2123</v>
      </c>
      <c r="F4599" s="4307" t="s">
        <v>2615</v>
      </c>
      <c r="G4599" s="4307"/>
      <c r="H4599" s="4307"/>
      <c r="I4599" s="1396"/>
      <c r="J4599" s="1672">
        <v>6.91</v>
      </c>
      <c r="K4599" s="1442"/>
      <c r="L4599" s="927" t="s">
        <v>2600</v>
      </c>
      <c r="T4599" s="52"/>
      <c r="U4599" s="52"/>
      <c r="V4599" s="4295" t="s">
        <v>2124</v>
      </c>
      <c r="W4599" s="1396"/>
      <c r="X4599" s="1396"/>
      <c r="Y4599" s="1396"/>
      <c r="Z4599" s="1396"/>
      <c r="AA4599" s="1396"/>
      <c r="AB4599" s="1396"/>
      <c r="AC4599" s="1396"/>
      <c r="AD4599" s="833">
        <v>7.2</v>
      </c>
      <c r="AE4599" s="1396">
        <v>7.2</v>
      </c>
      <c r="AF4599" s="271">
        <f t="shared" si="403"/>
        <v>6.91</v>
      </c>
      <c r="AG4599" s="1396"/>
      <c r="DG4599" s="573"/>
      <c r="DH4599" s="573"/>
      <c r="DI4599" s="1091"/>
    </row>
    <row r="4600" spans="1:115" hidden="1" outlineLevel="1">
      <c r="A4600" s="453"/>
      <c r="C4600" s="51"/>
      <c r="D4600" s="4346"/>
      <c r="E4600" s="4295"/>
      <c r="F4600" s="4307" t="s">
        <v>2616</v>
      </c>
      <c r="G4600" s="4307"/>
      <c r="H4600" s="4307"/>
      <c r="I4600" s="1396"/>
      <c r="J4600" s="1672">
        <v>6.53</v>
      </c>
      <c r="K4600" s="1442"/>
      <c r="L4600" s="927" t="s">
        <v>2600</v>
      </c>
      <c r="T4600" s="52"/>
      <c r="U4600" s="52"/>
      <c r="V4600" s="4295"/>
      <c r="W4600" s="1396"/>
      <c r="X4600" s="1396"/>
      <c r="Y4600" s="1396"/>
      <c r="Z4600" s="1396"/>
      <c r="AA4600" s="1396"/>
      <c r="AB4600" s="1396"/>
      <c r="AC4600" s="1396"/>
      <c r="AD4600" s="833">
        <v>6.8</v>
      </c>
      <c r="AE4600" s="1396">
        <v>6.8</v>
      </c>
      <c r="AF4600" s="271">
        <f t="shared" si="403"/>
        <v>6.53</v>
      </c>
      <c r="AG4600" s="1396"/>
      <c r="DG4600" s="573"/>
      <c r="DH4600" s="573"/>
      <c r="DI4600" s="1091"/>
    </row>
    <row r="4601" spans="1:115" hidden="1" outlineLevel="1">
      <c r="A4601" s="453"/>
      <c r="C4601" s="51"/>
      <c r="D4601" s="4346"/>
      <c r="E4601" s="4295"/>
      <c r="F4601" s="4307" t="s">
        <v>2604</v>
      </c>
      <c r="G4601" s="4307"/>
      <c r="H4601" s="4307"/>
      <c r="I4601" s="1396"/>
      <c r="J4601" s="1770">
        <v>11.7</v>
      </c>
      <c r="K4601" s="1442"/>
      <c r="L4601" s="927" t="s">
        <v>2605</v>
      </c>
      <c r="T4601" s="52"/>
      <c r="U4601" s="52"/>
      <c r="V4601" s="4295"/>
      <c r="W4601" s="1396"/>
      <c r="X4601" s="1396"/>
      <c r="Y4601" s="1396"/>
      <c r="Z4601" s="1396"/>
      <c r="AA4601" s="1396"/>
      <c r="AB4601" s="1396"/>
      <c r="AC4601" s="1396"/>
      <c r="AD4601" s="833">
        <v>11.7</v>
      </c>
      <c r="AE4601" s="1396">
        <v>11.7</v>
      </c>
      <c r="AF4601" s="271">
        <f t="shared" si="403"/>
        <v>11.7</v>
      </c>
      <c r="AG4601" s="1396"/>
      <c r="DG4601" s="573"/>
      <c r="DH4601" s="573"/>
      <c r="DI4601" s="1091"/>
    </row>
    <row r="4602" spans="1:115" hidden="1" outlineLevel="1">
      <c r="A4602" s="453"/>
      <c r="C4602" s="51"/>
      <c r="D4602" s="4308"/>
      <c r="E4602" s="4295"/>
      <c r="F4602" s="4307" t="s">
        <v>2609</v>
      </c>
      <c r="G4602" s="4307"/>
      <c r="H4602" s="4307"/>
      <c r="I4602" s="1396"/>
      <c r="J4602" s="1770">
        <v>12</v>
      </c>
      <c r="K4602" s="1442"/>
      <c r="L4602" s="927" t="s">
        <v>2617</v>
      </c>
      <c r="T4602" s="52"/>
      <c r="U4602" s="52"/>
      <c r="V4602" s="4295"/>
      <c r="W4602" s="1396"/>
      <c r="X4602" s="1396"/>
      <c r="Y4602" s="1396"/>
      <c r="Z4602" s="1396"/>
      <c r="AA4602" s="1396"/>
      <c r="AB4602" s="1396"/>
      <c r="AC4602" s="1396"/>
      <c r="AD4602" s="833">
        <v>12</v>
      </c>
      <c r="AE4602" s="1396">
        <v>12</v>
      </c>
      <c r="AF4602" s="271">
        <f t="shared" si="403"/>
        <v>12</v>
      </c>
      <c r="AG4602" s="1396"/>
      <c r="DG4602" s="573"/>
      <c r="DH4602" s="573"/>
      <c r="DI4602" s="1091"/>
    </row>
    <row r="4603" spans="1:115" hidden="1" outlineLevel="1">
      <c r="A4603" s="453"/>
      <c r="C4603" s="51"/>
      <c r="D4603" s="4308"/>
      <c r="E4603" s="4295"/>
      <c r="F4603" s="4307" t="s">
        <v>2611</v>
      </c>
      <c r="G4603" s="4307"/>
      <c r="H4603" s="4307"/>
      <c r="I4603" s="1396"/>
      <c r="J4603" s="1770">
        <v>13</v>
      </c>
      <c r="K4603" s="1442"/>
      <c r="L4603" s="927" t="s">
        <v>2127</v>
      </c>
      <c r="T4603" s="52"/>
      <c r="U4603" s="52"/>
      <c r="V4603" s="4295"/>
      <c r="W4603" s="1396"/>
      <c r="X4603" s="1396"/>
      <c r="Y4603" s="1396"/>
      <c r="Z4603" s="1396"/>
      <c r="AA4603" s="1396"/>
      <c r="AB4603" s="1396"/>
      <c r="AC4603" s="1396"/>
      <c r="AD4603" s="833">
        <v>13</v>
      </c>
      <c r="AE4603" s="1396">
        <v>13</v>
      </c>
      <c r="AF4603" s="271">
        <f t="shared" si="403"/>
        <v>13</v>
      </c>
      <c r="AG4603" s="1396"/>
      <c r="DG4603" s="573"/>
      <c r="DH4603" s="573"/>
      <c r="DI4603" s="1091"/>
    </row>
    <row r="4604" spans="1:115" hidden="1" outlineLevel="1">
      <c r="A4604" s="453"/>
      <c r="C4604" s="51"/>
      <c r="D4604" s="4308"/>
      <c r="E4604" s="4295"/>
      <c r="F4604" s="4307" t="s">
        <v>2612</v>
      </c>
      <c r="G4604" s="4307"/>
      <c r="H4604" s="4307"/>
      <c r="I4604" s="1396"/>
      <c r="J4604" s="1770">
        <v>14</v>
      </c>
      <c r="K4604" s="1442"/>
      <c r="L4604" s="927" t="s">
        <v>2127</v>
      </c>
      <c r="T4604" s="52"/>
      <c r="U4604" s="52"/>
      <c r="V4604" s="4295"/>
      <c r="W4604" s="1396"/>
      <c r="X4604" s="1396"/>
      <c r="Y4604" s="1396"/>
      <c r="Z4604" s="1396"/>
      <c r="AA4604" s="1396"/>
      <c r="AB4604" s="1396"/>
      <c r="AC4604" s="1396"/>
      <c r="AD4604" s="833">
        <v>14</v>
      </c>
      <c r="AE4604" s="1396">
        <v>14</v>
      </c>
      <c r="AF4604" s="271">
        <f t="shared" si="403"/>
        <v>14</v>
      </c>
      <c r="AG4604" s="1396"/>
      <c r="DG4604" s="573"/>
      <c r="DH4604" s="573"/>
      <c r="DI4604" s="1091"/>
    </row>
    <row r="4605" spans="1:115" hidden="1" outlineLevel="1">
      <c r="A4605" s="453"/>
      <c r="C4605" s="51"/>
      <c r="D4605" s="4308"/>
      <c r="E4605" s="4295"/>
      <c r="F4605" s="4307" t="s">
        <v>2613</v>
      </c>
      <c r="G4605" s="4307"/>
      <c r="H4605" s="4307"/>
      <c r="I4605" s="1396"/>
      <c r="J4605" s="1770">
        <v>15</v>
      </c>
      <c r="K4605" s="1442"/>
      <c r="L4605" s="927" t="s">
        <v>2127</v>
      </c>
      <c r="T4605" s="52"/>
      <c r="U4605" s="52"/>
      <c r="V4605" s="4295"/>
      <c r="W4605" s="1396"/>
      <c r="X4605" s="1396"/>
      <c r="Y4605" s="1396"/>
      <c r="Z4605" s="1396"/>
      <c r="AA4605" s="1396"/>
      <c r="AB4605" s="1396"/>
      <c r="AC4605" s="1396"/>
      <c r="AD4605" s="833">
        <v>15</v>
      </c>
      <c r="AE4605" s="1396">
        <v>15</v>
      </c>
      <c r="AF4605" s="271">
        <f t="shared" si="403"/>
        <v>15</v>
      </c>
      <c r="AG4605" s="1396"/>
      <c r="DG4605" s="573"/>
      <c r="DH4605" s="573"/>
      <c r="DI4605" s="1091"/>
    </row>
    <row r="4606" spans="1:115" hidden="1" outlineLevel="1">
      <c r="A4606" s="453"/>
      <c r="C4606" s="51"/>
      <c r="D4606" s="1385" t="s">
        <v>128</v>
      </c>
      <c r="E4606" s="1368" t="s">
        <v>1398</v>
      </c>
      <c r="F4606" s="4307" t="s">
        <v>1102</v>
      </c>
      <c r="G4606" s="4307"/>
      <c r="H4606" s="4307"/>
      <c r="I4606" s="1029"/>
      <c r="J4606" s="1662">
        <v>1</v>
      </c>
      <c r="K4606" s="241"/>
      <c r="L4606" s="1442" t="s">
        <v>1952</v>
      </c>
      <c r="T4606" s="150"/>
      <c r="U4606" s="41"/>
      <c r="V4606" s="1368" t="s">
        <v>128</v>
      </c>
      <c r="W4606" s="241"/>
      <c r="X4606" s="241"/>
      <c r="Y4606" s="241"/>
      <c r="Z4606" s="241"/>
      <c r="AA4606" s="241"/>
      <c r="AB4606" s="241"/>
      <c r="AC4606" s="241"/>
      <c r="AD4606" s="239">
        <v>1</v>
      </c>
      <c r="AE4606" s="241">
        <v>1</v>
      </c>
      <c r="AF4606" s="271">
        <f t="shared" si="403"/>
        <v>1</v>
      </c>
      <c r="AG4606" s="241"/>
      <c r="AH4606" s="41"/>
      <c r="AI4606" s="41"/>
      <c r="AJ4606" s="41"/>
      <c r="AK4606" s="41"/>
      <c r="AL4606" s="41"/>
      <c r="AM4606" s="41"/>
      <c r="AN4606" s="41"/>
      <c r="AO4606" s="41"/>
      <c r="AP4606" s="41"/>
      <c r="AQ4606" s="41"/>
      <c r="AR4606" s="41"/>
      <c r="AS4606" s="41"/>
      <c r="AT4606" s="41"/>
      <c r="AU4606" s="41"/>
      <c r="AV4606" s="41"/>
      <c r="AW4606" s="41"/>
      <c r="AX4606" s="41"/>
      <c r="AY4606" s="41"/>
      <c r="AZ4606" s="41"/>
      <c r="BA4606" s="41"/>
      <c r="BB4606" s="41"/>
      <c r="BC4606" s="41"/>
      <c r="BD4606" s="41"/>
      <c r="BE4606" s="41"/>
      <c r="BF4606" s="41"/>
      <c r="BG4606" s="41"/>
      <c r="BH4606" s="41"/>
      <c r="BI4606" s="41"/>
      <c r="BJ4606" s="41"/>
      <c r="BK4606" s="41"/>
      <c r="BL4606" s="41"/>
      <c r="BM4606" s="41"/>
      <c r="BN4606" s="41"/>
      <c r="BO4606" s="41"/>
      <c r="BP4606" s="41"/>
      <c r="BQ4606" s="41"/>
      <c r="BR4606" s="41"/>
      <c r="BS4606" s="41"/>
      <c r="BT4606" s="41"/>
      <c r="BU4606" s="41"/>
      <c r="BV4606" s="41"/>
      <c r="BW4606" s="41"/>
      <c r="BX4606" s="41"/>
      <c r="BY4606" s="41"/>
      <c r="BZ4606" s="41"/>
      <c r="CA4606" s="41"/>
      <c r="CB4606" s="41"/>
      <c r="CC4606" s="41"/>
      <c r="CD4606" s="41"/>
      <c r="CE4606" s="41"/>
      <c r="CF4606" s="41"/>
      <c r="CG4606" s="41"/>
      <c r="CH4606" s="41"/>
      <c r="CI4606" s="41"/>
      <c r="CJ4606" s="41"/>
      <c r="CK4606" s="41"/>
      <c r="CL4606" s="41"/>
      <c r="CM4606" s="41"/>
      <c r="CN4606" s="41"/>
      <c r="CO4606" s="41"/>
      <c r="CP4606" s="41"/>
      <c r="CQ4606" s="41"/>
      <c r="CR4606" s="41"/>
      <c r="CS4606" s="41"/>
      <c r="CT4606" s="41"/>
      <c r="CU4606" s="41"/>
      <c r="CV4606" s="41"/>
      <c r="CW4606" s="41"/>
      <c r="CX4606" s="41"/>
      <c r="CY4606" s="41"/>
      <c r="CZ4606" s="41"/>
      <c r="DA4606" s="41"/>
      <c r="DB4606" s="41"/>
      <c r="DC4606" s="41"/>
      <c r="DD4606" s="41"/>
      <c r="DE4606" s="41"/>
      <c r="DF4606" s="41"/>
      <c r="DG4606" s="1085"/>
      <c r="DH4606" s="573"/>
      <c r="DI4606" s="1091"/>
      <c r="DJ4606" s="1187"/>
      <c r="DK4606" s="41"/>
    </row>
    <row r="4607" spans="1:115" hidden="1" outlineLevel="1">
      <c r="A4607" s="453"/>
      <c r="C4607" s="51"/>
      <c r="D4607" s="4308" t="s">
        <v>2618</v>
      </c>
      <c r="E4607" s="4295" t="s">
        <v>1198</v>
      </c>
      <c r="F4607" s="4307" t="s">
        <v>2604</v>
      </c>
      <c r="G4607" s="4307"/>
      <c r="H4607" s="4307"/>
      <c r="I4607" s="1396"/>
      <c r="J4607" s="1790">
        <v>15</v>
      </c>
      <c r="K4607" s="1442"/>
      <c r="L4607" s="927" t="s">
        <v>2600</v>
      </c>
      <c r="T4607" s="52"/>
      <c r="U4607" s="52"/>
      <c r="V4607" s="4295" t="s">
        <v>49</v>
      </c>
      <c r="W4607" s="1396"/>
      <c r="X4607" s="1396"/>
      <c r="Y4607" s="1396"/>
      <c r="Z4607" s="1396"/>
      <c r="AA4607" s="1396"/>
      <c r="AB4607" s="1396"/>
      <c r="AC4607" s="1396"/>
      <c r="AD4607" s="833">
        <v>15</v>
      </c>
      <c r="AE4607" s="1396">
        <v>15</v>
      </c>
      <c r="AF4607" s="271">
        <f t="shared" si="403"/>
        <v>15</v>
      </c>
      <c r="AG4607" s="1396"/>
      <c r="DG4607" s="573"/>
      <c r="DH4607" s="573"/>
      <c r="DI4607" s="1091"/>
    </row>
    <row r="4608" spans="1:115" hidden="1" outlineLevel="1">
      <c r="A4608" s="453"/>
      <c r="C4608" s="51"/>
      <c r="D4608" s="4308"/>
      <c r="E4608" s="4295"/>
      <c r="F4608" s="4307" t="s">
        <v>2619</v>
      </c>
      <c r="G4608" s="4307"/>
      <c r="H4608" s="4307"/>
      <c r="I4608" s="1396"/>
      <c r="J4608" s="1790">
        <v>5</v>
      </c>
      <c r="K4608" s="1442"/>
      <c r="L4608" s="927" t="s">
        <v>2600</v>
      </c>
      <c r="T4608" s="52"/>
      <c r="U4608" s="52"/>
      <c r="V4608" s="4295"/>
      <c r="W4608" s="1396"/>
      <c r="X4608" s="1396"/>
      <c r="Y4608" s="1396"/>
      <c r="Z4608" s="1396"/>
      <c r="AA4608" s="1396"/>
      <c r="AB4608" s="1396"/>
      <c r="AC4608" s="1396"/>
      <c r="AD4608" s="833">
        <v>5</v>
      </c>
      <c r="AE4608" s="1396">
        <v>5</v>
      </c>
      <c r="AF4608" s="271">
        <f t="shared" si="403"/>
        <v>5</v>
      </c>
      <c r="AG4608" s="1396"/>
      <c r="DG4608" s="573"/>
      <c r="DH4608" s="573"/>
      <c r="DI4608" s="1091"/>
    </row>
    <row r="4609" spans="1:114" hidden="1" outlineLevel="1">
      <c r="A4609" s="453"/>
      <c r="C4609" s="51"/>
      <c r="D4609" s="4308"/>
      <c r="E4609" s="4295"/>
      <c r="F4609" s="4307" t="s">
        <v>2620</v>
      </c>
      <c r="G4609" s="4307"/>
      <c r="H4609" s="4307"/>
      <c r="I4609" s="1396"/>
      <c r="J4609" s="1790">
        <v>10</v>
      </c>
      <c r="K4609" s="1442"/>
      <c r="L4609" s="927" t="s">
        <v>2600</v>
      </c>
      <c r="T4609" s="52"/>
      <c r="U4609" s="52"/>
      <c r="V4609" s="4295"/>
      <c r="W4609" s="1396"/>
      <c r="X4609" s="1396"/>
      <c r="Y4609" s="1396"/>
      <c r="Z4609" s="1396"/>
      <c r="AA4609" s="1396"/>
      <c r="AB4609" s="1396"/>
      <c r="AC4609" s="1396"/>
      <c r="AD4609" s="833">
        <v>10</v>
      </c>
      <c r="AE4609" s="1396">
        <v>10</v>
      </c>
      <c r="AF4609" s="271">
        <f t="shared" si="403"/>
        <v>10</v>
      </c>
      <c r="AG4609" s="1396"/>
      <c r="DG4609" s="573"/>
      <c r="DH4609" s="573"/>
      <c r="DI4609" s="1091"/>
    </row>
    <row r="4610" spans="1:114" ht="15" hidden="1" customHeight="1" outlineLevel="1">
      <c r="A4610" s="453"/>
      <c r="C4610" s="51"/>
      <c r="D4610" s="4308" t="s">
        <v>50</v>
      </c>
      <c r="E4610" s="4295" t="s">
        <v>1280</v>
      </c>
      <c r="F4610" s="4307" t="s">
        <v>2603</v>
      </c>
      <c r="G4610" s="4307"/>
      <c r="H4610" s="4307"/>
      <c r="I4610" s="1396"/>
      <c r="J4610" s="1786">
        <f>1047*K4596-1039*K4596/(1+0.0595)^(5-1)</f>
        <v>224.93182686576984</v>
      </c>
      <c r="K4610" s="1442"/>
      <c r="L4610" s="927" t="s">
        <v>2600</v>
      </c>
      <c r="T4610" s="52"/>
      <c r="U4610" s="52"/>
      <c r="V4610" s="4295" t="s">
        <v>50</v>
      </c>
      <c r="W4610" s="244"/>
      <c r="X4610" s="244"/>
      <c r="Y4610" s="244"/>
      <c r="Z4610" s="244"/>
      <c r="AA4610" s="244"/>
      <c r="AB4610" s="244"/>
      <c r="AC4610" s="244"/>
      <c r="AD4610" s="243">
        <v>224.93182686576984</v>
      </c>
      <c r="AE4610" s="244">
        <v>224.93182686576984</v>
      </c>
      <c r="AF4610" s="271">
        <f t="shared" si="403"/>
        <v>224.93182686576984</v>
      </c>
      <c r="AG4610" s="244"/>
      <c r="DG4610" s="573"/>
      <c r="DH4610" s="573"/>
      <c r="DI4610" s="1091"/>
    </row>
    <row r="4611" spans="1:114" ht="15" hidden="1" customHeight="1" outlineLevel="1">
      <c r="A4611" s="453"/>
      <c r="C4611" s="51"/>
      <c r="D4611" s="4308"/>
      <c r="E4611" s="4295"/>
      <c r="F4611" s="4307" t="s">
        <v>2604</v>
      </c>
      <c r="G4611" s="4307"/>
      <c r="H4611" s="4307"/>
      <c r="I4611" s="1396"/>
      <c r="J4611" s="1786">
        <f>ROUND(84*K4596, 2)</f>
        <v>84.93</v>
      </c>
      <c r="K4611" s="1442"/>
      <c r="L4611" s="927" t="s">
        <v>2600</v>
      </c>
      <c r="T4611" s="52"/>
      <c r="U4611" s="52"/>
      <c r="V4611" s="4295"/>
      <c r="W4611" s="244"/>
      <c r="X4611" s="244"/>
      <c r="Y4611" s="244"/>
      <c r="Z4611" s="244"/>
      <c r="AA4611" s="244"/>
      <c r="AB4611" s="244"/>
      <c r="AC4611" s="244"/>
      <c r="AD4611" s="243">
        <v>84.93</v>
      </c>
      <c r="AE4611" s="244">
        <v>84.93</v>
      </c>
      <c r="AF4611" s="271">
        <f t="shared" si="403"/>
        <v>84.93</v>
      </c>
      <c r="AG4611" s="244"/>
      <c r="DG4611" s="573"/>
      <c r="DH4611" s="573"/>
      <c r="DI4611" s="1091"/>
    </row>
    <row r="4612" spans="1:114" collapsed="1">
      <c r="A4612" s="453"/>
      <c r="C4612" s="51"/>
      <c r="D4612" s="407"/>
      <c r="E4612" s="407"/>
      <c r="F4612" s="1436"/>
      <c r="G4612" s="1436"/>
      <c r="H4612" s="1436"/>
      <c r="I4612" s="1436"/>
      <c r="J4612" s="926"/>
      <c r="K4612" s="563"/>
      <c r="L4612" s="1436"/>
      <c r="T4612" s="52"/>
      <c r="U4612" s="52"/>
      <c r="V4612" s="52"/>
      <c r="DH4612" s="573"/>
    </row>
    <row r="4613" spans="1:114">
      <c r="A4613" s="453"/>
      <c r="C4613" s="52"/>
      <c r="DH4613" s="573"/>
    </row>
    <row r="4614" spans="1:114" s="7" customFormat="1">
      <c r="A4614" s="453"/>
      <c r="B4614" s="4040" t="s">
        <v>1040</v>
      </c>
      <c r="C4614" s="4041"/>
      <c r="D4614" s="4041"/>
      <c r="E4614" s="4041"/>
      <c r="F4614" s="4041"/>
      <c r="G4614" s="4041"/>
      <c r="H4614" s="4041"/>
      <c r="I4614" s="4835"/>
      <c r="J4614" s="4835"/>
      <c r="K4614" s="4835"/>
      <c r="L4614" s="4835"/>
      <c r="M4614" s="4835"/>
      <c r="N4614" s="4835"/>
      <c r="O4614" s="4836"/>
      <c r="P4614" s="283"/>
      <c r="Q4614" s="283"/>
      <c r="R4614" s="66"/>
      <c r="S4614" s="66"/>
      <c r="T4614" s="66"/>
      <c r="U4614" s="66"/>
      <c r="V4614" s="4040" t="str">
        <f>B4614</f>
        <v>Learning Thermostat / Advanced Thermostat</v>
      </c>
      <c r="W4614" s="4041"/>
      <c r="X4614" s="4041"/>
      <c r="Y4614" s="4041"/>
      <c r="Z4614" s="4041"/>
      <c r="AA4614" s="4041"/>
      <c r="AB4614" s="4041"/>
      <c r="AC4614" s="4832"/>
      <c r="AD4614" s="4832"/>
      <c r="AE4614" s="4832"/>
      <c r="AF4614" s="4832"/>
      <c r="AG4614" s="4832"/>
      <c r="AH4614" s="4832"/>
      <c r="AI4614" s="4833"/>
      <c r="AU4614" s="1505"/>
      <c r="DG4614" s="1073"/>
      <c r="DH4614" s="66"/>
      <c r="DI4614" s="66"/>
      <c r="DJ4614" s="1102"/>
    </row>
    <row r="4615" spans="1:114" s="7" customFormat="1">
      <c r="A4615" s="453"/>
      <c r="B4615" s="3425"/>
      <c r="C4615" s="2703"/>
      <c r="D4615" s="2711"/>
      <c r="E4615" s="2206" t="s">
        <v>1041</v>
      </c>
      <c r="F4615" s="2712"/>
      <c r="G4615" s="2712"/>
      <c r="H4615" s="2712"/>
      <c r="I4615" s="2712"/>
      <c r="J4615" s="2712"/>
      <c r="K4615" s="2712"/>
      <c r="L4615" s="2713"/>
      <c r="M4615" s="2696"/>
      <c r="N4615" s="2696"/>
      <c r="O4615" s="2696"/>
      <c r="P4615" s="283"/>
      <c r="Q4615" s="283"/>
      <c r="R4615" s="66"/>
      <c r="S4615" s="66"/>
      <c r="T4615" s="66"/>
      <c r="U4615" s="66"/>
      <c r="V4615" s="2723"/>
      <c r="W4615" s="2723"/>
      <c r="X4615" s="2723"/>
      <c r="Y4615" s="2723"/>
      <c r="Z4615" s="2723"/>
      <c r="AA4615" s="2723"/>
      <c r="AB4615" s="2723"/>
      <c r="AC4615" s="2723"/>
      <c r="AD4615" s="2723"/>
      <c r="AE4615" s="2723"/>
      <c r="AF4615" s="2723"/>
      <c r="AG4615" s="2723"/>
      <c r="AH4615" s="2723"/>
      <c r="AI4615" s="2723"/>
      <c r="AU4615" s="1505"/>
      <c r="DG4615" s="1073"/>
      <c r="DH4615" s="66"/>
      <c r="DI4615" s="66"/>
      <c r="DJ4615" s="1102"/>
    </row>
    <row r="4616" spans="1:114" s="7" customFormat="1" ht="30">
      <c r="A4616" s="453"/>
      <c r="B4616" s="3425"/>
      <c r="C4616" s="2964" t="s">
        <v>42</v>
      </c>
      <c r="D4616" s="2964" t="s">
        <v>953</v>
      </c>
      <c r="E4616" s="2964" t="s">
        <v>44</v>
      </c>
      <c r="F4616" s="2964" t="s">
        <v>45</v>
      </c>
      <c r="G4616" s="2964" t="s">
        <v>46</v>
      </c>
      <c r="H4616" s="2964" t="s">
        <v>47</v>
      </c>
      <c r="I4616" s="2964" t="s">
        <v>48</v>
      </c>
      <c r="J4616" s="3426" t="s">
        <v>49</v>
      </c>
      <c r="K4616" s="2964" t="s">
        <v>50</v>
      </c>
      <c r="L4616" s="2964" t="s">
        <v>51</v>
      </c>
      <c r="M4616" s="635"/>
      <c r="N4616" s="635"/>
      <c r="O4616" s="2696"/>
      <c r="P4616" s="283"/>
      <c r="Q4616" s="283"/>
      <c r="R4616" s="66"/>
      <c r="S4616" s="66"/>
      <c r="T4616" s="66"/>
      <c r="U4616" s="66"/>
      <c r="V4616" s="2640" t="s">
        <v>52</v>
      </c>
      <c r="W4616" s="2641">
        <v>43252</v>
      </c>
      <c r="X4616" s="2641">
        <f>$X$6</f>
        <v>43465</v>
      </c>
      <c r="Y4616" s="2641">
        <f>$Y$6</f>
        <v>43800</v>
      </c>
      <c r="Z4616" s="2641">
        <f>$Z$6</f>
        <v>43862</v>
      </c>
      <c r="AA4616" s="2641">
        <f>$AA$6</f>
        <v>44013</v>
      </c>
      <c r="AB4616" s="2641">
        <f>$AB$6</f>
        <v>44166</v>
      </c>
      <c r="AC4616" s="2641">
        <f>$AC$6</f>
        <v>44531</v>
      </c>
      <c r="AD4616" s="2641">
        <f>$AD$6</f>
        <v>44774</v>
      </c>
      <c r="AE4616" s="2641">
        <f>$AE$6</f>
        <v>45142</v>
      </c>
      <c r="AF4616" s="2641">
        <f>$AF$6</f>
        <v>45672</v>
      </c>
      <c r="AG4616" s="2641" t="str">
        <f>$AG$6</f>
        <v>-</v>
      </c>
      <c r="AH4616" s="2723"/>
      <c r="AI4616" s="2723"/>
      <c r="AU4616" s="1505"/>
      <c r="DG4616" s="2750" t="str">
        <f>$DG$6</f>
        <v>TRC (2025)</v>
      </c>
      <c r="DH4616" s="2750" t="str">
        <f>$DH$6</f>
        <v>Benefit Lookup</v>
      </c>
      <c r="DI4616" s="2876" t="str">
        <f>$DI$6</f>
        <v>Benefits (2025 $)</v>
      </c>
      <c r="DJ4616" s="2752" t="str">
        <f>$DJ$6</f>
        <v>Incremental Cost (2025 $)</v>
      </c>
    </row>
    <row r="4617" spans="1:114" s="7" customFormat="1">
      <c r="A4617" s="453"/>
      <c r="B4617" s="2208">
        <f t="shared" ref="B4617:B4644" si="404">VALUE(LEFT(C4617,6))</f>
        <v>357100</v>
      </c>
      <c r="C4617" s="3427" t="s">
        <v>2621</v>
      </c>
      <c r="D4617" s="2409" t="s">
        <v>170</v>
      </c>
      <c r="E4617" s="3428" t="s">
        <v>2622</v>
      </c>
      <c r="F4617" s="2715">
        <f>ROUND(F4696*((F4704*F4706*1/F4709)/1000)*F4711*F4686,2)*0</f>
        <v>0</v>
      </c>
      <c r="G4617" s="2478" t="s">
        <v>1045</v>
      </c>
      <c r="H4617" s="3011">
        <f>VLOOKUP(G4617,'CP FACTORS'!$A$3:$B$38, 2, FALSE)</f>
        <v>9.4741810000000004E-4</v>
      </c>
      <c r="I4617" s="3079">
        <f t="shared" ref="I4617:I4620" si="405">ROUND(H4617*F4617,6)</f>
        <v>0</v>
      </c>
      <c r="J4617" s="2480">
        <f>F$4721</f>
        <v>11</v>
      </c>
      <c r="K4617" s="2824">
        <f>F$4722</f>
        <v>79</v>
      </c>
      <c r="L4617" s="3429" t="s">
        <v>62</v>
      </c>
      <c r="M4617" s="2696"/>
      <c r="N4617" s="2720"/>
      <c r="O4617" s="635"/>
      <c r="P4617" s="52"/>
      <c r="Q4617" s="533"/>
      <c r="R4617" s="532"/>
      <c r="S4617" s="66"/>
      <c r="T4617" s="66"/>
      <c r="U4617" s="66"/>
      <c r="V4617" s="2413" t="str">
        <f t="shared" ref="V4617:V4620" si="406">$F$28</f>
        <v>ECM Auto Fan ER1 - MF</v>
      </c>
      <c r="W4617" s="3238"/>
      <c r="X4617" s="3239"/>
      <c r="Y4617" s="2726"/>
      <c r="Z4617" s="2800"/>
      <c r="AA4617" s="2800"/>
      <c r="AB4617" s="2554"/>
      <c r="AC4617" s="2663"/>
      <c r="AD4617" s="2686"/>
      <c r="AE4617" s="2686"/>
      <c r="AF4617" s="2236">
        <f t="shared" ref="AF4617:AF4644" si="407">IF(F4617&lt;&gt;"",F4617,"")</f>
        <v>0</v>
      </c>
      <c r="AG4617" s="2413"/>
      <c r="AH4617" s="3463"/>
      <c r="AI4617" s="2723"/>
      <c r="AU4617" s="1505"/>
      <c r="DG4617" s="3165">
        <f>(DI4617+DI4618)/(DJ4617+DJ4618)</f>
        <v>0</v>
      </c>
      <c r="DH4617" s="2557" t="str">
        <f t="shared" ref="DH4617:DH4620" si="408">CONCATENATE(G4617," ",J4617," Year EUL")</f>
        <v>Cooling RES 11 Year EUL</v>
      </c>
      <c r="DI4617" s="2420">
        <f>(INDEX('Avoided Cost Benefits'!$B$4:$B$866,MATCH(DH4617,'Avoided Cost Benefits'!$A$4:$A$866,0)))*F4617</f>
        <v>0</v>
      </c>
      <c r="DJ4617" s="2421">
        <f t="shared" ref="DJ4617:DJ4644" si="409">K4617/(1.0686^(2025-2025))</f>
        <v>79</v>
      </c>
    </row>
    <row r="4618" spans="1:114" s="7" customFormat="1">
      <c r="A4618" s="453"/>
      <c r="B4618" s="2208">
        <f t="shared" si="404"/>
        <v>357100</v>
      </c>
      <c r="C4618" s="3427" t="s">
        <v>2621</v>
      </c>
      <c r="D4618" s="2409" t="s">
        <v>170</v>
      </c>
      <c r="E4618" s="3430" t="s">
        <v>2622</v>
      </c>
      <c r="F4618" s="2715">
        <f>ROUND(F4654*((F4672 * F4671 * 1/F4670)/1000)*F4681*F4682*F4686+F4687*F4695*29.3,2)*0</f>
        <v>0</v>
      </c>
      <c r="G4618" s="2478" t="s">
        <v>1046</v>
      </c>
      <c r="H4618" s="3011">
        <f>VLOOKUP(G4618,'CP FACTORS'!$A$3:$B$38, 2, FALSE)</f>
        <v>0</v>
      </c>
      <c r="I4618" s="3079">
        <f t="shared" si="405"/>
        <v>0</v>
      </c>
      <c r="J4618" s="2480">
        <f t="shared" ref="J4618:J4644" si="410">F$4721</f>
        <v>11</v>
      </c>
      <c r="K4618" s="2824"/>
      <c r="L4618" s="3429" t="s">
        <v>62</v>
      </c>
      <c r="M4618" s="2696"/>
      <c r="N4618" s="2720"/>
      <c r="O4618" s="635"/>
      <c r="P4618" s="90"/>
      <c r="Q4618" s="533"/>
      <c r="R4618" s="532"/>
      <c r="S4618" s="66"/>
      <c r="T4618" s="66"/>
      <c r="U4618" s="66"/>
      <c r="V4618" s="2413" t="str">
        <f t="shared" si="406"/>
        <v>ECM Auto Fan ER1 - MF</v>
      </c>
      <c r="W4618" s="3238"/>
      <c r="X4618" s="3239"/>
      <c r="Y4618" s="2726"/>
      <c r="Z4618" s="2800"/>
      <c r="AA4618" s="2800"/>
      <c r="AB4618" s="2554"/>
      <c r="AC4618" s="2686"/>
      <c r="AD4618" s="2686"/>
      <c r="AE4618" s="2686"/>
      <c r="AF4618" s="2236">
        <f t="shared" si="407"/>
        <v>0</v>
      </c>
      <c r="AG4618" s="2413"/>
      <c r="AH4618" s="3463"/>
      <c r="AI4618" s="2723"/>
      <c r="AU4618" s="1505"/>
      <c r="DG4618" s="3036"/>
      <c r="DH4618" s="2558" t="str">
        <f t="shared" si="408"/>
        <v>Heating RES 11 Year EUL</v>
      </c>
      <c r="DI4618" s="2336">
        <f>(INDEX('Avoided Cost Benefits'!$B$4:$B$866,MATCH(DH4618,'Avoided Cost Benefits'!$A$4:$A$866,0)))*F4618</f>
        <v>0</v>
      </c>
      <c r="DJ4618" s="2424">
        <f t="shared" si="409"/>
        <v>0</v>
      </c>
    </row>
    <row r="4619" spans="1:114" s="7" customFormat="1">
      <c r="A4619" s="453"/>
      <c r="B4619" s="2208">
        <f t="shared" si="404"/>
        <v>357101</v>
      </c>
      <c r="C4619" s="3427" t="s">
        <v>2623</v>
      </c>
      <c r="D4619" s="2409" t="s">
        <v>1122</v>
      </c>
      <c r="E4619" s="3428" t="s">
        <v>2624</v>
      </c>
      <c r="F4619" s="2715">
        <f>ROUND(F4697*((F4704*F4707*1/F4709)/1000)*F4711*F4686,2)*0</f>
        <v>0</v>
      </c>
      <c r="G4619" s="2478" t="s">
        <v>1045</v>
      </c>
      <c r="H4619" s="3011">
        <f>VLOOKUP(G4619,'CP FACTORS'!$A$3:$B$38, 2, FALSE)</f>
        <v>9.4741810000000004E-4</v>
      </c>
      <c r="I4619" s="3079">
        <f t="shared" si="405"/>
        <v>0</v>
      </c>
      <c r="J4619" s="2480">
        <f t="shared" si="410"/>
        <v>11</v>
      </c>
      <c r="K4619" s="2824">
        <f>F$4722</f>
        <v>79</v>
      </c>
      <c r="L4619" s="3429" t="s">
        <v>62</v>
      </c>
      <c r="M4619" s="2696"/>
      <c r="N4619" s="2720"/>
      <c r="O4619" s="635"/>
      <c r="P4619" s="90"/>
      <c r="Q4619" s="533"/>
      <c r="R4619" s="532"/>
      <c r="S4619" s="66"/>
      <c r="T4619" s="66"/>
      <c r="U4619" s="66"/>
      <c r="V4619" s="2413" t="str">
        <f t="shared" si="406"/>
        <v>ECM Auto Fan ER1 - MF</v>
      </c>
      <c r="W4619" s="3238"/>
      <c r="X4619" s="3239"/>
      <c r="Y4619" s="2726"/>
      <c r="Z4619" s="2800"/>
      <c r="AA4619" s="2800"/>
      <c r="AB4619" s="2554"/>
      <c r="AC4619" s="2663"/>
      <c r="AD4619" s="2686"/>
      <c r="AE4619" s="2686"/>
      <c r="AF4619" s="2236">
        <f t="shared" si="407"/>
        <v>0</v>
      </c>
      <c r="AG4619" s="2413"/>
      <c r="AH4619" s="3463"/>
      <c r="AI4619" s="2723"/>
      <c r="AU4619" s="1505"/>
      <c r="DG4619" s="3036">
        <f>(DI4619+DI4620)/(DJ4619+DJ4620)</f>
        <v>0</v>
      </c>
      <c r="DH4619" s="2557" t="str">
        <f t="shared" si="408"/>
        <v>Cooling RES 11 Year EUL</v>
      </c>
      <c r="DI4619" s="2336">
        <f>(INDEX('Avoided Cost Benefits'!$B$4:$B$866,MATCH(DH4619,'Avoided Cost Benefits'!$A$4:$A$866,0)))*F4619</f>
        <v>0</v>
      </c>
      <c r="DJ4619" s="2424">
        <f t="shared" si="409"/>
        <v>79</v>
      </c>
    </row>
    <row r="4620" spans="1:114" s="7" customFormat="1">
      <c r="A4620" s="453"/>
      <c r="B4620" s="2208">
        <f t="shared" si="404"/>
        <v>357101</v>
      </c>
      <c r="C4620" s="3427" t="s">
        <v>2623</v>
      </c>
      <c r="D4620" s="2409" t="s">
        <v>1122</v>
      </c>
      <c r="E4620" s="3430" t="s">
        <v>2624</v>
      </c>
      <c r="F4620" s="2715">
        <f>ROUND(F4655*((F4672 * F4671 * 1/F4670)/1000)*F4681*F4682*F4686+F4687*F4695*29.3,2)*0</f>
        <v>0</v>
      </c>
      <c r="G4620" s="2478" t="s">
        <v>1046</v>
      </c>
      <c r="H4620" s="3011">
        <f>VLOOKUP(G4620,'CP FACTORS'!$A$3:$B$38, 2, FALSE)</f>
        <v>0</v>
      </c>
      <c r="I4620" s="3079">
        <f t="shared" si="405"/>
        <v>0</v>
      </c>
      <c r="J4620" s="2480">
        <f t="shared" si="410"/>
        <v>11</v>
      </c>
      <c r="K4620" s="2824"/>
      <c r="L4620" s="3429" t="s">
        <v>62</v>
      </c>
      <c r="M4620" s="2696"/>
      <c r="N4620" s="2720"/>
      <c r="O4620" s="635"/>
      <c r="P4620" s="90"/>
      <c r="Q4620" s="533"/>
      <c r="R4620" s="532"/>
      <c r="S4620" s="66"/>
      <c r="T4620" s="66"/>
      <c r="U4620" s="66"/>
      <c r="V4620" s="2413" t="str">
        <f t="shared" si="406"/>
        <v>ECM Auto Fan ER1 - MF</v>
      </c>
      <c r="W4620" s="3238"/>
      <c r="X4620" s="3239"/>
      <c r="Y4620" s="2726"/>
      <c r="Z4620" s="2800"/>
      <c r="AA4620" s="2800"/>
      <c r="AB4620" s="2554"/>
      <c r="AC4620" s="2686"/>
      <c r="AD4620" s="2686"/>
      <c r="AE4620" s="2686"/>
      <c r="AF4620" s="2236">
        <f t="shared" si="407"/>
        <v>0</v>
      </c>
      <c r="AG4620" s="2413"/>
      <c r="AH4620" s="3463"/>
      <c r="AI4620" s="2723"/>
      <c r="AU4620" s="1505"/>
      <c r="DG4620" s="3036"/>
      <c r="DH4620" s="2558" t="str">
        <f t="shared" si="408"/>
        <v>Heating RES 11 Year EUL</v>
      </c>
      <c r="DI4620" s="2336">
        <f>(INDEX('Avoided Cost Benefits'!$B$4:$B$866,MATCH(DH4620,'Avoided Cost Benefits'!$A$4:$A$866,0)))*F4620</f>
        <v>0</v>
      </c>
      <c r="DJ4620" s="2424">
        <f t="shared" si="409"/>
        <v>0</v>
      </c>
    </row>
    <row r="4621" spans="1:114" s="7" customFormat="1">
      <c r="A4621" s="453"/>
      <c r="B4621" s="2208">
        <f t="shared" si="404"/>
        <v>357102</v>
      </c>
      <c r="C4621" s="3427" t="s">
        <v>2625</v>
      </c>
      <c r="D4621" s="2409" t="s">
        <v>170</v>
      </c>
      <c r="E4621" s="3428" t="s">
        <v>2626</v>
      </c>
      <c r="F4621" s="2715">
        <f>ROUND(F4696*((F4704*F4706*1/F4710)/1000)*F4711*F4686,2)*0</f>
        <v>0</v>
      </c>
      <c r="G4621" s="2478" t="s">
        <v>1045</v>
      </c>
      <c r="H4621" s="3011">
        <f>VLOOKUP(G4621,'CP FACTORS'!$A$3:$B$38, 2, FALSE)</f>
        <v>9.4741810000000004E-4</v>
      </c>
      <c r="I4621" s="3079">
        <f t="shared" ref="I4621:I4644" si="411">ROUND(H4621*F4621,6)</f>
        <v>0</v>
      </c>
      <c r="J4621" s="2480">
        <f t="shared" si="410"/>
        <v>11</v>
      </c>
      <c r="K4621" s="2824">
        <f>F$4722</f>
        <v>79</v>
      </c>
      <c r="L4621" s="3429" t="s">
        <v>62</v>
      </c>
      <c r="M4621" s="2696"/>
      <c r="N4621" s="2720"/>
      <c r="O4621" s="635"/>
      <c r="P4621" s="52"/>
      <c r="Q4621" s="533"/>
      <c r="R4621" s="532"/>
      <c r="S4621" s="66"/>
      <c r="T4621" s="66"/>
      <c r="U4621" s="66"/>
      <c r="V4621" s="2413" t="str">
        <f t="shared" ref="V4621:V4644" si="412">$F$28</f>
        <v>ECM Auto Fan ER1 - MF</v>
      </c>
      <c r="W4621" s="3238"/>
      <c r="X4621" s="3239"/>
      <c r="Y4621" s="2726"/>
      <c r="Z4621" s="2800"/>
      <c r="AA4621" s="2800"/>
      <c r="AB4621" s="2554"/>
      <c r="AC4621" s="2663"/>
      <c r="AD4621" s="2686"/>
      <c r="AE4621" s="2686"/>
      <c r="AF4621" s="2236">
        <f t="shared" si="407"/>
        <v>0</v>
      </c>
      <c r="AG4621" s="2413"/>
      <c r="AH4621" s="3463"/>
      <c r="AI4621" s="2723"/>
      <c r="AU4621" s="1505"/>
      <c r="DG4621" s="3165">
        <f>(DI4621+DI4622)/(DJ4621+DJ4622)</f>
        <v>0</v>
      </c>
      <c r="DH4621" s="2557" t="str">
        <f t="shared" ref="DH4621:DH4644" si="413">CONCATENATE(G4621," ",J4621," Year EUL")</f>
        <v>Cooling RES 11 Year EUL</v>
      </c>
      <c r="DI4621" s="2420">
        <f>(INDEX('Avoided Cost Benefits'!$B$4:$B$866,MATCH(DH4621,'Avoided Cost Benefits'!$A$4:$A$866,0)))*F4621</f>
        <v>0</v>
      </c>
      <c r="DJ4621" s="2421">
        <f t="shared" si="409"/>
        <v>79</v>
      </c>
    </row>
    <row r="4622" spans="1:114" s="7" customFormat="1">
      <c r="A4622" s="453"/>
      <c r="B4622" s="2208">
        <f t="shared" si="404"/>
        <v>357102</v>
      </c>
      <c r="C4622" s="3427" t="s">
        <v>2625</v>
      </c>
      <c r="D4622" s="2409" t="s">
        <v>170</v>
      </c>
      <c r="E4622" s="3430" t="s">
        <v>2626</v>
      </c>
      <c r="F4622" s="2715">
        <f>ROUND(F4654*F4662*F4673*F4682*F4686+F4687*F4695*29.3,2)*0</f>
        <v>0</v>
      </c>
      <c r="G4622" s="2478" t="s">
        <v>1046</v>
      </c>
      <c r="H4622" s="3011">
        <f>VLOOKUP(G4622,'CP FACTORS'!$A$3:$B$38, 2, FALSE)</f>
        <v>0</v>
      </c>
      <c r="I4622" s="3079">
        <f t="shared" si="411"/>
        <v>0</v>
      </c>
      <c r="J4622" s="2480">
        <f t="shared" si="410"/>
        <v>11</v>
      </c>
      <c r="K4622" s="2824"/>
      <c r="L4622" s="3429" t="s">
        <v>62</v>
      </c>
      <c r="M4622" s="2696"/>
      <c r="N4622" s="2720"/>
      <c r="O4622" s="635"/>
      <c r="P4622" s="90"/>
      <c r="Q4622" s="533"/>
      <c r="R4622" s="532"/>
      <c r="S4622" s="66"/>
      <c r="T4622" s="66"/>
      <c r="U4622" s="66"/>
      <c r="V4622" s="2413" t="str">
        <f t="shared" si="412"/>
        <v>ECM Auto Fan ER1 - MF</v>
      </c>
      <c r="W4622" s="3238"/>
      <c r="X4622" s="3239"/>
      <c r="Y4622" s="2726"/>
      <c r="Z4622" s="2800"/>
      <c r="AA4622" s="2800"/>
      <c r="AB4622" s="2554"/>
      <c r="AC4622" s="2686"/>
      <c r="AD4622" s="2686"/>
      <c r="AE4622" s="2686"/>
      <c r="AF4622" s="2236">
        <f t="shared" si="407"/>
        <v>0</v>
      </c>
      <c r="AG4622" s="2413"/>
      <c r="AH4622" s="3463"/>
      <c r="AI4622" s="2723"/>
      <c r="AU4622" s="1505"/>
      <c r="DG4622" s="3036"/>
      <c r="DH4622" s="2558" t="str">
        <f t="shared" si="413"/>
        <v>Heating RES 11 Year EUL</v>
      </c>
      <c r="DI4622" s="2336">
        <f>(INDEX('Avoided Cost Benefits'!$B$4:$B$866,MATCH(DH4622,'Avoided Cost Benefits'!$A$4:$A$866,0)))*F4622</f>
        <v>0</v>
      </c>
      <c r="DJ4622" s="2424">
        <f t="shared" si="409"/>
        <v>0</v>
      </c>
    </row>
    <row r="4623" spans="1:114" s="7" customFormat="1">
      <c r="A4623" s="453"/>
      <c r="B4623" s="2208">
        <f t="shared" si="404"/>
        <v>357103</v>
      </c>
      <c r="C4623" s="3427" t="s">
        <v>2627</v>
      </c>
      <c r="D4623" s="2409" t="s">
        <v>1122</v>
      </c>
      <c r="E4623" s="3428" t="s">
        <v>2628</v>
      </c>
      <c r="F4623" s="2715">
        <f>ROUND(F4697*((F4704*F4707*1/F4710)/1000)*F4711*F4686,2)*0</f>
        <v>0</v>
      </c>
      <c r="G4623" s="2478" t="s">
        <v>1045</v>
      </c>
      <c r="H4623" s="3011">
        <f>VLOOKUP(G4623,'CP FACTORS'!$A$3:$B$38, 2, FALSE)</f>
        <v>9.4741810000000004E-4</v>
      </c>
      <c r="I4623" s="3079">
        <f t="shared" si="411"/>
        <v>0</v>
      </c>
      <c r="J4623" s="2480">
        <f t="shared" si="410"/>
        <v>11</v>
      </c>
      <c r="K4623" s="2824">
        <f>F$4722</f>
        <v>79</v>
      </c>
      <c r="L4623" s="3429" t="s">
        <v>62</v>
      </c>
      <c r="M4623" s="2696"/>
      <c r="N4623" s="2720"/>
      <c r="O4623" s="635"/>
      <c r="P4623" s="90"/>
      <c r="Q4623" s="533"/>
      <c r="R4623" s="532"/>
      <c r="S4623" s="66"/>
      <c r="T4623" s="66"/>
      <c r="U4623" s="66"/>
      <c r="V4623" s="2413" t="str">
        <f t="shared" si="412"/>
        <v>ECM Auto Fan ER1 - MF</v>
      </c>
      <c r="W4623" s="3238"/>
      <c r="X4623" s="3239"/>
      <c r="Y4623" s="2726"/>
      <c r="Z4623" s="2800"/>
      <c r="AA4623" s="2800"/>
      <c r="AB4623" s="2554"/>
      <c r="AC4623" s="2663"/>
      <c r="AD4623" s="2686"/>
      <c r="AE4623" s="2686"/>
      <c r="AF4623" s="2236">
        <f t="shared" si="407"/>
        <v>0</v>
      </c>
      <c r="AG4623" s="2413"/>
      <c r="AH4623" s="3463"/>
      <c r="AI4623" s="2723"/>
      <c r="AU4623" s="1505"/>
      <c r="DG4623" s="3036">
        <f>(DI4623+DI4624)/(DJ4623+DJ4624)</f>
        <v>0</v>
      </c>
      <c r="DH4623" s="2557" t="str">
        <f t="shared" si="413"/>
        <v>Cooling RES 11 Year EUL</v>
      </c>
      <c r="DI4623" s="2336">
        <f>(INDEX('Avoided Cost Benefits'!$B$4:$B$866,MATCH(DH4623,'Avoided Cost Benefits'!$A$4:$A$866,0)))*F4623</f>
        <v>0</v>
      </c>
      <c r="DJ4623" s="2424">
        <f t="shared" si="409"/>
        <v>79</v>
      </c>
    </row>
    <row r="4624" spans="1:114" s="7" customFormat="1">
      <c r="A4624" s="453"/>
      <c r="B4624" s="2208">
        <f t="shared" si="404"/>
        <v>357103</v>
      </c>
      <c r="C4624" s="3427" t="s">
        <v>2627</v>
      </c>
      <c r="D4624" s="2409" t="s">
        <v>1122</v>
      </c>
      <c r="E4624" s="3430" t="s">
        <v>2628</v>
      </c>
      <c r="F4624" s="2715">
        <f>ROUND(F4655*F4663*F4674*F4682*F4686+F4687*F4695*29.3,2)*0</f>
        <v>0</v>
      </c>
      <c r="G4624" s="2478" t="s">
        <v>1046</v>
      </c>
      <c r="H4624" s="3011">
        <f>VLOOKUP(G4624,'CP FACTORS'!$A$3:$B$38, 2, FALSE)</f>
        <v>0</v>
      </c>
      <c r="I4624" s="3079">
        <f t="shared" si="411"/>
        <v>0</v>
      </c>
      <c r="J4624" s="2480">
        <f t="shared" si="410"/>
        <v>11</v>
      </c>
      <c r="K4624" s="2824"/>
      <c r="L4624" s="3429" t="s">
        <v>62</v>
      </c>
      <c r="M4624" s="2696"/>
      <c r="N4624" s="2720"/>
      <c r="O4624" s="635"/>
      <c r="P4624" s="90"/>
      <c r="Q4624" s="533"/>
      <c r="R4624" s="532"/>
      <c r="S4624" s="66"/>
      <c r="T4624" s="66"/>
      <c r="U4624" s="66"/>
      <c r="V4624" s="2413" t="str">
        <f t="shared" si="412"/>
        <v>ECM Auto Fan ER1 - MF</v>
      </c>
      <c r="W4624" s="3238"/>
      <c r="X4624" s="3239"/>
      <c r="Y4624" s="2726"/>
      <c r="Z4624" s="2800"/>
      <c r="AA4624" s="2800"/>
      <c r="AB4624" s="2554"/>
      <c r="AC4624" s="2686"/>
      <c r="AD4624" s="2686"/>
      <c r="AE4624" s="2686"/>
      <c r="AF4624" s="2236">
        <f t="shared" si="407"/>
        <v>0</v>
      </c>
      <c r="AG4624" s="2413"/>
      <c r="AH4624" s="3463"/>
      <c r="AI4624" s="2723"/>
      <c r="AU4624" s="1505"/>
      <c r="DG4624" s="3036"/>
      <c r="DH4624" s="2558" t="str">
        <f t="shared" si="413"/>
        <v>Heating RES 11 Year EUL</v>
      </c>
      <c r="DI4624" s="2336">
        <f>(INDEX('Avoided Cost Benefits'!$B$4:$B$866,MATCH(DH4624,'Avoided Cost Benefits'!$A$4:$A$866,0)))*F4624</f>
        <v>0</v>
      </c>
      <c r="DJ4624" s="2424">
        <f t="shared" si="409"/>
        <v>0</v>
      </c>
    </row>
    <row r="4625" spans="1:114" s="7" customFormat="1">
      <c r="A4625" s="453"/>
      <c r="B4625" s="2208">
        <f t="shared" si="404"/>
        <v>357104</v>
      </c>
      <c r="C4625" s="3427" t="s">
        <v>2629</v>
      </c>
      <c r="D4625" s="2409" t="s">
        <v>1122</v>
      </c>
      <c r="E4625" s="3428" t="s">
        <v>2630</v>
      </c>
      <c r="F4625" s="2715">
        <f>ROUND(F4698*((F4704*F4707*1/F4708)/1000)*F4711*F4686,2)*0</f>
        <v>0</v>
      </c>
      <c r="G4625" s="2478" t="s">
        <v>1045</v>
      </c>
      <c r="H4625" s="3011">
        <f>VLOOKUP(G4625,'CP FACTORS'!$A$3:$B$38, 2, FALSE)</f>
        <v>9.4741810000000004E-4</v>
      </c>
      <c r="I4625" s="3079">
        <f t="shared" ref="I4625:I4632" si="414">ROUND(H4625*F4625,6)</f>
        <v>0</v>
      </c>
      <c r="J4625" s="2480">
        <f t="shared" si="410"/>
        <v>11</v>
      </c>
      <c r="K4625" s="2824">
        <f>F$4722</f>
        <v>79</v>
      </c>
      <c r="L4625" s="3429" t="s">
        <v>62</v>
      </c>
      <c r="M4625" s="2696"/>
      <c r="N4625" s="2720"/>
      <c r="O4625" s="635"/>
      <c r="P4625" s="91"/>
      <c r="Q4625" s="533"/>
      <c r="R4625" s="532"/>
      <c r="S4625" s="66"/>
      <c r="T4625" s="66"/>
      <c r="U4625" s="66"/>
      <c r="V4625" s="2413" t="str">
        <f t="shared" si="412"/>
        <v>ECM Auto Fan ER1 - MF</v>
      </c>
      <c r="W4625" s="3238"/>
      <c r="X4625" s="3239"/>
      <c r="Y4625" s="2726"/>
      <c r="Z4625" s="2800"/>
      <c r="AA4625" s="2800"/>
      <c r="AB4625" s="2554"/>
      <c r="AC4625" s="2663"/>
      <c r="AD4625" s="2686"/>
      <c r="AE4625" s="2686"/>
      <c r="AF4625" s="2236">
        <f t="shared" si="407"/>
        <v>0</v>
      </c>
      <c r="AG4625" s="2413"/>
      <c r="AH4625" s="3463"/>
      <c r="AI4625" s="2723"/>
      <c r="AU4625" s="1505"/>
      <c r="DG4625" s="3036">
        <f>(DI4625+DI4626)/(DJ4625+DJ4626)</f>
        <v>0</v>
      </c>
      <c r="DH4625" s="2557" t="str">
        <f t="shared" ref="DH4625:DH4632" si="415">CONCATENATE(G4625," ",J4625," Year EUL")</f>
        <v>Cooling RES 11 Year EUL</v>
      </c>
      <c r="DI4625" s="2336">
        <f>(INDEX('Avoided Cost Benefits'!$B$4:$B$866,MATCH(DH4625,'Avoided Cost Benefits'!$A$4:$A$866,0)))*F4625</f>
        <v>0</v>
      </c>
      <c r="DJ4625" s="2424">
        <f t="shared" si="409"/>
        <v>79</v>
      </c>
    </row>
    <row r="4626" spans="1:114" s="7" customFormat="1">
      <c r="A4626" s="453"/>
      <c r="B4626" s="2208">
        <f t="shared" si="404"/>
        <v>357104</v>
      </c>
      <c r="C4626" s="3427" t="s">
        <v>2629</v>
      </c>
      <c r="D4626" s="2409" t="s">
        <v>1122</v>
      </c>
      <c r="E4626" s="3430" t="s">
        <v>2630</v>
      </c>
      <c r="F4626" s="2715">
        <f>ROUND(F4656*F4664*F4675*F4682*F4686+F4689*F4695*29.3,2)*0</f>
        <v>0</v>
      </c>
      <c r="G4626" s="2478" t="s">
        <v>1046</v>
      </c>
      <c r="H4626" s="3011">
        <f>VLOOKUP(G4626,'CP FACTORS'!$A$3:$B$38, 2, FALSE)</f>
        <v>0</v>
      </c>
      <c r="I4626" s="3079">
        <f t="shared" si="414"/>
        <v>0</v>
      </c>
      <c r="J4626" s="2480">
        <f t="shared" si="410"/>
        <v>11</v>
      </c>
      <c r="K4626" s="2824"/>
      <c r="L4626" s="3429" t="s">
        <v>62</v>
      </c>
      <c r="M4626" s="2696"/>
      <c r="N4626" s="2720"/>
      <c r="O4626" s="635"/>
      <c r="P4626" s="52"/>
      <c r="Q4626" s="533"/>
      <c r="R4626" s="532"/>
      <c r="S4626" s="66"/>
      <c r="T4626" s="66"/>
      <c r="U4626" s="66"/>
      <c r="V4626" s="2413" t="str">
        <f t="shared" si="412"/>
        <v>ECM Auto Fan ER1 - MF</v>
      </c>
      <c r="W4626" s="3238"/>
      <c r="X4626" s="3239"/>
      <c r="Y4626" s="2726"/>
      <c r="Z4626" s="2800"/>
      <c r="AA4626" s="2800"/>
      <c r="AB4626" s="2554"/>
      <c r="AC4626" s="2686"/>
      <c r="AD4626" s="2686"/>
      <c r="AE4626" s="2686"/>
      <c r="AF4626" s="2236">
        <f t="shared" si="407"/>
        <v>0</v>
      </c>
      <c r="AG4626" s="2413"/>
      <c r="AH4626" s="3463"/>
      <c r="AI4626" s="2723"/>
      <c r="AU4626" s="1505"/>
      <c r="DG4626" s="3036"/>
      <c r="DH4626" s="2558" t="str">
        <f t="shared" si="415"/>
        <v>Heating RES 11 Year EUL</v>
      </c>
      <c r="DI4626" s="2336">
        <f>(INDEX('Avoided Cost Benefits'!$B$4:$B$866,MATCH(DH4626,'Avoided Cost Benefits'!$A$4:$A$866,0)))*F4626</f>
        <v>0</v>
      </c>
      <c r="DJ4626" s="2424">
        <f t="shared" si="409"/>
        <v>0</v>
      </c>
    </row>
    <row r="4627" spans="1:114" s="7" customFormat="1">
      <c r="A4627" s="453"/>
      <c r="B4627" s="2208">
        <f t="shared" si="404"/>
        <v>357105</v>
      </c>
      <c r="C4627" s="3427" t="s">
        <v>2631</v>
      </c>
      <c r="D4627" s="2409" t="s">
        <v>170</v>
      </c>
      <c r="E4627" s="3428" t="s">
        <v>2632</v>
      </c>
      <c r="F4627" s="2715">
        <f>ROUND(F4699*((F4704*F4706*1/F4708)/1000)*F4711*F4686,2)*0</f>
        <v>0</v>
      </c>
      <c r="G4627" s="2478" t="s">
        <v>1045</v>
      </c>
      <c r="H4627" s="3011">
        <f>VLOOKUP(G4627,'CP FACTORS'!$A$3:$B$38, 2, FALSE)</f>
        <v>9.4741810000000004E-4</v>
      </c>
      <c r="I4627" s="3079">
        <f t="shared" si="414"/>
        <v>0</v>
      </c>
      <c r="J4627" s="2480">
        <f t="shared" si="410"/>
        <v>11</v>
      </c>
      <c r="K4627" s="2824">
        <f>F$4722</f>
        <v>79</v>
      </c>
      <c r="L4627" s="3429" t="s">
        <v>62</v>
      </c>
      <c r="M4627" s="2696"/>
      <c r="N4627" s="2720"/>
      <c r="O4627" s="635"/>
      <c r="P4627" s="52"/>
      <c r="Q4627" s="533"/>
      <c r="R4627" s="532"/>
      <c r="S4627" s="66"/>
      <c r="T4627" s="66"/>
      <c r="U4627" s="66"/>
      <c r="V4627" s="2413" t="str">
        <f t="shared" si="412"/>
        <v>ECM Auto Fan ER1 - MF</v>
      </c>
      <c r="W4627" s="3238"/>
      <c r="X4627" s="3239"/>
      <c r="Y4627" s="2726"/>
      <c r="Z4627" s="2800"/>
      <c r="AA4627" s="2800"/>
      <c r="AB4627" s="2554"/>
      <c r="AC4627" s="2663"/>
      <c r="AD4627" s="2686"/>
      <c r="AE4627" s="2686"/>
      <c r="AF4627" s="2236">
        <f t="shared" si="407"/>
        <v>0</v>
      </c>
      <c r="AG4627" s="2413"/>
      <c r="AH4627" s="3463"/>
      <c r="AI4627" s="2723"/>
      <c r="AU4627" s="1505"/>
      <c r="DG4627" s="3036">
        <f>(DI4627+DI4628)/(DJ4627+DJ4628)</f>
        <v>0</v>
      </c>
      <c r="DH4627" s="2557" t="str">
        <f t="shared" si="415"/>
        <v>Cooling RES 11 Year EUL</v>
      </c>
      <c r="DI4627" s="2336">
        <f>(INDEX('Avoided Cost Benefits'!$B$4:$B$866,MATCH(DH4627,'Avoided Cost Benefits'!$A$4:$A$866,0)))*F4627</f>
        <v>0</v>
      </c>
      <c r="DJ4627" s="2424">
        <f t="shared" si="409"/>
        <v>79</v>
      </c>
    </row>
    <row r="4628" spans="1:114" s="7" customFormat="1">
      <c r="A4628" s="453"/>
      <c r="B4628" s="2208">
        <f t="shared" si="404"/>
        <v>357105</v>
      </c>
      <c r="C4628" s="3427" t="s">
        <v>2631</v>
      </c>
      <c r="D4628" s="2409" t="s">
        <v>170</v>
      </c>
      <c r="E4628" s="3430" t="s">
        <v>2632</v>
      </c>
      <c r="F4628" s="2715">
        <f>ROUND(F4657*F4665*F4676*F4682*F4686+F4690*F4695*29.3,2)*0</f>
        <v>0</v>
      </c>
      <c r="G4628" s="2478" t="s">
        <v>1046</v>
      </c>
      <c r="H4628" s="3011">
        <f>VLOOKUP(G4628,'CP FACTORS'!$A$3:$B$38, 2, FALSE)</f>
        <v>0</v>
      </c>
      <c r="I4628" s="3079">
        <f t="shared" si="414"/>
        <v>0</v>
      </c>
      <c r="J4628" s="2480">
        <f t="shared" si="410"/>
        <v>11</v>
      </c>
      <c r="K4628" s="2824"/>
      <c r="L4628" s="3429" t="s">
        <v>62</v>
      </c>
      <c r="M4628" s="2696"/>
      <c r="N4628" s="2720"/>
      <c r="O4628" s="635"/>
      <c r="P4628" s="52"/>
      <c r="Q4628" s="533"/>
      <c r="R4628" s="532"/>
      <c r="S4628" s="66"/>
      <c r="T4628" s="66"/>
      <c r="U4628" s="66"/>
      <c r="V4628" s="2413" t="str">
        <f t="shared" si="412"/>
        <v>ECM Auto Fan ER1 - MF</v>
      </c>
      <c r="W4628" s="3238"/>
      <c r="X4628" s="3239"/>
      <c r="Y4628" s="2726"/>
      <c r="Z4628" s="2800"/>
      <c r="AA4628" s="2800"/>
      <c r="AB4628" s="2554"/>
      <c r="AC4628" s="2686"/>
      <c r="AD4628" s="2686"/>
      <c r="AE4628" s="2686"/>
      <c r="AF4628" s="2236">
        <f t="shared" si="407"/>
        <v>0</v>
      </c>
      <c r="AG4628" s="2413"/>
      <c r="AH4628" s="3463"/>
      <c r="AI4628" s="2723"/>
      <c r="AU4628" s="1505"/>
      <c r="DG4628" s="3036"/>
      <c r="DH4628" s="2558" t="str">
        <f t="shared" si="415"/>
        <v>Heating RES 11 Year EUL</v>
      </c>
      <c r="DI4628" s="2336">
        <f>(INDEX('Avoided Cost Benefits'!$B$4:$B$866,MATCH(DH4628,'Avoided Cost Benefits'!$A$4:$A$866,0)))*F4628</f>
        <v>0</v>
      </c>
      <c r="DJ4628" s="2424">
        <f t="shared" si="409"/>
        <v>0</v>
      </c>
    </row>
    <row r="4629" spans="1:114" s="7" customFormat="1">
      <c r="A4629" s="453"/>
      <c r="B4629" s="2208">
        <f t="shared" si="404"/>
        <v>357106</v>
      </c>
      <c r="C4629" s="3427" t="s">
        <v>2633</v>
      </c>
      <c r="D4629" s="2409" t="s">
        <v>170</v>
      </c>
      <c r="E4629" s="3428" t="s">
        <v>2634</v>
      </c>
      <c r="F4629" s="2715">
        <f>ROUND(F4700*((F4704*F4706*1/F4708)/1000)*F4711*F4686,2)*0</f>
        <v>0</v>
      </c>
      <c r="G4629" s="2478" t="s">
        <v>1045</v>
      </c>
      <c r="H4629" s="3011">
        <f>VLOOKUP(G4629,'CP FACTORS'!$A$3:$B$38, 2, FALSE)</f>
        <v>9.4741810000000004E-4</v>
      </c>
      <c r="I4629" s="3079">
        <f t="shared" si="414"/>
        <v>0</v>
      </c>
      <c r="J4629" s="2480">
        <f t="shared" si="410"/>
        <v>11</v>
      </c>
      <c r="K4629" s="2824">
        <f>F$4722</f>
        <v>79</v>
      </c>
      <c r="L4629" s="3429" t="s">
        <v>62</v>
      </c>
      <c r="M4629" s="2696"/>
      <c r="N4629" s="2720"/>
      <c r="O4629" s="635"/>
      <c r="P4629" s="90"/>
      <c r="Q4629" s="533"/>
      <c r="R4629" s="532"/>
      <c r="S4629" s="66"/>
      <c r="T4629" s="66"/>
      <c r="U4629" s="66"/>
      <c r="V4629" s="2413" t="str">
        <f t="shared" si="412"/>
        <v>ECM Auto Fan ER1 - MF</v>
      </c>
      <c r="W4629" s="3238"/>
      <c r="X4629" s="3239"/>
      <c r="Y4629" s="2726"/>
      <c r="Z4629" s="2800"/>
      <c r="AA4629" s="2800"/>
      <c r="AB4629" s="2554"/>
      <c r="AC4629" s="2663"/>
      <c r="AD4629" s="2686"/>
      <c r="AE4629" s="2686"/>
      <c r="AF4629" s="2236">
        <f t="shared" si="407"/>
        <v>0</v>
      </c>
      <c r="AG4629" s="2413"/>
      <c r="AH4629" s="3463"/>
      <c r="AI4629" s="2723"/>
      <c r="AU4629" s="1505"/>
      <c r="DG4629" s="3036">
        <f>(DI4629+DI4630)/(DJ4629+DJ4630)</f>
        <v>0</v>
      </c>
      <c r="DH4629" s="2557" t="str">
        <f t="shared" si="415"/>
        <v>Cooling RES 11 Year EUL</v>
      </c>
      <c r="DI4629" s="2336">
        <f>(INDEX('Avoided Cost Benefits'!$B$4:$B$866,MATCH(DH4629,'Avoided Cost Benefits'!$A$4:$A$866,0)))*F4629</f>
        <v>0</v>
      </c>
      <c r="DJ4629" s="2424">
        <f t="shared" si="409"/>
        <v>79</v>
      </c>
    </row>
    <row r="4630" spans="1:114" s="7" customFormat="1">
      <c r="A4630" s="453"/>
      <c r="B4630" s="2208">
        <f t="shared" si="404"/>
        <v>357106</v>
      </c>
      <c r="C4630" s="3427" t="s">
        <v>2633</v>
      </c>
      <c r="D4630" s="2409" t="s">
        <v>170</v>
      </c>
      <c r="E4630" s="3430" t="s">
        <v>2634</v>
      </c>
      <c r="F4630" s="2715">
        <f>ROUND(F4658*F4666*F4677*F4682*F4686+F4691*F4695*29.3,2)*0</f>
        <v>0</v>
      </c>
      <c r="G4630" s="2478" t="s">
        <v>1046</v>
      </c>
      <c r="H4630" s="3011">
        <f>VLOOKUP(G4630,'CP FACTORS'!$A$3:$B$38, 2, FALSE)</f>
        <v>0</v>
      </c>
      <c r="I4630" s="3079">
        <f t="shared" si="414"/>
        <v>0</v>
      </c>
      <c r="J4630" s="2480">
        <f t="shared" si="410"/>
        <v>11</v>
      </c>
      <c r="K4630" s="2824"/>
      <c r="L4630" s="3429" t="s">
        <v>62</v>
      </c>
      <c r="M4630" s="2696"/>
      <c r="N4630" s="2720"/>
      <c r="O4630" s="635"/>
      <c r="P4630" s="91"/>
      <c r="Q4630" s="533"/>
      <c r="R4630" s="532"/>
      <c r="S4630" s="66"/>
      <c r="T4630" s="66"/>
      <c r="U4630" s="66"/>
      <c r="V4630" s="2413" t="str">
        <f t="shared" si="412"/>
        <v>ECM Auto Fan ER1 - MF</v>
      </c>
      <c r="W4630" s="3238"/>
      <c r="X4630" s="3238"/>
      <c r="Y4630" s="2726"/>
      <c r="Z4630" s="2800"/>
      <c r="AA4630" s="2800"/>
      <c r="AB4630" s="2554"/>
      <c r="AC4630" s="2686"/>
      <c r="AD4630" s="2686"/>
      <c r="AE4630" s="2686"/>
      <c r="AF4630" s="2236">
        <f t="shared" si="407"/>
        <v>0</v>
      </c>
      <c r="AG4630" s="2413"/>
      <c r="AH4630" s="3463"/>
      <c r="AI4630" s="2723"/>
      <c r="AU4630" s="1505"/>
      <c r="DG4630" s="3036"/>
      <c r="DH4630" s="2558" t="str">
        <f t="shared" si="415"/>
        <v>Heating RES 11 Year EUL</v>
      </c>
      <c r="DI4630" s="2336">
        <f>(INDEX('Avoided Cost Benefits'!$B$4:$B$866,MATCH(DH4630,'Avoided Cost Benefits'!$A$4:$A$866,0)))*F4630</f>
        <v>0</v>
      </c>
      <c r="DJ4630" s="2424">
        <f t="shared" si="409"/>
        <v>0</v>
      </c>
    </row>
    <row r="4631" spans="1:114" s="7" customFormat="1">
      <c r="A4631" s="453"/>
      <c r="B4631" s="2208">
        <f t="shared" si="404"/>
        <v>357107</v>
      </c>
      <c r="C4631" s="3427" t="s">
        <v>2635</v>
      </c>
      <c r="D4631" s="2409" t="s">
        <v>1122</v>
      </c>
      <c r="E4631" s="3428" t="s">
        <v>2636</v>
      </c>
      <c r="F4631" s="2715">
        <f>ROUND(F4701*((F4704*F4707*1/F4708)/1000)*F4711*F4686,2)*0</f>
        <v>0</v>
      </c>
      <c r="G4631" s="2478" t="s">
        <v>1045</v>
      </c>
      <c r="H4631" s="3011">
        <f>VLOOKUP(G4631,'CP FACTORS'!$A$3:$B$38, 2, FALSE)</f>
        <v>9.4741810000000004E-4</v>
      </c>
      <c r="I4631" s="3079">
        <f t="shared" si="414"/>
        <v>0</v>
      </c>
      <c r="J4631" s="2480">
        <f t="shared" si="410"/>
        <v>11</v>
      </c>
      <c r="K4631" s="2824">
        <f>F$4722</f>
        <v>79</v>
      </c>
      <c r="L4631" s="3429" t="s">
        <v>62</v>
      </c>
      <c r="M4631" s="2696"/>
      <c r="N4631" s="2720"/>
      <c r="O4631" s="635"/>
      <c r="P4631" s="91"/>
      <c r="Q4631" s="533"/>
      <c r="R4631" s="532"/>
      <c r="S4631" s="66"/>
      <c r="T4631" s="66"/>
      <c r="U4631" s="66"/>
      <c r="V4631" s="2413" t="str">
        <f t="shared" si="412"/>
        <v>ECM Auto Fan ER1 - MF</v>
      </c>
      <c r="W4631" s="3238"/>
      <c r="X4631" s="3238"/>
      <c r="Y4631" s="2726"/>
      <c r="Z4631" s="2800"/>
      <c r="AA4631" s="2800"/>
      <c r="AB4631" s="2554"/>
      <c r="AC4631" s="2663"/>
      <c r="AD4631" s="2686"/>
      <c r="AE4631" s="2686"/>
      <c r="AF4631" s="2236">
        <f t="shared" si="407"/>
        <v>0</v>
      </c>
      <c r="AG4631" s="2413"/>
      <c r="AH4631" s="3463"/>
      <c r="AI4631" s="2723"/>
      <c r="AU4631" s="1505"/>
      <c r="DG4631" s="3036">
        <f>(DI4631+DI4632)/(DJ4631+DJ4632)</f>
        <v>0</v>
      </c>
      <c r="DH4631" s="2557" t="str">
        <f t="shared" si="415"/>
        <v>Cooling RES 11 Year EUL</v>
      </c>
      <c r="DI4631" s="2336">
        <f>(INDEX('Avoided Cost Benefits'!$B$4:$B$866,MATCH(DH4631,'Avoided Cost Benefits'!$A$4:$A$866,0)))*F4631</f>
        <v>0</v>
      </c>
      <c r="DJ4631" s="2424">
        <f t="shared" si="409"/>
        <v>79</v>
      </c>
    </row>
    <row r="4632" spans="1:114" s="7" customFormat="1">
      <c r="A4632" s="453"/>
      <c r="B4632" s="2208">
        <f t="shared" si="404"/>
        <v>357107</v>
      </c>
      <c r="C4632" s="3427" t="s">
        <v>2635</v>
      </c>
      <c r="D4632" s="2409" t="s">
        <v>1122</v>
      </c>
      <c r="E4632" s="3430" t="s">
        <v>2636</v>
      </c>
      <c r="F4632" s="2715">
        <f>ROUND(F4659*F4667*F4678*F4682*F4686+F4692*F4695*29.3,2)*0</f>
        <v>0</v>
      </c>
      <c r="G4632" s="2478" t="s">
        <v>1046</v>
      </c>
      <c r="H4632" s="3011">
        <f>VLOOKUP(G4632,'CP FACTORS'!$A$3:$B$38, 2, FALSE)</f>
        <v>0</v>
      </c>
      <c r="I4632" s="3079">
        <f t="shared" si="414"/>
        <v>0</v>
      </c>
      <c r="J4632" s="2480">
        <f t="shared" si="410"/>
        <v>11</v>
      </c>
      <c r="K4632" s="2824"/>
      <c r="L4632" s="3429" t="s">
        <v>62</v>
      </c>
      <c r="M4632" s="2696"/>
      <c r="N4632" s="2720"/>
      <c r="O4632" s="635"/>
      <c r="P4632" s="91"/>
      <c r="Q4632" s="533"/>
      <c r="R4632" s="532"/>
      <c r="S4632" s="66"/>
      <c r="T4632" s="66"/>
      <c r="U4632" s="66"/>
      <c r="V4632" s="2413" t="str">
        <f t="shared" si="412"/>
        <v>ECM Auto Fan ER1 - MF</v>
      </c>
      <c r="W4632" s="3238"/>
      <c r="X4632" s="3238"/>
      <c r="Y4632" s="2726"/>
      <c r="Z4632" s="2800"/>
      <c r="AA4632" s="2800"/>
      <c r="AB4632" s="2554"/>
      <c r="AC4632" s="2686"/>
      <c r="AD4632" s="2686"/>
      <c r="AE4632" s="2686"/>
      <c r="AF4632" s="2236">
        <f t="shared" si="407"/>
        <v>0</v>
      </c>
      <c r="AG4632" s="2413"/>
      <c r="AH4632" s="3463"/>
      <c r="AI4632" s="2723"/>
      <c r="AU4632" s="1505"/>
      <c r="DG4632" s="3036"/>
      <c r="DH4632" s="2558" t="str">
        <f t="shared" si="415"/>
        <v>Heating RES 11 Year EUL</v>
      </c>
      <c r="DI4632" s="2336">
        <f>(INDEX('Avoided Cost Benefits'!$B$4:$B$866,MATCH(DH4632,'Avoided Cost Benefits'!$A$4:$A$866,0)))*F4632</f>
        <v>0</v>
      </c>
      <c r="DJ4632" s="2424">
        <f t="shared" si="409"/>
        <v>0</v>
      </c>
    </row>
    <row r="4633" spans="1:114" s="7" customFormat="1">
      <c r="A4633" s="453"/>
      <c r="B4633" s="2208">
        <f t="shared" si="404"/>
        <v>357108</v>
      </c>
      <c r="C4633" s="2714" t="s">
        <v>2637</v>
      </c>
      <c r="D4633" s="2409" t="s">
        <v>1122</v>
      </c>
      <c r="E4633" s="3431" t="s">
        <v>2638</v>
      </c>
      <c r="F4633" s="2715">
        <f>ROUND(F4698*((F4704*F4707*1/F4710)/1000)*F4711*F4686,2)*0</f>
        <v>0</v>
      </c>
      <c r="G4633" s="2584" t="s">
        <v>1045</v>
      </c>
      <c r="H4633" s="2225">
        <f>VLOOKUP(G4633,'CP FACTORS'!$A$3:$B$38, 2, FALSE)</f>
        <v>9.4741810000000004E-4</v>
      </c>
      <c r="I4633" s="2716">
        <f t="shared" si="411"/>
        <v>0</v>
      </c>
      <c r="J4633" s="2480">
        <f t="shared" si="410"/>
        <v>11</v>
      </c>
      <c r="K4633" s="2824">
        <f>F$4722</f>
        <v>79</v>
      </c>
      <c r="L4633" s="3432" t="s">
        <v>62</v>
      </c>
      <c r="M4633" s="2696"/>
      <c r="N4633" s="2720"/>
      <c r="O4633" s="635"/>
      <c r="P4633" s="91"/>
      <c r="Q4633" s="533"/>
      <c r="R4633" s="532"/>
      <c r="S4633" s="66"/>
      <c r="T4633" s="66"/>
      <c r="U4633" s="66"/>
      <c r="V4633" s="2413" t="str">
        <f t="shared" si="412"/>
        <v>ECM Auto Fan ER1 - MF</v>
      </c>
      <c r="W4633" s="3035"/>
      <c r="X4633" s="2567"/>
      <c r="Y4633" s="2725"/>
      <c r="Z4633" s="2800"/>
      <c r="AA4633" s="2800"/>
      <c r="AB4633" s="2554"/>
      <c r="AC4633" s="2663"/>
      <c r="AD4633" s="2686"/>
      <c r="AE4633" s="2686"/>
      <c r="AF4633" s="2236">
        <f t="shared" si="407"/>
        <v>0</v>
      </c>
      <c r="AG4633" s="2413"/>
      <c r="AH4633" s="2728"/>
      <c r="AI4633" s="2723"/>
      <c r="AU4633" s="1505"/>
      <c r="DG4633" s="3259">
        <f>(DI4633+DI4634)/(DJ4633+DJ4634)</f>
        <v>0</v>
      </c>
      <c r="DH4633" s="2557" t="str">
        <f t="shared" si="413"/>
        <v>Cooling RES 11 Year EUL</v>
      </c>
      <c r="DI4633" s="2336">
        <f>(INDEX('Avoided Cost Benefits'!$B$4:$B$866,MATCH(DH4633,'Avoided Cost Benefits'!$A$4:$A$866,0)))*F4633</f>
        <v>0</v>
      </c>
      <c r="DJ4633" s="2424">
        <f t="shared" si="409"/>
        <v>79</v>
      </c>
    </row>
    <row r="4634" spans="1:114" s="7" customFormat="1">
      <c r="A4634" s="453"/>
      <c r="B4634" s="2208">
        <f t="shared" si="404"/>
        <v>357108</v>
      </c>
      <c r="C4634" s="2714" t="s">
        <v>2637</v>
      </c>
      <c r="D4634" s="2409" t="s">
        <v>1122</v>
      </c>
      <c r="E4634" s="2741" t="s">
        <v>2638</v>
      </c>
      <c r="F4634" s="2715">
        <f>ROUND(F4656*F4664*F4675*F4682*F4686+F4689*F4695*29.3,2)*0</f>
        <v>0</v>
      </c>
      <c r="G4634" s="2584" t="s">
        <v>1046</v>
      </c>
      <c r="H4634" s="2225">
        <f>VLOOKUP(G4634,'CP FACTORS'!$A$3:$B$38, 2, FALSE)</f>
        <v>0</v>
      </c>
      <c r="I4634" s="2716">
        <f t="shared" si="411"/>
        <v>0</v>
      </c>
      <c r="J4634" s="2480">
        <f t="shared" si="410"/>
        <v>11</v>
      </c>
      <c r="K4634" s="2718"/>
      <c r="L4634" s="3432" t="s">
        <v>62</v>
      </c>
      <c r="M4634" s="2696"/>
      <c r="N4634" s="2720"/>
      <c r="O4634" s="635"/>
      <c r="P4634" s="52"/>
      <c r="Q4634" s="533"/>
      <c r="R4634" s="532"/>
      <c r="S4634" s="66"/>
      <c r="T4634" s="66"/>
      <c r="U4634" s="66"/>
      <c r="V4634" s="2413" t="str">
        <f t="shared" si="412"/>
        <v>ECM Auto Fan ER1 - MF</v>
      </c>
      <c r="W4634" s="3035"/>
      <c r="X4634" s="2567"/>
      <c r="Y4634" s="2725"/>
      <c r="Z4634" s="2800"/>
      <c r="AA4634" s="2800"/>
      <c r="AB4634" s="2554"/>
      <c r="AC4634" s="2686"/>
      <c r="AD4634" s="2686"/>
      <c r="AE4634" s="2686"/>
      <c r="AF4634" s="2236">
        <f t="shared" si="407"/>
        <v>0</v>
      </c>
      <c r="AG4634" s="2413"/>
      <c r="AH4634" s="2728"/>
      <c r="AI4634" s="2723"/>
      <c r="AU4634" s="1505"/>
      <c r="DG4634" s="3261"/>
      <c r="DH4634" s="2558" t="str">
        <f t="shared" si="413"/>
        <v>Heating RES 11 Year EUL</v>
      </c>
      <c r="DI4634" s="2336">
        <f>(INDEX('Avoided Cost Benefits'!$B$4:$B$866,MATCH(DH4634,'Avoided Cost Benefits'!$A$4:$A$866,0)))*F4634</f>
        <v>0</v>
      </c>
      <c r="DJ4634" s="2424">
        <f t="shared" si="409"/>
        <v>0</v>
      </c>
    </row>
    <row r="4635" spans="1:114" s="7" customFormat="1">
      <c r="A4635" s="453"/>
      <c r="B4635" s="2208">
        <f t="shared" si="404"/>
        <v>357109</v>
      </c>
      <c r="C4635" s="2714" t="s">
        <v>2639</v>
      </c>
      <c r="D4635" s="2409" t="s">
        <v>170</v>
      </c>
      <c r="E4635" s="3431" t="s">
        <v>2640</v>
      </c>
      <c r="F4635" s="2715">
        <f>ROUND(F4699*((F4704*F4706*1/F4710)/1000)*F4711*F4686,2)*0</f>
        <v>0</v>
      </c>
      <c r="G4635" s="2584" t="s">
        <v>1045</v>
      </c>
      <c r="H4635" s="2225">
        <f>VLOOKUP(G4635,'CP FACTORS'!$A$3:$B$38, 2, FALSE)</f>
        <v>9.4741810000000004E-4</v>
      </c>
      <c r="I4635" s="2716">
        <f t="shared" si="411"/>
        <v>0</v>
      </c>
      <c r="J4635" s="2480">
        <f t="shared" si="410"/>
        <v>11</v>
      </c>
      <c r="K4635" s="2824">
        <f>F$4722</f>
        <v>79</v>
      </c>
      <c r="L4635" s="3432" t="s">
        <v>62</v>
      </c>
      <c r="M4635" s="2696"/>
      <c r="N4635" s="2720"/>
      <c r="O4635" s="635"/>
      <c r="P4635" s="52"/>
      <c r="Q4635" s="533"/>
      <c r="R4635" s="532"/>
      <c r="S4635" s="66"/>
      <c r="T4635" s="66"/>
      <c r="U4635" s="66"/>
      <c r="V4635" s="2413" t="str">
        <f t="shared" si="412"/>
        <v>ECM Auto Fan ER1 - MF</v>
      </c>
      <c r="W4635" s="3035"/>
      <c r="X4635" s="2567"/>
      <c r="Y4635" s="2725"/>
      <c r="Z4635" s="2800"/>
      <c r="AA4635" s="2800"/>
      <c r="AB4635" s="2554"/>
      <c r="AC4635" s="2663"/>
      <c r="AD4635" s="2686"/>
      <c r="AE4635" s="2686"/>
      <c r="AF4635" s="2236">
        <f t="shared" si="407"/>
        <v>0</v>
      </c>
      <c r="AG4635" s="2413"/>
      <c r="AH4635" s="2728"/>
      <c r="AI4635" s="2723"/>
      <c r="AU4635" s="1505"/>
      <c r="DG4635" s="3259">
        <f>(DI4635+DI4636)/(DJ4635+DJ4636)</f>
        <v>0</v>
      </c>
      <c r="DH4635" s="2557" t="str">
        <f t="shared" si="413"/>
        <v>Cooling RES 11 Year EUL</v>
      </c>
      <c r="DI4635" s="2336">
        <f>(INDEX('Avoided Cost Benefits'!$B$4:$B$866,MATCH(DH4635,'Avoided Cost Benefits'!$A$4:$A$866,0)))*F4635</f>
        <v>0</v>
      </c>
      <c r="DJ4635" s="2424">
        <f t="shared" si="409"/>
        <v>79</v>
      </c>
    </row>
    <row r="4636" spans="1:114" s="7" customFormat="1">
      <c r="A4636" s="453"/>
      <c r="B4636" s="2208">
        <f t="shared" si="404"/>
        <v>357109</v>
      </c>
      <c r="C4636" s="2714" t="s">
        <v>2639</v>
      </c>
      <c r="D4636" s="2409" t="s">
        <v>170</v>
      </c>
      <c r="E4636" s="2741" t="s">
        <v>2640</v>
      </c>
      <c r="F4636" s="2715">
        <f>ROUND(F4657*F4665*F4676*F4682*F4686+F4690*F4695*29.3,2)*0</f>
        <v>0</v>
      </c>
      <c r="G4636" s="2584" t="s">
        <v>1046</v>
      </c>
      <c r="H4636" s="2225">
        <f>VLOOKUP(G4636,'CP FACTORS'!$A$3:$B$38, 2, FALSE)</f>
        <v>0</v>
      </c>
      <c r="I4636" s="2716">
        <f t="shared" si="411"/>
        <v>0</v>
      </c>
      <c r="J4636" s="2480">
        <f t="shared" si="410"/>
        <v>11</v>
      </c>
      <c r="K4636" s="2718"/>
      <c r="L4636" s="3432" t="s">
        <v>62</v>
      </c>
      <c r="M4636" s="2696"/>
      <c r="N4636" s="2720"/>
      <c r="O4636" s="635"/>
      <c r="P4636" s="52"/>
      <c r="Q4636" s="533"/>
      <c r="R4636" s="532"/>
      <c r="S4636" s="66"/>
      <c r="T4636" s="66"/>
      <c r="U4636" s="66"/>
      <c r="V4636" s="2413" t="str">
        <f t="shared" si="412"/>
        <v>ECM Auto Fan ER1 - MF</v>
      </c>
      <c r="W4636" s="3035"/>
      <c r="X4636" s="2567"/>
      <c r="Y4636" s="2725"/>
      <c r="Z4636" s="2800"/>
      <c r="AA4636" s="2800"/>
      <c r="AB4636" s="2554"/>
      <c r="AC4636" s="2686"/>
      <c r="AD4636" s="2686"/>
      <c r="AE4636" s="2686"/>
      <c r="AF4636" s="2236">
        <f t="shared" si="407"/>
        <v>0</v>
      </c>
      <c r="AG4636" s="2413"/>
      <c r="AH4636" s="2728"/>
      <c r="AI4636" s="2723"/>
      <c r="AU4636" s="1505"/>
      <c r="DG4636" s="3261"/>
      <c r="DH4636" s="2558" t="str">
        <f t="shared" si="413"/>
        <v>Heating RES 11 Year EUL</v>
      </c>
      <c r="DI4636" s="2336">
        <f>(INDEX('Avoided Cost Benefits'!$B$4:$B$866,MATCH(DH4636,'Avoided Cost Benefits'!$A$4:$A$866,0)))*F4636</f>
        <v>0</v>
      </c>
      <c r="DJ4636" s="2424">
        <f t="shared" si="409"/>
        <v>0</v>
      </c>
    </row>
    <row r="4637" spans="1:114" s="7" customFormat="1">
      <c r="A4637" s="453"/>
      <c r="B4637" s="2208">
        <f t="shared" si="404"/>
        <v>357110</v>
      </c>
      <c r="C4637" s="2714" t="s">
        <v>2641</v>
      </c>
      <c r="D4637" s="2409" t="s">
        <v>170</v>
      </c>
      <c r="E4637" s="3431" t="s">
        <v>2642</v>
      </c>
      <c r="F4637" s="2715">
        <f>ROUND(F4700*((F4704*F4706*1/F4710)/1000)*F4711*F4686,2)*0</f>
        <v>0</v>
      </c>
      <c r="G4637" s="2584" t="s">
        <v>1045</v>
      </c>
      <c r="H4637" s="2225">
        <f>VLOOKUP(G4637,'CP FACTORS'!$A$3:$B$38, 2, FALSE)</f>
        <v>9.4741810000000004E-4</v>
      </c>
      <c r="I4637" s="2716">
        <f t="shared" si="411"/>
        <v>0</v>
      </c>
      <c r="J4637" s="2480">
        <f t="shared" si="410"/>
        <v>11</v>
      </c>
      <c r="K4637" s="2824">
        <f>F$4722</f>
        <v>79</v>
      </c>
      <c r="L4637" s="3432" t="s">
        <v>62</v>
      </c>
      <c r="M4637" s="2696"/>
      <c r="N4637" s="2720"/>
      <c r="O4637" s="635"/>
      <c r="P4637" s="90"/>
      <c r="Q4637" s="533"/>
      <c r="R4637" s="532"/>
      <c r="S4637" s="66"/>
      <c r="T4637" s="66"/>
      <c r="U4637" s="66"/>
      <c r="V4637" s="2413" t="str">
        <f t="shared" si="412"/>
        <v>ECM Auto Fan ER1 - MF</v>
      </c>
      <c r="W4637" s="3035"/>
      <c r="X4637" s="2567"/>
      <c r="Y4637" s="2725"/>
      <c r="Z4637" s="2800"/>
      <c r="AA4637" s="2800"/>
      <c r="AB4637" s="2554"/>
      <c r="AC4637" s="2663"/>
      <c r="AD4637" s="2686"/>
      <c r="AE4637" s="2686"/>
      <c r="AF4637" s="2236">
        <f t="shared" si="407"/>
        <v>0</v>
      </c>
      <c r="AG4637" s="2413"/>
      <c r="AH4637" s="2728"/>
      <c r="AI4637" s="2723"/>
      <c r="AU4637" s="1505"/>
      <c r="DG4637" s="3259">
        <f>(DI4637+DI4638)/(DJ4637+DJ4638)</f>
        <v>0</v>
      </c>
      <c r="DH4637" s="2557" t="str">
        <f t="shared" si="413"/>
        <v>Cooling RES 11 Year EUL</v>
      </c>
      <c r="DI4637" s="2336">
        <f>(INDEX('Avoided Cost Benefits'!$B$4:$B$866,MATCH(DH4637,'Avoided Cost Benefits'!$A$4:$A$866,0)))*F4637</f>
        <v>0</v>
      </c>
      <c r="DJ4637" s="2424">
        <f t="shared" si="409"/>
        <v>79</v>
      </c>
    </row>
    <row r="4638" spans="1:114" s="7" customFormat="1">
      <c r="A4638" s="453"/>
      <c r="B4638" s="2208">
        <f t="shared" si="404"/>
        <v>357110</v>
      </c>
      <c r="C4638" s="2714" t="s">
        <v>2641</v>
      </c>
      <c r="D4638" s="2409" t="s">
        <v>170</v>
      </c>
      <c r="E4638" s="2741" t="s">
        <v>2642</v>
      </c>
      <c r="F4638" s="2715">
        <f>ROUND(F4658*F4666*F4677*F4682*F4686+F4691*F4695*29.3,2)*0</f>
        <v>0</v>
      </c>
      <c r="G4638" s="2584" t="s">
        <v>1046</v>
      </c>
      <c r="H4638" s="2225">
        <f>VLOOKUP(G4638,'CP FACTORS'!$A$3:$B$38, 2, FALSE)</f>
        <v>0</v>
      </c>
      <c r="I4638" s="2716">
        <f t="shared" si="411"/>
        <v>0</v>
      </c>
      <c r="J4638" s="2480">
        <f t="shared" si="410"/>
        <v>11</v>
      </c>
      <c r="K4638" s="2718"/>
      <c r="L4638" s="3432" t="s">
        <v>62</v>
      </c>
      <c r="M4638" s="2696"/>
      <c r="N4638" s="2720"/>
      <c r="O4638" s="635"/>
      <c r="P4638" s="91"/>
      <c r="Q4638" s="533"/>
      <c r="R4638" s="532"/>
      <c r="S4638" s="66"/>
      <c r="T4638" s="66"/>
      <c r="U4638" s="66"/>
      <c r="V4638" s="2413" t="str">
        <f t="shared" si="412"/>
        <v>ECM Auto Fan ER1 - MF</v>
      </c>
      <c r="W4638" s="3035"/>
      <c r="X4638" s="3035"/>
      <c r="Y4638" s="2725"/>
      <c r="Z4638" s="2800"/>
      <c r="AA4638" s="2800"/>
      <c r="AB4638" s="2554"/>
      <c r="AC4638" s="2686"/>
      <c r="AD4638" s="2686"/>
      <c r="AE4638" s="2686"/>
      <c r="AF4638" s="2236">
        <f t="shared" si="407"/>
        <v>0</v>
      </c>
      <c r="AG4638" s="2413"/>
      <c r="AH4638" s="2728"/>
      <c r="AI4638" s="2723"/>
      <c r="AU4638" s="1505"/>
      <c r="DG4638" s="3261"/>
      <c r="DH4638" s="2558" t="str">
        <f t="shared" si="413"/>
        <v>Heating RES 11 Year EUL</v>
      </c>
      <c r="DI4638" s="2336">
        <f>(INDEX('Avoided Cost Benefits'!$B$4:$B$866,MATCH(DH4638,'Avoided Cost Benefits'!$A$4:$A$866,0)))*F4638</f>
        <v>0</v>
      </c>
      <c r="DJ4638" s="2424">
        <f t="shared" si="409"/>
        <v>0</v>
      </c>
    </row>
    <row r="4639" spans="1:114" s="7" customFormat="1">
      <c r="A4639" s="453"/>
      <c r="B4639" s="2208">
        <f t="shared" si="404"/>
        <v>357111</v>
      </c>
      <c r="C4639" s="2714" t="s">
        <v>2643</v>
      </c>
      <c r="D4639" s="2409" t="s">
        <v>1122</v>
      </c>
      <c r="E4639" s="3431" t="s">
        <v>2644</v>
      </c>
      <c r="F4639" s="2715">
        <f>ROUND(F4701*((F4704*F4707*1/F4710)/1000)*F4711*F4686,2)*0</f>
        <v>0</v>
      </c>
      <c r="G4639" s="2584" t="s">
        <v>1045</v>
      </c>
      <c r="H4639" s="2225">
        <f>VLOOKUP(G4639,'CP FACTORS'!$A$3:$B$38, 2, FALSE)</f>
        <v>9.4741810000000004E-4</v>
      </c>
      <c r="I4639" s="2716">
        <f t="shared" si="411"/>
        <v>0</v>
      </c>
      <c r="J4639" s="2480">
        <f t="shared" si="410"/>
        <v>11</v>
      </c>
      <c r="K4639" s="2824">
        <f>F$4722</f>
        <v>79</v>
      </c>
      <c r="L4639" s="3432" t="s">
        <v>62</v>
      </c>
      <c r="M4639" s="2696"/>
      <c r="N4639" s="2720"/>
      <c r="O4639" s="635"/>
      <c r="P4639" s="91"/>
      <c r="Q4639" s="533"/>
      <c r="R4639" s="532"/>
      <c r="S4639" s="66"/>
      <c r="T4639" s="66"/>
      <c r="U4639" s="66"/>
      <c r="V4639" s="2413" t="str">
        <f t="shared" si="412"/>
        <v>ECM Auto Fan ER1 - MF</v>
      </c>
      <c r="W4639" s="3035"/>
      <c r="X4639" s="3035"/>
      <c r="Y4639" s="2725"/>
      <c r="Z4639" s="2800"/>
      <c r="AA4639" s="2800"/>
      <c r="AB4639" s="2554"/>
      <c r="AC4639" s="2663"/>
      <c r="AD4639" s="2686"/>
      <c r="AE4639" s="2686"/>
      <c r="AF4639" s="2236">
        <f t="shared" si="407"/>
        <v>0</v>
      </c>
      <c r="AG4639" s="2413"/>
      <c r="AH4639" s="2728"/>
      <c r="AI4639" s="2723"/>
      <c r="AU4639" s="1505"/>
      <c r="DG4639" s="3259">
        <f>(DI4639+DI4640)/(DJ4639+DJ4640)</f>
        <v>0</v>
      </c>
      <c r="DH4639" s="2557" t="str">
        <f t="shared" si="413"/>
        <v>Cooling RES 11 Year EUL</v>
      </c>
      <c r="DI4639" s="2336">
        <f>(INDEX('Avoided Cost Benefits'!$B$4:$B$866,MATCH(DH4639,'Avoided Cost Benefits'!$A$4:$A$866,0)))*F4639</f>
        <v>0</v>
      </c>
      <c r="DJ4639" s="2424">
        <f t="shared" si="409"/>
        <v>79</v>
      </c>
    </row>
    <row r="4640" spans="1:114" s="7" customFormat="1">
      <c r="A4640" s="453"/>
      <c r="B4640" s="2208">
        <f t="shared" si="404"/>
        <v>357111</v>
      </c>
      <c r="C4640" s="2714" t="s">
        <v>2643</v>
      </c>
      <c r="D4640" s="2409" t="s">
        <v>1122</v>
      </c>
      <c r="E4640" s="2741" t="s">
        <v>2644</v>
      </c>
      <c r="F4640" s="2715">
        <f>ROUND(F4659*F4667*F4678*F4682*F4686+F4692*F4695*29.3,2)*0</f>
        <v>0</v>
      </c>
      <c r="G4640" s="2584" t="s">
        <v>1046</v>
      </c>
      <c r="H4640" s="2225">
        <f>VLOOKUP(G4640,'CP FACTORS'!$A$3:$B$38, 2, FALSE)</f>
        <v>0</v>
      </c>
      <c r="I4640" s="2716">
        <f t="shared" si="411"/>
        <v>0</v>
      </c>
      <c r="J4640" s="2480">
        <f t="shared" si="410"/>
        <v>11</v>
      </c>
      <c r="K4640" s="2718"/>
      <c r="L4640" s="3432" t="s">
        <v>62</v>
      </c>
      <c r="M4640" s="2696"/>
      <c r="N4640" s="2720"/>
      <c r="O4640" s="635"/>
      <c r="P4640" s="91"/>
      <c r="Q4640" s="533"/>
      <c r="R4640" s="532"/>
      <c r="S4640" s="66"/>
      <c r="T4640" s="66"/>
      <c r="U4640" s="66"/>
      <c r="V4640" s="2413" t="str">
        <f t="shared" si="412"/>
        <v>ECM Auto Fan ER1 - MF</v>
      </c>
      <c r="W4640" s="3035"/>
      <c r="X4640" s="3035"/>
      <c r="Y4640" s="2725"/>
      <c r="Z4640" s="2800"/>
      <c r="AA4640" s="2800"/>
      <c r="AB4640" s="2554"/>
      <c r="AC4640" s="2686"/>
      <c r="AD4640" s="2686"/>
      <c r="AE4640" s="2686"/>
      <c r="AF4640" s="2236">
        <f t="shared" si="407"/>
        <v>0</v>
      </c>
      <c r="AG4640" s="2413"/>
      <c r="AH4640" s="2728"/>
      <c r="AI4640" s="2723"/>
      <c r="AU4640" s="1505"/>
      <c r="DG4640" s="3261"/>
      <c r="DH4640" s="2558" t="str">
        <f t="shared" si="413"/>
        <v>Heating RES 11 Year EUL</v>
      </c>
      <c r="DI4640" s="2336">
        <f>(INDEX('Avoided Cost Benefits'!$B$4:$B$866,MATCH(DH4640,'Avoided Cost Benefits'!$A$4:$A$866,0)))*F4640</f>
        <v>0</v>
      </c>
      <c r="DJ4640" s="2424">
        <f t="shared" si="409"/>
        <v>0</v>
      </c>
    </row>
    <row r="4641" spans="1:114" s="7" customFormat="1">
      <c r="A4641" s="453"/>
      <c r="B4641" s="2208">
        <f t="shared" si="404"/>
        <v>357112</v>
      </c>
      <c r="C4641" s="2714" t="s">
        <v>2645</v>
      </c>
      <c r="D4641" s="2409" t="s">
        <v>170</v>
      </c>
      <c r="E4641" s="3431" t="s">
        <v>1063</v>
      </c>
      <c r="F4641" s="2715">
        <f>ROUND(F4702*((F4704*F4706*1/F4708)/1000)*F4711*F4686,2)*0</f>
        <v>0</v>
      </c>
      <c r="G4641" s="2584" t="s">
        <v>1045</v>
      </c>
      <c r="H4641" s="2225">
        <f>VLOOKUP(G4641,'CP FACTORS'!$A$3:$B$38, 2, FALSE)</f>
        <v>9.4741810000000004E-4</v>
      </c>
      <c r="I4641" s="2716">
        <f t="shared" si="411"/>
        <v>0</v>
      </c>
      <c r="J4641" s="2480">
        <f t="shared" si="410"/>
        <v>11</v>
      </c>
      <c r="K4641" s="2824">
        <f>F$4722</f>
        <v>79</v>
      </c>
      <c r="L4641" s="3432" t="s">
        <v>62</v>
      </c>
      <c r="M4641" s="2696"/>
      <c r="N4641" s="2720"/>
      <c r="O4641" s="635"/>
      <c r="P4641" s="52"/>
      <c r="Q4641" s="533"/>
      <c r="R4641" s="532"/>
      <c r="S4641" s="66"/>
      <c r="T4641" s="66"/>
      <c r="U4641" s="66"/>
      <c r="V4641" s="2413" t="str">
        <f t="shared" si="412"/>
        <v>ECM Auto Fan ER1 - MF</v>
      </c>
      <c r="W4641" s="3035"/>
      <c r="X4641" s="2567"/>
      <c r="Y4641" s="2725"/>
      <c r="Z4641" s="2800"/>
      <c r="AA4641" s="2800"/>
      <c r="AB4641" s="2554"/>
      <c r="AC4641" s="2663"/>
      <c r="AD4641" s="2686"/>
      <c r="AE4641" s="2686"/>
      <c r="AF4641" s="2236">
        <f t="shared" si="407"/>
        <v>0</v>
      </c>
      <c r="AG4641" s="2413"/>
      <c r="AH4641" s="2728"/>
      <c r="AI4641" s="2723"/>
      <c r="AU4641" s="1505"/>
      <c r="DG4641" s="3259">
        <f>(DI4641+DI4642)/(DJ4641+DJ4642)</f>
        <v>0</v>
      </c>
      <c r="DH4641" s="2557" t="str">
        <f t="shared" si="413"/>
        <v>Cooling RES 11 Year EUL</v>
      </c>
      <c r="DI4641" s="2336">
        <f>(INDEX('Avoided Cost Benefits'!$B$4:$B$866,MATCH(DH4641,'Avoided Cost Benefits'!$A$4:$A$866,0)))*F4641</f>
        <v>0</v>
      </c>
      <c r="DJ4641" s="2424">
        <f t="shared" si="409"/>
        <v>79</v>
      </c>
    </row>
    <row r="4642" spans="1:114" s="7" customFormat="1">
      <c r="A4642" s="453"/>
      <c r="B4642" s="2208">
        <f t="shared" si="404"/>
        <v>357112</v>
      </c>
      <c r="C4642" s="2714" t="s">
        <v>2645</v>
      </c>
      <c r="D4642" s="2409" t="s">
        <v>170</v>
      </c>
      <c r="E4642" s="2741" t="s">
        <v>1063</v>
      </c>
      <c r="F4642" s="2715">
        <f>ROUND(F4660*F4668*F4679*F4682*F4686+F4693*F4695*29.3,2)*0</f>
        <v>0</v>
      </c>
      <c r="G4642" s="2584" t="s">
        <v>1046</v>
      </c>
      <c r="H4642" s="2225">
        <f>VLOOKUP(G4642,'CP FACTORS'!$A$3:$B$38, 2, FALSE)</f>
        <v>0</v>
      </c>
      <c r="I4642" s="2716">
        <f t="shared" si="411"/>
        <v>0</v>
      </c>
      <c r="J4642" s="2480">
        <f t="shared" si="410"/>
        <v>11</v>
      </c>
      <c r="K4642" s="2718"/>
      <c r="L4642" s="3432" t="s">
        <v>62</v>
      </c>
      <c r="M4642" s="2696"/>
      <c r="N4642" s="2720"/>
      <c r="O4642" s="2696"/>
      <c r="P4642" s="283"/>
      <c r="Q4642" s="533"/>
      <c r="R4642" s="532"/>
      <c r="S4642" s="66"/>
      <c r="T4642" s="66"/>
      <c r="U4642" s="66"/>
      <c r="V4642" s="2413" t="str">
        <f t="shared" si="412"/>
        <v>ECM Auto Fan ER1 - MF</v>
      </c>
      <c r="W4642" s="3035"/>
      <c r="X4642" s="2567"/>
      <c r="Y4642" s="2725"/>
      <c r="Z4642" s="2800"/>
      <c r="AA4642" s="2800"/>
      <c r="AB4642" s="2554"/>
      <c r="AC4642" s="2663"/>
      <c r="AD4642" s="2686"/>
      <c r="AE4642" s="2686"/>
      <c r="AF4642" s="2236">
        <f t="shared" si="407"/>
        <v>0</v>
      </c>
      <c r="AG4642" s="2413"/>
      <c r="AH4642" s="2728"/>
      <c r="AI4642" s="2723"/>
      <c r="AU4642" s="1505"/>
      <c r="DG4642" s="3261"/>
      <c r="DH4642" s="2558" t="str">
        <f t="shared" si="413"/>
        <v>Heating RES 11 Year EUL</v>
      </c>
      <c r="DI4642" s="2336">
        <f>(INDEX('Avoided Cost Benefits'!$B$4:$B$866,MATCH(DH4642,'Avoided Cost Benefits'!$A$4:$A$866,0)))*F4642</f>
        <v>0</v>
      </c>
      <c r="DJ4642" s="2424">
        <f t="shared" si="409"/>
        <v>0</v>
      </c>
    </row>
    <row r="4643" spans="1:114" s="7" customFormat="1">
      <c r="A4643" s="453"/>
      <c r="B4643" s="2208">
        <f t="shared" si="404"/>
        <v>357113</v>
      </c>
      <c r="C4643" s="2714" t="s">
        <v>2646</v>
      </c>
      <c r="D4643" s="2409" t="s">
        <v>1122</v>
      </c>
      <c r="E4643" s="3431" t="s">
        <v>1066</v>
      </c>
      <c r="F4643" s="2715">
        <f>ROUND(F4703*((F4704*F4707*1/F4708)/1000)*F4711*F4686,2)*0</f>
        <v>0</v>
      </c>
      <c r="G4643" s="2584" t="s">
        <v>1045</v>
      </c>
      <c r="H4643" s="2225">
        <f>VLOOKUP(G4643,'CP FACTORS'!$A$3:$B$38, 2, FALSE)</f>
        <v>9.4741810000000004E-4</v>
      </c>
      <c r="I4643" s="2716">
        <f t="shared" si="411"/>
        <v>0</v>
      </c>
      <c r="J4643" s="2480">
        <f t="shared" si="410"/>
        <v>11</v>
      </c>
      <c r="K4643" s="2824">
        <f>F$4722</f>
        <v>79</v>
      </c>
      <c r="L4643" s="3432" t="s">
        <v>62</v>
      </c>
      <c r="M4643" s="2696"/>
      <c r="N4643" s="2720"/>
      <c r="O4643" s="2696"/>
      <c r="P4643" s="283"/>
      <c r="Q4643" s="533"/>
      <c r="R4643" s="532"/>
      <c r="S4643" s="66"/>
      <c r="T4643" s="66"/>
      <c r="U4643" s="66"/>
      <c r="V4643" s="2413" t="str">
        <f t="shared" si="412"/>
        <v>ECM Auto Fan ER1 - MF</v>
      </c>
      <c r="W4643" s="3035"/>
      <c r="X4643" s="2567"/>
      <c r="Y4643" s="2725"/>
      <c r="Z4643" s="2800"/>
      <c r="AA4643" s="2800"/>
      <c r="AB4643" s="2554"/>
      <c r="AC4643" s="2663"/>
      <c r="AD4643" s="2686"/>
      <c r="AE4643" s="2686"/>
      <c r="AF4643" s="2236">
        <f t="shared" si="407"/>
        <v>0</v>
      </c>
      <c r="AG4643" s="2413"/>
      <c r="AH4643" s="2728"/>
      <c r="AI4643" s="2723"/>
      <c r="AU4643" s="1505"/>
      <c r="DG4643" s="3259">
        <f>(DI4643+DI4644)/(DJ4643+DJ4644)</f>
        <v>0</v>
      </c>
      <c r="DH4643" s="2557" t="str">
        <f t="shared" si="413"/>
        <v>Cooling RES 11 Year EUL</v>
      </c>
      <c r="DI4643" s="2336">
        <f>(INDEX('Avoided Cost Benefits'!$B$4:$B$866,MATCH(DH4643,'Avoided Cost Benefits'!$A$4:$A$866,0)))*F4643</f>
        <v>0</v>
      </c>
      <c r="DJ4643" s="2424">
        <f t="shared" si="409"/>
        <v>79</v>
      </c>
    </row>
    <row r="4644" spans="1:114" s="7" customFormat="1">
      <c r="A4644" s="453"/>
      <c r="B4644" s="2208">
        <f t="shared" si="404"/>
        <v>357113</v>
      </c>
      <c r="C4644" s="2714" t="s">
        <v>2646</v>
      </c>
      <c r="D4644" s="2409" t="s">
        <v>1122</v>
      </c>
      <c r="E4644" s="2741" t="s">
        <v>1066</v>
      </c>
      <c r="F4644" s="2715">
        <f>ROUND(F4661*F4669*F4680*F4682*F4686+F4694*F4695*29.3,2)*0</f>
        <v>0</v>
      </c>
      <c r="G4644" s="2584" t="s">
        <v>1046</v>
      </c>
      <c r="H4644" s="2225">
        <f>VLOOKUP(G4644,'CP FACTORS'!$A$3:$B$38, 2, FALSE)</f>
        <v>0</v>
      </c>
      <c r="I4644" s="2716">
        <f t="shared" si="411"/>
        <v>0</v>
      </c>
      <c r="J4644" s="2480">
        <f t="shared" si="410"/>
        <v>11</v>
      </c>
      <c r="K4644" s="2718"/>
      <c r="L4644" s="3432" t="s">
        <v>62</v>
      </c>
      <c r="M4644" s="2696"/>
      <c r="N4644" s="2720"/>
      <c r="O4644" s="2696"/>
      <c r="P4644" s="283"/>
      <c r="Q4644" s="533"/>
      <c r="R4644" s="532"/>
      <c r="S4644" s="66"/>
      <c r="T4644" s="66"/>
      <c r="U4644" s="66"/>
      <c r="V4644" s="2413" t="str">
        <f t="shared" si="412"/>
        <v>ECM Auto Fan ER1 - MF</v>
      </c>
      <c r="W4644" s="3035"/>
      <c r="X4644" s="2567"/>
      <c r="Y4644" s="2725"/>
      <c r="Z4644" s="2800"/>
      <c r="AA4644" s="2800"/>
      <c r="AB4644" s="2554"/>
      <c r="AC4644" s="2663"/>
      <c r="AD4644" s="2686"/>
      <c r="AE4644" s="2686"/>
      <c r="AF4644" s="2236">
        <f t="shared" si="407"/>
        <v>0</v>
      </c>
      <c r="AG4644" s="2413"/>
      <c r="AH4644" s="2728"/>
      <c r="AI4644" s="2723"/>
      <c r="AU4644" s="1505"/>
      <c r="DG4644" s="3261"/>
      <c r="DH4644" s="2558" t="str">
        <f t="shared" si="413"/>
        <v>Heating RES 11 Year EUL</v>
      </c>
      <c r="DI4644" s="2336">
        <f>(INDEX('Avoided Cost Benefits'!$B$4:$B$866,MATCH(DH4644,'Avoided Cost Benefits'!$A$4:$A$866,0)))*F4644</f>
        <v>0</v>
      </c>
      <c r="DJ4644" s="2424">
        <f t="shared" si="409"/>
        <v>0</v>
      </c>
    </row>
    <row r="4645" spans="1:114" s="7" customFormat="1" hidden="1" outlineLevel="1">
      <c r="A4645" s="453"/>
      <c r="B4645" s="3425"/>
      <c r="C4645" s="3433"/>
      <c r="D4645" s="2219" t="s">
        <v>118</v>
      </c>
      <c r="E4645" s="2219" t="s">
        <v>1069</v>
      </c>
      <c r="F4645" s="2753" t="s">
        <v>1070</v>
      </c>
      <c r="G4645" s="2220"/>
      <c r="H4645" s="2220"/>
      <c r="I4645" s="2220"/>
      <c r="J4645" s="2220"/>
      <c r="K4645" s="2220"/>
      <c r="L4645" s="2220"/>
      <c r="M4645" s="2696"/>
      <c r="N4645" s="2720"/>
      <c r="O4645" s="2696"/>
      <c r="P4645" s="283"/>
      <c r="Q4645" s="533"/>
      <c r="R4645" s="66"/>
      <c r="S4645" s="66"/>
      <c r="T4645" s="66"/>
      <c r="U4645" s="66"/>
      <c r="V4645" s="2723"/>
      <c r="W4645" s="2723"/>
      <c r="X4645" s="2723"/>
      <c r="Y4645" s="2723"/>
      <c r="Z4645" s="2723"/>
      <c r="AA4645" s="2723"/>
      <c r="AB4645" s="2723"/>
      <c r="AC4645" s="2723"/>
      <c r="AD4645" s="2723"/>
      <c r="AE4645" s="2723"/>
      <c r="AF4645" s="2723"/>
      <c r="AG4645" s="2723"/>
      <c r="AH4645" s="2723"/>
      <c r="AI4645" s="2723"/>
      <c r="AU4645" s="1505"/>
      <c r="DG4645" s="1073"/>
      <c r="DH4645" s="66"/>
      <c r="DI4645" s="66"/>
      <c r="DJ4645" s="1102"/>
    </row>
    <row r="4646" spans="1:114" s="1509" customFormat="1" hidden="1" outlineLevel="1">
      <c r="A4646" s="453"/>
      <c r="B4646" s="3425"/>
      <c r="C4646" s="3433"/>
      <c r="D4646" s="3434" t="s">
        <v>963</v>
      </c>
      <c r="E4646" s="2753" t="s">
        <v>1071</v>
      </c>
      <c r="F4646" s="3435"/>
      <c r="G4646" s="2220"/>
      <c r="H4646" s="2220"/>
      <c r="I4646" s="2220"/>
      <c r="J4646" s="2220"/>
      <c r="K4646" s="2220"/>
      <c r="L4646" s="2220"/>
      <c r="M4646" s="2696"/>
      <c r="N4646" s="2720"/>
      <c r="O4646" s="2696"/>
      <c r="P4646" s="283"/>
      <c r="Q4646" s="75"/>
      <c r="R4646" s="75"/>
      <c r="S4646" s="75"/>
      <c r="T4646" s="75"/>
      <c r="U4646" s="75"/>
      <c r="V4646" s="2994"/>
      <c r="W4646" s="3043"/>
      <c r="X4646" s="3043"/>
      <c r="Y4646" s="3043"/>
      <c r="Z4646" s="3043"/>
      <c r="AA4646" s="3043"/>
      <c r="AB4646" s="3043"/>
      <c r="AC4646" s="3043"/>
      <c r="AD4646" s="3043"/>
      <c r="AE4646" s="3043"/>
      <c r="AF4646" s="3043"/>
      <c r="AG4646" s="3043"/>
      <c r="AH4646" s="3043"/>
      <c r="AI4646" s="3043"/>
      <c r="AU4646" s="1505"/>
      <c r="DG4646" s="1074"/>
      <c r="DH4646" s="75"/>
      <c r="DI4646" s="75"/>
      <c r="DJ4646" s="1102"/>
    </row>
    <row r="4647" spans="1:114" s="1509" customFormat="1" ht="18" hidden="1" customHeight="1" outlineLevel="1">
      <c r="A4647" s="453"/>
      <c r="B4647" s="3425"/>
      <c r="C4647" s="3433"/>
      <c r="D4647" s="3436" t="s">
        <v>1072</v>
      </c>
      <c r="E4647" s="3436" t="s">
        <v>1073</v>
      </c>
      <c r="F4647" s="3437"/>
      <c r="G4647" s="3437"/>
      <c r="H4647" s="3437"/>
      <c r="I4647" s="3437"/>
      <c r="J4647" s="3437"/>
      <c r="K4647" s="3437"/>
      <c r="L4647" s="3437"/>
      <c r="M4647" s="2696"/>
      <c r="N4647" s="2720"/>
      <c r="O4647" s="2696"/>
      <c r="P4647" s="532"/>
      <c r="Q4647" s="75"/>
      <c r="R4647" s="75"/>
      <c r="S4647" s="75"/>
      <c r="T4647" s="75"/>
      <c r="U4647" s="75"/>
      <c r="V4647" s="3043"/>
      <c r="W4647" s="3043"/>
      <c r="X4647" s="3043"/>
      <c r="Y4647" s="3043"/>
      <c r="Z4647" s="3043"/>
      <c r="AA4647" s="3043"/>
      <c r="AB4647" s="3043"/>
      <c r="AC4647" s="3043"/>
      <c r="AD4647" s="3043"/>
      <c r="AE4647" s="3043"/>
      <c r="AF4647" s="3043"/>
      <c r="AG4647" s="3043"/>
      <c r="AH4647" s="3043"/>
      <c r="AI4647" s="3043"/>
      <c r="AU4647" s="1505"/>
      <c r="DG4647" s="1074"/>
      <c r="DH4647" s="75"/>
      <c r="DI4647" s="75"/>
      <c r="DJ4647" s="1102"/>
    </row>
    <row r="4648" spans="1:114" s="1509" customFormat="1" ht="18" hidden="1" customHeight="1" outlineLevel="1">
      <c r="A4648" s="453"/>
      <c r="B4648" s="3425"/>
      <c r="C4648" s="3433"/>
      <c r="D4648" s="3436"/>
      <c r="E4648" s="3438" t="s">
        <v>2647</v>
      </c>
      <c r="F4648" s="3437"/>
      <c r="G4648" s="3437"/>
      <c r="H4648" s="3437"/>
      <c r="I4648" s="3437"/>
      <c r="J4648" s="3437"/>
      <c r="K4648" s="3437"/>
      <c r="L4648" s="3437"/>
      <c r="M4648" s="2696"/>
      <c r="N4648" s="2720"/>
      <c r="O4648" s="2696"/>
      <c r="P4648" s="532"/>
      <c r="Q4648" s="75"/>
      <c r="R4648" s="75"/>
      <c r="S4648" s="75"/>
      <c r="T4648" s="75"/>
      <c r="U4648" s="75"/>
      <c r="V4648" s="3043"/>
      <c r="W4648" s="3043"/>
      <c r="X4648" s="3043"/>
      <c r="Y4648" s="3043"/>
      <c r="Z4648" s="3043"/>
      <c r="AA4648" s="3043"/>
      <c r="AB4648" s="3043"/>
      <c r="AC4648" s="3043"/>
      <c r="AD4648" s="3043"/>
      <c r="AE4648" s="3043"/>
      <c r="AF4648" s="3043"/>
      <c r="AG4648" s="3043"/>
      <c r="AH4648" s="3043"/>
      <c r="AI4648" s="3043"/>
      <c r="AU4648" s="1505"/>
      <c r="DG4648" s="1074"/>
      <c r="DH4648" s="75"/>
      <c r="DI4648" s="75"/>
      <c r="DJ4648" s="1102"/>
    </row>
    <row r="4649" spans="1:114" s="1509" customFormat="1" ht="18" hidden="1" customHeight="1" outlineLevel="1">
      <c r="A4649" s="453"/>
      <c r="B4649" s="3425"/>
      <c r="C4649" s="3433"/>
      <c r="D4649" s="3436"/>
      <c r="E4649" s="3436" t="s">
        <v>1074</v>
      </c>
      <c r="F4649" s="3437"/>
      <c r="G4649" s="3437"/>
      <c r="H4649" s="3437"/>
      <c r="I4649" s="3437"/>
      <c r="J4649" s="3437"/>
      <c r="K4649" s="3437"/>
      <c r="L4649" s="3437"/>
      <c r="M4649" s="2696"/>
      <c r="N4649" s="2720"/>
      <c r="O4649" s="2696"/>
      <c r="P4649" s="532"/>
      <c r="Q4649" s="75"/>
      <c r="R4649" s="75"/>
      <c r="S4649" s="75"/>
      <c r="T4649" s="75"/>
      <c r="U4649" s="75"/>
      <c r="V4649" s="3043"/>
      <c r="W4649" s="3043"/>
      <c r="X4649" s="3043"/>
      <c r="Y4649" s="3043"/>
      <c r="Z4649" s="3043"/>
      <c r="AA4649" s="3043"/>
      <c r="AB4649" s="3043"/>
      <c r="AC4649" s="3043"/>
      <c r="AD4649" s="3043"/>
      <c r="AE4649" s="3043"/>
      <c r="AF4649" s="3043"/>
      <c r="AG4649" s="3043"/>
      <c r="AH4649" s="3043"/>
      <c r="AI4649" s="3043"/>
      <c r="AU4649" s="1505"/>
      <c r="DG4649" s="1074"/>
      <c r="DH4649" s="75"/>
      <c r="DI4649" s="75"/>
      <c r="DJ4649" s="1102"/>
    </row>
    <row r="4650" spans="1:114" s="1509" customFormat="1" ht="18" hidden="1" customHeight="1" outlineLevel="1">
      <c r="A4650" s="453"/>
      <c r="B4650" s="3425"/>
      <c r="C4650" s="3433"/>
      <c r="D4650" s="3436"/>
      <c r="E4650" s="3436" t="s">
        <v>1075</v>
      </c>
      <c r="F4650" s="3437"/>
      <c r="G4650" s="3437"/>
      <c r="H4650" s="3437"/>
      <c r="I4650" s="3437"/>
      <c r="J4650" s="3437"/>
      <c r="K4650" s="3437"/>
      <c r="L4650" s="3437"/>
      <c r="M4650" s="2696"/>
      <c r="N4650" s="2720"/>
      <c r="O4650" s="2696"/>
      <c r="P4650" s="532"/>
      <c r="Q4650" s="75"/>
      <c r="R4650" s="75"/>
      <c r="S4650" s="75"/>
      <c r="T4650" s="75"/>
      <c r="U4650" s="75"/>
      <c r="V4650" s="3043"/>
      <c r="W4650" s="3043"/>
      <c r="X4650" s="3043"/>
      <c r="Y4650" s="3043"/>
      <c r="Z4650" s="3043"/>
      <c r="AA4650" s="3043"/>
      <c r="AB4650" s="3043"/>
      <c r="AC4650" s="3043"/>
      <c r="AD4650" s="3043"/>
      <c r="AE4650" s="3043"/>
      <c r="AF4650" s="3043"/>
      <c r="AG4650" s="3043"/>
      <c r="AH4650" s="3043"/>
      <c r="AI4650" s="3043"/>
      <c r="AU4650" s="1505"/>
      <c r="DG4650" s="1074"/>
      <c r="DH4650" s="75"/>
      <c r="DI4650" s="75"/>
      <c r="DJ4650" s="1102"/>
    </row>
    <row r="4651" spans="1:114" s="1509" customFormat="1" ht="18" hidden="1" customHeight="1" outlineLevel="1">
      <c r="A4651" s="453"/>
      <c r="B4651" s="3425"/>
      <c r="C4651" s="3433"/>
      <c r="D4651" s="3436"/>
      <c r="E4651" s="3436" t="s">
        <v>1076</v>
      </c>
      <c r="F4651" s="3437"/>
      <c r="G4651" s="3437"/>
      <c r="H4651" s="3437"/>
      <c r="I4651" s="3437"/>
      <c r="J4651" s="3437"/>
      <c r="K4651" s="3437"/>
      <c r="L4651" s="3437"/>
      <c r="M4651" s="2696"/>
      <c r="N4651" s="2720"/>
      <c r="O4651" s="2696"/>
      <c r="P4651" s="532"/>
      <c r="Q4651" s="75"/>
      <c r="R4651" s="75"/>
      <c r="S4651" s="75"/>
      <c r="T4651" s="75"/>
      <c r="U4651" s="75"/>
      <c r="V4651" s="3043"/>
      <c r="W4651" s="3043"/>
      <c r="X4651" s="3043"/>
      <c r="Y4651" s="3043"/>
      <c r="Z4651" s="3043"/>
      <c r="AA4651" s="3043"/>
      <c r="AB4651" s="3043"/>
      <c r="AC4651" s="3043"/>
      <c r="AD4651" s="3043"/>
      <c r="AE4651" s="3043"/>
      <c r="AF4651" s="3043"/>
      <c r="AG4651" s="3043"/>
      <c r="AH4651" s="3043"/>
      <c r="AI4651" s="3043"/>
      <c r="AU4651" s="1505"/>
      <c r="DG4651" s="1074"/>
      <c r="DH4651" s="75"/>
      <c r="DI4651" s="75"/>
      <c r="DJ4651" s="1102"/>
    </row>
    <row r="4652" spans="1:114" s="1509" customFormat="1" ht="18" hidden="1" customHeight="1" outlineLevel="1">
      <c r="A4652" s="453"/>
      <c r="B4652" s="3425"/>
      <c r="C4652" s="3433"/>
      <c r="D4652" s="3436"/>
      <c r="E4652" s="3436"/>
      <c r="F4652" s="3437"/>
      <c r="G4652" s="3437"/>
      <c r="H4652" s="3437"/>
      <c r="I4652" s="3437"/>
      <c r="J4652" s="3437"/>
      <c r="K4652" s="3437"/>
      <c r="L4652" s="3437"/>
      <c r="M4652" s="2696"/>
      <c r="N4652" s="2720"/>
      <c r="O4652" s="2696"/>
      <c r="P4652" s="532"/>
      <c r="Q4652" s="75"/>
      <c r="R4652" s="75"/>
      <c r="S4652" s="75"/>
      <c r="T4652" s="75"/>
      <c r="U4652" s="75"/>
      <c r="V4652" s="3043"/>
      <c r="W4652" s="3043"/>
      <c r="X4652" s="3043"/>
      <c r="Y4652" s="3043"/>
      <c r="Z4652" s="3043"/>
      <c r="AA4652" s="3043"/>
      <c r="AB4652" s="3043"/>
      <c r="AC4652" s="3043"/>
      <c r="AD4652" s="3043"/>
      <c r="AE4652" s="3043"/>
      <c r="AF4652" s="3043"/>
      <c r="AG4652" s="3043"/>
      <c r="AH4652" s="3043"/>
      <c r="AI4652" s="3043"/>
      <c r="AU4652" s="1505"/>
      <c r="DG4652" s="1074"/>
      <c r="DH4652" s="75"/>
      <c r="DI4652" s="75"/>
      <c r="DJ4652" s="1102"/>
    </row>
    <row r="4653" spans="1:114" s="7" customFormat="1" hidden="1" outlineLevel="1">
      <c r="A4653" s="453"/>
      <c r="B4653" s="3425"/>
      <c r="C4653" s="3433"/>
      <c r="D4653" s="2996" t="s">
        <v>1078</v>
      </c>
      <c r="E4653" s="2996" t="s">
        <v>967</v>
      </c>
      <c r="F4653" s="2964" t="s">
        <v>969</v>
      </c>
      <c r="G4653" s="2964" t="s">
        <v>970</v>
      </c>
      <c r="H4653" s="2964" t="s">
        <v>1079</v>
      </c>
      <c r="I4653" s="2964" t="s">
        <v>1079</v>
      </c>
      <c r="J4653" s="2220"/>
      <c r="K4653" s="2112"/>
      <c r="L4653" s="2112"/>
      <c r="M4653" s="635"/>
      <c r="N4653" s="2720"/>
      <c r="O4653" s="2696"/>
      <c r="P4653" s="283"/>
      <c r="Q4653" s="283"/>
      <c r="R4653" s="66"/>
      <c r="S4653" s="66"/>
      <c r="T4653" s="66"/>
      <c r="U4653" s="66"/>
      <c r="V4653" s="2640" t="s">
        <v>52</v>
      </c>
      <c r="W4653" s="2641">
        <v>43252</v>
      </c>
      <c r="X4653" s="2641">
        <f>$X$6</f>
        <v>43465</v>
      </c>
      <c r="Y4653" s="2641">
        <f>$Y$6</f>
        <v>43800</v>
      </c>
      <c r="Z4653" s="2641">
        <f>$Z$6</f>
        <v>43862</v>
      </c>
      <c r="AA4653" s="2641">
        <f>$AA$6</f>
        <v>44013</v>
      </c>
      <c r="AB4653" s="2641">
        <f>$AB$6</f>
        <v>44166</v>
      </c>
      <c r="AC4653" s="2641">
        <f>$AC$6</f>
        <v>44531</v>
      </c>
      <c r="AD4653" s="2641">
        <f>$AD$6</f>
        <v>44774</v>
      </c>
      <c r="AE4653" s="2641">
        <f>$AE$6</f>
        <v>45142</v>
      </c>
      <c r="AF4653" s="2641">
        <f>$AF$6</f>
        <v>45672</v>
      </c>
      <c r="AG4653" s="2641" t="str">
        <f>$AG$6</f>
        <v>-</v>
      </c>
      <c r="AH4653" s="3043"/>
      <c r="AI4653" s="2723"/>
      <c r="AU4653" s="1505"/>
      <c r="DG4653" s="1073"/>
      <c r="DH4653" s="66"/>
      <c r="DI4653" s="66"/>
      <c r="DJ4653" s="1102"/>
    </row>
    <row r="4654" spans="1:114" s="7" customFormat="1" hidden="1" outlineLevel="1">
      <c r="A4654" s="453"/>
      <c r="B4654" s="3425"/>
      <c r="C4654" s="3433"/>
      <c r="D4654" s="4304" t="s">
        <v>353</v>
      </c>
      <c r="E4654" s="2785" t="s">
        <v>1044</v>
      </c>
      <c r="F4654" s="3440">
        <v>1</v>
      </c>
      <c r="G4654" s="4059"/>
      <c r="H4654" s="4060"/>
      <c r="I4654" s="1597"/>
      <c r="J4654" s="2220"/>
      <c r="K4654" s="2112"/>
      <c r="L4654" s="2112"/>
      <c r="M4654" s="2086"/>
      <c r="N4654" s="2720"/>
      <c r="O4654" s="2696"/>
      <c r="P4654" s="283"/>
      <c r="Q4654" s="283"/>
      <c r="R4654" s="66"/>
      <c r="S4654" s="66"/>
      <c r="T4654" s="66"/>
      <c r="U4654" s="66"/>
      <c r="V4654" s="4319" t="s">
        <v>353</v>
      </c>
      <c r="W4654" s="2793"/>
      <c r="X4654" s="2793"/>
      <c r="Y4654" s="2793"/>
      <c r="Z4654" s="2794"/>
      <c r="AA4654" s="2794"/>
      <c r="AB4654" s="2794"/>
      <c r="AC4654" s="2789"/>
      <c r="AD4654" s="2789"/>
      <c r="AE4654" s="2789"/>
      <c r="AF4654" s="2236">
        <f t="shared" ref="AF4654:AF4685" si="416">IF(F4654&lt;&gt;"",F4654,"")</f>
        <v>1</v>
      </c>
      <c r="AG4654" s="2793"/>
      <c r="AH4654" s="3043"/>
      <c r="AI4654" s="2723"/>
      <c r="AU4654" s="1505"/>
      <c r="DG4654" s="1073"/>
      <c r="DH4654" s="66"/>
      <c r="DI4654" s="66"/>
      <c r="DJ4654" s="1102"/>
    </row>
    <row r="4655" spans="1:114" s="7" customFormat="1" hidden="1" outlineLevel="1">
      <c r="A4655" s="453"/>
      <c r="B4655" s="3425"/>
      <c r="C4655" s="3433"/>
      <c r="D4655" s="4305"/>
      <c r="E4655" s="2785" t="s">
        <v>1048</v>
      </c>
      <c r="F4655" s="3440">
        <v>1</v>
      </c>
      <c r="G4655" s="4059"/>
      <c r="H4655" s="4060"/>
      <c r="I4655" s="1597"/>
      <c r="J4655" s="2220"/>
      <c r="K4655" s="2112"/>
      <c r="L4655" s="2112"/>
      <c r="M4655" s="2086"/>
      <c r="N4655" s="2720"/>
      <c r="O4655" s="2696"/>
      <c r="P4655" s="283"/>
      <c r="Q4655" s="283"/>
      <c r="R4655" s="66"/>
      <c r="S4655" s="66"/>
      <c r="T4655" s="66"/>
      <c r="U4655" s="66"/>
      <c r="V4655" s="4320"/>
      <c r="W4655" s="2793"/>
      <c r="X4655" s="2793"/>
      <c r="Y4655" s="2793"/>
      <c r="Z4655" s="2794"/>
      <c r="AA4655" s="2794"/>
      <c r="AB4655" s="2794"/>
      <c r="AC4655" s="2789"/>
      <c r="AD4655" s="2789"/>
      <c r="AE4655" s="2789"/>
      <c r="AF4655" s="2236">
        <f t="shared" si="416"/>
        <v>1</v>
      </c>
      <c r="AG4655" s="2793"/>
      <c r="AH4655" s="3043"/>
      <c r="AI4655" s="2723"/>
      <c r="AU4655" s="1505"/>
      <c r="DG4655" s="1073"/>
      <c r="DH4655" s="66"/>
      <c r="DI4655" s="66"/>
      <c r="DJ4655" s="1102"/>
    </row>
    <row r="4656" spans="1:114" s="7" customFormat="1" hidden="1" outlineLevel="1">
      <c r="A4656" s="453"/>
      <c r="B4656" s="3425"/>
      <c r="C4656" s="3433"/>
      <c r="D4656" s="4305"/>
      <c r="E4656" s="2785" t="s">
        <v>1051</v>
      </c>
      <c r="F4656" s="3440">
        <v>1</v>
      </c>
      <c r="G4656" s="4059"/>
      <c r="H4656" s="4060"/>
      <c r="I4656" s="1597"/>
      <c r="J4656" s="2220"/>
      <c r="K4656" s="2112"/>
      <c r="L4656" s="2112"/>
      <c r="M4656" s="2086"/>
      <c r="N4656" s="2720"/>
      <c r="O4656" s="2696"/>
      <c r="P4656" s="283"/>
      <c r="Q4656" s="283"/>
      <c r="R4656" s="66"/>
      <c r="S4656" s="66"/>
      <c r="T4656" s="66"/>
      <c r="U4656" s="66"/>
      <c r="V4656" s="4320"/>
      <c r="W4656" s="2793"/>
      <c r="X4656" s="2793"/>
      <c r="Y4656" s="2793"/>
      <c r="Z4656" s="2794"/>
      <c r="AA4656" s="2794"/>
      <c r="AB4656" s="2794"/>
      <c r="AC4656" s="2789"/>
      <c r="AD4656" s="2789"/>
      <c r="AE4656" s="2789"/>
      <c r="AF4656" s="2236">
        <f t="shared" si="416"/>
        <v>1</v>
      </c>
      <c r="AG4656" s="2793"/>
      <c r="AH4656" s="3043"/>
      <c r="AI4656" s="2723"/>
      <c r="AU4656" s="1505"/>
      <c r="DG4656" s="1073"/>
      <c r="DH4656" s="66"/>
      <c r="DI4656" s="66"/>
      <c r="DJ4656" s="1102"/>
    </row>
    <row r="4657" spans="1:114" s="7" customFormat="1" hidden="1" outlineLevel="1">
      <c r="A4657" s="453"/>
      <c r="B4657" s="3425"/>
      <c r="C4657" s="3433"/>
      <c r="D4657" s="4305"/>
      <c r="E4657" s="2832" t="s">
        <v>1054</v>
      </c>
      <c r="F4657" s="3440">
        <v>1</v>
      </c>
      <c r="G4657" s="4059"/>
      <c r="H4657" s="4060"/>
      <c r="I4657" s="1597"/>
      <c r="J4657" s="2220"/>
      <c r="K4657" s="2112"/>
      <c r="L4657" s="2112"/>
      <c r="M4657" s="2086"/>
      <c r="N4657" s="2720"/>
      <c r="O4657" s="2696"/>
      <c r="P4657" s="283"/>
      <c r="Q4657" s="283"/>
      <c r="R4657" s="66"/>
      <c r="S4657" s="66"/>
      <c r="T4657" s="66"/>
      <c r="U4657" s="66"/>
      <c r="V4657" s="4320"/>
      <c r="W4657" s="2793"/>
      <c r="X4657" s="2793"/>
      <c r="Y4657" s="2793"/>
      <c r="Z4657" s="2794"/>
      <c r="AA4657" s="2794"/>
      <c r="AB4657" s="2794"/>
      <c r="AC4657" s="2789"/>
      <c r="AD4657" s="2789"/>
      <c r="AE4657" s="2789"/>
      <c r="AF4657" s="2236">
        <f t="shared" si="416"/>
        <v>1</v>
      </c>
      <c r="AG4657" s="2793"/>
      <c r="AH4657" s="3043"/>
      <c r="AI4657" s="2723"/>
      <c r="AU4657" s="1505"/>
      <c r="DG4657" s="1073"/>
      <c r="DH4657" s="66"/>
      <c r="DI4657" s="66"/>
      <c r="DJ4657" s="1102"/>
    </row>
    <row r="4658" spans="1:114" s="7" customFormat="1" hidden="1" outlineLevel="1">
      <c r="A4658" s="453"/>
      <c r="B4658" s="3425"/>
      <c r="C4658" s="3433"/>
      <c r="D4658" s="4305"/>
      <c r="E4658" s="2832" t="s">
        <v>1056</v>
      </c>
      <c r="F4658" s="3440">
        <v>0</v>
      </c>
      <c r="G4658" s="4059"/>
      <c r="H4658" s="4060"/>
      <c r="I4658" s="1597"/>
      <c r="J4658" s="2220"/>
      <c r="K4658" s="2112"/>
      <c r="L4658" s="2112"/>
      <c r="M4658" s="2086"/>
      <c r="N4658" s="2720"/>
      <c r="O4658" s="2696"/>
      <c r="P4658" s="283"/>
      <c r="Q4658" s="283"/>
      <c r="R4658" s="66"/>
      <c r="S4658" s="66"/>
      <c r="T4658" s="66"/>
      <c r="U4658" s="66"/>
      <c r="V4658" s="4320"/>
      <c r="W4658" s="2793"/>
      <c r="X4658" s="2793"/>
      <c r="Y4658" s="2793"/>
      <c r="Z4658" s="2794"/>
      <c r="AA4658" s="2794"/>
      <c r="AB4658" s="2794"/>
      <c r="AC4658" s="2789"/>
      <c r="AD4658" s="2789"/>
      <c r="AE4658" s="2789"/>
      <c r="AF4658" s="2236">
        <f t="shared" si="416"/>
        <v>0</v>
      </c>
      <c r="AG4658" s="2793"/>
      <c r="AH4658" s="3043"/>
      <c r="AI4658" s="2723"/>
      <c r="AU4658" s="1505"/>
      <c r="DG4658" s="1073"/>
      <c r="DH4658" s="66"/>
      <c r="DI4658" s="66"/>
      <c r="DJ4658" s="1102"/>
    </row>
    <row r="4659" spans="1:114" s="7" customFormat="1" hidden="1" outlineLevel="1">
      <c r="A4659" s="453"/>
      <c r="B4659" s="3425"/>
      <c r="C4659" s="3433"/>
      <c r="D4659" s="4305"/>
      <c r="E4659" s="2832" t="s">
        <v>1058</v>
      </c>
      <c r="F4659" s="3440">
        <v>0</v>
      </c>
      <c r="G4659" s="4059"/>
      <c r="H4659" s="4060"/>
      <c r="I4659" s="1597"/>
      <c r="J4659" s="2220"/>
      <c r="K4659" s="2112"/>
      <c r="L4659" s="2112"/>
      <c r="M4659" s="2086"/>
      <c r="N4659" s="2720"/>
      <c r="O4659" s="2696"/>
      <c r="P4659" s="283"/>
      <c r="Q4659" s="283"/>
      <c r="R4659" s="66"/>
      <c r="S4659" s="66"/>
      <c r="T4659" s="66"/>
      <c r="U4659" s="66"/>
      <c r="V4659" s="4320"/>
      <c r="W4659" s="2793"/>
      <c r="X4659" s="2793"/>
      <c r="Y4659" s="2796"/>
      <c r="Z4659" s="2794"/>
      <c r="AA4659" s="2794"/>
      <c r="AB4659" s="2794"/>
      <c r="AC4659" s="2789"/>
      <c r="AD4659" s="2789"/>
      <c r="AE4659" s="2789"/>
      <c r="AF4659" s="2236">
        <f t="shared" si="416"/>
        <v>0</v>
      </c>
      <c r="AG4659" s="2793"/>
      <c r="AH4659" s="3043"/>
      <c r="AI4659" s="2723"/>
      <c r="AU4659" s="1505"/>
      <c r="DG4659" s="1073"/>
      <c r="DH4659" s="66"/>
      <c r="DI4659" s="66"/>
      <c r="DJ4659" s="1102"/>
    </row>
    <row r="4660" spans="1:114" s="7" customFormat="1" hidden="1" outlineLevel="1">
      <c r="A4660" s="453"/>
      <c r="B4660" s="3425"/>
      <c r="C4660" s="3433"/>
      <c r="D4660" s="4305"/>
      <c r="E4660" s="2832" t="s">
        <v>1063</v>
      </c>
      <c r="F4660" s="3440">
        <v>0.33</v>
      </c>
      <c r="G4660" s="4329" t="s">
        <v>2648</v>
      </c>
      <c r="H4660" s="4330"/>
      <c r="I4660" s="1597"/>
      <c r="J4660" s="2220"/>
      <c r="K4660" s="2112"/>
      <c r="L4660" s="2112"/>
      <c r="M4660" s="2086"/>
      <c r="N4660" s="2720"/>
      <c r="O4660" s="2696"/>
      <c r="P4660" s="283"/>
      <c r="Q4660" s="283"/>
      <c r="R4660" s="66"/>
      <c r="S4660" s="66"/>
      <c r="T4660" s="66"/>
      <c r="U4660" s="66"/>
      <c r="V4660" s="4320"/>
      <c r="W4660" s="2793"/>
      <c r="X4660" s="2797"/>
      <c r="Y4660" s="3038"/>
      <c r="Z4660" s="3039"/>
      <c r="AA4660" s="3039"/>
      <c r="AB4660" s="2794"/>
      <c r="AC4660" s="2797"/>
      <c r="AD4660" s="2789"/>
      <c r="AE4660" s="2789"/>
      <c r="AF4660" s="2236">
        <f t="shared" si="416"/>
        <v>0.33</v>
      </c>
      <c r="AG4660" s="2793"/>
      <c r="AH4660" s="3043"/>
      <c r="AI4660" s="2723"/>
      <c r="AU4660" s="1505"/>
      <c r="DG4660" s="1073"/>
      <c r="DH4660" s="66"/>
      <c r="DI4660" s="66"/>
      <c r="DJ4660" s="1102"/>
    </row>
    <row r="4661" spans="1:114" s="7" customFormat="1" hidden="1" outlineLevel="1">
      <c r="A4661" s="453"/>
      <c r="B4661" s="3425"/>
      <c r="C4661" s="3433"/>
      <c r="D4661" s="4306"/>
      <c r="E4661" s="2832" t="s">
        <v>1066</v>
      </c>
      <c r="F4661" s="3440">
        <v>0.33</v>
      </c>
      <c r="G4661" s="4331"/>
      <c r="H4661" s="4332"/>
      <c r="I4661" s="1597"/>
      <c r="J4661" s="2220"/>
      <c r="K4661" s="2112"/>
      <c r="L4661" s="2112"/>
      <c r="M4661" s="2086"/>
      <c r="N4661" s="2720"/>
      <c r="O4661" s="2696"/>
      <c r="P4661" s="283"/>
      <c r="Q4661" s="283"/>
      <c r="R4661" s="66"/>
      <c r="S4661" s="66"/>
      <c r="T4661" s="66"/>
      <c r="U4661" s="66"/>
      <c r="V4661" s="4160"/>
      <c r="W4661" s="2793"/>
      <c r="X4661" s="2797"/>
      <c r="Y4661" s="3038"/>
      <c r="Z4661" s="3039"/>
      <c r="AA4661" s="3039"/>
      <c r="AB4661" s="2794"/>
      <c r="AC4661" s="2797"/>
      <c r="AD4661" s="2789"/>
      <c r="AE4661" s="2789"/>
      <c r="AF4661" s="2236">
        <f t="shared" si="416"/>
        <v>0.33</v>
      </c>
      <c r="AG4661" s="2793"/>
      <c r="AH4661" s="3043"/>
      <c r="AI4661" s="2723"/>
      <c r="AU4661" s="1505"/>
      <c r="DG4661" s="1073"/>
      <c r="DH4661" s="66"/>
      <c r="DI4661" s="66"/>
      <c r="DJ4661" s="1102"/>
    </row>
    <row r="4662" spans="1:114" s="7" customFormat="1" ht="15" hidden="1" customHeight="1" outlineLevel="1">
      <c r="A4662" s="453"/>
      <c r="B4662" s="3425"/>
      <c r="C4662" s="3433"/>
      <c r="D4662" s="4304" t="s">
        <v>1082</v>
      </c>
      <c r="E4662" s="2785" t="s">
        <v>1044</v>
      </c>
      <c r="F4662" s="3441">
        <v>8354.8764478764479</v>
      </c>
      <c r="G4662" s="4334" t="s">
        <v>1083</v>
      </c>
      <c r="H4662" s="4335"/>
      <c r="I4662" s="3442"/>
      <c r="J4662" s="2220"/>
      <c r="K4662" s="2112"/>
      <c r="L4662" s="2112"/>
      <c r="M4662" s="2086"/>
      <c r="N4662" s="2720"/>
      <c r="O4662" s="2696"/>
      <c r="P4662" s="283"/>
      <c r="Q4662" s="283"/>
      <c r="R4662" s="66"/>
      <c r="S4662" s="66"/>
      <c r="T4662" s="66"/>
      <c r="U4662" s="66"/>
      <c r="V4662" s="4319" t="s">
        <v>1082</v>
      </c>
      <c r="W4662" s="2586"/>
      <c r="X4662" s="2494"/>
      <c r="Y4662" s="2494"/>
      <c r="Z4662" s="2821"/>
      <c r="AA4662" s="2821"/>
      <c r="AB4662" s="2821"/>
      <c r="AC4662" s="2821"/>
      <c r="AD4662" s="2821"/>
      <c r="AE4662" s="2821"/>
      <c r="AF4662" s="2236">
        <f t="shared" si="416"/>
        <v>8354.8764478764479</v>
      </c>
      <c r="AG4662" s="2586"/>
      <c r="AH4662" s="3043"/>
      <c r="AI4662" s="2723"/>
      <c r="AU4662" s="1505"/>
      <c r="DG4662" s="1073"/>
      <c r="DH4662" s="66"/>
      <c r="DI4662" s="66"/>
      <c r="DJ4662" s="1102"/>
    </row>
    <row r="4663" spans="1:114" s="7" customFormat="1" hidden="1" outlineLevel="1">
      <c r="A4663" s="453"/>
      <c r="B4663" s="3425"/>
      <c r="C4663" s="3433"/>
      <c r="D4663" s="4305"/>
      <c r="E4663" s="2785" t="s">
        <v>1048</v>
      </c>
      <c r="F4663" s="3441">
        <v>8355</v>
      </c>
      <c r="G4663" s="4336"/>
      <c r="H4663" s="4337"/>
      <c r="I4663" s="3443"/>
      <c r="J4663" s="2220"/>
      <c r="K4663" s="2112"/>
      <c r="L4663" s="2112"/>
      <c r="M4663" s="2086"/>
      <c r="N4663" s="2720"/>
      <c r="O4663" s="2696"/>
      <c r="P4663" s="283"/>
      <c r="Q4663" s="283"/>
      <c r="R4663" s="66"/>
      <c r="S4663" s="66"/>
      <c r="T4663" s="66"/>
      <c r="U4663" s="66"/>
      <c r="V4663" s="4320"/>
      <c r="W4663" s="2586"/>
      <c r="X4663" s="2494"/>
      <c r="Y4663" s="2494"/>
      <c r="Z4663" s="2821"/>
      <c r="AA4663" s="2821"/>
      <c r="AB4663" s="2821"/>
      <c r="AC4663" s="2821"/>
      <c r="AD4663" s="2821"/>
      <c r="AE4663" s="2821"/>
      <c r="AF4663" s="2236">
        <f t="shared" si="416"/>
        <v>8355</v>
      </c>
      <c r="AG4663" s="2586"/>
      <c r="AH4663" s="3043"/>
      <c r="AI4663" s="2723"/>
      <c r="AU4663" s="1505"/>
      <c r="DG4663" s="1073"/>
      <c r="DH4663" s="66"/>
      <c r="DI4663" s="66"/>
      <c r="DJ4663" s="1102"/>
    </row>
    <row r="4664" spans="1:114" s="7" customFormat="1" hidden="1" outlineLevel="1">
      <c r="A4664" s="453"/>
      <c r="B4664" s="3425"/>
      <c r="C4664" s="3433"/>
      <c r="D4664" s="4305"/>
      <c r="E4664" s="2785" t="s">
        <v>1051</v>
      </c>
      <c r="F4664" s="3441">
        <v>14201.965811965812</v>
      </c>
      <c r="G4664" s="4336"/>
      <c r="H4664" s="4337"/>
      <c r="I4664" s="3444"/>
      <c r="J4664" s="2220"/>
      <c r="K4664" s="2112"/>
      <c r="L4664" s="2112"/>
      <c r="M4664" s="2086"/>
      <c r="N4664" s="2720"/>
      <c r="O4664" s="2696"/>
      <c r="P4664" s="283"/>
      <c r="Q4664" s="283"/>
      <c r="R4664" s="66"/>
      <c r="S4664" s="66"/>
      <c r="T4664" s="66"/>
      <c r="U4664" s="66"/>
      <c r="V4664" s="4320"/>
      <c r="W4664" s="2586"/>
      <c r="X4664" s="2494"/>
      <c r="Y4664" s="2494"/>
      <c r="Z4664" s="2821"/>
      <c r="AA4664" s="2821"/>
      <c r="AB4664" s="2821"/>
      <c r="AC4664" s="2821"/>
      <c r="AD4664" s="2821"/>
      <c r="AE4664" s="2821"/>
      <c r="AF4664" s="2236">
        <f t="shared" si="416"/>
        <v>14201.965811965812</v>
      </c>
      <c r="AG4664" s="2586"/>
      <c r="AH4664" s="3043"/>
      <c r="AI4664" s="2723"/>
      <c r="AU4664" s="1505"/>
      <c r="DG4664" s="1073"/>
      <c r="DH4664" s="66"/>
      <c r="DI4664" s="66"/>
      <c r="DJ4664" s="1102"/>
    </row>
    <row r="4665" spans="1:114" s="7" customFormat="1" hidden="1" outlineLevel="1">
      <c r="A4665" s="453"/>
      <c r="B4665" s="3425"/>
      <c r="C4665" s="3433"/>
      <c r="D4665" s="4305"/>
      <c r="E4665" s="2785" t="s">
        <v>1054</v>
      </c>
      <c r="F4665" s="3441">
        <v>14201.965811965812</v>
      </c>
      <c r="G4665" s="4336"/>
      <c r="H4665" s="4337"/>
      <c r="I4665" s="3444"/>
      <c r="J4665" s="2220"/>
      <c r="K4665" s="2112"/>
      <c r="L4665" s="2112"/>
      <c r="M4665" s="2086"/>
      <c r="N4665" s="2720"/>
      <c r="O4665" s="2696"/>
      <c r="P4665" s="283"/>
      <c r="Q4665" s="283"/>
      <c r="R4665" s="66"/>
      <c r="S4665" s="66"/>
      <c r="T4665" s="66"/>
      <c r="U4665" s="66"/>
      <c r="V4665" s="4320"/>
      <c r="W4665" s="2586"/>
      <c r="X4665" s="2494"/>
      <c r="Y4665" s="2494"/>
      <c r="Z4665" s="2821"/>
      <c r="AA4665" s="2821"/>
      <c r="AB4665" s="2821"/>
      <c r="AC4665" s="2821"/>
      <c r="AD4665" s="2821"/>
      <c r="AE4665" s="2821"/>
      <c r="AF4665" s="2236">
        <f t="shared" si="416"/>
        <v>14201.965811965812</v>
      </c>
      <c r="AG4665" s="2586"/>
      <c r="AH4665" s="3043"/>
      <c r="AI4665" s="2723"/>
      <c r="AU4665" s="1505"/>
      <c r="DG4665" s="1073"/>
      <c r="DH4665" s="66"/>
      <c r="DI4665" s="66"/>
      <c r="DJ4665" s="1102"/>
    </row>
    <row r="4666" spans="1:114" s="7" customFormat="1" hidden="1" outlineLevel="1">
      <c r="A4666" s="453"/>
      <c r="B4666" s="3425"/>
      <c r="C4666" s="3433"/>
      <c r="D4666" s="4305"/>
      <c r="E4666" s="2785" t="s">
        <v>1056</v>
      </c>
      <c r="F4666" s="3445">
        <v>0</v>
      </c>
      <c r="G4666" s="4336"/>
      <c r="H4666" s="4337"/>
      <c r="I4666" s="3444"/>
      <c r="J4666" s="2220"/>
      <c r="K4666" s="2112"/>
      <c r="L4666" s="2112"/>
      <c r="M4666" s="2086"/>
      <c r="N4666" s="2720"/>
      <c r="O4666" s="2696"/>
      <c r="P4666" s="283"/>
      <c r="Q4666" s="283"/>
      <c r="R4666" s="66"/>
      <c r="S4666" s="66"/>
      <c r="T4666" s="66"/>
      <c r="U4666" s="66"/>
      <c r="V4666" s="4320"/>
      <c r="W4666" s="2586"/>
      <c r="X4666" s="2587"/>
      <c r="Y4666" s="2493"/>
      <c r="Z4666" s="2821"/>
      <c r="AA4666" s="2821"/>
      <c r="AB4666" s="2821"/>
      <c r="AC4666" s="2821"/>
      <c r="AD4666" s="2821"/>
      <c r="AE4666" s="2821"/>
      <c r="AF4666" s="2236">
        <f t="shared" si="416"/>
        <v>0</v>
      </c>
      <c r="AG4666" s="2586"/>
      <c r="AH4666" s="3043"/>
      <c r="AI4666" s="2723"/>
      <c r="AU4666" s="1505"/>
      <c r="DG4666" s="1073"/>
      <c r="DH4666" s="66"/>
      <c r="DI4666" s="66"/>
      <c r="DJ4666" s="1102"/>
    </row>
    <row r="4667" spans="1:114" s="7" customFormat="1" hidden="1" outlineLevel="1">
      <c r="A4667" s="453"/>
      <c r="B4667" s="3425"/>
      <c r="C4667" s="3433"/>
      <c r="D4667" s="4305"/>
      <c r="E4667" s="2785" t="s">
        <v>1058</v>
      </c>
      <c r="F4667" s="3445">
        <v>0</v>
      </c>
      <c r="G4667" s="4336"/>
      <c r="H4667" s="4337"/>
      <c r="I4667" s="3444"/>
      <c r="J4667" s="2220"/>
      <c r="K4667" s="2112"/>
      <c r="L4667" s="2112"/>
      <c r="M4667" s="2086"/>
      <c r="N4667" s="2720"/>
      <c r="O4667" s="2696"/>
      <c r="P4667" s="283"/>
      <c r="Q4667" s="283"/>
      <c r="R4667" s="66"/>
      <c r="S4667" s="66"/>
      <c r="T4667" s="66"/>
      <c r="U4667" s="66"/>
      <c r="V4667" s="4320"/>
      <c r="W4667" s="2586"/>
      <c r="X4667" s="2587"/>
      <c r="Y4667" s="2494"/>
      <c r="Z4667" s="2821"/>
      <c r="AA4667" s="2821"/>
      <c r="AB4667" s="2821"/>
      <c r="AC4667" s="2821"/>
      <c r="AD4667" s="2821"/>
      <c r="AE4667" s="2821"/>
      <c r="AF4667" s="2236">
        <f t="shared" si="416"/>
        <v>0</v>
      </c>
      <c r="AG4667" s="2586"/>
      <c r="AH4667" s="3043"/>
      <c r="AI4667" s="2723"/>
      <c r="AU4667" s="1505"/>
      <c r="DG4667" s="1073"/>
      <c r="DH4667" s="66"/>
      <c r="DI4667" s="66"/>
      <c r="DJ4667" s="1102"/>
    </row>
    <row r="4668" spans="1:114" s="7" customFormat="1" hidden="1" outlineLevel="1">
      <c r="A4668" s="453"/>
      <c r="B4668" s="3425"/>
      <c r="C4668" s="3433"/>
      <c r="D4668" s="4305"/>
      <c r="E4668" s="2785" t="s">
        <v>1063</v>
      </c>
      <c r="F4668" s="3441">
        <v>11456.0072529465</v>
      </c>
      <c r="G4668" s="4336"/>
      <c r="H4668" s="4337"/>
      <c r="I4668" s="3444"/>
      <c r="J4668" s="2220"/>
      <c r="K4668" s="2112"/>
      <c r="L4668" s="2112"/>
      <c r="M4668" s="2086"/>
      <c r="N4668" s="2720"/>
      <c r="O4668" s="2696"/>
      <c r="P4668" s="283"/>
      <c r="Q4668" s="283"/>
      <c r="R4668" s="66"/>
      <c r="S4668" s="66"/>
      <c r="T4668" s="66"/>
      <c r="U4668" s="66"/>
      <c r="V4668" s="4320"/>
      <c r="W4668" s="2587"/>
      <c r="X4668" s="3040"/>
      <c r="Y4668" s="2494"/>
      <c r="Z4668" s="2821"/>
      <c r="AA4668" s="2821"/>
      <c r="AB4668" s="2821"/>
      <c r="AC4668" s="2821"/>
      <c r="AD4668" s="2821"/>
      <c r="AE4668" s="2821"/>
      <c r="AF4668" s="2236">
        <f t="shared" si="416"/>
        <v>11456.0072529465</v>
      </c>
      <c r="AG4668" s="2586"/>
      <c r="AH4668" s="3043"/>
      <c r="AI4668" s="2723"/>
      <c r="AU4668" s="1505"/>
      <c r="DG4668" s="1073"/>
      <c r="DH4668" s="66"/>
      <c r="DI4668" s="66"/>
      <c r="DJ4668" s="1102"/>
    </row>
    <row r="4669" spans="1:114" s="7" customFormat="1" hidden="1" outlineLevel="1">
      <c r="A4669" s="453"/>
      <c r="B4669" s="3425"/>
      <c r="C4669" s="3433"/>
      <c r="D4669" s="4333"/>
      <c r="E4669" s="2785" t="s">
        <v>1066</v>
      </c>
      <c r="F4669" s="3441">
        <v>11456.0072529465</v>
      </c>
      <c r="G4669" s="4336"/>
      <c r="H4669" s="4337"/>
      <c r="I4669" s="3444"/>
      <c r="J4669" s="2220"/>
      <c r="K4669" s="2112"/>
      <c r="L4669" s="2112"/>
      <c r="M4669" s="2086"/>
      <c r="N4669" s="2720"/>
      <c r="O4669" s="2696"/>
      <c r="P4669" s="283"/>
      <c r="Q4669" s="283"/>
      <c r="R4669" s="66"/>
      <c r="S4669" s="66"/>
      <c r="T4669" s="66"/>
      <c r="U4669" s="66"/>
      <c r="V4669" s="4165"/>
      <c r="W4669" s="2587"/>
      <c r="X4669" s="3040"/>
      <c r="Y4669" s="2494"/>
      <c r="Z4669" s="2821"/>
      <c r="AA4669" s="2821"/>
      <c r="AB4669" s="2821"/>
      <c r="AC4669" s="2821"/>
      <c r="AD4669" s="2821"/>
      <c r="AE4669" s="2821"/>
      <c r="AF4669" s="2236">
        <f t="shared" si="416"/>
        <v>11456.0072529465</v>
      </c>
      <c r="AG4669" s="2586"/>
      <c r="AH4669" s="3043"/>
      <c r="AI4669" s="2723"/>
      <c r="AU4669" s="1505"/>
      <c r="DG4669" s="1073"/>
      <c r="DH4669" s="66"/>
      <c r="DI4669" s="66"/>
      <c r="DJ4669" s="1102"/>
    </row>
    <row r="4670" spans="1:114" s="7" customFormat="1" hidden="1" outlineLevel="1">
      <c r="A4670" s="453"/>
      <c r="B4670" s="3425"/>
      <c r="C4670" s="3433"/>
      <c r="D4670" s="3025" t="s">
        <v>2649</v>
      </c>
      <c r="E4670" s="2785" t="s">
        <v>2650</v>
      </c>
      <c r="F4670" s="3446">
        <v>8.8000000000000007</v>
      </c>
      <c r="G4670" s="4269" t="s">
        <v>1399</v>
      </c>
      <c r="H4670" s="4270"/>
      <c r="I4670" s="3444"/>
      <c r="J4670" s="2220"/>
      <c r="K4670" s="2112"/>
      <c r="L4670" s="2112"/>
      <c r="M4670" s="2086"/>
      <c r="N4670" s="2720"/>
      <c r="O4670" s="2696"/>
      <c r="P4670" s="283"/>
      <c r="Q4670" s="283"/>
      <c r="R4670" s="66"/>
      <c r="S4670" s="66"/>
      <c r="T4670" s="66"/>
      <c r="U4670" s="66"/>
      <c r="V4670" s="1840" t="s">
        <v>2649</v>
      </c>
      <c r="W4670" s="2587"/>
      <c r="X4670" s="3040"/>
      <c r="Y4670" s="2494"/>
      <c r="Z4670" s="2821"/>
      <c r="AA4670" s="2821"/>
      <c r="AB4670" s="2821"/>
      <c r="AC4670" s="2821"/>
      <c r="AD4670" s="2821"/>
      <c r="AE4670" s="2821"/>
      <c r="AF4670" s="2236">
        <f t="shared" si="416"/>
        <v>8.8000000000000007</v>
      </c>
      <c r="AG4670" s="2586"/>
      <c r="AH4670" s="3043"/>
      <c r="AI4670" s="2723"/>
      <c r="AU4670" s="1505"/>
      <c r="DG4670" s="1073"/>
      <c r="DH4670" s="66"/>
      <c r="DI4670" s="66"/>
      <c r="DJ4670" s="1102"/>
    </row>
    <row r="4671" spans="1:114" s="7" customFormat="1" hidden="1" outlineLevel="1">
      <c r="A4671" s="453"/>
      <c r="B4671" s="3425"/>
      <c r="C4671" s="3433"/>
      <c r="D4671" s="3025" t="s">
        <v>2651</v>
      </c>
      <c r="E4671" s="2785" t="s">
        <v>2650</v>
      </c>
      <c r="F4671" s="3447">
        <v>36000</v>
      </c>
      <c r="G4671" s="4269" t="s">
        <v>1399</v>
      </c>
      <c r="H4671" s="4270"/>
      <c r="I4671" s="3444"/>
      <c r="J4671" s="2220"/>
      <c r="K4671" s="2112"/>
      <c r="L4671" s="2112"/>
      <c r="M4671" s="2086"/>
      <c r="N4671" s="2720"/>
      <c r="O4671" s="2696"/>
      <c r="P4671" s="283"/>
      <c r="Q4671" s="283"/>
      <c r="R4671" s="66"/>
      <c r="S4671" s="66"/>
      <c r="T4671" s="66"/>
      <c r="U4671" s="66"/>
      <c r="V4671" s="1840" t="s">
        <v>2651</v>
      </c>
      <c r="W4671" s="2587"/>
      <c r="X4671" s="3040"/>
      <c r="Y4671" s="2494"/>
      <c r="Z4671" s="2821"/>
      <c r="AA4671" s="2821"/>
      <c r="AB4671" s="2821"/>
      <c r="AC4671" s="2821"/>
      <c r="AD4671" s="2821"/>
      <c r="AE4671" s="2821"/>
      <c r="AF4671" s="2236">
        <f t="shared" si="416"/>
        <v>36000</v>
      </c>
      <c r="AG4671" s="2586"/>
      <c r="AH4671" s="3043"/>
      <c r="AI4671" s="2723"/>
      <c r="AU4671" s="1505"/>
      <c r="DG4671" s="1073"/>
      <c r="DH4671" s="66"/>
      <c r="DI4671" s="66"/>
      <c r="DJ4671" s="1102"/>
    </row>
    <row r="4672" spans="1:114" s="7" customFormat="1" hidden="1" outlineLevel="1">
      <c r="A4672" s="453"/>
      <c r="B4672" s="3425"/>
      <c r="C4672" s="3433"/>
      <c r="D4672" s="3448" t="s">
        <v>2105</v>
      </c>
      <c r="E4672" s="2785" t="s">
        <v>2650</v>
      </c>
      <c r="F4672" s="3445">
        <v>1496</v>
      </c>
      <c r="G4672" s="4271" t="s">
        <v>2652</v>
      </c>
      <c r="H4672" s="4272"/>
      <c r="I4672" s="3444"/>
      <c r="J4672" s="2220"/>
      <c r="K4672" s="2112"/>
      <c r="L4672" s="2112"/>
      <c r="M4672" s="2086"/>
      <c r="N4672" s="2720"/>
      <c r="O4672" s="2696"/>
      <c r="P4672" s="283"/>
      <c r="Q4672" s="283"/>
      <c r="R4672" s="66"/>
      <c r="S4672" s="66"/>
      <c r="T4672" s="66"/>
      <c r="U4672" s="66"/>
      <c r="V4672" s="2839" t="s">
        <v>2105</v>
      </c>
      <c r="W4672" s="2587"/>
      <c r="X4672" s="3040"/>
      <c r="Y4672" s="2494"/>
      <c r="Z4672" s="2821"/>
      <c r="AA4672" s="2821"/>
      <c r="AB4672" s="2821"/>
      <c r="AC4672" s="2821"/>
      <c r="AD4672" s="2821"/>
      <c r="AE4672" s="2821"/>
      <c r="AF4672" s="2236">
        <f t="shared" si="416"/>
        <v>1496</v>
      </c>
      <c r="AG4672" s="2586"/>
      <c r="AH4672" s="3043"/>
      <c r="AI4672" s="2723"/>
      <c r="AU4672" s="1505"/>
      <c r="DG4672" s="1073"/>
      <c r="DH4672" s="66"/>
      <c r="DI4672" s="66"/>
      <c r="DJ4672" s="1102"/>
    </row>
    <row r="4673" spans="1:114" s="7" customFormat="1" hidden="1" outlineLevel="1">
      <c r="A4673" s="453"/>
      <c r="B4673" s="3425"/>
      <c r="C4673" s="3433"/>
      <c r="D4673" s="4304" t="s">
        <v>2068</v>
      </c>
      <c r="E4673" s="2785" t="s">
        <v>1044</v>
      </c>
      <c r="F4673" s="3211">
        <v>1</v>
      </c>
      <c r="G4673" s="3449"/>
      <c r="H4673" s="3450"/>
      <c r="I4673" s="1597"/>
      <c r="J4673" s="2220"/>
      <c r="K4673" s="2112"/>
      <c r="L4673" s="2112"/>
      <c r="M4673" s="2086"/>
      <c r="N4673" s="2720"/>
      <c r="O4673" s="2696"/>
      <c r="P4673" s="283"/>
      <c r="Q4673" s="283"/>
      <c r="R4673" s="66"/>
      <c r="S4673" s="66"/>
      <c r="T4673" s="66"/>
      <c r="U4673" s="66"/>
      <c r="V4673" s="4313" t="s">
        <v>1089</v>
      </c>
      <c r="W4673" s="2793"/>
      <c r="X4673" s="2793"/>
      <c r="Y4673" s="3041"/>
      <c r="Z4673" s="2794"/>
      <c r="AA4673" s="2794"/>
      <c r="AB4673" s="2794"/>
      <c r="AC4673" s="2794"/>
      <c r="AD4673" s="2794"/>
      <c r="AE4673" s="2794"/>
      <c r="AF4673" s="2236">
        <f t="shared" si="416"/>
        <v>1</v>
      </c>
      <c r="AG4673" s="2793"/>
      <c r="AH4673" s="3043"/>
      <c r="AI4673" s="2723"/>
      <c r="AU4673" s="1505"/>
      <c r="DG4673" s="1073"/>
      <c r="DH4673" s="66"/>
      <c r="DI4673" s="66"/>
      <c r="DJ4673" s="1102"/>
    </row>
    <row r="4674" spans="1:114" s="7" customFormat="1" hidden="1" outlineLevel="1">
      <c r="A4674" s="453"/>
      <c r="B4674" s="3425"/>
      <c r="C4674" s="3433"/>
      <c r="D4674" s="4305"/>
      <c r="E4674" s="2785" t="s">
        <v>1048</v>
      </c>
      <c r="F4674" s="3211">
        <v>0.65</v>
      </c>
      <c r="G4674" s="4059"/>
      <c r="H4674" s="4060"/>
      <c r="I4674" s="1597"/>
      <c r="J4674" s="2220"/>
      <c r="K4674" s="2112"/>
      <c r="L4674" s="2112"/>
      <c r="M4674" s="2086"/>
      <c r="N4674" s="2720"/>
      <c r="O4674" s="2696"/>
      <c r="P4674" s="283"/>
      <c r="Q4674" s="283"/>
      <c r="R4674" s="66"/>
      <c r="S4674" s="66"/>
      <c r="T4674" s="66"/>
      <c r="U4674" s="66"/>
      <c r="V4674" s="4314"/>
      <c r="W4674" s="2793"/>
      <c r="X4674" s="2793"/>
      <c r="Y4674" s="2797"/>
      <c r="Z4674" s="2794"/>
      <c r="AA4674" s="2794"/>
      <c r="AB4674" s="2794"/>
      <c r="AC4674" s="2794"/>
      <c r="AD4674" s="2794"/>
      <c r="AE4674" s="2794"/>
      <c r="AF4674" s="2236">
        <f t="shared" si="416"/>
        <v>0.65</v>
      </c>
      <c r="AG4674" s="2793"/>
      <c r="AH4674" s="3043"/>
      <c r="AI4674" s="2723"/>
      <c r="AU4674" s="1505"/>
      <c r="DG4674" s="1073"/>
      <c r="DH4674" s="66"/>
      <c r="DI4674" s="66"/>
      <c r="DJ4674" s="1102"/>
    </row>
    <row r="4675" spans="1:114" s="7" customFormat="1" hidden="1" outlineLevel="1">
      <c r="A4675" s="453"/>
      <c r="B4675" s="3425"/>
      <c r="C4675" s="3433"/>
      <c r="D4675" s="4305"/>
      <c r="E4675" s="2785" t="s">
        <v>1051</v>
      </c>
      <c r="F4675" s="3211">
        <v>0.65</v>
      </c>
      <c r="G4675" s="4059"/>
      <c r="H4675" s="4060"/>
      <c r="I4675" s="1597"/>
      <c r="J4675" s="2220"/>
      <c r="K4675" s="2112"/>
      <c r="L4675" s="2112"/>
      <c r="M4675" s="2086"/>
      <c r="N4675" s="2720"/>
      <c r="O4675" s="2696"/>
      <c r="P4675" s="283"/>
      <c r="Q4675" s="283"/>
      <c r="R4675" s="66"/>
      <c r="S4675" s="66"/>
      <c r="T4675" s="66"/>
      <c r="U4675" s="66"/>
      <c r="V4675" s="4314"/>
      <c r="W4675" s="2793"/>
      <c r="X4675" s="2793"/>
      <c r="Y4675" s="3041"/>
      <c r="Z4675" s="2794"/>
      <c r="AA4675" s="2794"/>
      <c r="AB4675" s="2794"/>
      <c r="AC4675" s="2794"/>
      <c r="AD4675" s="2794"/>
      <c r="AE4675" s="2794"/>
      <c r="AF4675" s="2236">
        <f t="shared" si="416"/>
        <v>0.65</v>
      </c>
      <c r="AG4675" s="2793"/>
      <c r="AH4675" s="3043"/>
      <c r="AI4675" s="2723"/>
      <c r="AU4675" s="1505"/>
      <c r="DG4675" s="1073"/>
      <c r="DH4675" s="66"/>
      <c r="DI4675" s="66"/>
      <c r="DJ4675" s="1102"/>
    </row>
    <row r="4676" spans="1:114" s="7" customFormat="1" hidden="1" outlineLevel="1">
      <c r="A4676" s="453"/>
      <c r="B4676" s="3425"/>
      <c r="C4676" s="3433"/>
      <c r="D4676" s="4305"/>
      <c r="E4676" s="2785" t="s">
        <v>1054</v>
      </c>
      <c r="F4676" s="3211">
        <v>1</v>
      </c>
      <c r="G4676" s="4059"/>
      <c r="H4676" s="4060"/>
      <c r="I4676" s="1597"/>
      <c r="J4676" s="2220"/>
      <c r="K4676" s="2112"/>
      <c r="L4676" s="2112"/>
      <c r="M4676" s="2086"/>
      <c r="N4676" s="2720"/>
      <c r="O4676" s="2696"/>
      <c r="P4676" s="283"/>
      <c r="Q4676" s="283"/>
      <c r="R4676" s="66"/>
      <c r="S4676" s="66"/>
      <c r="T4676" s="66"/>
      <c r="U4676" s="66"/>
      <c r="V4676" s="4314"/>
      <c r="W4676" s="2793"/>
      <c r="X4676" s="2793"/>
      <c r="Y4676" s="3041"/>
      <c r="Z4676" s="2794"/>
      <c r="AA4676" s="2794"/>
      <c r="AB4676" s="2794"/>
      <c r="AC4676" s="2794"/>
      <c r="AD4676" s="2794"/>
      <c r="AE4676" s="2794"/>
      <c r="AF4676" s="2236">
        <f t="shared" si="416"/>
        <v>1</v>
      </c>
      <c r="AG4676" s="2793"/>
      <c r="AH4676" s="3043"/>
      <c r="AI4676" s="2723"/>
      <c r="AU4676" s="1505"/>
      <c r="DG4676" s="1073"/>
      <c r="DH4676" s="66"/>
      <c r="DI4676" s="66"/>
      <c r="DJ4676" s="1102"/>
    </row>
    <row r="4677" spans="1:114" s="7" customFormat="1" hidden="1" outlineLevel="1">
      <c r="A4677" s="453"/>
      <c r="B4677" s="3425"/>
      <c r="C4677" s="3433"/>
      <c r="D4677" s="4305"/>
      <c r="E4677" s="2785" t="s">
        <v>1056</v>
      </c>
      <c r="F4677" s="3211">
        <v>1</v>
      </c>
      <c r="G4677" s="4059"/>
      <c r="H4677" s="4060"/>
      <c r="I4677" s="1597"/>
      <c r="J4677" s="2220"/>
      <c r="K4677" s="2112"/>
      <c r="L4677" s="2112"/>
      <c r="M4677" s="2086"/>
      <c r="N4677" s="2720"/>
      <c r="O4677" s="2696"/>
      <c r="P4677" s="283"/>
      <c r="Q4677" s="283"/>
      <c r="R4677" s="66"/>
      <c r="S4677" s="66"/>
      <c r="T4677" s="66"/>
      <c r="U4677" s="66"/>
      <c r="V4677" s="4314"/>
      <c r="W4677" s="2793"/>
      <c r="X4677" s="2793"/>
      <c r="Y4677" s="2793"/>
      <c r="Z4677" s="2794"/>
      <c r="AA4677" s="2794"/>
      <c r="AB4677" s="2794"/>
      <c r="AC4677" s="2794"/>
      <c r="AD4677" s="2794"/>
      <c r="AE4677" s="2794"/>
      <c r="AF4677" s="2236">
        <f t="shared" si="416"/>
        <v>1</v>
      </c>
      <c r="AG4677" s="2793"/>
      <c r="AH4677" s="3043"/>
      <c r="AI4677" s="2723"/>
      <c r="AU4677" s="1505"/>
      <c r="DG4677" s="1073"/>
      <c r="DH4677" s="66"/>
      <c r="DI4677" s="66"/>
      <c r="DJ4677" s="1102"/>
    </row>
    <row r="4678" spans="1:114" s="7" customFormat="1" hidden="1" outlineLevel="1">
      <c r="A4678" s="453"/>
      <c r="B4678" s="3425"/>
      <c r="C4678" s="3433"/>
      <c r="D4678" s="4305"/>
      <c r="E4678" s="2785" t="s">
        <v>1058</v>
      </c>
      <c r="F4678" s="3211">
        <v>0.65</v>
      </c>
      <c r="G4678" s="4059"/>
      <c r="H4678" s="4060"/>
      <c r="I4678" s="1597"/>
      <c r="J4678" s="2220"/>
      <c r="K4678" s="2112"/>
      <c r="L4678" s="2112"/>
      <c r="M4678" s="2086"/>
      <c r="N4678" s="2720"/>
      <c r="O4678" s="2696"/>
      <c r="P4678" s="283"/>
      <c r="Q4678" s="283"/>
      <c r="R4678" s="66"/>
      <c r="S4678" s="66"/>
      <c r="T4678" s="66"/>
      <c r="U4678" s="66"/>
      <c r="V4678" s="4314"/>
      <c r="W4678" s="2793"/>
      <c r="X4678" s="2793"/>
      <c r="Y4678" s="2796"/>
      <c r="Z4678" s="2794"/>
      <c r="AA4678" s="2794"/>
      <c r="AB4678" s="2794"/>
      <c r="AC4678" s="2794"/>
      <c r="AD4678" s="2794"/>
      <c r="AE4678" s="2794"/>
      <c r="AF4678" s="2236">
        <f t="shared" si="416"/>
        <v>0.65</v>
      </c>
      <c r="AG4678" s="2793"/>
      <c r="AH4678" s="3043"/>
      <c r="AI4678" s="2723"/>
      <c r="AU4678" s="1505"/>
      <c r="DG4678" s="1073"/>
      <c r="DH4678" s="66"/>
      <c r="DI4678" s="66"/>
      <c r="DJ4678" s="1102"/>
    </row>
    <row r="4679" spans="1:114" s="7" customFormat="1" hidden="1" outlineLevel="1">
      <c r="A4679" s="453"/>
      <c r="B4679" s="3425"/>
      <c r="C4679" s="3433"/>
      <c r="D4679" s="4305"/>
      <c r="E4679" s="2785" t="s">
        <v>1063</v>
      </c>
      <c r="F4679" s="3211">
        <v>1</v>
      </c>
      <c r="G4679" s="4329"/>
      <c r="H4679" s="4330"/>
      <c r="I4679" s="1597"/>
      <c r="J4679" s="2220"/>
      <c r="K4679" s="2112"/>
      <c r="L4679" s="2112"/>
      <c r="M4679" s="2086"/>
      <c r="N4679" s="2720"/>
      <c r="O4679" s="2696"/>
      <c r="P4679" s="283"/>
      <c r="Q4679" s="283"/>
      <c r="R4679" s="66"/>
      <c r="S4679" s="66"/>
      <c r="T4679" s="66"/>
      <c r="U4679" s="66"/>
      <c r="V4679" s="4314"/>
      <c r="W4679" s="2793"/>
      <c r="X4679" s="3104"/>
      <c r="Y4679" s="2798"/>
      <c r="Z4679" s="2819"/>
      <c r="AA4679" s="2819"/>
      <c r="AB4679" s="2819"/>
      <c r="AC4679" s="2819"/>
      <c r="AD4679" s="2819"/>
      <c r="AE4679" s="2819"/>
      <c r="AF4679" s="2236">
        <f t="shared" si="416"/>
        <v>1</v>
      </c>
      <c r="AG4679" s="2793"/>
      <c r="AH4679" s="3043"/>
      <c r="AI4679" s="2723"/>
      <c r="AJ4679" s="1568"/>
      <c r="AU4679" s="1505"/>
      <c r="DG4679" s="1073"/>
      <c r="DH4679" s="66"/>
      <c r="DI4679" s="66"/>
      <c r="DJ4679" s="1102"/>
    </row>
    <row r="4680" spans="1:114" s="7" customFormat="1" hidden="1" outlineLevel="1">
      <c r="A4680" s="453"/>
      <c r="B4680" s="3425"/>
      <c r="C4680" s="3433"/>
      <c r="D4680" s="4305"/>
      <c r="E4680" s="2785" t="s">
        <v>1066</v>
      </c>
      <c r="F4680" s="3211">
        <v>0.65</v>
      </c>
      <c r="G4680" s="4331"/>
      <c r="H4680" s="4332"/>
      <c r="I4680" s="1597"/>
      <c r="J4680" s="2220"/>
      <c r="K4680" s="2112"/>
      <c r="L4680" s="2112"/>
      <c r="M4680" s="2086"/>
      <c r="N4680" s="2720"/>
      <c r="O4680" s="2696"/>
      <c r="P4680" s="283"/>
      <c r="Q4680" s="283"/>
      <c r="R4680" s="66"/>
      <c r="S4680" s="66"/>
      <c r="T4680" s="66"/>
      <c r="U4680" s="66"/>
      <c r="V4680" s="4314"/>
      <c r="W4680" s="2793"/>
      <c r="X4680" s="3104"/>
      <c r="Y4680" s="2798"/>
      <c r="Z4680" s="2819"/>
      <c r="AA4680" s="2819"/>
      <c r="AB4680" s="2819"/>
      <c r="AC4680" s="2819"/>
      <c r="AD4680" s="2819"/>
      <c r="AE4680" s="2819"/>
      <c r="AF4680" s="2236">
        <f t="shared" si="416"/>
        <v>0.65</v>
      </c>
      <c r="AG4680" s="2793"/>
      <c r="AH4680" s="3043"/>
      <c r="AI4680" s="2723"/>
      <c r="AJ4680" s="1568"/>
      <c r="AU4680" s="1505"/>
      <c r="DG4680" s="1073"/>
      <c r="DH4680" s="66"/>
      <c r="DI4680" s="66"/>
      <c r="DJ4680" s="1102"/>
    </row>
    <row r="4681" spans="1:114" s="7" customFormat="1" hidden="1" outlineLevel="1">
      <c r="A4681" s="453"/>
      <c r="B4681" s="3425"/>
      <c r="C4681" s="3433"/>
      <c r="D4681" s="4312"/>
      <c r="E4681" s="2785" t="s">
        <v>2653</v>
      </c>
      <c r="F4681" s="3211">
        <v>1</v>
      </c>
      <c r="G4681" s="3451"/>
      <c r="H4681" s="3452"/>
      <c r="I4681" s="1597"/>
      <c r="J4681" s="2220"/>
      <c r="K4681" s="2112"/>
      <c r="L4681" s="2112"/>
      <c r="M4681" s="2086"/>
      <c r="N4681" s="2720"/>
      <c r="O4681" s="2696"/>
      <c r="P4681" s="283"/>
      <c r="Q4681" s="283"/>
      <c r="R4681" s="66"/>
      <c r="S4681" s="66"/>
      <c r="T4681" s="66"/>
      <c r="U4681" s="66"/>
      <c r="V4681" s="4315"/>
      <c r="W4681" s="2793"/>
      <c r="X4681" s="3104"/>
      <c r="Y4681" s="2798"/>
      <c r="Z4681" s="2819"/>
      <c r="AA4681" s="2819"/>
      <c r="AB4681" s="2819"/>
      <c r="AC4681" s="2819"/>
      <c r="AD4681" s="2819"/>
      <c r="AE4681" s="2819"/>
      <c r="AF4681" s="2236">
        <f t="shared" si="416"/>
        <v>1</v>
      </c>
      <c r="AG4681" s="2793"/>
      <c r="AH4681" s="3043"/>
      <c r="AI4681" s="2723"/>
      <c r="AJ4681" s="1568"/>
      <c r="AU4681" s="1505"/>
      <c r="DG4681" s="1073"/>
      <c r="DH4681" s="66"/>
      <c r="DI4681" s="66"/>
      <c r="DJ4681" s="1102"/>
    </row>
    <row r="4682" spans="1:114" s="7" customFormat="1" ht="45" hidden="1" outlineLevel="1">
      <c r="A4682" s="453"/>
      <c r="B4682" s="3425"/>
      <c r="C4682" s="3433"/>
      <c r="D4682" s="4304" t="s">
        <v>1094</v>
      </c>
      <c r="E4682" s="2785" t="s">
        <v>1095</v>
      </c>
      <c r="F4682" s="3453">
        <f>SUMPRODUCT(F4683:F4685,I4683:I4685)</f>
        <v>6.668717948717949E-2</v>
      </c>
      <c r="G4682" s="4271" t="s">
        <v>2654</v>
      </c>
      <c r="H4682" s="4272"/>
      <c r="I4682" s="3454" t="s">
        <v>1097</v>
      </c>
      <c r="J4682" s="2220"/>
      <c r="K4682" s="2112"/>
      <c r="L4682" s="2112"/>
      <c r="M4682" s="2086"/>
      <c r="N4682" s="2720"/>
      <c r="O4682" s="2696"/>
      <c r="P4682" s="283"/>
      <c r="Q4682" s="283"/>
      <c r="R4682" s="66"/>
      <c r="S4682" s="66"/>
      <c r="T4682" s="66"/>
      <c r="U4682" s="66"/>
      <c r="V4682" s="4319" t="s">
        <v>1094</v>
      </c>
      <c r="W4682" s="2817"/>
      <c r="X4682" s="3465"/>
      <c r="Y4682" s="3465"/>
      <c r="Z4682" s="3466"/>
      <c r="AA4682" s="3466"/>
      <c r="AB4682" s="2819"/>
      <c r="AC4682" s="2819"/>
      <c r="AD4682" s="2819"/>
      <c r="AE4682" s="2819"/>
      <c r="AF4682" s="2236">
        <f t="shared" si="416"/>
        <v>6.668717948717949E-2</v>
      </c>
      <c r="AG4682" s="2817"/>
      <c r="AH4682" s="3043"/>
      <c r="AI4682" s="2723"/>
      <c r="AJ4682" s="1568"/>
      <c r="AU4682" s="1505"/>
      <c r="DG4682" s="1073"/>
      <c r="DH4682" s="66"/>
      <c r="DI4682" s="66"/>
      <c r="DJ4682" s="1102"/>
    </row>
    <row r="4683" spans="1:114" s="7" customFormat="1" hidden="1" outlineLevel="1">
      <c r="A4683" s="453"/>
      <c r="B4683" s="3425"/>
      <c r="C4683" s="3433"/>
      <c r="D4683" s="4305"/>
      <c r="E4683" s="2785" t="s">
        <v>1098</v>
      </c>
      <c r="F4683" s="3453">
        <v>8.7999999999999995E-2</v>
      </c>
      <c r="G4683" s="4324"/>
      <c r="H4683" s="4325"/>
      <c r="I4683" s="2796">
        <v>0.42820512820512818</v>
      </c>
      <c r="J4683" s="2220"/>
      <c r="K4683" s="2112"/>
      <c r="L4683" s="2112"/>
      <c r="M4683" s="2086"/>
      <c r="N4683" s="2720"/>
      <c r="O4683" s="2696"/>
      <c r="P4683" s="283"/>
      <c r="Q4683" s="283"/>
      <c r="R4683" s="66"/>
      <c r="S4683" s="66"/>
      <c r="T4683" s="66"/>
      <c r="U4683" s="66"/>
      <c r="V4683" s="4320"/>
      <c r="W4683" s="2817"/>
      <c r="X4683" s="3465"/>
      <c r="Y4683" s="3465"/>
      <c r="Z4683" s="3466"/>
      <c r="AA4683" s="3466"/>
      <c r="AB4683" s="3104"/>
      <c r="AC4683" s="2819"/>
      <c r="AD4683" s="2819"/>
      <c r="AE4683" s="2819"/>
      <c r="AF4683" s="2236">
        <f t="shared" si="416"/>
        <v>8.7999999999999995E-2</v>
      </c>
      <c r="AG4683" s="2817"/>
      <c r="AH4683" s="3043"/>
      <c r="AI4683" s="2723"/>
      <c r="AJ4683" s="1568"/>
      <c r="AU4683" s="1505"/>
      <c r="DG4683" s="1073"/>
      <c r="DH4683" s="66"/>
      <c r="DI4683" s="66"/>
      <c r="DJ4683" s="1102"/>
    </row>
    <row r="4684" spans="1:114" s="7" customFormat="1" hidden="1" outlineLevel="1">
      <c r="A4684" s="453"/>
      <c r="B4684" s="3425"/>
      <c r="C4684" s="3433"/>
      <c r="D4684" s="4305"/>
      <c r="E4684" s="2785" t="s">
        <v>1099</v>
      </c>
      <c r="F4684" s="3453">
        <v>5.6000000000000001E-2</v>
      </c>
      <c r="G4684" s="4324"/>
      <c r="H4684" s="4325"/>
      <c r="I4684" s="2796">
        <v>0.517948717948718</v>
      </c>
      <c r="J4684" s="2220"/>
      <c r="K4684" s="2112"/>
      <c r="L4684" s="2112"/>
      <c r="M4684" s="2086"/>
      <c r="N4684" s="2720"/>
      <c r="O4684" s="2696"/>
      <c r="P4684" s="283"/>
      <c r="Q4684" s="283"/>
      <c r="R4684" s="66"/>
      <c r="S4684" s="66"/>
      <c r="T4684" s="66"/>
      <c r="U4684" s="66"/>
      <c r="V4684" s="4320"/>
      <c r="W4684" s="2817"/>
      <c r="X4684" s="3465"/>
      <c r="Y4684" s="3465"/>
      <c r="Z4684" s="3466"/>
      <c r="AA4684" s="3466"/>
      <c r="AB4684" s="3104"/>
      <c r="AC4684" s="2819"/>
      <c r="AD4684" s="2819"/>
      <c r="AE4684" s="2819"/>
      <c r="AF4684" s="2236">
        <f t="shared" si="416"/>
        <v>5.6000000000000001E-2</v>
      </c>
      <c r="AG4684" s="2817"/>
      <c r="AH4684" s="3043"/>
      <c r="AI4684" s="2723"/>
      <c r="AJ4684" s="1568"/>
      <c r="AU4684" s="1505"/>
      <c r="DG4684" s="1073"/>
      <c r="DH4684" s="66"/>
      <c r="DI4684" s="66"/>
      <c r="DJ4684" s="1102"/>
    </row>
    <row r="4685" spans="1:114" s="7" customFormat="1" hidden="1" outlineLevel="1">
      <c r="A4685" s="453"/>
      <c r="B4685" s="3425"/>
      <c r="C4685" s="3433"/>
      <c r="D4685" s="4312"/>
      <c r="E4685" s="2785" t="s">
        <v>1100</v>
      </c>
      <c r="F4685" s="3453">
        <v>0</v>
      </c>
      <c r="G4685" s="4326"/>
      <c r="H4685" s="4327"/>
      <c r="I4685" s="2796">
        <v>5.3846153846153849E-2</v>
      </c>
      <c r="J4685" s="2220"/>
      <c r="K4685" s="2112"/>
      <c r="L4685" s="2112"/>
      <c r="M4685" s="2086"/>
      <c r="N4685" s="2720"/>
      <c r="O4685" s="2696"/>
      <c r="P4685" s="283"/>
      <c r="Q4685" s="283"/>
      <c r="R4685" s="66"/>
      <c r="S4685" s="66"/>
      <c r="T4685" s="66"/>
      <c r="U4685" s="66"/>
      <c r="V4685" s="4328"/>
      <c r="W4685" s="2817"/>
      <c r="X4685" s="3465"/>
      <c r="Y4685" s="3465"/>
      <c r="Z4685" s="3466"/>
      <c r="AA4685" s="3466"/>
      <c r="AB4685" s="3104"/>
      <c r="AC4685" s="2819"/>
      <c r="AD4685" s="2819"/>
      <c r="AE4685" s="2819"/>
      <c r="AF4685" s="2236">
        <f t="shared" si="416"/>
        <v>0</v>
      </c>
      <c r="AG4685" s="2817"/>
      <c r="AH4685" s="3043"/>
      <c r="AI4685" s="2723"/>
      <c r="AJ4685" s="1568"/>
      <c r="AU4685" s="1505"/>
      <c r="DG4685" s="1073"/>
      <c r="DH4685" s="66"/>
      <c r="DI4685" s="66"/>
      <c r="DJ4685" s="1102"/>
    </row>
    <row r="4686" spans="1:114" s="7" customFormat="1" ht="45" hidden="1" outlineLevel="1">
      <c r="A4686" s="453"/>
      <c r="B4686" s="3425"/>
      <c r="C4686" s="3433"/>
      <c r="D4686" s="3439" t="s">
        <v>1101</v>
      </c>
      <c r="E4686" s="2785" t="s">
        <v>1102</v>
      </c>
      <c r="F4686" s="3455">
        <v>1</v>
      </c>
      <c r="G4686" s="4059" t="s">
        <v>1106</v>
      </c>
      <c r="H4686" s="4060"/>
      <c r="I4686" s="1633" t="s">
        <v>1104</v>
      </c>
      <c r="J4686" s="2220"/>
      <c r="K4686" s="2112"/>
      <c r="L4686" s="3456"/>
      <c r="M4686" s="2086"/>
      <c r="N4686" s="2720"/>
      <c r="O4686" s="2696"/>
      <c r="P4686" s="283"/>
      <c r="Q4686" s="283"/>
      <c r="R4686" s="66"/>
      <c r="S4686" s="66"/>
      <c r="T4686" s="66"/>
      <c r="U4686" s="66"/>
      <c r="V4686" s="3464" t="s">
        <v>1101</v>
      </c>
      <c r="W4686" s="2793"/>
      <c r="X4686" s="3041"/>
      <c r="Y4686" s="2820"/>
      <c r="Z4686" s="2794"/>
      <c r="AA4686" s="2794"/>
      <c r="AB4686" s="3104"/>
      <c r="AC4686" s="2819"/>
      <c r="AD4686" s="2819"/>
      <c r="AE4686" s="2819"/>
      <c r="AF4686" s="2236">
        <f t="shared" ref="AF4686:AF4722" si="417">IF(F4686&lt;&gt;"",F4686,"")</f>
        <v>1</v>
      </c>
      <c r="AG4686" s="2793"/>
      <c r="AH4686" s="3043"/>
      <c r="AI4686" s="2723"/>
      <c r="AJ4686" s="1568"/>
      <c r="AU4686" s="1505"/>
      <c r="DG4686" s="1073"/>
      <c r="DH4686" s="66"/>
      <c r="DI4686" s="66"/>
      <c r="DJ4686" s="1102"/>
    </row>
    <row r="4687" spans="1:114" s="7" customFormat="1" hidden="1" outlineLevel="1">
      <c r="A4687" s="453"/>
      <c r="B4687" s="3425"/>
      <c r="C4687" s="3433"/>
      <c r="D4687" s="4304" t="s">
        <v>1107</v>
      </c>
      <c r="E4687" s="2785" t="s">
        <v>1044</v>
      </c>
      <c r="F4687" s="3457">
        <f>F4712*F4720*F4673*F4682*F4686</f>
        <v>0</v>
      </c>
      <c r="G4687" s="4271" t="s">
        <v>1108</v>
      </c>
      <c r="H4687" s="4272"/>
      <c r="I4687" s="1597"/>
      <c r="J4687" s="2220"/>
      <c r="K4687" s="2112"/>
      <c r="L4687" s="2112"/>
      <c r="M4687" s="2086"/>
      <c r="N4687" s="2720"/>
      <c r="O4687" s="2696"/>
      <c r="P4687" s="283"/>
      <c r="Q4687" s="283"/>
      <c r="R4687" s="66"/>
      <c r="S4687" s="66"/>
      <c r="T4687" s="66"/>
      <c r="U4687" s="66"/>
      <c r="V4687" s="4319" t="s">
        <v>1107</v>
      </c>
      <c r="W4687" s="2801"/>
      <c r="X4687" s="2801"/>
      <c r="Y4687" s="2801"/>
      <c r="Z4687" s="2800"/>
      <c r="AA4687" s="2800"/>
      <c r="AB4687" s="2800"/>
      <c r="AC4687" s="2800"/>
      <c r="AD4687" s="2800"/>
      <c r="AE4687" s="2800"/>
      <c r="AF4687" s="2236">
        <f t="shared" si="417"/>
        <v>0</v>
      </c>
      <c r="AG4687" s="2801"/>
      <c r="AH4687" s="3043"/>
      <c r="AI4687" s="2723"/>
      <c r="AU4687" s="1505"/>
      <c r="DG4687" s="1073"/>
      <c r="DH4687" s="66"/>
      <c r="DI4687" s="66"/>
      <c r="DJ4687" s="1102"/>
    </row>
    <row r="4688" spans="1:114" s="7" customFormat="1" hidden="1" outlineLevel="1">
      <c r="A4688" s="453"/>
      <c r="B4688" s="3425"/>
      <c r="C4688" s="3433"/>
      <c r="D4688" s="4305"/>
      <c r="E4688" s="2785" t="s">
        <v>1048</v>
      </c>
      <c r="F4688" s="3457">
        <f>F4713*F4720*F4674*F4682*F4686</f>
        <v>0</v>
      </c>
      <c r="G4688" s="4324"/>
      <c r="H4688" s="4325"/>
      <c r="I4688" s="1597"/>
      <c r="J4688" s="2220"/>
      <c r="K4688" s="2112"/>
      <c r="L4688" s="2112"/>
      <c r="M4688" s="2086"/>
      <c r="N4688" s="2720"/>
      <c r="O4688" s="2696"/>
      <c r="P4688" s="283"/>
      <c r="Q4688" s="283"/>
      <c r="R4688" s="66"/>
      <c r="S4688" s="66"/>
      <c r="T4688" s="66"/>
      <c r="U4688" s="66"/>
      <c r="V4688" s="4320"/>
      <c r="W4688" s="2801"/>
      <c r="X4688" s="2801"/>
      <c r="Y4688" s="2479"/>
      <c r="Z4688" s="2800"/>
      <c r="AA4688" s="2800"/>
      <c r="AB4688" s="2800"/>
      <c r="AC4688" s="2800"/>
      <c r="AD4688" s="2800"/>
      <c r="AE4688" s="2800"/>
      <c r="AF4688" s="2236">
        <f t="shared" si="417"/>
        <v>0</v>
      </c>
      <c r="AG4688" s="2801"/>
      <c r="AH4688" s="3043"/>
      <c r="AI4688" s="2723"/>
      <c r="AU4688" s="1505"/>
      <c r="DG4688" s="1073"/>
      <c r="DH4688" s="66"/>
      <c r="DI4688" s="66"/>
      <c r="DJ4688" s="1102"/>
    </row>
    <row r="4689" spans="1:114" s="7" customFormat="1" hidden="1" outlineLevel="1">
      <c r="A4689" s="453"/>
      <c r="B4689" s="3425"/>
      <c r="C4689" s="3433"/>
      <c r="D4689" s="4305"/>
      <c r="E4689" s="2785" t="s">
        <v>1051</v>
      </c>
      <c r="F4689" s="3457">
        <f>F4714*F4720*F4675*F4682*F4686</f>
        <v>0</v>
      </c>
      <c r="G4689" s="4324"/>
      <c r="H4689" s="4325"/>
      <c r="I4689" s="1597"/>
      <c r="J4689" s="2220"/>
      <c r="K4689" s="2112"/>
      <c r="L4689" s="2112"/>
      <c r="M4689" s="2086"/>
      <c r="N4689" s="2720"/>
      <c r="O4689" s="2696"/>
      <c r="P4689" s="283"/>
      <c r="Q4689" s="283"/>
      <c r="R4689" s="66"/>
      <c r="S4689" s="66"/>
      <c r="T4689" s="66"/>
      <c r="U4689" s="66"/>
      <c r="V4689" s="4320"/>
      <c r="W4689" s="2801"/>
      <c r="X4689" s="2801"/>
      <c r="Y4689" s="2801"/>
      <c r="Z4689" s="2800"/>
      <c r="AA4689" s="2800"/>
      <c r="AB4689" s="2800"/>
      <c r="AC4689" s="2800"/>
      <c r="AD4689" s="2800"/>
      <c r="AE4689" s="2800"/>
      <c r="AF4689" s="2236">
        <f t="shared" si="417"/>
        <v>0</v>
      </c>
      <c r="AG4689" s="2801"/>
      <c r="AH4689" s="3043"/>
      <c r="AI4689" s="2723"/>
      <c r="AJ4689" s="1568"/>
      <c r="AU4689" s="1505"/>
      <c r="DG4689" s="1073"/>
      <c r="DH4689" s="66"/>
      <c r="DI4689" s="66"/>
      <c r="DJ4689" s="1102"/>
    </row>
    <row r="4690" spans="1:114" s="7" customFormat="1" hidden="1" outlineLevel="1">
      <c r="A4690" s="453"/>
      <c r="B4690" s="3425"/>
      <c r="C4690" s="3433"/>
      <c r="D4690" s="4305"/>
      <c r="E4690" s="2785" t="s">
        <v>1054</v>
      </c>
      <c r="F4690" s="3457">
        <f>F4715*F4720*F4676*F4682*F4686</f>
        <v>0</v>
      </c>
      <c r="G4690" s="4324"/>
      <c r="H4690" s="4325"/>
      <c r="I4690" s="1597"/>
      <c r="J4690" s="2220"/>
      <c r="K4690" s="2112"/>
      <c r="L4690" s="2112"/>
      <c r="M4690" s="2086"/>
      <c r="N4690" s="2720"/>
      <c r="O4690" s="2696"/>
      <c r="P4690" s="283"/>
      <c r="Q4690" s="283"/>
      <c r="R4690" s="66"/>
      <c r="S4690" s="66"/>
      <c r="T4690" s="66"/>
      <c r="U4690" s="66"/>
      <c r="V4690" s="4320"/>
      <c r="W4690" s="2801"/>
      <c r="X4690" s="2801"/>
      <c r="Y4690" s="2801"/>
      <c r="Z4690" s="2800"/>
      <c r="AA4690" s="2800"/>
      <c r="AB4690" s="2800"/>
      <c r="AC4690" s="2800"/>
      <c r="AD4690" s="2800"/>
      <c r="AE4690" s="2800"/>
      <c r="AF4690" s="2236">
        <f t="shared" si="417"/>
        <v>0</v>
      </c>
      <c r="AG4690" s="2801"/>
      <c r="AH4690" s="3043"/>
      <c r="AI4690" s="2723"/>
      <c r="AJ4690" s="1568"/>
      <c r="AU4690" s="1505"/>
      <c r="DG4690" s="1073"/>
      <c r="DH4690" s="66"/>
      <c r="DI4690" s="66"/>
      <c r="DJ4690" s="1102"/>
    </row>
    <row r="4691" spans="1:114" s="7" customFormat="1" hidden="1" outlineLevel="1">
      <c r="A4691" s="453"/>
      <c r="B4691" s="3425"/>
      <c r="C4691" s="3433"/>
      <c r="D4691" s="4305"/>
      <c r="E4691" s="2785" t="s">
        <v>1056</v>
      </c>
      <c r="F4691" s="3457">
        <f>F4716*F4720*F4677*F4682*F4686</f>
        <v>45.490139449541282</v>
      </c>
      <c r="G4691" s="4324"/>
      <c r="H4691" s="4325"/>
      <c r="I4691" s="1597"/>
      <c r="J4691" s="2220"/>
      <c r="K4691" s="2112"/>
      <c r="L4691" s="2112"/>
      <c r="M4691" s="2086"/>
      <c r="N4691" s="2720"/>
      <c r="O4691" s="2696"/>
      <c r="P4691" s="283"/>
      <c r="Q4691" s="283"/>
      <c r="R4691" s="66"/>
      <c r="S4691" s="66"/>
      <c r="T4691" s="66"/>
      <c r="U4691" s="66"/>
      <c r="V4691" s="4320"/>
      <c r="W4691" s="2801"/>
      <c r="X4691" s="2801"/>
      <c r="Y4691" s="2725"/>
      <c r="Z4691" s="2800"/>
      <c r="AA4691" s="2800"/>
      <c r="AB4691" s="2800"/>
      <c r="AC4691" s="2800"/>
      <c r="AD4691" s="2800"/>
      <c r="AE4691" s="2800"/>
      <c r="AF4691" s="2236">
        <f t="shared" si="417"/>
        <v>45.490139449541282</v>
      </c>
      <c r="AG4691" s="2801"/>
      <c r="AH4691" s="3043"/>
      <c r="AI4691" s="2723"/>
      <c r="AJ4691" s="1568"/>
      <c r="AU4691" s="1505"/>
      <c r="DG4691" s="1073"/>
      <c r="DH4691" s="66"/>
      <c r="DI4691" s="66"/>
      <c r="DJ4691" s="1102"/>
    </row>
    <row r="4692" spans="1:114" s="7" customFormat="1" hidden="1" outlineLevel="1">
      <c r="A4692" s="453"/>
      <c r="B4692" s="3425"/>
      <c r="C4692" s="3433"/>
      <c r="D4692" s="4305"/>
      <c r="E4692" s="2785" t="s">
        <v>1058</v>
      </c>
      <c r="F4692" s="3457">
        <f>F4717*F4720*F4678*F4682*F4686</f>
        <v>29.568590642201833</v>
      </c>
      <c r="G4692" s="4324"/>
      <c r="H4692" s="4325"/>
      <c r="I4692" s="1597"/>
      <c r="J4692" s="2220"/>
      <c r="K4692" s="2112"/>
      <c r="L4692" s="2112"/>
      <c r="M4692" s="2086"/>
      <c r="N4692" s="2720"/>
      <c r="O4692" s="2696"/>
      <c r="P4692" s="283"/>
      <c r="Q4692" s="283"/>
      <c r="R4692" s="66"/>
      <c r="S4692" s="66"/>
      <c r="T4692" s="66"/>
      <c r="U4692" s="66"/>
      <c r="V4692" s="4320"/>
      <c r="W4692" s="2801"/>
      <c r="X4692" s="2801"/>
      <c r="Y4692" s="2725"/>
      <c r="Z4692" s="2800"/>
      <c r="AA4692" s="2800"/>
      <c r="AB4692" s="2800"/>
      <c r="AC4692" s="2800"/>
      <c r="AD4692" s="2800"/>
      <c r="AE4692" s="2800"/>
      <c r="AF4692" s="2236">
        <f t="shared" si="417"/>
        <v>29.568590642201833</v>
      </c>
      <c r="AG4692" s="2801"/>
      <c r="AH4692" s="3043"/>
      <c r="AI4692" s="2723"/>
      <c r="AJ4692" s="1568"/>
      <c r="AU4692" s="1505"/>
      <c r="DG4692" s="1073"/>
      <c r="DH4692" s="66"/>
      <c r="DI4692" s="66"/>
      <c r="DJ4692" s="1102"/>
    </row>
    <row r="4693" spans="1:114" s="7" customFormat="1" hidden="1" outlineLevel="1">
      <c r="A4693" s="453"/>
      <c r="B4693" s="3425"/>
      <c r="C4693" s="3433"/>
      <c r="D4693" s="4305"/>
      <c r="E4693" s="2785" t="s">
        <v>1063</v>
      </c>
      <c r="F4693" s="3457">
        <f>F4718*F4720*F4679*F4682*F4686</f>
        <v>30.478393431192664</v>
      </c>
      <c r="G4693" s="4324"/>
      <c r="H4693" s="4325"/>
      <c r="I4693" s="1597"/>
      <c r="J4693" s="2220"/>
      <c r="K4693" s="2112"/>
      <c r="L4693" s="2112"/>
      <c r="M4693" s="2086"/>
      <c r="N4693" s="2720"/>
      <c r="O4693" s="2696"/>
      <c r="P4693" s="283"/>
      <c r="Q4693" s="283"/>
      <c r="R4693" s="66"/>
      <c r="S4693" s="66"/>
      <c r="T4693" s="66"/>
      <c r="U4693" s="66"/>
      <c r="V4693" s="4320"/>
      <c r="W4693" s="2801"/>
      <c r="X4693" s="2801"/>
      <c r="Y4693" s="2725"/>
      <c r="Z4693" s="2800"/>
      <c r="AA4693" s="2800"/>
      <c r="AB4693" s="2800"/>
      <c r="AC4693" s="2800"/>
      <c r="AD4693" s="2800"/>
      <c r="AE4693" s="2800"/>
      <c r="AF4693" s="2236">
        <f t="shared" si="417"/>
        <v>30.478393431192664</v>
      </c>
      <c r="AG4693" s="2801"/>
      <c r="AH4693" s="3043"/>
      <c r="AI4693" s="2723"/>
      <c r="AU4693" s="1505"/>
      <c r="DG4693" s="1073"/>
      <c r="DH4693" s="66"/>
      <c r="DI4693" s="66"/>
      <c r="DJ4693" s="1102"/>
    </row>
    <row r="4694" spans="1:114" s="7" customFormat="1" hidden="1" outlineLevel="1">
      <c r="A4694" s="453"/>
      <c r="B4694" s="3425"/>
      <c r="C4694" s="3433"/>
      <c r="D4694" s="4306"/>
      <c r="E4694" s="2785" t="s">
        <v>1066</v>
      </c>
      <c r="F4694" s="3457">
        <f>F4719*F4720*F4680*F4682*F4686</f>
        <v>19.810955730275229</v>
      </c>
      <c r="G4694" s="4326"/>
      <c r="H4694" s="4327"/>
      <c r="I4694" s="1597"/>
      <c r="J4694" s="2220"/>
      <c r="K4694" s="2112"/>
      <c r="L4694" s="2112"/>
      <c r="M4694" s="2086"/>
      <c r="N4694" s="2720"/>
      <c r="O4694" s="2696"/>
      <c r="P4694" s="283"/>
      <c r="Q4694" s="283"/>
      <c r="R4694" s="66"/>
      <c r="S4694" s="66"/>
      <c r="T4694" s="66"/>
      <c r="U4694" s="66"/>
      <c r="V4694" s="4160"/>
      <c r="W4694" s="2801"/>
      <c r="X4694" s="2801"/>
      <c r="Y4694" s="2725"/>
      <c r="Z4694" s="2800"/>
      <c r="AA4694" s="2800"/>
      <c r="AB4694" s="2800"/>
      <c r="AC4694" s="2800"/>
      <c r="AD4694" s="2800"/>
      <c r="AE4694" s="2800"/>
      <c r="AF4694" s="2236">
        <f t="shared" si="417"/>
        <v>19.810955730275229</v>
      </c>
      <c r="AG4694" s="2801"/>
      <c r="AH4694" s="3043"/>
      <c r="AI4694" s="2723"/>
      <c r="AU4694" s="1505"/>
      <c r="DG4694" s="1073"/>
      <c r="DH4694" s="66"/>
      <c r="DI4694" s="66"/>
      <c r="DJ4694" s="1102"/>
    </row>
    <row r="4695" spans="1:114" s="7" customFormat="1" hidden="1" outlineLevel="1">
      <c r="A4695" s="453"/>
      <c r="B4695" s="3425"/>
      <c r="C4695" s="3433"/>
      <c r="D4695" s="3458" t="s">
        <v>1109</v>
      </c>
      <c r="E4695" s="2201" t="s">
        <v>1102</v>
      </c>
      <c r="F4695" s="3459">
        <v>3.1399999999999997E-2</v>
      </c>
      <c r="G4695" s="4059" t="s">
        <v>1080</v>
      </c>
      <c r="H4695" s="4060"/>
      <c r="I4695" s="1597" t="s">
        <v>1111</v>
      </c>
      <c r="J4695" s="2220"/>
      <c r="K4695" s="2112"/>
      <c r="L4695" s="2112"/>
      <c r="M4695" s="2086"/>
      <c r="N4695" s="2720"/>
      <c r="O4695" s="2696"/>
      <c r="P4695" s="283"/>
      <c r="Q4695" s="283"/>
      <c r="R4695" s="66"/>
      <c r="S4695" s="66"/>
      <c r="T4695" s="66"/>
      <c r="U4695" s="66"/>
      <c r="V4695" s="2274" t="s">
        <v>1109</v>
      </c>
      <c r="W4695" s="2803"/>
      <c r="X4695" s="2803"/>
      <c r="Y4695" s="2804"/>
      <c r="Z4695" s="2805"/>
      <c r="AA4695" s="2805"/>
      <c r="AB4695" s="2805"/>
      <c r="AC4695" s="2805"/>
      <c r="AD4695" s="2805"/>
      <c r="AE4695" s="2805"/>
      <c r="AF4695" s="2236">
        <f t="shared" si="417"/>
        <v>3.1399999999999997E-2</v>
      </c>
      <c r="AG4695" s="2803"/>
      <c r="AH4695" s="3043"/>
      <c r="AI4695" s="2723"/>
      <c r="AJ4695" s="1568"/>
      <c r="AU4695" s="1505"/>
      <c r="DG4695" s="1073"/>
      <c r="DH4695" s="66"/>
      <c r="DI4695" s="66"/>
      <c r="DJ4695" s="1102"/>
    </row>
    <row r="4696" spans="1:114" s="7" customFormat="1" hidden="1" outlineLevel="1">
      <c r="A4696" s="453"/>
      <c r="B4696" s="3425"/>
      <c r="C4696" s="3433"/>
      <c r="D4696" s="4304" t="s">
        <v>1112</v>
      </c>
      <c r="E4696" s="2785" t="s">
        <v>1044</v>
      </c>
      <c r="F4696" s="3460">
        <v>1</v>
      </c>
      <c r="G4696" s="4059"/>
      <c r="H4696" s="4060"/>
      <c r="I4696" s="1597"/>
      <c r="J4696" s="2220"/>
      <c r="K4696" s="2112"/>
      <c r="L4696" s="2112"/>
      <c r="M4696" s="2086"/>
      <c r="N4696" s="2720"/>
      <c r="O4696" s="2696"/>
      <c r="P4696" s="283"/>
      <c r="Q4696" s="283"/>
      <c r="R4696" s="66"/>
      <c r="S4696" s="66"/>
      <c r="T4696" s="66"/>
      <c r="U4696" s="66"/>
      <c r="V4696" s="4319" t="s">
        <v>1112</v>
      </c>
      <c r="W4696" s="2793"/>
      <c r="X4696" s="2793"/>
      <c r="Y4696" s="2793"/>
      <c r="Z4696" s="2794"/>
      <c r="AA4696" s="2794"/>
      <c r="AB4696" s="2794"/>
      <c r="AC4696" s="2794"/>
      <c r="AD4696" s="2794"/>
      <c r="AE4696" s="2794"/>
      <c r="AF4696" s="2236">
        <f t="shared" si="417"/>
        <v>1</v>
      </c>
      <c r="AG4696" s="2793"/>
      <c r="AH4696" s="3043"/>
      <c r="AI4696" s="2723"/>
      <c r="AJ4696" s="1568"/>
      <c r="AU4696" s="1505"/>
      <c r="DG4696" s="1073"/>
      <c r="DH4696" s="66"/>
      <c r="DI4696" s="66"/>
      <c r="DJ4696" s="1102"/>
    </row>
    <row r="4697" spans="1:114" s="7" customFormat="1" hidden="1" outlineLevel="1">
      <c r="A4697" s="453"/>
      <c r="B4697" s="3425"/>
      <c r="C4697" s="3433"/>
      <c r="D4697" s="4305"/>
      <c r="E4697" s="2785" t="s">
        <v>1048</v>
      </c>
      <c r="F4697" s="3460">
        <v>1</v>
      </c>
      <c r="G4697" s="4059"/>
      <c r="H4697" s="4060"/>
      <c r="I4697" s="1597"/>
      <c r="J4697" s="2220"/>
      <c r="K4697" s="2112"/>
      <c r="L4697" s="2112"/>
      <c r="M4697" s="2086"/>
      <c r="N4697" s="2720"/>
      <c r="O4697" s="2696"/>
      <c r="P4697" s="283"/>
      <c r="Q4697" s="283"/>
      <c r="R4697" s="66"/>
      <c r="S4697" s="66"/>
      <c r="T4697" s="66"/>
      <c r="U4697" s="66"/>
      <c r="V4697" s="4320"/>
      <c r="W4697" s="2793"/>
      <c r="X4697" s="2793"/>
      <c r="Y4697" s="2796"/>
      <c r="Z4697" s="2794"/>
      <c r="AA4697" s="2794"/>
      <c r="AB4697" s="2794"/>
      <c r="AC4697" s="2794"/>
      <c r="AD4697" s="2794"/>
      <c r="AE4697" s="2794"/>
      <c r="AF4697" s="2236">
        <f t="shared" si="417"/>
        <v>1</v>
      </c>
      <c r="AG4697" s="2793"/>
      <c r="AH4697" s="3043"/>
      <c r="AI4697" s="2723"/>
      <c r="AJ4697" s="1568"/>
      <c r="AU4697" s="1505"/>
      <c r="DG4697" s="1073"/>
      <c r="DH4697" s="66"/>
      <c r="DI4697" s="66"/>
      <c r="DJ4697" s="1102"/>
    </row>
    <row r="4698" spans="1:114" s="7" customFormat="1" hidden="1" outlineLevel="1">
      <c r="A4698" s="453"/>
      <c r="B4698" s="3425"/>
      <c r="C4698" s="3433"/>
      <c r="D4698" s="4305"/>
      <c r="E4698" s="2785" t="s">
        <v>1051</v>
      </c>
      <c r="F4698" s="3460">
        <v>1</v>
      </c>
      <c r="G4698" s="4059"/>
      <c r="H4698" s="4060"/>
      <c r="I4698" s="1597"/>
      <c r="J4698" s="2220"/>
      <c r="K4698" s="2112"/>
      <c r="L4698" s="2112"/>
      <c r="M4698" s="2086"/>
      <c r="N4698" s="2720"/>
      <c r="O4698" s="2696"/>
      <c r="P4698" s="283"/>
      <c r="Q4698" s="283"/>
      <c r="R4698" s="66"/>
      <c r="S4698" s="66"/>
      <c r="T4698" s="66"/>
      <c r="U4698" s="66"/>
      <c r="V4698" s="4320"/>
      <c r="W4698" s="2793"/>
      <c r="X4698" s="2793"/>
      <c r="Y4698" s="2793"/>
      <c r="Z4698" s="2794"/>
      <c r="AA4698" s="2794"/>
      <c r="AB4698" s="2794"/>
      <c r="AC4698" s="2794"/>
      <c r="AD4698" s="2794"/>
      <c r="AE4698" s="2794"/>
      <c r="AF4698" s="2236">
        <f t="shared" si="417"/>
        <v>1</v>
      </c>
      <c r="AG4698" s="2793"/>
      <c r="AH4698" s="3043"/>
      <c r="AI4698" s="2723"/>
      <c r="AJ4698" s="1568"/>
      <c r="AU4698" s="1505"/>
      <c r="DG4698" s="1073"/>
      <c r="DH4698" s="66"/>
      <c r="DI4698" s="66"/>
      <c r="DJ4698" s="1102"/>
    </row>
    <row r="4699" spans="1:114" s="7" customFormat="1" hidden="1" outlineLevel="1">
      <c r="A4699" s="453"/>
      <c r="B4699" s="3425"/>
      <c r="C4699" s="3433"/>
      <c r="D4699" s="4305"/>
      <c r="E4699" s="2785" t="s">
        <v>1054</v>
      </c>
      <c r="F4699" s="3460">
        <v>1</v>
      </c>
      <c r="G4699" s="4059"/>
      <c r="H4699" s="4060"/>
      <c r="I4699" s="1597"/>
      <c r="J4699" s="2220"/>
      <c r="K4699" s="2112"/>
      <c r="L4699" s="2112"/>
      <c r="M4699" s="2086"/>
      <c r="N4699" s="2720"/>
      <c r="O4699" s="2696"/>
      <c r="P4699" s="283"/>
      <c r="Q4699" s="283"/>
      <c r="R4699" s="66"/>
      <c r="S4699" s="66"/>
      <c r="T4699" s="66"/>
      <c r="U4699" s="66"/>
      <c r="V4699" s="4320"/>
      <c r="W4699" s="2793"/>
      <c r="X4699" s="2793"/>
      <c r="Y4699" s="2793"/>
      <c r="Z4699" s="2794"/>
      <c r="AA4699" s="2794"/>
      <c r="AB4699" s="2794"/>
      <c r="AC4699" s="2794"/>
      <c r="AD4699" s="2794"/>
      <c r="AE4699" s="2794"/>
      <c r="AF4699" s="2236">
        <f t="shared" si="417"/>
        <v>1</v>
      </c>
      <c r="AG4699" s="2793"/>
      <c r="AH4699" s="3043"/>
      <c r="AI4699" s="2723"/>
      <c r="AU4699" s="1505"/>
      <c r="DG4699" s="1073"/>
      <c r="DH4699" s="66"/>
      <c r="DI4699" s="66"/>
      <c r="DJ4699" s="1102"/>
    </row>
    <row r="4700" spans="1:114" s="7" customFormat="1" hidden="1" outlineLevel="1">
      <c r="A4700" s="453"/>
      <c r="B4700" s="3425"/>
      <c r="C4700" s="3433"/>
      <c r="D4700" s="4305"/>
      <c r="E4700" s="2785" t="s">
        <v>1056</v>
      </c>
      <c r="F4700" s="3460">
        <v>1</v>
      </c>
      <c r="G4700" s="4059"/>
      <c r="H4700" s="4060"/>
      <c r="I4700" s="1597"/>
      <c r="J4700" s="2220"/>
      <c r="K4700" s="2112"/>
      <c r="L4700" s="2112"/>
      <c r="M4700" s="2086"/>
      <c r="N4700" s="2720"/>
      <c r="O4700" s="2696"/>
      <c r="P4700" s="283"/>
      <c r="Q4700" s="283"/>
      <c r="R4700" s="66"/>
      <c r="S4700" s="66"/>
      <c r="T4700" s="66"/>
      <c r="U4700" s="66"/>
      <c r="V4700" s="4320"/>
      <c r="W4700" s="2793"/>
      <c r="X4700" s="2793"/>
      <c r="Y4700" s="2793"/>
      <c r="Z4700" s="2794"/>
      <c r="AA4700" s="2794"/>
      <c r="AB4700" s="2794"/>
      <c r="AC4700" s="2794"/>
      <c r="AD4700" s="2794"/>
      <c r="AE4700" s="2794"/>
      <c r="AF4700" s="2236">
        <f t="shared" si="417"/>
        <v>1</v>
      </c>
      <c r="AG4700" s="2793"/>
      <c r="AH4700" s="3043"/>
      <c r="AI4700" s="2723"/>
      <c r="AJ4700" s="1568"/>
      <c r="AU4700" s="1505"/>
      <c r="DG4700" s="1073"/>
      <c r="DH4700" s="66"/>
      <c r="DI4700" s="66"/>
      <c r="DJ4700" s="1102"/>
    </row>
    <row r="4701" spans="1:114" s="7" customFormat="1" hidden="1" outlineLevel="1">
      <c r="A4701" s="453"/>
      <c r="B4701" s="3425"/>
      <c r="C4701" s="3433"/>
      <c r="D4701" s="4305"/>
      <c r="E4701" s="2785" t="s">
        <v>1058</v>
      </c>
      <c r="F4701" s="3460">
        <v>1</v>
      </c>
      <c r="G4701" s="4059"/>
      <c r="H4701" s="4060"/>
      <c r="I4701" s="1597"/>
      <c r="J4701" s="2220"/>
      <c r="K4701" s="2112"/>
      <c r="L4701" s="2112"/>
      <c r="M4701" s="2086"/>
      <c r="N4701" s="2720"/>
      <c r="O4701" s="2696"/>
      <c r="P4701" s="283"/>
      <c r="Q4701" s="283"/>
      <c r="R4701" s="66"/>
      <c r="S4701" s="66"/>
      <c r="T4701" s="66"/>
      <c r="U4701" s="66"/>
      <c r="V4701" s="4320"/>
      <c r="W4701" s="2793"/>
      <c r="X4701" s="2793"/>
      <c r="Y4701" s="2796"/>
      <c r="Z4701" s="2794"/>
      <c r="AA4701" s="2794"/>
      <c r="AB4701" s="2794"/>
      <c r="AC4701" s="2794"/>
      <c r="AD4701" s="2794"/>
      <c r="AE4701" s="2794"/>
      <c r="AF4701" s="2236">
        <f t="shared" si="417"/>
        <v>1</v>
      </c>
      <c r="AG4701" s="2793"/>
      <c r="AH4701" s="3043"/>
      <c r="AI4701" s="2723"/>
      <c r="AJ4701" s="1568"/>
      <c r="AU4701" s="1505"/>
      <c r="DG4701" s="1073"/>
      <c r="DH4701" s="66"/>
      <c r="DI4701" s="66"/>
      <c r="DJ4701" s="1102"/>
    </row>
    <row r="4702" spans="1:114" s="7" customFormat="1" hidden="1" outlineLevel="1">
      <c r="A4702" s="453"/>
      <c r="B4702" s="3425"/>
      <c r="C4702" s="3433"/>
      <c r="D4702" s="4305"/>
      <c r="E4702" s="2785" t="s">
        <v>1063</v>
      </c>
      <c r="F4702" s="3460">
        <v>1</v>
      </c>
      <c r="G4702" s="4059"/>
      <c r="H4702" s="4060"/>
      <c r="I4702" s="1597"/>
      <c r="J4702" s="2220"/>
      <c r="K4702" s="2112"/>
      <c r="L4702" s="2112"/>
      <c r="M4702" s="2086"/>
      <c r="N4702" s="2720"/>
      <c r="O4702" s="2696"/>
      <c r="P4702" s="283"/>
      <c r="Q4702" s="283"/>
      <c r="R4702" s="66"/>
      <c r="S4702" s="66"/>
      <c r="T4702" s="66"/>
      <c r="U4702" s="66"/>
      <c r="V4702" s="4320"/>
      <c r="W4702" s="2793"/>
      <c r="X4702" s="2793"/>
      <c r="Y4702" s="2793"/>
      <c r="Z4702" s="2794"/>
      <c r="AA4702" s="2794"/>
      <c r="AB4702" s="2794"/>
      <c r="AC4702" s="2794"/>
      <c r="AD4702" s="2794"/>
      <c r="AE4702" s="2794"/>
      <c r="AF4702" s="2236">
        <f t="shared" si="417"/>
        <v>1</v>
      </c>
      <c r="AG4702" s="2793"/>
      <c r="AH4702" s="3043"/>
      <c r="AI4702" s="2723"/>
      <c r="AJ4702" s="1568"/>
      <c r="AU4702" s="1505"/>
      <c r="DG4702" s="1073"/>
      <c r="DH4702" s="66"/>
      <c r="DI4702" s="66"/>
      <c r="DJ4702" s="1102"/>
    </row>
    <row r="4703" spans="1:114" s="7" customFormat="1" hidden="1" outlineLevel="1">
      <c r="A4703" s="453"/>
      <c r="B4703" s="3425"/>
      <c r="C4703" s="3433"/>
      <c r="D4703" s="4306"/>
      <c r="E4703" s="2785" t="s">
        <v>1066</v>
      </c>
      <c r="F4703" s="3460">
        <v>1</v>
      </c>
      <c r="G4703" s="4059"/>
      <c r="H4703" s="4060"/>
      <c r="I4703" s="1597"/>
      <c r="J4703" s="2220"/>
      <c r="K4703" s="2112"/>
      <c r="L4703" s="2112"/>
      <c r="M4703" s="2086"/>
      <c r="N4703" s="2720"/>
      <c r="O4703" s="2696"/>
      <c r="P4703" s="283"/>
      <c r="Q4703" s="283"/>
      <c r="R4703" s="66"/>
      <c r="S4703" s="66"/>
      <c r="T4703" s="66"/>
      <c r="U4703" s="66"/>
      <c r="V4703" s="4160"/>
      <c r="W4703" s="2793"/>
      <c r="X4703" s="2793"/>
      <c r="Y4703" s="2796"/>
      <c r="Z4703" s="2794"/>
      <c r="AA4703" s="2794"/>
      <c r="AB4703" s="2794"/>
      <c r="AC4703" s="2794"/>
      <c r="AD4703" s="2794"/>
      <c r="AE4703" s="2794"/>
      <c r="AF4703" s="2236">
        <f t="shared" si="417"/>
        <v>1</v>
      </c>
      <c r="AG4703" s="2793"/>
      <c r="AH4703" s="3043"/>
      <c r="AI4703" s="2723"/>
      <c r="AJ4703" s="1568"/>
      <c r="AU4703" s="1505"/>
      <c r="DG4703" s="1073"/>
      <c r="DH4703" s="66"/>
      <c r="DI4703" s="66"/>
      <c r="DJ4703" s="1102"/>
    </row>
    <row r="4704" spans="1:114" s="7" customFormat="1" hidden="1" outlineLevel="1">
      <c r="A4704" s="453"/>
      <c r="B4704" s="3425"/>
      <c r="C4704" s="3433"/>
      <c r="D4704" s="4304" t="s">
        <v>2655</v>
      </c>
      <c r="E4704" s="2201" t="s">
        <v>1115</v>
      </c>
      <c r="F4704" s="3461">
        <v>869</v>
      </c>
      <c r="G4704" s="4059" t="s">
        <v>2656</v>
      </c>
      <c r="H4704" s="4060"/>
      <c r="I4704" s="1597" t="s">
        <v>1117</v>
      </c>
      <c r="J4704" s="2220"/>
      <c r="K4704" s="2112"/>
      <c r="L4704" s="2112"/>
      <c r="M4704" s="2086"/>
      <c r="N4704" s="2720"/>
      <c r="O4704" s="2696"/>
      <c r="P4704" s="283"/>
      <c r="Q4704" s="283"/>
      <c r="R4704" s="66"/>
      <c r="S4704" s="66"/>
      <c r="T4704" s="66"/>
      <c r="U4704" s="66"/>
      <c r="V4704" s="4319" t="s">
        <v>2657</v>
      </c>
      <c r="W4704" s="2806"/>
      <c r="X4704" s="2806"/>
      <c r="Y4704" s="2807"/>
      <c r="Z4704" s="2808"/>
      <c r="AA4704" s="2808"/>
      <c r="AB4704" s="2808"/>
      <c r="AC4704" s="2808"/>
      <c r="AD4704" s="2808"/>
      <c r="AE4704" s="2808"/>
      <c r="AF4704" s="2236">
        <f t="shared" si="417"/>
        <v>869</v>
      </c>
      <c r="AG4704" s="2806"/>
      <c r="AH4704" s="3043"/>
      <c r="AI4704" s="2723"/>
      <c r="AJ4704" s="1568"/>
      <c r="AU4704" s="1505"/>
      <c r="DG4704" s="1073"/>
      <c r="DH4704" s="66"/>
      <c r="DI4704" s="66"/>
      <c r="DJ4704" s="1102"/>
    </row>
    <row r="4705" spans="1:114" s="7" customFormat="1" hidden="1" outlineLevel="1">
      <c r="A4705" s="453"/>
      <c r="B4705" s="3425"/>
      <c r="C4705" s="3433"/>
      <c r="D4705" s="4306"/>
      <c r="E4705" s="2201" t="s">
        <v>1118</v>
      </c>
      <c r="F4705" s="3461">
        <v>632</v>
      </c>
      <c r="G4705" s="4059" t="s">
        <v>1119</v>
      </c>
      <c r="H4705" s="4060"/>
      <c r="I4705" s="1597"/>
      <c r="J4705" s="2220"/>
      <c r="K4705" s="2112"/>
      <c r="L4705" s="2112"/>
      <c r="M4705" s="2086"/>
      <c r="N4705" s="2720"/>
      <c r="O4705" s="2696"/>
      <c r="P4705" s="283"/>
      <c r="Q4705" s="283"/>
      <c r="R4705" s="66"/>
      <c r="S4705" s="66"/>
      <c r="T4705" s="66"/>
      <c r="U4705" s="66"/>
      <c r="V4705" s="4160"/>
      <c r="W4705" s="2806"/>
      <c r="X4705" s="2806"/>
      <c r="Y4705" s="2807"/>
      <c r="Z4705" s="2808"/>
      <c r="AA4705" s="2808"/>
      <c r="AB4705" s="2808"/>
      <c r="AC4705" s="2808"/>
      <c r="AD4705" s="2808"/>
      <c r="AE4705" s="2808"/>
      <c r="AF4705" s="2236">
        <f t="shared" si="417"/>
        <v>632</v>
      </c>
      <c r="AG4705" s="2806"/>
      <c r="AH4705" s="3043"/>
      <c r="AI4705" s="2723"/>
      <c r="AJ4705" s="1568"/>
      <c r="AU4705" s="1505"/>
      <c r="DG4705" s="1073"/>
      <c r="DH4705" s="66"/>
      <c r="DI4705" s="66"/>
      <c r="DJ4705" s="1102"/>
    </row>
    <row r="4706" spans="1:114" s="7" customFormat="1" hidden="1" outlineLevel="1">
      <c r="A4706" s="453"/>
      <c r="B4706" s="3425"/>
      <c r="C4706" s="3433"/>
      <c r="D4706" s="2785" t="s">
        <v>1120</v>
      </c>
      <c r="E4706" s="2201" t="s">
        <v>170</v>
      </c>
      <c r="F4706" s="3441">
        <v>36000</v>
      </c>
      <c r="G4706" s="4059"/>
      <c r="H4706" s="4060"/>
      <c r="I4706" s="1597" t="s">
        <v>1121</v>
      </c>
      <c r="J4706" s="2220"/>
      <c r="K4706" s="2112"/>
      <c r="L4706" s="2112"/>
      <c r="M4706" s="2086"/>
      <c r="N4706" s="2720"/>
      <c r="O4706" s="2696"/>
      <c r="P4706" s="283"/>
      <c r="Q4706" s="283"/>
      <c r="R4706" s="66"/>
      <c r="S4706" s="66"/>
      <c r="T4706" s="66"/>
      <c r="U4706" s="66"/>
      <c r="V4706" s="2432" t="s">
        <v>1120</v>
      </c>
      <c r="W4706" s="2806"/>
      <c r="X4706" s="2807"/>
      <c r="Y4706" s="2807"/>
      <c r="Z4706" s="2808"/>
      <c r="AA4706" s="2808"/>
      <c r="AB4706" s="2808"/>
      <c r="AC4706" s="2812"/>
      <c r="AD4706" s="2808"/>
      <c r="AE4706" s="2808"/>
      <c r="AF4706" s="2236">
        <f t="shared" si="417"/>
        <v>36000</v>
      </c>
      <c r="AG4706" s="2806"/>
      <c r="AH4706" s="3043"/>
      <c r="AI4706" s="2723"/>
      <c r="AU4706" s="1505"/>
      <c r="DG4706" s="1073"/>
      <c r="DH4706" s="66"/>
      <c r="DI4706" s="66"/>
      <c r="DJ4706" s="1102"/>
    </row>
    <row r="4707" spans="1:114" s="7" customFormat="1" hidden="1" outlineLevel="1">
      <c r="A4707" s="453"/>
      <c r="B4707" s="3425"/>
      <c r="C4707" s="3433"/>
      <c r="D4707" s="2785" t="s">
        <v>1120</v>
      </c>
      <c r="E4707" s="2201" t="s">
        <v>1122</v>
      </c>
      <c r="F4707" s="3441">
        <v>36000</v>
      </c>
      <c r="G4707" s="4059"/>
      <c r="H4707" s="4060"/>
      <c r="I4707" s="1597" t="s">
        <v>1121</v>
      </c>
      <c r="J4707" s="2220"/>
      <c r="K4707" s="2112"/>
      <c r="L4707" s="2112"/>
      <c r="M4707" s="2086"/>
      <c r="N4707" s="2720"/>
      <c r="O4707" s="2696"/>
      <c r="P4707" s="283"/>
      <c r="Q4707" s="283"/>
      <c r="R4707" s="66"/>
      <c r="S4707" s="66"/>
      <c r="T4707" s="66"/>
      <c r="U4707" s="66"/>
      <c r="V4707" s="2432" t="s">
        <v>1120</v>
      </c>
      <c r="W4707" s="2806"/>
      <c r="X4707" s="2807"/>
      <c r="Y4707" s="2807"/>
      <c r="Z4707" s="2808"/>
      <c r="AA4707" s="2808"/>
      <c r="AB4707" s="2808"/>
      <c r="AC4707" s="2812"/>
      <c r="AD4707" s="2808"/>
      <c r="AE4707" s="2808"/>
      <c r="AF4707" s="2236">
        <f t="shared" si="417"/>
        <v>36000</v>
      </c>
      <c r="AG4707" s="2806"/>
      <c r="AH4707" s="3043"/>
      <c r="AI4707" s="2723"/>
      <c r="AJ4707" s="1568"/>
      <c r="AU4707" s="1505"/>
      <c r="DG4707" s="1073"/>
      <c r="DH4707" s="66"/>
      <c r="DI4707" s="66"/>
      <c r="DJ4707" s="1102"/>
    </row>
    <row r="4708" spans="1:114" s="7" customFormat="1" hidden="1" outlineLevel="1">
      <c r="A4708" s="453"/>
      <c r="B4708" s="3425"/>
      <c r="C4708" s="3433"/>
      <c r="D4708" s="4316" t="s">
        <v>1124</v>
      </c>
      <c r="E4708" s="2201" t="s">
        <v>2658</v>
      </c>
      <c r="F4708" s="3462">
        <v>16.3</v>
      </c>
      <c r="G4708" s="4059" t="s">
        <v>1399</v>
      </c>
      <c r="H4708" s="4060"/>
      <c r="I4708" s="1633"/>
      <c r="J4708" s="2220"/>
      <c r="K4708" s="2112"/>
      <c r="L4708" s="2112"/>
      <c r="M4708" s="2086"/>
      <c r="N4708" s="2720"/>
      <c r="O4708" s="2696"/>
      <c r="P4708" s="283"/>
      <c r="Q4708" s="283"/>
      <c r="R4708" s="66"/>
      <c r="S4708" s="66"/>
      <c r="T4708" s="66"/>
      <c r="U4708" s="66"/>
      <c r="V4708" s="3467" t="s">
        <v>1124</v>
      </c>
      <c r="W4708" s="2806"/>
      <c r="X4708" s="2806"/>
      <c r="Y4708" s="2813"/>
      <c r="Z4708" s="2814"/>
      <c r="AA4708" s="2814"/>
      <c r="AB4708" s="2815"/>
      <c r="AC4708" s="2816"/>
      <c r="AD4708" s="2815"/>
      <c r="AE4708" s="2815"/>
      <c r="AF4708" s="2236">
        <f t="shared" si="417"/>
        <v>16.3</v>
      </c>
      <c r="AG4708" s="2806"/>
      <c r="AH4708" s="3043"/>
      <c r="AI4708" s="2723"/>
      <c r="AJ4708" s="1568"/>
      <c r="AU4708" s="1505"/>
      <c r="DG4708" s="1073"/>
      <c r="DH4708" s="66"/>
      <c r="DI4708" s="66"/>
      <c r="DJ4708" s="1102"/>
    </row>
    <row r="4709" spans="1:114" s="7" customFormat="1" hidden="1" outlineLevel="1">
      <c r="A4709" s="453"/>
      <c r="B4709" s="3425"/>
      <c r="C4709" s="3433"/>
      <c r="D4709" s="4317"/>
      <c r="E4709" s="2201" t="s">
        <v>2659</v>
      </c>
      <c r="F4709" s="3462">
        <v>18.100000000000001</v>
      </c>
      <c r="G4709" s="4059" t="s">
        <v>1399</v>
      </c>
      <c r="H4709" s="4060"/>
      <c r="I4709" s="1633"/>
      <c r="J4709" s="2220"/>
      <c r="K4709" s="2112"/>
      <c r="L4709" s="2112"/>
      <c r="M4709" s="2086"/>
      <c r="N4709" s="2720"/>
      <c r="O4709" s="2696"/>
      <c r="P4709" s="283"/>
      <c r="Q4709" s="283"/>
      <c r="R4709" s="66"/>
      <c r="S4709" s="66"/>
      <c r="T4709" s="66"/>
      <c r="U4709" s="66"/>
      <c r="V4709" s="3468"/>
      <c r="W4709" s="2806"/>
      <c r="X4709" s="2806"/>
      <c r="Y4709" s="2813"/>
      <c r="Z4709" s="2814"/>
      <c r="AA4709" s="2814"/>
      <c r="AB4709" s="2815"/>
      <c r="AC4709" s="2816"/>
      <c r="AD4709" s="2815"/>
      <c r="AE4709" s="2815"/>
      <c r="AF4709" s="2236">
        <f t="shared" si="417"/>
        <v>18.100000000000001</v>
      </c>
      <c r="AG4709" s="2806"/>
      <c r="AH4709" s="3043"/>
      <c r="AI4709" s="2723"/>
      <c r="AJ4709" s="1568"/>
      <c r="AU4709" s="1505"/>
      <c r="DG4709" s="1073"/>
      <c r="DH4709" s="66"/>
      <c r="DI4709" s="66"/>
      <c r="DJ4709" s="1102"/>
    </row>
    <row r="4710" spans="1:114" s="7" customFormat="1" hidden="1" outlineLevel="1">
      <c r="A4710" s="453"/>
      <c r="B4710" s="3425"/>
      <c r="C4710" s="3433"/>
      <c r="D4710" s="4318"/>
      <c r="E4710" s="2201" t="s">
        <v>1022</v>
      </c>
      <c r="F4710" s="3462">
        <v>13.4</v>
      </c>
      <c r="G4710" s="4059" t="s">
        <v>1399</v>
      </c>
      <c r="H4710" s="4060"/>
      <c r="I4710" s="1633"/>
      <c r="J4710" s="2220"/>
      <c r="K4710" s="2112"/>
      <c r="L4710" s="2112"/>
      <c r="M4710" s="2086"/>
      <c r="N4710" s="2720"/>
      <c r="O4710" s="2696"/>
      <c r="P4710" s="283"/>
      <c r="Q4710" s="283"/>
      <c r="R4710" s="66"/>
      <c r="S4710" s="66"/>
      <c r="T4710" s="66"/>
      <c r="U4710" s="66"/>
      <c r="V4710" s="3469"/>
      <c r="W4710" s="2806"/>
      <c r="X4710" s="2806"/>
      <c r="Y4710" s="2813"/>
      <c r="Z4710" s="2814"/>
      <c r="AA4710" s="2814"/>
      <c r="AB4710" s="2815"/>
      <c r="AC4710" s="2816"/>
      <c r="AD4710" s="2815"/>
      <c r="AE4710" s="2815"/>
      <c r="AF4710" s="2236">
        <f t="shared" si="417"/>
        <v>13.4</v>
      </c>
      <c r="AG4710" s="2806"/>
      <c r="AH4710" s="3043"/>
      <c r="AI4710" s="2723"/>
      <c r="AJ4710" s="1568"/>
      <c r="AU4710" s="1505"/>
      <c r="DG4710" s="1073"/>
      <c r="DH4710" s="66"/>
      <c r="DI4710" s="66"/>
      <c r="DJ4710" s="1102"/>
    </row>
    <row r="4711" spans="1:114" s="7" customFormat="1" ht="30" hidden="1" customHeight="1" outlineLevel="1">
      <c r="A4711" s="453"/>
      <c r="B4711" s="3425"/>
      <c r="C4711" s="3433"/>
      <c r="D4711" s="3458" t="s">
        <v>1126</v>
      </c>
      <c r="E4711" s="2201" t="s">
        <v>1102</v>
      </c>
      <c r="F4711" s="3453">
        <v>0.08</v>
      </c>
      <c r="G4711" s="4059" t="s">
        <v>2660</v>
      </c>
      <c r="H4711" s="4060"/>
      <c r="I4711" s="1597" t="s">
        <v>1111</v>
      </c>
      <c r="J4711" s="2220"/>
      <c r="K4711" s="2112"/>
      <c r="L4711" s="2112"/>
      <c r="M4711" s="2086"/>
      <c r="N4711" s="2720"/>
      <c r="O4711" s="2696"/>
      <c r="P4711" s="283"/>
      <c r="Q4711" s="283"/>
      <c r="R4711" s="66"/>
      <c r="S4711" s="66"/>
      <c r="T4711" s="66"/>
      <c r="U4711" s="66"/>
      <c r="V4711" s="2274" t="s">
        <v>1126</v>
      </c>
      <c r="W4711" s="2817"/>
      <c r="X4711" s="2817"/>
      <c r="Y4711" s="2818"/>
      <c r="Z4711" s="2819"/>
      <c r="AA4711" s="2819"/>
      <c r="AB4711" s="2819"/>
      <c r="AC4711" s="2819"/>
      <c r="AD4711" s="2819"/>
      <c r="AE4711" s="2819"/>
      <c r="AF4711" s="2236">
        <f t="shared" si="417"/>
        <v>0.08</v>
      </c>
      <c r="AG4711" s="2817"/>
      <c r="AH4711" s="3043"/>
      <c r="AI4711" s="2723"/>
      <c r="AJ4711" s="1568"/>
      <c r="AU4711" s="1505"/>
      <c r="DG4711" s="1073"/>
      <c r="DH4711" s="66"/>
      <c r="DI4711" s="66"/>
      <c r="DJ4711" s="1102"/>
    </row>
    <row r="4712" spans="1:114" s="7" customFormat="1" hidden="1" outlineLevel="1">
      <c r="A4712" s="453"/>
      <c r="B4712" s="3425"/>
      <c r="C4712" s="3433"/>
      <c r="D4712" s="4304" t="s">
        <v>1128</v>
      </c>
      <c r="E4712" s="2785" t="s">
        <v>1044</v>
      </c>
      <c r="F4712" s="3440">
        <v>0</v>
      </c>
      <c r="G4712" s="4059"/>
      <c r="H4712" s="4060"/>
      <c r="I4712" s="1597"/>
      <c r="J4712" s="2220"/>
      <c r="K4712" s="2112"/>
      <c r="L4712" s="2112"/>
      <c r="M4712" s="2086"/>
      <c r="N4712" s="2720"/>
      <c r="O4712" s="2696"/>
      <c r="P4712" s="283"/>
      <c r="Q4712" s="283"/>
      <c r="R4712" s="66"/>
      <c r="S4712" s="66"/>
      <c r="T4712" s="66"/>
      <c r="U4712" s="66"/>
      <c r="V4712" s="4319" t="s">
        <v>1128</v>
      </c>
      <c r="W4712" s="2793"/>
      <c r="X4712" s="2796"/>
      <c r="Y4712" s="2820"/>
      <c r="Z4712" s="2794"/>
      <c r="AA4712" s="2794"/>
      <c r="AB4712" s="2794"/>
      <c r="AC4712" s="2794"/>
      <c r="AD4712" s="2794"/>
      <c r="AE4712" s="2794"/>
      <c r="AF4712" s="2236">
        <f t="shared" si="417"/>
        <v>0</v>
      </c>
      <c r="AG4712" s="2793"/>
      <c r="AH4712" s="3043"/>
      <c r="AI4712" s="2723"/>
      <c r="AU4712" s="1505"/>
      <c r="DG4712" s="1073"/>
      <c r="DH4712" s="66"/>
      <c r="DI4712" s="66"/>
      <c r="DJ4712" s="1102"/>
    </row>
    <row r="4713" spans="1:114" s="7" customFormat="1" hidden="1" outlineLevel="1">
      <c r="A4713" s="453"/>
      <c r="B4713" s="3425"/>
      <c r="C4713" s="3433"/>
      <c r="D4713" s="4305"/>
      <c r="E4713" s="2785" t="s">
        <v>1048</v>
      </c>
      <c r="F4713" s="3440">
        <v>0</v>
      </c>
      <c r="G4713" s="4321"/>
      <c r="H4713" s="4322"/>
      <c r="I4713" s="1597"/>
      <c r="J4713" s="2220"/>
      <c r="K4713" s="2112"/>
      <c r="L4713" s="2112"/>
      <c r="M4713" s="2086"/>
      <c r="N4713" s="2720"/>
      <c r="O4713" s="2696"/>
      <c r="P4713" s="283"/>
      <c r="Q4713" s="283"/>
      <c r="R4713" s="66"/>
      <c r="S4713" s="66"/>
      <c r="T4713" s="66"/>
      <c r="U4713" s="66"/>
      <c r="V4713" s="4320"/>
      <c r="W4713" s="2793"/>
      <c r="X4713" s="2796"/>
      <c r="Y4713" s="2796"/>
      <c r="Z4713" s="2794"/>
      <c r="AA4713" s="2794"/>
      <c r="AB4713" s="2794"/>
      <c r="AC4713" s="2794"/>
      <c r="AD4713" s="2794"/>
      <c r="AE4713" s="2794"/>
      <c r="AF4713" s="2236">
        <f t="shared" si="417"/>
        <v>0</v>
      </c>
      <c r="AG4713" s="2793"/>
      <c r="AH4713" s="3043"/>
      <c r="AI4713" s="2723"/>
      <c r="AU4713" s="1505"/>
      <c r="DG4713" s="1073"/>
      <c r="DH4713" s="66"/>
      <c r="DI4713" s="66"/>
      <c r="DJ4713" s="1102"/>
    </row>
    <row r="4714" spans="1:114" s="7" customFormat="1" hidden="1" outlineLevel="1">
      <c r="A4714" s="453"/>
      <c r="B4714" s="3425"/>
      <c r="C4714" s="3433"/>
      <c r="D4714" s="4305"/>
      <c r="E4714" s="2785" t="s">
        <v>1051</v>
      </c>
      <c r="F4714" s="3440">
        <v>0</v>
      </c>
      <c r="G4714" s="4059"/>
      <c r="H4714" s="4060"/>
      <c r="I4714" s="1597"/>
      <c r="J4714" s="2220"/>
      <c r="K4714" s="2112"/>
      <c r="L4714" s="2112"/>
      <c r="M4714" s="2086"/>
      <c r="N4714" s="2720"/>
      <c r="O4714" s="2696"/>
      <c r="P4714" s="283"/>
      <c r="Q4714" s="283"/>
      <c r="R4714" s="66"/>
      <c r="S4714" s="66"/>
      <c r="T4714" s="66"/>
      <c r="U4714" s="66"/>
      <c r="V4714" s="4320"/>
      <c r="W4714" s="2793"/>
      <c r="X4714" s="2796"/>
      <c r="Y4714" s="2820"/>
      <c r="Z4714" s="2794"/>
      <c r="AA4714" s="2794"/>
      <c r="AB4714" s="2794"/>
      <c r="AC4714" s="2794"/>
      <c r="AD4714" s="2794"/>
      <c r="AE4714" s="2794"/>
      <c r="AF4714" s="2236">
        <f t="shared" si="417"/>
        <v>0</v>
      </c>
      <c r="AG4714" s="2793"/>
      <c r="AH4714" s="3043"/>
      <c r="AI4714" s="2723"/>
      <c r="AU4714" s="1505"/>
      <c r="DG4714" s="1073"/>
      <c r="DH4714" s="66"/>
      <c r="DI4714" s="66"/>
      <c r="DJ4714" s="1102"/>
    </row>
    <row r="4715" spans="1:114" s="7" customFormat="1" hidden="1" outlineLevel="1">
      <c r="A4715" s="453"/>
      <c r="B4715" s="3425"/>
      <c r="C4715" s="3433"/>
      <c r="D4715" s="4305"/>
      <c r="E4715" s="2785" t="s">
        <v>1054</v>
      </c>
      <c r="F4715" s="3440">
        <v>0</v>
      </c>
      <c r="G4715" s="4059"/>
      <c r="H4715" s="4060"/>
      <c r="I4715" s="1597"/>
      <c r="J4715" s="2220"/>
      <c r="K4715" s="2112"/>
      <c r="L4715" s="2112"/>
      <c r="M4715" s="2086"/>
      <c r="N4715" s="2720"/>
      <c r="O4715" s="2696"/>
      <c r="P4715" s="283"/>
      <c r="Q4715" s="283"/>
      <c r="R4715" s="66"/>
      <c r="S4715" s="66"/>
      <c r="T4715" s="66"/>
      <c r="U4715" s="66"/>
      <c r="V4715" s="4320"/>
      <c r="W4715" s="2793"/>
      <c r="X4715" s="2796"/>
      <c r="Y4715" s="2820"/>
      <c r="Z4715" s="2794"/>
      <c r="AA4715" s="2794"/>
      <c r="AB4715" s="2794"/>
      <c r="AC4715" s="2794"/>
      <c r="AD4715" s="2794"/>
      <c r="AE4715" s="2794"/>
      <c r="AF4715" s="2236">
        <f t="shared" si="417"/>
        <v>0</v>
      </c>
      <c r="AG4715" s="2793"/>
      <c r="AH4715" s="3043"/>
      <c r="AI4715" s="2723"/>
      <c r="AU4715" s="1505"/>
      <c r="DG4715" s="1073"/>
      <c r="DH4715" s="66"/>
      <c r="DI4715" s="66"/>
      <c r="DJ4715" s="1102"/>
    </row>
    <row r="4716" spans="1:114" s="7" customFormat="1" hidden="1" outlineLevel="1">
      <c r="A4716" s="453"/>
      <c r="B4716" s="3425"/>
      <c r="C4716" s="3433"/>
      <c r="D4716" s="4305"/>
      <c r="E4716" s="2785" t="s">
        <v>1056</v>
      </c>
      <c r="F4716" s="3440">
        <v>1</v>
      </c>
      <c r="G4716" s="4059"/>
      <c r="H4716" s="4060"/>
      <c r="I4716" s="1597"/>
      <c r="J4716" s="2220"/>
      <c r="K4716" s="2112"/>
      <c r="L4716" s="2112"/>
      <c r="M4716" s="2086"/>
      <c r="N4716" s="2720"/>
      <c r="O4716" s="2696"/>
      <c r="P4716" s="283"/>
      <c r="Q4716" s="283"/>
      <c r="R4716" s="66"/>
      <c r="S4716" s="66"/>
      <c r="T4716" s="66"/>
      <c r="U4716" s="66"/>
      <c r="V4716" s="4320"/>
      <c r="W4716" s="2793"/>
      <c r="X4716" s="2793"/>
      <c r="Y4716" s="2820"/>
      <c r="Z4716" s="2794"/>
      <c r="AA4716" s="2794"/>
      <c r="AB4716" s="2794"/>
      <c r="AC4716" s="2794"/>
      <c r="AD4716" s="2794"/>
      <c r="AE4716" s="2794"/>
      <c r="AF4716" s="2236">
        <f t="shared" si="417"/>
        <v>1</v>
      </c>
      <c r="AG4716" s="2793"/>
      <c r="AH4716" s="3043"/>
      <c r="AI4716" s="2723"/>
      <c r="AU4716" s="1505"/>
      <c r="DG4716" s="1073"/>
      <c r="DH4716" s="66"/>
      <c r="DI4716" s="66"/>
      <c r="DJ4716" s="1102"/>
    </row>
    <row r="4717" spans="1:114" s="7" customFormat="1" hidden="1" outlineLevel="1">
      <c r="A4717" s="453"/>
      <c r="B4717" s="3425"/>
      <c r="C4717" s="3433"/>
      <c r="D4717" s="4305"/>
      <c r="E4717" s="2785" t="s">
        <v>1058</v>
      </c>
      <c r="F4717" s="3440">
        <v>1</v>
      </c>
      <c r="G4717" s="4323"/>
      <c r="H4717" s="4323"/>
      <c r="I4717" s="1597"/>
      <c r="J4717" s="2220"/>
      <c r="K4717" s="2112"/>
      <c r="L4717" s="2112"/>
      <c r="M4717" s="2086"/>
      <c r="N4717" s="2720"/>
      <c r="O4717" s="2696"/>
      <c r="P4717" s="283"/>
      <c r="Q4717" s="283"/>
      <c r="R4717" s="66"/>
      <c r="S4717" s="66"/>
      <c r="T4717" s="66"/>
      <c r="U4717" s="66"/>
      <c r="V4717" s="4320"/>
      <c r="W4717" s="2793"/>
      <c r="X4717" s="2793"/>
      <c r="Y4717" s="2796"/>
      <c r="Z4717" s="2794"/>
      <c r="AA4717" s="2794"/>
      <c r="AB4717" s="2794"/>
      <c r="AC4717" s="2794"/>
      <c r="AD4717" s="2794"/>
      <c r="AE4717" s="2794"/>
      <c r="AF4717" s="2236">
        <f t="shared" si="417"/>
        <v>1</v>
      </c>
      <c r="AG4717" s="2793"/>
      <c r="AH4717" s="3043"/>
      <c r="AI4717" s="2723"/>
      <c r="AU4717" s="1505"/>
      <c r="DG4717" s="1073"/>
      <c r="DH4717" s="66"/>
      <c r="DI4717" s="66"/>
      <c r="DJ4717" s="1102"/>
    </row>
    <row r="4718" spans="1:114" s="7" customFormat="1" hidden="1" outlineLevel="1">
      <c r="A4718" s="453"/>
      <c r="B4718" s="3425"/>
      <c r="C4718" s="3433"/>
      <c r="D4718" s="4305"/>
      <c r="E4718" s="2785" t="s">
        <v>1063</v>
      </c>
      <c r="F4718" s="3440">
        <v>0.67</v>
      </c>
      <c r="G4718" s="4323" t="s">
        <v>2648</v>
      </c>
      <c r="H4718" s="4323"/>
      <c r="I4718" s="1597"/>
      <c r="J4718" s="2220"/>
      <c r="K4718" s="2112"/>
      <c r="L4718" s="2112"/>
      <c r="M4718" s="2086"/>
      <c r="N4718" s="2720"/>
      <c r="O4718" s="2696"/>
      <c r="P4718" s="283"/>
      <c r="Q4718" s="283"/>
      <c r="R4718" s="66"/>
      <c r="S4718" s="66"/>
      <c r="T4718" s="66"/>
      <c r="U4718" s="66"/>
      <c r="V4718" s="4320"/>
      <c r="W4718" s="2793"/>
      <c r="X4718" s="2796"/>
      <c r="Y4718" s="2796"/>
      <c r="Z4718" s="2794"/>
      <c r="AA4718" s="2794"/>
      <c r="AB4718" s="2794"/>
      <c r="AC4718" s="2795"/>
      <c r="AD4718" s="2794"/>
      <c r="AE4718" s="2794"/>
      <c r="AF4718" s="2236">
        <f t="shared" si="417"/>
        <v>0.67</v>
      </c>
      <c r="AG4718" s="2793"/>
      <c r="AH4718" s="3043"/>
      <c r="AI4718" s="2723"/>
      <c r="AU4718" s="1505"/>
      <c r="DG4718" s="1073"/>
      <c r="DH4718" s="66"/>
      <c r="DI4718" s="66"/>
      <c r="DJ4718" s="1102"/>
    </row>
    <row r="4719" spans="1:114" s="7" customFormat="1" ht="14.65" hidden="1" customHeight="1" outlineLevel="1">
      <c r="A4719" s="453"/>
      <c r="B4719" s="3425"/>
      <c r="C4719" s="3433"/>
      <c r="D4719" s="4306"/>
      <c r="E4719" s="2785" t="s">
        <v>1066</v>
      </c>
      <c r="F4719" s="3440">
        <v>0.67</v>
      </c>
      <c r="G4719" s="4323" t="s">
        <v>2648</v>
      </c>
      <c r="H4719" s="4323"/>
      <c r="I4719" s="1597"/>
      <c r="J4719" s="2220"/>
      <c r="K4719" s="2112"/>
      <c r="L4719" s="2112"/>
      <c r="M4719" s="2086"/>
      <c r="N4719" s="2720"/>
      <c r="O4719" s="2696"/>
      <c r="P4719" s="283"/>
      <c r="Q4719" s="283"/>
      <c r="R4719" s="66"/>
      <c r="S4719" s="66"/>
      <c r="T4719" s="66"/>
      <c r="U4719" s="66"/>
      <c r="V4719" s="4160"/>
      <c r="W4719" s="2793"/>
      <c r="X4719" s="2796"/>
      <c r="Y4719" s="2796"/>
      <c r="Z4719" s="2794"/>
      <c r="AA4719" s="2794"/>
      <c r="AB4719" s="2794"/>
      <c r="AC4719" s="2795"/>
      <c r="AD4719" s="2794"/>
      <c r="AE4719" s="2794"/>
      <c r="AF4719" s="2236">
        <f t="shared" si="417"/>
        <v>0.67</v>
      </c>
      <c r="AG4719" s="2793"/>
      <c r="AH4719" s="3043"/>
      <c r="AI4719" s="2723"/>
      <c r="AU4719" s="1505"/>
      <c r="DG4719" s="1073"/>
      <c r="DH4719" s="66"/>
      <c r="DI4719" s="66"/>
      <c r="DJ4719" s="1102"/>
    </row>
    <row r="4720" spans="1:114" s="7" customFormat="1" hidden="1" outlineLevel="1">
      <c r="A4720" s="453"/>
      <c r="B4720" s="3425"/>
      <c r="C4720" s="3433"/>
      <c r="D4720" s="3458" t="s">
        <v>1131</v>
      </c>
      <c r="E4720" s="2785" t="s">
        <v>1102</v>
      </c>
      <c r="F4720" s="2787">
        <v>682.14220183486236</v>
      </c>
      <c r="G4720" s="4059" t="s">
        <v>2661</v>
      </c>
      <c r="H4720" s="4060"/>
      <c r="I4720" s="1597" t="s">
        <v>1133</v>
      </c>
      <c r="J4720" s="2220"/>
      <c r="K4720" s="2112"/>
      <c r="L4720" s="2112"/>
      <c r="M4720" s="2086"/>
      <c r="N4720" s="2720"/>
      <c r="O4720" s="2696"/>
      <c r="P4720" s="283"/>
      <c r="Q4720" s="283"/>
      <c r="R4720" s="66"/>
      <c r="S4720" s="66"/>
      <c r="T4720" s="66"/>
      <c r="U4720" s="66"/>
      <c r="V4720" s="2274" t="s">
        <v>1131</v>
      </c>
      <c r="W4720" s="2586"/>
      <c r="X4720" s="2491"/>
      <c r="Y4720" s="2491"/>
      <c r="Z4720" s="2821"/>
      <c r="AA4720" s="2821"/>
      <c r="AB4720" s="2821"/>
      <c r="AC4720" s="2821"/>
      <c r="AD4720" s="2821"/>
      <c r="AE4720" s="2821"/>
      <c r="AF4720" s="2236">
        <f t="shared" si="417"/>
        <v>682.14220183486236</v>
      </c>
      <c r="AG4720" s="2586"/>
      <c r="AH4720" s="3043"/>
      <c r="AI4720" s="2723"/>
      <c r="AU4720" s="1505"/>
      <c r="DG4720" s="1073"/>
      <c r="DH4720" s="66"/>
      <c r="DI4720" s="66"/>
      <c r="DJ4720" s="1102"/>
    </row>
    <row r="4721" spans="1:114" s="7" customFormat="1" hidden="1" outlineLevel="1">
      <c r="A4721" s="453"/>
      <c r="B4721" s="3425"/>
      <c r="C4721" s="3433"/>
      <c r="D4721" s="3142">
        <f>$D$24</f>
        <v>0</v>
      </c>
      <c r="E4721" s="3142" t="s">
        <v>1198</v>
      </c>
      <c r="F4721" s="2787">
        <v>11</v>
      </c>
      <c r="G4721" s="4059" t="s">
        <v>1134</v>
      </c>
      <c r="H4721" s="4116"/>
      <c r="I4721" s="1597"/>
      <c r="J4721" s="2220"/>
      <c r="K4721" s="2112"/>
      <c r="L4721" s="2112"/>
      <c r="M4721" s="2086"/>
      <c r="N4721" s="2720"/>
      <c r="O4721" s="2696"/>
      <c r="P4721" s="283"/>
      <c r="Q4721" s="283"/>
      <c r="R4721" s="66"/>
      <c r="S4721" s="66"/>
      <c r="T4721" s="66"/>
      <c r="U4721" s="66"/>
      <c r="V4721" s="2377">
        <f>$D$24</f>
        <v>0</v>
      </c>
      <c r="W4721" s="2492"/>
      <c r="X4721" s="2492"/>
      <c r="Y4721" s="2492"/>
      <c r="Z4721" s="2821"/>
      <c r="AA4721" s="2821"/>
      <c r="AB4721" s="2821"/>
      <c r="AC4721" s="2821"/>
      <c r="AD4721" s="2821"/>
      <c r="AE4721" s="2821"/>
      <c r="AF4721" s="2236">
        <f t="shared" si="417"/>
        <v>11</v>
      </c>
      <c r="AG4721" s="2492"/>
      <c r="AH4721" s="3043"/>
      <c r="AI4721" s="2723"/>
      <c r="AU4721" s="1505"/>
      <c r="DG4721" s="1073"/>
      <c r="DH4721" s="66"/>
      <c r="DI4721" s="66"/>
      <c r="DJ4721" s="1102"/>
    </row>
    <row r="4722" spans="1:114" s="7" customFormat="1" hidden="1" outlineLevel="1">
      <c r="A4722" s="453"/>
      <c r="B4722" s="3425"/>
      <c r="C4722" s="3433"/>
      <c r="D4722" s="3142" t="str">
        <f>$D$25</f>
        <v>Factor</v>
      </c>
      <c r="E4722" s="3142" t="s">
        <v>1280</v>
      </c>
      <c r="F4722" s="2788">
        <v>79</v>
      </c>
      <c r="G4722" s="4059" t="s">
        <v>1134</v>
      </c>
      <c r="H4722" s="4116"/>
      <c r="I4722" s="1633"/>
      <c r="J4722" s="2220"/>
      <c r="K4722" s="2112"/>
      <c r="L4722" s="2112"/>
      <c r="M4722" s="2086"/>
      <c r="N4722" s="2720"/>
      <c r="O4722" s="2696"/>
      <c r="P4722" s="283"/>
      <c r="Q4722" s="283"/>
      <c r="R4722" s="66"/>
      <c r="S4722" s="66"/>
      <c r="T4722" s="66"/>
      <c r="U4722" s="66"/>
      <c r="V4722" s="2377" t="str">
        <f>$D$25</f>
        <v>Factor</v>
      </c>
      <c r="W4722" s="2823"/>
      <c r="X4722" s="2823"/>
      <c r="Y4722" s="2823"/>
      <c r="Z4722" s="2823"/>
      <c r="AA4722" s="2823"/>
      <c r="AB4722" s="2824"/>
      <c r="AC4722" s="2823"/>
      <c r="AD4722" s="2823"/>
      <c r="AE4722" s="2823"/>
      <c r="AF4722" s="2236">
        <f t="shared" si="417"/>
        <v>79</v>
      </c>
      <c r="AG4722" s="2823"/>
      <c r="AH4722" s="3043"/>
      <c r="AI4722" s="2723"/>
      <c r="AU4722" s="1505"/>
      <c r="DG4722" s="1073"/>
      <c r="DH4722" s="66"/>
      <c r="DI4722" s="66"/>
      <c r="DJ4722" s="1102"/>
    </row>
    <row r="4723" spans="1:114" s="7" customFormat="1" collapsed="1">
      <c r="A4723" s="453"/>
      <c r="B4723" s="3425"/>
      <c r="C4723" s="2703"/>
      <c r="D4723" s="2754"/>
      <c r="E4723" s="3207"/>
      <c r="F4723" s="2696"/>
      <c r="G4723" s="2696"/>
      <c r="H4723" s="2696"/>
      <c r="I4723" s="2696"/>
      <c r="J4723" s="2696"/>
      <c r="K4723" s="2696"/>
      <c r="L4723" s="2696"/>
      <c r="M4723" s="2696"/>
      <c r="N4723" s="2696"/>
      <c r="O4723" s="2696"/>
      <c r="P4723" s="283"/>
      <c r="Q4723" s="283"/>
      <c r="R4723" s="66"/>
      <c r="S4723" s="66"/>
      <c r="T4723" s="66"/>
      <c r="U4723" s="66"/>
      <c r="V4723" s="2723"/>
      <c r="W4723" s="2723"/>
      <c r="X4723" s="2723"/>
      <c r="Y4723" s="2723"/>
      <c r="Z4723" s="2723"/>
      <c r="AA4723" s="2723"/>
      <c r="AB4723" s="2723"/>
      <c r="AC4723" s="2723"/>
      <c r="AD4723" s="2723"/>
      <c r="AE4723" s="2723"/>
      <c r="AF4723" s="2723"/>
      <c r="AG4723" s="2723"/>
      <c r="AH4723" s="3043"/>
      <c r="AI4723" s="2723"/>
      <c r="AU4723" s="1505"/>
      <c r="DG4723" s="1073"/>
      <c r="DH4723" s="66"/>
      <c r="DI4723" s="66"/>
      <c r="DJ4723" s="1102"/>
    </row>
    <row r="4724" spans="1:114" s="7" customFormat="1">
      <c r="A4724" s="453"/>
      <c r="B4724" s="2086"/>
      <c r="C4724" s="2963"/>
      <c r="D4724" s="2711"/>
      <c r="E4724" s="2711"/>
      <c r="F4724" s="2086"/>
      <c r="G4724" s="2086"/>
      <c r="H4724" s="2086"/>
      <c r="I4724" s="2086"/>
      <c r="J4724" s="2086"/>
      <c r="K4724" s="2086"/>
      <c r="L4724" s="2086"/>
      <c r="M4724" s="2086"/>
      <c r="N4724" s="2086"/>
      <c r="O4724" s="2086"/>
      <c r="P4724" s="66"/>
      <c r="Q4724" s="66"/>
      <c r="R4724" s="66"/>
      <c r="S4724" s="66"/>
      <c r="T4724" s="66"/>
      <c r="U4724" s="66"/>
      <c r="V4724" s="2723"/>
      <c r="W4724" s="2723"/>
      <c r="X4724" s="2723"/>
      <c r="Y4724" s="2723"/>
      <c r="Z4724" s="2723"/>
      <c r="AA4724" s="2723"/>
      <c r="AB4724" s="2723"/>
      <c r="AC4724" s="2723"/>
      <c r="AD4724" s="2723"/>
      <c r="AE4724" s="2723"/>
      <c r="AF4724" s="2723"/>
      <c r="AG4724" s="2723"/>
      <c r="AH4724" s="3043"/>
      <c r="AI4724" s="2723"/>
      <c r="AU4724" s="1505"/>
      <c r="DG4724" s="1073"/>
      <c r="DH4724" s="66"/>
      <c r="DI4724" s="66"/>
      <c r="DJ4724" s="1102"/>
    </row>
    <row r="4725" spans="1:114">
      <c r="A4725" s="453"/>
      <c r="C4725" s="52"/>
      <c r="V4725" s="2237"/>
      <c r="W4725" s="2237"/>
      <c r="X4725" s="2237"/>
      <c r="Y4725" s="2237"/>
      <c r="Z4725" s="2237"/>
      <c r="AA4725" s="2237"/>
      <c r="AB4725" s="2237"/>
      <c r="AC4725" s="2237"/>
      <c r="AD4725" s="2237"/>
      <c r="AE4725" s="2237"/>
      <c r="AF4725" s="2237"/>
      <c r="AG4725" s="2237"/>
      <c r="AH4725" s="2237"/>
      <c r="AI4725" s="2237"/>
    </row>
    <row r="4726" spans="1:114">
      <c r="A4726" s="453"/>
      <c r="C4726" s="52"/>
    </row>
    <row r="4727" spans="1:114">
      <c r="A4727" s="453"/>
      <c r="C4727" s="52"/>
    </row>
    <row r="4728" spans="1:114">
      <c r="A4728" s="453"/>
      <c r="C4728" s="52"/>
    </row>
    <row r="4729" spans="1:114">
      <c r="A4729" s="453"/>
      <c r="C4729" s="52"/>
    </row>
    <row r="4730" spans="1:114">
      <c r="A4730" s="453"/>
      <c r="C4730" s="52"/>
    </row>
    <row r="4731" spans="1:114">
      <c r="A4731" s="453"/>
      <c r="C4731" s="52"/>
    </row>
    <row r="4732" spans="1:114">
      <c r="A4732" s="453"/>
      <c r="C4732" s="52"/>
    </row>
    <row r="4733" spans="1:114">
      <c r="A4733" s="453"/>
      <c r="C4733" s="52"/>
    </row>
    <row r="4734" spans="1:114">
      <c r="A4734" s="453"/>
      <c r="C4734" s="52"/>
    </row>
    <row r="4735" spans="1:114">
      <c r="A4735" s="453"/>
      <c r="C4735" s="52"/>
    </row>
    <row r="4736" spans="1:114">
      <c r="A4736" s="453"/>
      <c r="C4736" s="52"/>
    </row>
    <row r="4737" spans="1:3">
      <c r="A4737" s="453"/>
      <c r="C4737" s="52"/>
    </row>
    <row r="4738" spans="1:3">
      <c r="A4738" s="453"/>
      <c r="C4738" s="52"/>
    </row>
    <row r="4739" spans="1:3">
      <c r="A4739" s="453"/>
      <c r="C4739" s="52"/>
    </row>
    <row r="4740" spans="1:3">
      <c r="A4740" s="453"/>
      <c r="C4740" s="52"/>
    </row>
    <row r="4741" spans="1:3">
      <c r="A4741" s="453"/>
      <c r="C4741" s="52"/>
    </row>
    <row r="4742" spans="1:3">
      <c r="A4742" s="453"/>
      <c r="C4742" s="52"/>
    </row>
    <row r="4743" spans="1:3">
      <c r="A4743" s="453"/>
      <c r="C4743" s="52"/>
    </row>
    <row r="4744" spans="1:3">
      <c r="A4744" s="453"/>
      <c r="C4744" s="52"/>
    </row>
    <row r="4745" spans="1:3">
      <c r="A4745" s="453"/>
      <c r="C4745" s="52"/>
    </row>
    <row r="4746" spans="1:3">
      <c r="A4746" s="453"/>
      <c r="C4746" s="52"/>
    </row>
    <row r="4747" spans="1:3">
      <c r="A4747" s="453"/>
      <c r="C4747" s="52"/>
    </row>
    <row r="4748" spans="1:3">
      <c r="A4748" s="453"/>
      <c r="C4748" s="52"/>
    </row>
    <row r="4749" spans="1:3">
      <c r="A4749" s="453"/>
      <c r="C4749" s="52"/>
    </row>
    <row r="4750" spans="1:3">
      <c r="A4750" s="453"/>
      <c r="C4750" s="52"/>
    </row>
    <row r="4751" spans="1:3">
      <c r="A4751" s="453"/>
      <c r="C4751" s="52"/>
    </row>
    <row r="4752" spans="1:3">
      <c r="A4752" s="453"/>
      <c r="C4752" s="52"/>
    </row>
    <row r="4753" spans="1:3">
      <c r="A4753" s="453"/>
      <c r="C4753" s="52"/>
    </row>
    <row r="4754" spans="1:3">
      <c r="A4754" s="453"/>
      <c r="C4754" s="52"/>
    </row>
    <row r="4755" spans="1:3">
      <c r="A4755" s="453"/>
      <c r="C4755" s="52"/>
    </row>
    <row r="4756" spans="1:3">
      <c r="A4756" s="453"/>
      <c r="C4756" s="52"/>
    </row>
    <row r="4757" spans="1:3">
      <c r="A4757" s="453"/>
      <c r="C4757" s="52"/>
    </row>
    <row r="4758" spans="1:3">
      <c r="A4758" s="453"/>
      <c r="C4758" s="52"/>
    </row>
    <row r="4759" spans="1:3">
      <c r="A4759" s="453"/>
      <c r="C4759" s="52"/>
    </row>
    <row r="4760" spans="1:3">
      <c r="A4760" s="453"/>
      <c r="C4760" s="52"/>
    </row>
    <row r="4761" spans="1:3">
      <c r="A4761" s="453"/>
      <c r="C4761" s="52"/>
    </row>
    <row r="4762" spans="1:3">
      <c r="A4762" s="453"/>
      <c r="C4762" s="52"/>
    </row>
    <row r="4763" spans="1:3">
      <c r="A4763" s="453"/>
      <c r="C4763" s="52"/>
    </row>
    <row r="4764" spans="1:3">
      <c r="A4764" s="453"/>
      <c r="C4764" s="52"/>
    </row>
    <row r="4765" spans="1:3">
      <c r="A4765" s="453"/>
      <c r="C4765" s="52"/>
    </row>
    <row r="4766" spans="1:3">
      <c r="A4766" s="453"/>
      <c r="C4766" s="52"/>
    </row>
    <row r="4767" spans="1:3">
      <c r="A4767" s="453"/>
      <c r="C4767" s="52"/>
    </row>
    <row r="4768" spans="1:3">
      <c r="A4768" s="453"/>
      <c r="C4768" s="52"/>
    </row>
    <row r="4769" spans="1:3">
      <c r="A4769" s="453"/>
      <c r="C4769" s="52"/>
    </row>
    <row r="4770" spans="1:3">
      <c r="A4770" s="453"/>
      <c r="C4770" s="52"/>
    </row>
    <row r="4771" spans="1:3">
      <c r="A4771" s="453"/>
      <c r="C4771" s="52"/>
    </row>
    <row r="4772" spans="1:3">
      <c r="A4772" s="453"/>
      <c r="C4772" s="52"/>
    </row>
    <row r="4773" spans="1:3">
      <c r="A4773" s="453"/>
      <c r="C4773" s="52"/>
    </row>
    <row r="4774" spans="1:3">
      <c r="A4774" s="453"/>
      <c r="C4774" s="52"/>
    </row>
    <row r="4775" spans="1:3">
      <c r="A4775" s="453"/>
      <c r="C4775" s="52"/>
    </row>
    <row r="4776" spans="1:3">
      <c r="A4776" s="453"/>
      <c r="C4776" s="52"/>
    </row>
    <row r="4777" spans="1:3">
      <c r="A4777" s="453"/>
      <c r="C4777" s="52"/>
    </row>
    <row r="4778" spans="1:3">
      <c r="A4778" s="453"/>
      <c r="C4778" s="52"/>
    </row>
    <row r="4779" spans="1:3">
      <c r="A4779" s="453"/>
      <c r="C4779" s="52"/>
    </row>
    <row r="4780" spans="1:3">
      <c r="A4780" s="453"/>
      <c r="C4780" s="52"/>
    </row>
    <row r="4781" spans="1:3">
      <c r="A4781" s="453"/>
      <c r="C4781" s="52"/>
    </row>
    <row r="4782" spans="1:3">
      <c r="A4782" s="453"/>
      <c r="C4782" s="52"/>
    </row>
    <row r="4783" spans="1:3">
      <c r="A4783" s="453"/>
      <c r="C4783" s="52"/>
    </row>
    <row r="4784" spans="1:3">
      <c r="A4784" s="453"/>
      <c r="C4784" s="52"/>
    </row>
    <row r="4785" spans="1:3">
      <c r="A4785" s="453"/>
      <c r="C4785" s="52"/>
    </row>
    <row r="4786" spans="1:3">
      <c r="A4786" s="453"/>
      <c r="C4786" s="52"/>
    </row>
    <row r="4787" spans="1:3">
      <c r="A4787" s="453"/>
      <c r="C4787" s="52"/>
    </row>
    <row r="4788" spans="1:3">
      <c r="A4788" s="453"/>
      <c r="C4788" s="52"/>
    </row>
    <row r="4789" spans="1:3">
      <c r="A4789" s="453"/>
      <c r="C4789" s="52"/>
    </row>
    <row r="4790" spans="1:3">
      <c r="A4790" s="453"/>
      <c r="C4790" s="52"/>
    </row>
    <row r="4791" spans="1:3">
      <c r="A4791" s="453"/>
      <c r="C4791" s="52"/>
    </row>
    <row r="4792" spans="1:3">
      <c r="A4792" s="453"/>
      <c r="C4792" s="52"/>
    </row>
    <row r="4793" spans="1:3">
      <c r="A4793" s="453"/>
      <c r="C4793" s="52"/>
    </row>
    <row r="4794" spans="1:3">
      <c r="A4794" s="453"/>
      <c r="C4794" s="52"/>
    </row>
    <row r="4795" spans="1:3">
      <c r="A4795" s="453"/>
      <c r="C4795" s="52"/>
    </row>
    <row r="4796" spans="1:3">
      <c r="A4796" s="453"/>
      <c r="C4796" s="52"/>
    </row>
    <row r="4797" spans="1:3">
      <c r="A4797" s="453"/>
      <c r="C4797" s="52"/>
    </row>
    <row r="4798" spans="1:3">
      <c r="A4798" s="453"/>
      <c r="C4798" s="52"/>
    </row>
    <row r="4799" spans="1:3">
      <c r="A4799" s="453"/>
      <c r="C4799" s="52"/>
    </row>
    <row r="4800" spans="1:3">
      <c r="A4800" s="453"/>
      <c r="C4800" s="52"/>
    </row>
    <row r="4801" spans="1:3">
      <c r="A4801" s="453"/>
      <c r="C4801" s="52"/>
    </row>
    <row r="4802" spans="1:3">
      <c r="A4802" s="453"/>
      <c r="C4802" s="52"/>
    </row>
    <row r="4803" spans="1:3">
      <c r="A4803" s="453"/>
      <c r="C4803" s="52"/>
    </row>
    <row r="4804" spans="1:3">
      <c r="A4804" s="453"/>
      <c r="C4804" s="52"/>
    </row>
    <row r="4805" spans="1:3">
      <c r="A4805" s="453"/>
      <c r="C4805" s="52"/>
    </row>
    <row r="4806" spans="1:3">
      <c r="A4806" s="453"/>
      <c r="C4806" s="52"/>
    </row>
    <row r="4807" spans="1:3">
      <c r="A4807" s="453"/>
      <c r="C4807" s="52"/>
    </row>
    <row r="4808" spans="1:3">
      <c r="A4808" s="453"/>
      <c r="C4808" s="52"/>
    </row>
    <row r="4809" spans="1:3">
      <c r="A4809" s="453"/>
      <c r="C4809" s="52"/>
    </row>
    <row r="4810" spans="1:3">
      <c r="A4810" s="453"/>
      <c r="C4810" s="52"/>
    </row>
    <row r="4811" spans="1:3">
      <c r="A4811" s="453"/>
      <c r="C4811" s="52"/>
    </row>
    <row r="4812" spans="1:3">
      <c r="A4812" s="453"/>
      <c r="C4812" s="52"/>
    </row>
    <row r="4813" spans="1:3">
      <c r="A4813" s="453"/>
      <c r="C4813" s="52"/>
    </row>
    <row r="4814" spans="1:3">
      <c r="A4814" s="453"/>
      <c r="C4814" s="52"/>
    </row>
    <row r="4815" spans="1:3">
      <c r="A4815" s="453"/>
      <c r="C4815" s="52"/>
    </row>
    <row r="4816" spans="1:3">
      <c r="A4816" s="453"/>
      <c r="C4816" s="52"/>
    </row>
    <row r="4817" spans="1:3">
      <c r="A4817" s="453"/>
      <c r="C4817" s="52"/>
    </row>
    <row r="4818" spans="1:3">
      <c r="A4818" s="453"/>
      <c r="C4818" s="52"/>
    </row>
    <row r="4819" spans="1:3">
      <c r="A4819" s="453"/>
      <c r="C4819" s="52"/>
    </row>
    <row r="4820" spans="1:3">
      <c r="A4820" s="453"/>
      <c r="C4820" s="52"/>
    </row>
    <row r="4821" spans="1:3">
      <c r="A4821" s="453"/>
      <c r="C4821" s="52"/>
    </row>
    <row r="4822" spans="1:3">
      <c r="A4822" s="453"/>
      <c r="C4822" s="52"/>
    </row>
    <row r="4823" spans="1:3">
      <c r="A4823" s="453"/>
      <c r="C4823" s="52"/>
    </row>
    <row r="4824" spans="1:3">
      <c r="A4824" s="453"/>
      <c r="C4824" s="52"/>
    </row>
    <row r="4825" spans="1:3">
      <c r="A4825" s="453"/>
      <c r="C4825" s="52"/>
    </row>
    <row r="4826" spans="1:3">
      <c r="A4826" s="453"/>
      <c r="C4826" s="52"/>
    </row>
    <row r="4827" spans="1:3">
      <c r="A4827" s="453"/>
      <c r="C4827" s="52"/>
    </row>
    <row r="4828" spans="1:3">
      <c r="A4828" s="453"/>
      <c r="C4828" s="52"/>
    </row>
    <row r="4829" spans="1:3">
      <c r="A4829" s="453"/>
      <c r="C4829" s="52"/>
    </row>
    <row r="4830" spans="1:3">
      <c r="A4830" s="453"/>
      <c r="C4830" s="52"/>
    </row>
    <row r="4831" spans="1:3">
      <c r="A4831" s="453"/>
      <c r="C4831" s="52"/>
    </row>
    <row r="4832" spans="1:3">
      <c r="A4832" s="453"/>
      <c r="C4832" s="52"/>
    </row>
    <row r="4833" spans="1:3">
      <c r="A4833" s="453"/>
      <c r="C4833" s="52"/>
    </row>
    <row r="4834" spans="1:3">
      <c r="A4834" s="453"/>
      <c r="C4834" s="52"/>
    </row>
    <row r="4835" spans="1:3">
      <c r="A4835" s="453"/>
      <c r="C4835" s="52"/>
    </row>
    <row r="4836" spans="1:3">
      <c r="A4836" s="453"/>
      <c r="C4836" s="52"/>
    </row>
    <row r="4837" spans="1:3">
      <c r="A4837" s="453"/>
      <c r="C4837" s="52"/>
    </row>
    <row r="4838" spans="1:3">
      <c r="A4838" s="453"/>
      <c r="C4838" s="52"/>
    </row>
    <row r="4839" spans="1:3">
      <c r="A4839" s="453"/>
      <c r="C4839" s="52"/>
    </row>
    <row r="4840" spans="1:3">
      <c r="A4840" s="453"/>
      <c r="C4840" s="52"/>
    </row>
    <row r="4841" spans="1:3">
      <c r="A4841" s="453"/>
      <c r="C4841" s="52"/>
    </row>
    <row r="4842" spans="1:3">
      <c r="A4842" s="453"/>
      <c r="C4842" s="52"/>
    </row>
    <row r="4843" spans="1:3">
      <c r="A4843" s="453"/>
      <c r="C4843" s="52"/>
    </row>
    <row r="4844" spans="1:3">
      <c r="A4844" s="453"/>
      <c r="C4844" s="52"/>
    </row>
    <row r="4845" spans="1:3">
      <c r="A4845" s="453"/>
      <c r="C4845" s="52"/>
    </row>
    <row r="4846" spans="1:3">
      <c r="A4846" s="453"/>
      <c r="C4846" s="52"/>
    </row>
    <row r="4847" spans="1:3">
      <c r="A4847" s="453"/>
      <c r="C4847" s="52"/>
    </row>
    <row r="4848" spans="1:3">
      <c r="A4848" s="453"/>
      <c r="C4848" s="52"/>
    </row>
    <row r="4849" spans="1:3">
      <c r="A4849" s="453"/>
      <c r="C4849" s="52"/>
    </row>
    <row r="4850" spans="1:3">
      <c r="A4850" s="453"/>
      <c r="C4850" s="52"/>
    </row>
    <row r="4851" spans="1:3">
      <c r="A4851" s="453"/>
      <c r="C4851" s="52"/>
    </row>
    <row r="4852" spans="1:3">
      <c r="A4852" s="453"/>
      <c r="C4852" s="52"/>
    </row>
    <row r="4853" spans="1:3">
      <c r="A4853" s="453"/>
      <c r="C4853" s="52"/>
    </row>
    <row r="4854" spans="1:3">
      <c r="A4854" s="453"/>
      <c r="C4854" s="52"/>
    </row>
    <row r="4855" spans="1:3">
      <c r="A4855" s="453"/>
      <c r="C4855" s="52"/>
    </row>
    <row r="4856" spans="1:3">
      <c r="A4856" s="453"/>
      <c r="C4856" s="52"/>
    </row>
    <row r="4857" spans="1:3">
      <c r="A4857" s="453"/>
      <c r="C4857" s="52"/>
    </row>
    <row r="4858" spans="1:3">
      <c r="A4858" s="453"/>
      <c r="C4858" s="52"/>
    </row>
    <row r="4859" spans="1:3">
      <c r="A4859" s="453"/>
      <c r="C4859" s="52"/>
    </row>
    <row r="4860" spans="1:3">
      <c r="A4860" s="453"/>
      <c r="C4860" s="52"/>
    </row>
    <row r="4861" spans="1:3">
      <c r="A4861" s="453"/>
      <c r="C4861" s="52"/>
    </row>
    <row r="4862" spans="1:3">
      <c r="A4862" s="453"/>
      <c r="C4862" s="52"/>
    </row>
    <row r="4863" spans="1:3">
      <c r="A4863" s="453"/>
      <c r="C4863" s="52"/>
    </row>
    <row r="4864" spans="1:3">
      <c r="A4864" s="453"/>
      <c r="C4864" s="52"/>
    </row>
    <row r="4865" spans="1:3">
      <c r="A4865" s="453"/>
      <c r="C4865" s="52"/>
    </row>
    <row r="4866" spans="1:3">
      <c r="A4866" s="453"/>
      <c r="C4866" s="52"/>
    </row>
    <row r="4867" spans="1:3">
      <c r="A4867" s="453"/>
      <c r="C4867" s="52"/>
    </row>
    <row r="4868" spans="1:3">
      <c r="A4868" s="453"/>
      <c r="C4868" s="52"/>
    </row>
    <row r="4869" spans="1:3">
      <c r="A4869" s="453"/>
      <c r="C4869" s="52"/>
    </row>
    <row r="4870" spans="1:3">
      <c r="A4870" s="453"/>
      <c r="C4870" s="52"/>
    </row>
    <row r="4871" spans="1:3">
      <c r="A4871" s="453"/>
      <c r="C4871" s="52"/>
    </row>
    <row r="4872" spans="1:3">
      <c r="A4872" s="453"/>
      <c r="C4872" s="52"/>
    </row>
    <row r="4873" spans="1:3">
      <c r="A4873" s="453"/>
      <c r="C4873" s="52"/>
    </row>
    <row r="4874" spans="1:3">
      <c r="A4874" s="453"/>
      <c r="C4874" s="52"/>
    </row>
    <row r="4875" spans="1:3">
      <c r="A4875" s="453"/>
      <c r="C4875" s="52"/>
    </row>
    <row r="4876" spans="1:3">
      <c r="A4876" s="453"/>
      <c r="C4876" s="52"/>
    </row>
    <row r="4877" spans="1:3">
      <c r="A4877" s="453"/>
      <c r="C4877" s="52"/>
    </row>
    <row r="4878" spans="1:3">
      <c r="A4878" s="453"/>
      <c r="C4878" s="52"/>
    </row>
    <row r="4879" spans="1:3">
      <c r="A4879" s="453"/>
      <c r="C4879" s="52"/>
    </row>
    <row r="4880" spans="1:3">
      <c r="A4880" s="453"/>
      <c r="C4880" s="52"/>
    </row>
    <row r="4881" spans="1:3">
      <c r="A4881" s="453"/>
      <c r="C4881" s="52"/>
    </row>
    <row r="4882" spans="1:3">
      <c r="A4882" s="453"/>
      <c r="C4882" s="52"/>
    </row>
    <row r="4883" spans="1:3">
      <c r="A4883" s="453"/>
      <c r="C4883" s="52"/>
    </row>
    <row r="4884" spans="1:3">
      <c r="A4884" s="453"/>
      <c r="C4884" s="52"/>
    </row>
    <row r="4885" spans="1:3">
      <c r="A4885" s="453"/>
      <c r="C4885" s="52"/>
    </row>
    <row r="4886" spans="1:3">
      <c r="A4886" s="453"/>
      <c r="C4886" s="52"/>
    </row>
    <row r="4887" spans="1:3">
      <c r="A4887" s="453"/>
      <c r="C4887" s="52"/>
    </row>
    <row r="4888" spans="1:3">
      <c r="A4888" s="453"/>
      <c r="C4888" s="52"/>
    </row>
    <row r="4889" spans="1:3">
      <c r="A4889" s="453"/>
      <c r="C4889" s="52"/>
    </row>
    <row r="4890" spans="1:3">
      <c r="A4890" s="453"/>
      <c r="C4890" s="52"/>
    </row>
    <row r="4891" spans="1:3">
      <c r="A4891" s="453"/>
      <c r="C4891" s="52"/>
    </row>
    <row r="4892" spans="1:3">
      <c r="A4892" s="453"/>
      <c r="C4892" s="52"/>
    </row>
    <row r="4893" spans="1:3">
      <c r="A4893" s="453"/>
      <c r="C4893" s="52"/>
    </row>
    <row r="4894" spans="1:3">
      <c r="A4894" s="453"/>
      <c r="C4894" s="52"/>
    </row>
    <row r="4895" spans="1:3">
      <c r="A4895" s="453"/>
      <c r="C4895" s="52"/>
    </row>
    <row r="4896" spans="1:3">
      <c r="A4896" s="453"/>
      <c r="C4896" s="52"/>
    </row>
    <row r="4897" spans="1:3">
      <c r="A4897" s="453"/>
      <c r="C4897" s="52"/>
    </row>
    <row r="4898" spans="1:3">
      <c r="A4898" s="453"/>
      <c r="C4898" s="52"/>
    </row>
    <row r="4899" spans="1:3">
      <c r="A4899" s="453"/>
      <c r="C4899" s="52"/>
    </row>
    <row r="4900" spans="1:3">
      <c r="A4900" s="453"/>
      <c r="C4900" s="52"/>
    </row>
    <row r="4901" spans="1:3">
      <c r="A4901" s="453"/>
      <c r="C4901" s="52"/>
    </row>
    <row r="4902" spans="1:3">
      <c r="A4902" s="453"/>
      <c r="C4902" s="52"/>
    </row>
    <row r="4903" spans="1:3">
      <c r="A4903" s="453"/>
      <c r="C4903" s="52"/>
    </row>
    <row r="4904" spans="1:3">
      <c r="A4904" s="453"/>
      <c r="C4904" s="52"/>
    </row>
    <row r="4905" spans="1:3">
      <c r="A4905" s="453"/>
      <c r="C4905" s="52"/>
    </row>
    <row r="4906" spans="1:3">
      <c r="A4906" s="453"/>
      <c r="C4906" s="52"/>
    </row>
    <row r="4907" spans="1:3">
      <c r="A4907" s="453"/>
      <c r="C4907" s="52"/>
    </row>
    <row r="4908" spans="1:3">
      <c r="A4908" s="453"/>
      <c r="C4908" s="52"/>
    </row>
    <row r="4909" spans="1:3">
      <c r="A4909" s="453"/>
      <c r="C4909" s="52"/>
    </row>
    <row r="4910" spans="1:3">
      <c r="A4910" s="453"/>
      <c r="C4910" s="52"/>
    </row>
    <row r="4911" spans="1:3">
      <c r="A4911" s="453"/>
      <c r="C4911" s="52"/>
    </row>
    <row r="4912" spans="1:3">
      <c r="A4912" s="453"/>
      <c r="C4912" s="52"/>
    </row>
    <row r="4913" spans="1:3">
      <c r="A4913" s="453"/>
      <c r="C4913" s="52"/>
    </row>
    <row r="4914" spans="1:3">
      <c r="A4914" s="453"/>
      <c r="C4914" s="52"/>
    </row>
    <row r="4915" spans="1:3">
      <c r="A4915" s="453"/>
      <c r="C4915" s="52"/>
    </row>
    <row r="4916" spans="1:3">
      <c r="A4916" s="453"/>
      <c r="C4916" s="52"/>
    </row>
    <row r="4917" spans="1:3">
      <c r="A4917" s="453"/>
      <c r="C4917" s="52"/>
    </row>
    <row r="4918" spans="1:3">
      <c r="A4918" s="453"/>
      <c r="C4918" s="52"/>
    </row>
    <row r="4919" spans="1:3">
      <c r="A4919" s="453"/>
      <c r="C4919" s="52"/>
    </row>
    <row r="4920" spans="1:3">
      <c r="A4920" s="453"/>
      <c r="C4920" s="52"/>
    </row>
    <row r="4921" spans="1:3">
      <c r="A4921" s="453"/>
      <c r="C4921" s="52"/>
    </row>
    <row r="4922" spans="1:3">
      <c r="A4922" s="453"/>
      <c r="C4922" s="52"/>
    </row>
    <row r="4923" spans="1:3">
      <c r="A4923" s="453"/>
      <c r="C4923" s="52"/>
    </row>
    <row r="4924" spans="1:3">
      <c r="A4924" s="453"/>
      <c r="C4924" s="52"/>
    </row>
    <row r="4925" spans="1:3">
      <c r="A4925" s="453"/>
      <c r="C4925" s="52"/>
    </row>
    <row r="4926" spans="1:3">
      <c r="A4926" s="453"/>
      <c r="C4926" s="52"/>
    </row>
    <row r="4927" spans="1:3">
      <c r="A4927" s="453"/>
      <c r="C4927" s="52"/>
    </row>
    <row r="4928" spans="1:3">
      <c r="A4928" s="453"/>
      <c r="C4928" s="52"/>
    </row>
    <row r="4929" spans="1:3">
      <c r="A4929" s="453"/>
      <c r="C4929" s="52"/>
    </row>
    <row r="4930" spans="1:3">
      <c r="A4930" s="453"/>
      <c r="C4930" s="52"/>
    </row>
    <row r="4931" spans="1:3">
      <c r="A4931" s="453"/>
      <c r="C4931" s="52"/>
    </row>
    <row r="4932" spans="1:3">
      <c r="A4932" s="453"/>
      <c r="C4932" s="52"/>
    </row>
    <row r="4933" spans="1:3">
      <c r="A4933" s="453"/>
      <c r="C4933" s="52"/>
    </row>
    <row r="4934" spans="1:3">
      <c r="A4934" s="453"/>
      <c r="C4934" s="52"/>
    </row>
    <row r="4935" spans="1:3">
      <c r="A4935" s="453"/>
      <c r="C4935" s="52"/>
    </row>
    <row r="4936" spans="1:3">
      <c r="A4936" s="453"/>
      <c r="C4936" s="52"/>
    </row>
    <row r="4937" spans="1:3">
      <c r="A4937" s="453"/>
      <c r="C4937" s="52"/>
    </row>
    <row r="4938" spans="1:3">
      <c r="A4938" s="453"/>
      <c r="C4938" s="52"/>
    </row>
    <row r="4939" spans="1:3">
      <c r="A4939" s="453"/>
      <c r="C4939" s="52"/>
    </row>
    <row r="4940" spans="1:3">
      <c r="A4940" s="453"/>
      <c r="C4940" s="52"/>
    </row>
    <row r="4941" spans="1:3">
      <c r="A4941" s="453"/>
      <c r="C4941" s="52"/>
    </row>
    <row r="4942" spans="1:3">
      <c r="A4942" s="453"/>
      <c r="C4942" s="52"/>
    </row>
    <row r="4943" spans="1:3">
      <c r="A4943" s="453"/>
      <c r="C4943" s="52"/>
    </row>
    <row r="4944" spans="1:3">
      <c r="A4944" s="453"/>
      <c r="C4944" s="52"/>
    </row>
    <row r="4945" spans="1:3">
      <c r="A4945" s="453"/>
      <c r="C4945" s="52"/>
    </row>
    <row r="4946" spans="1:3">
      <c r="A4946" s="453"/>
      <c r="C4946" s="52"/>
    </row>
    <row r="4947" spans="1:3">
      <c r="A4947" s="453"/>
      <c r="C4947" s="52"/>
    </row>
    <row r="4948" spans="1:3">
      <c r="A4948" s="453"/>
      <c r="C4948" s="52"/>
    </row>
    <row r="4949" spans="1:3">
      <c r="A4949" s="453"/>
      <c r="C4949" s="52"/>
    </row>
    <row r="4950" spans="1:3">
      <c r="A4950" s="453"/>
      <c r="C4950" s="52"/>
    </row>
    <row r="4951" spans="1:3">
      <c r="A4951" s="453"/>
      <c r="C4951" s="52"/>
    </row>
    <row r="4952" spans="1:3">
      <c r="A4952" s="453"/>
      <c r="C4952" s="52"/>
    </row>
    <row r="4953" spans="1:3">
      <c r="A4953" s="453"/>
      <c r="C4953" s="52"/>
    </row>
    <row r="4954" spans="1:3">
      <c r="A4954" s="453"/>
      <c r="C4954" s="52"/>
    </row>
    <row r="4955" spans="1:3">
      <c r="A4955" s="453"/>
      <c r="C4955" s="52"/>
    </row>
    <row r="4956" spans="1:3">
      <c r="A4956" s="453"/>
      <c r="C4956" s="52"/>
    </row>
    <row r="4957" spans="1:3">
      <c r="A4957" s="453"/>
      <c r="C4957" s="52"/>
    </row>
    <row r="4958" spans="1:3">
      <c r="A4958" s="453"/>
      <c r="C4958" s="52"/>
    </row>
    <row r="4959" spans="1:3">
      <c r="A4959" s="453"/>
      <c r="C4959" s="52"/>
    </row>
    <row r="4960" spans="1:3">
      <c r="A4960" s="453"/>
      <c r="C4960" s="52"/>
    </row>
    <row r="4961" spans="1:3">
      <c r="A4961" s="453"/>
      <c r="C4961" s="52"/>
    </row>
    <row r="4962" spans="1:3">
      <c r="A4962" s="453"/>
      <c r="C4962" s="52"/>
    </row>
    <row r="4963" spans="1:3">
      <c r="A4963" s="453"/>
      <c r="C4963" s="52"/>
    </row>
    <row r="4964" spans="1:3">
      <c r="A4964" s="453"/>
      <c r="C4964" s="52"/>
    </row>
    <row r="4965" spans="1:3">
      <c r="A4965" s="453"/>
      <c r="C4965" s="52"/>
    </row>
    <row r="4966" spans="1:3">
      <c r="A4966" s="453"/>
      <c r="C4966" s="52"/>
    </row>
    <row r="4967" spans="1:3">
      <c r="A4967" s="453"/>
      <c r="C4967" s="52"/>
    </row>
    <row r="4968" spans="1:3">
      <c r="A4968" s="453"/>
      <c r="C4968" s="52"/>
    </row>
    <row r="4969" spans="1:3">
      <c r="A4969" s="453"/>
      <c r="C4969" s="52"/>
    </row>
    <row r="4970" spans="1:3">
      <c r="A4970" s="453"/>
      <c r="C4970" s="52"/>
    </row>
    <row r="4971" spans="1:3">
      <c r="A4971" s="453"/>
      <c r="C4971" s="52"/>
    </row>
    <row r="4972" spans="1:3">
      <c r="A4972" s="453"/>
      <c r="C4972" s="52"/>
    </row>
    <row r="4973" spans="1:3">
      <c r="A4973" s="453"/>
      <c r="C4973" s="52"/>
    </row>
    <row r="4974" spans="1:3">
      <c r="A4974" s="453"/>
      <c r="C4974" s="52"/>
    </row>
    <row r="4975" spans="1:3">
      <c r="A4975" s="453"/>
      <c r="C4975" s="52"/>
    </row>
    <row r="4976" spans="1:3">
      <c r="A4976" s="453"/>
      <c r="C4976" s="52"/>
    </row>
    <row r="4977" spans="1:3">
      <c r="A4977" s="453"/>
      <c r="C4977" s="52"/>
    </row>
    <row r="4978" spans="1:3">
      <c r="A4978" s="453"/>
      <c r="C4978" s="52"/>
    </row>
    <row r="4979" spans="1:3">
      <c r="A4979" s="453"/>
      <c r="C4979" s="52"/>
    </row>
    <row r="4980" spans="1:3">
      <c r="A4980" s="453"/>
      <c r="C4980" s="52"/>
    </row>
    <row r="4981" spans="1:3">
      <c r="A4981" s="453"/>
      <c r="C4981" s="52"/>
    </row>
    <row r="4982" spans="1:3">
      <c r="A4982" s="453"/>
      <c r="C4982" s="52"/>
    </row>
    <row r="4983" spans="1:3">
      <c r="A4983" s="453"/>
      <c r="C4983" s="52"/>
    </row>
    <row r="4984" spans="1:3">
      <c r="A4984" s="453"/>
      <c r="C4984" s="52"/>
    </row>
    <row r="4985" spans="1:3">
      <c r="A4985" s="453"/>
      <c r="C4985" s="52"/>
    </row>
    <row r="4986" spans="1:3">
      <c r="A4986" s="453"/>
      <c r="C4986" s="52"/>
    </row>
    <row r="4987" spans="1:3">
      <c r="A4987" s="453"/>
      <c r="C4987" s="52"/>
    </row>
    <row r="4988" spans="1:3">
      <c r="A4988" s="453"/>
      <c r="C4988" s="52"/>
    </row>
    <row r="4989" spans="1:3">
      <c r="A4989" s="453"/>
      <c r="C4989" s="52"/>
    </row>
    <row r="4990" spans="1:3">
      <c r="A4990" s="453"/>
      <c r="C4990" s="52"/>
    </row>
    <row r="4991" spans="1:3">
      <c r="A4991" s="453"/>
      <c r="C4991" s="52"/>
    </row>
    <row r="4992" spans="1:3">
      <c r="A4992" s="453"/>
      <c r="C4992" s="52"/>
    </row>
    <row r="4993" spans="1:3">
      <c r="A4993" s="453"/>
      <c r="C4993" s="52"/>
    </row>
    <row r="4994" spans="1:3">
      <c r="A4994" s="453"/>
      <c r="C4994" s="52"/>
    </row>
    <row r="4995" spans="1:3">
      <c r="A4995" s="453"/>
      <c r="C4995" s="52"/>
    </row>
    <row r="4996" spans="1:3">
      <c r="A4996" s="453"/>
      <c r="C4996" s="52"/>
    </row>
    <row r="4997" spans="1:3">
      <c r="A4997" s="453"/>
      <c r="C4997" s="52"/>
    </row>
    <row r="4998" spans="1:3">
      <c r="A4998" s="453"/>
      <c r="C4998" s="52"/>
    </row>
    <row r="4999" spans="1:3">
      <c r="A4999" s="453"/>
      <c r="C4999" s="52"/>
    </row>
    <row r="5000" spans="1:3">
      <c r="A5000" s="453"/>
      <c r="C5000" s="52"/>
    </row>
    <row r="5001" spans="1:3">
      <c r="A5001" s="453"/>
      <c r="C5001" s="52"/>
    </row>
    <row r="5002" spans="1:3">
      <c r="A5002" s="453"/>
      <c r="C5002" s="52"/>
    </row>
    <row r="5003" spans="1:3">
      <c r="A5003" s="453"/>
      <c r="C5003" s="52"/>
    </row>
    <row r="5004" spans="1:3">
      <c r="A5004" s="453"/>
      <c r="C5004" s="52"/>
    </row>
    <row r="5005" spans="1:3">
      <c r="A5005" s="453"/>
      <c r="C5005" s="52"/>
    </row>
    <row r="5006" spans="1:3">
      <c r="A5006" s="453"/>
      <c r="C5006" s="52"/>
    </row>
    <row r="5007" spans="1:3">
      <c r="A5007" s="453"/>
      <c r="C5007" s="52"/>
    </row>
    <row r="5008" spans="1:3">
      <c r="A5008" s="453"/>
      <c r="C5008" s="52"/>
    </row>
    <row r="5009" spans="1:3">
      <c r="A5009" s="453"/>
      <c r="C5009" s="52"/>
    </row>
    <row r="5010" spans="1:3">
      <c r="A5010" s="453"/>
      <c r="C5010" s="52"/>
    </row>
    <row r="5011" spans="1:3">
      <c r="A5011" s="453"/>
      <c r="C5011" s="52"/>
    </row>
    <row r="5012" spans="1:3">
      <c r="A5012" s="453"/>
      <c r="C5012" s="52"/>
    </row>
    <row r="5013" spans="1:3">
      <c r="A5013" s="453"/>
      <c r="C5013" s="52"/>
    </row>
    <row r="5014" spans="1:3">
      <c r="A5014" s="453"/>
      <c r="C5014" s="52"/>
    </row>
    <row r="5015" spans="1:3">
      <c r="A5015" s="453"/>
      <c r="C5015" s="52"/>
    </row>
    <row r="5016" spans="1:3">
      <c r="A5016" s="453"/>
      <c r="C5016" s="52"/>
    </row>
    <row r="5017" spans="1:3">
      <c r="A5017" s="453"/>
      <c r="C5017" s="52"/>
    </row>
    <row r="5018" spans="1:3">
      <c r="A5018" s="453"/>
      <c r="C5018" s="52"/>
    </row>
    <row r="5019" spans="1:3">
      <c r="A5019" s="453"/>
      <c r="C5019" s="52"/>
    </row>
    <row r="5020" spans="1:3">
      <c r="A5020" s="453"/>
      <c r="C5020" s="52"/>
    </row>
    <row r="5021" spans="1:3">
      <c r="A5021" s="453"/>
      <c r="C5021" s="52"/>
    </row>
    <row r="5022" spans="1:3">
      <c r="A5022" s="453"/>
      <c r="C5022" s="52"/>
    </row>
    <row r="5023" spans="1:3">
      <c r="A5023" s="453"/>
      <c r="C5023" s="52"/>
    </row>
    <row r="5024" spans="1:3">
      <c r="A5024" s="453"/>
      <c r="C5024" s="52"/>
    </row>
    <row r="5025" spans="1:3">
      <c r="A5025" s="453"/>
      <c r="C5025" s="52"/>
    </row>
    <row r="5026" spans="1:3">
      <c r="A5026" s="453"/>
      <c r="C5026" s="52"/>
    </row>
    <row r="5027" spans="1:3">
      <c r="A5027" s="453"/>
      <c r="C5027" s="52"/>
    </row>
    <row r="5028" spans="1:3">
      <c r="A5028" s="453"/>
      <c r="C5028" s="52"/>
    </row>
    <row r="5029" spans="1:3">
      <c r="A5029" s="453"/>
      <c r="C5029" s="52"/>
    </row>
    <row r="5030" spans="1:3">
      <c r="A5030" s="453"/>
      <c r="C5030" s="52"/>
    </row>
    <row r="5031" spans="1:3">
      <c r="A5031" s="453"/>
      <c r="C5031" s="52"/>
    </row>
    <row r="5032" spans="1:3">
      <c r="A5032" s="453"/>
      <c r="C5032" s="52"/>
    </row>
    <row r="5033" spans="1:3">
      <c r="A5033" s="453"/>
      <c r="C5033" s="52"/>
    </row>
    <row r="5034" spans="1:3">
      <c r="A5034" s="453"/>
      <c r="C5034" s="52"/>
    </row>
    <row r="5035" spans="1:3">
      <c r="A5035" s="453"/>
      <c r="C5035" s="52"/>
    </row>
    <row r="5036" spans="1:3">
      <c r="A5036" s="453"/>
      <c r="C5036" s="52"/>
    </row>
    <row r="5037" spans="1:3">
      <c r="A5037" s="453"/>
      <c r="C5037" s="52"/>
    </row>
    <row r="5038" spans="1:3">
      <c r="A5038" s="453"/>
      <c r="C5038" s="52"/>
    </row>
    <row r="5039" spans="1:3">
      <c r="A5039" s="453"/>
      <c r="C5039" s="52"/>
    </row>
    <row r="5040" spans="1:3">
      <c r="A5040" s="453"/>
      <c r="C5040" s="52"/>
    </row>
    <row r="5041" spans="1:3">
      <c r="A5041" s="453"/>
      <c r="C5041" s="52"/>
    </row>
    <row r="5042" spans="1:3">
      <c r="A5042" s="453"/>
      <c r="C5042" s="52"/>
    </row>
    <row r="5043" spans="1:3">
      <c r="A5043" s="453"/>
      <c r="C5043" s="52"/>
    </row>
    <row r="5044" spans="1:3">
      <c r="A5044" s="453"/>
      <c r="C5044" s="52"/>
    </row>
    <row r="5045" spans="1:3">
      <c r="A5045" s="453"/>
      <c r="C5045" s="52"/>
    </row>
    <row r="5046" spans="1:3">
      <c r="A5046" s="453"/>
      <c r="C5046" s="52"/>
    </row>
    <row r="5047" spans="1:3">
      <c r="A5047" s="453"/>
      <c r="C5047" s="52"/>
    </row>
    <row r="5048" spans="1:3">
      <c r="A5048" s="453"/>
      <c r="C5048" s="52"/>
    </row>
    <row r="5049" spans="1:3">
      <c r="A5049" s="453"/>
      <c r="C5049" s="52"/>
    </row>
    <row r="5050" spans="1:3">
      <c r="A5050" s="453"/>
      <c r="C5050" s="52"/>
    </row>
    <row r="5051" spans="1:3">
      <c r="A5051" s="453"/>
      <c r="C5051" s="52"/>
    </row>
    <row r="5052" spans="1:3">
      <c r="A5052" s="453"/>
      <c r="C5052" s="52"/>
    </row>
    <row r="5053" spans="1:3">
      <c r="A5053" s="453"/>
      <c r="C5053" s="52"/>
    </row>
    <row r="5054" spans="1:3">
      <c r="A5054" s="453"/>
      <c r="C5054" s="52"/>
    </row>
    <row r="5055" spans="1:3">
      <c r="A5055" s="453"/>
      <c r="C5055" s="52"/>
    </row>
    <row r="5056" spans="1:3">
      <c r="A5056" s="453"/>
      <c r="C5056" s="52"/>
    </row>
    <row r="5057" spans="1:3">
      <c r="A5057" s="453"/>
      <c r="C5057" s="52"/>
    </row>
    <row r="5058" spans="1:3">
      <c r="A5058" s="453"/>
      <c r="C5058" s="52"/>
    </row>
    <row r="5059" spans="1:3">
      <c r="A5059" s="453"/>
      <c r="C5059" s="52"/>
    </row>
    <row r="5060" spans="1:3">
      <c r="A5060" s="453"/>
      <c r="C5060" s="52"/>
    </row>
    <row r="5061" spans="1:3">
      <c r="A5061" s="453"/>
      <c r="C5061" s="52"/>
    </row>
    <row r="5062" spans="1:3">
      <c r="A5062" s="453"/>
      <c r="C5062" s="52"/>
    </row>
    <row r="5063" spans="1:3">
      <c r="A5063" s="453"/>
      <c r="C5063" s="52"/>
    </row>
    <row r="5064" spans="1:3">
      <c r="A5064" s="453"/>
      <c r="C5064" s="52"/>
    </row>
    <row r="5065" spans="1:3">
      <c r="A5065" s="453"/>
      <c r="C5065" s="52"/>
    </row>
    <row r="5066" spans="1:3">
      <c r="A5066" s="453"/>
      <c r="C5066" s="52"/>
    </row>
    <row r="5067" spans="1:3">
      <c r="A5067" s="453"/>
      <c r="C5067" s="52"/>
    </row>
    <row r="5068" spans="1:3">
      <c r="A5068" s="453"/>
      <c r="C5068" s="52"/>
    </row>
    <row r="5069" spans="1:3">
      <c r="A5069" s="453"/>
      <c r="C5069" s="52"/>
    </row>
    <row r="5070" spans="1:3">
      <c r="A5070" s="453"/>
      <c r="C5070" s="52"/>
    </row>
    <row r="5071" spans="1:3">
      <c r="A5071" s="453"/>
      <c r="C5071" s="52"/>
    </row>
    <row r="5072" spans="1:3">
      <c r="A5072" s="453"/>
      <c r="C5072" s="52"/>
    </row>
    <row r="5073" spans="1:3">
      <c r="A5073" s="453"/>
      <c r="C5073" s="52"/>
    </row>
    <row r="5074" spans="1:3">
      <c r="A5074" s="453"/>
      <c r="C5074" s="52"/>
    </row>
    <row r="5075" spans="1:3">
      <c r="A5075" s="453"/>
      <c r="C5075" s="52"/>
    </row>
    <row r="5076" spans="1:3">
      <c r="A5076" s="453"/>
      <c r="C5076" s="52"/>
    </row>
    <row r="5077" spans="1:3">
      <c r="A5077" s="453"/>
      <c r="C5077" s="52"/>
    </row>
    <row r="5078" spans="1:3">
      <c r="A5078" s="453"/>
      <c r="C5078" s="52"/>
    </row>
    <row r="5079" spans="1:3">
      <c r="A5079" s="453"/>
      <c r="C5079" s="52"/>
    </row>
    <row r="5080" spans="1:3">
      <c r="A5080" s="453"/>
      <c r="C5080" s="52"/>
    </row>
    <row r="5081" spans="1:3">
      <c r="A5081" s="453"/>
      <c r="C5081" s="52"/>
    </row>
    <row r="5082" spans="1:3">
      <c r="A5082" s="453"/>
      <c r="C5082" s="52"/>
    </row>
    <row r="5083" spans="1:3">
      <c r="A5083" s="453"/>
      <c r="C5083" s="52"/>
    </row>
    <row r="5084" spans="1:3">
      <c r="A5084" s="453"/>
      <c r="C5084" s="52"/>
    </row>
    <row r="5085" spans="1:3">
      <c r="A5085" s="453"/>
      <c r="C5085" s="52"/>
    </row>
    <row r="5086" spans="1:3">
      <c r="A5086" s="453"/>
      <c r="C5086" s="52"/>
    </row>
    <row r="5087" spans="1:3">
      <c r="A5087" s="453"/>
      <c r="C5087" s="52"/>
    </row>
    <row r="5088" spans="1:3">
      <c r="A5088" s="453"/>
      <c r="C5088" s="52"/>
    </row>
    <row r="5089" spans="1:3">
      <c r="A5089" s="453"/>
      <c r="C5089" s="52"/>
    </row>
    <row r="5090" spans="1:3">
      <c r="A5090" s="453"/>
      <c r="C5090" s="52"/>
    </row>
    <row r="5091" spans="1:3">
      <c r="A5091" s="453"/>
      <c r="C5091" s="52"/>
    </row>
    <row r="5092" spans="1:3">
      <c r="A5092" s="453"/>
      <c r="C5092" s="52"/>
    </row>
    <row r="5093" spans="1:3">
      <c r="A5093" s="453"/>
      <c r="C5093" s="52"/>
    </row>
    <row r="5094" spans="1:3">
      <c r="A5094" s="453"/>
      <c r="C5094" s="52"/>
    </row>
    <row r="5095" spans="1:3">
      <c r="A5095" s="453"/>
      <c r="C5095" s="52"/>
    </row>
    <row r="5096" spans="1:3">
      <c r="A5096" s="453"/>
      <c r="C5096" s="52"/>
    </row>
    <row r="5097" spans="1:3">
      <c r="A5097" s="453"/>
      <c r="C5097" s="52"/>
    </row>
    <row r="5098" spans="1:3">
      <c r="A5098" s="453"/>
      <c r="C5098" s="52"/>
    </row>
    <row r="5099" spans="1:3">
      <c r="A5099" s="453"/>
      <c r="C5099" s="52"/>
    </row>
    <row r="5100" spans="1:3">
      <c r="A5100" s="453"/>
      <c r="C5100" s="52"/>
    </row>
    <row r="5101" spans="1:3">
      <c r="A5101" s="453"/>
      <c r="C5101" s="52"/>
    </row>
    <row r="5102" spans="1:3">
      <c r="A5102" s="453"/>
      <c r="C5102" s="52"/>
    </row>
    <row r="5103" spans="1:3">
      <c r="A5103" s="453"/>
      <c r="C5103" s="52"/>
    </row>
    <row r="5104" spans="1:3">
      <c r="A5104" s="453"/>
      <c r="C5104" s="52"/>
    </row>
    <row r="5105" spans="1:3">
      <c r="A5105" s="453"/>
      <c r="C5105" s="52"/>
    </row>
    <row r="5106" spans="1:3">
      <c r="A5106" s="453"/>
      <c r="C5106" s="52"/>
    </row>
    <row r="5107" spans="1:3">
      <c r="A5107" s="453"/>
      <c r="C5107" s="52"/>
    </row>
    <row r="5108" spans="1:3">
      <c r="A5108" s="453"/>
      <c r="C5108" s="52"/>
    </row>
    <row r="5109" spans="1:3">
      <c r="A5109" s="453"/>
      <c r="C5109" s="52"/>
    </row>
    <row r="5110" spans="1:3">
      <c r="A5110" s="453"/>
      <c r="C5110" s="52"/>
    </row>
    <row r="5111" spans="1:3">
      <c r="A5111" s="453"/>
      <c r="C5111" s="52"/>
    </row>
    <row r="5112" spans="1:3">
      <c r="A5112" s="453"/>
      <c r="C5112" s="52"/>
    </row>
    <row r="5113" spans="1:3">
      <c r="A5113" s="453"/>
      <c r="C5113" s="52"/>
    </row>
    <row r="5114" spans="1:3">
      <c r="A5114" s="453"/>
      <c r="C5114" s="52"/>
    </row>
    <row r="5115" spans="1:3">
      <c r="A5115" s="453"/>
      <c r="C5115" s="52"/>
    </row>
    <row r="5116" spans="1:3">
      <c r="A5116" s="453"/>
      <c r="C5116" s="52"/>
    </row>
    <row r="5117" spans="1:3">
      <c r="A5117" s="453"/>
      <c r="C5117" s="52"/>
    </row>
    <row r="5118" spans="1:3">
      <c r="A5118" s="453"/>
      <c r="C5118" s="52"/>
    </row>
    <row r="5119" spans="1:3">
      <c r="A5119" s="453"/>
      <c r="C5119" s="52"/>
    </row>
    <row r="5120" spans="1:3">
      <c r="A5120" s="453"/>
      <c r="C5120" s="52"/>
    </row>
    <row r="5121" spans="1:3">
      <c r="A5121" s="453"/>
      <c r="C5121" s="52"/>
    </row>
    <row r="5122" spans="1:3">
      <c r="A5122" s="453"/>
      <c r="C5122" s="52"/>
    </row>
    <row r="5123" spans="1:3">
      <c r="A5123" s="453"/>
      <c r="C5123" s="52"/>
    </row>
    <row r="5124" spans="1:3">
      <c r="A5124" s="453"/>
      <c r="C5124" s="52"/>
    </row>
    <row r="5125" spans="1:3">
      <c r="A5125" s="453"/>
      <c r="C5125" s="52"/>
    </row>
    <row r="5126" spans="1:3">
      <c r="A5126" s="453"/>
      <c r="C5126" s="52"/>
    </row>
    <row r="5127" spans="1:3">
      <c r="A5127" s="453"/>
      <c r="C5127" s="52"/>
    </row>
    <row r="5128" spans="1:3">
      <c r="A5128" s="453"/>
      <c r="C5128" s="52"/>
    </row>
    <row r="5129" spans="1:3">
      <c r="A5129" s="453"/>
      <c r="C5129" s="52"/>
    </row>
    <row r="5130" spans="1:3">
      <c r="A5130" s="453"/>
      <c r="C5130" s="52"/>
    </row>
    <row r="5131" spans="1:3">
      <c r="A5131" s="453"/>
      <c r="C5131" s="52"/>
    </row>
    <row r="5132" spans="1:3">
      <c r="A5132" s="453"/>
      <c r="C5132" s="52"/>
    </row>
    <row r="5133" spans="1:3">
      <c r="A5133" s="453"/>
      <c r="C5133" s="52"/>
    </row>
    <row r="5134" spans="1:3">
      <c r="A5134" s="453"/>
      <c r="C5134" s="52"/>
    </row>
    <row r="5135" spans="1:3">
      <c r="A5135" s="453"/>
      <c r="C5135" s="52"/>
    </row>
    <row r="5136" spans="1:3">
      <c r="A5136" s="453"/>
      <c r="C5136" s="52"/>
    </row>
    <row r="5137" spans="1:3">
      <c r="A5137" s="453"/>
      <c r="C5137" s="52"/>
    </row>
    <row r="5138" spans="1:3">
      <c r="A5138" s="453"/>
      <c r="C5138" s="52"/>
    </row>
    <row r="5139" spans="1:3">
      <c r="A5139" s="453"/>
      <c r="C5139" s="52"/>
    </row>
    <row r="5140" spans="1:3">
      <c r="A5140" s="453"/>
      <c r="C5140" s="52"/>
    </row>
    <row r="5141" spans="1:3">
      <c r="A5141" s="453"/>
      <c r="C5141" s="52"/>
    </row>
    <row r="5142" spans="1:3">
      <c r="A5142" s="453"/>
      <c r="C5142" s="52"/>
    </row>
    <row r="5143" spans="1:3">
      <c r="A5143" s="453"/>
      <c r="C5143" s="52"/>
    </row>
    <row r="5144" spans="1:3">
      <c r="A5144" s="453"/>
      <c r="C5144" s="52"/>
    </row>
    <row r="5145" spans="1:3">
      <c r="A5145" s="453"/>
      <c r="C5145" s="52"/>
    </row>
    <row r="5146" spans="1:3">
      <c r="A5146" s="453"/>
      <c r="C5146" s="52"/>
    </row>
    <row r="5147" spans="1:3">
      <c r="A5147" s="453"/>
      <c r="C5147" s="52"/>
    </row>
    <row r="5148" spans="1:3">
      <c r="A5148" s="453"/>
      <c r="C5148" s="52"/>
    </row>
    <row r="5149" spans="1:3">
      <c r="A5149" s="453"/>
      <c r="C5149" s="52"/>
    </row>
    <row r="5150" spans="1:3">
      <c r="A5150" s="453"/>
      <c r="C5150" s="52"/>
    </row>
    <row r="5151" spans="1:3">
      <c r="A5151" s="453"/>
      <c r="C5151" s="52"/>
    </row>
    <row r="5152" spans="1:3">
      <c r="A5152" s="453"/>
      <c r="C5152" s="52"/>
    </row>
    <row r="5153" spans="1:3">
      <c r="A5153" s="453"/>
      <c r="C5153" s="52"/>
    </row>
    <row r="5154" spans="1:3">
      <c r="A5154" s="453"/>
      <c r="C5154" s="52"/>
    </row>
    <row r="5155" spans="1:3">
      <c r="A5155" s="453"/>
      <c r="C5155" s="52"/>
    </row>
    <row r="5156" spans="1:3">
      <c r="A5156" s="453"/>
      <c r="C5156" s="52"/>
    </row>
    <row r="5157" spans="1:3">
      <c r="A5157" s="453"/>
      <c r="C5157" s="52"/>
    </row>
    <row r="5158" spans="1:3">
      <c r="A5158" s="453"/>
      <c r="C5158" s="52"/>
    </row>
    <row r="5159" spans="1:3">
      <c r="A5159" s="453"/>
      <c r="C5159" s="52"/>
    </row>
    <row r="5160" spans="1:3">
      <c r="A5160" s="453"/>
      <c r="C5160" s="52"/>
    </row>
    <row r="5161" spans="1:3">
      <c r="A5161" s="453"/>
      <c r="C5161" s="52"/>
    </row>
    <row r="5162" spans="1:3">
      <c r="A5162" s="453"/>
      <c r="C5162" s="52"/>
    </row>
    <row r="5163" spans="1:3">
      <c r="A5163" s="453"/>
      <c r="C5163" s="52"/>
    </row>
    <row r="5164" spans="1:3">
      <c r="A5164" s="453"/>
      <c r="C5164" s="52"/>
    </row>
    <row r="5165" spans="1:3">
      <c r="A5165" s="453"/>
      <c r="C5165" s="52"/>
    </row>
    <row r="5166" spans="1:3">
      <c r="A5166" s="453"/>
      <c r="C5166" s="52"/>
    </row>
    <row r="5167" spans="1:3">
      <c r="A5167" s="453"/>
      <c r="C5167" s="52"/>
    </row>
    <row r="5168" spans="1:3">
      <c r="A5168" s="453"/>
      <c r="C5168" s="52"/>
    </row>
    <row r="5169" spans="1:3">
      <c r="A5169" s="453"/>
      <c r="C5169" s="52"/>
    </row>
    <row r="5170" spans="1:3">
      <c r="A5170" s="453"/>
      <c r="C5170" s="52"/>
    </row>
    <row r="5171" spans="1:3">
      <c r="A5171" s="453"/>
      <c r="C5171" s="52"/>
    </row>
    <row r="5172" spans="1:3">
      <c r="A5172" s="453"/>
      <c r="C5172" s="52"/>
    </row>
    <row r="5173" spans="1:3">
      <c r="A5173" s="453"/>
      <c r="C5173" s="52"/>
    </row>
    <row r="5174" spans="1:3">
      <c r="A5174" s="453"/>
      <c r="C5174" s="52"/>
    </row>
    <row r="5175" spans="1:3">
      <c r="A5175" s="453"/>
      <c r="C5175" s="52"/>
    </row>
    <row r="5176" spans="1:3">
      <c r="A5176" s="453"/>
      <c r="C5176" s="52"/>
    </row>
    <row r="5177" spans="1:3">
      <c r="A5177" s="453"/>
      <c r="C5177" s="52"/>
    </row>
    <row r="5178" spans="1:3">
      <c r="A5178" s="453"/>
      <c r="C5178" s="52"/>
    </row>
    <row r="5179" spans="1:3">
      <c r="A5179" s="453"/>
      <c r="C5179" s="52"/>
    </row>
    <row r="5180" spans="1:3">
      <c r="A5180" s="453"/>
      <c r="C5180" s="52"/>
    </row>
    <row r="5181" spans="1:3">
      <c r="A5181" s="453"/>
      <c r="C5181" s="52"/>
    </row>
    <row r="5182" spans="1:3">
      <c r="A5182" s="453"/>
      <c r="C5182" s="52"/>
    </row>
    <row r="5183" spans="1:3">
      <c r="A5183" s="453"/>
      <c r="C5183" s="52"/>
    </row>
    <row r="5184" spans="1:3">
      <c r="A5184" s="453"/>
      <c r="C5184" s="52"/>
    </row>
    <row r="5185" spans="1:3">
      <c r="A5185" s="453"/>
      <c r="C5185" s="52"/>
    </row>
    <row r="5186" spans="1:3">
      <c r="A5186" s="453"/>
      <c r="C5186" s="52"/>
    </row>
    <row r="5187" spans="1:3">
      <c r="A5187" s="453"/>
      <c r="C5187" s="52"/>
    </row>
    <row r="5188" spans="1:3">
      <c r="A5188" s="453"/>
      <c r="C5188" s="52"/>
    </row>
    <row r="5189" spans="1:3">
      <c r="A5189" s="453"/>
      <c r="C5189" s="52"/>
    </row>
    <row r="5190" spans="1:3">
      <c r="A5190" s="453"/>
      <c r="C5190" s="52"/>
    </row>
    <row r="5191" spans="1:3">
      <c r="A5191" s="453"/>
      <c r="C5191" s="52"/>
    </row>
    <row r="5192" spans="1:3">
      <c r="A5192" s="453"/>
      <c r="C5192" s="52"/>
    </row>
    <row r="5193" spans="1:3">
      <c r="A5193" s="453"/>
      <c r="C5193" s="52"/>
    </row>
    <row r="5194" spans="1:3">
      <c r="A5194" s="453"/>
      <c r="C5194" s="52"/>
    </row>
    <row r="5195" spans="1:3">
      <c r="A5195" s="453"/>
      <c r="C5195" s="52"/>
    </row>
    <row r="5196" spans="1:3">
      <c r="A5196" s="453"/>
      <c r="C5196" s="52"/>
    </row>
    <row r="5197" spans="1:3">
      <c r="A5197" s="453"/>
      <c r="C5197" s="52"/>
    </row>
    <row r="5198" spans="1:3">
      <c r="A5198" s="453"/>
      <c r="C5198" s="52"/>
    </row>
    <row r="5199" spans="1:3">
      <c r="A5199" s="453"/>
      <c r="C5199" s="52"/>
    </row>
    <row r="5200" spans="1:3">
      <c r="A5200" s="453"/>
      <c r="C5200" s="52"/>
    </row>
    <row r="5201" spans="1:3">
      <c r="A5201" s="453"/>
      <c r="C5201" s="52"/>
    </row>
    <row r="5202" spans="1:3">
      <c r="A5202" s="453"/>
      <c r="C5202" s="52"/>
    </row>
    <row r="5203" spans="1:3">
      <c r="A5203" s="453"/>
      <c r="C5203" s="52"/>
    </row>
    <row r="5204" spans="1:3">
      <c r="A5204" s="453"/>
      <c r="C5204" s="52"/>
    </row>
    <row r="5205" spans="1:3">
      <c r="A5205" s="453"/>
      <c r="C5205" s="52"/>
    </row>
    <row r="5206" spans="1:3">
      <c r="A5206" s="453"/>
      <c r="C5206" s="52"/>
    </row>
    <row r="5207" spans="1:3">
      <c r="A5207" s="453"/>
      <c r="C5207" s="52"/>
    </row>
    <row r="5208" spans="1:3">
      <c r="A5208" s="453"/>
      <c r="C5208" s="52"/>
    </row>
    <row r="5209" spans="1:3">
      <c r="A5209" s="453"/>
      <c r="C5209" s="52"/>
    </row>
    <row r="5210" spans="1:3">
      <c r="A5210" s="453"/>
      <c r="C5210" s="52"/>
    </row>
    <row r="5211" spans="1:3">
      <c r="A5211" s="453"/>
      <c r="C5211" s="52"/>
    </row>
    <row r="5212" spans="1:3">
      <c r="A5212" s="453"/>
      <c r="C5212" s="52"/>
    </row>
    <row r="5213" spans="1:3">
      <c r="A5213" s="453"/>
      <c r="C5213" s="52"/>
    </row>
    <row r="5214" spans="1:3">
      <c r="A5214" s="453"/>
      <c r="C5214" s="52"/>
    </row>
    <row r="5215" spans="1:3">
      <c r="A5215" s="453"/>
      <c r="C5215" s="52"/>
    </row>
    <row r="5216" spans="1:3">
      <c r="A5216" s="453"/>
      <c r="C5216" s="52"/>
    </row>
    <row r="5217" spans="1:3">
      <c r="A5217" s="453"/>
      <c r="C5217" s="52"/>
    </row>
    <row r="5218" spans="1:3">
      <c r="A5218" s="453"/>
      <c r="C5218" s="52"/>
    </row>
    <row r="5219" spans="1:3">
      <c r="A5219" s="453"/>
      <c r="C5219" s="52"/>
    </row>
    <row r="5220" spans="1:3">
      <c r="A5220" s="453"/>
      <c r="C5220" s="52"/>
    </row>
    <row r="5221" spans="1:3">
      <c r="A5221" s="453"/>
      <c r="C5221" s="52"/>
    </row>
    <row r="5222" spans="1:3">
      <c r="A5222" s="453"/>
      <c r="C5222" s="52"/>
    </row>
    <row r="5223" spans="1:3">
      <c r="A5223" s="453"/>
      <c r="C5223" s="52"/>
    </row>
    <row r="5224" spans="1:3">
      <c r="A5224" s="453"/>
      <c r="C5224" s="52"/>
    </row>
    <row r="5225" spans="1:3">
      <c r="A5225" s="453"/>
      <c r="C5225" s="52"/>
    </row>
    <row r="5226" spans="1:3">
      <c r="A5226" s="453"/>
      <c r="C5226" s="52"/>
    </row>
    <row r="5227" spans="1:3">
      <c r="A5227" s="453"/>
      <c r="C5227" s="52"/>
    </row>
    <row r="5228" spans="1:3">
      <c r="A5228" s="453"/>
      <c r="C5228" s="52"/>
    </row>
    <row r="5229" spans="1:3">
      <c r="A5229" s="453"/>
      <c r="C5229" s="52"/>
    </row>
    <row r="5230" spans="1:3">
      <c r="A5230" s="453"/>
      <c r="C5230" s="52"/>
    </row>
    <row r="5231" spans="1:3">
      <c r="A5231" s="453"/>
      <c r="C5231" s="52"/>
    </row>
    <row r="5232" spans="1:3">
      <c r="A5232" s="453"/>
      <c r="C5232" s="52"/>
    </row>
    <row r="5233" spans="1:3">
      <c r="A5233" s="453"/>
      <c r="C5233" s="52"/>
    </row>
    <row r="5234" spans="1:3">
      <c r="A5234" s="453"/>
      <c r="C5234" s="52"/>
    </row>
    <row r="5235" spans="1:3">
      <c r="A5235" s="453"/>
      <c r="C5235" s="52"/>
    </row>
    <row r="5236" spans="1:3">
      <c r="A5236" s="453"/>
      <c r="C5236" s="52"/>
    </row>
    <row r="5237" spans="1:3">
      <c r="A5237" s="453"/>
      <c r="C5237" s="52"/>
    </row>
    <row r="5238" spans="1:3">
      <c r="A5238" s="453"/>
      <c r="C5238" s="52"/>
    </row>
    <row r="5239" spans="1:3">
      <c r="A5239" s="453"/>
      <c r="C5239" s="52"/>
    </row>
    <row r="5240" spans="1:3">
      <c r="A5240" s="453"/>
      <c r="C5240" s="52"/>
    </row>
    <row r="5241" spans="1:3">
      <c r="A5241" s="453"/>
      <c r="C5241" s="52"/>
    </row>
    <row r="5242" spans="1:3">
      <c r="A5242" s="453"/>
      <c r="C5242" s="52"/>
    </row>
    <row r="5243" spans="1:3">
      <c r="A5243" s="453"/>
      <c r="C5243" s="52"/>
    </row>
    <row r="5244" spans="1:3">
      <c r="A5244" s="453"/>
      <c r="C5244" s="52"/>
    </row>
    <row r="5245" spans="1:3">
      <c r="A5245" s="453"/>
      <c r="C5245" s="52"/>
    </row>
    <row r="5246" spans="1:3">
      <c r="A5246" s="453"/>
      <c r="C5246" s="52"/>
    </row>
    <row r="5247" spans="1:3">
      <c r="A5247" s="453"/>
      <c r="C5247" s="52"/>
    </row>
    <row r="5248" spans="1:3">
      <c r="A5248" s="453"/>
      <c r="C5248" s="52"/>
    </row>
    <row r="5249" spans="1:3">
      <c r="A5249" s="453"/>
      <c r="C5249" s="52"/>
    </row>
    <row r="5250" spans="1:3">
      <c r="A5250" s="453"/>
      <c r="C5250" s="52"/>
    </row>
    <row r="5251" spans="1:3">
      <c r="A5251" s="453"/>
      <c r="C5251" s="52"/>
    </row>
    <row r="5252" spans="1:3">
      <c r="A5252" s="453"/>
      <c r="C5252" s="52"/>
    </row>
    <row r="5253" spans="1:3">
      <c r="A5253" s="453"/>
      <c r="C5253" s="52"/>
    </row>
    <row r="5254" spans="1:3">
      <c r="A5254" s="453"/>
      <c r="C5254" s="52"/>
    </row>
    <row r="5255" spans="1:3">
      <c r="A5255" s="453"/>
      <c r="C5255" s="52"/>
    </row>
    <row r="5256" spans="1:3">
      <c r="A5256" s="453"/>
      <c r="C5256" s="52"/>
    </row>
    <row r="5257" spans="1:3">
      <c r="A5257" s="453"/>
      <c r="C5257" s="52"/>
    </row>
    <row r="5258" spans="1:3">
      <c r="A5258" s="453"/>
      <c r="C5258" s="52"/>
    </row>
    <row r="5259" spans="1:3">
      <c r="A5259" s="453"/>
      <c r="C5259" s="52"/>
    </row>
    <row r="5260" spans="1:3">
      <c r="A5260" s="453"/>
      <c r="C5260" s="52"/>
    </row>
    <row r="5261" spans="1:3">
      <c r="A5261" s="453"/>
      <c r="C5261" s="52"/>
    </row>
    <row r="5262" spans="1:3">
      <c r="A5262" s="453"/>
      <c r="C5262" s="52"/>
    </row>
    <row r="5263" spans="1:3">
      <c r="A5263" s="453"/>
      <c r="C5263" s="52"/>
    </row>
    <row r="5264" spans="1:3">
      <c r="A5264" s="453"/>
      <c r="C5264" s="52"/>
    </row>
    <row r="5265" spans="1:3">
      <c r="A5265" s="453"/>
      <c r="C5265" s="52"/>
    </row>
    <row r="5266" spans="1:3">
      <c r="A5266" s="453"/>
      <c r="C5266" s="52"/>
    </row>
    <row r="5267" spans="1:3">
      <c r="A5267" s="453"/>
      <c r="C5267" s="52"/>
    </row>
    <row r="5268" spans="1:3">
      <c r="A5268" s="453"/>
      <c r="C5268" s="52"/>
    </row>
    <row r="5269" spans="1:3">
      <c r="A5269" s="453"/>
      <c r="C5269" s="52"/>
    </row>
    <row r="5270" spans="1:3">
      <c r="A5270" s="453"/>
      <c r="C5270" s="52"/>
    </row>
    <row r="5271" spans="1:3">
      <c r="A5271" s="453"/>
      <c r="C5271" s="52"/>
    </row>
    <row r="5272" spans="1:3">
      <c r="A5272" s="453"/>
      <c r="C5272" s="52"/>
    </row>
    <row r="5273" spans="1:3">
      <c r="A5273" s="453"/>
      <c r="C5273" s="52"/>
    </row>
    <row r="5274" spans="1:3">
      <c r="A5274" s="453"/>
      <c r="C5274" s="52"/>
    </row>
    <row r="5275" spans="1:3">
      <c r="A5275" s="453"/>
      <c r="C5275" s="52"/>
    </row>
    <row r="5276" spans="1:3">
      <c r="A5276" s="453"/>
      <c r="C5276" s="52"/>
    </row>
    <row r="5277" spans="1:3">
      <c r="A5277" s="453"/>
      <c r="C5277" s="52"/>
    </row>
    <row r="5278" spans="1:3">
      <c r="A5278" s="453"/>
      <c r="C5278" s="52"/>
    </row>
    <row r="5279" spans="1:3">
      <c r="A5279" s="453"/>
      <c r="C5279" s="52"/>
    </row>
    <row r="5280" spans="1:3">
      <c r="A5280" s="453"/>
      <c r="C5280" s="52"/>
    </row>
    <row r="5281" spans="1:3">
      <c r="A5281" s="453"/>
      <c r="C5281" s="52"/>
    </row>
    <row r="5282" spans="1:3">
      <c r="A5282" s="453"/>
      <c r="C5282" s="52"/>
    </row>
    <row r="5283" spans="1:3">
      <c r="A5283" s="453"/>
      <c r="C5283" s="52"/>
    </row>
    <row r="5284" spans="1:3">
      <c r="A5284" s="453"/>
      <c r="C5284" s="52"/>
    </row>
    <row r="5285" spans="1:3">
      <c r="A5285" s="453"/>
      <c r="C5285" s="52"/>
    </row>
    <row r="5286" spans="1:3">
      <c r="A5286" s="453"/>
      <c r="C5286" s="52"/>
    </row>
    <row r="5287" spans="1:3">
      <c r="A5287" s="453"/>
      <c r="C5287" s="52"/>
    </row>
    <row r="5288" spans="1:3">
      <c r="A5288" s="453"/>
      <c r="C5288" s="52"/>
    </row>
    <row r="5289" spans="1:3">
      <c r="A5289" s="453"/>
      <c r="C5289" s="52"/>
    </row>
    <row r="5290" spans="1:3">
      <c r="A5290" s="453"/>
      <c r="C5290" s="52"/>
    </row>
    <row r="5291" spans="1:3">
      <c r="A5291" s="453"/>
      <c r="C5291" s="52"/>
    </row>
    <row r="5292" spans="1:3">
      <c r="A5292" s="453"/>
      <c r="C5292" s="52"/>
    </row>
    <row r="5293" spans="1:3">
      <c r="A5293" s="453"/>
      <c r="C5293" s="52"/>
    </row>
    <row r="5294" spans="1:3">
      <c r="A5294" s="453"/>
      <c r="C5294" s="52"/>
    </row>
    <row r="5295" spans="1:3">
      <c r="A5295" s="453"/>
      <c r="C5295" s="52"/>
    </row>
    <row r="5296" spans="1:3">
      <c r="A5296" s="453"/>
      <c r="C5296" s="52"/>
    </row>
    <row r="5297" spans="1:3">
      <c r="A5297" s="453"/>
      <c r="C5297" s="52"/>
    </row>
    <row r="5298" spans="1:3">
      <c r="A5298" s="453"/>
      <c r="C5298" s="52"/>
    </row>
    <row r="5299" spans="1:3">
      <c r="A5299" s="453"/>
      <c r="C5299" s="52"/>
    </row>
    <row r="5300" spans="1:3">
      <c r="A5300" s="453"/>
      <c r="C5300" s="52"/>
    </row>
    <row r="5301" spans="1:3">
      <c r="A5301" s="453"/>
      <c r="C5301" s="52"/>
    </row>
    <row r="5302" spans="1:3">
      <c r="A5302" s="453"/>
      <c r="C5302" s="52"/>
    </row>
    <row r="5303" spans="1:3">
      <c r="A5303" s="453"/>
      <c r="C5303" s="52"/>
    </row>
    <row r="5304" spans="1:3">
      <c r="A5304" s="453"/>
      <c r="C5304" s="52"/>
    </row>
    <row r="5305" spans="1:3">
      <c r="A5305" s="453"/>
      <c r="C5305" s="52"/>
    </row>
    <row r="5306" spans="1:3">
      <c r="A5306" s="453"/>
      <c r="C5306" s="52"/>
    </row>
    <row r="5307" spans="1:3">
      <c r="A5307" s="453"/>
      <c r="C5307" s="52"/>
    </row>
    <row r="5308" spans="1:3">
      <c r="A5308" s="453"/>
      <c r="C5308" s="52"/>
    </row>
    <row r="5309" spans="1:3">
      <c r="A5309" s="453"/>
      <c r="C5309" s="52"/>
    </row>
    <row r="5310" spans="1:3">
      <c r="A5310" s="453"/>
      <c r="C5310" s="52"/>
    </row>
    <row r="5311" spans="1:3">
      <c r="A5311" s="453"/>
      <c r="C5311" s="52"/>
    </row>
    <row r="5312" spans="1:3">
      <c r="A5312" s="453"/>
      <c r="C5312" s="52"/>
    </row>
    <row r="5313" spans="1:3">
      <c r="A5313" s="453"/>
      <c r="C5313" s="52"/>
    </row>
    <row r="5314" spans="1:3">
      <c r="A5314" s="453"/>
      <c r="C5314" s="52"/>
    </row>
    <row r="5315" spans="1:3">
      <c r="A5315" s="453"/>
      <c r="C5315" s="52"/>
    </row>
    <row r="5316" spans="1:3">
      <c r="A5316" s="453"/>
      <c r="C5316" s="52"/>
    </row>
    <row r="5317" spans="1:3">
      <c r="A5317" s="453"/>
      <c r="C5317" s="52"/>
    </row>
    <row r="5318" spans="1:3">
      <c r="A5318" s="453"/>
      <c r="C5318" s="52"/>
    </row>
    <row r="5319" spans="1:3">
      <c r="A5319" s="453"/>
      <c r="C5319" s="52"/>
    </row>
    <row r="5320" spans="1:3">
      <c r="A5320" s="453"/>
      <c r="C5320" s="52"/>
    </row>
    <row r="5321" spans="1:3">
      <c r="A5321" s="453"/>
      <c r="C5321" s="52"/>
    </row>
    <row r="5322" spans="1:3">
      <c r="A5322" s="453"/>
      <c r="C5322" s="52"/>
    </row>
    <row r="5323" spans="1:3">
      <c r="A5323" s="453"/>
      <c r="C5323" s="52"/>
    </row>
    <row r="5324" spans="1:3">
      <c r="A5324" s="453"/>
      <c r="C5324" s="52"/>
    </row>
    <row r="5325" spans="1:3">
      <c r="A5325" s="453"/>
      <c r="C5325" s="52"/>
    </row>
    <row r="5326" spans="1:3">
      <c r="A5326" s="453"/>
      <c r="C5326" s="52"/>
    </row>
    <row r="5327" spans="1:3">
      <c r="A5327" s="453"/>
      <c r="C5327" s="52"/>
    </row>
    <row r="5328" spans="1:3">
      <c r="A5328" s="453"/>
      <c r="C5328" s="52"/>
    </row>
    <row r="5329" spans="1:3">
      <c r="A5329" s="453"/>
      <c r="C5329" s="52"/>
    </row>
    <row r="5330" spans="1:3">
      <c r="A5330" s="453"/>
      <c r="C5330" s="52"/>
    </row>
    <row r="5331" spans="1:3">
      <c r="A5331" s="453"/>
      <c r="C5331" s="52"/>
    </row>
    <row r="5332" spans="1:3">
      <c r="A5332" s="453"/>
      <c r="C5332" s="52"/>
    </row>
    <row r="5333" spans="1:3">
      <c r="A5333" s="453"/>
      <c r="C5333" s="52"/>
    </row>
    <row r="5334" spans="1:3">
      <c r="A5334" s="453"/>
      <c r="C5334" s="52"/>
    </row>
    <row r="5335" spans="1:3">
      <c r="A5335" s="453"/>
      <c r="C5335" s="52"/>
    </row>
    <row r="5336" spans="1:3">
      <c r="A5336" s="453"/>
      <c r="C5336" s="52"/>
    </row>
    <row r="5337" spans="1:3">
      <c r="A5337" s="453"/>
      <c r="C5337" s="52"/>
    </row>
    <row r="5338" spans="1:3">
      <c r="A5338" s="453"/>
      <c r="C5338" s="52"/>
    </row>
    <row r="5339" spans="1:3">
      <c r="A5339" s="453"/>
      <c r="C5339" s="52"/>
    </row>
    <row r="5340" spans="1:3">
      <c r="A5340" s="453"/>
      <c r="C5340" s="52"/>
    </row>
    <row r="5341" spans="1:3">
      <c r="A5341" s="453"/>
      <c r="C5341" s="52"/>
    </row>
    <row r="5342" spans="1:3">
      <c r="A5342" s="453"/>
      <c r="C5342" s="52"/>
    </row>
    <row r="5343" spans="1:3">
      <c r="A5343" s="453"/>
      <c r="C5343" s="52"/>
    </row>
    <row r="5344" spans="1:3">
      <c r="A5344" s="453"/>
      <c r="C5344" s="52"/>
    </row>
    <row r="5345" spans="1:3">
      <c r="A5345" s="453"/>
      <c r="C5345" s="52"/>
    </row>
    <row r="5346" spans="1:3">
      <c r="A5346" s="453"/>
      <c r="C5346" s="52"/>
    </row>
    <row r="5347" spans="1:3">
      <c r="A5347" s="453"/>
      <c r="C5347" s="52"/>
    </row>
    <row r="5348" spans="1:3">
      <c r="A5348" s="453"/>
      <c r="C5348" s="52"/>
    </row>
    <row r="5349" spans="1:3">
      <c r="A5349" s="453"/>
      <c r="C5349" s="52"/>
    </row>
    <row r="5350" spans="1:3">
      <c r="A5350" s="453"/>
      <c r="C5350" s="52"/>
    </row>
    <row r="5351" spans="1:3">
      <c r="A5351" s="453"/>
      <c r="C5351" s="52"/>
    </row>
    <row r="5352" spans="1:3">
      <c r="A5352" s="453"/>
      <c r="C5352" s="52"/>
    </row>
    <row r="5353" spans="1:3">
      <c r="A5353" s="453"/>
      <c r="C5353" s="52"/>
    </row>
    <row r="5354" spans="1:3">
      <c r="A5354" s="453"/>
      <c r="C5354" s="52"/>
    </row>
    <row r="5355" spans="1:3">
      <c r="A5355" s="453"/>
      <c r="C5355" s="52"/>
    </row>
    <row r="5356" spans="1:3">
      <c r="A5356" s="453"/>
      <c r="C5356" s="52"/>
    </row>
    <row r="5357" spans="1:3">
      <c r="A5357" s="453"/>
      <c r="C5357" s="52"/>
    </row>
    <row r="5358" spans="1:3">
      <c r="A5358" s="453"/>
      <c r="C5358" s="52"/>
    </row>
    <row r="5359" spans="1:3">
      <c r="A5359" s="453"/>
      <c r="C5359" s="52"/>
    </row>
    <row r="5360" spans="1:3">
      <c r="A5360" s="453"/>
      <c r="C5360" s="52"/>
    </row>
    <row r="5361" spans="1:3">
      <c r="A5361" s="453"/>
      <c r="C5361" s="52"/>
    </row>
    <row r="5362" spans="1:3">
      <c r="A5362" s="453"/>
      <c r="C5362" s="52"/>
    </row>
    <row r="5363" spans="1:3">
      <c r="A5363" s="453"/>
      <c r="C5363" s="52"/>
    </row>
    <row r="5364" spans="1:3">
      <c r="A5364" s="453"/>
      <c r="C5364" s="52"/>
    </row>
    <row r="5365" spans="1:3">
      <c r="A5365" s="453"/>
      <c r="C5365" s="52"/>
    </row>
    <row r="5366" spans="1:3">
      <c r="A5366" s="453"/>
      <c r="C5366" s="52"/>
    </row>
    <row r="5367" spans="1:3">
      <c r="A5367" s="453"/>
      <c r="C5367" s="52"/>
    </row>
    <row r="5368" spans="1:3">
      <c r="A5368" s="453"/>
      <c r="C5368" s="52"/>
    </row>
    <row r="5369" spans="1:3">
      <c r="A5369" s="453"/>
      <c r="C5369" s="52"/>
    </row>
    <row r="5370" spans="1:3">
      <c r="A5370" s="453"/>
      <c r="C5370" s="52"/>
    </row>
    <row r="5371" spans="1:3">
      <c r="A5371" s="453"/>
      <c r="C5371" s="52"/>
    </row>
    <row r="5372" spans="1:3">
      <c r="A5372" s="453"/>
      <c r="C5372" s="52"/>
    </row>
    <row r="5373" spans="1:3">
      <c r="A5373" s="453"/>
      <c r="C5373" s="52"/>
    </row>
    <row r="5374" spans="1:3">
      <c r="A5374" s="453"/>
      <c r="C5374" s="52"/>
    </row>
    <row r="5375" spans="1:3">
      <c r="A5375" s="453"/>
      <c r="C5375" s="52"/>
    </row>
    <row r="5376" spans="1:3">
      <c r="A5376" s="453"/>
      <c r="C5376" s="52"/>
    </row>
    <row r="5377" spans="1:3">
      <c r="A5377" s="453"/>
      <c r="C5377" s="52"/>
    </row>
    <row r="5378" spans="1:3">
      <c r="A5378" s="453"/>
      <c r="C5378" s="52"/>
    </row>
    <row r="5379" spans="1:3">
      <c r="A5379" s="453"/>
      <c r="C5379" s="52"/>
    </row>
    <row r="5380" spans="1:3">
      <c r="A5380" s="453"/>
      <c r="C5380" s="52"/>
    </row>
    <row r="5381" spans="1:3">
      <c r="A5381" s="453"/>
      <c r="C5381" s="52"/>
    </row>
    <row r="5382" spans="1:3">
      <c r="A5382" s="453"/>
      <c r="C5382" s="52"/>
    </row>
    <row r="5383" spans="1:3">
      <c r="A5383" s="453"/>
      <c r="C5383" s="52"/>
    </row>
    <row r="5384" spans="1:3">
      <c r="A5384" s="453"/>
      <c r="C5384" s="52"/>
    </row>
    <row r="5385" spans="1:3">
      <c r="A5385" s="453"/>
      <c r="C5385" s="52"/>
    </row>
    <row r="5386" spans="1:3">
      <c r="A5386" s="453"/>
      <c r="C5386" s="52"/>
    </row>
    <row r="5387" spans="1:3">
      <c r="A5387" s="453"/>
      <c r="C5387" s="52"/>
    </row>
    <row r="5388" spans="1:3">
      <c r="A5388" s="453"/>
      <c r="C5388" s="52"/>
    </row>
    <row r="5389" spans="1:3">
      <c r="A5389" s="453"/>
      <c r="C5389" s="52"/>
    </row>
    <row r="5390" spans="1:3">
      <c r="A5390" s="453"/>
      <c r="C5390" s="52"/>
    </row>
    <row r="5391" spans="1:3">
      <c r="A5391" s="453"/>
      <c r="C5391" s="52"/>
    </row>
    <row r="5392" spans="1:3">
      <c r="A5392" s="453"/>
      <c r="C5392" s="52"/>
    </row>
    <row r="5393" spans="1:3">
      <c r="A5393" s="453"/>
      <c r="C5393" s="52"/>
    </row>
    <row r="5394" spans="1:3">
      <c r="A5394" s="453"/>
      <c r="C5394" s="52"/>
    </row>
    <row r="5395" spans="1:3">
      <c r="A5395" s="453"/>
      <c r="C5395" s="52"/>
    </row>
    <row r="5396" spans="1:3">
      <c r="A5396" s="453"/>
      <c r="C5396" s="52"/>
    </row>
  </sheetData>
  <mergeCells count="4133">
    <mergeCell ref="V2493:V2685"/>
    <mergeCell ref="F2162:I2162"/>
    <mergeCell ref="F2168:I2168"/>
    <mergeCell ref="F2174:I2174"/>
    <mergeCell ref="F2184:I2184"/>
    <mergeCell ref="F2202:I2202"/>
    <mergeCell ref="F2355:I2355"/>
    <mergeCell ref="F2361:I2361"/>
    <mergeCell ref="F2367:I2367"/>
    <mergeCell ref="F2377:I2377"/>
    <mergeCell ref="F2395:I2395"/>
    <mergeCell ref="F2548:I2548"/>
    <mergeCell ref="F2554:I2554"/>
    <mergeCell ref="F2560:I2560"/>
    <mergeCell ref="F2570:I2570"/>
    <mergeCell ref="F2588:I2588"/>
    <mergeCell ref="F2674:I2674"/>
    <mergeCell ref="F2675:I2675"/>
    <mergeCell ref="F2676:I2676"/>
    <mergeCell ref="F2677:I2677"/>
    <mergeCell ref="F2678:I2678"/>
    <mergeCell ref="F2679:I2679"/>
    <mergeCell ref="F2680:I2680"/>
    <mergeCell ref="F2684:I2684"/>
    <mergeCell ref="F2685:I2685"/>
    <mergeCell ref="F2647:I2647"/>
    <mergeCell ref="F2648:I2648"/>
    <mergeCell ref="F2649:I2649"/>
    <mergeCell ref="F2650:I2650"/>
    <mergeCell ref="F2651:I2651"/>
    <mergeCell ref="F2652:I2652"/>
    <mergeCell ref="F2653:I2653"/>
    <mergeCell ref="F2704:I2704"/>
    <mergeCell ref="F2672:I2672"/>
    <mergeCell ref="F2673:I2673"/>
    <mergeCell ref="F2656:I2656"/>
    <mergeCell ref="F2657:I2657"/>
    <mergeCell ref="F2658:I2658"/>
    <mergeCell ref="F2659:I2659"/>
    <mergeCell ref="F2670:I2670"/>
    <mergeCell ref="F2671:I2671"/>
    <mergeCell ref="F2660:I2660"/>
    <mergeCell ref="F2661:I2661"/>
    <mergeCell ref="F2662:I2662"/>
    <mergeCell ref="F2663:I2663"/>
    <mergeCell ref="F2664:I2664"/>
    <mergeCell ref="M2107:M2126"/>
    <mergeCell ref="M2879:M2993"/>
    <mergeCell ref="M3652:M4037"/>
    <mergeCell ref="F2703:I2703"/>
    <mergeCell ref="F2686:I2686"/>
    <mergeCell ref="F2687:I2687"/>
    <mergeCell ref="F4026:I4026"/>
    <mergeCell ref="F4027:I4027"/>
    <mergeCell ref="F4028:I4028"/>
    <mergeCell ref="F4029:I4029"/>
    <mergeCell ref="F4030:I4030"/>
    <mergeCell ref="F4031:I4031"/>
    <mergeCell ref="F4032:I4032"/>
    <mergeCell ref="F4033:I4033"/>
    <mergeCell ref="F4034:I4034"/>
    <mergeCell ref="F4017:I4017"/>
    <mergeCell ref="F4018:I4018"/>
    <mergeCell ref="F4019:I4019"/>
    <mergeCell ref="F4335:I4335"/>
    <mergeCell ref="F4336:I4336"/>
    <mergeCell ref="F4378:I4378"/>
    <mergeCell ref="F4379:I4379"/>
    <mergeCell ref="F4389:I4389"/>
    <mergeCell ref="F4390:I4390"/>
    <mergeCell ref="F4391:I4391"/>
    <mergeCell ref="F4392:I4392"/>
    <mergeCell ref="F4393:I4393"/>
    <mergeCell ref="F4394:I4394"/>
    <mergeCell ref="F4327:I4327"/>
    <mergeCell ref="F4328:I4328"/>
    <mergeCell ref="F4329:I4329"/>
    <mergeCell ref="F4330:I4330"/>
    <mergeCell ref="F4331:I4331"/>
    <mergeCell ref="F4332:I4332"/>
    <mergeCell ref="F4333:I4333"/>
    <mergeCell ref="F4365:I4365"/>
    <mergeCell ref="F4366:I4366"/>
    <mergeCell ref="F4367:I4367"/>
    <mergeCell ref="F4368:I4368"/>
    <mergeCell ref="F4369:I4369"/>
    <mergeCell ref="F4370:I4370"/>
    <mergeCell ref="F4353:I4353"/>
    <mergeCell ref="F4354:I4354"/>
    <mergeCell ref="F4355:I4355"/>
    <mergeCell ref="F4337:I4337"/>
    <mergeCell ref="F4338:I4338"/>
    <mergeCell ref="F4339:I4339"/>
    <mergeCell ref="F4340:I4340"/>
    <mergeCell ref="F4341:I4341"/>
    <mergeCell ref="F4342:I4342"/>
    <mergeCell ref="F4343:I4343"/>
    <mergeCell ref="F4326:I4326"/>
    <mergeCell ref="F4362:I4362"/>
    <mergeCell ref="F4363:I4363"/>
    <mergeCell ref="F2731:I2731"/>
    <mergeCell ref="F4334:I4334"/>
    <mergeCell ref="F4317:I4317"/>
    <mergeCell ref="F4318:I4318"/>
    <mergeCell ref="F4319:I4319"/>
    <mergeCell ref="F4320:I4320"/>
    <mergeCell ref="F4321:I4321"/>
    <mergeCell ref="F4322:I4322"/>
    <mergeCell ref="F4323:I4323"/>
    <mergeCell ref="F4324:I4324"/>
    <mergeCell ref="F4325:I4325"/>
    <mergeCell ref="F4308:I4308"/>
    <mergeCell ref="F4309:I4309"/>
    <mergeCell ref="F4310:I4310"/>
    <mergeCell ref="F4311:I4311"/>
    <mergeCell ref="F4312:I4312"/>
    <mergeCell ref="F4347:I4347"/>
    <mergeCell ref="F4348:I4348"/>
    <mergeCell ref="F4349:I4349"/>
    <mergeCell ref="F4350:I4350"/>
    <mergeCell ref="F4351:I4351"/>
    <mergeCell ref="F4352:I4352"/>
    <mergeCell ref="F4313:I4313"/>
    <mergeCell ref="F4314:I4314"/>
    <mergeCell ref="F4315:I4315"/>
    <mergeCell ref="F4316:I4316"/>
    <mergeCell ref="F4299:I4299"/>
    <mergeCell ref="F4300:I4300"/>
    <mergeCell ref="F4364:I4364"/>
    <mergeCell ref="F4344:I4344"/>
    <mergeCell ref="F4345:I4345"/>
    <mergeCell ref="F4346:I4346"/>
    <mergeCell ref="F4397:I4397"/>
    <mergeCell ref="F4380:I4380"/>
    <mergeCell ref="F4381:I4381"/>
    <mergeCell ref="F4382:I4382"/>
    <mergeCell ref="F4383:I4383"/>
    <mergeCell ref="F4384:I4384"/>
    <mergeCell ref="F4385:I4385"/>
    <mergeCell ref="F4386:I4386"/>
    <mergeCell ref="F4387:I4387"/>
    <mergeCell ref="F4388:I4388"/>
    <mergeCell ref="F4371:I4371"/>
    <mergeCell ref="F4372:I4372"/>
    <mergeCell ref="F4373:I4373"/>
    <mergeCell ref="F4374:I4374"/>
    <mergeCell ref="F4375:I4375"/>
    <mergeCell ref="F4376:I4376"/>
    <mergeCell ref="F4377:I4377"/>
    <mergeCell ref="F4395:I4395"/>
    <mergeCell ref="F4396:I4396"/>
    <mergeCell ref="F4356:I4356"/>
    <mergeCell ref="F4357:I4357"/>
    <mergeCell ref="F4358:I4358"/>
    <mergeCell ref="F4359:I4359"/>
    <mergeCell ref="F4360:I4360"/>
    <mergeCell ref="F4361:I4361"/>
    <mergeCell ref="F4421:I4421"/>
    <mergeCell ref="F4422:I4422"/>
    <mergeCell ref="F4423:I4423"/>
    <mergeCell ref="F4407:I4407"/>
    <mergeCell ref="F4408:I4408"/>
    <mergeCell ref="F4409:I4409"/>
    <mergeCell ref="F4410:I4410"/>
    <mergeCell ref="F4411:I4411"/>
    <mergeCell ref="F4412:I4412"/>
    <mergeCell ref="F4413:I4413"/>
    <mergeCell ref="F4414:I4414"/>
    <mergeCell ref="F4415:I4415"/>
    <mergeCell ref="F4398:I4398"/>
    <mergeCell ref="F4399:I4399"/>
    <mergeCell ref="F4400:I4400"/>
    <mergeCell ref="F4401:I4401"/>
    <mergeCell ref="F4402:I4402"/>
    <mergeCell ref="F4403:I4403"/>
    <mergeCell ref="F4404:I4404"/>
    <mergeCell ref="F4405:I4405"/>
    <mergeCell ref="F4406:I4406"/>
    <mergeCell ref="F4416:I4416"/>
    <mergeCell ref="F4417:I4417"/>
    <mergeCell ref="F4418:I4418"/>
    <mergeCell ref="F4419:I4419"/>
    <mergeCell ref="F4420:I4420"/>
    <mergeCell ref="F4301:I4301"/>
    <mergeCell ref="F4302:I4302"/>
    <mergeCell ref="F4303:I4303"/>
    <mergeCell ref="F4304:I4304"/>
    <mergeCell ref="F4305:I4305"/>
    <mergeCell ref="F4306:I4306"/>
    <mergeCell ref="F4307:I4307"/>
    <mergeCell ref="F4290:I4290"/>
    <mergeCell ref="F4291:I4291"/>
    <mergeCell ref="F4292:I4292"/>
    <mergeCell ref="F4293:I4293"/>
    <mergeCell ref="F4294:I4294"/>
    <mergeCell ref="F4295:I4295"/>
    <mergeCell ref="F4296:I4296"/>
    <mergeCell ref="F4297:I4297"/>
    <mergeCell ref="F4298:I4298"/>
    <mergeCell ref="F4281:I4281"/>
    <mergeCell ref="F4282:I4282"/>
    <mergeCell ref="F4283:I4283"/>
    <mergeCell ref="F4284:I4284"/>
    <mergeCell ref="F4285:I4285"/>
    <mergeCell ref="F4286:I4286"/>
    <mergeCell ref="F4287:I4287"/>
    <mergeCell ref="F4288:I4288"/>
    <mergeCell ref="F4289:I4289"/>
    <mergeCell ref="F4272:I4272"/>
    <mergeCell ref="F4273:I4273"/>
    <mergeCell ref="F4274:I4274"/>
    <mergeCell ref="F4275:I4275"/>
    <mergeCell ref="F4276:I4276"/>
    <mergeCell ref="F4277:I4277"/>
    <mergeCell ref="F4278:I4278"/>
    <mergeCell ref="F4279:I4279"/>
    <mergeCell ref="F4280:I4280"/>
    <mergeCell ref="F4263:I4263"/>
    <mergeCell ref="F4264:I4264"/>
    <mergeCell ref="F4265:I4265"/>
    <mergeCell ref="F4266:I4266"/>
    <mergeCell ref="F4267:I4267"/>
    <mergeCell ref="F4268:I4268"/>
    <mergeCell ref="F4269:I4269"/>
    <mergeCell ref="F4270:I4270"/>
    <mergeCell ref="F4271:I4271"/>
    <mergeCell ref="F4254:I4254"/>
    <mergeCell ref="F4255:I4255"/>
    <mergeCell ref="F4256:I4256"/>
    <mergeCell ref="F4257:I4257"/>
    <mergeCell ref="F4258:I4258"/>
    <mergeCell ref="F4259:I4259"/>
    <mergeCell ref="F4260:I4260"/>
    <mergeCell ref="F4261:I4261"/>
    <mergeCell ref="F4262:I4262"/>
    <mergeCell ref="F4245:I4245"/>
    <mergeCell ref="F4246:I4246"/>
    <mergeCell ref="F4247:I4247"/>
    <mergeCell ref="F4248:I4248"/>
    <mergeCell ref="F4249:I4249"/>
    <mergeCell ref="F4250:I4250"/>
    <mergeCell ref="F4251:I4251"/>
    <mergeCell ref="F4252:I4252"/>
    <mergeCell ref="F4253:I4253"/>
    <mergeCell ref="F4236:I4236"/>
    <mergeCell ref="F4237:I4237"/>
    <mergeCell ref="F4238:I4238"/>
    <mergeCell ref="F4239:I4239"/>
    <mergeCell ref="F4240:I4240"/>
    <mergeCell ref="F4241:I4241"/>
    <mergeCell ref="F4242:I4242"/>
    <mergeCell ref="F4243:I4243"/>
    <mergeCell ref="F4244:I4244"/>
    <mergeCell ref="F4225:I4225"/>
    <mergeCell ref="F4226:I4226"/>
    <mergeCell ref="F4227:I4227"/>
    <mergeCell ref="F4230:I4230"/>
    <mergeCell ref="F4231:I4231"/>
    <mergeCell ref="F4232:I4232"/>
    <mergeCell ref="F4233:I4233"/>
    <mergeCell ref="F4234:I4234"/>
    <mergeCell ref="F4235:I4235"/>
    <mergeCell ref="F4228:I4228"/>
    <mergeCell ref="F4229:I4229"/>
    <mergeCell ref="F4216:I4216"/>
    <mergeCell ref="F4217:I4217"/>
    <mergeCell ref="F4218:I4218"/>
    <mergeCell ref="F4219:I4219"/>
    <mergeCell ref="F4220:I4220"/>
    <mergeCell ref="F4221:I4221"/>
    <mergeCell ref="F4222:I4222"/>
    <mergeCell ref="F4223:I4223"/>
    <mergeCell ref="F4224:I4224"/>
    <mergeCell ref="F4207:I4207"/>
    <mergeCell ref="F4208:I4208"/>
    <mergeCell ref="F4209:I4209"/>
    <mergeCell ref="F4210:I4210"/>
    <mergeCell ref="F4211:I4211"/>
    <mergeCell ref="F4212:I4212"/>
    <mergeCell ref="F4213:I4213"/>
    <mergeCell ref="F4214:I4214"/>
    <mergeCell ref="F4215:I4215"/>
    <mergeCell ref="F4198:I4198"/>
    <mergeCell ref="F4199:I4199"/>
    <mergeCell ref="F4200:I4200"/>
    <mergeCell ref="F4201:I4201"/>
    <mergeCell ref="F4202:I4202"/>
    <mergeCell ref="F4203:I4203"/>
    <mergeCell ref="F4204:I4204"/>
    <mergeCell ref="F4205:I4205"/>
    <mergeCell ref="F4206:I4206"/>
    <mergeCell ref="F4187:I4187"/>
    <mergeCell ref="F4188:I4188"/>
    <mergeCell ref="F4189:I4189"/>
    <mergeCell ref="F4190:I4190"/>
    <mergeCell ref="F4191:I4191"/>
    <mergeCell ref="F4194:I4194"/>
    <mergeCell ref="F4195:I4195"/>
    <mergeCell ref="F4196:I4196"/>
    <mergeCell ref="F4197:I4197"/>
    <mergeCell ref="F4192:I4192"/>
    <mergeCell ref="F4193:I4193"/>
    <mergeCell ref="F4178:I4178"/>
    <mergeCell ref="F4179:I4179"/>
    <mergeCell ref="F4180:I4180"/>
    <mergeCell ref="F4181:I4181"/>
    <mergeCell ref="F4182:I4182"/>
    <mergeCell ref="F4183:I4183"/>
    <mergeCell ref="F4184:I4184"/>
    <mergeCell ref="F4185:I4185"/>
    <mergeCell ref="F4186:I4186"/>
    <mergeCell ref="F4167:I4167"/>
    <mergeCell ref="F4168:I4168"/>
    <mergeCell ref="F4169:I4169"/>
    <mergeCell ref="F4170:I4170"/>
    <mergeCell ref="F4171:I4171"/>
    <mergeCell ref="F4174:I4174"/>
    <mergeCell ref="F4175:I4175"/>
    <mergeCell ref="F4176:I4176"/>
    <mergeCell ref="F4177:I4177"/>
    <mergeCell ref="F4172:I4172"/>
    <mergeCell ref="F4173:I4173"/>
    <mergeCell ref="F4156:I4156"/>
    <mergeCell ref="F4157:I4157"/>
    <mergeCell ref="F4158:I4158"/>
    <mergeCell ref="F4159:I4159"/>
    <mergeCell ref="F4162:I4162"/>
    <mergeCell ref="F4163:I4163"/>
    <mergeCell ref="F4164:I4164"/>
    <mergeCell ref="F4165:I4165"/>
    <mergeCell ref="F4166:I4166"/>
    <mergeCell ref="F4145:I4145"/>
    <mergeCell ref="F4146:I4146"/>
    <mergeCell ref="F4147:I4147"/>
    <mergeCell ref="F4150:I4150"/>
    <mergeCell ref="F4151:I4151"/>
    <mergeCell ref="F4152:I4152"/>
    <mergeCell ref="F4153:I4153"/>
    <mergeCell ref="F4154:I4154"/>
    <mergeCell ref="F4155:I4155"/>
    <mergeCell ref="F4148:I4148"/>
    <mergeCell ref="F4149:I4149"/>
    <mergeCell ref="F4160:I4160"/>
    <mergeCell ref="F4161:I4161"/>
    <mergeCell ref="F4136:I4136"/>
    <mergeCell ref="F4137:I4137"/>
    <mergeCell ref="F4138:I4138"/>
    <mergeCell ref="F4139:I4139"/>
    <mergeCell ref="F4140:I4140"/>
    <mergeCell ref="F4141:I4141"/>
    <mergeCell ref="F4142:I4142"/>
    <mergeCell ref="F4143:I4143"/>
    <mergeCell ref="F4144:I4144"/>
    <mergeCell ref="F4127:I4127"/>
    <mergeCell ref="F4128:I4128"/>
    <mergeCell ref="F4129:I4129"/>
    <mergeCell ref="F4130:I4130"/>
    <mergeCell ref="F4131:I4131"/>
    <mergeCell ref="F4132:I4132"/>
    <mergeCell ref="F4133:I4133"/>
    <mergeCell ref="F4134:I4134"/>
    <mergeCell ref="F4135:I4135"/>
    <mergeCell ref="F4118:I4118"/>
    <mergeCell ref="F4119:I4119"/>
    <mergeCell ref="F4120:I4120"/>
    <mergeCell ref="F4121:I4121"/>
    <mergeCell ref="F4122:I4122"/>
    <mergeCell ref="F4123:I4123"/>
    <mergeCell ref="F4124:I4124"/>
    <mergeCell ref="F4125:I4125"/>
    <mergeCell ref="F4126:I4126"/>
    <mergeCell ref="F4109:I4109"/>
    <mergeCell ref="F4110:I4110"/>
    <mergeCell ref="F4111:I4111"/>
    <mergeCell ref="F4112:I4112"/>
    <mergeCell ref="F4113:I4113"/>
    <mergeCell ref="F4114:I4114"/>
    <mergeCell ref="F4115:I4115"/>
    <mergeCell ref="F4116:I4116"/>
    <mergeCell ref="F4117:I4117"/>
    <mergeCell ref="F4100:I4100"/>
    <mergeCell ref="F4101:I4101"/>
    <mergeCell ref="F4102:I4102"/>
    <mergeCell ref="F4103:I4103"/>
    <mergeCell ref="F4104:I4104"/>
    <mergeCell ref="F4105:I4105"/>
    <mergeCell ref="F4106:I4106"/>
    <mergeCell ref="F4107:I4107"/>
    <mergeCell ref="F4108:I4108"/>
    <mergeCell ref="F4091:I4091"/>
    <mergeCell ref="F4092:I4092"/>
    <mergeCell ref="F4093:I4093"/>
    <mergeCell ref="F4094:I4094"/>
    <mergeCell ref="F4095:I4095"/>
    <mergeCell ref="F4096:I4096"/>
    <mergeCell ref="F4097:I4097"/>
    <mergeCell ref="F4098:I4098"/>
    <mergeCell ref="F4099:I4099"/>
    <mergeCell ref="F4082:I4082"/>
    <mergeCell ref="F4083:I4083"/>
    <mergeCell ref="F4084:I4084"/>
    <mergeCell ref="F4085:I4085"/>
    <mergeCell ref="F4086:I4086"/>
    <mergeCell ref="F4087:I4087"/>
    <mergeCell ref="F4088:I4088"/>
    <mergeCell ref="F4089:I4089"/>
    <mergeCell ref="F4090:I4090"/>
    <mergeCell ref="F4073:I4073"/>
    <mergeCell ref="F4074:I4074"/>
    <mergeCell ref="F4075:I4075"/>
    <mergeCell ref="F4076:I4076"/>
    <mergeCell ref="F4077:I4077"/>
    <mergeCell ref="F4078:I4078"/>
    <mergeCell ref="F4079:I4079"/>
    <mergeCell ref="F4080:I4080"/>
    <mergeCell ref="F4081:I4081"/>
    <mergeCell ref="F4062:I4062"/>
    <mergeCell ref="F4063:I4063"/>
    <mergeCell ref="F4064:I4064"/>
    <mergeCell ref="F4065:I4065"/>
    <mergeCell ref="F4066:I4066"/>
    <mergeCell ref="F4067:I4067"/>
    <mergeCell ref="F4068:I4068"/>
    <mergeCell ref="F4069:I4069"/>
    <mergeCell ref="F4072:I4072"/>
    <mergeCell ref="F4070:I4070"/>
    <mergeCell ref="F4071:I4071"/>
    <mergeCell ref="F4053:I4053"/>
    <mergeCell ref="F4054:I4054"/>
    <mergeCell ref="F4055:I4055"/>
    <mergeCell ref="F4056:I4056"/>
    <mergeCell ref="F4057:I4057"/>
    <mergeCell ref="F4058:I4058"/>
    <mergeCell ref="F4059:I4059"/>
    <mergeCell ref="F4060:I4060"/>
    <mergeCell ref="F4061:I4061"/>
    <mergeCell ref="F4044:I4044"/>
    <mergeCell ref="F4045:I4045"/>
    <mergeCell ref="F4046:I4046"/>
    <mergeCell ref="F4047:I4047"/>
    <mergeCell ref="F4048:I4048"/>
    <mergeCell ref="F4049:I4049"/>
    <mergeCell ref="F4050:I4050"/>
    <mergeCell ref="F4051:I4051"/>
    <mergeCell ref="F4052:I4052"/>
    <mergeCell ref="F4035:I4035"/>
    <mergeCell ref="F4036:I4036"/>
    <mergeCell ref="F4037:I4037"/>
    <mergeCell ref="F4038:I4038"/>
    <mergeCell ref="F4039:I4039"/>
    <mergeCell ref="F4040:I4040"/>
    <mergeCell ref="F4041:I4041"/>
    <mergeCell ref="F4042:I4042"/>
    <mergeCell ref="F4043:I4043"/>
    <mergeCell ref="F4020:I4020"/>
    <mergeCell ref="F4021:I4021"/>
    <mergeCell ref="F4022:I4022"/>
    <mergeCell ref="F4023:I4023"/>
    <mergeCell ref="F4024:I4024"/>
    <mergeCell ref="F4025:I4025"/>
    <mergeCell ref="F4008:I4008"/>
    <mergeCell ref="F4009:I4009"/>
    <mergeCell ref="F4010:I4010"/>
    <mergeCell ref="F4011:I4011"/>
    <mergeCell ref="F4012:I4012"/>
    <mergeCell ref="F4013:I4013"/>
    <mergeCell ref="F4014:I4014"/>
    <mergeCell ref="F4015:I4015"/>
    <mergeCell ref="F4016:I4016"/>
    <mergeCell ref="F3999:I3999"/>
    <mergeCell ref="F4000:I4000"/>
    <mergeCell ref="F4001:I4001"/>
    <mergeCell ref="F4002:I4002"/>
    <mergeCell ref="F4003:I4003"/>
    <mergeCell ref="F4004:I4004"/>
    <mergeCell ref="F4005:I4005"/>
    <mergeCell ref="F4006:I4006"/>
    <mergeCell ref="F4007:I4007"/>
    <mergeCell ref="F3990:I3990"/>
    <mergeCell ref="F3991:I3991"/>
    <mergeCell ref="F3992:I3992"/>
    <mergeCell ref="F3993:I3993"/>
    <mergeCell ref="F3994:I3994"/>
    <mergeCell ref="F3995:I3995"/>
    <mergeCell ref="F3996:I3996"/>
    <mergeCell ref="F3997:I3997"/>
    <mergeCell ref="F3998:I3998"/>
    <mergeCell ref="F3981:I3981"/>
    <mergeCell ref="F3982:I3982"/>
    <mergeCell ref="F3983:I3983"/>
    <mergeCell ref="F3984:I3984"/>
    <mergeCell ref="F3985:I3985"/>
    <mergeCell ref="F3986:I3986"/>
    <mergeCell ref="F3987:I3987"/>
    <mergeCell ref="F3988:I3988"/>
    <mergeCell ref="F3989:I3989"/>
    <mergeCell ref="F3972:I3972"/>
    <mergeCell ref="F3973:I3973"/>
    <mergeCell ref="F3974:I3974"/>
    <mergeCell ref="F3975:I3975"/>
    <mergeCell ref="F3976:I3976"/>
    <mergeCell ref="F3977:I3977"/>
    <mergeCell ref="F3978:I3978"/>
    <mergeCell ref="F3979:I3979"/>
    <mergeCell ref="F3980:I3980"/>
    <mergeCell ref="F3963:I3963"/>
    <mergeCell ref="F3964:I3964"/>
    <mergeCell ref="F3965:I3965"/>
    <mergeCell ref="F3966:I3966"/>
    <mergeCell ref="F3967:I3967"/>
    <mergeCell ref="F3968:I3968"/>
    <mergeCell ref="F3969:I3969"/>
    <mergeCell ref="F3970:I3970"/>
    <mergeCell ref="F3971:I3971"/>
    <mergeCell ref="F3954:I3954"/>
    <mergeCell ref="F3955:I3955"/>
    <mergeCell ref="F3956:I3956"/>
    <mergeCell ref="F3957:I3957"/>
    <mergeCell ref="F3958:I3958"/>
    <mergeCell ref="F3959:I3959"/>
    <mergeCell ref="F3960:I3960"/>
    <mergeCell ref="F3961:I3961"/>
    <mergeCell ref="F3962:I3962"/>
    <mergeCell ref="F3945:I3945"/>
    <mergeCell ref="F3946:I3946"/>
    <mergeCell ref="F3947:I3947"/>
    <mergeCell ref="F3948:I3948"/>
    <mergeCell ref="F3949:I3949"/>
    <mergeCell ref="F3950:I3950"/>
    <mergeCell ref="F3951:I3951"/>
    <mergeCell ref="F3952:I3952"/>
    <mergeCell ref="F3953:I3953"/>
    <mergeCell ref="F3936:I3936"/>
    <mergeCell ref="F3937:I3937"/>
    <mergeCell ref="F3938:I3938"/>
    <mergeCell ref="F3939:I3939"/>
    <mergeCell ref="F3940:I3940"/>
    <mergeCell ref="F3941:I3941"/>
    <mergeCell ref="F3942:I3942"/>
    <mergeCell ref="F3943:I3943"/>
    <mergeCell ref="F3944:I3944"/>
    <mergeCell ref="F3927:I3927"/>
    <mergeCell ref="F3928:I3928"/>
    <mergeCell ref="F3929:I3929"/>
    <mergeCell ref="F3930:I3930"/>
    <mergeCell ref="F3931:I3931"/>
    <mergeCell ref="F3932:I3932"/>
    <mergeCell ref="F3933:I3933"/>
    <mergeCell ref="F3934:I3934"/>
    <mergeCell ref="F3935:I3935"/>
    <mergeCell ref="F3918:I3918"/>
    <mergeCell ref="F3919:I3919"/>
    <mergeCell ref="F3920:I3920"/>
    <mergeCell ref="F3921:I3921"/>
    <mergeCell ref="F3922:I3922"/>
    <mergeCell ref="F3923:I3923"/>
    <mergeCell ref="F3924:I3924"/>
    <mergeCell ref="F3925:I3925"/>
    <mergeCell ref="F3926:I3926"/>
    <mergeCell ref="F3909:I3909"/>
    <mergeCell ref="F3910:I3910"/>
    <mergeCell ref="F3911:I3911"/>
    <mergeCell ref="F3912:I3912"/>
    <mergeCell ref="F3913:I3913"/>
    <mergeCell ref="F3914:I3914"/>
    <mergeCell ref="F3915:I3915"/>
    <mergeCell ref="F3916:I3916"/>
    <mergeCell ref="F3917:I3917"/>
    <mergeCell ref="F3900:I3900"/>
    <mergeCell ref="F3901:I3901"/>
    <mergeCell ref="F3902:I3902"/>
    <mergeCell ref="F3903:I3903"/>
    <mergeCell ref="F3904:I3904"/>
    <mergeCell ref="F3905:I3905"/>
    <mergeCell ref="F3906:I3906"/>
    <mergeCell ref="F3907:I3907"/>
    <mergeCell ref="F3908:I3908"/>
    <mergeCell ref="F3891:I3891"/>
    <mergeCell ref="F3892:I3892"/>
    <mergeCell ref="F3893:I3893"/>
    <mergeCell ref="F3894:I3894"/>
    <mergeCell ref="F3895:I3895"/>
    <mergeCell ref="F3896:I3896"/>
    <mergeCell ref="F3897:I3897"/>
    <mergeCell ref="F3898:I3898"/>
    <mergeCell ref="F3899:I3899"/>
    <mergeCell ref="F3882:I3882"/>
    <mergeCell ref="F3883:I3883"/>
    <mergeCell ref="F3884:I3884"/>
    <mergeCell ref="F3885:I3885"/>
    <mergeCell ref="F3886:I3886"/>
    <mergeCell ref="F3887:I3887"/>
    <mergeCell ref="F3888:I3888"/>
    <mergeCell ref="F3889:I3889"/>
    <mergeCell ref="F3890:I3890"/>
    <mergeCell ref="F3873:I3873"/>
    <mergeCell ref="F3874:I3874"/>
    <mergeCell ref="F3875:I3875"/>
    <mergeCell ref="F3876:I3876"/>
    <mergeCell ref="F3877:I3877"/>
    <mergeCell ref="F3878:I3878"/>
    <mergeCell ref="F3879:I3879"/>
    <mergeCell ref="F3880:I3880"/>
    <mergeCell ref="F3881:I3881"/>
    <mergeCell ref="F3864:I3864"/>
    <mergeCell ref="F3865:I3865"/>
    <mergeCell ref="F3866:I3866"/>
    <mergeCell ref="F3867:I3867"/>
    <mergeCell ref="F3868:I3868"/>
    <mergeCell ref="F3869:I3869"/>
    <mergeCell ref="F3870:I3870"/>
    <mergeCell ref="F3871:I3871"/>
    <mergeCell ref="F3872:I3872"/>
    <mergeCell ref="F3855:I3855"/>
    <mergeCell ref="F3856:I3856"/>
    <mergeCell ref="F3857:I3857"/>
    <mergeCell ref="F3858:I3858"/>
    <mergeCell ref="F3859:I3859"/>
    <mergeCell ref="F3860:I3860"/>
    <mergeCell ref="F3861:I3861"/>
    <mergeCell ref="F3862:I3862"/>
    <mergeCell ref="F3863:I3863"/>
    <mergeCell ref="F3846:I3846"/>
    <mergeCell ref="F3847:I3847"/>
    <mergeCell ref="F3848:I3848"/>
    <mergeCell ref="F3849:I3849"/>
    <mergeCell ref="F3850:I3850"/>
    <mergeCell ref="F3851:I3851"/>
    <mergeCell ref="F3852:I3852"/>
    <mergeCell ref="F3853:I3853"/>
    <mergeCell ref="F3854:I3854"/>
    <mergeCell ref="F3835:I3835"/>
    <mergeCell ref="F3836:I3836"/>
    <mergeCell ref="F3837:I3837"/>
    <mergeCell ref="F3838:I3838"/>
    <mergeCell ref="F3839:I3839"/>
    <mergeCell ref="F3840:I3840"/>
    <mergeCell ref="F3841:I3841"/>
    <mergeCell ref="F3844:I3844"/>
    <mergeCell ref="F3845:I3845"/>
    <mergeCell ref="F3842:I3842"/>
    <mergeCell ref="F3843:I3843"/>
    <mergeCell ref="F3826:I3826"/>
    <mergeCell ref="F3827:I3827"/>
    <mergeCell ref="F3828:I3828"/>
    <mergeCell ref="F3829:I3829"/>
    <mergeCell ref="F3830:I3830"/>
    <mergeCell ref="F3831:I3831"/>
    <mergeCell ref="F3832:I3832"/>
    <mergeCell ref="F3833:I3833"/>
    <mergeCell ref="F3834:I3834"/>
    <mergeCell ref="F3817:I3817"/>
    <mergeCell ref="F3818:I3818"/>
    <mergeCell ref="F3819:I3819"/>
    <mergeCell ref="F3820:I3820"/>
    <mergeCell ref="F3821:I3821"/>
    <mergeCell ref="F3822:I3822"/>
    <mergeCell ref="F3823:I3823"/>
    <mergeCell ref="F3824:I3824"/>
    <mergeCell ref="F3825:I3825"/>
    <mergeCell ref="F3808:I3808"/>
    <mergeCell ref="F3809:I3809"/>
    <mergeCell ref="F3810:I3810"/>
    <mergeCell ref="F3811:I3811"/>
    <mergeCell ref="F3812:I3812"/>
    <mergeCell ref="F3813:I3813"/>
    <mergeCell ref="F3814:I3814"/>
    <mergeCell ref="F3815:I3815"/>
    <mergeCell ref="F3816:I3816"/>
    <mergeCell ref="F3797:I3797"/>
    <mergeCell ref="F3798:I3798"/>
    <mergeCell ref="F3799:I3799"/>
    <mergeCell ref="F3800:I3800"/>
    <mergeCell ref="F3801:I3801"/>
    <mergeCell ref="F3802:I3802"/>
    <mergeCell ref="F3803:I3803"/>
    <mergeCell ref="F3804:I3804"/>
    <mergeCell ref="F3805:I3805"/>
    <mergeCell ref="F3806:I3806"/>
    <mergeCell ref="F3807:I3807"/>
    <mergeCell ref="F3788:I3788"/>
    <mergeCell ref="F3789:I3789"/>
    <mergeCell ref="F3790:I3790"/>
    <mergeCell ref="F3791:I3791"/>
    <mergeCell ref="F3792:I3792"/>
    <mergeCell ref="F3793:I3793"/>
    <mergeCell ref="F3794:I3794"/>
    <mergeCell ref="F3795:I3795"/>
    <mergeCell ref="F3796:I3796"/>
    <mergeCell ref="F3777:I3777"/>
    <mergeCell ref="F3778:I3778"/>
    <mergeCell ref="F3779:I3779"/>
    <mergeCell ref="F3780:I3780"/>
    <mergeCell ref="F3781:I3781"/>
    <mergeCell ref="F3782:I3782"/>
    <mergeCell ref="F3783:I3783"/>
    <mergeCell ref="F3784:I3784"/>
    <mergeCell ref="F3785:I3785"/>
    <mergeCell ref="F3786:I3786"/>
    <mergeCell ref="F3787:I3787"/>
    <mergeCell ref="F3766:I3766"/>
    <mergeCell ref="F3767:I3767"/>
    <mergeCell ref="F3768:I3768"/>
    <mergeCell ref="F3769:I3769"/>
    <mergeCell ref="F3770:I3770"/>
    <mergeCell ref="F3771:I3771"/>
    <mergeCell ref="F3772:I3772"/>
    <mergeCell ref="F3773:I3773"/>
    <mergeCell ref="F3776:I3776"/>
    <mergeCell ref="F3755:I3755"/>
    <mergeCell ref="F3756:I3756"/>
    <mergeCell ref="F3757:I3757"/>
    <mergeCell ref="F3758:I3758"/>
    <mergeCell ref="F3759:I3759"/>
    <mergeCell ref="F3760:I3760"/>
    <mergeCell ref="F3761:I3761"/>
    <mergeCell ref="F3764:I3764"/>
    <mergeCell ref="F3765:I3765"/>
    <mergeCell ref="F3762:I3762"/>
    <mergeCell ref="F3763:I3763"/>
    <mergeCell ref="F3774:I3774"/>
    <mergeCell ref="F3775:I3775"/>
    <mergeCell ref="F3746:I3746"/>
    <mergeCell ref="F3747:I3747"/>
    <mergeCell ref="F3748:I3748"/>
    <mergeCell ref="F3749:I3749"/>
    <mergeCell ref="F3750:I3750"/>
    <mergeCell ref="F3751:I3751"/>
    <mergeCell ref="F3752:I3752"/>
    <mergeCell ref="F3753:I3753"/>
    <mergeCell ref="F3754:I3754"/>
    <mergeCell ref="F3737:I3737"/>
    <mergeCell ref="F3738:I3738"/>
    <mergeCell ref="F3739:I3739"/>
    <mergeCell ref="F3740:I3740"/>
    <mergeCell ref="F3741:I3741"/>
    <mergeCell ref="F3742:I3742"/>
    <mergeCell ref="F3743:I3743"/>
    <mergeCell ref="F3744:I3744"/>
    <mergeCell ref="F3745:I3745"/>
    <mergeCell ref="F3728:I3728"/>
    <mergeCell ref="F3729:I3729"/>
    <mergeCell ref="F3730:I3730"/>
    <mergeCell ref="F3731:I3731"/>
    <mergeCell ref="F3732:I3732"/>
    <mergeCell ref="F3733:I3733"/>
    <mergeCell ref="F3734:I3734"/>
    <mergeCell ref="F3735:I3735"/>
    <mergeCell ref="F3736:I3736"/>
    <mergeCell ref="F3719:I3719"/>
    <mergeCell ref="F3720:I3720"/>
    <mergeCell ref="F3721:I3721"/>
    <mergeCell ref="F3722:I3722"/>
    <mergeCell ref="F3723:I3723"/>
    <mergeCell ref="F3724:I3724"/>
    <mergeCell ref="F3725:I3725"/>
    <mergeCell ref="F3726:I3726"/>
    <mergeCell ref="F3727:I3727"/>
    <mergeCell ref="F3710:I3710"/>
    <mergeCell ref="F3711:I3711"/>
    <mergeCell ref="F3712:I3712"/>
    <mergeCell ref="F3713:I3713"/>
    <mergeCell ref="F3714:I3714"/>
    <mergeCell ref="F3715:I3715"/>
    <mergeCell ref="F3716:I3716"/>
    <mergeCell ref="F3717:I3717"/>
    <mergeCell ref="F3718:I3718"/>
    <mergeCell ref="F3701:I3701"/>
    <mergeCell ref="F3702:I3702"/>
    <mergeCell ref="F3703:I3703"/>
    <mergeCell ref="F3704:I3704"/>
    <mergeCell ref="F3705:I3705"/>
    <mergeCell ref="F3706:I3706"/>
    <mergeCell ref="F3707:I3707"/>
    <mergeCell ref="F3708:I3708"/>
    <mergeCell ref="F3709:I3709"/>
    <mergeCell ref="F3692:I3692"/>
    <mergeCell ref="F3693:I3693"/>
    <mergeCell ref="F3694:I3694"/>
    <mergeCell ref="F3695:I3695"/>
    <mergeCell ref="F3696:I3696"/>
    <mergeCell ref="F3697:I3697"/>
    <mergeCell ref="F3698:I3698"/>
    <mergeCell ref="F3699:I3699"/>
    <mergeCell ref="F3700:I3700"/>
    <mergeCell ref="F3681:I3681"/>
    <mergeCell ref="F3682:I3682"/>
    <mergeCell ref="F3683:I3683"/>
    <mergeCell ref="F3686:I3686"/>
    <mergeCell ref="F3687:I3687"/>
    <mergeCell ref="F3688:I3688"/>
    <mergeCell ref="F3689:I3689"/>
    <mergeCell ref="F3690:I3690"/>
    <mergeCell ref="F3691:I3691"/>
    <mergeCell ref="F3672:I3672"/>
    <mergeCell ref="F3673:I3673"/>
    <mergeCell ref="F3674:I3674"/>
    <mergeCell ref="F3675:I3675"/>
    <mergeCell ref="F3676:I3676"/>
    <mergeCell ref="F3677:I3677"/>
    <mergeCell ref="F3678:I3678"/>
    <mergeCell ref="F3679:I3679"/>
    <mergeCell ref="F3680:I3680"/>
    <mergeCell ref="F3684:I3684"/>
    <mergeCell ref="F3685:I3685"/>
    <mergeCell ref="F3663:I3663"/>
    <mergeCell ref="F3664:I3664"/>
    <mergeCell ref="F3665:I3665"/>
    <mergeCell ref="F3666:I3666"/>
    <mergeCell ref="F3667:I3667"/>
    <mergeCell ref="F3668:I3668"/>
    <mergeCell ref="F3669:I3669"/>
    <mergeCell ref="F3670:I3670"/>
    <mergeCell ref="F3671:I3671"/>
    <mergeCell ref="F3654:I3654"/>
    <mergeCell ref="F3655:I3655"/>
    <mergeCell ref="F3656:I3656"/>
    <mergeCell ref="F3657:I3657"/>
    <mergeCell ref="F3658:I3658"/>
    <mergeCell ref="F3659:I3659"/>
    <mergeCell ref="F3660:I3660"/>
    <mergeCell ref="F3661:I3661"/>
    <mergeCell ref="F3662:I3662"/>
    <mergeCell ref="F3646:I3646"/>
    <mergeCell ref="F3647:I3647"/>
    <mergeCell ref="F3648:I3648"/>
    <mergeCell ref="F3649:I3649"/>
    <mergeCell ref="F3650:I3650"/>
    <mergeCell ref="F1913:I1913"/>
    <mergeCell ref="F3651:I3651"/>
    <mergeCell ref="F3652:I3652"/>
    <mergeCell ref="F3653:I3653"/>
    <mergeCell ref="F3637:I3637"/>
    <mergeCell ref="F3638:I3638"/>
    <mergeCell ref="F3639:I3639"/>
    <mergeCell ref="F3640:I3640"/>
    <mergeCell ref="F3641:I3641"/>
    <mergeCell ref="F3642:I3642"/>
    <mergeCell ref="F3643:I3643"/>
    <mergeCell ref="F3644:I3644"/>
    <mergeCell ref="F3645:I3645"/>
    <mergeCell ref="F3628:I3628"/>
    <mergeCell ref="F3629:I3629"/>
    <mergeCell ref="F3630:I3630"/>
    <mergeCell ref="F3631:I3631"/>
    <mergeCell ref="F3632:I3632"/>
    <mergeCell ref="F3633:I3633"/>
    <mergeCell ref="F3634:I3634"/>
    <mergeCell ref="F3635:I3635"/>
    <mergeCell ref="F3636:I3636"/>
    <mergeCell ref="F3619:I3619"/>
    <mergeCell ref="F3620:I3620"/>
    <mergeCell ref="F3621:I3621"/>
    <mergeCell ref="F3622:I3622"/>
    <mergeCell ref="F3623:I3623"/>
    <mergeCell ref="F3624:I3624"/>
    <mergeCell ref="F3625:I3625"/>
    <mergeCell ref="F3626:I3626"/>
    <mergeCell ref="F3627:I3627"/>
    <mergeCell ref="F3610:I3610"/>
    <mergeCell ref="F3611:I3611"/>
    <mergeCell ref="F3612:I3612"/>
    <mergeCell ref="F3613:I3613"/>
    <mergeCell ref="F3614:I3614"/>
    <mergeCell ref="F3615:I3615"/>
    <mergeCell ref="F3616:I3616"/>
    <mergeCell ref="F3617:I3617"/>
    <mergeCell ref="F3618:I3618"/>
    <mergeCell ref="F3601:I3601"/>
    <mergeCell ref="F3602:I3602"/>
    <mergeCell ref="F3603:I3603"/>
    <mergeCell ref="F3604:I3604"/>
    <mergeCell ref="F3605:I3605"/>
    <mergeCell ref="F3606:I3606"/>
    <mergeCell ref="F3607:I3607"/>
    <mergeCell ref="F3608:I3608"/>
    <mergeCell ref="F3609:I3609"/>
    <mergeCell ref="F3592:I3592"/>
    <mergeCell ref="F3593:I3593"/>
    <mergeCell ref="F3594:I3594"/>
    <mergeCell ref="F3595:I3595"/>
    <mergeCell ref="F3596:I3596"/>
    <mergeCell ref="F3597:I3597"/>
    <mergeCell ref="F3598:I3598"/>
    <mergeCell ref="F3599:I3599"/>
    <mergeCell ref="F3600:I3600"/>
    <mergeCell ref="F3583:I3583"/>
    <mergeCell ref="F3584:I3584"/>
    <mergeCell ref="F3585:I3585"/>
    <mergeCell ref="F3586:I3586"/>
    <mergeCell ref="F3587:I3587"/>
    <mergeCell ref="F3588:I3588"/>
    <mergeCell ref="F3589:I3589"/>
    <mergeCell ref="F3590:I3590"/>
    <mergeCell ref="F3591:I3591"/>
    <mergeCell ref="F3574:I3574"/>
    <mergeCell ref="F3575:I3575"/>
    <mergeCell ref="F3576:I3576"/>
    <mergeCell ref="F3577:I3577"/>
    <mergeCell ref="F3578:I3578"/>
    <mergeCell ref="F3579:I3579"/>
    <mergeCell ref="F3580:I3580"/>
    <mergeCell ref="F3581:I3581"/>
    <mergeCell ref="F3582:I3582"/>
    <mergeCell ref="F3565:I3565"/>
    <mergeCell ref="F3566:I3566"/>
    <mergeCell ref="F3567:I3567"/>
    <mergeCell ref="F3568:I3568"/>
    <mergeCell ref="F3569:I3569"/>
    <mergeCell ref="F3570:I3570"/>
    <mergeCell ref="F3571:I3571"/>
    <mergeCell ref="F3572:I3572"/>
    <mergeCell ref="F3573:I3573"/>
    <mergeCell ref="F3556:I3556"/>
    <mergeCell ref="F3557:I3557"/>
    <mergeCell ref="F3558:I3558"/>
    <mergeCell ref="F3559:I3559"/>
    <mergeCell ref="F3560:I3560"/>
    <mergeCell ref="F3561:I3561"/>
    <mergeCell ref="F3562:I3562"/>
    <mergeCell ref="F3563:I3563"/>
    <mergeCell ref="F3564:I3564"/>
    <mergeCell ref="F3546:I3546"/>
    <mergeCell ref="F3547:I3547"/>
    <mergeCell ref="F3548:I3548"/>
    <mergeCell ref="F3549:I3549"/>
    <mergeCell ref="F3550:I3550"/>
    <mergeCell ref="F3551:I3551"/>
    <mergeCell ref="F3552:I3552"/>
    <mergeCell ref="F3554:I3554"/>
    <mergeCell ref="F3555:I3555"/>
    <mergeCell ref="F3537:I3537"/>
    <mergeCell ref="F3538:I3538"/>
    <mergeCell ref="F3539:I3539"/>
    <mergeCell ref="F3540:I3540"/>
    <mergeCell ref="F3541:I3541"/>
    <mergeCell ref="F3542:I3542"/>
    <mergeCell ref="F3543:I3543"/>
    <mergeCell ref="F3544:I3544"/>
    <mergeCell ref="F3545:I3545"/>
    <mergeCell ref="F3553:I3553"/>
    <mergeCell ref="F3527:I3527"/>
    <mergeCell ref="F3528:I3528"/>
    <mergeCell ref="F3529:I3529"/>
    <mergeCell ref="F3530:I3530"/>
    <mergeCell ref="F3531:I3531"/>
    <mergeCell ref="F3532:I3532"/>
    <mergeCell ref="F3533:I3533"/>
    <mergeCell ref="F3534:I3534"/>
    <mergeCell ref="F3536:I3536"/>
    <mergeCell ref="F3516:I3516"/>
    <mergeCell ref="F3517:I3517"/>
    <mergeCell ref="F3518:I3518"/>
    <mergeCell ref="F3520:I3520"/>
    <mergeCell ref="F3521:I3521"/>
    <mergeCell ref="F3522:I3522"/>
    <mergeCell ref="F3523:I3523"/>
    <mergeCell ref="F3524:I3524"/>
    <mergeCell ref="F3526:I3526"/>
    <mergeCell ref="F3519:I3519"/>
    <mergeCell ref="F3525:I3525"/>
    <mergeCell ref="F3535:I3535"/>
    <mergeCell ref="F3506:I3506"/>
    <mergeCell ref="F3507:I3507"/>
    <mergeCell ref="F3508:I3508"/>
    <mergeCell ref="F3509:I3509"/>
    <mergeCell ref="F3510:I3510"/>
    <mergeCell ref="F3511:I3511"/>
    <mergeCell ref="F3512:I3512"/>
    <mergeCell ref="F3514:I3514"/>
    <mergeCell ref="F3515:I3515"/>
    <mergeCell ref="F3497:I3497"/>
    <mergeCell ref="F3498:I3498"/>
    <mergeCell ref="F3499:I3499"/>
    <mergeCell ref="F3500:I3500"/>
    <mergeCell ref="F3501:I3501"/>
    <mergeCell ref="F3502:I3502"/>
    <mergeCell ref="F3503:I3503"/>
    <mergeCell ref="F3504:I3504"/>
    <mergeCell ref="F3505:I3505"/>
    <mergeCell ref="F3513:I3513"/>
    <mergeCell ref="F3488:I3488"/>
    <mergeCell ref="F3489:I3489"/>
    <mergeCell ref="F3490:I3490"/>
    <mergeCell ref="F3491:I3491"/>
    <mergeCell ref="F3492:I3492"/>
    <mergeCell ref="F3493:I3493"/>
    <mergeCell ref="F3494:I3494"/>
    <mergeCell ref="F3495:I3495"/>
    <mergeCell ref="F3496:I3496"/>
    <mergeCell ref="F3479:I3479"/>
    <mergeCell ref="F3480:I3480"/>
    <mergeCell ref="F3481:I3481"/>
    <mergeCell ref="F3482:I3482"/>
    <mergeCell ref="F3483:I3483"/>
    <mergeCell ref="F3484:I3484"/>
    <mergeCell ref="F3485:I3485"/>
    <mergeCell ref="F3486:I3486"/>
    <mergeCell ref="F3487:I3487"/>
    <mergeCell ref="F3469:I3469"/>
    <mergeCell ref="F3470:I3470"/>
    <mergeCell ref="F3471:I3471"/>
    <mergeCell ref="F3472:I3472"/>
    <mergeCell ref="F3473:I3473"/>
    <mergeCell ref="F3475:I3475"/>
    <mergeCell ref="F3476:I3476"/>
    <mergeCell ref="F3477:I3477"/>
    <mergeCell ref="F3478:I3478"/>
    <mergeCell ref="F3474:I3474"/>
    <mergeCell ref="F3460:I3460"/>
    <mergeCell ref="F3461:I3461"/>
    <mergeCell ref="F3462:I3462"/>
    <mergeCell ref="F3463:I3463"/>
    <mergeCell ref="F3464:I3464"/>
    <mergeCell ref="F3465:I3465"/>
    <mergeCell ref="F3466:I3466"/>
    <mergeCell ref="F3467:I3467"/>
    <mergeCell ref="F3468:I3468"/>
    <mergeCell ref="F3451:I3451"/>
    <mergeCell ref="F3452:I3452"/>
    <mergeCell ref="F3453:I3453"/>
    <mergeCell ref="F3454:I3454"/>
    <mergeCell ref="F3455:I3455"/>
    <mergeCell ref="F3456:I3456"/>
    <mergeCell ref="F3457:I3457"/>
    <mergeCell ref="F3458:I3458"/>
    <mergeCell ref="F3459:I3459"/>
    <mergeCell ref="F3442:I3442"/>
    <mergeCell ref="F3443:I3443"/>
    <mergeCell ref="F3444:I3444"/>
    <mergeCell ref="F3445:I3445"/>
    <mergeCell ref="F3446:I3446"/>
    <mergeCell ref="F3447:I3447"/>
    <mergeCell ref="F3448:I3448"/>
    <mergeCell ref="F3449:I3449"/>
    <mergeCell ref="F3450:I3450"/>
    <mergeCell ref="F3433:I3433"/>
    <mergeCell ref="F3434:I3434"/>
    <mergeCell ref="F3435:I3435"/>
    <mergeCell ref="F3436:I3436"/>
    <mergeCell ref="F3437:I3437"/>
    <mergeCell ref="F3438:I3438"/>
    <mergeCell ref="F3439:I3439"/>
    <mergeCell ref="F3440:I3440"/>
    <mergeCell ref="F3441:I3441"/>
    <mergeCell ref="F3424:I3424"/>
    <mergeCell ref="F3425:I3425"/>
    <mergeCell ref="F3426:I3426"/>
    <mergeCell ref="F3427:I3427"/>
    <mergeCell ref="F3428:I3428"/>
    <mergeCell ref="F3429:I3429"/>
    <mergeCell ref="F3430:I3430"/>
    <mergeCell ref="F3431:I3431"/>
    <mergeCell ref="F3432:I3432"/>
    <mergeCell ref="F3415:I3415"/>
    <mergeCell ref="F3416:I3416"/>
    <mergeCell ref="F3417:I3417"/>
    <mergeCell ref="F3418:I3418"/>
    <mergeCell ref="F3419:I3419"/>
    <mergeCell ref="F3420:I3420"/>
    <mergeCell ref="F3421:I3421"/>
    <mergeCell ref="F3422:I3422"/>
    <mergeCell ref="F3423:I3423"/>
    <mergeCell ref="F3406:I3406"/>
    <mergeCell ref="F3407:I3407"/>
    <mergeCell ref="F3408:I3408"/>
    <mergeCell ref="F3409:I3409"/>
    <mergeCell ref="F3410:I3410"/>
    <mergeCell ref="F3411:I3411"/>
    <mergeCell ref="F3412:I3412"/>
    <mergeCell ref="F3413:I3413"/>
    <mergeCell ref="F3414:I3414"/>
    <mergeCell ref="F3397:I3397"/>
    <mergeCell ref="F3398:I3398"/>
    <mergeCell ref="F3399:I3399"/>
    <mergeCell ref="F3400:I3400"/>
    <mergeCell ref="F3401:I3401"/>
    <mergeCell ref="F3402:I3402"/>
    <mergeCell ref="F3403:I3403"/>
    <mergeCell ref="F3404:I3404"/>
    <mergeCell ref="F3405:I3405"/>
    <mergeCell ref="F3388:I3388"/>
    <mergeCell ref="F3389:I3389"/>
    <mergeCell ref="F3390:I3390"/>
    <mergeCell ref="F3391:I3391"/>
    <mergeCell ref="F3392:I3392"/>
    <mergeCell ref="F3393:I3393"/>
    <mergeCell ref="F3394:I3394"/>
    <mergeCell ref="F3395:I3395"/>
    <mergeCell ref="F3396:I3396"/>
    <mergeCell ref="F3379:I3379"/>
    <mergeCell ref="F3380:I3380"/>
    <mergeCell ref="F3381:I3381"/>
    <mergeCell ref="F3382:I3382"/>
    <mergeCell ref="F3383:I3383"/>
    <mergeCell ref="F3384:I3384"/>
    <mergeCell ref="F3385:I3385"/>
    <mergeCell ref="F3386:I3386"/>
    <mergeCell ref="F3387:I3387"/>
    <mergeCell ref="F3370:I3370"/>
    <mergeCell ref="F3371:I3371"/>
    <mergeCell ref="F3372:I3372"/>
    <mergeCell ref="F3373:I3373"/>
    <mergeCell ref="F3374:I3374"/>
    <mergeCell ref="F3375:I3375"/>
    <mergeCell ref="F3376:I3376"/>
    <mergeCell ref="F3377:I3377"/>
    <mergeCell ref="F3378:I3378"/>
    <mergeCell ref="F3361:I3361"/>
    <mergeCell ref="F3362:I3362"/>
    <mergeCell ref="F3363:I3363"/>
    <mergeCell ref="F3364:I3364"/>
    <mergeCell ref="F3365:I3365"/>
    <mergeCell ref="F3366:I3366"/>
    <mergeCell ref="F3367:I3367"/>
    <mergeCell ref="F3368:I3368"/>
    <mergeCell ref="F3369:I3369"/>
    <mergeCell ref="F3351:I3351"/>
    <mergeCell ref="F3352:I3352"/>
    <mergeCell ref="F3353:I3353"/>
    <mergeCell ref="F3354:I3354"/>
    <mergeCell ref="F3355:I3355"/>
    <mergeCell ref="F3356:I3356"/>
    <mergeCell ref="F3357:I3357"/>
    <mergeCell ref="F3358:I3358"/>
    <mergeCell ref="F3359:I3359"/>
    <mergeCell ref="F3360:I3360"/>
    <mergeCell ref="F3341:I3341"/>
    <mergeCell ref="F3343:I3343"/>
    <mergeCell ref="F3344:I3344"/>
    <mergeCell ref="F3345:I3345"/>
    <mergeCell ref="F3346:I3346"/>
    <mergeCell ref="F3347:I3347"/>
    <mergeCell ref="F3348:I3348"/>
    <mergeCell ref="F3349:I3349"/>
    <mergeCell ref="F3350:I3350"/>
    <mergeCell ref="F3331:I3331"/>
    <mergeCell ref="F3333:I3333"/>
    <mergeCell ref="F3334:I3334"/>
    <mergeCell ref="F3335:I3335"/>
    <mergeCell ref="F3336:I3336"/>
    <mergeCell ref="F3337:I3337"/>
    <mergeCell ref="F3338:I3338"/>
    <mergeCell ref="F3339:I3339"/>
    <mergeCell ref="F3340:I3340"/>
    <mergeCell ref="F3332:I3332"/>
    <mergeCell ref="F3342:I3342"/>
    <mergeCell ref="F3321:I3321"/>
    <mergeCell ref="F3322:I3322"/>
    <mergeCell ref="F3323:I3323"/>
    <mergeCell ref="F3324:I3324"/>
    <mergeCell ref="F3325:I3325"/>
    <mergeCell ref="F3327:I3327"/>
    <mergeCell ref="F3328:I3328"/>
    <mergeCell ref="F3329:I3329"/>
    <mergeCell ref="F3330:I3330"/>
    <mergeCell ref="F3311:I3311"/>
    <mergeCell ref="F3312:I3312"/>
    <mergeCell ref="F3313:I3313"/>
    <mergeCell ref="F3314:I3314"/>
    <mergeCell ref="F3315:I3315"/>
    <mergeCell ref="F3316:I3316"/>
    <mergeCell ref="F3317:I3317"/>
    <mergeCell ref="F3318:I3318"/>
    <mergeCell ref="F3319:I3319"/>
    <mergeCell ref="F3320:I3320"/>
    <mergeCell ref="F3326:I3326"/>
    <mergeCell ref="F3302:I3302"/>
    <mergeCell ref="F3303:I3303"/>
    <mergeCell ref="F3304:I3304"/>
    <mergeCell ref="F3305:I3305"/>
    <mergeCell ref="F3306:I3306"/>
    <mergeCell ref="F3307:I3307"/>
    <mergeCell ref="F3308:I3308"/>
    <mergeCell ref="F3309:I3309"/>
    <mergeCell ref="F3310:I3310"/>
    <mergeCell ref="F3293:I3293"/>
    <mergeCell ref="F3294:I3294"/>
    <mergeCell ref="F3295:I3295"/>
    <mergeCell ref="F3296:I3296"/>
    <mergeCell ref="F3297:I3297"/>
    <mergeCell ref="F3298:I3298"/>
    <mergeCell ref="F3299:I3299"/>
    <mergeCell ref="F3300:I3300"/>
    <mergeCell ref="F3301:I3301"/>
    <mergeCell ref="F3284:I3284"/>
    <mergeCell ref="F3285:I3285"/>
    <mergeCell ref="F3286:I3286"/>
    <mergeCell ref="F3287:I3287"/>
    <mergeCell ref="F3288:I3288"/>
    <mergeCell ref="F3289:I3289"/>
    <mergeCell ref="F3290:I3290"/>
    <mergeCell ref="F3291:I3291"/>
    <mergeCell ref="F3292:I3292"/>
    <mergeCell ref="F3274:I3274"/>
    <mergeCell ref="F3275:I3275"/>
    <mergeCell ref="F3276:I3276"/>
    <mergeCell ref="F3277:I3277"/>
    <mergeCell ref="F3278:I3278"/>
    <mergeCell ref="F3279:I3279"/>
    <mergeCell ref="F3280:I3280"/>
    <mergeCell ref="F3282:I3282"/>
    <mergeCell ref="F3283:I3283"/>
    <mergeCell ref="F3265:I3265"/>
    <mergeCell ref="F3266:I3266"/>
    <mergeCell ref="F3267:I3267"/>
    <mergeCell ref="F3268:I3268"/>
    <mergeCell ref="F3269:I3269"/>
    <mergeCell ref="F3270:I3270"/>
    <mergeCell ref="F3271:I3271"/>
    <mergeCell ref="F3272:I3272"/>
    <mergeCell ref="F3273:I3273"/>
    <mergeCell ref="F3281:I3281"/>
    <mergeCell ref="F3256:I3256"/>
    <mergeCell ref="F3257:I3257"/>
    <mergeCell ref="F3258:I3258"/>
    <mergeCell ref="F3259:I3259"/>
    <mergeCell ref="F3260:I3260"/>
    <mergeCell ref="F3261:I3261"/>
    <mergeCell ref="F3262:I3262"/>
    <mergeCell ref="F3263:I3263"/>
    <mergeCell ref="F3264:I3264"/>
    <mergeCell ref="F3247:I3247"/>
    <mergeCell ref="F3248:I3248"/>
    <mergeCell ref="F3249:I3249"/>
    <mergeCell ref="F3250:I3250"/>
    <mergeCell ref="F3251:I3251"/>
    <mergeCell ref="F3252:I3252"/>
    <mergeCell ref="F3253:I3253"/>
    <mergeCell ref="F3254:I3254"/>
    <mergeCell ref="F3255:I3255"/>
    <mergeCell ref="F3238:I3238"/>
    <mergeCell ref="F3239:I3239"/>
    <mergeCell ref="F3240:I3240"/>
    <mergeCell ref="F3241:I3241"/>
    <mergeCell ref="F3242:I3242"/>
    <mergeCell ref="F3243:I3243"/>
    <mergeCell ref="F3244:I3244"/>
    <mergeCell ref="F3245:I3245"/>
    <mergeCell ref="F3246:I3246"/>
    <mergeCell ref="F3229:I3229"/>
    <mergeCell ref="F3230:I3230"/>
    <mergeCell ref="F3231:I3231"/>
    <mergeCell ref="F3232:I3232"/>
    <mergeCell ref="F3233:I3233"/>
    <mergeCell ref="F3234:I3234"/>
    <mergeCell ref="F3235:I3235"/>
    <mergeCell ref="F3236:I3236"/>
    <mergeCell ref="F3237:I3237"/>
    <mergeCell ref="F3220:I3220"/>
    <mergeCell ref="F3221:I3221"/>
    <mergeCell ref="F3222:I3222"/>
    <mergeCell ref="F3223:I3223"/>
    <mergeCell ref="F3224:I3224"/>
    <mergeCell ref="F3225:I3225"/>
    <mergeCell ref="F3226:I3226"/>
    <mergeCell ref="F3227:I3227"/>
    <mergeCell ref="F3228:I3228"/>
    <mergeCell ref="F3211:I3211"/>
    <mergeCell ref="F3212:I3212"/>
    <mergeCell ref="F3213:I3213"/>
    <mergeCell ref="F3214:I3214"/>
    <mergeCell ref="F3215:I3215"/>
    <mergeCell ref="F3216:I3216"/>
    <mergeCell ref="F3217:I3217"/>
    <mergeCell ref="F3218:I3218"/>
    <mergeCell ref="F3219:I3219"/>
    <mergeCell ref="F3202:I3202"/>
    <mergeCell ref="F3203:I3203"/>
    <mergeCell ref="F3204:I3204"/>
    <mergeCell ref="F3205:I3205"/>
    <mergeCell ref="F3206:I3206"/>
    <mergeCell ref="F3207:I3207"/>
    <mergeCell ref="F3208:I3208"/>
    <mergeCell ref="F3209:I3209"/>
    <mergeCell ref="F3210:I3210"/>
    <mergeCell ref="F3193:I3193"/>
    <mergeCell ref="F3194:I3194"/>
    <mergeCell ref="F3195:I3195"/>
    <mergeCell ref="F3196:I3196"/>
    <mergeCell ref="F3197:I3197"/>
    <mergeCell ref="F3198:I3198"/>
    <mergeCell ref="F3199:I3199"/>
    <mergeCell ref="F3200:I3200"/>
    <mergeCell ref="F3201:I3201"/>
    <mergeCell ref="F3184:I3184"/>
    <mergeCell ref="F3185:I3185"/>
    <mergeCell ref="F3186:I3186"/>
    <mergeCell ref="F3187:I3187"/>
    <mergeCell ref="F3188:I3188"/>
    <mergeCell ref="F3189:I3189"/>
    <mergeCell ref="F3190:I3190"/>
    <mergeCell ref="F3191:I3191"/>
    <mergeCell ref="F3192:I3192"/>
    <mergeCell ref="F3175:I3175"/>
    <mergeCell ref="F3176:I3176"/>
    <mergeCell ref="F3177:I3177"/>
    <mergeCell ref="F3178:I3178"/>
    <mergeCell ref="F3179:I3179"/>
    <mergeCell ref="F3180:I3180"/>
    <mergeCell ref="F3181:I3181"/>
    <mergeCell ref="F3182:I3182"/>
    <mergeCell ref="F3183:I3183"/>
    <mergeCell ref="F3165:I3165"/>
    <mergeCell ref="F3166:I3166"/>
    <mergeCell ref="F3168:I3168"/>
    <mergeCell ref="F3169:I3169"/>
    <mergeCell ref="F3170:I3170"/>
    <mergeCell ref="F3171:I3171"/>
    <mergeCell ref="F3172:I3172"/>
    <mergeCell ref="F3173:I3173"/>
    <mergeCell ref="F3174:I3174"/>
    <mergeCell ref="F3167:I3167"/>
    <mergeCell ref="F3156:I3156"/>
    <mergeCell ref="F3157:I3157"/>
    <mergeCell ref="F3158:I3158"/>
    <mergeCell ref="F3159:I3159"/>
    <mergeCell ref="F3160:I3160"/>
    <mergeCell ref="F3161:I3161"/>
    <mergeCell ref="F3162:I3162"/>
    <mergeCell ref="F3163:I3163"/>
    <mergeCell ref="F3164:I3164"/>
    <mergeCell ref="F3146:I3146"/>
    <mergeCell ref="F3147:I3147"/>
    <mergeCell ref="F3148:I3148"/>
    <mergeCell ref="F3150:I3150"/>
    <mergeCell ref="F3151:I3151"/>
    <mergeCell ref="F3152:I3152"/>
    <mergeCell ref="F3153:I3153"/>
    <mergeCell ref="F3154:I3154"/>
    <mergeCell ref="F3155:I3155"/>
    <mergeCell ref="F3149:I3149"/>
    <mergeCell ref="F3136:I3136"/>
    <mergeCell ref="F3137:I3137"/>
    <mergeCell ref="F3138:I3138"/>
    <mergeCell ref="F3140:I3140"/>
    <mergeCell ref="F3141:I3141"/>
    <mergeCell ref="F3142:I3142"/>
    <mergeCell ref="F3143:I3143"/>
    <mergeCell ref="F3144:I3144"/>
    <mergeCell ref="F3145:I3145"/>
    <mergeCell ref="F3125:I3125"/>
    <mergeCell ref="F3126:I3126"/>
    <mergeCell ref="F3128:I3128"/>
    <mergeCell ref="F3129:I3129"/>
    <mergeCell ref="F3130:I3130"/>
    <mergeCell ref="F3131:I3131"/>
    <mergeCell ref="F3132:I3132"/>
    <mergeCell ref="F3134:I3134"/>
    <mergeCell ref="F3135:I3135"/>
    <mergeCell ref="F3127:I3127"/>
    <mergeCell ref="F3133:I3133"/>
    <mergeCell ref="F3139:I3139"/>
    <mergeCell ref="F3124:I3124"/>
    <mergeCell ref="F3107:I3107"/>
    <mergeCell ref="F3108:I3108"/>
    <mergeCell ref="F3109:I3109"/>
    <mergeCell ref="F3110:I3110"/>
    <mergeCell ref="F3111:I3111"/>
    <mergeCell ref="F3112:I3112"/>
    <mergeCell ref="F3114:I3114"/>
    <mergeCell ref="F3115:I3115"/>
    <mergeCell ref="F3113:I3113"/>
    <mergeCell ref="F3121:I3121"/>
    <mergeCell ref="F3122:I3122"/>
    <mergeCell ref="F3123:I3123"/>
    <mergeCell ref="F3064:I3064"/>
    <mergeCell ref="F3065:I3065"/>
    <mergeCell ref="F3066:I3066"/>
    <mergeCell ref="F3067:I3067"/>
    <mergeCell ref="F3068:I3068"/>
    <mergeCell ref="F3069:I3069"/>
    <mergeCell ref="F3070:I3070"/>
    <mergeCell ref="F3071:I3071"/>
    <mergeCell ref="F3072:I3072"/>
    <mergeCell ref="F3103:I3103"/>
    <mergeCell ref="F3104:I3104"/>
    <mergeCell ref="F3105:I3105"/>
    <mergeCell ref="F3106:I3106"/>
    <mergeCell ref="F3117:I3117"/>
    <mergeCell ref="F3118:I3118"/>
    <mergeCell ref="F3119:I3119"/>
    <mergeCell ref="F3120:I3120"/>
    <mergeCell ref="F3092:I3092"/>
    <mergeCell ref="F3093:I3093"/>
    <mergeCell ref="F3100:I3100"/>
    <mergeCell ref="F3101:I3101"/>
    <mergeCell ref="F3102:I3102"/>
    <mergeCell ref="F3089:I3089"/>
    <mergeCell ref="F3090:I3090"/>
    <mergeCell ref="F3091:I3091"/>
    <mergeCell ref="F3094:I3094"/>
    <mergeCell ref="F3095:I3095"/>
    <mergeCell ref="F3096:I3096"/>
    <mergeCell ref="F3097:I3097"/>
    <mergeCell ref="F3116:I3116"/>
    <mergeCell ref="F3084:I3084"/>
    <mergeCell ref="F3085:I3085"/>
    <mergeCell ref="F3055:I3055"/>
    <mergeCell ref="F3056:I3056"/>
    <mergeCell ref="F3057:I3057"/>
    <mergeCell ref="F3058:I3058"/>
    <mergeCell ref="F3059:I3059"/>
    <mergeCell ref="F3060:I3060"/>
    <mergeCell ref="F3061:I3061"/>
    <mergeCell ref="F3062:I3062"/>
    <mergeCell ref="F3063:I3063"/>
    <mergeCell ref="F3098:I3098"/>
    <mergeCell ref="F3099:I3099"/>
    <mergeCell ref="F3086:I3086"/>
    <mergeCell ref="F3087:I3087"/>
    <mergeCell ref="F3046:I3046"/>
    <mergeCell ref="F3047:I3047"/>
    <mergeCell ref="F3048:I3048"/>
    <mergeCell ref="F3049:I3049"/>
    <mergeCell ref="F3050:I3050"/>
    <mergeCell ref="F3051:I3051"/>
    <mergeCell ref="F3052:I3052"/>
    <mergeCell ref="F3053:I3053"/>
    <mergeCell ref="F3054:I3054"/>
    <mergeCell ref="F3037:I3037"/>
    <mergeCell ref="F3038:I3038"/>
    <mergeCell ref="F3039:I3039"/>
    <mergeCell ref="F3040:I3040"/>
    <mergeCell ref="F3041:I3041"/>
    <mergeCell ref="F3042:I3042"/>
    <mergeCell ref="F3043:I3043"/>
    <mergeCell ref="F3044:I3044"/>
    <mergeCell ref="F3045:I3045"/>
    <mergeCell ref="F3028:I3028"/>
    <mergeCell ref="F3029:I3029"/>
    <mergeCell ref="F3030:I3030"/>
    <mergeCell ref="F3031:I3031"/>
    <mergeCell ref="F3032:I3032"/>
    <mergeCell ref="F3033:I3033"/>
    <mergeCell ref="F3034:I3034"/>
    <mergeCell ref="F3035:I3035"/>
    <mergeCell ref="F3036:I3036"/>
    <mergeCell ref="F3019:I3019"/>
    <mergeCell ref="F3020:I3020"/>
    <mergeCell ref="F3021:I3021"/>
    <mergeCell ref="F3022:I3022"/>
    <mergeCell ref="F3023:I3023"/>
    <mergeCell ref="F3024:I3024"/>
    <mergeCell ref="F3025:I3025"/>
    <mergeCell ref="F3026:I3026"/>
    <mergeCell ref="F3027:I3027"/>
    <mergeCell ref="F3010:I3010"/>
    <mergeCell ref="F3011:I3011"/>
    <mergeCell ref="F3012:I3012"/>
    <mergeCell ref="F3013:I3013"/>
    <mergeCell ref="F3014:I3014"/>
    <mergeCell ref="F3015:I3015"/>
    <mergeCell ref="F3016:I3016"/>
    <mergeCell ref="F3017:I3017"/>
    <mergeCell ref="F3018:I3018"/>
    <mergeCell ref="F3001:I3001"/>
    <mergeCell ref="F3002:I3002"/>
    <mergeCell ref="F3003:I3003"/>
    <mergeCell ref="F3004:I3004"/>
    <mergeCell ref="F3005:I3005"/>
    <mergeCell ref="F3006:I3006"/>
    <mergeCell ref="F3007:I3007"/>
    <mergeCell ref="F3008:I3008"/>
    <mergeCell ref="F3009:I3009"/>
    <mergeCell ref="F2992:I2992"/>
    <mergeCell ref="F2993:I2993"/>
    <mergeCell ref="F2994:I2994"/>
    <mergeCell ref="F2995:I2995"/>
    <mergeCell ref="F2996:I2996"/>
    <mergeCell ref="F2997:I2997"/>
    <mergeCell ref="F2998:I2998"/>
    <mergeCell ref="F2999:I2999"/>
    <mergeCell ref="F3000:I3000"/>
    <mergeCell ref="F2983:I2983"/>
    <mergeCell ref="F2984:I2984"/>
    <mergeCell ref="F2985:I2985"/>
    <mergeCell ref="F2986:I2986"/>
    <mergeCell ref="F2987:I2987"/>
    <mergeCell ref="F2988:I2988"/>
    <mergeCell ref="F2989:I2989"/>
    <mergeCell ref="F2990:I2990"/>
    <mergeCell ref="F2991:I2991"/>
    <mergeCell ref="F2973:I2973"/>
    <mergeCell ref="F2975:I2975"/>
    <mergeCell ref="F2976:I2976"/>
    <mergeCell ref="F2977:I2977"/>
    <mergeCell ref="F2978:I2978"/>
    <mergeCell ref="F2979:I2979"/>
    <mergeCell ref="F2980:I2980"/>
    <mergeCell ref="F2981:I2981"/>
    <mergeCell ref="F2982:I2982"/>
    <mergeCell ref="F2964:I2964"/>
    <mergeCell ref="F2965:I2965"/>
    <mergeCell ref="F2966:I2966"/>
    <mergeCell ref="F2967:I2967"/>
    <mergeCell ref="F2968:I2968"/>
    <mergeCell ref="F2969:I2969"/>
    <mergeCell ref="F2970:I2970"/>
    <mergeCell ref="F2971:I2971"/>
    <mergeCell ref="F2972:I2972"/>
    <mergeCell ref="F2974:I2974"/>
    <mergeCell ref="F2954:I2954"/>
    <mergeCell ref="F2955:I2955"/>
    <mergeCell ref="F2957:I2957"/>
    <mergeCell ref="F2958:I2958"/>
    <mergeCell ref="F2959:I2959"/>
    <mergeCell ref="F2960:I2960"/>
    <mergeCell ref="F2961:I2961"/>
    <mergeCell ref="F2962:I2962"/>
    <mergeCell ref="F2963:I2963"/>
    <mergeCell ref="F2944:I2944"/>
    <mergeCell ref="F2945:I2945"/>
    <mergeCell ref="F2947:I2947"/>
    <mergeCell ref="F2948:I2948"/>
    <mergeCell ref="F2949:I2949"/>
    <mergeCell ref="F2950:I2950"/>
    <mergeCell ref="F2951:I2951"/>
    <mergeCell ref="F2952:I2952"/>
    <mergeCell ref="F2953:I2953"/>
    <mergeCell ref="F2946:I2946"/>
    <mergeCell ref="F2956:I2956"/>
    <mergeCell ref="F2933:I2933"/>
    <mergeCell ref="F2935:I2935"/>
    <mergeCell ref="F2936:I2936"/>
    <mergeCell ref="F2937:I2937"/>
    <mergeCell ref="F2938:I2938"/>
    <mergeCell ref="F2939:I2939"/>
    <mergeCell ref="F2941:I2941"/>
    <mergeCell ref="F2942:I2942"/>
    <mergeCell ref="F2943:I2943"/>
    <mergeCell ref="F2924:I2924"/>
    <mergeCell ref="F2925:I2925"/>
    <mergeCell ref="F2926:I2926"/>
    <mergeCell ref="F2927:I2927"/>
    <mergeCell ref="F2928:I2928"/>
    <mergeCell ref="F2929:I2929"/>
    <mergeCell ref="F2930:I2930"/>
    <mergeCell ref="F2931:I2931"/>
    <mergeCell ref="F2932:I2932"/>
    <mergeCell ref="F2934:I2934"/>
    <mergeCell ref="F2940:I2940"/>
    <mergeCell ref="F2915:I2915"/>
    <mergeCell ref="F2916:I2916"/>
    <mergeCell ref="F2917:I2917"/>
    <mergeCell ref="F2918:I2918"/>
    <mergeCell ref="F2919:I2919"/>
    <mergeCell ref="F2920:I2920"/>
    <mergeCell ref="F2921:I2921"/>
    <mergeCell ref="F2922:I2922"/>
    <mergeCell ref="F2923:I2923"/>
    <mergeCell ref="F2906:I2906"/>
    <mergeCell ref="F2907:I2907"/>
    <mergeCell ref="F2908:I2908"/>
    <mergeCell ref="F2909:I2909"/>
    <mergeCell ref="F2910:I2910"/>
    <mergeCell ref="F2911:I2911"/>
    <mergeCell ref="F2912:I2912"/>
    <mergeCell ref="F2913:I2913"/>
    <mergeCell ref="F2914:I2914"/>
    <mergeCell ref="F2897:I2897"/>
    <mergeCell ref="F2898:I2898"/>
    <mergeCell ref="F2899:I2899"/>
    <mergeCell ref="F2900:I2900"/>
    <mergeCell ref="F2901:I2901"/>
    <mergeCell ref="F2902:I2902"/>
    <mergeCell ref="F2903:I2903"/>
    <mergeCell ref="F2904:I2904"/>
    <mergeCell ref="F2905:I2905"/>
    <mergeCell ref="F2887:I2887"/>
    <mergeCell ref="F2888:I2888"/>
    <mergeCell ref="F2889:I2889"/>
    <mergeCell ref="F2890:I2890"/>
    <mergeCell ref="F2891:I2891"/>
    <mergeCell ref="F2892:I2892"/>
    <mergeCell ref="F2893:I2893"/>
    <mergeCell ref="F2894:I2894"/>
    <mergeCell ref="F2896:I2896"/>
    <mergeCell ref="F2895:I2895"/>
    <mergeCell ref="F2878:I2878"/>
    <mergeCell ref="F2879:I2879"/>
    <mergeCell ref="F2880:I2880"/>
    <mergeCell ref="F2881:I2881"/>
    <mergeCell ref="F2882:I2882"/>
    <mergeCell ref="F2883:I2883"/>
    <mergeCell ref="F2884:I2884"/>
    <mergeCell ref="F2885:I2885"/>
    <mergeCell ref="F2886:I2886"/>
    <mergeCell ref="F2869:I2869"/>
    <mergeCell ref="F2870:I2870"/>
    <mergeCell ref="F2871:I2871"/>
    <mergeCell ref="F2872:I2872"/>
    <mergeCell ref="F2873:I2873"/>
    <mergeCell ref="F2874:I2874"/>
    <mergeCell ref="F2875:I2875"/>
    <mergeCell ref="F2876:I2876"/>
    <mergeCell ref="F2877:I2877"/>
    <mergeCell ref="F2860:I2860"/>
    <mergeCell ref="F2861:I2861"/>
    <mergeCell ref="F2862:I2862"/>
    <mergeCell ref="F2863:I2863"/>
    <mergeCell ref="F2864:I2864"/>
    <mergeCell ref="F2865:I2865"/>
    <mergeCell ref="F2866:I2866"/>
    <mergeCell ref="F2867:I2867"/>
    <mergeCell ref="F2868:I2868"/>
    <mergeCell ref="F2851:I2851"/>
    <mergeCell ref="F2852:I2852"/>
    <mergeCell ref="F2853:I2853"/>
    <mergeCell ref="F2854:I2854"/>
    <mergeCell ref="F2855:I2855"/>
    <mergeCell ref="F2856:I2856"/>
    <mergeCell ref="F2857:I2857"/>
    <mergeCell ref="F2858:I2858"/>
    <mergeCell ref="F2859:I2859"/>
    <mergeCell ref="F2842:I2842"/>
    <mergeCell ref="F2843:I2843"/>
    <mergeCell ref="F2844:I2844"/>
    <mergeCell ref="F2845:I2845"/>
    <mergeCell ref="F2846:I2846"/>
    <mergeCell ref="F2847:I2847"/>
    <mergeCell ref="F2848:I2848"/>
    <mergeCell ref="F2849:I2849"/>
    <mergeCell ref="F2850:I2850"/>
    <mergeCell ref="F2833:I2833"/>
    <mergeCell ref="F2834:I2834"/>
    <mergeCell ref="F2835:I2835"/>
    <mergeCell ref="F2836:I2836"/>
    <mergeCell ref="F2837:I2837"/>
    <mergeCell ref="F2838:I2838"/>
    <mergeCell ref="F2839:I2839"/>
    <mergeCell ref="F2840:I2840"/>
    <mergeCell ref="F2841:I2841"/>
    <mergeCell ref="F2824:I2824"/>
    <mergeCell ref="F2825:I2825"/>
    <mergeCell ref="F2826:I2826"/>
    <mergeCell ref="F2827:I2827"/>
    <mergeCell ref="F2828:I2828"/>
    <mergeCell ref="F2829:I2829"/>
    <mergeCell ref="F2830:I2830"/>
    <mergeCell ref="F2831:I2831"/>
    <mergeCell ref="F2832:I2832"/>
    <mergeCell ref="F2815:I2815"/>
    <mergeCell ref="F2816:I2816"/>
    <mergeCell ref="F2817:I2817"/>
    <mergeCell ref="F2818:I2818"/>
    <mergeCell ref="F2819:I2819"/>
    <mergeCell ref="F2820:I2820"/>
    <mergeCell ref="F2821:I2821"/>
    <mergeCell ref="F2822:I2822"/>
    <mergeCell ref="F2823:I2823"/>
    <mergeCell ref="F2806:I2806"/>
    <mergeCell ref="F2807:I2807"/>
    <mergeCell ref="F2808:I2808"/>
    <mergeCell ref="F2809:I2809"/>
    <mergeCell ref="F2810:I2810"/>
    <mergeCell ref="F2811:I2811"/>
    <mergeCell ref="F2812:I2812"/>
    <mergeCell ref="F2813:I2813"/>
    <mergeCell ref="F2814:I2814"/>
    <mergeCell ref="F2797:I2797"/>
    <mergeCell ref="F2798:I2798"/>
    <mergeCell ref="F2799:I2799"/>
    <mergeCell ref="F2800:I2800"/>
    <mergeCell ref="F2801:I2801"/>
    <mergeCell ref="F2802:I2802"/>
    <mergeCell ref="F2803:I2803"/>
    <mergeCell ref="F2804:I2804"/>
    <mergeCell ref="F2805:I2805"/>
    <mergeCell ref="F2788:I2788"/>
    <mergeCell ref="F2789:I2789"/>
    <mergeCell ref="F2790:I2790"/>
    <mergeCell ref="F2791:I2791"/>
    <mergeCell ref="F2792:I2792"/>
    <mergeCell ref="F2793:I2793"/>
    <mergeCell ref="F2794:I2794"/>
    <mergeCell ref="F2795:I2795"/>
    <mergeCell ref="F2796:I2796"/>
    <mergeCell ref="F2778:I2778"/>
    <mergeCell ref="F2779:I2779"/>
    <mergeCell ref="F2780:I2780"/>
    <mergeCell ref="F2782:I2782"/>
    <mergeCell ref="F2783:I2783"/>
    <mergeCell ref="F2784:I2784"/>
    <mergeCell ref="F2785:I2785"/>
    <mergeCell ref="F2786:I2786"/>
    <mergeCell ref="F2787:I2787"/>
    <mergeCell ref="F2781:I2781"/>
    <mergeCell ref="F2769:I2769"/>
    <mergeCell ref="F2770:I2770"/>
    <mergeCell ref="F2771:I2771"/>
    <mergeCell ref="F2772:I2772"/>
    <mergeCell ref="F2773:I2773"/>
    <mergeCell ref="F2774:I2774"/>
    <mergeCell ref="F2775:I2775"/>
    <mergeCell ref="F2776:I2776"/>
    <mergeCell ref="F2777:I2777"/>
    <mergeCell ref="F2753:I2753"/>
    <mergeCell ref="F2747:I2747"/>
    <mergeCell ref="F2741:I2741"/>
    <mergeCell ref="F2706:I2706"/>
    <mergeCell ref="F2707:I2707"/>
    <mergeCell ref="F2708:I2708"/>
    <mergeCell ref="F2709:I2709"/>
    <mergeCell ref="F2710:I2710"/>
    <mergeCell ref="F2759:I2759"/>
    <mergeCell ref="F2760:I2760"/>
    <mergeCell ref="F2761:I2761"/>
    <mergeCell ref="F2762:I2762"/>
    <mergeCell ref="F2764:I2764"/>
    <mergeCell ref="F2765:I2765"/>
    <mergeCell ref="F2766:I2766"/>
    <mergeCell ref="F2767:I2767"/>
    <mergeCell ref="F2768:I2768"/>
    <mergeCell ref="F2763:I2763"/>
    <mergeCell ref="F2749:I2749"/>
    <mergeCell ref="F2750:I2750"/>
    <mergeCell ref="F2751:I2751"/>
    <mergeCell ref="F2752:I2752"/>
    <mergeCell ref="F2754:I2754"/>
    <mergeCell ref="F2755:I2755"/>
    <mergeCell ref="F2756:I2756"/>
    <mergeCell ref="F2757:I2757"/>
    <mergeCell ref="F2758:I2758"/>
    <mergeCell ref="F2732:I2732"/>
    <mergeCell ref="F2733:I2733"/>
    <mergeCell ref="F2734:I2734"/>
    <mergeCell ref="F2735:I2735"/>
    <mergeCell ref="F2736:I2736"/>
    <mergeCell ref="F2738:I2738"/>
    <mergeCell ref="F2739:I2739"/>
    <mergeCell ref="F2740:I2740"/>
    <mergeCell ref="F2742:I2742"/>
    <mergeCell ref="F2743:I2743"/>
    <mergeCell ref="F2744:I2744"/>
    <mergeCell ref="F2745:I2745"/>
    <mergeCell ref="F2746:I2746"/>
    <mergeCell ref="F2748:I2748"/>
    <mergeCell ref="F2737:I2737"/>
    <mergeCell ref="F2720:I2720"/>
    <mergeCell ref="F2721:I2721"/>
    <mergeCell ref="F2722:I2722"/>
    <mergeCell ref="F2723:I2723"/>
    <mergeCell ref="F2724:I2724"/>
    <mergeCell ref="F2725:I2725"/>
    <mergeCell ref="F2705:I2705"/>
    <mergeCell ref="F2729:I2729"/>
    <mergeCell ref="F2730:I2730"/>
    <mergeCell ref="F2726:I2726"/>
    <mergeCell ref="F2727:I2727"/>
    <mergeCell ref="F2728:I2728"/>
    <mergeCell ref="F2711:I2711"/>
    <mergeCell ref="F2712:I2712"/>
    <mergeCell ref="F2713:I2713"/>
    <mergeCell ref="F2714:I2714"/>
    <mergeCell ref="F2715:I2715"/>
    <mergeCell ref="F2716:I2716"/>
    <mergeCell ref="F2717:I2717"/>
    <mergeCell ref="F2718:I2718"/>
    <mergeCell ref="F2719:I2719"/>
    <mergeCell ref="F2654:I2654"/>
    <mergeCell ref="F2655:I2655"/>
    <mergeCell ref="F2702:I2702"/>
    <mergeCell ref="F2692:I2692"/>
    <mergeCell ref="F2693:I2693"/>
    <mergeCell ref="F2694:I2694"/>
    <mergeCell ref="F2695:I2695"/>
    <mergeCell ref="F2696:I2696"/>
    <mergeCell ref="F2697:I2697"/>
    <mergeCell ref="F2698:I2698"/>
    <mergeCell ref="F2699:I2699"/>
    <mergeCell ref="F2700:I2700"/>
    <mergeCell ref="F2683:I2683"/>
    <mergeCell ref="F2681:I2681"/>
    <mergeCell ref="F2682:I2682"/>
    <mergeCell ref="F2665:I2665"/>
    <mergeCell ref="F2666:I2666"/>
    <mergeCell ref="F2667:I2667"/>
    <mergeCell ref="F2668:I2668"/>
    <mergeCell ref="F2669:I2669"/>
    <mergeCell ref="F2701:I2701"/>
    <mergeCell ref="F2688:I2688"/>
    <mergeCell ref="F2689:I2689"/>
    <mergeCell ref="F2690:I2690"/>
    <mergeCell ref="F2691:I2691"/>
    <mergeCell ref="F2638:I2638"/>
    <mergeCell ref="F2639:I2639"/>
    <mergeCell ref="F2640:I2640"/>
    <mergeCell ref="F2641:I2641"/>
    <mergeCell ref="F2642:I2642"/>
    <mergeCell ref="F2643:I2643"/>
    <mergeCell ref="F2644:I2644"/>
    <mergeCell ref="F2645:I2645"/>
    <mergeCell ref="F2646:I2646"/>
    <mergeCell ref="F2629:I2629"/>
    <mergeCell ref="F2630:I2630"/>
    <mergeCell ref="F2631:I2631"/>
    <mergeCell ref="F2632:I2632"/>
    <mergeCell ref="F2633:I2633"/>
    <mergeCell ref="F2634:I2634"/>
    <mergeCell ref="F2635:I2635"/>
    <mergeCell ref="F2636:I2636"/>
    <mergeCell ref="F2637:I2637"/>
    <mergeCell ref="F2620:I2620"/>
    <mergeCell ref="F2621:I2621"/>
    <mergeCell ref="F2622:I2622"/>
    <mergeCell ref="F2623:I2623"/>
    <mergeCell ref="F2624:I2624"/>
    <mergeCell ref="F2625:I2625"/>
    <mergeCell ref="F2626:I2626"/>
    <mergeCell ref="F2627:I2627"/>
    <mergeCell ref="F2628:I2628"/>
    <mergeCell ref="F2611:I2611"/>
    <mergeCell ref="F2612:I2612"/>
    <mergeCell ref="F2613:I2613"/>
    <mergeCell ref="F2614:I2614"/>
    <mergeCell ref="F2615:I2615"/>
    <mergeCell ref="F2616:I2616"/>
    <mergeCell ref="F2617:I2617"/>
    <mergeCell ref="F2618:I2618"/>
    <mergeCell ref="F2619:I2619"/>
    <mergeCell ref="F2602:I2602"/>
    <mergeCell ref="F2603:I2603"/>
    <mergeCell ref="F2604:I2604"/>
    <mergeCell ref="F2605:I2605"/>
    <mergeCell ref="F2606:I2606"/>
    <mergeCell ref="F2607:I2607"/>
    <mergeCell ref="F2608:I2608"/>
    <mergeCell ref="F2609:I2609"/>
    <mergeCell ref="F2610:I2610"/>
    <mergeCell ref="F2593:I2593"/>
    <mergeCell ref="F2594:I2594"/>
    <mergeCell ref="F2595:I2595"/>
    <mergeCell ref="F2596:I2596"/>
    <mergeCell ref="F2597:I2597"/>
    <mergeCell ref="F2598:I2598"/>
    <mergeCell ref="F2599:I2599"/>
    <mergeCell ref="F2600:I2600"/>
    <mergeCell ref="F2601:I2601"/>
    <mergeCell ref="F2583:I2583"/>
    <mergeCell ref="F2584:I2584"/>
    <mergeCell ref="F2585:I2585"/>
    <mergeCell ref="F2586:I2586"/>
    <mergeCell ref="F2587:I2587"/>
    <mergeCell ref="F2589:I2589"/>
    <mergeCell ref="F2590:I2590"/>
    <mergeCell ref="F2591:I2591"/>
    <mergeCell ref="F2592:I2592"/>
    <mergeCell ref="F2574:I2574"/>
    <mergeCell ref="F2575:I2575"/>
    <mergeCell ref="F2576:I2576"/>
    <mergeCell ref="F2577:I2577"/>
    <mergeCell ref="F2578:I2578"/>
    <mergeCell ref="F2579:I2579"/>
    <mergeCell ref="F2580:I2580"/>
    <mergeCell ref="F2581:I2581"/>
    <mergeCell ref="F2582:I2582"/>
    <mergeCell ref="F2564:I2564"/>
    <mergeCell ref="F2565:I2565"/>
    <mergeCell ref="F2566:I2566"/>
    <mergeCell ref="F2567:I2567"/>
    <mergeCell ref="F2568:I2568"/>
    <mergeCell ref="F2569:I2569"/>
    <mergeCell ref="F2571:I2571"/>
    <mergeCell ref="F2572:I2572"/>
    <mergeCell ref="F2573:I2573"/>
    <mergeCell ref="F2553:I2553"/>
    <mergeCell ref="F2555:I2555"/>
    <mergeCell ref="F2556:I2556"/>
    <mergeCell ref="F2557:I2557"/>
    <mergeCell ref="F2558:I2558"/>
    <mergeCell ref="F2559:I2559"/>
    <mergeCell ref="F2561:I2561"/>
    <mergeCell ref="F2562:I2562"/>
    <mergeCell ref="F2563:I2563"/>
    <mergeCell ref="F2543:I2543"/>
    <mergeCell ref="F2544:I2544"/>
    <mergeCell ref="F2545:I2545"/>
    <mergeCell ref="F2546:I2546"/>
    <mergeCell ref="F2547:I2547"/>
    <mergeCell ref="F2549:I2549"/>
    <mergeCell ref="F2550:I2550"/>
    <mergeCell ref="F2551:I2551"/>
    <mergeCell ref="F2552:I2552"/>
    <mergeCell ref="F2534:I2534"/>
    <mergeCell ref="F2535:I2535"/>
    <mergeCell ref="F2536:I2536"/>
    <mergeCell ref="F2537:I2537"/>
    <mergeCell ref="F2538:I2538"/>
    <mergeCell ref="F2539:I2539"/>
    <mergeCell ref="F2540:I2540"/>
    <mergeCell ref="F2541:I2541"/>
    <mergeCell ref="F2542:I2542"/>
    <mergeCell ref="F2525:I2525"/>
    <mergeCell ref="F2526:I2526"/>
    <mergeCell ref="F2527:I2527"/>
    <mergeCell ref="F2528:I2528"/>
    <mergeCell ref="F2529:I2529"/>
    <mergeCell ref="F2530:I2530"/>
    <mergeCell ref="F2531:I2531"/>
    <mergeCell ref="F2532:I2532"/>
    <mergeCell ref="F2533:I2533"/>
    <mergeCell ref="F2516:I2516"/>
    <mergeCell ref="F2517:I2517"/>
    <mergeCell ref="F2518:I2518"/>
    <mergeCell ref="F2519:I2519"/>
    <mergeCell ref="F2520:I2520"/>
    <mergeCell ref="F2521:I2521"/>
    <mergeCell ref="F2522:I2522"/>
    <mergeCell ref="F2523:I2523"/>
    <mergeCell ref="F2524:I2524"/>
    <mergeCell ref="F2506:I2506"/>
    <mergeCell ref="F2507:I2507"/>
    <mergeCell ref="F2508:I2508"/>
    <mergeCell ref="F2510:I2510"/>
    <mergeCell ref="F2511:I2511"/>
    <mergeCell ref="F2512:I2512"/>
    <mergeCell ref="F2513:I2513"/>
    <mergeCell ref="F2514:I2514"/>
    <mergeCell ref="F2515:I2515"/>
    <mergeCell ref="F2497:I2497"/>
    <mergeCell ref="F2498:I2498"/>
    <mergeCell ref="F2499:I2499"/>
    <mergeCell ref="F2500:I2500"/>
    <mergeCell ref="F2501:I2501"/>
    <mergeCell ref="F2502:I2502"/>
    <mergeCell ref="F2503:I2503"/>
    <mergeCell ref="F2504:I2504"/>
    <mergeCell ref="F2505:I2505"/>
    <mergeCell ref="F2509:I2509"/>
    <mergeCell ref="F2488:I2488"/>
    <mergeCell ref="F2489:I2489"/>
    <mergeCell ref="F2490:I2490"/>
    <mergeCell ref="F2491:I2491"/>
    <mergeCell ref="F2492:I2492"/>
    <mergeCell ref="F2493:I2493"/>
    <mergeCell ref="F2494:I2494"/>
    <mergeCell ref="F2495:I2495"/>
    <mergeCell ref="F2496:I2496"/>
    <mergeCell ref="F2479:I2479"/>
    <mergeCell ref="F2480:I2480"/>
    <mergeCell ref="F2481:I2481"/>
    <mergeCell ref="F2482:I2482"/>
    <mergeCell ref="F2483:I2483"/>
    <mergeCell ref="F2484:I2484"/>
    <mergeCell ref="F2485:I2485"/>
    <mergeCell ref="F2486:I2486"/>
    <mergeCell ref="F2487:I2487"/>
    <mergeCell ref="F2470:I2470"/>
    <mergeCell ref="F2471:I2471"/>
    <mergeCell ref="F2472:I2472"/>
    <mergeCell ref="F2473:I2473"/>
    <mergeCell ref="F2474:I2474"/>
    <mergeCell ref="F2475:I2475"/>
    <mergeCell ref="F2476:I2476"/>
    <mergeCell ref="F2477:I2477"/>
    <mergeCell ref="F2478:I2478"/>
    <mergeCell ref="F2461:I2461"/>
    <mergeCell ref="F2462:I2462"/>
    <mergeCell ref="F2463:I2463"/>
    <mergeCell ref="F2464:I2464"/>
    <mergeCell ref="F2465:I2465"/>
    <mergeCell ref="F2466:I2466"/>
    <mergeCell ref="F2467:I2467"/>
    <mergeCell ref="F2468:I2468"/>
    <mergeCell ref="F2469:I2469"/>
    <mergeCell ref="F2452:I2452"/>
    <mergeCell ref="F2453:I2453"/>
    <mergeCell ref="F2454:I2454"/>
    <mergeCell ref="F2455:I2455"/>
    <mergeCell ref="F2456:I2456"/>
    <mergeCell ref="F2457:I2457"/>
    <mergeCell ref="F2458:I2458"/>
    <mergeCell ref="F2459:I2459"/>
    <mergeCell ref="F2460:I2460"/>
    <mergeCell ref="F2443:I2443"/>
    <mergeCell ref="F2444:I2444"/>
    <mergeCell ref="F2445:I2445"/>
    <mergeCell ref="F2446:I2446"/>
    <mergeCell ref="F2447:I2447"/>
    <mergeCell ref="F2448:I2448"/>
    <mergeCell ref="F2449:I2449"/>
    <mergeCell ref="F2450:I2450"/>
    <mergeCell ref="F2451:I2451"/>
    <mergeCell ref="F2434:I2434"/>
    <mergeCell ref="F2435:I2435"/>
    <mergeCell ref="F2436:I2436"/>
    <mergeCell ref="F2437:I2437"/>
    <mergeCell ref="F2438:I2438"/>
    <mergeCell ref="F2439:I2439"/>
    <mergeCell ref="F2440:I2440"/>
    <mergeCell ref="F2441:I2441"/>
    <mergeCell ref="F2442:I2442"/>
    <mergeCell ref="F2425:I2425"/>
    <mergeCell ref="F2426:I2426"/>
    <mergeCell ref="F2427:I2427"/>
    <mergeCell ref="F2428:I2428"/>
    <mergeCell ref="F2429:I2429"/>
    <mergeCell ref="F2430:I2430"/>
    <mergeCell ref="F2431:I2431"/>
    <mergeCell ref="F2432:I2432"/>
    <mergeCell ref="F2433:I2433"/>
    <mergeCell ref="F2416:I2416"/>
    <mergeCell ref="F2417:I2417"/>
    <mergeCell ref="F2418:I2418"/>
    <mergeCell ref="F2419:I2419"/>
    <mergeCell ref="F2420:I2420"/>
    <mergeCell ref="F2421:I2421"/>
    <mergeCell ref="F2422:I2422"/>
    <mergeCell ref="F2423:I2423"/>
    <mergeCell ref="F2424:I2424"/>
    <mergeCell ref="F2407:I2407"/>
    <mergeCell ref="F2408:I2408"/>
    <mergeCell ref="F2409:I2409"/>
    <mergeCell ref="F2410:I2410"/>
    <mergeCell ref="F2411:I2411"/>
    <mergeCell ref="F2412:I2412"/>
    <mergeCell ref="F2413:I2413"/>
    <mergeCell ref="F2414:I2414"/>
    <mergeCell ref="F2415:I2415"/>
    <mergeCell ref="F2398:I2398"/>
    <mergeCell ref="F2399:I2399"/>
    <mergeCell ref="F2400:I2400"/>
    <mergeCell ref="F2401:I2401"/>
    <mergeCell ref="F2402:I2402"/>
    <mergeCell ref="F2403:I2403"/>
    <mergeCell ref="F2404:I2404"/>
    <mergeCell ref="F2405:I2405"/>
    <mergeCell ref="F2406:I2406"/>
    <mergeCell ref="F2388:I2388"/>
    <mergeCell ref="F2389:I2389"/>
    <mergeCell ref="F2390:I2390"/>
    <mergeCell ref="F2391:I2391"/>
    <mergeCell ref="F2392:I2392"/>
    <mergeCell ref="F2393:I2393"/>
    <mergeCell ref="F2394:I2394"/>
    <mergeCell ref="F2396:I2396"/>
    <mergeCell ref="F2397:I2397"/>
    <mergeCell ref="F2379:I2379"/>
    <mergeCell ref="F2380:I2380"/>
    <mergeCell ref="F2381:I2381"/>
    <mergeCell ref="F2382:I2382"/>
    <mergeCell ref="F2383:I2383"/>
    <mergeCell ref="F2384:I2384"/>
    <mergeCell ref="F2385:I2385"/>
    <mergeCell ref="F2386:I2386"/>
    <mergeCell ref="F2387:I2387"/>
    <mergeCell ref="F2369:I2369"/>
    <mergeCell ref="F2370:I2370"/>
    <mergeCell ref="F2371:I2371"/>
    <mergeCell ref="F2372:I2372"/>
    <mergeCell ref="F2373:I2373"/>
    <mergeCell ref="F2374:I2374"/>
    <mergeCell ref="F2375:I2375"/>
    <mergeCell ref="F2376:I2376"/>
    <mergeCell ref="F2378:I2378"/>
    <mergeCell ref="F2358:I2358"/>
    <mergeCell ref="F2359:I2359"/>
    <mergeCell ref="F2360:I2360"/>
    <mergeCell ref="F2362:I2362"/>
    <mergeCell ref="F2363:I2363"/>
    <mergeCell ref="F2364:I2364"/>
    <mergeCell ref="F2365:I2365"/>
    <mergeCell ref="F2366:I2366"/>
    <mergeCell ref="F2368:I2368"/>
    <mergeCell ref="F2348:I2348"/>
    <mergeCell ref="F2349:I2349"/>
    <mergeCell ref="F2350:I2350"/>
    <mergeCell ref="F2351:I2351"/>
    <mergeCell ref="F2352:I2352"/>
    <mergeCell ref="F2353:I2353"/>
    <mergeCell ref="F2354:I2354"/>
    <mergeCell ref="F2356:I2356"/>
    <mergeCell ref="F2357:I2357"/>
    <mergeCell ref="F2339:I2339"/>
    <mergeCell ref="F2340:I2340"/>
    <mergeCell ref="F2341:I2341"/>
    <mergeCell ref="F2342:I2342"/>
    <mergeCell ref="F2343:I2343"/>
    <mergeCell ref="F2344:I2344"/>
    <mergeCell ref="F2345:I2345"/>
    <mergeCell ref="F2346:I2346"/>
    <mergeCell ref="F2347:I2347"/>
    <mergeCell ref="F2330:I2330"/>
    <mergeCell ref="F2331:I2331"/>
    <mergeCell ref="F2332:I2332"/>
    <mergeCell ref="F2333:I2333"/>
    <mergeCell ref="F2334:I2334"/>
    <mergeCell ref="F2335:I2335"/>
    <mergeCell ref="F2336:I2336"/>
    <mergeCell ref="F2337:I2337"/>
    <mergeCell ref="F2338:I2338"/>
    <mergeCell ref="F2321:I2321"/>
    <mergeCell ref="F2322:I2322"/>
    <mergeCell ref="F2323:I2323"/>
    <mergeCell ref="F2324:I2324"/>
    <mergeCell ref="F2325:I2325"/>
    <mergeCell ref="F2326:I2326"/>
    <mergeCell ref="F2327:I2327"/>
    <mergeCell ref="F2328:I2328"/>
    <mergeCell ref="F2329:I2329"/>
    <mergeCell ref="F2311:I2311"/>
    <mergeCell ref="F2312:I2312"/>
    <mergeCell ref="F2313:I2313"/>
    <mergeCell ref="F2314:I2314"/>
    <mergeCell ref="F2315:I2315"/>
    <mergeCell ref="F2317:I2317"/>
    <mergeCell ref="F2318:I2318"/>
    <mergeCell ref="F2319:I2319"/>
    <mergeCell ref="F2320:I2320"/>
    <mergeCell ref="F2316:I2316"/>
    <mergeCell ref="F2302:I2302"/>
    <mergeCell ref="F2303:I2303"/>
    <mergeCell ref="F2304:I2304"/>
    <mergeCell ref="F2305:I2305"/>
    <mergeCell ref="F2306:I2306"/>
    <mergeCell ref="F2307:I2307"/>
    <mergeCell ref="F2308:I2308"/>
    <mergeCell ref="F2309:I2309"/>
    <mergeCell ref="F2310:I2310"/>
    <mergeCell ref="F2293:I2293"/>
    <mergeCell ref="F2294:I2294"/>
    <mergeCell ref="F2295:I2295"/>
    <mergeCell ref="F2296:I2296"/>
    <mergeCell ref="F2297:I2297"/>
    <mergeCell ref="F2298:I2298"/>
    <mergeCell ref="F2299:I2299"/>
    <mergeCell ref="F2300:I2300"/>
    <mergeCell ref="F2301:I2301"/>
    <mergeCell ref="F2284:I2284"/>
    <mergeCell ref="F2285:I2285"/>
    <mergeCell ref="F2286:I2286"/>
    <mergeCell ref="F2287:I2287"/>
    <mergeCell ref="F2288:I2288"/>
    <mergeCell ref="F2289:I2289"/>
    <mergeCell ref="F2290:I2290"/>
    <mergeCell ref="F2291:I2291"/>
    <mergeCell ref="F2292:I2292"/>
    <mergeCell ref="F2275:I2275"/>
    <mergeCell ref="F2276:I2276"/>
    <mergeCell ref="F2277:I2277"/>
    <mergeCell ref="F2278:I2278"/>
    <mergeCell ref="F2279:I2279"/>
    <mergeCell ref="F2280:I2280"/>
    <mergeCell ref="F2281:I2281"/>
    <mergeCell ref="F2282:I2282"/>
    <mergeCell ref="F2283:I2283"/>
    <mergeCell ref="F2266:I2266"/>
    <mergeCell ref="F2267:I2267"/>
    <mergeCell ref="F2268:I2268"/>
    <mergeCell ref="F2269:I2269"/>
    <mergeCell ref="F2270:I2270"/>
    <mergeCell ref="F2271:I2271"/>
    <mergeCell ref="F2272:I2272"/>
    <mergeCell ref="F2273:I2273"/>
    <mergeCell ref="F2274:I2274"/>
    <mergeCell ref="F2257:I2257"/>
    <mergeCell ref="F2258:I2258"/>
    <mergeCell ref="F2259:I2259"/>
    <mergeCell ref="F2260:I2260"/>
    <mergeCell ref="F2261:I2261"/>
    <mergeCell ref="F2262:I2262"/>
    <mergeCell ref="F2263:I2263"/>
    <mergeCell ref="F2264:I2264"/>
    <mergeCell ref="F2265:I2265"/>
    <mergeCell ref="F2248:I2248"/>
    <mergeCell ref="F2249:I2249"/>
    <mergeCell ref="F2250:I2250"/>
    <mergeCell ref="F2251:I2251"/>
    <mergeCell ref="F2252:I2252"/>
    <mergeCell ref="F2253:I2253"/>
    <mergeCell ref="F2254:I2254"/>
    <mergeCell ref="F2255:I2255"/>
    <mergeCell ref="F2256:I2256"/>
    <mergeCell ref="F2239:I2239"/>
    <mergeCell ref="F2240:I2240"/>
    <mergeCell ref="F2241:I2241"/>
    <mergeCell ref="F2242:I2242"/>
    <mergeCell ref="F2243:I2243"/>
    <mergeCell ref="F2244:I2244"/>
    <mergeCell ref="F2245:I2245"/>
    <mergeCell ref="F2246:I2246"/>
    <mergeCell ref="F2247:I2247"/>
    <mergeCell ref="F2230:I2230"/>
    <mergeCell ref="F2231:I2231"/>
    <mergeCell ref="F2232:I2232"/>
    <mergeCell ref="F2233:I2233"/>
    <mergeCell ref="F2234:I2234"/>
    <mergeCell ref="F2235:I2235"/>
    <mergeCell ref="F2236:I2236"/>
    <mergeCell ref="F2237:I2237"/>
    <mergeCell ref="F2238:I2238"/>
    <mergeCell ref="F2221:I2221"/>
    <mergeCell ref="F2222:I2222"/>
    <mergeCell ref="F2223:I2223"/>
    <mergeCell ref="F2224:I2224"/>
    <mergeCell ref="F2225:I2225"/>
    <mergeCell ref="F2226:I2226"/>
    <mergeCell ref="F2227:I2227"/>
    <mergeCell ref="F2228:I2228"/>
    <mergeCell ref="F2229:I2229"/>
    <mergeCell ref="F2186:I2186"/>
    <mergeCell ref="F2187:I2187"/>
    <mergeCell ref="F2188:I2188"/>
    <mergeCell ref="F2189:I2189"/>
    <mergeCell ref="F2190:I2190"/>
    <mergeCell ref="F2191:I2191"/>
    <mergeCell ref="F2192:I2192"/>
    <mergeCell ref="F2212:I2212"/>
    <mergeCell ref="F2213:I2213"/>
    <mergeCell ref="F2214:I2214"/>
    <mergeCell ref="F2215:I2215"/>
    <mergeCell ref="F2216:I2216"/>
    <mergeCell ref="F2217:I2217"/>
    <mergeCell ref="F2218:I2218"/>
    <mergeCell ref="F2219:I2219"/>
    <mergeCell ref="F2220:I2220"/>
    <mergeCell ref="F2203:I2203"/>
    <mergeCell ref="F2204:I2204"/>
    <mergeCell ref="F2205:I2205"/>
    <mergeCell ref="F2206:I2206"/>
    <mergeCell ref="F2207:I2207"/>
    <mergeCell ref="F2208:I2208"/>
    <mergeCell ref="F2209:I2209"/>
    <mergeCell ref="F2210:I2210"/>
    <mergeCell ref="F2211:I2211"/>
    <mergeCell ref="F2144:I2144"/>
    <mergeCell ref="F2145:I2145"/>
    <mergeCell ref="F2146:I2146"/>
    <mergeCell ref="F2147:I2147"/>
    <mergeCell ref="F2148:I2148"/>
    <mergeCell ref="F2149:I2149"/>
    <mergeCell ref="F2150:I2150"/>
    <mergeCell ref="F2151:I2151"/>
    <mergeCell ref="F2152:I2152"/>
    <mergeCell ref="F2173:I2173"/>
    <mergeCell ref="F2175:I2175"/>
    <mergeCell ref="F2176:I2176"/>
    <mergeCell ref="F2177:I2177"/>
    <mergeCell ref="F2178:I2178"/>
    <mergeCell ref="F2179:I2179"/>
    <mergeCell ref="F2180:I2180"/>
    <mergeCell ref="F2181:I2181"/>
    <mergeCell ref="F2163:I2163"/>
    <mergeCell ref="F2164:I2164"/>
    <mergeCell ref="F2165:I2165"/>
    <mergeCell ref="F2166:I2166"/>
    <mergeCell ref="F2167:I2167"/>
    <mergeCell ref="F2169:I2169"/>
    <mergeCell ref="F2170:I2170"/>
    <mergeCell ref="F2171:I2171"/>
    <mergeCell ref="F2172:I2172"/>
    <mergeCell ref="F2102:I2102"/>
    <mergeCell ref="F2103:I2103"/>
    <mergeCell ref="F2104:I2104"/>
    <mergeCell ref="F2105:I2105"/>
    <mergeCell ref="F2106:I2106"/>
    <mergeCell ref="F2107:I2107"/>
    <mergeCell ref="F2108:I2108"/>
    <mergeCell ref="F2109:I2109"/>
    <mergeCell ref="F2110:I2110"/>
    <mergeCell ref="F2093:I2093"/>
    <mergeCell ref="F2094:I2094"/>
    <mergeCell ref="F2095:I2095"/>
    <mergeCell ref="F2096:I2096"/>
    <mergeCell ref="F2097:I2097"/>
    <mergeCell ref="F2098:I2098"/>
    <mergeCell ref="F2099:I2099"/>
    <mergeCell ref="F2100:I2100"/>
    <mergeCell ref="F2101:I2101"/>
    <mergeCell ref="F2084:I2084"/>
    <mergeCell ref="F2085:I2085"/>
    <mergeCell ref="F2086:I2086"/>
    <mergeCell ref="F2087:I2087"/>
    <mergeCell ref="F2088:I2088"/>
    <mergeCell ref="F2089:I2089"/>
    <mergeCell ref="F2090:I2090"/>
    <mergeCell ref="F2091:I2091"/>
    <mergeCell ref="F2092:I2092"/>
    <mergeCell ref="F2075:I2075"/>
    <mergeCell ref="F2076:I2076"/>
    <mergeCell ref="F2077:I2077"/>
    <mergeCell ref="F2078:I2078"/>
    <mergeCell ref="F2079:I2079"/>
    <mergeCell ref="F2080:I2080"/>
    <mergeCell ref="F2081:I2081"/>
    <mergeCell ref="F2082:I2082"/>
    <mergeCell ref="F2083:I2083"/>
    <mergeCell ref="F2066:I2066"/>
    <mergeCell ref="F2067:I2067"/>
    <mergeCell ref="F2068:I2068"/>
    <mergeCell ref="F2069:I2069"/>
    <mergeCell ref="F2070:I2070"/>
    <mergeCell ref="F2071:I2071"/>
    <mergeCell ref="F2072:I2072"/>
    <mergeCell ref="F2073:I2073"/>
    <mergeCell ref="F2074:I2074"/>
    <mergeCell ref="F2057:I2057"/>
    <mergeCell ref="F2058:I2058"/>
    <mergeCell ref="F2059:I2059"/>
    <mergeCell ref="F2060:I2060"/>
    <mergeCell ref="F2061:I2061"/>
    <mergeCell ref="F2062:I2062"/>
    <mergeCell ref="F2063:I2063"/>
    <mergeCell ref="F2064:I2064"/>
    <mergeCell ref="F2065:I2065"/>
    <mergeCell ref="F2048:I2048"/>
    <mergeCell ref="F2049:I2049"/>
    <mergeCell ref="F2050:I2050"/>
    <mergeCell ref="F2051:I2051"/>
    <mergeCell ref="F2052:I2052"/>
    <mergeCell ref="F2053:I2053"/>
    <mergeCell ref="F2054:I2054"/>
    <mergeCell ref="F2055:I2055"/>
    <mergeCell ref="F2056:I2056"/>
    <mergeCell ref="F2039:I2039"/>
    <mergeCell ref="F2040:I2040"/>
    <mergeCell ref="F2041:I2041"/>
    <mergeCell ref="F2042:I2042"/>
    <mergeCell ref="F2043:I2043"/>
    <mergeCell ref="F2044:I2044"/>
    <mergeCell ref="F2045:I2045"/>
    <mergeCell ref="F2046:I2046"/>
    <mergeCell ref="F2047:I2047"/>
    <mergeCell ref="F2030:I2030"/>
    <mergeCell ref="F2031:I2031"/>
    <mergeCell ref="F2032:I2032"/>
    <mergeCell ref="F2033:I2033"/>
    <mergeCell ref="F2034:I2034"/>
    <mergeCell ref="F2035:I2035"/>
    <mergeCell ref="F2036:I2036"/>
    <mergeCell ref="F2037:I2037"/>
    <mergeCell ref="F2038:I2038"/>
    <mergeCell ref="F2021:I2021"/>
    <mergeCell ref="F2022:I2022"/>
    <mergeCell ref="F2023:I2023"/>
    <mergeCell ref="F2024:I2024"/>
    <mergeCell ref="F2025:I2025"/>
    <mergeCell ref="F2026:I2026"/>
    <mergeCell ref="F2027:I2027"/>
    <mergeCell ref="F2028:I2028"/>
    <mergeCell ref="F2029:I2029"/>
    <mergeCell ref="F2012:I2012"/>
    <mergeCell ref="F2013:I2013"/>
    <mergeCell ref="F2014:I2014"/>
    <mergeCell ref="F2015:I2015"/>
    <mergeCell ref="F2016:I2016"/>
    <mergeCell ref="F2017:I2017"/>
    <mergeCell ref="F2018:I2018"/>
    <mergeCell ref="F2019:I2019"/>
    <mergeCell ref="F2020:I2020"/>
    <mergeCell ref="F2002:I2002"/>
    <mergeCell ref="F2003:I2003"/>
    <mergeCell ref="F2004:I2004"/>
    <mergeCell ref="F2005:I2005"/>
    <mergeCell ref="F2006:I2006"/>
    <mergeCell ref="F2007:I2007"/>
    <mergeCell ref="F2008:I2008"/>
    <mergeCell ref="F2010:I2010"/>
    <mergeCell ref="F2011:I2011"/>
    <mergeCell ref="F2009:I2009"/>
    <mergeCell ref="F1994:I1994"/>
    <mergeCell ref="F1995:I1995"/>
    <mergeCell ref="F1996:I1996"/>
    <mergeCell ref="F1997:I1997"/>
    <mergeCell ref="F1998:I1998"/>
    <mergeCell ref="F1999:I1999"/>
    <mergeCell ref="F2000:I2000"/>
    <mergeCell ref="F2001:I2001"/>
    <mergeCell ref="F1983:I1983"/>
    <mergeCell ref="F1984:I1984"/>
    <mergeCell ref="F1985:I1985"/>
    <mergeCell ref="F1986:I1986"/>
    <mergeCell ref="F1987:I1987"/>
    <mergeCell ref="F1988:I1988"/>
    <mergeCell ref="F1989:I1989"/>
    <mergeCell ref="F1990:I1990"/>
    <mergeCell ref="F1992:I1992"/>
    <mergeCell ref="F1991:I1991"/>
    <mergeCell ref="F1978:I1978"/>
    <mergeCell ref="F1979:I1979"/>
    <mergeCell ref="F1980:I1980"/>
    <mergeCell ref="F1982:I1982"/>
    <mergeCell ref="F1962:I1962"/>
    <mergeCell ref="F1963:I1963"/>
    <mergeCell ref="F1964:I1964"/>
    <mergeCell ref="F1965:I1965"/>
    <mergeCell ref="F1966:I1966"/>
    <mergeCell ref="F1967:I1967"/>
    <mergeCell ref="F1968:I1968"/>
    <mergeCell ref="F1970:I1970"/>
    <mergeCell ref="F1971:I1971"/>
    <mergeCell ref="F1969:I1969"/>
    <mergeCell ref="F1975:I1975"/>
    <mergeCell ref="F1981:I1981"/>
    <mergeCell ref="F1993:I1993"/>
    <mergeCell ref="F1959:I1959"/>
    <mergeCell ref="F1960:I1960"/>
    <mergeCell ref="F1961:I1961"/>
    <mergeCell ref="F1944:I1944"/>
    <mergeCell ref="F1945:I1945"/>
    <mergeCell ref="F1946:I1946"/>
    <mergeCell ref="F1947:I1947"/>
    <mergeCell ref="F1948:I1948"/>
    <mergeCell ref="F1949:I1949"/>
    <mergeCell ref="F1950:I1950"/>
    <mergeCell ref="F1951:I1951"/>
    <mergeCell ref="F1952:I1952"/>
    <mergeCell ref="F1972:I1972"/>
    <mergeCell ref="F1973:I1973"/>
    <mergeCell ref="F1974:I1974"/>
    <mergeCell ref="F1976:I1976"/>
    <mergeCell ref="F1977:I1977"/>
    <mergeCell ref="F1422:H1422"/>
    <mergeCell ref="F1351:H1351"/>
    <mergeCell ref="F1352:H1352"/>
    <mergeCell ref="F1353:H1353"/>
    <mergeCell ref="F1354:H1354"/>
    <mergeCell ref="F1307:H1307"/>
    <mergeCell ref="F1308:H1308"/>
    <mergeCell ref="F1322:H1322"/>
    <mergeCell ref="F1323:H1323"/>
    <mergeCell ref="F1300:H1300"/>
    <mergeCell ref="F1302:H1302"/>
    <mergeCell ref="F1318:H1318"/>
    <mergeCell ref="F1319:H1319"/>
    <mergeCell ref="L883:L884"/>
    <mergeCell ref="L892:L893"/>
    <mergeCell ref="L901:L902"/>
    <mergeCell ref="F1931:I1931"/>
    <mergeCell ref="L1356:L1361"/>
    <mergeCell ref="L1425:L1432"/>
    <mergeCell ref="L1433:L1440"/>
    <mergeCell ref="L1474:L1487"/>
    <mergeCell ref="F1256:H1256"/>
    <mergeCell ref="F1257:H1257"/>
    <mergeCell ref="F998:H998"/>
    <mergeCell ref="F1240:H1240"/>
    <mergeCell ref="F1238:H1238"/>
    <mergeCell ref="F1224:H1224"/>
    <mergeCell ref="F1225:H1225"/>
    <mergeCell ref="F1226:H1226"/>
    <mergeCell ref="F1227:H1227"/>
    <mergeCell ref="F1228:H1228"/>
    <mergeCell ref="F1229:H1229"/>
    <mergeCell ref="L511:L512"/>
    <mergeCell ref="V1265:AH1265"/>
    <mergeCell ref="V1213:V1258"/>
    <mergeCell ref="V1314:V1319"/>
    <mergeCell ref="V1308:V1313"/>
    <mergeCell ref="L1097:L1119"/>
    <mergeCell ref="L1120:L1165"/>
    <mergeCell ref="V1167:V1212"/>
    <mergeCell ref="V1097:V1165"/>
    <mergeCell ref="V989:V1015"/>
    <mergeCell ref="V1016:V1042"/>
    <mergeCell ref="V1043:V1069"/>
    <mergeCell ref="V1070:V1096"/>
    <mergeCell ref="V935:V961"/>
    <mergeCell ref="F1417:H1417"/>
    <mergeCell ref="L599:L670"/>
    <mergeCell ref="F382:H382"/>
    <mergeCell ref="F383:H383"/>
    <mergeCell ref="F1097:H1097"/>
    <mergeCell ref="F1098:H1098"/>
    <mergeCell ref="F1099:H1099"/>
    <mergeCell ref="F1100:H1100"/>
    <mergeCell ref="F1128:H1128"/>
    <mergeCell ref="F999:H999"/>
    <mergeCell ref="F1000:H1000"/>
    <mergeCell ref="F692:H692"/>
    <mergeCell ref="F693:H693"/>
    <mergeCell ref="F694:H694"/>
    <mergeCell ref="F695:H695"/>
    <mergeCell ref="F696:H696"/>
    <mergeCell ref="F996:H996"/>
    <mergeCell ref="F997:H997"/>
    <mergeCell ref="D238:D309"/>
    <mergeCell ref="D310:D381"/>
    <mergeCell ref="E238:E309"/>
    <mergeCell ref="F1921:I1921"/>
    <mergeCell ref="F1922:I1922"/>
    <mergeCell ref="E1362:E1367"/>
    <mergeCell ref="D1362:D1367"/>
    <mergeCell ref="F1412:H1412"/>
    <mergeCell ref="F1436:H1436"/>
    <mergeCell ref="F1445:H1445"/>
    <mergeCell ref="F1453:H1453"/>
    <mergeCell ref="F1461:H1461"/>
    <mergeCell ref="F1469:H1469"/>
    <mergeCell ref="F1449:H1449"/>
    <mergeCell ref="F1426:H1426"/>
    <mergeCell ref="F1442:H1442"/>
    <mergeCell ref="F1419:H1419"/>
    <mergeCell ref="F1416:H1416"/>
    <mergeCell ref="F1415:H1415"/>
    <mergeCell ref="F1441:H1441"/>
    <mergeCell ref="D454:D525"/>
    <mergeCell ref="E310:E381"/>
    <mergeCell ref="E382:E453"/>
    <mergeCell ref="D382:D453"/>
    <mergeCell ref="E454:E525"/>
    <mergeCell ref="F390:H390"/>
    <mergeCell ref="F391:H391"/>
    <mergeCell ref="F392:H392"/>
    <mergeCell ref="F393:H393"/>
    <mergeCell ref="F394:H394"/>
    <mergeCell ref="F395:H395"/>
    <mergeCell ref="F396:H396"/>
    <mergeCell ref="F460:H460"/>
    <mergeCell ref="F461:H461"/>
    <mergeCell ref="F462:H462"/>
    <mergeCell ref="F463:H463"/>
    <mergeCell ref="F464:H464"/>
    <mergeCell ref="F465:H465"/>
    <mergeCell ref="F466:H466"/>
    <mergeCell ref="E962:E988"/>
    <mergeCell ref="D989:D1015"/>
    <mergeCell ref="E599:E670"/>
    <mergeCell ref="D854:D880"/>
    <mergeCell ref="E854:E880"/>
    <mergeCell ref="D827:D853"/>
    <mergeCell ref="E827:E853"/>
    <mergeCell ref="D908:D934"/>
    <mergeCell ref="E908:E934"/>
    <mergeCell ref="D962:D988"/>
    <mergeCell ref="D599:D670"/>
    <mergeCell ref="F1001:H1001"/>
    <mergeCell ref="F1002:H1002"/>
    <mergeCell ref="F1003:H1003"/>
    <mergeCell ref="F1004:H1004"/>
    <mergeCell ref="F1005:H1005"/>
    <mergeCell ref="F1006:H1006"/>
    <mergeCell ref="F1007:H1007"/>
    <mergeCell ref="F1008:H1008"/>
    <mergeCell ref="F1009:H1009"/>
    <mergeCell ref="F1010:H1010"/>
    <mergeCell ref="F1011:H1011"/>
    <mergeCell ref="F1012:H1012"/>
    <mergeCell ref="F1013:H1013"/>
    <mergeCell ref="F1014:H1014"/>
    <mergeCell ref="F1230:H1230"/>
    <mergeCell ref="F1231:H1231"/>
    <mergeCell ref="F1232:H1232"/>
    <mergeCell ref="F1233:H1233"/>
    <mergeCell ref="F1234:H1234"/>
    <mergeCell ref="F1235:H1235"/>
    <mergeCell ref="F1236:H1236"/>
    <mergeCell ref="E1213:E1258"/>
    <mergeCell ref="F993:H993"/>
    <mergeCell ref="F994:H994"/>
    <mergeCell ref="F995:H995"/>
    <mergeCell ref="F1258:H1258"/>
    <mergeCell ref="F1247:H1247"/>
    <mergeCell ref="F1248:H1248"/>
    <mergeCell ref="F1249:H1249"/>
    <mergeCell ref="F1250:H1250"/>
    <mergeCell ref="F1251:H1251"/>
    <mergeCell ref="F1252:H1252"/>
    <mergeCell ref="F1253:H1253"/>
    <mergeCell ref="F1254:H1254"/>
    <mergeCell ref="F1255:H1255"/>
    <mergeCell ref="F1237:H1237"/>
    <mergeCell ref="E989:E1015"/>
    <mergeCell ref="E1070:E1096"/>
    <mergeCell ref="E1016:E1042"/>
    <mergeCell ref="F1201:H1201"/>
    <mergeCell ref="F1101:H1101"/>
    <mergeCell ref="F1102:H1102"/>
    <mergeCell ref="F1103:H1103"/>
    <mergeCell ref="F1104:H1104"/>
    <mergeCell ref="F1105:H1105"/>
    <mergeCell ref="F1106:H1106"/>
    <mergeCell ref="E1326:E1331"/>
    <mergeCell ref="D1326:D1331"/>
    <mergeCell ref="E1320:E1325"/>
    <mergeCell ref="D1213:D1258"/>
    <mergeCell ref="D1320:D1325"/>
    <mergeCell ref="D1409:D1416"/>
    <mergeCell ref="E1409:E1416"/>
    <mergeCell ref="E1314:E1319"/>
    <mergeCell ref="D1314:D1319"/>
    <mergeCell ref="E1308:E1313"/>
    <mergeCell ref="D1308:D1313"/>
    <mergeCell ref="E1302:E1307"/>
    <mergeCell ref="D1302:D1307"/>
    <mergeCell ref="E1356:E1361"/>
    <mergeCell ref="D1356:D1361"/>
    <mergeCell ref="E1350:E1355"/>
    <mergeCell ref="D1350:D1355"/>
    <mergeCell ref="E1344:E1349"/>
    <mergeCell ref="D1344:D1349"/>
    <mergeCell ref="E1338:E1343"/>
    <mergeCell ref="D1338:D1343"/>
    <mergeCell ref="D1097:D1165"/>
    <mergeCell ref="E1097:E1165"/>
    <mergeCell ref="D935:D961"/>
    <mergeCell ref="E935:E961"/>
    <mergeCell ref="E1332:E1337"/>
    <mergeCell ref="D2686:D2878"/>
    <mergeCell ref="D2879:D3071"/>
    <mergeCell ref="E2879:E3071"/>
    <mergeCell ref="D3458:D3650"/>
    <mergeCell ref="E3458:E3650"/>
    <mergeCell ref="F1324:H1324"/>
    <mergeCell ref="F1325:H1325"/>
    <mergeCell ref="F1326:H1326"/>
    <mergeCell ref="F1306:H1306"/>
    <mergeCell ref="D1332:D1337"/>
    <mergeCell ref="D2493:D2685"/>
    <mergeCell ref="E2493:E2685"/>
    <mergeCell ref="D2300:D2492"/>
    <mergeCell ref="F1920:I1920"/>
    <mergeCell ref="F3088:I3088"/>
    <mergeCell ref="F1459:H1459"/>
    <mergeCell ref="F2129:I2129"/>
    <mergeCell ref="F2130:I2130"/>
    <mergeCell ref="F1460:H1460"/>
    <mergeCell ref="D3072:D3264"/>
    <mergeCell ref="E2300:E2492"/>
    <mergeCell ref="D1070:D1096"/>
    <mergeCell ref="D1167:D1212"/>
    <mergeCell ref="E1167:E1212"/>
    <mergeCell ref="D1914:D2106"/>
    <mergeCell ref="E1914:E2106"/>
    <mergeCell ref="D1016:D1042"/>
    <mergeCell ref="D1043:D1069"/>
    <mergeCell ref="E1043:E1069"/>
    <mergeCell ref="F1213:H1213"/>
    <mergeCell ref="F1214:H1214"/>
    <mergeCell ref="F1215:H1215"/>
    <mergeCell ref="F1216:H1216"/>
    <mergeCell ref="F1217:H1217"/>
    <mergeCell ref="F1218:H1218"/>
    <mergeCell ref="F1219:H1219"/>
    <mergeCell ref="F1220:H1220"/>
    <mergeCell ref="F1221:H1221"/>
    <mergeCell ref="F1222:H1222"/>
    <mergeCell ref="F1223:H1223"/>
    <mergeCell ref="F1243:H1243"/>
    <mergeCell ref="F1244:H1244"/>
    <mergeCell ref="F1245:H1245"/>
    <mergeCell ref="F1246:H1246"/>
    <mergeCell ref="F1171:H1171"/>
    <mergeCell ref="F1172:H1172"/>
    <mergeCell ref="F1173:H1173"/>
    <mergeCell ref="F1138:H1138"/>
    <mergeCell ref="F1140:H1140"/>
    <mergeCell ref="F1094:H1094"/>
    <mergeCell ref="F1095:H1095"/>
    <mergeCell ref="F1179:H1179"/>
    <mergeCell ref="F1180:H1180"/>
    <mergeCell ref="F1181:H1181"/>
    <mergeCell ref="F1168:H1168"/>
    <mergeCell ref="F1131:H1131"/>
    <mergeCell ref="F1210:H1210"/>
    <mergeCell ref="F1211:H1211"/>
    <mergeCell ref="F1212:H1212"/>
    <mergeCell ref="V3652:V4037"/>
    <mergeCell ref="V4038:V4423"/>
    <mergeCell ref="V1504:AH1504"/>
    <mergeCell ref="V2300:V2492"/>
    <mergeCell ref="V2107:V2299"/>
    <mergeCell ref="V1914:V2106"/>
    <mergeCell ref="F1482:H1482"/>
    <mergeCell ref="F1483:H1483"/>
    <mergeCell ref="F1484:H1484"/>
    <mergeCell ref="F1485:H1485"/>
    <mergeCell ref="V2686:V2878"/>
    <mergeCell ref="F1914:I1914"/>
    <mergeCell ref="F1915:I1915"/>
    <mergeCell ref="F1488:H1488"/>
    <mergeCell ref="F1498:H1498"/>
    <mergeCell ref="F1499:H1499"/>
    <mergeCell ref="V3458:V3650"/>
    <mergeCell ref="V2879:V3071"/>
    <mergeCell ref="F1916:I1916"/>
    <mergeCell ref="F1917:I1917"/>
    <mergeCell ref="F1918:I1918"/>
    <mergeCell ref="F1919:I1919"/>
    <mergeCell ref="F1923:I1923"/>
    <mergeCell ref="F1924:I1924"/>
    <mergeCell ref="V3265:V3457"/>
    <mergeCell ref="F2131:I2131"/>
    <mergeCell ref="F3073:I3073"/>
    <mergeCell ref="F3074:I3074"/>
    <mergeCell ref="F3075:I3075"/>
    <mergeCell ref="F3076:I3076"/>
    <mergeCell ref="F3077:I3077"/>
    <mergeCell ref="F3078:I3078"/>
    <mergeCell ref="F1362:H1362"/>
    <mergeCell ref="F1492:H1492"/>
    <mergeCell ref="F1493:H1493"/>
    <mergeCell ref="F1481:H1481"/>
    <mergeCell ref="L1409:L1416"/>
    <mergeCell ref="F1348:H1348"/>
    <mergeCell ref="F1349:H1349"/>
    <mergeCell ref="F1338:H1338"/>
    <mergeCell ref="V1338:V1343"/>
    <mergeCell ref="F1339:H1339"/>
    <mergeCell ref="F1340:H1340"/>
    <mergeCell ref="F1341:H1341"/>
    <mergeCell ref="F1342:H1342"/>
    <mergeCell ref="F1343:H1343"/>
    <mergeCell ref="V1409:V1416"/>
    <mergeCell ref="F1495:H1495"/>
    <mergeCell ref="F1496:H1496"/>
    <mergeCell ref="F1475:H1475"/>
    <mergeCell ref="F1476:H1476"/>
    <mergeCell ref="F1477:H1477"/>
    <mergeCell ref="F1478:H1478"/>
    <mergeCell ref="F1479:H1479"/>
    <mergeCell ref="F1480:H1480"/>
    <mergeCell ref="F1450:H1450"/>
    <mergeCell ref="F1451:H1451"/>
    <mergeCell ref="F1452:H1452"/>
    <mergeCell ref="F1454:H1454"/>
    <mergeCell ref="F1466:H1466"/>
    <mergeCell ref="V1370:AH1370"/>
    <mergeCell ref="F1408:H1408"/>
    <mergeCell ref="F1410:H1410"/>
    <mergeCell ref="F1411:H1411"/>
    <mergeCell ref="F2117:I2117"/>
    <mergeCell ref="F2118:I2118"/>
    <mergeCell ref="F1473:H1473"/>
    <mergeCell ref="F1935:I1935"/>
    <mergeCell ref="F1936:I1936"/>
    <mergeCell ref="F1937:I1937"/>
    <mergeCell ref="F1938:I1938"/>
    <mergeCell ref="F1939:I1939"/>
    <mergeCell ref="F1940:I1940"/>
    <mergeCell ref="F1941:I1941"/>
    <mergeCell ref="F1942:I1942"/>
    <mergeCell ref="F1943:I1943"/>
    <mergeCell ref="F1925:I1925"/>
    <mergeCell ref="F1926:I1926"/>
    <mergeCell ref="F1927:I1927"/>
    <mergeCell ref="F1928:I1928"/>
    <mergeCell ref="F1929:I1929"/>
    <mergeCell ref="F1494:H1494"/>
    <mergeCell ref="F1497:H1497"/>
    <mergeCell ref="F1489:H1489"/>
    <mergeCell ref="F1490:H1490"/>
    <mergeCell ref="F1491:H1491"/>
    <mergeCell ref="F1932:I1932"/>
    <mergeCell ref="F1933:I1933"/>
    <mergeCell ref="F1934:I1934"/>
    <mergeCell ref="F1930:I1930"/>
    <mergeCell ref="F1953:I1953"/>
    <mergeCell ref="F1954:I1954"/>
    <mergeCell ref="F1955:I1955"/>
    <mergeCell ref="F1956:I1956"/>
    <mergeCell ref="F1957:I1957"/>
    <mergeCell ref="F1958:I1958"/>
    <mergeCell ref="V1302:V1307"/>
    <mergeCell ref="F1303:H1303"/>
    <mergeCell ref="F1304:H1304"/>
    <mergeCell ref="V1344:V1349"/>
    <mergeCell ref="F1345:H1345"/>
    <mergeCell ref="F1346:H1346"/>
    <mergeCell ref="F1347:H1347"/>
    <mergeCell ref="F1332:H1332"/>
    <mergeCell ref="V1332:V1337"/>
    <mergeCell ref="F1336:H1336"/>
    <mergeCell ref="F1337:H1337"/>
    <mergeCell ref="F1344:H1344"/>
    <mergeCell ref="V1362:V1367"/>
    <mergeCell ref="V1356:V1361"/>
    <mergeCell ref="F1357:H1357"/>
    <mergeCell ref="F1358:H1358"/>
    <mergeCell ref="F1359:H1359"/>
    <mergeCell ref="V1320:V1325"/>
    <mergeCell ref="V1350:V1355"/>
    <mergeCell ref="V1326:V1331"/>
    <mergeCell ref="F1327:H1327"/>
    <mergeCell ref="F1328:H1328"/>
    <mergeCell ref="F1329:H1329"/>
    <mergeCell ref="F1330:H1330"/>
    <mergeCell ref="F1333:H1333"/>
    <mergeCell ref="F1334:H1334"/>
    <mergeCell ref="F1335:H1335"/>
    <mergeCell ref="F1320:H1320"/>
    <mergeCell ref="F1363:H1363"/>
    <mergeCell ref="F1364:H1364"/>
    <mergeCell ref="F1365:H1365"/>
    <mergeCell ref="F1366:H1366"/>
    <mergeCell ref="F237:H237"/>
    <mergeCell ref="F202:H202"/>
    <mergeCell ref="F232:H232"/>
    <mergeCell ref="F170:H170"/>
    <mergeCell ref="F186:H186"/>
    <mergeCell ref="F187:H187"/>
    <mergeCell ref="F188:H188"/>
    <mergeCell ref="F189:H189"/>
    <mergeCell ref="V962:V988"/>
    <mergeCell ref="L989:L1015"/>
    <mergeCell ref="F826:H826"/>
    <mergeCell ref="V827:V853"/>
    <mergeCell ref="V745:AH745"/>
    <mergeCell ref="V908:V934"/>
    <mergeCell ref="V854:V880"/>
    <mergeCell ref="V881:V907"/>
    <mergeCell ref="L854:L880"/>
    <mergeCell ref="V238:V309"/>
    <mergeCell ref="V166:V237"/>
    <mergeCell ref="V310:V381"/>
    <mergeCell ref="V382:V453"/>
    <mergeCell ref="V454:V525"/>
    <mergeCell ref="V526:V597"/>
    <mergeCell ref="V599:V670"/>
    <mergeCell ref="V671:V742"/>
    <mergeCell ref="F235:H235"/>
    <mergeCell ref="F166:H166"/>
    <mergeCell ref="F167:H167"/>
    <mergeCell ref="L166:L237"/>
    <mergeCell ref="F221:H221"/>
    <mergeCell ref="F222:H222"/>
    <mergeCell ref="F168:H168"/>
    <mergeCell ref="V80:AH80"/>
    <mergeCell ref="D881:D907"/>
    <mergeCell ref="E881:E907"/>
    <mergeCell ref="F989:H989"/>
    <mergeCell ref="F990:H990"/>
    <mergeCell ref="F991:H991"/>
    <mergeCell ref="F992:H992"/>
    <mergeCell ref="F177:H177"/>
    <mergeCell ref="F178:H178"/>
    <mergeCell ref="P213:R213"/>
    <mergeCell ref="F190:H190"/>
    <mergeCell ref="F233:H233"/>
    <mergeCell ref="F176:H176"/>
    <mergeCell ref="F204:H204"/>
    <mergeCell ref="F205:H205"/>
    <mergeCell ref="F206:H206"/>
    <mergeCell ref="F207:H207"/>
    <mergeCell ref="F208:H208"/>
    <mergeCell ref="F209:H209"/>
    <mergeCell ref="F210:H210"/>
    <mergeCell ref="F211:H211"/>
    <mergeCell ref="F212:H212"/>
    <mergeCell ref="F213:H213"/>
    <mergeCell ref="F979:H979"/>
    <mergeCell ref="F980:H980"/>
    <mergeCell ref="F981:H981"/>
    <mergeCell ref="F982:H982"/>
    <mergeCell ref="F983:H983"/>
    <mergeCell ref="E526:E597"/>
    <mergeCell ref="D526:D597"/>
    <mergeCell ref="D671:D742"/>
    <mergeCell ref="E671:E742"/>
    <mergeCell ref="F216:H216"/>
    <mergeCell ref="F217:H217"/>
    <mergeCell ref="F218:H218"/>
    <mergeCell ref="F219:H219"/>
    <mergeCell ref="F220:H220"/>
    <mergeCell ref="F199:H199"/>
    <mergeCell ref="F200:H200"/>
    <mergeCell ref="F193:H193"/>
    <mergeCell ref="F194:H194"/>
    <mergeCell ref="F195:H195"/>
    <mergeCell ref="F228:H228"/>
    <mergeCell ref="F229:H229"/>
    <mergeCell ref="F198:H198"/>
    <mergeCell ref="F215:H215"/>
    <mergeCell ref="F174:H174"/>
    <mergeCell ref="F234:H234"/>
    <mergeCell ref="F184:H184"/>
    <mergeCell ref="F175:H175"/>
    <mergeCell ref="F223:H223"/>
    <mergeCell ref="F224:H224"/>
    <mergeCell ref="F225:H225"/>
    <mergeCell ref="F226:H226"/>
    <mergeCell ref="F227:H227"/>
    <mergeCell ref="F214:H214"/>
    <mergeCell ref="F70:H70"/>
    <mergeCell ref="F71:H71"/>
    <mergeCell ref="F72:H72"/>
    <mergeCell ref="F73:H73"/>
    <mergeCell ref="F74:H74"/>
    <mergeCell ref="F75:H75"/>
    <mergeCell ref="F76:H76"/>
    <mergeCell ref="F201:H201"/>
    <mergeCell ref="F169:H169"/>
    <mergeCell ref="F171:H171"/>
    <mergeCell ref="F172:H172"/>
    <mergeCell ref="F173:H173"/>
    <mergeCell ref="F191:H191"/>
    <mergeCell ref="F192:H192"/>
    <mergeCell ref="F165:H165"/>
    <mergeCell ref="F196:H196"/>
    <mergeCell ref="F185:H185"/>
    <mergeCell ref="F197:H197"/>
    <mergeCell ref="F77:H77"/>
    <mergeCell ref="B80:Q80"/>
    <mergeCell ref="D166:D237"/>
    <mergeCell ref="E166:E237"/>
    <mergeCell ref="F230:H230"/>
    <mergeCell ref="F231:H231"/>
    <mergeCell ref="F203:H203"/>
    <mergeCell ref="F179:H179"/>
    <mergeCell ref="F180:H180"/>
    <mergeCell ref="F181:H181"/>
    <mergeCell ref="F182:H182"/>
    <mergeCell ref="F183:H183"/>
    <mergeCell ref="D70:D77"/>
    <mergeCell ref="F236:H236"/>
    <mergeCell ref="E37:E44"/>
    <mergeCell ref="J37:J44"/>
    <mergeCell ref="F62:H62"/>
    <mergeCell ref="F63:H63"/>
    <mergeCell ref="F64:H64"/>
    <mergeCell ref="F65:H65"/>
    <mergeCell ref="F61:H61"/>
    <mergeCell ref="F57:H57"/>
    <mergeCell ref="F58:H58"/>
    <mergeCell ref="F59:H59"/>
    <mergeCell ref="F60:H60"/>
    <mergeCell ref="D53:D60"/>
    <mergeCell ref="V53:V60"/>
    <mergeCell ref="E53:E60"/>
    <mergeCell ref="J62:J69"/>
    <mergeCell ref="E62:E69"/>
    <mergeCell ref="D62:D69"/>
    <mergeCell ref="V62:V69"/>
    <mergeCell ref="F66:H66"/>
    <mergeCell ref="F4462:I4462"/>
    <mergeCell ref="F4463:I4463"/>
    <mergeCell ref="F4464:I4464"/>
    <mergeCell ref="F4465:I4465"/>
    <mergeCell ref="F2132:I2132"/>
    <mergeCell ref="F2133:I2133"/>
    <mergeCell ref="F2134:I2134"/>
    <mergeCell ref="F2123:I2123"/>
    <mergeCell ref="E3072:E3264"/>
    <mergeCell ref="V3072:V3264"/>
    <mergeCell ref="A1:O1"/>
    <mergeCell ref="P1:R1"/>
    <mergeCell ref="D2:J2"/>
    <mergeCell ref="B4:Q4"/>
    <mergeCell ref="V4:AH4"/>
    <mergeCell ref="F25:H25"/>
    <mergeCell ref="F35:H35"/>
    <mergeCell ref="F36:H36"/>
    <mergeCell ref="V37:V44"/>
    <mergeCell ref="F37:H37"/>
    <mergeCell ref="F38:H38"/>
    <mergeCell ref="F39:H39"/>
    <mergeCell ref="C15:L16"/>
    <mergeCell ref="F28:H28"/>
    <mergeCell ref="F29:H29"/>
    <mergeCell ref="F30:H30"/>
    <mergeCell ref="F31:H31"/>
    <mergeCell ref="F32:H32"/>
    <mergeCell ref="F33:H33"/>
    <mergeCell ref="F34:H34"/>
    <mergeCell ref="F44:H44"/>
    <mergeCell ref="F40:H40"/>
    <mergeCell ref="F4457:I4457"/>
    <mergeCell ref="F4458:I4458"/>
    <mergeCell ref="E4038:E4423"/>
    <mergeCell ref="D4038:D4423"/>
    <mergeCell ref="D3652:D4037"/>
    <mergeCell ref="E3652:E4037"/>
    <mergeCell ref="F3079:I3079"/>
    <mergeCell ref="F3080:I3080"/>
    <mergeCell ref="F3081:I3081"/>
    <mergeCell ref="F3082:I3082"/>
    <mergeCell ref="F3083:I3083"/>
    <mergeCell ref="F2153:I2153"/>
    <mergeCell ref="F2154:I2154"/>
    <mergeCell ref="F2155:I2155"/>
    <mergeCell ref="F2156:I2156"/>
    <mergeCell ref="F2157:I2157"/>
    <mergeCell ref="F2158:I2158"/>
    <mergeCell ref="F2159:I2159"/>
    <mergeCell ref="F2160:I2160"/>
    <mergeCell ref="F2161:I2161"/>
    <mergeCell ref="F2182:I2182"/>
    <mergeCell ref="F2193:I2193"/>
    <mergeCell ref="F2194:I2194"/>
    <mergeCell ref="F2195:I2195"/>
    <mergeCell ref="F2196:I2196"/>
    <mergeCell ref="F2197:I2197"/>
    <mergeCell ref="F2198:I2198"/>
    <mergeCell ref="F2199:I2199"/>
    <mergeCell ref="F2200:I2200"/>
    <mergeCell ref="F2201:I2201"/>
    <mergeCell ref="F2183:I2183"/>
    <mergeCell ref="F2185:I2185"/>
    <mergeCell ref="D4588:D4591"/>
    <mergeCell ref="E4588:E4591"/>
    <mergeCell ref="F4588:H4588"/>
    <mergeCell ref="V4588:V4591"/>
    <mergeCell ref="F4589:H4589"/>
    <mergeCell ref="F4590:H4590"/>
    <mergeCell ref="F4591:H4591"/>
    <mergeCell ref="D4592:D4595"/>
    <mergeCell ref="E4592:E4595"/>
    <mergeCell ref="V4592:V4595"/>
    <mergeCell ref="F4592:H4592"/>
    <mergeCell ref="F4593:H4593"/>
    <mergeCell ref="F4594:H4594"/>
    <mergeCell ref="F4595:H4595"/>
    <mergeCell ref="F2136:I2136"/>
    <mergeCell ref="F2137:I2137"/>
    <mergeCell ref="F2138:I2138"/>
    <mergeCell ref="F2139:I2139"/>
    <mergeCell ref="F2140:I2140"/>
    <mergeCell ref="F2141:I2141"/>
    <mergeCell ref="F2142:I2142"/>
    <mergeCell ref="F2143:I2143"/>
    <mergeCell ref="V4472:AH4472"/>
    <mergeCell ref="V4586:V4587"/>
    <mergeCell ref="F4466:I4466"/>
    <mergeCell ref="F4467:I4467"/>
    <mergeCell ref="D3265:D3457"/>
    <mergeCell ref="E3265:E3457"/>
    <mergeCell ref="D2107:D2299"/>
    <mergeCell ref="E2107:E2299"/>
    <mergeCell ref="E2686:E2878"/>
    <mergeCell ref="F2111:I2111"/>
    <mergeCell ref="V4599:V4601"/>
    <mergeCell ref="F4601:H4601"/>
    <mergeCell ref="F4600:H4600"/>
    <mergeCell ref="F4596:H4596"/>
    <mergeCell ref="F4606:H4606"/>
    <mergeCell ref="F4607:H4607"/>
    <mergeCell ref="D4610:D4611"/>
    <mergeCell ref="E4610:E4611"/>
    <mergeCell ref="F4610:H4610"/>
    <mergeCell ref="V4610:V4611"/>
    <mergeCell ref="F4611:H4611"/>
    <mergeCell ref="V4597:V4598"/>
    <mergeCell ref="D4602:D4605"/>
    <mergeCell ref="E4602:E4605"/>
    <mergeCell ref="V4602:V4605"/>
    <mergeCell ref="F4602:H4602"/>
    <mergeCell ref="F4603:H4603"/>
    <mergeCell ref="F4604:H4604"/>
    <mergeCell ref="F4605:H4605"/>
    <mergeCell ref="D4607:D4609"/>
    <mergeCell ref="E4607:E4609"/>
    <mergeCell ref="F4609:H4609"/>
    <mergeCell ref="F4608:H4608"/>
    <mergeCell ref="V4607:V4609"/>
    <mergeCell ref="D4597:D4598"/>
    <mergeCell ref="E4597:E4598"/>
    <mergeCell ref="F4597:H4597"/>
    <mergeCell ref="F4598:H4598"/>
    <mergeCell ref="D4599:D4601"/>
    <mergeCell ref="E4599:E4601"/>
    <mergeCell ref="F4599:H4599"/>
    <mergeCell ref="F1367:H1367"/>
    <mergeCell ref="F1356:H1356"/>
    <mergeCell ref="F1474:H1474"/>
    <mergeCell ref="F1321:H1321"/>
    <mergeCell ref="F1305:H1305"/>
    <mergeCell ref="F1317:H1317"/>
    <mergeCell ref="F1360:H1360"/>
    <mergeCell ref="F1361:H1361"/>
    <mergeCell ref="F1350:H1350"/>
    <mergeCell ref="F1458:H1458"/>
    <mergeCell ref="F1331:H1331"/>
    <mergeCell ref="F1465:H1465"/>
    <mergeCell ref="F1241:H1241"/>
    <mergeCell ref="F1242:H1242"/>
    <mergeCell ref="F1239:H1239"/>
    <mergeCell ref="F1467:H1467"/>
    <mergeCell ref="F1468:H1468"/>
    <mergeCell ref="F1470:H1470"/>
    <mergeCell ref="F1457:H1457"/>
    <mergeCell ref="F1462:H1462"/>
    <mergeCell ref="F1409:H1409"/>
    <mergeCell ref="F1413:H1413"/>
    <mergeCell ref="F1414:H1414"/>
    <mergeCell ref="F1314:H1314"/>
    <mergeCell ref="F1315:H1315"/>
    <mergeCell ref="F1316:H1316"/>
    <mergeCell ref="F1309:H1309"/>
    <mergeCell ref="F1310:H1310"/>
    <mergeCell ref="F1311:H1311"/>
    <mergeCell ref="F1312:H1312"/>
    <mergeCell ref="F1313:H1313"/>
    <mergeCell ref="F1355:H1355"/>
    <mergeCell ref="F1107:H1107"/>
    <mergeCell ref="F1108:H1108"/>
    <mergeCell ref="F1109:H1109"/>
    <mergeCell ref="F1110:H1110"/>
    <mergeCell ref="F1111:H1111"/>
    <mergeCell ref="F1112:H1112"/>
    <mergeCell ref="F1113:H1113"/>
    <mergeCell ref="F1114:H1114"/>
    <mergeCell ref="F1115:H1115"/>
    <mergeCell ref="F1116:H1116"/>
    <mergeCell ref="F1184:H1184"/>
    <mergeCell ref="F1117:H1117"/>
    <mergeCell ref="F1118:H1118"/>
    <mergeCell ref="F1119:H1119"/>
    <mergeCell ref="F1120:H1120"/>
    <mergeCell ref="F1121:H1121"/>
    <mergeCell ref="F1122:H1122"/>
    <mergeCell ref="F1123:H1123"/>
    <mergeCell ref="F1124:H1124"/>
    <mergeCell ref="F1125:H1125"/>
    <mergeCell ref="F1126:H1126"/>
    <mergeCell ref="F1127:H1127"/>
    <mergeCell ref="F1137:H1137"/>
    <mergeCell ref="F1141:H1141"/>
    <mergeCell ref="F1132:H1132"/>
    <mergeCell ref="F1129:H1129"/>
    <mergeCell ref="F1139:H1139"/>
    <mergeCell ref="F1192:H1192"/>
    <mergeCell ref="F1178:H1178"/>
    <mergeCell ref="F1130:H1130"/>
    <mergeCell ref="F1202:H1202"/>
    <mergeCell ref="F1203:H1203"/>
    <mergeCell ref="F1204:H1204"/>
    <mergeCell ref="F1205:H1205"/>
    <mergeCell ref="F1206:H1206"/>
    <mergeCell ref="F1207:H1207"/>
    <mergeCell ref="F1208:H1208"/>
    <mergeCell ref="F1209:H1209"/>
    <mergeCell ref="F1193:H1193"/>
    <mergeCell ref="F1194:H1194"/>
    <mergeCell ref="F1195:H1195"/>
    <mergeCell ref="F1196:H1196"/>
    <mergeCell ref="F1197:H1197"/>
    <mergeCell ref="F1198:H1198"/>
    <mergeCell ref="F1199:H1199"/>
    <mergeCell ref="F1200:H1200"/>
    <mergeCell ref="F1167:H1167"/>
    <mergeCell ref="F1182:H1182"/>
    <mergeCell ref="F1183:H1183"/>
    <mergeCell ref="F1174:H1174"/>
    <mergeCell ref="F1175:H1175"/>
    <mergeCell ref="F1176:H1176"/>
    <mergeCell ref="F1177:H1177"/>
    <mergeCell ref="F1185:H1185"/>
    <mergeCell ref="F1186:H1186"/>
    <mergeCell ref="F1187:H1187"/>
    <mergeCell ref="F1188:H1188"/>
    <mergeCell ref="F1189:H1189"/>
    <mergeCell ref="F1190:H1190"/>
    <mergeCell ref="F1191:H1191"/>
    <mergeCell ref="F1169:H1169"/>
    <mergeCell ref="F1170:H1170"/>
    <mergeCell ref="F1133:H1133"/>
    <mergeCell ref="F1142:H1142"/>
    <mergeCell ref="F1166:H1166"/>
    <mergeCell ref="F1150:H1150"/>
    <mergeCell ref="F1151:H1151"/>
    <mergeCell ref="F1152:H1152"/>
    <mergeCell ref="F1153:H1153"/>
    <mergeCell ref="F1154:H1154"/>
    <mergeCell ref="F1155:H1155"/>
    <mergeCell ref="F1156:H1156"/>
    <mergeCell ref="F1157:H1157"/>
    <mergeCell ref="F1158:H1158"/>
    <mergeCell ref="F1159:H1159"/>
    <mergeCell ref="F1160:H1160"/>
    <mergeCell ref="F1161:H1161"/>
    <mergeCell ref="F1162:H1162"/>
    <mergeCell ref="F1163:H1163"/>
    <mergeCell ref="F1164:H1164"/>
    <mergeCell ref="F1165:H1165"/>
    <mergeCell ref="F1146:H1146"/>
    <mergeCell ref="F1147:H1147"/>
    <mergeCell ref="F1148:H1148"/>
    <mergeCell ref="F1149:H1149"/>
    <mergeCell ref="F1143:H1143"/>
    <mergeCell ref="F1144:H1144"/>
    <mergeCell ref="F1145:H1145"/>
    <mergeCell ref="F1134:H1134"/>
    <mergeCell ref="F1135:H1135"/>
    <mergeCell ref="F1136:H1136"/>
    <mergeCell ref="F1096:H1096"/>
    <mergeCell ref="F1093:H1093"/>
    <mergeCell ref="F1087:H1087"/>
    <mergeCell ref="F1088:H1088"/>
    <mergeCell ref="F1089:H1089"/>
    <mergeCell ref="F1090:H1090"/>
    <mergeCell ref="F1091:H1091"/>
    <mergeCell ref="F1092:H1092"/>
    <mergeCell ref="F1085:H1085"/>
    <mergeCell ref="F1086:H1086"/>
    <mergeCell ref="F1076:H1076"/>
    <mergeCell ref="F1077:H1077"/>
    <mergeCell ref="F1078:H1078"/>
    <mergeCell ref="F1079:H1079"/>
    <mergeCell ref="F1080:H1080"/>
    <mergeCell ref="F1081:H1081"/>
    <mergeCell ref="F1082:H1082"/>
    <mergeCell ref="F1083:H1083"/>
    <mergeCell ref="F1084:H1084"/>
    <mergeCell ref="F1070:H1070"/>
    <mergeCell ref="F1071:H1071"/>
    <mergeCell ref="F1072:H1072"/>
    <mergeCell ref="F1073:H1073"/>
    <mergeCell ref="F1074:H1074"/>
    <mergeCell ref="F1075:H1075"/>
    <mergeCell ref="F1044:H1044"/>
    <mergeCell ref="F1045:H1045"/>
    <mergeCell ref="F1046:H1046"/>
    <mergeCell ref="F1047:H1047"/>
    <mergeCell ref="F1048:H1048"/>
    <mergeCell ref="F1049:H1049"/>
    <mergeCell ref="F1050:H1050"/>
    <mergeCell ref="F1051:H1051"/>
    <mergeCell ref="F1052:H1052"/>
    <mergeCell ref="F1053:H1053"/>
    <mergeCell ref="F1054:H1054"/>
    <mergeCell ref="F1055:H1055"/>
    <mergeCell ref="F1056:H1056"/>
    <mergeCell ref="F1057:H1057"/>
    <mergeCell ref="F1058:H1058"/>
    <mergeCell ref="F1059:H1059"/>
    <mergeCell ref="F1060:H1060"/>
    <mergeCell ref="F1061:H1061"/>
    <mergeCell ref="F1062:H1062"/>
    <mergeCell ref="F1063:H1063"/>
    <mergeCell ref="F1064:H1064"/>
    <mergeCell ref="F1065:H1065"/>
    <mergeCell ref="F1066:H1066"/>
    <mergeCell ref="F1067:H1067"/>
    <mergeCell ref="F1068:H1068"/>
    <mergeCell ref="F1069:H1069"/>
    <mergeCell ref="F1043:H1043"/>
    <mergeCell ref="F1016:H1016"/>
    <mergeCell ref="F1017:H1017"/>
    <mergeCell ref="F1018:H1018"/>
    <mergeCell ref="F1019:H1019"/>
    <mergeCell ref="F1020:H1020"/>
    <mergeCell ref="F1021:H1021"/>
    <mergeCell ref="F1022:H1022"/>
    <mergeCell ref="F1023:H1023"/>
    <mergeCell ref="F1024:H1024"/>
    <mergeCell ref="F1025:H1025"/>
    <mergeCell ref="F1026:H1026"/>
    <mergeCell ref="F1027:H1027"/>
    <mergeCell ref="F1028:H1028"/>
    <mergeCell ref="F1029:H1029"/>
    <mergeCell ref="F1030:H1030"/>
    <mergeCell ref="F1031:H1031"/>
    <mergeCell ref="F1032:H1032"/>
    <mergeCell ref="F1033:H1033"/>
    <mergeCell ref="F1034:H1034"/>
    <mergeCell ref="F1035:H1035"/>
    <mergeCell ref="F1036:H1036"/>
    <mergeCell ref="F1037:H1037"/>
    <mergeCell ref="F1038:H1038"/>
    <mergeCell ref="F1039:H1039"/>
    <mergeCell ref="F1040:H1040"/>
    <mergeCell ref="F1041:H1041"/>
    <mergeCell ref="F1042:H1042"/>
    <mergeCell ref="F1015:H1015"/>
    <mergeCell ref="F962:H962"/>
    <mergeCell ref="F963:H963"/>
    <mergeCell ref="F964:H964"/>
    <mergeCell ref="F965:H965"/>
    <mergeCell ref="F966:H966"/>
    <mergeCell ref="F967:H967"/>
    <mergeCell ref="F968:H968"/>
    <mergeCell ref="F969:H969"/>
    <mergeCell ref="F970:H970"/>
    <mergeCell ref="F971:H971"/>
    <mergeCell ref="F972:H972"/>
    <mergeCell ref="F973:H973"/>
    <mergeCell ref="F974:H974"/>
    <mergeCell ref="F975:H975"/>
    <mergeCell ref="F976:H976"/>
    <mergeCell ref="F977:H977"/>
    <mergeCell ref="F978:H978"/>
    <mergeCell ref="F984:H984"/>
    <mergeCell ref="F985:H985"/>
    <mergeCell ref="F986:H986"/>
    <mergeCell ref="F987:H987"/>
    <mergeCell ref="F988:H988"/>
    <mergeCell ref="F935:H935"/>
    <mergeCell ref="F936:H936"/>
    <mergeCell ref="F937:H937"/>
    <mergeCell ref="F938:H938"/>
    <mergeCell ref="F939:H939"/>
    <mergeCell ref="F940:H940"/>
    <mergeCell ref="F941:H941"/>
    <mergeCell ref="F942:H942"/>
    <mergeCell ref="F943:H943"/>
    <mergeCell ref="F944:H944"/>
    <mergeCell ref="F945:H945"/>
    <mergeCell ref="F946:H946"/>
    <mergeCell ref="F947:H947"/>
    <mergeCell ref="F948:H948"/>
    <mergeCell ref="F949:H949"/>
    <mergeCell ref="F950:H950"/>
    <mergeCell ref="F951:H951"/>
    <mergeCell ref="F952:H952"/>
    <mergeCell ref="F953:H953"/>
    <mergeCell ref="F954:H954"/>
    <mergeCell ref="F955:H955"/>
    <mergeCell ref="F956:H956"/>
    <mergeCell ref="F957:H957"/>
    <mergeCell ref="F958:H958"/>
    <mergeCell ref="F959:H959"/>
    <mergeCell ref="F960:H960"/>
    <mergeCell ref="F961:H961"/>
    <mergeCell ref="F908:H908"/>
    <mergeCell ref="F909:H909"/>
    <mergeCell ref="F910:H910"/>
    <mergeCell ref="F911:H911"/>
    <mergeCell ref="F912:H912"/>
    <mergeCell ref="F913:H913"/>
    <mergeCell ref="F914:H914"/>
    <mergeCell ref="F915:H915"/>
    <mergeCell ref="F916:H916"/>
    <mergeCell ref="F917:H917"/>
    <mergeCell ref="F918:H918"/>
    <mergeCell ref="F919:H919"/>
    <mergeCell ref="F920:H920"/>
    <mergeCell ref="F921:H921"/>
    <mergeCell ref="F922:H922"/>
    <mergeCell ref="F923:H923"/>
    <mergeCell ref="F924:H924"/>
    <mergeCell ref="F925:H925"/>
    <mergeCell ref="F926:H926"/>
    <mergeCell ref="F927:H927"/>
    <mergeCell ref="F928:H928"/>
    <mergeCell ref="F929:H929"/>
    <mergeCell ref="F930:H930"/>
    <mergeCell ref="F931:H931"/>
    <mergeCell ref="F932:H932"/>
    <mergeCell ref="F933:H933"/>
    <mergeCell ref="F934:H934"/>
    <mergeCell ref="F881:H881"/>
    <mergeCell ref="F882:H882"/>
    <mergeCell ref="F883:H883"/>
    <mergeCell ref="F884:H884"/>
    <mergeCell ref="F885:H885"/>
    <mergeCell ref="F886:H886"/>
    <mergeCell ref="F887:H887"/>
    <mergeCell ref="F888:H888"/>
    <mergeCell ref="F889:H889"/>
    <mergeCell ref="F890:H890"/>
    <mergeCell ref="F891:H891"/>
    <mergeCell ref="F892:H892"/>
    <mergeCell ref="F893:H893"/>
    <mergeCell ref="F894:H894"/>
    <mergeCell ref="F895:H895"/>
    <mergeCell ref="F896:H896"/>
    <mergeCell ref="F897:H897"/>
    <mergeCell ref="F898:H898"/>
    <mergeCell ref="F899:H899"/>
    <mergeCell ref="F900:H900"/>
    <mergeCell ref="F901:H901"/>
    <mergeCell ref="F902:H902"/>
    <mergeCell ref="F903:H903"/>
    <mergeCell ref="F904:H904"/>
    <mergeCell ref="F905:H905"/>
    <mergeCell ref="F906:H906"/>
    <mergeCell ref="F907:H907"/>
    <mergeCell ref="F854:H854"/>
    <mergeCell ref="F855:H855"/>
    <mergeCell ref="F856:H856"/>
    <mergeCell ref="F857:H857"/>
    <mergeCell ref="F858:H858"/>
    <mergeCell ref="F859:H859"/>
    <mergeCell ref="F860:H860"/>
    <mergeCell ref="F861:H861"/>
    <mergeCell ref="F862:H862"/>
    <mergeCell ref="F863:H863"/>
    <mergeCell ref="F864:H864"/>
    <mergeCell ref="F865:H865"/>
    <mergeCell ref="F866:H866"/>
    <mergeCell ref="F867:H867"/>
    <mergeCell ref="F868:H868"/>
    <mergeCell ref="F869:H869"/>
    <mergeCell ref="F870:H870"/>
    <mergeCell ref="F871:H871"/>
    <mergeCell ref="F872:H872"/>
    <mergeCell ref="F873:H873"/>
    <mergeCell ref="F874:H874"/>
    <mergeCell ref="F875:H875"/>
    <mergeCell ref="F876:H876"/>
    <mergeCell ref="F877:H877"/>
    <mergeCell ref="F878:H878"/>
    <mergeCell ref="F879:H879"/>
    <mergeCell ref="F880:H880"/>
    <mergeCell ref="F827:H827"/>
    <mergeCell ref="F828:H828"/>
    <mergeCell ref="F829:H829"/>
    <mergeCell ref="F830:H830"/>
    <mergeCell ref="F831:H831"/>
    <mergeCell ref="F832:H832"/>
    <mergeCell ref="F833:H833"/>
    <mergeCell ref="F834:H834"/>
    <mergeCell ref="F835:H835"/>
    <mergeCell ref="F836:H836"/>
    <mergeCell ref="F837:H837"/>
    <mergeCell ref="F838:H838"/>
    <mergeCell ref="F839:H839"/>
    <mergeCell ref="F840:H840"/>
    <mergeCell ref="F841:H841"/>
    <mergeCell ref="F842:H842"/>
    <mergeCell ref="F843:H843"/>
    <mergeCell ref="F844:H844"/>
    <mergeCell ref="F845:H845"/>
    <mergeCell ref="F846:H846"/>
    <mergeCell ref="F847:H847"/>
    <mergeCell ref="F848:H848"/>
    <mergeCell ref="F853:H853"/>
    <mergeCell ref="F741:H741"/>
    <mergeCell ref="F742:H742"/>
    <mergeCell ref="F672:H672"/>
    <mergeCell ref="F673:H673"/>
    <mergeCell ref="F674:H674"/>
    <mergeCell ref="F675:H675"/>
    <mergeCell ref="F676:H676"/>
    <mergeCell ref="F677:H677"/>
    <mergeCell ref="F678:H678"/>
    <mergeCell ref="F679:H679"/>
    <mergeCell ref="F680:H680"/>
    <mergeCell ref="F681:H681"/>
    <mergeCell ref="F682:H682"/>
    <mergeCell ref="F683:H683"/>
    <mergeCell ref="F684:H684"/>
    <mergeCell ref="F685:H685"/>
    <mergeCell ref="F686:H686"/>
    <mergeCell ref="F687:H687"/>
    <mergeCell ref="F688:H688"/>
    <mergeCell ref="F689:H689"/>
    <mergeCell ref="F690:H690"/>
    <mergeCell ref="F691:H691"/>
    <mergeCell ref="F699:H699"/>
    <mergeCell ref="F700:H700"/>
    <mergeCell ref="F701:H701"/>
    <mergeCell ref="F702:H702"/>
    <mergeCell ref="F703:H703"/>
    <mergeCell ref="F697:H697"/>
    <mergeCell ref="F698:H698"/>
    <mergeCell ref="F708:H708"/>
    <mergeCell ref="F709:H709"/>
    <mergeCell ref="F712:H712"/>
    <mergeCell ref="F713:H713"/>
    <mergeCell ref="F714:H714"/>
    <mergeCell ref="F715:H715"/>
    <mergeCell ref="F716:H716"/>
    <mergeCell ref="F717:H717"/>
    <mergeCell ref="F718:H718"/>
    <mergeCell ref="F719:H719"/>
    <mergeCell ref="F720:H720"/>
    <mergeCell ref="F849:H849"/>
    <mergeCell ref="F850:H850"/>
    <mergeCell ref="F851:H851"/>
    <mergeCell ref="F852:H852"/>
    <mergeCell ref="F740:H740"/>
    <mergeCell ref="F671:H671"/>
    <mergeCell ref="F738:H738"/>
    <mergeCell ref="F739:H739"/>
    <mergeCell ref="F723:H723"/>
    <mergeCell ref="F724:H724"/>
    <mergeCell ref="F725:H725"/>
    <mergeCell ref="F726:H726"/>
    <mergeCell ref="F727:H727"/>
    <mergeCell ref="F728:H728"/>
    <mergeCell ref="F729:H729"/>
    <mergeCell ref="F730:H730"/>
    <mergeCell ref="F731:H731"/>
    <mergeCell ref="F732:H732"/>
    <mergeCell ref="F733:H733"/>
    <mergeCell ref="F734:H734"/>
    <mergeCell ref="F735:H735"/>
    <mergeCell ref="F736:H736"/>
    <mergeCell ref="F737:H737"/>
    <mergeCell ref="F599:H599"/>
    <mergeCell ref="F600:H600"/>
    <mergeCell ref="F601:H601"/>
    <mergeCell ref="F602:H602"/>
    <mergeCell ref="F603:H603"/>
    <mergeCell ref="F604:H604"/>
    <mergeCell ref="F605:H605"/>
    <mergeCell ref="F606:H606"/>
    <mergeCell ref="F607:H607"/>
    <mergeCell ref="F608:H608"/>
    <mergeCell ref="F609:H609"/>
    <mergeCell ref="F610:H610"/>
    <mergeCell ref="F611:H611"/>
    <mergeCell ref="F612:H612"/>
    <mergeCell ref="F613:H613"/>
    <mergeCell ref="F614:H614"/>
    <mergeCell ref="F615:H615"/>
    <mergeCell ref="F616:H616"/>
    <mergeCell ref="F617:H617"/>
    <mergeCell ref="F618:H618"/>
    <mergeCell ref="F619:H619"/>
    <mergeCell ref="F620:H620"/>
    <mergeCell ref="F621:H621"/>
    <mergeCell ref="F624:H624"/>
    <mergeCell ref="F657:H657"/>
    <mergeCell ref="F658:H658"/>
    <mergeCell ref="F625:H625"/>
    <mergeCell ref="F626:H626"/>
    <mergeCell ref="F721:H721"/>
    <mergeCell ref="F722:H722"/>
    <mergeCell ref="F633:H633"/>
    <mergeCell ref="F634:H634"/>
    <mergeCell ref="F635:H635"/>
    <mergeCell ref="F636:H636"/>
    <mergeCell ref="F637:H637"/>
    <mergeCell ref="F638:H638"/>
    <mergeCell ref="F639:H639"/>
    <mergeCell ref="F640:H640"/>
    <mergeCell ref="F641:H641"/>
    <mergeCell ref="F642:H642"/>
    <mergeCell ref="F643:H643"/>
    <mergeCell ref="F623:H623"/>
    <mergeCell ref="F666:H666"/>
    <mergeCell ref="F667:H667"/>
    <mergeCell ref="F668:H668"/>
    <mergeCell ref="F669:H669"/>
    <mergeCell ref="F670:H670"/>
    <mergeCell ref="F710:H710"/>
    <mergeCell ref="F711:H711"/>
    <mergeCell ref="F704:H704"/>
    <mergeCell ref="F705:H705"/>
    <mergeCell ref="F706:H706"/>
    <mergeCell ref="F707:H707"/>
    <mergeCell ref="F560:H560"/>
    <mergeCell ref="F561:H561"/>
    <mergeCell ref="F585:H585"/>
    <mergeCell ref="F586:H586"/>
    <mergeCell ref="F587:H587"/>
    <mergeCell ref="F588:H588"/>
    <mergeCell ref="F589:H589"/>
    <mergeCell ref="F590:H590"/>
    <mergeCell ref="F591:H591"/>
    <mergeCell ref="F592:H592"/>
    <mergeCell ref="F593:H593"/>
    <mergeCell ref="F594:H594"/>
    <mergeCell ref="F595:H595"/>
    <mergeCell ref="F562:H562"/>
    <mergeCell ref="F563:H563"/>
    <mergeCell ref="F571:H571"/>
    <mergeCell ref="F572:H572"/>
    <mergeCell ref="F573:H573"/>
    <mergeCell ref="F574:H574"/>
    <mergeCell ref="F575:H575"/>
    <mergeCell ref="F576:H576"/>
    <mergeCell ref="F577:H577"/>
    <mergeCell ref="F578:H578"/>
    <mergeCell ref="F596:H596"/>
    <mergeCell ref="F597:H597"/>
    <mergeCell ref="F622:H622"/>
    <mergeCell ref="F566:H566"/>
    <mergeCell ref="F567:H567"/>
    <mergeCell ref="F659:H659"/>
    <mergeCell ref="F660:H660"/>
    <mergeCell ref="F661:H661"/>
    <mergeCell ref="F662:H662"/>
    <mergeCell ref="F663:H663"/>
    <mergeCell ref="F664:H664"/>
    <mergeCell ref="F665:H665"/>
    <mergeCell ref="F644:H644"/>
    <mergeCell ref="F645:H645"/>
    <mergeCell ref="F646:H646"/>
    <mergeCell ref="F647:H647"/>
    <mergeCell ref="F648:H648"/>
    <mergeCell ref="F649:H649"/>
    <mergeCell ref="F650:H650"/>
    <mergeCell ref="F651:H651"/>
    <mergeCell ref="F652:H652"/>
    <mergeCell ref="F653:H653"/>
    <mergeCell ref="F654:H654"/>
    <mergeCell ref="F655:H655"/>
    <mergeCell ref="F656:H656"/>
    <mergeCell ref="F627:H627"/>
    <mergeCell ref="F628:H628"/>
    <mergeCell ref="F629:H629"/>
    <mergeCell ref="F630:H630"/>
    <mergeCell ref="F631:H631"/>
    <mergeCell ref="F632:H632"/>
    <mergeCell ref="F598:H598"/>
    <mergeCell ref="F583:H583"/>
    <mergeCell ref="F584:H584"/>
    <mergeCell ref="F580:H580"/>
    <mergeCell ref="F526:H526"/>
    <mergeCell ref="F527:H527"/>
    <mergeCell ref="F528:H528"/>
    <mergeCell ref="F529:H529"/>
    <mergeCell ref="F530:H530"/>
    <mergeCell ref="F531:H531"/>
    <mergeCell ref="F532:H532"/>
    <mergeCell ref="F533:H533"/>
    <mergeCell ref="F534:H534"/>
    <mergeCell ref="F535:H535"/>
    <mergeCell ref="F536:H536"/>
    <mergeCell ref="F537:H537"/>
    <mergeCell ref="F538:H538"/>
    <mergeCell ref="F539:H539"/>
    <mergeCell ref="F540:H540"/>
    <mergeCell ref="F541:H541"/>
    <mergeCell ref="F542:H542"/>
    <mergeCell ref="F581:H581"/>
    <mergeCell ref="F582:H582"/>
    <mergeCell ref="F545:H545"/>
    <mergeCell ref="F546:H546"/>
    <mergeCell ref="F547:H547"/>
    <mergeCell ref="F548:H548"/>
    <mergeCell ref="F549:H549"/>
    <mergeCell ref="F505:H505"/>
    <mergeCell ref="F553:H553"/>
    <mergeCell ref="F554:H554"/>
    <mergeCell ref="F555:H555"/>
    <mergeCell ref="F556:H556"/>
    <mergeCell ref="F557:H557"/>
    <mergeCell ref="F558:H558"/>
    <mergeCell ref="F499:H499"/>
    <mergeCell ref="F500:H500"/>
    <mergeCell ref="F579:H579"/>
    <mergeCell ref="F559:H559"/>
    <mergeCell ref="F564:H564"/>
    <mergeCell ref="F565:H565"/>
    <mergeCell ref="F568:H568"/>
    <mergeCell ref="F569:H569"/>
    <mergeCell ref="F570:H570"/>
    <mergeCell ref="F550:H550"/>
    <mergeCell ref="F551:H551"/>
    <mergeCell ref="F552:H552"/>
    <mergeCell ref="F506:H506"/>
    <mergeCell ref="F502:H502"/>
    <mergeCell ref="F503:H503"/>
    <mergeCell ref="F544:H544"/>
    <mergeCell ref="F521:H521"/>
    <mergeCell ref="F543:H543"/>
    <mergeCell ref="F443:H443"/>
    <mergeCell ref="F444:H444"/>
    <mergeCell ref="F445:H445"/>
    <mergeCell ref="F446:H446"/>
    <mergeCell ref="F470:H470"/>
    <mergeCell ref="F524:H524"/>
    <mergeCell ref="F525:H525"/>
    <mergeCell ref="F518:H518"/>
    <mergeCell ref="F519:H519"/>
    <mergeCell ref="F517:H517"/>
    <mergeCell ref="F484:H484"/>
    <mergeCell ref="F485:H485"/>
    <mergeCell ref="F486:H486"/>
    <mergeCell ref="F487:H487"/>
    <mergeCell ref="F496:H496"/>
    <mergeCell ref="F497:H497"/>
    <mergeCell ref="F498:H498"/>
    <mergeCell ref="F477:H477"/>
    <mergeCell ref="F478:H478"/>
    <mergeCell ref="F479:H479"/>
    <mergeCell ref="F480:H480"/>
    <mergeCell ref="F481:H481"/>
    <mergeCell ref="F467:H467"/>
    <mergeCell ref="F447:H447"/>
    <mergeCell ref="F448:H448"/>
    <mergeCell ref="F492:H492"/>
    <mergeCell ref="F454:H454"/>
    <mergeCell ref="F455:H455"/>
    <mergeCell ref="F456:H456"/>
    <mergeCell ref="F457:H457"/>
    <mergeCell ref="F458:H458"/>
    <mergeCell ref="F459:H459"/>
    <mergeCell ref="F493:H493"/>
    <mergeCell ref="F494:H494"/>
    <mergeCell ref="F495:H495"/>
    <mergeCell ref="F520:H520"/>
    <mergeCell ref="F522:H522"/>
    <mergeCell ref="F523:H523"/>
    <mergeCell ref="F513:H513"/>
    <mergeCell ref="F514:H514"/>
    <mergeCell ref="F515:H515"/>
    <mergeCell ref="F516:H516"/>
    <mergeCell ref="F504:H504"/>
    <mergeCell ref="F501:H501"/>
    <mergeCell ref="F468:H468"/>
    <mergeCell ref="F469:H469"/>
    <mergeCell ref="F476:H476"/>
    <mergeCell ref="F482:H482"/>
    <mergeCell ref="F483:H483"/>
    <mergeCell ref="F488:H488"/>
    <mergeCell ref="F489:H489"/>
    <mergeCell ref="F490:H490"/>
    <mergeCell ref="F491:H491"/>
    <mergeCell ref="F471:H471"/>
    <mergeCell ref="F472:H472"/>
    <mergeCell ref="F473:H473"/>
    <mergeCell ref="F474:H474"/>
    <mergeCell ref="F475:H475"/>
    <mergeCell ref="F507:H507"/>
    <mergeCell ref="F508:H508"/>
    <mergeCell ref="F509:H509"/>
    <mergeCell ref="F510:H510"/>
    <mergeCell ref="F511:H511"/>
    <mergeCell ref="F512:H512"/>
    <mergeCell ref="F361:H361"/>
    <mergeCell ref="F449:H449"/>
    <mergeCell ref="F450:H450"/>
    <mergeCell ref="F451:H451"/>
    <mergeCell ref="F452:H452"/>
    <mergeCell ref="F453:H453"/>
    <mergeCell ref="F439:H439"/>
    <mergeCell ref="F406:H406"/>
    <mergeCell ref="F407:H407"/>
    <mergeCell ref="F408:H408"/>
    <mergeCell ref="F409:H409"/>
    <mergeCell ref="F410:H410"/>
    <mergeCell ref="F411:H411"/>
    <mergeCell ref="F378:H378"/>
    <mergeCell ref="F413:H413"/>
    <mergeCell ref="F414:H414"/>
    <mergeCell ref="F441:H441"/>
    <mergeCell ref="F423:H423"/>
    <mergeCell ref="F397:H397"/>
    <mergeCell ref="F398:H398"/>
    <mergeCell ref="F442:H442"/>
    <mergeCell ref="F401:H401"/>
    <mergeCell ref="F402:H402"/>
    <mergeCell ref="F403:H403"/>
    <mergeCell ref="F405:H405"/>
    <mergeCell ref="F412:H412"/>
    <mergeCell ref="F384:H384"/>
    <mergeCell ref="F385:H385"/>
    <mergeCell ref="F386:H386"/>
    <mergeCell ref="F387:H387"/>
    <mergeCell ref="F388:H388"/>
    <mergeCell ref="F389:H389"/>
    <mergeCell ref="F310:H310"/>
    <mergeCell ref="F311:H311"/>
    <mergeCell ref="F312:H312"/>
    <mergeCell ref="F313:H313"/>
    <mergeCell ref="F314:H314"/>
    <mergeCell ref="F315:H315"/>
    <mergeCell ref="F316:H316"/>
    <mergeCell ref="F317:H317"/>
    <mergeCell ref="F318:H318"/>
    <mergeCell ref="F319:H319"/>
    <mergeCell ref="F320:H320"/>
    <mergeCell ref="F321:H321"/>
    <mergeCell ref="F322:H322"/>
    <mergeCell ref="F323:H323"/>
    <mergeCell ref="F324:H324"/>
    <mergeCell ref="F325:H325"/>
    <mergeCell ref="F326:H326"/>
    <mergeCell ref="F337:H337"/>
    <mergeCell ref="F338:H338"/>
    <mergeCell ref="F339:H339"/>
    <mergeCell ref="F340:H340"/>
    <mergeCell ref="F341:H341"/>
    <mergeCell ref="F329:H329"/>
    <mergeCell ref="F330:H330"/>
    <mergeCell ref="F331:H331"/>
    <mergeCell ref="F332:H332"/>
    <mergeCell ref="F333:H333"/>
    <mergeCell ref="F334:H334"/>
    <mergeCell ref="F335:H335"/>
    <mergeCell ref="F440:H440"/>
    <mergeCell ref="F424:H424"/>
    <mergeCell ref="F425:H425"/>
    <mergeCell ref="F426:H426"/>
    <mergeCell ref="F427:H427"/>
    <mergeCell ref="F428:H428"/>
    <mergeCell ref="F429:H429"/>
    <mergeCell ref="F430:H430"/>
    <mergeCell ref="F431:H431"/>
    <mergeCell ref="F432:H432"/>
    <mergeCell ref="F433:H433"/>
    <mergeCell ref="F434:H434"/>
    <mergeCell ref="F435:H435"/>
    <mergeCell ref="F436:H436"/>
    <mergeCell ref="F437:H437"/>
    <mergeCell ref="F438:H438"/>
    <mergeCell ref="F404:H404"/>
    <mergeCell ref="F399:H399"/>
    <mergeCell ref="F400:H400"/>
    <mergeCell ref="F360:H360"/>
    <mergeCell ref="F343:H343"/>
    <mergeCell ref="F415:H415"/>
    <mergeCell ref="F416:H416"/>
    <mergeCell ref="F417:H417"/>
    <mergeCell ref="F418:H418"/>
    <mergeCell ref="F419:H419"/>
    <mergeCell ref="F420:H420"/>
    <mergeCell ref="F421:H421"/>
    <mergeCell ref="F422:H422"/>
    <mergeCell ref="F255:H255"/>
    <mergeCell ref="F256:H256"/>
    <mergeCell ref="F257:H257"/>
    <mergeCell ref="F258:H258"/>
    <mergeCell ref="F259:H259"/>
    <mergeCell ref="F260:H260"/>
    <mergeCell ref="F261:H261"/>
    <mergeCell ref="F285:H285"/>
    <mergeCell ref="F286:H286"/>
    <mergeCell ref="F287:H287"/>
    <mergeCell ref="F288:H288"/>
    <mergeCell ref="F289:H289"/>
    <mergeCell ref="F362:H362"/>
    <mergeCell ref="F363:H363"/>
    <mergeCell ref="F364:H364"/>
    <mergeCell ref="F365:H365"/>
    <mergeCell ref="F366:H366"/>
    <mergeCell ref="F345:H345"/>
    <mergeCell ref="F346:H346"/>
    <mergeCell ref="F347:H347"/>
    <mergeCell ref="F348:H348"/>
    <mergeCell ref="F349:H349"/>
    <mergeCell ref="F336:H336"/>
    <mergeCell ref="F351:H351"/>
    <mergeCell ref="F352:H352"/>
    <mergeCell ref="F353:H353"/>
    <mergeCell ref="F354:H354"/>
    <mergeCell ref="F355:H355"/>
    <mergeCell ref="F356:H356"/>
    <mergeCell ref="F357:H357"/>
    <mergeCell ref="F358:H358"/>
    <mergeCell ref="F359:H359"/>
    <mergeCell ref="F238:H238"/>
    <mergeCell ref="F239:H239"/>
    <mergeCell ref="F240:H240"/>
    <mergeCell ref="F241:H241"/>
    <mergeCell ref="F242:H242"/>
    <mergeCell ref="F243:H243"/>
    <mergeCell ref="F244:H244"/>
    <mergeCell ref="F245:H245"/>
    <mergeCell ref="F246:H246"/>
    <mergeCell ref="F247:H247"/>
    <mergeCell ref="F248:H248"/>
    <mergeCell ref="F249:H249"/>
    <mergeCell ref="F250:H250"/>
    <mergeCell ref="F251:H251"/>
    <mergeCell ref="F252:H252"/>
    <mergeCell ref="F253:H253"/>
    <mergeCell ref="F254:H254"/>
    <mergeCell ref="F281:H281"/>
    <mergeCell ref="F282:H282"/>
    <mergeCell ref="F283:H283"/>
    <mergeCell ref="F284:H284"/>
    <mergeCell ref="F290:H290"/>
    <mergeCell ref="F342:H342"/>
    <mergeCell ref="F291:H291"/>
    <mergeCell ref="F292:H292"/>
    <mergeCell ref="F293:H293"/>
    <mergeCell ref="F294:H294"/>
    <mergeCell ref="F295:H295"/>
    <mergeCell ref="F262:H262"/>
    <mergeCell ref="F263:H263"/>
    <mergeCell ref="F264:H264"/>
    <mergeCell ref="F265:H265"/>
    <mergeCell ref="F266:H266"/>
    <mergeCell ref="F267:H267"/>
    <mergeCell ref="F268:H268"/>
    <mergeCell ref="F269:H269"/>
    <mergeCell ref="F270:H270"/>
    <mergeCell ref="F271:H271"/>
    <mergeCell ref="F272:H272"/>
    <mergeCell ref="F273:H273"/>
    <mergeCell ref="F274:H274"/>
    <mergeCell ref="F275:H275"/>
    <mergeCell ref="F276:H276"/>
    <mergeCell ref="F277:H277"/>
    <mergeCell ref="F278:H278"/>
    <mergeCell ref="F296:H296"/>
    <mergeCell ref="F297:H297"/>
    <mergeCell ref="F298:H298"/>
    <mergeCell ref="F299:H299"/>
    <mergeCell ref="F300:H300"/>
    <mergeCell ref="F301:H301"/>
    <mergeCell ref="F302:H302"/>
    <mergeCell ref="F303:H303"/>
    <mergeCell ref="F304:H304"/>
    <mergeCell ref="F305:H305"/>
    <mergeCell ref="F306:H306"/>
    <mergeCell ref="F307:H307"/>
    <mergeCell ref="F308:H308"/>
    <mergeCell ref="F309:H309"/>
    <mergeCell ref="F379:H379"/>
    <mergeCell ref="F380:H380"/>
    <mergeCell ref="F381:H381"/>
    <mergeCell ref="F367:H367"/>
    <mergeCell ref="F368:H368"/>
    <mergeCell ref="F369:H369"/>
    <mergeCell ref="F370:H370"/>
    <mergeCell ref="F371:H371"/>
    <mergeCell ref="F372:H372"/>
    <mergeCell ref="F373:H373"/>
    <mergeCell ref="F374:H374"/>
    <mergeCell ref="F375:H375"/>
    <mergeCell ref="F376:H376"/>
    <mergeCell ref="F377:H377"/>
    <mergeCell ref="F328:H328"/>
    <mergeCell ref="F327:H327"/>
    <mergeCell ref="F344:H344"/>
    <mergeCell ref="F350:H350"/>
    <mergeCell ref="V4696:V4703"/>
    <mergeCell ref="G4697:H4697"/>
    <mergeCell ref="G4698:H4698"/>
    <mergeCell ref="G4699:H4699"/>
    <mergeCell ref="G4700:H4700"/>
    <mergeCell ref="G4701:H4701"/>
    <mergeCell ref="G4702:H4702"/>
    <mergeCell ref="G4703:H4703"/>
    <mergeCell ref="B4614:O4614"/>
    <mergeCell ref="V4614:AI4614"/>
    <mergeCell ref="D4654:D4661"/>
    <mergeCell ref="G4654:H4654"/>
    <mergeCell ref="V4654:V4661"/>
    <mergeCell ref="G4655:H4655"/>
    <mergeCell ref="G4656:H4656"/>
    <mergeCell ref="G4657:H4657"/>
    <mergeCell ref="G4658:H4658"/>
    <mergeCell ref="G4659:H4659"/>
    <mergeCell ref="G4660:H4661"/>
    <mergeCell ref="D4662:D4669"/>
    <mergeCell ref="V4662:V4669"/>
    <mergeCell ref="G4674:H4674"/>
    <mergeCell ref="G4675:H4675"/>
    <mergeCell ref="G4676:H4676"/>
    <mergeCell ref="G4677:H4677"/>
    <mergeCell ref="G4678:H4678"/>
    <mergeCell ref="G4679:H4680"/>
    <mergeCell ref="G4662:H4669"/>
    <mergeCell ref="G4720:H4720"/>
    <mergeCell ref="G4721:H4721"/>
    <mergeCell ref="G4722:H4722"/>
    <mergeCell ref="D4673:D4681"/>
    <mergeCell ref="V4673:V4681"/>
    <mergeCell ref="D4708:D4710"/>
    <mergeCell ref="D4704:D4705"/>
    <mergeCell ref="G4704:H4704"/>
    <mergeCell ref="V4704:V4705"/>
    <mergeCell ref="G4705:H4705"/>
    <mergeCell ref="G4706:H4706"/>
    <mergeCell ref="G4707:H4707"/>
    <mergeCell ref="G4708:H4708"/>
    <mergeCell ref="G4711:H4711"/>
    <mergeCell ref="D4712:D4719"/>
    <mergeCell ref="G4712:H4712"/>
    <mergeCell ref="V4712:V4719"/>
    <mergeCell ref="G4713:H4713"/>
    <mergeCell ref="G4714:H4714"/>
    <mergeCell ref="G4715:H4715"/>
    <mergeCell ref="G4716:H4716"/>
    <mergeCell ref="G4717:H4717"/>
    <mergeCell ref="G4718:H4718"/>
    <mergeCell ref="G4719:H4719"/>
    <mergeCell ref="D4682:D4685"/>
    <mergeCell ref="G4682:H4685"/>
    <mergeCell ref="V4682:V4685"/>
    <mergeCell ref="G4686:H4686"/>
    <mergeCell ref="D4687:D4694"/>
    <mergeCell ref="G4687:H4694"/>
    <mergeCell ref="V4687:V4694"/>
    <mergeCell ref="G4695:H4695"/>
    <mergeCell ref="D1417:D1424"/>
    <mergeCell ref="E1417:E1424"/>
    <mergeCell ref="L1417:L1424"/>
    <mergeCell ref="F1423:H1423"/>
    <mergeCell ref="F1424:H1424"/>
    <mergeCell ref="D1425:D1432"/>
    <mergeCell ref="D1433:D1440"/>
    <mergeCell ref="D1441:D1448"/>
    <mergeCell ref="D1449:D1456"/>
    <mergeCell ref="D1457:D1464"/>
    <mergeCell ref="D1465:D1472"/>
    <mergeCell ref="V1417:V1424"/>
    <mergeCell ref="V1425:V1432"/>
    <mergeCell ref="V1433:V1440"/>
    <mergeCell ref="V1441:V1448"/>
    <mergeCell ref="V1449:V1456"/>
    <mergeCell ref="V1457:V1464"/>
    <mergeCell ref="V1465:V1472"/>
    <mergeCell ref="F1427:H1427"/>
    <mergeCell ref="F1425:H1425"/>
    <mergeCell ref="F1429:H1429"/>
    <mergeCell ref="F1430:H1430"/>
    <mergeCell ref="F1428:H1428"/>
    <mergeCell ref="F1443:H1443"/>
    <mergeCell ref="F1444:H1444"/>
    <mergeCell ref="F1435:H1435"/>
    <mergeCell ref="F1433:H1433"/>
    <mergeCell ref="F1437:H1437"/>
    <mergeCell ref="F1438:H1438"/>
    <mergeCell ref="F1418:H1418"/>
    <mergeCell ref="F1420:H1420"/>
    <mergeCell ref="F1421:H1421"/>
    <mergeCell ref="L1465:L1472"/>
    <mergeCell ref="F1500:H1500"/>
    <mergeCell ref="F1501:H1501"/>
    <mergeCell ref="F1486:H1486"/>
    <mergeCell ref="F1487:H1487"/>
    <mergeCell ref="F1471:H1471"/>
    <mergeCell ref="F1472:H1472"/>
    <mergeCell ref="F1463:H1463"/>
    <mergeCell ref="F1464:H1464"/>
    <mergeCell ref="F1455:H1455"/>
    <mergeCell ref="F1456:H1456"/>
    <mergeCell ref="F1447:H1447"/>
    <mergeCell ref="F1448:H1448"/>
    <mergeCell ref="F1439:H1439"/>
    <mergeCell ref="F1440:H1440"/>
    <mergeCell ref="F1431:H1431"/>
    <mergeCell ref="F1432:H1432"/>
    <mergeCell ref="F1446:H1446"/>
    <mergeCell ref="F1434:H1434"/>
    <mergeCell ref="G4709:H4709"/>
    <mergeCell ref="G4710:H4710"/>
    <mergeCell ref="D4424:D4467"/>
    <mergeCell ref="E4424:E4467"/>
    <mergeCell ref="F4424:I4424"/>
    <mergeCell ref="F4425:I4425"/>
    <mergeCell ref="F4426:I4426"/>
    <mergeCell ref="F4427:I4427"/>
    <mergeCell ref="F4428:I4428"/>
    <mergeCell ref="F4429:I4429"/>
    <mergeCell ref="F4430:I4430"/>
    <mergeCell ref="F4431:I4431"/>
    <mergeCell ref="F4432:I4432"/>
    <mergeCell ref="F4433:I4433"/>
    <mergeCell ref="F4434:I4434"/>
    <mergeCell ref="F4435:I4435"/>
    <mergeCell ref="F4436:I4436"/>
    <mergeCell ref="F4437:I4437"/>
    <mergeCell ref="F4438:I4438"/>
    <mergeCell ref="F4439:I4439"/>
    <mergeCell ref="F4440:I4440"/>
    <mergeCell ref="D4696:D4703"/>
    <mergeCell ref="G4696:H4696"/>
    <mergeCell ref="F4584:H4584"/>
    <mergeCell ref="F4585:H4585"/>
    <mergeCell ref="D4586:D4587"/>
    <mergeCell ref="E4586:E4587"/>
    <mergeCell ref="F4586:H4586"/>
    <mergeCell ref="F4587:H4587"/>
    <mergeCell ref="F4459:I4459"/>
    <mergeCell ref="F4460:I4460"/>
    <mergeCell ref="F4461:I4461"/>
    <mergeCell ref="F4453:I4453"/>
    <mergeCell ref="F4454:I4454"/>
    <mergeCell ref="F4455:I4455"/>
    <mergeCell ref="F4456:I4456"/>
    <mergeCell ref="F4441:I4441"/>
    <mergeCell ref="F4442:I4442"/>
    <mergeCell ref="F4443:I4443"/>
    <mergeCell ref="F4444:I4444"/>
    <mergeCell ref="F4445:I4445"/>
    <mergeCell ref="F4446:I4446"/>
    <mergeCell ref="F4447:I4447"/>
    <mergeCell ref="F4448:I4448"/>
    <mergeCell ref="F4449:I4449"/>
    <mergeCell ref="F4450:I4450"/>
    <mergeCell ref="F4451:I4451"/>
    <mergeCell ref="S1913:T1913"/>
    <mergeCell ref="S1921:T1921"/>
    <mergeCell ref="F2124:I2124"/>
    <mergeCell ref="F2125:I2125"/>
    <mergeCell ref="F2135:I2135"/>
    <mergeCell ref="F2126:I2126"/>
    <mergeCell ref="F2127:I2127"/>
    <mergeCell ref="F2128:I2128"/>
    <mergeCell ref="F2112:I2112"/>
    <mergeCell ref="F2113:I2113"/>
    <mergeCell ref="F2114:I2114"/>
    <mergeCell ref="F2115:I2115"/>
    <mergeCell ref="F2116:I2116"/>
    <mergeCell ref="F2119:I2119"/>
    <mergeCell ref="F2120:I2120"/>
    <mergeCell ref="F2121:I2121"/>
    <mergeCell ref="F2122:I2122"/>
    <mergeCell ref="E26:E33"/>
    <mergeCell ref="J26:J33"/>
    <mergeCell ref="V26:V33"/>
    <mergeCell ref="D37:D44"/>
    <mergeCell ref="S826:T826"/>
    <mergeCell ref="S834:T834"/>
    <mergeCell ref="D1259:D1262"/>
    <mergeCell ref="E1259:E1262"/>
    <mergeCell ref="F1259:H1259"/>
    <mergeCell ref="F1260:H1260"/>
    <mergeCell ref="F1261:H1261"/>
    <mergeCell ref="F1262:H1262"/>
    <mergeCell ref="S165:T165"/>
    <mergeCell ref="S1300:T1300"/>
    <mergeCell ref="S1308:T1308"/>
    <mergeCell ref="S1416:T1416"/>
    <mergeCell ref="F4452:I4452"/>
    <mergeCell ref="F279:H279"/>
    <mergeCell ref="F280:H280"/>
    <mergeCell ref="V1474:V1487"/>
    <mergeCell ref="V1488:V1501"/>
    <mergeCell ref="D1474:D1487"/>
    <mergeCell ref="D1488:D1501"/>
    <mergeCell ref="E1425:E1432"/>
    <mergeCell ref="E1433:E1440"/>
    <mergeCell ref="E1441:E1448"/>
    <mergeCell ref="E1449:E1456"/>
    <mergeCell ref="E1457:E1464"/>
    <mergeCell ref="E1465:E1472"/>
    <mergeCell ref="E1474:E1487"/>
    <mergeCell ref="E1488:E1501"/>
    <mergeCell ref="L1449:L1456"/>
    <mergeCell ref="L1167:L1212"/>
    <mergeCell ref="G4670:H4670"/>
    <mergeCell ref="G4671:H4671"/>
    <mergeCell ref="G4672:H4672"/>
    <mergeCell ref="E70:E77"/>
    <mergeCell ref="V70:V77"/>
    <mergeCell ref="F26:H26"/>
    <mergeCell ref="F27:H27"/>
    <mergeCell ref="D50:D51"/>
    <mergeCell ref="E50:E51"/>
    <mergeCell ref="F50:H50"/>
    <mergeCell ref="V50:V51"/>
    <mergeCell ref="F51:H51"/>
    <mergeCell ref="F52:H52"/>
    <mergeCell ref="F45:H45"/>
    <mergeCell ref="F46:H46"/>
    <mergeCell ref="F47:H47"/>
    <mergeCell ref="F48:H48"/>
    <mergeCell ref="J48:J49"/>
    <mergeCell ref="F49:H49"/>
    <mergeCell ref="J50:J51"/>
    <mergeCell ref="F53:H53"/>
    <mergeCell ref="F54:H54"/>
    <mergeCell ref="F55:H55"/>
    <mergeCell ref="F56:H56"/>
    <mergeCell ref="F67:H67"/>
    <mergeCell ref="F68:H68"/>
    <mergeCell ref="F69:H69"/>
    <mergeCell ref="F41:H41"/>
    <mergeCell ref="F42:H42"/>
    <mergeCell ref="F43:H43"/>
    <mergeCell ref="D26:D33"/>
  </mergeCells>
  <phoneticPr fontId="73" type="noConversion"/>
  <conditionalFormatting sqref="B1:B6 B78:B83 B156:B748 B818:B1268 B1368:B1372 B1389:B1507 B1894:B4475 B4572:B4612">
    <cfRule type="cellIs" dxfId="297" priority="179" operator="equal">
      <formula>"x"</formula>
    </cfRule>
  </conditionalFormatting>
  <conditionalFormatting sqref="B4614:P4614 B4615:C4615 F4615:P4615 C4617:P4644 AC4617:AE4644 C4646:C4660 E4648:E4724 B4653:B4660 I4653:P4722 V4654:V4669 AB4654:AE4722 B4670:C4670 V4671:V4673 B4674:C4681 B4682:D4682 G4682 V4682 B4683:C4685 G4686:G4687">
    <cfRule type="cellIs" dxfId="296" priority="108" operator="equal">
      <formula>"x"</formula>
    </cfRule>
  </conditionalFormatting>
  <conditionalFormatting sqref="B4616:P4616">
    <cfRule type="cellIs" dxfId="295" priority="97" operator="equal">
      <formula>"x"</formula>
    </cfRule>
  </conditionalFormatting>
  <conditionalFormatting sqref="B4645:P4647 B4648:D4652 F4648:P4652 F4653:H4653 D4653:D4660 G4654:G4660 B4661:D4669 F4670:F4671 B4671:D4673 B4686:D4708 G4695:G4707 F4708:G4710 B4709:C4710 B4711:D4724 F4723:P4724">
    <cfRule type="cellIs" dxfId="294" priority="98" operator="equal">
      <formula>"x"</formula>
    </cfRule>
  </conditionalFormatting>
  <conditionalFormatting sqref="D156">
    <cfRule type="cellIs" dxfId="293" priority="84" operator="equal">
      <formula>"x"</formula>
    </cfRule>
  </conditionalFormatting>
  <conditionalFormatting sqref="D818">
    <cfRule type="cellIs" dxfId="292" priority="83" operator="equal">
      <formula>"x"</formula>
    </cfRule>
  </conditionalFormatting>
  <conditionalFormatting sqref="D1281">
    <cfRule type="cellIs" dxfId="291" priority="82" operator="equal">
      <formula>"x"</formula>
    </cfRule>
  </conditionalFormatting>
  <conditionalFormatting sqref="D1389">
    <cfRule type="cellIs" dxfId="290" priority="81" operator="equal">
      <formula>"x"</formula>
    </cfRule>
  </conditionalFormatting>
  <conditionalFormatting sqref="D1894">
    <cfRule type="cellIs" dxfId="289" priority="80" operator="equal">
      <formula>"x"</formula>
    </cfRule>
  </conditionalFormatting>
  <conditionalFormatting sqref="D4572">
    <cfRule type="cellIs" dxfId="288" priority="86" operator="equal">
      <formula>"x"</formula>
    </cfRule>
  </conditionalFormatting>
  <conditionalFormatting sqref="F4673:F4685">
    <cfRule type="cellIs" dxfId="287" priority="79" operator="equal">
      <formula>"x"</formula>
    </cfRule>
  </conditionalFormatting>
  <conditionalFormatting sqref="F4687:F4705">
    <cfRule type="cellIs" dxfId="286" priority="76" operator="equal">
      <formula>"x"</formula>
    </cfRule>
  </conditionalFormatting>
  <conditionalFormatting sqref="F4711">
    <cfRule type="cellIs" dxfId="285" priority="75" operator="equal">
      <formula>"x"</formula>
    </cfRule>
  </conditionalFormatting>
  <conditionalFormatting sqref="F4720:F4722">
    <cfRule type="cellIs" dxfId="284" priority="74" operator="equal">
      <formula>"x"</formula>
    </cfRule>
  </conditionalFormatting>
  <conditionalFormatting sqref="G4662">
    <cfRule type="cellIs" dxfId="283" priority="3" operator="equal">
      <formula>"x"</formula>
    </cfRule>
  </conditionalFormatting>
  <conditionalFormatting sqref="G4674:G4679">
    <cfRule type="cellIs" dxfId="282" priority="91" operator="equal">
      <formula>"x"</formula>
    </cfRule>
  </conditionalFormatting>
  <conditionalFormatting sqref="G4711:G4722">
    <cfRule type="cellIs" dxfId="281" priority="73" operator="equal">
      <formula>"x"</formula>
    </cfRule>
  </conditionalFormatting>
  <conditionalFormatting sqref="J1474:J1487">
    <cfRule type="cellIs" dxfId="280" priority="72" operator="equal">
      <formula>"x"</formula>
    </cfRule>
  </conditionalFormatting>
  <conditionalFormatting sqref="V4686:V4709 V4711:V4722">
    <cfRule type="cellIs" dxfId="279" priority="90" operator="equal">
      <formula>"x"</formula>
    </cfRule>
  </conditionalFormatting>
  <conditionalFormatting sqref="Y2300:AA2492">
    <cfRule type="cellIs" dxfId="278" priority="148" operator="equal">
      <formula>5.44</formula>
    </cfRule>
  </conditionalFormatting>
  <conditionalFormatting sqref="Y4679:AA4681">
    <cfRule type="cellIs" dxfId="277" priority="103" operator="equal">
      <formula>"x"</formula>
    </cfRule>
  </conditionalFormatting>
  <conditionalFormatting sqref="AA1473">
    <cfRule type="cellIs" dxfId="276" priority="147" operator="notEqual">
      <formula>Z1473</formula>
    </cfRule>
  </conditionalFormatting>
  <conditionalFormatting sqref="AF7:AF14 AF26:AF77">
    <cfRule type="expression" dxfId="275" priority="4">
      <formula>AND(AF7=AE7,AE7&lt;&gt;"")</formula>
    </cfRule>
    <cfRule type="expression" dxfId="274" priority="5">
      <formula>AF7&lt;&gt;AE7</formula>
    </cfRule>
  </conditionalFormatting>
  <conditionalFormatting sqref="AF84:AF155">
    <cfRule type="expression" dxfId="273" priority="8">
      <formula>AND(AF84=AE84,AE84&lt;&gt;"")</formula>
    </cfRule>
    <cfRule type="expression" dxfId="272" priority="9">
      <formula>AF84&lt;&gt;AE84</formula>
    </cfRule>
  </conditionalFormatting>
  <conditionalFormatting sqref="AF166:AF742">
    <cfRule type="expression" dxfId="271" priority="10">
      <formula>AND(AF166=AE166,AE166&lt;&gt;"")</formula>
    </cfRule>
    <cfRule type="expression" dxfId="270" priority="11">
      <formula>AF166&lt;&gt;AE166</formula>
    </cfRule>
  </conditionalFormatting>
  <conditionalFormatting sqref="AF749:AF817">
    <cfRule type="expression" dxfId="269" priority="13">
      <formula>AF749&lt;&gt;AE749</formula>
    </cfRule>
    <cfRule type="expression" dxfId="268" priority="12">
      <formula>AND(AF749=AE749,AE749&lt;&gt;"")</formula>
    </cfRule>
  </conditionalFormatting>
  <conditionalFormatting sqref="AF827:AF1258">
    <cfRule type="expression" dxfId="267" priority="14">
      <formula>AND(AF827=AE827,AE827&lt;&gt;"")</formula>
    </cfRule>
    <cfRule type="expression" dxfId="266" priority="15">
      <formula>AF827&lt;&gt;AE827</formula>
    </cfRule>
  </conditionalFormatting>
  <conditionalFormatting sqref="AF1269:AF1280">
    <cfRule type="expression" dxfId="265" priority="16">
      <formula>AND(AF1269=AE1269,AE1269&lt;&gt;"")</formula>
    </cfRule>
    <cfRule type="expression" dxfId="264" priority="17">
      <formula>AF1269&lt;&gt;AE1269</formula>
    </cfRule>
  </conditionalFormatting>
  <conditionalFormatting sqref="AF1302:AF1367">
    <cfRule type="expression" dxfId="263" priority="23">
      <formula>AF1302&lt;&gt;AE1302</formula>
    </cfRule>
    <cfRule type="expression" dxfId="262" priority="22">
      <formula>AND(AF1302=AE1302,AE1302&lt;&gt;"")</formula>
    </cfRule>
  </conditionalFormatting>
  <conditionalFormatting sqref="AF1373:AF1388">
    <cfRule type="expression" dxfId="261" priority="24">
      <formula>AND(AF1373=AE1373,AE1373&lt;&gt;"")</formula>
    </cfRule>
    <cfRule type="expression" dxfId="260" priority="25">
      <formula>AF1373&lt;&gt;AE1373</formula>
    </cfRule>
  </conditionalFormatting>
  <conditionalFormatting sqref="AF1409:AF1501">
    <cfRule type="expression" dxfId="259" priority="26">
      <formula>AND(AF1409=AE1409,AE1409&lt;&gt;"")</formula>
    </cfRule>
    <cfRule type="expression" dxfId="258" priority="27">
      <formula>AF1409&lt;&gt;AE1409</formula>
    </cfRule>
  </conditionalFormatting>
  <conditionalFormatting sqref="AF1508:AF1893">
    <cfRule type="expression" dxfId="257" priority="30">
      <formula>AND(AF1508=AE1508,AE1508&lt;&gt;"")</formula>
    </cfRule>
    <cfRule type="expression" dxfId="256" priority="31">
      <formula>AF1508&lt;&gt;AE1508</formula>
    </cfRule>
  </conditionalFormatting>
  <conditionalFormatting sqref="AF1914:AF4423">
    <cfRule type="expression" dxfId="255" priority="33">
      <formula>AF1914&lt;&gt;AE1914</formula>
    </cfRule>
    <cfRule type="expression" dxfId="254" priority="32">
      <formula>AND(AF1914=AE1914,AE1914&lt;&gt;"")</formula>
    </cfRule>
  </conditionalFormatting>
  <conditionalFormatting sqref="AF4476:AF4571">
    <cfRule type="expression" dxfId="253" priority="38">
      <formula>AND(AF4476=AE4476,AE4476&lt;&gt;"")</formula>
    </cfRule>
    <cfRule type="expression" dxfId="252" priority="39">
      <formula>AF4476&lt;&gt;AE4476</formula>
    </cfRule>
  </conditionalFormatting>
  <conditionalFormatting sqref="AF4585:AF4611">
    <cfRule type="expression" dxfId="251" priority="40">
      <formula>AND(AF4585=AE4585,AE4585&lt;&gt;"")</formula>
    </cfRule>
    <cfRule type="expression" dxfId="250" priority="41">
      <formula>AF4585&lt;&gt;AE4585</formula>
    </cfRule>
  </conditionalFormatting>
  <conditionalFormatting sqref="AF4617:AF4644">
    <cfRule type="expression" dxfId="249" priority="42">
      <formula>AND(AF4617=AE4617,AE4617&lt;&gt;"")</formula>
    </cfRule>
    <cfRule type="expression" dxfId="248" priority="43">
      <formula>AF4617&lt;&gt;AE4617</formula>
    </cfRule>
  </conditionalFormatting>
  <conditionalFormatting sqref="AF4654:AF4722">
    <cfRule type="expression" dxfId="247" priority="44">
      <formula>AND(AF4654=AE4654,AE4654&lt;&gt;"")</formula>
    </cfRule>
    <cfRule type="expression" dxfId="246" priority="45">
      <formula>AF4654&lt;&gt;AE4654</formula>
    </cfRule>
  </conditionalFormatting>
  <conditionalFormatting sqref="AH7:AH14 AH4617:AH4644">
    <cfRule type="cellIs" dxfId="245" priority="188" operator="lessThan">
      <formula>-0.1</formula>
    </cfRule>
    <cfRule type="cellIs" dxfId="244" priority="189" operator="greaterThan">
      <formula>0.1</formula>
    </cfRule>
  </conditionalFormatting>
  <conditionalFormatting sqref="AH84:AH155">
    <cfRule type="cellIs" dxfId="243" priority="150" operator="lessThan">
      <formula>-0.1</formula>
    </cfRule>
    <cfRule type="cellIs" dxfId="242" priority="151" operator="greaterThan">
      <formula>0.1</formula>
    </cfRule>
  </conditionalFormatting>
  <conditionalFormatting sqref="AH1508:AH1893">
    <cfRule type="cellIs" dxfId="241" priority="114" operator="lessThan">
      <formula>-0.1</formula>
    </cfRule>
    <cfRule type="cellIs" dxfId="240" priority="115" operator="greaterThan">
      <formula>0.1</formula>
    </cfRule>
  </conditionalFormatting>
  <conditionalFormatting sqref="AH749:AI817">
    <cfRule type="cellIs" dxfId="239" priority="140" operator="lessThan">
      <formula>-0.1</formula>
    </cfRule>
    <cfRule type="cellIs" dxfId="238" priority="141" operator="greaterThan">
      <formula>0.1</formula>
    </cfRule>
  </conditionalFormatting>
  <conditionalFormatting sqref="AH1373:AI1388">
    <cfRule type="cellIs" dxfId="237" priority="182" operator="lessThan">
      <formula>-0.1</formula>
    </cfRule>
    <cfRule type="cellIs" dxfId="236" priority="183" operator="greaterThan">
      <formula>0.1</formula>
    </cfRule>
  </conditionalFormatting>
  <pageMargins left="0.25" right="0.25" top="0.75" bottom="0.75" header="0.3" footer="0.3"/>
  <pageSetup scale="39" fitToHeight="0" orientation="landscape" r:id="rId1"/>
  <rowBreaks count="1" manualBreakCount="1">
    <brk id="1368" max="17"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rgb="FFFF9999"/>
    <pageSetUpPr fitToPage="1"/>
  </sheetPr>
  <dimension ref="A1:DJ1345"/>
  <sheetViews>
    <sheetView topLeftCell="A1308" zoomScaleNormal="100" workbookViewId="0">
      <selection activeCell="C969" sqref="C969"/>
    </sheetView>
  </sheetViews>
  <sheetFormatPr defaultColWidth="9.28515625" defaultRowHeight="15" outlineLevelRow="2"/>
  <cols>
    <col min="1" max="1" width="4.28515625" style="283" customWidth="1"/>
    <col min="2" max="2" width="9.28515625" style="283"/>
    <col min="3" max="3" width="20.5703125" style="1562" customWidth="1"/>
    <col min="4" max="4" width="18" style="133" customWidth="1"/>
    <col min="5" max="5" width="67.5703125" style="133" customWidth="1"/>
    <col min="6" max="6" width="30" style="283" customWidth="1"/>
    <col min="7" max="7" width="21.5703125" style="283" customWidth="1"/>
    <col min="8" max="8" width="22.5703125" style="283" customWidth="1"/>
    <col min="9" max="9" width="17.28515625" style="283" customWidth="1"/>
    <col min="10" max="10" width="16.28515625" style="283" customWidth="1"/>
    <col min="11" max="11" width="12.28515625" style="283" customWidth="1"/>
    <col min="12" max="12" width="15.42578125" style="283" customWidth="1"/>
    <col min="13" max="13" width="14.42578125" style="283" customWidth="1"/>
    <col min="14" max="14" width="13.7109375" style="283" customWidth="1"/>
    <col min="15" max="15" width="11" style="283" customWidth="1"/>
    <col min="16" max="16" width="13.7109375" style="283" customWidth="1"/>
    <col min="17" max="17" width="9.42578125" style="283" customWidth="1"/>
    <col min="18" max="18" width="17.42578125" style="283" customWidth="1"/>
    <col min="19" max="19" width="1.28515625" style="283" customWidth="1"/>
    <col min="20" max="20" width="9.28515625" style="283" customWidth="1"/>
    <col min="21" max="21" width="22.7109375" style="283" customWidth="1"/>
    <col min="22" max="22" width="32.28515625" style="273" customWidth="1"/>
    <col min="23" max="23" width="13.5703125" style="273" customWidth="1"/>
    <col min="24" max="24" width="17" style="273" customWidth="1"/>
    <col min="25" max="25" width="19.5703125" style="284" customWidth="1"/>
    <col min="26" max="26" width="15.7109375" style="273" bestFit="1" customWidth="1"/>
    <col min="27" max="27" width="13.42578125" style="273" customWidth="1"/>
    <col min="28" max="28" width="18" style="273" bestFit="1" customWidth="1"/>
    <col min="29" max="29" width="17.28515625" style="273" bestFit="1" customWidth="1"/>
    <col min="30" max="31" width="14.7109375" style="273" bestFit="1" customWidth="1"/>
    <col min="32" max="33" width="13.42578125" style="273" customWidth="1"/>
    <col min="34" max="34" width="9.28515625" style="273" customWidth="1"/>
    <col min="35" max="35" width="13.5703125" style="273" customWidth="1"/>
    <col min="36" max="36" width="19.42578125" style="273" customWidth="1"/>
    <col min="37" max="41" width="17.7109375" style="273" bestFit="1" customWidth="1"/>
    <col min="42" max="45" width="13.5703125" style="273" customWidth="1"/>
    <col min="46" max="46" width="9.28515625" style="273" customWidth="1"/>
    <col min="47" max="47" width="16.28515625" style="273" bestFit="1" customWidth="1"/>
    <col min="48" max="48" width="16.7109375" style="273" bestFit="1" customWidth="1"/>
    <col min="49" max="110" width="9.28515625" style="273" customWidth="1"/>
    <col min="111" max="111" width="15" style="540" customWidth="1"/>
    <col min="112" max="112" width="30.28515625" style="283" customWidth="1"/>
    <col min="113" max="113" width="14.28515625" style="283" customWidth="1"/>
    <col min="114" max="114" width="14.28515625" style="1102" customWidth="1"/>
    <col min="115" max="115" width="9.28515625" style="273"/>
    <col min="116" max="116" width="14.42578125" style="273" bestFit="1" customWidth="1"/>
    <col min="117" max="118" width="16.7109375" style="273" bestFit="1" customWidth="1"/>
    <col min="119" max="119" width="15.42578125" style="273" bestFit="1" customWidth="1"/>
    <col min="120" max="120" width="14.42578125" style="273" bestFit="1" customWidth="1"/>
    <col min="121" max="121" width="16.7109375" style="273" bestFit="1" customWidth="1"/>
    <col min="122" max="126" width="14.42578125" style="273" bestFit="1" customWidth="1"/>
    <col min="127" max="16384" width="9.28515625" style="273"/>
  </cols>
  <sheetData>
    <row r="1" spans="1:114" s="2" customFormat="1" ht="18.75">
      <c r="A1" s="4078" t="s">
        <v>2662</v>
      </c>
      <c r="B1" s="4181"/>
      <c r="C1" s="4182"/>
      <c r="D1" s="4181"/>
      <c r="E1" s="4181"/>
      <c r="F1" s="4181"/>
      <c r="G1" s="4181"/>
      <c r="H1" s="4181"/>
      <c r="I1" s="4181"/>
      <c r="J1" s="4181"/>
      <c r="K1" s="4181"/>
      <c r="L1" s="4181"/>
      <c r="M1" s="4181"/>
      <c r="N1" s="4181"/>
      <c r="O1" s="4181"/>
      <c r="P1" s="4348"/>
      <c r="Q1" s="4349"/>
      <c r="R1" s="4349"/>
      <c r="S1" s="1361"/>
      <c r="T1" s="265"/>
      <c r="U1" s="265"/>
      <c r="V1" s="4"/>
      <c r="W1" s="5"/>
      <c r="X1" s="5"/>
      <c r="Y1" s="1490"/>
      <c r="Z1" s="6"/>
      <c r="AA1" s="6"/>
      <c r="AB1" s="6"/>
      <c r="AC1" s="6"/>
      <c r="AD1" s="6"/>
      <c r="AE1" s="6"/>
      <c r="AF1" s="6"/>
      <c r="AG1" s="6"/>
      <c r="AH1" s="6"/>
      <c r="DG1" s="809"/>
      <c r="DH1" s="265"/>
      <c r="DI1" s="265"/>
      <c r="DJ1" s="1168"/>
    </row>
    <row r="2" spans="1:114" s="2" customFormat="1" ht="30" hidden="1" customHeight="1" outlineLevel="1">
      <c r="A2" s="265"/>
      <c r="B2" s="457"/>
      <c r="C2" s="60"/>
      <c r="D2" s="4003" t="s">
        <v>39</v>
      </c>
      <c r="E2" s="4081"/>
      <c r="F2" s="4082"/>
      <c r="G2" s="4082"/>
      <c r="H2" s="4082"/>
      <c r="I2" s="4082"/>
      <c r="J2" s="4082"/>
      <c r="K2" s="264"/>
      <c r="L2" s="264"/>
      <c r="M2" s="265"/>
      <c r="N2" s="265"/>
      <c r="O2" s="265"/>
      <c r="P2" s="265"/>
      <c r="Q2" s="265"/>
      <c r="R2" s="265"/>
      <c r="S2" s="265"/>
      <c r="T2" s="265"/>
      <c r="U2" s="265"/>
      <c r="Y2" s="22"/>
      <c r="DG2" s="809"/>
      <c r="DH2" s="265"/>
      <c r="DI2" s="265"/>
      <c r="DJ2" s="1168"/>
    </row>
    <row r="3" spans="1:114" s="2" customFormat="1" ht="33.75" customHeight="1" collapsed="1">
      <c r="A3" s="265"/>
      <c r="B3" s="265"/>
      <c r="C3" s="61"/>
      <c r="D3" s="62"/>
      <c r="E3" s="62"/>
      <c r="F3" s="61"/>
      <c r="G3" s="61"/>
      <c r="H3" s="61"/>
      <c r="I3" s="61"/>
      <c r="J3" s="61"/>
      <c r="K3" s="265"/>
      <c r="L3" s="265"/>
      <c r="M3" s="265"/>
      <c r="N3" s="265"/>
      <c r="O3" s="265"/>
      <c r="P3" s="265"/>
      <c r="Q3" s="265"/>
      <c r="R3" s="265"/>
      <c r="S3" s="265"/>
      <c r="T3" s="265"/>
      <c r="U3" s="265"/>
      <c r="Y3" s="22"/>
      <c r="DG3" s="809"/>
      <c r="DH3" s="265"/>
      <c r="DI3" s="265"/>
      <c r="DJ3" s="1168"/>
    </row>
    <row r="4" spans="1:114">
      <c r="B4" s="4407" t="s">
        <v>2663</v>
      </c>
      <c r="C4" s="4407"/>
      <c r="D4" s="4407"/>
      <c r="E4" s="4407"/>
      <c r="F4" s="4407"/>
      <c r="G4" s="4407"/>
      <c r="H4" s="4407"/>
      <c r="I4" s="4407"/>
      <c r="J4" s="4407"/>
      <c r="K4" s="4407"/>
      <c r="L4" s="4407"/>
      <c r="M4" s="4407"/>
      <c r="N4" s="4846"/>
      <c r="O4" s="4846"/>
      <c r="P4" s="4846"/>
      <c r="Q4" s="4846"/>
      <c r="R4" s="4846"/>
      <c r="V4" s="4066" t="str">
        <f>B4</f>
        <v>AC Tune-Up</v>
      </c>
      <c r="W4" s="4067"/>
      <c r="X4" s="4067"/>
      <c r="Y4" s="4067"/>
      <c r="Z4" s="4067"/>
      <c r="AA4" s="4067"/>
      <c r="AB4" s="4067"/>
      <c r="AC4" s="4837"/>
      <c r="AD4" s="4837"/>
      <c r="AE4" s="4837"/>
      <c r="AF4" s="4837"/>
      <c r="AG4" s="4837"/>
      <c r="AH4" s="4837"/>
      <c r="AI4" s="4838"/>
      <c r="DI4" s="265"/>
    </row>
    <row r="5" spans="1:114">
      <c r="B5" s="579"/>
      <c r="C5" s="281"/>
      <c r="D5" s="104" t="s">
        <v>2664</v>
      </c>
      <c r="E5" s="583"/>
      <c r="F5" s="282"/>
      <c r="G5" s="282"/>
      <c r="H5" s="282"/>
      <c r="I5" s="282"/>
      <c r="J5" s="282"/>
      <c r="K5" s="282"/>
      <c r="L5" s="584"/>
      <c r="DI5" s="265"/>
    </row>
    <row r="6" spans="1:114" ht="30">
      <c r="B6" s="579"/>
      <c r="C6" s="1371" t="s">
        <v>42</v>
      </c>
      <c r="D6" s="1371" t="s">
        <v>953</v>
      </c>
      <c r="E6" s="1371" t="s">
        <v>44</v>
      </c>
      <c r="F6" s="1371" t="s">
        <v>45</v>
      </c>
      <c r="G6" s="1371" t="s">
        <v>46</v>
      </c>
      <c r="H6" s="1371" t="s">
        <v>47</v>
      </c>
      <c r="I6" s="1371" t="s">
        <v>48</v>
      </c>
      <c r="J6" s="1383" t="s">
        <v>49</v>
      </c>
      <c r="K6" s="1371" t="s">
        <v>50</v>
      </c>
      <c r="L6" s="1371" t="s">
        <v>51</v>
      </c>
      <c r="V6" s="668" t="s">
        <v>52</v>
      </c>
      <c r="W6" s="669">
        <v>43252</v>
      </c>
      <c r="X6" s="669">
        <v>43465</v>
      </c>
      <c r="Y6" s="115">
        <v>43800</v>
      </c>
      <c r="Z6" s="669">
        <v>43862</v>
      </c>
      <c r="AA6" s="669">
        <v>44013</v>
      </c>
      <c r="AB6" s="669">
        <v>44166</v>
      </c>
      <c r="AC6" s="669">
        <v>44531</v>
      </c>
      <c r="AD6" s="178">
        <v>44774</v>
      </c>
      <c r="AE6" s="669">
        <v>45139</v>
      </c>
      <c r="AF6" s="669">
        <f>'Deemed Savings Tbl Revision Log'!C17</f>
        <v>45672</v>
      </c>
      <c r="AG6" s="669" t="s">
        <v>53</v>
      </c>
      <c r="DG6" s="1060" t="s">
        <v>54</v>
      </c>
      <c r="DH6" s="13" t="s">
        <v>55</v>
      </c>
      <c r="DI6" s="1075" t="s">
        <v>56</v>
      </c>
      <c r="DJ6" s="1103" t="s">
        <v>57</v>
      </c>
    </row>
    <row r="7" spans="1:114">
      <c r="B7" s="1454">
        <f t="shared" ref="B7:B21" si="0">VALUE(LEFT(C7,6))</f>
        <v>400050</v>
      </c>
      <c r="C7" s="2401" t="s">
        <v>2665</v>
      </c>
      <c r="D7" s="2402" t="s">
        <v>1486</v>
      </c>
      <c r="E7" s="2403" t="s">
        <v>2666</v>
      </c>
      <c r="F7" s="2236">
        <f>ROUND(($G$28*$G$30*(1/$G$32-1/$G$37)/$G$42),2)</f>
        <v>141.78</v>
      </c>
      <c r="G7" s="2402" t="s">
        <v>1045</v>
      </c>
      <c r="H7" s="2213">
        <f>VLOOKUP(G7,'CP FACTORS'!$A$3:$B$38, 2, FALSE)</f>
        <v>9.4741810000000004E-4</v>
      </c>
      <c r="I7" s="2404">
        <f>ROUND(F7*H7,6)</f>
        <v>0.134325</v>
      </c>
      <c r="J7" s="2405">
        <f t="shared" ref="J7:J18" si="1">$G$43</f>
        <v>2</v>
      </c>
      <c r="K7" s="2406">
        <f>G44</f>
        <v>70</v>
      </c>
      <c r="L7" s="2407" t="s">
        <v>62</v>
      </c>
      <c r="R7" s="532"/>
      <c r="V7" s="2413" t="s">
        <v>45</v>
      </c>
      <c r="W7" s="2414">
        <v>142.50980392156862</v>
      </c>
      <c r="X7" s="2415">
        <v>142.50980392156862</v>
      </c>
      <c r="Y7" s="2416">
        <v>142.51</v>
      </c>
      <c r="Z7" s="2416">
        <v>142.51</v>
      </c>
      <c r="AA7" s="2416">
        <v>142.51</v>
      </c>
      <c r="AB7" s="2416">
        <v>142.51</v>
      </c>
      <c r="AC7" s="2416">
        <v>140.66999999999999</v>
      </c>
      <c r="AD7" s="2236">
        <v>142.62</v>
      </c>
      <c r="AE7" s="2236">
        <v>141.99</v>
      </c>
      <c r="AF7" s="2236">
        <f t="shared" ref="AF7:AF21" si="2">IF(F7&lt;&gt;"",F7,"")</f>
        <v>141.78</v>
      </c>
      <c r="AG7" s="2413"/>
      <c r="AK7" s="358"/>
      <c r="DG7" s="2418">
        <f>(DI7)/(DJ7)</f>
        <v>0.75733546127340157</v>
      </c>
      <c r="DH7" s="2419" t="str">
        <f t="shared" ref="DH7:DH18" si="3">CONCATENATE(G7," ",J7," Year EUL")</f>
        <v>Cooling RES 2 Year EUL</v>
      </c>
      <c r="DI7" s="2420">
        <f>(INDEX('Avoided Cost Benefits'!$B$4:$B$865,MATCH(DH7,'Avoided Cost Benefits'!$A$4:$A$865,0)))*F7</f>
        <v>53.013482289138111</v>
      </c>
      <c r="DJ7" s="2421">
        <f t="shared" ref="DJ7:DJ21" si="4">K7/(1.0686^(2025-2025))</f>
        <v>70</v>
      </c>
    </row>
    <row r="8" spans="1:114">
      <c r="B8" s="1454">
        <f t="shared" si="0"/>
        <v>400100</v>
      </c>
      <c r="C8" s="2401" t="s">
        <v>2667</v>
      </c>
      <c r="D8" s="2402" t="s">
        <v>959</v>
      </c>
      <c r="E8" s="2403" t="s">
        <v>2668</v>
      </c>
      <c r="F8" s="2236">
        <f>ROUND(($G$28*$G$31*(1/$G$32-1/$G$37)/$G$42),2)</f>
        <v>92.16</v>
      </c>
      <c r="G8" s="2402" t="s">
        <v>1045</v>
      </c>
      <c r="H8" s="2213">
        <f>VLOOKUP(G8,'CP FACTORS'!$A$3:$B$38, 2, FALSE)</f>
        <v>9.4741810000000004E-4</v>
      </c>
      <c r="I8" s="2404">
        <f t="shared" ref="I8:I18" si="5">ROUND(F8*H8,6)</f>
        <v>8.7314000000000003E-2</v>
      </c>
      <c r="J8" s="2405">
        <f t="shared" si="1"/>
        <v>2</v>
      </c>
      <c r="K8" s="2406">
        <f>G45</f>
        <v>70</v>
      </c>
      <c r="L8" s="2407" t="s">
        <v>62</v>
      </c>
      <c r="R8" s="532"/>
      <c r="V8" s="2413" t="s">
        <v>45</v>
      </c>
      <c r="W8" s="2414">
        <v>92.631372549019588</v>
      </c>
      <c r="X8" s="2415">
        <v>92.631372549019588</v>
      </c>
      <c r="Y8" s="2416">
        <v>92.63</v>
      </c>
      <c r="Z8" s="2416">
        <v>92.63</v>
      </c>
      <c r="AA8" s="2416">
        <v>92.63</v>
      </c>
      <c r="AB8" s="2416">
        <v>92.63</v>
      </c>
      <c r="AC8" s="2416">
        <v>91.43</v>
      </c>
      <c r="AD8" s="2236">
        <v>92.71</v>
      </c>
      <c r="AE8" s="2236">
        <v>92.29</v>
      </c>
      <c r="AF8" s="2236">
        <f t="shared" si="2"/>
        <v>92.16</v>
      </c>
      <c r="AG8" s="2413"/>
      <c r="AK8" s="358"/>
      <c r="DG8" s="2422">
        <f t="shared" ref="DG8:DG18" si="6">(DI8)/(DJ8)</f>
        <v>0.49228407469993435</v>
      </c>
      <c r="DH8" s="2423" t="str">
        <f t="shared" si="3"/>
        <v>Cooling RES 2 Year EUL</v>
      </c>
      <c r="DI8" s="2336">
        <f>(INDEX('Avoided Cost Benefits'!$B$4:$B$865,MATCH(DH8,'Avoided Cost Benefits'!$A$4:$A$865,0)))*F8</f>
        <v>34.459885228995404</v>
      </c>
      <c r="DJ8" s="2424">
        <f t="shared" si="4"/>
        <v>70</v>
      </c>
    </row>
    <row r="9" spans="1:114">
      <c r="B9" s="1454">
        <f t="shared" si="0"/>
        <v>400101</v>
      </c>
      <c r="C9" s="2401" t="s">
        <v>2669</v>
      </c>
      <c r="D9" s="2402" t="s">
        <v>2670</v>
      </c>
      <c r="E9" s="2310" t="str">
        <f>CONCATENATE(E8,"_CompE")</f>
        <v>AC General Tune-Up (no charge or coil clean) MF_CompE</v>
      </c>
      <c r="F9" s="2236">
        <f>ROUND(($G$29*$G$31*(1/$G$32-1/$G$37)/$G$42),2)</f>
        <v>67.02</v>
      </c>
      <c r="G9" s="2402" t="s">
        <v>1045</v>
      </c>
      <c r="H9" s="2213">
        <f>VLOOKUP(G9,'CP FACTORS'!$A$3:$B$38, 2, FALSE)</f>
        <v>9.4741810000000004E-4</v>
      </c>
      <c r="I9" s="2404">
        <f t="shared" si="5"/>
        <v>6.3495999999999997E-2</v>
      </c>
      <c r="J9" s="2405">
        <f t="shared" si="1"/>
        <v>2</v>
      </c>
      <c r="K9" s="2406">
        <f>K8</f>
        <v>70</v>
      </c>
      <c r="L9" s="2407" t="s">
        <v>62</v>
      </c>
      <c r="R9" s="532"/>
      <c r="V9" s="2413" t="s">
        <v>45</v>
      </c>
      <c r="W9" s="2414"/>
      <c r="X9" s="2415"/>
      <c r="Y9" s="2417">
        <v>67.37</v>
      </c>
      <c r="Z9" s="2416">
        <v>67.37</v>
      </c>
      <c r="AA9" s="2416">
        <v>67.37</v>
      </c>
      <c r="AB9" s="2416">
        <v>67.37</v>
      </c>
      <c r="AC9" s="2416">
        <v>66.5</v>
      </c>
      <c r="AD9" s="2236">
        <v>67.42</v>
      </c>
      <c r="AE9" s="2236">
        <v>67.12</v>
      </c>
      <c r="AF9" s="2236">
        <f t="shared" si="2"/>
        <v>67.02</v>
      </c>
      <c r="AG9" s="2413"/>
      <c r="AK9" s="358"/>
      <c r="DG9" s="2422">
        <f t="shared" si="6"/>
        <v>0.35799564546863716</v>
      </c>
      <c r="DH9" s="2423" t="str">
        <f t="shared" si="3"/>
        <v>Cooling RES 2 Year EUL</v>
      </c>
      <c r="DI9" s="2336">
        <f>(INDEX('Avoided Cost Benefits'!$B$4:$B$865,MATCH(DH9,'Avoided Cost Benefits'!$A$4:$A$865,0)))*F9</f>
        <v>25.0596951828046</v>
      </c>
      <c r="DJ9" s="2424">
        <f t="shared" si="4"/>
        <v>70</v>
      </c>
    </row>
    <row r="10" spans="1:114">
      <c r="B10" s="1454">
        <f t="shared" si="0"/>
        <v>400150</v>
      </c>
      <c r="C10" s="692" t="s">
        <v>2671</v>
      </c>
      <c r="D10" s="555" t="s">
        <v>1486</v>
      </c>
      <c r="E10" s="83" t="s">
        <v>2672</v>
      </c>
      <c r="F10" s="271">
        <f>ROUND(($G$28*$G$30*(1/$G$33-1/$G$38)/$G$42),2)</f>
        <v>591.36</v>
      </c>
      <c r="G10" s="555" t="s">
        <v>1045</v>
      </c>
      <c r="H10" s="69">
        <f>VLOOKUP(G10,'CP FACTORS'!$A$3:$B$38, 2, FALSE)</f>
        <v>9.4741810000000004E-4</v>
      </c>
      <c r="I10" s="1473">
        <f t="shared" si="5"/>
        <v>0.56026500000000001</v>
      </c>
      <c r="J10" s="267">
        <f t="shared" si="1"/>
        <v>2</v>
      </c>
      <c r="K10" s="268">
        <f>G46</f>
        <v>81</v>
      </c>
      <c r="L10" s="818" t="s">
        <v>62</v>
      </c>
      <c r="R10" s="532"/>
      <c r="V10" s="356" t="s">
        <v>45</v>
      </c>
      <c r="W10" s="383">
        <v>594.39336108275074</v>
      </c>
      <c r="X10" s="269">
        <v>594.39336108275074</v>
      </c>
      <c r="Y10" s="270">
        <v>594.39</v>
      </c>
      <c r="Z10" s="270">
        <v>594.39</v>
      </c>
      <c r="AA10" s="270">
        <v>594.39</v>
      </c>
      <c r="AB10" s="270">
        <v>594.39</v>
      </c>
      <c r="AC10" s="270">
        <v>586.71</v>
      </c>
      <c r="AD10" s="271">
        <v>594.87</v>
      </c>
      <c r="AE10" s="271">
        <v>592.23</v>
      </c>
      <c r="AF10" s="271">
        <f t="shared" si="2"/>
        <v>591.36</v>
      </c>
      <c r="AG10" s="356"/>
      <c r="AK10" s="358"/>
      <c r="DG10" s="1063">
        <f t="shared" si="6"/>
        <v>2.7298468751364671</v>
      </c>
      <c r="DH10" s="673" t="str">
        <f t="shared" si="3"/>
        <v>Cooling RES 2 Year EUL</v>
      </c>
      <c r="DI10" s="556">
        <f>(INDEX('Avoided Cost Benefits'!$B$4:$B$865,MATCH(DH10,'Avoided Cost Benefits'!$A$4:$A$865,0)))*F10</f>
        <v>221.11759688605383</v>
      </c>
      <c r="DJ10" s="1170">
        <f t="shared" si="4"/>
        <v>81</v>
      </c>
    </row>
    <row r="11" spans="1:114">
      <c r="B11" s="1454">
        <f t="shared" si="0"/>
        <v>400200</v>
      </c>
      <c r="C11" s="2401" t="s">
        <v>2673</v>
      </c>
      <c r="D11" s="2402" t="s">
        <v>959</v>
      </c>
      <c r="E11" s="2403" t="s">
        <v>2674</v>
      </c>
      <c r="F11" s="2236">
        <f>ROUND(($G$28*$G$31*(1/$G$33-1/$G$38)/$G$42),2)</f>
        <v>384.39</v>
      </c>
      <c r="G11" s="2402" t="s">
        <v>1045</v>
      </c>
      <c r="H11" s="2213">
        <f>VLOOKUP(G11,'CP FACTORS'!$A$3:$B$38, 2, FALSE)</f>
        <v>9.4741810000000004E-4</v>
      </c>
      <c r="I11" s="2404">
        <f t="shared" si="5"/>
        <v>0.364178</v>
      </c>
      <c r="J11" s="2405">
        <f t="shared" si="1"/>
        <v>2</v>
      </c>
      <c r="K11" s="2406">
        <f>G47</f>
        <v>81</v>
      </c>
      <c r="L11" s="2407" t="s">
        <v>62</v>
      </c>
      <c r="R11" s="532"/>
      <c r="V11" s="2413" t="s">
        <v>45</v>
      </c>
      <c r="W11" s="2414">
        <v>386.35568470378792</v>
      </c>
      <c r="X11" s="2415">
        <v>386.35568470378792</v>
      </c>
      <c r="Y11" s="2416">
        <v>386.36</v>
      </c>
      <c r="Z11" s="2416">
        <v>386.36</v>
      </c>
      <c r="AA11" s="2416">
        <v>386.36</v>
      </c>
      <c r="AB11" s="2416">
        <v>386.36</v>
      </c>
      <c r="AC11" s="2416">
        <v>381.36</v>
      </c>
      <c r="AD11" s="2236">
        <v>386.67</v>
      </c>
      <c r="AE11" s="2236">
        <v>384.95</v>
      </c>
      <c r="AF11" s="2236">
        <f t="shared" si="2"/>
        <v>384.39</v>
      </c>
      <c r="AG11" s="2413"/>
      <c r="AK11" s="358"/>
      <c r="DG11" s="2422">
        <f t="shared" si="6"/>
        <v>1.7744281661487191</v>
      </c>
      <c r="DH11" s="2423" t="str">
        <f t="shared" si="3"/>
        <v>Cooling RES 2 Year EUL</v>
      </c>
      <c r="DI11" s="2336">
        <f>(INDEX('Avoided Cost Benefits'!$B$4:$B$865,MATCH(DH11,'Avoided Cost Benefits'!$A$4:$A$865,0)))*F11</f>
        <v>143.72868145804625</v>
      </c>
      <c r="DJ11" s="2424">
        <f t="shared" si="4"/>
        <v>81</v>
      </c>
    </row>
    <row r="12" spans="1:114">
      <c r="B12" s="1454">
        <f t="shared" si="0"/>
        <v>400201</v>
      </c>
      <c r="C12" s="2401" t="s">
        <v>2675</v>
      </c>
      <c r="D12" s="2408" t="s">
        <v>2670</v>
      </c>
      <c r="E12" s="2310" t="str">
        <f>CONCATENATE(E11,"_CompE")</f>
        <v>AC Tune-up / Refrigerant charge MF_CompE</v>
      </c>
      <c r="F12" s="2236">
        <f>ROUND(($G$29*$G$31*(1/$G$33-1/$G$38)/$G$42),2)</f>
        <v>279.55</v>
      </c>
      <c r="G12" s="2402" t="s">
        <v>1045</v>
      </c>
      <c r="H12" s="2213">
        <f>VLOOKUP(G12,'CP FACTORS'!$A$3:$B$38, 2, FALSE)</f>
        <v>9.4741810000000004E-4</v>
      </c>
      <c r="I12" s="2404">
        <f t="shared" si="5"/>
        <v>0.264851</v>
      </c>
      <c r="J12" s="2405">
        <f t="shared" si="1"/>
        <v>2</v>
      </c>
      <c r="K12" s="2406">
        <f>K11</f>
        <v>81</v>
      </c>
      <c r="L12" s="2407" t="s">
        <v>62</v>
      </c>
      <c r="R12" s="532"/>
      <c r="V12" s="2413" t="s">
        <v>45</v>
      </c>
      <c r="W12" s="2414"/>
      <c r="X12" s="2415"/>
      <c r="Y12" s="2417">
        <v>280.99</v>
      </c>
      <c r="Z12" s="2416">
        <v>280.99</v>
      </c>
      <c r="AA12" s="2416">
        <v>280.99</v>
      </c>
      <c r="AB12" s="2416">
        <v>280.99</v>
      </c>
      <c r="AC12" s="2416">
        <v>277.35000000000002</v>
      </c>
      <c r="AD12" s="2236">
        <v>281.20999999999998</v>
      </c>
      <c r="AE12" s="2236">
        <v>279.95999999999998</v>
      </c>
      <c r="AF12" s="2236">
        <f t="shared" si="2"/>
        <v>279.55</v>
      </c>
      <c r="AG12" s="2413"/>
      <c r="AK12" s="358"/>
      <c r="DG12" s="2422">
        <f t="shared" si="6"/>
        <v>1.2904638358096581</v>
      </c>
      <c r="DH12" s="2423" t="str">
        <f t="shared" si="3"/>
        <v>Cooling RES 2 Year EUL</v>
      </c>
      <c r="DI12" s="2336">
        <f>(INDEX('Avoided Cost Benefits'!$B$4:$B$865,MATCH(DH12,'Avoided Cost Benefits'!$A$4:$A$865,0)))*F12</f>
        <v>104.5275707005823</v>
      </c>
      <c r="DJ12" s="2424">
        <f t="shared" si="4"/>
        <v>81</v>
      </c>
    </row>
    <row r="13" spans="1:114">
      <c r="B13" s="1454">
        <f t="shared" si="0"/>
        <v>400250</v>
      </c>
      <c r="C13" s="2401" t="s">
        <v>2676</v>
      </c>
      <c r="D13" s="2402" t="s">
        <v>1486</v>
      </c>
      <c r="E13" s="2403" t="s">
        <v>2677</v>
      </c>
      <c r="F13" s="2236">
        <f>ROUND(($G$28*$G$30*(1/$G$34-1/$G$39)/$G$42),2)</f>
        <v>97.88</v>
      </c>
      <c r="G13" s="2402" t="s">
        <v>1045</v>
      </c>
      <c r="H13" s="2213">
        <f>VLOOKUP(G13,'CP FACTORS'!$A$3:$B$38, 2, FALSE)</f>
        <v>9.4741810000000004E-4</v>
      </c>
      <c r="I13" s="2404">
        <f t="shared" si="5"/>
        <v>9.2732999999999996E-2</v>
      </c>
      <c r="J13" s="2405">
        <f t="shared" si="1"/>
        <v>2</v>
      </c>
      <c r="K13" s="2406">
        <f>G48</f>
        <v>63</v>
      </c>
      <c r="L13" s="2407" t="s">
        <v>62</v>
      </c>
      <c r="R13" s="532"/>
      <c r="V13" s="2413" t="s">
        <v>45</v>
      </c>
      <c r="W13" s="2414">
        <v>98.380013276987171</v>
      </c>
      <c r="X13" s="2415">
        <v>98.380013276987171</v>
      </c>
      <c r="Y13" s="2416">
        <v>98.38</v>
      </c>
      <c r="Z13" s="2416">
        <v>98.38</v>
      </c>
      <c r="AA13" s="2416">
        <v>98.38</v>
      </c>
      <c r="AB13" s="2416">
        <v>98.38</v>
      </c>
      <c r="AC13" s="2416">
        <v>97.11</v>
      </c>
      <c r="AD13" s="2236">
        <v>98.46</v>
      </c>
      <c r="AE13" s="2236">
        <v>98.02</v>
      </c>
      <c r="AF13" s="2236">
        <f t="shared" si="2"/>
        <v>97.88</v>
      </c>
      <c r="AG13" s="2413"/>
      <c r="AK13" s="358"/>
      <c r="DG13" s="2422">
        <f t="shared" si="6"/>
        <v>0.58093129378411423</v>
      </c>
      <c r="DH13" s="2423" t="str">
        <f t="shared" si="3"/>
        <v>Cooling RES 2 Year EUL</v>
      </c>
      <c r="DI13" s="2336">
        <f>(INDEX('Avoided Cost Benefits'!$B$4:$B$865,MATCH(DH13,'Avoided Cost Benefits'!$A$4:$A$865,0)))*F13</f>
        <v>36.5986715083992</v>
      </c>
      <c r="DJ13" s="2424">
        <f t="shared" si="4"/>
        <v>63</v>
      </c>
    </row>
    <row r="14" spans="1:114">
      <c r="B14" s="1454">
        <f t="shared" si="0"/>
        <v>400300</v>
      </c>
      <c r="C14" s="2401" t="s">
        <v>2678</v>
      </c>
      <c r="D14" s="2402" t="s">
        <v>959</v>
      </c>
      <c r="E14" s="2403" t="s">
        <v>2679</v>
      </c>
      <c r="F14" s="2236">
        <f>ROUND(($G$28*$G$31*(1/$G$34-1/$G$39)/$G$42),2)</f>
        <v>63.62</v>
      </c>
      <c r="G14" s="2402" t="s">
        <v>1045</v>
      </c>
      <c r="H14" s="2213">
        <f>VLOOKUP(G14,'CP FACTORS'!$A$3:$B$38, 2, FALSE)</f>
        <v>9.4741810000000004E-4</v>
      </c>
      <c r="I14" s="2404">
        <f t="shared" si="5"/>
        <v>6.0275000000000002E-2</v>
      </c>
      <c r="J14" s="2405">
        <f t="shared" si="1"/>
        <v>2</v>
      </c>
      <c r="K14" s="2406">
        <f>G49</f>
        <v>63</v>
      </c>
      <c r="L14" s="2407" t="s">
        <v>62</v>
      </c>
      <c r="R14" s="532"/>
      <c r="V14" s="2413" t="s">
        <v>45</v>
      </c>
      <c r="W14" s="2414">
        <v>63.947008630041665</v>
      </c>
      <c r="X14" s="2415">
        <v>63.947008630041665</v>
      </c>
      <c r="Y14" s="2416">
        <v>63.95</v>
      </c>
      <c r="Z14" s="2416">
        <v>63.95</v>
      </c>
      <c r="AA14" s="2416">
        <v>63.95</v>
      </c>
      <c r="AB14" s="2416">
        <v>63.95</v>
      </c>
      <c r="AC14" s="2416">
        <v>63.12</v>
      </c>
      <c r="AD14" s="2236">
        <v>64</v>
      </c>
      <c r="AE14" s="2236">
        <v>63.71</v>
      </c>
      <c r="AF14" s="2236">
        <f t="shared" si="2"/>
        <v>63.62</v>
      </c>
      <c r="AG14" s="2413"/>
      <c r="AK14" s="358"/>
      <c r="DG14" s="2422">
        <f t="shared" si="6"/>
        <v>0.37759347068395333</v>
      </c>
      <c r="DH14" s="2423" t="str">
        <f t="shared" si="3"/>
        <v>Cooling RES 2 Year EUL</v>
      </c>
      <c r="DI14" s="2336">
        <f>(INDEX('Avoided Cost Benefits'!$B$4:$B$865,MATCH(DH14,'Avoided Cost Benefits'!$A$4:$A$865,0)))*F14</f>
        <v>23.788388653089058</v>
      </c>
      <c r="DJ14" s="2424">
        <f t="shared" si="4"/>
        <v>63</v>
      </c>
    </row>
    <row r="15" spans="1:114">
      <c r="B15" s="1454">
        <f t="shared" si="0"/>
        <v>400301</v>
      </c>
      <c r="C15" s="2401" t="s">
        <v>2680</v>
      </c>
      <c r="D15" s="2408" t="s">
        <v>2670</v>
      </c>
      <c r="E15" s="2310" t="str">
        <f>CONCATENATE(E14,"_CompE")</f>
        <v>AC Tune-up /Indoor Coil (Evaporator) Cleaning MF_CompE</v>
      </c>
      <c r="F15" s="2236">
        <f>ROUND(($G$29*$G$31*(1/$G$34-1/$G$39)/$G$42),2)</f>
        <v>46.27</v>
      </c>
      <c r="G15" s="2402" t="s">
        <v>1045</v>
      </c>
      <c r="H15" s="2213">
        <f>VLOOKUP(G15,'CP FACTORS'!$A$3:$B$38, 2, FALSE)</f>
        <v>9.4741810000000004E-4</v>
      </c>
      <c r="I15" s="2404">
        <f t="shared" si="5"/>
        <v>4.3837000000000001E-2</v>
      </c>
      <c r="J15" s="2405">
        <f t="shared" si="1"/>
        <v>2</v>
      </c>
      <c r="K15" s="2406">
        <v>63</v>
      </c>
      <c r="L15" s="2407" t="s">
        <v>62</v>
      </c>
      <c r="R15" s="532"/>
      <c r="V15" s="2413" t="s">
        <v>45</v>
      </c>
      <c r="W15" s="2414"/>
      <c r="X15" s="2415"/>
      <c r="Y15" s="2417">
        <v>46.51</v>
      </c>
      <c r="Z15" s="2416">
        <v>46.51</v>
      </c>
      <c r="AA15" s="2416">
        <v>46.51</v>
      </c>
      <c r="AB15" s="2416">
        <v>46.51</v>
      </c>
      <c r="AC15" s="2416">
        <v>45.91</v>
      </c>
      <c r="AD15" s="2236">
        <v>46.54</v>
      </c>
      <c r="AE15" s="2236">
        <v>46.34</v>
      </c>
      <c r="AF15" s="2236">
        <f t="shared" si="2"/>
        <v>46.27</v>
      </c>
      <c r="AG15" s="2413"/>
      <c r="AK15" s="358"/>
      <c r="DG15" s="2422">
        <f t="shared" si="6"/>
        <v>0.27461882880456651</v>
      </c>
      <c r="DH15" s="2423" t="str">
        <f t="shared" si="3"/>
        <v>Cooling RES 2 Year EUL</v>
      </c>
      <c r="DI15" s="2336">
        <f>(INDEX('Avoided Cost Benefits'!$B$4:$B$865,MATCH(DH15,'Avoided Cost Benefits'!$A$4:$A$865,0)))*F15</f>
        <v>17.30098621468769</v>
      </c>
      <c r="DJ15" s="2424">
        <f t="shared" si="4"/>
        <v>63</v>
      </c>
    </row>
    <row r="16" spans="1:114">
      <c r="B16" s="1454">
        <f t="shared" si="0"/>
        <v>400350</v>
      </c>
      <c r="C16" s="2401" t="s">
        <v>2681</v>
      </c>
      <c r="D16" s="2402" t="s">
        <v>1486</v>
      </c>
      <c r="E16" s="2403" t="s">
        <v>2682</v>
      </c>
      <c r="F16" s="2236">
        <f>ROUND(($G$28*$G$30*(1/$G$35-1/$G$40)/$G$42),2)</f>
        <v>195.75</v>
      </c>
      <c r="G16" s="2402" t="s">
        <v>1045</v>
      </c>
      <c r="H16" s="2213">
        <f>VLOOKUP(G16,'CP FACTORS'!$A$3:$B$38, 2, FALSE)</f>
        <v>9.4741810000000004E-4</v>
      </c>
      <c r="I16" s="2404">
        <f t="shared" si="5"/>
        <v>0.18545700000000001</v>
      </c>
      <c r="J16" s="2405">
        <f t="shared" si="1"/>
        <v>2</v>
      </c>
      <c r="K16" s="2406">
        <f>G50</f>
        <v>31</v>
      </c>
      <c r="L16" s="2407" t="s">
        <v>62</v>
      </c>
      <c r="R16" s="532"/>
      <c r="V16" s="2413" t="s">
        <v>45</v>
      </c>
      <c r="W16" s="2414">
        <v>196.75522776302316</v>
      </c>
      <c r="X16" s="2415">
        <v>196.75522776302316</v>
      </c>
      <c r="Y16" s="2416">
        <v>196.76</v>
      </c>
      <c r="Z16" s="2416">
        <v>196.76</v>
      </c>
      <c r="AA16" s="2416">
        <v>196.76</v>
      </c>
      <c r="AB16" s="2416">
        <v>196.76</v>
      </c>
      <c r="AC16" s="2416">
        <v>194.21</v>
      </c>
      <c r="AD16" s="2236">
        <v>196.91</v>
      </c>
      <c r="AE16" s="2236">
        <v>196.04</v>
      </c>
      <c r="AF16" s="2236">
        <f t="shared" si="2"/>
        <v>195.75</v>
      </c>
      <c r="AG16" s="2413"/>
      <c r="AK16" s="358"/>
      <c r="DG16" s="2422">
        <f t="shared" si="6"/>
        <v>2.3610839961273</v>
      </c>
      <c r="DH16" s="2423" t="str">
        <f t="shared" si="3"/>
        <v>Cooling RES 2 Year EUL</v>
      </c>
      <c r="DI16" s="2336">
        <f>(INDEX('Avoided Cost Benefits'!$B$4:$B$865,MATCH(DH16,'Avoided Cost Benefits'!$A$4:$A$865,0)))*F16</f>
        <v>73.193603879946295</v>
      </c>
      <c r="DJ16" s="2424">
        <f t="shared" si="4"/>
        <v>31</v>
      </c>
    </row>
    <row r="17" spans="1:114">
      <c r="B17" s="1454">
        <f t="shared" si="0"/>
        <v>400400</v>
      </c>
      <c r="C17" s="2401" t="s">
        <v>2683</v>
      </c>
      <c r="D17" s="2402" t="s">
        <v>959</v>
      </c>
      <c r="E17" s="2403" t="s">
        <v>2684</v>
      </c>
      <c r="F17" s="2236">
        <f>ROUND(($G$28*$G$31*(1/$G$35-1/$G$40)/$G$42),2)</f>
        <v>127.24</v>
      </c>
      <c r="G17" s="2402" t="s">
        <v>1045</v>
      </c>
      <c r="H17" s="2213">
        <f>VLOOKUP(G17,'CP FACTORS'!$A$3:$B$38, 2, FALSE)</f>
        <v>9.4741810000000004E-4</v>
      </c>
      <c r="I17" s="2404">
        <f t="shared" si="5"/>
        <v>0.120549</v>
      </c>
      <c r="J17" s="2405">
        <f t="shared" si="1"/>
        <v>2</v>
      </c>
      <c r="K17" s="2406">
        <f>G51</f>
        <v>31</v>
      </c>
      <c r="L17" s="2407" t="s">
        <v>62</v>
      </c>
      <c r="R17" s="532"/>
      <c r="V17" s="2413" t="s">
        <v>45</v>
      </c>
      <c r="W17" s="2414">
        <v>127.89089804596506</v>
      </c>
      <c r="X17" s="2415">
        <v>127.89089804596506</v>
      </c>
      <c r="Y17" s="2416">
        <v>127.89</v>
      </c>
      <c r="Z17" s="2416">
        <v>127.89</v>
      </c>
      <c r="AA17" s="2416">
        <v>127.89</v>
      </c>
      <c r="AB17" s="2416">
        <v>127.89</v>
      </c>
      <c r="AC17" s="2416">
        <v>126.24</v>
      </c>
      <c r="AD17" s="2236">
        <v>127.99</v>
      </c>
      <c r="AE17" s="2236">
        <v>127.43</v>
      </c>
      <c r="AF17" s="2236">
        <f t="shared" si="2"/>
        <v>127.24</v>
      </c>
      <c r="AG17" s="2413"/>
      <c r="AK17" s="358"/>
      <c r="DG17" s="2422">
        <f t="shared" si="6"/>
        <v>1.5347347518121972</v>
      </c>
      <c r="DH17" s="2423" t="str">
        <f t="shared" si="3"/>
        <v>Cooling RES 2 Year EUL</v>
      </c>
      <c r="DI17" s="2336">
        <f>(INDEX('Avoided Cost Benefits'!$B$4:$B$865,MATCH(DH17,'Avoided Cost Benefits'!$A$4:$A$865,0)))*F17</f>
        <v>47.576777306178116</v>
      </c>
      <c r="DJ17" s="2424">
        <f t="shared" si="4"/>
        <v>31</v>
      </c>
    </row>
    <row r="18" spans="1:114">
      <c r="B18" s="1454">
        <f t="shared" si="0"/>
        <v>400401</v>
      </c>
      <c r="C18" s="2401" t="s">
        <v>2685</v>
      </c>
      <c r="D18" s="2408" t="s">
        <v>2670</v>
      </c>
      <c r="E18" s="2310" t="str">
        <f>CONCATENATE(E17,"_CompE")</f>
        <v>AC Tune-up /Outdoor Coil (Condenser) Cleaning MF_CompE</v>
      </c>
      <c r="F18" s="2236">
        <f>ROUND(($G$29*$G$31*(1/$G$35-1/$G$40)/$G$42),2)</f>
        <v>92.54</v>
      </c>
      <c r="G18" s="2402" t="s">
        <v>1045</v>
      </c>
      <c r="H18" s="2213">
        <f>VLOOKUP(G18,'CP FACTORS'!$A$3:$B$38, 2, FALSE)</f>
        <v>9.4741810000000004E-4</v>
      </c>
      <c r="I18" s="2404">
        <f t="shared" si="5"/>
        <v>8.7674000000000002E-2</v>
      </c>
      <c r="J18" s="2405">
        <f t="shared" si="1"/>
        <v>2</v>
      </c>
      <c r="K18" s="2406">
        <f>K17</f>
        <v>31</v>
      </c>
      <c r="L18" s="2407" t="s">
        <v>62</v>
      </c>
      <c r="R18" s="532"/>
      <c r="V18" s="2413" t="s">
        <v>45</v>
      </c>
      <c r="W18" s="2414"/>
      <c r="X18" s="2415"/>
      <c r="Y18" s="2417">
        <v>93.01</v>
      </c>
      <c r="Z18" s="2416">
        <v>93.01</v>
      </c>
      <c r="AA18" s="2416">
        <v>93.01</v>
      </c>
      <c r="AB18" s="2416">
        <v>93.01</v>
      </c>
      <c r="AC18" s="2416">
        <v>91.81</v>
      </c>
      <c r="AD18" s="2236">
        <v>93.09</v>
      </c>
      <c r="AE18" s="2236">
        <v>92.67</v>
      </c>
      <c r="AF18" s="2236">
        <f t="shared" si="2"/>
        <v>92.54</v>
      </c>
      <c r="AG18" s="2413"/>
      <c r="AK18" s="358"/>
      <c r="DG18" s="2422">
        <f t="shared" si="6"/>
        <v>1.116192659012109</v>
      </c>
      <c r="DH18" s="2423" t="str">
        <f t="shared" si="3"/>
        <v>Cooling RES 2 Year EUL</v>
      </c>
      <c r="DI18" s="2336">
        <f>(INDEX('Avoided Cost Benefits'!$B$4:$B$865,MATCH(DH18,'Avoided Cost Benefits'!$A$4:$A$865,0)))*F18</f>
        <v>34.60197242937538</v>
      </c>
      <c r="DJ18" s="2424">
        <f t="shared" si="4"/>
        <v>31</v>
      </c>
    </row>
    <row r="19" spans="1:114" s="1458" customFormat="1">
      <c r="A19" s="283"/>
      <c r="B19" s="1454">
        <f t="shared" si="0"/>
        <v>400410</v>
      </c>
      <c r="C19" s="105" t="s">
        <v>2686</v>
      </c>
      <c r="D19" s="1445" t="s">
        <v>1486</v>
      </c>
      <c r="E19" s="1377" t="s">
        <v>2687</v>
      </c>
      <c r="F19" s="105">
        <f>ROUND(G28*G30*(1/G$36-1/G$41)/G42,2)</f>
        <v>368.11</v>
      </c>
      <c r="G19" s="1445" t="s">
        <v>1045</v>
      </c>
      <c r="H19" s="931">
        <f>VLOOKUP(G19,'CP FACTORS'!$A$3:$B$38, 2, FALSE)</f>
        <v>9.4741810000000004E-4</v>
      </c>
      <c r="I19" s="105">
        <f>ROUND(F19*H19,6)</f>
        <v>0.34875400000000001</v>
      </c>
      <c r="J19" s="932">
        <f>$G$43</f>
        <v>2</v>
      </c>
      <c r="K19" s="151">
        <f>G52</f>
        <v>185</v>
      </c>
      <c r="L19" s="1445" t="s">
        <v>62</v>
      </c>
      <c r="M19" s="283"/>
      <c r="N19" s="283"/>
      <c r="O19" s="283"/>
      <c r="P19" s="283"/>
      <c r="Q19" s="283"/>
      <c r="R19" s="283"/>
      <c r="V19" s="1378" t="s">
        <v>45</v>
      </c>
      <c r="W19" s="1512"/>
      <c r="X19" s="850"/>
      <c r="Y19" s="851"/>
      <c r="Z19" s="851"/>
      <c r="AA19" s="851"/>
      <c r="AB19" s="851"/>
      <c r="AC19" s="270">
        <v>365.21</v>
      </c>
      <c r="AD19" s="105">
        <v>370.29</v>
      </c>
      <c r="AE19" s="105">
        <v>368.65</v>
      </c>
      <c r="AF19" s="271">
        <f t="shared" si="2"/>
        <v>368.11</v>
      </c>
      <c r="AG19" s="356"/>
      <c r="AH19" s="273"/>
      <c r="DG19" s="1063">
        <f>(DI19)/(DJ19)</f>
        <v>0.744007387366595</v>
      </c>
      <c r="DH19" s="673" t="str">
        <f>CONCATENATE(G19," ",J19," Year EUL")</f>
        <v>Cooling RES 2 Year EUL</v>
      </c>
      <c r="DI19" s="556">
        <f>(INDEX('Avoided Cost Benefits'!$B$4:$B$865,MATCH(DH19,'Avoided Cost Benefits'!$A$4:$A$865,0)))*F19</f>
        <v>137.64136666282008</v>
      </c>
      <c r="DJ19" s="1170">
        <f t="shared" si="4"/>
        <v>185</v>
      </c>
    </row>
    <row r="20" spans="1:114" s="1458" customFormat="1">
      <c r="A20" s="283"/>
      <c r="B20" s="1454">
        <f t="shared" si="0"/>
        <v>400411</v>
      </c>
      <c r="C20" s="105" t="s">
        <v>2688</v>
      </c>
      <c r="D20" s="1445" t="s">
        <v>959</v>
      </c>
      <c r="E20" s="1377" t="s">
        <v>2689</v>
      </c>
      <c r="F20" s="105">
        <f>ROUND(G28*G31*(1/G$36-1/G$41)/G42,2)</f>
        <v>239.27</v>
      </c>
      <c r="G20" s="1445" t="s">
        <v>1045</v>
      </c>
      <c r="H20" s="931">
        <f>VLOOKUP(G20,'CP FACTORS'!$A$3:$B$38, 2, FALSE)</f>
        <v>9.4741810000000004E-4</v>
      </c>
      <c r="I20" s="105">
        <f>ROUND(F20*H20,6)</f>
        <v>0.226689</v>
      </c>
      <c r="J20" s="932">
        <f>$G$43</f>
        <v>2</v>
      </c>
      <c r="K20" s="151">
        <f>G53</f>
        <v>185</v>
      </c>
      <c r="L20" s="1445" t="s">
        <v>62</v>
      </c>
      <c r="M20" s="283"/>
      <c r="N20" s="283"/>
      <c r="O20" s="283"/>
      <c r="P20" s="283"/>
      <c r="Q20" s="283"/>
      <c r="R20" s="283"/>
      <c r="V20" s="1378" t="s">
        <v>45</v>
      </c>
      <c r="W20" s="1512"/>
      <c r="X20" s="850"/>
      <c r="Y20" s="851"/>
      <c r="Z20" s="851"/>
      <c r="AA20" s="851"/>
      <c r="AB20" s="851"/>
      <c r="AC20" s="270">
        <v>237.39</v>
      </c>
      <c r="AD20" s="105">
        <v>240.69</v>
      </c>
      <c r="AE20" s="105">
        <v>239.62</v>
      </c>
      <c r="AF20" s="271">
        <f t="shared" si="2"/>
        <v>239.27</v>
      </c>
      <c r="AG20" s="356"/>
      <c r="AH20" s="273"/>
      <c r="DG20" s="1063">
        <f>(DI20)/(DJ20)</f>
        <v>0.48360177005570398</v>
      </c>
      <c r="DH20" s="673" t="str">
        <f>CONCATENATE(G20," ",J20," Year EUL")</f>
        <v>Cooling RES 2 Year EUL</v>
      </c>
      <c r="DI20" s="556">
        <f>(INDEX('Avoided Cost Benefits'!$B$4:$B$865,MATCH(DH20,'Avoided Cost Benefits'!$A$4:$A$865,0)))*F20</f>
        <v>89.466327460305237</v>
      </c>
      <c r="DJ20" s="1170">
        <f t="shared" si="4"/>
        <v>185</v>
      </c>
    </row>
    <row r="21" spans="1:114" s="1458" customFormat="1">
      <c r="A21" s="283"/>
      <c r="B21" s="1454">
        <f t="shared" si="0"/>
        <v>400412</v>
      </c>
      <c r="C21" s="2409" t="s">
        <v>2690</v>
      </c>
      <c r="D21" s="2244" t="s">
        <v>2670</v>
      </c>
      <c r="E21" s="1444" t="s">
        <v>2691</v>
      </c>
      <c r="F21" s="2409">
        <f>ROUND(G29*G31*(1/G$36-1/G$41)/G42,2)</f>
        <v>174.01</v>
      </c>
      <c r="G21" s="2244" t="s">
        <v>1045</v>
      </c>
      <c r="H21" s="2410">
        <f>VLOOKUP(G21,'CP FACTORS'!$A$3:$B$38, 2, FALSE)</f>
        <v>9.4741810000000004E-4</v>
      </c>
      <c r="I21" s="2409">
        <f>ROUND(F21*H21,6)</f>
        <v>0.16486000000000001</v>
      </c>
      <c r="J21" s="2411">
        <f>$G$43</f>
        <v>2</v>
      </c>
      <c r="K21" s="2412">
        <f>G53</f>
        <v>185</v>
      </c>
      <c r="L21" s="2244" t="s">
        <v>62</v>
      </c>
      <c r="M21" s="283"/>
      <c r="N21" s="283"/>
      <c r="O21" s="283"/>
      <c r="P21" s="283"/>
      <c r="Q21" s="283"/>
      <c r="R21" s="283"/>
      <c r="V21" s="2425" t="s">
        <v>45</v>
      </c>
      <c r="W21" s="2426"/>
      <c r="X21" s="2427"/>
      <c r="Y21" s="2428"/>
      <c r="Z21" s="2428"/>
      <c r="AA21" s="2428"/>
      <c r="AB21" s="2428"/>
      <c r="AC21" s="2416">
        <v>172.64</v>
      </c>
      <c r="AD21" s="2409">
        <v>175.05</v>
      </c>
      <c r="AE21" s="2409">
        <v>174.27</v>
      </c>
      <c r="AF21" s="2236">
        <f t="shared" si="2"/>
        <v>174.01</v>
      </c>
      <c r="AG21" s="2413"/>
      <c r="AH21" s="273"/>
      <c r="DG21" s="2429">
        <f>(DI21)/(DJ21)</f>
        <v>0.35170119115389742</v>
      </c>
      <c r="DH21" s="2423" t="str">
        <f>CONCATENATE(G21," ",J21," Year EUL")</f>
        <v>Cooling RES 2 Year EUL</v>
      </c>
      <c r="DI21" s="2430">
        <f>(INDEX('Avoided Cost Benefits'!$B$4:$B$865,MATCH(DH21,'Avoided Cost Benefits'!$A$4:$A$865,0)))*F21</f>
        <v>65.064720363471025</v>
      </c>
      <c r="DJ21" s="2431">
        <f t="shared" si="4"/>
        <v>185</v>
      </c>
    </row>
    <row r="22" spans="1:114" hidden="1" outlineLevel="1">
      <c r="B22" s="579"/>
      <c r="C22" s="64"/>
      <c r="D22" s="77" t="s">
        <v>118</v>
      </c>
      <c r="E22" s="133" t="s">
        <v>2692</v>
      </c>
      <c r="F22" s="72"/>
      <c r="G22" s="66"/>
      <c r="H22" s="66"/>
      <c r="I22" s="66"/>
      <c r="J22" s="66"/>
      <c r="V22" s="76"/>
      <c r="W22" s="76"/>
      <c r="X22" s="76"/>
      <c r="Y22" s="384"/>
      <c r="Z22" s="76"/>
      <c r="AA22" s="76"/>
      <c r="AB22" s="76"/>
      <c r="AC22" s="76"/>
      <c r="AD22" s="76"/>
      <c r="AE22" s="76"/>
      <c r="AF22" s="76"/>
      <c r="AG22" s="76"/>
      <c r="AK22" s="358"/>
    </row>
    <row r="23" spans="1:114" ht="30" hidden="1" outlineLevel="1">
      <c r="B23" s="579"/>
      <c r="C23" s="64"/>
      <c r="D23" s="77" t="s">
        <v>963</v>
      </c>
      <c r="E23" s="99" t="s">
        <v>2693</v>
      </c>
      <c r="F23" s="577"/>
      <c r="G23" s="66"/>
      <c r="H23" s="66"/>
      <c r="I23" s="66"/>
      <c r="J23" s="66"/>
      <c r="V23" s="76"/>
      <c r="W23" s="76"/>
      <c r="X23" s="76"/>
      <c r="Y23" s="384"/>
      <c r="Z23" s="76"/>
      <c r="AA23" s="76"/>
      <c r="AB23" s="76"/>
      <c r="AC23" s="76"/>
      <c r="AD23" s="76"/>
      <c r="AE23" s="76"/>
      <c r="AF23" s="76"/>
      <c r="AG23" s="76"/>
      <c r="AK23" s="358"/>
    </row>
    <row r="24" spans="1:114" hidden="1" outlineLevel="1">
      <c r="B24" s="579"/>
      <c r="C24" s="64"/>
      <c r="D24" s="1449"/>
      <c r="E24" s="148" t="s">
        <v>2694</v>
      </c>
      <c r="F24" s="577"/>
      <c r="G24" s="66"/>
      <c r="H24" s="66"/>
      <c r="I24" s="66"/>
      <c r="J24" s="66"/>
      <c r="K24" s="66"/>
      <c r="L24" s="66"/>
      <c r="V24" s="76"/>
      <c r="W24" s="76"/>
      <c r="X24" s="76"/>
      <c r="Y24" s="384"/>
      <c r="Z24" s="76"/>
      <c r="AA24" s="76"/>
      <c r="AB24" s="76"/>
      <c r="AC24" s="76"/>
      <c r="AD24" s="76"/>
      <c r="AE24" s="76"/>
      <c r="AF24" s="76"/>
      <c r="AG24" s="76"/>
      <c r="AK24" s="358"/>
    </row>
    <row r="25" spans="1:114" ht="15" hidden="1" customHeight="1" outlineLevel="1">
      <c r="B25" s="579"/>
      <c r="C25" s="64"/>
      <c r="D25" s="1449"/>
      <c r="E25" s="99" t="s">
        <v>1075</v>
      </c>
      <c r="F25" s="577"/>
      <c r="G25" s="66"/>
      <c r="H25" s="66"/>
      <c r="I25" s="66"/>
      <c r="J25" s="66"/>
      <c r="K25" s="66"/>
      <c r="L25" s="66"/>
      <c r="AK25" s="358"/>
    </row>
    <row r="26" spans="1:114" ht="15" hidden="1" customHeight="1" outlineLevel="1">
      <c r="B26" s="579"/>
      <c r="C26" s="64"/>
      <c r="D26" s="65"/>
      <c r="E26" s="65"/>
      <c r="F26" s="66"/>
      <c r="G26" s="66"/>
      <c r="H26" s="66"/>
      <c r="I26" s="66"/>
      <c r="J26" s="66"/>
      <c r="K26" s="66"/>
      <c r="L26" s="66"/>
      <c r="AK26" s="358"/>
    </row>
    <row r="27" spans="1:114" ht="15" hidden="1" customHeight="1" outlineLevel="1">
      <c r="B27" s="579"/>
      <c r="C27" s="64"/>
      <c r="D27" s="1443" t="s">
        <v>1078</v>
      </c>
      <c r="E27" s="1443" t="s">
        <v>967</v>
      </c>
      <c r="F27" s="1443" t="s">
        <v>968</v>
      </c>
      <c r="G27" s="1371" t="s">
        <v>969</v>
      </c>
      <c r="H27" s="4068" t="s">
        <v>970</v>
      </c>
      <c r="I27" s="4068"/>
      <c r="J27" s="4068"/>
      <c r="K27" s="4068" t="s">
        <v>755</v>
      </c>
      <c r="L27" s="4068"/>
      <c r="M27" s="4068"/>
      <c r="N27" s="4068"/>
      <c r="V27" s="668" t="s">
        <v>52</v>
      </c>
      <c r="W27" s="669">
        <f>W$6</f>
        <v>43252</v>
      </c>
      <c r="X27" s="669">
        <f t="shared" ref="X27:AG27" si="7">X$6</f>
        <v>43465</v>
      </c>
      <c r="Y27" s="115">
        <f t="shared" si="7"/>
        <v>43800</v>
      </c>
      <c r="Z27" s="669">
        <f t="shared" si="7"/>
        <v>43862</v>
      </c>
      <c r="AA27" s="669">
        <f t="shared" si="7"/>
        <v>44013</v>
      </c>
      <c r="AB27" s="669">
        <f t="shared" si="7"/>
        <v>44166</v>
      </c>
      <c r="AC27" s="669">
        <f t="shared" si="7"/>
        <v>44531</v>
      </c>
      <c r="AD27" s="669">
        <f t="shared" si="7"/>
        <v>44774</v>
      </c>
      <c r="AE27" s="669">
        <f t="shared" si="7"/>
        <v>45139</v>
      </c>
      <c r="AF27" s="669">
        <f t="shared" si="7"/>
        <v>45672</v>
      </c>
      <c r="AG27" s="669" t="str">
        <f t="shared" si="7"/>
        <v>-</v>
      </c>
      <c r="AK27" s="358"/>
    </row>
    <row r="28" spans="1:114" ht="18" hidden="1" customHeight="1" outlineLevel="1">
      <c r="B28" s="579"/>
      <c r="C28" s="64"/>
      <c r="D28" s="4072" t="s">
        <v>2695</v>
      </c>
      <c r="E28" s="4072" t="s">
        <v>2121</v>
      </c>
      <c r="F28" s="350" t="s">
        <v>1115</v>
      </c>
      <c r="G28" s="1803">
        <v>869</v>
      </c>
      <c r="H28" s="4442" t="s">
        <v>2696</v>
      </c>
      <c r="I28" s="4443"/>
      <c r="J28" s="4444"/>
      <c r="K28" s="4427"/>
      <c r="L28" s="4427"/>
      <c r="M28" s="4427"/>
      <c r="N28" s="4427"/>
      <c r="V28" s="4421" t="str">
        <f>D28</f>
        <v>EFLHcool</v>
      </c>
      <c r="W28" s="1524">
        <v>869</v>
      </c>
      <c r="X28" s="1524">
        <v>869</v>
      </c>
      <c r="Y28" s="1524">
        <v>869</v>
      </c>
      <c r="Z28" s="347">
        <v>869</v>
      </c>
      <c r="AA28" s="347">
        <v>869</v>
      </c>
      <c r="AB28" s="347">
        <v>869</v>
      </c>
      <c r="AC28" s="863">
        <v>869</v>
      </c>
      <c r="AD28" s="863">
        <v>869</v>
      </c>
      <c r="AE28" s="863">
        <v>869</v>
      </c>
      <c r="AF28" s="271">
        <f t="shared" ref="AF28:AF53" si="8">IF(G28&lt;&gt;"",G28,"")</f>
        <v>869</v>
      </c>
      <c r="AG28" s="1514"/>
      <c r="AK28" s="358"/>
    </row>
    <row r="29" spans="1:114" ht="18" hidden="1" customHeight="1" outlineLevel="1">
      <c r="B29" s="579"/>
      <c r="C29" s="64"/>
      <c r="D29" s="4199"/>
      <c r="E29" s="4199"/>
      <c r="F29" s="2432" t="s">
        <v>1465</v>
      </c>
      <c r="G29" s="2433">
        <v>632</v>
      </c>
      <c r="H29" s="4156" t="s">
        <v>2697</v>
      </c>
      <c r="I29" s="4169"/>
      <c r="J29" s="4157"/>
      <c r="K29" s="4441"/>
      <c r="L29" s="4441"/>
      <c r="M29" s="4441"/>
      <c r="N29" s="4441"/>
      <c r="V29" s="4440"/>
      <c r="W29" s="2435"/>
      <c r="X29" s="2435"/>
      <c r="Y29" s="2436">
        <v>632</v>
      </c>
      <c r="Z29" s="2437">
        <v>632</v>
      </c>
      <c r="AA29" s="2437">
        <v>632</v>
      </c>
      <c r="AB29" s="2437">
        <v>632</v>
      </c>
      <c r="AC29" s="2438">
        <v>632</v>
      </c>
      <c r="AD29" s="2438">
        <v>632</v>
      </c>
      <c r="AE29" s="2438">
        <v>632</v>
      </c>
      <c r="AF29" s="2236">
        <f t="shared" si="8"/>
        <v>632</v>
      </c>
      <c r="AG29" s="2439"/>
      <c r="AK29" s="358"/>
    </row>
    <row r="30" spans="1:114" ht="30.75" hidden="1" customHeight="1" outlineLevel="1">
      <c r="B30" s="579"/>
      <c r="C30" s="64"/>
      <c r="D30" s="4072" t="s">
        <v>2698</v>
      </c>
      <c r="E30" s="4072" t="s">
        <v>2503</v>
      </c>
      <c r="F30" s="350" t="s">
        <v>170</v>
      </c>
      <c r="G30" s="1736">
        <v>36612.294736844204</v>
      </c>
      <c r="H30" s="4090" t="s">
        <v>2699</v>
      </c>
      <c r="I30" s="4090"/>
      <c r="J30" s="4090"/>
      <c r="K30" s="4439" t="s">
        <v>1935</v>
      </c>
      <c r="L30" s="4439"/>
      <c r="M30" s="4439"/>
      <c r="N30" s="4439"/>
      <c r="V30" s="4421" t="str">
        <f>D30</f>
        <v>Capacitycool</v>
      </c>
      <c r="W30" s="1524">
        <v>36800</v>
      </c>
      <c r="X30" s="1524">
        <v>36800</v>
      </c>
      <c r="Y30" s="1524">
        <v>36800</v>
      </c>
      <c r="Z30" s="347">
        <v>36800</v>
      </c>
      <c r="AA30" s="347">
        <v>36800</v>
      </c>
      <c r="AB30" s="347">
        <v>36800</v>
      </c>
      <c r="AC30" s="863">
        <v>36324</v>
      </c>
      <c r="AD30" s="984">
        <v>36829.5</v>
      </c>
      <c r="AE30" s="984">
        <v>36666</v>
      </c>
      <c r="AF30" s="271">
        <f t="shared" si="8"/>
        <v>36612.294736844204</v>
      </c>
      <c r="AG30" s="1514"/>
      <c r="AK30" s="358"/>
    </row>
    <row r="31" spans="1:114" ht="15" hidden="1" customHeight="1" outlineLevel="1">
      <c r="B31" s="579"/>
      <c r="C31" s="64"/>
      <c r="D31" s="4072"/>
      <c r="E31" s="4072"/>
      <c r="F31" s="350" t="s">
        <v>1122</v>
      </c>
      <c r="G31" s="1736">
        <f>G30*0.65</f>
        <v>23797.991578948735</v>
      </c>
      <c r="H31" s="4072" t="s">
        <v>2700</v>
      </c>
      <c r="I31" s="4072"/>
      <c r="J31" s="4072"/>
      <c r="K31" s="4426" t="s">
        <v>1935</v>
      </c>
      <c r="L31" s="4426"/>
      <c r="M31" s="4426"/>
      <c r="N31" s="4426"/>
      <c r="V31" s="4423"/>
      <c r="W31" s="1524">
        <v>23920</v>
      </c>
      <c r="X31" s="1524">
        <v>23920</v>
      </c>
      <c r="Y31" s="1524">
        <v>23920</v>
      </c>
      <c r="Z31" s="347">
        <v>23920</v>
      </c>
      <c r="AA31" s="347">
        <v>23920</v>
      </c>
      <c r="AB31" s="347">
        <v>23920</v>
      </c>
      <c r="AC31" s="863">
        <v>23611</v>
      </c>
      <c r="AD31" s="863">
        <v>23939.174999999999</v>
      </c>
      <c r="AE31" s="863">
        <v>23832.9</v>
      </c>
      <c r="AF31" s="271">
        <f t="shared" si="8"/>
        <v>23797.991578948735</v>
      </c>
      <c r="AG31" s="1514"/>
      <c r="AK31" s="358"/>
    </row>
    <row r="32" spans="1:114" ht="15" hidden="1" customHeight="1" outlineLevel="1">
      <c r="B32" s="579"/>
      <c r="C32" s="64"/>
      <c r="D32" s="4072" t="s">
        <v>2701</v>
      </c>
      <c r="E32" s="4072" t="s">
        <v>2702</v>
      </c>
      <c r="F32" s="2440" t="s">
        <v>2703</v>
      </c>
      <c r="G32" s="2322">
        <v>11.9</v>
      </c>
      <c r="H32" s="4090" t="s">
        <v>2704</v>
      </c>
      <c r="I32" s="4090"/>
      <c r="J32" s="4090"/>
      <c r="K32" s="4072"/>
      <c r="L32" s="4072"/>
      <c r="M32" s="4072"/>
      <c r="N32" s="4072"/>
      <c r="V32" s="4421" t="str">
        <f>D32</f>
        <v>SEERtest-in</v>
      </c>
      <c r="W32" s="2441">
        <v>11.9</v>
      </c>
      <c r="X32" s="2441">
        <v>11.9</v>
      </c>
      <c r="Y32" s="2441">
        <v>11.9</v>
      </c>
      <c r="Z32" s="2442">
        <v>11.9</v>
      </c>
      <c r="AA32" s="2442">
        <v>11.9</v>
      </c>
      <c r="AB32" s="2442">
        <v>11.9</v>
      </c>
      <c r="AC32" s="2438">
        <v>11.9</v>
      </c>
      <c r="AD32" s="2438">
        <v>11.9</v>
      </c>
      <c r="AE32" s="2438">
        <v>11.9</v>
      </c>
      <c r="AF32" s="2236">
        <f t="shared" si="8"/>
        <v>11.9</v>
      </c>
      <c r="AG32" s="2443"/>
      <c r="AK32" s="358"/>
    </row>
    <row r="33" spans="2:37" ht="15" hidden="1" customHeight="1" outlineLevel="1">
      <c r="B33" s="579"/>
      <c r="C33" s="64"/>
      <c r="D33" s="4072"/>
      <c r="E33" s="4072"/>
      <c r="F33" s="350" t="s">
        <v>2705</v>
      </c>
      <c r="G33" s="1665">
        <v>11.9</v>
      </c>
      <c r="H33" s="4090"/>
      <c r="I33" s="4090"/>
      <c r="J33" s="4090"/>
      <c r="K33" s="4072"/>
      <c r="L33" s="4072"/>
      <c r="M33" s="4072"/>
      <c r="N33" s="4072"/>
      <c r="V33" s="4422"/>
      <c r="W33" s="1525">
        <v>11.9</v>
      </c>
      <c r="X33" s="1525">
        <v>11.9</v>
      </c>
      <c r="Y33" s="1525">
        <v>11.9</v>
      </c>
      <c r="Z33" s="1381">
        <v>11.9</v>
      </c>
      <c r="AA33" s="1381">
        <v>11.9</v>
      </c>
      <c r="AB33" s="1381">
        <v>11.9</v>
      </c>
      <c r="AC33" s="863">
        <v>11.9</v>
      </c>
      <c r="AD33" s="863">
        <v>11.9</v>
      </c>
      <c r="AE33" s="863">
        <v>11.9</v>
      </c>
      <c r="AF33" s="271">
        <f t="shared" si="8"/>
        <v>11.9</v>
      </c>
      <c r="AG33" s="1516"/>
      <c r="AK33" s="358"/>
    </row>
    <row r="34" spans="2:37" hidden="1" outlineLevel="1">
      <c r="C34" s="64"/>
      <c r="D34" s="4072"/>
      <c r="E34" s="4072"/>
      <c r="F34" s="2440" t="s">
        <v>2706</v>
      </c>
      <c r="G34" s="2322">
        <v>11.9</v>
      </c>
      <c r="H34" s="4090"/>
      <c r="I34" s="4090"/>
      <c r="J34" s="4090"/>
      <c r="K34" s="4408" t="s">
        <v>2707</v>
      </c>
      <c r="L34" s="4072"/>
      <c r="M34" s="4072"/>
      <c r="N34" s="4072"/>
      <c r="V34" s="4422"/>
      <c r="W34" s="2441">
        <v>11.9</v>
      </c>
      <c r="X34" s="2441">
        <v>11.9</v>
      </c>
      <c r="Y34" s="2441">
        <v>11.9</v>
      </c>
      <c r="Z34" s="2442">
        <v>11.9</v>
      </c>
      <c r="AA34" s="2442">
        <v>11.9</v>
      </c>
      <c r="AB34" s="2442">
        <v>11.9</v>
      </c>
      <c r="AC34" s="2442">
        <v>11.9</v>
      </c>
      <c r="AD34" s="2442">
        <v>11.9</v>
      </c>
      <c r="AE34" s="2442">
        <v>11.9</v>
      </c>
      <c r="AF34" s="2236">
        <f t="shared" si="8"/>
        <v>11.9</v>
      </c>
      <c r="AG34" s="2443"/>
      <c r="AK34" s="358"/>
    </row>
    <row r="35" spans="2:37" ht="15" hidden="1" customHeight="1" outlineLevel="1">
      <c r="C35" s="64"/>
      <c r="D35" s="4072"/>
      <c r="E35" s="4072"/>
      <c r="F35" s="2440" t="s">
        <v>2708</v>
      </c>
      <c r="G35" s="2322">
        <v>11.9</v>
      </c>
      <c r="H35" s="4090"/>
      <c r="I35" s="4090"/>
      <c r="J35" s="4090"/>
      <c r="K35" s="4072"/>
      <c r="L35" s="4072"/>
      <c r="M35" s="4072"/>
      <c r="N35" s="4072"/>
      <c r="V35" s="4422"/>
      <c r="W35" s="2441">
        <v>11.9</v>
      </c>
      <c r="X35" s="2441">
        <v>11.9</v>
      </c>
      <c r="Y35" s="2441">
        <v>11.9</v>
      </c>
      <c r="Z35" s="2442">
        <v>11.9</v>
      </c>
      <c r="AA35" s="2442">
        <v>11.9</v>
      </c>
      <c r="AB35" s="2442">
        <v>11.9</v>
      </c>
      <c r="AC35" s="2442">
        <v>11.9</v>
      </c>
      <c r="AD35" s="2442">
        <v>11.9</v>
      </c>
      <c r="AE35" s="2442">
        <v>11.9</v>
      </c>
      <c r="AF35" s="2236">
        <f t="shared" si="8"/>
        <v>11.9</v>
      </c>
      <c r="AG35" s="2443"/>
      <c r="AK35" s="358"/>
    </row>
    <row r="36" spans="2:37" ht="15" hidden="1" customHeight="1" outlineLevel="1">
      <c r="C36" s="64"/>
      <c r="D36" s="4072"/>
      <c r="E36" s="4072"/>
      <c r="F36" s="350" t="s">
        <v>2709</v>
      </c>
      <c r="G36" s="1665">
        <f>G35</f>
        <v>11.9</v>
      </c>
      <c r="H36" s="4090"/>
      <c r="I36" s="4090"/>
      <c r="J36" s="4090"/>
      <c r="K36" s="4072"/>
      <c r="L36" s="4072"/>
      <c r="M36" s="4072"/>
      <c r="N36" s="4072"/>
      <c r="V36" s="4423"/>
      <c r="W36" s="1512"/>
      <c r="X36" s="850"/>
      <c r="Y36" s="851"/>
      <c r="Z36" s="851"/>
      <c r="AA36" s="851"/>
      <c r="AB36" s="851"/>
      <c r="AC36" s="766">
        <v>11.9</v>
      </c>
      <c r="AD36" s="1381">
        <v>11.9</v>
      </c>
      <c r="AE36" s="1381">
        <v>11.9</v>
      </c>
      <c r="AF36" s="271">
        <f t="shared" si="8"/>
        <v>11.9</v>
      </c>
      <c r="AG36" s="1516"/>
      <c r="AK36" s="358"/>
    </row>
    <row r="37" spans="2:37" ht="15" hidden="1" customHeight="1" outlineLevel="1">
      <c r="B37" s="579"/>
      <c r="C37" s="64"/>
      <c r="D37" s="4072" t="s">
        <v>2710</v>
      </c>
      <c r="E37" s="4072" t="s">
        <v>2711</v>
      </c>
      <c r="F37" s="2440" t="s">
        <v>2703</v>
      </c>
      <c r="G37" s="2322">
        <f>G32*(1+0.056)</f>
        <v>12.566400000000002</v>
      </c>
      <c r="H37" s="4212" t="s">
        <v>2712</v>
      </c>
      <c r="I37" s="4212"/>
      <c r="J37" s="4212"/>
      <c r="K37" s="1646"/>
      <c r="L37" s="1646"/>
      <c r="M37" s="1646"/>
      <c r="N37" s="1646"/>
      <c r="V37" s="4421" t="str">
        <f>D37</f>
        <v>SEERtest-out</v>
      </c>
      <c r="W37" s="2441">
        <v>12.566400000000002</v>
      </c>
      <c r="X37" s="2441">
        <f>X32*(1+0.056)</f>
        <v>12.566400000000002</v>
      </c>
      <c r="Y37" s="2441">
        <f>Y32*(1+0.056)</f>
        <v>12.566400000000002</v>
      </c>
      <c r="Z37" s="2442">
        <f>Z32*(1+0.056)</f>
        <v>12.566400000000002</v>
      </c>
      <c r="AA37" s="2442">
        <f>AA32*(1+0.056)</f>
        <v>12.566400000000002</v>
      </c>
      <c r="AB37" s="2442">
        <v>12.566400000000002</v>
      </c>
      <c r="AC37" s="2442">
        <v>12.566400000000002</v>
      </c>
      <c r="AD37" s="2442">
        <v>12.566400000000002</v>
      </c>
      <c r="AE37" s="2442">
        <v>12.566400000000002</v>
      </c>
      <c r="AF37" s="2236">
        <f t="shared" si="8"/>
        <v>12.566400000000002</v>
      </c>
      <c r="AG37" s="1516"/>
      <c r="AK37" s="358"/>
    </row>
    <row r="38" spans="2:37" ht="15" hidden="1" customHeight="1" outlineLevel="1">
      <c r="B38" s="579"/>
      <c r="C38" s="64"/>
      <c r="D38" s="4072"/>
      <c r="E38" s="4072"/>
      <c r="F38" s="350" t="s">
        <v>2705</v>
      </c>
      <c r="G38" s="1665">
        <f>G33*(1+0.284)</f>
        <v>15.2796</v>
      </c>
      <c r="H38" s="4090" t="s">
        <v>2713</v>
      </c>
      <c r="I38" s="4090"/>
      <c r="J38" s="4090"/>
      <c r="K38" s="4426" t="s">
        <v>2714</v>
      </c>
      <c r="L38" s="4426"/>
      <c r="M38" s="4426"/>
      <c r="N38" s="4426"/>
      <c r="V38" s="4422"/>
      <c r="W38" s="1525">
        <v>15.2796</v>
      </c>
      <c r="X38" s="1525">
        <f>X33*(1+0.284)</f>
        <v>15.2796</v>
      </c>
      <c r="Y38" s="1525">
        <f>Y33*(1+0.284)</f>
        <v>15.2796</v>
      </c>
      <c r="Z38" s="1381">
        <f>Z33*(1+0.284)</f>
        <v>15.2796</v>
      </c>
      <c r="AA38" s="1381">
        <f>AA33*(1+0.284)</f>
        <v>15.2796</v>
      </c>
      <c r="AB38" s="1381">
        <v>15.2796</v>
      </c>
      <c r="AC38" s="1381">
        <v>15.2796</v>
      </c>
      <c r="AD38" s="1381">
        <v>15.2796</v>
      </c>
      <c r="AE38" s="1381">
        <v>15.2796</v>
      </c>
      <c r="AF38" s="271">
        <f t="shared" si="8"/>
        <v>15.2796</v>
      </c>
      <c r="AG38" s="1516"/>
      <c r="AK38" s="358"/>
    </row>
    <row r="39" spans="2:37" ht="15" hidden="1" customHeight="1" outlineLevel="1">
      <c r="C39" s="64"/>
      <c r="D39" s="4072"/>
      <c r="E39" s="4072"/>
      <c r="F39" s="2440" t="s">
        <v>2706</v>
      </c>
      <c r="G39" s="2322">
        <f>G34*(1+0.038)</f>
        <v>12.352200000000002</v>
      </c>
      <c r="H39" s="4090"/>
      <c r="I39" s="4090"/>
      <c r="J39" s="4090"/>
      <c r="K39" s="4426"/>
      <c r="L39" s="4426"/>
      <c r="M39" s="4426"/>
      <c r="N39" s="4426"/>
      <c r="V39" s="4422"/>
      <c r="W39" s="2441">
        <v>12.352200000000002</v>
      </c>
      <c r="X39" s="2441">
        <f>X34*(1+0.038)</f>
        <v>12.352200000000002</v>
      </c>
      <c r="Y39" s="2441">
        <f>Y34*(1+0.038)</f>
        <v>12.352200000000002</v>
      </c>
      <c r="Z39" s="2442">
        <f>Z34*(1+0.038)</f>
        <v>12.352200000000002</v>
      </c>
      <c r="AA39" s="2442">
        <f>AA34*(1+0.038)</f>
        <v>12.352200000000002</v>
      </c>
      <c r="AB39" s="2442">
        <v>12.352200000000002</v>
      </c>
      <c r="AC39" s="2442">
        <v>12.352200000000002</v>
      </c>
      <c r="AD39" s="2442">
        <v>12.352200000000002</v>
      </c>
      <c r="AE39" s="2442">
        <v>12.352200000000002</v>
      </c>
      <c r="AF39" s="2236">
        <f t="shared" si="8"/>
        <v>12.352200000000002</v>
      </c>
      <c r="AG39" s="1516"/>
      <c r="AK39" s="358"/>
    </row>
    <row r="40" spans="2:37" ht="15" hidden="1" customHeight="1" outlineLevel="1">
      <c r="C40" s="64"/>
      <c r="D40" s="4072"/>
      <c r="E40" s="4072"/>
      <c r="F40" s="2440" t="s">
        <v>2708</v>
      </c>
      <c r="G40" s="2322">
        <f>G35*(1+0.079)</f>
        <v>12.8401</v>
      </c>
      <c r="H40" s="4090"/>
      <c r="I40" s="4090"/>
      <c r="J40" s="4090"/>
      <c r="K40" s="4426"/>
      <c r="L40" s="4426"/>
      <c r="M40" s="4426"/>
      <c r="N40" s="4426"/>
      <c r="V40" s="4422"/>
      <c r="W40" s="2443">
        <v>12.8401</v>
      </c>
      <c r="X40" s="2443">
        <f>X35*(1+0.079)</f>
        <v>12.8401</v>
      </c>
      <c r="Y40" s="2443">
        <f>Y35*(1+0.079)</f>
        <v>12.8401</v>
      </c>
      <c r="Z40" s="2434">
        <f>Z35*(1+0.079)</f>
        <v>12.8401</v>
      </c>
      <c r="AA40" s="2434">
        <f>AA35*(1+0.079)</f>
        <v>12.8401</v>
      </c>
      <c r="AB40" s="2434">
        <v>12.8401</v>
      </c>
      <c r="AC40" s="2434">
        <v>12.8401</v>
      </c>
      <c r="AD40" s="2434">
        <v>12.8401</v>
      </c>
      <c r="AE40" s="2434">
        <v>12.8401</v>
      </c>
      <c r="AF40" s="2236">
        <f t="shared" si="8"/>
        <v>12.8401</v>
      </c>
      <c r="AG40" s="1516"/>
      <c r="AK40" s="358"/>
    </row>
    <row r="41" spans="2:37" ht="36" hidden="1" customHeight="1" outlineLevel="1">
      <c r="C41" s="64"/>
      <c r="D41" s="4072"/>
      <c r="E41" s="4072"/>
      <c r="F41" s="350" t="s">
        <v>2709</v>
      </c>
      <c r="G41" s="1665">
        <v>13.8</v>
      </c>
      <c r="H41" s="4072" t="s">
        <v>2715</v>
      </c>
      <c r="I41" s="4072"/>
      <c r="J41" s="4072"/>
      <c r="K41" s="1646"/>
      <c r="L41" s="1646"/>
      <c r="M41" s="1646"/>
      <c r="N41" s="1646"/>
      <c r="V41" s="4423"/>
      <c r="W41" s="1512"/>
      <c r="X41" s="850"/>
      <c r="Y41" s="851"/>
      <c r="Z41" s="851"/>
      <c r="AA41" s="851"/>
      <c r="AB41" s="851"/>
      <c r="AC41" s="766">
        <v>13.8</v>
      </c>
      <c r="AD41" s="1381">
        <v>13.8</v>
      </c>
      <c r="AE41" s="1381">
        <v>13.8</v>
      </c>
      <c r="AF41" s="271">
        <f t="shared" si="8"/>
        <v>13.8</v>
      </c>
      <c r="AG41" s="1516"/>
      <c r="AK41" s="358"/>
    </row>
    <row r="42" spans="2:37" ht="15" hidden="1" customHeight="1" outlineLevel="1">
      <c r="C42" s="64"/>
      <c r="D42" s="351">
        <v>1000</v>
      </c>
      <c r="E42" s="352" t="s">
        <v>2716</v>
      </c>
      <c r="F42" s="350" t="s">
        <v>2717</v>
      </c>
      <c r="G42" s="1803">
        <v>1000</v>
      </c>
      <c r="H42" s="4199" t="s">
        <v>2718</v>
      </c>
      <c r="I42" s="4199"/>
      <c r="J42" s="4199"/>
      <c r="K42" s="4427"/>
      <c r="L42" s="4427"/>
      <c r="M42" s="4427"/>
      <c r="N42" s="4427"/>
      <c r="V42" s="1526">
        <f>D42</f>
        <v>1000</v>
      </c>
      <c r="W42" s="1524">
        <v>1000</v>
      </c>
      <c r="X42" s="1524">
        <v>1000</v>
      </c>
      <c r="Y42" s="1524">
        <v>1000</v>
      </c>
      <c r="Z42" s="347">
        <v>1000</v>
      </c>
      <c r="AA42" s="347">
        <v>1000</v>
      </c>
      <c r="AB42" s="347">
        <v>1000</v>
      </c>
      <c r="AC42" s="347">
        <v>1000</v>
      </c>
      <c r="AD42" s="347">
        <v>1000</v>
      </c>
      <c r="AE42" s="347">
        <v>1000</v>
      </c>
      <c r="AF42" s="271">
        <f t="shared" si="8"/>
        <v>1000</v>
      </c>
      <c r="AG42" s="1514"/>
      <c r="AK42" s="358"/>
    </row>
    <row r="43" spans="2:37" ht="30" hidden="1" customHeight="1" outlineLevel="1">
      <c r="C43" s="64"/>
      <c r="D43" s="1372" t="str">
        <f>J6</f>
        <v>EUL</v>
      </c>
      <c r="E43" s="1372" t="s">
        <v>1198</v>
      </c>
      <c r="F43" s="578" t="s">
        <v>1102</v>
      </c>
      <c r="G43" s="1803">
        <v>2</v>
      </c>
      <c r="H43" s="4198" t="s">
        <v>2719</v>
      </c>
      <c r="I43" s="4198"/>
      <c r="J43" s="4198"/>
      <c r="K43" s="4427"/>
      <c r="L43" s="4427"/>
      <c r="M43" s="4427"/>
      <c r="N43" s="4427"/>
      <c r="V43" s="1372" t="str">
        <f>D43</f>
        <v>EUL</v>
      </c>
      <c r="W43" s="1524">
        <v>2</v>
      </c>
      <c r="X43" s="1524">
        <v>2</v>
      </c>
      <c r="Y43" s="1524">
        <v>2</v>
      </c>
      <c r="Z43" s="347">
        <v>2</v>
      </c>
      <c r="AA43" s="347">
        <v>2</v>
      </c>
      <c r="AB43" s="347">
        <v>2</v>
      </c>
      <c r="AC43" s="347">
        <v>2</v>
      </c>
      <c r="AD43" s="347">
        <v>2</v>
      </c>
      <c r="AE43" s="347">
        <v>2</v>
      </c>
      <c r="AF43" s="271">
        <f t="shared" si="8"/>
        <v>2</v>
      </c>
      <c r="AG43" s="1514"/>
      <c r="AK43" s="358"/>
    </row>
    <row r="44" spans="2:37" ht="14.65" hidden="1" customHeight="1" outlineLevel="1">
      <c r="C44" s="64"/>
      <c r="D44" s="4072" t="str">
        <f>K6</f>
        <v>Inc. Cost</v>
      </c>
      <c r="E44" s="4072" t="s">
        <v>1135</v>
      </c>
      <c r="F44" s="2444" t="str">
        <f>E7</f>
        <v>AC General Tune-Up (no charge or coil clean) SF</v>
      </c>
      <c r="G44" s="2324">
        <v>70</v>
      </c>
      <c r="H44" s="4428" t="s">
        <v>2720</v>
      </c>
      <c r="I44" s="4429"/>
      <c r="J44" s="4430"/>
      <c r="K44" s="4426" t="s">
        <v>2721</v>
      </c>
      <c r="L44" s="4426"/>
      <c r="M44" s="4426"/>
      <c r="N44" s="4426"/>
      <c r="V44" s="4445" t="s">
        <v>50</v>
      </c>
      <c r="W44" s="2445">
        <v>70</v>
      </c>
      <c r="X44" s="2445">
        <v>70</v>
      </c>
      <c r="Y44" s="2445">
        <v>70</v>
      </c>
      <c r="Z44" s="2446">
        <v>70</v>
      </c>
      <c r="AA44" s="2446">
        <v>70</v>
      </c>
      <c r="AB44" s="2446">
        <v>70</v>
      </c>
      <c r="AC44" s="2446">
        <v>70</v>
      </c>
      <c r="AD44" s="2446">
        <v>70</v>
      </c>
      <c r="AE44" s="2446">
        <v>70</v>
      </c>
      <c r="AF44" s="2236">
        <f t="shared" si="8"/>
        <v>70</v>
      </c>
      <c r="AG44" s="1514"/>
      <c r="AK44" s="358"/>
    </row>
    <row r="45" spans="2:37" hidden="1" outlineLevel="1">
      <c r="C45" s="64"/>
      <c r="D45" s="4072"/>
      <c r="E45" s="4072"/>
      <c r="F45" s="2444" t="str">
        <f>E8</f>
        <v>AC General Tune-Up (no charge or coil clean) MF</v>
      </c>
      <c r="G45" s="2324">
        <v>70</v>
      </c>
      <c r="H45" s="4431"/>
      <c r="I45" s="4432"/>
      <c r="J45" s="4433"/>
      <c r="K45" s="4426"/>
      <c r="L45" s="4426"/>
      <c r="M45" s="4426"/>
      <c r="N45" s="4426"/>
      <c r="V45" s="4445"/>
      <c r="W45" s="2445">
        <v>70</v>
      </c>
      <c r="X45" s="2445">
        <v>70</v>
      </c>
      <c r="Y45" s="2445">
        <v>70</v>
      </c>
      <c r="Z45" s="2446">
        <v>70</v>
      </c>
      <c r="AA45" s="2446">
        <v>70</v>
      </c>
      <c r="AB45" s="2446">
        <v>70</v>
      </c>
      <c r="AC45" s="2446">
        <v>70</v>
      </c>
      <c r="AD45" s="2446">
        <v>70</v>
      </c>
      <c r="AE45" s="2446">
        <v>70</v>
      </c>
      <c r="AF45" s="2236">
        <f t="shared" si="8"/>
        <v>70</v>
      </c>
      <c r="AG45" s="1514"/>
      <c r="AK45" s="358"/>
    </row>
    <row r="46" spans="2:37" hidden="1" outlineLevel="1">
      <c r="C46" s="64"/>
      <c r="D46" s="4072"/>
      <c r="E46" s="4072"/>
      <c r="F46" s="578" t="str">
        <f>E10</f>
        <v>AC Tune-up / Refrigerant charge SF</v>
      </c>
      <c r="G46" s="1659">
        <v>81</v>
      </c>
      <c r="H46" s="4431"/>
      <c r="I46" s="4432"/>
      <c r="J46" s="4433"/>
      <c r="K46" s="4426"/>
      <c r="L46" s="4426"/>
      <c r="M46" s="4426"/>
      <c r="N46" s="4426"/>
      <c r="V46" s="4445"/>
      <c r="W46" s="1527">
        <v>81</v>
      </c>
      <c r="X46" s="1527">
        <v>81</v>
      </c>
      <c r="Y46" s="1527">
        <v>81</v>
      </c>
      <c r="Z46" s="110">
        <v>81</v>
      </c>
      <c r="AA46" s="110">
        <v>81</v>
      </c>
      <c r="AB46" s="110">
        <v>81</v>
      </c>
      <c r="AC46" s="110">
        <v>81</v>
      </c>
      <c r="AD46" s="110">
        <v>81</v>
      </c>
      <c r="AE46" s="110">
        <v>81</v>
      </c>
      <c r="AF46" s="271">
        <f t="shared" si="8"/>
        <v>81</v>
      </c>
      <c r="AG46" s="1514"/>
      <c r="AK46" s="358"/>
    </row>
    <row r="47" spans="2:37" hidden="1" outlineLevel="1">
      <c r="C47" s="64"/>
      <c r="D47" s="4072"/>
      <c r="E47" s="4072"/>
      <c r="F47" s="2444" t="str">
        <f>E11</f>
        <v>AC Tune-up / Refrigerant charge MF</v>
      </c>
      <c r="G47" s="2324">
        <v>81</v>
      </c>
      <c r="H47" s="4431"/>
      <c r="I47" s="4432"/>
      <c r="J47" s="4433"/>
      <c r="K47" s="4426"/>
      <c r="L47" s="4426"/>
      <c r="M47" s="4426"/>
      <c r="N47" s="4426"/>
      <c r="V47" s="4445"/>
      <c r="W47" s="2445">
        <v>81</v>
      </c>
      <c r="X47" s="2445">
        <v>81</v>
      </c>
      <c r="Y47" s="2445">
        <v>81</v>
      </c>
      <c r="Z47" s="2446">
        <v>81</v>
      </c>
      <c r="AA47" s="2446">
        <v>81</v>
      </c>
      <c r="AB47" s="2446">
        <v>81</v>
      </c>
      <c r="AC47" s="2446">
        <v>81</v>
      </c>
      <c r="AD47" s="2446">
        <v>81</v>
      </c>
      <c r="AE47" s="2446">
        <v>81</v>
      </c>
      <c r="AF47" s="2236">
        <f t="shared" si="8"/>
        <v>81</v>
      </c>
      <c r="AG47" s="1514"/>
      <c r="AK47" s="358"/>
    </row>
    <row r="48" spans="2:37" hidden="1" outlineLevel="1">
      <c r="C48" s="64"/>
      <c r="D48" s="4072"/>
      <c r="E48" s="4072"/>
      <c r="F48" s="2444" t="str">
        <f>E13</f>
        <v>AC Tune-up / Indoor Coil (Evaporator) Cleaning SF</v>
      </c>
      <c r="G48" s="2324">
        <v>63</v>
      </c>
      <c r="H48" s="4431"/>
      <c r="I48" s="4432"/>
      <c r="J48" s="4433"/>
      <c r="K48" s="4426"/>
      <c r="L48" s="4426"/>
      <c r="M48" s="4426"/>
      <c r="N48" s="4426"/>
      <c r="V48" s="4445"/>
      <c r="W48" s="2445">
        <v>63</v>
      </c>
      <c r="X48" s="2445">
        <v>63</v>
      </c>
      <c r="Y48" s="2445">
        <v>63</v>
      </c>
      <c r="Z48" s="2446">
        <v>63</v>
      </c>
      <c r="AA48" s="2446">
        <v>63</v>
      </c>
      <c r="AB48" s="2446">
        <v>63</v>
      </c>
      <c r="AC48" s="2446">
        <v>63</v>
      </c>
      <c r="AD48" s="2446">
        <v>63</v>
      </c>
      <c r="AE48" s="2446">
        <v>63</v>
      </c>
      <c r="AF48" s="2236">
        <f t="shared" si="8"/>
        <v>63</v>
      </c>
      <c r="AG48" s="1514"/>
      <c r="AK48" s="358"/>
    </row>
    <row r="49" spans="1:114" hidden="1" outlineLevel="1">
      <c r="C49" s="64"/>
      <c r="D49" s="4072"/>
      <c r="E49" s="4072"/>
      <c r="F49" s="2444" t="str">
        <f>E14</f>
        <v>AC Tune-up /Indoor Coil (Evaporator) Cleaning MF</v>
      </c>
      <c r="G49" s="2324">
        <v>63</v>
      </c>
      <c r="H49" s="4431"/>
      <c r="I49" s="4432"/>
      <c r="J49" s="4433"/>
      <c r="K49" s="4426"/>
      <c r="L49" s="4426"/>
      <c r="M49" s="4426"/>
      <c r="N49" s="4426"/>
      <c r="V49" s="4445"/>
      <c r="W49" s="2445">
        <v>63</v>
      </c>
      <c r="X49" s="2445">
        <v>63</v>
      </c>
      <c r="Y49" s="2445">
        <v>63</v>
      </c>
      <c r="Z49" s="2446">
        <v>63</v>
      </c>
      <c r="AA49" s="2446">
        <v>63</v>
      </c>
      <c r="AB49" s="2446">
        <v>63</v>
      </c>
      <c r="AC49" s="2446">
        <v>63</v>
      </c>
      <c r="AD49" s="2446">
        <v>63</v>
      </c>
      <c r="AE49" s="2446">
        <v>63</v>
      </c>
      <c r="AF49" s="2236">
        <f t="shared" si="8"/>
        <v>63</v>
      </c>
      <c r="AG49" s="1514"/>
      <c r="AK49" s="358"/>
    </row>
    <row r="50" spans="1:114" hidden="1" outlineLevel="1">
      <c r="C50" s="64"/>
      <c r="D50" s="4072"/>
      <c r="E50" s="4072"/>
      <c r="F50" s="2444" t="str">
        <f>E16</f>
        <v>AC Tune-up /Outdoor Coil (Condenser) Cleaning SF</v>
      </c>
      <c r="G50" s="2324">
        <v>31</v>
      </c>
      <c r="H50" s="4431"/>
      <c r="I50" s="4432"/>
      <c r="J50" s="4433"/>
      <c r="K50" s="4426"/>
      <c r="L50" s="4426"/>
      <c r="M50" s="4426"/>
      <c r="N50" s="4426"/>
      <c r="V50" s="4445"/>
      <c r="W50" s="2445">
        <v>31</v>
      </c>
      <c r="X50" s="2445">
        <v>31</v>
      </c>
      <c r="Y50" s="2445">
        <v>31</v>
      </c>
      <c r="Z50" s="2446">
        <v>31</v>
      </c>
      <c r="AA50" s="2446">
        <v>31</v>
      </c>
      <c r="AB50" s="2446">
        <v>31</v>
      </c>
      <c r="AC50" s="2446">
        <v>31</v>
      </c>
      <c r="AD50" s="2446">
        <v>31</v>
      </c>
      <c r="AE50" s="2446">
        <v>31</v>
      </c>
      <c r="AF50" s="2236">
        <f t="shared" si="8"/>
        <v>31</v>
      </c>
      <c r="AG50" s="1514"/>
      <c r="AK50" s="358"/>
    </row>
    <row r="51" spans="1:114" hidden="1" outlineLevel="1">
      <c r="C51" s="64"/>
      <c r="D51" s="4072"/>
      <c r="E51" s="4072"/>
      <c r="F51" s="2444" t="str">
        <f>E17</f>
        <v>AC Tune-up /Outdoor Coil (Condenser) Cleaning MF</v>
      </c>
      <c r="G51" s="2324">
        <v>31</v>
      </c>
      <c r="H51" s="4434"/>
      <c r="I51" s="4435"/>
      <c r="J51" s="4436"/>
      <c r="K51" s="4426"/>
      <c r="L51" s="4426"/>
      <c r="M51" s="4426"/>
      <c r="N51" s="4426"/>
      <c r="V51" s="4445"/>
      <c r="W51" s="2445">
        <v>31</v>
      </c>
      <c r="X51" s="2445">
        <v>31</v>
      </c>
      <c r="Y51" s="2445">
        <v>31</v>
      </c>
      <c r="Z51" s="2446">
        <v>31</v>
      </c>
      <c r="AA51" s="2446">
        <v>31</v>
      </c>
      <c r="AB51" s="2446">
        <v>31</v>
      </c>
      <c r="AC51" s="2446">
        <v>31</v>
      </c>
      <c r="AD51" s="2446">
        <v>31</v>
      </c>
      <c r="AE51" s="2446">
        <v>31</v>
      </c>
      <c r="AF51" s="2236">
        <f t="shared" si="8"/>
        <v>31</v>
      </c>
      <c r="AG51" s="1514"/>
      <c r="AK51" s="358"/>
    </row>
    <row r="52" spans="1:114" ht="30" hidden="1" outlineLevel="1">
      <c r="C52" s="64"/>
      <c r="D52" s="4072"/>
      <c r="E52" s="4072"/>
      <c r="F52" s="1377" t="s">
        <v>2687</v>
      </c>
      <c r="G52" s="1659">
        <v>185</v>
      </c>
      <c r="H52" s="4295" t="s">
        <v>2722</v>
      </c>
      <c r="I52" s="4295"/>
      <c r="J52" s="4295"/>
      <c r="K52" s="4427"/>
      <c r="L52" s="4427"/>
      <c r="M52" s="4427"/>
      <c r="N52" s="4427"/>
      <c r="V52" s="4445"/>
      <c r="W52" s="1512"/>
      <c r="X52" s="850"/>
      <c r="Y52" s="851"/>
      <c r="Z52" s="851"/>
      <c r="AA52" s="851"/>
      <c r="AB52" s="851"/>
      <c r="AC52" s="849">
        <v>185</v>
      </c>
      <c r="AD52" s="110">
        <v>185</v>
      </c>
      <c r="AE52" s="110">
        <v>185</v>
      </c>
      <c r="AF52" s="271">
        <f t="shared" si="8"/>
        <v>185</v>
      </c>
      <c r="AG52" s="1514"/>
      <c r="AK52" s="358"/>
    </row>
    <row r="53" spans="1:114" ht="30.75" hidden="1" customHeight="1" outlineLevel="1">
      <c r="C53" s="64"/>
      <c r="D53" s="4072"/>
      <c r="E53" s="4072"/>
      <c r="F53" s="1377" t="s">
        <v>2689</v>
      </c>
      <c r="G53" s="1659">
        <v>185</v>
      </c>
      <c r="H53" s="4295" t="s">
        <v>2722</v>
      </c>
      <c r="I53" s="4295"/>
      <c r="J53" s="4295"/>
      <c r="K53" s="4427"/>
      <c r="L53" s="4427"/>
      <c r="M53" s="4427"/>
      <c r="N53" s="4427"/>
      <c r="V53" s="4445"/>
      <c r="W53" s="1512"/>
      <c r="X53" s="850"/>
      <c r="Y53" s="851"/>
      <c r="Z53" s="851"/>
      <c r="AA53" s="851"/>
      <c r="AB53" s="851"/>
      <c r="AC53" s="849">
        <v>185</v>
      </c>
      <c r="AD53" s="110">
        <v>185</v>
      </c>
      <c r="AE53" s="110">
        <v>185</v>
      </c>
      <c r="AF53" s="271">
        <f t="shared" si="8"/>
        <v>185</v>
      </c>
      <c r="AG53" s="1514"/>
      <c r="AK53" s="358"/>
    </row>
    <row r="54" spans="1:114" s="76" customFormat="1" hidden="1" outlineLevel="1">
      <c r="A54" s="283"/>
      <c r="B54" s="52"/>
      <c r="C54" s="51"/>
      <c r="D54" s="104"/>
      <c r="E54" s="104"/>
      <c r="F54" s="52"/>
      <c r="G54" s="52"/>
      <c r="H54" s="51"/>
      <c r="I54" s="51"/>
      <c r="J54" s="51"/>
      <c r="K54" s="51"/>
      <c r="L54" s="51"/>
      <c r="M54" s="51"/>
      <c r="N54" s="52"/>
      <c r="O54" s="52"/>
      <c r="P54" s="52"/>
      <c r="Q54" s="52"/>
      <c r="R54" s="52"/>
      <c r="S54" s="52"/>
      <c r="T54" s="52"/>
      <c r="U54" s="52"/>
      <c r="AK54" s="358"/>
      <c r="DG54" s="261"/>
      <c r="DH54" s="52"/>
      <c r="DI54" s="52"/>
      <c r="DJ54" s="1102"/>
    </row>
    <row r="55" spans="1:114" s="76" customFormat="1" collapsed="1">
      <c r="A55" s="283"/>
      <c r="B55" s="52"/>
      <c r="C55" s="51"/>
      <c r="D55" s="104"/>
      <c r="E55" s="104"/>
      <c r="F55" s="52"/>
      <c r="G55" s="52"/>
      <c r="H55" s="51"/>
      <c r="I55" s="51"/>
      <c r="J55" s="51"/>
      <c r="K55" s="51"/>
      <c r="L55" s="51"/>
      <c r="M55" s="51"/>
      <c r="N55" s="52"/>
      <c r="O55" s="52"/>
      <c r="P55" s="52"/>
      <c r="Q55" s="52"/>
      <c r="R55" s="52"/>
      <c r="S55" s="52"/>
      <c r="T55" s="52"/>
      <c r="U55" s="52"/>
      <c r="AK55" s="358"/>
      <c r="DG55" s="261"/>
      <c r="DH55" s="52"/>
      <c r="DI55" s="52"/>
      <c r="DJ55" s="1102"/>
    </row>
    <row r="56" spans="1:114">
      <c r="B56" s="4183" t="s">
        <v>2723</v>
      </c>
      <c r="C56" s="4184"/>
      <c r="D56" s="4184"/>
      <c r="E56" s="4184"/>
      <c r="F56" s="4184"/>
      <c r="G56" s="4184"/>
      <c r="H56" s="4184"/>
      <c r="I56" s="4840"/>
      <c r="J56" s="4840"/>
      <c r="K56" s="4840"/>
      <c r="L56" s="4840"/>
      <c r="M56" s="4840"/>
      <c r="N56" s="4840"/>
      <c r="O56" s="4840"/>
      <c r="P56" s="4840"/>
      <c r="Q56" s="4840"/>
      <c r="R56" s="4841"/>
      <c r="V56" s="4066" t="str">
        <f>B56</f>
        <v>Air Sealing</v>
      </c>
      <c r="W56" s="4067"/>
      <c r="X56" s="4067"/>
      <c r="Y56" s="4067"/>
      <c r="Z56" s="4067"/>
      <c r="AA56" s="4067"/>
      <c r="AB56" s="4067"/>
      <c r="AC56" s="4837"/>
      <c r="AD56" s="4837"/>
      <c r="AE56" s="4837"/>
      <c r="AF56" s="4837"/>
      <c r="AG56" s="4837"/>
      <c r="AH56" s="4837"/>
      <c r="AI56" s="4838"/>
      <c r="AK56" s="358"/>
    </row>
    <row r="57" spans="1:114">
      <c r="B57" s="579"/>
      <c r="C57" s="281"/>
      <c r="D57" s="583"/>
      <c r="E57" s="583"/>
      <c r="F57" s="282"/>
      <c r="G57" s="282"/>
      <c r="H57" s="282"/>
      <c r="I57" s="282"/>
      <c r="J57" s="282"/>
      <c r="K57" s="282"/>
      <c r="L57" s="584"/>
      <c r="AK57" s="358"/>
    </row>
    <row r="58" spans="1:114" ht="30">
      <c r="B58" s="579"/>
      <c r="C58" s="1371" t="s">
        <v>42</v>
      </c>
      <c r="D58" s="1371" t="s">
        <v>953</v>
      </c>
      <c r="E58" s="1371" t="s">
        <v>44</v>
      </c>
      <c r="F58" s="1371" t="s">
        <v>45</v>
      </c>
      <c r="G58" s="1371" t="s">
        <v>46</v>
      </c>
      <c r="H58" s="1371" t="s">
        <v>47</v>
      </c>
      <c r="I58" s="1371" t="s">
        <v>1443</v>
      </c>
      <c r="J58" s="1371" t="s">
        <v>1444</v>
      </c>
      <c r="K58" s="1371" t="s">
        <v>48</v>
      </c>
      <c r="L58" s="1383" t="s">
        <v>49</v>
      </c>
      <c r="M58" s="1371" t="s">
        <v>50</v>
      </c>
      <c r="N58" s="1371" t="s">
        <v>2724</v>
      </c>
      <c r="V58" s="668" t="s">
        <v>52</v>
      </c>
      <c r="W58" s="669">
        <f>W$6</f>
        <v>43252</v>
      </c>
      <c r="X58" s="669">
        <f t="shared" ref="X58:AG58" si="9">X$6</f>
        <v>43465</v>
      </c>
      <c r="Y58" s="115">
        <f t="shared" si="9"/>
        <v>43800</v>
      </c>
      <c r="Z58" s="669">
        <f t="shared" si="9"/>
        <v>43862</v>
      </c>
      <c r="AA58" s="669">
        <f t="shared" si="9"/>
        <v>44013</v>
      </c>
      <c r="AB58" s="669">
        <f t="shared" si="9"/>
        <v>44166</v>
      </c>
      <c r="AC58" s="669">
        <f t="shared" si="9"/>
        <v>44531</v>
      </c>
      <c r="AD58" s="669">
        <f t="shared" si="9"/>
        <v>44774</v>
      </c>
      <c r="AE58" s="669">
        <f t="shared" si="9"/>
        <v>45139</v>
      </c>
      <c r="AF58" s="669">
        <f t="shared" si="9"/>
        <v>45672</v>
      </c>
      <c r="AG58" s="669" t="str">
        <f t="shared" si="9"/>
        <v>-</v>
      </c>
      <c r="AK58" s="358"/>
      <c r="DG58" s="1060" t="str">
        <f>$DG$6</f>
        <v>TRC (2025)</v>
      </c>
      <c r="DH58" s="811" t="str">
        <f>$DH$6</f>
        <v>Benefit Lookup</v>
      </c>
      <c r="DI58" s="1076" t="str">
        <f>$DI$6</f>
        <v>Benefits (2025 $)</v>
      </c>
      <c r="DJ58" s="1103" t="str">
        <f>$DJ$6</f>
        <v>Incremental Cost (2025 $)</v>
      </c>
    </row>
    <row r="59" spans="1:114">
      <c r="B59" s="1454">
        <f t="shared" ref="B59:B67" si="10">VALUE(LEFT(C59,6))</f>
        <v>400450</v>
      </c>
      <c r="C59" s="692" t="s">
        <v>2725</v>
      </c>
      <c r="D59" s="555" t="s">
        <v>959</v>
      </c>
      <c r="E59" s="128" t="s">
        <v>2726</v>
      </c>
      <c r="F59" s="1022">
        <f>ROUND(I59+J59,2)</f>
        <v>0.33</v>
      </c>
      <c r="G59" s="139" t="s">
        <v>1380</v>
      </c>
      <c r="H59" s="69">
        <f>VLOOKUP(G59,'CP FACTORS'!$A$3:$B$38, 2, FALSE)</f>
        <v>4.6608050000000002E-4</v>
      </c>
      <c r="I59" s="318">
        <f t="shared" ref="I59:I67" si="11">F74*F83+F83*F101*F$110*F$111</f>
        <v>0.28499999999999998</v>
      </c>
      <c r="J59" s="538">
        <f t="shared" ref="J59:J67" si="12">F92*F83</f>
        <v>4.2999999999999997E-2</v>
      </c>
      <c r="K59" s="274">
        <f>ROUND(H59*F59,6)</f>
        <v>1.54E-4</v>
      </c>
      <c r="L59" s="1456">
        <f t="shared" ref="L59:L67" si="13">$F$112</f>
        <v>20</v>
      </c>
      <c r="M59" s="742">
        <f>120*F83/1000</f>
        <v>0.12</v>
      </c>
      <c r="N59" s="336">
        <f>F83</f>
        <v>1</v>
      </c>
      <c r="R59" s="532"/>
      <c r="V59" s="356" t="str">
        <f>$F$58</f>
        <v>kWh Annual Savings</v>
      </c>
      <c r="W59" s="383">
        <v>295.70839999999998</v>
      </c>
      <c r="X59" s="269">
        <v>295.70839999999998</v>
      </c>
      <c r="Y59" s="272">
        <v>0.33</v>
      </c>
      <c r="Z59" s="270">
        <v>0.33</v>
      </c>
      <c r="AA59" s="270">
        <v>0.33</v>
      </c>
      <c r="AB59" s="270">
        <v>0.33</v>
      </c>
      <c r="AC59" s="186">
        <v>0.33</v>
      </c>
      <c r="AD59" s="186">
        <v>0.33</v>
      </c>
      <c r="AE59" s="186">
        <v>0.33</v>
      </c>
      <c r="AF59" s="271">
        <f t="shared" ref="AF59:AF67" si="14">IF(F59&lt;&gt;"",F59,"")</f>
        <v>0.33</v>
      </c>
      <c r="AG59" s="356"/>
      <c r="AK59" s="358"/>
      <c r="DG59" s="1062">
        <f t="shared" ref="DG59:DG65" si="15">(DI59)/(DJ59)</f>
        <v>4.1870160967152685</v>
      </c>
      <c r="DH59" s="1400" t="str">
        <f t="shared" ref="DH59:DH65" si="16">CONCATENATE(G59," ",L59," Year EUL")</f>
        <v>Building Shell RES 20 Year EUL</v>
      </c>
      <c r="DI59" s="1010">
        <f>(INDEX('Avoided Cost Benefits'!$B$4:$B$865,MATCH(DH59,'Avoided Cost Benefits'!$A$4:$A$865,0)))*F59</f>
        <v>0.50244193160583217</v>
      </c>
      <c r="DJ59" s="1174">
        <f t="shared" ref="DJ59:DJ67" si="17">M59/(1.0686^(2025-2025))</f>
        <v>0.12</v>
      </c>
    </row>
    <row r="60" spans="1:114">
      <c r="B60" s="1454">
        <f t="shared" si="10"/>
        <v>400500</v>
      </c>
      <c r="C60" s="692" t="s">
        <v>2727</v>
      </c>
      <c r="D60" s="555" t="s">
        <v>959</v>
      </c>
      <c r="E60" s="128" t="s">
        <v>2728</v>
      </c>
      <c r="F60" s="1022">
        <f t="shared" ref="F60:F67" si="18">ROUND(I60+J60,2)</f>
        <v>0.25</v>
      </c>
      <c r="G60" s="139" t="s">
        <v>1380</v>
      </c>
      <c r="H60" s="69">
        <f>VLOOKUP(G60,'CP FACTORS'!$A$3:$B$38, 2, FALSE)</f>
        <v>4.6608050000000002E-4</v>
      </c>
      <c r="I60" s="318">
        <f t="shared" si="11"/>
        <v>0.20799999999999999</v>
      </c>
      <c r="J60" s="538">
        <f t="shared" si="12"/>
        <v>4.2999999999999997E-2</v>
      </c>
      <c r="K60" s="274">
        <f t="shared" ref="K60:K67" si="19">ROUND(H60*F60,6)</f>
        <v>1.17E-4</v>
      </c>
      <c r="L60" s="1456">
        <f t="shared" si="13"/>
        <v>20</v>
      </c>
      <c r="M60" s="742">
        <f>120*F84/1000</f>
        <v>0.12</v>
      </c>
      <c r="N60" s="336">
        <f>F84</f>
        <v>1</v>
      </c>
      <c r="R60" s="532"/>
      <c r="V60" s="356" t="str">
        <f t="shared" ref="V60:V67" si="20">$F$58</f>
        <v>kWh Annual Savings</v>
      </c>
      <c r="W60" s="383">
        <v>226.28905</v>
      </c>
      <c r="X60" s="269">
        <v>226.28905</v>
      </c>
      <c r="Y60" s="272">
        <v>0.25</v>
      </c>
      <c r="Z60" s="270">
        <v>0.25</v>
      </c>
      <c r="AA60" s="270">
        <v>0.25</v>
      </c>
      <c r="AB60" s="270">
        <v>0.25</v>
      </c>
      <c r="AC60" s="186">
        <v>0.25</v>
      </c>
      <c r="AD60" s="186">
        <v>0.25</v>
      </c>
      <c r="AE60" s="186">
        <v>0.25</v>
      </c>
      <c r="AF60" s="271">
        <f t="shared" si="14"/>
        <v>0.25</v>
      </c>
      <c r="AG60" s="356"/>
      <c r="AK60" s="358"/>
      <c r="DG60" s="1063">
        <f t="shared" si="15"/>
        <v>3.1719818914509608</v>
      </c>
      <c r="DH60" s="673" t="str">
        <f t="shared" si="16"/>
        <v>Building Shell RES 20 Year EUL</v>
      </c>
      <c r="DI60" s="556">
        <f>(INDEX('Avoided Cost Benefits'!$B$4:$B$865,MATCH(DH60,'Avoided Cost Benefits'!$A$4:$A$865,0)))*F60</f>
        <v>0.3806378269741153</v>
      </c>
      <c r="DJ60" s="1176">
        <f t="shared" si="17"/>
        <v>0.12</v>
      </c>
    </row>
    <row r="61" spans="1:114">
      <c r="B61" s="1454">
        <f t="shared" si="10"/>
        <v>400501</v>
      </c>
      <c r="C61" s="345" t="s">
        <v>2729</v>
      </c>
      <c r="D61" s="555" t="s">
        <v>959</v>
      </c>
      <c r="E61" s="128" t="s">
        <v>2730</v>
      </c>
      <c r="F61" s="1573">
        <f>ROUND(I61+J61,2)</f>
        <v>0.05</v>
      </c>
      <c r="G61" s="139" t="s">
        <v>1380</v>
      </c>
      <c r="H61" s="69">
        <f>VLOOKUP(G61,'CP FACTORS'!$A$3:$B$38, 2, FALSE)</f>
        <v>4.6608050000000002E-4</v>
      </c>
      <c r="I61" s="318">
        <f>F76*F85+F85*F103*F$110*F$111</f>
        <v>1.104024E-2</v>
      </c>
      <c r="J61" s="538">
        <f t="shared" si="12"/>
        <v>4.2999999999999997E-2</v>
      </c>
      <c r="K61" s="274">
        <f>ROUND(H61*F61,6)</f>
        <v>2.3E-5</v>
      </c>
      <c r="L61" s="1456">
        <f t="shared" si="13"/>
        <v>20</v>
      </c>
      <c r="M61" s="742">
        <f>120*F86/1000</f>
        <v>0.12</v>
      </c>
      <c r="N61" s="336">
        <f>F86</f>
        <v>1</v>
      </c>
      <c r="R61" s="532"/>
      <c r="V61" s="676" t="s">
        <v>45</v>
      </c>
      <c r="W61" s="1528"/>
      <c r="X61" s="1018"/>
      <c r="Y61" s="1019"/>
      <c r="Z61" s="1020"/>
      <c r="AA61" s="1020"/>
      <c r="AB61" s="1020"/>
      <c r="AC61" s="1021"/>
      <c r="AD61" s="205">
        <v>0.05</v>
      </c>
      <c r="AE61" s="186">
        <v>0.05</v>
      </c>
      <c r="AF61" s="271">
        <f t="shared" si="14"/>
        <v>0.05</v>
      </c>
      <c r="AG61" s="356"/>
      <c r="AK61" s="358"/>
      <c r="DG61" s="1063">
        <f>(DI61)/(DJ61)</f>
        <v>0.63439637829019224</v>
      </c>
      <c r="DH61" s="673" t="str">
        <f>CONCATENATE(G61," ",L61," Year EUL")</f>
        <v>Building Shell RES 20 Year EUL</v>
      </c>
      <c r="DI61" s="556">
        <f>(INDEX('Avoided Cost Benefits'!$B$4:$B$865,MATCH(DH61,'Avoided Cost Benefits'!$A$4:$A$865,0)))*F61</f>
        <v>7.6127565394823071E-2</v>
      </c>
      <c r="DJ61" s="1176">
        <f t="shared" si="17"/>
        <v>0.12</v>
      </c>
    </row>
    <row r="62" spans="1:114">
      <c r="B62" s="1454">
        <f t="shared" si="10"/>
        <v>400550</v>
      </c>
      <c r="C62" s="692" t="s">
        <v>2731</v>
      </c>
      <c r="D62" s="1894" t="s">
        <v>1043</v>
      </c>
      <c r="E62" s="1411" t="s">
        <v>2732</v>
      </c>
      <c r="F62" s="1022">
        <f t="shared" si="18"/>
        <v>0.36</v>
      </c>
      <c r="G62" s="139" t="s">
        <v>1380</v>
      </c>
      <c r="H62" s="69">
        <f>VLOOKUP(G62,'CP FACTORS'!$A$3:$B$38, 2, FALSE)</f>
        <v>4.6608050000000002E-4</v>
      </c>
      <c r="I62" s="582">
        <f t="shared" si="11"/>
        <v>0.308</v>
      </c>
      <c r="J62" s="538">
        <f t="shared" si="12"/>
        <v>0.05</v>
      </c>
      <c r="K62" s="274">
        <f t="shared" si="19"/>
        <v>1.6799999999999999E-4</v>
      </c>
      <c r="L62" s="1456">
        <f t="shared" si="13"/>
        <v>20</v>
      </c>
      <c r="M62" s="742">
        <f t="shared" ref="M62:M67" si="21">120*F86/1000</f>
        <v>0.12</v>
      </c>
      <c r="N62" s="336">
        <f t="shared" ref="N62:N67" si="22">F86</f>
        <v>1</v>
      </c>
      <c r="R62" s="532"/>
      <c r="V62" s="356" t="str">
        <f t="shared" si="20"/>
        <v>kWh Annual Savings</v>
      </c>
      <c r="W62" s="383">
        <v>496.54599999999999</v>
      </c>
      <c r="X62" s="269">
        <v>496.54599999999999</v>
      </c>
      <c r="Y62" s="272">
        <v>0.36</v>
      </c>
      <c r="Z62" s="270">
        <v>0.36</v>
      </c>
      <c r="AA62" s="270">
        <v>0.36</v>
      </c>
      <c r="AB62" s="270">
        <v>0.36</v>
      </c>
      <c r="AC62" s="186">
        <v>0.36</v>
      </c>
      <c r="AD62" s="186">
        <v>0.36</v>
      </c>
      <c r="AE62" s="186">
        <v>0.36</v>
      </c>
      <c r="AF62" s="271">
        <f t="shared" si="14"/>
        <v>0.36</v>
      </c>
      <c r="AG62" s="356"/>
      <c r="AK62" s="358"/>
      <c r="DG62" s="1063">
        <f t="shared" si="15"/>
        <v>4.5676539236893836</v>
      </c>
      <c r="DH62" s="673" t="str">
        <f t="shared" si="16"/>
        <v>Building Shell RES 20 Year EUL</v>
      </c>
      <c r="DI62" s="556">
        <f>(INDEX('Avoided Cost Benefits'!$B$4:$B$865,MATCH(DH62,'Avoided Cost Benefits'!$A$4:$A$865,0)))*F62</f>
        <v>0.54811847084272602</v>
      </c>
      <c r="DJ62" s="1176">
        <f t="shared" si="17"/>
        <v>0.12</v>
      </c>
    </row>
    <row r="63" spans="1:114">
      <c r="B63" s="1454">
        <f t="shared" si="10"/>
        <v>400551</v>
      </c>
      <c r="C63" s="692" t="s">
        <v>2733</v>
      </c>
      <c r="D63" s="1894" t="s">
        <v>1043</v>
      </c>
      <c r="E63" s="1411" t="s">
        <v>2734</v>
      </c>
      <c r="F63" s="1022">
        <f t="shared" si="18"/>
        <v>0.06</v>
      </c>
      <c r="G63" s="139" t="s">
        <v>1380</v>
      </c>
      <c r="H63" s="69">
        <f>VLOOKUP(G63,'CP FACTORS'!$A$3:$B$38, 2, FALSE)</f>
        <v>4.6608050000000002E-4</v>
      </c>
      <c r="I63" s="582">
        <f t="shared" si="11"/>
        <v>1.1960259999999999E-2</v>
      </c>
      <c r="J63" s="581">
        <f t="shared" si="12"/>
        <v>0.05</v>
      </c>
      <c r="K63" s="274">
        <f t="shared" si="19"/>
        <v>2.8E-5</v>
      </c>
      <c r="L63" s="1456">
        <f t="shared" si="13"/>
        <v>20</v>
      </c>
      <c r="M63" s="742">
        <f t="shared" si="21"/>
        <v>0.12</v>
      </c>
      <c r="N63" s="336">
        <f t="shared" si="22"/>
        <v>1</v>
      </c>
      <c r="R63" s="532"/>
      <c r="V63" s="356" t="str">
        <f t="shared" si="20"/>
        <v>kWh Annual Savings</v>
      </c>
      <c r="W63" s="1528"/>
      <c r="X63" s="1018"/>
      <c r="Y63" s="272">
        <v>0.06</v>
      </c>
      <c r="Z63" s="270">
        <v>0.06</v>
      </c>
      <c r="AA63" s="270">
        <v>0.06</v>
      </c>
      <c r="AB63" s="270">
        <v>0.06</v>
      </c>
      <c r="AC63" s="186">
        <v>0.06</v>
      </c>
      <c r="AD63" s="186">
        <v>0.06</v>
      </c>
      <c r="AE63" s="186">
        <v>0.06</v>
      </c>
      <c r="AF63" s="271">
        <f t="shared" si="14"/>
        <v>0.06</v>
      </c>
      <c r="AG63" s="356"/>
      <c r="AK63" s="358"/>
      <c r="DG63" s="1063">
        <f>(DI63)/(DJ63)</f>
        <v>0.7612756539482306</v>
      </c>
      <c r="DH63" s="673" t="str">
        <f t="shared" si="16"/>
        <v>Building Shell RES 20 Year EUL</v>
      </c>
      <c r="DI63" s="556">
        <f>(INDEX('Avoided Cost Benefits'!$B$4:$B$865,MATCH(DH63,'Avoided Cost Benefits'!$A$4:$A$865,0)))*F63</f>
        <v>9.1353078473787666E-2</v>
      </c>
      <c r="DJ63" s="1176">
        <f t="shared" si="17"/>
        <v>0.12</v>
      </c>
    </row>
    <row r="64" spans="1:114">
      <c r="B64" s="1454">
        <f t="shared" si="10"/>
        <v>400600</v>
      </c>
      <c r="C64" s="692" t="s">
        <v>2735</v>
      </c>
      <c r="D64" s="1894" t="s">
        <v>1043</v>
      </c>
      <c r="E64" s="1411" t="s">
        <v>2736</v>
      </c>
      <c r="F64" s="1022">
        <f t="shared" si="18"/>
        <v>0.31</v>
      </c>
      <c r="G64" s="139" t="s">
        <v>1380</v>
      </c>
      <c r="H64" s="69">
        <f>VLOOKUP(G64,'CP FACTORS'!$A$3:$B$38, 2, FALSE)</f>
        <v>4.6608050000000002E-4</v>
      </c>
      <c r="I64" s="318">
        <f t="shared" si="11"/>
        <v>0.25700000000000001</v>
      </c>
      <c r="J64" s="538">
        <f t="shared" si="12"/>
        <v>0.05</v>
      </c>
      <c r="K64" s="274">
        <f t="shared" si="19"/>
        <v>1.44E-4</v>
      </c>
      <c r="L64" s="1456">
        <f t="shared" si="13"/>
        <v>20</v>
      </c>
      <c r="M64" s="742">
        <f t="shared" si="21"/>
        <v>0.12</v>
      </c>
      <c r="N64" s="336">
        <f t="shared" si="22"/>
        <v>1</v>
      </c>
      <c r="R64" s="532"/>
      <c r="V64" s="356" t="str">
        <f t="shared" si="20"/>
        <v>kWh Annual Savings</v>
      </c>
      <c r="W64" s="383">
        <v>425.80900000000003</v>
      </c>
      <c r="X64" s="269">
        <v>425.80900000000003</v>
      </c>
      <c r="Y64" s="272">
        <v>0.31</v>
      </c>
      <c r="Z64" s="270">
        <v>0.31</v>
      </c>
      <c r="AA64" s="270">
        <v>0.31</v>
      </c>
      <c r="AB64" s="270">
        <v>0.31</v>
      </c>
      <c r="AC64" s="186">
        <v>0.31</v>
      </c>
      <c r="AD64" s="186">
        <v>0.31</v>
      </c>
      <c r="AE64" s="186">
        <v>0.31</v>
      </c>
      <c r="AF64" s="271">
        <f t="shared" si="14"/>
        <v>0.31</v>
      </c>
      <c r="AG64" s="356"/>
      <c r="AK64" s="358"/>
      <c r="DG64" s="1063">
        <f t="shared" si="15"/>
        <v>3.9332575453991914</v>
      </c>
      <c r="DH64" s="673" t="str">
        <f t="shared" si="16"/>
        <v>Building Shell RES 20 Year EUL</v>
      </c>
      <c r="DI64" s="556">
        <f>(INDEX('Avoided Cost Benefits'!$B$4:$B$865,MATCH(DH64,'Avoided Cost Benefits'!$A$4:$A$865,0)))*F64</f>
        <v>0.47199090544790295</v>
      </c>
      <c r="DJ64" s="1176">
        <f t="shared" si="17"/>
        <v>0.12</v>
      </c>
    </row>
    <row r="65" spans="2:114">
      <c r="B65" s="1454">
        <f t="shared" si="10"/>
        <v>400650</v>
      </c>
      <c r="C65" s="692" t="s">
        <v>2737</v>
      </c>
      <c r="D65" s="555" t="s">
        <v>1486</v>
      </c>
      <c r="E65" s="580" t="s">
        <v>2738</v>
      </c>
      <c r="F65" s="1022">
        <f t="shared" si="18"/>
        <v>0.48</v>
      </c>
      <c r="G65" s="139" t="s">
        <v>1380</v>
      </c>
      <c r="H65" s="69">
        <f>VLOOKUP(G65,'CP FACTORS'!$A$3:$B$38, 2, FALSE)</f>
        <v>4.6608050000000002E-4</v>
      </c>
      <c r="I65" s="318">
        <f t="shared" si="11"/>
        <v>0.41299999999999998</v>
      </c>
      <c r="J65" s="538">
        <f t="shared" si="12"/>
        <v>6.2E-2</v>
      </c>
      <c r="K65" s="274">
        <f t="shared" si="19"/>
        <v>2.24E-4</v>
      </c>
      <c r="L65" s="1456">
        <f t="shared" si="13"/>
        <v>20</v>
      </c>
      <c r="M65" s="742">
        <f t="shared" si="21"/>
        <v>0.12</v>
      </c>
      <c r="N65" s="336">
        <f t="shared" si="22"/>
        <v>1</v>
      </c>
      <c r="R65" s="532"/>
      <c r="V65" s="356" t="str">
        <f t="shared" si="20"/>
        <v>kWh Annual Savings</v>
      </c>
      <c r="W65" s="383">
        <v>513</v>
      </c>
      <c r="X65" s="269">
        <v>513</v>
      </c>
      <c r="Y65" s="272">
        <v>0.48</v>
      </c>
      <c r="Z65" s="270">
        <v>0.48</v>
      </c>
      <c r="AA65" s="270">
        <v>0.48</v>
      </c>
      <c r="AB65" s="270">
        <v>0.48</v>
      </c>
      <c r="AC65" s="186">
        <v>0.48</v>
      </c>
      <c r="AD65" s="186">
        <v>0.48</v>
      </c>
      <c r="AE65" s="186">
        <v>0.48</v>
      </c>
      <c r="AF65" s="271">
        <f t="shared" si="14"/>
        <v>0.48</v>
      </c>
      <c r="AG65" s="356"/>
      <c r="AK65" s="358"/>
      <c r="DG65" s="1063">
        <f t="shared" si="15"/>
        <v>6.0902052315858448</v>
      </c>
      <c r="DH65" s="673" t="str">
        <f t="shared" si="16"/>
        <v>Building Shell RES 20 Year EUL</v>
      </c>
      <c r="DI65" s="556">
        <f>(INDEX('Avoided Cost Benefits'!$B$4:$B$865,MATCH(DH65,'Avoided Cost Benefits'!$A$4:$A$865,0)))*F65</f>
        <v>0.73082462779030133</v>
      </c>
      <c r="DJ65" s="1176">
        <f t="shared" si="17"/>
        <v>0.12</v>
      </c>
    </row>
    <row r="66" spans="2:114">
      <c r="B66" s="1454">
        <f t="shared" si="10"/>
        <v>400651</v>
      </c>
      <c r="C66" s="692" t="s">
        <v>2739</v>
      </c>
      <c r="D66" s="555" t="s">
        <v>1486</v>
      </c>
      <c r="E66" s="1411" t="s">
        <v>2740</v>
      </c>
      <c r="F66" s="1022">
        <f t="shared" si="18"/>
        <v>0.45</v>
      </c>
      <c r="G66" s="139" t="s">
        <v>1380</v>
      </c>
      <c r="H66" s="69">
        <f>VLOOKUP(G66,'CP FACTORS'!$A$3:$B$38, 2, FALSE)</f>
        <v>4.6608050000000002E-4</v>
      </c>
      <c r="I66" s="318">
        <f t="shared" si="11"/>
        <v>0.39100000000000001</v>
      </c>
      <c r="J66" s="538">
        <f t="shared" si="12"/>
        <v>6.2E-2</v>
      </c>
      <c r="K66" s="274">
        <f t="shared" si="19"/>
        <v>2.1000000000000001E-4</v>
      </c>
      <c r="L66" s="1456">
        <f t="shared" si="13"/>
        <v>20</v>
      </c>
      <c r="M66" s="742">
        <f t="shared" si="21"/>
        <v>0.12</v>
      </c>
      <c r="N66" s="336">
        <f t="shared" si="22"/>
        <v>1</v>
      </c>
      <c r="R66" s="532"/>
      <c r="V66" s="356" t="str">
        <f t="shared" si="20"/>
        <v>kWh Annual Savings</v>
      </c>
      <c r="W66" s="1528"/>
      <c r="X66" s="1018"/>
      <c r="Y66" s="272">
        <v>0.45</v>
      </c>
      <c r="Z66" s="270">
        <v>0.45</v>
      </c>
      <c r="AA66" s="270">
        <v>0.45</v>
      </c>
      <c r="AB66" s="270">
        <v>0.45</v>
      </c>
      <c r="AC66" s="186">
        <v>0.45</v>
      </c>
      <c r="AD66" s="186">
        <v>0.45</v>
      </c>
      <c r="AE66" s="186">
        <v>0.45</v>
      </c>
      <c r="AF66" s="271">
        <f t="shared" si="14"/>
        <v>0.45</v>
      </c>
      <c r="AG66" s="356"/>
      <c r="AK66" s="358"/>
      <c r="DG66" s="1063">
        <f>(DI66)/(DJ66)</f>
        <v>5.7095674046117297</v>
      </c>
      <c r="DH66" s="673" t="str">
        <f>CONCATENATE(G66," ",L66," Year EUL")</f>
        <v>Building Shell RES 20 Year EUL</v>
      </c>
      <c r="DI66" s="556">
        <f>(INDEX('Avoided Cost Benefits'!$B$4:$B$865,MATCH(DH66,'Avoided Cost Benefits'!$A$4:$A$865,0)))*F66</f>
        <v>0.68514808855340759</v>
      </c>
      <c r="DJ66" s="1176">
        <f t="shared" si="17"/>
        <v>0.12</v>
      </c>
    </row>
    <row r="67" spans="2:114">
      <c r="B67" s="1454">
        <f t="shared" si="10"/>
        <v>400652</v>
      </c>
      <c r="C67" s="692" t="s">
        <v>2741</v>
      </c>
      <c r="D67" s="555" t="s">
        <v>1486</v>
      </c>
      <c r="E67" s="580" t="s">
        <v>2742</v>
      </c>
      <c r="F67" s="1022">
        <f t="shared" si="18"/>
        <v>0.08</v>
      </c>
      <c r="G67" s="139" t="s">
        <v>1380</v>
      </c>
      <c r="H67" s="69">
        <f>VLOOKUP(G67,'CP FACTORS'!$A$3:$B$38, 2, FALSE)</f>
        <v>4.6608050000000002E-4</v>
      </c>
      <c r="I67" s="318">
        <f t="shared" si="11"/>
        <v>1.5640339999999999E-2</v>
      </c>
      <c r="J67" s="538">
        <f t="shared" si="12"/>
        <v>6.2E-2</v>
      </c>
      <c r="K67" s="274">
        <f t="shared" si="19"/>
        <v>3.6999999999999998E-5</v>
      </c>
      <c r="L67" s="1456">
        <f t="shared" si="13"/>
        <v>20</v>
      </c>
      <c r="M67" s="742">
        <f t="shared" si="21"/>
        <v>0.12</v>
      </c>
      <c r="N67" s="336">
        <f t="shared" si="22"/>
        <v>1</v>
      </c>
      <c r="R67" s="532"/>
      <c r="V67" s="356" t="str">
        <f t="shared" si="20"/>
        <v>kWh Annual Savings</v>
      </c>
      <c r="W67" s="1528"/>
      <c r="X67" s="1018"/>
      <c r="Y67" s="272">
        <v>0.08</v>
      </c>
      <c r="Z67" s="270">
        <v>0.08</v>
      </c>
      <c r="AA67" s="270">
        <v>0.08</v>
      </c>
      <c r="AB67" s="270">
        <v>0.08</v>
      </c>
      <c r="AC67" s="186">
        <v>0.08</v>
      </c>
      <c r="AD67" s="186">
        <v>0.08</v>
      </c>
      <c r="AE67" s="186">
        <v>0.08</v>
      </c>
      <c r="AF67" s="271">
        <f t="shared" si="14"/>
        <v>0.08</v>
      </c>
      <c r="AG67" s="356"/>
      <c r="AK67" s="358"/>
      <c r="DG67" s="1064">
        <f>(DI67)/(DJ67)</f>
        <v>1.0150342052643075</v>
      </c>
      <c r="DH67" s="673" t="str">
        <f>CONCATENATE(G67," ",L67," Year EUL")</f>
        <v>Building Shell RES 20 Year EUL</v>
      </c>
      <c r="DI67" s="1072">
        <f>(INDEX('Avoided Cost Benefits'!$B$4:$B$865,MATCH(DH67,'Avoided Cost Benefits'!$A$4:$A$865,0)))*F67</f>
        <v>0.1218041046317169</v>
      </c>
      <c r="DJ67" s="1175">
        <f t="shared" si="17"/>
        <v>0.12</v>
      </c>
    </row>
    <row r="68" spans="2:114" hidden="1" outlineLevel="1">
      <c r="B68" s="1454"/>
      <c r="C68" s="281"/>
      <c r="D68" s="74" t="s">
        <v>118</v>
      </c>
      <c r="E68" s="1598" t="s">
        <v>1144</v>
      </c>
      <c r="F68" s="541"/>
      <c r="AK68" s="358"/>
    </row>
    <row r="69" spans="2:114" hidden="1" outlineLevel="1">
      <c r="B69" s="1454"/>
      <c r="C69" s="283"/>
      <c r="D69" s="283" t="s">
        <v>963</v>
      </c>
      <c r="E69" s="283" t="s">
        <v>2743</v>
      </c>
      <c r="AK69" s="358"/>
    </row>
    <row r="70" spans="2:114" hidden="1" outlineLevel="1">
      <c r="B70" s="1454"/>
      <c r="C70" s="283"/>
      <c r="D70" s="283" t="s">
        <v>963</v>
      </c>
      <c r="E70" s="283" t="s">
        <v>2744</v>
      </c>
      <c r="AK70" s="358"/>
    </row>
    <row r="71" spans="2:114" hidden="1" outlineLevel="1">
      <c r="B71" s="1454"/>
      <c r="C71" s="283"/>
      <c r="D71" s="283"/>
      <c r="E71" s="283" t="s">
        <v>966</v>
      </c>
      <c r="AK71" s="358"/>
    </row>
    <row r="72" spans="2:114" hidden="1" outlineLevel="1">
      <c r="B72" s="1454"/>
      <c r="C72" s="281"/>
      <c r="D72" s="133" t="s">
        <v>2745</v>
      </c>
      <c r="AK72" s="358"/>
    </row>
    <row r="73" spans="2:114" hidden="1" outlineLevel="1">
      <c r="B73" s="1454"/>
      <c r="C73" s="281"/>
      <c r="D73" s="1443" t="s">
        <v>1078</v>
      </c>
      <c r="E73" s="1443" t="s">
        <v>967</v>
      </c>
      <c r="F73" s="1371" t="s">
        <v>969</v>
      </c>
      <c r="G73" s="1371" t="s">
        <v>970</v>
      </c>
      <c r="H73" s="1371" t="s">
        <v>1079</v>
      </c>
      <c r="V73" s="668" t="s">
        <v>52</v>
      </c>
      <c r="W73" s="669">
        <f>W$6</f>
        <v>43252</v>
      </c>
      <c r="X73" s="669">
        <f t="shared" ref="X73:AG73" si="23">X$6</f>
        <v>43465</v>
      </c>
      <c r="Y73" s="115">
        <f t="shared" si="23"/>
        <v>43800</v>
      </c>
      <c r="Z73" s="669">
        <f t="shared" si="23"/>
        <v>43862</v>
      </c>
      <c r="AA73" s="669">
        <f t="shared" si="23"/>
        <v>44013</v>
      </c>
      <c r="AB73" s="669">
        <f t="shared" si="23"/>
        <v>44166</v>
      </c>
      <c r="AC73" s="669">
        <f t="shared" si="23"/>
        <v>44531</v>
      </c>
      <c r="AD73" s="669">
        <f t="shared" si="23"/>
        <v>44774</v>
      </c>
      <c r="AE73" s="669">
        <f t="shared" si="23"/>
        <v>45139</v>
      </c>
      <c r="AF73" s="669">
        <f t="shared" si="23"/>
        <v>45672</v>
      </c>
      <c r="AG73" s="669" t="str">
        <f t="shared" si="23"/>
        <v>-</v>
      </c>
      <c r="AK73" s="358"/>
    </row>
    <row r="74" spans="2:114" ht="15" hidden="1" customHeight="1" outlineLevel="1">
      <c r="B74" s="1454"/>
      <c r="C74" s="281"/>
      <c r="D74" s="4171" t="s">
        <v>2746</v>
      </c>
      <c r="E74" s="128" t="str">
        <f t="shared" ref="E74:E82" si="24">E59</f>
        <v>Air Sealing (Infiltration reduction) - 30% MF IE DI electric furnace base</v>
      </c>
      <c r="F74" s="1700">
        <v>0.28499999999999998</v>
      </c>
      <c r="G74" s="4446" t="s">
        <v>2747</v>
      </c>
      <c r="H74" s="1430"/>
      <c r="V74" s="4424" t="str">
        <f>D74</f>
        <v>Defaultheat</v>
      </c>
      <c r="W74" s="276">
        <v>0.28499999999999998</v>
      </c>
      <c r="X74" s="276">
        <v>0.28499999999999998</v>
      </c>
      <c r="Y74" s="276">
        <v>0.28499999999999998</v>
      </c>
      <c r="Z74" s="581">
        <v>0.28499999999999998</v>
      </c>
      <c r="AA74" s="581">
        <v>0.28499999999999998</v>
      </c>
      <c r="AB74" s="581">
        <v>0.28499999999999998</v>
      </c>
      <c r="AC74" s="581">
        <v>0.28499999999999998</v>
      </c>
      <c r="AD74" s="581">
        <v>0.28499999999999998</v>
      </c>
      <c r="AE74" s="581">
        <v>0.28499999999999998</v>
      </c>
      <c r="AF74" s="271">
        <f t="shared" ref="AF74:AF121" si="25">IF(F74&lt;&gt;"",F74,"")</f>
        <v>0.28499999999999998</v>
      </c>
      <c r="AG74" s="1514"/>
      <c r="AK74" s="358"/>
    </row>
    <row r="75" spans="2:114" ht="15" hidden="1" customHeight="1" outlineLevel="1">
      <c r="B75" s="1454"/>
      <c r="C75" s="281"/>
      <c r="D75" s="4171"/>
      <c r="E75" s="128" t="str">
        <f t="shared" si="24"/>
        <v>Air Sealing (Infiltration reduction) - 30% MF IE DI heat pump base</v>
      </c>
      <c r="F75" s="1700">
        <v>0.20799999999999999</v>
      </c>
      <c r="G75" s="4446"/>
      <c r="H75" s="1430"/>
      <c r="V75" s="4425"/>
      <c r="W75" s="276">
        <v>0.20799999999999999</v>
      </c>
      <c r="X75" s="276">
        <v>0.20799999999999999</v>
      </c>
      <c r="Y75" s="276">
        <v>0.20799999999999999</v>
      </c>
      <c r="Z75" s="581">
        <v>0.20799999999999999</v>
      </c>
      <c r="AA75" s="581">
        <v>0.20799999999999999</v>
      </c>
      <c r="AB75" s="581">
        <v>0.20799999999999999</v>
      </c>
      <c r="AC75" s="581">
        <v>0.20799999999999999</v>
      </c>
      <c r="AD75" s="581">
        <v>0.20799999999999999</v>
      </c>
      <c r="AE75" s="581">
        <v>0.20799999999999999</v>
      </c>
      <c r="AF75" s="271">
        <f t="shared" si="25"/>
        <v>0.20799999999999999</v>
      </c>
      <c r="AG75" s="1514"/>
      <c r="AK75" s="358"/>
    </row>
    <row r="76" spans="2:114" ht="15" hidden="1" customHeight="1" outlineLevel="1">
      <c r="B76" s="1454"/>
      <c r="C76" s="281"/>
      <c r="D76" s="4171"/>
      <c r="E76" s="128" t="str">
        <f t="shared" si="24"/>
        <v>Air Sealing (Infiltration reduction) - 30% MF IE DI gas furnace base</v>
      </c>
      <c r="F76" s="1700">
        <v>0</v>
      </c>
      <c r="G76" s="4446"/>
      <c r="H76" s="1430"/>
      <c r="V76" s="4425"/>
      <c r="W76" s="1012"/>
      <c r="X76" s="1012"/>
      <c r="Y76" s="1012"/>
      <c r="Z76" s="1013"/>
      <c r="AA76" s="1013"/>
      <c r="AB76" s="1013"/>
      <c r="AC76" s="1013"/>
      <c r="AD76" s="277">
        <v>0</v>
      </c>
      <c r="AE76" s="581">
        <v>0</v>
      </c>
      <c r="AF76" s="271">
        <f t="shared" si="25"/>
        <v>0</v>
      </c>
      <c r="AG76" s="1514"/>
      <c r="AK76" s="358"/>
    </row>
    <row r="77" spans="2:114" hidden="1" outlineLevel="1">
      <c r="B77" s="1454"/>
      <c r="C77" s="281"/>
      <c r="D77" s="4171"/>
      <c r="E77" s="128" t="str">
        <f t="shared" si="24"/>
        <v>Air Sealing (Infiltration reduction) - 30% SF IE DI electric furnace base</v>
      </c>
      <c r="F77" s="1700">
        <v>0.308</v>
      </c>
      <c r="G77" s="4446"/>
      <c r="H77" s="1430"/>
      <c r="V77" s="4425"/>
      <c r="W77" s="276">
        <v>0.308</v>
      </c>
      <c r="X77" s="276">
        <v>0.308</v>
      </c>
      <c r="Y77" s="276">
        <v>0.308</v>
      </c>
      <c r="Z77" s="581">
        <v>0.308</v>
      </c>
      <c r="AA77" s="581">
        <v>0.308</v>
      </c>
      <c r="AB77" s="581">
        <v>0.308</v>
      </c>
      <c r="AC77" s="581">
        <v>0.308</v>
      </c>
      <c r="AD77" s="581">
        <v>0.308</v>
      </c>
      <c r="AE77" s="581">
        <v>0.308</v>
      </c>
      <c r="AF77" s="271">
        <f t="shared" si="25"/>
        <v>0.308</v>
      </c>
      <c r="AG77" s="1514"/>
      <c r="AK77" s="358"/>
    </row>
    <row r="78" spans="2:114" hidden="1" outlineLevel="1">
      <c r="B78" s="1454"/>
      <c r="C78" s="281"/>
      <c r="D78" s="4171"/>
      <c r="E78" s="128" t="str">
        <f t="shared" si="24"/>
        <v>Air Sealing (Infiltration reduction) - 30% SF IE DI Gas furnace base</v>
      </c>
      <c r="F78" s="1700">
        <v>0</v>
      </c>
      <c r="G78" s="4446"/>
      <c r="H78" s="1430"/>
      <c r="V78" s="4425"/>
      <c r="W78" s="1012"/>
      <c r="X78" s="1012"/>
      <c r="Y78" s="277">
        <v>0</v>
      </c>
      <c r="Z78" s="581">
        <v>0</v>
      </c>
      <c r="AA78" s="581">
        <v>0</v>
      </c>
      <c r="AB78" s="581">
        <v>0</v>
      </c>
      <c r="AC78" s="581">
        <v>0</v>
      </c>
      <c r="AD78" s="581">
        <v>0</v>
      </c>
      <c r="AE78" s="581">
        <v>0</v>
      </c>
      <c r="AF78" s="271">
        <f t="shared" si="25"/>
        <v>0</v>
      </c>
      <c r="AG78" s="1514"/>
      <c r="AK78" s="358"/>
    </row>
    <row r="79" spans="2:114" hidden="1" outlineLevel="1">
      <c r="B79" s="1454"/>
      <c r="C79" s="281"/>
      <c r="D79" s="4171"/>
      <c r="E79" s="128" t="str">
        <f t="shared" si="24"/>
        <v>Air Sealing (Infiltration reduction) - 30% SF IE DI heat pump base</v>
      </c>
      <c r="F79" s="1700">
        <v>0.25700000000000001</v>
      </c>
      <c r="G79" s="4446"/>
      <c r="H79" s="1430"/>
      <c r="V79" s="4425"/>
      <c r="W79" s="276">
        <v>0.25700000000000001</v>
      </c>
      <c r="X79" s="276">
        <v>0.25700000000000001</v>
      </c>
      <c r="Y79" s="276">
        <v>0.25700000000000001</v>
      </c>
      <c r="Z79" s="581">
        <v>0.25700000000000001</v>
      </c>
      <c r="AA79" s="581">
        <v>0.25700000000000001</v>
      </c>
      <c r="AB79" s="581">
        <v>0.25700000000000001</v>
      </c>
      <c r="AC79" s="581">
        <v>0.25700000000000001</v>
      </c>
      <c r="AD79" s="581">
        <v>0.25700000000000001</v>
      </c>
      <c r="AE79" s="581">
        <v>0.25700000000000001</v>
      </c>
      <c r="AF79" s="271">
        <f t="shared" si="25"/>
        <v>0.25700000000000001</v>
      </c>
      <c r="AG79" s="1529"/>
      <c r="AK79" s="358"/>
    </row>
    <row r="80" spans="2:114" hidden="1" outlineLevel="1">
      <c r="B80" s="1454"/>
      <c r="C80" s="281"/>
      <c r="D80" s="4171"/>
      <c r="E80" s="128" t="str">
        <f t="shared" si="24"/>
        <v>MH Adjusted Air Sealing (Infiltration reduction) - 30% SF IE DI electric furnace base</v>
      </c>
      <c r="F80" s="1700">
        <v>0.41299999999999998</v>
      </c>
      <c r="G80" s="4446"/>
      <c r="H80" s="1430"/>
      <c r="V80" s="4425"/>
      <c r="W80" s="276">
        <v>0.41299999999999998</v>
      </c>
      <c r="X80" s="276">
        <v>0.41299999999999998</v>
      </c>
      <c r="Y80" s="276">
        <v>0.41299999999999998</v>
      </c>
      <c r="Z80" s="581">
        <v>0.41299999999999998</v>
      </c>
      <c r="AA80" s="581">
        <v>0.41299999999999998</v>
      </c>
      <c r="AB80" s="581">
        <v>0.41299999999999998</v>
      </c>
      <c r="AC80" s="581">
        <v>0.41299999999999998</v>
      </c>
      <c r="AD80" s="581">
        <v>0.41299999999999998</v>
      </c>
      <c r="AE80" s="581">
        <v>0.41299999999999998</v>
      </c>
      <c r="AF80" s="271">
        <f t="shared" si="25"/>
        <v>0.41299999999999998</v>
      </c>
      <c r="AG80" s="1529"/>
      <c r="AK80" s="358"/>
    </row>
    <row r="81" spans="2:37" hidden="1" outlineLevel="1">
      <c r="B81" s="1454"/>
      <c r="C81" s="281"/>
      <c r="D81" s="4188"/>
      <c r="E81" s="128" t="str">
        <f t="shared" si="24"/>
        <v>MH Adjusted Air Sealing (Infiltration reduction) - 30% SF IE DI heat pump base</v>
      </c>
      <c r="F81" s="1700">
        <v>0.39100000000000001</v>
      </c>
      <c r="G81" s="4446"/>
      <c r="H81" s="1430"/>
      <c r="V81" s="4118"/>
      <c r="W81" s="1012"/>
      <c r="X81" s="1012"/>
      <c r="Y81" s="277">
        <v>0.39100000000000001</v>
      </c>
      <c r="Z81" s="581">
        <v>0.39100000000000001</v>
      </c>
      <c r="AA81" s="581">
        <v>0.39100000000000001</v>
      </c>
      <c r="AB81" s="581">
        <v>0.39100000000000001</v>
      </c>
      <c r="AC81" s="581">
        <v>0.39100000000000001</v>
      </c>
      <c r="AD81" s="581">
        <v>0.39100000000000001</v>
      </c>
      <c r="AE81" s="581">
        <v>0.39100000000000001</v>
      </c>
      <c r="AF81" s="271">
        <f t="shared" si="25"/>
        <v>0.39100000000000001</v>
      </c>
      <c r="AG81" s="1529"/>
      <c r="AK81" s="358"/>
    </row>
    <row r="82" spans="2:37" hidden="1" outlineLevel="1">
      <c r="B82" s="1454"/>
      <c r="C82" s="281"/>
      <c r="D82" s="4188"/>
      <c r="E82" s="128" t="str">
        <f t="shared" si="24"/>
        <v>MH Adjusted Air Sealing (Infiltration reduction) - 30% SF IE DI gas furnace base</v>
      </c>
      <c r="F82" s="1700">
        <v>0</v>
      </c>
      <c r="G82" s="4446"/>
      <c r="H82" s="1430"/>
      <c r="V82" s="4089"/>
      <c r="W82" s="1012"/>
      <c r="X82" s="1012"/>
      <c r="Y82" s="277">
        <v>0</v>
      </c>
      <c r="Z82" s="581">
        <v>0</v>
      </c>
      <c r="AA82" s="581">
        <v>0</v>
      </c>
      <c r="AB82" s="581">
        <v>0</v>
      </c>
      <c r="AC82" s="581">
        <v>0</v>
      </c>
      <c r="AD82" s="581">
        <v>0</v>
      </c>
      <c r="AE82" s="581">
        <v>0</v>
      </c>
      <c r="AF82" s="271">
        <f t="shared" si="25"/>
        <v>0</v>
      </c>
      <c r="AG82" s="1529"/>
      <c r="AK82" s="358"/>
    </row>
    <row r="83" spans="2:37" ht="30" hidden="1" outlineLevel="1">
      <c r="B83" s="1454"/>
      <c r="C83" s="281"/>
      <c r="D83" s="4171" t="s">
        <v>2748</v>
      </c>
      <c r="E83" s="128" t="str">
        <f t="shared" ref="E83:E109" si="26">E74</f>
        <v>Air Sealing (Infiltration reduction) - 30% MF IE DI electric furnace base</v>
      </c>
      <c r="F83" s="1690">
        <v>1</v>
      </c>
      <c r="G83" s="1407" t="s">
        <v>2749</v>
      </c>
      <c r="H83" s="1430" t="s">
        <v>2750</v>
      </c>
      <c r="V83" s="4424" t="str">
        <f>D83</f>
        <v>Sq. Ft.</v>
      </c>
      <c r="W83" s="279">
        <f>1387*0.65</f>
        <v>901.55000000000007</v>
      </c>
      <c r="X83" s="279">
        <v>901.55000000000007</v>
      </c>
      <c r="Y83" s="278">
        <v>1</v>
      </c>
      <c r="Z83" s="337">
        <v>1</v>
      </c>
      <c r="AA83" s="337">
        <v>1</v>
      </c>
      <c r="AB83" s="337">
        <v>1</v>
      </c>
      <c r="AC83" s="337">
        <v>1</v>
      </c>
      <c r="AD83" s="337">
        <v>1</v>
      </c>
      <c r="AE83" s="337">
        <v>1</v>
      </c>
      <c r="AF83" s="271">
        <f t="shared" si="25"/>
        <v>1</v>
      </c>
      <c r="AG83" s="1529"/>
      <c r="AK83" s="358"/>
    </row>
    <row r="84" spans="2:37" ht="30" hidden="1" outlineLevel="1">
      <c r="B84" s="1454"/>
      <c r="C84" s="281"/>
      <c r="D84" s="4171"/>
      <c r="E84" s="128" t="str">
        <f t="shared" si="26"/>
        <v>Air Sealing (Infiltration reduction) - 30% MF IE DI heat pump base</v>
      </c>
      <c r="F84" s="1690">
        <v>1</v>
      </c>
      <c r="G84" s="1407" t="s">
        <v>2749</v>
      </c>
      <c r="H84" s="1430" t="s">
        <v>2750</v>
      </c>
      <c r="V84" s="4425"/>
      <c r="W84" s="279">
        <f>1387*0.65</f>
        <v>901.55000000000007</v>
      </c>
      <c r="X84" s="279">
        <v>901.55000000000007</v>
      </c>
      <c r="Y84" s="278">
        <v>1</v>
      </c>
      <c r="Z84" s="337">
        <v>1</v>
      </c>
      <c r="AA84" s="337">
        <v>1</v>
      </c>
      <c r="AB84" s="337">
        <v>1</v>
      </c>
      <c r="AC84" s="337">
        <v>1</v>
      </c>
      <c r="AD84" s="337">
        <v>1</v>
      </c>
      <c r="AE84" s="337">
        <v>1</v>
      </c>
      <c r="AF84" s="271">
        <f t="shared" si="25"/>
        <v>1</v>
      </c>
      <c r="AG84" s="1529"/>
      <c r="AK84" s="358"/>
    </row>
    <row r="85" spans="2:37" ht="30" hidden="1" outlineLevel="1">
      <c r="B85" s="1454"/>
      <c r="C85" s="281"/>
      <c r="D85" s="4171"/>
      <c r="E85" s="128" t="str">
        <f t="shared" si="26"/>
        <v>Air Sealing (Infiltration reduction) - 30% MF IE DI gas furnace base</v>
      </c>
      <c r="F85" s="1690">
        <v>1</v>
      </c>
      <c r="G85" s="1407" t="s">
        <v>2749</v>
      </c>
      <c r="H85" s="1430" t="s">
        <v>2750</v>
      </c>
      <c r="V85" s="4425"/>
      <c r="W85" s="1015"/>
      <c r="X85" s="1015"/>
      <c r="Y85" s="1016"/>
      <c r="Z85" s="1017"/>
      <c r="AA85" s="1017"/>
      <c r="AB85" s="1017"/>
      <c r="AC85" s="1017"/>
      <c r="AD85" s="278">
        <v>1</v>
      </c>
      <c r="AE85" s="337">
        <v>1</v>
      </c>
      <c r="AF85" s="271">
        <f t="shared" si="25"/>
        <v>1</v>
      </c>
      <c r="AG85" s="1529"/>
      <c r="AK85" s="358"/>
    </row>
    <row r="86" spans="2:37" ht="30" hidden="1" outlineLevel="1">
      <c r="B86" s="1454"/>
      <c r="C86" s="281"/>
      <c r="D86" s="4171"/>
      <c r="E86" s="128" t="str">
        <f t="shared" si="26"/>
        <v>Air Sealing (Infiltration reduction) - 30% SF IE DI electric furnace base</v>
      </c>
      <c r="F86" s="1690">
        <v>1</v>
      </c>
      <c r="G86" s="1407" t="s">
        <v>2751</v>
      </c>
      <c r="H86" s="1430"/>
      <c r="V86" s="4425"/>
      <c r="W86" s="279">
        <v>1387</v>
      </c>
      <c r="X86" s="279">
        <v>1387</v>
      </c>
      <c r="Y86" s="278">
        <v>1</v>
      </c>
      <c r="Z86" s="337">
        <v>1</v>
      </c>
      <c r="AA86" s="337">
        <v>1</v>
      </c>
      <c r="AB86" s="337">
        <v>1</v>
      </c>
      <c r="AC86" s="337">
        <v>1</v>
      </c>
      <c r="AD86" s="337">
        <v>1</v>
      </c>
      <c r="AE86" s="337">
        <v>1</v>
      </c>
      <c r="AF86" s="271">
        <f t="shared" si="25"/>
        <v>1</v>
      </c>
      <c r="AG86" s="1529"/>
      <c r="AK86" s="358"/>
    </row>
    <row r="87" spans="2:37" ht="30" hidden="1" outlineLevel="1">
      <c r="B87" s="1454"/>
      <c r="C87" s="281"/>
      <c r="D87" s="4171"/>
      <c r="E87" s="128" t="str">
        <f t="shared" si="26"/>
        <v>Air Sealing (Infiltration reduction) - 30% SF IE DI Gas furnace base</v>
      </c>
      <c r="F87" s="1690">
        <v>1</v>
      </c>
      <c r="G87" s="1407" t="s">
        <v>2751</v>
      </c>
      <c r="H87" s="1430"/>
      <c r="V87" s="4425"/>
      <c r="W87" s="1015"/>
      <c r="X87" s="1015"/>
      <c r="Y87" s="278">
        <v>1</v>
      </c>
      <c r="Z87" s="337">
        <v>1</v>
      </c>
      <c r="AA87" s="337">
        <v>1</v>
      </c>
      <c r="AB87" s="337">
        <v>1</v>
      </c>
      <c r="AC87" s="337">
        <v>1</v>
      </c>
      <c r="AD87" s="337">
        <v>1</v>
      </c>
      <c r="AE87" s="337">
        <v>1</v>
      </c>
      <c r="AF87" s="271">
        <f t="shared" si="25"/>
        <v>1</v>
      </c>
      <c r="AG87" s="1529"/>
      <c r="AK87" s="358"/>
    </row>
    <row r="88" spans="2:37" ht="30" hidden="1" outlineLevel="1">
      <c r="B88" s="1454"/>
      <c r="C88" s="281"/>
      <c r="D88" s="4171"/>
      <c r="E88" s="128" t="str">
        <f t="shared" si="26"/>
        <v>Air Sealing (Infiltration reduction) - 30% SF IE DI heat pump base</v>
      </c>
      <c r="F88" s="1690">
        <v>1</v>
      </c>
      <c r="G88" s="1407" t="s">
        <v>2752</v>
      </c>
      <c r="H88" s="1430"/>
      <c r="V88" s="4425"/>
      <c r="W88" s="279">
        <v>1387</v>
      </c>
      <c r="X88" s="279">
        <v>1387</v>
      </c>
      <c r="Y88" s="278">
        <v>1</v>
      </c>
      <c r="Z88" s="337">
        <v>1</v>
      </c>
      <c r="AA88" s="337">
        <v>1</v>
      </c>
      <c r="AB88" s="337">
        <v>1</v>
      </c>
      <c r="AC88" s="337">
        <v>1</v>
      </c>
      <c r="AD88" s="337">
        <v>1</v>
      </c>
      <c r="AE88" s="337">
        <v>1</v>
      </c>
      <c r="AF88" s="271">
        <f t="shared" si="25"/>
        <v>1</v>
      </c>
      <c r="AG88" s="1529"/>
      <c r="AK88" s="358"/>
    </row>
    <row r="89" spans="2:37" ht="30" hidden="1" outlineLevel="1">
      <c r="B89" s="1454"/>
      <c r="C89" s="281"/>
      <c r="D89" s="4171"/>
      <c r="E89" s="128" t="str">
        <f t="shared" si="26"/>
        <v>MH Adjusted Air Sealing (Infiltration reduction) - 30% SF IE DI electric furnace base</v>
      </c>
      <c r="F89" s="1690">
        <v>1</v>
      </c>
      <c r="G89" s="1407" t="s">
        <v>2753</v>
      </c>
      <c r="H89" s="1430"/>
      <c r="V89" s="4425"/>
      <c r="W89" s="279">
        <f>15*72</f>
        <v>1080</v>
      </c>
      <c r="X89" s="279">
        <v>1080</v>
      </c>
      <c r="Y89" s="278">
        <v>1</v>
      </c>
      <c r="Z89" s="337">
        <v>1</v>
      </c>
      <c r="AA89" s="337">
        <v>1</v>
      </c>
      <c r="AB89" s="337">
        <v>1</v>
      </c>
      <c r="AC89" s="337">
        <v>1</v>
      </c>
      <c r="AD89" s="337">
        <v>1</v>
      </c>
      <c r="AE89" s="337">
        <v>1</v>
      </c>
      <c r="AF89" s="271">
        <f t="shared" si="25"/>
        <v>1</v>
      </c>
      <c r="AG89" s="1529"/>
      <c r="AK89" s="358"/>
    </row>
    <row r="90" spans="2:37" ht="30" hidden="1" outlineLevel="1">
      <c r="B90" s="1454"/>
      <c r="C90" s="281"/>
      <c r="D90" s="4188"/>
      <c r="E90" s="128" t="str">
        <f t="shared" si="26"/>
        <v>MH Adjusted Air Sealing (Infiltration reduction) - 30% SF IE DI heat pump base</v>
      </c>
      <c r="F90" s="1690">
        <v>1</v>
      </c>
      <c r="G90" s="1407" t="s">
        <v>2753</v>
      </c>
      <c r="H90" s="1430"/>
      <c r="V90" s="4118"/>
      <c r="W90" s="1015"/>
      <c r="X90" s="1015"/>
      <c r="Y90" s="278">
        <v>1</v>
      </c>
      <c r="Z90" s="337">
        <v>1</v>
      </c>
      <c r="AA90" s="337">
        <v>1</v>
      </c>
      <c r="AB90" s="337">
        <v>1</v>
      </c>
      <c r="AC90" s="337">
        <v>1</v>
      </c>
      <c r="AD90" s="337">
        <v>1</v>
      </c>
      <c r="AE90" s="337">
        <v>1</v>
      </c>
      <c r="AF90" s="271">
        <f t="shared" si="25"/>
        <v>1</v>
      </c>
      <c r="AG90" s="1529"/>
      <c r="AK90" s="358"/>
    </row>
    <row r="91" spans="2:37" ht="30" hidden="1" outlineLevel="1">
      <c r="B91" s="1454"/>
      <c r="C91" s="281"/>
      <c r="D91" s="4188"/>
      <c r="E91" s="128" t="str">
        <f t="shared" si="26"/>
        <v>MH Adjusted Air Sealing (Infiltration reduction) - 30% SF IE DI gas furnace base</v>
      </c>
      <c r="F91" s="1690">
        <v>1</v>
      </c>
      <c r="G91" s="1407" t="s">
        <v>2753</v>
      </c>
      <c r="H91" s="1430"/>
      <c r="V91" s="4089"/>
      <c r="W91" s="1015"/>
      <c r="X91" s="1015"/>
      <c r="Y91" s="278">
        <v>1</v>
      </c>
      <c r="Z91" s="337">
        <v>1</v>
      </c>
      <c r="AA91" s="337">
        <v>1</v>
      </c>
      <c r="AB91" s="337">
        <v>1</v>
      </c>
      <c r="AC91" s="337">
        <v>1</v>
      </c>
      <c r="AD91" s="337">
        <v>1</v>
      </c>
      <c r="AE91" s="337">
        <v>1</v>
      </c>
      <c r="AF91" s="271">
        <f t="shared" si="25"/>
        <v>1</v>
      </c>
      <c r="AG91" s="1529"/>
      <c r="AK91" s="358"/>
    </row>
    <row r="92" spans="2:37" ht="15" hidden="1" customHeight="1" outlineLevel="1">
      <c r="B92" s="1454"/>
      <c r="C92" s="281"/>
      <c r="D92" s="4171" t="s">
        <v>2754</v>
      </c>
      <c r="E92" s="128" t="str">
        <f t="shared" si="26"/>
        <v>Air Sealing (Infiltration reduction) - 30% MF IE DI electric furnace base</v>
      </c>
      <c r="F92" s="1700">
        <v>4.2999999999999997E-2</v>
      </c>
      <c r="G92" s="1407" t="s">
        <v>1080</v>
      </c>
      <c r="H92" s="1430"/>
      <c r="V92" s="4424" t="str">
        <f>D92</f>
        <v>Defaultcool</v>
      </c>
      <c r="W92" s="276">
        <v>4.2999999999999997E-2</v>
      </c>
      <c r="X92" s="276">
        <v>4.2999999999999997E-2</v>
      </c>
      <c r="Y92" s="276">
        <v>4.2999999999999997E-2</v>
      </c>
      <c r="Z92" s="581">
        <v>4.2999999999999997E-2</v>
      </c>
      <c r="AA92" s="581">
        <v>4.2999999999999997E-2</v>
      </c>
      <c r="AB92" s="581">
        <v>4.2999999999999997E-2</v>
      </c>
      <c r="AC92" s="581">
        <v>4.2999999999999997E-2</v>
      </c>
      <c r="AD92" s="581">
        <v>4.2999999999999997E-2</v>
      </c>
      <c r="AE92" s="581">
        <v>4.2999999999999997E-2</v>
      </c>
      <c r="AF92" s="271">
        <f t="shared" si="25"/>
        <v>4.2999999999999997E-2</v>
      </c>
      <c r="AG92" s="1529"/>
      <c r="AK92" s="358"/>
    </row>
    <row r="93" spans="2:37" hidden="1" outlineLevel="1">
      <c r="B93" s="1454"/>
      <c r="C93" s="281"/>
      <c r="D93" s="4171"/>
      <c r="E93" s="128" t="str">
        <f t="shared" si="26"/>
        <v>Air Sealing (Infiltration reduction) - 30% MF IE DI heat pump base</v>
      </c>
      <c r="F93" s="1700">
        <v>4.2999999999999997E-2</v>
      </c>
      <c r="G93" s="1407" t="s">
        <v>1080</v>
      </c>
      <c r="H93" s="1430"/>
      <c r="V93" s="4425"/>
      <c r="W93" s="276">
        <v>4.2999999999999997E-2</v>
      </c>
      <c r="X93" s="276">
        <v>4.2999999999999997E-2</v>
      </c>
      <c r="Y93" s="276">
        <v>4.2999999999999997E-2</v>
      </c>
      <c r="Z93" s="581">
        <v>4.2999999999999997E-2</v>
      </c>
      <c r="AA93" s="581">
        <v>4.2999999999999997E-2</v>
      </c>
      <c r="AB93" s="581">
        <v>4.2999999999999997E-2</v>
      </c>
      <c r="AC93" s="581">
        <v>4.2999999999999997E-2</v>
      </c>
      <c r="AD93" s="581">
        <v>4.2999999999999997E-2</v>
      </c>
      <c r="AE93" s="581">
        <v>4.2999999999999997E-2</v>
      </c>
      <c r="AF93" s="271">
        <f t="shared" si="25"/>
        <v>4.2999999999999997E-2</v>
      </c>
      <c r="AG93" s="1529"/>
      <c r="AK93" s="358"/>
    </row>
    <row r="94" spans="2:37" hidden="1" outlineLevel="1">
      <c r="B94" s="1454"/>
      <c r="C94" s="281"/>
      <c r="D94" s="4171"/>
      <c r="E94" s="128" t="str">
        <f t="shared" si="26"/>
        <v>Air Sealing (Infiltration reduction) - 30% MF IE DI gas furnace base</v>
      </c>
      <c r="F94" s="1700">
        <v>4.2999999999999997E-2</v>
      </c>
      <c r="G94" s="1407" t="s">
        <v>1080</v>
      </c>
      <c r="H94" s="1430"/>
      <c r="V94" s="4425"/>
      <c r="W94" s="1012"/>
      <c r="X94" s="1012"/>
      <c r="Y94" s="1012"/>
      <c r="Z94" s="1013"/>
      <c r="AA94" s="1013"/>
      <c r="AB94" s="1013"/>
      <c r="AC94" s="1013"/>
      <c r="AD94" s="277">
        <f>F94</f>
        <v>4.2999999999999997E-2</v>
      </c>
      <c r="AE94" s="581">
        <v>4.2999999999999997E-2</v>
      </c>
      <c r="AF94" s="271">
        <f t="shared" si="25"/>
        <v>4.2999999999999997E-2</v>
      </c>
      <c r="AG94" s="1529"/>
      <c r="AK94" s="358"/>
    </row>
    <row r="95" spans="2:37" hidden="1" outlineLevel="1">
      <c r="B95" s="1454"/>
      <c r="C95" s="281"/>
      <c r="D95" s="4171"/>
      <c r="E95" s="128" t="str">
        <f t="shared" si="26"/>
        <v>Air Sealing (Infiltration reduction) - 30% SF IE DI electric furnace base</v>
      </c>
      <c r="F95" s="1700">
        <v>0.05</v>
      </c>
      <c r="G95" s="1407" t="s">
        <v>1080</v>
      </c>
      <c r="H95" s="1430"/>
      <c r="V95" s="4425"/>
      <c r="W95" s="276">
        <v>0.05</v>
      </c>
      <c r="X95" s="276">
        <v>0.05</v>
      </c>
      <c r="Y95" s="276">
        <v>0.05</v>
      </c>
      <c r="Z95" s="581">
        <v>0.05</v>
      </c>
      <c r="AA95" s="581">
        <v>0.05</v>
      </c>
      <c r="AB95" s="581">
        <v>0.05</v>
      </c>
      <c r="AC95" s="581">
        <v>0.05</v>
      </c>
      <c r="AD95" s="581">
        <v>0.05</v>
      </c>
      <c r="AE95" s="581">
        <v>0.05</v>
      </c>
      <c r="AF95" s="271">
        <f t="shared" si="25"/>
        <v>0.05</v>
      </c>
      <c r="AG95" s="1529"/>
      <c r="AK95" s="358"/>
    </row>
    <row r="96" spans="2:37" hidden="1" outlineLevel="1">
      <c r="B96" s="1454"/>
      <c r="C96" s="281"/>
      <c r="D96" s="4171"/>
      <c r="E96" s="128" t="str">
        <f t="shared" si="26"/>
        <v>Air Sealing (Infiltration reduction) - 30% SF IE DI Gas furnace base</v>
      </c>
      <c r="F96" s="1700">
        <f>F95</f>
        <v>0.05</v>
      </c>
      <c r="G96" s="1407" t="s">
        <v>1080</v>
      </c>
      <c r="H96" s="1430"/>
      <c r="V96" s="4425"/>
      <c r="W96" s="1012"/>
      <c r="X96" s="1012"/>
      <c r="Y96" s="277">
        <v>0.05</v>
      </c>
      <c r="Z96" s="581">
        <v>0.05</v>
      </c>
      <c r="AA96" s="581">
        <v>0.05</v>
      </c>
      <c r="AB96" s="581">
        <v>0.05</v>
      </c>
      <c r="AC96" s="581">
        <v>0.05</v>
      </c>
      <c r="AD96" s="581">
        <v>0.05</v>
      </c>
      <c r="AE96" s="581">
        <v>0.05</v>
      </c>
      <c r="AF96" s="271">
        <f t="shared" si="25"/>
        <v>0.05</v>
      </c>
      <c r="AG96" s="1529"/>
      <c r="AK96" s="358"/>
    </row>
    <row r="97" spans="2:37" hidden="1" outlineLevel="1">
      <c r="B97" s="1454"/>
      <c r="C97" s="281"/>
      <c r="D97" s="4171"/>
      <c r="E97" s="128" t="str">
        <f t="shared" si="26"/>
        <v>Air Sealing (Infiltration reduction) - 30% SF IE DI heat pump base</v>
      </c>
      <c r="F97" s="1700">
        <v>0.05</v>
      </c>
      <c r="G97" s="1407" t="s">
        <v>1080</v>
      </c>
      <c r="H97" s="1430"/>
      <c r="V97" s="4425"/>
      <c r="W97" s="276">
        <v>0.05</v>
      </c>
      <c r="X97" s="276">
        <v>0.05</v>
      </c>
      <c r="Y97" s="276">
        <v>0.05</v>
      </c>
      <c r="Z97" s="581">
        <v>0.05</v>
      </c>
      <c r="AA97" s="581">
        <v>0.05</v>
      </c>
      <c r="AB97" s="581">
        <v>0.05</v>
      </c>
      <c r="AC97" s="581">
        <v>0.05</v>
      </c>
      <c r="AD97" s="581">
        <v>0.05</v>
      </c>
      <c r="AE97" s="581">
        <v>0.05</v>
      </c>
      <c r="AF97" s="271">
        <f t="shared" si="25"/>
        <v>0.05</v>
      </c>
      <c r="AG97" s="1529"/>
      <c r="AK97" s="358"/>
    </row>
    <row r="98" spans="2:37" hidden="1" outlineLevel="1">
      <c r="B98" s="1454"/>
      <c r="C98" s="281"/>
      <c r="D98" s="4171"/>
      <c r="E98" s="128" t="str">
        <f t="shared" si="26"/>
        <v>MH Adjusted Air Sealing (Infiltration reduction) - 30% SF IE DI electric furnace base</v>
      </c>
      <c r="F98" s="1700">
        <v>6.2E-2</v>
      </c>
      <c r="G98" s="1407" t="s">
        <v>1080</v>
      </c>
      <c r="H98" s="1430"/>
      <c r="V98" s="4425"/>
      <c r="W98" s="276">
        <v>6.2E-2</v>
      </c>
      <c r="X98" s="276">
        <v>6.2E-2</v>
      </c>
      <c r="Y98" s="276">
        <v>6.2E-2</v>
      </c>
      <c r="Z98" s="581">
        <v>6.2E-2</v>
      </c>
      <c r="AA98" s="581">
        <v>6.2E-2</v>
      </c>
      <c r="AB98" s="581">
        <v>6.2E-2</v>
      </c>
      <c r="AC98" s="581">
        <v>6.2E-2</v>
      </c>
      <c r="AD98" s="581">
        <v>6.2E-2</v>
      </c>
      <c r="AE98" s="581">
        <v>6.2E-2</v>
      </c>
      <c r="AF98" s="271">
        <f t="shared" si="25"/>
        <v>6.2E-2</v>
      </c>
      <c r="AG98" s="1529"/>
      <c r="AK98" s="358"/>
    </row>
    <row r="99" spans="2:37" hidden="1" outlineLevel="1">
      <c r="B99" s="1454"/>
      <c r="C99" s="281"/>
      <c r="D99" s="4188"/>
      <c r="E99" s="128" t="str">
        <f t="shared" si="26"/>
        <v>MH Adjusted Air Sealing (Infiltration reduction) - 30% SF IE DI heat pump base</v>
      </c>
      <c r="F99" s="1700">
        <f>F98</f>
        <v>6.2E-2</v>
      </c>
      <c r="G99" s="1407" t="s">
        <v>1080</v>
      </c>
      <c r="H99" s="1430"/>
      <c r="V99" s="4118"/>
      <c r="W99" s="1012"/>
      <c r="X99" s="1012"/>
      <c r="Y99" s="277">
        <v>6.2E-2</v>
      </c>
      <c r="Z99" s="581">
        <v>6.2E-2</v>
      </c>
      <c r="AA99" s="581">
        <v>6.2E-2</v>
      </c>
      <c r="AB99" s="581">
        <v>6.2E-2</v>
      </c>
      <c r="AC99" s="581">
        <v>6.2E-2</v>
      </c>
      <c r="AD99" s="581">
        <v>6.2E-2</v>
      </c>
      <c r="AE99" s="581">
        <v>6.2E-2</v>
      </c>
      <c r="AF99" s="271">
        <f t="shared" si="25"/>
        <v>6.2E-2</v>
      </c>
      <c r="AG99" s="1529"/>
      <c r="AK99" s="358"/>
    </row>
    <row r="100" spans="2:37" hidden="1" outlineLevel="1">
      <c r="B100" s="1454"/>
      <c r="C100" s="281"/>
      <c r="D100" s="4188"/>
      <c r="E100" s="128" t="str">
        <f t="shared" si="26"/>
        <v>MH Adjusted Air Sealing (Infiltration reduction) - 30% SF IE DI gas furnace base</v>
      </c>
      <c r="F100" s="1700">
        <f>F99</f>
        <v>6.2E-2</v>
      </c>
      <c r="G100" s="1407" t="s">
        <v>1080</v>
      </c>
      <c r="H100" s="1430"/>
      <c r="V100" s="4089"/>
      <c r="W100" s="1012"/>
      <c r="X100" s="1012"/>
      <c r="Y100" s="277">
        <v>6.2E-2</v>
      </c>
      <c r="Z100" s="581">
        <v>6.2E-2</v>
      </c>
      <c r="AA100" s="581">
        <v>6.2E-2</v>
      </c>
      <c r="AB100" s="581">
        <v>6.2E-2</v>
      </c>
      <c r="AC100" s="581">
        <v>6.2E-2</v>
      </c>
      <c r="AD100" s="581">
        <v>6.2E-2</v>
      </c>
      <c r="AE100" s="581">
        <v>6.2E-2</v>
      </c>
      <c r="AF100" s="271">
        <f t="shared" si="25"/>
        <v>6.2E-2</v>
      </c>
      <c r="AG100" s="1529"/>
      <c r="AK100" s="358"/>
    </row>
    <row r="101" spans="2:37" hidden="1" outlineLevel="1">
      <c r="B101" s="1454"/>
      <c r="C101" s="281"/>
      <c r="D101" s="4171" t="s">
        <v>2755</v>
      </c>
      <c r="E101" s="128" t="str">
        <f t="shared" si="26"/>
        <v>Air Sealing (Infiltration reduction) - 30% MF IE DI electric furnace base</v>
      </c>
      <c r="F101" s="1700">
        <v>0</v>
      </c>
      <c r="G101" s="4446" t="s">
        <v>2747</v>
      </c>
      <c r="H101" s="191" t="s">
        <v>2756</v>
      </c>
      <c r="V101" s="4087" t="s">
        <v>2755</v>
      </c>
      <c r="W101" s="1012"/>
      <c r="X101" s="1012"/>
      <c r="Y101" s="280">
        <v>0</v>
      </c>
      <c r="Z101" s="582">
        <v>0</v>
      </c>
      <c r="AA101" s="582">
        <v>0</v>
      </c>
      <c r="AB101" s="582">
        <v>0</v>
      </c>
      <c r="AC101" s="582">
        <v>0</v>
      </c>
      <c r="AD101" s="582">
        <v>0</v>
      </c>
      <c r="AE101" s="582">
        <v>0</v>
      </c>
      <c r="AF101" s="271">
        <f t="shared" si="25"/>
        <v>0</v>
      </c>
      <c r="AG101" s="1529"/>
      <c r="AK101" s="358"/>
    </row>
    <row r="102" spans="2:37" hidden="1" outlineLevel="1">
      <c r="B102" s="1454"/>
      <c r="C102" s="281"/>
      <c r="D102" s="4171"/>
      <c r="E102" s="128" t="str">
        <f t="shared" si="26"/>
        <v>Air Sealing (Infiltration reduction) - 30% MF IE DI heat pump base</v>
      </c>
      <c r="F102" s="1700">
        <v>0</v>
      </c>
      <c r="G102" s="4446"/>
      <c r="H102" s="191" t="s">
        <v>2756</v>
      </c>
      <c r="V102" s="4088"/>
      <c r="W102" s="1012"/>
      <c r="X102" s="1012"/>
      <c r="Y102" s="280">
        <v>0</v>
      </c>
      <c r="Z102" s="582">
        <v>0</v>
      </c>
      <c r="AA102" s="582">
        <v>0</v>
      </c>
      <c r="AB102" s="582">
        <v>0</v>
      </c>
      <c r="AC102" s="582">
        <v>0</v>
      </c>
      <c r="AD102" s="582">
        <v>0</v>
      </c>
      <c r="AE102" s="582">
        <v>0</v>
      </c>
      <c r="AF102" s="271">
        <f t="shared" si="25"/>
        <v>0</v>
      </c>
      <c r="AG102" s="1529"/>
      <c r="AK102" s="358"/>
    </row>
    <row r="103" spans="2:37" hidden="1" outlineLevel="1">
      <c r="B103" s="1454"/>
      <c r="C103" s="281"/>
      <c r="D103" s="4171"/>
      <c r="E103" s="128" t="str">
        <f t="shared" si="26"/>
        <v>Air Sealing (Infiltration reduction) - 30% MF IE DI gas furnace base</v>
      </c>
      <c r="F103" s="1700">
        <v>1.2E-2</v>
      </c>
      <c r="G103" s="4446"/>
      <c r="H103" s="191" t="s">
        <v>2756</v>
      </c>
      <c r="V103" s="4088"/>
      <c r="W103" s="1012"/>
      <c r="X103" s="1012"/>
      <c r="Y103" s="1014"/>
      <c r="Z103" s="1013"/>
      <c r="AA103" s="1013"/>
      <c r="AB103" s="1013"/>
      <c r="AC103" s="1013"/>
      <c r="AD103" s="277">
        <f>F103</f>
        <v>1.2E-2</v>
      </c>
      <c r="AE103" s="581">
        <v>1.2E-2</v>
      </c>
      <c r="AF103" s="271">
        <f t="shared" si="25"/>
        <v>1.2E-2</v>
      </c>
      <c r="AG103" s="1529"/>
      <c r="AK103" s="358"/>
    </row>
    <row r="104" spans="2:37" hidden="1" outlineLevel="1">
      <c r="B104" s="1454"/>
      <c r="C104" s="281"/>
      <c r="D104" s="4171"/>
      <c r="E104" s="128" t="str">
        <f t="shared" si="26"/>
        <v>Air Sealing (Infiltration reduction) - 30% SF IE DI electric furnace base</v>
      </c>
      <c r="F104" s="1700">
        <v>0</v>
      </c>
      <c r="G104" s="4446"/>
      <c r="H104" s="191" t="s">
        <v>2756</v>
      </c>
      <c r="V104" s="4088"/>
      <c r="W104" s="1012"/>
      <c r="X104" s="1012"/>
      <c r="Y104" s="280">
        <v>0</v>
      </c>
      <c r="Z104" s="582">
        <v>0</v>
      </c>
      <c r="AA104" s="582">
        <v>0</v>
      </c>
      <c r="AB104" s="582">
        <v>0</v>
      </c>
      <c r="AC104" s="582">
        <v>0</v>
      </c>
      <c r="AD104" s="582">
        <v>0</v>
      </c>
      <c r="AE104" s="582">
        <v>0</v>
      </c>
      <c r="AF104" s="271">
        <f t="shared" si="25"/>
        <v>0</v>
      </c>
      <c r="AG104" s="1529"/>
      <c r="AK104" s="358"/>
    </row>
    <row r="105" spans="2:37" hidden="1" outlineLevel="1">
      <c r="B105" s="1454"/>
      <c r="C105" s="281"/>
      <c r="D105" s="4171"/>
      <c r="E105" s="128" t="str">
        <f t="shared" si="26"/>
        <v>Air Sealing (Infiltration reduction) - 30% SF IE DI Gas furnace base</v>
      </c>
      <c r="F105" s="1700">
        <v>1.2999999999999999E-2</v>
      </c>
      <c r="G105" s="4446"/>
      <c r="H105" s="191" t="s">
        <v>2756</v>
      </c>
      <c r="V105" s="4088"/>
      <c r="W105" s="1012"/>
      <c r="X105" s="1012"/>
      <c r="Y105" s="280">
        <v>1.2999999999999999E-2</v>
      </c>
      <c r="Z105" s="582">
        <v>1.2999999999999999E-2</v>
      </c>
      <c r="AA105" s="582">
        <v>1.2999999999999999E-2</v>
      </c>
      <c r="AB105" s="582">
        <v>1.2999999999999999E-2</v>
      </c>
      <c r="AC105" s="582">
        <v>1.2999999999999999E-2</v>
      </c>
      <c r="AD105" s="582">
        <v>1.2999999999999999E-2</v>
      </c>
      <c r="AE105" s="582">
        <v>1.2999999999999999E-2</v>
      </c>
      <c r="AF105" s="271">
        <f t="shared" si="25"/>
        <v>1.2999999999999999E-2</v>
      </c>
      <c r="AG105" s="1529"/>
      <c r="AK105" s="358"/>
    </row>
    <row r="106" spans="2:37" hidden="1" outlineLevel="1">
      <c r="B106" s="1454"/>
      <c r="C106" s="281"/>
      <c r="D106" s="4171"/>
      <c r="E106" s="128" t="str">
        <f t="shared" si="26"/>
        <v>Air Sealing (Infiltration reduction) - 30% SF IE DI heat pump base</v>
      </c>
      <c r="F106" s="1700">
        <v>0</v>
      </c>
      <c r="G106" s="4446"/>
      <c r="H106" s="191" t="s">
        <v>2756</v>
      </c>
      <c r="V106" s="4088"/>
      <c r="W106" s="1012"/>
      <c r="X106" s="1012"/>
      <c r="Y106" s="280">
        <v>0</v>
      </c>
      <c r="Z106" s="582">
        <v>0</v>
      </c>
      <c r="AA106" s="582">
        <v>0</v>
      </c>
      <c r="AB106" s="582">
        <v>0</v>
      </c>
      <c r="AC106" s="582">
        <v>0</v>
      </c>
      <c r="AD106" s="582">
        <v>0</v>
      </c>
      <c r="AE106" s="582">
        <v>0</v>
      </c>
      <c r="AF106" s="271">
        <f t="shared" si="25"/>
        <v>0</v>
      </c>
      <c r="AG106" s="1529"/>
      <c r="AK106" s="358"/>
    </row>
    <row r="107" spans="2:37" hidden="1" outlineLevel="1">
      <c r="B107" s="1454"/>
      <c r="C107" s="281"/>
      <c r="D107" s="4171"/>
      <c r="E107" s="128" t="str">
        <f t="shared" si="26"/>
        <v>MH Adjusted Air Sealing (Infiltration reduction) - 30% SF IE DI electric furnace base</v>
      </c>
      <c r="F107" s="1700">
        <v>0</v>
      </c>
      <c r="G107" s="4446"/>
      <c r="H107" s="191" t="s">
        <v>2756</v>
      </c>
      <c r="V107" s="4088"/>
      <c r="W107" s="1012"/>
      <c r="X107" s="1012"/>
      <c r="Y107" s="280">
        <v>0</v>
      </c>
      <c r="Z107" s="582">
        <v>0</v>
      </c>
      <c r="AA107" s="582">
        <v>0</v>
      </c>
      <c r="AB107" s="582">
        <v>0</v>
      </c>
      <c r="AC107" s="582">
        <v>0</v>
      </c>
      <c r="AD107" s="582">
        <v>0</v>
      </c>
      <c r="AE107" s="582">
        <v>0</v>
      </c>
      <c r="AF107" s="271">
        <f t="shared" si="25"/>
        <v>0</v>
      </c>
      <c r="AG107" s="1529"/>
      <c r="AK107" s="358"/>
    </row>
    <row r="108" spans="2:37" hidden="1" outlineLevel="1">
      <c r="B108" s="1454"/>
      <c r="C108" s="281"/>
      <c r="D108" s="4188"/>
      <c r="E108" s="128" t="str">
        <f t="shared" si="26"/>
        <v>MH Adjusted Air Sealing (Infiltration reduction) - 30% SF IE DI heat pump base</v>
      </c>
      <c r="F108" s="1700">
        <v>0</v>
      </c>
      <c r="G108" s="4446"/>
      <c r="H108" s="191" t="s">
        <v>2756</v>
      </c>
      <c r="V108" s="4117"/>
      <c r="W108" s="1012"/>
      <c r="X108" s="1012"/>
      <c r="Y108" s="280">
        <v>0</v>
      </c>
      <c r="Z108" s="582">
        <v>0</v>
      </c>
      <c r="AA108" s="582">
        <v>0</v>
      </c>
      <c r="AB108" s="582">
        <v>0</v>
      </c>
      <c r="AC108" s="582">
        <v>0</v>
      </c>
      <c r="AD108" s="582">
        <v>0</v>
      </c>
      <c r="AE108" s="582">
        <v>0</v>
      </c>
      <c r="AF108" s="271">
        <f t="shared" si="25"/>
        <v>0</v>
      </c>
      <c r="AG108" s="1529"/>
      <c r="AK108" s="358"/>
    </row>
    <row r="109" spans="2:37" hidden="1" outlineLevel="1">
      <c r="B109" s="1454"/>
      <c r="C109" s="281"/>
      <c r="D109" s="4188"/>
      <c r="E109" s="128" t="str">
        <f t="shared" si="26"/>
        <v>MH Adjusted Air Sealing (Infiltration reduction) - 30% SF IE DI gas furnace base</v>
      </c>
      <c r="F109" s="1700">
        <v>1.7000000000000001E-2</v>
      </c>
      <c r="G109" s="4446"/>
      <c r="H109" s="191" t="s">
        <v>2756</v>
      </c>
      <c r="V109" s="4086"/>
      <c r="W109" s="1012"/>
      <c r="X109" s="1012"/>
      <c r="Y109" s="280">
        <v>1.7000000000000001E-2</v>
      </c>
      <c r="Z109" s="582">
        <v>1.7000000000000001E-2</v>
      </c>
      <c r="AA109" s="582">
        <v>1.7000000000000001E-2</v>
      </c>
      <c r="AB109" s="582">
        <v>1.7000000000000001E-2</v>
      </c>
      <c r="AC109" s="582">
        <v>1.7000000000000001E-2</v>
      </c>
      <c r="AD109" s="582">
        <v>1.7000000000000001E-2</v>
      </c>
      <c r="AE109" s="582">
        <v>1.7000000000000001E-2</v>
      </c>
      <c r="AF109" s="271">
        <f t="shared" si="25"/>
        <v>1.7000000000000001E-2</v>
      </c>
      <c r="AG109" s="1529"/>
      <c r="AK109" s="358"/>
    </row>
    <row r="110" spans="2:37" hidden="1" outlineLevel="1">
      <c r="B110" s="1454"/>
      <c r="C110" s="281"/>
      <c r="D110" s="1384" t="s">
        <v>1109</v>
      </c>
      <c r="E110" s="128" t="s">
        <v>1102</v>
      </c>
      <c r="F110" s="1701">
        <v>3.1399999999999997E-2</v>
      </c>
      <c r="G110" s="1407" t="s">
        <v>2757</v>
      </c>
      <c r="H110" s="191"/>
      <c r="V110" s="1373" t="str">
        <f>D110</f>
        <v>Fe</v>
      </c>
      <c r="W110" s="1012"/>
      <c r="X110" s="1012"/>
      <c r="Y110" s="280">
        <v>3.1399999999999997E-2</v>
      </c>
      <c r="Z110" s="582">
        <v>3.1399999999999997E-2</v>
      </c>
      <c r="AA110" s="582">
        <v>3.1399999999999997E-2</v>
      </c>
      <c r="AB110" s="582">
        <v>3.1399999999999997E-2</v>
      </c>
      <c r="AC110" s="582">
        <v>3.1399999999999997E-2</v>
      </c>
      <c r="AD110" s="582">
        <v>3.1399999999999997E-2</v>
      </c>
      <c r="AE110" s="582">
        <v>3.1399999999999997E-2</v>
      </c>
      <c r="AF110" s="271">
        <f t="shared" si="25"/>
        <v>3.1399999999999997E-2</v>
      </c>
      <c r="AG110" s="1529"/>
      <c r="AK110" s="358"/>
    </row>
    <row r="111" spans="2:37" hidden="1" outlineLevel="1">
      <c r="B111" s="1454"/>
      <c r="C111" s="281"/>
      <c r="D111" s="1384">
        <v>29.3</v>
      </c>
      <c r="E111" s="128" t="s">
        <v>1102</v>
      </c>
      <c r="F111" s="1700">
        <v>29.3</v>
      </c>
      <c r="G111" s="1407" t="s">
        <v>2757</v>
      </c>
      <c r="H111" s="191"/>
      <c r="V111" s="1373">
        <f>D111</f>
        <v>29.3</v>
      </c>
      <c r="W111" s="1012"/>
      <c r="X111" s="1012"/>
      <c r="Y111" s="280">
        <v>29.3</v>
      </c>
      <c r="Z111" s="582">
        <v>29.3</v>
      </c>
      <c r="AA111" s="582">
        <v>29.3</v>
      </c>
      <c r="AB111" s="582">
        <v>29.3</v>
      </c>
      <c r="AC111" s="582">
        <v>29.3</v>
      </c>
      <c r="AD111" s="582">
        <v>29.3</v>
      </c>
      <c r="AE111" s="582">
        <v>29.3</v>
      </c>
      <c r="AF111" s="271">
        <f t="shared" si="25"/>
        <v>29.3</v>
      </c>
      <c r="AG111" s="1529"/>
      <c r="AK111" s="358"/>
    </row>
    <row r="112" spans="2:37" ht="30.4" hidden="1" customHeight="1" outlineLevel="1">
      <c r="B112" s="1454"/>
      <c r="C112" s="281"/>
      <c r="D112" s="1372" t="str">
        <f>L58</f>
        <v>EUL</v>
      </c>
      <c r="E112" s="1372" t="s">
        <v>1102</v>
      </c>
      <c r="F112" s="1695">
        <v>20</v>
      </c>
      <c r="G112" s="1846" t="s">
        <v>1718</v>
      </c>
      <c r="H112" s="1847"/>
      <c r="V112" s="1373" t="str">
        <f>D112</f>
        <v>EUL</v>
      </c>
      <c r="W112" s="276">
        <v>15</v>
      </c>
      <c r="X112" s="276">
        <v>15</v>
      </c>
      <c r="Y112" s="277">
        <v>15</v>
      </c>
      <c r="Z112" s="581">
        <v>15</v>
      </c>
      <c r="AA112" s="581">
        <v>15</v>
      </c>
      <c r="AB112" s="581">
        <v>15</v>
      </c>
      <c r="AC112" s="581">
        <v>15</v>
      </c>
      <c r="AD112" s="581">
        <v>15</v>
      </c>
      <c r="AE112" s="581">
        <v>15</v>
      </c>
      <c r="AF112" s="271">
        <f t="shared" si="25"/>
        <v>20</v>
      </c>
      <c r="AG112" s="1529"/>
      <c r="AK112" s="358"/>
    </row>
    <row r="113" spans="2:114" ht="32.65" hidden="1" customHeight="1" outlineLevel="1">
      <c r="B113" s="1454"/>
      <c r="C113" s="281"/>
      <c r="D113" s="4171" t="str">
        <f>M58</f>
        <v>Inc. Cost</v>
      </c>
      <c r="E113" s="128" t="str">
        <f t="shared" ref="E113:E121" si="27">E92</f>
        <v>Air Sealing (Infiltration reduction) - 30% MF IE DI electric furnace base</v>
      </c>
      <c r="F113" s="1700">
        <f>108.186/902</f>
        <v>0.11994013303769402</v>
      </c>
      <c r="G113" s="1407" t="s">
        <v>2749</v>
      </c>
      <c r="H113" s="4447" t="s">
        <v>2758</v>
      </c>
      <c r="V113" s="4424" t="str">
        <f>D113</f>
        <v>Inc. Cost</v>
      </c>
      <c r="W113" s="276">
        <v>4.2999999999999997E-2</v>
      </c>
      <c r="X113" s="276">
        <v>4.2999999999999997E-2</v>
      </c>
      <c r="Y113" s="277">
        <v>0.11994013303769402</v>
      </c>
      <c r="Z113" s="581">
        <v>0.11994013303769402</v>
      </c>
      <c r="AA113" s="581">
        <v>0.11994013303769402</v>
      </c>
      <c r="AB113" s="581">
        <v>0.11994013303769402</v>
      </c>
      <c r="AC113" s="581">
        <v>0.11994013303769402</v>
      </c>
      <c r="AD113" s="581">
        <v>0.11994013303769402</v>
      </c>
      <c r="AE113" s="581">
        <v>0.11994013303769402</v>
      </c>
      <c r="AF113" s="271">
        <f t="shared" si="25"/>
        <v>0.11994013303769402</v>
      </c>
      <c r="AG113" s="1529"/>
      <c r="AK113" s="358"/>
    </row>
    <row r="114" spans="2:114" ht="30" hidden="1" outlineLevel="1">
      <c r="B114" s="1454"/>
      <c r="C114" s="281"/>
      <c r="D114" s="4171"/>
      <c r="E114" s="128" t="str">
        <f t="shared" si="27"/>
        <v>Air Sealing (Infiltration reduction) - 30% MF IE DI heat pump base</v>
      </c>
      <c r="F114" s="1700">
        <f>108.186/902</f>
        <v>0.11994013303769402</v>
      </c>
      <c r="G114" s="1407" t="s">
        <v>2749</v>
      </c>
      <c r="H114" s="4448"/>
      <c r="V114" s="4425"/>
      <c r="W114" s="276">
        <v>4.2999999999999997E-2</v>
      </c>
      <c r="X114" s="276">
        <v>4.2999999999999997E-2</v>
      </c>
      <c r="Y114" s="277">
        <v>0.11994013303769402</v>
      </c>
      <c r="Z114" s="581">
        <v>0.11994013303769402</v>
      </c>
      <c r="AA114" s="581">
        <v>0.11994013303769402</v>
      </c>
      <c r="AB114" s="581">
        <v>0.11994013303769402</v>
      </c>
      <c r="AC114" s="581">
        <v>0.11994013303769402</v>
      </c>
      <c r="AD114" s="581">
        <v>0.11994013303769402</v>
      </c>
      <c r="AE114" s="581">
        <v>0.11994013303769402</v>
      </c>
      <c r="AF114" s="271">
        <f t="shared" si="25"/>
        <v>0.11994013303769402</v>
      </c>
      <c r="AG114" s="1529"/>
      <c r="AK114" s="358"/>
    </row>
    <row r="115" spans="2:114" ht="30" hidden="1" outlineLevel="1">
      <c r="B115" s="1454"/>
      <c r="C115" s="281"/>
      <c r="D115" s="4171"/>
      <c r="E115" s="128" t="str">
        <f t="shared" si="27"/>
        <v>Air Sealing (Infiltration reduction) - 30% MF IE DI gas furnace base</v>
      </c>
      <c r="F115" s="1700">
        <f>108.186/902</f>
        <v>0.11994013303769402</v>
      </c>
      <c r="G115" s="1407" t="s">
        <v>2749</v>
      </c>
      <c r="H115" s="4448"/>
      <c r="V115" s="4425"/>
      <c r="W115" s="1012"/>
      <c r="X115" s="1012"/>
      <c r="Y115" s="1014"/>
      <c r="Z115" s="1013"/>
      <c r="AA115" s="1013"/>
      <c r="AB115" s="1013"/>
      <c r="AC115" s="1013"/>
      <c r="AD115" s="277">
        <v>0.11994013303769402</v>
      </c>
      <c r="AE115" s="581">
        <v>0.11994013303769402</v>
      </c>
      <c r="AF115" s="271">
        <f t="shared" si="25"/>
        <v>0.11994013303769402</v>
      </c>
      <c r="AG115" s="1529"/>
      <c r="AK115" s="358"/>
    </row>
    <row r="116" spans="2:114" ht="30" hidden="1" outlineLevel="1">
      <c r="B116" s="1454"/>
      <c r="C116" s="281"/>
      <c r="D116" s="4171"/>
      <c r="E116" s="128" t="str">
        <f t="shared" si="27"/>
        <v>Air Sealing (Infiltration reduction) - 30% SF IE DI electric furnace base</v>
      </c>
      <c r="F116" s="1700">
        <f>166.44/1387</f>
        <v>0.12</v>
      </c>
      <c r="G116" s="1407" t="s">
        <v>2751</v>
      </c>
      <c r="H116" s="4448"/>
      <c r="V116" s="4425"/>
      <c r="W116" s="276">
        <v>0.05</v>
      </c>
      <c r="X116" s="276">
        <v>0.05</v>
      </c>
      <c r="Y116" s="277">
        <v>0.12</v>
      </c>
      <c r="Z116" s="581">
        <v>0.12</v>
      </c>
      <c r="AA116" s="581">
        <v>0.12</v>
      </c>
      <c r="AB116" s="581">
        <v>0.12</v>
      </c>
      <c r="AC116" s="581">
        <v>0.12</v>
      </c>
      <c r="AD116" s="581">
        <v>0.12</v>
      </c>
      <c r="AE116" s="581">
        <v>0.12</v>
      </c>
      <c r="AF116" s="271">
        <f t="shared" si="25"/>
        <v>0.12</v>
      </c>
      <c r="AG116" s="1529"/>
      <c r="AK116" s="358"/>
    </row>
    <row r="117" spans="2:114" ht="30" hidden="1" outlineLevel="1">
      <c r="B117" s="1454"/>
      <c r="C117" s="281"/>
      <c r="D117" s="4171"/>
      <c r="E117" s="128" t="str">
        <f t="shared" si="27"/>
        <v>Air Sealing (Infiltration reduction) - 30% SF IE DI Gas furnace base</v>
      </c>
      <c r="F117" s="1700">
        <f>166.44/1387</f>
        <v>0.12</v>
      </c>
      <c r="G117" s="1407" t="s">
        <v>2751</v>
      </c>
      <c r="H117" s="4448"/>
      <c r="V117" s="4425"/>
      <c r="W117" s="1012"/>
      <c r="X117" s="1012"/>
      <c r="Y117" s="277">
        <v>0.12</v>
      </c>
      <c r="Z117" s="581">
        <v>0.12</v>
      </c>
      <c r="AA117" s="581">
        <v>0.12</v>
      </c>
      <c r="AB117" s="581">
        <v>0.12</v>
      </c>
      <c r="AC117" s="581">
        <v>0.12</v>
      </c>
      <c r="AD117" s="581">
        <v>0.12</v>
      </c>
      <c r="AE117" s="581">
        <v>0.12</v>
      </c>
      <c r="AF117" s="271">
        <f t="shared" si="25"/>
        <v>0.12</v>
      </c>
      <c r="AG117" s="1529"/>
      <c r="AK117" s="358"/>
    </row>
    <row r="118" spans="2:114" ht="30" hidden="1" outlineLevel="1">
      <c r="B118" s="1454"/>
      <c r="C118" s="281"/>
      <c r="D118" s="4171"/>
      <c r="E118" s="128" t="str">
        <f t="shared" si="27"/>
        <v>Air Sealing (Infiltration reduction) - 30% SF IE DI heat pump base</v>
      </c>
      <c r="F118" s="1700">
        <f>166.44/1387</f>
        <v>0.12</v>
      </c>
      <c r="G118" s="1407" t="s">
        <v>2752</v>
      </c>
      <c r="H118" s="4448"/>
      <c r="V118" s="4425"/>
      <c r="W118" s="276">
        <v>0.05</v>
      </c>
      <c r="X118" s="276">
        <v>0.05</v>
      </c>
      <c r="Y118" s="277">
        <v>0.12</v>
      </c>
      <c r="Z118" s="581">
        <v>0.12</v>
      </c>
      <c r="AA118" s="581">
        <v>0.12</v>
      </c>
      <c r="AB118" s="581">
        <v>0.12</v>
      </c>
      <c r="AC118" s="581">
        <v>0.12</v>
      </c>
      <c r="AD118" s="581">
        <v>0.12</v>
      </c>
      <c r="AE118" s="581">
        <v>0.12</v>
      </c>
      <c r="AF118" s="271">
        <f t="shared" si="25"/>
        <v>0.12</v>
      </c>
      <c r="AG118" s="1529"/>
      <c r="AK118" s="358"/>
    </row>
    <row r="119" spans="2:114" ht="30" hidden="1" outlineLevel="1">
      <c r="B119" s="1454"/>
      <c r="C119" s="281"/>
      <c r="D119" s="4171"/>
      <c r="E119" s="128" t="str">
        <f t="shared" si="27"/>
        <v>MH Adjusted Air Sealing (Infiltration reduction) - 30% SF IE DI electric furnace base</v>
      </c>
      <c r="F119" s="1700">
        <f>129.6/1080</f>
        <v>0.12</v>
      </c>
      <c r="G119" s="1407" t="s">
        <v>2753</v>
      </c>
      <c r="H119" s="4448"/>
      <c r="V119" s="4425"/>
      <c r="W119" s="276">
        <v>6.2E-2</v>
      </c>
      <c r="X119" s="276">
        <v>6.2E-2</v>
      </c>
      <c r="Y119" s="277">
        <v>0.12</v>
      </c>
      <c r="Z119" s="581">
        <v>0.12</v>
      </c>
      <c r="AA119" s="581">
        <v>0.12</v>
      </c>
      <c r="AB119" s="581">
        <v>0.12</v>
      </c>
      <c r="AC119" s="581">
        <v>0.12</v>
      </c>
      <c r="AD119" s="581">
        <v>0.12</v>
      </c>
      <c r="AE119" s="581">
        <v>0.12</v>
      </c>
      <c r="AF119" s="271">
        <f t="shared" si="25"/>
        <v>0.12</v>
      </c>
      <c r="AG119" s="1529"/>
      <c r="AK119" s="358"/>
    </row>
    <row r="120" spans="2:114" ht="30" hidden="1" outlineLevel="1">
      <c r="B120" s="1454"/>
      <c r="C120" s="281"/>
      <c r="D120" s="4188"/>
      <c r="E120" s="128" t="str">
        <f t="shared" si="27"/>
        <v>MH Adjusted Air Sealing (Infiltration reduction) - 30% SF IE DI heat pump base</v>
      </c>
      <c r="F120" s="1700">
        <f>129.6/1080</f>
        <v>0.12</v>
      </c>
      <c r="G120" s="1407" t="s">
        <v>2753</v>
      </c>
      <c r="H120" s="4448"/>
      <c r="V120" s="4118"/>
      <c r="W120" s="1012"/>
      <c r="X120" s="1012"/>
      <c r="Y120" s="277">
        <v>0.12</v>
      </c>
      <c r="Z120" s="581">
        <v>0.12</v>
      </c>
      <c r="AA120" s="581">
        <v>0.12</v>
      </c>
      <c r="AB120" s="581">
        <v>0.12</v>
      </c>
      <c r="AC120" s="581">
        <v>0.12</v>
      </c>
      <c r="AD120" s="581">
        <v>0.12</v>
      </c>
      <c r="AE120" s="581">
        <v>0.12</v>
      </c>
      <c r="AF120" s="271">
        <f t="shared" si="25"/>
        <v>0.12</v>
      </c>
      <c r="AG120" s="1529"/>
      <c r="AK120" s="358"/>
    </row>
    <row r="121" spans="2:114" ht="30" hidden="1" outlineLevel="1">
      <c r="B121" s="1454"/>
      <c r="C121" s="281"/>
      <c r="D121" s="4188"/>
      <c r="E121" s="128" t="str">
        <f t="shared" si="27"/>
        <v>MH Adjusted Air Sealing (Infiltration reduction) - 30% SF IE DI gas furnace base</v>
      </c>
      <c r="F121" s="1700">
        <f>129.6/1080</f>
        <v>0.12</v>
      </c>
      <c r="G121" s="1407" t="s">
        <v>2753</v>
      </c>
      <c r="H121" s="4448"/>
      <c r="V121" s="4089"/>
      <c r="W121" s="1012"/>
      <c r="X121" s="1012"/>
      <c r="Y121" s="277">
        <v>0.12</v>
      </c>
      <c r="Z121" s="581">
        <v>0.12</v>
      </c>
      <c r="AA121" s="581">
        <v>0.12</v>
      </c>
      <c r="AB121" s="581">
        <v>0.12</v>
      </c>
      <c r="AC121" s="581">
        <v>0.12</v>
      </c>
      <c r="AD121" s="581">
        <v>0.12</v>
      </c>
      <c r="AE121" s="581">
        <v>0.12</v>
      </c>
      <c r="AF121" s="271">
        <f t="shared" si="25"/>
        <v>0.12</v>
      </c>
      <c r="AG121" s="1529"/>
      <c r="AK121" s="358"/>
    </row>
    <row r="122" spans="2:114" hidden="1" outlineLevel="1">
      <c r="B122" s="579"/>
      <c r="C122" s="281"/>
      <c r="E122" s="1406"/>
      <c r="Y122" s="281" t="s">
        <v>2759</v>
      </c>
      <c r="AK122" s="358"/>
    </row>
    <row r="123" spans="2:114" collapsed="1">
      <c r="C123" s="281"/>
      <c r="AK123" s="358"/>
    </row>
    <row r="124" spans="2:114">
      <c r="B124" s="4183" t="s">
        <v>2760</v>
      </c>
      <c r="C124" s="4184"/>
      <c r="D124" s="4184"/>
      <c r="E124" s="4184"/>
      <c r="F124" s="4184"/>
      <c r="G124" s="4184"/>
      <c r="H124" s="4184"/>
      <c r="I124" s="4840"/>
      <c r="J124" s="4840"/>
      <c r="K124" s="4840"/>
      <c r="L124" s="4840"/>
      <c r="M124" s="4840"/>
      <c r="N124" s="4840"/>
      <c r="O124" s="4840"/>
      <c r="P124" s="4840"/>
      <c r="Q124" s="4840"/>
      <c r="R124" s="4841"/>
      <c r="V124" s="4066" t="str">
        <f>B124</f>
        <v>Ceiling Insulation</v>
      </c>
      <c r="W124" s="4067"/>
      <c r="X124" s="4067"/>
      <c r="Y124" s="4067"/>
      <c r="Z124" s="4067"/>
      <c r="AA124" s="4067"/>
      <c r="AB124" s="4067"/>
      <c r="AC124" s="4837"/>
      <c r="AD124" s="4837"/>
      <c r="AE124" s="4837"/>
      <c r="AF124" s="4837"/>
      <c r="AG124" s="4837"/>
      <c r="AH124" s="4837"/>
      <c r="AI124" s="4838"/>
      <c r="AK124" s="358"/>
    </row>
    <row r="125" spans="2:114">
      <c r="B125" s="579"/>
      <c r="C125" s="281"/>
      <c r="D125" s="583"/>
      <c r="E125" s="583"/>
      <c r="F125" s="282"/>
      <c r="G125" s="282"/>
      <c r="H125" s="282"/>
      <c r="I125" s="282"/>
      <c r="J125" s="282"/>
      <c r="K125" s="282"/>
      <c r="L125" s="584"/>
      <c r="AK125" s="358"/>
    </row>
    <row r="126" spans="2:114" ht="45">
      <c r="B126" s="579"/>
      <c r="C126" s="1371" t="s">
        <v>42</v>
      </c>
      <c r="D126" s="1371" t="s">
        <v>953</v>
      </c>
      <c r="E126" s="1371" t="s">
        <v>44</v>
      </c>
      <c r="F126" s="1371" t="s">
        <v>45</v>
      </c>
      <c r="G126" s="1371" t="s">
        <v>46</v>
      </c>
      <c r="H126" s="1371" t="s">
        <v>47</v>
      </c>
      <c r="I126" s="1371" t="s">
        <v>1443</v>
      </c>
      <c r="J126" s="1371" t="s">
        <v>1444</v>
      </c>
      <c r="K126" s="1371" t="s">
        <v>48</v>
      </c>
      <c r="L126" s="1383" t="s">
        <v>49</v>
      </c>
      <c r="M126" s="1371" t="s">
        <v>50</v>
      </c>
      <c r="N126" s="1371" t="s">
        <v>2761</v>
      </c>
      <c r="V126" s="668" t="s">
        <v>52</v>
      </c>
      <c r="W126" s="669">
        <f>W$6</f>
        <v>43252</v>
      </c>
      <c r="X126" s="669">
        <f t="shared" ref="X126:AG126" si="28">X$6</f>
        <v>43465</v>
      </c>
      <c r="Y126" s="115">
        <f t="shared" si="28"/>
        <v>43800</v>
      </c>
      <c r="Z126" s="669">
        <f t="shared" si="28"/>
        <v>43862</v>
      </c>
      <c r="AA126" s="669">
        <f t="shared" si="28"/>
        <v>44013</v>
      </c>
      <c r="AB126" s="669">
        <f t="shared" si="28"/>
        <v>44166</v>
      </c>
      <c r="AC126" s="669">
        <f t="shared" si="28"/>
        <v>44531</v>
      </c>
      <c r="AD126" s="669">
        <f t="shared" si="28"/>
        <v>44774</v>
      </c>
      <c r="AE126" s="669">
        <f t="shared" si="28"/>
        <v>45139</v>
      </c>
      <c r="AF126" s="669">
        <f t="shared" si="28"/>
        <v>45672</v>
      </c>
      <c r="AG126" s="669" t="str">
        <f t="shared" si="28"/>
        <v>-</v>
      </c>
      <c r="AK126" s="358"/>
      <c r="DG126" s="1060" t="str">
        <f>$DG$6</f>
        <v>TRC (2025)</v>
      </c>
      <c r="DH126" s="811" t="str">
        <f>$DH$6</f>
        <v>Benefit Lookup</v>
      </c>
      <c r="DI126" s="1076" t="str">
        <f>$DI$6</f>
        <v>Benefits (2025 $)</v>
      </c>
      <c r="DJ126" s="1103" t="str">
        <f>$DJ$6</f>
        <v>Incremental Cost (2025 $)</v>
      </c>
    </row>
    <row r="127" spans="2:114">
      <c r="B127" s="1454">
        <f t="shared" ref="B127:B156" si="29">VALUE(LEFT(C127,6))</f>
        <v>400700</v>
      </c>
      <c r="C127" s="692" t="s">
        <v>2762</v>
      </c>
      <c r="D127" s="555" t="s">
        <v>959</v>
      </c>
      <c r="E127" s="128" t="s">
        <v>2763</v>
      </c>
      <c r="F127" s="89">
        <f t="shared" ref="F127:F156" si="30">ROUND(I127+J127,2)</f>
        <v>0.91</v>
      </c>
      <c r="G127" s="139" t="s">
        <v>1380</v>
      </c>
      <c r="H127" s="69">
        <f>VLOOKUP(G127,'CP FACTORS'!$A$3:$B$38, 2, FALSE)</f>
        <v>4.6608050000000002E-4</v>
      </c>
      <c r="I127" s="1456">
        <f t="shared" ref="I127:I156" si="31">F163*(1/(F193+5)-1/(F223+5))*F253*(1-F$283)*F$284*24*F$286/(F287*3412)+(F317*F$347*29.3)</f>
        <v>0.81312036928487674</v>
      </c>
      <c r="J127" s="538">
        <f t="shared" ref="J127:J156" si="32">F350*(1/(F193+5)-1/(F223+5))*F253*(1-F$283)*F$285*F$348*24*F$349/(F380*1000)</f>
        <v>0.10138639875</v>
      </c>
      <c r="K127" s="1488">
        <f>ROUND(H127*F127,6)</f>
        <v>4.2400000000000001E-4</v>
      </c>
      <c r="L127" s="1456">
        <f>$F$410</f>
        <v>30</v>
      </c>
      <c r="M127" s="742">
        <f>F411</f>
        <v>2.1249043458397576</v>
      </c>
      <c r="N127" s="336">
        <f>F253</f>
        <v>1</v>
      </c>
      <c r="V127" s="356" t="str">
        <f>$F$58</f>
        <v>kWh Annual Savings</v>
      </c>
      <c r="W127" s="87">
        <v>924.01016928670083</v>
      </c>
      <c r="X127" s="130">
        <v>924.01016928670083</v>
      </c>
      <c r="Y127" s="272">
        <v>1.06</v>
      </c>
      <c r="Z127" s="270">
        <v>1.06</v>
      </c>
      <c r="AA127" s="270">
        <v>1.06</v>
      </c>
      <c r="AB127" s="270">
        <v>1.06</v>
      </c>
      <c r="AC127" s="270">
        <v>1.06</v>
      </c>
      <c r="AD127" s="270">
        <v>1.06</v>
      </c>
      <c r="AE127" s="270">
        <v>1.06</v>
      </c>
      <c r="AF127" s="271">
        <f t="shared" ref="AF127:AF156" si="33">IF(F127&lt;&gt;"",F127,"")</f>
        <v>0.91</v>
      </c>
      <c r="AG127" s="356"/>
      <c r="AK127" s="358"/>
      <c r="DG127" s="1062">
        <f t="shared" ref="DG127:DG156" si="34">(DI127)/(DJ127)</f>
        <v>0.80448693981771968</v>
      </c>
      <c r="DH127" s="1400" t="str">
        <f>CONCATENATE(G127," ",L127," Year EUL")</f>
        <v>Building Shell RES 30 Year EUL</v>
      </c>
      <c r="DI127" s="1010">
        <f>(INDEX('Avoided Cost Benefits'!$B$4:$B$865,MATCH(DH127,'Avoided Cost Benefits'!$A$4:$A$865,0)))*F127</f>
        <v>1.70945779459</v>
      </c>
      <c r="DJ127" s="1174">
        <f t="shared" ref="DJ127:DJ156" si="35">M127/(1.0686^(2025-2025))</f>
        <v>2.1249043458397576</v>
      </c>
    </row>
    <row r="128" spans="2:114">
      <c r="B128" s="1454">
        <f t="shared" si="29"/>
        <v>400750</v>
      </c>
      <c r="C128" s="692" t="s">
        <v>2764</v>
      </c>
      <c r="D128" s="555" t="s">
        <v>959</v>
      </c>
      <c r="E128" s="128" t="s">
        <v>2765</v>
      </c>
      <c r="F128" s="89">
        <f t="shared" si="30"/>
        <v>0.61</v>
      </c>
      <c r="G128" s="139" t="s">
        <v>1380</v>
      </c>
      <c r="H128" s="69">
        <f>VLOOKUP(G128,'CP FACTORS'!$A$3:$B$38, 2, FALSE)</f>
        <v>4.6608050000000002E-4</v>
      </c>
      <c r="I128" s="336">
        <f t="shared" si="31"/>
        <v>0.50192615387955353</v>
      </c>
      <c r="J128" s="538">
        <f t="shared" si="32"/>
        <v>0.11141362499999999</v>
      </c>
      <c r="K128" s="1488">
        <f t="shared" ref="K128:K156" si="36">ROUND(H128*F128,6)</f>
        <v>2.8400000000000002E-4</v>
      </c>
      <c r="L128" s="1456">
        <f t="shared" ref="L128:L156" si="37">$F$410</f>
        <v>30</v>
      </c>
      <c r="M128" s="742">
        <f t="shared" ref="M128:M156" si="38">F412</f>
        <v>2.1249043458397576</v>
      </c>
      <c r="N128" s="336">
        <f t="shared" ref="N128:N156" si="39">F254</f>
        <v>1</v>
      </c>
      <c r="V128" s="356" t="str">
        <f t="shared" ref="V128:V156" si="40">$F$58</f>
        <v>kWh Annual Savings</v>
      </c>
      <c r="W128" s="87">
        <v>575.99271940716187</v>
      </c>
      <c r="X128" s="130">
        <v>575.99271940716187</v>
      </c>
      <c r="Y128" s="272">
        <v>0.66</v>
      </c>
      <c r="Z128" s="270">
        <v>0.66</v>
      </c>
      <c r="AA128" s="270">
        <v>0.66</v>
      </c>
      <c r="AB128" s="270">
        <v>0.66</v>
      </c>
      <c r="AC128" s="270">
        <v>0.66</v>
      </c>
      <c r="AD128" s="270">
        <v>0.66</v>
      </c>
      <c r="AE128" s="270">
        <v>0.66</v>
      </c>
      <c r="AF128" s="271">
        <f t="shared" si="33"/>
        <v>0.61</v>
      </c>
      <c r="AG128" s="356"/>
      <c r="AK128" s="358"/>
      <c r="DG128" s="1063">
        <f t="shared" si="34"/>
        <v>0.53927146515253732</v>
      </c>
      <c r="DH128" s="673" t="str">
        <f t="shared" ref="DH128:DH156" si="41">CONCATENATE(G128," ",L128," Year EUL")</f>
        <v>Building Shell RES 30 Year EUL</v>
      </c>
      <c r="DI128" s="556">
        <f>(INDEX('Avoided Cost Benefits'!$B$4:$B$865,MATCH(DH128,'Avoided Cost Benefits'!$A$4:$A$865,0)))*F128</f>
        <v>1.14590027989</v>
      </c>
      <c r="DJ128" s="1176">
        <f t="shared" si="35"/>
        <v>2.1249043458397576</v>
      </c>
    </row>
    <row r="129" spans="2:114">
      <c r="B129" s="1454">
        <f t="shared" si="29"/>
        <v>400800</v>
      </c>
      <c r="C129" s="692" t="s">
        <v>2766</v>
      </c>
      <c r="D129" s="555" t="s">
        <v>959</v>
      </c>
      <c r="E129" s="128" t="s">
        <v>2767</v>
      </c>
      <c r="F129" s="89">
        <f t="shared" si="30"/>
        <v>0.14000000000000001</v>
      </c>
      <c r="G129" s="139" t="s">
        <v>1380</v>
      </c>
      <c r="H129" s="69">
        <f>VLOOKUP(G129,'CP FACTORS'!$A$3:$B$38, 2, FALSE)</f>
        <v>4.6608050000000002E-4</v>
      </c>
      <c r="I129" s="336">
        <f t="shared" si="31"/>
        <v>3.595032184977464E-2</v>
      </c>
      <c r="J129" s="538">
        <f t="shared" si="32"/>
        <v>0.10138639875</v>
      </c>
      <c r="K129" s="1488">
        <f t="shared" si="36"/>
        <v>6.4999999999999994E-5</v>
      </c>
      <c r="L129" s="1456">
        <f t="shared" si="37"/>
        <v>30</v>
      </c>
      <c r="M129" s="742">
        <f t="shared" si="38"/>
        <v>2.1249043458397576</v>
      </c>
      <c r="N129" s="336">
        <f t="shared" si="39"/>
        <v>1</v>
      </c>
      <c r="V129" s="356" t="str">
        <f t="shared" si="40"/>
        <v>kWh Annual Savings</v>
      </c>
      <c r="W129" s="87">
        <v>124.7499884556932</v>
      </c>
      <c r="X129" s="130">
        <v>124.7499884556932</v>
      </c>
      <c r="Y129" s="272">
        <v>0.14000000000000001</v>
      </c>
      <c r="Z129" s="270">
        <v>0.14000000000000001</v>
      </c>
      <c r="AA129" s="270">
        <v>0.14000000000000001</v>
      </c>
      <c r="AB129" s="270">
        <v>0.14000000000000001</v>
      </c>
      <c r="AC129" s="270">
        <v>0.14000000000000001</v>
      </c>
      <c r="AD129" s="270">
        <v>0.14000000000000001</v>
      </c>
      <c r="AE129" s="270">
        <v>0.14000000000000001</v>
      </c>
      <c r="AF129" s="271">
        <f t="shared" si="33"/>
        <v>0.14000000000000001</v>
      </c>
      <c r="AG129" s="356"/>
      <c r="AK129" s="358"/>
      <c r="DG129" s="1063">
        <f t="shared" si="34"/>
        <v>0.12376722151041843</v>
      </c>
      <c r="DH129" s="673" t="str">
        <f t="shared" si="41"/>
        <v>Building Shell RES 30 Year EUL</v>
      </c>
      <c r="DI129" s="556">
        <f>(INDEX('Avoided Cost Benefits'!$B$4:$B$865,MATCH(DH129,'Avoided Cost Benefits'!$A$4:$A$865,0)))*F129</f>
        <v>0.26299350686000006</v>
      </c>
      <c r="DJ129" s="1176">
        <f t="shared" si="35"/>
        <v>2.1249043458397576</v>
      </c>
    </row>
    <row r="130" spans="2:114">
      <c r="B130" s="1454">
        <f t="shared" si="29"/>
        <v>400850</v>
      </c>
      <c r="C130" s="692" t="s">
        <v>2768</v>
      </c>
      <c r="D130" s="1894" t="s">
        <v>1800</v>
      </c>
      <c r="E130" s="128" t="s">
        <v>2769</v>
      </c>
      <c r="F130" s="89">
        <f t="shared" si="30"/>
        <v>0.91</v>
      </c>
      <c r="G130" s="139" t="s">
        <v>1380</v>
      </c>
      <c r="H130" s="69">
        <f>VLOOKUP(G130,'CP FACTORS'!$A$3:$B$38, 2, FALSE)</f>
        <v>4.6608050000000002E-4</v>
      </c>
      <c r="I130" s="1456">
        <f t="shared" si="31"/>
        <v>0.81312036928487674</v>
      </c>
      <c r="J130" s="538">
        <f t="shared" si="32"/>
        <v>0.10138639875</v>
      </c>
      <c r="K130" s="1488">
        <f t="shared" si="36"/>
        <v>4.2400000000000001E-4</v>
      </c>
      <c r="L130" s="1456">
        <f t="shared" si="37"/>
        <v>30</v>
      </c>
      <c r="M130" s="742">
        <f t="shared" si="38"/>
        <v>2.1249072011878249</v>
      </c>
      <c r="N130" s="336">
        <f t="shared" si="39"/>
        <v>1</v>
      </c>
      <c r="V130" s="356" t="str">
        <f t="shared" si="40"/>
        <v>kWh Annual Savings</v>
      </c>
      <c r="W130" s="87">
        <v>1421.5541065949242</v>
      </c>
      <c r="X130" s="130">
        <v>1421.5541065949242</v>
      </c>
      <c r="Y130" s="272">
        <v>1.06</v>
      </c>
      <c r="Z130" s="270">
        <v>1.06</v>
      </c>
      <c r="AA130" s="270">
        <v>1.06</v>
      </c>
      <c r="AB130" s="270">
        <v>1.06</v>
      </c>
      <c r="AC130" s="270">
        <v>1.06</v>
      </c>
      <c r="AD130" s="270">
        <v>1.06</v>
      </c>
      <c r="AE130" s="270">
        <v>1.06</v>
      </c>
      <c r="AF130" s="271">
        <f t="shared" si="33"/>
        <v>0.91</v>
      </c>
      <c r="AG130" s="356"/>
      <c r="AK130" s="358"/>
      <c r="DG130" s="1063">
        <f t="shared" si="34"/>
        <v>0.80448585878687395</v>
      </c>
      <c r="DH130" s="673" t="str">
        <f t="shared" si="41"/>
        <v>Building Shell RES 30 Year EUL</v>
      </c>
      <c r="DI130" s="556">
        <f>(INDEX('Avoided Cost Benefits'!$B$4:$B$865,MATCH(DH130,'Avoided Cost Benefits'!$A$4:$A$865,0)))*F130</f>
        <v>1.70945779459</v>
      </c>
      <c r="DJ130" s="1176">
        <f t="shared" si="35"/>
        <v>2.1249072011878249</v>
      </c>
    </row>
    <row r="131" spans="2:114">
      <c r="B131" s="1454">
        <f t="shared" si="29"/>
        <v>400900</v>
      </c>
      <c r="C131" s="692" t="s">
        <v>2770</v>
      </c>
      <c r="D131" s="1894" t="s">
        <v>1800</v>
      </c>
      <c r="E131" s="128" t="s">
        <v>2771</v>
      </c>
      <c r="F131" s="89">
        <f t="shared" si="30"/>
        <v>0.61</v>
      </c>
      <c r="G131" s="139" t="s">
        <v>1380</v>
      </c>
      <c r="H131" s="69">
        <f>VLOOKUP(G131,'CP FACTORS'!$A$3:$B$38, 2, FALSE)</f>
        <v>4.6608050000000002E-4</v>
      </c>
      <c r="I131" s="336">
        <f t="shared" si="31"/>
        <v>0.50192615387955353</v>
      </c>
      <c r="J131" s="538">
        <f t="shared" si="32"/>
        <v>0.11141362499999999</v>
      </c>
      <c r="K131" s="1488">
        <f t="shared" si="36"/>
        <v>2.8400000000000002E-4</v>
      </c>
      <c r="L131" s="1456">
        <f t="shared" si="37"/>
        <v>30</v>
      </c>
      <c r="M131" s="742">
        <f t="shared" si="38"/>
        <v>2.1249072011878249</v>
      </c>
      <c r="N131" s="336">
        <f t="shared" si="39"/>
        <v>1</v>
      </c>
      <c r="V131" s="356" t="str">
        <f t="shared" si="40"/>
        <v>kWh Annual Savings</v>
      </c>
      <c r="W131" s="87">
        <v>886.14264524178759</v>
      </c>
      <c r="X131" s="130">
        <v>886.14264524178759</v>
      </c>
      <c r="Y131" s="272">
        <v>0.66</v>
      </c>
      <c r="Z131" s="270">
        <v>0.66</v>
      </c>
      <c r="AA131" s="270">
        <v>0.66</v>
      </c>
      <c r="AB131" s="270">
        <v>0.66</v>
      </c>
      <c r="AC131" s="270">
        <v>0.66</v>
      </c>
      <c r="AD131" s="270">
        <v>0.66</v>
      </c>
      <c r="AE131" s="270">
        <v>0.66</v>
      </c>
      <c r="AF131" s="271">
        <f t="shared" si="33"/>
        <v>0.61</v>
      </c>
      <c r="AG131" s="356"/>
      <c r="AK131" s="358"/>
      <c r="DG131" s="1063">
        <f t="shared" si="34"/>
        <v>0.53927074050548685</v>
      </c>
      <c r="DH131" s="673" t="str">
        <f t="shared" si="41"/>
        <v>Building Shell RES 30 Year EUL</v>
      </c>
      <c r="DI131" s="556">
        <f>(INDEX('Avoided Cost Benefits'!$B$4:$B$865,MATCH(DH131,'Avoided Cost Benefits'!$A$4:$A$865,0)))*F131</f>
        <v>1.14590027989</v>
      </c>
      <c r="DJ131" s="1176">
        <f t="shared" si="35"/>
        <v>2.1249072011878249</v>
      </c>
    </row>
    <row r="132" spans="2:114">
      <c r="B132" s="1454">
        <f t="shared" si="29"/>
        <v>400950</v>
      </c>
      <c r="C132" s="692" t="s">
        <v>2772</v>
      </c>
      <c r="D132" s="1894" t="s">
        <v>1800</v>
      </c>
      <c r="E132" s="128" t="s">
        <v>2773</v>
      </c>
      <c r="F132" s="89">
        <f t="shared" si="30"/>
        <v>0.14000000000000001</v>
      </c>
      <c r="G132" s="139" t="s">
        <v>1380</v>
      </c>
      <c r="H132" s="69">
        <f>VLOOKUP(G132,'CP FACTORS'!$A$3:$B$38, 2, FALSE)</f>
        <v>4.6608050000000002E-4</v>
      </c>
      <c r="I132" s="336">
        <f t="shared" si="31"/>
        <v>3.595032184977464E-2</v>
      </c>
      <c r="J132" s="538">
        <f t="shared" si="32"/>
        <v>0.10138639875</v>
      </c>
      <c r="K132" s="1488">
        <f t="shared" si="36"/>
        <v>6.4999999999999994E-5</v>
      </c>
      <c r="L132" s="1456">
        <f t="shared" si="37"/>
        <v>30</v>
      </c>
      <c r="M132" s="742">
        <f t="shared" si="38"/>
        <v>2.1249072011878249</v>
      </c>
      <c r="N132" s="336">
        <f t="shared" si="39"/>
        <v>1</v>
      </c>
      <c r="V132" s="356" t="str">
        <f t="shared" si="40"/>
        <v>kWh Annual Savings</v>
      </c>
      <c r="W132" s="87">
        <v>191.92305916260491</v>
      </c>
      <c r="X132" s="130">
        <v>191.92305916260491</v>
      </c>
      <c r="Y132" s="272">
        <v>0.14000000000000001</v>
      </c>
      <c r="Z132" s="270">
        <v>0.14000000000000001</v>
      </c>
      <c r="AA132" s="270">
        <v>0.14000000000000001</v>
      </c>
      <c r="AB132" s="270">
        <v>0.14000000000000001</v>
      </c>
      <c r="AC132" s="270">
        <v>0.14000000000000001</v>
      </c>
      <c r="AD132" s="270">
        <v>0.14000000000000001</v>
      </c>
      <c r="AE132" s="270">
        <v>0.14000000000000001</v>
      </c>
      <c r="AF132" s="271">
        <f t="shared" si="33"/>
        <v>0.14000000000000001</v>
      </c>
      <c r="AG132" s="356"/>
      <c r="AK132" s="358"/>
      <c r="DG132" s="1063">
        <f t="shared" si="34"/>
        <v>0.12376705519798063</v>
      </c>
      <c r="DH132" s="673" t="str">
        <f t="shared" si="41"/>
        <v>Building Shell RES 30 Year EUL</v>
      </c>
      <c r="DI132" s="556">
        <f>(INDEX('Avoided Cost Benefits'!$B$4:$B$865,MATCH(DH132,'Avoided Cost Benefits'!$A$4:$A$865,0)))*F132</f>
        <v>0.26299350686000006</v>
      </c>
      <c r="DJ132" s="1176">
        <f t="shared" si="35"/>
        <v>2.1249072011878249</v>
      </c>
    </row>
    <row r="133" spans="2:114">
      <c r="B133" s="1454">
        <f t="shared" si="29"/>
        <v>401000</v>
      </c>
      <c r="C133" s="692" t="s">
        <v>2774</v>
      </c>
      <c r="D133" s="555" t="s">
        <v>959</v>
      </c>
      <c r="E133" s="128" t="s">
        <v>2775</v>
      </c>
      <c r="F133" s="89">
        <f t="shared" si="30"/>
        <v>1.49</v>
      </c>
      <c r="G133" s="139" t="s">
        <v>1380</v>
      </c>
      <c r="H133" s="69">
        <f>VLOOKUP(G133,'CP FACTORS'!$A$3:$B$38, 2, FALSE)</f>
        <v>4.6608050000000002E-4</v>
      </c>
      <c r="I133" s="1456">
        <f t="shared" si="31"/>
        <v>1.3205563892145369</v>
      </c>
      <c r="J133" s="538">
        <f t="shared" si="32"/>
        <v>0.16465761000000004</v>
      </c>
      <c r="K133" s="1488">
        <f t="shared" si="36"/>
        <v>6.9399999999999996E-4</v>
      </c>
      <c r="L133" s="1456">
        <f t="shared" si="37"/>
        <v>30</v>
      </c>
      <c r="M133" s="742">
        <f t="shared" si="38"/>
        <v>1.1631103074141049</v>
      </c>
      <c r="N133" s="336">
        <f t="shared" si="39"/>
        <v>1</v>
      </c>
      <c r="V133" s="356" t="str">
        <f t="shared" si="40"/>
        <v>kWh Annual Savings</v>
      </c>
      <c r="W133" s="87">
        <v>1232.157975126657</v>
      </c>
      <c r="X133" s="130">
        <v>1232.157975126657</v>
      </c>
      <c r="Y133" s="272">
        <v>1.71</v>
      </c>
      <c r="Z133" s="270">
        <v>1.71</v>
      </c>
      <c r="AA133" s="270">
        <v>1.71</v>
      </c>
      <c r="AB133" s="270">
        <v>1.71</v>
      </c>
      <c r="AC133" s="270">
        <v>1.71</v>
      </c>
      <c r="AD133" s="270">
        <v>1.71</v>
      </c>
      <c r="AE133" s="270">
        <v>1.71</v>
      </c>
      <c r="AF133" s="271">
        <f t="shared" si="33"/>
        <v>1.49</v>
      </c>
      <c r="AG133" s="356"/>
      <c r="AK133" s="358"/>
      <c r="DG133" s="1063">
        <f t="shared" si="34"/>
        <v>2.4064805420157493</v>
      </c>
      <c r="DH133" s="673" t="str">
        <f t="shared" si="41"/>
        <v>Building Shell RES 30 Year EUL</v>
      </c>
      <c r="DI133" s="556">
        <f>(INDEX('Avoided Cost Benefits'!$B$4:$B$865,MATCH(DH133,'Avoided Cost Benefits'!$A$4:$A$865,0)))*F133</f>
        <v>2.7990023230099998</v>
      </c>
      <c r="DJ133" s="1176">
        <f t="shared" si="35"/>
        <v>1.1631103074141049</v>
      </c>
    </row>
    <row r="134" spans="2:114">
      <c r="B134" s="1454">
        <f t="shared" si="29"/>
        <v>401050</v>
      </c>
      <c r="C134" s="692" t="s">
        <v>2776</v>
      </c>
      <c r="D134" s="555" t="s">
        <v>959</v>
      </c>
      <c r="E134" s="128" t="s">
        <v>2777</v>
      </c>
      <c r="F134" s="89">
        <f t="shared" si="30"/>
        <v>1</v>
      </c>
      <c r="G134" s="139" t="s">
        <v>1380</v>
      </c>
      <c r="H134" s="69">
        <f>VLOOKUP(G134,'CP FACTORS'!$A$3:$B$38, 2, FALSE)</f>
        <v>4.6608050000000002E-4</v>
      </c>
      <c r="I134" s="1456">
        <f t="shared" si="31"/>
        <v>0.81515826494724497</v>
      </c>
      <c r="J134" s="538">
        <f t="shared" si="32"/>
        <v>0.18094242857142856</v>
      </c>
      <c r="K134" s="1488">
        <f t="shared" si="36"/>
        <v>4.66E-4</v>
      </c>
      <c r="L134" s="1456">
        <f t="shared" si="37"/>
        <v>30</v>
      </c>
      <c r="M134" s="742">
        <f t="shared" si="38"/>
        <v>1.1631103074141049</v>
      </c>
      <c r="N134" s="336">
        <f t="shared" si="39"/>
        <v>1</v>
      </c>
      <c r="V134" s="356" t="str">
        <f t="shared" si="40"/>
        <v>kWh Annual Savings</v>
      </c>
      <c r="W134" s="87">
        <v>768.08031602108485</v>
      </c>
      <c r="X134" s="130">
        <v>768.08031602108485</v>
      </c>
      <c r="Y134" s="272">
        <v>1.07</v>
      </c>
      <c r="Z134" s="270">
        <v>1.07</v>
      </c>
      <c r="AA134" s="270">
        <v>1.07</v>
      </c>
      <c r="AB134" s="270">
        <v>1.07</v>
      </c>
      <c r="AC134" s="270">
        <v>1.07</v>
      </c>
      <c r="AD134" s="270">
        <v>1.07</v>
      </c>
      <c r="AE134" s="270">
        <v>1.07</v>
      </c>
      <c r="AF134" s="271">
        <f t="shared" si="33"/>
        <v>1</v>
      </c>
      <c r="AG134" s="356"/>
      <c r="AK134" s="358"/>
      <c r="DG134" s="1063">
        <f t="shared" si="34"/>
        <v>1.6150876120911069</v>
      </c>
      <c r="DH134" s="673" t="str">
        <f t="shared" si="41"/>
        <v>Building Shell RES 30 Year EUL</v>
      </c>
      <c r="DI134" s="556">
        <f>(INDEX('Avoided Cost Benefits'!$B$4:$B$865,MATCH(DH134,'Avoided Cost Benefits'!$A$4:$A$865,0)))*F134</f>
        <v>1.8785250490000001</v>
      </c>
      <c r="DJ134" s="1176">
        <f t="shared" si="35"/>
        <v>1.1631103074141049</v>
      </c>
    </row>
    <row r="135" spans="2:114">
      <c r="B135" s="1454">
        <f t="shared" si="29"/>
        <v>401100</v>
      </c>
      <c r="C135" s="692" t="s">
        <v>2778</v>
      </c>
      <c r="D135" s="555" t="s">
        <v>959</v>
      </c>
      <c r="E135" s="132" t="s">
        <v>2779</v>
      </c>
      <c r="F135" s="89">
        <f t="shared" si="30"/>
        <v>0.22</v>
      </c>
      <c r="G135" s="139" t="s">
        <v>1380</v>
      </c>
      <c r="H135" s="69">
        <f>VLOOKUP(G135,'CP FACTORS'!$A$3:$B$38, 2, FALSE)</f>
        <v>4.6608050000000002E-4</v>
      </c>
      <c r="I135" s="336">
        <f t="shared" si="31"/>
        <v>5.8385485109408448E-2</v>
      </c>
      <c r="J135" s="538">
        <f t="shared" si="32"/>
        <v>0.16465761000000004</v>
      </c>
      <c r="K135" s="1488">
        <f t="shared" si="36"/>
        <v>1.03E-4</v>
      </c>
      <c r="L135" s="1456">
        <f t="shared" si="37"/>
        <v>30</v>
      </c>
      <c r="M135" s="742">
        <f t="shared" si="38"/>
        <v>1.1631103074141049</v>
      </c>
      <c r="N135" s="336">
        <f t="shared" si="39"/>
        <v>1</v>
      </c>
      <c r="V135" s="356" t="str">
        <f t="shared" si="40"/>
        <v>kWh Annual Savings</v>
      </c>
      <c r="W135" s="87">
        <v>166.35281545797278</v>
      </c>
      <c r="X135" s="130">
        <v>166.35281545797278</v>
      </c>
      <c r="Y135" s="272">
        <v>0.23</v>
      </c>
      <c r="Z135" s="270">
        <v>0.23</v>
      </c>
      <c r="AA135" s="270">
        <v>0.23</v>
      </c>
      <c r="AB135" s="270">
        <v>0.23</v>
      </c>
      <c r="AC135" s="270">
        <v>0.23</v>
      </c>
      <c r="AD135" s="270">
        <v>0.23</v>
      </c>
      <c r="AE135" s="270">
        <v>0.23</v>
      </c>
      <c r="AF135" s="271">
        <f t="shared" si="33"/>
        <v>0.22</v>
      </c>
      <c r="AG135" s="356"/>
      <c r="AK135" s="358"/>
      <c r="DG135" s="1063">
        <f t="shared" si="34"/>
        <v>0.35531927466004354</v>
      </c>
      <c r="DH135" s="673" t="str">
        <f t="shared" si="41"/>
        <v>Building Shell RES 30 Year EUL</v>
      </c>
      <c r="DI135" s="556">
        <f>(INDEX('Avoided Cost Benefits'!$B$4:$B$865,MATCH(DH135,'Avoided Cost Benefits'!$A$4:$A$865,0)))*F135</f>
        <v>0.41327551078000002</v>
      </c>
      <c r="DJ135" s="1176">
        <f t="shared" si="35"/>
        <v>1.1631103074141049</v>
      </c>
    </row>
    <row r="136" spans="2:114">
      <c r="B136" s="1454">
        <f t="shared" si="29"/>
        <v>401150</v>
      </c>
      <c r="C136" s="692" t="s">
        <v>2780</v>
      </c>
      <c r="D136" s="1894" t="s">
        <v>1800</v>
      </c>
      <c r="E136" s="128" t="s">
        <v>2781</v>
      </c>
      <c r="F136" s="89">
        <f t="shared" si="30"/>
        <v>1.49</v>
      </c>
      <c r="G136" s="139" t="s">
        <v>1380</v>
      </c>
      <c r="H136" s="69">
        <f>VLOOKUP(G136,'CP FACTORS'!$A$3:$B$38, 2, FALSE)</f>
        <v>4.6608050000000002E-4</v>
      </c>
      <c r="I136" s="1456">
        <f t="shared" si="31"/>
        <v>1.3205563892145369</v>
      </c>
      <c r="J136" s="538">
        <f t="shared" si="32"/>
        <v>0.16465761000000004</v>
      </c>
      <c r="K136" s="1488">
        <f t="shared" si="36"/>
        <v>6.9399999999999996E-4</v>
      </c>
      <c r="L136" s="1456">
        <f t="shared" si="37"/>
        <v>30</v>
      </c>
      <c r="M136" s="742">
        <f t="shared" si="38"/>
        <v>1.1631012658227848</v>
      </c>
      <c r="N136" s="336">
        <f t="shared" si="39"/>
        <v>1</v>
      </c>
      <c r="V136" s="356" t="str">
        <f t="shared" si="40"/>
        <v>kWh Annual Savings</v>
      </c>
      <c r="W136" s="87">
        <v>1895.6276540410106</v>
      </c>
      <c r="X136" s="130">
        <v>1895.6276540410106</v>
      </c>
      <c r="Y136" s="272">
        <v>1.71</v>
      </c>
      <c r="Z136" s="270">
        <v>1.71</v>
      </c>
      <c r="AA136" s="270">
        <v>1.71</v>
      </c>
      <c r="AB136" s="270">
        <v>1.71</v>
      </c>
      <c r="AC136" s="270">
        <v>1.71</v>
      </c>
      <c r="AD136" s="270">
        <v>1.71</v>
      </c>
      <c r="AE136" s="270">
        <v>1.71</v>
      </c>
      <c r="AF136" s="271">
        <f t="shared" si="33"/>
        <v>1.49</v>
      </c>
      <c r="AG136" s="356"/>
      <c r="AK136" s="358"/>
      <c r="DG136" s="1063">
        <f t="shared" si="34"/>
        <v>2.4064992492549382</v>
      </c>
      <c r="DH136" s="673" t="str">
        <f t="shared" si="41"/>
        <v>Building Shell RES 30 Year EUL</v>
      </c>
      <c r="DI136" s="556">
        <f>(INDEX('Avoided Cost Benefits'!$B$4:$B$865,MATCH(DH136,'Avoided Cost Benefits'!$A$4:$A$865,0)))*F136</f>
        <v>2.7990023230099998</v>
      </c>
      <c r="DJ136" s="1176">
        <f t="shared" si="35"/>
        <v>1.1631012658227848</v>
      </c>
    </row>
    <row r="137" spans="2:114">
      <c r="B137" s="1454">
        <f t="shared" si="29"/>
        <v>401200</v>
      </c>
      <c r="C137" s="692" t="s">
        <v>2782</v>
      </c>
      <c r="D137" s="1894" t="s">
        <v>1800</v>
      </c>
      <c r="E137" s="128" t="s">
        <v>2783</v>
      </c>
      <c r="F137" s="89">
        <f t="shared" si="30"/>
        <v>1</v>
      </c>
      <c r="G137" s="139" t="s">
        <v>1380</v>
      </c>
      <c r="H137" s="69">
        <f>VLOOKUP(G137,'CP FACTORS'!$A$3:$B$38, 2, FALSE)</f>
        <v>4.6608050000000002E-4</v>
      </c>
      <c r="I137" s="1456">
        <f t="shared" si="31"/>
        <v>0.81515826494724497</v>
      </c>
      <c r="J137" s="538">
        <f t="shared" si="32"/>
        <v>0.18094242857142856</v>
      </c>
      <c r="K137" s="1488">
        <f t="shared" si="36"/>
        <v>4.66E-4</v>
      </c>
      <c r="L137" s="1456">
        <f t="shared" si="37"/>
        <v>30</v>
      </c>
      <c r="M137" s="742">
        <f t="shared" si="38"/>
        <v>1.1631012658227848</v>
      </c>
      <c r="N137" s="336">
        <f t="shared" si="39"/>
        <v>1</v>
      </c>
      <c r="V137" s="356" t="str">
        <f t="shared" si="40"/>
        <v>kWh Annual Savings</v>
      </c>
      <c r="W137" s="87">
        <v>1181.6620246478228</v>
      </c>
      <c r="X137" s="130">
        <v>1181.6620246478228</v>
      </c>
      <c r="Y137" s="272">
        <v>1.07</v>
      </c>
      <c r="Z137" s="270">
        <v>1.07</v>
      </c>
      <c r="AA137" s="270">
        <v>1.07</v>
      </c>
      <c r="AB137" s="270">
        <v>1.07</v>
      </c>
      <c r="AC137" s="270">
        <v>1.07</v>
      </c>
      <c r="AD137" s="270">
        <v>1.07</v>
      </c>
      <c r="AE137" s="270">
        <v>1.07</v>
      </c>
      <c r="AF137" s="271">
        <f t="shared" si="33"/>
        <v>1</v>
      </c>
      <c r="AG137" s="356"/>
      <c r="AK137" s="358"/>
      <c r="DG137" s="1063">
        <f t="shared" si="34"/>
        <v>1.6151001672851935</v>
      </c>
      <c r="DH137" s="673" t="str">
        <f t="shared" si="41"/>
        <v>Building Shell RES 30 Year EUL</v>
      </c>
      <c r="DI137" s="556">
        <f>(INDEX('Avoided Cost Benefits'!$B$4:$B$865,MATCH(DH137,'Avoided Cost Benefits'!$A$4:$A$865,0)))*F137</f>
        <v>1.8785250490000001</v>
      </c>
      <c r="DJ137" s="1176">
        <f t="shared" si="35"/>
        <v>1.1631012658227848</v>
      </c>
    </row>
    <row r="138" spans="2:114">
      <c r="B138" s="1454">
        <f t="shared" si="29"/>
        <v>401250</v>
      </c>
      <c r="C138" s="692" t="s">
        <v>2784</v>
      </c>
      <c r="D138" s="1894" t="s">
        <v>1800</v>
      </c>
      <c r="E138" s="585" t="s">
        <v>2785</v>
      </c>
      <c r="F138" s="89">
        <f t="shared" si="30"/>
        <v>0.22</v>
      </c>
      <c r="G138" s="139" t="s">
        <v>1380</v>
      </c>
      <c r="H138" s="69">
        <f>VLOOKUP(G138,'CP FACTORS'!$A$3:$B$38, 2, FALSE)</f>
        <v>4.6608050000000002E-4</v>
      </c>
      <c r="I138" s="336">
        <f t="shared" si="31"/>
        <v>5.8385485109408448E-2</v>
      </c>
      <c r="J138" s="538">
        <f t="shared" si="32"/>
        <v>0.16465761000000004</v>
      </c>
      <c r="K138" s="1488">
        <f t="shared" si="36"/>
        <v>1.03E-4</v>
      </c>
      <c r="L138" s="1456">
        <f t="shared" si="37"/>
        <v>30</v>
      </c>
      <c r="M138" s="742">
        <f t="shared" si="38"/>
        <v>1.1631012658227848</v>
      </c>
      <c r="N138" s="336">
        <f t="shared" si="39"/>
        <v>1</v>
      </c>
      <c r="V138" s="356" t="str">
        <f t="shared" si="40"/>
        <v>kWh Annual Savings</v>
      </c>
      <c r="W138" s="87">
        <v>255.92740839688122</v>
      </c>
      <c r="X138" s="130">
        <v>255.92740839688122</v>
      </c>
      <c r="Y138" s="272">
        <v>0.23</v>
      </c>
      <c r="Z138" s="270">
        <v>0.23</v>
      </c>
      <c r="AA138" s="270">
        <v>0.23</v>
      </c>
      <c r="AB138" s="270">
        <v>0.23</v>
      </c>
      <c r="AC138" s="270">
        <v>0.23</v>
      </c>
      <c r="AD138" s="270">
        <v>0.23</v>
      </c>
      <c r="AE138" s="270">
        <v>0.23</v>
      </c>
      <c r="AF138" s="271">
        <f t="shared" si="33"/>
        <v>0.22</v>
      </c>
      <c r="AG138" s="356"/>
      <c r="AK138" s="358"/>
      <c r="DG138" s="1063">
        <f t="shared" si="34"/>
        <v>0.35532203680274255</v>
      </c>
      <c r="DH138" s="673" t="str">
        <f t="shared" si="41"/>
        <v>Building Shell RES 30 Year EUL</v>
      </c>
      <c r="DI138" s="556">
        <f>(INDEX('Avoided Cost Benefits'!$B$4:$B$865,MATCH(DH138,'Avoided Cost Benefits'!$A$4:$A$865,0)))*F138</f>
        <v>0.41327551078000002</v>
      </c>
      <c r="DJ138" s="1176">
        <f t="shared" si="35"/>
        <v>1.1631012658227848</v>
      </c>
    </row>
    <row r="139" spans="2:114">
      <c r="B139" s="1454">
        <f t="shared" si="29"/>
        <v>401300</v>
      </c>
      <c r="C139" s="692" t="s">
        <v>2786</v>
      </c>
      <c r="D139" s="555" t="s">
        <v>959</v>
      </c>
      <c r="E139" s="128" t="s">
        <v>2787</v>
      </c>
      <c r="F139" s="89">
        <f t="shared" si="30"/>
        <v>1.6</v>
      </c>
      <c r="G139" s="139" t="s">
        <v>1380</v>
      </c>
      <c r="H139" s="69">
        <f>VLOOKUP(G139,'CP FACTORS'!$A$3:$B$38, 2, FALSE)</f>
        <v>4.6608050000000002E-4</v>
      </c>
      <c r="I139" s="1456">
        <f t="shared" si="31"/>
        <v>1.4188303530630606</v>
      </c>
      <c r="J139" s="1550">
        <f t="shared" si="32"/>
        <v>0.17691119958139537</v>
      </c>
      <c r="K139" s="1488">
        <f t="shared" si="36"/>
        <v>7.4600000000000003E-4</v>
      </c>
      <c r="L139" s="1456">
        <f t="shared" si="37"/>
        <v>30</v>
      </c>
      <c r="M139" s="742">
        <f t="shared" si="38"/>
        <v>1.6810404785088331</v>
      </c>
      <c r="N139" s="336">
        <f t="shared" si="39"/>
        <v>1</v>
      </c>
      <c r="V139" s="356" t="str">
        <f t="shared" si="40"/>
        <v>kWh Annual Savings</v>
      </c>
      <c r="W139" s="87">
        <v>1323.8534523453845</v>
      </c>
      <c r="X139" s="130">
        <v>1323.8534523453845</v>
      </c>
      <c r="Y139" s="272">
        <v>1.84</v>
      </c>
      <c r="Z139" s="270">
        <v>1.84</v>
      </c>
      <c r="AA139" s="270">
        <v>1.84</v>
      </c>
      <c r="AB139" s="270">
        <v>1.84</v>
      </c>
      <c r="AC139" s="270">
        <v>1.84</v>
      </c>
      <c r="AD139" s="270">
        <v>1.84</v>
      </c>
      <c r="AE139" s="270">
        <v>1.84</v>
      </c>
      <c r="AF139" s="271">
        <f t="shared" si="33"/>
        <v>1.6</v>
      </c>
      <c r="AG139" s="356"/>
      <c r="AK139" s="358"/>
      <c r="DG139" s="1063">
        <f t="shared" si="34"/>
        <v>1.7879641310399339</v>
      </c>
      <c r="DH139" s="673" t="str">
        <f t="shared" si="41"/>
        <v>Building Shell RES 30 Year EUL</v>
      </c>
      <c r="DI139" s="556">
        <f>(INDEX('Avoided Cost Benefits'!$B$4:$B$865,MATCH(DH139,'Avoided Cost Benefits'!$A$4:$A$865,0)))*F139</f>
        <v>3.0056400784000004</v>
      </c>
      <c r="DJ139" s="1176">
        <f t="shared" si="35"/>
        <v>1.6810404785088331</v>
      </c>
    </row>
    <row r="140" spans="2:114">
      <c r="B140" s="1454">
        <f t="shared" si="29"/>
        <v>401350</v>
      </c>
      <c r="C140" s="692" t="s">
        <v>2788</v>
      </c>
      <c r="D140" s="555" t="s">
        <v>959</v>
      </c>
      <c r="E140" s="128" t="s">
        <v>2789</v>
      </c>
      <c r="F140" s="89">
        <f t="shared" si="30"/>
        <v>1.07</v>
      </c>
      <c r="G140" s="139" t="s">
        <v>1380</v>
      </c>
      <c r="H140" s="69">
        <f>VLOOKUP(G140,'CP FACTORS'!$A$3:$B$38, 2, FALSE)</f>
        <v>4.6608050000000002E-4</v>
      </c>
      <c r="I140" s="1456">
        <f t="shared" si="31"/>
        <v>0.87582120559448173</v>
      </c>
      <c r="J140" s="538">
        <f t="shared" si="32"/>
        <v>0.19440791162790697</v>
      </c>
      <c r="K140" s="1488">
        <f t="shared" si="36"/>
        <v>4.9899999999999999E-4</v>
      </c>
      <c r="L140" s="1456">
        <f t="shared" si="37"/>
        <v>30</v>
      </c>
      <c r="M140" s="742">
        <f t="shared" si="38"/>
        <v>1.6810404785088331</v>
      </c>
      <c r="N140" s="336">
        <f t="shared" si="39"/>
        <v>1</v>
      </c>
      <c r="V140" s="356" t="str">
        <f t="shared" si="40"/>
        <v>kWh Annual Savings</v>
      </c>
      <c r="W140" s="87">
        <v>825.239781399398</v>
      </c>
      <c r="X140" s="130">
        <v>825.239781399398</v>
      </c>
      <c r="Y140" s="272">
        <v>1.1499999999999999</v>
      </c>
      <c r="Z140" s="270">
        <v>1.1499999999999999</v>
      </c>
      <c r="AA140" s="270">
        <v>1.1499999999999999</v>
      </c>
      <c r="AB140" s="270">
        <v>1.1499999999999999</v>
      </c>
      <c r="AC140" s="270">
        <v>1.1499999999999999</v>
      </c>
      <c r="AD140" s="270">
        <v>1.1499999999999999</v>
      </c>
      <c r="AE140" s="270">
        <v>1.1499999999999999</v>
      </c>
      <c r="AF140" s="271">
        <f t="shared" si="33"/>
        <v>1.07</v>
      </c>
      <c r="AG140" s="356"/>
      <c r="AK140" s="358"/>
      <c r="DG140" s="1063">
        <f t="shared" si="34"/>
        <v>1.1957010126329557</v>
      </c>
      <c r="DH140" s="673" t="str">
        <f t="shared" si="41"/>
        <v>Building Shell RES 30 Year EUL</v>
      </c>
      <c r="DI140" s="556">
        <f>(INDEX('Avoided Cost Benefits'!$B$4:$B$865,MATCH(DH140,'Avoided Cost Benefits'!$A$4:$A$865,0)))*F140</f>
        <v>2.0100218024300003</v>
      </c>
      <c r="DJ140" s="1176">
        <f t="shared" si="35"/>
        <v>1.6810404785088331</v>
      </c>
    </row>
    <row r="141" spans="2:114">
      <c r="B141" s="1454">
        <f t="shared" si="29"/>
        <v>401400</v>
      </c>
      <c r="C141" s="692" t="s">
        <v>2790</v>
      </c>
      <c r="D141" s="555" t="s">
        <v>959</v>
      </c>
      <c r="E141" s="132" t="s">
        <v>2791</v>
      </c>
      <c r="F141" s="89">
        <f t="shared" si="30"/>
        <v>0.24</v>
      </c>
      <c r="G141" s="586" t="s">
        <v>1380</v>
      </c>
      <c r="H141" s="69">
        <f>VLOOKUP(G141,'CP FACTORS'!$A$3:$B$38, 2, FALSE)</f>
        <v>4.6608050000000002E-4</v>
      </c>
      <c r="I141" s="336">
        <f t="shared" si="31"/>
        <v>6.2730451443131871E-2</v>
      </c>
      <c r="J141" s="1550">
        <f t="shared" si="32"/>
        <v>0.17691119958139537</v>
      </c>
      <c r="K141" s="1488">
        <f t="shared" si="36"/>
        <v>1.12E-4</v>
      </c>
      <c r="L141" s="1456">
        <f t="shared" si="37"/>
        <v>30</v>
      </c>
      <c r="M141" s="742">
        <f t="shared" si="38"/>
        <v>1.6810404785088331</v>
      </c>
      <c r="N141" s="336">
        <f t="shared" si="39"/>
        <v>1</v>
      </c>
      <c r="V141" s="356" t="str">
        <f t="shared" si="40"/>
        <v>kWh Annual Savings</v>
      </c>
      <c r="W141" s="87">
        <v>178.7325598641475</v>
      </c>
      <c r="X141" s="130">
        <v>178.7325598641475</v>
      </c>
      <c r="Y141" s="272">
        <v>0.25</v>
      </c>
      <c r="Z141" s="270">
        <v>0.25</v>
      </c>
      <c r="AA141" s="270">
        <v>0.25</v>
      </c>
      <c r="AB141" s="270">
        <v>0.25</v>
      </c>
      <c r="AC141" s="270">
        <v>0.25</v>
      </c>
      <c r="AD141" s="270">
        <v>0.25</v>
      </c>
      <c r="AE141" s="270">
        <v>0.25</v>
      </c>
      <c r="AF141" s="271">
        <f t="shared" si="33"/>
        <v>0.24</v>
      </c>
      <c r="AG141" s="356"/>
      <c r="AK141" s="358"/>
      <c r="DG141" s="1063">
        <f t="shared" si="34"/>
        <v>0.26819461965599006</v>
      </c>
      <c r="DH141" s="673" t="str">
        <f t="shared" si="41"/>
        <v>Building Shell RES 30 Year EUL</v>
      </c>
      <c r="DI141" s="556">
        <f>(INDEX('Avoided Cost Benefits'!$B$4:$B$865,MATCH(DH141,'Avoided Cost Benefits'!$A$4:$A$865,0)))*F141</f>
        <v>0.45084601176</v>
      </c>
      <c r="DJ141" s="1176">
        <f t="shared" si="35"/>
        <v>1.6810404785088331</v>
      </c>
    </row>
    <row r="142" spans="2:114">
      <c r="B142" s="1454">
        <f t="shared" si="29"/>
        <v>401450</v>
      </c>
      <c r="C142" s="692" t="s">
        <v>2792</v>
      </c>
      <c r="D142" s="1894" t="s">
        <v>1800</v>
      </c>
      <c r="E142" s="128" t="s">
        <v>2793</v>
      </c>
      <c r="F142" s="89">
        <f t="shared" si="30"/>
        <v>1.6</v>
      </c>
      <c r="G142" s="139" t="s">
        <v>1380</v>
      </c>
      <c r="H142" s="69">
        <f>VLOOKUP(G142,'CP FACTORS'!$A$3:$B$38, 2, FALSE)</f>
        <v>4.6608050000000002E-4</v>
      </c>
      <c r="I142" s="1456">
        <f t="shared" si="31"/>
        <v>1.4188303530630606</v>
      </c>
      <c r="J142" s="1550">
        <f t="shared" si="32"/>
        <v>0.17691119958139537</v>
      </c>
      <c r="K142" s="1488">
        <f t="shared" si="36"/>
        <v>7.4600000000000003E-4</v>
      </c>
      <c r="L142" s="1456">
        <f t="shared" si="37"/>
        <v>30</v>
      </c>
      <c r="M142" s="742">
        <f t="shared" si="38"/>
        <v>1.6810397830018082</v>
      </c>
      <c r="N142" s="336">
        <f t="shared" si="39"/>
        <v>1</v>
      </c>
      <c r="V142" s="356" t="str">
        <f t="shared" si="40"/>
        <v>kWh Annual Savings</v>
      </c>
      <c r="W142" s="87">
        <v>2036.6976189928996</v>
      </c>
      <c r="X142" s="130">
        <v>2036.6976189928996</v>
      </c>
      <c r="Y142" s="272">
        <v>1.84</v>
      </c>
      <c r="Z142" s="270">
        <v>1.84</v>
      </c>
      <c r="AA142" s="270">
        <v>1.84</v>
      </c>
      <c r="AB142" s="270">
        <v>1.84</v>
      </c>
      <c r="AC142" s="270">
        <v>1.84</v>
      </c>
      <c r="AD142" s="270">
        <v>1.84</v>
      </c>
      <c r="AE142" s="270">
        <v>1.84</v>
      </c>
      <c r="AF142" s="271">
        <f t="shared" si="33"/>
        <v>1.6</v>
      </c>
      <c r="AG142" s="356"/>
      <c r="AK142" s="358"/>
      <c r="DG142" s="1063">
        <f t="shared" si="34"/>
        <v>1.787964870785433</v>
      </c>
      <c r="DH142" s="673" t="str">
        <f t="shared" si="41"/>
        <v>Building Shell RES 30 Year EUL</v>
      </c>
      <c r="DI142" s="556">
        <f>(INDEX('Avoided Cost Benefits'!$B$4:$B$865,MATCH(DH142,'Avoided Cost Benefits'!$A$4:$A$865,0)))*F142</f>
        <v>3.0056400784000004</v>
      </c>
      <c r="DJ142" s="1176">
        <f t="shared" si="35"/>
        <v>1.6810397830018082</v>
      </c>
    </row>
    <row r="143" spans="2:114">
      <c r="B143" s="1454">
        <f t="shared" si="29"/>
        <v>401500</v>
      </c>
      <c r="C143" s="692" t="s">
        <v>2794</v>
      </c>
      <c r="D143" s="1894" t="s">
        <v>1800</v>
      </c>
      <c r="E143" s="132" t="s">
        <v>2795</v>
      </c>
      <c r="F143" s="89">
        <f t="shared" si="30"/>
        <v>1.07</v>
      </c>
      <c r="G143" s="586" t="s">
        <v>1380</v>
      </c>
      <c r="H143" s="69">
        <f>VLOOKUP(G143,'CP FACTORS'!$A$3:$B$38, 2, FALSE)</f>
        <v>4.6608050000000002E-4</v>
      </c>
      <c r="I143" s="2081">
        <f t="shared" si="31"/>
        <v>0.87582120559448173</v>
      </c>
      <c r="J143" s="587">
        <f t="shared" si="32"/>
        <v>0.19440791162790697</v>
      </c>
      <c r="K143" s="1488">
        <f t="shared" si="36"/>
        <v>4.9899999999999999E-4</v>
      </c>
      <c r="L143" s="1456">
        <f t="shared" si="37"/>
        <v>30</v>
      </c>
      <c r="M143" s="742">
        <f t="shared" si="38"/>
        <v>1.6810397830018082</v>
      </c>
      <c r="N143" s="336">
        <f t="shared" si="39"/>
        <v>1</v>
      </c>
      <c r="V143" s="356" t="str">
        <f t="shared" si="40"/>
        <v>kWh Annual Savings</v>
      </c>
      <c r="W143" s="87">
        <v>1269.5996636913817</v>
      </c>
      <c r="X143" s="130">
        <v>1269.5996636913817</v>
      </c>
      <c r="Y143" s="272">
        <v>1.1499999999999999</v>
      </c>
      <c r="Z143" s="270">
        <v>1.1499999999999999</v>
      </c>
      <c r="AA143" s="270">
        <v>1.1499999999999999</v>
      </c>
      <c r="AB143" s="270">
        <v>1.1499999999999999</v>
      </c>
      <c r="AC143" s="270">
        <v>1.1499999999999999</v>
      </c>
      <c r="AD143" s="270">
        <v>1.1499999999999999</v>
      </c>
      <c r="AE143" s="270">
        <v>1.1499999999999999</v>
      </c>
      <c r="AF143" s="271">
        <f t="shared" si="33"/>
        <v>1.07</v>
      </c>
      <c r="AG143" s="356"/>
      <c r="AK143" s="358"/>
      <c r="DG143" s="1063">
        <f t="shared" si="34"/>
        <v>1.1957015073377584</v>
      </c>
      <c r="DH143" s="673" t="str">
        <f t="shared" si="41"/>
        <v>Building Shell RES 30 Year EUL</v>
      </c>
      <c r="DI143" s="556">
        <f>(INDEX('Avoided Cost Benefits'!$B$4:$B$865,MATCH(DH143,'Avoided Cost Benefits'!$A$4:$A$865,0)))*F143</f>
        <v>2.0100218024300003</v>
      </c>
      <c r="DJ143" s="1176">
        <f t="shared" si="35"/>
        <v>1.6810397830018082</v>
      </c>
    </row>
    <row r="144" spans="2:114">
      <c r="B144" s="1454">
        <f t="shared" si="29"/>
        <v>401550</v>
      </c>
      <c r="C144" s="692" t="s">
        <v>2796</v>
      </c>
      <c r="D144" s="1894" t="s">
        <v>1800</v>
      </c>
      <c r="E144" s="128" t="s">
        <v>2797</v>
      </c>
      <c r="F144" s="89">
        <f t="shared" si="30"/>
        <v>0.24</v>
      </c>
      <c r="G144" s="139" t="s">
        <v>1380</v>
      </c>
      <c r="H144" s="69">
        <f>VLOOKUP(G144,'CP FACTORS'!$A$3:$B$38, 2, FALSE)</f>
        <v>4.6608050000000002E-4</v>
      </c>
      <c r="I144" s="336">
        <f t="shared" si="31"/>
        <v>6.2730451443131871E-2</v>
      </c>
      <c r="J144" s="1550">
        <f t="shared" si="32"/>
        <v>0.17691119958139537</v>
      </c>
      <c r="K144" s="1488">
        <f t="shared" si="36"/>
        <v>1.12E-4</v>
      </c>
      <c r="L144" s="1456">
        <f t="shared" si="37"/>
        <v>30</v>
      </c>
      <c r="M144" s="742">
        <f t="shared" si="38"/>
        <v>1.6810397830018082</v>
      </c>
      <c r="N144" s="336">
        <f t="shared" si="39"/>
        <v>1</v>
      </c>
      <c r="V144" s="356" t="str">
        <f t="shared" si="40"/>
        <v>kWh Annual Savings</v>
      </c>
      <c r="W144" s="87">
        <v>274.97316902176544</v>
      </c>
      <c r="X144" s="130">
        <v>274.97316902176544</v>
      </c>
      <c r="Y144" s="272">
        <v>0.25</v>
      </c>
      <c r="Z144" s="270">
        <v>0.25</v>
      </c>
      <c r="AA144" s="270">
        <v>0.25</v>
      </c>
      <c r="AB144" s="270">
        <v>0.25</v>
      </c>
      <c r="AC144" s="270">
        <v>0.25</v>
      </c>
      <c r="AD144" s="270">
        <v>0.25</v>
      </c>
      <c r="AE144" s="270">
        <v>0.25</v>
      </c>
      <c r="AF144" s="271">
        <f t="shared" si="33"/>
        <v>0.24</v>
      </c>
      <c r="AG144" s="356"/>
      <c r="AK144" s="358"/>
      <c r="DG144" s="1063">
        <f t="shared" si="34"/>
        <v>0.2681947306178149</v>
      </c>
      <c r="DH144" s="673" t="str">
        <f t="shared" si="41"/>
        <v>Building Shell RES 30 Year EUL</v>
      </c>
      <c r="DI144" s="556">
        <f>(INDEX('Avoided Cost Benefits'!$B$4:$B$865,MATCH(DH144,'Avoided Cost Benefits'!$A$4:$A$865,0)))*F144</f>
        <v>0.45084601176</v>
      </c>
      <c r="DJ144" s="1176">
        <f t="shared" si="35"/>
        <v>1.6810397830018082</v>
      </c>
    </row>
    <row r="145" spans="2:114">
      <c r="B145" s="1454">
        <f t="shared" si="29"/>
        <v>401600</v>
      </c>
      <c r="C145" s="692" t="s">
        <v>2798</v>
      </c>
      <c r="D145" s="555" t="s">
        <v>959</v>
      </c>
      <c r="E145" s="128" t="s">
        <v>2799</v>
      </c>
      <c r="F145" s="89">
        <f t="shared" si="30"/>
        <v>1.69</v>
      </c>
      <c r="G145" s="139" t="s">
        <v>1380</v>
      </c>
      <c r="H145" s="69">
        <f>VLOOKUP(G145,'CP FACTORS'!$A$3:$B$38, 2, FALSE)</f>
        <v>4.6608050000000002E-4</v>
      </c>
      <c r="I145" s="1456">
        <f t="shared" si="31"/>
        <v>1.5064124736225091</v>
      </c>
      <c r="J145" s="538">
        <f t="shared" si="32"/>
        <v>0.18783164399999999</v>
      </c>
      <c r="K145" s="1488">
        <f t="shared" si="36"/>
        <v>7.8799999999999996E-4</v>
      </c>
      <c r="L145" s="1456">
        <f t="shared" si="37"/>
        <v>30</v>
      </c>
      <c r="M145" s="742">
        <f t="shared" si="38"/>
        <v>2.568757824454027</v>
      </c>
      <c r="N145" s="336">
        <f t="shared" si="39"/>
        <v>1</v>
      </c>
      <c r="V145" s="356" t="str">
        <f t="shared" si="40"/>
        <v>kWh Annual Savings</v>
      </c>
      <c r="W145" s="87">
        <v>1405.5728012555933</v>
      </c>
      <c r="X145" s="130">
        <v>1405.5728012555933</v>
      </c>
      <c r="Y145" s="272">
        <v>1.96</v>
      </c>
      <c r="Z145" s="270">
        <v>1.96</v>
      </c>
      <c r="AA145" s="270">
        <v>1.96</v>
      </c>
      <c r="AB145" s="270">
        <v>1.96</v>
      </c>
      <c r="AC145" s="270">
        <v>1.96</v>
      </c>
      <c r="AD145" s="270">
        <v>1.96</v>
      </c>
      <c r="AE145" s="270">
        <v>1.96</v>
      </c>
      <c r="AF145" s="271">
        <f t="shared" si="33"/>
        <v>1.69</v>
      </c>
      <c r="AG145" s="356"/>
      <c r="AK145" s="358"/>
      <c r="DG145" s="1063">
        <f t="shared" si="34"/>
        <v>1.2358920341137116</v>
      </c>
      <c r="DH145" s="673" t="str">
        <f t="shared" si="41"/>
        <v>Building Shell RES 30 Year EUL</v>
      </c>
      <c r="DI145" s="556">
        <f>(INDEX('Avoided Cost Benefits'!$B$4:$B$865,MATCH(DH145,'Avoided Cost Benefits'!$A$4:$A$865,0)))*F145</f>
        <v>3.1747073328100002</v>
      </c>
      <c r="DJ145" s="1176">
        <f t="shared" si="35"/>
        <v>2.568757824454027</v>
      </c>
    </row>
    <row r="146" spans="2:114">
      <c r="B146" s="1454">
        <f t="shared" si="29"/>
        <v>401650</v>
      </c>
      <c r="C146" s="692" t="s">
        <v>2800</v>
      </c>
      <c r="D146" s="555" t="s">
        <v>959</v>
      </c>
      <c r="E146" s="128" t="s">
        <v>2801</v>
      </c>
      <c r="F146" s="89">
        <f t="shared" si="30"/>
        <v>1.1399999999999999</v>
      </c>
      <c r="G146" s="139" t="s">
        <v>1380</v>
      </c>
      <c r="H146" s="69">
        <f>VLOOKUP(G146,'CP FACTORS'!$A$3:$B$38, 2, FALSE)</f>
        <v>4.6608050000000002E-4</v>
      </c>
      <c r="I146" s="1456">
        <f t="shared" si="31"/>
        <v>0.92988424297685734</v>
      </c>
      <c r="J146" s="1550">
        <f t="shared" si="32"/>
        <v>0.20640839999999996</v>
      </c>
      <c r="K146" s="1488">
        <f t="shared" si="36"/>
        <v>5.31E-4</v>
      </c>
      <c r="L146" s="1456">
        <f t="shared" si="37"/>
        <v>30</v>
      </c>
      <c r="M146" s="742">
        <f t="shared" si="38"/>
        <v>2.568757824454027</v>
      </c>
      <c r="N146" s="336">
        <f t="shared" si="39"/>
        <v>1</v>
      </c>
      <c r="V146" s="356" t="str">
        <f t="shared" si="40"/>
        <v>kWh Annual Savings</v>
      </c>
      <c r="W146" s="87">
        <v>876.18050864627435</v>
      </c>
      <c r="X146" s="130">
        <v>876.18050864627435</v>
      </c>
      <c r="Y146" s="272">
        <v>1.22</v>
      </c>
      <c r="Z146" s="270">
        <v>1.22</v>
      </c>
      <c r="AA146" s="270">
        <v>1.22</v>
      </c>
      <c r="AB146" s="270">
        <v>1.22</v>
      </c>
      <c r="AC146" s="270">
        <v>1.22</v>
      </c>
      <c r="AD146" s="270">
        <v>1.22</v>
      </c>
      <c r="AE146" s="270">
        <v>1.22</v>
      </c>
      <c r="AF146" s="271">
        <f t="shared" si="33"/>
        <v>1.1399999999999999</v>
      </c>
      <c r="AG146" s="356"/>
      <c r="AK146" s="358"/>
      <c r="DG146" s="1063">
        <f t="shared" si="34"/>
        <v>0.83367865023055099</v>
      </c>
      <c r="DH146" s="673" t="str">
        <f t="shared" si="41"/>
        <v>Building Shell RES 30 Year EUL</v>
      </c>
      <c r="DI146" s="556">
        <f>(INDEX('Avoided Cost Benefits'!$B$4:$B$865,MATCH(DH146,'Avoided Cost Benefits'!$A$4:$A$865,0)))*F146</f>
        <v>2.1415185558599998</v>
      </c>
      <c r="DJ146" s="1176">
        <f t="shared" si="35"/>
        <v>2.568757824454027</v>
      </c>
    </row>
    <row r="147" spans="2:114">
      <c r="B147" s="1454">
        <f t="shared" si="29"/>
        <v>401700</v>
      </c>
      <c r="C147" s="692" t="s">
        <v>2802</v>
      </c>
      <c r="D147" s="555" t="s">
        <v>959</v>
      </c>
      <c r="E147" s="132" t="s">
        <v>2803</v>
      </c>
      <c r="F147" s="89">
        <f t="shared" si="30"/>
        <v>0.25</v>
      </c>
      <c r="G147" s="139" t="s">
        <v>1380</v>
      </c>
      <c r="H147" s="69">
        <f>VLOOKUP(G147,'CP FACTORS'!$A$3:$B$38, 2, FALSE)</f>
        <v>4.6608050000000002E-4</v>
      </c>
      <c r="I147" s="336">
        <f t="shared" si="31"/>
        <v>6.6602701532214093E-2</v>
      </c>
      <c r="J147" s="538">
        <f t="shared" si="32"/>
        <v>0.18783164399999999</v>
      </c>
      <c r="K147" s="1488">
        <f>ROUND(H147*F147,6)</f>
        <v>1.17E-4</v>
      </c>
      <c r="L147" s="1456">
        <f t="shared" si="37"/>
        <v>30</v>
      </c>
      <c r="M147" s="742">
        <f t="shared" si="38"/>
        <v>2.568757824454027</v>
      </c>
      <c r="N147" s="336">
        <f t="shared" si="39"/>
        <v>1</v>
      </c>
      <c r="V147" s="356" t="str">
        <f t="shared" si="40"/>
        <v>kWh Annual Savings</v>
      </c>
      <c r="W147" s="87">
        <v>189.76543392983561</v>
      </c>
      <c r="X147" s="130">
        <v>189.76543392983561</v>
      </c>
      <c r="Y147" s="272">
        <v>0.26</v>
      </c>
      <c r="Z147" s="270">
        <v>0.26</v>
      </c>
      <c r="AA147" s="270">
        <v>0.26</v>
      </c>
      <c r="AB147" s="270">
        <v>0.26</v>
      </c>
      <c r="AC147" s="270">
        <v>0.26</v>
      </c>
      <c r="AD147" s="270">
        <v>0.26</v>
      </c>
      <c r="AE147" s="270">
        <v>0.26</v>
      </c>
      <c r="AF147" s="271">
        <f t="shared" si="33"/>
        <v>0.25</v>
      </c>
      <c r="AG147" s="356"/>
      <c r="AK147" s="358"/>
      <c r="DG147" s="1063">
        <f t="shared" si="34"/>
        <v>0.18282426540143665</v>
      </c>
      <c r="DH147" s="673" t="str">
        <f t="shared" si="41"/>
        <v>Building Shell RES 30 Year EUL</v>
      </c>
      <c r="DI147" s="556">
        <f>(INDEX('Avoided Cost Benefits'!$B$4:$B$865,MATCH(DH147,'Avoided Cost Benefits'!$A$4:$A$865,0)))*F147</f>
        <v>0.46963126225000001</v>
      </c>
      <c r="DJ147" s="1176">
        <f t="shared" si="35"/>
        <v>2.568757824454027</v>
      </c>
    </row>
    <row r="148" spans="2:114">
      <c r="B148" s="1454">
        <f t="shared" si="29"/>
        <v>401750</v>
      </c>
      <c r="C148" s="692" t="s">
        <v>2804</v>
      </c>
      <c r="D148" s="1894" t="s">
        <v>1800</v>
      </c>
      <c r="E148" s="128" t="s">
        <v>2805</v>
      </c>
      <c r="F148" s="89">
        <f t="shared" si="30"/>
        <v>1.69</v>
      </c>
      <c r="G148" s="139" t="s">
        <v>1380</v>
      </c>
      <c r="H148" s="69">
        <f>VLOOKUP(G148,'CP FACTORS'!$A$3:$B$38, 2, FALSE)</f>
        <v>4.6608050000000002E-4</v>
      </c>
      <c r="I148" s="1456">
        <f t="shared" si="31"/>
        <v>1.5064124736225091</v>
      </c>
      <c r="J148" s="538">
        <f t="shared" si="32"/>
        <v>0.18783164399999999</v>
      </c>
      <c r="K148" s="1488">
        <f t="shared" si="36"/>
        <v>7.8799999999999996E-4</v>
      </c>
      <c r="L148" s="1456">
        <f t="shared" si="37"/>
        <v>30</v>
      </c>
      <c r="M148" s="742">
        <f t="shared" si="38"/>
        <v>2.5687522603978299</v>
      </c>
      <c r="N148" s="336">
        <f t="shared" si="39"/>
        <v>1</v>
      </c>
      <c r="V148" s="356" t="str">
        <f t="shared" si="40"/>
        <v>kWh Annual Savings</v>
      </c>
      <c r="W148" s="87">
        <v>2162.4196942393751</v>
      </c>
      <c r="X148" s="130">
        <v>2162.4196942393751</v>
      </c>
      <c r="Y148" s="272">
        <v>1.96</v>
      </c>
      <c r="Z148" s="270">
        <v>1.96</v>
      </c>
      <c r="AA148" s="270">
        <v>1.96</v>
      </c>
      <c r="AB148" s="270">
        <v>1.96</v>
      </c>
      <c r="AC148" s="270">
        <v>1.96</v>
      </c>
      <c r="AD148" s="270">
        <v>1.96</v>
      </c>
      <c r="AE148" s="270">
        <v>1.96</v>
      </c>
      <c r="AF148" s="271">
        <f t="shared" si="33"/>
        <v>1.69</v>
      </c>
      <c r="AG148" s="356"/>
      <c r="AK148" s="358"/>
      <c r="DG148" s="1063">
        <f t="shared" si="34"/>
        <v>1.2358947111226384</v>
      </c>
      <c r="DH148" s="673" t="str">
        <f t="shared" si="41"/>
        <v>Building Shell RES 30 Year EUL</v>
      </c>
      <c r="DI148" s="556">
        <f>(INDEX('Avoided Cost Benefits'!$B$4:$B$865,MATCH(DH148,'Avoided Cost Benefits'!$A$4:$A$865,0)))*F148</f>
        <v>3.1747073328100002</v>
      </c>
      <c r="DJ148" s="1176">
        <f t="shared" si="35"/>
        <v>2.5687522603978299</v>
      </c>
    </row>
    <row r="149" spans="2:114">
      <c r="B149" s="1454">
        <f t="shared" si="29"/>
        <v>401800</v>
      </c>
      <c r="C149" s="692" t="s">
        <v>2806</v>
      </c>
      <c r="D149" s="1894" t="s">
        <v>1800</v>
      </c>
      <c r="E149" s="132" t="s">
        <v>2807</v>
      </c>
      <c r="F149" s="89">
        <f t="shared" si="30"/>
        <v>1.1399999999999999</v>
      </c>
      <c r="G149" s="139" t="s">
        <v>1380</v>
      </c>
      <c r="H149" s="69">
        <f>VLOOKUP(G149,'CP FACTORS'!$A$3:$B$38, 2, FALSE)</f>
        <v>4.6608050000000002E-4</v>
      </c>
      <c r="I149" s="1456">
        <f t="shared" si="31"/>
        <v>0.92988424297685734</v>
      </c>
      <c r="J149" s="1550">
        <f t="shared" si="32"/>
        <v>0.20640839999999996</v>
      </c>
      <c r="K149" s="1488">
        <f t="shared" si="36"/>
        <v>5.31E-4</v>
      </c>
      <c r="L149" s="1456">
        <f t="shared" si="37"/>
        <v>30</v>
      </c>
      <c r="M149" s="742">
        <f t="shared" si="38"/>
        <v>2.5687522603978299</v>
      </c>
      <c r="N149" s="336">
        <f t="shared" si="39"/>
        <v>1</v>
      </c>
      <c r="V149" s="356" t="str">
        <f t="shared" si="40"/>
        <v>kWh Annual Savings</v>
      </c>
      <c r="W149" s="87">
        <v>1347.9700133019608</v>
      </c>
      <c r="X149" s="130">
        <v>1347.9700133019608</v>
      </c>
      <c r="Y149" s="272">
        <v>1.22</v>
      </c>
      <c r="Z149" s="270">
        <v>1.22</v>
      </c>
      <c r="AA149" s="270">
        <v>1.22</v>
      </c>
      <c r="AB149" s="270">
        <v>1.22</v>
      </c>
      <c r="AC149" s="270">
        <v>1.22</v>
      </c>
      <c r="AD149" s="270">
        <v>1.22</v>
      </c>
      <c r="AE149" s="270">
        <v>1.22</v>
      </c>
      <c r="AF149" s="271">
        <f t="shared" si="33"/>
        <v>1.1399999999999999</v>
      </c>
      <c r="AG149" s="356"/>
      <c r="AK149" s="358"/>
      <c r="DG149" s="1063">
        <f t="shared" si="34"/>
        <v>0.83368045602355478</v>
      </c>
      <c r="DH149" s="673" t="str">
        <f t="shared" si="41"/>
        <v>Building Shell RES 30 Year EUL</v>
      </c>
      <c r="DI149" s="556">
        <f>(INDEX('Avoided Cost Benefits'!$B$4:$B$865,MATCH(DH149,'Avoided Cost Benefits'!$A$4:$A$865,0)))*F149</f>
        <v>2.1415185558599998</v>
      </c>
      <c r="DJ149" s="1176">
        <f t="shared" si="35"/>
        <v>2.5687522603978299</v>
      </c>
    </row>
    <row r="150" spans="2:114">
      <c r="B150" s="1454">
        <f t="shared" si="29"/>
        <v>401850</v>
      </c>
      <c r="C150" s="692" t="s">
        <v>2808</v>
      </c>
      <c r="D150" s="1894" t="s">
        <v>1800</v>
      </c>
      <c r="E150" s="128" t="s">
        <v>2809</v>
      </c>
      <c r="F150" s="89">
        <f t="shared" si="30"/>
        <v>0.25</v>
      </c>
      <c r="G150" s="139" t="s">
        <v>1380</v>
      </c>
      <c r="H150" s="69">
        <f>VLOOKUP(G150,'CP FACTORS'!$A$3:$B$38, 2, FALSE)</f>
        <v>4.6608050000000002E-4</v>
      </c>
      <c r="I150" s="336">
        <f t="shared" si="31"/>
        <v>6.6602701532214093E-2</v>
      </c>
      <c r="J150" s="538">
        <f t="shared" si="32"/>
        <v>0.18783164399999999</v>
      </c>
      <c r="K150" s="1488">
        <f t="shared" si="36"/>
        <v>1.17E-4</v>
      </c>
      <c r="L150" s="1456">
        <f t="shared" si="37"/>
        <v>30</v>
      </c>
      <c r="M150" s="742">
        <f t="shared" si="38"/>
        <v>2.5687522603978299</v>
      </c>
      <c r="N150" s="336">
        <f t="shared" si="39"/>
        <v>1</v>
      </c>
      <c r="V150" s="356" t="str">
        <f t="shared" si="40"/>
        <v>kWh Annual Savings</v>
      </c>
      <c r="W150" s="87">
        <v>291.94682143051637</v>
      </c>
      <c r="X150" s="130">
        <v>291.94682143051637</v>
      </c>
      <c r="Y150" s="272">
        <v>0.26</v>
      </c>
      <c r="Z150" s="270">
        <v>0.26</v>
      </c>
      <c r="AA150" s="270">
        <v>0.26</v>
      </c>
      <c r="AB150" s="270">
        <v>0.26</v>
      </c>
      <c r="AC150" s="270">
        <v>0.26</v>
      </c>
      <c r="AD150" s="270">
        <v>0.26</v>
      </c>
      <c r="AE150" s="270">
        <v>0.26</v>
      </c>
      <c r="AF150" s="271">
        <f t="shared" si="33"/>
        <v>0.25</v>
      </c>
      <c r="AG150" s="356"/>
      <c r="AK150" s="358"/>
      <c r="DG150" s="1063">
        <f t="shared" si="34"/>
        <v>0.18282466140867432</v>
      </c>
      <c r="DH150" s="673" t="str">
        <f t="shared" si="41"/>
        <v>Building Shell RES 30 Year EUL</v>
      </c>
      <c r="DI150" s="556">
        <f>(INDEX('Avoided Cost Benefits'!$B$4:$B$865,MATCH(DH150,'Avoided Cost Benefits'!$A$4:$A$865,0)))*F150</f>
        <v>0.46963126225000001</v>
      </c>
      <c r="DJ150" s="1176">
        <f t="shared" si="35"/>
        <v>2.5687522603978299</v>
      </c>
    </row>
    <row r="151" spans="2:114">
      <c r="B151" s="1454">
        <f t="shared" si="29"/>
        <v>401900</v>
      </c>
      <c r="C151" s="692" t="s">
        <v>2810</v>
      </c>
      <c r="D151" s="555" t="s">
        <v>959</v>
      </c>
      <c r="E151" s="128" t="s">
        <v>2811</v>
      </c>
      <c r="F151" s="89">
        <f t="shared" si="30"/>
        <v>1.76</v>
      </c>
      <c r="G151" s="139" t="s">
        <v>1380</v>
      </c>
      <c r="H151" s="69">
        <f>VLOOKUP(G151,'CP FACTORS'!$A$3:$B$38, 2, FALSE)</f>
        <v>4.6608050000000002E-4</v>
      </c>
      <c r="I151" s="1456">
        <f t="shared" si="31"/>
        <v>1.5643514149156821</v>
      </c>
      <c r="J151" s="1550">
        <f t="shared" si="32"/>
        <v>0.19505593799999998</v>
      </c>
      <c r="K151" s="1488">
        <f t="shared" si="36"/>
        <v>8.1999999999999998E-4</v>
      </c>
      <c r="L151" s="1456">
        <f t="shared" si="37"/>
        <v>30</v>
      </c>
      <c r="M151" s="742">
        <f t="shared" si="38"/>
        <v>3.424301015440256</v>
      </c>
      <c r="N151" s="336">
        <f t="shared" si="39"/>
        <v>1</v>
      </c>
      <c r="V151" s="356" t="str">
        <f t="shared" si="40"/>
        <v>kWh Annual Savings</v>
      </c>
      <c r="W151" s="87">
        <v>1459.6332936115778</v>
      </c>
      <c r="X151" s="130">
        <v>1459.6332936115778</v>
      </c>
      <c r="Y151" s="272">
        <v>2.0299999999999998</v>
      </c>
      <c r="Z151" s="270">
        <v>2.0299999999999998</v>
      </c>
      <c r="AA151" s="270">
        <v>2.0299999999999998</v>
      </c>
      <c r="AB151" s="270">
        <v>2.0299999999999998</v>
      </c>
      <c r="AC151" s="270">
        <v>2.0299999999999998</v>
      </c>
      <c r="AD151" s="270">
        <v>2.0299999999999998</v>
      </c>
      <c r="AE151" s="270">
        <v>2.0299999999999998</v>
      </c>
      <c r="AF151" s="271">
        <f t="shared" si="33"/>
        <v>1.76</v>
      </c>
      <c r="AG151" s="356"/>
      <c r="AK151" s="358"/>
      <c r="DG151" s="1063">
        <f t="shared" si="34"/>
        <v>0.96551210636338514</v>
      </c>
      <c r="DH151" s="673" t="str">
        <f t="shared" si="41"/>
        <v>Building Shell RES 30 Year EUL</v>
      </c>
      <c r="DI151" s="556">
        <f>(INDEX('Avoided Cost Benefits'!$B$4:$B$865,MATCH(DH151,'Avoided Cost Benefits'!$A$4:$A$865,0)))*F151</f>
        <v>3.3062040862400002</v>
      </c>
      <c r="DJ151" s="1176">
        <f t="shared" si="35"/>
        <v>3.424301015440256</v>
      </c>
    </row>
    <row r="152" spans="2:114">
      <c r="B152" s="1454">
        <f t="shared" si="29"/>
        <v>401950</v>
      </c>
      <c r="C152" s="692" t="s">
        <v>2812</v>
      </c>
      <c r="D152" s="555" t="s">
        <v>959</v>
      </c>
      <c r="E152" s="128" t="s">
        <v>2813</v>
      </c>
      <c r="F152" s="89">
        <f t="shared" si="30"/>
        <v>1.18</v>
      </c>
      <c r="G152" s="139" t="s">
        <v>1380</v>
      </c>
      <c r="H152" s="69">
        <f>VLOOKUP(G152,'CP FACTORS'!$A$3:$B$38, 2, FALSE)</f>
        <v>4.6608050000000002E-4</v>
      </c>
      <c r="I152" s="1456">
        <f t="shared" si="31"/>
        <v>0.96564902155289012</v>
      </c>
      <c r="J152" s="538">
        <f t="shared" si="32"/>
        <v>0.21434718461538455</v>
      </c>
      <c r="K152" s="1488">
        <f t="shared" si="36"/>
        <v>5.5000000000000003E-4</v>
      </c>
      <c r="L152" s="1456">
        <f t="shared" si="37"/>
        <v>30</v>
      </c>
      <c r="M152" s="742">
        <f t="shared" si="38"/>
        <v>3.424301015440256</v>
      </c>
      <c r="N152" s="336">
        <f t="shared" si="39"/>
        <v>1</v>
      </c>
      <c r="V152" s="356" t="str">
        <f t="shared" si="40"/>
        <v>kWh Annual Savings</v>
      </c>
      <c r="W152" s="87">
        <v>909.87975897882347</v>
      </c>
      <c r="X152" s="130">
        <v>909.87975897882347</v>
      </c>
      <c r="Y152" s="272">
        <v>1.27</v>
      </c>
      <c r="Z152" s="270">
        <v>1.27</v>
      </c>
      <c r="AA152" s="270">
        <v>1.27</v>
      </c>
      <c r="AB152" s="270">
        <v>1.27</v>
      </c>
      <c r="AC152" s="270">
        <v>1.27</v>
      </c>
      <c r="AD152" s="270">
        <v>1.27</v>
      </c>
      <c r="AE152" s="270">
        <v>1.27</v>
      </c>
      <c r="AF152" s="271">
        <f t="shared" si="33"/>
        <v>1.18</v>
      </c>
      <c r="AG152" s="356"/>
      <c r="AK152" s="358"/>
      <c r="DG152" s="1063">
        <f t="shared" si="34"/>
        <v>0.64733198040272411</v>
      </c>
      <c r="DH152" s="673" t="str">
        <f t="shared" si="41"/>
        <v>Building Shell RES 30 Year EUL</v>
      </c>
      <c r="DI152" s="556">
        <f>(INDEX('Avoided Cost Benefits'!$B$4:$B$865,MATCH(DH152,'Avoided Cost Benefits'!$A$4:$A$865,0)))*F152</f>
        <v>2.2166595578199999</v>
      </c>
      <c r="DJ152" s="1176">
        <f t="shared" si="35"/>
        <v>3.424301015440256</v>
      </c>
    </row>
    <row r="153" spans="2:114">
      <c r="B153" s="1454">
        <f t="shared" si="29"/>
        <v>402000</v>
      </c>
      <c r="C153" s="692" t="s">
        <v>2814</v>
      </c>
      <c r="D153" s="555" t="s">
        <v>959</v>
      </c>
      <c r="E153" s="132" t="s">
        <v>2815</v>
      </c>
      <c r="F153" s="89">
        <f t="shared" si="30"/>
        <v>0.26</v>
      </c>
      <c r="G153" s="139" t="s">
        <v>1380</v>
      </c>
      <c r="H153" s="69">
        <f>VLOOKUP(G153,'CP FACTORS'!$A$3:$B$38, 2, FALSE)</f>
        <v>4.6608050000000002E-4</v>
      </c>
      <c r="I153" s="336">
        <f t="shared" si="31"/>
        <v>6.9164343898837688E-2</v>
      </c>
      <c r="J153" s="1550">
        <f t="shared" si="32"/>
        <v>0.19505593799999998</v>
      </c>
      <c r="K153" s="1488">
        <f t="shared" si="36"/>
        <v>1.21E-4</v>
      </c>
      <c r="L153" s="1456">
        <f t="shared" si="37"/>
        <v>30</v>
      </c>
      <c r="M153" s="742">
        <f t="shared" si="38"/>
        <v>3.424301015440256</v>
      </c>
      <c r="N153" s="336">
        <f t="shared" si="39"/>
        <v>1</v>
      </c>
      <c r="V153" s="356" t="str">
        <f t="shared" si="40"/>
        <v>kWh Annual Savings</v>
      </c>
      <c r="W153" s="87">
        <v>197.06410446559852</v>
      </c>
      <c r="X153" s="130">
        <v>197.06410446559852</v>
      </c>
      <c r="Y153" s="272">
        <v>0.27</v>
      </c>
      <c r="Z153" s="270">
        <v>0.27</v>
      </c>
      <c r="AA153" s="270">
        <v>0.27</v>
      </c>
      <c r="AB153" s="270">
        <v>0.27</v>
      </c>
      <c r="AC153" s="270">
        <v>0.27</v>
      </c>
      <c r="AD153" s="270">
        <v>0.27</v>
      </c>
      <c r="AE153" s="270">
        <v>0.27</v>
      </c>
      <c r="AF153" s="271">
        <f t="shared" si="33"/>
        <v>0.26</v>
      </c>
      <c r="AG153" s="356"/>
      <c r="AK153" s="358"/>
      <c r="DG153" s="1063">
        <f t="shared" si="34"/>
        <v>0.14263247025822734</v>
      </c>
      <c r="DH153" s="673" t="str">
        <f t="shared" si="41"/>
        <v>Building Shell RES 30 Year EUL</v>
      </c>
      <c r="DI153" s="556">
        <f>(INDEX('Avoided Cost Benefits'!$B$4:$B$865,MATCH(DH153,'Avoided Cost Benefits'!$A$4:$A$865,0)))*F153</f>
        <v>0.48841651274000003</v>
      </c>
      <c r="DJ153" s="1176">
        <f t="shared" si="35"/>
        <v>3.424301015440256</v>
      </c>
    </row>
    <row r="154" spans="2:114">
      <c r="B154" s="1454">
        <f t="shared" si="29"/>
        <v>402050</v>
      </c>
      <c r="C154" s="692" t="s">
        <v>2816</v>
      </c>
      <c r="D154" s="1894" t="s">
        <v>1800</v>
      </c>
      <c r="E154" s="128" t="s">
        <v>2817</v>
      </c>
      <c r="F154" s="89">
        <f t="shared" si="30"/>
        <v>1.76</v>
      </c>
      <c r="G154" s="139" t="s">
        <v>1380</v>
      </c>
      <c r="H154" s="69">
        <f>VLOOKUP(G154,'CP FACTORS'!$A$3:$B$38, 2, FALSE)</f>
        <v>4.6608050000000002E-4</v>
      </c>
      <c r="I154" s="1456">
        <f t="shared" si="31"/>
        <v>1.5643514149156821</v>
      </c>
      <c r="J154" s="1550">
        <f t="shared" si="32"/>
        <v>0.19505593799999998</v>
      </c>
      <c r="K154" s="1488">
        <f t="shared" si="36"/>
        <v>8.1999999999999998E-4</v>
      </c>
      <c r="L154" s="1456">
        <f t="shared" si="37"/>
        <v>30</v>
      </c>
      <c r="M154" s="742">
        <f t="shared" si="38"/>
        <v>3.4243037974683546</v>
      </c>
      <c r="N154" s="336">
        <f t="shared" si="39"/>
        <v>1</v>
      </c>
      <c r="V154" s="356" t="str">
        <f t="shared" si="40"/>
        <v>kWh Annual Savings</v>
      </c>
      <c r="W154" s="87">
        <v>2245.5896824793513</v>
      </c>
      <c r="X154" s="130">
        <v>2245.5896824793513</v>
      </c>
      <c r="Y154" s="272">
        <v>2.0299999999999998</v>
      </c>
      <c r="Z154" s="270">
        <v>2.0299999999999998</v>
      </c>
      <c r="AA154" s="270">
        <v>2.0299999999999998</v>
      </c>
      <c r="AB154" s="270">
        <v>2.0299999999999998</v>
      </c>
      <c r="AC154" s="270">
        <v>2.0299999999999998</v>
      </c>
      <c r="AD154" s="270">
        <v>2.0299999999999998</v>
      </c>
      <c r="AE154" s="270">
        <v>2.0299999999999998</v>
      </c>
      <c r="AF154" s="271">
        <f t="shared" si="33"/>
        <v>1.76</v>
      </c>
      <c r="AG154" s="356"/>
      <c r="AK154" s="358"/>
      <c r="DG154" s="1063">
        <f t="shared" si="34"/>
        <v>0.96551132194647349</v>
      </c>
      <c r="DH154" s="673" t="str">
        <f t="shared" si="41"/>
        <v>Building Shell RES 30 Year EUL</v>
      </c>
      <c r="DI154" s="556">
        <f>(INDEX('Avoided Cost Benefits'!$B$4:$B$865,MATCH(DH154,'Avoided Cost Benefits'!$A$4:$A$865,0)))*F154</f>
        <v>3.3062040862400002</v>
      </c>
      <c r="DJ154" s="1176">
        <f t="shared" si="35"/>
        <v>3.4243037974683546</v>
      </c>
    </row>
    <row r="155" spans="2:114">
      <c r="B155" s="1454">
        <f t="shared" si="29"/>
        <v>402100</v>
      </c>
      <c r="C155" s="692" t="s">
        <v>2818</v>
      </c>
      <c r="D155" s="1894" t="s">
        <v>1800</v>
      </c>
      <c r="E155" s="132" t="s">
        <v>2819</v>
      </c>
      <c r="F155" s="89">
        <f t="shared" si="30"/>
        <v>1.18</v>
      </c>
      <c r="G155" s="139" t="s">
        <v>1380</v>
      </c>
      <c r="H155" s="69">
        <f>VLOOKUP(G155,'CP FACTORS'!$A$3:$B$38, 2, FALSE)</f>
        <v>4.6608050000000002E-4</v>
      </c>
      <c r="I155" s="1456">
        <f t="shared" si="31"/>
        <v>0.96564902155289012</v>
      </c>
      <c r="J155" s="538">
        <f t="shared" si="32"/>
        <v>0.21434718461538455</v>
      </c>
      <c r="K155" s="1488">
        <f t="shared" si="36"/>
        <v>5.5000000000000003E-4</v>
      </c>
      <c r="L155" s="1456">
        <f t="shared" si="37"/>
        <v>30</v>
      </c>
      <c r="M155" s="742">
        <f t="shared" si="38"/>
        <v>3.4243037974683546</v>
      </c>
      <c r="N155" s="336">
        <f t="shared" si="39"/>
        <v>1</v>
      </c>
      <c r="V155" s="356" t="str">
        <f t="shared" si="40"/>
        <v>kWh Annual Savings</v>
      </c>
      <c r="W155" s="87">
        <v>1399.815013813575</v>
      </c>
      <c r="X155" s="130">
        <v>1399.815013813575</v>
      </c>
      <c r="Y155" s="272">
        <v>1.27</v>
      </c>
      <c r="Z155" s="270">
        <v>1.27</v>
      </c>
      <c r="AA155" s="270">
        <v>1.27</v>
      </c>
      <c r="AB155" s="270">
        <v>1.27</v>
      </c>
      <c r="AC155" s="270">
        <v>1.27</v>
      </c>
      <c r="AD155" s="270">
        <v>1.27</v>
      </c>
      <c r="AE155" s="270">
        <v>1.27</v>
      </c>
      <c r="AF155" s="271">
        <f t="shared" si="33"/>
        <v>1.18</v>
      </c>
      <c r="AG155" s="356"/>
      <c r="AK155" s="358"/>
      <c r="DG155" s="1063">
        <f t="shared" si="34"/>
        <v>0.64733145448684015</v>
      </c>
      <c r="DH155" s="673" t="str">
        <f t="shared" si="41"/>
        <v>Building Shell RES 30 Year EUL</v>
      </c>
      <c r="DI155" s="556">
        <f>(INDEX('Avoided Cost Benefits'!$B$4:$B$865,MATCH(DH155,'Avoided Cost Benefits'!$A$4:$A$865,0)))*F155</f>
        <v>2.2166595578199999</v>
      </c>
      <c r="DJ155" s="1176">
        <f t="shared" si="35"/>
        <v>3.4243037974683546</v>
      </c>
    </row>
    <row r="156" spans="2:114">
      <c r="B156" s="1454">
        <f t="shared" si="29"/>
        <v>402150</v>
      </c>
      <c r="C156" s="692" t="s">
        <v>2820</v>
      </c>
      <c r="D156" s="1894" t="s">
        <v>1800</v>
      </c>
      <c r="E156" s="128" t="s">
        <v>2821</v>
      </c>
      <c r="F156" s="89">
        <f t="shared" si="30"/>
        <v>0.26</v>
      </c>
      <c r="G156" s="139" t="s">
        <v>1380</v>
      </c>
      <c r="H156" s="69">
        <f>VLOOKUP(G156,'CP FACTORS'!$A$3:$B$38, 2, FALSE)</f>
        <v>4.6608050000000002E-4</v>
      </c>
      <c r="I156" s="336">
        <f t="shared" si="31"/>
        <v>6.9164343898837688E-2</v>
      </c>
      <c r="J156" s="1550">
        <f t="shared" si="32"/>
        <v>0.19505593799999998</v>
      </c>
      <c r="K156" s="1488">
        <f t="shared" si="36"/>
        <v>1.21E-4</v>
      </c>
      <c r="L156" s="1456">
        <f t="shared" si="37"/>
        <v>30</v>
      </c>
      <c r="M156" s="742">
        <f t="shared" si="38"/>
        <v>3.4243037974683546</v>
      </c>
      <c r="N156" s="336">
        <f t="shared" si="39"/>
        <v>1</v>
      </c>
      <c r="V156" s="356" t="str">
        <f t="shared" si="40"/>
        <v>kWh Annual Savings</v>
      </c>
      <c r="W156" s="87">
        <v>303.1755453316901</v>
      </c>
      <c r="X156" s="130">
        <v>303.1755453316901</v>
      </c>
      <c r="Y156" s="272">
        <v>0.27</v>
      </c>
      <c r="Z156" s="270">
        <v>0.27</v>
      </c>
      <c r="AA156" s="270">
        <v>0.27</v>
      </c>
      <c r="AB156" s="270">
        <v>0.27</v>
      </c>
      <c r="AC156" s="270">
        <v>0.27</v>
      </c>
      <c r="AD156" s="270">
        <v>0.27</v>
      </c>
      <c r="AE156" s="270">
        <v>0.27</v>
      </c>
      <c r="AF156" s="271">
        <f t="shared" si="33"/>
        <v>0.26</v>
      </c>
      <c r="AG156" s="356"/>
      <c r="AK156" s="358"/>
      <c r="DG156" s="1064">
        <f t="shared" si="34"/>
        <v>0.14263235437845631</v>
      </c>
      <c r="DH156" s="673" t="str">
        <f t="shared" si="41"/>
        <v>Building Shell RES 30 Year EUL</v>
      </c>
      <c r="DI156" s="1072">
        <f>(INDEX('Avoided Cost Benefits'!$B$4:$B$865,MATCH(DH156,'Avoided Cost Benefits'!$A$4:$A$865,0)))*F156</f>
        <v>0.48841651274000003</v>
      </c>
      <c r="DJ156" s="1175">
        <f t="shared" si="35"/>
        <v>3.4243037974683546</v>
      </c>
    </row>
    <row r="157" spans="2:114" hidden="1" outlineLevel="1">
      <c r="B157" s="281"/>
      <c r="C157" s="281"/>
      <c r="D157" s="77" t="s">
        <v>118</v>
      </c>
      <c r="E157" s="1598" t="s">
        <v>2822</v>
      </c>
      <c r="F157" s="281"/>
      <c r="G157" s="281"/>
      <c r="H157" s="281"/>
      <c r="I157" s="281"/>
      <c r="J157" s="281"/>
      <c r="K157" s="281"/>
      <c r="L157" s="281"/>
      <c r="M157" s="589"/>
      <c r="N157" s="590"/>
      <c r="V157" s="1530"/>
      <c r="W157" s="454"/>
      <c r="X157" s="455"/>
      <c r="Y157" s="456"/>
      <c r="Z157" s="1530"/>
      <c r="AA157" s="1530"/>
      <c r="AB157" s="1530"/>
      <c r="AC157" s="1530"/>
      <c r="AD157" s="1530"/>
      <c r="AE157" s="1530"/>
      <c r="AF157" s="1530"/>
      <c r="AG157" s="1530"/>
      <c r="AK157" s="358"/>
    </row>
    <row r="158" spans="2:114" hidden="1" outlineLevel="1">
      <c r="B158" s="281"/>
      <c r="C158" s="281"/>
      <c r="D158" s="77" t="s">
        <v>963</v>
      </c>
      <c r="E158" s="133" t="s">
        <v>2823</v>
      </c>
      <c r="F158" s="281"/>
      <c r="G158" s="281"/>
      <c r="H158" s="281"/>
      <c r="I158" s="281"/>
      <c r="J158" s="281"/>
      <c r="K158" s="281"/>
      <c r="L158" s="281"/>
      <c r="Y158" s="539" t="s">
        <v>2759</v>
      </c>
      <c r="AK158" s="358"/>
    </row>
    <row r="159" spans="2:114" hidden="1" outlineLevel="1">
      <c r="B159" s="281"/>
      <c r="C159" s="281"/>
      <c r="D159" s="77" t="s">
        <v>963</v>
      </c>
      <c r="E159" s="133" t="s">
        <v>2824</v>
      </c>
      <c r="F159" s="281"/>
      <c r="G159" s="281"/>
      <c r="H159" s="281"/>
      <c r="I159" s="281"/>
      <c r="J159" s="281"/>
      <c r="K159" s="281"/>
      <c r="L159" s="281"/>
      <c r="AK159" s="358"/>
    </row>
    <row r="160" spans="2:114" hidden="1" outlineLevel="1">
      <c r="B160" s="281"/>
      <c r="C160" s="281"/>
      <c r="D160" s="77"/>
      <c r="E160" s="133" t="s">
        <v>966</v>
      </c>
      <c r="F160" s="281"/>
      <c r="G160" s="281"/>
      <c r="H160" s="281"/>
      <c r="I160" s="281"/>
      <c r="J160" s="281"/>
      <c r="K160" s="281"/>
      <c r="L160" s="281"/>
      <c r="AK160" s="358"/>
    </row>
    <row r="161" spans="2:37" hidden="1" outlineLevel="1">
      <c r="B161" s="281"/>
      <c r="C161" s="281"/>
      <c r="D161" s="281"/>
      <c r="E161" s="281"/>
      <c r="F161" s="281"/>
      <c r="G161" s="281"/>
      <c r="H161" s="281"/>
      <c r="I161" s="281"/>
      <c r="J161" s="281"/>
      <c r="K161" s="281"/>
      <c r="L161" s="281"/>
      <c r="AK161" s="358"/>
    </row>
    <row r="162" spans="2:37" hidden="1" outlineLevel="1">
      <c r="B162" s="579"/>
      <c r="C162" s="281"/>
      <c r="D162" s="1443" t="s">
        <v>1078</v>
      </c>
      <c r="E162" s="1443" t="s">
        <v>967</v>
      </c>
      <c r="F162" s="1371" t="s">
        <v>969</v>
      </c>
      <c r="G162" s="1371" t="s">
        <v>970</v>
      </c>
      <c r="H162" s="1371" t="s">
        <v>1079</v>
      </c>
      <c r="V162" s="668" t="s">
        <v>52</v>
      </c>
      <c r="W162" s="669">
        <f>W$6</f>
        <v>43252</v>
      </c>
      <c r="X162" s="669">
        <f t="shared" ref="X162:AG162" si="42">X$6</f>
        <v>43465</v>
      </c>
      <c r="Y162" s="115">
        <f t="shared" si="42"/>
        <v>43800</v>
      </c>
      <c r="Z162" s="669">
        <f t="shared" si="42"/>
        <v>43862</v>
      </c>
      <c r="AA162" s="669">
        <f t="shared" si="42"/>
        <v>44013</v>
      </c>
      <c r="AB162" s="669">
        <f t="shared" si="42"/>
        <v>44166</v>
      </c>
      <c r="AC162" s="669">
        <f t="shared" si="42"/>
        <v>44531</v>
      </c>
      <c r="AD162" s="669">
        <f t="shared" si="42"/>
        <v>44774</v>
      </c>
      <c r="AE162" s="669">
        <f t="shared" si="42"/>
        <v>45139</v>
      </c>
      <c r="AF162" s="669">
        <f t="shared" si="42"/>
        <v>45672</v>
      </c>
      <c r="AG162" s="669" t="str">
        <f t="shared" si="42"/>
        <v>-</v>
      </c>
      <c r="AK162" s="358"/>
    </row>
    <row r="163" spans="2:37" hidden="1" outlineLevel="1">
      <c r="B163" s="579"/>
      <c r="C163" s="281"/>
      <c r="D163" s="4171" t="s">
        <v>353</v>
      </c>
      <c r="E163" s="128" t="s">
        <v>2763</v>
      </c>
      <c r="F163" s="525">
        <v>1</v>
      </c>
      <c r="G163" s="1407"/>
      <c r="H163" s="1430"/>
      <c r="V163" s="4424" t="str">
        <f>D163</f>
        <v>%ElectricHeat</v>
      </c>
      <c r="W163" s="287">
        <v>1</v>
      </c>
      <c r="X163" s="287">
        <v>1</v>
      </c>
      <c r="Y163" s="287">
        <v>1</v>
      </c>
      <c r="Z163" s="313">
        <v>1</v>
      </c>
      <c r="AA163" s="313">
        <v>1</v>
      </c>
      <c r="AB163" s="313">
        <v>1</v>
      </c>
      <c r="AC163" s="313">
        <v>1</v>
      </c>
      <c r="AD163" s="313">
        <v>1</v>
      </c>
      <c r="AE163" s="313">
        <v>1</v>
      </c>
      <c r="AF163" s="271">
        <f t="shared" ref="AF163:AF226" si="43">IF(F163&lt;&gt;"",F163,"")</f>
        <v>1</v>
      </c>
      <c r="AG163" s="287"/>
      <c r="AK163" s="358"/>
    </row>
    <row r="164" spans="2:37" hidden="1" outlineLevel="1">
      <c r="B164" s="579"/>
      <c r="C164" s="281"/>
      <c r="D164" s="4171"/>
      <c r="E164" s="128" t="s">
        <v>2765</v>
      </c>
      <c r="F164" s="525">
        <v>1</v>
      </c>
      <c r="G164" s="1407"/>
      <c r="H164" s="1430"/>
      <c r="V164" s="4425"/>
      <c r="W164" s="287">
        <v>1</v>
      </c>
      <c r="X164" s="287">
        <v>1</v>
      </c>
      <c r="Y164" s="287">
        <v>1</v>
      </c>
      <c r="Z164" s="313">
        <v>1</v>
      </c>
      <c r="AA164" s="313">
        <v>1</v>
      </c>
      <c r="AB164" s="313">
        <v>1</v>
      </c>
      <c r="AC164" s="313">
        <v>1</v>
      </c>
      <c r="AD164" s="313">
        <v>1</v>
      </c>
      <c r="AE164" s="313">
        <v>1</v>
      </c>
      <c r="AF164" s="271">
        <f t="shared" si="43"/>
        <v>1</v>
      </c>
      <c r="AG164" s="287"/>
      <c r="AK164" s="358"/>
    </row>
    <row r="165" spans="2:37" hidden="1" outlineLevel="1">
      <c r="B165" s="579"/>
      <c r="C165" s="281"/>
      <c r="D165" s="4171"/>
      <c r="E165" s="128" t="s">
        <v>2767</v>
      </c>
      <c r="F165" s="525">
        <v>0</v>
      </c>
      <c r="G165" s="1407"/>
      <c r="H165" s="1430"/>
      <c r="V165" s="4425"/>
      <c r="W165" s="287">
        <v>0</v>
      </c>
      <c r="X165" s="287">
        <v>0</v>
      </c>
      <c r="Y165" s="287">
        <v>0</v>
      </c>
      <c r="Z165" s="313">
        <v>0</v>
      </c>
      <c r="AA165" s="313">
        <v>0</v>
      </c>
      <c r="AB165" s="313">
        <v>0</v>
      </c>
      <c r="AC165" s="313">
        <v>0</v>
      </c>
      <c r="AD165" s="313">
        <v>0</v>
      </c>
      <c r="AE165" s="313">
        <v>0</v>
      </c>
      <c r="AF165" s="271">
        <f t="shared" si="43"/>
        <v>0</v>
      </c>
      <c r="AG165" s="287"/>
      <c r="AK165" s="358"/>
    </row>
    <row r="166" spans="2:37" hidden="1" outlineLevel="1">
      <c r="B166" s="579"/>
      <c r="C166" s="281"/>
      <c r="D166" s="4171"/>
      <c r="E166" s="128" t="s">
        <v>2769</v>
      </c>
      <c r="F166" s="525">
        <v>1</v>
      </c>
      <c r="G166" s="1407"/>
      <c r="H166" s="1430"/>
      <c r="V166" s="4425"/>
      <c r="W166" s="287">
        <v>1</v>
      </c>
      <c r="X166" s="287">
        <v>1</v>
      </c>
      <c r="Y166" s="287">
        <v>1</v>
      </c>
      <c r="Z166" s="313">
        <v>1</v>
      </c>
      <c r="AA166" s="313">
        <v>1</v>
      </c>
      <c r="AB166" s="313">
        <v>1</v>
      </c>
      <c r="AC166" s="313">
        <v>1</v>
      </c>
      <c r="AD166" s="313">
        <v>1</v>
      </c>
      <c r="AE166" s="313">
        <v>1</v>
      </c>
      <c r="AF166" s="271">
        <f t="shared" si="43"/>
        <v>1</v>
      </c>
      <c r="AG166" s="287"/>
      <c r="AK166" s="358"/>
    </row>
    <row r="167" spans="2:37" hidden="1" outlineLevel="1">
      <c r="B167" s="579"/>
      <c r="C167" s="281"/>
      <c r="D167" s="4171"/>
      <c r="E167" s="128" t="s">
        <v>2771</v>
      </c>
      <c r="F167" s="525">
        <v>1</v>
      </c>
      <c r="G167" s="1407"/>
      <c r="H167" s="1430"/>
      <c r="V167" s="4425"/>
      <c r="W167" s="287">
        <v>1</v>
      </c>
      <c r="X167" s="287">
        <v>1</v>
      </c>
      <c r="Y167" s="287">
        <v>1</v>
      </c>
      <c r="Z167" s="313">
        <v>1</v>
      </c>
      <c r="AA167" s="313">
        <v>1</v>
      </c>
      <c r="AB167" s="313">
        <v>1</v>
      </c>
      <c r="AC167" s="313">
        <v>1</v>
      </c>
      <c r="AD167" s="313">
        <v>1</v>
      </c>
      <c r="AE167" s="313">
        <v>1</v>
      </c>
      <c r="AF167" s="271">
        <f t="shared" si="43"/>
        <v>1</v>
      </c>
      <c r="AG167" s="287"/>
      <c r="AK167" s="358"/>
    </row>
    <row r="168" spans="2:37" hidden="1" outlineLevel="1">
      <c r="B168" s="588"/>
      <c r="C168" s="281"/>
      <c r="D168" s="4171"/>
      <c r="E168" s="128" t="s">
        <v>2773</v>
      </c>
      <c r="F168" s="525">
        <v>0</v>
      </c>
      <c r="G168" s="1407"/>
      <c r="H168" s="1430"/>
      <c r="V168" s="4425"/>
      <c r="W168" s="287">
        <v>0</v>
      </c>
      <c r="X168" s="287">
        <v>0</v>
      </c>
      <c r="Y168" s="287">
        <v>0</v>
      </c>
      <c r="Z168" s="313">
        <v>0</v>
      </c>
      <c r="AA168" s="313">
        <v>0</v>
      </c>
      <c r="AB168" s="313">
        <v>0</v>
      </c>
      <c r="AC168" s="313">
        <v>0</v>
      </c>
      <c r="AD168" s="313">
        <v>0</v>
      </c>
      <c r="AE168" s="313">
        <v>0</v>
      </c>
      <c r="AF168" s="271">
        <f t="shared" si="43"/>
        <v>0</v>
      </c>
      <c r="AG168" s="287"/>
      <c r="AK168" s="358"/>
    </row>
    <row r="169" spans="2:37" hidden="1" outlineLevel="1">
      <c r="B169" s="588"/>
      <c r="C169" s="281"/>
      <c r="D169" s="4171"/>
      <c r="E169" s="128" t="s">
        <v>2775</v>
      </c>
      <c r="F169" s="525">
        <v>1</v>
      </c>
      <c r="G169" s="1407"/>
      <c r="H169" s="1430"/>
      <c r="V169" s="4425"/>
      <c r="W169" s="287">
        <v>1</v>
      </c>
      <c r="X169" s="287">
        <v>1</v>
      </c>
      <c r="Y169" s="287">
        <v>1</v>
      </c>
      <c r="Z169" s="313">
        <v>1</v>
      </c>
      <c r="AA169" s="313">
        <v>1</v>
      </c>
      <c r="AB169" s="313">
        <v>1</v>
      </c>
      <c r="AC169" s="313">
        <v>1</v>
      </c>
      <c r="AD169" s="313">
        <v>1</v>
      </c>
      <c r="AE169" s="313">
        <v>1</v>
      </c>
      <c r="AF169" s="271">
        <f t="shared" si="43"/>
        <v>1</v>
      </c>
      <c r="AG169" s="287"/>
      <c r="AK169" s="358"/>
    </row>
    <row r="170" spans="2:37" hidden="1" outlineLevel="1">
      <c r="B170" s="588"/>
      <c r="C170" s="281"/>
      <c r="D170" s="4171"/>
      <c r="E170" s="128" t="s">
        <v>2777</v>
      </c>
      <c r="F170" s="525">
        <v>1</v>
      </c>
      <c r="G170" s="1407"/>
      <c r="H170" s="1430"/>
      <c r="V170" s="4425"/>
      <c r="W170" s="287">
        <v>1</v>
      </c>
      <c r="X170" s="287">
        <v>1</v>
      </c>
      <c r="Y170" s="287">
        <v>1</v>
      </c>
      <c r="Z170" s="313">
        <v>1</v>
      </c>
      <c r="AA170" s="313">
        <v>1</v>
      </c>
      <c r="AB170" s="313">
        <v>1</v>
      </c>
      <c r="AC170" s="313">
        <v>1</v>
      </c>
      <c r="AD170" s="313">
        <v>1</v>
      </c>
      <c r="AE170" s="313">
        <v>1</v>
      </c>
      <c r="AF170" s="271">
        <f t="shared" si="43"/>
        <v>1</v>
      </c>
      <c r="AG170" s="287"/>
      <c r="AK170" s="358"/>
    </row>
    <row r="171" spans="2:37" hidden="1" outlineLevel="1">
      <c r="B171" s="588"/>
      <c r="C171" s="281"/>
      <c r="D171" s="4171"/>
      <c r="E171" s="128" t="s">
        <v>2779</v>
      </c>
      <c r="F171" s="525">
        <v>0</v>
      </c>
      <c r="G171" s="1407"/>
      <c r="H171" s="1430"/>
      <c r="V171" s="4425"/>
      <c r="W171" s="287">
        <v>0</v>
      </c>
      <c r="X171" s="287">
        <v>0</v>
      </c>
      <c r="Y171" s="287">
        <v>0</v>
      </c>
      <c r="Z171" s="313">
        <v>0</v>
      </c>
      <c r="AA171" s="313">
        <v>0</v>
      </c>
      <c r="AB171" s="313">
        <v>0</v>
      </c>
      <c r="AC171" s="313">
        <v>0</v>
      </c>
      <c r="AD171" s="313">
        <v>0</v>
      </c>
      <c r="AE171" s="313">
        <v>0</v>
      </c>
      <c r="AF171" s="271">
        <f t="shared" si="43"/>
        <v>0</v>
      </c>
      <c r="AG171" s="287"/>
      <c r="AK171" s="358"/>
    </row>
    <row r="172" spans="2:37" hidden="1" outlineLevel="1">
      <c r="B172" s="588"/>
      <c r="C172" s="281"/>
      <c r="D172" s="4171"/>
      <c r="E172" s="128" t="s">
        <v>2781</v>
      </c>
      <c r="F172" s="525">
        <v>1</v>
      </c>
      <c r="G172" s="1407"/>
      <c r="H172" s="1430"/>
      <c r="V172" s="4425"/>
      <c r="W172" s="287">
        <v>1</v>
      </c>
      <c r="X172" s="287">
        <v>1</v>
      </c>
      <c r="Y172" s="287">
        <v>1</v>
      </c>
      <c r="Z172" s="313">
        <v>1</v>
      </c>
      <c r="AA172" s="313">
        <v>1</v>
      </c>
      <c r="AB172" s="313">
        <v>1</v>
      </c>
      <c r="AC172" s="313">
        <v>1</v>
      </c>
      <c r="AD172" s="313">
        <v>1</v>
      </c>
      <c r="AE172" s="313">
        <v>1</v>
      </c>
      <c r="AF172" s="271">
        <f t="shared" si="43"/>
        <v>1</v>
      </c>
      <c r="AG172" s="287"/>
      <c r="AK172" s="358"/>
    </row>
    <row r="173" spans="2:37" hidden="1" outlineLevel="1">
      <c r="B173" s="588"/>
      <c r="C173" s="281"/>
      <c r="D173" s="4171"/>
      <c r="E173" s="128" t="s">
        <v>2783</v>
      </c>
      <c r="F173" s="525">
        <v>1</v>
      </c>
      <c r="G173" s="1407"/>
      <c r="H173" s="1430"/>
      <c r="V173" s="4425"/>
      <c r="W173" s="287">
        <v>1</v>
      </c>
      <c r="X173" s="287">
        <v>1</v>
      </c>
      <c r="Y173" s="287">
        <v>1</v>
      </c>
      <c r="Z173" s="313">
        <v>1</v>
      </c>
      <c r="AA173" s="313">
        <v>1</v>
      </c>
      <c r="AB173" s="313">
        <v>1</v>
      </c>
      <c r="AC173" s="313">
        <v>1</v>
      </c>
      <c r="AD173" s="313">
        <v>1</v>
      </c>
      <c r="AE173" s="313">
        <v>1</v>
      </c>
      <c r="AF173" s="271">
        <f t="shared" si="43"/>
        <v>1</v>
      </c>
      <c r="AG173" s="287"/>
      <c r="AK173" s="358"/>
    </row>
    <row r="174" spans="2:37" hidden="1" outlineLevel="1">
      <c r="B174" s="588"/>
      <c r="C174" s="281"/>
      <c r="D174" s="4171"/>
      <c r="E174" s="128" t="s">
        <v>2785</v>
      </c>
      <c r="F174" s="525">
        <v>0</v>
      </c>
      <c r="G174" s="1407"/>
      <c r="H174" s="1430"/>
      <c r="V174" s="4425"/>
      <c r="W174" s="287">
        <v>0</v>
      </c>
      <c r="X174" s="287">
        <v>0</v>
      </c>
      <c r="Y174" s="287">
        <v>0</v>
      </c>
      <c r="Z174" s="313">
        <v>0</v>
      </c>
      <c r="AA174" s="313">
        <v>0</v>
      </c>
      <c r="AB174" s="313">
        <v>0</v>
      </c>
      <c r="AC174" s="313">
        <v>0</v>
      </c>
      <c r="AD174" s="313">
        <v>0</v>
      </c>
      <c r="AE174" s="313">
        <v>0</v>
      </c>
      <c r="AF174" s="271">
        <f t="shared" si="43"/>
        <v>0</v>
      </c>
      <c r="AG174" s="287"/>
      <c r="AK174" s="358"/>
    </row>
    <row r="175" spans="2:37" hidden="1" outlineLevel="1">
      <c r="B175" s="588"/>
      <c r="C175" s="281"/>
      <c r="D175" s="4171"/>
      <c r="E175" s="128" t="s">
        <v>2787</v>
      </c>
      <c r="F175" s="525">
        <v>1</v>
      </c>
      <c r="G175" s="1407"/>
      <c r="H175" s="1430"/>
      <c r="V175" s="4425"/>
      <c r="W175" s="287">
        <v>1</v>
      </c>
      <c r="X175" s="287">
        <v>1</v>
      </c>
      <c r="Y175" s="287">
        <v>1</v>
      </c>
      <c r="Z175" s="313">
        <v>1</v>
      </c>
      <c r="AA175" s="313">
        <v>1</v>
      </c>
      <c r="AB175" s="313">
        <v>1</v>
      </c>
      <c r="AC175" s="313">
        <v>1</v>
      </c>
      <c r="AD175" s="313">
        <v>1</v>
      </c>
      <c r="AE175" s="313">
        <v>1</v>
      </c>
      <c r="AF175" s="271">
        <f t="shared" si="43"/>
        <v>1</v>
      </c>
      <c r="AG175" s="287"/>
      <c r="AK175" s="358"/>
    </row>
    <row r="176" spans="2:37" hidden="1" outlineLevel="1">
      <c r="B176" s="579"/>
      <c r="C176" s="281"/>
      <c r="D176" s="4171"/>
      <c r="E176" s="128" t="s">
        <v>2789</v>
      </c>
      <c r="F176" s="525">
        <v>1</v>
      </c>
      <c r="G176" s="1407"/>
      <c r="H176" s="1430"/>
      <c r="V176" s="4425"/>
      <c r="W176" s="287">
        <v>1</v>
      </c>
      <c r="X176" s="287">
        <v>1</v>
      </c>
      <c r="Y176" s="287">
        <v>1</v>
      </c>
      <c r="Z176" s="313">
        <v>1</v>
      </c>
      <c r="AA176" s="313">
        <v>1</v>
      </c>
      <c r="AB176" s="313">
        <v>1</v>
      </c>
      <c r="AC176" s="313">
        <v>1</v>
      </c>
      <c r="AD176" s="313">
        <v>1</v>
      </c>
      <c r="AE176" s="313">
        <v>1</v>
      </c>
      <c r="AF176" s="271">
        <f t="shared" si="43"/>
        <v>1</v>
      </c>
      <c r="AG176" s="287"/>
      <c r="AK176" s="358"/>
    </row>
    <row r="177" spans="2:37" hidden="1" outlineLevel="1">
      <c r="B177" s="579"/>
      <c r="C177" s="281"/>
      <c r="D177" s="4171"/>
      <c r="E177" s="128" t="s">
        <v>2791</v>
      </c>
      <c r="F177" s="525">
        <v>0</v>
      </c>
      <c r="G177" s="1407"/>
      <c r="H177" s="1430"/>
      <c r="V177" s="4425"/>
      <c r="W177" s="287">
        <v>0</v>
      </c>
      <c r="X177" s="287">
        <v>0</v>
      </c>
      <c r="Y177" s="287">
        <v>0</v>
      </c>
      <c r="Z177" s="313">
        <v>0</v>
      </c>
      <c r="AA177" s="313">
        <v>0</v>
      </c>
      <c r="AB177" s="313">
        <v>0</v>
      </c>
      <c r="AC177" s="313">
        <v>0</v>
      </c>
      <c r="AD177" s="313">
        <v>0</v>
      </c>
      <c r="AE177" s="313">
        <v>0</v>
      </c>
      <c r="AF177" s="271">
        <f t="shared" si="43"/>
        <v>0</v>
      </c>
      <c r="AG177" s="287"/>
      <c r="AK177" s="358"/>
    </row>
    <row r="178" spans="2:37" hidden="1" outlineLevel="1">
      <c r="B178" s="579"/>
      <c r="C178" s="281"/>
      <c r="D178" s="4171"/>
      <c r="E178" s="128" t="s">
        <v>2793</v>
      </c>
      <c r="F178" s="525">
        <v>1</v>
      </c>
      <c r="G178" s="1407"/>
      <c r="H178" s="1430"/>
      <c r="V178" s="4425"/>
      <c r="W178" s="287">
        <v>1</v>
      </c>
      <c r="X178" s="287">
        <v>1</v>
      </c>
      <c r="Y178" s="287">
        <v>1</v>
      </c>
      <c r="Z178" s="313">
        <v>1</v>
      </c>
      <c r="AA178" s="313">
        <v>1</v>
      </c>
      <c r="AB178" s="313">
        <v>1</v>
      </c>
      <c r="AC178" s="313">
        <v>1</v>
      </c>
      <c r="AD178" s="313">
        <v>1</v>
      </c>
      <c r="AE178" s="313">
        <v>1</v>
      </c>
      <c r="AF178" s="271">
        <f t="shared" si="43"/>
        <v>1</v>
      </c>
      <c r="AG178" s="287"/>
      <c r="AK178" s="358"/>
    </row>
    <row r="179" spans="2:37" hidden="1" outlineLevel="1">
      <c r="B179" s="588"/>
      <c r="C179" s="281"/>
      <c r="D179" s="4171"/>
      <c r="E179" s="128" t="s">
        <v>2795</v>
      </c>
      <c r="F179" s="525">
        <v>1</v>
      </c>
      <c r="G179" s="1407"/>
      <c r="H179" s="1430"/>
      <c r="V179" s="4425"/>
      <c r="W179" s="287">
        <v>1</v>
      </c>
      <c r="X179" s="287">
        <v>1</v>
      </c>
      <c r="Y179" s="287">
        <v>1</v>
      </c>
      <c r="Z179" s="313">
        <v>1</v>
      </c>
      <c r="AA179" s="313">
        <v>1</v>
      </c>
      <c r="AB179" s="313">
        <v>1</v>
      </c>
      <c r="AC179" s="313">
        <v>1</v>
      </c>
      <c r="AD179" s="313">
        <v>1</v>
      </c>
      <c r="AE179" s="313">
        <v>1</v>
      </c>
      <c r="AF179" s="271">
        <f t="shared" si="43"/>
        <v>1</v>
      </c>
      <c r="AG179" s="287"/>
      <c r="AK179" s="358"/>
    </row>
    <row r="180" spans="2:37" hidden="1" outlineLevel="1">
      <c r="B180" s="588"/>
      <c r="C180" s="281"/>
      <c r="D180" s="4171"/>
      <c r="E180" s="128" t="s">
        <v>2797</v>
      </c>
      <c r="F180" s="525">
        <v>0</v>
      </c>
      <c r="G180" s="1407"/>
      <c r="H180" s="1430"/>
      <c r="V180" s="4425"/>
      <c r="W180" s="287">
        <v>0</v>
      </c>
      <c r="X180" s="287">
        <v>0</v>
      </c>
      <c r="Y180" s="287">
        <v>0</v>
      </c>
      <c r="Z180" s="313">
        <v>0</v>
      </c>
      <c r="AA180" s="313">
        <v>0</v>
      </c>
      <c r="AB180" s="313">
        <v>0</v>
      </c>
      <c r="AC180" s="313">
        <v>0</v>
      </c>
      <c r="AD180" s="313">
        <v>0</v>
      </c>
      <c r="AE180" s="313">
        <v>0</v>
      </c>
      <c r="AF180" s="271">
        <f t="shared" si="43"/>
        <v>0</v>
      </c>
      <c r="AG180" s="287"/>
      <c r="AK180" s="358"/>
    </row>
    <row r="181" spans="2:37" hidden="1" outlineLevel="1">
      <c r="B181" s="588"/>
      <c r="C181" s="281"/>
      <c r="D181" s="4171"/>
      <c r="E181" s="128" t="s">
        <v>2799</v>
      </c>
      <c r="F181" s="525">
        <v>1</v>
      </c>
      <c r="G181" s="1407"/>
      <c r="H181" s="1430"/>
      <c r="V181" s="4425"/>
      <c r="W181" s="287">
        <v>1</v>
      </c>
      <c r="X181" s="287">
        <v>1</v>
      </c>
      <c r="Y181" s="287">
        <v>1</v>
      </c>
      <c r="Z181" s="313">
        <v>1</v>
      </c>
      <c r="AA181" s="313">
        <v>1</v>
      </c>
      <c r="AB181" s="313">
        <v>1</v>
      </c>
      <c r="AC181" s="313">
        <v>1</v>
      </c>
      <c r="AD181" s="313">
        <v>1</v>
      </c>
      <c r="AE181" s="313">
        <v>1</v>
      </c>
      <c r="AF181" s="271">
        <f t="shared" si="43"/>
        <v>1</v>
      </c>
      <c r="AG181" s="287"/>
      <c r="AK181" s="358"/>
    </row>
    <row r="182" spans="2:37" hidden="1" outlineLevel="1">
      <c r="B182" s="588"/>
      <c r="C182" s="281"/>
      <c r="D182" s="4171"/>
      <c r="E182" s="128" t="s">
        <v>2801</v>
      </c>
      <c r="F182" s="525">
        <v>1</v>
      </c>
      <c r="G182" s="1407"/>
      <c r="H182" s="1430"/>
      <c r="V182" s="4425"/>
      <c r="W182" s="287">
        <v>1</v>
      </c>
      <c r="X182" s="287">
        <v>1</v>
      </c>
      <c r="Y182" s="287">
        <v>1</v>
      </c>
      <c r="Z182" s="313">
        <v>1</v>
      </c>
      <c r="AA182" s="313">
        <v>1</v>
      </c>
      <c r="AB182" s="313">
        <v>1</v>
      </c>
      <c r="AC182" s="313">
        <v>1</v>
      </c>
      <c r="AD182" s="313">
        <v>1</v>
      </c>
      <c r="AE182" s="313">
        <v>1</v>
      </c>
      <c r="AF182" s="271">
        <f t="shared" si="43"/>
        <v>1</v>
      </c>
      <c r="AG182" s="287"/>
      <c r="AK182" s="358"/>
    </row>
    <row r="183" spans="2:37" hidden="1" outlineLevel="1">
      <c r="B183" s="588"/>
      <c r="C183" s="281"/>
      <c r="D183" s="4171"/>
      <c r="E183" s="128" t="s">
        <v>2803</v>
      </c>
      <c r="F183" s="525">
        <v>0</v>
      </c>
      <c r="G183" s="1407"/>
      <c r="H183" s="1430"/>
      <c r="V183" s="4425"/>
      <c r="W183" s="287">
        <v>0</v>
      </c>
      <c r="X183" s="287">
        <v>0</v>
      </c>
      <c r="Y183" s="287">
        <v>0</v>
      </c>
      <c r="Z183" s="313">
        <v>0</v>
      </c>
      <c r="AA183" s="313">
        <v>0</v>
      </c>
      <c r="AB183" s="313">
        <v>0</v>
      </c>
      <c r="AC183" s="313">
        <v>0</v>
      </c>
      <c r="AD183" s="313">
        <v>0</v>
      </c>
      <c r="AE183" s="313">
        <v>0</v>
      </c>
      <c r="AF183" s="271">
        <f t="shared" si="43"/>
        <v>0</v>
      </c>
      <c r="AG183" s="287"/>
      <c r="AK183" s="358"/>
    </row>
    <row r="184" spans="2:37" hidden="1" outlineLevel="1">
      <c r="B184" s="588"/>
      <c r="C184" s="281"/>
      <c r="D184" s="4171"/>
      <c r="E184" s="128" t="s">
        <v>2805</v>
      </c>
      <c r="F184" s="525">
        <v>1</v>
      </c>
      <c r="G184" s="1407"/>
      <c r="H184" s="1430"/>
      <c r="V184" s="4425"/>
      <c r="W184" s="287">
        <v>1</v>
      </c>
      <c r="X184" s="287">
        <v>1</v>
      </c>
      <c r="Y184" s="287">
        <v>1</v>
      </c>
      <c r="Z184" s="313">
        <v>1</v>
      </c>
      <c r="AA184" s="313">
        <v>1</v>
      </c>
      <c r="AB184" s="313">
        <v>1</v>
      </c>
      <c r="AC184" s="313">
        <v>1</v>
      </c>
      <c r="AD184" s="313">
        <v>1</v>
      </c>
      <c r="AE184" s="313">
        <v>1</v>
      </c>
      <c r="AF184" s="271">
        <f t="shared" si="43"/>
        <v>1</v>
      </c>
      <c r="AG184" s="287"/>
      <c r="AK184" s="358"/>
    </row>
    <row r="185" spans="2:37" hidden="1" outlineLevel="1">
      <c r="B185" s="588"/>
      <c r="C185" s="281"/>
      <c r="D185" s="4171"/>
      <c r="E185" s="128" t="s">
        <v>2807</v>
      </c>
      <c r="F185" s="525">
        <v>1</v>
      </c>
      <c r="G185" s="1407"/>
      <c r="H185" s="1430"/>
      <c r="V185" s="4425"/>
      <c r="W185" s="287">
        <v>1</v>
      </c>
      <c r="X185" s="287">
        <v>1</v>
      </c>
      <c r="Y185" s="287">
        <v>1</v>
      </c>
      <c r="Z185" s="313">
        <v>1</v>
      </c>
      <c r="AA185" s="313">
        <v>1</v>
      </c>
      <c r="AB185" s="313">
        <v>1</v>
      </c>
      <c r="AC185" s="313">
        <v>1</v>
      </c>
      <c r="AD185" s="313">
        <v>1</v>
      </c>
      <c r="AE185" s="313">
        <v>1</v>
      </c>
      <c r="AF185" s="271">
        <f t="shared" si="43"/>
        <v>1</v>
      </c>
      <c r="AG185" s="287"/>
      <c r="AK185" s="358"/>
    </row>
    <row r="186" spans="2:37" hidden="1" outlineLevel="1">
      <c r="B186" s="588"/>
      <c r="C186" s="281"/>
      <c r="D186" s="4171"/>
      <c r="E186" s="128" t="s">
        <v>2809</v>
      </c>
      <c r="F186" s="525">
        <v>0</v>
      </c>
      <c r="G186" s="1407"/>
      <c r="H186" s="1430"/>
      <c r="V186" s="4425"/>
      <c r="W186" s="287">
        <v>0</v>
      </c>
      <c r="X186" s="287">
        <v>0</v>
      </c>
      <c r="Y186" s="287">
        <v>0</v>
      </c>
      <c r="Z186" s="313">
        <v>0</v>
      </c>
      <c r="AA186" s="313">
        <v>0</v>
      </c>
      <c r="AB186" s="313">
        <v>0</v>
      </c>
      <c r="AC186" s="313">
        <v>0</v>
      </c>
      <c r="AD186" s="313">
        <v>0</v>
      </c>
      <c r="AE186" s="313">
        <v>0</v>
      </c>
      <c r="AF186" s="271">
        <f t="shared" si="43"/>
        <v>0</v>
      </c>
      <c r="AG186" s="287"/>
      <c r="AK186" s="358"/>
    </row>
    <row r="187" spans="2:37" hidden="1" outlineLevel="1">
      <c r="B187" s="588"/>
      <c r="C187" s="281"/>
      <c r="D187" s="4171"/>
      <c r="E187" s="128" t="s">
        <v>2811</v>
      </c>
      <c r="F187" s="525">
        <v>1</v>
      </c>
      <c r="G187" s="1407"/>
      <c r="H187" s="1430"/>
      <c r="V187" s="4425"/>
      <c r="W187" s="287">
        <v>1</v>
      </c>
      <c r="X187" s="287">
        <v>1</v>
      </c>
      <c r="Y187" s="287">
        <v>1</v>
      </c>
      <c r="Z187" s="313">
        <v>1</v>
      </c>
      <c r="AA187" s="313">
        <v>1</v>
      </c>
      <c r="AB187" s="313">
        <v>1</v>
      </c>
      <c r="AC187" s="313">
        <v>1</v>
      </c>
      <c r="AD187" s="313">
        <v>1</v>
      </c>
      <c r="AE187" s="313">
        <v>1</v>
      </c>
      <c r="AF187" s="271">
        <f t="shared" si="43"/>
        <v>1</v>
      </c>
      <c r="AG187" s="287"/>
      <c r="AK187" s="358"/>
    </row>
    <row r="188" spans="2:37" hidden="1" outlineLevel="1">
      <c r="B188" s="588"/>
      <c r="C188" s="281"/>
      <c r="D188" s="4171"/>
      <c r="E188" s="128" t="s">
        <v>2813</v>
      </c>
      <c r="F188" s="525">
        <v>1</v>
      </c>
      <c r="G188" s="1407"/>
      <c r="H188" s="1430"/>
      <c r="V188" s="4425"/>
      <c r="W188" s="287">
        <v>1</v>
      </c>
      <c r="X188" s="287">
        <v>1</v>
      </c>
      <c r="Y188" s="287">
        <v>1</v>
      </c>
      <c r="Z188" s="313">
        <v>1</v>
      </c>
      <c r="AA188" s="313">
        <v>1</v>
      </c>
      <c r="AB188" s="313">
        <v>1</v>
      </c>
      <c r="AC188" s="313">
        <v>1</v>
      </c>
      <c r="AD188" s="313">
        <v>1</v>
      </c>
      <c r="AE188" s="313">
        <v>1</v>
      </c>
      <c r="AF188" s="271">
        <f t="shared" si="43"/>
        <v>1</v>
      </c>
      <c r="AG188" s="287"/>
      <c r="AK188" s="358"/>
    </row>
    <row r="189" spans="2:37" hidden="1" outlineLevel="1">
      <c r="B189" s="588"/>
      <c r="C189" s="281"/>
      <c r="D189" s="4171"/>
      <c r="E189" s="128" t="s">
        <v>2815</v>
      </c>
      <c r="F189" s="525">
        <v>0</v>
      </c>
      <c r="G189" s="1407"/>
      <c r="H189" s="1430"/>
      <c r="V189" s="4425"/>
      <c r="W189" s="287">
        <v>0</v>
      </c>
      <c r="X189" s="287">
        <v>0</v>
      </c>
      <c r="Y189" s="287">
        <v>0</v>
      </c>
      <c r="Z189" s="313">
        <v>0</v>
      </c>
      <c r="AA189" s="313">
        <v>0</v>
      </c>
      <c r="AB189" s="313">
        <v>0</v>
      </c>
      <c r="AC189" s="313">
        <v>0</v>
      </c>
      <c r="AD189" s="313">
        <v>0</v>
      </c>
      <c r="AE189" s="313">
        <v>0</v>
      </c>
      <c r="AF189" s="271">
        <f t="shared" si="43"/>
        <v>0</v>
      </c>
      <c r="AG189" s="287"/>
      <c r="AK189" s="358"/>
    </row>
    <row r="190" spans="2:37" hidden="1" outlineLevel="1">
      <c r="B190" s="588"/>
      <c r="C190" s="281"/>
      <c r="D190" s="4171"/>
      <c r="E190" s="128" t="s">
        <v>2817</v>
      </c>
      <c r="F190" s="525">
        <v>1</v>
      </c>
      <c r="G190" s="1407"/>
      <c r="H190" s="1430"/>
      <c r="V190" s="4425"/>
      <c r="W190" s="287">
        <v>1</v>
      </c>
      <c r="X190" s="287">
        <v>1</v>
      </c>
      <c r="Y190" s="287">
        <v>1</v>
      </c>
      <c r="Z190" s="313">
        <v>1</v>
      </c>
      <c r="AA190" s="313">
        <v>1</v>
      </c>
      <c r="AB190" s="313">
        <v>1</v>
      </c>
      <c r="AC190" s="313">
        <v>1</v>
      </c>
      <c r="AD190" s="313">
        <v>1</v>
      </c>
      <c r="AE190" s="313">
        <v>1</v>
      </c>
      <c r="AF190" s="271">
        <f t="shared" si="43"/>
        <v>1</v>
      </c>
      <c r="AG190" s="287"/>
      <c r="AK190" s="358"/>
    </row>
    <row r="191" spans="2:37" hidden="1" outlineLevel="1">
      <c r="B191" s="588"/>
      <c r="C191" s="281"/>
      <c r="D191" s="4171"/>
      <c r="E191" s="128" t="s">
        <v>2819</v>
      </c>
      <c r="F191" s="525">
        <v>1</v>
      </c>
      <c r="G191" s="1407"/>
      <c r="H191" s="1430"/>
      <c r="V191" s="4425"/>
      <c r="W191" s="287">
        <v>1</v>
      </c>
      <c r="X191" s="287">
        <v>1</v>
      </c>
      <c r="Y191" s="287">
        <v>1</v>
      </c>
      <c r="Z191" s="313">
        <v>1</v>
      </c>
      <c r="AA191" s="313">
        <v>1</v>
      </c>
      <c r="AB191" s="313">
        <v>1</v>
      </c>
      <c r="AC191" s="313">
        <v>1</v>
      </c>
      <c r="AD191" s="313">
        <v>1</v>
      </c>
      <c r="AE191" s="313">
        <v>1</v>
      </c>
      <c r="AF191" s="271">
        <f t="shared" si="43"/>
        <v>1</v>
      </c>
      <c r="AG191" s="287"/>
      <c r="AK191" s="358"/>
    </row>
    <row r="192" spans="2:37" hidden="1" outlineLevel="1">
      <c r="B192" s="588"/>
      <c r="C192" s="281"/>
      <c r="D192" s="4171"/>
      <c r="E192" s="128" t="s">
        <v>2821</v>
      </c>
      <c r="F192" s="525">
        <v>0</v>
      </c>
      <c r="G192" s="1407"/>
      <c r="H192" s="1430"/>
      <c r="V192" s="4437"/>
      <c r="W192" s="287">
        <v>0</v>
      </c>
      <c r="X192" s="287">
        <v>0</v>
      </c>
      <c r="Y192" s="287">
        <v>0</v>
      </c>
      <c r="Z192" s="313">
        <v>0</v>
      </c>
      <c r="AA192" s="313">
        <v>0</v>
      </c>
      <c r="AB192" s="313">
        <v>0</v>
      </c>
      <c r="AC192" s="313">
        <v>0</v>
      </c>
      <c r="AD192" s="313">
        <v>0</v>
      </c>
      <c r="AE192" s="313">
        <v>0</v>
      </c>
      <c r="AF192" s="271">
        <f t="shared" si="43"/>
        <v>0</v>
      </c>
      <c r="AG192" s="287"/>
      <c r="AK192" s="358"/>
    </row>
    <row r="193" spans="2:37" ht="17.25" hidden="1" customHeight="1" outlineLevel="1">
      <c r="B193" s="579"/>
      <c r="C193" s="281"/>
      <c r="D193" s="4171" t="s">
        <v>2825</v>
      </c>
      <c r="E193" s="128" t="s">
        <v>2763</v>
      </c>
      <c r="F193" s="1690">
        <v>11</v>
      </c>
      <c r="G193" s="1407"/>
      <c r="H193" s="1430" t="s">
        <v>2826</v>
      </c>
      <c r="V193" s="4424" t="str">
        <f>D193</f>
        <v>Rold</v>
      </c>
      <c r="W193" s="279">
        <v>11</v>
      </c>
      <c r="X193" s="279">
        <v>11</v>
      </c>
      <c r="Y193" s="279">
        <v>11</v>
      </c>
      <c r="Z193" s="444">
        <v>11</v>
      </c>
      <c r="AA193" s="444">
        <v>11</v>
      </c>
      <c r="AB193" s="444">
        <v>11</v>
      </c>
      <c r="AC193" s="444">
        <v>11</v>
      </c>
      <c r="AD193" s="444">
        <v>11</v>
      </c>
      <c r="AE193" s="444">
        <v>11</v>
      </c>
      <c r="AF193" s="271">
        <f t="shared" si="43"/>
        <v>11</v>
      </c>
      <c r="AG193" s="279"/>
      <c r="AK193" s="358"/>
    </row>
    <row r="194" spans="2:37" hidden="1" outlineLevel="1">
      <c r="B194" s="579"/>
      <c r="C194" s="281"/>
      <c r="D194" s="4171"/>
      <c r="E194" s="128" t="s">
        <v>2765</v>
      </c>
      <c r="F194" s="1690">
        <v>11</v>
      </c>
      <c r="G194" s="1407"/>
      <c r="H194" s="1430" t="s">
        <v>2826</v>
      </c>
      <c r="V194" s="4425"/>
      <c r="W194" s="279">
        <v>11</v>
      </c>
      <c r="X194" s="279">
        <v>11</v>
      </c>
      <c r="Y194" s="279">
        <v>11</v>
      </c>
      <c r="Z194" s="444">
        <v>11</v>
      </c>
      <c r="AA194" s="444">
        <v>11</v>
      </c>
      <c r="AB194" s="444">
        <v>11</v>
      </c>
      <c r="AC194" s="444">
        <v>11</v>
      </c>
      <c r="AD194" s="444">
        <v>11</v>
      </c>
      <c r="AE194" s="444">
        <v>11</v>
      </c>
      <c r="AF194" s="271">
        <f t="shared" si="43"/>
        <v>11</v>
      </c>
      <c r="AG194" s="279"/>
      <c r="AK194" s="358"/>
    </row>
    <row r="195" spans="2:37" hidden="1" outlineLevel="1">
      <c r="B195" s="579"/>
      <c r="C195" s="281"/>
      <c r="D195" s="4171"/>
      <c r="E195" s="128" t="s">
        <v>2767</v>
      </c>
      <c r="F195" s="1690">
        <v>11</v>
      </c>
      <c r="G195" s="1407"/>
      <c r="H195" s="1430" t="s">
        <v>2826</v>
      </c>
      <c r="V195" s="4425"/>
      <c r="W195" s="279">
        <v>11</v>
      </c>
      <c r="X195" s="279">
        <v>11</v>
      </c>
      <c r="Y195" s="279">
        <v>11</v>
      </c>
      <c r="Z195" s="444">
        <v>11</v>
      </c>
      <c r="AA195" s="444">
        <v>11</v>
      </c>
      <c r="AB195" s="444">
        <v>11</v>
      </c>
      <c r="AC195" s="444">
        <v>11</v>
      </c>
      <c r="AD195" s="444">
        <v>11</v>
      </c>
      <c r="AE195" s="444">
        <v>11</v>
      </c>
      <c r="AF195" s="271">
        <f t="shared" si="43"/>
        <v>11</v>
      </c>
      <c r="AG195" s="279"/>
      <c r="AK195" s="358"/>
    </row>
    <row r="196" spans="2:37" hidden="1" outlineLevel="1">
      <c r="B196" s="579"/>
      <c r="C196" s="281"/>
      <c r="D196" s="4171"/>
      <c r="E196" s="128" t="s">
        <v>2769</v>
      </c>
      <c r="F196" s="1690">
        <v>11</v>
      </c>
      <c r="G196" s="1407"/>
      <c r="H196" s="1430" t="s">
        <v>2826</v>
      </c>
      <c r="V196" s="4425"/>
      <c r="W196" s="279">
        <v>11</v>
      </c>
      <c r="X196" s="279">
        <v>11</v>
      </c>
      <c r="Y196" s="279">
        <v>11</v>
      </c>
      <c r="Z196" s="444">
        <v>11</v>
      </c>
      <c r="AA196" s="444">
        <v>11</v>
      </c>
      <c r="AB196" s="444">
        <v>11</v>
      </c>
      <c r="AC196" s="444">
        <v>11</v>
      </c>
      <c r="AD196" s="444">
        <v>11</v>
      </c>
      <c r="AE196" s="444">
        <v>11</v>
      </c>
      <c r="AF196" s="271">
        <f t="shared" si="43"/>
        <v>11</v>
      </c>
      <c r="AG196" s="279"/>
      <c r="AK196" s="358"/>
    </row>
    <row r="197" spans="2:37" hidden="1" outlineLevel="1">
      <c r="B197" s="579"/>
      <c r="C197" s="281"/>
      <c r="D197" s="4171"/>
      <c r="E197" s="128" t="s">
        <v>2771</v>
      </c>
      <c r="F197" s="1690">
        <v>11</v>
      </c>
      <c r="G197" s="1407"/>
      <c r="H197" s="1430" t="s">
        <v>2826</v>
      </c>
      <c r="V197" s="4425"/>
      <c r="W197" s="279">
        <v>11</v>
      </c>
      <c r="X197" s="279">
        <v>11</v>
      </c>
      <c r="Y197" s="279">
        <v>11</v>
      </c>
      <c r="Z197" s="444">
        <v>11</v>
      </c>
      <c r="AA197" s="444">
        <v>11</v>
      </c>
      <c r="AB197" s="444">
        <v>11</v>
      </c>
      <c r="AC197" s="444">
        <v>11</v>
      </c>
      <c r="AD197" s="444">
        <v>11</v>
      </c>
      <c r="AE197" s="444">
        <v>11</v>
      </c>
      <c r="AF197" s="271">
        <f t="shared" si="43"/>
        <v>11</v>
      </c>
      <c r="AG197" s="279"/>
      <c r="AK197" s="358"/>
    </row>
    <row r="198" spans="2:37" hidden="1" outlineLevel="1">
      <c r="B198" s="588"/>
      <c r="C198" s="281"/>
      <c r="D198" s="4171"/>
      <c r="E198" s="128" t="s">
        <v>2773</v>
      </c>
      <c r="F198" s="1690">
        <v>11</v>
      </c>
      <c r="G198" s="1407"/>
      <c r="H198" s="1430" t="s">
        <v>2826</v>
      </c>
      <c r="V198" s="4425"/>
      <c r="W198" s="279">
        <v>11</v>
      </c>
      <c r="X198" s="279">
        <v>11</v>
      </c>
      <c r="Y198" s="279">
        <v>11</v>
      </c>
      <c r="Z198" s="444">
        <v>11</v>
      </c>
      <c r="AA198" s="444">
        <v>11</v>
      </c>
      <c r="AB198" s="444">
        <v>11</v>
      </c>
      <c r="AC198" s="444">
        <v>11</v>
      </c>
      <c r="AD198" s="444">
        <v>11</v>
      </c>
      <c r="AE198" s="444">
        <v>11</v>
      </c>
      <c r="AF198" s="271">
        <f t="shared" si="43"/>
        <v>11</v>
      </c>
      <c r="AG198" s="279"/>
      <c r="AK198" s="358"/>
    </row>
    <row r="199" spans="2:37" hidden="1" outlineLevel="1">
      <c r="B199" s="588"/>
      <c r="C199" s="281"/>
      <c r="D199" s="4171"/>
      <c r="E199" s="128" t="s">
        <v>2775</v>
      </c>
      <c r="F199" s="1690">
        <v>5</v>
      </c>
      <c r="G199" s="1407"/>
      <c r="H199" s="1430" t="s">
        <v>2826</v>
      </c>
      <c r="V199" s="4425"/>
      <c r="W199" s="279">
        <v>5</v>
      </c>
      <c r="X199" s="279">
        <v>5</v>
      </c>
      <c r="Y199" s="279">
        <v>5</v>
      </c>
      <c r="Z199" s="444">
        <v>5</v>
      </c>
      <c r="AA199" s="444">
        <v>5</v>
      </c>
      <c r="AB199" s="444">
        <v>5</v>
      </c>
      <c r="AC199" s="444">
        <v>5</v>
      </c>
      <c r="AD199" s="444">
        <v>5</v>
      </c>
      <c r="AE199" s="444">
        <v>5</v>
      </c>
      <c r="AF199" s="271">
        <f t="shared" si="43"/>
        <v>5</v>
      </c>
      <c r="AG199" s="279"/>
      <c r="AK199" s="358"/>
    </row>
    <row r="200" spans="2:37" hidden="1" outlineLevel="1">
      <c r="B200" s="588"/>
      <c r="C200" s="281"/>
      <c r="D200" s="4171"/>
      <c r="E200" s="128" t="s">
        <v>2777</v>
      </c>
      <c r="F200" s="1690">
        <v>5</v>
      </c>
      <c r="G200" s="1407"/>
      <c r="H200" s="1430" t="s">
        <v>2826</v>
      </c>
      <c r="V200" s="4425"/>
      <c r="W200" s="279">
        <v>5</v>
      </c>
      <c r="X200" s="279">
        <v>5</v>
      </c>
      <c r="Y200" s="279">
        <v>5</v>
      </c>
      <c r="Z200" s="444">
        <v>5</v>
      </c>
      <c r="AA200" s="444">
        <v>5</v>
      </c>
      <c r="AB200" s="444">
        <v>5</v>
      </c>
      <c r="AC200" s="444">
        <v>5</v>
      </c>
      <c r="AD200" s="444">
        <v>5</v>
      </c>
      <c r="AE200" s="444">
        <v>5</v>
      </c>
      <c r="AF200" s="271">
        <f t="shared" si="43"/>
        <v>5</v>
      </c>
      <c r="AG200" s="279"/>
      <c r="AK200" s="358"/>
    </row>
    <row r="201" spans="2:37" hidden="1" outlineLevel="1">
      <c r="B201" s="588"/>
      <c r="C201" s="281"/>
      <c r="D201" s="4171"/>
      <c r="E201" s="128" t="s">
        <v>2779</v>
      </c>
      <c r="F201" s="1690">
        <v>5</v>
      </c>
      <c r="G201" s="1407"/>
      <c r="H201" s="1430" t="s">
        <v>2826</v>
      </c>
      <c r="V201" s="4425"/>
      <c r="W201" s="279">
        <v>5</v>
      </c>
      <c r="X201" s="279">
        <v>5</v>
      </c>
      <c r="Y201" s="279">
        <v>5</v>
      </c>
      <c r="Z201" s="444">
        <v>5</v>
      </c>
      <c r="AA201" s="444">
        <v>5</v>
      </c>
      <c r="AB201" s="444">
        <v>5</v>
      </c>
      <c r="AC201" s="444">
        <v>5</v>
      </c>
      <c r="AD201" s="444">
        <v>5</v>
      </c>
      <c r="AE201" s="444">
        <v>5</v>
      </c>
      <c r="AF201" s="271">
        <f t="shared" si="43"/>
        <v>5</v>
      </c>
      <c r="AG201" s="279"/>
      <c r="AK201" s="358"/>
    </row>
    <row r="202" spans="2:37" hidden="1" outlineLevel="1">
      <c r="B202" s="588"/>
      <c r="C202" s="281"/>
      <c r="D202" s="4171"/>
      <c r="E202" s="128" t="s">
        <v>2781</v>
      </c>
      <c r="F202" s="1690">
        <v>5</v>
      </c>
      <c r="G202" s="1407"/>
      <c r="H202" s="1430" t="s">
        <v>2826</v>
      </c>
      <c r="V202" s="4425"/>
      <c r="W202" s="279">
        <v>5</v>
      </c>
      <c r="X202" s="279">
        <v>5</v>
      </c>
      <c r="Y202" s="279">
        <v>5</v>
      </c>
      <c r="Z202" s="444">
        <v>5</v>
      </c>
      <c r="AA202" s="444">
        <v>5</v>
      </c>
      <c r="AB202" s="444">
        <v>5</v>
      </c>
      <c r="AC202" s="444">
        <v>5</v>
      </c>
      <c r="AD202" s="444">
        <v>5</v>
      </c>
      <c r="AE202" s="444">
        <v>5</v>
      </c>
      <c r="AF202" s="271">
        <f t="shared" si="43"/>
        <v>5</v>
      </c>
      <c r="AG202" s="279"/>
      <c r="AK202" s="358"/>
    </row>
    <row r="203" spans="2:37" hidden="1" outlineLevel="1">
      <c r="B203" s="588"/>
      <c r="C203" s="281"/>
      <c r="D203" s="4171"/>
      <c r="E203" s="128" t="s">
        <v>2783</v>
      </c>
      <c r="F203" s="1690">
        <v>5</v>
      </c>
      <c r="G203" s="1407"/>
      <c r="H203" s="1430" t="s">
        <v>2826</v>
      </c>
      <c r="V203" s="4425"/>
      <c r="W203" s="279">
        <v>5</v>
      </c>
      <c r="X203" s="279">
        <v>5</v>
      </c>
      <c r="Y203" s="279">
        <v>5</v>
      </c>
      <c r="Z203" s="444">
        <v>5</v>
      </c>
      <c r="AA203" s="444">
        <v>5</v>
      </c>
      <c r="AB203" s="444">
        <v>5</v>
      </c>
      <c r="AC203" s="444">
        <v>5</v>
      </c>
      <c r="AD203" s="444">
        <v>5</v>
      </c>
      <c r="AE203" s="444">
        <v>5</v>
      </c>
      <c r="AF203" s="271">
        <f t="shared" si="43"/>
        <v>5</v>
      </c>
      <c r="AG203" s="279"/>
      <c r="AK203" s="358"/>
    </row>
    <row r="204" spans="2:37" hidden="1" outlineLevel="1">
      <c r="B204" s="588"/>
      <c r="C204" s="281"/>
      <c r="D204" s="4171"/>
      <c r="E204" s="128" t="s">
        <v>2785</v>
      </c>
      <c r="F204" s="1690">
        <v>5</v>
      </c>
      <c r="G204" s="1407"/>
      <c r="H204" s="1430" t="s">
        <v>2826</v>
      </c>
      <c r="V204" s="4425"/>
      <c r="W204" s="279">
        <v>5</v>
      </c>
      <c r="X204" s="279">
        <v>5</v>
      </c>
      <c r="Y204" s="279">
        <v>5</v>
      </c>
      <c r="Z204" s="444">
        <v>5</v>
      </c>
      <c r="AA204" s="444">
        <v>5</v>
      </c>
      <c r="AB204" s="444">
        <v>5</v>
      </c>
      <c r="AC204" s="444">
        <v>5</v>
      </c>
      <c r="AD204" s="444">
        <v>5</v>
      </c>
      <c r="AE204" s="444">
        <v>5</v>
      </c>
      <c r="AF204" s="271">
        <f t="shared" si="43"/>
        <v>5</v>
      </c>
      <c r="AG204" s="279"/>
      <c r="AK204" s="358"/>
    </row>
    <row r="205" spans="2:37" hidden="1" outlineLevel="1">
      <c r="B205" s="588"/>
      <c r="C205" s="281"/>
      <c r="D205" s="4171"/>
      <c r="E205" s="128" t="s">
        <v>2787</v>
      </c>
      <c r="F205" s="1690">
        <v>5</v>
      </c>
      <c r="G205" s="1407"/>
      <c r="H205" s="1430" t="s">
        <v>2826</v>
      </c>
      <c r="V205" s="4425"/>
      <c r="W205" s="279">
        <v>5</v>
      </c>
      <c r="X205" s="279">
        <v>5</v>
      </c>
      <c r="Y205" s="279">
        <v>5</v>
      </c>
      <c r="Z205" s="444">
        <v>5</v>
      </c>
      <c r="AA205" s="444">
        <v>5</v>
      </c>
      <c r="AB205" s="444">
        <v>5</v>
      </c>
      <c r="AC205" s="444">
        <v>5</v>
      </c>
      <c r="AD205" s="444">
        <v>5</v>
      </c>
      <c r="AE205" s="444">
        <v>5</v>
      </c>
      <c r="AF205" s="271">
        <f t="shared" si="43"/>
        <v>5</v>
      </c>
      <c r="AG205" s="279"/>
      <c r="AK205" s="358"/>
    </row>
    <row r="206" spans="2:37" hidden="1" outlineLevel="1">
      <c r="B206" s="579"/>
      <c r="C206" s="281"/>
      <c r="D206" s="4171"/>
      <c r="E206" s="128" t="s">
        <v>2789</v>
      </c>
      <c r="F206" s="1690">
        <v>5</v>
      </c>
      <c r="G206" s="1407"/>
      <c r="H206" s="1430" t="s">
        <v>2826</v>
      </c>
      <c r="V206" s="4425"/>
      <c r="W206" s="279">
        <v>5</v>
      </c>
      <c r="X206" s="279">
        <v>5</v>
      </c>
      <c r="Y206" s="279">
        <v>5</v>
      </c>
      <c r="Z206" s="444">
        <v>5</v>
      </c>
      <c r="AA206" s="444">
        <v>5</v>
      </c>
      <c r="AB206" s="444">
        <v>5</v>
      </c>
      <c r="AC206" s="444">
        <v>5</v>
      </c>
      <c r="AD206" s="444">
        <v>5</v>
      </c>
      <c r="AE206" s="444">
        <v>5</v>
      </c>
      <c r="AF206" s="271">
        <f t="shared" si="43"/>
        <v>5</v>
      </c>
      <c r="AG206" s="279"/>
      <c r="AK206" s="358"/>
    </row>
    <row r="207" spans="2:37" hidden="1" outlineLevel="1">
      <c r="B207" s="579"/>
      <c r="C207" s="281"/>
      <c r="D207" s="4171"/>
      <c r="E207" s="128" t="s">
        <v>2791</v>
      </c>
      <c r="F207" s="1690">
        <v>5</v>
      </c>
      <c r="G207" s="1407"/>
      <c r="H207" s="1430" t="s">
        <v>2826</v>
      </c>
      <c r="V207" s="4425"/>
      <c r="W207" s="279">
        <v>5</v>
      </c>
      <c r="X207" s="279">
        <v>5</v>
      </c>
      <c r="Y207" s="279">
        <v>5</v>
      </c>
      <c r="Z207" s="444">
        <v>5</v>
      </c>
      <c r="AA207" s="444">
        <v>5</v>
      </c>
      <c r="AB207" s="444">
        <v>5</v>
      </c>
      <c r="AC207" s="444">
        <v>5</v>
      </c>
      <c r="AD207" s="444">
        <v>5</v>
      </c>
      <c r="AE207" s="444">
        <v>5</v>
      </c>
      <c r="AF207" s="271">
        <f t="shared" si="43"/>
        <v>5</v>
      </c>
      <c r="AG207" s="279"/>
      <c r="AK207" s="358"/>
    </row>
    <row r="208" spans="2:37" hidden="1" outlineLevel="1">
      <c r="B208" s="579"/>
      <c r="C208" s="281"/>
      <c r="D208" s="4171"/>
      <c r="E208" s="128" t="s">
        <v>2793</v>
      </c>
      <c r="F208" s="1690">
        <v>5</v>
      </c>
      <c r="G208" s="1407"/>
      <c r="H208" s="1430" t="s">
        <v>2826</v>
      </c>
      <c r="V208" s="4425"/>
      <c r="W208" s="279">
        <v>5</v>
      </c>
      <c r="X208" s="279">
        <v>5</v>
      </c>
      <c r="Y208" s="279">
        <v>5</v>
      </c>
      <c r="Z208" s="444">
        <v>5</v>
      </c>
      <c r="AA208" s="444">
        <v>5</v>
      </c>
      <c r="AB208" s="444">
        <v>5</v>
      </c>
      <c r="AC208" s="444">
        <v>5</v>
      </c>
      <c r="AD208" s="444">
        <v>5</v>
      </c>
      <c r="AE208" s="444">
        <v>5</v>
      </c>
      <c r="AF208" s="271">
        <f t="shared" si="43"/>
        <v>5</v>
      </c>
      <c r="AG208" s="279"/>
      <c r="AK208" s="358"/>
    </row>
    <row r="209" spans="2:37" hidden="1" outlineLevel="1">
      <c r="B209" s="588"/>
      <c r="C209" s="281"/>
      <c r="D209" s="4171"/>
      <c r="E209" s="128" t="s">
        <v>2795</v>
      </c>
      <c r="F209" s="1690">
        <v>5</v>
      </c>
      <c r="G209" s="1407"/>
      <c r="H209" s="1430" t="s">
        <v>2826</v>
      </c>
      <c r="V209" s="4425"/>
      <c r="W209" s="279">
        <v>5</v>
      </c>
      <c r="X209" s="279">
        <v>5</v>
      </c>
      <c r="Y209" s="279">
        <v>5</v>
      </c>
      <c r="Z209" s="444">
        <v>5</v>
      </c>
      <c r="AA209" s="444">
        <v>5</v>
      </c>
      <c r="AB209" s="444">
        <v>5</v>
      </c>
      <c r="AC209" s="444">
        <v>5</v>
      </c>
      <c r="AD209" s="444">
        <v>5</v>
      </c>
      <c r="AE209" s="444">
        <v>5</v>
      </c>
      <c r="AF209" s="271">
        <f t="shared" si="43"/>
        <v>5</v>
      </c>
      <c r="AG209" s="279"/>
      <c r="AK209" s="358"/>
    </row>
    <row r="210" spans="2:37" hidden="1" outlineLevel="1">
      <c r="B210" s="588"/>
      <c r="C210" s="281"/>
      <c r="D210" s="4171"/>
      <c r="E210" s="128" t="s">
        <v>2797</v>
      </c>
      <c r="F210" s="1690">
        <v>5</v>
      </c>
      <c r="G210" s="1407"/>
      <c r="H210" s="1430" t="s">
        <v>2826</v>
      </c>
      <c r="V210" s="4425"/>
      <c r="W210" s="279">
        <v>5</v>
      </c>
      <c r="X210" s="279">
        <v>5</v>
      </c>
      <c r="Y210" s="279">
        <v>5</v>
      </c>
      <c r="Z210" s="444">
        <v>5</v>
      </c>
      <c r="AA210" s="444">
        <v>5</v>
      </c>
      <c r="AB210" s="444">
        <v>5</v>
      </c>
      <c r="AC210" s="444">
        <v>5</v>
      </c>
      <c r="AD210" s="444">
        <v>5</v>
      </c>
      <c r="AE210" s="444">
        <v>5</v>
      </c>
      <c r="AF210" s="271">
        <f t="shared" si="43"/>
        <v>5</v>
      </c>
      <c r="AG210" s="279"/>
      <c r="AK210" s="358"/>
    </row>
    <row r="211" spans="2:37" hidden="1" outlineLevel="1">
      <c r="B211" s="588"/>
      <c r="C211" s="281"/>
      <c r="D211" s="4171"/>
      <c r="E211" s="128" t="s">
        <v>2799</v>
      </c>
      <c r="F211" s="1690">
        <v>5</v>
      </c>
      <c r="G211" s="1407"/>
      <c r="H211" s="1430" t="s">
        <v>2826</v>
      </c>
      <c r="V211" s="4425"/>
      <c r="W211" s="279">
        <v>5</v>
      </c>
      <c r="X211" s="279">
        <v>5</v>
      </c>
      <c r="Y211" s="279">
        <v>5</v>
      </c>
      <c r="Z211" s="444">
        <v>5</v>
      </c>
      <c r="AA211" s="444">
        <v>5</v>
      </c>
      <c r="AB211" s="444">
        <v>5</v>
      </c>
      <c r="AC211" s="444">
        <v>5</v>
      </c>
      <c r="AD211" s="444">
        <v>5</v>
      </c>
      <c r="AE211" s="444">
        <v>5</v>
      </c>
      <c r="AF211" s="271">
        <f t="shared" si="43"/>
        <v>5</v>
      </c>
      <c r="AG211" s="279"/>
      <c r="AK211" s="358"/>
    </row>
    <row r="212" spans="2:37" hidden="1" outlineLevel="1">
      <c r="B212" s="588"/>
      <c r="C212" s="281"/>
      <c r="D212" s="4171"/>
      <c r="E212" s="128" t="s">
        <v>2801</v>
      </c>
      <c r="F212" s="1690">
        <v>5</v>
      </c>
      <c r="G212" s="1407"/>
      <c r="H212" s="1430" t="s">
        <v>2826</v>
      </c>
      <c r="V212" s="4425"/>
      <c r="W212" s="279">
        <v>5</v>
      </c>
      <c r="X212" s="279">
        <v>5</v>
      </c>
      <c r="Y212" s="279">
        <v>5</v>
      </c>
      <c r="Z212" s="444">
        <v>5</v>
      </c>
      <c r="AA212" s="444">
        <v>5</v>
      </c>
      <c r="AB212" s="444">
        <v>5</v>
      </c>
      <c r="AC212" s="444">
        <v>5</v>
      </c>
      <c r="AD212" s="444">
        <v>5</v>
      </c>
      <c r="AE212" s="444">
        <v>5</v>
      </c>
      <c r="AF212" s="271">
        <f t="shared" si="43"/>
        <v>5</v>
      </c>
      <c r="AG212" s="279"/>
      <c r="AK212" s="358"/>
    </row>
    <row r="213" spans="2:37" hidden="1" outlineLevel="1">
      <c r="B213" s="588"/>
      <c r="C213" s="281"/>
      <c r="D213" s="4171"/>
      <c r="E213" s="128" t="s">
        <v>2803</v>
      </c>
      <c r="F213" s="1690">
        <v>5</v>
      </c>
      <c r="G213" s="1407"/>
      <c r="H213" s="1430" t="s">
        <v>2826</v>
      </c>
      <c r="V213" s="4425"/>
      <c r="W213" s="279">
        <v>5</v>
      </c>
      <c r="X213" s="279">
        <v>5</v>
      </c>
      <c r="Y213" s="279">
        <v>5</v>
      </c>
      <c r="Z213" s="444">
        <v>5</v>
      </c>
      <c r="AA213" s="444">
        <v>5</v>
      </c>
      <c r="AB213" s="444">
        <v>5</v>
      </c>
      <c r="AC213" s="444">
        <v>5</v>
      </c>
      <c r="AD213" s="444">
        <v>5</v>
      </c>
      <c r="AE213" s="444">
        <v>5</v>
      </c>
      <c r="AF213" s="271">
        <f t="shared" si="43"/>
        <v>5</v>
      </c>
      <c r="AG213" s="279"/>
      <c r="AK213" s="358"/>
    </row>
    <row r="214" spans="2:37" hidden="1" outlineLevel="1">
      <c r="B214" s="588"/>
      <c r="C214" s="281"/>
      <c r="D214" s="4171"/>
      <c r="E214" s="128" t="s">
        <v>2805</v>
      </c>
      <c r="F214" s="1690">
        <v>5</v>
      </c>
      <c r="G214" s="1407"/>
      <c r="H214" s="1430" t="s">
        <v>2826</v>
      </c>
      <c r="V214" s="4425"/>
      <c r="W214" s="279">
        <v>5</v>
      </c>
      <c r="X214" s="279">
        <v>5</v>
      </c>
      <c r="Y214" s="279">
        <v>5</v>
      </c>
      <c r="Z214" s="444">
        <v>5</v>
      </c>
      <c r="AA214" s="444">
        <v>5</v>
      </c>
      <c r="AB214" s="444">
        <v>5</v>
      </c>
      <c r="AC214" s="444">
        <v>5</v>
      </c>
      <c r="AD214" s="444">
        <v>5</v>
      </c>
      <c r="AE214" s="444">
        <v>5</v>
      </c>
      <c r="AF214" s="271">
        <f t="shared" si="43"/>
        <v>5</v>
      </c>
      <c r="AG214" s="279"/>
      <c r="AK214" s="358"/>
    </row>
    <row r="215" spans="2:37" hidden="1" outlineLevel="1">
      <c r="B215" s="588"/>
      <c r="C215" s="281"/>
      <c r="D215" s="4171"/>
      <c r="E215" s="128" t="s">
        <v>2807</v>
      </c>
      <c r="F215" s="1690">
        <v>5</v>
      </c>
      <c r="G215" s="1407"/>
      <c r="H215" s="1430" t="s">
        <v>2826</v>
      </c>
      <c r="V215" s="4425"/>
      <c r="W215" s="279">
        <v>5</v>
      </c>
      <c r="X215" s="279">
        <v>5</v>
      </c>
      <c r="Y215" s="279">
        <v>5</v>
      </c>
      <c r="Z215" s="444">
        <v>5</v>
      </c>
      <c r="AA215" s="444">
        <v>5</v>
      </c>
      <c r="AB215" s="444">
        <v>5</v>
      </c>
      <c r="AC215" s="444">
        <v>5</v>
      </c>
      <c r="AD215" s="444">
        <v>5</v>
      </c>
      <c r="AE215" s="444">
        <v>5</v>
      </c>
      <c r="AF215" s="271">
        <f t="shared" si="43"/>
        <v>5</v>
      </c>
      <c r="AG215" s="279"/>
      <c r="AK215" s="358"/>
    </row>
    <row r="216" spans="2:37" hidden="1" outlineLevel="1">
      <c r="B216" s="588"/>
      <c r="C216" s="281"/>
      <c r="D216" s="4171"/>
      <c r="E216" s="128" t="s">
        <v>2809</v>
      </c>
      <c r="F216" s="1690">
        <v>5</v>
      </c>
      <c r="G216" s="1407"/>
      <c r="H216" s="1430" t="s">
        <v>2826</v>
      </c>
      <c r="V216" s="4425"/>
      <c r="W216" s="279">
        <v>5</v>
      </c>
      <c r="X216" s="279">
        <v>5</v>
      </c>
      <c r="Y216" s="279">
        <v>5</v>
      </c>
      <c r="Z216" s="444">
        <v>5</v>
      </c>
      <c r="AA216" s="444">
        <v>5</v>
      </c>
      <c r="AB216" s="444">
        <v>5</v>
      </c>
      <c r="AC216" s="444">
        <v>5</v>
      </c>
      <c r="AD216" s="444">
        <v>5</v>
      </c>
      <c r="AE216" s="444">
        <v>5</v>
      </c>
      <c r="AF216" s="271">
        <f t="shared" si="43"/>
        <v>5</v>
      </c>
      <c r="AG216" s="279"/>
      <c r="AK216" s="358"/>
    </row>
    <row r="217" spans="2:37" hidden="1" outlineLevel="1">
      <c r="B217" s="588"/>
      <c r="C217" s="281"/>
      <c r="D217" s="4171"/>
      <c r="E217" s="128" t="s">
        <v>2811</v>
      </c>
      <c r="F217" s="1690">
        <v>5</v>
      </c>
      <c r="G217" s="1407"/>
      <c r="H217" s="1430" t="s">
        <v>2826</v>
      </c>
      <c r="V217" s="4425"/>
      <c r="W217" s="279">
        <v>5</v>
      </c>
      <c r="X217" s="279">
        <v>5</v>
      </c>
      <c r="Y217" s="279">
        <v>5</v>
      </c>
      <c r="Z217" s="444">
        <v>5</v>
      </c>
      <c r="AA217" s="444">
        <v>5</v>
      </c>
      <c r="AB217" s="444">
        <v>5</v>
      </c>
      <c r="AC217" s="444">
        <v>5</v>
      </c>
      <c r="AD217" s="444">
        <v>5</v>
      </c>
      <c r="AE217" s="444">
        <v>5</v>
      </c>
      <c r="AF217" s="271">
        <f t="shared" si="43"/>
        <v>5</v>
      </c>
      <c r="AG217" s="279"/>
      <c r="AK217" s="358"/>
    </row>
    <row r="218" spans="2:37" hidden="1" outlineLevel="1">
      <c r="B218" s="588"/>
      <c r="C218" s="281"/>
      <c r="D218" s="4171"/>
      <c r="E218" s="128" t="s">
        <v>2813</v>
      </c>
      <c r="F218" s="1690">
        <v>5</v>
      </c>
      <c r="G218" s="1407"/>
      <c r="H218" s="1430" t="s">
        <v>2826</v>
      </c>
      <c r="V218" s="4425"/>
      <c r="W218" s="279">
        <v>5</v>
      </c>
      <c r="X218" s="279">
        <v>5</v>
      </c>
      <c r="Y218" s="279">
        <v>5</v>
      </c>
      <c r="Z218" s="444">
        <v>5</v>
      </c>
      <c r="AA218" s="444">
        <v>5</v>
      </c>
      <c r="AB218" s="444">
        <v>5</v>
      </c>
      <c r="AC218" s="444">
        <v>5</v>
      </c>
      <c r="AD218" s="444">
        <v>5</v>
      </c>
      <c r="AE218" s="444">
        <v>5</v>
      </c>
      <c r="AF218" s="271">
        <f t="shared" si="43"/>
        <v>5</v>
      </c>
      <c r="AG218" s="279"/>
      <c r="AK218" s="358"/>
    </row>
    <row r="219" spans="2:37" hidden="1" outlineLevel="1">
      <c r="B219" s="588"/>
      <c r="C219" s="281"/>
      <c r="D219" s="4171"/>
      <c r="E219" s="128" t="s">
        <v>2815</v>
      </c>
      <c r="F219" s="1690">
        <v>5</v>
      </c>
      <c r="G219" s="1407"/>
      <c r="H219" s="1430" t="s">
        <v>2826</v>
      </c>
      <c r="V219" s="4425"/>
      <c r="W219" s="279">
        <v>5</v>
      </c>
      <c r="X219" s="279">
        <v>5</v>
      </c>
      <c r="Y219" s="279">
        <v>5</v>
      </c>
      <c r="Z219" s="444">
        <v>5</v>
      </c>
      <c r="AA219" s="444">
        <v>5</v>
      </c>
      <c r="AB219" s="444">
        <v>5</v>
      </c>
      <c r="AC219" s="444">
        <v>5</v>
      </c>
      <c r="AD219" s="444">
        <v>5</v>
      </c>
      <c r="AE219" s="444">
        <v>5</v>
      </c>
      <c r="AF219" s="271">
        <f t="shared" si="43"/>
        <v>5</v>
      </c>
      <c r="AG219" s="279"/>
      <c r="AK219" s="358"/>
    </row>
    <row r="220" spans="2:37" hidden="1" outlineLevel="1">
      <c r="B220" s="588"/>
      <c r="C220" s="281"/>
      <c r="D220" s="4171"/>
      <c r="E220" s="128" t="s">
        <v>2817</v>
      </c>
      <c r="F220" s="1690">
        <v>5</v>
      </c>
      <c r="G220" s="1407"/>
      <c r="H220" s="1430" t="s">
        <v>2826</v>
      </c>
      <c r="V220" s="4425"/>
      <c r="W220" s="279">
        <v>5</v>
      </c>
      <c r="X220" s="279">
        <v>5</v>
      </c>
      <c r="Y220" s="279">
        <v>5</v>
      </c>
      <c r="Z220" s="444">
        <v>5</v>
      </c>
      <c r="AA220" s="444">
        <v>5</v>
      </c>
      <c r="AB220" s="444">
        <v>5</v>
      </c>
      <c r="AC220" s="444">
        <v>5</v>
      </c>
      <c r="AD220" s="444">
        <v>5</v>
      </c>
      <c r="AE220" s="444">
        <v>5</v>
      </c>
      <c r="AF220" s="271">
        <f t="shared" si="43"/>
        <v>5</v>
      </c>
      <c r="AG220" s="279"/>
      <c r="AK220" s="358"/>
    </row>
    <row r="221" spans="2:37" hidden="1" outlineLevel="1">
      <c r="B221" s="588"/>
      <c r="C221" s="281"/>
      <c r="D221" s="4171"/>
      <c r="E221" s="128" t="s">
        <v>2819</v>
      </c>
      <c r="F221" s="1690">
        <v>5</v>
      </c>
      <c r="G221" s="1407"/>
      <c r="H221" s="1430" t="s">
        <v>2826</v>
      </c>
      <c r="V221" s="4425"/>
      <c r="W221" s="279">
        <v>5</v>
      </c>
      <c r="X221" s="279">
        <v>5</v>
      </c>
      <c r="Y221" s="279">
        <v>5</v>
      </c>
      <c r="Z221" s="444">
        <v>5</v>
      </c>
      <c r="AA221" s="444">
        <v>5</v>
      </c>
      <c r="AB221" s="444">
        <v>5</v>
      </c>
      <c r="AC221" s="444">
        <v>5</v>
      </c>
      <c r="AD221" s="444">
        <v>5</v>
      </c>
      <c r="AE221" s="444">
        <v>5</v>
      </c>
      <c r="AF221" s="271">
        <f t="shared" si="43"/>
        <v>5</v>
      </c>
      <c r="AG221" s="279"/>
      <c r="AK221" s="358"/>
    </row>
    <row r="222" spans="2:37" hidden="1" outlineLevel="1">
      <c r="B222" s="588"/>
      <c r="C222" s="281"/>
      <c r="D222" s="4171"/>
      <c r="E222" s="128" t="s">
        <v>2821</v>
      </c>
      <c r="F222" s="1690">
        <v>5</v>
      </c>
      <c r="G222" s="1407"/>
      <c r="H222" s="1430" t="s">
        <v>2826</v>
      </c>
      <c r="V222" s="4437"/>
      <c r="W222" s="279">
        <v>5</v>
      </c>
      <c r="X222" s="279">
        <v>5</v>
      </c>
      <c r="Y222" s="279">
        <v>5</v>
      </c>
      <c r="Z222" s="444">
        <v>5</v>
      </c>
      <c r="AA222" s="444">
        <v>5</v>
      </c>
      <c r="AB222" s="444">
        <v>5</v>
      </c>
      <c r="AC222" s="444">
        <v>5</v>
      </c>
      <c r="AD222" s="444">
        <v>5</v>
      </c>
      <c r="AE222" s="444">
        <v>5</v>
      </c>
      <c r="AF222" s="271">
        <f t="shared" si="43"/>
        <v>5</v>
      </c>
      <c r="AG222" s="279"/>
      <c r="AK222" s="358"/>
    </row>
    <row r="223" spans="2:37" ht="17.25" hidden="1" customHeight="1" outlineLevel="1">
      <c r="B223" s="579"/>
      <c r="C223" s="281"/>
      <c r="D223" s="4171" t="s">
        <v>2827</v>
      </c>
      <c r="E223" s="128" t="s">
        <v>2763</v>
      </c>
      <c r="F223" s="1690">
        <v>49</v>
      </c>
      <c r="G223" s="1407"/>
      <c r="H223" s="1430" t="s">
        <v>2826</v>
      </c>
      <c r="V223" s="4424" t="str">
        <f>D223</f>
        <v>RAttic</v>
      </c>
      <c r="W223" s="279">
        <v>49</v>
      </c>
      <c r="X223" s="279">
        <v>49</v>
      </c>
      <c r="Y223" s="279">
        <v>49</v>
      </c>
      <c r="Z223" s="444">
        <v>49</v>
      </c>
      <c r="AA223" s="444">
        <v>49</v>
      </c>
      <c r="AB223" s="444">
        <v>49</v>
      </c>
      <c r="AC223" s="444">
        <v>49</v>
      </c>
      <c r="AD223" s="444">
        <v>49</v>
      </c>
      <c r="AE223" s="444">
        <v>49</v>
      </c>
      <c r="AF223" s="271">
        <f t="shared" si="43"/>
        <v>49</v>
      </c>
      <c r="AG223" s="279"/>
      <c r="AK223" s="358"/>
    </row>
    <row r="224" spans="2:37" hidden="1" outlineLevel="1">
      <c r="B224" s="579"/>
      <c r="C224" s="281"/>
      <c r="D224" s="4171"/>
      <c r="E224" s="128" t="s">
        <v>2765</v>
      </c>
      <c r="F224" s="1690">
        <v>49</v>
      </c>
      <c r="G224" s="1407"/>
      <c r="H224" s="1430" t="s">
        <v>2826</v>
      </c>
      <c r="V224" s="4425"/>
      <c r="W224" s="279">
        <v>49</v>
      </c>
      <c r="X224" s="279">
        <v>49</v>
      </c>
      <c r="Y224" s="279">
        <v>49</v>
      </c>
      <c r="Z224" s="444">
        <v>49</v>
      </c>
      <c r="AA224" s="444">
        <v>49</v>
      </c>
      <c r="AB224" s="444">
        <v>49</v>
      </c>
      <c r="AC224" s="444">
        <v>49</v>
      </c>
      <c r="AD224" s="444">
        <v>49</v>
      </c>
      <c r="AE224" s="444">
        <v>49</v>
      </c>
      <c r="AF224" s="271">
        <f t="shared" si="43"/>
        <v>49</v>
      </c>
      <c r="AG224" s="279"/>
      <c r="AK224" s="358"/>
    </row>
    <row r="225" spans="2:37" hidden="1" outlineLevel="1">
      <c r="B225" s="579"/>
      <c r="C225" s="281"/>
      <c r="D225" s="4171"/>
      <c r="E225" s="128" t="s">
        <v>2767</v>
      </c>
      <c r="F225" s="1690">
        <v>49</v>
      </c>
      <c r="G225" s="1407"/>
      <c r="H225" s="1430" t="s">
        <v>2826</v>
      </c>
      <c r="V225" s="4425"/>
      <c r="W225" s="279">
        <v>49</v>
      </c>
      <c r="X225" s="279">
        <v>49</v>
      </c>
      <c r="Y225" s="279">
        <v>49</v>
      </c>
      <c r="Z225" s="444">
        <v>49</v>
      </c>
      <c r="AA225" s="444">
        <v>49</v>
      </c>
      <c r="AB225" s="444">
        <v>49</v>
      </c>
      <c r="AC225" s="444">
        <v>49</v>
      </c>
      <c r="AD225" s="444">
        <v>49</v>
      </c>
      <c r="AE225" s="444">
        <v>49</v>
      </c>
      <c r="AF225" s="271">
        <f t="shared" si="43"/>
        <v>49</v>
      </c>
      <c r="AG225" s="279"/>
      <c r="AK225" s="358"/>
    </row>
    <row r="226" spans="2:37" hidden="1" outlineLevel="1">
      <c r="B226" s="579"/>
      <c r="C226" s="281"/>
      <c r="D226" s="4171"/>
      <c r="E226" s="128" t="s">
        <v>2769</v>
      </c>
      <c r="F226" s="1690">
        <v>49</v>
      </c>
      <c r="G226" s="1407"/>
      <c r="H226" s="1430" t="s">
        <v>2826</v>
      </c>
      <c r="V226" s="4425"/>
      <c r="W226" s="279">
        <v>49</v>
      </c>
      <c r="X226" s="279">
        <v>49</v>
      </c>
      <c r="Y226" s="279">
        <v>49</v>
      </c>
      <c r="Z226" s="444">
        <v>49</v>
      </c>
      <c r="AA226" s="444">
        <v>49</v>
      </c>
      <c r="AB226" s="444">
        <v>49</v>
      </c>
      <c r="AC226" s="444">
        <v>49</v>
      </c>
      <c r="AD226" s="444">
        <v>49</v>
      </c>
      <c r="AE226" s="444">
        <v>49</v>
      </c>
      <c r="AF226" s="271">
        <f t="shared" si="43"/>
        <v>49</v>
      </c>
      <c r="AG226" s="279"/>
      <c r="AK226" s="358"/>
    </row>
    <row r="227" spans="2:37" hidden="1" outlineLevel="1">
      <c r="B227" s="579"/>
      <c r="C227" s="281"/>
      <c r="D227" s="4171"/>
      <c r="E227" s="128" t="s">
        <v>2771</v>
      </c>
      <c r="F227" s="1690">
        <v>49</v>
      </c>
      <c r="G227" s="1407"/>
      <c r="H227" s="1430" t="s">
        <v>2826</v>
      </c>
      <c r="V227" s="4425"/>
      <c r="W227" s="279">
        <v>49</v>
      </c>
      <c r="X227" s="279">
        <v>49</v>
      </c>
      <c r="Y227" s="279">
        <v>49</v>
      </c>
      <c r="Z227" s="444">
        <v>49</v>
      </c>
      <c r="AA227" s="444">
        <v>49</v>
      </c>
      <c r="AB227" s="444">
        <v>49</v>
      </c>
      <c r="AC227" s="444">
        <v>49</v>
      </c>
      <c r="AD227" s="444">
        <v>49</v>
      </c>
      <c r="AE227" s="444">
        <v>49</v>
      </c>
      <c r="AF227" s="271">
        <f t="shared" ref="AF227:AF290" si="44">IF(F227&lt;&gt;"",F227,"")</f>
        <v>49</v>
      </c>
      <c r="AG227" s="279"/>
      <c r="AK227" s="358"/>
    </row>
    <row r="228" spans="2:37" hidden="1" outlineLevel="1">
      <c r="B228" s="588"/>
      <c r="C228" s="281"/>
      <c r="D228" s="4171"/>
      <c r="E228" s="128" t="s">
        <v>2773</v>
      </c>
      <c r="F228" s="1690">
        <v>49</v>
      </c>
      <c r="G228" s="1407"/>
      <c r="H228" s="1430" t="s">
        <v>2826</v>
      </c>
      <c r="V228" s="4425"/>
      <c r="W228" s="279">
        <v>49</v>
      </c>
      <c r="X228" s="279">
        <v>49</v>
      </c>
      <c r="Y228" s="279">
        <v>49</v>
      </c>
      <c r="Z228" s="444">
        <v>49</v>
      </c>
      <c r="AA228" s="444">
        <v>49</v>
      </c>
      <c r="AB228" s="444">
        <v>49</v>
      </c>
      <c r="AC228" s="444">
        <v>49</v>
      </c>
      <c r="AD228" s="444">
        <v>49</v>
      </c>
      <c r="AE228" s="444">
        <v>49</v>
      </c>
      <c r="AF228" s="271">
        <f t="shared" si="44"/>
        <v>49</v>
      </c>
      <c r="AG228" s="279"/>
      <c r="AK228" s="358"/>
    </row>
    <row r="229" spans="2:37" hidden="1" outlineLevel="1">
      <c r="B229" s="588"/>
      <c r="C229" s="281"/>
      <c r="D229" s="4171"/>
      <c r="E229" s="128" t="s">
        <v>2775</v>
      </c>
      <c r="F229" s="1690">
        <v>30</v>
      </c>
      <c r="G229" s="1407"/>
      <c r="H229" s="1430" t="s">
        <v>2826</v>
      </c>
      <c r="V229" s="4425"/>
      <c r="W229" s="279">
        <v>30</v>
      </c>
      <c r="X229" s="279">
        <v>30</v>
      </c>
      <c r="Y229" s="279">
        <v>30</v>
      </c>
      <c r="Z229" s="444">
        <v>30</v>
      </c>
      <c r="AA229" s="444">
        <v>30</v>
      </c>
      <c r="AB229" s="444">
        <v>30</v>
      </c>
      <c r="AC229" s="444">
        <v>30</v>
      </c>
      <c r="AD229" s="444">
        <v>30</v>
      </c>
      <c r="AE229" s="444">
        <v>30</v>
      </c>
      <c r="AF229" s="271">
        <f t="shared" si="44"/>
        <v>30</v>
      </c>
      <c r="AG229" s="279"/>
      <c r="AK229" s="358"/>
    </row>
    <row r="230" spans="2:37" hidden="1" outlineLevel="1">
      <c r="B230" s="588"/>
      <c r="C230" s="281"/>
      <c r="D230" s="4171"/>
      <c r="E230" s="128" t="s">
        <v>2777</v>
      </c>
      <c r="F230" s="1690">
        <v>30</v>
      </c>
      <c r="G230" s="1407"/>
      <c r="H230" s="1430" t="s">
        <v>2826</v>
      </c>
      <c r="V230" s="4425"/>
      <c r="W230" s="279">
        <v>30</v>
      </c>
      <c r="X230" s="279">
        <v>30</v>
      </c>
      <c r="Y230" s="279">
        <v>30</v>
      </c>
      <c r="Z230" s="444">
        <v>30</v>
      </c>
      <c r="AA230" s="444">
        <v>30</v>
      </c>
      <c r="AB230" s="444">
        <v>30</v>
      </c>
      <c r="AC230" s="444">
        <v>30</v>
      </c>
      <c r="AD230" s="444">
        <v>30</v>
      </c>
      <c r="AE230" s="444">
        <v>30</v>
      </c>
      <c r="AF230" s="271">
        <f t="shared" si="44"/>
        <v>30</v>
      </c>
      <c r="AG230" s="279"/>
      <c r="AK230" s="358"/>
    </row>
    <row r="231" spans="2:37" hidden="1" outlineLevel="1">
      <c r="B231" s="588"/>
      <c r="C231" s="281"/>
      <c r="D231" s="4171"/>
      <c r="E231" s="128" t="s">
        <v>2779</v>
      </c>
      <c r="F231" s="1690">
        <v>30</v>
      </c>
      <c r="G231" s="1407"/>
      <c r="H231" s="1430" t="s">
        <v>2826</v>
      </c>
      <c r="V231" s="4425"/>
      <c r="W231" s="279">
        <v>30</v>
      </c>
      <c r="X231" s="279">
        <v>30</v>
      </c>
      <c r="Y231" s="279">
        <v>30</v>
      </c>
      <c r="Z231" s="444">
        <v>30</v>
      </c>
      <c r="AA231" s="444">
        <v>30</v>
      </c>
      <c r="AB231" s="444">
        <v>30</v>
      </c>
      <c r="AC231" s="444">
        <v>30</v>
      </c>
      <c r="AD231" s="444">
        <v>30</v>
      </c>
      <c r="AE231" s="444">
        <v>30</v>
      </c>
      <c r="AF231" s="271">
        <f t="shared" si="44"/>
        <v>30</v>
      </c>
      <c r="AG231" s="279"/>
      <c r="AK231" s="358"/>
    </row>
    <row r="232" spans="2:37" hidden="1" outlineLevel="1">
      <c r="B232" s="588"/>
      <c r="C232" s="281"/>
      <c r="D232" s="4171"/>
      <c r="E232" s="128" t="s">
        <v>2781</v>
      </c>
      <c r="F232" s="1690">
        <v>30</v>
      </c>
      <c r="G232" s="1407"/>
      <c r="H232" s="1430" t="s">
        <v>2826</v>
      </c>
      <c r="V232" s="4425"/>
      <c r="W232" s="279">
        <v>30</v>
      </c>
      <c r="X232" s="279">
        <v>30</v>
      </c>
      <c r="Y232" s="279">
        <v>30</v>
      </c>
      <c r="Z232" s="444">
        <v>30</v>
      </c>
      <c r="AA232" s="444">
        <v>30</v>
      </c>
      <c r="AB232" s="444">
        <v>30</v>
      </c>
      <c r="AC232" s="444">
        <v>30</v>
      </c>
      <c r="AD232" s="444">
        <v>30</v>
      </c>
      <c r="AE232" s="444">
        <v>30</v>
      </c>
      <c r="AF232" s="271">
        <f t="shared" si="44"/>
        <v>30</v>
      </c>
      <c r="AG232" s="279"/>
      <c r="AK232" s="358"/>
    </row>
    <row r="233" spans="2:37" hidden="1" outlineLevel="1">
      <c r="B233" s="588"/>
      <c r="C233" s="281"/>
      <c r="D233" s="4171"/>
      <c r="E233" s="128" t="s">
        <v>2783</v>
      </c>
      <c r="F233" s="1690">
        <v>30</v>
      </c>
      <c r="G233" s="1407"/>
      <c r="H233" s="1430" t="s">
        <v>2826</v>
      </c>
      <c r="V233" s="4425"/>
      <c r="W233" s="279">
        <v>30</v>
      </c>
      <c r="X233" s="279">
        <v>30</v>
      </c>
      <c r="Y233" s="279">
        <v>30</v>
      </c>
      <c r="Z233" s="444">
        <v>30</v>
      </c>
      <c r="AA233" s="444">
        <v>30</v>
      </c>
      <c r="AB233" s="444">
        <v>30</v>
      </c>
      <c r="AC233" s="444">
        <v>30</v>
      </c>
      <c r="AD233" s="444">
        <v>30</v>
      </c>
      <c r="AE233" s="444">
        <v>30</v>
      </c>
      <c r="AF233" s="271">
        <f t="shared" si="44"/>
        <v>30</v>
      </c>
      <c r="AG233" s="279"/>
      <c r="AK233" s="358"/>
    </row>
    <row r="234" spans="2:37" hidden="1" outlineLevel="1">
      <c r="B234" s="588"/>
      <c r="C234" s="281"/>
      <c r="D234" s="4171"/>
      <c r="E234" s="128" t="s">
        <v>2785</v>
      </c>
      <c r="F234" s="1690">
        <v>30</v>
      </c>
      <c r="G234" s="1407"/>
      <c r="H234" s="1430" t="s">
        <v>2826</v>
      </c>
      <c r="V234" s="4425"/>
      <c r="W234" s="279">
        <v>30</v>
      </c>
      <c r="X234" s="279">
        <v>30</v>
      </c>
      <c r="Y234" s="279">
        <v>30</v>
      </c>
      <c r="Z234" s="444">
        <v>30</v>
      </c>
      <c r="AA234" s="444">
        <v>30</v>
      </c>
      <c r="AB234" s="444">
        <v>30</v>
      </c>
      <c r="AC234" s="444">
        <v>30</v>
      </c>
      <c r="AD234" s="444">
        <v>30</v>
      </c>
      <c r="AE234" s="444">
        <v>30</v>
      </c>
      <c r="AF234" s="271">
        <f t="shared" si="44"/>
        <v>30</v>
      </c>
      <c r="AG234" s="279"/>
      <c r="AK234" s="358"/>
    </row>
    <row r="235" spans="2:37" hidden="1" outlineLevel="1">
      <c r="B235" s="588"/>
      <c r="C235" s="281"/>
      <c r="D235" s="4171"/>
      <c r="E235" s="128" t="s">
        <v>2787</v>
      </c>
      <c r="F235" s="1690">
        <v>38</v>
      </c>
      <c r="G235" s="1407"/>
      <c r="H235" s="1430" t="s">
        <v>2826</v>
      </c>
      <c r="V235" s="4425"/>
      <c r="W235" s="279">
        <v>38</v>
      </c>
      <c r="X235" s="279">
        <v>38</v>
      </c>
      <c r="Y235" s="279">
        <v>38</v>
      </c>
      <c r="Z235" s="444">
        <v>38</v>
      </c>
      <c r="AA235" s="444">
        <v>38</v>
      </c>
      <c r="AB235" s="444">
        <v>38</v>
      </c>
      <c r="AC235" s="444">
        <v>38</v>
      </c>
      <c r="AD235" s="444">
        <v>38</v>
      </c>
      <c r="AE235" s="444">
        <v>38</v>
      </c>
      <c r="AF235" s="271">
        <f t="shared" si="44"/>
        <v>38</v>
      </c>
      <c r="AG235" s="279"/>
      <c r="AK235" s="358"/>
    </row>
    <row r="236" spans="2:37" hidden="1" outlineLevel="1">
      <c r="B236" s="579"/>
      <c r="C236" s="281"/>
      <c r="D236" s="4171"/>
      <c r="E236" s="128" t="s">
        <v>2789</v>
      </c>
      <c r="F236" s="1690">
        <v>38</v>
      </c>
      <c r="G236" s="1407"/>
      <c r="H236" s="1430" t="s">
        <v>2826</v>
      </c>
      <c r="V236" s="4425"/>
      <c r="W236" s="279">
        <v>38</v>
      </c>
      <c r="X236" s="279">
        <v>38</v>
      </c>
      <c r="Y236" s="279">
        <v>38</v>
      </c>
      <c r="Z236" s="444">
        <v>38</v>
      </c>
      <c r="AA236" s="444">
        <v>38</v>
      </c>
      <c r="AB236" s="444">
        <v>38</v>
      </c>
      <c r="AC236" s="444">
        <v>38</v>
      </c>
      <c r="AD236" s="444">
        <v>38</v>
      </c>
      <c r="AE236" s="444">
        <v>38</v>
      </c>
      <c r="AF236" s="271">
        <f t="shared" si="44"/>
        <v>38</v>
      </c>
      <c r="AG236" s="279"/>
      <c r="AK236" s="358"/>
    </row>
    <row r="237" spans="2:37" hidden="1" outlineLevel="1">
      <c r="B237" s="579"/>
      <c r="C237" s="281"/>
      <c r="D237" s="4171"/>
      <c r="E237" s="128" t="s">
        <v>2791</v>
      </c>
      <c r="F237" s="1690">
        <v>38</v>
      </c>
      <c r="G237" s="1407"/>
      <c r="H237" s="1430" t="s">
        <v>2826</v>
      </c>
      <c r="V237" s="4425"/>
      <c r="W237" s="279">
        <v>38</v>
      </c>
      <c r="X237" s="279">
        <v>38</v>
      </c>
      <c r="Y237" s="279">
        <v>38</v>
      </c>
      <c r="Z237" s="444">
        <v>38</v>
      </c>
      <c r="AA237" s="444">
        <v>38</v>
      </c>
      <c r="AB237" s="444">
        <v>38</v>
      </c>
      <c r="AC237" s="444">
        <v>38</v>
      </c>
      <c r="AD237" s="444">
        <v>38</v>
      </c>
      <c r="AE237" s="444">
        <v>38</v>
      </c>
      <c r="AF237" s="271">
        <f t="shared" si="44"/>
        <v>38</v>
      </c>
      <c r="AG237" s="279"/>
      <c r="AK237" s="358"/>
    </row>
    <row r="238" spans="2:37" hidden="1" outlineLevel="1">
      <c r="B238" s="579"/>
      <c r="C238" s="281"/>
      <c r="D238" s="4171"/>
      <c r="E238" s="128" t="s">
        <v>2793</v>
      </c>
      <c r="F238" s="1690">
        <v>38</v>
      </c>
      <c r="G238" s="1407"/>
      <c r="H238" s="1430" t="s">
        <v>2826</v>
      </c>
      <c r="V238" s="4425"/>
      <c r="W238" s="279">
        <v>38</v>
      </c>
      <c r="X238" s="279">
        <v>38</v>
      </c>
      <c r="Y238" s="279">
        <v>38</v>
      </c>
      <c r="Z238" s="444">
        <v>38</v>
      </c>
      <c r="AA238" s="444">
        <v>38</v>
      </c>
      <c r="AB238" s="444">
        <v>38</v>
      </c>
      <c r="AC238" s="444">
        <v>38</v>
      </c>
      <c r="AD238" s="444">
        <v>38</v>
      </c>
      <c r="AE238" s="444">
        <v>38</v>
      </c>
      <c r="AF238" s="271">
        <f t="shared" si="44"/>
        <v>38</v>
      </c>
      <c r="AG238" s="279"/>
      <c r="AK238" s="358"/>
    </row>
    <row r="239" spans="2:37" hidden="1" outlineLevel="1">
      <c r="B239" s="588"/>
      <c r="C239" s="281"/>
      <c r="D239" s="4171"/>
      <c r="E239" s="128" t="s">
        <v>2795</v>
      </c>
      <c r="F239" s="1690">
        <v>38</v>
      </c>
      <c r="G239" s="1407"/>
      <c r="H239" s="1430" t="s">
        <v>2826</v>
      </c>
      <c r="V239" s="4425"/>
      <c r="W239" s="279">
        <v>38</v>
      </c>
      <c r="X239" s="279">
        <v>38</v>
      </c>
      <c r="Y239" s="279">
        <v>38</v>
      </c>
      <c r="Z239" s="444">
        <v>38</v>
      </c>
      <c r="AA239" s="444">
        <v>38</v>
      </c>
      <c r="AB239" s="444">
        <v>38</v>
      </c>
      <c r="AC239" s="444">
        <v>38</v>
      </c>
      <c r="AD239" s="444">
        <v>38</v>
      </c>
      <c r="AE239" s="444">
        <v>38</v>
      </c>
      <c r="AF239" s="271">
        <f t="shared" si="44"/>
        <v>38</v>
      </c>
      <c r="AG239" s="279"/>
      <c r="AK239" s="358"/>
    </row>
    <row r="240" spans="2:37" hidden="1" outlineLevel="1">
      <c r="B240" s="588"/>
      <c r="C240" s="281"/>
      <c r="D240" s="4171"/>
      <c r="E240" s="128" t="s">
        <v>2797</v>
      </c>
      <c r="F240" s="1690">
        <v>38</v>
      </c>
      <c r="G240" s="1407"/>
      <c r="H240" s="1430" t="s">
        <v>2826</v>
      </c>
      <c r="V240" s="4425"/>
      <c r="W240" s="279">
        <v>38</v>
      </c>
      <c r="X240" s="279">
        <v>38</v>
      </c>
      <c r="Y240" s="279">
        <v>38</v>
      </c>
      <c r="Z240" s="444">
        <v>38</v>
      </c>
      <c r="AA240" s="444">
        <v>38</v>
      </c>
      <c r="AB240" s="444">
        <v>38</v>
      </c>
      <c r="AC240" s="444">
        <v>38</v>
      </c>
      <c r="AD240" s="444">
        <v>38</v>
      </c>
      <c r="AE240" s="444">
        <v>38</v>
      </c>
      <c r="AF240" s="271">
        <f t="shared" si="44"/>
        <v>38</v>
      </c>
      <c r="AG240" s="279"/>
      <c r="AK240" s="358"/>
    </row>
    <row r="241" spans="2:37" hidden="1" outlineLevel="1">
      <c r="B241" s="588"/>
      <c r="C241" s="281"/>
      <c r="D241" s="4171"/>
      <c r="E241" s="128" t="s">
        <v>2799</v>
      </c>
      <c r="F241" s="1690">
        <v>49</v>
      </c>
      <c r="G241" s="1407"/>
      <c r="H241" s="1430" t="s">
        <v>2826</v>
      </c>
      <c r="V241" s="4425"/>
      <c r="W241" s="279">
        <v>49</v>
      </c>
      <c r="X241" s="279">
        <v>49</v>
      </c>
      <c r="Y241" s="279">
        <v>49</v>
      </c>
      <c r="Z241" s="444">
        <v>49</v>
      </c>
      <c r="AA241" s="444">
        <v>49</v>
      </c>
      <c r="AB241" s="444">
        <v>49</v>
      </c>
      <c r="AC241" s="444">
        <v>49</v>
      </c>
      <c r="AD241" s="444">
        <v>49</v>
      </c>
      <c r="AE241" s="444">
        <v>49</v>
      </c>
      <c r="AF241" s="271">
        <f t="shared" si="44"/>
        <v>49</v>
      </c>
      <c r="AG241" s="279"/>
      <c r="AK241" s="358"/>
    </row>
    <row r="242" spans="2:37" hidden="1" outlineLevel="1">
      <c r="B242" s="588"/>
      <c r="C242" s="281"/>
      <c r="D242" s="4171"/>
      <c r="E242" s="128" t="s">
        <v>2801</v>
      </c>
      <c r="F242" s="1690">
        <v>49</v>
      </c>
      <c r="G242" s="1407"/>
      <c r="H242" s="1430" t="s">
        <v>2826</v>
      </c>
      <c r="V242" s="4425"/>
      <c r="W242" s="279">
        <v>49</v>
      </c>
      <c r="X242" s="279">
        <v>49</v>
      </c>
      <c r="Y242" s="279">
        <v>49</v>
      </c>
      <c r="Z242" s="444">
        <v>49</v>
      </c>
      <c r="AA242" s="444">
        <v>49</v>
      </c>
      <c r="AB242" s="444">
        <v>49</v>
      </c>
      <c r="AC242" s="444">
        <v>49</v>
      </c>
      <c r="AD242" s="444">
        <v>49</v>
      </c>
      <c r="AE242" s="444">
        <v>49</v>
      </c>
      <c r="AF242" s="271">
        <f t="shared" si="44"/>
        <v>49</v>
      </c>
      <c r="AG242" s="279"/>
      <c r="AK242" s="358"/>
    </row>
    <row r="243" spans="2:37" hidden="1" outlineLevel="1">
      <c r="B243" s="588"/>
      <c r="C243" s="281"/>
      <c r="D243" s="4171"/>
      <c r="E243" s="128" t="s">
        <v>2803</v>
      </c>
      <c r="F243" s="1690">
        <v>49</v>
      </c>
      <c r="G243" s="1407"/>
      <c r="H243" s="1430" t="s">
        <v>2826</v>
      </c>
      <c r="V243" s="4425"/>
      <c r="W243" s="279">
        <v>49</v>
      </c>
      <c r="X243" s="279">
        <v>49</v>
      </c>
      <c r="Y243" s="279">
        <v>49</v>
      </c>
      <c r="Z243" s="444">
        <v>49</v>
      </c>
      <c r="AA243" s="444">
        <v>49</v>
      </c>
      <c r="AB243" s="444">
        <v>49</v>
      </c>
      <c r="AC243" s="444">
        <v>49</v>
      </c>
      <c r="AD243" s="444">
        <v>49</v>
      </c>
      <c r="AE243" s="444">
        <v>49</v>
      </c>
      <c r="AF243" s="271">
        <f t="shared" si="44"/>
        <v>49</v>
      </c>
      <c r="AG243" s="279"/>
      <c r="AK243" s="358"/>
    </row>
    <row r="244" spans="2:37" hidden="1" outlineLevel="1">
      <c r="B244" s="588"/>
      <c r="C244" s="281"/>
      <c r="D244" s="4171"/>
      <c r="E244" s="128" t="s">
        <v>2805</v>
      </c>
      <c r="F244" s="1690">
        <v>49</v>
      </c>
      <c r="G244" s="1407"/>
      <c r="H244" s="1430" t="s">
        <v>2826</v>
      </c>
      <c r="V244" s="4425"/>
      <c r="W244" s="279">
        <v>49</v>
      </c>
      <c r="X244" s="279">
        <v>49</v>
      </c>
      <c r="Y244" s="279">
        <v>49</v>
      </c>
      <c r="Z244" s="444">
        <v>49</v>
      </c>
      <c r="AA244" s="444">
        <v>49</v>
      </c>
      <c r="AB244" s="444">
        <v>49</v>
      </c>
      <c r="AC244" s="444">
        <v>49</v>
      </c>
      <c r="AD244" s="444">
        <v>49</v>
      </c>
      <c r="AE244" s="444">
        <v>49</v>
      </c>
      <c r="AF244" s="271">
        <f t="shared" si="44"/>
        <v>49</v>
      </c>
      <c r="AG244" s="279"/>
      <c r="AK244" s="358"/>
    </row>
    <row r="245" spans="2:37" hidden="1" outlineLevel="1">
      <c r="B245" s="588"/>
      <c r="C245" s="281"/>
      <c r="D245" s="4171"/>
      <c r="E245" s="128" t="s">
        <v>2807</v>
      </c>
      <c r="F245" s="1690">
        <v>49</v>
      </c>
      <c r="G245" s="1407"/>
      <c r="H245" s="1430" t="s">
        <v>2826</v>
      </c>
      <c r="V245" s="4425"/>
      <c r="W245" s="279">
        <v>49</v>
      </c>
      <c r="X245" s="279">
        <v>49</v>
      </c>
      <c r="Y245" s="279">
        <v>49</v>
      </c>
      <c r="Z245" s="444">
        <v>49</v>
      </c>
      <c r="AA245" s="444">
        <v>49</v>
      </c>
      <c r="AB245" s="444">
        <v>49</v>
      </c>
      <c r="AC245" s="444">
        <v>49</v>
      </c>
      <c r="AD245" s="444">
        <v>49</v>
      </c>
      <c r="AE245" s="444">
        <v>49</v>
      </c>
      <c r="AF245" s="271">
        <f t="shared" si="44"/>
        <v>49</v>
      </c>
      <c r="AG245" s="279"/>
      <c r="AK245" s="358"/>
    </row>
    <row r="246" spans="2:37" hidden="1" outlineLevel="1">
      <c r="B246" s="588"/>
      <c r="C246" s="281"/>
      <c r="D246" s="4171"/>
      <c r="E246" s="128" t="s">
        <v>2809</v>
      </c>
      <c r="F246" s="1690">
        <v>49</v>
      </c>
      <c r="G246" s="1407"/>
      <c r="H246" s="1430" t="s">
        <v>2826</v>
      </c>
      <c r="V246" s="4425"/>
      <c r="W246" s="279">
        <v>49</v>
      </c>
      <c r="X246" s="279">
        <v>49</v>
      </c>
      <c r="Y246" s="279">
        <v>49</v>
      </c>
      <c r="Z246" s="444">
        <v>49</v>
      </c>
      <c r="AA246" s="444">
        <v>49</v>
      </c>
      <c r="AB246" s="444">
        <v>49</v>
      </c>
      <c r="AC246" s="444">
        <v>49</v>
      </c>
      <c r="AD246" s="444">
        <v>49</v>
      </c>
      <c r="AE246" s="444">
        <v>49</v>
      </c>
      <c r="AF246" s="271">
        <f t="shared" si="44"/>
        <v>49</v>
      </c>
      <c r="AG246" s="279"/>
      <c r="AK246" s="358"/>
    </row>
    <row r="247" spans="2:37" hidden="1" outlineLevel="1">
      <c r="B247" s="588"/>
      <c r="C247" s="281"/>
      <c r="D247" s="4171"/>
      <c r="E247" s="128" t="s">
        <v>2811</v>
      </c>
      <c r="F247" s="1690">
        <v>60</v>
      </c>
      <c r="G247" s="1407"/>
      <c r="H247" s="1430" t="s">
        <v>2826</v>
      </c>
      <c r="V247" s="4425"/>
      <c r="W247" s="279">
        <v>60</v>
      </c>
      <c r="X247" s="279">
        <v>60</v>
      </c>
      <c r="Y247" s="279">
        <v>60</v>
      </c>
      <c r="Z247" s="444">
        <v>60</v>
      </c>
      <c r="AA247" s="444">
        <v>60</v>
      </c>
      <c r="AB247" s="444">
        <v>60</v>
      </c>
      <c r="AC247" s="444">
        <v>60</v>
      </c>
      <c r="AD247" s="444">
        <v>60</v>
      </c>
      <c r="AE247" s="444">
        <v>60</v>
      </c>
      <c r="AF247" s="271">
        <f t="shared" si="44"/>
        <v>60</v>
      </c>
      <c r="AG247" s="279"/>
      <c r="AK247" s="358"/>
    </row>
    <row r="248" spans="2:37" hidden="1" outlineLevel="1">
      <c r="B248" s="588"/>
      <c r="C248" s="281"/>
      <c r="D248" s="4171"/>
      <c r="E248" s="128" t="s">
        <v>2813</v>
      </c>
      <c r="F248" s="1690">
        <v>60</v>
      </c>
      <c r="G248" s="1407"/>
      <c r="H248" s="1430" t="s">
        <v>2826</v>
      </c>
      <c r="V248" s="4425"/>
      <c r="W248" s="279">
        <v>60</v>
      </c>
      <c r="X248" s="279">
        <v>60</v>
      </c>
      <c r="Y248" s="279">
        <v>60</v>
      </c>
      <c r="Z248" s="444">
        <v>60</v>
      </c>
      <c r="AA248" s="444">
        <v>60</v>
      </c>
      <c r="AB248" s="444">
        <v>60</v>
      </c>
      <c r="AC248" s="444">
        <v>60</v>
      </c>
      <c r="AD248" s="444">
        <v>60</v>
      </c>
      <c r="AE248" s="444">
        <v>60</v>
      </c>
      <c r="AF248" s="271">
        <f t="shared" si="44"/>
        <v>60</v>
      </c>
      <c r="AG248" s="279"/>
      <c r="AK248" s="358"/>
    </row>
    <row r="249" spans="2:37" hidden="1" outlineLevel="1">
      <c r="B249" s="588"/>
      <c r="C249" s="281"/>
      <c r="D249" s="4171"/>
      <c r="E249" s="128" t="s">
        <v>2815</v>
      </c>
      <c r="F249" s="1690">
        <v>60</v>
      </c>
      <c r="G249" s="1407"/>
      <c r="H249" s="1430" t="s">
        <v>2826</v>
      </c>
      <c r="V249" s="4425"/>
      <c r="W249" s="279">
        <v>60</v>
      </c>
      <c r="X249" s="279">
        <v>60</v>
      </c>
      <c r="Y249" s="279">
        <v>60</v>
      </c>
      <c r="Z249" s="444">
        <v>60</v>
      </c>
      <c r="AA249" s="444">
        <v>60</v>
      </c>
      <c r="AB249" s="444">
        <v>60</v>
      </c>
      <c r="AC249" s="444">
        <v>60</v>
      </c>
      <c r="AD249" s="444">
        <v>60</v>
      </c>
      <c r="AE249" s="444">
        <v>60</v>
      </c>
      <c r="AF249" s="271">
        <f t="shared" si="44"/>
        <v>60</v>
      </c>
      <c r="AG249" s="279"/>
      <c r="AK249" s="358"/>
    </row>
    <row r="250" spans="2:37" hidden="1" outlineLevel="1">
      <c r="B250" s="588"/>
      <c r="C250" s="281"/>
      <c r="D250" s="4171"/>
      <c r="E250" s="128" t="s">
        <v>2817</v>
      </c>
      <c r="F250" s="1690">
        <v>60</v>
      </c>
      <c r="G250" s="1407"/>
      <c r="H250" s="1430" t="s">
        <v>2826</v>
      </c>
      <c r="V250" s="4425"/>
      <c r="W250" s="279">
        <v>60</v>
      </c>
      <c r="X250" s="279">
        <v>60</v>
      </c>
      <c r="Y250" s="279">
        <v>60</v>
      </c>
      <c r="Z250" s="444">
        <v>60</v>
      </c>
      <c r="AA250" s="444">
        <v>60</v>
      </c>
      <c r="AB250" s="444">
        <v>60</v>
      </c>
      <c r="AC250" s="444">
        <v>60</v>
      </c>
      <c r="AD250" s="444">
        <v>60</v>
      </c>
      <c r="AE250" s="444">
        <v>60</v>
      </c>
      <c r="AF250" s="271">
        <f t="shared" si="44"/>
        <v>60</v>
      </c>
      <c r="AG250" s="279"/>
      <c r="AK250" s="358"/>
    </row>
    <row r="251" spans="2:37" hidden="1" outlineLevel="1">
      <c r="B251" s="588"/>
      <c r="C251" s="281"/>
      <c r="D251" s="4171"/>
      <c r="E251" s="128" t="s">
        <v>2819</v>
      </c>
      <c r="F251" s="1690">
        <v>60</v>
      </c>
      <c r="G251" s="1407"/>
      <c r="H251" s="1430" t="s">
        <v>2826</v>
      </c>
      <c r="V251" s="4425"/>
      <c r="W251" s="279">
        <v>60</v>
      </c>
      <c r="X251" s="279">
        <v>60</v>
      </c>
      <c r="Y251" s="279">
        <v>60</v>
      </c>
      <c r="Z251" s="444">
        <v>60</v>
      </c>
      <c r="AA251" s="444">
        <v>60</v>
      </c>
      <c r="AB251" s="444">
        <v>60</v>
      </c>
      <c r="AC251" s="444">
        <v>60</v>
      </c>
      <c r="AD251" s="444">
        <v>60</v>
      </c>
      <c r="AE251" s="444">
        <v>60</v>
      </c>
      <c r="AF251" s="271">
        <f t="shared" si="44"/>
        <v>60</v>
      </c>
      <c r="AG251" s="279"/>
      <c r="AK251" s="358"/>
    </row>
    <row r="252" spans="2:37" hidden="1" outlineLevel="1">
      <c r="B252" s="588"/>
      <c r="C252" s="281"/>
      <c r="D252" s="4171"/>
      <c r="E252" s="128" t="s">
        <v>2821</v>
      </c>
      <c r="F252" s="1690">
        <v>60</v>
      </c>
      <c r="G252" s="1407"/>
      <c r="H252" s="1430" t="s">
        <v>2826</v>
      </c>
      <c r="V252" s="4437"/>
      <c r="W252" s="279">
        <v>60</v>
      </c>
      <c r="X252" s="279">
        <v>60</v>
      </c>
      <c r="Y252" s="279">
        <v>60</v>
      </c>
      <c r="Z252" s="444">
        <v>60</v>
      </c>
      <c r="AA252" s="444">
        <v>60</v>
      </c>
      <c r="AB252" s="444">
        <v>60</v>
      </c>
      <c r="AC252" s="444">
        <v>60</v>
      </c>
      <c r="AD252" s="444">
        <v>60</v>
      </c>
      <c r="AE252" s="444">
        <v>60</v>
      </c>
      <c r="AF252" s="271">
        <f t="shared" si="44"/>
        <v>60</v>
      </c>
      <c r="AG252" s="279"/>
      <c r="AK252" s="358"/>
    </row>
    <row r="253" spans="2:37" ht="17.25" hidden="1" customHeight="1" outlineLevel="1">
      <c r="B253" s="579"/>
      <c r="C253" s="281"/>
      <c r="D253" s="4171" t="s">
        <v>2828</v>
      </c>
      <c r="E253" s="128" t="s">
        <v>2763</v>
      </c>
      <c r="F253" s="1702">
        <v>1</v>
      </c>
      <c r="G253" s="1407" t="s">
        <v>2829</v>
      </c>
      <c r="H253" s="1430" t="s">
        <v>2830</v>
      </c>
      <c r="V253" s="4424" t="str">
        <f>D253</f>
        <v>AAttic</v>
      </c>
      <c r="W253" s="279">
        <f>0.65*1347</f>
        <v>875.55000000000007</v>
      </c>
      <c r="X253" s="279">
        <v>875.55000000000007</v>
      </c>
      <c r="Y253" s="193">
        <v>1</v>
      </c>
      <c r="Z253" s="195">
        <v>1</v>
      </c>
      <c r="AA253" s="195">
        <v>1</v>
      </c>
      <c r="AB253" s="195">
        <v>1</v>
      </c>
      <c r="AC253" s="309">
        <v>1</v>
      </c>
      <c r="AD253" s="309">
        <v>1</v>
      </c>
      <c r="AE253" s="309">
        <v>1</v>
      </c>
      <c r="AF253" s="271">
        <f t="shared" si="44"/>
        <v>1</v>
      </c>
      <c r="AG253" s="279"/>
      <c r="AK253" s="358"/>
    </row>
    <row r="254" spans="2:37" hidden="1" outlineLevel="1">
      <c r="C254" s="281"/>
      <c r="D254" s="4171"/>
      <c r="E254" s="128" t="s">
        <v>2765</v>
      </c>
      <c r="F254" s="1702">
        <v>1</v>
      </c>
      <c r="G254" s="1407" t="s">
        <v>2829</v>
      </c>
      <c r="H254" s="1430" t="s">
        <v>2830</v>
      </c>
      <c r="V254" s="4425"/>
      <c r="W254" s="279">
        <f>0.65*1347</f>
        <v>875.55000000000007</v>
      </c>
      <c r="X254" s="279">
        <v>875.55000000000007</v>
      </c>
      <c r="Y254" s="193">
        <v>1</v>
      </c>
      <c r="Z254" s="195">
        <v>1</v>
      </c>
      <c r="AA254" s="195">
        <v>1</v>
      </c>
      <c r="AB254" s="195">
        <v>1</v>
      </c>
      <c r="AC254" s="309">
        <v>1</v>
      </c>
      <c r="AD254" s="309">
        <v>1</v>
      </c>
      <c r="AE254" s="309">
        <v>1</v>
      </c>
      <c r="AF254" s="271">
        <f t="shared" si="44"/>
        <v>1</v>
      </c>
      <c r="AG254" s="279"/>
      <c r="AK254" s="358"/>
    </row>
    <row r="255" spans="2:37" hidden="1" outlineLevel="1">
      <c r="C255" s="281"/>
      <c r="D255" s="4171"/>
      <c r="E255" s="128" t="s">
        <v>2767</v>
      </c>
      <c r="F255" s="1702">
        <v>1</v>
      </c>
      <c r="G255" s="1407" t="s">
        <v>2829</v>
      </c>
      <c r="H255" s="1430" t="s">
        <v>2830</v>
      </c>
      <c r="V255" s="4425"/>
      <c r="W255" s="279">
        <f>0.65*1347</f>
        <v>875.55000000000007</v>
      </c>
      <c r="X255" s="279">
        <v>875.55000000000007</v>
      </c>
      <c r="Y255" s="193">
        <v>1</v>
      </c>
      <c r="Z255" s="195">
        <v>1</v>
      </c>
      <c r="AA255" s="195">
        <v>1</v>
      </c>
      <c r="AB255" s="195">
        <v>1</v>
      </c>
      <c r="AC255" s="309">
        <v>1</v>
      </c>
      <c r="AD255" s="309">
        <v>1</v>
      </c>
      <c r="AE255" s="309">
        <v>1</v>
      </c>
      <c r="AF255" s="271">
        <f t="shared" si="44"/>
        <v>1</v>
      </c>
      <c r="AG255" s="279"/>
      <c r="AK255" s="358"/>
    </row>
    <row r="256" spans="2:37" hidden="1" outlineLevel="1">
      <c r="C256" s="281"/>
      <c r="D256" s="4171"/>
      <c r="E256" s="128" t="s">
        <v>2769</v>
      </c>
      <c r="F256" s="1702">
        <v>1</v>
      </c>
      <c r="G256" s="1407" t="s">
        <v>2829</v>
      </c>
      <c r="H256" s="1430" t="s">
        <v>2831</v>
      </c>
      <c r="V256" s="4425"/>
      <c r="W256" s="279">
        <v>1347</v>
      </c>
      <c r="X256" s="279">
        <v>1347</v>
      </c>
      <c r="Y256" s="193">
        <v>1</v>
      </c>
      <c r="Z256" s="195">
        <v>1</v>
      </c>
      <c r="AA256" s="195">
        <v>1</v>
      </c>
      <c r="AB256" s="195">
        <v>1</v>
      </c>
      <c r="AC256" s="309">
        <v>1</v>
      </c>
      <c r="AD256" s="309">
        <v>1</v>
      </c>
      <c r="AE256" s="309">
        <v>1</v>
      </c>
      <c r="AF256" s="271">
        <f t="shared" si="44"/>
        <v>1</v>
      </c>
      <c r="AG256" s="279"/>
      <c r="AK256" s="358"/>
    </row>
    <row r="257" spans="3:37" hidden="1" outlineLevel="1">
      <c r="C257" s="281"/>
      <c r="D257" s="4171"/>
      <c r="E257" s="128" t="s">
        <v>2771</v>
      </c>
      <c r="F257" s="1702">
        <v>1</v>
      </c>
      <c r="G257" s="1407" t="s">
        <v>2829</v>
      </c>
      <c r="H257" s="1430" t="s">
        <v>2831</v>
      </c>
      <c r="V257" s="4425"/>
      <c r="W257" s="279">
        <v>1347</v>
      </c>
      <c r="X257" s="279">
        <v>1347</v>
      </c>
      <c r="Y257" s="193">
        <v>1</v>
      </c>
      <c r="Z257" s="195">
        <v>1</v>
      </c>
      <c r="AA257" s="195">
        <v>1</v>
      </c>
      <c r="AB257" s="195">
        <v>1</v>
      </c>
      <c r="AC257" s="309">
        <v>1</v>
      </c>
      <c r="AD257" s="309">
        <v>1</v>
      </c>
      <c r="AE257" s="309">
        <v>1</v>
      </c>
      <c r="AF257" s="271">
        <f t="shared" si="44"/>
        <v>1</v>
      </c>
      <c r="AG257" s="279"/>
      <c r="AK257" s="358"/>
    </row>
    <row r="258" spans="3:37" hidden="1" outlineLevel="1">
      <c r="C258" s="281"/>
      <c r="D258" s="4171"/>
      <c r="E258" s="128" t="s">
        <v>2773</v>
      </c>
      <c r="F258" s="1702">
        <v>1</v>
      </c>
      <c r="G258" s="1407" t="s">
        <v>2829</v>
      </c>
      <c r="H258" s="1430" t="s">
        <v>2831</v>
      </c>
      <c r="V258" s="4425"/>
      <c r="W258" s="279">
        <v>1347</v>
      </c>
      <c r="X258" s="279">
        <v>1347</v>
      </c>
      <c r="Y258" s="193">
        <v>1</v>
      </c>
      <c r="Z258" s="195">
        <v>1</v>
      </c>
      <c r="AA258" s="195">
        <v>1</v>
      </c>
      <c r="AB258" s="195">
        <v>1</v>
      </c>
      <c r="AC258" s="309">
        <v>1</v>
      </c>
      <c r="AD258" s="309">
        <v>1</v>
      </c>
      <c r="AE258" s="309">
        <v>1</v>
      </c>
      <c r="AF258" s="271">
        <f t="shared" si="44"/>
        <v>1</v>
      </c>
      <c r="AG258" s="279"/>
      <c r="AK258" s="358"/>
    </row>
    <row r="259" spans="3:37" hidden="1" outlineLevel="1">
      <c r="C259" s="281"/>
      <c r="D259" s="4171"/>
      <c r="E259" s="128" t="s">
        <v>2775</v>
      </c>
      <c r="F259" s="1702">
        <v>1</v>
      </c>
      <c r="G259" s="1407" t="s">
        <v>2829</v>
      </c>
      <c r="H259" s="1430" t="s">
        <v>2832</v>
      </c>
      <c r="V259" s="4425"/>
      <c r="W259" s="279">
        <f>0.65*1106</f>
        <v>718.9</v>
      </c>
      <c r="X259" s="279">
        <v>718.9</v>
      </c>
      <c r="Y259" s="193">
        <v>1</v>
      </c>
      <c r="Z259" s="195">
        <v>1</v>
      </c>
      <c r="AA259" s="195">
        <v>1</v>
      </c>
      <c r="AB259" s="195">
        <v>1</v>
      </c>
      <c r="AC259" s="309">
        <v>1</v>
      </c>
      <c r="AD259" s="309">
        <v>1</v>
      </c>
      <c r="AE259" s="309">
        <v>1</v>
      </c>
      <c r="AF259" s="271">
        <f t="shared" si="44"/>
        <v>1</v>
      </c>
      <c r="AG259" s="279"/>
      <c r="AK259" s="358"/>
    </row>
    <row r="260" spans="3:37" hidden="1" outlineLevel="1">
      <c r="C260" s="281"/>
      <c r="D260" s="4171"/>
      <c r="E260" s="128" t="s">
        <v>2777</v>
      </c>
      <c r="F260" s="1702">
        <v>1</v>
      </c>
      <c r="G260" s="1407" t="s">
        <v>2829</v>
      </c>
      <c r="H260" s="1430" t="s">
        <v>2832</v>
      </c>
      <c r="V260" s="4425"/>
      <c r="W260" s="279">
        <f>0.65*1106</f>
        <v>718.9</v>
      </c>
      <c r="X260" s="279">
        <v>718.9</v>
      </c>
      <c r="Y260" s="193">
        <v>1</v>
      </c>
      <c r="Z260" s="195">
        <v>1</v>
      </c>
      <c r="AA260" s="195">
        <v>1</v>
      </c>
      <c r="AB260" s="195">
        <v>1</v>
      </c>
      <c r="AC260" s="309">
        <v>1</v>
      </c>
      <c r="AD260" s="309">
        <v>1</v>
      </c>
      <c r="AE260" s="309">
        <v>1</v>
      </c>
      <c r="AF260" s="271">
        <f t="shared" si="44"/>
        <v>1</v>
      </c>
      <c r="AG260" s="279"/>
      <c r="AK260" s="358"/>
    </row>
    <row r="261" spans="3:37" hidden="1" outlineLevel="1">
      <c r="C261" s="281"/>
      <c r="D261" s="4171"/>
      <c r="E261" s="128" t="s">
        <v>2779</v>
      </c>
      <c r="F261" s="1702">
        <v>1</v>
      </c>
      <c r="G261" s="1407" t="s">
        <v>2829</v>
      </c>
      <c r="H261" s="1430" t="s">
        <v>2832</v>
      </c>
      <c r="V261" s="4425"/>
      <c r="W261" s="279">
        <f>0.65*1106</f>
        <v>718.9</v>
      </c>
      <c r="X261" s="279">
        <v>718.9</v>
      </c>
      <c r="Y261" s="193">
        <v>1</v>
      </c>
      <c r="Z261" s="195">
        <v>1</v>
      </c>
      <c r="AA261" s="195">
        <v>1</v>
      </c>
      <c r="AB261" s="195">
        <v>1</v>
      </c>
      <c r="AC261" s="309">
        <v>1</v>
      </c>
      <c r="AD261" s="309">
        <v>1</v>
      </c>
      <c r="AE261" s="309">
        <v>1</v>
      </c>
      <c r="AF261" s="271">
        <f t="shared" si="44"/>
        <v>1</v>
      </c>
      <c r="AG261" s="279"/>
      <c r="AK261" s="358"/>
    </row>
    <row r="262" spans="3:37" hidden="1" outlineLevel="1">
      <c r="C262" s="281"/>
      <c r="D262" s="4171"/>
      <c r="E262" s="128" t="s">
        <v>2781</v>
      </c>
      <c r="F262" s="1702">
        <v>1</v>
      </c>
      <c r="G262" s="1407" t="s">
        <v>2829</v>
      </c>
      <c r="H262" s="1430" t="s">
        <v>2833</v>
      </c>
      <c r="V262" s="4425"/>
      <c r="W262" s="279">
        <v>1106</v>
      </c>
      <c r="X262" s="279">
        <v>1106</v>
      </c>
      <c r="Y262" s="193">
        <v>1</v>
      </c>
      <c r="Z262" s="195">
        <v>1</v>
      </c>
      <c r="AA262" s="195">
        <v>1</v>
      </c>
      <c r="AB262" s="195">
        <v>1</v>
      </c>
      <c r="AC262" s="309">
        <v>1</v>
      </c>
      <c r="AD262" s="309">
        <v>1</v>
      </c>
      <c r="AE262" s="309">
        <v>1</v>
      </c>
      <c r="AF262" s="271">
        <f t="shared" si="44"/>
        <v>1</v>
      </c>
      <c r="AG262" s="279"/>
      <c r="AK262" s="358"/>
    </row>
    <row r="263" spans="3:37" hidden="1" outlineLevel="1">
      <c r="C263" s="281"/>
      <c r="D263" s="4171"/>
      <c r="E263" s="128" t="s">
        <v>2783</v>
      </c>
      <c r="F263" s="1702">
        <v>1</v>
      </c>
      <c r="G263" s="1407" t="s">
        <v>2829</v>
      </c>
      <c r="H263" s="1430" t="s">
        <v>2833</v>
      </c>
      <c r="V263" s="4425"/>
      <c r="W263" s="279">
        <v>1106</v>
      </c>
      <c r="X263" s="279">
        <v>1106</v>
      </c>
      <c r="Y263" s="193">
        <v>1</v>
      </c>
      <c r="Z263" s="195">
        <v>1</v>
      </c>
      <c r="AA263" s="195">
        <v>1</v>
      </c>
      <c r="AB263" s="195">
        <v>1</v>
      </c>
      <c r="AC263" s="309">
        <v>1</v>
      </c>
      <c r="AD263" s="309">
        <v>1</v>
      </c>
      <c r="AE263" s="309">
        <v>1</v>
      </c>
      <c r="AF263" s="271">
        <f t="shared" si="44"/>
        <v>1</v>
      </c>
      <c r="AG263" s="279"/>
      <c r="AK263" s="358"/>
    </row>
    <row r="264" spans="3:37" hidden="1" outlineLevel="1">
      <c r="C264" s="281"/>
      <c r="D264" s="4171"/>
      <c r="E264" s="128" t="s">
        <v>2785</v>
      </c>
      <c r="F264" s="1702">
        <v>1</v>
      </c>
      <c r="G264" s="1407" t="s">
        <v>2829</v>
      </c>
      <c r="H264" s="1430" t="s">
        <v>2833</v>
      </c>
      <c r="V264" s="4425"/>
      <c r="W264" s="279">
        <v>1106</v>
      </c>
      <c r="X264" s="279">
        <v>1106</v>
      </c>
      <c r="Y264" s="193">
        <v>1</v>
      </c>
      <c r="Z264" s="195">
        <v>1</v>
      </c>
      <c r="AA264" s="195">
        <v>1</v>
      </c>
      <c r="AB264" s="195">
        <v>1</v>
      </c>
      <c r="AC264" s="309">
        <v>1</v>
      </c>
      <c r="AD264" s="309">
        <v>1</v>
      </c>
      <c r="AE264" s="309">
        <v>1</v>
      </c>
      <c r="AF264" s="271">
        <f t="shared" si="44"/>
        <v>1</v>
      </c>
      <c r="AG264" s="279"/>
      <c r="AK264" s="358"/>
    </row>
    <row r="265" spans="3:37" ht="30" hidden="1" outlineLevel="1">
      <c r="C265" s="281"/>
      <c r="D265" s="4171"/>
      <c r="E265" s="128" t="s">
        <v>2787</v>
      </c>
      <c r="F265" s="1702">
        <v>1</v>
      </c>
      <c r="G265" s="1407" t="s">
        <v>2834</v>
      </c>
      <c r="H265" s="1430" t="s">
        <v>2832</v>
      </c>
      <c r="V265" s="4425"/>
      <c r="W265" s="279">
        <f>0.65*1106</f>
        <v>718.9</v>
      </c>
      <c r="X265" s="279">
        <v>718.9</v>
      </c>
      <c r="Y265" s="193">
        <v>1</v>
      </c>
      <c r="Z265" s="195">
        <v>1</v>
      </c>
      <c r="AA265" s="195">
        <v>1</v>
      </c>
      <c r="AB265" s="195">
        <v>1</v>
      </c>
      <c r="AC265" s="309">
        <v>1</v>
      </c>
      <c r="AD265" s="309">
        <v>1</v>
      </c>
      <c r="AE265" s="309">
        <v>1</v>
      </c>
      <c r="AF265" s="271">
        <f t="shared" si="44"/>
        <v>1</v>
      </c>
      <c r="AG265" s="279"/>
      <c r="AK265" s="358"/>
    </row>
    <row r="266" spans="3:37" ht="30" hidden="1" outlineLevel="1">
      <c r="C266" s="281"/>
      <c r="D266" s="4171"/>
      <c r="E266" s="128" t="s">
        <v>2789</v>
      </c>
      <c r="F266" s="1702">
        <v>1</v>
      </c>
      <c r="G266" s="1407" t="s">
        <v>2834</v>
      </c>
      <c r="H266" s="1430" t="s">
        <v>2832</v>
      </c>
      <c r="V266" s="4425"/>
      <c r="W266" s="279">
        <f>0.65*1106</f>
        <v>718.9</v>
      </c>
      <c r="X266" s="279">
        <v>718.9</v>
      </c>
      <c r="Y266" s="193">
        <v>1</v>
      </c>
      <c r="Z266" s="195">
        <v>1</v>
      </c>
      <c r="AA266" s="195">
        <v>1</v>
      </c>
      <c r="AB266" s="195">
        <v>1</v>
      </c>
      <c r="AC266" s="309">
        <v>1</v>
      </c>
      <c r="AD266" s="309">
        <v>1</v>
      </c>
      <c r="AE266" s="309">
        <v>1</v>
      </c>
      <c r="AF266" s="271">
        <f t="shared" si="44"/>
        <v>1</v>
      </c>
      <c r="AG266" s="279"/>
      <c r="AK266" s="358"/>
    </row>
    <row r="267" spans="3:37" ht="30" hidden="1" outlineLevel="1">
      <c r="C267" s="281"/>
      <c r="D267" s="4171"/>
      <c r="E267" s="128" t="s">
        <v>2791</v>
      </c>
      <c r="F267" s="1702">
        <v>1</v>
      </c>
      <c r="G267" s="1407" t="s">
        <v>2834</v>
      </c>
      <c r="H267" s="1430" t="s">
        <v>2832</v>
      </c>
      <c r="V267" s="4425"/>
      <c r="W267" s="279">
        <f>0.65*1106</f>
        <v>718.9</v>
      </c>
      <c r="X267" s="279">
        <v>718.9</v>
      </c>
      <c r="Y267" s="193">
        <v>1</v>
      </c>
      <c r="Z267" s="195">
        <v>1</v>
      </c>
      <c r="AA267" s="195">
        <v>1</v>
      </c>
      <c r="AB267" s="195">
        <v>1</v>
      </c>
      <c r="AC267" s="309">
        <v>1</v>
      </c>
      <c r="AD267" s="309">
        <v>1</v>
      </c>
      <c r="AE267" s="309">
        <v>1</v>
      </c>
      <c r="AF267" s="271">
        <f t="shared" si="44"/>
        <v>1</v>
      </c>
      <c r="AG267" s="279"/>
      <c r="AK267" s="358"/>
    </row>
    <row r="268" spans="3:37" ht="30" hidden="1" outlineLevel="1">
      <c r="C268" s="281"/>
      <c r="D268" s="4171"/>
      <c r="E268" s="128" t="s">
        <v>2793</v>
      </c>
      <c r="F268" s="1702">
        <v>1</v>
      </c>
      <c r="G268" s="1407" t="s">
        <v>2834</v>
      </c>
      <c r="H268" s="1430" t="s">
        <v>2833</v>
      </c>
      <c r="V268" s="4425"/>
      <c r="W268" s="279">
        <v>1106</v>
      </c>
      <c r="X268" s="279">
        <v>1106</v>
      </c>
      <c r="Y268" s="193">
        <v>1</v>
      </c>
      <c r="Z268" s="195">
        <v>1</v>
      </c>
      <c r="AA268" s="195">
        <v>1</v>
      </c>
      <c r="AB268" s="195">
        <v>1</v>
      </c>
      <c r="AC268" s="309">
        <v>1</v>
      </c>
      <c r="AD268" s="309">
        <v>1</v>
      </c>
      <c r="AE268" s="309">
        <v>1</v>
      </c>
      <c r="AF268" s="271">
        <f t="shared" si="44"/>
        <v>1</v>
      </c>
      <c r="AG268" s="279"/>
      <c r="AK268" s="358"/>
    </row>
    <row r="269" spans="3:37" ht="30" hidden="1" outlineLevel="1">
      <c r="C269" s="281"/>
      <c r="D269" s="4171"/>
      <c r="E269" s="128" t="s">
        <v>2795</v>
      </c>
      <c r="F269" s="1702">
        <v>1</v>
      </c>
      <c r="G269" s="1407" t="s">
        <v>2834</v>
      </c>
      <c r="H269" s="1430" t="s">
        <v>2833</v>
      </c>
      <c r="V269" s="4425"/>
      <c r="W269" s="279">
        <v>1106</v>
      </c>
      <c r="X269" s="279">
        <v>1106</v>
      </c>
      <c r="Y269" s="193">
        <v>1</v>
      </c>
      <c r="Z269" s="195">
        <v>1</v>
      </c>
      <c r="AA269" s="195">
        <v>1</v>
      </c>
      <c r="AB269" s="195">
        <v>1</v>
      </c>
      <c r="AC269" s="309">
        <v>1</v>
      </c>
      <c r="AD269" s="309">
        <v>1</v>
      </c>
      <c r="AE269" s="309">
        <v>1</v>
      </c>
      <c r="AF269" s="271">
        <f t="shared" si="44"/>
        <v>1</v>
      </c>
      <c r="AG269" s="279"/>
      <c r="AK269" s="358"/>
    </row>
    <row r="270" spans="3:37" ht="30" hidden="1" outlineLevel="1">
      <c r="C270" s="281"/>
      <c r="D270" s="4171"/>
      <c r="E270" s="128" t="s">
        <v>2797</v>
      </c>
      <c r="F270" s="1702">
        <v>1</v>
      </c>
      <c r="G270" s="1407" t="s">
        <v>2834</v>
      </c>
      <c r="H270" s="1430" t="s">
        <v>2833</v>
      </c>
      <c r="V270" s="4425"/>
      <c r="W270" s="279">
        <v>1106</v>
      </c>
      <c r="X270" s="279">
        <v>1106</v>
      </c>
      <c r="Y270" s="193">
        <v>1</v>
      </c>
      <c r="Z270" s="195">
        <v>1</v>
      </c>
      <c r="AA270" s="195">
        <v>1</v>
      </c>
      <c r="AB270" s="195">
        <v>1</v>
      </c>
      <c r="AC270" s="309">
        <v>1</v>
      </c>
      <c r="AD270" s="309">
        <v>1</v>
      </c>
      <c r="AE270" s="309">
        <v>1</v>
      </c>
      <c r="AF270" s="271">
        <f t="shared" si="44"/>
        <v>1</v>
      </c>
      <c r="AG270" s="279"/>
      <c r="AK270" s="358"/>
    </row>
    <row r="271" spans="3:37" ht="30" hidden="1" outlineLevel="1">
      <c r="C271" s="281"/>
      <c r="D271" s="4171"/>
      <c r="E271" s="128" t="s">
        <v>2799</v>
      </c>
      <c r="F271" s="1702">
        <v>1</v>
      </c>
      <c r="G271" s="1407" t="s">
        <v>2834</v>
      </c>
      <c r="H271" s="1430" t="s">
        <v>2832</v>
      </c>
      <c r="V271" s="4425"/>
      <c r="W271" s="279">
        <f>0.65*1106</f>
        <v>718.9</v>
      </c>
      <c r="X271" s="279">
        <v>718.9</v>
      </c>
      <c r="Y271" s="193">
        <v>1</v>
      </c>
      <c r="Z271" s="195">
        <v>1</v>
      </c>
      <c r="AA271" s="195">
        <v>1</v>
      </c>
      <c r="AB271" s="195">
        <v>1</v>
      </c>
      <c r="AC271" s="309">
        <v>1</v>
      </c>
      <c r="AD271" s="309">
        <v>1</v>
      </c>
      <c r="AE271" s="309">
        <v>1</v>
      </c>
      <c r="AF271" s="271">
        <f t="shared" si="44"/>
        <v>1</v>
      </c>
      <c r="AG271" s="279"/>
      <c r="AK271" s="358"/>
    </row>
    <row r="272" spans="3:37" ht="30" hidden="1" outlineLevel="1">
      <c r="C272" s="281"/>
      <c r="D272" s="4171"/>
      <c r="E272" s="128" t="s">
        <v>2801</v>
      </c>
      <c r="F272" s="1702">
        <v>1</v>
      </c>
      <c r="G272" s="1407" t="s">
        <v>2834</v>
      </c>
      <c r="H272" s="1430" t="s">
        <v>2832</v>
      </c>
      <c r="V272" s="4425"/>
      <c r="W272" s="279">
        <f>0.65*1106</f>
        <v>718.9</v>
      </c>
      <c r="X272" s="279">
        <v>718.9</v>
      </c>
      <c r="Y272" s="193">
        <v>1</v>
      </c>
      <c r="Z272" s="195">
        <v>1</v>
      </c>
      <c r="AA272" s="195">
        <v>1</v>
      </c>
      <c r="AB272" s="195">
        <v>1</v>
      </c>
      <c r="AC272" s="309">
        <v>1</v>
      </c>
      <c r="AD272" s="309">
        <v>1</v>
      </c>
      <c r="AE272" s="309">
        <v>1</v>
      </c>
      <c r="AF272" s="271">
        <f t="shared" si="44"/>
        <v>1</v>
      </c>
      <c r="AG272" s="279"/>
      <c r="AK272" s="358"/>
    </row>
    <row r="273" spans="3:37" ht="30" hidden="1" outlineLevel="1">
      <c r="C273" s="281"/>
      <c r="D273" s="4171"/>
      <c r="E273" s="128" t="s">
        <v>2803</v>
      </c>
      <c r="F273" s="1702">
        <v>1</v>
      </c>
      <c r="G273" s="1407" t="s">
        <v>2834</v>
      </c>
      <c r="H273" s="1430" t="s">
        <v>2832</v>
      </c>
      <c r="V273" s="4425"/>
      <c r="W273" s="279">
        <f>0.65*1106</f>
        <v>718.9</v>
      </c>
      <c r="X273" s="279">
        <v>718.9</v>
      </c>
      <c r="Y273" s="193">
        <v>1</v>
      </c>
      <c r="Z273" s="195">
        <v>1</v>
      </c>
      <c r="AA273" s="195">
        <v>1</v>
      </c>
      <c r="AB273" s="195">
        <v>1</v>
      </c>
      <c r="AC273" s="309">
        <v>1</v>
      </c>
      <c r="AD273" s="309">
        <v>1</v>
      </c>
      <c r="AE273" s="309">
        <v>1</v>
      </c>
      <c r="AF273" s="271">
        <f t="shared" si="44"/>
        <v>1</v>
      </c>
      <c r="AG273" s="279"/>
      <c r="AK273" s="358"/>
    </row>
    <row r="274" spans="3:37" ht="30" hidden="1" outlineLevel="1">
      <c r="C274" s="281"/>
      <c r="D274" s="4171"/>
      <c r="E274" s="128" t="s">
        <v>2805</v>
      </c>
      <c r="F274" s="1702">
        <v>1</v>
      </c>
      <c r="G274" s="1407" t="s">
        <v>2834</v>
      </c>
      <c r="H274" s="1430" t="s">
        <v>2833</v>
      </c>
      <c r="V274" s="4425"/>
      <c r="W274" s="279">
        <v>1106</v>
      </c>
      <c r="X274" s="279">
        <v>1106</v>
      </c>
      <c r="Y274" s="193">
        <v>1</v>
      </c>
      <c r="Z274" s="195">
        <v>1</v>
      </c>
      <c r="AA274" s="195">
        <v>1</v>
      </c>
      <c r="AB274" s="195">
        <v>1</v>
      </c>
      <c r="AC274" s="309">
        <v>1</v>
      </c>
      <c r="AD274" s="309">
        <v>1</v>
      </c>
      <c r="AE274" s="309">
        <v>1</v>
      </c>
      <c r="AF274" s="271">
        <f t="shared" si="44"/>
        <v>1</v>
      </c>
      <c r="AG274" s="279"/>
      <c r="AK274" s="358"/>
    </row>
    <row r="275" spans="3:37" ht="30" hidden="1" outlineLevel="1">
      <c r="C275" s="281"/>
      <c r="D275" s="4171"/>
      <c r="E275" s="128" t="s">
        <v>2807</v>
      </c>
      <c r="F275" s="1702">
        <v>1</v>
      </c>
      <c r="G275" s="1407" t="s">
        <v>2834</v>
      </c>
      <c r="H275" s="1430" t="s">
        <v>2833</v>
      </c>
      <c r="V275" s="4425"/>
      <c r="W275" s="279">
        <v>1106</v>
      </c>
      <c r="X275" s="279">
        <v>1106</v>
      </c>
      <c r="Y275" s="193">
        <v>1</v>
      </c>
      <c r="Z275" s="195">
        <v>1</v>
      </c>
      <c r="AA275" s="195">
        <v>1</v>
      </c>
      <c r="AB275" s="195">
        <v>1</v>
      </c>
      <c r="AC275" s="309">
        <v>1</v>
      </c>
      <c r="AD275" s="309">
        <v>1</v>
      </c>
      <c r="AE275" s="309">
        <v>1</v>
      </c>
      <c r="AF275" s="271">
        <f t="shared" si="44"/>
        <v>1</v>
      </c>
      <c r="AG275" s="279"/>
      <c r="AK275" s="358"/>
    </row>
    <row r="276" spans="3:37" ht="30" hidden="1" outlineLevel="1">
      <c r="C276" s="281"/>
      <c r="D276" s="4171"/>
      <c r="E276" s="128" t="s">
        <v>2809</v>
      </c>
      <c r="F276" s="1702">
        <v>1</v>
      </c>
      <c r="G276" s="1407" t="s">
        <v>2834</v>
      </c>
      <c r="H276" s="1430" t="s">
        <v>2833</v>
      </c>
      <c r="V276" s="4425"/>
      <c r="W276" s="279">
        <v>1106</v>
      </c>
      <c r="X276" s="279">
        <v>1106</v>
      </c>
      <c r="Y276" s="193">
        <v>1</v>
      </c>
      <c r="Z276" s="195">
        <v>1</v>
      </c>
      <c r="AA276" s="195">
        <v>1</v>
      </c>
      <c r="AB276" s="195">
        <v>1</v>
      </c>
      <c r="AC276" s="309">
        <v>1</v>
      </c>
      <c r="AD276" s="309">
        <v>1</v>
      </c>
      <c r="AE276" s="309">
        <v>1</v>
      </c>
      <c r="AF276" s="271">
        <f t="shared" si="44"/>
        <v>1</v>
      </c>
      <c r="AG276" s="279"/>
      <c r="AK276" s="358"/>
    </row>
    <row r="277" spans="3:37" ht="30" hidden="1" outlineLevel="1">
      <c r="C277" s="281"/>
      <c r="D277" s="4171"/>
      <c r="E277" s="128" t="s">
        <v>2811</v>
      </c>
      <c r="F277" s="1702">
        <v>1</v>
      </c>
      <c r="G277" s="1407" t="s">
        <v>2834</v>
      </c>
      <c r="H277" s="1430" t="s">
        <v>2832</v>
      </c>
      <c r="V277" s="4425"/>
      <c r="W277" s="279">
        <f>0.65*1106</f>
        <v>718.9</v>
      </c>
      <c r="X277" s="279">
        <v>718.9</v>
      </c>
      <c r="Y277" s="193">
        <v>1</v>
      </c>
      <c r="Z277" s="195">
        <v>1</v>
      </c>
      <c r="AA277" s="195">
        <v>1</v>
      </c>
      <c r="AB277" s="195">
        <v>1</v>
      </c>
      <c r="AC277" s="309">
        <v>1</v>
      </c>
      <c r="AD277" s="309">
        <v>1</v>
      </c>
      <c r="AE277" s="309">
        <v>1</v>
      </c>
      <c r="AF277" s="271">
        <f t="shared" si="44"/>
        <v>1</v>
      </c>
      <c r="AG277" s="279"/>
      <c r="AK277" s="358"/>
    </row>
    <row r="278" spans="3:37" ht="30" hidden="1" outlineLevel="1">
      <c r="C278" s="281"/>
      <c r="D278" s="4171"/>
      <c r="E278" s="128" t="s">
        <v>2813</v>
      </c>
      <c r="F278" s="1702">
        <v>1</v>
      </c>
      <c r="G278" s="1407" t="s">
        <v>2834</v>
      </c>
      <c r="H278" s="1430" t="s">
        <v>2832</v>
      </c>
      <c r="V278" s="4425"/>
      <c r="W278" s="279">
        <f>0.65*1106</f>
        <v>718.9</v>
      </c>
      <c r="X278" s="279">
        <v>718.9</v>
      </c>
      <c r="Y278" s="193">
        <v>1</v>
      </c>
      <c r="Z278" s="195">
        <v>1</v>
      </c>
      <c r="AA278" s="195">
        <v>1</v>
      </c>
      <c r="AB278" s="195">
        <v>1</v>
      </c>
      <c r="AC278" s="309">
        <v>1</v>
      </c>
      <c r="AD278" s="309">
        <v>1</v>
      </c>
      <c r="AE278" s="309">
        <v>1</v>
      </c>
      <c r="AF278" s="271">
        <f t="shared" si="44"/>
        <v>1</v>
      </c>
      <c r="AG278" s="279"/>
      <c r="AK278" s="358"/>
    </row>
    <row r="279" spans="3:37" ht="30" hidden="1" outlineLevel="1">
      <c r="C279" s="281"/>
      <c r="D279" s="4171"/>
      <c r="E279" s="128" t="s">
        <v>2815</v>
      </c>
      <c r="F279" s="1702">
        <v>1</v>
      </c>
      <c r="G279" s="1407" t="s">
        <v>2834</v>
      </c>
      <c r="H279" s="1430" t="s">
        <v>2832</v>
      </c>
      <c r="V279" s="4425"/>
      <c r="W279" s="279">
        <f>0.65*1106</f>
        <v>718.9</v>
      </c>
      <c r="X279" s="279">
        <v>718.9</v>
      </c>
      <c r="Y279" s="193">
        <v>1</v>
      </c>
      <c r="Z279" s="195">
        <v>1</v>
      </c>
      <c r="AA279" s="195">
        <v>1</v>
      </c>
      <c r="AB279" s="195">
        <v>1</v>
      </c>
      <c r="AC279" s="309">
        <v>1</v>
      </c>
      <c r="AD279" s="309">
        <v>1</v>
      </c>
      <c r="AE279" s="309">
        <v>1</v>
      </c>
      <c r="AF279" s="271">
        <f t="shared" si="44"/>
        <v>1</v>
      </c>
      <c r="AG279" s="279"/>
      <c r="AK279" s="358"/>
    </row>
    <row r="280" spans="3:37" ht="30" hidden="1" outlineLevel="1">
      <c r="C280" s="281"/>
      <c r="D280" s="4171"/>
      <c r="E280" s="128" t="s">
        <v>2817</v>
      </c>
      <c r="F280" s="1702">
        <v>1</v>
      </c>
      <c r="G280" s="1407" t="s">
        <v>2834</v>
      </c>
      <c r="H280" s="1430" t="s">
        <v>2833</v>
      </c>
      <c r="V280" s="4425"/>
      <c r="W280" s="279">
        <v>1106</v>
      </c>
      <c r="X280" s="279">
        <v>1106</v>
      </c>
      <c r="Y280" s="193">
        <v>1</v>
      </c>
      <c r="Z280" s="195">
        <v>1</v>
      </c>
      <c r="AA280" s="195">
        <v>1</v>
      </c>
      <c r="AB280" s="195">
        <v>1</v>
      </c>
      <c r="AC280" s="309">
        <v>1</v>
      </c>
      <c r="AD280" s="309">
        <v>1</v>
      </c>
      <c r="AE280" s="309">
        <v>1</v>
      </c>
      <c r="AF280" s="271">
        <f t="shared" si="44"/>
        <v>1</v>
      </c>
      <c r="AG280" s="279"/>
      <c r="AK280" s="358"/>
    </row>
    <row r="281" spans="3:37" ht="30" hidden="1" outlineLevel="1">
      <c r="C281" s="281"/>
      <c r="D281" s="4171"/>
      <c r="E281" s="128" t="s">
        <v>2819</v>
      </c>
      <c r="F281" s="1702">
        <v>1</v>
      </c>
      <c r="G281" s="1407" t="s">
        <v>2834</v>
      </c>
      <c r="H281" s="1430" t="s">
        <v>2833</v>
      </c>
      <c r="V281" s="4425"/>
      <c r="W281" s="279">
        <v>1106</v>
      </c>
      <c r="X281" s="279">
        <v>1106</v>
      </c>
      <c r="Y281" s="193">
        <v>1</v>
      </c>
      <c r="Z281" s="195">
        <v>1</v>
      </c>
      <c r="AA281" s="195">
        <v>1</v>
      </c>
      <c r="AB281" s="195">
        <v>1</v>
      </c>
      <c r="AC281" s="309">
        <v>1</v>
      </c>
      <c r="AD281" s="309">
        <v>1</v>
      </c>
      <c r="AE281" s="309">
        <v>1</v>
      </c>
      <c r="AF281" s="271">
        <f t="shared" si="44"/>
        <v>1</v>
      </c>
      <c r="AG281" s="279"/>
      <c r="AK281" s="358"/>
    </row>
    <row r="282" spans="3:37" ht="30" hidden="1" outlineLevel="1">
      <c r="C282" s="281"/>
      <c r="D282" s="4171"/>
      <c r="E282" s="128" t="s">
        <v>2821</v>
      </c>
      <c r="F282" s="1702">
        <v>1</v>
      </c>
      <c r="G282" s="1407" t="s">
        <v>2834</v>
      </c>
      <c r="H282" s="1430" t="s">
        <v>2833</v>
      </c>
      <c r="V282" s="4437"/>
      <c r="W282" s="279">
        <v>1106</v>
      </c>
      <c r="X282" s="279">
        <v>1106</v>
      </c>
      <c r="Y282" s="193">
        <v>1</v>
      </c>
      <c r="Z282" s="195">
        <v>1</v>
      </c>
      <c r="AA282" s="195">
        <v>1</v>
      </c>
      <c r="AB282" s="195">
        <v>1</v>
      </c>
      <c r="AC282" s="309">
        <v>1</v>
      </c>
      <c r="AD282" s="309">
        <v>1</v>
      </c>
      <c r="AE282" s="309">
        <v>1</v>
      </c>
      <c r="AF282" s="271">
        <f t="shared" si="44"/>
        <v>1</v>
      </c>
      <c r="AG282" s="279"/>
      <c r="AK282" s="358"/>
    </row>
    <row r="283" spans="3:37" ht="105" hidden="1" outlineLevel="1">
      <c r="C283" s="281"/>
      <c r="D283" s="1391" t="s">
        <v>2835</v>
      </c>
      <c r="E283" s="128" t="s">
        <v>1102</v>
      </c>
      <c r="F283" s="1685">
        <v>7.0000000000000007E-2</v>
      </c>
      <c r="G283" s="1600" t="s">
        <v>2836</v>
      </c>
      <c r="H283" s="1430"/>
      <c r="V283" s="289" t="str">
        <f>D283</f>
        <v>Framing FactorAttic</v>
      </c>
      <c r="W283" s="287">
        <v>7.0000000000000007E-2</v>
      </c>
      <c r="X283" s="287">
        <v>7.0000000000000007E-2</v>
      </c>
      <c r="Y283" s="287">
        <v>7.0000000000000007E-2</v>
      </c>
      <c r="Z283" s="313">
        <v>7.0000000000000007E-2</v>
      </c>
      <c r="AA283" s="313">
        <v>7.0000000000000007E-2</v>
      </c>
      <c r="AB283" s="313">
        <v>7.0000000000000007E-2</v>
      </c>
      <c r="AC283" s="313">
        <v>7.0000000000000007E-2</v>
      </c>
      <c r="AD283" s="313">
        <v>7.0000000000000007E-2</v>
      </c>
      <c r="AE283" s="313">
        <v>7.0000000000000007E-2</v>
      </c>
      <c r="AF283" s="271">
        <f t="shared" si="44"/>
        <v>7.0000000000000007E-2</v>
      </c>
      <c r="AG283" s="287"/>
      <c r="AK283" s="358"/>
    </row>
    <row r="284" spans="3:37" hidden="1" outlineLevel="1">
      <c r="C284" s="281"/>
      <c r="D284" s="1391" t="s">
        <v>2837</v>
      </c>
      <c r="E284" s="128" t="s">
        <v>1102</v>
      </c>
      <c r="F284" s="1680">
        <v>4486</v>
      </c>
      <c r="G284" s="1407" t="s">
        <v>1117</v>
      </c>
      <c r="H284" s="1430" t="s">
        <v>2838</v>
      </c>
      <c r="V284" s="289" t="str">
        <f>D284</f>
        <v>HDD</v>
      </c>
      <c r="W284" s="279">
        <v>4486</v>
      </c>
      <c r="X284" s="279">
        <v>4486</v>
      </c>
      <c r="Y284" s="279">
        <v>4486</v>
      </c>
      <c r="Z284" s="444">
        <v>4486</v>
      </c>
      <c r="AA284" s="444">
        <v>4486</v>
      </c>
      <c r="AB284" s="444">
        <v>4486</v>
      </c>
      <c r="AC284" s="444">
        <v>4486</v>
      </c>
      <c r="AD284" s="444">
        <v>4486</v>
      </c>
      <c r="AE284" s="444">
        <v>4486</v>
      </c>
      <c r="AF284" s="271">
        <f t="shared" si="44"/>
        <v>4486</v>
      </c>
      <c r="AG284" s="279"/>
      <c r="AK284" s="358"/>
    </row>
    <row r="285" spans="3:37" ht="30" hidden="1" outlineLevel="1">
      <c r="C285" s="281"/>
      <c r="D285" s="1391" t="s">
        <v>2839</v>
      </c>
      <c r="E285" s="128" t="s">
        <v>1102</v>
      </c>
      <c r="F285" s="1682">
        <v>1.1399999999999999</v>
      </c>
      <c r="G285" s="1600" t="s">
        <v>2840</v>
      </c>
      <c r="H285" s="1430"/>
      <c r="V285" s="289" t="str">
        <f>D285</f>
        <v>AdjAtticCool</v>
      </c>
      <c r="W285" s="287">
        <v>0.74</v>
      </c>
      <c r="X285" s="287">
        <v>0.74</v>
      </c>
      <c r="Y285" s="287">
        <v>0.74</v>
      </c>
      <c r="Z285" s="313">
        <v>0.74</v>
      </c>
      <c r="AA285" s="313">
        <v>0.74</v>
      </c>
      <c r="AB285" s="313">
        <v>0.74</v>
      </c>
      <c r="AC285" s="313">
        <v>0.74</v>
      </c>
      <c r="AD285" s="313">
        <v>0.74</v>
      </c>
      <c r="AE285" s="313">
        <v>0.74</v>
      </c>
      <c r="AF285" s="271">
        <f t="shared" si="44"/>
        <v>1.1399999999999999</v>
      </c>
      <c r="AG285" s="287"/>
      <c r="AK285" s="358"/>
    </row>
    <row r="286" spans="3:37" ht="30" hidden="1" outlineLevel="1">
      <c r="C286" s="281"/>
      <c r="D286" s="1391" t="s">
        <v>2841</v>
      </c>
      <c r="E286" s="128" t="s">
        <v>1102</v>
      </c>
      <c r="F286" s="1682">
        <v>0.63</v>
      </c>
      <c r="G286" s="1600" t="s">
        <v>2840</v>
      </c>
      <c r="H286" s="1430"/>
      <c r="V286" s="1417"/>
      <c r="W286" s="287"/>
      <c r="X286" s="287"/>
      <c r="Y286" s="287"/>
      <c r="Z286" s="313"/>
      <c r="AA286" s="313"/>
      <c r="AB286" s="313"/>
      <c r="AC286" s="313"/>
      <c r="AD286" s="313"/>
      <c r="AE286" s="313"/>
      <c r="AF286" s="271">
        <f t="shared" si="44"/>
        <v>0.63</v>
      </c>
      <c r="AG286" s="287"/>
      <c r="AK286" s="358"/>
    </row>
    <row r="287" spans="3:37" hidden="1" outlineLevel="1">
      <c r="C287" s="281"/>
      <c r="D287" s="4171" t="s">
        <v>2842</v>
      </c>
      <c r="E287" s="128" t="s">
        <v>2763</v>
      </c>
      <c r="F287" s="1704">
        <v>1</v>
      </c>
      <c r="G287" s="4446" t="s">
        <v>2843</v>
      </c>
      <c r="H287" s="4277" t="s">
        <v>1084</v>
      </c>
      <c r="V287" s="4424" t="str">
        <f>D287</f>
        <v>ƞheat</v>
      </c>
      <c r="W287" s="290">
        <v>1</v>
      </c>
      <c r="X287" s="290">
        <v>1</v>
      </c>
      <c r="Y287" s="290">
        <v>1</v>
      </c>
      <c r="Z287" s="309">
        <v>1</v>
      </c>
      <c r="AA287" s="309">
        <v>1</v>
      </c>
      <c r="AB287" s="309">
        <v>1</v>
      </c>
      <c r="AC287" s="309">
        <v>1</v>
      </c>
      <c r="AD287" s="309">
        <v>1</v>
      </c>
      <c r="AE287" s="309">
        <v>1</v>
      </c>
      <c r="AF287" s="271">
        <f t="shared" si="44"/>
        <v>1</v>
      </c>
      <c r="AG287" s="290"/>
      <c r="AK287" s="358"/>
    </row>
    <row r="288" spans="3:37" hidden="1" outlineLevel="1">
      <c r="C288" s="281"/>
      <c r="D288" s="4171"/>
      <c r="E288" s="128" t="s">
        <v>2765</v>
      </c>
      <c r="F288" s="1703">
        <v>1.62</v>
      </c>
      <c r="G288" s="4446"/>
      <c r="H288" s="4199"/>
      <c r="V288" s="4425"/>
      <c r="W288" s="290">
        <f>7/3.412*0.85</f>
        <v>1.7438452520515826</v>
      </c>
      <c r="X288" s="290">
        <v>1.7438452520515826</v>
      </c>
      <c r="Y288" s="290">
        <v>1.7438452520515826</v>
      </c>
      <c r="Z288" s="309">
        <v>1.7438452520515826</v>
      </c>
      <c r="AA288" s="309">
        <v>1.7438452520515826</v>
      </c>
      <c r="AB288" s="309">
        <v>1.7438452520515826</v>
      </c>
      <c r="AC288" s="309">
        <v>1.7438452520515826</v>
      </c>
      <c r="AD288" s="309">
        <v>1.7438452520515826</v>
      </c>
      <c r="AE288" s="309">
        <v>1.7438452520515826</v>
      </c>
      <c r="AF288" s="271">
        <f t="shared" si="44"/>
        <v>1.62</v>
      </c>
      <c r="AG288" s="290"/>
      <c r="AK288" s="358"/>
    </row>
    <row r="289" spans="3:37" hidden="1" outlineLevel="1">
      <c r="C289" s="281"/>
      <c r="D289" s="4171"/>
      <c r="E289" s="128" t="s">
        <v>2767</v>
      </c>
      <c r="F289" s="1711">
        <v>0.71</v>
      </c>
      <c r="G289" s="4446"/>
      <c r="H289" s="4199"/>
      <c r="V289" s="4425"/>
      <c r="W289" s="291">
        <v>0.71</v>
      </c>
      <c r="X289" s="291">
        <v>0.71</v>
      </c>
      <c r="Y289" s="291">
        <v>0.71</v>
      </c>
      <c r="Z289" s="312">
        <v>0.71</v>
      </c>
      <c r="AA289" s="312">
        <v>0.71</v>
      </c>
      <c r="AB289" s="312">
        <v>0.71</v>
      </c>
      <c r="AC289" s="312">
        <v>0.71</v>
      </c>
      <c r="AD289" s="312">
        <v>0.71</v>
      </c>
      <c r="AE289" s="312">
        <v>0.71</v>
      </c>
      <c r="AF289" s="271">
        <f t="shared" si="44"/>
        <v>0.71</v>
      </c>
      <c r="AG289" s="291"/>
      <c r="AK289" s="358"/>
    </row>
    <row r="290" spans="3:37" hidden="1" outlineLevel="1">
      <c r="C290" s="281"/>
      <c r="D290" s="4171"/>
      <c r="E290" s="128" t="s">
        <v>2769</v>
      </c>
      <c r="F290" s="1704">
        <v>1</v>
      </c>
      <c r="G290" s="4446"/>
      <c r="H290" s="4199"/>
      <c r="V290" s="4425"/>
      <c r="W290" s="290">
        <v>1</v>
      </c>
      <c r="X290" s="290">
        <v>1</v>
      </c>
      <c r="Y290" s="290">
        <v>1</v>
      </c>
      <c r="Z290" s="309">
        <v>1</v>
      </c>
      <c r="AA290" s="309">
        <v>1</v>
      </c>
      <c r="AB290" s="309">
        <v>1</v>
      </c>
      <c r="AC290" s="309">
        <v>1</v>
      </c>
      <c r="AD290" s="309">
        <v>1</v>
      </c>
      <c r="AE290" s="309">
        <v>1</v>
      </c>
      <c r="AF290" s="271">
        <f t="shared" si="44"/>
        <v>1</v>
      </c>
      <c r="AG290" s="290"/>
      <c r="AK290" s="358"/>
    </row>
    <row r="291" spans="3:37" hidden="1" outlineLevel="1">
      <c r="C291" s="281"/>
      <c r="D291" s="4171"/>
      <c r="E291" s="128" t="s">
        <v>2771</v>
      </c>
      <c r="F291" s="1703">
        <v>1.62</v>
      </c>
      <c r="G291" s="4446"/>
      <c r="H291" s="4199"/>
      <c r="V291" s="4425"/>
      <c r="W291" s="290">
        <f>7/3.412*0.85</f>
        <v>1.7438452520515826</v>
      </c>
      <c r="X291" s="290">
        <v>1.7438452520515826</v>
      </c>
      <c r="Y291" s="290">
        <v>1.7438452520515826</v>
      </c>
      <c r="Z291" s="309">
        <v>1.7438452520515826</v>
      </c>
      <c r="AA291" s="309">
        <v>1.7438452520515826</v>
      </c>
      <c r="AB291" s="309">
        <v>1.7438452520515826</v>
      </c>
      <c r="AC291" s="309">
        <v>1.7438452520515826</v>
      </c>
      <c r="AD291" s="309">
        <v>1.7438452520515826</v>
      </c>
      <c r="AE291" s="309">
        <v>1.7438452520515826</v>
      </c>
      <c r="AF291" s="271">
        <f t="shared" ref="AF291:AF354" si="45">IF(F291&lt;&gt;"",F291,"")</f>
        <v>1.62</v>
      </c>
      <c r="AG291" s="290"/>
      <c r="AK291" s="358"/>
    </row>
    <row r="292" spans="3:37" hidden="1" outlineLevel="1">
      <c r="C292" s="281"/>
      <c r="D292" s="4171"/>
      <c r="E292" s="128" t="s">
        <v>2773</v>
      </c>
      <c r="F292" s="1711">
        <v>0.71</v>
      </c>
      <c r="G292" s="4446"/>
      <c r="H292" s="4199"/>
      <c r="V292" s="4425"/>
      <c r="W292" s="291">
        <v>0.71</v>
      </c>
      <c r="X292" s="291">
        <v>0.71</v>
      </c>
      <c r="Y292" s="291">
        <v>0.71</v>
      </c>
      <c r="Z292" s="312">
        <v>0.71</v>
      </c>
      <c r="AA292" s="312">
        <v>0.71</v>
      </c>
      <c r="AB292" s="312">
        <v>0.71</v>
      </c>
      <c r="AC292" s="312">
        <v>0.71</v>
      </c>
      <c r="AD292" s="312">
        <v>0.71</v>
      </c>
      <c r="AE292" s="312">
        <v>0.71</v>
      </c>
      <c r="AF292" s="271">
        <f t="shared" si="45"/>
        <v>0.71</v>
      </c>
      <c r="AG292" s="291"/>
      <c r="AK292" s="358"/>
    </row>
    <row r="293" spans="3:37" hidden="1" outlineLevel="1">
      <c r="C293" s="281"/>
      <c r="D293" s="4171"/>
      <c r="E293" s="128" t="s">
        <v>2775</v>
      </c>
      <c r="F293" s="1704">
        <v>1</v>
      </c>
      <c r="G293" s="4446"/>
      <c r="H293" s="4199"/>
      <c r="V293" s="4425"/>
      <c r="W293" s="290">
        <v>1</v>
      </c>
      <c r="X293" s="290">
        <v>1</v>
      </c>
      <c r="Y293" s="290">
        <v>1</v>
      </c>
      <c r="Z293" s="309">
        <v>1</v>
      </c>
      <c r="AA293" s="309">
        <v>1</v>
      </c>
      <c r="AB293" s="309">
        <v>1</v>
      </c>
      <c r="AC293" s="309">
        <v>1</v>
      </c>
      <c r="AD293" s="309">
        <v>1</v>
      </c>
      <c r="AE293" s="309">
        <v>1</v>
      </c>
      <c r="AF293" s="271">
        <f t="shared" si="45"/>
        <v>1</v>
      </c>
      <c r="AG293" s="290"/>
      <c r="AK293" s="358"/>
    </row>
    <row r="294" spans="3:37" hidden="1" outlineLevel="1">
      <c r="C294" s="281"/>
      <c r="D294" s="4171"/>
      <c r="E294" s="128" t="s">
        <v>2777</v>
      </c>
      <c r="F294" s="1703">
        <v>1.62</v>
      </c>
      <c r="G294" s="4446"/>
      <c r="H294" s="4199"/>
      <c r="V294" s="4425"/>
      <c r="W294" s="290">
        <f>7/3.412*0.85</f>
        <v>1.7438452520515826</v>
      </c>
      <c r="X294" s="290">
        <v>1.7438452520515826</v>
      </c>
      <c r="Y294" s="290">
        <v>1.7438452520515826</v>
      </c>
      <c r="Z294" s="309">
        <v>1.7438452520515826</v>
      </c>
      <c r="AA294" s="309">
        <v>1.7438452520515826</v>
      </c>
      <c r="AB294" s="309">
        <v>1.7438452520515826</v>
      </c>
      <c r="AC294" s="309">
        <v>1.7438452520515826</v>
      </c>
      <c r="AD294" s="309">
        <v>1.7438452520515826</v>
      </c>
      <c r="AE294" s="309">
        <v>1.7438452520515826</v>
      </c>
      <c r="AF294" s="271">
        <f t="shared" si="45"/>
        <v>1.62</v>
      </c>
      <c r="AG294" s="290"/>
      <c r="AK294" s="358"/>
    </row>
    <row r="295" spans="3:37" hidden="1" outlineLevel="1">
      <c r="C295" s="281"/>
      <c r="D295" s="4171"/>
      <c r="E295" s="128" t="s">
        <v>2779</v>
      </c>
      <c r="F295" s="1711">
        <v>0.71</v>
      </c>
      <c r="G295" s="4446"/>
      <c r="H295" s="4199"/>
      <c r="V295" s="4425"/>
      <c r="W295" s="291">
        <v>0.71</v>
      </c>
      <c r="X295" s="291">
        <v>0.71</v>
      </c>
      <c r="Y295" s="291">
        <v>0.71</v>
      </c>
      <c r="Z295" s="312">
        <v>0.71</v>
      </c>
      <c r="AA295" s="312">
        <v>0.71</v>
      </c>
      <c r="AB295" s="312">
        <v>0.71</v>
      </c>
      <c r="AC295" s="312">
        <v>0.71</v>
      </c>
      <c r="AD295" s="312">
        <v>0.71</v>
      </c>
      <c r="AE295" s="312">
        <v>0.71</v>
      </c>
      <c r="AF295" s="271">
        <f t="shared" si="45"/>
        <v>0.71</v>
      </c>
      <c r="AG295" s="291"/>
      <c r="AK295" s="358"/>
    </row>
    <row r="296" spans="3:37" hidden="1" outlineLevel="1">
      <c r="C296" s="281"/>
      <c r="D296" s="4171"/>
      <c r="E296" s="128" t="s">
        <v>2781</v>
      </c>
      <c r="F296" s="1704">
        <v>1</v>
      </c>
      <c r="G296" s="4446"/>
      <c r="H296" s="4199"/>
      <c r="V296" s="4425"/>
      <c r="W296" s="290">
        <v>1</v>
      </c>
      <c r="X296" s="290">
        <v>1</v>
      </c>
      <c r="Y296" s="290">
        <v>1</v>
      </c>
      <c r="Z296" s="309">
        <v>1</v>
      </c>
      <c r="AA296" s="309">
        <v>1</v>
      </c>
      <c r="AB296" s="309">
        <v>1</v>
      </c>
      <c r="AC296" s="309">
        <v>1</v>
      </c>
      <c r="AD296" s="309">
        <v>1</v>
      </c>
      <c r="AE296" s="309">
        <v>1</v>
      </c>
      <c r="AF296" s="271">
        <f t="shared" si="45"/>
        <v>1</v>
      </c>
      <c r="AG296" s="290"/>
      <c r="AK296" s="358"/>
    </row>
    <row r="297" spans="3:37" hidden="1" outlineLevel="1">
      <c r="C297" s="281"/>
      <c r="D297" s="4171"/>
      <c r="E297" s="128" t="s">
        <v>2783</v>
      </c>
      <c r="F297" s="1703">
        <v>1.62</v>
      </c>
      <c r="G297" s="4446"/>
      <c r="H297" s="4199"/>
      <c r="V297" s="4425"/>
      <c r="W297" s="290">
        <f>7/3.412*0.85</f>
        <v>1.7438452520515826</v>
      </c>
      <c r="X297" s="290">
        <v>1.7438452520515826</v>
      </c>
      <c r="Y297" s="290">
        <v>1.7438452520515826</v>
      </c>
      <c r="Z297" s="309">
        <v>1.7438452520515826</v>
      </c>
      <c r="AA297" s="309">
        <v>1.7438452520515826</v>
      </c>
      <c r="AB297" s="309">
        <v>1.7438452520515826</v>
      </c>
      <c r="AC297" s="309">
        <v>1.7438452520515826</v>
      </c>
      <c r="AD297" s="309">
        <v>1.7438452520515826</v>
      </c>
      <c r="AE297" s="309">
        <v>1.7438452520515826</v>
      </c>
      <c r="AF297" s="271">
        <f t="shared" si="45"/>
        <v>1.62</v>
      </c>
      <c r="AG297" s="290"/>
      <c r="AK297" s="358"/>
    </row>
    <row r="298" spans="3:37" hidden="1" outlineLevel="1">
      <c r="C298" s="281"/>
      <c r="D298" s="4171"/>
      <c r="E298" s="128" t="s">
        <v>2785</v>
      </c>
      <c r="F298" s="1711">
        <v>0.71</v>
      </c>
      <c r="G298" s="4446"/>
      <c r="H298" s="4199"/>
      <c r="V298" s="4425"/>
      <c r="W298" s="291">
        <v>0.71</v>
      </c>
      <c r="X298" s="291">
        <v>0.71</v>
      </c>
      <c r="Y298" s="291">
        <v>0.71</v>
      </c>
      <c r="Z298" s="312">
        <v>0.71</v>
      </c>
      <c r="AA298" s="312">
        <v>0.71</v>
      </c>
      <c r="AB298" s="312">
        <v>0.71</v>
      </c>
      <c r="AC298" s="312">
        <v>0.71</v>
      </c>
      <c r="AD298" s="312">
        <v>0.71</v>
      </c>
      <c r="AE298" s="312">
        <v>0.71</v>
      </c>
      <c r="AF298" s="271">
        <f t="shared" si="45"/>
        <v>0.71</v>
      </c>
      <c r="AG298" s="291"/>
      <c r="AK298" s="358"/>
    </row>
    <row r="299" spans="3:37" hidden="1" outlineLevel="1">
      <c r="C299" s="281"/>
      <c r="D299" s="4171"/>
      <c r="E299" s="128" t="s">
        <v>2787</v>
      </c>
      <c r="F299" s="1704">
        <v>1</v>
      </c>
      <c r="G299" s="4446"/>
      <c r="H299" s="4199"/>
      <c r="V299" s="4425"/>
      <c r="W299" s="290">
        <v>1</v>
      </c>
      <c r="X299" s="290">
        <v>1</v>
      </c>
      <c r="Y299" s="290">
        <v>1</v>
      </c>
      <c r="Z299" s="309">
        <v>1</v>
      </c>
      <c r="AA299" s="309">
        <v>1</v>
      </c>
      <c r="AB299" s="309">
        <v>1</v>
      </c>
      <c r="AC299" s="309">
        <v>1</v>
      </c>
      <c r="AD299" s="309">
        <v>1</v>
      </c>
      <c r="AE299" s="309">
        <v>1</v>
      </c>
      <c r="AF299" s="271">
        <f t="shared" si="45"/>
        <v>1</v>
      </c>
      <c r="AG299" s="290"/>
      <c r="AK299" s="358"/>
    </row>
    <row r="300" spans="3:37" hidden="1" outlineLevel="1">
      <c r="C300" s="281"/>
      <c r="D300" s="4171"/>
      <c r="E300" s="128" t="s">
        <v>2789</v>
      </c>
      <c r="F300" s="1703">
        <v>1.62</v>
      </c>
      <c r="G300" s="4446"/>
      <c r="H300" s="4199"/>
      <c r="V300" s="4425"/>
      <c r="W300" s="290">
        <f>7/3.412*0.85</f>
        <v>1.7438452520515826</v>
      </c>
      <c r="X300" s="290">
        <v>1.7438452520515826</v>
      </c>
      <c r="Y300" s="290">
        <v>1.7438452520515826</v>
      </c>
      <c r="Z300" s="309">
        <v>1.7438452520515826</v>
      </c>
      <c r="AA300" s="309">
        <v>1.7438452520515826</v>
      </c>
      <c r="AB300" s="309">
        <v>1.7438452520515826</v>
      </c>
      <c r="AC300" s="309">
        <v>1.7438452520515826</v>
      </c>
      <c r="AD300" s="309">
        <v>1.7438452520515826</v>
      </c>
      <c r="AE300" s="309">
        <v>1.7438452520515826</v>
      </c>
      <c r="AF300" s="271">
        <f t="shared" si="45"/>
        <v>1.62</v>
      </c>
      <c r="AG300" s="290"/>
      <c r="AK300" s="358"/>
    </row>
    <row r="301" spans="3:37" hidden="1" outlineLevel="1">
      <c r="C301" s="281"/>
      <c r="D301" s="4171"/>
      <c r="E301" s="128" t="s">
        <v>2791</v>
      </c>
      <c r="F301" s="1711">
        <v>0.71</v>
      </c>
      <c r="G301" s="4446"/>
      <c r="H301" s="4199"/>
      <c r="V301" s="4425"/>
      <c r="W301" s="291">
        <v>0.71</v>
      </c>
      <c r="X301" s="291">
        <v>0.71</v>
      </c>
      <c r="Y301" s="291">
        <v>0.71</v>
      </c>
      <c r="Z301" s="312">
        <v>0.71</v>
      </c>
      <c r="AA301" s="312">
        <v>0.71</v>
      </c>
      <c r="AB301" s="312">
        <v>0.71</v>
      </c>
      <c r="AC301" s="312">
        <v>0.71</v>
      </c>
      <c r="AD301" s="312">
        <v>0.71</v>
      </c>
      <c r="AE301" s="312">
        <v>0.71</v>
      </c>
      <c r="AF301" s="271">
        <f t="shared" si="45"/>
        <v>0.71</v>
      </c>
      <c r="AG301" s="291"/>
      <c r="AK301" s="358"/>
    </row>
    <row r="302" spans="3:37" hidden="1" outlineLevel="1">
      <c r="C302" s="281"/>
      <c r="D302" s="4171"/>
      <c r="E302" s="128" t="s">
        <v>2793</v>
      </c>
      <c r="F302" s="1704">
        <v>1</v>
      </c>
      <c r="G302" s="4446"/>
      <c r="H302" s="4199"/>
      <c r="V302" s="4425"/>
      <c r="W302" s="290">
        <v>1</v>
      </c>
      <c r="X302" s="290">
        <v>1</v>
      </c>
      <c r="Y302" s="290">
        <v>1</v>
      </c>
      <c r="Z302" s="309">
        <v>1</v>
      </c>
      <c r="AA302" s="309">
        <v>1</v>
      </c>
      <c r="AB302" s="309">
        <v>1</v>
      </c>
      <c r="AC302" s="309">
        <v>1</v>
      </c>
      <c r="AD302" s="309">
        <v>1</v>
      </c>
      <c r="AE302" s="309">
        <v>1</v>
      </c>
      <c r="AF302" s="271">
        <f t="shared" si="45"/>
        <v>1</v>
      </c>
      <c r="AG302" s="290"/>
      <c r="AK302" s="358"/>
    </row>
    <row r="303" spans="3:37" hidden="1" outlineLevel="1">
      <c r="C303" s="281"/>
      <c r="D303" s="4171"/>
      <c r="E303" s="128" t="s">
        <v>2795</v>
      </c>
      <c r="F303" s="1703">
        <v>1.62</v>
      </c>
      <c r="G303" s="4446"/>
      <c r="H303" s="4199"/>
      <c r="V303" s="4425"/>
      <c r="W303" s="290">
        <f>7/3.412*0.85</f>
        <v>1.7438452520515826</v>
      </c>
      <c r="X303" s="290">
        <v>1.7438452520515826</v>
      </c>
      <c r="Y303" s="290">
        <v>1.7438452520515826</v>
      </c>
      <c r="Z303" s="309">
        <v>1.7438452520515826</v>
      </c>
      <c r="AA303" s="309">
        <v>1.7438452520515826</v>
      </c>
      <c r="AB303" s="309">
        <v>1.7438452520515826</v>
      </c>
      <c r="AC303" s="309">
        <v>1.7438452520515826</v>
      </c>
      <c r="AD303" s="309">
        <v>1.7438452520515826</v>
      </c>
      <c r="AE303" s="309">
        <v>1.7438452520515826</v>
      </c>
      <c r="AF303" s="271">
        <f t="shared" si="45"/>
        <v>1.62</v>
      </c>
      <c r="AG303" s="290"/>
      <c r="AK303" s="358"/>
    </row>
    <row r="304" spans="3:37" hidden="1" outlineLevel="1">
      <c r="C304" s="281"/>
      <c r="D304" s="4171"/>
      <c r="E304" s="128" t="s">
        <v>2797</v>
      </c>
      <c r="F304" s="1711">
        <v>0.71</v>
      </c>
      <c r="G304" s="4446"/>
      <c r="H304" s="4199"/>
      <c r="V304" s="4425"/>
      <c r="W304" s="291">
        <v>0.71</v>
      </c>
      <c r="X304" s="291">
        <v>0.71</v>
      </c>
      <c r="Y304" s="291">
        <v>0.71</v>
      </c>
      <c r="Z304" s="312">
        <v>0.71</v>
      </c>
      <c r="AA304" s="312">
        <v>0.71</v>
      </c>
      <c r="AB304" s="312">
        <v>0.71</v>
      </c>
      <c r="AC304" s="312">
        <v>0.71</v>
      </c>
      <c r="AD304" s="312">
        <v>0.71</v>
      </c>
      <c r="AE304" s="312">
        <v>0.71</v>
      </c>
      <c r="AF304" s="271">
        <f t="shared" si="45"/>
        <v>0.71</v>
      </c>
      <c r="AG304" s="291"/>
      <c r="AK304" s="358"/>
    </row>
    <row r="305" spans="3:37" hidden="1" outlineLevel="1">
      <c r="C305" s="281"/>
      <c r="D305" s="4171"/>
      <c r="E305" s="128" t="s">
        <v>2799</v>
      </c>
      <c r="F305" s="1704">
        <v>1</v>
      </c>
      <c r="G305" s="4446"/>
      <c r="H305" s="4199"/>
      <c r="V305" s="4425"/>
      <c r="W305" s="290">
        <v>1</v>
      </c>
      <c r="X305" s="290">
        <v>1</v>
      </c>
      <c r="Y305" s="290">
        <v>1</v>
      </c>
      <c r="Z305" s="309">
        <v>1</v>
      </c>
      <c r="AA305" s="309">
        <v>1</v>
      </c>
      <c r="AB305" s="309">
        <v>1</v>
      </c>
      <c r="AC305" s="309">
        <v>1</v>
      </c>
      <c r="AD305" s="309">
        <v>1</v>
      </c>
      <c r="AE305" s="309">
        <v>1</v>
      </c>
      <c r="AF305" s="271">
        <f t="shared" si="45"/>
        <v>1</v>
      </c>
      <c r="AG305" s="290"/>
      <c r="AK305" s="358"/>
    </row>
    <row r="306" spans="3:37" hidden="1" outlineLevel="1">
      <c r="C306" s="281"/>
      <c r="D306" s="4171"/>
      <c r="E306" s="128" t="s">
        <v>2801</v>
      </c>
      <c r="F306" s="1703">
        <v>1.62</v>
      </c>
      <c r="G306" s="4446"/>
      <c r="H306" s="4199"/>
      <c r="V306" s="4425"/>
      <c r="W306" s="290">
        <f>7/3.412*0.85</f>
        <v>1.7438452520515826</v>
      </c>
      <c r="X306" s="290">
        <v>1.7438452520515826</v>
      </c>
      <c r="Y306" s="290">
        <v>1.7438452520515826</v>
      </c>
      <c r="Z306" s="309">
        <v>1.7438452520515826</v>
      </c>
      <c r="AA306" s="309">
        <v>1.7438452520515826</v>
      </c>
      <c r="AB306" s="309">
        <v>1.7438452520515826</v>
      </c>
      <c r="AC306" s="309">
        <v>1.7438452520515826</v>
      </c>
      <c r="AD306" s="309">
        <v>1.7438452520515826</v>
      </c>
      <c r="AE306" s="309">
        <v>1.7438452520515826</v>
      </c>
      <c r="AF306" s="271">
        <f t="shared" si="45"/>
        <v>1.62</v>
      </c>
      <c r="AG306" s="290"/>
      <c r="AK306" s="358"/>
    </row>
    <row r="307" spans="3:37" hidden="1" outlineLevel="1">
      <c r="C307" s="281"/>
      <c r="D307" s="4171"/>
      <c r="E307" s="128" t="s">
        <v>2803</v>
      </c>
      <c r="F307" s="1711">
        <v>0.71</v>
      </c>
      <c r="G307" s="4446"/>
      <c r="H307" s="4199"/>
      <c r="V307" s="4425"/>
      <c r="W307" s="291">
        <v>0.71</v>
      </c>
      <c r="X307" s="291">
        <v>0.71</v>
      </c>
      <c r="Y307" s="291">
        <v>0.71</v>
      </c>
      <c r="Z307" s="312">
        <v>0.71</v>
      </c>
      <c r="AA307" s="312">
        <v>0.71</v>
      </c>
      <c r="AB307" s="312">
        <v>0.71</v>
      </c>
      <c r="AC307" s="312">
        <v>0.71</v>
      </c>
      <c r="AD307" s="312">
        <v>0.71</v>
      </c>
      <c r="AE307" s="312">
        <v>0.71</v>
      </c>
      <c r="AF307" s="271">
        <f t="shared" si="45"/>
        <v>0.71</v>
      </c>
      <c r="AG307" s="291"/>
      <c r="AK307" s="358"/>
    </row>
    <row r="308" spans="3:37" hidden="1" outlineLevel="1">
      <c r="C308" s="281"/>
      <c r="D308" s="4171"/>
      <c r="E308" s="128" t="s">
        <v>2805</v>
      </c>
      <c r="F308" s="1704">
        <v>1</v>
      </c>
      <c r="G308" s="4446"/>
      <c r="H308" s="4199"/>
      <c r="V308" s="4425"/>
      <c r="W308" s="290">
        <v>1</v>
      </c>
      <c r="X308" s="290">
        <v>1</v>
      </c>
      <c r="Y308" s="290">
        <v>1</v>
      </c>
      <c r="Z308" s="309">
        <v>1</v>
      </c>
      <c r="AA308" s="309">
        <v>1</v>
      </c>
      <c r="AB308" s="309">
        <v>1</v>
      </c>
      <c r="AC308" s="309">
        <v>1</v>
      </c>
      <c r="AD308" s="309">
        <v>1</v>
      </c>
      <c r="AE308" s="309">
        <v>1</v>
      </c>
      <c r="AF308" s="271">
        <f t="shared" si="45"/>
        <v>1</v>
      </c>
      <c r="AG308" s="290"/>
      <c r="AK308" s="358"/>
    </row>
    <row r="309" spans="3:37" hidden="1" outlineLevel="1">
      <c r="C309" s="281"/>
      <c r="D309" s="4171"/>
      <c r="E309" s="128" t="s">
        <v>2807</v>
      </c>
      <c r="F309" s="1703">
        <v>1.62</v>
      </c>
      <c r="G309" s="4446"/>
      <c r="H309" s="4199"/>
      <c r="V309" s="4425"/>
      <c r="W309" s="290">
        <f>7/3.412*0.85</f>
        <v>1.7438452520515826</v>
      </c>
      <c r="X309" s="290">
        <v>1.7438452520515826</v>
      </c>
      <c r="Y309" s="290">
        <v>1.7438452520515826</v>
      </c>
      <c r="Z309" s="309">
        <v>1.7438452520515826</v>
      </c>
      <c r="AA309" s="309">
        <v>1.7438452520515826</v>
      </c>
      <c r="AB309" s="309">
        <v>1.7438452520515826</v>
      </c>
      <c r="AC309" s="309">
        <v>1.7438452520515826</v>
      </c>
      <c r="AD309" s="309">
        <v>1.7438452520515826</v>
      </c>
      <c r="AE309" s="309">
        <v>1.7438452520515826</v>
      </c>
      <c r="AF309" s="271">
        <f t="shared" si="45"/>
        <v>1.62</v>
      </c>
      <c r="AG309" s="290"/>
      <c r="AK309" s="358"/>
    </row>
    <row r="310" spans="3:37" hidden="1" outlineLevel="1">
      <c r="C310" s="281"/>
      <c r="D310" s="4171"/>
      <c r="E310" s="128" t="s">
        <v>2809</v>
      </c>
      <c r="F310" s="1711">
        <v>0.71</v>
      </c>
      <c r="G310" s="4446"/>
      <c r="H310" s="4199"/>
      <c r="V310" s="4425"/>
      <c r="W310" s="291">
        <v>0.71</v>
      </c>
      <c r="X310" s="291">
        <v>0.71</v>
      </c>
      <c r="Y310" s="291">
        <v>0.71</v>
      </c>
      <c r="Z310" s="312">
        <v>0.71</v>
      </c>
      <c r="AA310" s="312">
        <v>0.71</v>
      </c>
      <c r="AB310" s="312">
        <v>0.71</v>
      </c>
      <c r="AC310" s="312">
        <v>0.71</v>
      </c>
      <c r="AD310" s="312">
        <v>0.71</v>
      </c>
      <c r="AE310" s="312">
        <v>0.71</v>
      </c>
      <c r="AF310" s="271">
        <f t="shared" si="45"/>
        <v>0.71</v>
      </c>
      <c r="AG310" s="291"/>
      <c r="AK310" s="358"/>
    </row>
    <row r="311" spans="3:37" hidden="1" outlineLevel="1">
      <c r="C311" s="281"/>
      <c r="D311" s="4171"/>
      <c r="E311" s="128" t="s">
        <v>2811</v>
      </c>
      <c r="F311" s="1704">
        <v>1</v>
      </c>
      <c r="G311" s="4446"/>
      <c r="H311" s="4199"/>
      <c r="V311" s="4425"/>
      <c r="W311" s="290">
        <v>1</v>
      </c>
      <c r="X311" s="290">
        <v>1</v>
      </c>
      <c r="Y311" s="290">
        <v>1</v>
      </c>
      <c r="Z311" s="309">
        <v>1</v>
      </c>
      <c r="AA311" s="309">
        <v>1</v>
      </c>
      <c r="AB311" s="309">
        <v>1</v>
      </c>
      <c r="AC311" s="309">
        <v>1</v>
      </c>
      <c r="AD311" s="309">
        <v>1</v>
      </c>
      <c r="AE311" s="309">
        <v>1</v>
      </c>
      <c r="AF311" s="271">
        <f t="shared" si="45"/>
        <v>1</v>
      </c>
      <c r="AG311" s="290"/>
      <c r="AK311" s="358"/>
    </row>
    <row r="312" spans="3:37" hidden="1" outlineLevel="1">
      <c r="C312" s="281"/>
      <c r="D312" s="4171"/>
      <c r="E312" s="128" t="s">
        <v>2813</v>
      </c>
      <c r="F312" s="1703">
        <v>1.62</v>
      </c>
      <c r="G312" s="4446"/>
      <c r="H312" s="4199"/>
      <c r="V312" s="4425"/>
      <c r="W312" s="290">
        <f>7/3.412*0.85</f>
        <v>1.7438452520515826</v>
      </c>
      <c r="X312" s="290">
        <v>1.7438452520515826</v>
      </c>
      <c r="Y312" s="290">
        <v>1.7438452520515826</v>
      </c>
      <c r="Z312" s="309">
        <v>1.7438452520515826</v>
      </c>
      <c r="AA312" s="309">
        <v>1.7438452520515826</v>
      </c>
      <c r="AB312" s="309">
        <v>1.7438452520515826</v>
      </c>
      <c r="AC312" s="309">
        <v>1.7438452520515826</v>
      </c>
      <c r="AD312" s="309">
        <v>1.7438452520515826</v>
      </c>
      <c r="AE312" s="309">
        <v>1.7438452520515826</v>
      </c>
      <c r="AF312" s="271">
        <f t="shared" si="45"/>
        <v>1.62</v>
      </c>
      <c r="AG312" s="290"/>
      <c r="AK312" s="358"/>
    </row>
    <row r="313" spans="3:37" hidden="1" outlineLevel="1">
      <c r="C313" s="281"/>
      <c r="D313" s="4171"/>
      <c r="E313" s="128" t="s">
        <v>2815</v>
      </c>
      <c r="F313" s="1711">
        <v>0.71</v>
      </c>
      <c r="G313" s="4446"/>
      <c r="H313" s="4199"/>
      <c r="V313" s="4425"/>
      <c r="W313" s="291">
        <v>0.71</v>
      </c>
      <c r="X313" s="291">
        <v>0.71</v>
      </c>
      <c r="Y313" s="291">
        <v>0.71</v>
      </c>
      <c r="Z313" s="312">
        <v>0.71</v>
      </c>
      <c r="AA313" s="312">
        <v>0.71</v>
      </c>
      <c r="AB313" s="312">
        <v>0.71</v>
      </c>
      <c r="AC313" s="312">
        <v>0.71</v>
      </c>
      <c r="AD313" s="312">
        <v>0.71</v>
      </c>
      <c r="AE313" s="312">
        <v>0.71</v>
      </c>
      <c r="AF313" s="271">
        <f t="shared" si="45"/>
        <v>0.71</v>
      </c>
      <c r="AG313" s="291"/>
      <c r="AK313" s="358"/>
    </row>
    <row r="314" spans="3:37" hidden="1" outlineLevel="1">
      <c r="C314" s="281"/>
      <c r="D314" s="4171"/>
      <c r="E314" s="128" t="s">
        <v>2817</v>
      </c>
      <c r="F314" s="1704">
        <v>1</v>
      </c>
      <c r="G314" s="4446"/>
      <c r="H314" s="4199"/>
      <c r="V314" s="4425"/>
      <c r="W314" s="290">
        <v>1</v>
      </c>
      <c r="X314" s="290">
        <v>1</v>
      </c>
      <c r="Y314" s="290">
        <v>1</v>
      </c>
      <c r="Z314" s="309">
        <v>1</v>
      </c>
      <c r="AA314" s="309">
        <v>1</v>
      </c>
      <c r="AB314" s="309">
        <v>1</v>
      </c>
      <c r="AC314" s="309">
        <v>1</v>
      </c>
      <c r="AD314" s="309">
        <v>1</v>
      </c>
      <c r="AE314" s="309">
        <v>1</v>
      </c>
      <c r="AF314" s="271">
        <f t="shared" si="45"/>
        <v>1</v>
      </c>
      <c r="AG314" s="290"/>
      <c r="AK314" s="358"/>
    </row>
    <row r="315" spans="3:37" hidden="1" outlineLevel="1">
      <c r="C315" s="281"/>
      <c r="D315" s="4171"/>
      <c r="E315" s="128" t="s">
        <v>2819</v>
      </c>
      <c r="F315" s="1703">
        <v>1.62</v>
      </c>
      <c r="G315" s="4446"/>
      <c r="H315" s="4199"/>
      <c r="V315" s="4425"/>
      <c r="W315" s="290">
        <f>7/3.412*0.85</f>
        <v>1.7438452520515826</v>
      </c>
      <c r="X315" s="290">
        <v>1.7438452520515826</v>
      </c>
      <c r="Y315" s="290">
        <v>1.7438452520515826</v>
      </c>
      <c r="Z315" s="309">
        <v>1.7438452520515826</v>
      </c>
      <c r="AA315" s="309">
        <v>1.7438452520515826</v>
      </c>
      <c r="AB315" s="309">
        <v>1.7438452520515826</v>
      </c>
      <c r="AC315" s="309">
        <v>1.7438452520515826</v>
      </c>
      <c r="AD315" s="309">
        <v>1.7438452520515826</v>
      </c>
      <c r="AE315" s="309">
        <v>1.7438452520515826</v>
      </c>
      <c r="AF315" s="271">
        <f t="shared" si="45"/>
        <v>1.62</v>
      </c>
      <c r="AG315" s="290"/>
      <c r="AK315" s="358"/>
    </row>
    <row r="316" spans="3:37" hidden="1" outlineLevel="1">
      <c r="C316" s="281"/>
      <c r="D316" s="4171"/>
      <c r="E316" s="128" t="s">
        <v>2821</v>
      </c>
      <c r="F316" s="1711">
        <v>0.71</v>
      </c>
      <c r="G316" s="4446"/>
      <c r="H316" s="4847"/>
      <c r="V316" s="4437"/>
      <c r="W316" s="291">
        <v>0.71</v>
      </c>
      <c r="X316" s="291">
        <v>0.71</v>
      </c>
      <c r="Y316" s="291">
        <v>0.71</v>
      </c>
      <c r="Z316" s="312">
        <v>0.71</v>
      </c>
      <c r="AA316" s="312">
        <v>0.71</v>
      </c>
      <c r="AB316" s="312">
        <v>0.71</v>
      </c>
      <c r="AC316" s="312">
        <v>0.71</v>
      </c>
      <c r="AD316" s="312">
        <v>0.71</v>
      </c>
      <c r="AE316" s="312">
        <v>0.71</v>
      </c>
      <c r="AF316" s="271">
        <f t="shared" si="45"/>
        <v>0.71</v>
      </c>
      <c r="AG316" s="291"/>
      <c r="AK316" s="358"/>
    </row>
    <row r="317" spans="3:37" hidden="1" outlineLevel="1">
      <c r="C317" s="281"/>
      <c r="D317" s="4200" t="s">
        <v>1107</v>
      </c>
      <c r="E317" s="128" t="s">
        <v>2763</v>
      </c>
      <c r="F317" s="1704">
        <f>(1-F163)*(1/(F193+5)-1/(F223+5))*F253*(1-F$283)*F$284*24*F$286/(100000*F287)</f>
        <v>0</v>
      </c>
      <c r="G317" s="1407" t="s">
        <v>1108</v>
      </c>
      <c r="H317" s="1430"/>
      <c r="V317" s="4424" t="str">
        <f>D317</f>
        <v>∆Therms</v>
      </c>
      <c r="W317" s="290">
        <f t="shared" ref="W317:W346" si="46">(1-W163)*(1/(W193+5)-1/(W223+5))*W253*(1-W$283)*W$284*24*W$285/(100000*W287)</f>
        <v>0</v>
      </c>
      <c r="X317" s="290">
        <v>0</v>
      </c>
      <c r="Y317" s="290">
        <v>0</v>
      </c>
      <c r="Z317" s="309">
        <v>0</v>
      </c>
      <c r="AA317" s="309">
        <v>0</v>
      </c>
      <c r="AB317" s="309">
        <v>0</v>
      </c>
      <c r="AC317" s="309">
        <v>0</v>
      </c>
      <c r="AD317" s="309">
        <v>0</v>
      </c>
      <c r="AE317" s="309">
        <v>0</v>
      </c>
      <c r="AF317" s="271">
        <f t="shared" si="45"/>
        <v>0</v>
      </c>
      <c r="AG317" s="290"/>
      <c r="AK317" s="358"/>
    </row>
    <row r="318" spans="3:37" hidden="1" outlineLevel="1">
      <c r="C318" s="281"/>
      <c r="D318" s="4200"/>
      <c r="E318" s="128" t="s">
        <v>2765</v>
      </c>
      <c r="F318" s="1704">
        <f t="shared" ref="F318:F346" si="47">(1-F164)*(1/(F194+5)-1/(F224+5))*F254*(1-F$283)*F$284*24*F$286/(100000*F288)</f>
        <v>0</v>
      </c>
      <c r="G318" s="1407" t="s">
        <v>1108</v>
      </c>
      <c r="H318" s="1430"/>
      <c r="V318" s="4425"/>
      <c r="W318" s="290">
        <f t="shared" si="46"/>
        <v>0</v>
      </c>
      <c r="X318" s="290">
        <v>0</v>
      </c>
      <c r="Y318" s="290">
        <v>0</v>
      </c>
      <c r="Z318" s="309">
        <v>0</v>
      </c>
      <c r="AA318" s="309">
        <v>0</v>
      </c>
      <c r="AB318" s="309">
        <v>0</v>
      </c>
      <c r="AC318" s="309">
        <v>0</v>
      </c>
      <c r="AD318" s="309">
        <v>0</v>
      </c>
      <c r="AE318" s="309">
        <v>0</v>
      </c>
      <c r="AF318" s="271">
        <f t="shared" si="45"/>
        <v>0</v>
      </c>
      <c r="AG318" s="290"/>
      <c r="AK318" s="358"/>
    </row>
    <row r="319" spans="3:37" hidden="1" outlineLevel="1">
      <c r="C319" s="281"/>
      <c r="D319" s="4200"/>
      <c r="E319" s="128" t="s">
        <v>2767</v>
      </c>
      <c r="F319" s="1703">
        <f t="shared" si="47"/>
        <v>3.9075587323943659E-2</v>
      </c>
      <c r="G319" s="1407" t="s">
        <v>1108</v>
      </c>
      <c r="H319" s="1430"/>
      <c r="V319" s="4425"/>
      <c r="W319" s="290">
        <f t="shared" si="46"/>
        <v>40.186264375070415</v>
      </c>
      <c r="X319" s="290">
        <v>40.186264375070415</v>
      </c>
      <c r="Y319" s="290">
        <v>4.5898308920187786E-2</v>
      </c>
      <c r="Z319" s="309">
        <v>4.5898308920187786E-2</v>
      </c>
      <c r="AA319" s="309">
        <v>4.5898308920187786E-2</v>
      </c>
      <c r="AB319" s="309">
        <v>4.5898308920187786E-2</v>
      </c>
      <c r="AC319" s="309">
        <v>4.5898308920187786E-2</v>
      </c>
      <c r="AD319" s="309">
        <v>4.5898308920187786E-2</v>
      </c>
      <c r="AE319" s="309">
        <v>4.5898308920187786E-2</v>
      </c>
      <c r="AF319" s="271">
        <f t="shared" si="45"/>
        <v>3.9075587323943659E-2</v>
      </c>
      <c r="AG319" s="290"/>
      <c r="AK319" s="358"/>
    </row>
    <row r="320" spans="3:37" hidden="1" outlineLevel="1">
      <c r="C320" s="281"/>
      <c r="D320" s="4200"/>
      <c r="E320" s="128" t="s">
        <v>2769</v>
      </c>
      <c r="F320" s="1704">
        <f t="shared" si="47"/>
        <v>0</v>
      </c>
      <c r="G320" s="1407" t="s">
        <v>1108</v>
      </c>
      <c r="H320" s="1430"/>
      <c r="V320" s="4425"/>
      <c r="W320" s="290">
        <f t="shared" si="46"/>
        <v>0</v>
      </c>
      <c r="X320" s="290">
        <v>0</v>
      </c>
      <c r="Y320" s="290">
        <v>0</v>
      </c>
      <c r="Z320" s="309">
        <v>0</v>
      </c>
      <c r="AA320" s="309">
        <v>0</v>
      </c>
      <c r="AB320" s="309">
        <v>0</v>
      </c>
      <c r="AC320" s="309">
        <v>0</v>
      </c>
      <c r="AD320" s="309">
        <v>0</v>
      </c>
      <c r="AE320" s="309">
        <v>0</v>
      </c>
      <c r="AF320" s="271">
        <f t="shared" si="45"/>
        <v>0</v>
      </c>
      <c r="AG320" s="290"/>
      <c r="AK320" s="358"/>
    </row>
    <row r="321" spans="3:37" hidden="1" outlineLevel="1">
      <c r="C321" s="281"/>
      <c r="D321" s="4200"/>
      <c r="E321" s="128" t="s">
        <v>2771</v>
      </c>
      <c r="F321" s="1704">
        <f t="shared" si="47"/>
        <v>0</v>
      </c>
      <c r="G321" s="1407" t="s">
        <v>1108</v>
      </c>
      <c r="H321" s="1430"/>
      <c r="V321" s="4425"/>
      <c r="W321" s="290">
        <f t="shared" si="46"/>
        <v>0</v>
      </c>
      <c r="X321" s="290">
        <v>0</v>
      </c>
      <c r="Y321" s="290">
        <v>0</v>
      </c>
      <c r="Z321" s="309">
        <v>0</v>
      </c>
      <c r="AA321" s="309">
        <v>0</v>
      </c>
      <c r="AB321" s="309">
        <v>0</v>
      </c>
      <c r="AC321" s="309">
        <v>0</v>
      </c>
      <c r="AD321" s="309">
        <v>0</v>
      </c>
      <c r="AE321" s="309">
        <v>0</v>
      </c>
      <c r="AF321" s="271">
        <f t="shared" si="45"/>
        <v>0</v>
      </c>
      <c r="AG321" s="290"/>
      <c r="AK321" s="358"/>
    </row>
    <row r="322" spans="3:37" hidden="1" outlineLevel="1">
      <c r="C322" s="281"/>
      <c r="D322" s="4200"/>
      <c r="E322" s="128" t="s">
        <v>2773</v>
      </c>
      <c r="F322" s="1703">
        <f t="shared" si="47"/>
        <v>3.9075587323943659E-2</v>
      </c>
      <c r="G322" s="1407" t="s">
        <v>1108</v>
      </c>
      <c r="H322" s="1430"/>
      <c r="V322" s="4425"/>
      <c r="W322" s="290">
        <f t="shared" si="46"/>
        <v>61.825022115492956</v>
      </c>
      <c r="X322" s="290">
        <v>61.825022115492956</v>
      </c>
      <c r="Y322" s="290">
        <v>4.5898308920187786E-2</v>
      </c>
      <c r="Z322" s="309">
        <v>4.5898308920187786E-2</v>
      </c>
      <c r="AA322" s="309">
        <v>4.5898308920187786E-2</v>
      </c>
      <c r="AB322" s="309">
        <v>4.5898308920187786E-2</v>
      </c>
      <c r="AC322" s="309">
        <v>4.5898308920187786E-2</v>
      </c>
      <c r="AD322" s="309">
        <v>4.5898308920187786E-2</v>
      </c>
      <c r="AE322" s="309">
        <v>4.5898308920187786E-2</v>
      </c>
      <c r="AF322" s="271">
        <f t="shared" si="45"/>
        <v>3.9075587323943659E-2</v>
      </c>
      <c r="AG322" s="290"/>
      <c r="AK322" s="358"/>
    </row>
    <row r="323" spans="3:37" hidden="1" outlineLevel="1">
      <c r="C323" s="281"/>
      <c r="D323" s="4200"/>
      <c r="E323" s="128" t="s">
        <v>2775</v>
      </c>
      <c r="F323" s="1704">
        <f t="shared" si="47"/>
        <v>0</v>
      </c>
      <c r="G323" s="1407" t="s">
        <v>1108</v>
      </c>
      <c r="H323" s="1430"/>
      <c r="V323" s="4425"/>
      <c r="W323" s="290">
        <f t="shared" si="46"/>
        <v>0</v>
      </c>
      <c r="X323" s="290">
        <v>0</v>
      </c>
      <c r="Y323" s="290">
        <v>0</v>
      </c>
      <c r="Z323" s="309">
        <v>0</v>
      </c>
      <c r="AA323" s="309">
        <v>0</v>
      </c>
      <c r="AB323" s="309">
        <v>0</v>
      </c>
      <c r="AC323" s="309">
        <v>0</v>
      </c>
      <c r="AD323" s="309">
        <v>0</v>
      </c>
      <c r="AE323" s="309">
        <v>0</v>
      </c>
      <c r="AF323" s="271">
        <f t="shared" si="45"/>
        <v>0</v>
      </c>
      <c r="AG323" s="290"/>
      <c r="AK323" s="358"/>
    </row>
    <row r="324" spans="3:37" hidden="1" outlineLevel="1">
      <c r="C324" s="281"/>
      <c r="D324" s="4200"/>
      <c r="E324" s="128" t="s">
        <v>2777</v>
      </c>
      <c r="F324" s="1704">
        <f>(1-F170)*(1/(F200+5)-1/(F230+5))*F260*(1-F$283)*F$284*24*F$286/(100000*F294)</f>
        <v>0</v>
      </c>
      <c r="G324" s="1407" t="s">
        <v>1108</v>
      </c>
      <c r="H324" s="1430"/>
      <c r="V324" s="4425"/>
      <c r="W324" s="290">
        <f t="shared" si="46"/>
        <v>0</v>
      </c>
      <c r="X324" s="290">
        <v>0</v>
      </c>
      <c r="Y324" s="290">
        <v>0</v>
      </c>
      <c r="Z324" s="309">
        <v>0</v>
      </c>
      <c r="AA324" s="309">
        <v>0</v>
      </c>
      <c r="AB324" s="309">
        <v>0</v>
      </c>
      <c r="AC324" s="309">
        <v>0</v>
      </c>
      <c r="AD324" s="309">
        <v>0</v>
      </c>
      <c r="AE324" s="309">
        <v>0</v>
      </c>
      <c r="AF324" s="271">
        <f t="shared" si="45"/>
        <v>0</v>
      </c>
      <c r="AG324" s="290"/>
      <c r="AK324" s="358"/>
    </row>
    <row r="325" spans="3:37" hidden="1" outlineLevel="1">
      <c r="C325" s="281"/>
      <c r="D325" s="4200"/>
      <c r="E325" s="128" t="s">
        <v>2779</v>
      </c>
      <c r="F325" s="1703">
        <f t="shared" si="47"/>
        <v>6.3461104225352116E-2</v>
      </c>
      <c r="G325" s="1407" t="s">
        <v>1108</v>
      </c>
      <c r="H325" s="1430"/>
      <c r="V325" s="4425"/>
      <c r="W325" s="290">
        <f t="shared" si="46"/>
        <v>53.587966654647893</v>
      </c>
      <c r="X325" s="290">
        <v>53.587966654647893</v>
      </c>
      <c r="Y325" s="290">
        <v>7.4541614486921537E-2</v>
      </c>
      <c r="Z325" s="309">
        <v>7.4541614486921537E-2</v>
      </c>
      <c r="AA325" s="309">
        <v>7.4541614486921537E-2</v>
      </c>
      <c r="AB325" s="309">
        <v>7.4541614486921537E-2</v>
      </c>
      <c r="AC325" s="309">
        <v>7.4541614486921537E-2</v>
      </c>
      <c r="AD325" s="309">
        <v>7.4541614486921537E-2</v>
      </c>
      <c r="AE325" s="309">
        <v>7.4541614486921537E-2</v>
      </c>
      <c r="AF325" s="271">
        <f t="shared" si="45"/>
        <v>6.3461104225352116E-2</v>
      </c>
      <c r="AG325" s="290"/>
      <c r="AK325" s="358"/>
    </row>
    <row r="326" spans="3:37" hidden="1" outlineLevel="1">
      <c r="C326" s="281"/>
      <c r="D326" s="4200"/>
      <c r="E326" s="128" t="s">
        <v>2781</v>
      </c>
      <c r="F326" s="1704">
        <f t="shared" si="47"/>
        <v>0</v>
      </c>
      <c r="G326" s="1407" t="s">
        <v>1108</v>
      </c>
      <c r="H326" s="1430"/>
      <c r="V326" s="4425"/>
      <c r="W326" s="290">
        <f t="shared" si="46"/>
        <v>0</v>
      </c>
      <c r="X326" s="290">
        <v>0</v>
      </c>
      <c r="Y326" s="290">
        <v>0</v>
      </c>
      <c r="Z326" s="309">
        <v>0</v>
      </c>
      <c r="AA326" s="309">
        <v>0</v>
      </c>
      <c r="AB326" s="309">
        <v>0</v>
      </c>
      <c r="AC326" s="309">
        <v>0</v>
      </c>
      <c r="AD326" s="309">
        <v>0</v>
      </c>
      <c r="AE326" s="309">
        <v>0</v>
      </c>
      <c r="AF326" s="271">
        <f t="shared" si="45"/>
        <v>0</v>
      </c>
      <c r="AG326" s="290"/>
      <c r="AK326" s="358"/>
    </row>
    <row r="327" spans="3:37" hidden="1" outlineLevel="1">
      <c r="C327" s="281"/>
      <c r="D327" s="4200"/>
      <c r="E327" s="128" t="s">
        <v>2783</v>
      </c>
      <c r="F327" s="1704">
        <f t="shared" si="47"/>
        <v>0</v>
      </c>
      <c r="G327" s="1407" t="s">
        <v>1108</v>
      </c>
      <c r="H327" s="1430"/>
      <c r="V327" s="4425"/>
      <c r="W327" s="290">
        <f t="shared" si="46"/>
        <v>0</v>
      </c>
      <c r="X327" s="290">
        <v>0</v>
      </c>
      <c r="Y327" s="290">
        <v>0</v>
      </c>
      <c r="Z327" s="309">
        <v>0</v>
      </c>
      <c r="AA327" s="309">
        <v>0</v>
      </c>
      <c r="AB327" s="309">
        <v>0</v>
      </c>
      <c r="AC327" s="309">
        <v>0</v>
      </c>
      <c r="AD327" s="309">
        <v>0</v>
      </c>
      <c r="AE327" s="309">
        <v>0</v>
      </c>
      <c r="AF327" s="271">
        <f t="shared" si="45"/>
        <v>0</v>
      </c>
      <c r="AG327" s="290"/>
      <c r="AK327" s="358"/>
    </row>
    <row r="328" spans="3:37" hidden="1" outlineLevel="1">
      <c r="C328" s="281"/>
      <c r="D328" s="4200"/>
      <c r="E328" s="128" t="s">
        <v>2785</v>
      </c>
      <c r="F328" s="1703">
        <f t="shared" si="47"/>
        <v>6.3461104225352116E-2</v>
      </c>
      <c r="G328" s="1407" t="s">
        <v>1108</v>
      </c>
      <c r="H328" s="1430"/>
      <c r="V328" s="4425"/>
      <c r="W328" s="290">
        <f t="shared" si="46"/>
        <v>82.443025622535217</v>
      </c>
      <c r="X328" s="290">
        <v>82.443025622535217</v>
      </c>
      <c r="Y328" s="290">
        <v>7.4541614486921537E-2</v>
      </c>
      <c r="Z328" s="309">
        <v>7.4541614486921537E-2</v>
      </c>
      <c r="AA328" s="309">
        <v>7.4541614486921537E-2</v>
      </c>
      <c r="AB328" s="309">
        <v>7.4541614486921537E-2</v>
      </c>
      <c r="AC328" s="309">
        <v>7.4541614486921537E-2</v>
      </c>
      <c r="AD328" s="309">
        <v>7.4541614486921537E-2</v>
      </c>
      <c r="AE328" s="309">
        <v>7.4541614486921537E-2</v>
      </c>
      <c r="AF328" s="271">
        <f t="shared" si="45"/>
        <v>6.3461104225352116E-2</v>
      </c>
      <c r="AG328" s="290"/>
      <c r="AK328" s="358"/>
    </row>
    <row r="329" spans="3:37" hidden="1" outlineLevel="1">
      <c r="C329" s="281"/>
      <c r="D329" s="4200"/>
      <c r="E329" s="128" t="s">
        <v>2787</v>
      </c>
      <c r="F329" s="1704">
        <f t="shared" si="47"/>
        <v>0</v>
      </c>
      <c r="G329" s="1407" t="s">
        <v>1108</v>
      </c>
      <c r="H329" s="1430"/>
      <c r="V329" s="4425"/>
      <c r="W329" s="290">
        <f t="shared" si="46"/>
        <v>0</v>
      </c>
      <c r="X329" s="290">
        <v>0</v>
      </c>
      <c r="Y329" s="290">
        <v>0</v>
      </c>
      <c r="Z329" s="309">
        <v>0</v>
      </c>
      <c r="AA329" s="309">
        <v>0</v>
      </c>
      <c r="AB329" s="309">
        <v>0</v>
      </c>
      <c r="AC329" s="309">
        <v>0</v>
      </c>
      <c r="AD329" s="309">
        <v>0</v>
      </c>
      <c r="AE329" s="309">
        <v>0</v>
      </c>
      <c r="AF329" s="271">
        <f t="shared" si="45"/>
        <v>0</v>
      </c>
      <c r="AG329" s="290"/>
      <c r="AK329" s="358"/>
    </row>
    <row r="330" spans="3:37" hidden="1" outlineLevel="1">
      <c r="C330" s="281"/>
      <c r="D330" s="4200"/>
      <c r="E330" s="128" t="s">
        <v>2789</v>
      </c>
      <c r="F330" s="1704">
        <f t="shared" si="47"/>
        <v>0</v>
      </c>
      <c r="G330" s="1407" t="s">
        <v>1108</v>
      </c>
      <c r="H330" s="1430"/>
      <c r="V330" s="4425"/>
      <c r="W330" s="290">
        <f t="shared" si="46"/>
        <v>0</v>
      </c>
      <c r="X330" s="290">
        <v>0</v>
      </c>
      <c r="Y330" s="290">
        <v>0</v>
      </c>
      <c r="Z330" s="309">
        <v>0</v>
      </c>
      <c r="AA330" s="309">
        <v>0</v>
      </c>
      <c r="AB330" s="309">
        <v>0</v>
      </c>
      <c r="AC330" s="309">
        <v>0</v>
      </c>
      <c r="AD330" s="309">
        <v>0</v>
      </c>
      <c r="AE330" s="309">
        <v>0</v>
      </c>
      <c r="AF330" s="271">
        <f t="shared" si="45"/>
        <v>0</v>
      </c>
      <c r="AG330" s="290"/>
      <c r="AK330" s="358"/>
    </row>
    <row r="331" spans="3:37" hidden="1" outlineLevel="1">
      <c r="C331" s="281"/>
      <c r="D331" s="4200"/>
      <c r="E331" s="128" t="s">
        <v>2791</v>
      </c>
      <c r="F331" s="1703">
        <f t="shared" si="47"/>
        <v>6.818379105142483E-2</v>
      </c>
      <c r="G331" s="1407" t="s">
        <v>1108</v>
      </c>
      <c r="H331" s="1430"/>
      <c r="V331" s="4425"/>
      <c r="W331" s="290">
        <f t="shared" si="46"/>
        <v>57.57590835917982</v>
      </c>
      <c r="X331" s="290">
        <v>57.57590835917982</v>
      </c>
      <c r="Y331" s="290">
        <v>8.0088897425483141E-2</v>
      </c>
      <c r="Z331" s="309">
        <v>8.0088897425483141E-2</v>
      </c>
      <c r="AA331" s="309">
        <v>8.0088897425483141E-2</v>
      </c>
      <c r="AB331" s="309">
        <v>8.0088897425483141E-2</v>
      </c>
      <c r="AC331" s="309">
        <v>8.0088897425483141E-2</v>
      </c>
      <c r="AD331" s="309">
        <v>8.0088897425483141E-2</v>
      </c>
      <c r="AE331" s="309">
        <v>8.0088897425483141E-2</v>
      </c>
      <c r="AF331" s="271">
        <f t="shared" si="45"/>
        <v>6.818379105142483E-2</v>
      </c>
      <c r="AG331" s="290"/>
      <c r="AK331" s="358"/>
    </row>
    <row r="332" spans="3:37" hidden="1" outlineLevel="1">
      <c r="C332" s="281"/>
      <c r="D332" s="4200"/>
      <c r="E332" s="128" t="s">
        <v>2793</v>
      </c>
      <c r="F332" s="1704">
        <f t="shared" si="47"/>
        <v>0</v>
      </c>
      <c r="G332" s="1407" t="s">
        <v>1108</v>
      </c>
      <c r="H332" s="1430"/>
      <c r="V332" s="4425"/>
      <c r="W332" s="290">
        <f t="shared" si="46"/>
        <v>0</v>
      </c>
      <c r="X332" s="290">
        <v>0</v>
      </c>
      <c r="Y332" s="290">
        <v>0</v>
      </c>
      <c r="Z332" s="309">
        <v>0</v>
      </c>
      <c r="AA332" s="309">
        <v>0</v>
      </c>
      <c r="AB332" s="309">
        <v>0</v>
      </c>
      <c r="AC332" s="309">
        <v>0</v>
      </c>
      <c r="AD332" s="309">
        <v>0</v>
      </c>
      <c r="AE332" s="309">
        <v>0</v>
      </c>
      <c r="AF332" s="271">
        <f t="shared" si="45"/>
        <v>0</v>
      </c>
      <c r="AG332" s="290"/>
      <c r="AK332" s="358"/>
    </row>
    <row r="333" spans="3:37" hidden="1" outlineLevel="1">
      <c r="C333" s="281"/>
      <c r="D333" s="4200"/>
      <c r="E333" s="128" t="s">
        <v>2795</v>
      </c>
      <c r="F333" s="1704">
        <f t="shared" si="47"/>
        <v>0</v>
      </c>
      <c r="G333" s="1407" t="s">
        <v>1108</v>
      </c>
      <c r="H333" s="1430"/>
      <c r="V333" s="4425"/>
      <c r="W333" s="290">
        <f t="shared" si="46"/>
        <v>0</v>
      </c>
      <c r="X333" s="290">
        <v>0</v>
      </c>
      <c r="Y333" s="290">
        <v>0</v>
      </c>
      <c r="Z333" s="309">
        <v>0</v>
      </c>
      <c r="AA333" s="309">
        <v>0</v>
      </c>
      <c r="AB333" s="309">
        <v>0</v>
      </c>
      <c r="AC333" s="309">
        <v>0</v>
      </c>
      <c r="AD333" s="309">
        <v>0</v>
      </c>
      <c r="AE333" s="309">
        <v>0</v>
      </c>
      <c r="AF333" s="271">
        <f t="shared" si="45"/>
        <v>0</v>
      </c>
      <c r="AG333" s="290"/>
      <c r="AK333" s="358"/>
    </row>
    <row r="334" spans="3:37" hidden="1" outlineLevel="1">
      <c r="C334" s="281"/>
      <c r="D334" s="4200"/>
      <c r="E334" s="128" t="s">
        <v>2797</v>
      </c>
      <c r="F334" s="1703">
        <f t="shared" si="47"/>
        <v>6.818379105142483E-2</v>
      </c>
      <c r="G334" s="1407" t="s">
        <v>1108</v>
      </c>
      <c r="H334" s="1430"/>
      <c r="V334" s="4425"/>
      <c r="W334" s="290">
        <f t="shared" si="46"/>
        <v>88.578320552584344</v>
      </c>
      <c r="X334" s="290">
        <v>88.578320552584344</v>
      </c>
      <c r="Y334" s="290">
        <v>8.0088897425483141E-2</v>
      </c>
      <c r="Z334" s="309">
        <v>8.0088897425483141E-2</v>
      </c>
      <c r="AA334" s="309">
        <v>8.0088897425483141E-2</v>
      </c>
      <c r="AB334" s="309">
        <v>8.0088897425483141E-2</v>
      </c>
      <c r="AC334" s="309">
        <v>8.0088897425483141E-2</v>
      </c>
      <c r="AD334" s="309">
        <v>8.0088897425483141E-2</v>
      </c>
      <c r="AE334" s="309">
        <v>8.0088897425483141E-2</v>
      </c>
      <c r="AF334" s="271">
        <f t="shared" si="45"/>
        <v>6.818379105142483E-2</v>
      </c>
      <c r="AG334" s="290"/>
      <c r="AK334" s="358"/>
    </row>
    <row r="335" spans="3:37" hidden="1" outlineLevel="1">
      <c r="C335" s="281"/>
      <c r="D335" s="4200"/>
      <c r="E335" s="128" t="s">
        <v>2799</v>
      </c>
      <c r="F335" s="1704">
        <f t="shared" si="47"/>
        <v>0</v>
      </c>
      <c r="G335" s="1407" t="s">
        <v>1108</v>
      </c>
      <c r="H335" s="1430"/>
      <c r="V335" s="4425"/>
      <c r="W335" s="290">
        <f t="shared" si="46"/>
        <v>0</v>
      </c>
      <c r="X335" s="290">
        <v>0</v>
      </c>
      <c r="Y335" s="290">
        <v>0</v>
      </c>
      <c r="Z335" s="309">
        <v>0</v>
      </c>
      <c r="AA335" s="309">
        <v>0</v>
      </c>
      <c r="AB335" s="309">
        <v>0</v>
      </c>
      <c r="AC335" s="309">
        <v>0</v>
      </c>
      <c r="AD335" s="309">
        <v>0</v>
      </c>
      <c r="AE335" s="309">
        <v>0</v>
      </c>
      <c r="AF335" s="271">
        <f t="shared" si="45"/>
        <v>0</v>
      </c>
      <c r="AG335" s="290"/>
      <c r="AK335" s="358"/>
    </row>
    <row r="336" spans="3:37" hidden="1" outlineLevel="1">
      <c r="C336" s="281"/>
      <c r="D336" s="4200"/>
      <c r="E336" s="128" t="s">
        <v>2801</v>
      </c>
      <c r="F336" s="1704">
        <f t="shared" si="47"/>
        <v>0</v>
      </c>
      <c r="G336" s="1407" t="s">
        <v>1108</v>
      </c>
      <c r="H336" s="1430"/>
      <c r="V336" s="4425"/>
      <c r="W336" s="290">
        <f t="shared" si="46"/>
        <v>0</v>
      </c>
      <c r="X336" s="290">
        <v>0</v>
      </c>
      <c r="Y336" s="290">
        <v>0</v>
      </c>
      <c r="Z336" s="309">
        <v>0</v>
      </c>
      <c r="AA336" s="309">
        <v>0</v>
      </c>
      <c r="AB336" s="309">
        <v>0</v>
      </c>
      <c r="AC336" s="309">
        <v>0</v>
      </c>
      <c r="AD336" s="309">
        <v>0</v>
      </c>
      <c r="AE336" s="309">
        <v>0</v>
      </c>
      <c r="AF336" s="271">
        <f t="shared" si="45"/>
        <v>0</v>
      </c>
      <c r="AG336" s="290"/>
      <c r="AK336" s="358"/>
    </row>
    <row r="337" spans="3:37" hidden="1" outlineLevel="1">
      <c r="C337" s="281"/>
      <c r="D337" s="4200"/>
      <c r="E337" s="128" t="s">
        <v>2803</v>
      </c>
      <c r="F337" s="1703">
        <f t="shared" si="47"/>
        <v>7.2392667042253528E-2</v>
      </c>
      <c r="G337" s="1407" t="s">
        <v>1108</v>
      </c>
      <c r="H337" s="1430"/>
      <c r="V337" s="4425"/>
      <c r="W337" s="290">
        <f t="shared" si="46"/>
        <v>61.129976776413137</v>
      </c>
      <c r="X337" s="290">
        <v>61.129976776413137</v>
      </c>
      <c r="Y337" s="290">
        <v>8.5032656525821607E-2</v>
      </c>
      <c r="Z337" s="309">
        <v>8.5032656525821607E-2</v>
      </c>
      <c r="AA337" s="309">
        <v>8.5032656525821607E-2</v>
      </c>
      <c r="AB337" s="309">
        <v>8.5032656525821607E-2</v>
      </c>
      <c r="AC337" s="309">
        <v>8.5032656525821607E-2</v>
      </c>
      <c r="AD337" s="309">
        <v>8.5032656525821607E-2</v>
      </c>
      <c r="AE337" s="309">
        <v>8.5032656525821607E-2</v>
      </c>
      <c r="AF337" s="271">
        <f t="shared" si="45"/>
        <v>7.2392667042253528E-2</v>
      </c>
      <c r="AG337" s="290"/>
      <c r="AK337" s="358"/>
    </row>
    <row r="338" spans="3:37" hidden="1" outlineLevel="1">
      <c r="C338" s="281"/>
      <c r="D338" s="4200"/>
      <c r="E338" s="128" t="s">
        <v>2805</v>
      </c>
      <c r="F338" s="1704">
        <f t="shared" si="47"/>
        <v>0</v>
      </c>
      <c r="G338" s="1407" t="s">
        <v>1108</v>
      </c>
      <c r="H338" s="1430"/>
      <c r="V338" s="4425"/>
      <c r="W338" s="290">
        <f t="shared" si="46"/>
        <v>0</v>
      </c>
      <c r="X338" s="290">
        <v>0</v>
      </c>
      <c r="Y338" s="290">
        <v>0</v>
      </c>
      <c r="Z338" s="309">
        <v>0</v>
      </c>
      <c r="AA338" s="309">
        <v>0</v>
      </c>
      <c r="AB338" s="309">
        <v>0</v>
      </c>
      <c r="AC338" s="309">
        <v>0</v>
      </c>
      <c r="AD338" s="309">
        <v>0</v>
      </c>
      <c r="AE338" s="309">
        <v>0</v>
      </c>
      <c r="AF338" s="271">
        <f t="shared" si="45"/>
        <v>0</v>
      </c>
      <c r="AG338" s="290"/>
      <c r="AK338" s="358"/>
    </row>
    <row r="339" spans="3:37" hidden="1" outlineLevel="1">
      <c r="C339" s="281"/>
      <c r="D339" s="4200"/>
      <c r="E339" s="128" t="s">
        <v>2807</v>
      </c>
      <c r="F339" s="1704">
        <f t="shared" si="47"/>
        <v>0</v>
      </c>
      <c r="G339" s="1407" t="s">
        <v>1108</v>
      </c>
      <c r="H339" s="1430"/>
      <c r="V339" s="4425"/>
      <c r="W339" s="290">
        <f t="shared" si="46"/>
        <v>0</v>
      </c>
      <c r="X339" s="290">
        <v>0</v>
      </c>
      <c r="Y339" s="290">
        <v>0</v>
      </c>
      <c r="Z339" s="309">
        <v>0</v>
      </c>
      <c r="AA339" s="309">
        <v>0</v>
      </c>
      <c r="AB339" s="309">
        <v>0</v>
      </c>
      <c r="AC339" s="309">
        <v>0</v>
      </c>
      <c r="AD339" s="309">
        <v>0</v>
      </c>
      <c r="AE339" s="309">
        <v>0</v>
      </c>
      <c r="AF339" s="271">
        <f t="shared" si="45"/>
        <v>0</v>
      </c>
      <c r="AG339" s="290"/>
      <c r="AK339" s="358"/>
    </row>
    <row r="340" spans="3:37" hidden="1" outlineLevel="1">
      <c r="C340" s="281"/>
      <c r="D340" s="4200"/>
      <c r="E340" s="128" t="s">
        <v>2809</v>
      </c>
      <c r="F340" s="1703">
        <f t="shared" si="47"/>
        <v>7.2392667042253528E-2</v>
      </c>
      <c r="G340" s="1407" t="s">
        <v>1108</v>
      </c>
      <c r="H340" s="1430"/>
      <c r="V340" s="4425"/>
      <c r="W340" s="290">
        <f t="shared" si="46"/>
        <v>94.046118117558692</v>
      </c>
      <c r="X340" s="290">
        <v>94.046118117558692</v>
      </c>
      <c r="Y340" s="290">
        <v>8.5032656525821607E-2</v>
      </c>
      <c r="Z340" s="309">
        <v>8.5032656525821607E-2</v>
      </c>
      <c r="AA340" s="309">
        <v>8.5032656525821607E-2</v>
      </c>
      <c r="AB340" s="309">
        <v>8.5032656525821607E-2</v>
      </c>
      <c r="AC340" s="309">
        <v>8.5032656525821607E-2</v>
      </c>
      <c r="AD340" s="309">
        <v>8.5032656525821607E-2</v>
      </c>
      <c r="AE340" s="309">
        <v>8.5032656525821607E-2</v>
      </c>
      <c r="AF340" s="271">
        <f t="shared" si="45"/>
        <v>7.2392667042253528E-2</v>
      </c>
      <c r="AG340" s="290"/>
      <c r="AK340" s="358"/>
    </row>
    <row r="341" spans="3:37" hidden="1" outlineLevel="1">
      <c r="C341" s="281"/>
      <c r="D341" s="4200"/>
      <c r="E341" s="128" t="s">
        <v>2811</v>
      </c>
      <c r="F341" s="1704">
        <f t="shared" si="47"/>
        <v>0</v>
      </c>
      <c r="G341" s="1407" t="s">
        <v>1108</v>
      </c>
      <c r="H341" s="1430"/>
      <c r="V341" s="4425"/>
      <c r="W341" s="290">
        <f t="shared" si="46"/>
        <v>0</v>
      </c>
      <c r="X341" s="290">
        <v>0</v>
      </c>
      <c r="Y341" s="290">
        <v>0</v>
      </c>
      <c r="Z341" s="309">
        <v>0</v>
      </c>
      <c r="AA341" s="309">
        <v>0</v>
      </c>
      <c r="AB341" s="309">
        <v>0</v>
      </c>
      <c r="AC341" s="309">
        <v>0</v>
      </c>
      <c r="AD341" s="309">
        <v>0</v>
      </c>
      <c r="AE341" s="309">
        <v>0</v>
      </c>
      <c r="AF341" s="271">
        <f t="shared" si="45"/>
        <v>0</v>
      </c>
      <c r="AG341" s="290"/>
      <c r="AK341" s="358"/>
    </row>
    <row r="342" spans="3:37" hidden="1" outlineLevel="1">
      <c r="C342" s="281"/>
      <c r="D342" s="4200"/>
      <c r="E342" s="128" t="s">
        <v>2813</v>
      </c>
      <c r="F342" s="1704">
        <f t="shared" si="47"/>
        <v>0</v>
      </c>
      <c r="G342" s="1407" t="s">
        <v>1108</v>
      </c>
      <c r="H342" s="1430"/>
      <c r="V342" s="4425"/>
      <c r="W342" s="290">
        <f t="shared" si="46"/>
        <v>0</v>
      </c>
      <c r="X342" s="290">
        <v>0</v>
      </c>
      <c r="Y342" s="290">
        <v>0</v>
      </c>
      <c r="Z342" s="309">
        <v>0</v>
      </c>
      <c r="AA342" s="309">
        <v>0</v>
      </c>
      <c r="AB342" s="309">
        <v>0</v>
      </c>
      <c r="AC342" s="309">
        <v>0</v>
      </c>
      <c r="AD342" s="309">
        <v>0</v>
      </c>
      <c r="AE342" s="309">
        <v>0</v>
      </c>
      <c r="AF342" s="271">
        <f t="shared" si="45"/>
        <v>0</v>
      </c>
      <c r="AG342" s="290"/>
      <c r="AK342" s="358"/>
    </row>
    <row r="343" spans="3:37" hidden="1" outlineLevel="1">
      <c r="C343" s="281"/>
      <c r="D343" s="4200"/>
      <c r="E343" s="128" t="s">
        <v>2815</v>
      </c>
      <c r="F343" s="1703">
        <f t="shared" si="47"/>
        <v>7.51770003900325E-2</v>
      </c>
      <c r="G343" s="1407" t="s">
        <v>1108</v>
      </c>
      <c r="H343" s="1430"/>
      <c r="V343" s="4425"/>
      <c r="W343" s="290">
        <f t="shared" si="46"/>
        <v>63.481129729352105</v>
      </c>
      <c r="X343" s="290">
        <v>63.481129729352105</v>
      </c>
      <c r="Y343" s="290">
        <v>8.8303143315276264E-2</v>
      </c>
      <c r="Z343" s="309">
        <v>8.8303143315276264E-2</v>
      </c>
      <c r="AA343" s="309">
        <v>8.8303143315276264E-2</v>
      </c>
      <c r="AB343" s="309">
        <v>8.8303143315276264E-2</v>
      </c>
      <c r="AC343" s="309">
        <v>8.8303143315276264E-2</v>
      </c>
      <c r="AD343" s="309">
        <v>8.8303143315276264E-2</v>
      </c>
      <c r="AE343" s="309">
        <v>8.8303143315276264E-2</v>
      </c>
      <c r="AF343" s="271">
        <f t="shared" si="45"/>
        <v>7.51770003900325E-2</v>
      </c>
      <c r="AG343" s="290"/>
      <c r="AK343" s="358"/>
    </row>
    <row r="344" spans="3:37" hidden="1" outlineLevel="1">
      <c r="C344" s="281"/>
      <c r="D344" s="4200"/>
      <c r="E344" s="128" t="s">
        <v>2817</v>
      </c>
      <c r="F344" s="1704">
        <f t="shared" si="47"/>
        <v>0</v>
      </c>
      <c r="G344" s="1407" t="s">
        <v>1108</v>
      </c>
      <c r="H344" s="1430"/>
      <c r="V344" s="4425"/>
      <c r="W344" s="290">
        <f t="shared" si="46"/>
        <v>0</v>
      </c>
      <c r="X344" s="290">
        <v>0</v>
      </c>
      <c r="Y344" s="290">
        <v>0</v>
      </c>
      <c r="Z344" s="309">
        <v>0</v>
      </c>
      <c r="AA344" s="309">
        <v>0</v>
      </c>
      <c r="AB344" s="309">
        <v>0</v>
      </c>
      <c r="AC344" s="309">
        <v>0</v>
      </c>
      <c r="AD344" s="309">
        <v>0</v>
      </c>
      <c r="AE344" s="309">
        <v>0</v>
      </c>
      <c r="AF344" s="271">
        <f t="shared" si="45"/>
        <v>0</v>
      </c>
      <c r="AG344" s="290"/>
      <c r="AK344" s="358"/>
    </row>
    <row r="345" spans="3:37" hidden="1" outlineLevel="1">
      <c r="C345" s="281"/>
      <c r="D345" s="4200"/>
      <c r="E345" s="128" t="s">
        <v>2819</v>
      </c>
      <c r="F345" s="1704">
        <f t="shared" si="47"/>
        <v>0</v>
      </c>
      <c r="G345" s="1407" t="s">
        <v>1108</v>
      </c>
      <c r="H345" s="1430"/>
      <c r="V345" s="4425"/>
      <c r="W345" s="290">
        <f t="shared" si="46"/>
        <v>0</v>
      </c>
      <c r="X345" s="290">
        <v>0</v>
      </c>
      <c r="Y345" s="290">
        <v>0</v>
      </c>
      <c r="Z345" s="309">
        <v>0</v>
      </c>
      <c r="AA345" s="309">
        <v>0</v>
      </c>
      <c r="AB345" s="309">
        <v>0</v>
      </c>
      <c r="AC345" s="309">
        <v>0</v>
      </c>
      <c r="AD345" s="309">
        <v>0</v>
      </c>
      <c r="AE345" s="309">
        <v>0</v>
      </c>
      <c r="AF345" s="271">
        <f t="shared" si="45"/>
        <v>0</v>
      </c>
      <c r="AG345" s="290"/>
      <c r="AK345" s="358"/>
    </row>
    <row r="346" spans="3:37" hidden="1" outlineLevel="1">
      <c r="C346" s="281"/>
      <c r="D346" s="4200"/>
      <c r="E346" s="128" t="s">
        <v>2821</v>
      </c>
      <c r="F346" s="1703">
        <f t="shared" si="47"/>
        <v>7.51770003900325E-2</v>
      </c>
      <c r="G346" s="1407" t="s">
        <v>1108</v>
      </c>
      <c r="H346" s="1430"/>
      <c r="V346" s="4437"/>
      <c r="W346" s="290">
        <f t="shared" si="46"/>
        <v>97.663276506695567</v>
      </c>
      <c r="X346" s="290">
        <v>97.663276506695567</v>
      </c>
      <c r="Y346" s="290">
        <v>8.8303143315276264E-2</v>
      </c>
      <c r="Z346" s="309">
        <v>8.8303143315276264E-2</v>
      </c>
      <c r="AA346" s="309">
        <v>8.8303143315276264E-2</v>
      </c>
      <c r="AB346" s="309">
        <v>8.8303143315276264E-2</v>
      </c>
      <c r="AC346" s="309">
        <v>8.8303143315276264E-2</v>
      </c>
      <c r="AD346" s="309">
        <v>8.8303143315276264E-2</v>
      </c>
      <c r="AE346" s="309">
        <v>8.8303143315276264E-2</v>
      </c>
      <c r="AF346" s="271">
        <f t="shared" si="45"/>
        <v>7.51770003900325E-2</v>
      </c>
      <c r="AG346" s="290"/>
      <c r="AK346" s="358"/>
    </row>
    <row r="347" spans="3:37" hidden="1" outlineLevel="1">
      <c r="C347" s="281"/>
      <c r="D347" s="1391" t="s">
        <v>1109</v>
      </c>
      <c r="E347" s="128" t="s">
        <v>1102</v>
      </c>
      <c r="F347" s="1684">
        <v>3.1399999999999997E-2</v>
      </c>
      <c r="G347" s="1407" t="s">
        <v>2844</v>
      </c>
      <c r="H347" s="1430"/>
      <c r="V347" s="289" t="str">
        <f>D347</f>
        <v>Fe</v>
      </c>
      <c r="W347" s="291">
        <v>3.1399999999999997E-2</v>
      </c>
      <c r="X347" s="291">
        <v>3.1399999999999997E-2</v>
      </c>
      <c r="Y347" s="291">
        <v>3.1399999999999997E-2</v>
      </c>
      <c r="Z347" s="312">
        <v>3.1399999999999997E-2</v>
      </c>
      <c r="AA347" s="312">
        <v>3.1399999999999997E-2</v>
      </c>
      <c r="AB347" s="312">
        <v>3.1399999999999997E-2</v>
      </c>
      <c r="AC347" s="312">
        <v>3.1399999999999997E-2</v>
      </c>
      <c r="AD347" s="312">
        <v>3.1399999999999997E-2</v>
      </c>
      <c r="AE347" s="312">
        <v>3.1399999999999997E-2</v>
      </c>
      <c r="AF347" s="271">
        <f t="shared" si="45"/>
        <v>3.1399999999999997E-2</v>
      </c>
      <c r="AG347" s="291"/>
      <c r="AK347" s="358"/>
    </row>
    <row r="348" spans="3:37" hidden="1" outlineLevel="1">
      <c r="C348" s="281"/>
      <c r="D348" s="1391" t="s">
        <v>2845</v>
      </c>
      <c r="E348" s="128" t="s">
        <v>1102</v>
      </c>
      <c r="F348" s="1680">
        <v>1646</v>
      </c>
      <c r="G348" s="1407" t="s">
        <v>1117</v>
      </c>
      <c r="H348" s="1430" t="s">
        <v>2846</v>
      </c>
      <c r="V348" s="289" t="str">
        <f>D348</f>
        <v>CDD</v>
      </c>
      <c r="W348" s="279">
        <v>1646</v>
      </c>
      <c r="X348" s="279">
        <v>1646</v>
      </c>
      <c r="Y348" s="279">
        <v>1646</v>
      </c>
      <c r="Z348" s="444">
        <v>1646</v>
      </c>
      <c r="AA348" s="444">
        <v>1646</v>
      </c>
      <c r="AB348" s="444">
        <v>1646</v>
      </c>
      <c r="AC348" s="444">
        <v>1646</v>
      </c>
      <c r="AD348" s="444">
        <v>1646</v>
      </c>
      <c r="AE348" s="444">
        <v>1646</v>
      </c>
      <c r="AF348" s="271">
        <f t="shared" si="45"/>
        <v>1646</v>
      </c>
      <c r="AG348" s="279"/>
      <c r="AK348" s="358"/>
    </row>
    <row r="349" spans="3:37" ht="75" hidden="1" outlineLevel="1">
      <c r="C349" s="281"/>
      <c r="D349" s="1391" t="s">
        <v>2847</v>
      </c>
      <c r="E349" s="128" t="s">
        <v>1102</v>
      </c>
      <c r="F349" s="1685">
        <v>0.75</v>
      </c>
      <c r="G349" s="1600" t="s">
        <v>2848</v>
      </c>
      <c r="H349" s="1430"/>
      <c r="V349" s="289" t="str">
        <f>D349</f>
        <v>DUA</v>
      </c>
      <c r="W349" s="287">
        <v>0.75</v>
      </c>
      <c r="X349" s="287">
        <v>0.75</v>
      </c>
      <c r="Y349" s="287">
        <v>0.75</v>
      </c>
      <c r="Z349" s="313">
        <v>0.75</v>
      </c>
      <c r="AA349" s="313">
        <v>0.75</v>
      </c>
      <c r="AB349" s="313">
        <v>0.75</v>
      </c>
      <c r="AC349" s="313">
        <v>0.75</v>
      </c>
      <c r="AD349" s="313">
        <v>0.75</v>
      </c>
      <c r="AE349" s="313">
        <v>0.75</v>
      </c>
      <c r="AF349" s="271">
        <f t="shared" si="45"/>
        <v>0.75</v>
      </c>
      <c r="AG349" s="287"/>
      <c r="AK349" s="358"/>
    </row>
    <row r="350" spans="3:37" hidden="1" outlineLevel="1">
      <c r="C350" s="281"/>
      <c r="D350" s="4171" t="s">
        <v>2849</v>
      </c>
      <c r="E350" s="128" t="s">
        <v>2763</v>
      </c>
      <c r="F350" s="525">
        <v>0.91</v>
      </c>
      <c r="G350" s="4452" t="s">
        <v>2850</v>
      </c>
      <c r="H350" s="1430" t="s">
        <v>2851</v>
      </c>
      <c r="V350" s="4424" t="str">
        <f>D350</f>
        <v>%cool</v>
      </c>
      <c r="W350" s="287">
        <v>0.91</v>
      </c>
      <c r="X350" s="287">
        <v>0.91</v>
      </c>
      <c r="Y350" s="287">
        <v>0.91</v>
      </c>
      <c r="Z350" s="313">
        <v>0.91</v>
      </c>
      <c r="AA350" s="313">
        <v>0.91</v>
      </c>
      <c r="AB350" s="313">
        <v>0.91</v>
      </c>
      <c r="AC350" s="313">
        <v>0.91</v>
      </c>
      <c r="AD350" s="313">
        <v>0.91</v>
      </c>
      <c r="AE350" s="313">
        <v>0.91</v>
      </c>
      <c r="AF350" s="271">
        <f t="shared" si="45"/>
        <v>0.91</v>
      </c>
      <c r="AG350" s="287"/>
      <c r="AK350" s="358"/>
    </row>
    <row r="351" spans="3:37" hidden="1" outlineLevel="1">
      <c r="C351" s="281"/>
      <c r="D351" s="4171"/>
      <c r="E351" s="128" t="s">
        <v>2765</v>
      </c>
      <c r="F351" s="525">
        <v>1</v>
      </c>
      <c r="G351" s="4452"/>
      <c r="H351" s="1430" t="s">
        <v>2852</v>
      </c>
      <c r="V351" s="4425"/>
      <c r="W351" s="287">
        <v>1</v>
      </c>
      <c r="X351" s="287">
        <v>1</v>
      </c>
      <c r="Y351" s="287">
        <v>1</v>
      </c>
      <c r="Z351" s="313">
        <v>1</v>
      </c>
      <c r="AA351" s="313">
        <v>1</v>
      </c>
      <c r="AB351" s="313">
        <v>1</v>
      </c>
      <c r="AC351" s="313">
        <v>1</v>
      </c>
      <c r="AD351" s="313">
        <v>1</v>
      </c>
      <c r="AE351" s="313">
        <v>1</v>
      </c>
      <c r="AF351" s="271">
        <f t="shared" si="45"/>
        <v>1</v>
      </c>
      <c r="AG351" s="287"/>
      <c r="AK351" s="358"/>
    </row>
    <row r="352" spans="3:37" hidden="1" outlineLevel="1">
      <c r="C352" s="281"/>
      <c r="D352" s="4171"/>
      <c r="E352" s="128" t="s">
        <v>2767</v>
      </c>
      <c r="F352" s="525">
        <v>0.91</v>
      </c>
      <c r="G352" s="4452"/>
      <c r="H352" s="1430" t="s">
        <v>2851</v>
      </c>
      <c r="V352" s="4425"/>
      <c r="W352" s="287">
        <v>0.91</v>
      </c>
      <c r="X352" s="287">
        <v>0.91</v>
      </c>
      <c r="Y352" s="287">
        <v>0.91</v>
      </c>
      <c r="Z352" s="313">
        <v>0.91</v>
      </c>
      <c r="AA352" s="313">
        <v>0.91</v>
      </c>
      <c r="AB352" s="313">
        <v>0.91</v>
      </c>
      <c r="AC352" s="313">
        <v>0.91</v>
      </c>
      <c r="AD352" s="313">
        <v>0.91</v>
      </c>
      <c r="AE352" s="313">
        <v>0.91</v>
      </c>
      <c r="AF352" s="271">
        <f t="shared" si="45"/>
        <v>0.91</v>
      </c>
      <c r="AG352" s="287"/>
      <c r="AK352" s="358"/>
    </row>
    <row r="353" spans="3:37" hidden="1" outlineLevel="1">
      <c r="C353" s="281"/>
      <c r="D353" s="4171"/>
      <c r="E353" s="128" t="s">
        <v>2769</v>
      </c>
      <c r="F353" s="525">
        <v>0.91</v>
      </c>
      <c r="G353" s="4452"/>
      <c r="H353" s="1430" t="s">
        <v>2851</v>
      </c>
      <c r="V353" s="4425"/>
      <c r="W353" s="287">
        <v>0.91</v>
      </c>
      <c r="X353" s="287">
        <v>0.91</v>
      </c>
      <c r="Y353" s="287">
        <v>0.91</v>
      </c>
      <c r="Z353" s="313">
        <v>0.91</v>
      </c>
      <c r="AA353" s="313">
        <v>0.91</v>
      </c>
      <c r="AB353" s="313">
        <v>0.91</v>
      </c>
      <c r="AC353" s="313">
        <v>0.91</v>
      </c>
      <c r="AD353" s="313">
        <v>0.91</v>
      </c>
      <c r="AE353" s="313">
        <v>0.91</v>
      </c>
      <c r="AF353" s="271">
        <f t="shared" si="45"/>
        <v>0.91</v>
      </c>
      <c r="AG353" s="287"/>
      <c r="AK353" s="358"/>
    </row>
    <row r="354" spans="3:37" hidden="1" outlineLevel="1">
      <c r="C354" s="281"/>
      <c r="D354" s="4171"/>
      <c r="E354" s="128" t="s">
        <v>2771</v>
      </c>
      <c r="F354" s="525">
        <v>1</v>
      </c>
      <c r="G354" s="4452"/>
      <c r="H354" s="1430" t="s">
        <v>2852</v>
      </c>
      <c r="V354" s="4425"/>
      <c r="W354" s="287">
        <v>1</v>
      </c>
      <c r="X354" s="287">
        <v>1</v>
      </c>
      <c r="Y354" s="287">
        <v>1</v>
      </c>
      <c r="Z354" s="313">
        <v>1</v>
      </c>
      <c r="AA354" s="313">
        <v>1</v>
      </c>
      <c r="AB354" s="313">
        <v>1</v>
      </c>
      <c r="AC354" s="313">
        <v>1</v>
      </c>
      <c r="AD354" s="313">
        <v>1</v>
      </c>
      <c r="AE354" s="313">
        <v>1</v>
      </c>
      <c r="AF354" s="271">
        <f t="shared" si="45"/>
        <v>1</v>
      </c>
      <c r="AG354" s="287"/>
      <c r="AK354" s="358"/>
    </row>
    <row r="355" spans="3:37" hidden="1" outlineLevel="1">
      <c r="C355" s="281"/>
      <c r="D355" s="4171"/>
      <c r="E355" s="128" t="s">
        <v>2773</v>
      </c>
      <c r="F355" s="525">
        <v>0.91</v>
      </c>
      <c r="G355" s="4452"/>
      <c r="H355" s="1430" t="s">
        <v>2851</v>
      </c>
      <c r="V355" s="4425"/>
      <c r="W355" s="287">
        <v>0.91</v>
      </c>
      <c r="X355" s="287">
        <v>0.91</v>
      </c>
      <c r="Y355" s="287">
        <v>0.91</v>
      </c>
      <c r="Z355" s="313">
        <v>0.91</v>
      </c>
      <c r="AA355" s="313">
        <v>0.91</v>
      </c>
      <c r="AB355" s="313">
        <v>0.91</v>
      </c>
      <c r="AC355" s="313">
        <v>0.91</v>
      </c>
      <c r="AD355" s="313">
        <v>0.91</v>
      </c>
      <c r="AE355" s="313">
        <v>0.91</v>
      </c>
      <c r="AF355" s="271">
        <f t="shared" ref="AF355:AF418" si="48">IF(F355&lt;&gt;"",F355,"")</f>
        <v>0.91</v>
      </c>
      <c r="AG355" s="287"/>
      <c r="AK355" s="358"/>
    </row>
    <row r="356" spans="3:37" hidden="1" outlineLevel="1">
      <c r="C356" s="281"/>
      <c r="D356" s="4171"/>
      <c r="E356" s="128" t="s">
        <v>2775</v>
      </c>
      <c r="F356" s="525">
        <v>0.91</v>
      </c>
      <c r="G356" s="4452"/>
      <c r="H356" s="1430" t="s">
        <v>2851</v>
      </c>
      <c r="V356" s="4425"/>
      <c r="W356" s="287">
        <v>0.91</v>
      </c>
      <c r="X356" s="287">
        <v>0.91</v>
      </c>
      <c r="Y356" s="287">
        <v>0.91</v>
      </c>
      <c r="Z356" s="313">
        <v>0.91</v>
      </c>
      <c r="AA356" s="313">
        <v>0.91</v>
      </c>
      <c r="AB356" s="313">
        <v>0.91</v>
      </c>
      <c r="AC356" s="313">
        <v>0.91</v>
      </c>
      <c r="AD356" s="313">
        <v>0.91</v>
      </c>
      <c r="AE356" s="313">
        <v>0.91</v>
      </c>
      <c r="AF356" s="271">
        <f t="shared" si="48"/>
        <v>0.91</v>
      </c>
      <c r="AG356" s="287"/>
      <c r="AK356" s="358"/>
    </row>
    <row r="357" spans="3:37" hidden="1" outlineLevel="1">
      <c r="C357" s="281"/>
      <c r="D357" s="4171"/>
      <c r="E357" s="128" t="s">
        <v>2777</v>
      </c>
      <c r="F357" s="525">
        <v>1</v>
      </c>
      <c r="G357" s="4452"/>
      <c r="H357" s="1430" t="s">
        <v>2852</v>
      </c>
      <c r="V357" s="4425"/>
      <c r="W357" s="287">
        <v>1</v>
      </c>
      <c r="X357" s="287">
        <v>1</v>
      </c>
      <c r="Y357" s="287">
        <v>1</v>
      </c>
      <c r="Z357" s="313">
        <v>1</v>
      </c>
      <c r="AA357" s="313">
        <v>1</v>
      </c>
      <c r="AB357" s="313">
        <v>1</v>
      </c>
      <c r="AC357" s="313">
        <v>1</v>
      </c>
      <c r="AD357" s="313">
        <v>1</v>
      </c>
      <c r="AE357" s="313">
        <v>1</v>
      </c>
      <c r="AF357" s="271">
        <f t="shared" si="48"/>
        <v>1</v>
      </c>
      <c r="AG357" s="287"/>
      <c r="AK357" s="358"/>
    </row>
    <row r="358" spans="3:37" hidden="1" outlineLevel="1">
      <c r="C358" s="281"/>
      <c r="D358" s="4171"/>
      <c r="E358" s="128" t="s">
        <v>2779</v>
      </c>
      <c r="F358" s="525">
        <v>0.91</v>
      </c>
      <c r="G358" s="4452"/>
      <c r="H358" s="1430" t="s">
        <v>2851</v>
      </c>
      <c r="V358" s="4425"/>
      <c r="W358" s="287">
        <v>0.91</v>
      </c>
      <c r="X358" s="287">
        <v>0.91</v>
      </c>
      <c r="Y358" s="287">
        <v>0.91</v>
      </c>
      <c r="Z358" s="313">
        <v>0.91</v>
      </c>
      <c r="AA358" s="313">
        <v>0.91</v>
      </c>
      <c r="AB358" s="313">
        <v>0.91</v>
      </c>
      <c r="AC358" s="313">
        <v>0.91</v>
      </c>
      <c r="AD358" s="313">
        <v>0.91</v>
      </c>
      <c r="AE358" s="313">
        <v>0.91</v>
      </c>
      <c r="AF358" s="271">
        <f t="shared" si="48"/>
        <v>0.91</v>
      </c>
      <c r="AG358" s="287"/>
      <c r="AK358" s="358"/>
    </row>
    <row r="359" spans="3:37" hidden="1" outlineLevel="1">
      <c r="C359" s="281"/>
      <c r="D359" s="4171"/>
      <c r="E359" s="128" t="s">
        <v>2781</v>
      </c>
      <c r="F359" s="525">
        <v>0.91</v>
      </c>
      <c r="G359" s="4452"/>
      <c r="H359" s="1430" t="s">
        <v>2851</v>
      </c>
      <c r="V359" s="4425"/>
      <c r="W359" s="287">
        <v>0.91</v>
      </c>
      <c r="X359" s="287">
        <v>0.91</v>
      </c>
      <c r="Y359" s="287">
        <v>0.91</v>
      </c>
      <c r="Z359" s="313">
        <v>0.91</v>
      </c>
      <c r="AA359" s="313">
        <v>0.91</v>
      </c>
      <c r="AB359" s="313">
        <v>0.91</v>
      </c>
      <c r="AC359" s="313">
        <v>0.91</v>
      </c>
      <c r="AD359" s="313">
        <v>0.91</v>
      </c>
      <c r="AE359" s="313">
        <v>0.91</v>
      </c>
      <c r="AF359" s="271">
        <f t="shared" si="48"/>
        <v>0.91</v>
      </c>
      <c r="AG359" s="287"/>
      <c r="AK359" s="358"/>
    </row>
    <row r="360" spans="3:37" hidden="1" outlineLevel="1">
      <c r="C360" s="281"/>
      <c r="D360" s="4171"/>
      <c r="E360" s="128" t="s">
        <v>2783</v>
      </c>
      <c r="F360" s="525">
        <v>1</v>
      </c>
      <c r="G360" s="4452"/>
      <c r="H360" s="1430" t="s">
        <v>2852</v>
      </c>
      <c r="V360" s="4425"/>
      <c r="W360" s="287">
        <v>1</v>
      </c>
      <c r="X360" s="287">
        <v>1</v>
      </c>
      <c r="Y360" s="287">
        <v>1</v>
      </c>
      <c r="Z360" s="313">
        <v>1</v>
      </c>
      <c r="AA360" s="313">
        <v>1</v>
      </c>
      <c r="AB360" s="313">
        <v>1</v>
      </c>
      <c r="AC360" s="313">
        <v>1</v>
      </c>
      <c r="AD360" s="313">
        <v>1</v>
      </c>
      <c r="AE360" s="313">
        <v>1</v>
      </c>
      <c r="AF360" s="271">
        <f t="shared" si="48"/>
        <v>1</v>
      </c>
      <c r="AG360" s="287"/>
      <c r="AK360" s="358"/>
    </row>
    <row r="361" spans="3:37" hidden="1" outlineLevel="1">
      <c r="C361" s="281"/>
      <c r="D361" s="4171"/>
      <c r="E361" s="128" t="s">
        <v>2785</v>
      </c>
      <c r="F361" s="525">
        <v>0.91</v>
      </c>
      <c r="G361" s="4452"/>
      <c r="H361" s="1430" t="s">
        <v>2851</v>
      </c>
      <c r="V361" s="4425"/>
      <c r="W361" s="287">
        <v>0.91</v>
      </c>
      <c r="X361" s="287">
        <v>0.91</v>
      </c>
      <c r="Y361" s="287">
        <v>0.91</v>
      </c>
      <c r="Z361" s="313">
        <v>0.91</v>
      </c>
      <c r="AA361" s="313">
        <v>0.91</v>
      </c>
      <c r="AB361" s="313">
        <v>0.91</v>
      </c>
      <c r="AC361" s="313">
        <v>0.91</v>
      </c>
      <c r="AD361" s="313">
        <v>0.91</v>
      </c>
      <c r="AE361" s="313">
        <v>0.91</v>
      </c>
      <c r="AF361" s="271">
        <f t="shared" si="48"/>
        <v>0.91</v>
      </c>
      <c r="AG361" s="287"/>
      <c r="AK361" s="358"/>
    </row>
    <row r="362" spans="3:37" hidden="1" outlineLevel="1">
      <c r="C362" s="281"/>
      <c r="D362" s="4171"/>
      <c r="E362" s="128" t="s">
        <v>2787</v>
      </c>
      <c r="F362" s="525">
        <v>0.91</v>
      </c>
      <c r="G362" s="4452"/>
      <c r="H362" s="1430" t="s">
        <v>2851</v>
      </c>
      <c r="V362" s="4425"/>
      <c r="W362" s="287">
        <v>0.91</v>
      </c>
      <c r="X362" s="287">
        <v>0.91</v>
      </c>
      <c r="Y362" s="287">
        <v>0.91</v>
      </c>
      <c r="Z362" s="313">
        <v>0.91</v>
      </c>
      <c r="AA362" s="313">
        <v>0.91</v>
      </c>
      <c r="AB362" s="313">
        <v>0.91</v>
      </c>
      <c r="AC362" s="313">
        <v>0.91</v>
      </c>
      <c r="AD362" s="313">
        <v>0.91</v>
      </c>
      <c r="AE362" s="313">
        <v>0.91</v>
      </c>
      <c r="AF362" s="271">
        <f t="shared" si="48"/>
        <v>0.91</v>
      </c>
      <c r="AG362" s="287"/>
      <c r="AK362" s="358"/>
    </row>
    <row r="363" spans="3:37" hidden="1" outlineLevel="1">
      <c r="C363" s="281"/>
      <c r="D363" s="4171"/>
      <c r="E363" s="128" t="s">
        <v>2789</v>
      </c>
      <c r="F363" s="525">
        <v>1</v>
      </c>
      <c r="G363" s="4452"/>
      <c r="H363" s="1430" t="s">
        <v>2852</v>
      </c>
      <c r="V363" s="4425"/>
      <c r="W363" s="287">
        <v>1</v>
      </c>
      <c r="X363" s="287">
        <v>1</v>
      </c>
      <c r="Y363" s="287">
        <v>1</v>
      </c>
      <c r="Z363" s="313">
        <v>1</v>
      </c>
      <c r="AA363" s="313">
        <v>1</v>
      </c>
      <c r="AB363" s="313">
        <v>1</v>
      </c>
      <c r="AC363" s="313">
        <v>1</v>
      </c>
      <c r="AD363" s="313">
        <v>1</v>
      </c>
      <c r="AE363" s="313">
        <v>1</v>
      </c>
      <c r="AF363" s="271">
        <f t="shared" si="48"/>
        <v>1</v>
      </c>
      <c r="AG363" s="287"/>
      <c r="AK363" s="358"/>
    </row>
    <row r="364" spans="3:37" hidden="1" outlineLevel="1">
      <c r="C364" s="281"/>
      <c r="D364" s="4171"/>
      <c r="E364" s="128" t="s">
        <v>2791</v>
      </c>
      <c r="F364" s="525">
        <v>0.91</v>
      </c>
      <c r="G364" s="4452"/>
      <c r="H364" s="1430" t="s">
        <v>2851</v>
      </c>
      <c r="V364" s="4425"/>
      <c r="W364" s="287">
        <v>0.91</v>
      </c>
      <c r="X364" s="287">
        <v>0.91</v>
      </c>
      <c r="Y364" s="287">
        <v>0.91</v>
      </c>
      <c r="Z364" s="313">
        <v>0.91</v>
      </c>
      <c r="AA364" s="313">
        <v>0.91</v>
      </c>
      <c r="AB364" s="313">
        <v>0.91</v>
      </c>
      <c r="AC364" s="313">
        <v>0.91</v>
      </c>
      <c r="AD364" s="313">
        <v>0.91</v>
      </c>
      <c r="AE364" s="313">
        <v>0.91</v>
      </c>
      <c r="AF364" s="271">
        <f t="shared" si="48"/>
        <v>0.91</v>
      </c>
      <c r="AG364" s="287"/>
      <c r="AK364" s="358"/>
    </row>
    <row r="365" spans="3:37" hidden="1" outlineLevel="1">
      <c r="C365" s="281"/>
      <c r="D365" s="4171"/>
      <c r="E365" s="128" t="s">
        <v>2793</v>
      </c>
      <c r="F365" s="525">
        <v>0.91</v>
      </c>
      <c r="G365" s="4452"/>
      <c r="H365" s="1430" t="s">
        <v>2851</v>
      </c>
      <c r="V365" s="4425"/>
      <c r="W365" s="287">
        <v>0.91</v>
      </c>
      <c r="X365" s="287">
        <v>0.91</v>
      </c>
      <c r="Y365" s="287">
        <v>0.91</v>
      </c>
      <c r="Z365" s="313">
        <v>0.91</v>
      </c>
      <c r="AA365" s="313">
        <v>0.91</v>
      </c>
      <c r="AB365" s="313">
        <v>0.91</v>
      </c>
      <c r="AC365" s="313">
        <v>0.91</v>
      </c>
      <c r="AD365" s="313">
        <v>0.91</v>
      </c>
      <c r="AE365" s="313">
        <v>0.91</v>
      </c>
      <c r="AF365" s="271">
        <f t="shared" si="48"/>
        <v>0.91</v>
      </c>
      <c r="AG365" s="287"/>
      <c r="AK365" s="358"/>
    </row>
    <row r="366" spans="3:37" hidden="1" outlineLevel="1">
      <c r="C366" s="281"/>
      <c r="D366" s="4171"/>
      <c r="E366" s="128" t="s">
        <v>2795</v>
      </c>
      <c r="F366" s="525">
        <v>1</v>
      </c>
      <c r="G366" s="4452"/>
      <c r="H366" s="1430" t="s">
        <v>2852</v>
      </c>
      <c r="V366" s="4425"/>
      <c r="W366" s="287">
        <v>1</v>
      </c>
      <c r="X366" s="287">
        <v>1</v>
      </c>
      <c r="Y366" s="287">
        <v>1</v>
      </c>
      <c r="Z366" s="313">
        <v>1</v>
      </c>
      <c r="AA366" s="313">
        <v>1</v>
      </c>
      <c r="AB366" s="313">
        <v>1</v>
      </c>
      <c r="AC366" s="313">
        <v>1</v>
      </c>
      <c r="AD366" s="313">
        <v>1</v>
      </c>
      <c r="AE366" s="313">
        <v>1</v>
      </c>
      <c r="AF366" s="271">
        <f t="shared" si="48"/>
        <v>1</v>
      </c>
      <c r="AG366" s="287"/>
      <c r="AK366" s="358"/>
    </row>
    <row r="367" spans="3:37" hidden="1" outlineLevel="1">
      <c r="C367" s="281"/>
      <c r="D367" s="4171"/>
      <c r="E367" s="128" t="s">
        <v>2797</v>
      </c>
      <c r="F367" s="525">
        <v>0.91</v>
      </c>
      <c r="G367" s="4452"/>
      <c r="H367" s="1430" t="s">
        <v>2851</v>
      </c>
      <c r="V367" s="4425"/>
      <c r="W367" s="287">
        <v>0.91</v>
      </c>
      <c r="X367" s="287">
        <v>0.91</v>
      </c>
      <c r="Y367" s="287">
        <v>0.91</v>
      </c>
      <c r="Z367" s="313">
        <v>0.91</v>
      </c>
      <c r="AA367" s="313">
        <v>0.91</v>
      </c>
      <c r="AB367" s="313">
        <v>0.91</v>
      </c>
      <c r="AC367" s="313">
        <v>0.91</v>
      </c>
      <c r="AD367" s="313">
        <v>0.91</v>
      </c>
      <c r="AE367" s="313">
        <v>0.91</v>
      </c>
      <c r="AF367" s="271">
        <f t="shared" si="48"/>
        <v>0.91</v>
      </c>
      <c r="AG367" s="287"/>
      <c r="AK367" s="358"/>
    </row>
    <row r="368" spans="3:37" hidden="1" outlineLevel="1">
      <c r="C368" s="281"/>
      <c r="D368" s="4171"/>
      <c r="E368" s="128" t="s">
        <v>2799</v>
      </c>
      <c r="F368" s="525">
        <v>0.91</v>
      </c>
      <c r="G368" s="4452"/>
      <c r="H368" s="1430" t="s">
        <v>2851</v>
      </c>
      <c r="V368" s="4425"/>
      <c r="W368" s="287">
        <v>0.91</v>
      </c>
      <c r="X368" s="287">
        <v>0.91</v>
      </c>
      <c r="Y368" s="287">
        <v>0.91</v>
      </c>
      <c r="Z368" s="313">
        <v>0.91</v>
      </c>
      <c r="AA368" s="313">
        <v>0.91</v>
      </c>
      <c r="AB368" s="313">
        <v>0.91</v>
      </c>
      <c r="AC368" s="313">
        <v>0.91</v>
      </c>
      <c r="AD368" s="313">
        <v>0.91</v>
      </c>
      <c r="AE368" s="313">
        <v>0.91</v>
      </c>
      <c r="AF368" s="271">
        <f t="shared" si="48"/>
        <v>0.91</v>
      </c>
      <c r="AG368" s="287"/>
      <c r="AK368" s="358"/>
    </row>
    <row r="369" spans="3:37" hidden="1" outlineLevel="1">
      <c r="C369" s="281"/>
      <c r="D369" s="4171"/>
      <c r="E369" s="128" t="s">
        <v>2801</v>
      </c>
      <c r="F369" s="525">
        <v>1</v>
      </c>
      <c r="G369" s="4452"/>
      <c r="H369" s="1430" t="s">
        <v>2852</v>
      </c>
      <c r="V369" s="4425"/>
      <c r="W369" s="287">
        <v>1</v>
      </c>
      <c r="X369" s="287">
        <v>1</v>
      </c>
      <c r="Y369" s="287">
        <v>1</v>
      </c>
      <c r="Z369" s="313">
        <v>1</v>
      </c>
      <c r="AA369" s="313">
        <v>1</v>
      </c>
      <c r="AB369" s="313">
        <v>1</v>
      </c>
      <c r="AC369" s="313">
        <v>1</v>
      </c>
      <c r="AD369" s="313">
        <v>1</v>
      </c>
      <c r="AE369" s="313">
        <v>1</v>
      </c>
      <c r="AF369" s="271">
        <f t="shared" si="48"/>
        <v>1</v>
      </c>
      <c r="AG369" s="287"/>
      <c r="AK369" s="358"/>
    </row>
    <row r="370" spans="3:37" hidden="1" outlineLevel="1">
      <c r="C370" s="281"/>
      <c r="D370" s="4171"/>
      <c r="E370" s="128" t="s">
        <v>2803</v>
      </c>
      <c r="F370" s="525">
        <v>0.91</v>
      </c>
      <c r="G370" s="4452"/>
      <c r="H370" s="1430" t="s">
        <v>2851</v>
      </c>
      <c r="V370" s="4425"/>
      <c r="W370" s="287">
        <v>0.91</v>
      </c>
      <c r="X370" s="287">
        <v>0.91</v>
      </c>
      <c r="Y370" s="287">
        <v>0.91</v>
      </c>
      <c r="Z370" s="313">
        <v>0.91</v>
      </c>
      <c r="AA370" s="313">
        <v>0.91</v>
      </c>
      <c r="AB370" s="313">
        <v>0.91</v>
      </c>
      <c r="AC370" s="313">
        <v>0.91</v>
      </c>
      <c r="AD370" s="313">
        <v>0.91</v>
      </c>
      <c r="AE370" s="313">
        <v>0.91</v>
      </c>
      <c r="AF370" s="271">
        <f t="shared" si="48"/>
        <v>0.91</v>
      </c>
      <c r="AG370" s="287"/>
      <c r="AK370" s="358"/>
    </row>
    <row r="371" spans="3:37" hidden="1" outlineLevel="1">
      <c r="C371" s="281"/>
      <c r="D371" s="4171"/>
      <c r="E371" s="128" t="s">
        <v>2805</v>
      </c>
      <c r="F371" s="525">
        <v>0.91</v>
      </c>
      <c r="G371" s="4452"/>
      <c r="H371" s="1430" t="s">
        <v>2851</v>
      </c>
      <c r="V371" s="4425"/>
      <c r="W371" s="287">
        <v>0.91</v>
      </c>
      <c r="X371" s="287">
        <v>0.91</v>
      </c>
      <c r="Y371" s="287">
        <v>0.91</v>
      </c>
      <c r="Z371" s="313">
        <v>0.91</v>
      </c>
      <c r="AA371" s="313">
        <v>0.91</v>
      </c>
      <c r="AB371" s="313">
        <v>0.91</v>
      </c>
      <c r="AC371" s="313">
        <v>0.91</v>
      </c>
      <c r="AD371" s="313">
        <v>0.91</v>
      </c>
      <c r="AE371" s="313">
        <v>0.91</v>
      </c>
      <c r="AF371" s="271">
        <f t="shared" si="48"/>
        <v>0.91</v>
      </c>
      <c r="AG371" s="287"/>
      <c r="AK371" s="358"/>
    </row>
    <row r="372" spans="3:37" hidden="1" outlineLevel="1">
      <c r="C372" s="281"/>
      <c r="D372" s="4171"/>
      <c r="E372" s="128" t="s">
        <v>2807</v>
      </c>
      <c r="F372" s="525">
        <v>1</v>
      </c>
      <c r="G372" s="4452"/>
      <c r="H372" s="1430" t="s">
        <v>2852</v>
      </c>
      <c r="V372" s="4425"/>
      <c r="W372" s="287">
        <v>1</v>
      </c>
      <c r="X372" s="287">
        <v>1</v>
      </c>
      <c r="Y372" s="287">
        <v>1</v>
      </c>
      <c r="Z372" s="313">
        <v>1</v>
      </c>
      <c r="AA372" s="313">
        <v>1</v>
      </c>
      <c r="AB372" s="313">
        <v>1</v>
      </c>
      <c r="AC372" s="313">
        <v>1</v>
      </c>
      <c r="AD372" s="313">
        <v>1</v>
      </c>
      <c r="AE372" s="313">
        <v>1</v>
      </c>
      <c r="AF372" s="271">
        <f t="shared" si="48"/>
        <v>1</v>
      </c>
      <c r="AG372" s="287"/>
      <c r="AK372" s="358"/>
    </row>
    <row r="373" spans="3:37" hidden="1" outlineLevel="1">
      <c r="C373" s="281"/>
      <c r="D373" s="4171"/>
      <c r="E373" s="128" t="s">
        <v>2809</v>
      </c>
      <c r="F373" s="525">
        <v>0.91</v>
      </c>
      <c r="G373" s="4452"/>
      <c r="H373" s="1430" t="s">
        <v>2851</v>
      </c>
      <c r="V373" s="4425"/>
      <c r="W373" s="287">
        <v>0.91</v>
      </c>
      <c r="X373" s="287">
        <v>0.91</v>
      </c>
      <c r="Y373" s="287">
        <v>0.91</v>
      </c>
      <c r="Z373" s="313">
        <v>0.91</v>
      </c>
      <c r="AA373" s="313">
        <v>0.91</v>
      </c>
      <c r="AB373" s="313">
        <v>0.91</v>
      </c>
      <c r="AC373" s="313">
        <v>0.91</v>
      </c>
      <c r="AD373" s="313">
        <v>0.91</v>
      </c>
      <c r="AE373" s="313">
        <v>0.91</v>
      </c>
      <c r="AF373" s="271">
        <f t="shared" si="48"/>
        <v>0.91</v>
      </c>
      <c r="AG373" s="287"/>
      <c r="AK373" s="358"/>
    </row>
    <row r="374" spans="3:37" hidden="1" outlineLevel="1">
      <c r="C374" s="281"/>
      <c r="D374" s="4171"/>
      <c r="E374" s="128" t="s">
        <v>2811</v>
      </c>
      <c r="F374" s="525">
        <v>0.91</v>
      </c>
      <c r="G374" s="4452"/>
      <c r="H374" s="1430" t="s">
        <v>2851</v>
      </c>
      <c r="V374" s="4425"/>
      <c r="W374" s="287">
        <v>0.91</v>
      </c>
      <c r="X374" s="287">
        <v>0.91</v>
      </c>
      <c r="Y374" s="287">
        <v>0.91</v>
      </c>
      <c r="Z374" s="313">
        <v>0.91</v>
      </c>
      <c r="AA374" s="313">
        <v>0.91</v>
      </c>
      <c r="AB374" s="313">
        <v>0.91</v>
      </c>
      <c r="AC374" s="313">
        <v>0.91</v>
      </c>
      <c r="AD374" s="313">
        <v>0.91</v>
      </c>
      <c r="AE374" s="313">
        <v>0.91</v>
      </c>
      <c r="AF374" s="271">
        <f t="shared" si="48"/>
        <v>0.91</v>
      </c>
      <c r="AG374" s="287"/>
      <c r="AK374" s="358"/>
    </row>
    <row r="375" spans="3:37" hidden="1" outlineLevel="1">
      <c r="C375" s="281"/>
      <c r="D375" s="4171"/>
      <c r="E375" s="128" t="s">
        <v>2813</v>
      </c>
      <c r="F375" s="525">
        <v>1</v>
      </c>
      <c r="G375" s="4452"/>
      <c r="H375" s="1430" t="s">
        <v>2852</v>
      </c>
      <c r="V375" s="4425"/>
      <c r="W375" s="287">
        <v>1</v>
      </c>
      <c r="X375" s="287">
        <v>1</v>
      </c>
      <c r="Y375" s="287">
        <v>1</v>
      </c>
      <c r="Z375" s="313">
        <v>1</v>
      </c>
      <c r="AA375" s="313">
        <v>1</v>
      </c>
      <c r="AB375" s="313">
        <v>1</v>
      </c>
      <c r="AC375" s="313">
        <v>1</v>
      </c>
      <c r="AD375" s="313">
        <v>1</v>
      </c>
      <c r="AE375" s="313">
        <v>1</v>
      </c>
      <c r="AF375" s="271">
        <f t="shared" si="48"/>
        <v>1</v>
      </c>
      <c r="AG375" s="287"/>
      <c r="AK375" s="358"/>
    </row>
    <row r="376" spans="3:37" hidden="1" outlineLevel="1">
      <c r="C376" s="281"/>
      <c r="D376" s="4171"/>
      <c r="E376" s="128" t="s">
        <v>2815</v>
      </c>
      <c r="F376" s="525">
        <v>0.91</v>
      </c>
      <c r="G376" s="4452"/>
      <c r="H376" s="1430" t="s">
        <v>2851</v>
      </c>
      <c r="V376" s="4425"/>
      <c r="W376" s="287">
        <v>0.91</v>
      </c>
      <c r="X376" s="287">
        <v>0.91</v>
      </c>
      <c r="Y376" s="287">
        <v>0.91</v>
      </c>
      <c r="Z376" s="313">
        <v>0.91</v>
      </c>
      <c r="AA376" s="313">
        <v>0.91</v>
      </c>
      <c r="AB376" s="313">
        <v>0.91</v>
      </c>
      <c r="AC376" s="313">
        <v>0.91</v>
      </c>
      <c r="AD376" s="313">
        <v>0.91</v>
      </c>
      <c r="AE376" s="313">
        <v>0.91</v>
      </c>
      <c r="AF376" s="271">
        <f t="shared" si="48"/>
        <v>0.91</v>
      </c>
      <c r="AG376" s="287"/>
      <c r="AK376" s="358"/>
    </row>
    <row r="377" spans="3:37" hidden="1" outlineLevel="1">
      <c r="C377" s="281"/>
      <c r="D377" s="4171"/>
      <c r="E377" s="128" t="s">
        <v>2817</v>
      </c>
      <c r="F377" s="525">
        <v>0.91</v>
      </c>
      <c r="G377" s="4452"/>
      <c r="H377" s="1430" t="s">
        <v>2851</v>
      </c>
      <c r="V377" s="4425"/>
      <c r="W377" s="287">
        <v>0.91</v>
      </c>
      <c r="X377" s="287">
        <v>0.91</v>
      </c>
      <c r="Y377" s="287">
        <v>0.91</v>
      </c>
      <c r="Z377" s="313">
        <v>0.91</v>
      </c>
      <c r="AA377" s="313">
        <v>0.91</v>
      </c>
      <c r="AB377" s="313">
        <v>0.91</v>
      </c>
      <c r="AC377" s="313">
        <v>0.91</v>
      </c>
      <c r="AD377" s="313">
        <v>0.91</v>
      </c>
      <c r="AE377" s="313">
        <v>0.91</v>
      </c>
      <c r="AF377" s="271">
        <f t="shared" si="48"/>
        <v>0.91</v>
      </c>
      <c r="AG377" s="287"/>
      <c r="AK377" s="358"/>
    </row>
    <row r="378" spans="3:37" hidden="1" outlineLevel="1">
      <c r="C378" s="281"/>
      <c r="D378" s="4171"/>
      <c r="E378" s="128" t="s">
        <v>2819</v>
      </c>
      <c r="F378" s="525">
        <v>1</v>
      </c>
      <c r="G378" s="4452"/>
      <c r="H378" s="1430" t="s">
        <v>2852</v>
      </c>
      <c r="V378" s="4425"/>
      <c r="W378" s="287">
        <v>1</v>
      </c>
      <c r="X378" s="287">
        <v>1</v>
      </c>
      <c r="Y378" s="287">
        <v>1</v>
      </c>
      <c r="Z378" s="313">
        <v>1</v>
      </c>
      <c r="AA378" s="313">
        <v>1</v>
      </c>
      <c r="AB378" s="313">
        <v>1</v>
      </c>
      <c r="AC378" s="313">
        <v>1</v>
      </c>
      <c r="AD378" s="313">
        <v>1</v>
      </c>
      <c r="AE378" s="313">
        <v>1</v>
      </c>
      <c r="AF378" s="271">
        <f t="shared" si="48"/>
        <v>1</v>
      </c>
      <c r="AG378" s="287"/>
      <c r="AK378" s="358"/>
    </row>
    <row r="379" spans="3:37" hidden="1" outlineLevel="1">
      <c r="C379" s="281"/>
      <c r="D379" s="4171"/>
      <c r="E379" s="128" t="s">
        <v>2821</v>
      </c>
      <c r="F379" s="525">
        <v>0.91</v>
      </c>
      <c r="G379" s="4452"/>
      <c r="H379" s="1430" t="s">
        <v>2851</v>
      </c>
      <c r="V379" s="4437"/>
      <c r="W379" s="287">
        <v>0.91</v>
      </c>
      <c r="X379" s="287">
        <v>0.91</v>
      </c>
      <c r="Y379" s="287">
        <v>0.91</v>
      </c>
      <c r="Z379" s="313">
        <v>0.91</v>
      </c>
      <c r="AA379" s="313">
        <v>0.91</v>
      </c>
      <c r="AB379" s="313">
        <v>0.91</v>
      </c>
      <c r="AC379" s="313">
        <v>0.91</v>
      </c>
      <c r="AD379" s="313">
        <v>0.91</v>
      </c>
      <c r="AE379" s="313">
        <v>0.91</v>
      </c>
      <c r="AF379" s="271">
        <f t="shared" si="48"/>
        <v>0.91</v>
      </c>
      <c r="AG379" s="287"/>
      <c r="AK379" s="358"/>
    </row>
    <row r="380" spans="3:37" hidden="1" outlineLevel="1">
      <c r="C380" s="281"/>
      <c r="D380" s="4171" t="s">
        <v>2853</v>
      </c>
      <c r="E380" s="128" t="s">
        <v>2763</v>
      </c>
      <c r="F380" s="1672">
        <v>12.4</v>
      </c>
      <c r="G380" s="1430"/>
      <c r="H380" s="1430"/>
      <c r="V380" s="4424" t="str">
        <f>D380</f>
        <v>ƞcool</v>
      </c>
      <c r="W380" s="279">
        <v>11</v>
      </c>
      <c r="X380" s="279">
        <v>11</v>
      </c>
      <c r="Y380" s="279">
        <v>11</v>
      </c>
      <c r="Z380" s="444">
        <v>11</v>
      </c>
      <c r="AA380" s="444">
        <v>11</v>
      </c>
      <c r="AB380" s="444">
        <v>11</v>
      </c>
      <c r="AC380" s="444">
        <v>11</v>
      </c>
      <c r="AD380" s="444">
        <v>11</v>
      </c>
      <c r="AE380" s="444">
        <v>11</v>
      </c>
      <c r="AF380" s="271">
        <f t="shared" si="48"/>
        <v>12.4</v>
      </c>
      <c r="AG380" s="279"/>
      <c r="AK380" s="358"/>
    </row>
    <row r="381" spans="3:37" hidden="1" outlineLevel="1">
      <c r="C381" s="281"/>
      <c r="D381" s="4171"/>
      <c r="E381" s="128" t="s">
        <v>2765</v>
      </c>
      <c r="F381" s="1672">
        <v>12.4</v>
      </c>
      <c r="G381" s="1430"/>
      <c r="H381" s="4381" t="s">
        <v>1084</v>
      </c>
      <c r="V381" s="4425"/>
      <c r="W381" s="279">
        <v>11</v>
      </c>
      <c r="X381" s="279">
        <v>11</v>
      </c>
      <c r="Y381" s="279">
        <v>11</v>
      </c>
      <c r="Z381" s="444">
        <v>11</v>
      </c>
      <c r="AA381" s="444">
        <v>11</v>
      </c>
      <c r="AB381" s="444">
        <v>11</v>
      </c>
      <c r="AC381" s="444">
        <v>11</v>
      </c>
      <c r="AD381" s="444">
        <v>11</v>
      </c>
      <c r="AE381" s="444">
        <v>11</v>
      </c>
      <c r="AF381" s="271">
        <f t="shared" si="48"/>
        <v>12.4</v>
      </c>
      <c r="AG381" s="279"/>
      <c r="AK381" s="358"/>
    </row>
    <row r="382" spans="3:37" hidden="1" outlineLevel="1">
      <c r="C382" s="281"/>
      <c r="D382" s="4171"/>
      <c r="E382" s="128" t="s">
        <v>2767</v>
      </c>
      <c r="F382" s="1672">
        <v>12.4</v>
      </c>
      <c r="G382" s="1430"/>
      <c r="H382" s="4199"/>
      <c r="V382" s="4425"/>
      <c r="W382" s="279">
        <v>11</v>
      </c>
      <c r="X382" s="279">
        <v>11</v>
      </c>
      <c r="Y382" s="279">
        <v>11</v>
      </c>
      <c r="Z382" s="444">
        <v>11</v>
      </c>
      <c r="AA382" s="444">
        <v>11</v>
      </c>
      <c r="AB382" s="444">
        <v>11</v>
      </c>
      <c r="AC382" s="444">
        <v>11</v>
      </c>
      <c r="AD382" s="444">
        <v>11</v>
      </c>
      <c r="AE382" s="444">
        <v>11</v>
      </c>
      <c r="AF382" s="271">
        <f t="shared" si="48"/>
        <v>12.4</v>
      </c>
      <c r="AG382" s="279"/>
      <c r="AK382" s="358"/>
    </row>
    <row r="383" spans="3:37" hidden="1" outlineLevel="1">
      <c r="C383" s="281"/>
      <c r="D383" s="4171"/>
      <c r="E383" s="128" t="s">
        <v>2769</v>
      </c>
      <c r="F383" s="1672">
        <v>12.4</v>
      </c>
      <c r="G383" s="1430"/>
      <c r="H383" s="4199"/>
      <c r="V383" s="4425"/>
      <c r="W383" s="279">
        <v>11</v>
      </c>
      <c r="X383" s="279">
        <v>11</v>
      </c>
      <c r="Y383" s="279">
        <v>11</v>
      </c>
      <c r="Z383" s="444">
        <v>11</v>
      </c>
      <c r="AA383" s="444">
        <v>11</v>
      </c>
      <c r="AB383" s="444">
        <v>11</v>
      </c>
      <c r="AC383" s="444">
        <v>11</v>
      </c>
      <c r="AD383" s="444">
        <v>11</v>
      </c>
      <c r="AE383" s="444">
        <v>11</v>
      </c>
      <c r="AF383" s="271">
        <f t="shared" si="48"/>
        <v>12.4</v>
      </c>
      <c r="AG383" s="279"/>
      <c r="AK383" s="358"/>
    </row>
    <row r="384" spans="3:37" hidden="1" outlineLevel="1">
      <c r="C384" s="281"/>
      <c r="D384" s="4171"/>
      <c r="E384" s="128" t="s">
        <v>2771</v>
      </c>
      <c r="F384" s="1672">
        <v>12.4</v>
      </c>
      <c r="G384" s="1430"/>
      <c r="H384" s="4199"/>
      <c r="V384" s="4425"/>
      <c r="W384" s="279">
        <v>11</v>
      </c>
      <c r="X384" s="279">
        <v>11</v>
      </c>
      <c r="Y384" s="279">
        <v>11</v>
      </c>
      <c r="Z384" s="444">
        <v>11</v>
      </c>
      <c r="AA384" s="444">
        <v>11</v>
      </c>
      <c r="AB384" s="444">
        <v>11</v>
      </c>
      <c r="AC384" s="444">
        <v>11</v>
      </c>
      <c r="AD384" s="444">
        <v>11</v>
      </c>
      <c r="AE384" s="444">
        <v>11</v>
      </c>
      <c r="AF384" s="271">
        <f t="shared" si="48"/>
        <v>12.4</v>
      </c>
      <c r="AG384" s="279"/>
      <c r="AK384" s="358"/>
    </row>
    <row r="385" spans="3:37" hidden="1" outlineLevel="1">
      <c r="C385" s="281"/>
      <c r="D385" s="4171"/>
      <c r="E385" s="128" t="s">
        <v>2773</v>
      </c>
      <c r="F385" s="1672">
        <v>12.4</v>
      </c>
      <c r="G385" s="1430"/>
      <c r="H385" s="4199"/>
      <c r="V385" s="4425"/>
      <c r="W385" s="279">
        <v>11</v>
      </c>
      <c r="X385" s="279">
        <v>11</v>
      </c>
      <c r="Y385" s="279">
        <v>11</v>
      </c>
      <c r="Z385" s="444">
        <v>11</v>
      </c>
      <c r="AA385" s="444">
        <v>11</v>
      </c>
      <c r="AB385" s="444">
        <v>11</v>
      </c>
      <c r="AC385" s="444">
        <v>11</v>
      </c>
      <c r="AD385" s="444">
        <v>11</v>
      </c>
      <c r="AE385" s="444">
        <v>11</v>
      </c>
      <c r="AF385" s="271">
        <f t="shared" si="48"/>
        <v>12.4</v>
      </c>
      <c r="AG385" s="279"/>
      <c r="AK385" s="358"/>
    </row>
    <row r="386" spans="3:37" hidden="1" outlineLevel="1">
      <c r="C386" s="281"/>
      <c r="D386" s="4171"/>
      <c r="E386" s="128" t="s">
        <v>2775</v>
      </c>
      <c r="F386" s="1672">
        <v>12.4</v>
      </c>
      <c r="G386" s="1430"/>
      <c r="H386" s="4199"/>
      <c r="V386" s="4425"/>
      <c r="W386" s="279">
        <v>11</v>
      </c>
      <c r="X386" s="279">
        <v>11</v>
      </c>
      <c r="Y386" s="279">
        <v>11</v>
      </c>
      <c r="Z386" s="444">
        <v>11</v>
      </c>
      <c r="AA386" s="444">
        <v>11</v>
      </c>
      <c r="AB386" s="444">
        <v>11</v>
      </c>
      <c r="AC386" s="444">
        <v>11</v>
      </c>
      <c r="AD386" s="444">
        <v>11</v>
      </c>
      <c r="AE386" s="444">
        <v>11</v>
      </c>
      <c r="AF386" s="271">
        <f t="shared" si="48"/>
        <v>12.4</v>
      </c>
      <c r="AG386" s="279"/>
      <c r="AK386" s="358"/>
    </row>
    <row r="387" spans="3:37" hidden="1" outlineLevel="1">
      <c r="C387" s="281"/>
      <c r="D387" s="4171"/>
      <c r="E387" s="128" t="s">
        <v>2777</v>
      </c>
      <c r="F387" s="1672">
        <v>12.4</v>
      </c>
      <c r="G387" s="1430"/>
      <c r="H387" s="4199"/>
      <c r="V387" s="4425"/>
      <c r="W387" s="279">
        <v>11</v>
      </c>
      <c r="X387" s="279">
        <v>11</v>
      </c>
      <c r="Y387" s="279">
        <v>11</v>
      </c>
      <c r="Z387" s="444">
        <v>11</v>
      </c>
      <c r="AA387" s="444">
        <v>11</v>
      </c>
      <c r="AB387" s="444">
        <v>11</v>
      </c>
      <c r="AC387" s="444">
        <v>11</v>
      </c>
      <c r="AD387" s="444">
        <v>11</v>
      </c>
      <c r="AE387" s="444">
        <v>11</v>
      </c>
      <c r="AF387" s="271">
        <f t="shared" si="48"/>
        <v>12.4</v>
      </c>
      <c r="AG387" s="279"/>
      <c r="AK387" s="358"/>
    </row>
    <row r="388" spans="3:37" hidden="1" outlineLevel="1">
      <c r="C388" s="281"/>
      <c r="D388" s="4171"/>
      <c r="E388" s="128" t="s">
        <v>2779</v>
      </c>
      <c r="F388" s="1672">
        <v>12.4</v>
      </c>
      <c r="G388" s="1430"/>
      <c r="H388" s="4199"/>
      <c r="V388" s="4425"/>
      <c r="W388" s="279">
        <v>11</v>
      </c>
      <c r="X388" s="279">
        <v>11</v>
      </c>
      <c r="Y388" s="279">
        <v>11</v>
      </c>
      <c r="Z388" s="444">
        <v>11</v>
      </c>
      <c r="AA388" s="444">
        <v>11</v>
      </c>
      <c r="AB388" s="444">
        <v>11</v>
      </c>
      <c r="AC388" s="444">
        <v>11</v>
      </c>
      <c r="AD388" s="444">
        <v>11</v>
      </c>
      <c r="AE388" s="444">
        <v>11</v>
      </c>
      <c r="AF388" s="271">
        <f t="shared" si="48"/>
        <v>12.4</v>
      </c>
      <c r="AG388" s="279"/>
      <c r="AK388" s="358"/>
    </row>
    <row r="389" spans="3:37" hidden="1" outlineLevel="1">
      <c r="C389" s="281"/>
      <c r="D389" s="4171"/>
      <c r="E389" s="128" t="s">
        <v>2781</v>
      </c>
      <c r="F389" s="1672">
        <v>12.4</v>
      </c>
      <c r="G389" s="1430"/>
      <c r="H389" s="4199"/>
      <c r="V389" s="4425"/>
      <c r="W389" s="279">
        <v>11</v>
      </c>
      <c r="X389" s="279">
        <v>11</v>
      </c>
      <c r="Y389" s="279">
        <v>11</v>
      </c>
      <c r="Z389" s="444">
        <v>11</v>
      </c>
      <c r="AA389" s="444">
        <v>11</v>
      </c>
      <c r="AB389" s="444">
        <v>11</v>
      </c>
      <c r="AC389" s="444">
        <v>11</v>
      </c>
      <c r="AD389" s="444">
        <v>11</v>
      </c>
      <c r="AE389" s="444">
        <v>11</v>
      </c>
      <c r="AF389" s="271">
        <f t="shared" si="48"/>
        <v>12.4</v>
      </c>
      <c r="AG389" s="279"/>
      <c r="AK389" s="358"/>
    </row>
    <row r="390" spans="3:37" hidden="1" outlineLevel="1">
      <c r="C390" s="281"/>
      <c r="D390" s="4171"/>
      <c r="E390" s="128" t="s">
        <v>2783</v>
      </c>
      <c r="F390" s="1672">
        <v>12.4</v>
      </c>
      <c r="G390" s="1430"/>
      <c r="H390" s="4199"/>
      <c r="V390" s="4425"/>
      <c r="W390" s="279">
        <v>11</v>
      </c>
      <c r="X390" s="279">
        <v>11</v>
      </c>
      <c r="Y390" s="279">
        <v>11</v>
      </c>
      <c r="Z390" s="444">
        <v>11</v>
      </c>
      <c r="AA390" s="444">
        <v>11</v>
      </c>
      <c r="AB390" s="444">
        <v>11</v>
      </c>
      <c r="AC390" s="444">
        <v>11</v>
      </c>
      <c r="AD390" s="444">
        <v>11</v>
      </c>
      <c r="AE390" s="444">
        <v>11</v>
      </c>
      <c r="AF390" s="271">
        <f t="shared" si="48"/>
        <v>12.4</v>
      </c>
      <c r="AG390" s="279"/>
      <c r="AK390" s="358"/>
    </row>
    <row r="391" spans="3:37" hidden="1" outlineLevel="1">
      <c r="C391" s="281"/>
      <c r="D391" s="4171"/>
      <c r="E391" s="128" t="s">
        <v>2785</v>
      </c>
      <c r="F391" s="1672">
        <v>12.4</v>
      </c>
      <c r="G391" s="1430"/>
      <c r="H391" s="4199"/>
      <c r="V391" s="4425"/>
      <c r="W391" s="279">
        <v>11</v>
      </c>
      <c r="X391" s="279">
        <v>11</v>
      </c>
      <c r="Y391" s="279">
        <v>11</v>
      </c>
      <c r="Z391" s="444">
        <v>11</v>
      </c>
      <c r="AA391" s="444">
        <v>11</v>
      </c>
      <c r="AB391" s="444">
        <v>11</v>
      </c>
      <c r="AC391" s="444">
        <v>11</v>
      </c>
      <c r="AD391" s="444">
        <v>11</v>
      </c>
      <c r="AE391" s="444">
        <v>11</v>
      </c>
      <c r="AF391" s="271">
        <f t="shared" si="48"/>
        <v>12.4</v>
      </c>
      <c r="AG391" s="279"/>
      <c r="AK391" s="358"/>
    </row>
    <row r="392" spans="3:37" hidden="1" outlineLevel="1">
      <c r="C392" s="281"/>
      <c r="D392" s="4171"/>
      <c r="E392" s="128" t="s">
        <v>2787</v>
      </c>
      <c r="F392" s="1672">
        <v>12.4</v>
      </c>
      <c r="G392" s="1430"/>
      <c r="H392" s="4199"/>
      <c r="V392" s="4425"/>
      <c r="W392" s="279">
        <v>11</v>
      </c>
      <c r="X392" s="279">
        <v>11</v>
      </c>
      <c r="Y392" s="279">
        <v>11</v>
      </c>
      <c r="Z392" s="444">
        <v>11</v>
      </c>
      <c r="AA392" s="444">
        <v>11</v>
      </c>
      <c r="AB392" s="444">
        <v>11</v>
      </c>
      <c r="AC392" s="444">
        <v>11</v>
      </c>
      <c r="AD392" s="444">
        <v>11</v>
      </c>
      <c r="AE392" s="444">
        <v>11</v>
      </c>
      <c r="AF392" s="271">
        <f t="shared" si="48"/>
        <v>12.4</v>
      </c>
      <c r="AG392" s="279"/>
      <c r="AK392" s="358"/>
    </row>
    <row r="393" spans="3:37" hidden="1" outlineLevel="1">
      <c r="C393" s="281"/>
      <c r="D393" s="4171"/>
      <c r="E393" s="128" t="s">
        <v>2789</v>
      </c>
      <c r="F393" s="1672">
        <v>12.4</v>
      </c>
      <c r="G393" s="1430"/>
      <c r="H393" s="4199"/>
      <c r="V393" s="4425"/>
      <c r="W393" s="279">
        <v>11</v>
      </c>
      <c r="X393" s="279">
        <v>11</v>
      </c>
      <c r="Y393" s="279">
        <v>11</v>
      </c>
      <c r="Z393" s="444">
        <v>11</v>
      </c>
      <c r="AA393" s="444">
        <v>11</v>
      </c>
      <c r="AB393" s="444">
        <v>11</v>
      </c>
      <c r="AC393" s="444">
        <v>11</v>
      </c>
      <c r="AD393" s="444">
        <v>11</v>
      </c>
      <c r="AE393" s="444">
        <v>11</v>
      </c>
      <c r="AF393" s="271">
        <f t="shared" si="48"/>
        <v>12.4</v>
      </c>
      <c r="AG393" s="279"/>
      <c r="AK393" s="358"/>
    </row>
    <row r="394" spans="3:37" hidden="1" outlineLevel="1">
      <c r="C394" s="281"/>
      <c r="D394" s="4171"/>
      <c r="E394" s="128" t="s">
        <v>2791</v>
      </c>
      <c r="F394" s="1672">
        <v>12.4</v>
      </c>
      <c r="G394" s="1430"/>
      <c r="H394" s="4199"/>
      <c r="V394" s="4425"/>
      <c r="W394" s="279">
        <v>11</v>
      </c>
      <c r="X394" s="279">
        <v>11</v>
      </c>
      <c r="Y394" s="279">
        <v>11</v>
      </c>
      <c r="Z394" s="444">
        <v>11</v>
      </c>
      <c r="AA394" s="444">
        <v>11</v>
      </c>
      <c r="AB394" s="444">
        <v>11</v>
      </c>
      <c r="AC394" s="444">
        <v>11</v>
      </c>
      <c r="AD394" s="444">
        <v>11</v>
      </c>
      <c r="AE394" s="444">
        <v>11</v>
      </c>
      <c r="AF394" s="271">
        <f t="shared" si="48"/>
        <v>12.4</v>
      </c>
      <c r="AG394" s="279"/>
      <c r="AK394" s="358"/>
    </row>
    <row r="395" spans="3:37" hidden="1" outlineLevel="1">
      <c r="C395" s="281"/>
      <c r="D395" s="4171"/>
      <c r="E395" s="128" t="s">
        <v>2793</v>
      </c>
      <c r="F395" s="1672">
        <v>12.4</v>
      </c>
      <c r="G395" s="1430"/>
      <c r="H395" s="4199"/>
      <c r="V395" s="4425"/>
      <c r="W395" s="279">
        <v>11</v>
      </c>
      <c r="X395" s="279">
        <v>11</v>
      </c>
      <c r="Y395" s="279">
        <v>11</v>
      </c>
      <c r="Z395" s="444">
        <v>11</v>
      </c>
      <c r="AA395" s="444">
        <v>11</v>
      </c>
      <c r="AB395" s="444">
        <v>11</v>
      </c>
      <c r="AC395" s="444">
        <v>11</v>
      </c>
      <c r="AD395" s="444">
        <v>11</v>
      </c>
      <c r="AE395" s="444">
        <v>11</v>
      </c>
      <c r="AF395" s="271">
        <f t="shared" si="48"/>
        <v>12.4</v>
      </c>
      <c r="AG395" s="279"/>
      <c r="AK395" s="358"/>
    </row>
    <row r="396" spans="3:37" hidden="1" outlineLevel="1">
      <c r="C396" s="281"/>
      <c r="D396" s="4171"/>
      <c r="E396" s="128" t="s">
        <v>2795</v>
      </c>
      <c r="F396" s="1672">
        <v>12.4</v>
      </c>
      <c r="G396" s="1430"/>
      <c r="H396" s="4199"/>
      <c r="V396" s="4425"/>
      <c r="W396" s="292">
        <v>11</v>
      </c>
      <c r="X396" s="292">
        <v>11</v>
      </c>
      <c r="Y396" s="292">
        <v>11</v>
      </c>
      <c r="Z396" s="591">
        <v>11</v>
      </c>
      <c r="AA396" s="591">
        <v>11</v>
      </c>
      <c r="AB396" s="591">
        <v>11</v>
      </c>
      <c r="AC396" s="591">
        <v>11</v>
      </c>
      <c r="AD396" s="591">
        <v>11</v>
      </c>
      <c r="AE396" s="591">
        <v>11</v>
      </c>
      <c r="AF396" s="271">
        <f t="shared" si="48"/>
        <v>12.4</v>
      </c>
      <c r="AG396" s="292"/>
      <c r="AK396" s="358"/>
    </row>
    <row r="397" spans="3:37" hidden="1" outlineLevel="1">
      <c r="C397" s="281"/>
      <c r="D397" s="4171"/>
      <c r="E397" s="128" t="s">
        <v>2797</v>
      </c>
      <c r="F397" s="1672">
        <v>12.4</v>
      </c>
      <c r="G397" s="1430"/>
      <c r="H397" s="4199"/>
      <c r="V397" s="4425"/>
      <c r="W397" s="293">
        <v>11</v>
      </c>
      <c r="X397" s="293">
        <v>11</v>
      </c>
      <c r="Y397" s="293">
        <v>11</v>
      </c>
      <c r="Z397" s="592">
        <v>11</v>
      </c>
      <c r="AA397" s="592">
        <v>11</v>
      </c>
      <c r="AB397" s="592">
        <v>11</v>
      </c>
      <c r="AC397" s="592">
        <v>11</v>
      </c>
      <c r="AD397" s="592">
        <v>11</v>
      </c>
      <c r="AE397" s="592">
        <v>11</v>
      </c>
      <c r="AF397" s="271">
        <f t="shared" si="48"/>
        <v>12.4</v>
      </c>
      <c r="AG397" s="293"/>
      <c r="AK397" s="358"/>
    </row>
    <row r="398" spans="3:37" hidden="1" outlineLevel="1">
      <c r="C398" s="281"/>
      <c r="D398" s="4171"/>
      <c r="E398" s="128" t="s">
        <v>2799</v>
      </c>
      <c r="F398" s="1672">
        <v>12.4</v>
      </c>
      <c r="G398" s="1430"/>
      <c r="H398" s="4199"/>
      <c r="V398" s="4425"/>
      <c r="W398" s="293">
        <v>11</v>
      </c>
      <c r="X398" s="293">
        <v>11</v>
      </c>
      <c r="Y398" s="293">
        <v>11</v>
      </c>
      <c r="Z398" s="592">
        <v>11</v>
      </c>
      <c r="AA398" s="592">
        <v>11</v>
      </c>
      <c r="AB398" s="592">
        <v>11</v>
      </c>
      <c r="AC398" s="592">
        <v>11</v>
      </c>
      <c r="AD398" s="592">
        <v>11</v>
      </c>
      <c r="AE398" s="592">
        <v>11</v>
      </c>
      <c r="AF398" s="271">
        <f t="shared" si="48"/>
        <v>12.4</v>
      </c>
      <c r="AG398" s="293"/>
      <c r="AK398" s="358"/>
    </row>
    <row r="399" spans="3:37" hidden="1" outlineLevel="1">
      <c r="C399" s="281"/>
      <c r="D399" s="4171"/>
      <c r="E399" s="128" t="s">
        <v>2801</v>
      </c>
      <c r="F399" s="1672">
        <v>12.4</v>
      </c>
      <c r="G399" s="1430"/>
      <c r="H399" s="4199"/>
      <c r="V399" s="4425"/>
      <c r="W399" s="293">
        <v>11</v>
      </c>
      <c r="X399" s="293">
        <v>11</v>
      </c>
      <c r="Y399" s="293">
        <v>11</v>
      </c>
      <c r="Z399" s="592">
        <v>11</v>
      </c>
      <c r="AA399" s="592">
        <v>11</v>
      </c>
      <c r="AB399" s="592">
        <v>11</v>
      </c>
      <c r="AC399" s="592">
        <v>11</v>
      </c>
      <c r="AD399" s="592">
        <v>11</v>
      </c>
      <c r="AE399" s="592">
        <v>11</v>
      </c>
      <c r="AF399" s="271">
        <f t="shared" si="48"/>
        <v>12.4</v>
      </c>
      <c r="AG399" s="293"/>
      <c r="AK399" s="358"/>
    </row>
    <row r="400" spans="3:37" hidden="1" outlineLevel="1">
      <c r="C400" s="281"/>
      <c r="D400" s="4171"/>
      <c r="E400" s="128" t="s">
        <v>2803</v>
      </c>
      <c r="F400" s="1672">
        <v>12.4</v>
      </c>
      <c r="G400" s="1430"/>
      <c r="H400" s="4199"/>
      <c r="V400" s="4425"/>
      <c r="W400" s="293">
        <v>11</v>
      </c>
      <c r="X400" s="293">
        <v>11</v>
      </c>
      <c r="Y400" s="293">
        <v>11</v>
      </c>
      <c r="Z400" s="592">
        <v>11</v>
      </c>
      <c r="AA400" s="592">
        <v>11</v>
      </c>
      <c r="AB400" s="592">
        <v>11</v>
      </c>
      <c r="AC400" s="592">
        <v>11</v>
      </c>
      <c r="AD400" s="592">
        <v>11</v>
      </c>
      <c r="AE400" s="592">
        <v>11</v>
      </c>
      <c r="AF400" s="271">
        <f t="shared" si="48"/>
        <v>12.4</v>
      </c>
      <c r="AG400" s="293"/>
      <c r="AK400" s="358"/>
    </row>
    <row r="401" spans="3:37" hidden="1" outlineLevel="1">
      <c r="C401" s="281"/>
      <c r="D401" s="4171"/>
      <c r="E401" s="128" t="s">
        <v>2805</v>
      </c>
      <c r="F401" s="1672">
        <v>12.4</v>
      </c>
      <c r="G401" s="1430"/>
      <c r="H401" s="4199"/>
      <c r="V401" s="4425"/>
      <c r="W401" s="293">
        <v>11</v>
      </c>
      <c r="X401" s="293">
        <v>11</v>
      </c>
      <c r="Y401" s="293">
        <v>11</v>
      </c>
      <c r="Z401" s="592">
        <v>11</v>
      </c>
      <c r="AA401" s="592">
        <v>11</v>
      </c>
      <c r="AB401" s="592">
        <v>11</v>
      </c>
      <c r="AC401" s="592">
        <v>11</v>
      </c>
      <c r="AD401" s="592">
        <v>11</v>
      </c>
      <c r="AE401" s="592">
        <v>11</v>
      </c>
      <c r="AF401" s="271">
        <f t="shared" si="48"/>
        <v>12.4</v>
      </c>
      <c r="AG401" s="293"/>
      <c r="AK401" s="358"/>
    </row>
    <row r="402" spans="3:37" hidden="1" outlineLevel="1">
      <c r="C402" s="281"/>
      <c r="D402" s="4171"/>
      <c r="E402" s="128" t="s">
        <v>2807</v>
      </c>
      <c r="F402" s="1672">
        <v>12.4</v>
      </c>
      <c r="G402" s="1430"/>
      <c r="H402" s="4199"/>
      <c r="V402" s="4425"/>
      <c r="W402" s="293">
        <v>11</v>
      </c>
      <c r="X402" s="293">
        <v>11</v>
      </c>
      <c r="Y402" s="293">
        <v>11</v>
      </c>
      <c r="Z402" s="592">
        <v>11</v>
      </c>
      <c r="AA402" s="592">
        <v>11</v>
      </c>
      <c r="AB402" s="592">
        <v>11</v>
      </c>
      <c r="AC402" s="592">
        <v>11</v>
      </c>
      <c r="AD402" s="592">
        <v>11</v>
      </c>
      <c r="AE402" s="592">
        <v>11</v>
      </c>
      <c r="AF402" s="271">
        <f t="shared" si="48"/>
        <v>12.4</v>
      </c>
      <c r="AG402" s="293"/>
      <c r="AK402" s="358"/>
    </row>
    <row r="403" spans="3:37" hidden="1" outlineLevel="1">
      <c r="C403" s="281"/>
      <c r="D403" s="4171"/>
      <c r="E403" s="128" t="s">
        <v>2809</v>
      </c>
      <c r="F403" s="1672">
        <v>12.4</v>
      </c>
      <c r="G403" s="1430"/>
      <c r="H403" s="4199"/>
      <c r="V403" s="4425"/>
      <c r="W403" s="293">
        <v>11</v>
      </c>
      <c r="X403" s="293">
        <v>11</v>
      </c>
      <c r="Y403" s="293">
        <v>11</v>
      </c>
      <c r="Z403" s="592">
        <v>11</v>
      </c>
      <c r="AA403" s="592">
        <v>11</v>
      </c>
      <c r="AB403" s="592">
        <v>11</v>
      </c>
      <c r="AC403" s="592">
        <v>11</v>
      </c>
      <c r="AD403" s="592">
        <v>11</v>
      </c>
      <c r="AE403" s="592">
        <v>11</v>
      </c>
      <c r="AF403" s="271">
        <f t="shared" si="48"/>
        <v>12.4</v>
      </c>
      <c r="AG403" s="293"/>
      <c r="AK403" s="358"/>
    </row>
    <row r="404" spans="3:37" hidden="1" outlineLevel="1">
      <c r="C404" s="281"/>
      <c r="D404" s="4171"/>
      <c r="E404" s="128" t="s">
        <v>2811</v>
      </c>
      <c r="F404" s="1672">
        <v>12.4</v>
      </c>
      <c r="G404" s="1430"/>
      <c r="H404" s="4199"/>
      <c r="V404" s="4425"/>
      <c r="W404" s="293">
        <v>11</v>
      </c>
      <c r="X404" s="293">
        <v>11</v>
      </c>
      <c r="Y404" s="293">
        <v>11</v>
      </c>
      <c r="Z404" s="592">
        <v>11</v>
      </c>
      <c r="AA404" s="592">
        <v>11</v>
      </c>
      <c r="AB404" s="592">
        <v>11</v>
      </c>
      <c r="AC404" s="592">
        <v>11</v>
      </c>
      <c r="AD404" s="592">
        <v>11</v>
      </c>
      <c r="AE404" s="592">
        <v>11</v>
      </c>
      <c r="AF404" s="271">
        <f t="shared" si="48"/>
        <v>12.4</v>
      </c>
      <c r="AG404" s="293"/>
      <c r="AK404" s="358"/>
    </row>
    <row r="405" spans="3:37" hidden="1" outlineLevel="1">
      <c r="C405" s="281"/>
      <c r="D405" s="4171"/>
      <c r="E405" s="128" t="s">
        <v>2813</v>
      </c>
      <c r="F405" s="1672">
        <v>12.4</v>
      </c>
      <c r="G405" s="1430"/>
      <c r="H405" s="4199"/>
      <c r="V405" s="4425"/>
      <c r="W405" s="293">
        <v>11</v>
      </c>
      <c r="X405" s="293">
        <v>11</v>
      </c>
      <c r="Y405" s="293">
        <v>11</v>
      </c>
      <c r="Z405" s="592">
        <v>11</v>
      </c>
      <c r="AA405" s="592">
        <v>11</v>
      </c>
      <c r="AB405" s="592">
        <v>11</v>
      </c>
      <c r="AC405" s="592">
        <v>11</v>
      </c>
      <c r="AD405" s="592">
        <v>11</v>
      </c>
      <c r="AE405" s="592">
        <v>11</v>
      </c>
      <c r="AF405" s="271">
        <f t="shared" si="48"/>
        <v>12.4</v>
      </c>
      <c r="AG405" s="293"/>
      <c r="AK405" s="358"/>
    </row>
    <row r="406" spans="3:37" hidden="1" outlineLevel="1">
      <c r="C406" s="281"/>
      <c r="D406" s="4171"/>
      <c r="E406" s="128" t="s">
        <v>2815</v>
      </c>
      <c r="F406" s="1672">
        <v>12.4</v>
      </c>
      <c r="G406" s="1430"/>
      <c r="H406" s="4199"/>
      <c r="V406" s="4425"/>
      <c r="W406" s="293">
        <v>11</v>
      </c>
      <c r="X406" s="293">
        <v>11</v>
      </c>
      <c r="Y406" s="293">
        <v>11</v>
      </c>
      <c r="Z406" s="592">
        <v>11</v>
      </c>
      <c r="AA406" s="592">
        <v>11</v>
      </c>
      <c r="AB406" s="592">
        <v>11</v>
      </c>
      <c r="AC406" s="592">
        <v>11</v>
      </c>
      <c r="AD406" s="592">
        <v>11</v>
      </c>
      <c r="AE406" s="592">
        <v>11</v>
      </c>
      <c r="AF406" s="271">
        <f t="shared" si="48"/>
        <v>12.4</v>
      </c>
      <c r="AG406" s="293"/>
      <c r="AK406" s="358"/>
    </row>
    <row r="407" spans="3:37" hidden="1" outlineLevel="1">
      <c r="C407" s="281"/>
      <c r="D407" s="4171"/>
      <c r="E407" s="128" t="s">
        <v>2817</v>
      </c>
      <c r="F407" s="1672">
        <v>12.4</v>
      </c>
      <c r="G407" s="1430"/>
      <c r="H407" s="4199"/>
      <c r="V407" s="4425"/>
      <c r="W407" s="293">
        <v>11</v>
      </c>
      <c r="X407" s="293">
        <v>11</v>
      </c>
      <c r="Y407" s="293">
        <v>11</v>
      </c>
      <c r="Z407" s="592">
        <v>11</v>
      </c>
      <c r="AA407" s="592">
        <v>11</v>
      </c>
      <c r="AB407" s="592">
        <v>11</v>
      </c>
      <c r="AC407" s="592">
        <v>11</v>
      </c>
      <c r="AD407" s="592">
        <v>11</v>
      </c>
      <c r="AE407" s="592">
        <v>11</v>
      </c>
      <c r="AF407" s="271">
        <f t="shared" si="48"/>
        <v>12.4</v>
      </c>
      <c r="AG407" s="293"/>
      <c r="AK407" s="358"/>
    </row>
    <row r="408" spans="3:37" hidden="1" outlineLevel="1">
      <c r="C408" s="281"/>
      <c r="D408" s="4171"/>
      <c r="E408" s="128" t="s">
        <v>2819</v>
      </c>
      <c r="F408" s="1672">
        <v>12.4</v>
      </c>
      <c r="G408" s="1430"/>
      <c r="H408" s="4199"/>
      <c r="V408" s="4425"/>
      <c r="W408" s="293">
        <v>11</v>
      </c>
      <c r="X408" s="293">
        <v>11</v>
      </c>
      <c r="Y408" s="293">
        <v>11</v>
      </c>
      <c r="Z408" s="592">
        <v>11</v>
      </c>
      <c r="AA408" s="592">
        <v>11</v>
      </c>
      <c r="AB408" s="592">
        <v>11</v>
      </c>
      <c r="AC408" s="592">
        <v>11</v>
      </c>
      <c r="AD408" s="592">
        <v>11</v>
      </c>
      <c r="AE408" s="592">
        <v>11</v>
      </c>
      <c r="AF408" s="271">
        <f t="shared" si="48"/>
        <v>12.4</v>
      </c>
      <c r="AG408" s="293"/>
      <c r="AK408" s="358"/>
    </row>
    <row r="409" spans="3:37" hidden="1" outlineLevel="1">
      <c r="C409" s="281"/>
      <c r="D409" s="4171"/>
      <c r="E409" s="128" t="s">
        <v>2821</v>
      </c>
      <c r="F409" s="1672">
        <v>12.4</v>
      </c>
      <c r="G409" s="1430"/>
      <c r="H409" s="4199"/>
      <c r="V409" s="4437"/>
      <c r="W409" s="279">
        <v>11</v>
      </c>
      <c r="X409" s="279">
        <v>11</v>
      </c>
      <c r="Y409" s="279">
        <v>11</v>
      </c>
      <c r="Z409" s="444">
        <v>11</v>
      </c>
      <c r="AA409" s="444">
        <v>11</v>
      </c>
      <c r="AB409" s="444">
        <v>11</v>
      </c>
      <c r="AC409" s="444">
        <v>11</v>
      </c>
      <c r="AD409" s="444">
        <v>11</v>
      </c>
      <c r="AE409" s="444">
        <v>11</v>
      </c>
      <c r="AF409" s="271">
        <f t="shared" si="48"/>
        <v>12.4</v>
      </c>
      <c r="AG409" s="279"/>
      <c r="AK409" s="358"/>
    </row>
    <row r="410" spans="3:37" ht="30" hidden="1" outlineLevel="1">
      <c r="C410" s="281"/>
      <c r="D410" s="1441" t="str">
        <f>D43</f>
        <v>EUL</v>
      </c>
      <c r="E410" s="128" t="s">
        <v>1102</v>
      </c>
      <c r="F410" s="1815">
        <v>30</v>
      </c>
      <c r="G410" s="1600" t="s">
        <v>2854</v>
      </c>
      <c r="H410" s="1430"/>
      <c r="I410" s="133"/>
      <c r="V410" s="295" t="str">
        <f>D410</f>
        <v>EUL</v>
      </c>
      <c r="W410" s="296">
        <v>25</v>
      </c>
      <c r="X410" s="296">
        <v>25</v>
      </c>
      <c r="Y410" s="296">
        <v>25</v>
      </c>
      <c r="Z410" s="317">
        <v>25</v>
      </c>
      <c r="AA410" s="317">
        <v>25</v>
      </c>
      <c r="AB410" s="317">
        <v>25</v>
      </c>
      <c r="AC410" s="339">
        <v>25</v>
      </c>
      <c r="AD410" s="339">
        <v>25</v>
      </c>
      <c r="AE410" s="339">
        <v>25</v>
      </c>
      <c r="AF410" s="271">
        <f t="shared" si="48"/>
        <v>30</v>
      </c>
      <c r="AG410" s="296"/>
      <c r="AK410" s="358"/>
    </row>
    <row r="411" spans="3:37" hidden="1" outlineLevel="1">
      <c r="C411" s="281"/>
      <c r="D411" s="4171" t="str">
        <f>D113</f>
        <v>Inc. Cost</v>
      </c>
      <c r="E411" s="128" t="s">
        <v>2763</v>
      </c>
      <c r="F411" s="1705">
        <f>1860.46/(1347*0.65)</f>
        <v>2.1249043458397576</v>
      </c>
      <c r="G411" s="4447" t="s">
        <v>2758</v>
      </c>
      <c r="H411" s="1430" t="s">
        <v>2830</v>
      </c>
      <c r="I411" s="133">
        <f>0.65*1347</f>
        <v>875.55000000000007</v>
      </c>
      <c r="V411" s="4449" t="str">
        <f>D411</f>
        <v>Inc. Cost</v>
      </c>
      <c r="W411" s="298">
        <v>1860.46</v>
      </c>
      <c r="X411" s="298">
        <v>1860.46</v>
      </c>
      <c r="Y411" s="206">
        <v>2.1249043458397576</v>
      </c>
      <c r="Z411" s="135">
        <v>2.1249043458397576</v>
      </c>
      <c r="AA411" s="135">
        <v>2.1249043458397576</v>
      </c>
      <c r="AB411" s="135">
        <v>2.1249043458397576</v>
      </c>
      <c r="AC411" s="135">
        <v>2.1249043458397576</v>
      </c>
      <c r="AD411" s="135">
        <v>2.1249043458397576</v>
      </c>
      <c r="AE411" s="135">
        <v>2.1249043458397576</v>
      </c>
      <c r="AF411" s="271">
        <f t="shared" si="48"/>
        <v>2.1249043458397576</v>
      </c>
      <c r="AG411" s="298"/>
      <c r="AK411" s="358"/>
    </row>
    <row r="412" spans="3:37" hidden="1" outlineLevel="1">
      <c r="C412" s="281"/>
      <c r="D412" s="4171"/>
      <c r="E412" s="128" t="s">
        <v>2765</v>
      </c>
      <c r="F412" s="1705">
        <f>1860.46/(1347*0.65)</f>
        <v>2.1249043458397576</v>
      </c>
      <c r="G412" s="4448"/>
      <c r="H412" s="1430" t="s">
        <v>2830</v>
      </c>
      <c r="I412" s="133">
        <f>0.65*1347</f>
        <v>875.55000000000007</v>
      </c>
      <c r="V412" s="4450"/>
      <c r="W412" s="298">
        <v>1860.46</v>
      </c>
      <c r="X412" s="298">
        <v>1860.46</v>
      </c>
      <c r="Y412" s="206">
        <v>2.1249043458397576</v>
      </c>
      <c r="Z412" s="135">
        <v>2.1249043458397576</v>
      </c>
      <c r="AA412" s="135">
        <v>2.1249043458397576</v>
      </c>
      <c r="AB412" s="135">
        <v>2.1249043458397576</v>
      </c>
      <c r="AC412" s="135">
        <v>2.1249043458397576</v>
      </c>
      <c r="AD412" s="135">
        <v>2.1249043458397576</v>
      </c>
      <c r="AE412" s="135">
        <v>2.1249043458397576</v>
      </c>
      <c r="AF412" s="271">
        <f t="shared" si="48"/>
        <v>2.1249043458397576</v>
      </c>
      <c r="AG412" s="298"/>
      <c r="AK412" s="358"/>
    </row>
    <row r="413" spans="3:37" hidden="1" outlineLevel="1">
      <c r="C413" s="281"/>
      <c r="D413" s="4171"/>
      <c r="E413" s="128" t="s">
        <v>2767</v>
      </c>
      <c r="F413" s="1705">
        <f>1860.46/(1347*0.65)</f>
        <v>2.1249043458397576</v>
      </c>
      <c r="G413" s="4448"/>
      <c r="H413" s="1430" t="s">
        <v>2830</v>
      </c>
      <c r="I413" s="133">
        <f>0.65*1347</f>
        <v>875.55000000000007</v>
      </c>
      <c r="V413" s="4450"/>
      <c r="W413" s="298">
        <v>1860.46</v>
      </c>
      <c r="X413" s="298">
        <v>1860.46</v>
      </c>
      <c r="Y413" s="206">
        <v>2.1249043458397576</v>
      </c>
      <c r="Z413" s="135">
        <v>2.1249043458397576</v>
      </c>
      <c r="AA413" s="135">
        <v>2.1249043458397576</v>
      </c>
      <c r="AB413" s="135">
        <v>2.1249043458397576</v>
      </c>
      <c r="AC413" s="135">
        <v>2.1249043458397576</v>
      </c>
      <c r="AD413" s="135">
        <v>2.1249043458397576</v>
      </c>
      <c r="AE413" s="135">
        <v>2.1249043458397576</v>
      </c>
      <c r="AF413" s="271">
        <f t="shared" si="48"/>
        <v>2.1249043458397576</v>
      </c>
      <c r="AG413" s="298"/>
      <c r="AK413" s="358"/>
    </row>
    <row r="414" spans="3:37" hidden="1" outlineLevel="1">
      <c r="C414" s="281"/>
      <c r="D414" s="4171"/>
      <c r="E414" s="128" t="s">
        <v>2769</v>
      </c>
      <c r="F414" s="1705">
        <f>2862.25/1347</f>
        <v>2.1249072011878249</v>
      </c>
      <c r="G414" s="4448"/>
      <c r="H414" s="1430" t="s">
        <v>2831</v>
      </c>
      <c r="I414" s="133">
        <v>1347</v>
      </c>
      <c r="V414" s="4450"/>
      <c r="W414" s="298">
        <v>2862.25</v>
      </c>
      <c r="X414" s="298">
        <v>2862.25</v>
      </c>
      <c r="Y414" s="206">
        <v>2.1249072011878249</v>
      </c>
      <c r="Z414" s="135">
        <v>2.1249072011878249</v>
      </c>
      <c r="AA414" s="135">
        <v>2.1249072011878249</v>
      </c>
      <c r="AB414" s="135">
        <v>2.1249072011878249</v>
      </c>
      <c r="AC414" s="135">
        <v>2.1249072011878249</v>
      </c>
      <c r="AD414" s="135">
        <v>2.1249072011878249</v>
      </c>
      <c r="AE414" s="135">
        <v>2.1249072011878249</v>
      </c>
      <c r="AF414" s="271">
        <f t="shared" si="48"/>
        <v>2.1249072011878249</v>
      </c>
      <c r="AG414" s="298"/>
      <c r="AK414" s="358"/>
    </row>
    <row r="415" spans="3:37" hidden="1" outlineLevel="1">
      <c r="C415" s="281"/>
      <c r="D415" s="4171"/>
      <c r="E415" s="128" t="s">
        <v>2771</v>
      </c>
      <c r="F415" s="1705">
        <f>2862.25/1347</f>
        <v>2.1249072011878249</v>
      </c>
      <c r="G415" s="4448"/>
      <c r="H415" s="1430" t="s">
        <v>2831</v>
      </c>
      <c r="I415" s="133">
        <v>1347</v>
      </c>
      <c r="V415" s="4450"/>
      <c r="W415" s="298">
        <v>2862.25</v>
      </c>
      <c r="X415" s="298">
        <v>2862.25</v>
      </c>
      <c r="Y415" s="206">
        <v>2.1249072011878249</v>
      </c>
      <c r="Z415" s="135">
        <v>2.1249072011878249</v>
      </c>
      <c r="AA415" s="135">
        <v>2.1249072011878249</v>
      </c>
      <c r="AB415" s="135">
        <v>2.1249072011878249</v>
      </c>
      <c r="AC415" s="135">
        <v>2.1249072011878249</v>
      </c>
      <c r="AD415" s="135">
        <v>2.1249072011878249</v>
      </c>
      <c r="AE415" s="135">
        <v>2.1249072011878249</v>
      </c>
      <c r="AF415" s="271">
        <f t="shared" si="48"/>
        <v>2.1249072011878249</v>
      </c>
      <c r="AG415" s="298"/>
      <c r="AK415" s="358"/>
    </row>
    <row r="416" spans="3:37" hidden="1" outlineLevel="1">
      <c r="C416" s="281"/>
      <c r="D416" s="4171"/>
      <c r="E416" s="128" t="s">
        <v>2773</v>
      </c>
      <c r="F416" s="1705">
        <f>2862.25/1347</f>
        <v>2.1249072011878249</v>
      </c>
      <c r="G416" s="4448"/>
      <c r="H416" s="1430" t="s">
        <v>2831</v>
      </c>
      <c r="I416" s="133">
        <v>1347</v>
      </c>
      <c r="V416" s="4450"/>
      <c r="W416" s="298">
        <v>2862.25</v>
      </c>
      <c r="X416" s="298">
        <v>2862.25</v>
      </c>
      <c r="Y416" s="206">
        <v>2.1249072011878249</v>
      </c>
      <c r="Z416" s="135">
        <v>2.1249072011878249</v>
      </c>
      <c r="AA416" s="135">
        <v>2.1249072011878249</v>
      </c>
      <c r="AB416" s="135">
        <v>2.1249072011878249</v>
      </c>
      <c r="AC416" s="135">
        <v>2.1249072011878249</v>
      </c>
      <c r="AD416" s="135">
        <v>2.1249072011878249</v>
      </c>
      <c r="AE416" s="135">
        <v>2.1249072011878249</v>
      </c>
      <c r="AF416" s="271">
        <f t="shared" si="48"/>
        <v>2.1249072011878249</v>
      </c>
      <c r="AG416" s="298"/>
      <c r="AK416" s="358"/>
    </row>
    <row r="417" spans="3:37" hidden="1" outlineLevel="1">
      <c r="C417" s="281"/>
      <c r="D417" s="4171"/>
      <c r="E417" s="128" t="s">
        <v>2775</v>
      </c>
      <c r="F417" s="1705">
        <f>836.16/(1106*0.65)</f>
        <v>1.1631103074141049</v>
      </c>
      <c r="G417" s="4448"/>
      <c r="H417" s="1430" t="s">
        <v>2832</v>
      </c>
      <c r="I417" s="133">
        <f>0.65*1106</f>
        <v>718.9</v>
      </c>
      <c r="V417" s="4450"/>
      <c r="W417" s="298">
        <v>836.16</v>
      </c>
      <c r="X417" s="298">
        <v>836.16</v>
      </c>
      <c r="Y417" s="206">
        <v>1.1631103074141049</v>
      </c>
      <c r="Z417" s="135">
        <v>1.1631103074141049</v>
      </c>
      <c r="AA417" s="135">
        <v>1.1631103074141049</v>
      </c>
      <c r="AB417" s="135">
        <v>1.1631103074141049</v>
      </c>
      <c r="AC417" s="135">
        <v>1.1631103074141049</v>
      </c>
      <c r="AD417" s="135">
        <v>1.1631103074141049</v>
      </c>
      <c r="AE417" s="135">
        <v>1.1631103074141049</v>
      </c>
      <c r="AF417" s="271">
        <f t="shared" si="48"/>
        <v>1.1631103074141049</v>
      </c>
      <c r="AG417" s="298"/>
      <c r="AK417" s="358"/>
    </row>
    <row r="418" spans="3:37" hidden="1" outlineLevel="1">
      <c r="C418" s="281"/>
      <c r="D418" s="4171"/>
      <c r="E418" s="128" t="s">
        <v>2777</v>
      </c>
      <c r="F418" s="1705">
        <f>836.16/(1106*0.65)</f>
        <v>1.1631103074141049</v>
      </c>
      <c r="G418" s="4448"/>
      <c r="H418" s="1430" t="s">
        <v>2832</v>
      </c>
      <c r="I418" s="133">
        <f>0.65*1106</f>
        <v>718.9</v>
      </c>
      <c r="V418" s="4450"/>
      <c r="W418" s="298">
        <v>836.16</v>
      </c>
      <c r="X418" s="298">
        <v>836.16</v>
      </c>
      <c r="Y418" s="206">
        <v>1.1631103074141049</v>
      </c>
      <c r="Z418" s="135">
        <v>1.1631103074141049</v>
      </c>
      <c r="AA418" s="135">
        <v>1.1631103074141049</v>
      </c>
      <c r="AB418" s="135">
        <v>1.1631103074141049</v>
      </c>
      <c r="AC418" s="135">
        <v>1.1631103074141049</v>
      </c>
      <c r="AD418" s="135">
        <v>1.1631103074141049</v>
      </c>
      <c r="AE418" s="135">
        <v>1.1631103074141049</v>
      </c>
      <c r="AF418" s="271">
        <f t="shared" si="48"/>
        <v>1.1631103074141049</v>
      </c>
      <c r="AG418" s="298"/>
      <c r="AK418" s="358"/>
    </row>
    <row r="419" spans="3:37" hidden="1" outlineLevel="1">
      <c r="C419" s="281"/>
      <c r="D419" s="4171"/>
      <c r="E419" s="128" t="s">
        <v>2779</v>
      </c>
      <c r="F419" s="1705">
        <f>836.16/(1106*0.65)</f>
        <v>1.1631103074141049</v>
      </c>
      <c r="G419" s="4847"/>
      <c r="H419" s="1430" t="s">
        <v>2832</v>
      </c>
      <c r="I419" s="133">
        <f>0.65*1106</f>
        <v>718.9</v>
      </c>
      <c r="V419" s="4450"/>
      <c r="W419" s="298">
        <v>836.16</v>
      </c>
      <c r="X419" s="298">
        <v>836.16</v>
      </c>
      <c r="Y419" s="206">
        <v>1.1631103074141049</v>
      </c>
      <c r="Z419" s="135">
        <v>1.1631103074141049</v>
      </c>
      <c r="AA419" s="135">
        <v>1.1631103074141049</v>
      </c>
      <c r="AB419" s="135">
        <v>1.1631103074141049</v>
      </c>
      <c r="AC419" s="135">
        <v>1.1631103074141049</v>
      </c>
      <c r="AD419" s="135">
        <v>1.1631103074141049</v>
      </c>
      <c r="AE419" s="135">
        <v>1.1631103074141049</v>
      </c>
      <c r="AF419" s="271">
        <f t="shared" ref="AF419:AF440" si="49">IF(F419&lt;&gt;"",F419,"")</f>
        <v>1.1631103074141049</v>
      </c>
      <c r="AG419" s="298"/>
      <c r="AK419" s="358"/>
    </row>
    <row r="420" spans="3:37" hidden="1" outlineLevel="1">
      <c r="C420" s="281"/>
      <c r="D420" s="4171"/>
      <c r="E420" s="128" t="s">
        <v>2781</v>
      </c>
      <c r="F420" s="1705">
        <f>1286.39/1106</f>
        <v>1.1631012658227848</v>
      </c>
      <c r="G420" s="4847"/>
      <c r="H420" s="1430" t="s">
        <v>2833</v>
      </c>
      <c r="I420" s="133">
        <v>1106</v>
      </c>
      <c r="V420" s="4450"/>
      <c r="W420" s="298">
        <v>1286.3900000000001</v>
      </c>
      <c r="X420" s="298">
        <v>1286.3900000000001</v>
      </c>
      <c r="Y420" s="206">
        <v>1.1631012658227848</v>
      </c>
      <c r="Z420" s="135">
        <v>1.1631012658227848</v>
      </c>
      <c r="AA420" s="135">
        <v>1.1631012658227848</v>
      </c>
      <c r="AB420" s="135">
        <v>1.1631012658227848</v>
      </c>
      <c r="AC420" s="135">
        <v>1.1631012658227848</v>
      </c>
      <c r="AD420" s="135">
        <v>1.1631012658227848</v>
      </c>
      <c r="AE420" s="135">
        <v>1.1631012658227848</v>
      </c>
      <c r="AF420" s="271">
        <f t="shared" si="49"/>
        <v>1.1631012658227848</v>
      </c>
      <c r="AG420" s="298"/>
      <c r="AK420" s="358"/>
    </row>
    <row r="421" spans="3:37" hidden="1" outlineLevel="1">
      <c r="C421" s="281"/>
      <c r="D421" s="4171"/>
      <c r="E421" s="128" t="s">
        <v>2783</v>
      </c>
      <c r="F421" s="1705">
        <f>1286.39/1106</f>
        <v>1.1631012658227848</v>
      </c>
      <c r="G421" s="4847"/>
      <c r="H421" s="1430" t="s">
        <v>2833</v>
      </c>
      <c r="I421" s="133">
        <v>1106</v>
      </c>
      <c r="V421" s="4450"/>
      <c r="W421" s="298">
        <v>1286.3900000000001</v>
      </c>
      <c r="X421" s="298">
        <v>1286.3900000000001</v>
      </c>
      <c r="Y421" s="206">
        <v>1.1631012658227848</v>
      </c>
      <c r="Z421" s="135">
        <v>1.1631012658227848</v>
      </c>
      <c r="AA421" s="135">
        <v>1.1631012658227848</v>
      </c>
      <c r="AB421" s="135">
        <v>1.1631012658227848</v>
      </c>
      <c r="AC421" s="135">
        <v>1.1631012658227848</v>
      </c>
      <c r="AD421" s="135">
        <v>1.1631012658227848</v>
      </c>
      <c r="AE421" s="135">
        <v>1.1631012658227848</v>
      </c>
      <c r="AF421" s="271">
        <f t="shared" si="49"/>
        <v>1.1631012658227848</v>
      </c>
      <c r="AG421" s="298"/>
      <c r="AK421" s="358"/>
    </row>
    <row r="422" spans="3:37" hidden="1" outlineLevel="1">
      <c r="C422" s="281"/>
      <c r="D422" s="4171"/>
      <c r="E422" s="128" t="s">
        <v>2785</v>
      </c>
      <c r="F422" s="1705">
        <f>1286.39/1106</f>
        <v>1.1631012658227848</v>
      </c>
      <c r="G422" s="4847"/>
      <c r="H422" s="1430" t="s">
        <v>2833</v>
      </c>
      <c r="I422" s="133">
        <v>1106</v>
      </c>
      <c r="V422" s="4450"/>
      <c r="W422" s="298">
        <v>1286.3900000000001</v>
      </c>
      <c r="X422" s="298">
        <v>1286.3900000000001</v>
      </c>
      <c r="Y422" s="206">
        <v>1.1631012658227848</v>
      </c>
      <c r="Z422" s="135">
        <v>1.1631012658227848</v>
      </c>
      <c r="AA422" s="135">
        <v>1.1631012658227848</v>
      </c>
      <c r="AB422" s="135">
        <v>1.1631012658227848</v>
      </c>
      <c r="AC422" s="135">
        <v>1.1631012658227848</v>
      </c>
      <c r="AD422" s="135">
        <v>1.1631012658227848</v>
      </c>
      <c r="AE422" s="135">
        <v>1.1631012658227848</v>
      </c>
      <c r="AF422" s="271">
        <f t="shared" si="49"/>
        <v>1.1631012658227848</v>
      </c>
      <c r="AG422" s="298"/>
      <c r="AK422" s="358"/>
    </row>
    <row r="423" spans="3:37" hidden="1" outlineLevel="1">
      <c r="C423" s="281"/>
      <c r="D423" s="4171"/>
      <c r="E423" s="128" t="s">
        <v>2787</v>
      </c>
      <c r="F423" s="1705">
        <f>1208.5/(1106*0.65)</f>
        <v>1.6810404785088331</v>
      </c>
      <c r="G423" s="4847"/>
      <c r="H423" s="1430" t="s">
        <v>2832</v>
      </c>
      <c r="I423" s="133">
        <f>0.65*1106</f>
        <v>718.9</v>
      </c>
      <c r="V423" s="4450"/>
      <c r="W423" s="298">
        <v>1208.5</v>
      </c>
      <c r="X423" s="298">
        <v>1208.5</v>
      </c>
      <c r="Y423" s="206">
        <v>1.6810404785088331</v>
      </c>
      <c r="Z423" s="135">
        <v>1.6810404785088331</v>
      </c>
      <c r="AA423" s="135">
        <v>1.6810404785088331</v>
      </c>
      <c r="AB423" s="135">
        <v>1.6810404785088331</v>
      </c>
      <c r="AC423" s="135">
        <v>1.6810404785088331</v>
      </c>
      <c r="AD423" s="135">
        <v>1.6810404785088331</v>
      </c>
      <c r="AE423" s="135">
        <v>1.6810404785088331</v>
      </c>
      <c r="AF423" s="271">
        <f t="shared" si="49"/>
        <v>1.6810404785088331</v>
      </c>
      <c r="AG423" s="298"/>
      <c r="AK423" s="358"/>
    </row>
    <row r="424" spans="3:37" hidden="1" outlineLevel="1">
      <c r="C424" s="281"/>
      <c r="D424" s="4171"/>
      <c r="E424" s="128" t="s">
        <v>2789</v>
      </c>
      <c r="F424" s="1705">
        <f>1208.5/(1106*0.65)</f>
        <v>1.6810404785088331</v>
      </c>
      <c r="G424" s="4847"/>
      <c r="H424" s="1430" t="s">
        <v>2832</v>
      </c>
      <c r="I424" s="133">
        <f>0.65*1106</f>
        <v>718.9</v>
      </c>
      <c r="V424" s="4450"/>
      <c r="W424" s="298">
        <v>1208.5</v>
      </c>
      <c r="X424" s="298">
        <v>1208.5</v>
      </c>
      <c r="Y424" s="206">
        <v>1.6810404785088331</v>
      </c>
      <c r="Z424" s="135">
        <v>1.6810404785088331</v>
      </c>
      <c r="AA424" s="135">
        <v>1.6810404785088331</v>
      </c>
      <c r="AB424" s="135">
        <v>1.6810404785088331</v>
      </c>
      <c r="AC424" s="135">
        <v>1.6810404785088331</v>
      </c>
      <c r="AD424" s="135">
        <v>1.6810404785088331</v>
      </c>
      <c r="AE424" s="135">
        <v>1.6810404785088331</v>
      </c>
      <c r="AF424" s="271">
        <f t="shared" si="49"/>
        <v>1.6810404785088331</v>
      </c>
      <c r="AG424" s="298"/>
      <c r="AK424" s="358"/>
    </row>
    <row r="425" spans="3:37" hidden="1" outlineLevel="1">
      <c r="C425" s="281"/>
      <c r="D425" s="4171"/>
      <c r="E425" s="128" t="s">
        <v>2791</v>
      </c>
      <c r="F425" s="1705">
        <f>1208.5/(1106*0.65)</f>
        <v>1.6810404785088331</v>
      </c>
      <c r="G425" s="4847"/>
      <c r="H425" s="1430" t="s">
        <v>2832</v>
      </c>
      <c r="I425" s="133">
        <f>0.65*1106</f>
        <v>718.9</v>
      </c>
      <c r="V425" s="4450"/>
      <c r="W425" s="298">
        <v>1208.5</v>
      </c>
      <c r="X425" s="298">
        <v>1208.5</v>
      </c>
      <c r="Y425" s="206">
        <v>1.6810404785088331</v>
      </c>
      <c r="Z425" s="135">
        <v>1.6810404785088331</v>
      </c>
      <c r="AA425" s="135">
        <v>1.6810404785088331</v>
      </c>
      <c r="AB425" s="135">
        <v>1.6810404785088331</v>
      </c>
      <c r="AC425" s="135">
        <v>1.6810404785088331</v>
      </c>
      <c r="AD425" s="135">
        <v>1.6810404785088331</v>
      </c>
      <c r="AE425" s="135">
        <v>1.6810404785088331</v>
      </c>
      <c r="AF425" s="271">
        <f t="shared" si="49"/>
        <v>1.6810404785088331</v>
      </c>
      <c r="AG425" s="298"/>
      <c r="AK425" s="358"/>
    </row>
    <row r="426" spans="3:37" hidden="1" outlineLevel="1">
      <c r="C426" s="281"/>
      <c r="D426" s="4171"/>
      <c r="E426" s="128" t="s">
        <v>2793</v>
      </c>
      <c r="F426" s="1705">
        <f>1859.23/1106</f>
        <v>1.6810397830018082</v>
      </c>
      <c r="G426" s="4847"/>
      <c r="H426" s="1430" t="s">
        <v>2833</v>
      </c>
      <c r="I426" s="133">
        <v>1106</v>
      </c>
      <c r="V426" s="4450"/>
      <c r="W426" s="298">
        <v>1859.23</v>
      </c>
      <c r="X426" s="298">
        <v>1859.23</v>
      </c>
      <c r="Y426" s="206">
        <v>1.6810397830018082</v>
      </c>
      <c r="Z426" s="135">
        <v>1.6810397830018082</v>
      </c>
      <c r="AA426" s="135">
        <v>1.6810397830018082</v>
      </c>
      <c r="AB426" s="135">
        <v>1.6810397830018082</v>
      </c>
      <c r="AC426" s="135">
        <v>1.6810397830018082</v>
      </c>
      <c r="AD426" s="135">
        <v>1.6810397830018082</v>
      </c>
      <c r="AE426" s="135">
        <v>1.6810397830018082</v>
      </c>
      <c r="AF426" s="271">
        <f t="shared" si="49"/>
        <v>1.6810397830018082</v>
      </c>
      <c r="AG426" s="298"/>
      <c r="AK426" s="358"/>
    </row>
    <row r="427" spans="3:37" hidden="1" outlineLevel="1">
      <c r="C427" s="281"/>
      <c r="D427" s="4171"/>
      <c r="E427" s="128" t="s">
        <v>2795</v>
      </c>
      <c r="F427" s="1705">
        <f>1859.23/1106</f>
        <v>1.6810397830018082</v>
      </c>
      <c r="G427" s="4847"/>
      <c r="H427" s="1430" t="s">
        <v>2833</v>
      </c>
      <c r="I427" s="133">
        <v>1106</v>
      </c>
      <c r="V427" s="4450"/>
      <c r="W427" s="298">
        <v>1859.23</v>
      </c>
      <c r="X427" s="298">
        <v>1859.23</v>
      </c>
      <c r="Y427" s="206">
        <v>1.6810397830018082</v>
      </c>
      <c r="Z427" s="135">
        <v>1.6810397830018082</v>
      </c>
      <c r="AA427" s="135">
        <v>1.6810397830018082</v>
      </c>
      <c r="AB427" s="135">
        <v>1.6810397830018082</v>
      </c>
      <c r="AC427" s="135">
        <v>1.6810397830018082</v>
      </c>
      <c r="AD427" s="135">
        <v>1.6810397830018082</v>
      </c>
      <c r="AE427" s="135">
        <v>1.6810397830018082</v>
      </c>
      <c r="AF427" s="271">
        <f t="shared" si="49"/>
        <v>1.6810397830018082</v>
      </c>
      <c r="AG427" s="298"/>
      <c r="AK427" s="358"/>
    </row>
    <row r="428" spans="3:37" hidden="1" outlineLevel="1">
      <c r="C428" s="281"/>
      <c r="D428" s="4171"/>
      <c r="E428" s="128" t="s">
        <v>2797</v>
      </c>
      <c r="F428" s="1705">
        <f>1859.23/1106</f>
        <v>1.6810397830018082</v>
      </c>
      <c r="G428" s="4847"/>
      <c r="H428" s="1430" t="s">
        <v>2833</v>
      </c>
      <c r="I428" s="133">
        <v>1106</v>
      </c>
      <c r="V428" s="4450"/>
      <c r="W428" s="298">
        <v>1859.23</v>
      </c>
      <c r="X428" s="298">
        <v>1859.23</v>
      </c>
      <c r="Y428" s="206">
        <v>1.6810397830018082</v>
      </c>
      <c r="Z428" s="135">
        <v>1.6810397830018082</v>
      </c>
      <c r="AA428" s="135">
        <v>1.6810397830018082</v>
      </c>
      <c r="AB428" s="135">
        <v>1.6810397830018082</v>
      </c>
      <c r="AC428" s="135">
        <v>1.6810397830018082</v>
      </c>
      <c r="AD428" s="135">
        <v>1.6810397830018082</v>
      </c>
      <c r="AE428" s="135">
        <v>1.6810397830018082</v>
      </c>
      <c r="AF428" s="271">
        <f t="shared" si="49"/>
        <v>1.6810397830018082</v>
      </c>
      <c r="AG428" s="298"/>
      <c r="AK428" s="358"/>
    </row>
    <row r="429" spans="3:37" hidden="1" outlineLevel="1">
      <c r="C429" s="281"/>
      <c r="D429" s="4171"/>
      <c r="E429" s="128" t="s">
        <v>2799</v>
      </c>
      <c r="F429" s="1705">
        <f>1846.68/(1106*0.65)</f>
        <v>2.568757824454027</v>
      </c>
      <c r="G429" s="4847"/>
      <c r="H429" s="1430" t="s">
        <v>2832</v>
      </c>
      <c r="I429" s="133">
        <f>0.65*1106</f>
        <v>718.9</v>
      </c>
      <c r="V429" s="4450"/>
      <c r="W429" s="298">
        <v>1846.68</v>
      </c>
      <c r="X429" s="298">
        <v>1846.68</v>
      </c>
      <c r="Y429" s="206">
        <v>2.568757824454027</v>
      </c>
      <c r="Z429" s="135">
        <v>2.568757824454027</v>
      </c>
      <c r="AA429" s="135">
        <v>2.568757824454027</v>
      </c>
      <c r="AB429" s="135">
        <v>2.568757824454027</v>
      </c>
      <c r="AC429" s="135">
        <v>2.568757824454027</v>
      </c>
      <c r="AD429" s="135">
        <v>2.568757824454027</v>
      </c>
      <c r="AE429" s="135">
        <v>2.568757824454027</v>
      </c>
      <c r="AF429" s="271">
        <f t="shared" si="49"/>
        <v>2.568757824454027</v>
      </c>
      <c r="AG429" s="298"/>
      <c r="AK429" s="358"/>
    </row>
    <row r="430" spans="3:37" hidden="1" outlineLevel="1">
      <c r="C430" s="281"/>
      <c r="D430" s="4171"/>
      <c r="E430" s="128" t="s">
        <v>2801</v>
      </c>
      <c r="F430" s="1705">
        <f>1846.68/(1106*0.65)</f>
        <v>2.568757824454027</v>
      </c>
      <c r="G430" s="4847"/>
      <c r="H430" s="1430" t="s">
        <v>2832</v>
      </c>
      <c r="I430" s="133">
        <f>0.65*1106</f>
        <v>718.9</v>
      </c>
      <c r="V430" s="4450"/>
      <c r="W430" s="298">
        <v>1846.68</v>
      </c>
      <c r="X430" s="298">
        <v>1846.68</v>
      </c>
      <c r="Y430" s="206">
        <v>2.568757824454027</v>
      </c>
      <c r="Z430" s="135">
        <v>2.568757824454027</v>
      </c>
      <c r="AA430" s="135">
        <v>2.568757824454027</v>
      </c>
      <c r="AB430" s="135">
        <v>2.568757824454027</v>
      </c>
      <c r="AC430" s="135">
        <v>2.568757824454027</v>
      </c>
      <c r="AD430" s="135">
        <v>2.568757824454027</v>
      </c>
      <c r="AE430" s="135">
        <v>2.568757824454027</v>
      </c>
      <c r="AF430" s="271">
        <f t="shared" si="49"/>
        <v>2.568757824454027</v>
      </c>
      <c r="AG430" s="298"/>
      <c r="AK430" s="358"/>
    </row>
    <row r="431" spans="3:37" hidden="1" outlineLevel="1">
      <c r="C431" s="281"/>
      <c r="D431" s="4171"/>
      <c r="E431" s="128" t="s">
        <v>2803</v>
      </c>
      <c r="F431" s="1705">
        <f>1846.68/(1106*0.65)</f>
        <v>2.568757824454027</v>
      </c>
      <c r="G431" s="4847"/>
      <c r="H431" s="1430" t="s">
        <v>2832</v>
      </c>
      <c r="I431" s="133">
        <f>0.65*1106</f>
        <v>718.9</v>
      </c>
      <c r="V431" s="4450"/>
      <c r="W431" s="298">
        <v>1846.68</v>
      </c>
      <c r="X431" s="298">
        <v>1846.68</v>
      </c>
      <c r="Y431" s="206">
        <v>2.568757824454027</v>
      </c>
      <c r="Z431" s="135">
        <v>2.568757824454027</v>
      </c>
      <c r="AA431" s="135">
        <v>2.568757824454027</v>
      </c>
      <c r="AB431" s="135">
        <v>2.568757824454027</v>
      </c>
      <c r="AC431" s="135">
        <v>2.568757824454027</v>
      </c>
      <c r="AD431" s="135">
        <v>2.568757824454027</v>
      </c>
      <c r="AE431" s="135">
        <v>2.568757824454027</v>
      </c>
      <c r="AF431" s="271">
        <f t="shared" si="49"/>
        <v>2.568757824454027</v>
      </c>
      <c r="AG431" s="298"/>
      <c r="AK431" s="358"/>
    </row>
    <row r="432" spans="3:37" hidden="1" outlineLevel="1">
      <c r="C432" s="281"/>
      <c r="D432" s="4171"/>
      <c r="E432" s="128" t="s">
        <v>2805</v>
      </c>
      <c r="F432" s="1705">
        <f>2841.04/1106</f>
        <v>2.5687522603978299</v>
      </c>
      <c r="G432" s="4847"/>
      <c r="H432" s="1430" t="s">
        <v>2833</v>
      </c>
      <c r="I432" s="133">
        <v>1106</v>
      </c>
      <c r="V432" s="4450"/>
      <c r="W432" s="298">
        <v>2841.04</v>
      </c>
      <c r="X432" s="298">
        <v>2841.04</v>
      </c>
      <c r="Y432" s="206">
        <v>2.5687522603978299</v>
      </c>
      <c r="Z432" s="135">
        <v>2.5687522603978299</v>
      </c>
      <c r="AA432" s="135">
        <v>2.5687522603978299</v>
      </c>
      <c r="AB432" s="135">
        <v>2.5687522603978299</v>
      </c>
      <c r="AC432" s="135">
        <v>2.5687522603978299</v>
      </c>
      <c r="AD432" s="135">
        <v>2.5687522603978299</v>
      </c>
      <c r="AE432" s="135">
        <v>2.5687522603978299</v>
      </c>
      <c r="AF432" s="271">
        <f t="shared" si="49"/>
        <v>2.5687522603978299</v>
      </c>
      <c r="AG432" s="298"/>
      <c r="AK432" s="358"/>
    </row>
    <row r="433" spans="2:114" hidden="1" outlineLevel="1">
      <c r="C433" s="281"/>
      <c r="D433" s="4171"/>
      <c r="E433" s="128" t="s">
        <v>2807</v>
      </c>
      <c r="F433" s="1705">
        <f>2841.04/1106</f>
        <v>2.5687522603978299</v>
      </c>
      <c r="G433" s="4847"/>
      <c r="H433" s="1430" t="s">
        <v>2833</v>
      </c>
      <c r="I433" s="133">
        <v>1106</v>
      </c>
      <c r="V433" s="4450"/>
      <c r="W433" s="298">
        <v>2841.04</v>
      </c>
      <c r="X433" s="298">
        <v>2841.04</v>
      </c>
      <c r="Y433" s="206">
        <v>2.5687522603978299</v>
      </c>
      <c r="Z433" s="135">
        <v>2.5687522603978299</v>
      </c>
      <c r="AA433" s="135">
        <v>2.5687522603978299</v>
      </c>
      <c r="AB433" s="135">
        <v>2.5687522603978299</v>
      </c>
      <c r="AC433" s="135">
        <v>2.5687522603978299</v>
      </c>
      <c r="AD433" s="135">
        <v>2.5687522603978299</v>
      </c>
      <c r="AE433" s="135">
        <v>2.5687522603978299</v>
      </c>
      <c r="AF433" s="271">
        <f t="shared" si="49"/>
        <v>2.5687522603978299</v>
      </c>
      <c r="AG433" s="298"/>
      <c r="AK433" s="358"/>
    </row>
    <row r="434" spans="2:114" hidden="1" outlineLevel="1">
      <c r="C434" s="281"/>
      <c r="D434" s="4171"/>
      <c r="E434" s="128" t="s">
        <v>2809</v>
      </c>
      <c r="F434" s="1705">
        <f>2841.04/1106</f>
        <v>2.5687522603978299</v>
      </c>
      <c r="G434" s="4847"/>
      <c r="H434" s="1430" t="s">
        <v>2833</v>
      </c>
      <c r="I434" s="133">
        <v>1106</v>
      </c>
      <c r="V434" s="4450"/>
      <c r="W434" s="298">
        <v>2841.04</v>
      </c>
      <c r="X434" s="298">
        <v>2841.04</v>
      </c>
      <c r="Y434" s="206">
        <v>2.5687522603978299</v>
      </c>
      <c r="Z434" s="135">
        <v>2.5687522603978299</v>
      </c>
      <c r="AA434" s="135">
        <v>2.5687522603978299</v>
      </c>
      <c r="AB434" s="135">
        <v>2.5687522603978299</v>
      </c>
      <c r="AC434" s="135">
        <v>2.5687522603978299</v>
      </c>
      <c r="AD434" s="135">
        <v>2.5687522603978299</v>
      </c>
      <c r="AE434" s="135">
        <v>2.5687522603978299</v>
      </c>
      <c r="AF434" s="271">
        <f t="shared" si="49"/>
        <v>2.5687522603978299</v>
      </c>
      <c r="AG434" s="298"/>
      <c r="AK434" s="358"/>
    </row>
    <row r="435" spans="2:114" hidden="1" outlineLevel="1">
      <c r="C435" s="281"/>
      <c r="D435" s="4171"/>
      <c r="E435" s="128" t="s">
        <v>2811</v>
      </c>
      <c r="F435" s="1705">
        <f>2461.73/(1106*0.65)</f>
        <v>3.424301015440256</v>
      </c>
      <c r="G435" s="4847"/>
      <c r="H435" s="1430" t="s">
        <v>2832</v>
      </c>
      <c r="I435" s="133">
        <f>0.65*1106</f>
        <v>718.9</v>
      </c>
      <c r="V435" s="4450"/>
      <c r="W435" s="298">
        <v>2461.73</v>
      </c>
      <c r="X435" s="298">
        <v>2461.73</v>
      </c>
      <c r="Y435" s="206">
        <v>3.424301015440256</v>
      </c>
      <c r="Z435" s="135">
        <v>3.424301015440256</v>
      </c>
      <c r="AA435" s="135">
        <v>3.424301015440256</v>
      </c>
      <c r="AB435" s="135">
        <v>3.424301015440256</v>
      </c>
      <c r="AC435" s="135">
        <v>3.424301015440256</v>
      </c>
      <c r="AD435" s="135">
        <v>3.424301015440256</v>
      </c>
      <c r="AE435" s="135">
        <v>3.424301015440256</v>
      </c>
      <c r="AF435" s="271">
        <f t="shared" si="49"/>
        <v>3.424301015440256</v>
      </c>
      <c r="AG435" s="298"/>
      <c r="AK435" s="358"/>
    </row>
    <row r="436" spans="2:114" hidden="1" outlineLevel="1">
      <c r="C436" s="281"/>
      <c r="D436" s="4171"/>
      <c r="E436" s="128" t="s">
        <v>2813</v>
      </c>
      <c r="F436" s="1705">
        <f>2461.73/(1106*0.65)</f>
        <v>3.424301015440256</v>
      </c>
      <c r="G436" s="4847"/>
      <c r="H436" s="1430" t="s">
        <v>2832</v>
      </c>
      <c r="I436" s="133">
        <f>0.65*1106</f>
        <v>718.9</v>
      </c>
      <c r="V436" s="4450"/>
      <c r="W436" s="298">
        <v>2461.73</v>
      </c>
      <c r="X436" s="298">
        <v>2461.73</v>
      </c>
      <c r="Y436" s="206">
        <v>3.424301015440256</v>
      </c>
      <c r="Z436" s="135">
        <v>3.424301015440256</v>
      </c>
      <c r="AA436" s="135">
        <v>3.424301015440256</v>
      </c>
      <c r="AB436" s="135">
        <v>3.424301015440256</v>
      </c>
      <c r="AC436" s="135">
        <v>3.424301015440256</v>
      </c>
      <c r="AD436" s="135">
        <v>3.424301015440256</v>
      </c>
      <c r="AE436" s="135">
        <v>3.424301015440256</v>
      </c>
      <c r="AF436" s="271">
        <f t="shared" si="49"/>
        <v>3.424301015440256</v>
      </c>
      <c r="AG436" s="298"/>
      <c r="AK436" s="358"/>
    </row>
    <row r="437" spans="2:114" hidden="1" outlineLevel="1">
      <c r="C437" s="281"/>
      <c r="D437" s="4171"/>
      <c r="E437" s="128" t="s">
        <v>2815</v>
      </c>
      <c r="F437" s="1705">
        <f>2461.73/(1106*0.65)</f>
        <v>3.424301015440256</v>
      </c>
      <c r="G437" s="4847"/>
      <c r="H437" s="1430" t="s">
        <v>2832</v>
      </c>
      <c r="I437" s="133">
        <f>0.65*1106</f>
        <v>718.9</v>
      </c>
      <c r="V437" s="4450"/>
      <c r="W437" s="298">
        <v>2461.73</v>
      </c>
      <c r="X437" s="298">
        <v>2461.73</v>
      </c>
      <c r="Y437" s="206">
        <v>3.424301015440256</v>
      </c>
      <c r="Z437" s="135">
        <v>3.424301015440256</v>
      </c>
      <c r="AA437" s="135">
        <v>3.424301015440256</v>
      </c>
      <c r="AB437" s="135">
        <v>3.424301015440256</v>
      </c>
      <c r="AC437" s="135">
        <v>3.424301015440256</v>
      </c>
      <c r="AD437" s="135">
        <v>3.424301015440256</v>
      </c>
      <c r="AE437" s="135">
        <v>3.424301015440256</v>
      </c>
      <c r="AF437" s="271">
        <f t="shared" si="49"/>
        <v>3.424301015440256</v>
      </c>
      <c r="AG437" s="298"/>
      <c r="AK437" s="358"/>
    </row>
    <row r="438" spans="2:114" hidden="1" outlineLevel="1">
      <c r="C438" s="281"/>
      <c r="D438" s="4171"/>
      <c r="E438" s="128" t="s">
        <v>2817</v>
      </c>
      <c r="F438" s="1705">
        <f>3787.28/1106</f>
        <v>3.4243037974683546</v>
      </c>
      <c r="G438" s="4847"/>
      <c r="H438" s="1430" t="s">
        <v>2833</v>
      </c>
      <c r="I438" s="133">
        <v>1106</v>
      </c>
      <c r="V438" s="4450"/>
      <c r="W438" s="298">
        <v>3787.28</v>
      </c>
      <c r="X438" s="298">
        <v>3787.28</v>
      </c>
      <c r="Y438" s="206">
        <v>3.4243037974683546</v>
      </c>
      <c r="Z438" s="135">
        <v>3.4243037974683546</v>
      </c>
      <c r="AA438" s="135">
        <v>3.4243037974683546</v>
      </c>
      <c r="AB438" s="135">
        <v>3.4243037974683546</v>
      </c>
      <c r="AC438" s="135">
        <v>3.4243037974683546</v>
      </c>
      <c r="AD438" s="135">
        <v>3.4243037974683546</v>
      </c>
      <c r="AE438" s="135">
        <v>3.4243037974683546</v>
      </c>
      <c r="AF438" s="271">
        <f t="shared" si="49"/>
        <v>3.4243037974683546</v>
      </c>
      <c r="AG438" s="298"/>
      <c r="AK438" s="358"/>
    </row>
    <row r="439" spans="2:114" hidden="1" outlineLevel="1">
      <c r="C439" s="281"/>
      <c r="D439" s="4171"/>
      <c r="E439" s="128" t="s">
        <v>2819</v>
      </c>
      <c r="F439" s="1705">
        <f>3787.28/1106</f>
        <v>3.4243037974683546</v>
      </c>
      <c r="G439" s="4847"/>
      <c r="H439" s="1430" t="s">
        <v>2833</v>
      </c>
      <c r="I439" s="133">
        <v>1106</v>
      </c>
      <c r="V439" s="4450"/>
      <c r="W439" s="298">
        <v>3787.28</v>
      </c>
      <c r="X439" s="298">
        <v>3787.28</v>
      </c>
      <c r="Y439" s="206">
        <v>3.4243037974683546</v>
      </c>
      <c r="Z439" s="135">
        <v>3.4243037974683546</v>
      </c>
      <c r="AA439" s="135">
        <v>3.4243037974683546</v>
      </c>
      <c r="AB439" s="135">
        <v>3.4243037974683546</v>
      </c>
      <c r="AC439" s="135">
        <v>3.4243037974683546</v>
      </c>
      <c r="AD439" s="135">
        <v>3.4243037974683546</v>
      </c>
      <c r="AE439" s="135">
        <v>3.4243037974683546</v>
      </c>
      <c r="AF439" s="271">
        <f t="shared" si="49"/>
        <v>3.4243037974683546</v>
      </c>
      <c r="AG439" s="298"/>
      <c r="AK439" s="358"/>
    </row>
    <row r="440" spans="2:114" hidden="1" outlineLevel="1">
      <c r="C440" s="281"/>
      <c r="D440" s="4171"/>
      <c r="E440" s="128" t="s">
        <v>2821</v>
      </c>
      <c r="F440" s="1705">
        <f>3787.28/1106</f>
        <v>3.4243037974683546</v>
      </c>
      <c r="G440" s="4847"/>
      <c r="H440" s="1430" t="s">
        <v>2833</v>
      </c>
      <c r="I440" s="133">
        <v>1106</v>
      </c>
      <c r="V440" s="4451"/>
      <c r="W440" s="298">
        <v>3787.28</v>
      </c>
      <c r="X440" s="298">
        <v>3787.28</v>
      </c>
      <c r="Y440" s="206">
        <v>3.4243037974683546</v>
      </c>
      <c r="Z440" s="135">
        <v>3.4243037974683546</v>
      </c>
      <c r="AA440" s="135">
        <v>3.4243037974683546</v>
      </c>
      <c r="AB440" s="135">
        <v>3.4243037974683546</v>
      </c>
      <c r="AC440" s="135">
        <v>3.4243037974683546</v>
      </c>
      <c r="AD440" s="135">
        <v>3.4243037974683546</v>
      </c>
      <c r="AE440" s="135">
        <v>3.4243037974683546</v>
      </c>
      <c r="AF440" s="271">
        <f t="shared" si="49"/>
        <v>3.4243037974683546</v>
      </c>
      <c r="AG440" s="298"/>
      <c r="AK440" s="358"/>
    </row>
    <row r="441" spans="2:114" hidden="1" outlineLevel="1">
      <c r="B441" s="579"/>
      <c r="C441" s="281"/>
      <c r="Y441" s="539" t="s">
        <v>2759</v>
      </c>
      <c r="AK441" s="358"/>
    </row>
    <row r="442" spans="2:114" collapsed="1">
      <c r="B442" s="579"/>
      <c r="C442" s="281"/>
      <c r="AK442" s="358"/>
    </row>
    <row r="443" spans="2:114">
      <c r="B443" s="4183" t="s">
        <v>2855</v>
      </c>
      <c r="C443" s="4184"/>
      <c r="D443" s="4184"/>
      <c r="E443" s="4184"/>
      <c r="F443" s="4184"/>
      <c r="G443" s="4184"/>
      <c r="H443" s="4184"/>
      <c r="I443" s="4840"/>
      <c r="J443" s="4840"/>
      <c r="K443" s="4840"/>
      <c r="L443" s="4840"/>
      <c r="M443" s="4840"/>
      <c r="N443" s="4840"/>
      <c r="O443" s="4840"/>
      <c r="P443" s="4840"/>
      <c r="Q443" s="4840"/>
      <c r="R443" s="4841"/>
      <c r="V443" s="4066" t="str">
        <f>B443</f>
        <v>Floor Insulation</v>
      </c>
      <c r="W443" s="4067"/>
      <c r="X443" s="4067"/>
      <c r="Y443" s="4067"/>
      <c r="Z443" s="4067"/>
      <c r="AA443" s="4067"/>
      <c r="AB443" s="4067"/>
      <c r="AC443" s="4837"/>
      <c r="AD443" s="4837"/>
      <c r="AE443" s="4837"/>
      <c r="AF443" s="4837"/>
      <c r="AG443" s="4837"/>
      <c r="AH443" s="4837"/>
      <c r="AI443" s="4838"/>
      <c r="AK443" s="358"/>
    </row>
    <row r="444" spans="2:114">
      <c r="B444" s="579"/>
      <c r="C444" s="281"/>
      <c r="D444" s="583"/>
      <c r="E444" s="583" t="s">
        <v>2856</v>
      </c>
      <c r="F444" s="282"/>
      <c r="G444" s="282"/>
      <c r="H444" s="282"/>
      <c r="I444" s="282"/>
      <c r="J444" s="282"/>
      <c r="K444" s="282"/>
      <c r="L444" s="584"/>
      <c r="AK444" s="358"/>
    </row>
    <row r="445" spans="2:114" ht="30">
      <c r="B445" s="579"/>
      <c r="C445" s="1371" t="s">
        <v>42</v>
      </c>
      <c r="D445" s="1371" t="s">
        <v>953</v>
      </c>
      <c r="E445" s="1371" t="s">
        <v>44</v>
      </c>
      <c r="F445" s="1371" t="s">
        <v>45</v>
      </c>
      <c r="G445" s="1371" t="s">
        <v>46</v>
      </c>
      <c r="H445" s="1371" t="s">
        <v>47</v>
      </c>
      <c r="I445" s="1371" t="s">
        <v>1443</v>
      </c>
      <c r="J445" s="1371" t="s">
        <v>1444</v>
      </c>
      <c r="K445" s="1371" t="s">
        <v>48</v>
      </c>
      <c r="L445" s="1383" t="s">
        <v>49</v>
      </c>
      <c r="M445" s="1371" t="s">
        <v>50</v>
      </c>
      <c r="N445" s="1371" t="s">
        <v>2857</v>
      </c>
      <c r="V445" s="668" t="s">
        <v>52</v>
      </c>
      <c r="W445" s="669">
        <f>W$6</f>
        <v>43252</v>
      </c>
      <c r="X445" s="669">
        <f t="shared" ref="X445:AG445" si="50">X$6</f>
        <v>43465</v>
      </c>
      <c r="Y445" s="115">
        <f t="shared" si="50"/>
        <v>43800</v>
      </c>
      <c r="Z445" s="669">
        <f t="shared" si="50"/>
        <v>43862</v>
      </c>
      <c r="AA445" s="669">
        <f t="shared" si="50"/>
        <v>44013</v>
      </c>
      <c r="AB445" s="669">
        <f t="shared" si="50"/>
        <v>44166</v>
      </c>
      <c r="AC445" s="669">
        <f t="shared" si="50"/>
        <v>44531</v>
      </c>
      <c r="AD445" s="669">
        <f t="shared" si="50"/>
        <v>44774</v>
      </c>
      <c r="AE445" s="669">
        <f t="shared" si="50"/>
        <v>45139</v>
      </c>
      <c r="AF445" s="669">
        <f t="shared" si="50"/>
        <v>45672</v>
      </c>
      <c r="AG445" s="669" t="str">
        <f t="shared" si="50"/>
        <v>-</v>
      </c>
      <c r="AK445" s="358"/>
      <c r="DG445" s="1060" t="str">
        <f>$DG$6</f>
        <v>TRC (2025)</v>
      </c>
      <c r="DH445" s="811" t="str">
        <f>$DH$6</f>
        <v>Benefit Lookup</v>
      </c>
      <c r="DI445" s="1076" t="str">
        <f>$DI$6</f>
        <v>Benefits (2025 $)</v>
      </c>
      <c r="DJ445" s="1103" t="str">
        <f>$DJ$6</f>
        <v>Incremental Cost (2025 $)</v>
      </c>
    </row>
    <row r="446" spans="2:114">
      <c r="B446" s="1454">
        <f t="shared" ref="B446:B451" si="51">VALUE(LEFT(C446,6))</f>
        <v>402200</v>
      </c>
      <c r="C446" s="692" t="s">
        <v>2858</v>
      </c>
      <c r="D446" s="555" t="s">
        <v>1486</v>
      </c>
      <c r="E446" s="128" t="s">
        <v>2859</v>
      </c>
      <c r="F446" s="205">
        <f t="shared" ref="F446:F450" si="52">ROUND(I446+J446,2)</f>
        <v>2.0499999999999998</v>
      </c>
      <c r="G446" s="139" t="s">
        <v>1380</v>
      </c>
      <c r="H446" s="69">
        <f>VLOOKUP(G446,'CP FACTORS'!$A$3:$B$38, 2, FALSE)</f>
        <v>4.6608050000000002E-4</v>
      </c>
      <c r="I446" s="1550">
        <f>(1/F$459-1/F$461)*F$462*(1-F$463)*F464*24*F$468/(F469*3412)</f>
        <v>1.8130236039175185</v>
      </c>
      <c r="J446" s="1550">
        <f>(1/$F$459-1/$F$461)*$F$462*(1-$F$463)*F472*24*$F$475/($F$476*1000)</f>
        <v>0.23681313862743308</v>
      </c>
      <c r="K446" s="1488">
        <f>ROUND(H446*F446,6)</f>
        <v>9.5500000000000001E-4</v>
      </c>
      <c r="L446" s="1456">
        <f t="shared" ref="L446:L451" si="53">$F$477</f>
        <v>30</v>
      </c>
      <c r="M446" s="742">
        <f t="shared" ref="M446:M451" si="54">$F$478</f>
        <v>0.67966666666666664</v>
      </c>
      <c r="N446" s="336">
        <f t="shared" ref="N446:N451" si="55">$F$462</f>
        <v>1</v>
      </c>
      <c r="V446" s="356" t="str">
        <f t="shared" ref="V446:V451" si="56">$F$58</f>
        <v>kWh Annual Savings</v>
      </c>
      <c r="W446" s="87">
        <v>2641.1109246458486</v>
      </c>
      <c r="X446" s="130">
        <v>2641.1109246458486</v>
      </c>
      <c r="Y446" s="272">
        <v>2.4500000000000002</v>
      </c>
      <c r="Z446" s="270">
        <v>2.4500000000000002</v>
      </c>
      <c r="AA446" s="270">
        <v>2.4500000000000002</v>
      </c>
      <c r="AB446" s="270">
        <v>2.4500000000000002</v>
      </c>
      <c r="AC446" s="270">
        <v>2.4500000000000002</v>
      </c>
      <c r="AD446" s="270">
        <v>2.4500000000000002</v>
      </c>
      <c r="AE446" s="270">
        <v>2.4500000000000002</v>
      </c>
      <c r="AF446" s="271">
        <f t="shared" ref="AF446:AF451" si="57">IF(F446&lt;&gt;"",F446,"")</f>
        <v>2.0499999999999998</v>
      </c>
      <c r="AG446" s="356"/>
      <c r="AK446" s="358"/>
      <c r="DG446" s="1067">
        <f t="shared" ref="DG446:DG451" si="58">(DI446)/(DJ446)</f>
        <v>5.6659779555419325</v>
      </c>
      <c r="DH446" s="1400" t="str">
        <f t="shared" ref="DH446:DH451" si="59">CONCATENATE(G446," ",L446," Year EUL")</f>
        <v>Building Shell RES 30 Year EUL</v>
      </c>
      <c r="DI446" s="1078">
        <f>(INDEX('Avoided Cost Benefits'!$B$4:$B$865,MATCH(DH446,'Avoided Cost Benefits'!$A$4:$A$865,0)))*F446</f>
        <v>3.8509763504499999</v>
      </c>
      <c r="DJ446" s="1177">
        <f t="shared" ref="DJ446:DJ451" si="60">M446/(1.0686^(2025-2025))</f>
        <v>0.67966666666666664</v>
      </c>
    </row>
    <row r="447" spans="2:114">
      <c r="B447" s="1454">
        <f t="shared" si="51"/>
        <v>402201</v>
      </c>
      <c r="C447" s="692" t="s">
        <v>2860</v>
      </c>
      <c r="D447" s="555" t="s">
        <v>1486</v>
      </c>
      <c r="E447" s="128" t="s">
        <v>2861</v>
      </c>
      <c r="F447" s="205">
        <f t="shared" si="52"/>
        <v>1.36</v>
      </c>
      <c r="G447" s="139" t="s">
        <v>1380</v>
      </c>
      <c r="H447" s="69">
        <f>VLOOKUP(G447,'CP FACTORS'!$A$3:$B$38, 2, FALSE)</f>
        <v>4.6608050000000002E-4</v>
      </c>
      <c r="I447" s="1550">
        <f>(1/F$459-1/F$461)*F$462*(1-F$463)*F465*24*F$468/(F470*3412)</f>
        <v>1.1191503727885916</v>
      </c>
      <c r="J447" s="1550">
        <f>(1/$F$459-1/$F$461)*$F$462*(1-$F$463)*F473*24*$F$475/($F$476*1000)</f>
        <v>0.23681313862743308</v>
      </c>
      <c r="K447" s="1488">
        <f t="shared" ref="K447:K451" si="61">ROUND(H447*F447,6)</f>
        <v>6.3400000000000001E-4</v>
      </c>
      <c r="L447" s="1456">
        <f t="shared" si="53"/>
        <v>30</v>
      </c>
      <c r="M447" s="742">
        <f t="shared" si="54"/>
        <v>0.67966666666666664</v>
      </c>
      <c r="N447" s="336">
        <f t="shared" si="55"/>
        <v>1</v>
      </c>
      <c r="V447" s="356" t="str">
        <f t="shared" si="56"/>
        <v>kWh Annual Savings</v>
      </c>
      <c r="W447" s="87"/>
      <c r="X447" s="130"/>
      <c r="Y447" s="272">
        <v>1.42</v>
      </c>
      <c r="Z447" s="270">
        <v>1.42</v>
      </c>
      <c r="AA447" s="270">
        <v>1.42</v>
      </c>
      <c r="AB447" s="270">
        <v>1.42</v>
      </c>
      <c r="AC447" s="270">
        <v>1.42</v>
      </c>
      <c r="AD447" s="270">
        <v>1.42</v>
      </c>
      <c r="AE447" s="270">
        <v>1.42</v>
      </c>
      <c r="AF447" s="271">
        <f t="shared" si="57"/>
        <v>1.36</v>
      </c>
      <c r="AG447" s="356"/>
      <c r="AK447" s="358"/>
      <c r="DG447" s="662">
        <f t="shared" si="58"/>
        <v>3.7588926924570876</v>
      </c>
      <c r="DH447" s="1400" t="str">
        <f t="shared" si="59"/>
        <v>Building Shell RES 30 Year EUL</v>
      </c>
      <c r="DI447" s="1079">
        <f>(INDEX('Avoided Cost Benefits'!$B$4:$B$865,MATCH(DH447,'Avoided Cost Benefits'!$A$4:$A$865,0)))*F447</f>
        <v>2.5547940666400004</v>
      </c>
      <c r="DJ447" s="1189">
        <f t="shared" si="60"/>
        <v>0.67966666666666664</v>
      </c>
    </row>
    <row r="448" spans="2:114">
      <c r="B448" s="1454">
        <f t="shared" si="51"/>
        <v>402202</v>
      </c>
      <c r="C448" s="692" t="s">
        <v>2862</v>
      </c>
      <c r="D448" s="555" t="s">
        <v>1486</v>
      </c>
      <c r="E448" s="128" t="s">
        <v>2863</v>
      </c>
      <c r="F448" s="205">
        <f t="shared" si="52"/>
        <v>0.24</v>
      </c>
      <c r="G448" s="139" t="s">
        <v>1380</v>
      </c>
      <c r="H448" s="69">
        <f>VLOOKUP(G448,'CP FACTORS'!$A$3:$B$38, 2, FALSE)</f>
        <v>4.6608050000000002E-4</v>
      </c>
      <c r="I448" s="318">
        <f>(1/F$459-1/F$461)*F$462*(1-F$463)*F466*24*F$468/(F471*3412)</f>
        <v>0</v>
      </c>
      <c r="J448" s="1550">
        <f>(1/$F$459-1/$F$461)*$F$462*(1-$F$463)*F474*24*$F$475/($F$476*1000)</f>
        <v>0.23681313862743308</v>
      </c>
      <c r="K448" s="1488">
        <f t="shared" si="61"/>
        <v>1.12E-4</v>
      </c>
      <c r="L448" s="1456">
        <f t="shared" si="53"/>
        <v>30</v>
      </c>
      <c r="M448" s="742">
        <f t="shared" si="54"/>
        <v>0.67966666666666664</v>
      </c>
      <c r="N448" s="336">
        <f t="shared" si="55"/>
        <v>1</v>
      </c>
      <c r="V448" s="356" t="str">
        <f t="shared" si="56"/>
        <v>kWh Annual Savings</v>
      </c>
      <c r="W448" s="87"/>
      <c r="X448" s="130"/>
      <c r="Y448" s="272">
        <v>0.23</v>
      </c>
      <c r="Z448" s="270">
        <v>0.23</v>
      </c>
      <c r="AA448" s="270">
        <v>0.23</v>
      </c>
      <c r="AB448" s="270">
        <v>0.23</v>
      </c>
      <c r="AC448" s="270">
        <v>0.23</v>
      </c>
      <c r="AD448" s="270">
        <v>0.23</v>
      </c>
      <c r="AE448" s="270">
        <v>0.23</v>
      </c>
      <c r="AF448" s="271">
        <f t="shared" si="57"/>
        <v>0.24</v>
      </c>
      <c r="AG448" s="356"/>
      <c r="AK448" s="358"/>
      <c r="DG448" s="662">
        <f t="shared" si="58"/>
        <v>0.66333400455125069</v>
      </c>
      <c r="DH448" s="1400" t="str">
        <f t="shared" si="59"/>
        <v>Building Shell RES 30 Year EUL</v>
      </c>
      <c r="DI448" s="1079">
        <f>(INDEX('Avoided Cost Benefits'!$B$4:$B$865,MATCH(DH448,'Avoided Cost Benefits'!$A$4:$A$865,0)))*F448</f>
        <v>0.45084601176</v>
      </c>
      <c r="DJ448" s="1189">
        <f t="shared" si="60"/>
        <v>0.67966666666666664</v>
      </c>
    </row>
    <row r="449" spans="2:114">
      <c r="B449" s="1454">
        <f t="shared" si="51"/>
        <v>402203</v>
      </c>
      <c r="C449" s="692" t="s">
        <v>2864</v>
      </c>
      <c r="D449" s="555" t="s">
        <v>1486</v>
      </c>
      <c r="E449" s="128" t="s">
        <v>2865</v>
      </c>
      <c r="F449" s="205">
        <f t="shared" si="52"/>
        <v>0.2</v>
      </c>
      <c r="G449" s="139" t="s">
        <v>1380</v>
      </c>
      <c r="H449" s="69">
        <f>VLOOKUP(G449,'CP FACTORS'!$A$3:$B$38, 2, FALSE)</f>
        <v>4.6608050000000002E-4</v>
      </c>
      <c r="I449" s="1550">
        <f>(1/F$460-1/F$461)*F$462*(1-F$463)*F464*24*F$467/(F469*3412)</f>
        <v>0.18183496190449847</v>
      </c>
      <c r="J449" s="538">
        <f>(1/$F$460-1/$F$461)*$F$462*(1-$F$463)*F472*24*$F$475/($F$476*1000)</f>
        <v>1.9950740120601836E-2</v>
      </c>
      <c r="K449" s="1488">
        <f t="shared" si="61"/>
        <v>9.2999999999999997E-5</v>
      </c>
      <c r="L449" s="1456">
        <f t="shared" si="53"/>
        <v>30</v>
      </c>
      <c r="M449" s="742">
        <f t="shared" si="54"/>
        <v>0.67966666666666664</v>
      </c>
      <c r="N449" s="336">
        <f t="shared" si="55"/>
        <v>1</v>
      </c>
      <c r="V449" s="356" t="str">
        <f t="shared" si="56"/>
        <v>kWh Annual Savings</v>
      </c>
      <c r="W449" s="87"/>
      <c r="X449" s="130"/>
      <c r="Y449" s="272"/>
      <c r="Z449" s="682">
        <v>0.22</v>
      </c>
      <c r="AA449" s="19">
        <v>0.22</v>
      </c>
      <c r="AB449" s="19">
        <v>0.22</v>
      </c>
      <c r="AC449" s="19">
        <v>0.22</v>
      </c>
      <c r="AD449" s="19">
        <v>0.22</v>
      </c>
      <c r="AE449" s="19">
        <v>0.22</v>
      </c>
      <c r="AF449" s="271">
        <f t="shared" si="57"/>
        <v>0.2</v>
      </c>
      <c r="AG449" s="356"/>
      <c r="AK449" s="358"/>
      <c r="DG449" s="1067">
        <f t="shared" si="58"/>
        <v>0.5527783371260423</v>
      </c>
      <c r="DH449" s="1400" t="str">
        <f t="shared" si="59"/>
        <v>Building Shell RES 30 Year EUL</v>
      </c>
      <c r="DI449" s="1078">
        <f>(INDEX('Avoided Cost Benefits'!$B$4:$B$865,MATCH(DH449,'Avoided Cost Benefits'!$A$4:$A$865,0)))*F449</f>
        <v>0.37570500980000004</v>
      </c>
      <c r="DJ449" s="1177">
        <f t="shared" si="60"/>
        <v>0.67966666666666664</v>
      </c>
    </row>
    <row r="450" spans="2:114">
      <c r="B450" s="1454">
        <f t="shared" si="51"/>
        <v>402204</v>
      </c>
      <c r="C450" s="692" t="s">
        <v>2866</v>
      </c>
      <c r="D450" s="555" t="s">
        <v>1486</v>
      </c>
      <c r="E450" s="128" t="s">
        <v>2867</v>
      </c>
      <c r="F450" s="205">
        <f t="shared" si="52"/>
        <v>0.11</v>
      </c>
      <c r="G450" s="139" t="s">
        <v>1380</v>
      </c>
      <c r="H450" s="69">
        <f>VLOOKUP(G450,'CP FACTORS'!$A$3:$B$38, 2, FALSE)</f>
        <v>4.6608050000000002E-4</v>
      </c>
      <c r="I450" s="1550">
        <f>(1/F$460-1/F$461)*F$462*(1-F$463)*F465*24*F$468/(F470*3412)</f>
        <v>9.4284795061591792E-2</v>
      </c>
      <c r="J450" s="538">
        <f>(1/$F$460-1/$F$461)*$F$462*(1-$F$463)*F473*24*$F$475/($F$476*1000)</f>
        <v>1.9950740120601836E-2</v>
      </c>
      <c r="K450" s="1488">
        <f t="shared" si="61"/>
        <v>5.1E-5</v>
      </c>
      <c r="L450" s="1456">
        <f t="shared" si="53"/>
        <v>30</v>
      </c>
      <c r="M450" s="742">
        <f t="shared" si="54"/>
        <v>0.67966666666666664</v>
      </c>
      <c r="N450" s="336">
        <f t="shared" si="55"/>
        <v>1</v>
      </c>
      <c r="V450" s="356" t="str">
        <f t="shared" si="56"/>
        <v>kWh Annual Savings</v>
      </c>
      <c r="W450" s="87"/>
      <c r="X450" s="130"/>
      <c r="Y450" s="272"/>
      <c r="Z450" s="682">
        <v>0.13</v>
      </c>
      <c r="AA450" s="19">
        <v>0.13</v>
      </c>
      <c r="AB450" s="19">
        <v>0.13</v>
      </c>
      <c r="AC450" s="19">
        <v>0.13</v>
      </c>
      <c r="AD450" s="19">
        <v>0.13</v>
      </c>
      <c r="AE450" s="19">
        <v>0.13</v>
      </c>
      <c r="AF450" s="271">
        <f t="shared" si="57"/>
        <v>0.11</v>
      </c>
      <c r="AG450" s="356"/>
      <c r="AK450" s="358"/>
      <c r="DG450" s="662">
        <f t="shared" si="58"/>
        <v>0.30402808541932325</v>
      </c>
      <c r="DH450" s="1400" t="str">
        <f t="shared" si="59"/>
        <v>Building Shell RES 30 Year EUL</v>
      </c>
      <c r="DI450" s="1079">
        <f>(INDEX('Avoided Cost Benefits'!$B$4:$B$865,MATCH(DH450,'Avoided Cost Benefits'!$A$4:$A$865,0)))*F450</f>
        <v>0.20663775539000001</v>
      </c>
      <c r="DJ450" s="1189">
        <f t="shared" si="60"/>
        <v>0.67966666666666664</v>
      </c>
    </row>
    <row r="451" spans="2:114">
      <c r="B451" s="1454">
        <f t="shared" si="51"/>
        <v>402205</v>
      </c>
      <c r="C451" s="692" t="s">
        <v>2868</v>
      </c>
      <c r="D451" s="555" t="s">
        <v>1486</v>
      </c>
      <c r="E451" s="128" t="s">
        <v>2869</v>
      </c>
      <c r="F451" s="205">
        <f>ROUND(I451+J451,2)</f>
        <v>0.02</v>
      </c>
      <c r="G451" s="139" t="s">
        <v>1380</v>
      </c>
      <c r="H451" s="69">
        <f>VLOOKUP(G451,'CP FACTORS'!$A$3:$B$38, 2, FALSE)</f>
        <v>4.6608050000000002E-4</v>
      </c>
      <c r="I451" s="538">
        <f>(1/F$460-1/F$461)*F$462*(1-F$463)*F466*24*F$468/(F471*3412)</f>
        <v>0</v>
      </c>
      <c r="J451" s="538">
        <f>(1/$F$460-1/$F$461)*$F$462*(1-$F$463)*F474*24*$F$475/($F$476*1000)</f>
        <v>1.9950740120601836E-2</v>
      </c>
      <c r="K451" s="274">
        <f t="shared" si="61"/>
        <v>9.0000000000000002E-6</v>
      </c>
      <c r="L451" s="1456">
        <f t="shared" si="53"/>
        <v>30</v>
      </c>
      <c r="M451" s="742">
        <f t="shared" si="54"/>
        <v>0.67966666666666664</v>
      </c>
      <c r="N451" s="336">
        <f t="shared" si="55"/>
        <v>1</v>
      </c>
      <c r="V451" s="356" t="str">
        <f t="shared" si="56"/>
        <v>kWh Annual Savings</v>
      </c>
      <c r="W451" s="87"/>
      <c r="X451" s="130"/>
      <c r="Y451" s="272"/>
      <c r="Z451" s="682">
        <v>0.02</v>
      </c>
      <c r="AA451" s="19">
        <v>0.02</v>
      </c>
      <c r="AB451" s="19">
        <v>0.02</v>
      </c>
      <c r="AC451" s="19">
        <v>0.02</v>
      </c>
      <c r="AD451" s="19">
        <v>0.02</v>
      </c>
      <c r="AE451" s="19">
        <v>0.02</v>
      </c>
      <c r="AF451" s="271">
        <f t="shared" si="57"/>
        <v>0.02</v>
      </c>
      <c r="AG451" s="356"/>
      <c r="AK451" s="358"/>
      <c r="DG451" s="662">
        <f t="shared" si="58"/>
        <v>5.5277833712604224E-2</v>
      </c>
      <c r="DH451" s="1400" t="str">
        <f t="shared" si="59"/>
        <v>Building Shell RES 30 Year EUL</v>
      </c>
      <c r="DI451" s="1079">
        <f>(INDEX('Avoided Cost Benefits'!$B$4:$B$865,MATCH(DH451,'Avoided Cost Benefits'!$A$4:$A$865,0)))*F451</f>
        <v>3.7570500980000004E-2</v>
      </c>
      <c r="DJ451" s="1189">
        <f t="shared" si="60"/>
        <v>0.67966666666666664</v>
      </c>
    </row>
    <row r="452" spans="2:114" hidden="1" outlineLevel="1">
      <c r="B452" s="579"/>
      <c r="C452" s="281"/>
      <c r="D452" s="74" t="s">
        <v>118</v>
      </c>
      <c r="E452" s="1598" t="s">
        <v>2870</v>
      </c>
      <c r="F452" s="541"/>
      <c r="AK452" s="358"/>
    </row>
    <row r="453" spans="2:114" hidden="1" outlineLevel="1">
      <c r="B453" s="579"/>
      <c r="C453" s="281"/>
      <c r="D453" s="74" t="s">
        <v>963</v>
      </c>
      <c r="E453" s="133" t="s">
        <v>2871</v>
      </c>
      <c r="F453" s="636"/>
      <c r="G453" s="322"/>
      <c r="AK453" s="358"/>
    </row>
    <row r="454" spans="2:114" hidden="1" outlineLevel="1">
      <c r="B454" s="579"/>
      <c r="C454" s="281"/>
      <c r="D454" s="74" t="s">
        <v>963</v>
      </c>
      <c r="E454" s="133" t="s">
        <v>2872</v>
      </c>
      <c r="F454" s="636"/>
      <c r="G454" s="322"/>
      <c r="AK454" s="358"/>
    </row>
    <row r="455" spans="2:114" hidden="1" outlineLevel="1">
      <c r="B455" s="579"/>
      <c r="C455" s="281"/>
      <c r="D455" s="74"/>
      <c r="E455" s="595" t="s">
        <v>966</v>
      </c>
      <c r="F455" s="636"/>
      <c r="G455" s="322"/>
      <c r="AK455" s="358"/>
    </row>
    <row r="456" spans="2:114" hidden="1" outlineLevel="1">
      <c r="B456" s="579"/>
      <c r="C456" s="281"/>
      <c r="D456" s="74"/>
      <c r="E456" s="595"/>
      <c r="F456" s="636"/>
      <c r="G456" s="322"/>
      <c r="AK456" s="358"/>
    </row>
    <row r="457" spans="2:114" hidden="1" outlineLevel="1">
      <c r="B457" s="579"/>
      <c r="C457" s="281"/>
      <c r="AK457" s="358"/>
    </row>
    <row r="458" spans="2:114" hidden="1" outlineLevel="1">
      <c r="B458" s="579"/>
      <c r="C458" s="281"/>
      <c r="D458" s="1443" t="s">
        <v>1078</v>
      </c>
      <c r="E458" s="1443" t="s">
        <v>967</v>
      </c>
      <c r="F458" s="1371" t="s">
        <v>969</v>
      </c>
      <c r="G458" s="1371" t="s">
        <v>970</v>
      </c>
      <c r="H458" s="1371" t="s">
        <v>1079</v>
      </c>
      <c r="V458" s="668" t="s">
        <v>52</v>
      </c>
      <c r="W458" s="669">
        <f>W$6</f>
        <v>43252</v>
      </c>
      <c r="X458" s="669">
        <f t="shared" ref="X458:AG458" si="62">X$6</f>
        <v>43465</v>
      </c>
      <c r="Y458" s="115">
        <f t="shared" si="62"/>
        <v>43800</v>
      </c>
      <c r="Z458" s="669">
        <f t="shared" si="62"/>
        <v>43862</v>
      </c>
      <c r="AA458" s="669">
        <f t="shared" si="62"/>
        <v>44013</v>
      </c>
      <c r="AB458" s="669">
        <f t="shared" si="62"/>
        <v>44166</v>
      </c>
      <c r="AC458" s="669">
        <f t="shared" si="62"/>
        <v>44531</v>
      </c>
      <c r="AD458" s="669">
        <f t="shared" si="62"/>
        <v>44774</v>
      </c>
      <c r="AE458" s="669">
        <f t="shared" si="62"/>
        <v>45139</v>
      </c>
      <c r="AF458" s="669">
        <f t="shared" si="62"/>
        <v>45672</v>
      </c>
      <c r="AG458" s="669" t="str">
        <f t="shared" si="62"/>
        <v>-</v>
      </c>
      <c r="AK458" s="358"/>
    </row>
    <row r="459" spans="2:114" ht="30" hidden="1" outlineLevel="1">
      <c r="B459" s="579"/>
      <c r="C459" s="281"/>
      <c r="D459" s="4087" t="s">
        <v>2825</v>
      </c>
      <c r="E459" s="128" t="s">
        <v>2873</v>
      </c>
      <c r="F459" s="1703">
        <v>3.53</v>
      </c>
      <c r="G459" s="1600" t="s">
        <v>2874</v>
      </c>
      <c r="H459" s="1430"/>
      <c r="V459" s="4424" t="str">
        <f>D459</f>
        <v>Rold</v>
      </c>
      <c r="W459" s="290">
        <v>3.96</v>
      </c>
      <c r="X459" s="290">
        <v>3.96</v>
      </c>
      <c r="Y459" s="290">
        <v>3.96</v>
      </c>
      <c r="Z459" s="290">
        <v>3.96</v>
      </c>
      <c r="AA459" s="309">
        <v>3.96</v>
      </c>
      <c r="AB459" s="309">
        <v>3.96</v>
      </c>
      <c r="AC459" s="309">
        <v>3.96</v>
      </c>
      <c r="AD459" s="309">
        <v>3.96</v>
      </c>
      <c r="AE459" s="309">
        <v>3.96</v>
      </c>
      <c r="AF459" s="271">
        <f t="shared" ref="AF459:AF478" si="63">IF(F459&lt;&gt;"",F459,"")</f>
        <v>3.53</v>
      </c>
      <c r="AG459" s="290"/>
      <c r="AK459" s="358"/>
    </row>
    <row r="460" spans="2:114" ht="30" hidden="1" outlineLevel="1">
      <c r="B460" s="579"/>
      <c r="C460" s="281"/>
      <c r="D460" s="4086"/>
      <c r="E460" s="128" t="s">
        <v>2875</v>
      </c>
      <c r="F460" s="1703">
        <f>F459+13</f>
        <v>16.53</v>
      </c>
      <c r="G460" s="1407" t="s">
        <v>2876</v>
      </c>
      <c r="H460" s="1430"/>
      <c r="V460" s="4089"/>
      <c r="W460" s="290"/>
      <c r="X460" s="290"/>
      <c r="Y460" s="288"/>
      <c r="Z460" s="288">
        <v>16.96</v>
      </c>
      <c r="AA460" s="309">
        <v>16.96</v>
      </c>
      <c r="AB460" s="309">
        <v>16.96</v>
      </c>
      <c r="AC460" s="309">
        <f>AC459+13</f>
        <v>16.96</v>
      </c>
      <c r="AD460" s="309">
        <f>AD459+13</f>
        <v>16.96</v>
      </c>
      <c r="AE460" s="309">
        <f>AE459+13</f>
        <v>16.96</v>
      </c>
      <c r="AF460" s="271">
        <f t="shared" si="63"/>
        <v>16.53</v>
      </c>
      <c r="AG460" s="290"/>
      <c r="AK460" s="358"/>
    </row>
    <row r="461" spans="2:114" ht="18" hidden="1" outlineLevel="1">
      <c r="B461" s="579"/>
      <c r="C461" s="281"/>
      <c r="D461" s="1390" t="s">
        <v>2877</v>
      </c>
      <c r="E461" s="128" t="s">
        <v>2878</v>
      </c>
      <c r="F461" s="1690">
        <v>25</v>
      </c>
      <c r="G461" s="1407"/>
      <c r="H461" s="1430"/>
      <c r="V461" s="1417" t="str">
        <f t="shared" ref="V461:V476" si="64">D461</f>
        <v>Radded</v>
      </c>
      <c r="W461" s="279">
        <v>25</v>
      </c>
      <c r="X461" s="279">
        <v>25</v>
      </c>
      <c r="Y461" s="279">
        <v>25</v>
      </c>
      <c r="Z461" s="279">
        <v>25</v>
      </c>
      <c r="AA461" s="444">
        <v>25</v>
      </c>
      <c r="AB461" s="444">
        <v>25</v>
      </c>
      <c r="AC461" s="444">
        <v>25</v>
      </c>
      <c r="AD461" s="444">
        <v>25</v>
      </c>
      <c r="AE461" s="444">
        <v>25</v>
      </c>
      <c r="AF461" s="271">
        <f t="shared" si="63"/>
        <v>25</v>
      </c>
      <c r="AG461" s="279"/>
      <c r="AK461" s="358"/>
    </row>
    <row r="462" spans="2:114" ht="45" hidden="1" outlineLevel="1">
      <c r="C462" s="281"/>
      <c r="D462" s="1391" t="s">
        <v>2879</v>
      </c>
      <c r="E462" s="128" t="s">
        <v>2878</v>
      </c>
      <c r="F462" s="1714">
        <v>1</v>
      </c>
      <c r="G462" s="1407"/>
      <c r="H462" s="1407" t="s">
        <v>2880</v>
      </c>
      <c r="V462" s="289" t="str">
        <f t="shared" si="64"/>
        <v>AFloor</v>
      </c>
      <c r="W462" s="279">
        <f>72*15</f>
        <v>1080</v>
      </c>
      <c r="X462" s="279">
        <v>1080</v>
      </c>
      <c r="Y462" s="193">
        <v>1</v>
      </c>
      <c r="Z462" s="279">
        <v>1</v>
      </c>
      <c r="AA462" s="444">
        <v>1</v>
      </c>
      <c r="AB462" s="444">
        <v>1</v>
      </c>
      <c r="AC462" s="444">
        <v>1</v>
      </c>
      <c r="AD462" s="444">
        <v>1</v>
      </c>
      <c r="AE462" s="444">
        <v>1</v>
      </c>
      <c r="AF462" s="271">
        <f t="shared" si="63"/>
        <v>1</v>
      </c>
      <c r="AG462" s="279"/>
      <c r="AK462" s="358"/>
    </row>
    <row r="463" spans="2:114" ht="105" hidden="1" outlineLevel="1">
      <c r="C463" s="281"/>
      <c r="D463" s="1391" t="s">
        <v>2881</v>
      </c>
      <c r="E463" s="128" t="s">
        <v>2878</v>
      </c>
      <c r="F463" s="1685">
        <v>0.12</v>
      </c>
      <c r="G463" s="1600" t="s">
        <v>2882</v>
      </c>
      <c r="H463" s="1430"/>
      <c r="J463" s="593"/>
      <c r="V463" s="289" t="str">
        <f t="shared" si="64"/>
        <v>Framing FactorFloor</v>
      </c>
      <c r="W463" s="287">
        <v>0.12</v>
      </c>
      <c r="X463" s="287">
        <v>0.12</v>
      </c>
      <c r="Y463" s="287">
        <v>0.12</v>
      </c>
      <c r="Z463" s="287">
        <v>0.12</v>
      </c>
      <c r="AA463" s="313">
        <v>0.12</v>
      </c>
      <c r="AB463" s="313">
        <v>0.12</v>
      </c>
      <c r="AC463" s="313">
        <v>0.12</v>
      </c>
      <c r="AD463" s="313">
        <v>0.12</v>
      </c>
      <c r="AE463" s="313">
        <v>0.12</v>
      </c>
      <c r="AF463" s="271">
        <f t="shared" si="63"/>
        <v>0.12</v>
      </c>
      <c r="AG463" s="287"/>
      <c r="AK463" s="358"/>
    </row>
    <row r="464" spans="2:114" hidden="1" outlineLevel="1">
      <c r="C464" s="281"/>
      <c r="D464" s="4087" t="s">
        <v>2837</v>
      </c>
      <c r="E464" s="128" t="str">
        <f>E446</f>
        <v>Floor Insulation R25 (R-3.96 base) MH electric furnace/baseboard and electric cooling</v>
      </c>
      <c r="F464" s="1680">
        <v>1911</v>
      </c>
      <c r="G464" s="4453" t="s">
        <v>1117</v>
      </c>
      <c r="H464" s="4848" t="s">
        <v>2883</v>
      </c>
      <c r="V464" s="4424" t="str">
        <f t="shared" si="64"/>
        <v>HDD</v>
      </c>
      <c r="W464" s="279">
        <v>1911</v>
      </c>
      <c r="X464" s="279">
        <v>1911</v>
      </c>
      <c r="Y464" s="279">
        <v>1911</v>
      </c>
      <c r="Z464" s="301">
        <v>1911</v>
      </c>
      <c r="AA464" s="315">
        <v>1911</v>
      </c>
      <c r="AB464" s="315">
        <v>1911</v>
      </c>
      <c r="AC464" s="444">
        <v>1911</v>
      </c>
      <c r="AD464" s="444">
        <v>1911</v>
      </c>
      <c r="AE464" s="444">
        <v>1911</v>
      </c>
      <c r="AF464" s="271">
        <f t="shared" si="63"/>
        <v>1911</v>
      </c>
      <c r="AG464" s="279"/>
      <c r="AK464" s="358"/>
    </row>
    <row r="465" spans="2:37" hidden="1" outlineLevel="1">
      <c r="C465" s="281"/>
      <c r="D465" s="4088"/>
      <c r="E465" s="128" t="str">
        <f>E447</f>
        <v>Floor Insulation R25 (R-3.96 base) MH heat pump and electric cooling</v>
      </c>
      <c r="F465" s="1680">
        <f>F464</f>
        <v>1911</v>
      </c>
      <c r="G465" s="4454"/>
      <c r="H465" s="4849"/>
      <c r="V465" s="4425"/>
      <c r="W465" s="279"/>
      <c r="X465" s="279"/>
      <c r="Y465" s="300">
        <v>1911</v>
      </c>
      <c r="Z465" s="301">
        <v>1911</v>
      </c>
      <c r="AA465" s="315">
        <v>1911</v>
      </c>
      <c r="AB465" s="315">
        <v>1911</v>
      </c>
      <c r="AC465" s="444">
        <f>AC464</f>
        <v>1911</v>
      </c>
      <c r="AD465" s="444">
        <f>AD464</f>
        <v>1911</v>
      </c>
      <c r="AE465" s="444">
        <f>AE464</f>
        <v>1911</v>
      </c>
      <c r="AF465" s="271">
        <f t="shared" si="63"/>
        <v>1911</v>
      </c>
      <c r="AG465" s="279"/>
      <c r="AK465" s="358"/>
    </row>
    <row r="466" spans="2:37" hidden="1" outlineLevel="1">
      <c r="C466" s="281"/>
      <c r="D466" s="4096"/>
      <c r="E466" s="128" t="str">
        <f>E448</f>
        <v>Floor Insulation R25 (R-3.96 base) MH gas furnace/baseboard and electric cooling</v>
      </c>
      <c r="F466" s="1680">
        <v>0</v>
      </c>
      <c r="G466" s="1407"/>
      <c r="H466" s="1430"/>
      <c r="V466" s="4437"/>
      <c r="W466" s="279"/>
      <c r="X466" s="279"/>
      <c r="Y466" s="300">
        <v>0</v>
      </c>
      <c r="Z466" s="301">
        <v>0</v>
      </c>
      <c r="AA466" s="315">
        <v>0</v>
      </c>
      <c r="AB466" s="315">
        <v>0</v>
      </c>
      <c r="AC466" s="444">
        <v>0</v>
      </c>
      <c r="AD466" s="444">
        <v>0</v>
      </c>
      <c r="AE466" s="444">
        <v>0</v>
      </c>
      <c r="AF466" s="271">
        <f t="shared" si="63"/>
        <v>0</v>
      </c>
      <c r="AG466" s="279"/>
      <c r="AK466" s="358"/>
    </row>
    <row r="467" spans="2:37" ht="30" hidden="1" outlineLevel="1">
      <c r="C467" s="281"/>
      <c r="D467" s="1391" t="s">
        <v>2884</v>
      </c>
      <c r="E467" s="128" t="s">
        <v>2885</v>
      </c>
      <c r="F467" s="1682">
        <v>0.75</v>
      </c>
      <c r="G467" s="1600" t="s">
        <v>2886</v>
      </c>
      <c r="H467" s="1430"/>
      <c r="I467" s="594"/>
      <c r="V467" s="289" t="str">
        <f t="shared" si="64"/>
        <v>AdjFloorCool</v>
      </c>
      <c r="W467" s="287">
        <v>0.88</v>
      </c>
      <c r="X467" s="287">
        <v>0.88</v>
      </c>
      <c r="Y467" s="287">
        <v>0.88</v>
      </c>
      <c r="Z467" s="302">
        <v>0.88</v>
      </c>
      <c r="AA467" s="190">
        <v>0.88</v>
      </c>
      <c r="AB467" s="190">
        <v>0.88</v>
      </c>
      <c r="AC467" s="313">
        <v>0.88</v>
      </c>
      <c r="AD467" s="313">
        <v>0.88</v>
      </c>
      <c r="AE467" s="313">
        <v>0.88</v>
      </c>
      <c r="AF467" s="271">
        <f t="shared" si="63"/>
        <v>0.75</v>
      </c>
      <c r="AG467" s="287"/>
      <c r="AK467" s="358"/>
    </row>
    <row r="468" spans="2:37" ht="30" hidden="1" outlineLevel="1">
      <c r="C468" s="281"/>
      <c r="D468" s="1461" t="s">
        <v>2887</v>
      </c>
      <c r="E468" s="1462" t="s">
        <v>2885</v>
      </c>
      <c r="F468" s="1682">
        <v>0.63</v>
      </c>
      <c r="G468" s="1600" t="s">
        <v>2888</v>
      </c>
      <c r="H468" s="1418"/>
      <c r="I468" s="594"/>
      <c r="V468" s="1417"/>
      <c r="W468" s="287"/>
      <c r="X468" s="287"/>
      <c r="Y468" s="287"/>
      <c r="Z468" s="302"/>
      <c r="AA468" s="190"/>
      <c r="AB468" s="190"/>
      <c r="AC468" s="313"/>
      <c r="AD468" s="313"/>
      <c r="AE468" s="313"/>
      <c r="AF468" s="271">
        <f t="shared" si="63"/>
        <v>0.63</v>
      </c>
      <c r="AG468" s="287"/>
      <c r="AK468" s="358"/>
    </row>
    <row r="469" spans="2:37" hidden="1" outlineLevel="1">
      <c r="C469" s="281"/>
      <c r="D469" s="4087" t="s">
        <v>2842</v>
      </c>
      <c r="E469" s="128" t="str">
        <f>E446</f>
        <v>Floor Insulation R25 (R-3.96 base) MH electric furnace/baseboard and electric cooling</v>
      </c>
      <c r="F469" s="1712">
        <v>1</v>
      </c>
      <c r="G469" s="1407"/>
      <c r="H469" s="4453" t="s">
        <v>1084</v>
      </c>
      <c r="V469" s="4424" t="str">
        <f t="shared" si="64"/>
        <v>ƞheat</v>
      </c>
      <c r="W469" s="290">
        <v>1</v>
      </c>
      <c r="X469" s="290">
        <v>1</v>
      </c>
      <c r="Y469" s="290">
        <v>1</v>
      </c>
      <c r="Z469" s="303">
        <v>1</v>
      </c>
      <c r="AA469" s="398">
        <v>1</v>
      </c>
      <c r="AB469" s="398">
        <v>1</v>
      </c>
      <c r="AC469" s="309">
        <v>1</v>
      </c>
      <c r="AD469" s="309">
        <v>1</v>
      </c>
      <c r="AE469" s="309">
        <v>1</v>
      </c>
      <c r="AF469" s="271">
        <f t="shared" si="63"/>
        <v>1</v>
      </c>
      <c r="AG469" s="290"/>
      <c r="AK469" s="358"/>
    </row>
    <row r="470" spans="2:37" hidden="1" outlineLevel="1">
      <c r="C470" s="281"/>
      <c r="D470" s="4088"/>
      <c r="E470" s="128" t="str">
        <f>E447</f>
        <v>Floor Insulation R25 (R-3.96 base) MH heat pump and electric cooling</v>
      </c>
      <c r="F470" s="1713">
        <v>1.62</v>
      </c>
      <c r="G470" s="191"/>
      <c r="H470" s="4455"/>
      <c r="V470" s="4425"/>
      <c r="W470" s="290"/>
      <c r="X470" s="290"/>
      <c r="Y470" s="304">
        <v>1.8666666666666665</v>
      </c>
      <c r="Z470" s="303">
        <v>1.8666666666666665</v>
      </c>
      <c r="AA470" s="398">
        <v>1.8666666666666665</v>
      </c>
      <c r="AB470" s="398">
        <v>1.8666666666666665</v>
      </c>
      <c r="AC470" s="398">
        <f>AVERAGE(1.7,1.9,2)</f>
        <v>1.8666666666666665</v>
      </c>
      <c r="AD470" s="398">
        <f>AVERAGE(1.7,1.9,2)</f>
        <v>1.8666666666666665</v>
      </c>
      <c r="AE470" s="398">
        <f>AVERAGE(1.7,1.9,2)</f>
        <v>1.8666666666666665</v>
      </c>
      <c r="AF470" s="271">
        <f t="shared" si="63"/>
        <v>1.62</v>
      </c>
      <c r="AG470" s="290"/>
      <c r="AK470" s="358"/>
    </row>
    <row r="471" spans="2:37" hidden="1" outlineLevel="1">
      <c r="C471" s="281"/>
      <c r="D471" s="4096"/>
      <c r="E471" s="128" t="str">
        <f>E448</f>
        <v>Floor Insulation R25 (R-3.96 base) MH gas furnace/baseboard and electric cooling</v>
      </c>
      <c r="F471" s="1712">
        <v>1.0000000000000001E-17</v>
      </c>
      <c r="G471" s="1407"/>
      <c r="H471" s="4454"/>
      <c r="V471" s="4437"/>
      <c r="W471" s="290"/>
      <c r="X471" s="290"/>
      <c r="Y471" s="288">
        <v>1.0000000000000001E-17</v>
      </c>
      <c r="Z471" s="303">
        <v>1.0000000000000001E-17</v>
      </c>
      <c r="AA471" s="398">
        <v>1.0000000000000001E-17</v>
      </c>
      <c r="AB471" s="398">
        <v>1.0000000000000001E-17</v>
      </c>
      <c r="AC471" s="309">
        <v>1.0000000000000001E-17</v>
      </c>
      <c r="AD471" s="309">
        <v>1.0000000000000001E-17</v>
      </c>
      <c r="AE471" s="309">
        <v>1.0000000000000001E-17</v>
      </c>
      <c r="AF471" s="271">
        <f t="shared" si="63"/>
        <v>1.0000000000000001E-17</v>
      </c>
      <c r="AG471" s="290"/>
      <c r="AK471" s="358"/>
    </row>
    <row r="472" spans="2:37" hidden="1" outlineLevel="1">
      <c r="C472" s="281"/>
      <c r="D472" s="4087" t="s">
        <v>2845</v>
      </c>
      <c r="E472" s="128" t="str">
        <f>E446</f>
        <v>Floor Insulation R25 (R-3.96 base) MH electric furnace/baseboard and electric cooling</v>
      </c>
      <c r="F472" s="1680">
        <v>762</v>
      </c>
      <c r="G472" s="4848" t="s">
        <v>1117</v>
      </c>
      <c r="H472" s="4848" t="s">
        <v>2889</v>
      </c>
      <c r="V472" s="4424" t="str">
        <f t="shared" si="64"/>
        <v>CDD</v>
      </c>
      <c r="W472" s="279">
        <v>762</v>
      </c>
      <c r="X472" s="279">
        <v>762</v>
      </c>
      <c r="Y472" s="279">
        <v>762</v>
      </c>
      <c r="Z472" s="301">
        <v>762</v>
      </c>
      <c r="AA472" s="315">
        <v>762</v>
      </c>
      <c r="AB472" s="315">
        <v>762</v>
      </c>
      <c r="AC472" s="444">
        <v>762</v>
      </c>
      <c r="AD472" s="444">
        <v>762</v>
      </c>
      <c r="AE472" s="444">
        <v>762</v>
      </c>
      <c r="AF472" s="271">
        <f t="shared" si="63"/>
        <v>762</v>
      </c>
      <c r="AG472" s="279"/>
      <c r="AK472" s="358"/>
    </row>
    <row r="473" spans="2:37" hidden="1" outlineLevel="1">
      <c r="C473" s="281"/>
      <c r="D473" s="4088"/>
      <c r="E473" s="128" t="str">
        <f>E447</f>
        <v>Floor Insulation R25 (R-3.96 base) MH heat pump and electric cooling</v>
      </c>
      <c r="F473" s="1680">
        <v>762</v>
      </c>
      <c r="G473" s="4850"/>
      <c r="H473" s="4850"/>
      <c r="V473" s="4425"/>
      <c r="W473" s="279"/>
      <c r="X473" s="279"/>
      <c r="Y473" s="300">
        <v>762</v>
      </c>
      <c r="Z473" s="301">
        <v>762</v>
      </c>
      <c r="AA473" s="315">
        <v>762</v>
      </c>
      <c r="AB473" s="315">
        <v>762</v>
      </c>
      <c r="AC473" s="444">
        <v>762</v>
      </c>
      <c r="AD473" s="444">
        <v>762</v>
      </c>
      <c r="AE473" s="444">
        <v>762</v>
      </c>
      <c r="AF473" s="271">
        <f t="shared" si="63"/>
        <v>762</v>
      </c>
      <c r="AG473" s="279"/>
      <c r="AK473" s="358"/>
    </row>
    <row r="474" spans="2:37" hidden="1" outlineLevel="1">
      <c r="C474" s="281"/>
      <c r="D474" s="4096"/>
      <c r="E474" s="128" t="str">
        <f>E448</f>
        <v>Floor Insulation R25 (R-3.96 base) MH gas furnace/baseboard and electric cooling</v>
      </c>
      <c r="F474" s="1680">
        <v>762</v>
      </c>
      <c r="G474" s="4849"/>
      <c r="H474" s="4849"/>
      <c r="V474" s="4437"/>
      <c r="W474" s="279"/>
      <c r="X474" s="279"/>
      <c r="Y474" s="300">
        <v>762</v>
      </c>
      <c r="Z474" s="301">
        <v>762</v>
      </c>
      <c r="AA474" s="315">
        <v>762</v>
      </c>
      <c r="AB474" s="315">
        <v>762</v>
      </c>
      <c r="AC474" s="444">
        <v>762</v>
      </c>
      <c r="AD474" s="444">
        <v>762</v>
      </c>
      <c r="AE474" s="444">
        <v>762</v>
      </c>
      <c r="AF474" s="271">
        <f t="shared" si="63"/>
        <v>762</v>
      </c>
      <c r="AG474" s="279"/>
      <c r="AK474" s="358"/>
    </row>
    <row r="475" spans="2:37" ht="30" hidden="1" outlineLevel="1">
      <c r="C475" s="281"/>
      <c r="D475" s="1391" t="s">
        <v>2847</v>
      </c>
      <c r="E475" s="128" t="s">
        <v>2878</v>
      </c>
      <c r="F475" s="1685">
        <v>0.75</v>
      </c>
      <c r="G475" s="1600" t="s">
        <v>2890</v>
      </c>
      <c r="H475" s="1430"/>
      <c r="V475" s="289" t="str">
        <f t="shared" si="64"/>
        <v>DUA</v>
      </c>
      <c r="W475" s="287">
        <v>0.75</v>
      </c>
      <c r="X475" s="287">
        <v>0.75</v>
      </c>
      <c r="Y475" s="305">
        <v>0.75</v>
      </c>
      <c r="Z475" s="287">
        <v>0.75</v>
      </c>
      <c r="AA475" s="313">
        <v>0.75</v>
      </c>
      <c r="AB475" s="313">
        <v>0.75</v>
      </c>
      <c r="AC475" s="146">
        <v>0.75</v>
      </c>
      <c r="AD475" s="146">
        <v>0.75</v>
      </c>
      <c r="AE475" s="146">
        <v>0.75</v>
      </c>
      <c r="AF475" s="271">
        <f t="shared" si="63"/>
        <v>0.75</v>
      </c>
      <c r="AG475" s="287"/>
      <c r="AK475" s="358"/>
    </row>
    <row r="476" spans="2:37" ht="75" hidden="1" outlineLevel="1">
      <c r="C476" s="281"/>
      <c r="D476" s="1391" t="s">
        <v>2853</v>
      </c>
      <c r="E476" s="128" t="s">
        <v>2878</v>
      </c>
      <c r="F476" s="1672">
        <v>12.4</v>
      </c>
      <c r="G476" s="1430"/>
      <c r="H476" s="1600" t="s">
        <v>1084</v>
      </c>
      <c r="V476" s="289" t="str">
        <f t="shared" si="64"/>
        <v>ƞcool</v>
      </c>
      <c r="W476" s="279">
        <v>11</v>
      </c>
      <c r="X476" s="279">
        <v>11</v>
      </c>
      <c r="Y476" s="306">
        <v>11</v>
      </c>
      <c r="Z476" s="279">
        <v>11</v>
      </c>
      <c r="AA476" s="444">
        <v>11</v>
      </c>
      <c r="AB476" s="444">
        <v>11</v>
      </c>
      <c r="AC476" s="337">
        <v>11</v>
      </c>
      <c r="AD476" s="337">
        <v>11</v>
      </c>
      <c r="AE476" s="337">
        <v>11</v>
      </c>
      <c r="AF476" s="271">
        <f t="shared" si="63"/>
        <v>12.4</v>
      </c>
      <c r="AG476" s="279"/>
      <c r="AK476" s="358"/>
    </row>
    <row r="477" spans="2:37" ht="30" hidden="1" outlineLevel="1">
      <c r="C477" s="281"/>
      <c r="D477" s="1441" t="str">
        <f>L445</f>
        <v>EUL</v>
      </c>
      <c r="E477" s="1387" t="str">
        <f>E43</f>
        <v>Effective Useful Life</v>
      </c>
      <c r="F477" s="1815">
        <v>30</v>
      </c>
      <c r="G477" s="1600" t="s">
        <v>2891</v>
      </c>
      <c r="H477" s="1430"/>
      <c r="V477" s="307" t="str">
        <f>D477</f>
        <v>EUL</v>
      </c>
      <c r="W477" s="296">
        <v>25</v>
      </c>
      <c r="X477" s="296">
        <v>25</v>
      </c>
      <c r="Y477" s="294">
        <v>25</v>
      </c>
      <c r="Z477" s="279">
        <v>25</v>
      </c>
      <c r="AA477" s="444">
        <v>25</v>
      </c>
      <c r="AB477" s="444">
        <v>25</v>
      </c>
      <c r="AC477" s="339">
        <v>25</v>
      </c>
      <c r="AD477" s="339">
        <v>25</v>
      </c>
      <c r="AE477" s="339">
        <v>25</v>
      </c>
      <c r="AF477" s="271">
        <f t="shared" si="63"/>
        <v>30</v>
      </c>
      <c r="AG477" s="279"/>
      <c r="AK477" s="358"/>
    </row>
    <row r="478" spans="2:37" ht="45" hidden="1" outlineLevel="1">
      <c r="C478" s="281"/>
      <c r="D478" s="1441" t="str">
        <f>M445</f>
        <v>Inc. Cost</v>
      </c>
      <c r="E478" s="1387" t="str">
        <f>E44</f>
        <v>Incremental Cost</v>
      </c>
      <c r="F478" s="1705">
        <f>734.04/1080</f>
        <v>0.67966666666666664</v>
      </c>
      <c r="G478" s="1407"/>
      <c r="H478" s="1407" t="s">
        <v>2880</v>
      </c>
      <c r="V478" s="307" t="str">
        <f>D478</f>
        <v>Inc. Cost</v>
      </c>
      <c r="W478" s="298">
        <v>734.04</v>
      </c>
      <c r="X478" s="298">
        <v>734.04</v>
      </c>
      <c r="Y478" s="173">
        <v>0.67966666666666664</v>
      </c>
      <c r="Z478" s="279">
        <v>0.67966666666666664</v>
      </c>
      <c r="AA478" s="444">
        <v>0.67966666666666664</v>
      </c>
      <c r="AB478" s="444">
        <v>0.67966666666666664</v>
      </c>
      <c r="AC478" s="742">
        <f>734.04/1080</f>
        <v>0.67966666666666664</v>
      </c>
      <c r="AD478" s="742">
        <f>734.04/1080</f>
        <v>0.67966666666666664</v>
      </c>
      <c r="AE478" s="742">
        <f>734.04/1080</f>
        <v>0.67966666666666664</v>
      </c>
      <c r="AF478" s="271">
        <f t="shared" si="63"/>
        <v>0.67966666666666664</v>
      </c>
      <c r="AG478" s="279"/>
      <c r="AK478" s="358"/>
    </row>
    <row r="479" spans="2:37" hidden="1" outlineLevel="1">
      <c r="B479" s="579"/>
      <c r="C479" s="281"/>
      <c r="Y479" s="539" t="s">
        <v>2759</v>
      </c>
      <c r="AK479" s="358"/>
    </row>
    <row r="480" spans="2:37" collapsed="1">
      <c r="C480" s="281"/>
      <c r="AK480" s="358"/>
    </row>
    <row r="481" spans="2:114">
      <c r="B481" s="4183" t="s">
        <v>1442</v>
      </c>
      <c r="C481" s="4184"/>
      <c r="D481" s="4184"/>
      <c r="E481" s="4184"/>
      <c r="F481" s="4184"/>
      <c r="G481" s="4184"/>
      <c r="H481" s="4184"/>
      <c r="I481" s="4840"/>
      <c r="J481" s="4840"/>
      <c r="K481" s="4840"/>
      <c r="L481" s="4840"/>
      <c r="M481" s="4840"/>
      <c r="N481" s="4840"/>
      <c r="O481" s="4840"/>
      <c r="P481" s="4840"/>
      <c r="Q481" s="4840"/>
      <c r="R481" s="4841"/>
      <c r="V481" s="4066" t="str">
        <f>B481</f>
        <v>Dirty Filter Alarm</v>
      </c>
      <c r="W481" s="4067"/>
      <c r="X481" s="4067"/>
      <c r="Y481" s="4067"/>
      <c r="Z481" s="4067"/>
      <c r="AA481" s="4067"/>
      <c r="AB481" s="4067"/>
      <c r="AC481" s="4837"/>
      <c r="AD481" s="4837"/>
      <c r="AE481" s="4837"/>
      <c r="AF481" s="4837"/>
      <c r="AG481" s="4837"/>
      <c r="AH481" s="4837"/>
      <c r="AI481" s="4838"/>
      <c r="AK481" s="358"/>
    </row>
    <row r="482" spans="2:114">
      <c r="B482" s="579"/>
      <c r="C482" s="281"/>
      <c r="D482" s="2206" t="s">
        <v>2664</v>
      </c>
      <c r="E482" s="583"/>
      <c r="F482" s="282"/>
      <c r="G482" s="282"/>
      <c r="H482" s="282"/>
      <c r="I482" s="282"/>
      <c r="J482" s="282"/>
      <c r="K482" s="282"/>
      <c r="L482" s="584"/>
      <c r="AK482" s="358"/>
    </row>
    <row r="483" spans="2:114" ht="30">
      <c r="B483" s="579"/>
      <c r="C483" s="1371" t="s">
        <v>42</v>
      </c>
      <c r="D483" s="1371" t="s">
        <v>953</v>
      </c>
      <c r="E483" s="1371" t="s">
        <v>44</v>
      </c>
      <c r="F483" s="1371" t="s">
        <v>45</v>
      </c>
      <c r="G483" s="1371" t="s">
        <v>46</v>
      </c>
      <c r="H483" s="1371" t="s">
        <v>47</v>
      </c>
      <c r="I483" s="1371" t="s">
        <v>1443</v>
      </c>
      <c r="J483" s="1371" t="s">
        <v>1444</v>
      </c>
      <c r="K483" s="1371" t="s">
        <v>48</v>
      </c>
      <c r="L483" s="1383" t="s">
        <v>49</v>
      </c>
      <c r="M483" s="1371" t="s">
        <v>50</v>
      </c>
      <c r="N483" s="1371" t="s">
        <v>51</v>
      </c>
      <c r="V483" s="668" t="s">
        <v>52</v>
      </c>
      <c r="W483" s="669">
        <f>W$6</f>
        <v>43252</v>
      </c>
      <c r="X483" s="669">
        <f t="shared" ref="X483:AG483" si="65">X$6</f>
        <v>43465</v>
      </c>
      <c r="Y483" s="115">
        <f t="shared" si="65"/>
        <v>43800</v>
      </c>
      <c r="Z483" s="669">
        <f t="shared" si="65"/>
        <v>43862</v>
      </c>
      <c r="AA483" s="669">
        <v>44013</v>
      </c>
      <c r="AB483" s="669">
        <f t="shared" si="65"/>
        <v>44166</v>
      </c>
      <c r="AC483" s="669">
        <f t="shared" si="65"/>
        <v>44531</v>
      </c>
      <c r="AD483" s="669">
        <f t="shared" si="65"/>
        <v>44774</v>
      </c>
      <c r="AE483" s="669">
        <f t="shared" si="65"/>
        <v>45139</v>
      </c>
      <c r="AF483" s="669">
        <f t="shared" si="65"/>
        <v>45672</v>
      </c>
      <c r="AG483" s="669" t="str">
        <f t="shared" si="65"/>
        <v>-</v>
      </c>
      <c r="AK483" s="358"/>
      <c r="DG483" s="1060" t="str">
        <f>$DG$6</f>
        <v>TRC (2025)</v>
      </c>
      <c r="DH483" s="811" t="str">
        <f>$DH$6</f>
        <v>Benefit Lookup</v>
      </c>
      <c r="DI483" s="1076" t="str">
        <f>$DI$6</f>
        <v>Benefits (2025 $)</v>
      </c>
      <c r="DJ483" s="1103" t="str">
        <f>$DJ$6</f>
        <v>Incremental Cost (2025 $)</v>
      </c>
    </row>
    <row r="484" spans="2:114">
      <c r="B484" s="1454">
        <f t="shared" ref="B484:B485" si="66">VALUE(LEFT(C484,6))</f>
        <v>402250</v>
      </c>
      <c r="C484" s="1540" t="s">
        <v>2892</v>
      </c>
      <c r="D484" s="555" t="s">
        <v>959</v>
      </c>
      <c r="E484" s="128" t="s">
        <v>2893</v>
      </c>
      <c r="F484" s="205">
        <f>ROUND(I484+J484,2)</f>
        <v>68.45</v>
      </c>
      <c r="G484" s="139" t="s">
        <v>1205</v>
      </c>
      <c r="H484" s="69">
        <f>VLOOKUP(G484,'CP FACTORS'!$A$3:$B$38, 2, FALSE)</f>
        <v>4.6608050000000002E-4</v>
      </c>
      <c r="I484" s="1456">
        <f>F$496*F$497*F$498*F$500*F501*F502</f>
        <v>43.301719999999996</v>
      </c>
      <c r="J484" s="1456">
        <f>F$503*F$497*F$504*F$500*F501*F502</f>
        <v>25.153205</v>
      </c>
      <c r="K484" s="1488">
        <f>ROUND(H484*F484,6)</f>
        <v>3.1903000000000001E-2</v>
      </c>
      <c r="L484" s="1456">
        <f>F507</f>
        <v>5</v>
      </c>
      <c r="M484" s="742">
        <f>F508</f>
        <v>5</v>
      </c>
      <c r="N484" s="139" t="s">
        <v>62</v>
      </c>
      <c r="R484" s="532"/>
      <c r="V484" s="356" t="str">
        <f>F483</f>
        <v>kWh Annual Savings</v>
      </c>
      <c r="W484" s="383">
        <v>168.50624999999999</v>
      </c>
      <c r="X484" s="270">
        <v>141.0499999999999</v>
      </c>
      <c r="Y484" s="205">
        <v>102.68</v>
      </c>
      <c r="Z484" s="186">
        <v>102.68</v>
      </c>
      <c r="AA484" s="186">
        <v>102.68</v>
      </c>
      <c r="AB484" s="186">
        <v>102.68</v>
      </c>
      <c r="AC484" s="186">
        <v>102.68</v>
      </c>
      <c r="AD484" s="186">
        <v>102.68</v>
      </c>
      <c r="AE484" s="186">
        <v>102.68</v>
      </c>
      <c r="AF484" s="271">
        <f>IF(F484&lt;&gt;"",F484,"")</f>
        <v>68.45</v>
      </c>
      <c r="AG484" s="356"/>
      <c r="AH484" s="121"/>
      <c r="AK484" s="358"/>
      <c r="DG484" s="1062">
        <f>(DI484)/(DJ484)</f>
        <v>7.2802575529565017</v>
      </c>
      <c r="DH484" s="1400" t="str">
        <f>CONCATENATE(G484," ",L484," Year EUL")</f>
        <v>HVAC RES 5 Year EUL</v>
      </c>
      <c r="DI484" s="1010">
        <f>(INDEX('Avoided Cost Benefits'!$B$4:$B$865,MATCH(DH484,'Avoided Cost Benefits'!$A$4:$A$865,0)))*F484</f>
        <v>36.401287764782509</v>
      </c>
      <c r="DJ484" s="1174">
        <f>M484/(1.0686^(2025-2025))</f>
        <v>5</v>
      </c>
    </row>
    <row r="485" spans="2:114">
      <c r="B485" s="1454">
        <f t="shared" si="66"/>
        <v>402251</v>
      </c>
      <c r="C485" s="2478" t="s">
        <v>2894</v>
      </c>
      <c r="D485" s="2408" t="s">
        <v>2670</v>
      </c>
      <c r="E485" s="2310" t="str">
        <f>CONCATENATE(E484,"_CompE")</f>
        <v>Dirty Filter Alarm_MFIE_CompE</v>
      </c>
      <c r="F485" s="2479">
        <f>ROUND(I485+J485,2)</f>
        <v>33.06</v>
      </c>
      <c r="G485" s="2408" t="s">
        <v>1205</v>
      </c>
      <c r="H485" s="2213">
        <f>VLOOKUP(G485,'CP FACTORS'!$A$3:$B$38, 2, FALSE)</f>
        <v>4.6608050000000002E-4</v>
      </c>
      <c r="I485" s="2480">
        <f>F$496*F$497*F$499*F$500*F502*F503</f>
        <v>14.761949999999999</v>
      </c>
      <c r="J485" s="2480">
        <f>F$503*F$497*F$505*F$500*F502*F503</f>
        <v>18.293240000000001</v>
      </c>
      <c r="K485" s="2481">
        <f>ROUND(H485*F485,6)</f>
        <v>1.5409000000000001E-2</v>
      </c>
      <c r="L485" s="2480">
        <f>F507</f>
        <v>5</v>
      </c>
      <c r="M485" s="2482">
        <f>M484</f>
        <v>5</v>
      </c>
      <c r="N485" s="2408" t="s">
        <v>62</v>
      </c>
      <c r="R485" s="532"/>
      <c r="V485" s="2413" t="str">
        <f>V484</f>
        <v>kWh Annual Savings</v>
      </c>
      <c r="W485" s="2414"/>
      <c r="X485" s="2416"/>
      <c r="Y485" s="2479">
        <v>49.58</v>
      </c>
      <c r="Z485" s="2483">
        <v>49.58</v>
      </c>
      <c r="AA485" s="2483">
        <v>49.58</v>
      </c>
      <c r="AB485" s="2483">
        <v>49.58</v>
      </c>
      <c r="AC485" s="2483">
        <v>49.58</v>
      </c>
      <c r="AD485" s="2483">
        <v>49.58</v>
      </c>
      <c r="AE485" s="2483">
        <v>49.58</v>
      </c>
      <c r="AF485" s="2236">
        <f>IF(F485&lt;&gt;"",F485,"")</f>
        <v>33.06</v>
      </c>
      <c r="AG485" s="2413"/>
      <c r="AH485" s="121"/>
      <c r="AK485" s="358"/>
      <c r="DG485" s="2429">
        <f>(DI485)/(DJ485)</f>
        <v>3.5162208137434909</v>
      </c>
      <c r="DH485" s="2423" t="str">
        <f>CONCATENATE(G485," ",L485," Year EUL")</f>
        <v>HVAC RES 5 Year EUL</v>
      </c>
      <c r="DI485" s="2430">
        <f>(INDEX('Avoided Cost Benefits'!$B$4:$B$865,MATCH(DH485,'Avoided Cost Benefits'!$A$4:$A$865,0)))*F485</f>
        <v>17.581104068717455</v>
      </c>
      <c r="DJ485" s="2484">
        <f>M485/(1.0686^(2025-2025))</f>
        <v>5</v>
      </c>
    </row>
    <row r="486" spans="2:114" hidden="1" outlineLevel="1">
      <c r="B486" s="579"/>
      <c r="C486" s="281"/>
      <c r="D486" s="74" t="s">
        <v>118</v>
      </c>
      <c r="E486" s="133" t="s">
        <v>1454</v>
      </c>
      <c r="F486" s="541"/>
      <c r="V486" s="76"/>
      <c r="W486" s="76"/>
      <c r="X486" s="76"/>
      <c r="Y486" s="384"/>
      <c r="Z486" s="76"/>
      <c r="AA486" s="76"/>
      <c r="AB486" s="76"/>
      <c r="AC486" s="76"/>
      <c r="AD486" s="76"/>
      <c r="AE486" s="76"/>
      <c r="AF486" s="76"/>
      <c r="AG486" s="76"/>
      <c r="AK486" s="358"/>
    </row>
    <row r="487" spans="2:114" hidden="1" outlineLevel="1">
      <c r="B487" s="579"/>
      <c r="C487" s="281"/>
      <c r="D487" s="74" t="s">
        <v>963</v>
      </c>
      <c r="E487" s="133" t="s">
        <v>1455</v>
      </c>
      <c r="F487" s="541"/>
      <c r="V487" s="76"/>
      <c r="W487" s="76"/>
      <c r="X487" s="76"/>
      <c r="Y487" s="384"/>
      <c r="Z487" s="76"/>
      <c r="AA487" s="76"/>
      <c r="AB487" s="76"/>
      <c r="AC487" s="76"/>
      <c r="AD487" s="76"/>
      <c r="AE487" s="76"/>
      <c r="AF487" s="76"/>
      <c r="AG487" s="76"/>
      <c r="AK487" s="358"/>
    </row>
    <row r="488" spans="2:114" hidden="1" outlineLevel="1">
      <c r="B488" s="579"/>
      <c r="C488" s="281"/>
      <c r="E488" s="133" t="s">
        <v>1456</v>
      </c>
      <c r="F488" s="541"/>
      <c r="V488" s="76"/>
      <c r="W488" s="76"/>
      <c r="X488" s="76"/>
      <c r="Y488" s="384"/>
      <c r="Z488" s="76"/>
      <c r="AA488" s="76"/>
      <c r="AB488" s="76"/>
      <c r="AC488" s="76"/>
      <c r="AD488" s="76"/>
      <c r="AE488" s="76"/>
      <c r="AF488" s="76"/>
      <c r="AG488" s="76"/>
      <c r="AK488" s="358"/>
    </row>
    <row r="489" spans="2:114" hidden="1" outlineLevel="1">
      <c r="B489" s="579"/>
      <c r="C489" s="281"/>
      <c r="E489" s="133" t="s">
        <v>1457</v>
      </c>
      <c r="F489" s="541"/>
      <c r="V489" s="76"/>
      <c r="W489" s="76"/>
      <c r="X489" s="76"/>
      <c r="Y489" s="384"/>
      <c r="Z489" s="76"/>
      <c r="AA489" s="76"/>
      <c r="AB489" s="76"/>
      <c r="AC489" s="76"/>
      <c r="AD489" s="76"/>
      <c r="AE489" s="76"/>
      <c r="AF489" s="76"/>
      <c r="AG489" s="76"/>
      <c r="AK489" s="358"/>
    </row>
    <row r="490" spans="2:114" hidden="1" outlineLevel="1">
      <c r="B490" s="579"/>
      <c r="C490" s="281"/>
      <c r="E490" s="133" t="s">
        <v>966</v>
      </c>
      <c r="F490" s="541"/>
      <c r="V490" s="76"/>
      <c r="W490" s="76"/>
      <c r="X490" s="76"/>
      <c r="Y490" s="384"/>
      <c r="Z490" s="76"/>
      <c r="AA490" s="76"/>
      <c r="AB490" s="76"/>
      <c r="AC490" s="76"/>
      <c r="AD490" s="76"/>
      <c r="AE490" s="76"/>
      <c r="AF490" s="76"/>
      <c r="AG490" s="76"/>
      <c r="AK490" s="358"/>
    </row>
    <row r="491" spans="2:114" hidden="1" outlineLevel="1">
      <c r="B491" s="579"/>
      <c r="C491" s="281"/>
      <c r="F491" s="541"/>
      <c r="V491" s="76"/>
      <c r="W491" s="76"/>
      <c r="X491" s="76"/>
      <c r="Y491" s="384"/>
      <c r="Z491" s="76"/>
      <c r="AA491" s="76"/>
      <c r="AB491" s="76"/>
      <c r="AC491" s="76"/>
      <c r="AD491" s="76"/>
      <c r="AE491" s="76"/>
      <c r="AF491" s="76"/>
      <c r="AG491" s="76"/>
      <c r="AK491" s="358"/>
    </row>
    <row r="492" spans="2:114" hidden="1" outlineLevel="1">
      <c r="B492" s="579"/>
      <c r="C492" s="281"/>
      <c r="F492" s="541"/>
      <c r="V492" s="76"/>
      <c r="W492" s="76"/>
      <c r="X492" s="76"/>
      <c r="Y492" s="384"/>
      <c r="Z492" s="76"/>
      <c r="AA492" s="76"/>
      <c r="AB492" s="76"/>
      <c r="AC492" s="76"/>
      <c r="AD492" s="76"/>
      <c r="AE492" s="76"/>
      <c r="AF492" s="76"/>
      <c r="AG492" s="76"/>
      <c r="AK492" s="358"/>
    </row>
    <row r="493" spans="2:114" hidden="1" outlineLevel="1">
      <c r="B493" s="579"/>
      <c r="C493" s="281"/>
      <c r="F493" s="541"/>
      <c r="V493" s="76"/>
      <c r="W493" s="76"/>
      <c r="X493" s="76"/>
      <c r="Y493" s="384"/>
      <c r="Z493" s="76"/>
      <c r="AA493" s="76"/>
      <c r="AB493" s="76"/>
      <c r="AC493" s="76"/>
      <c r="AD493" s="76"/>
      <c r="AE493" s="76"/>
      <c r="AF493" s="76"/>
      <c r="AG493" s="76"/>
      <c r="AK493" s="358"/>
    </row>
    <row r="494" spans="2:114" hidden="1" outlineLevel="1">
      <c r="B494" s="579"/>
      <c r="C494" s="281"/>
      <c r="V494" s="76"/>
      <c r="W494" s="76"/>
      <c r="X494" s="76"/>
      <c r="Y494" s="384"/>
      <c r="Z494" s="76"/>
      <c r="AA494" s="76"/>
      <c r="AB494" s="76"/>
      <c r="AC494" s="76"/>
      <c r="AD494" s="76"/>
      <c r="AE494" s="76"/>
      <c r="AF494" s="76"/>
      <c r="AG494" s="76"/>
      <c r="AK494" s="358"/>
    </row>
    <row r="495" spans="2:114" hidden="1" outlineLevel="1">
      <c r="B495" s="579"/>
      <c r="C495" s="281"/>
      <c r="D495" s="1443" t="s">
        <v>1078</v>
      </c>
      <c r="E495" s="1443" t="s">
        <v>967</v>
      </c>
      <c r="F495" s="1371" t="s">
        <v>969</v>
      </c>
      <c r="G495" s="1371" t="s">
        <v>970</v>
      </c>
      <c r="H495" s="1371" t="s">
        <v>1079</v>
      </c>
      <c r="V495" s="668" t="s">
        <v>52</v>
      </c>
      <c r="W495" s="669">
        <f>W$6</f>
        <v>43252</v>
      </c>
      <c r="X495" s="669">
        <f t="shared" ref="X495:AG495" si="67">X$6</f>
        <v>43465</v>
      </c>
      <c r="Y495" s="115">
        <f t="shared" si="67"/>
        <v>43800</v>
      </c>
      <c r="Z495" s="669">
        <f t="shared" si="67"/>
        <v>43862</v>
      </c>
      <c r="AA495" s="669">
        <f t="shared" si="67"/>
        <v>44013</v>
      </c>
      <c r="AB495" s="669">
        <f t="shared" si="67"/>
        <v>44166</v>
      </c>
      <c r="AC495" s="669">
        <f t="shared" si="67"/>
        <v>44531</v>
      </c>
      <c r="AD495" s="669">
        <f t="shared" si="67"/>
        <v>44774</v>
      </c>
      <c r="AE495" s="669">
        <f t="shared" si="67"/>
        <v>45139</v>
      </c>
      <c r="AF495" s="669">
        <f t="shared" si="67"/>
        <v>45672</v>
      </c>
      <c r="AG495" s="669" t="str">
        <f t="shared" si="67"/>
        <v>-</v>
      </c>
      <c r="AK495" s="358"/>
    </row>
    <row r="496" spans="2:114" ht="45" hidden="1" outlineLevel="1">
      <c r="B496" s="579"/>
      <c r="C496" s="281"/>
      <c r="D496" s="308" t="s">
        <v>1458</v>
      </c>
      <c r="E496" s="1400" t="s">
        <v>2893</v>
      </c>
      <c r="F496" s="1661">
        <v>1</v>
      </c>
      <c r="G496" s="1367" t="s">
        <v>1547</v>
      </c>
      <c r="H496" s="191"/>
      <c r="V496" s="289" t="s">
        <v>1458</v>
      </c>
      <c r="W496" s="305">
        <v>0.95</v>
      </c>
      <c r="X496" s="192">
        <v>1</v>
      </c>
      <c r="Y496" s="192">
        <v>1</v>
      </c>
      <c r="Z496" s="190">
        <v>1</v>
      </c>
      <c r="AA496" s="190">
        <v>1</v>
      </c>
      <c r="AB496" s="190">
        <v>1</v>
      </c>
      <c r="AC496" s="190">
        <v>1</v>
      </c>
      <c r="AD496" s="190">
        <v>1</v>
      </c>
      <c r="AE496" s="190">
        <v>1</v>
      </c>
      <c r="AF496" s="271">
        <f t="shared" ref="AF496:AF508" si="68">IF(F496&lt;&gt;"",F496,"")</f>
        <v>1</v>
      </c>
      <c r="AG496" s="287"/>
      <c r="AK496" s="358"/>
    </row>
    <row r="497" spans="1:114" ht="45" hidden="1" outlineLevel="1">
      <c r="B497" s="579"/>
      <c r="C497" s="281"/>
      <c r="D497" s="308" t="s">
        <v>48</v>
      </c>
      <c r="E497" s="1400" t="s">
        <v>2893</v>
      </c>
      <c r="F497" s="1681">
        <v>0.5</v>
      </c>
      <c r="G497" s="1627" t="s">
        <v>2895</v>
      </c>
      <c r="H497" s="191"/>
      <c r="V497" s="289" t="s">
        <v>48</v>
      </c>
      <c r="W497" s="310">
        <v>0.5</v>
      </c>
      <c r="X497" s="310">
        <v>0.5</v>
      </c>
      <c r="Y497" s="290">
        <v>0.5</v>
      </c>
      <c r="Z497" s="309">
        <v>0.5</v>
      </c>
      <c r="AA497" s="309">
        <v>0.5</v>
      </c>
      <c r="AB497" s="309">
        <v>0.5</v>
      </c>
      <c r="AC497" s="309">
        <v>0.5</v>
      </c>
      <c r="AD497" s="309">
        <v>0.5</v>
      </c>
      <c r="AE497" s="309">
        <v>0.5</v>
      </c>
      <c r="AF497" s="271">
        <f t="shared" si="68"/>
        <v>0.5</v>
      </c>
      <c r="AG497" s="290"/>
      <c r="AK497" s="358"/>
    </row>
    <row r="498" spans="1:114" ht="45" hidden="1" outlineLevel="1">
      <c r="B498" s="579"/>
      <c r="C498" s="281"/>
      <c r="D498" s="4456" t="s">
        <v>1463</v>
      </c>
      <c r="E498" s="1400" t="s">
        <v>2893</v>
      </c>
      <c r="F498" s="1680">
        <v>1496</v>
      </c>
      <c r="G498" s="1627" t="s">
        <v>2895</v>
      </c>
      <c r="H498" s="191"/>
      <c r="V498" s="4424" t="s">
        <v>2896</v>
      </c>
      <c r="W498" s="306">
        <v>1496</v>
      </c>
      <c r="X498" s="300">
        <v>2009</v>
      </c>
      <c r="Y498" s="300">
        <v>1496</v>
      </c>
      <c r="Z498" s="444">
        <v>1496</v>
      </c>
      <c r="AA498" s="444">
        <v>1496</v>
      </c>
      <c r="AB498" s="444">
        <v>1496</v>
      </c>
      <c r="AC498" s="315">
        <v>1496</v>
      </c>
      <c r="AD498" s="315">
        <v>1496</v>
      </c>
      <c r="AE498" s="315">
        <v>1496</v>
      </c>
      <c r="AF498" s="271">
        <f t="shared" si="68"/>
        <v>1496</v>
      </c>
      <c r="AG498" s="279"/>
      <c r="AK498" s="358"/>
    </row>
    <row r="499" spans="1:114" ht="45" hidden="1" outlineLevel="1">
      <c r="B499" s="579"/>
      <c r="C499" s="281"/>
      <c r="D499" s="4086"/>
      <c r="E499" s="2419" t="str">
        <f>E485</f>
        <v>Dirty Filter Alarm_MFIE_CompE</v>
      </c>
      <c r="F499" s="2485">
        <v>510</v>
      </c>
      <c r="G499" s="2486" t="s">
        <v>1466</v>
      </c>
      <c r="H499" s="2487"/>
      <c r="V499" s="4089"/>
      <c r="W499" s="2490"/>
      <c r="X499" s="2491"/>
      <c r="Y499" s="2491">
        <v>510</v>
      </c>
      <c r="Z499" s="2492">
        <v>510</v>
      </c>
      <c r="AA499" s="2492">
        <v>510</v>
      </c>
      <c r="AB499" s="2492">
        <v>510</v>
      </c>
      <c r="AC499" s="2493">
        <v>510</v>
      </c>
      <c r="AD499" s="2493">
        <v>510</v>
      </c>
      <c r="AE499" s="2493">
        <v>510</v>
      </c>
      <c r="AF499" s="2236">
        <f t="shared" si="68"/>
        <v>510</v>
      </c>
      <c r="AG499" s="279"/>
      <c r="AK499" s="358"/>
    </row>
    <row r="500" spans="1:114" ht="30" hidden="1" outlineLevel="1">
      <c r="B500" s="579"/>
      <c r="C500" s="281"/>
      <c r="D500" s="1400" t="s">
        <v>1467</v>
      </c>
      <c r="E500" s="1400" t="s">
        <v>2893</v>
      </c>
      <c r="F500" s="1682">
        <v>0.1</v>
      </c>
      <c r="G500" s="1627" t="s">
        <v>1468</v>
      </c>
      <c r="H500" s="191"/>
      <c r="V500" s="297" t="s">
        <v>1467</v>
      </c>
      <c r="W500" s="305">
        <v>0.15</v>
      </c>
      <c r="X500" s="287">
        <v>0.15</v>
      </c>
      <c r="Y500" s="291">
        <v>0.15</v>
      </c>
      <c r="Z500" s="312">
        <v>0.15</v>
      </c>
      <c r="AA500" s="312">
        <v>0.15</v>
      </c>
      <c r="AB500" s="312">
        <v>0.15</v>
      </c>
      <c r="AC500" s="312">
        <v>0.15</v>
      </c>
      <c r="AD500" s="312">
        <v>0.15</v>
      </c>
      <c r="AE500" s="312">
        <v>0.15</v>
      </c>
      <c r="AF500" s="271">
        <f t="shared" si="68"/>
        <v>0.1</v>
      </c>
      <c r="AG500" s="287"/>
      <c r="AK500" s="358"/>
    </row>
    <row r="501" spans="1:114" hidden="1" outlineLevel="1">
      <c r="B501" s="579"/>
      <c r="C501" s="281"/>
      <c r="D501" s="1419" t="s">
        <v>1368</v>
      </c>
      <c r="E501" s="1400" t="s">
        <v>2893</v>
      </c>
      <c r="F501" s="1685">
        <v>1</v>
      </c>
      <c r="G501" s="1367" t="s">
        <v>1080</v>
      </c>
      <c r="H501" s="1457" t="s">
        <v>2897</v>
      </c>
      <c r="V501" s="1417" t="s">
        <v>1368</v>
      </c>
      <c r="W501" s="305">
        <v>1</v>
      </c>
      <c r="X501" s="287">
        <v>1</v>
      </c>
      <c r="Y501" s="287">
        <v>1</v>
      </c>
      <c r="Z501" s="313">
        <v>1</v>
      </c>
      <c r="AA501" s="313">
        <v>1</v>
      </c>
      <c r="AB501" s="313">
        <v>1</v>
      </c>
      <c r="AC501" s="313">
        <v>1</v>
      </c>
      <c r="AD501" s="313">
        <v>1</v>
      </c>
      <c r="AE501" s="313">
        <v>1</v>
      </c>
      <c r="AF501" s="271">
        <f t="shared" si="68"/>
        <v>1</v>
      </c>
      <c r="AG501" s="287"/>
      <c r="AK501" s="358"/>
    </row>
    <row r="502" spans="1:114" ht="60" hidden="1" outlineLevel="1">
      <c r="B502" s="579"/>
      <c r="C502" s="281"/>
      <c r="D502" s="1419" t="s">
        <v>128</v>
      </c>
      <c r="E502" s="1400" t="s">
        <v>2893</v>
      </c>
      <c r="F502" s="1698">
        <v>0.57889999999999997</v>
      </c>
      <c r="G502" s="1367" t="s">
        <v>2898</v>
      </c>
      <c r="H502" s="1628" t="s">
        <v>2899</v>
      </c>
      <c r="V502" s="1417" t="s">
        <v>128</v>
      </c>
      <c r="W502" s="305">
        <v>1</v>
      </c>
      <c r="X502" s="314">
        <v>0.58333333333333304</v>
      </c>
      <c r="Y502" s="314">
        <v>0.57889999999999997</v>
      </c>
      <c r="Z502" s="312">
        <v>0.57889999999999997</v>
      </c>
      <c r="AA502" s="312">
        <v>0.57889999999999997</v>
      </c>
      <c r="AB502" s="312">
        <v>0.57889999999999997</v>
      </c>
      <c r="AC502" s="312">
        <v>0.57889999999999997</v>
      </c>
      <c r="AD502" s="312">
        <v>0.57889999999999997</v>
      </c>
      <c r="AE502" s="312">
        <v>0.57889999999999997</v>
      </c>
      <c r="AF502" s="271">
        <f t="shared" si="68"/>
        <v>0.57889999999999997</v>
      </c>
      <c r="AG502" s="287"/>
      <c r="AK502" s="358"/>
    </row>
    <row r="503" spans="1:114" ht="45" hidden="1" outlineLevel="1">
      <c r="B503" s="579"/>
      <c r="C503" s="281"/>
      <c r="D503" s="308" t="s">
        <v>1112</v>
      </c>
      <c r="E503" s="1400" t="s">
        <v>2893</v>
      </c>
      <c r="F503" s="1661">
        <v>1</v>
      </c>
      <c r="G503" s="1367" t="s">
        <v>1547</v>
      </c>
      <c r="H503" s="191"/>
      <c r="V503" s="289" t="s">
        <v>1112</v>
      </c>
      <c r="W503" s="305">
        <v>0.95</v>
      </c>
      <c r="X503" s="192">
        <v>1</v>
      </c>
      <c r="Y503" s="192">
        <v>1</v>
      </c>
      <c r="Z503" s="190">
        <v>1</v>
      </c>
      <c r="AA503" s="190">
        <v>1</v>
      </c>
      <c r="AB503" s="190">
        <v>1</v>
      </c>
      <c r="AC503" s="190">
        <v>1</v>
      </c>
      <c r="AD503" s="190">
        <v>1</v>
      </c>
      <c r="AE503" s="190">
        <v>1</v>
      </c>
      <c r="AF503" s="271">
        <f t="shared" si="68"/>
        <v>1</v>
      </c>
      <c r="AG503" s="287"/>
      <c r="AK503" s="358"/>
    </row>
    <row r="504" spans="1:114" ht="45" hidden="1" outlineLevel="1">
      <c r="B504" s="579"/>
      <c r="C504" s="281"/>
      <c r="D504" s="4456" t="s">
        <v>1476</v>
      </c>
      <c r="E504" s="1400" t="s">
        <v>2893</v>
      </c>
      <c r="F504" s="1697">
        <v>869</v>
      </c>
      <c r="G504" s="1627" t="s">
        <v>2895</v>
      </c>
      <c r="H504" s="191"/>
      <c r="V504" s="4424" t="s">
        <v>2900</v>
      </c>
      <c r="W504" s="279">
        <v>869</v>
      </c>
      <c r="X504" s="311">
        <v>1215</v>
      </c>
      <c r="Y504" s="311">
        <v>869</v>
      </c>
      <c r="Z504" s="315">
        <v>869</v>
      </c>
      <c r="AA504" s="315">
        <v>869</v>
      </c>
      <c r="AB504" s="315">
        <v>869</v>
      </c>
      <c r="AC504" s="315">
        <v>869</v>
      </c>
      <c r="AD504" s="315">
        <v>869</v>
      </c>
      <c r="AE504" s="315">
        <v>869</v>
      </c>
      <c r="AF504" s="271">
        <f t="shared" si="68"/>
        <v>869</v>
      </c>
      <c r="AG504" s="279"/>
      <c r="AK504" s="358"/>
    </row>
    <row r="505" spans="1:114" ht="45" hidden="1" outlineLevel="1">
      <c r="B505" s="579"/>
      <c r="C505" s="281"/>
      <c r="D505" s="4086"/>
      <c r="E505" s="2419" t="str">
        <f>E485</f>
        <v>Dirty Filter Alarm_MFIE_CompE</v>
      </c>
      <c r="F505" s="2488">
        <v>632</v>
      </c>
      <c r="G505" s="2489" t="s">
        <v>1466</v>
      </c>
      <c r="H505" s="2487"/>
      <c r="V505" s="4089"/>
      <c r="W505" s="279"/>
      <c r="X505" s="311"/>
      <c r="Y505" s="2494">
        <v>632</v>
      </c>
      <c r="Z505" s="2493">
        <v>632</v>
      </c>
      <c r="AA505" s="2493">
        <v>632</v>
      </c>
      <c r="AB505" s="2493">
        <v>632</v>
      </c>
      <c r="AC505" s="2493">
        <v>632</v>
      </c>
      <c r="AD505" s="2493">
        <v>632</v>
      </c>
      <c r="AE505" s="2493">
        <v>632</v>
      </c>
      <c r="AF505" s="2236">
        <f t="shared" si="68"/>
        <v>632</v>
      </c>
      <c r="AG505" s="279"/>
      <c r="AK505" s="358"/>
    </row>
    <row r="506" spans="1:114" s="76" customFormat="1" ht="45" hidden="1" outlineLevel="1">
      <c r="A506" s="283"/>
      <c r="B506" s="579"/>
      <c r="C506" s="539"/>
      <c r="D506" s="308" t="s">
        <v>1480</v>
      </c>
      <c r="E506" s="1400" t="s">
        <v>1481</v>
      </c>
      <c r="F506" s="1696" t="s">
        <v>1482</v>
      </c>
      <c r="G506" s="1629" t="s">
        <v>1547</v>
      </c>
      <c r="H506" s="191"/>
      <c r="I506" s="283"/>
      <c r="J506" s="283"/>
      <c r="K506" s="283"/>
      <c r="L506" s="283"/>
      <c r="M506" s="606"/>
      <c r="N506" s="283"/>
      <c r="O506" s="283"/>
      <c r="P506" s="283"/>
      <c r="Q506" s="283"/>
      <c r="R506" s="52"/>
      <c r="S506" s="52"/>
      <c r="T506" s="52"/>
      <c r="U506" s="52"/>
      <c r="V506" s="289" t="str">
        <f>D506</f>
        <v>P</v>
      </c>
      <c r="W506" s="134" t="s">
        <v>1482</v>
      </c>
      <c r="X506" s="134" t="s">
        <v>1482</v>
      </c>
      <c r="Y506" s="134" t="s">
        <v>1482</v>
      </c>
      <c r="Z506" s="134" t="s">
        <v>1482</v>
      </c>
      <c r="AA506" s="134" t="s">
        <v>1482</v>
      </c>
      <c r="AB506" s="134" t="s">
        <v>1482</v>
      </c>
      <c r="AC506" s="134" t="s">
        <v>1482</v>
      </c>
      <c r="AD506" s="134" t="s">
        <v>1482</v>
      </c>
      <c r="AE506" s="134" t="s">
        <v>1482</v>
      </c>
      <c r="AF506" s="271" t="str">
        <f t="shared" si="68"/>
        <v>None</v>
      </c>
      <c r="AG506" s="134"/>
      <c r="DG506" s="261"/>
      <c r="DH506" s="52"/>
      <c r="DI506" s="52"/>
      <c r="DJ506" s="1102"/>
    </row>
    <row r="507" spans="1:114" ht="60" hidden="1" outlineLevel="1">
      <c r="C507" s="281"/>
      <c r="D507" s="316" t="str">
        <f>D477</f>
        <v>EUL</v>
      </c>
      <c r="E507" s="316" t="str">
        <f>E477</f>
        <v>Effective Useful Life</v>
      </c>
      <c r="F507" s="1695">
        <v>5</v>
      </c>
      <c r="G507" s="1627" t="s">
        <v>2901</v>
      </c>
      <c r="H507" s="191"/>
      <c r="V507" s="289" t="str">
        <f>D507</f>
        <v>EUL</v>
      </c>
      <c r="W507" s="296">
        <v>14</v>
      </c>
      <c r="X507" s="296">
        <v>14</v>
      </c>
      <c r="Y507" s="296">
        <v>14</v>
      </c>
      <c r="Z507" s="317">
        <v>14</v>
      </c>
      <c r="AA507" s="317">
        <v>14</v>
      </c>
      <c r="AB507" s="317">
        <v>14</v>
      </c>
      <c r="AC507" s="317">
        <v>14</v>
      </c>
      <c r="AD507" s="317">
        <v>14</v>
      </c>
      <c r="AE507" s="317">
        <v>14</v>
      </c>
      <c r="AF507" s="271">
        <f t="shared" si="68"/>
        <v>5</v>
      </c>
      <c r="AG507" s="279"/>
      <c r="AK507" s="358"/>
    </row>
    <row r="508" spans="1:114" hidden="1" outlineLevel="1">
      <c r="C508" s="281"/>
      <c r="D508" s="316" t="str">
        <f>D478</f>
        <v>Inc. Cost</v>
      </c>
      <c r="E508" s="316" t="str">
        <f>E478</f>
        <v>Incremental Cost</v>
      </c>
      <c r="F508" s="1659">
        <v>5</v>
      </c>
      <c r="G508" s="1367"/>
      <c r="H508" s="191"/>
      <c r="V508" s="289" t="str">
        <f>D508</f>
        <v>Inc. Cost</v>
      </c>
      <c r="W508" s="298">
        <v>5</v>
      </c>
      <c r="X508" s="298">
        <v>5</v>
      </c>
      <c r="Y508" s="298">
        <v>5</v>
      </c>
      <c r="Z508" s="135">
        <v>5</v>
      </c>
      <c r="AA508" s="135">
        <v>5</v>
      </c>
      <c r="AB508" s="135">
        <v>5</v>
      </c>
      <c r="AC508" s="135">
        <v>5</v>
      </c>
      <c r="AD508" s="135">
        <v>5</v>
      </c>
      <c r="AE508" s="135">
        <v>5</v>
      </c>
      <c r="AF508" s="271">
        <f t="shared" si="68"/>
        <v>5</v>
      </c>
      <c r="AG508" s="279"/>
      <c r="AK508" s="358"/>
    </row>
    <row r="509" spans="1:114" hidden="1" outlineLevel="1">
      <c r="C509" s="281"/>
      <c r="D509" s="921"/>
      <c r="E509" s="921"/>
      <c r="F509" s="922"/>
      <c r="G509" s="601"/>
      <c r="H509" s="322"/>
      <c r="V509" s="923"/>
      <c r="W509" s="924"/>
      <c r="X509" s="924"/>
      <c r="Y509" s="924"/>
      <c r="Z509" s="922"/>
      <c r="AA509" s="922"/>
      <c r="AB509" s="922"/>
      <c r="AC509" s="922"/>
      <c r="AD509" s="925"/>
      <c r="AE509" s="925"/>
      <c r="AF509" s="925"/>
      <c r="AG509" s="925"/>
      <c r="AK509" s="358"/>
    </row>
    <row r="510" spans="1:114" collapsed="1">
      <c r="C510" s="281"/>
      <c r="AK510" s="358"/>
    </row>
    <row r="511" spans="1:114">
      <c r="B511" s="4183" t="s">
        <v>2902</v>
      </c>
      <c r="C511" s="4184"/>
      <c r="D511" s="4184"/>
      <c r="E511" s="4184"/>
      <c r="F511" s="4184"/>
      <c r="G511" s="4184"/>
      <c r="H511" s="4184"/>
      <c r="I511" s="4840"/>
      <c r="J511" s="4840"/>
      <c r="K511" s="4840"/>
      <c r="L511" s="4840"/>
      <c r="M511" s="4840"/>
      <c r="N511" s="4840"/>
      <c r="O511" s="4840"/>
      <c r="P511" s="4840"/>
      <c r="Q511" s="4840"/>
      <c r="R511" s="4841"/>
      <c r="V511" s="4066" t="str">
        <f>B511</f>
        <v>Duct Insulation</v>
      </c>
      <c r="W511" s="4067"/>
      <c r="X511" s="4067"/>
      <c r="Y511" s="4067"/>
      <c r="Z511" s="4067"/>
      <c r="AA511" s="4067"/>
      <c r="AB511" s="4067"/>
      <c r="AC511" s="4837"/>
      <c r="AD511" s="4837"/>
      <c r="AE511" s="4837"/>
      <c r="AF511" s="4837"/>
      <c r="AG511" s="4837"/>
      <c r="AH511" s="4837"/>
      <c r="AI511" s="4838"/>
      <c r="AK511" s="358"/>
    </row>
    <row r="512" spans="1:114" ht="15" customHeight="1">
      <c r="C512" s="281"/>
      <c r="AK512" s="358"/>
    </row>
    <row r="513" spans="2:114" ht="45">
      <c r="C513" s="1371" t="s">
        <v>42</v>
      </c>
      <c r="D513" s="1371" t="s">
        <v>953</v>
      </c>
      <c r="E513" s="1443" t="s">
        <v>44</v>
      </c>
      <c r="F513" s="1371" t="s">
        <v>1315</v>
      </c>
      <c r="G513" s="1371" t="s">
        <v>46</v>
      </c>
      <c r="H513" s="1371" t="s">
        <v>47</v>
      </c>
      <c r="I513" s="1371" t="s">
        <v>2903</v>
      </c>
      <c r="J513" s="1371" t="s">
        <v>2904</v>
      </c>
      <c r="K513" s="1371" t="s">
        <v>2905</v>
      </c>
      <c r="L513" s="1371" t="s">
        <v>48</v>
      </c>
      <c r="M513" s="1371" t="s">
        <v>49</v>
      </c>
      <c r="N513" s="1371" t="s">
        <v>2906</v>
      </c>
      <c r="O513" s="1371" t="s">
        <v>2907</v>
      </c>
      <c r="V513" s="668" t="s">
        <v>52</v>
      </c>
      <c r="W513" s="669">
        <f>W$6</f>
        <v>43252</v>
      </c>
      <c r="X513" s="669">
        <f t="shared" ref="X513:AG513" si="69">X$6</f>
        <v>43465</v>
      </c>
      <c r="Y513" s="115">
        <f t="shared" si="69"/>
        <v>43800</v>
      </c>
      <c r="Z513" s="669">
        <f t="shared" si="69"/>
        <v>43862</v>
      </c>
      <c r="AA513" s="669">
        <f t="shared" si="69"/>
        <v>44013</v>
      </c>
      <c r="AB513" s="669">
        <f t="shared" si="69"/>
        <v>44166</v>
      </c>
      <c r="AC513" s="669">
        <f t="shared" si="69"/>
        <v>44531</v>
      </c>
      <c r="AD513" s="669">
        <f t="shared" si="69"/>
        <v>44774</v>
      </c>
      <c r="AE513" s="669">
        <f t="shared" si="69"/>
        <v>45139</v>
      </c>
      <c r="AF513" s="669">
        <f t="shared" si="69"/>
        <v>45672</v>
      </c>
      <c r="AG513" s="669" t="str">
        <f t="shared" si="69"/>
        <v>-</v>
      </c>
      <c r="AK513" s="358"/>
      <c r="DG513" s="1060" t="str">
        <f>$DG$6</f>
        <v>TRC (2025)</v>
      </c>
      <c r="DH513" s="811" t="str">
        <f>$DH$6</f>
        <v>Benefit Lookup</v>
      </c>
      <c r="DI513" s="1076" t="str">
        <f>$DI$6</f>
        <v>Benefits (2025 $)</v>
      </c>
      <c r="DJ513" s="1103" t="str">
        <f>$DJ$6</f>
        <v>Incremental Cost (2025 $)</v>
      </c>
    </row>
    <row r="514" spans="2:114" ht="15" customHeight="1">
      <c r="B514" s="1454">
        <f t="shared" ref="B514:B516" si="70">VALUE(LEFT(C514,6))</f>
        <v>402300</v>
      </c>
      <c r="C514" s="1542" t="s">
        <v>2908</v>
      </c>
      <c r="D514" s="1894" t="s">
        <v>1800</v>
      </c>
      <c r="E514" s="1400" t="s">
        <v>2909</v>
      </c>
      <c r="F514" s="1523">
        <f>ROUND((I514+J514)*G539*G540*G541,2)</f>
        <v>22.8</v>
      </c>
      <c r="G514" s="1401" t="s">
        <v>1205</v>
      </c>
      <c r="H514" s="69">
        <f>VLOOKUP(G514,'CP FACTORS'!$A$3:$B$38, 2, FALSE)</f>
        <v>4.6608050000000002E-4</v>
      </c>
      <c r="I514" s="172">
        <f>(1/G523-1/G524)*G525*G527*G528/(G529*G530)</f>
        <v>1.2754677419354841</v>
      </c>
      <c r="J514" s="172">
        <f>(1/G523-1/G524)*G525*G531*G532/(G533*G534)</f>
        <v>21.520140313599065</v>
      </c>
      <c r="K514" s="318">
        <v>0</v>
      </c>
      <c r="L514" s="1487">
        <f>ROUND(H514*F514,6)</f>
        <v>1.0626999999999999E-2</v>
      </c>
      <c r="M514" s="134">
        <f>$G$542</f>
        <v>20</v>
      </c>
      <c r="N514" s="135">
        <f>$G$543</f>
        <v>4.2205065958870298</v>
      </c>
      <c r="O514" s="134">
        <v>1</v>
      </c>
      <c r="V514" s="356" t="str">
        <f>$F$513</f>
        <v>kWh
Annual Savings</v>
      </c>
      <c r="W514" s="87">
        <v>1436.5606215435027</v>
      </c>
      <c r="X514" s="319">
        <v>1436.5606215435027</v>
      </c>
      <c r="Y514" s="320">
        <v>29.13</v>
      </c>
      <c r="Z514" s="744">
        <v>29.13</v>
      </c>
      <c r="AA514" s="744">
        <v>29.13</v>
      </c>
      <c r="AB514" s="744">
        <v>29.13</v>
      </c>
      <c r="AC514" s="744">
        <v>29.13</v>
      </c>
      <c r="AD514" s="744">
        <v>29.13</v>
      </c>
      <c r="AE514" s="744">
        <v>29.13</v>
      </c>
      <c r="AF514" s="271">
        <f>IF(F514&lt;&gt;"",F514,"")</f>
        <v>22.8</v>
      </c>
      <c r="AG514" s="356"/>
      <c r="AK514" s="358"/>
      <c r="DG514" s="1062">
        <f>(DI514)/(DJ514)</f>
        <v>8.2251191963232539</v>
      </c>
      <c r="DH514" s="1400" t="str">
        <f>CONCATENATE(G514," ",M514," Year EUL")</f>
        <v>HVAC RES 20 Year EUL</v>
      </c>
      <c r="DI514" s="1010">
        <f>(INDEX('Avoided Cost Benefits'!$B$4:$B$865,MATCH(DH514,'Avoided Cost Benefits'!$A$4:$A$865,0)))*F514</f>
        <v>34.714169820039317</v>
      </c>
      <c r="DJ514" s="1174">
        <f>N514/(1.0686^(2025-2025))</f>
        <v>4.2205065958870298</v>
      </c>
    </row>
    <row r="515" spans="2:114" ht="15" customHeight="1">
      <c r="B515" s="1454">
        <f t="shared" si="70"/>
        <v>402350</v>
      </c>
      <c r="C515" s="1542" t="s">
        <v>2910</v>
      </c>
      <c r="D515" s="1894" t="s">
        <v>1800</v>
      </c>
      <c r="E515" s="1400" t="s">
        <v>2911</v>
      </c>
      <c r="F515" s="1523">
        <f>ROUND((I515+J515)*G539*G540*G541,2)</f>
        <v>22.8</v>
      </c>
      <c r="G515" s="1401" t="s">
        <v>1205</v>
      </c>
      <c r="H515" s="69">
        <f>VLOOKUP(G515,'CP FACTORS'!$A$3:$B$38, 2, FALSE)</f>
        <v>4.6608050000000002E-4</v>
      </c>
      <c r="I515" s="172">
        <f>(1/G523-1/G524)*G526*G527*G528/(G529*G530)</f>
        <v>1.2754677419354841</v>
      </c>
      <c r="J515" s="172">
        <f>(1/G523-1/G524)*G526*G531*G532/(G533*G534)</f>
        <v>21.520140313599065</v>
      </c>
      <c r="K515" s="318">
        <v>0</v>
      </c>
      <c r="L515" s="1487">
        <f>ROUND(H515*F515,6)</f>
        <v>1.0626999999999999E-2</v>
      </c>
      <c r="M515" s="134">
        <f>$G$542</f>
        <v>20</v>
      </c>
      <c r="N515" s="135">
        <f>$G$543</f>
        <v>4.2205065958870298</v>
      </c>
      <c r="O515" s="134">
        <v>1</v>
      </c>
      <c r="V515" s="356" t="str">
        <f>$F$513</f>
        <v>kWh
Annual Savings</v>
      </c>
      <c r="W515" s="87">
        <v>1267.6448744421125</v>
      </c>
      <c r="X515" s="319">
        <v>1267.6448744421125</v>
      </c>
      <c r="Y515" s="320">
        <v>29.13</v>
      </c>
      <c r="Z515" s="744">
        <v>29.13</v>
      </c>
      <c r="AA515" s="744">
        <v>29.13</v>
      </c>
      <c r="AB515" s="744">
        <v>29.13</v>
      </c>
      <c r="AC515" s="744">
        <v>29.13</v>
      </c>
      <c r="AD515" s="744">
        <v>29.13</v>
      </c>
      <c r="AE515" s="744">
        <v>29.13</v>
      </c>
      <c r="AF515" s="271">
        <f>IF(F515&lt;&gt;"",F515,"")</f>
        <v>22.8</v>
      </c>
      <c r="AG515" s="356"/>
      <c r="AK515" s="358"/>
      <c r="DG515" s="1063">
        <f>(DI515)/(DJ515)</f>
        <v>8.2251191963232539</v>
      </c>
      <c r="DH515" s="673" t="str">
        <f>CONCATENATE(G515," ",M515," Year EUL")</f>
        <v>HVAC RES 20 Year EUL</v>
      </c>
      <c r="DI515" s="556">
        <f>(INDEX('Avoided Cost Benefits'!$B$4:$B$865,MATCH(DH515,'Avoided Cost Benefits'!$A$4:$A$865,0)))*F515</f>
        <v>34.714169820039317</v>
      </c>
      <c r="DJ515" s="1176">
        <f>N515/(1.0686^(2025-2025))</f>
        <v>4.2205065958870298</v>
      </c>
    </row>
    <row r="516" spans="2:114">
      <c r="B516" s="1454">
        <f t="shared" si="70"/>
        <v>402400</v>
      </c>
      <c r="C516" s="1542" t="s">
        <v>2912</v>
      </c>
      <c r="D516" s="1894" t="s">
        <v>1800</v>
      </c>
      <c r="E516" s="1400" t="s">
        <v>2913</v>
      </c>
      <c r="F516" s="1523">
        <f>ROUND((I516+J516)*G539*G540*G541,2)</f>
        <v>2.4900000000000002</v>
      </c>
      <c r="G516" s="1401" t="s">
        <v>1205</v>
      </c>
      <c r="H516" s="69">
        <f>VLOOKUP(G516,'CP FACTORS'!$A$3:$B$38, 2, FALSE)</f>
        <v>4.6608050000000002E-4</v>
      </c>
      <c r="I516" s="172">
        <f>(1/G523-1/G524)*G525*G527*G528/(G529*G530)</f>
        <v>1.2754677419354841</v>
      </c>
      <c r="J516" s="172">
        <f>K516*G535*G536</f>
        <v>1.2178758270985914</v>
      </c>
      <c r="K516" s="1523">
        <f>(1/G523-1/G524)*G525*G531*G532/(100000*G538)</f>
        <v>1.3237492957746479</v>
      </c>
      <c r="L516" s="1487">
        <f>ROUND(H516*F516,6)</f>
        <v>1.1609999999999999E-3</v>
      </c>
      <c r="M516" s="134">
        <f>$G$542</f>
        <v>20</v>
      </c>
      <c r="N516" s="135">
        <f>$G$543</f>
        <v>4.2205065958870298</v>
      </c>
      <c r="O516" s="134">
        <v>1</v>
      </c>
      <c r="V516" s="356" t="str">
        <f>$F$513</f>
        <v>kWh
Annual Savings</v>
      </c>
      <c r="W516" s="87">
        <v>114.3457559964678</v>
      </c>
      <c r="X516" s="319">
        <v>114.3457559964678</v>
      </c>
      <c r="Y516" s="320">
        <v>2.69</v>
      </c>
      <c r="Z516" s="744">
        <v>2.69</v>
      </c>
      <c r="AA516" s="744">
        <v>2.69</v>
      </c>
      <c r="AB516" s="744">
        <v>2.69</v>
      </c>
      <c r="AC516" s="744">
        <v>2.69</v>
      </c>
      <c r="AD516" s="744">
        <v>2.69</v>
      </c>
      <c r="AE516" s="744">
        <v>2.69</v>
      </c>
      <c r="AF516" s="271">
        <f>IF(F516&lt;&gt;"",F516,"")</f>
        <v>2.4900000000000002</v>
      </c>
      <c r="AG516" s="356"/>
      <c r="AK516" s="358"/>
      <c r="DG516" s="1064">
        <f>(DI516)/(DJ516)</f>
        <v>0.89826959644056592</v>
      </c>
      <c r="DH516" s="673" t="str">
        <f>CONCATENATE(G516," ",M516," Year EUL")</f>
        <v>HVAC RES 20 Year EUL</v>
      </c>
      <c r="DI516" s="1072">
        <f>(INDEX('Avoided Cost Benefits'!$B$4:$B$865,MATCH(DH516,'Avoided Cost Benefits'!$A$4:$A$865,0)))*F516</f>
        <v>3.7911527566621888</v>
      </c>
      <c r="DJ516" s="1175">
        <f>N516/(1.0686^(2025-2025))</f>
        <v>4.2205065958870298</v>
      </c>
    </row>
    <row r="517" spans="2:114" ht="15" hidden="1" customHeight="1" outlineLevel="1">
      <c r="C517" s="281"/>
      <c r="D517" s="283" t="s">
        <v>118</v>
      </c>
      <c r="E517" s="1458" t="s">
        <v>2914</v>
      </c>
      <c r="I517" s="283" t="s">
        <v>2915</v>
      </c>
      <c r="Y517" s="539" t="s">
        <v>2759</v>
      </c>
      <c r="AK517" s="358"/>
    </row>
    <row r="518" spans="2:114" ht="15" hidden="1" customHeight="1" outlineLevel="1">
      <c r="C518" s="281"/>
      <c r="D518" s="283" t="s">
        <v>963</v>
      </c>
      <c r="E518" s="283" t="s">
        <v>2916</v>
      </c>
      <c r="AK518" s="358"/>
    </row>
    <row r="519" spans="2:114" ht="15" hidden="1" customHeight="1" outlineLevel="1">
      <c r="C519" s="281"/>
      <c r="D519" s="283" t="s">
        <v>963</v>
      </c>
      <c r="E519" s="283" t="s">
        <v>2917</v>
      </c>
      <c r="AK519" s="358"/>
    </row>
    <row r="520" spans="2:114" ht="27.75" hidden="1" customHeight="1" outlineLevel="1">
      <c r="C520" s="281"/>
      <c r="D520" s="283"/>
      <c r="E520" s="283" t="s">
        <v>966</v>
      </c>
      <c r="AK520" s="358"/>
    </row>
    <row r="521" spans="2:114" ht="15" hidden="1" customHeight="1" outlineLevel="1">
      <c r="C521" s="281"/>
      <c r="D521" s="283"/>
      <c r="E521" s="283"/>
      <c r="AK521" s="358"/>
    </row>
    <row r="522" spans="2:114" ht="15" hidden="1" customHeight="1" outlineLevel="1">
      <c r="C522" s="281"/>
      <c r="D522" s="1443" t="s">
        <v>1078</v>
      </c>
      <c r="E522" s="1443" t="s">
        <v>967</v>
      </c>
      <c r="F522" s="1371" t="s">
        <v>968</v>
      </c>
      <c r="G522" s="1371" t="s">
        <v>969</v>
      </c>
      <c r="H522" s="4068" t="s">
        <v>970</v>
      </c>
      <c r="I522" s="4438"/>
      <c r="J522" s="4068" t="s">
        <v>755</v>
      </c>
      <c r="K522" s="4068"/>
      <c r="L522" s="4068"/>
      <c r="V522" s="668" t="s">
        <v>52</v>
      </c>
      <c r="W522" s="669">
        <f>W$6</f>
        <v>43252</v>
      </c>
      <c r="X522" s="669">
        <f t="shared" ref="X522:AG522" si="71">X$6</f>
        <v>43465</v>
      </c>
      <c r="Y522" s="115">
        <f t="shared" si="71"/>
        <v>43800</v>
      </c>
      <c r="Z522" s="669">
        <f t="shared" si="71"/>
        <v>43862</v>
      </c>
      <c r="AA522" s="669">
        <f t="shared" si="71"/>
        <v>44013</v>
      </c>
      <c r="AB522" s="669">
        <f t="shared" si="71"/>
        <v>44166</v>
      </c>
      <c r="AC522" s="669">
        <f t="shared" si="71"/>
        <v>44531</v>
      </c>
      <c r="AD522" s="669">
        <f t="shared" si="71"/>
        <v>44774</v>
      </c>
      <c r="AE522" s="669">
        <f t="shared" si="71"/>
        <v>45139</v>
      </c>
      <c r="AF522" s="669">
        <f t="shared" si="71"/>
        <v>45672</v>
      </c>
      <c r="AG522" s="669" t="str">
        <f t="shared" si="71"/>
        <v>-</v>
      </c>
      <c r="AK522" s="358"/>
    </row>
    <row r="523" spans="2:114" ht="58.5" hidden="1" customHeight="1" outlineLevel="1">
      <c r="C523" s="281"/>
      <c r="D523" s="1420" t="s">
        <v>2918</v>
      </c>
      <c r="E523" s="1412" t="s">
        <v>2919</v>
      </c>
      <c r="F523" s="596"/>
      <c r="G523" s="1706">
        <v>4</v>
      </c>
      <c r="H523" s="4395" t="s">
        <v>2920</v>
      </c>
      <c r="I523" s="4413"/>
      <c r="J523" s="4395"/>
      <c r="K523" s="4395"/>
      <c r="L523" s="4395"/>
      <c r="V523" s="295" t="str">
        <f>D523</f>
        <v>Rexisting</v>
      </c>
      <c r="W523" s="323">
        <v>4</v>
      </c>
      <c r="X523" s="323">
        <v>4</v>
      </c>
      <c r="Y523" s="323">
        <v>4</v>
      </c>
      <c r="Z523" s="597">
        <v>4</v>
      </c>
      <c r="AA523" s="597">
        <v>4</v>
      </c>
      <c r="AB523" s="597">
        <v>4</v>
      </c>
      <c r="AC523" s="597">
        <v>4</v>
      </c>
      <c r="AD523" s="597">
        <v>4</v>
      </c>
      <c r="AE523" s="597">
        <v>4</v>
      </c>
      <c r="AF523" s="271">
        <f t="shared" ref="AF523:AF543" si="72">IF(G523&lt;&gt;"",G523,"")</f>
        <v>4</v>
      </c>
      <c r="AG523" s="323"/>
      <c r="AK523" s="358"/>
    </row>
    <row r="524" spans="2:114" ht="60.75" hidden="1" customHeight="1" outlineLevel="1">
      <c r="C524" s="281"/>
      <c r="D524" s="1420" t="s">
        <v>2921</v>
      </c>
      <c r="E524" s="1412" t="s">
        <v>2922</v>
      </c>
      <c r="F524" s="596"/>
      <c r="G524" s="1706">
        <v>8</v>
      </c>
      <c r="H524" s="4395" t="s">
        <v>2923</v>
      </c>
      <c r="I524" s="4413"/>
      <c r="J524" s="4395"/>
      <c r="K524" s="4395"/>
      <c r="L524" s="4395"/>
      <c r="V524" s="295" t="str">
        <f t="shared" ref="V524:V541" si="73">D524</f>
        <v>Rnew</v>
      </c>
      <c r="W524" s="323">
        <v>8</v>
      </c>
      <c r="X524" s="323">
        <v>8</v>
      </c>
      <c r="Y524" s="323">
        <v>8</v>
      </c>
      <c r="Z524" s="597">
        <v>8</v>
      </c>
      <c r="AA524" s="597">
        <v>8</v>
      </c>
      <c r="AB524" s="597">
        <v>8</v>
      </c>
      <c r="AC524" s="597">
        <v>8</v>
      </c>
      <c r="AD524" s="597">
        <v>8</v>
      </c>
      <c r="AE524" s="597">
        <v>8</v>
      </c>
      <c r="AF524" s="271">
        <f t="shared" si="72"/>
        <v>8</v>
      </c>
      <c r="AG524" s="323"/>
      <c r="AK524" s="358"/>
    </row>
    <row r="525" spans="2:114" ht="28.5" hidden="1" customHeight="1" outlineLevel="1">
      <c r="C525" s="281"/>
      <c r="D525" s="4414" t="s">
        <v>2924</v>
      </c>
      <c r="E525" s="4416" t="s">
        <v>2925</v>
      </c>
      <c r="F525" s="1372" t="s">
        <v>2926</v>
      </c>
      <c r="G525" s="1707">
        <f>SQRT(F$86)*((12+30+12+30)/12)</f>
        <v>7</v>
      </c>
      <c r="H525" s="4418" t="s">
        <v>2927</v>
      </c>
      <c r="I525" s="4419"/>
      <c r="J525" s="4395"/>
      <c r="K525" s="4395"/>
      <c r="L525" s="4395"/>
      <c r="V525" s="316" t="str">
        <f>F525</f>
        <v xml:space="preserve">Area - Single Family </v>
      </c>
      <c r="W525" s="324">
        <f>SQRT(W$86)*((12+30+12+30)/12)</f>
        <v>260.69714229350501</v>
      </c>
      <c r="X525" s="324">
        <f>SQRT(X$86)*((12+30+12+30)/12)</f>
        <v>260.69714229350501</v>
      </c>
      <c r="Y525" s="324">
        <f>SQRT(Y$86)*((12+30+12+30)/12)</f>
        <v>7</v>
      </c>
      <c r="Z525" s="598">
        <f>SQRT(Z$86)*((12+30+12+30)/12)</f>
        <v>7</v>
      </c>
      <c r="AA525" s="598">
        <f>SQRT(AA$86)*((12+30+12+30)/12)</f>
        <v>7</v>
      </c>
      <c r="AB525" s="598">
        <v>7</v>
      </c>
      <c r="AC525" s="598">
        <v>7</v>
      </c>
      <c r="AD525" s="598">
        <v>7</v>
      </c>
      <c r="AE525" s="598">
        <v>7</v>
      </c>
      <c r="AF525" s="271">
        <f t="shared" si="72"/>
        <v>7</v>
      </c>
      <c r="AG525" s="324"/>
      <c r="AK525" s="358"/>
    </row>
    <row r="526" spans="2:114" ht="33" hidden="1" customHeight="1" outlineLevel="1">
      <c r="C526" s="281"/>
      <c r="D526" s="4415"/>
      <c r="E526" s="4417"/>
      <c r="F526" s="1372" t="s">
        <v>2928</v>
      </c>
      <c r="G526" s="1708">
        <f>SQRT(F$89)*((12+30+12+30)/12)</f>
        <v>7</v>
      </c>
      <c r="H526" s="4395" t="s">
        <v>2927</v>
      </c>
      <c r="I526" s="4395"/>
      <c r="J526" s="4394"/>
      <c r="K526" s="4395"/>
      <c r="L526" s="4395"/>
      <c r="V526" s="316" t="str">
        <f>F526</f>
        <v>Area - Mobile Home</v>
      </c>
      <c r="W526" s="325">
        <f>SQRT(W$89)*((12+30+12+30)/12)</f>
        <v>230.04347415216975</v>
      </c>
      <c r="X526" s="325">
        <f>SQRT(X$89)*((12+30+12+30)/12)</f>
        <v>230.04347415216975</v>
      </c>
      <c r="Y526" s="325">
        <f>SQRT(Y$89)*((12+30+12+30)/12)</f>
        <v>7</v>
      </c>
      <c r="Z526" s="599">
        <f>SQRT(Z$89)*((12+30+12+30)/12)</f>
        <v>7</v>
      </c>
      <c r="AA526" s="599">
        <f>SQRT(AA$89)*((12+30+12+30)/12)</f>
        <v>7</v>
      </c>
      <c r="AB526" s="599">
        <v>7</v>
      </c>
      <c r="AC526" s="599">
        <v>7</v>
      </c>
      <c r="AD526" s="599">
        <v>7</v>
      </c>
      <c r="AE526" s="599">
        <v>7</v>
      </c>
      <c r="AF526" s="271">
        <f t="shared" si="72"/>
        <v>7</v>
      </c>
      <c r="AG526" s="324"/>
      <c r="AK526" s="358"/>
    </row>
    <row r="527" spans="2:114" ht="30.75" hidden="1" customHeight="1" outlineLevel="1">
      <c r="C527" s="281"/>
      <c r="D527" s="1408" t="s">
        <v>891</v>
      </c>
      <c r="E527" s="1372" t="s">
        <v>2929</v>
      </c>
      <c r="F527" s="1372"/>
      <c r="G527" s="1803">
        <v>869</v>
      </c>
      <c r="H527" s="4385" t="s">
        <v>2157</v>
      </c>
      <c r="I527" s="4409"/>
      <c r="J527" s="4410" t="s">
        <v>2930</v>
      </c>
      <c r="K527" s="4410"/>
      <c r="L527" s="4410"/>
      <c r="M527" s="601"/>
      <c r="V527" s="295" t="str">
        <f t="shared" si="73"/>
        <v>EFLHcool</v>
      </c>
      <c r="W527" s="1514">
        <v>869</v>
      </c>
      <c r="X527" s="1514">
        <v>869</v>
      </c>
      <c r="Y527" s="1514">
        <v>869</v>
      </c>
      <c r="Z527" s="600">
        <v>869</v>
      </c>
      <c r="AA527" s="600">
        <v>869</v>
      </c>
      <c r="AB527" s="600">
        <v>869</v>
      </c>
      <c r="AC527" s="600">
        <v>869</v>
      </c>
      <c r="AD527" s="600">
        <v>869</v>
      </c>
      <c r="AE527" s="600">
        <v>869</v>
      </c>
      <c r="AF527" s="271">
        <f t="shared" si="72"/>
        <v>869</v>
      </c>
      <c r="AG527" s="1514"/>
      <c r="AK527" s="358"/>
    </row>
    <row r="528" spans="2:114" ht="30" hidden="1" outlineLevel="1">
      <c r="C528" s="281"/>
      <c r="D528" s="1408" t="s">
        <v>2931</v>
      </c>
      <c r="E528" s="1372" t="s">
        <v>2932</v>
      </c>
      <c r="F528" s="1372"/>
      <c r="G528" s="1802">
        <v>20.8</v>
      </c>
      <c r="H528" s="4411" t="s">
        <v>2933</v>
      </c>
      <c r="I528" s="4412"/>
      <c r="J528" s="4410" t="s">
        <v>2930</v>
      </c>
      <c r="K528" s="4410"/>
      <c r="L528" s="4410"/>
      <c r="M528" s="601"/>
      <c r="V528" s="295" t="str">
        <f t="shared" si="73"/>
        <v>ΔTAVG, cooling</v>
      </c>
      <c r="W528" s="1514">
        <v>20.8</v>
      </c>
      <c r="X528" s="1514">
        <v>20.8</v>
      </c>
      <c r="Y528" s="1514">
        <v>20.8</v>
      </c>
      <c r="Z528" s="600">
        <v>20.8</v>
      </c>
      <c r="AA528" s="600">
        <v>20.8</v>
      </c>
      <c r="AB528" s="600">
        <v>20.8</v>
      </c>
      <c r="AC528" s="600">
        <v>20.8</v>
      </c>
      <c r="AD528" s="600">
        <v>20.8</v>
      </c>
      <c r="AE528" s="600">
        <v>20.8</v>
      </c>
      <c r="AF528" s="271">
        <f t="shared" si="72"/>
        <v>20.8</v>
      </c>
      <c r="AG528" s="1514"/>
      <c r="AK528" s="358"/>
    </row>
    <row r="529" spans="3:37" hidden="1" outlineLevel="1">
      <c r="C529" s="281"/>
      <c r="D529" s="1408">
        <v>1000</v>
      </c>
      <c r="E529" s="1372" t="s">
        <v>2716</v>
      </c>
      <c r="F529" s="1372"/>
      <c r="G529" s="1803">
        <v>1000</v>
      </c>
      <c r="H529" s="4199" t="s">
        <v>2718</v>
      </c>
      <c r="I529" s="4420"/>
      <c r="J529" s="4410" t="s">
        <v>2930</v>
      </c>
      <c r="K529" s="4410"/>
      <c r="L529" s="4410"/>
      <c r="M529" s="601"/>
      <c r="V529" s="295">
        <f t="shared" si="73"/>
        <v>1000</v>
      </c>
      <c r="W529" s="1514">
        <v>1000</v>
      </c>
      <c r="X529" s="1514">
        <v>1000</v>
      </c>
      <c r="Y529" s="1514">
        <v>1000</v>
      </c>
      <c r="Z529" s="600">
        <v>1000</v>
      </c>
      <c r="AA529" s="600">
        <v>1000</v>
      </c>
      <c r="AB529" s="600">
        <v>1000</v>
      </c>
      <c r="AC529" s="600">
        <v>1000</v>
      </c>
      <c r="AD529" s="600">
        <v>1000</v>
      </c>
      <c r="AE529" s="600">
        <v>1000</v>
      </c>
      <c r="AF529" s="271">
        <f t="shared" si="72"/>
        <v>1000</v>
      </c>
      <c r="AG529" s="1514"/>
      <c r="AK529" s="358"/>
    </row>
    <row r="530" spans="3:37" hidden="1" outlineLevel="1">
      <c r="C530" s="281"/>
      <c r="D530" s="1408" t="s">
        <v>1124</v>
      </c>
      <c r="E530" s="1372" t="s">
        <v>2934</v>
      </c>
      <c r="F530" s="1372"/>
      <c r="G530" s="1672">
        <v>12.4</v>
      </c>
      <c r="H530" s="4411"/>
      <c r="I530" s="4412"/>
      <c r="J530" s="4460" t="s">
        <v>2935</v>
      </c>
      <c r="K530" s="4460"/>
      <c r="L530" s="4460"/>
      <c r="M530" s="601"/>
      <c r="V530" s="295" t="str">
        <f t="shared" si="73"/>
        <v>SEER2</v>
      </c>
      <c r="W530" s="1514">
        <v>10</v>
      </c>
      <c r="X530" s="1514">
        <v>10</v>
      </c>
      <c r="Y530" s="1514">
        <v>10</v>
      </c>
      <c r="Z530" s="600">
        <v>10</v>
      </c>
      <c r="AA530" s="600">
        <v>10</v>
      </c>
      <c r="AB530" s="600">
        <v>10</v>
      </c>
      <c r="AC530" s="600">
        <v>10</v>
      </c>
      <c r="AD530" s="600">
        <v>10</v>
      </c>
      <c r="AE530" s="600">
        <v>10</v>
      </c>
      <c r="AF530" s="271">
        <f t="shared" si="72"/>
        <v>12.4</v>
      </c>
      <c r="AG530" s="1514"/>
      <c r="AK530" s="358"/>
    </row>
    <row r="531" spans="3:37" ht="15" hidden="1" customHeight="1" outlineLevel="1">
      <c r="C531" s="281"/>
      <c r="D531" s="1408" t="s">
        <v>892</v>
      </c>
      <c r="E531" s="1372" t="s">
        <v>2106</v>
      </c>
      <c r="F531" s="1372"/>
      <c r="G531" s="1803">
        <v>1496</v>
      </c>
      <c r="H531" s="4385" t="s">
        <v>2157</v>
      </c>
      <c r="I531" s="4409"/>
      <c r="J531" s="4410" t="s">
        <v>2930</v>
      </c>
      <c r="K531" s="4410"/>
      <c r="L531" s="4410"/>
      <c r="M531" s="601"/>
      <c r="V531" s="295" t="str">
        <f t="shared" si="73"/>
        <v>EFLHheat</v>
      </c>
      <c r="W531" s="1514">
        <v>2009</v>
      </c>
      <c r="X531" s="1514">
        <v>2009</v>
      </c>
      <c r="Y531" s="326">
        <v>1496</v>
      </c>
      <c r="Z531" s="600">
        <v>1496</v>
      </c>
      <c r="AA531" s="600">
        <v>1496</v>
      </c>
      <c r="AB531" s="600">
        <v>1496</v>
      </c>
      <c r="AC531" s="600">
        <v>1496</v>
      </c>
      <c r="AD531" s="600">
        <v>1496</v>
      </c>
      <c r="AE531" s="600">
        <v>1496</v>
      </c>
      <c r="AF531" s="271">
        <f t="shared" si="72"/>
        <v>1496</v>
      </c>
      <c r="AG531" s="1514"/>
      <c r="AK531" s="358"/>
    </row>
    <row r="532" spans="3:37" ht="30" hidden="1" outlineLevel="1">
      <c r="C532" s="281"/>
      <c r="D532" s="1408" t="s">
        <v>2936</v>
      </c>
      <c r="E532" s="1372" t="s">
        <v>2937</v>
      </c>
      <c r="F532" s="1372"/>
      <c r="G532" s="1802">
        <v>71.8</v>
      </c>
      <c r="H532" s="4411" t="s">
        <v>2933</v>
      </c>
      <c r="I532" s="4412"/>
      <c r="J532" s="4460" t="s">
        <v>2930</v>
      </c>
      <c r="K532" s="4460"/>
      <c r="L532" s="4460"/>
      <c r="M532" s="601"/>
      <c r="V532" s="295" t="str">
        <f t="shared" si="73"/>
        <v>ΔTAVG, heating</v>
      </c>
      <c r="W532" s="1514">
        <v>71.8</v>
      </c>
      <c r="X532" s="1514">
        <v>71.8</v>
      </c>
      <c r="Y532" s="1514">
        <v>71.8</v>
      </c>
      <c r="Z532" s="600">
        <v>71.8</v>
      </c>
      <c r="AA532" s="600">
        <v>71.8</v>
      </c>
      <c r="AB532" s="600">
        <v>71.8</v>
      </c>
      <c r="AC532" s="600">
        <v>71.8</v>
      </c>
      <c r="AD532" s="600">
        <v>71.8</v>
      </c>
      <c r="AE532" s="600">
        <v>71.8</v>
      </c>
      <c r="AF532" s="271">
        <f t="shared" si="72"/>
        <v>71.8</v>
      </c>
      <c r="AG532" s="1514"/>
      <c r="AK532" s="358"/>
    </row>
    <row r="533" spans="3:37" hidden="1" outlineLevel="1">
      <c r="C533" s="281"/>
      <c r="D533" s="1408">
        <v>3412</v>
      </c>
      <c r="E533" s="1372" t="s">
        <v>1649</v>
      </c>
      <c r="F533" s="1372"/>
      <c r="G533" s="1803">
        <v>3412</v>
      </c>
      <c r="H533" s="4020" t="s">
        <v>1645</v>
      </c>
      <c r="I533" s="4156"/>
      <c r="J533" s="4457" t="s">
        <v>2938</v>
      </c>
      <c r="K533" s="4457"/>
      <c r="L533" s="4457"/>
      <c r="M533" s="601"/>
      <c r="V533" s="295">
        <f t="shared" si="73"/>
        <v>3412</v>
      </c>
      <c r="W533" s="1514">
        <v>3412</v>
      </c>
      <c r="X533" s="1514">
        <v>3412</v>
      </c>
      <c r="Y533" s="1514">
        <v>3412</v>
      </c>
      <c r="Z533" s="600">
        <v>3412</v>
      </c>
      <c r="AA533" s="600">
        <v>3412</v>
      </c>
      <c r="AB533" s="600">
        <v>3412</v>
      </c>
      <c r="AC533" s="600">
        <v>3412</v>
      </c>
      <c r="AD533" s="600">
        <v>3412</v>
      </c>
      <c r="AE533" s="600">
        <v>3412</v>
      </c>
      <c r="AF533" s="271">
        <f t="shared" si="72"/>
        <v>3412</v>
      </c>
      <c r="AG533" s="1514"/>
      <c r="AK533" s="358"/>
    </row>
    <row r="534" spans="3:37" ht="75.75" hidden="1" customHeight="1" outlineLevel="1">
      <c r="C534" s="281"/>
      <c r="D534" s="1408" t="s">
        <v>2939</v>
      </c>
      <c r="E534" s="1372" t="s">
        <v>2940</v>
      </c>
      <c r="F534" s="1372"/>
      <c r="G534" s="1672">
        <v>1.28</v>
      </c>
      <c r="H534" s="4458" t="s">
        <v>2941</v>
      </c>
      <c r="I534" s="4459"/>
      <c r="J534" s="4460"/>
      <c r="K534" s="4460"/>
      <c r="L534" s="4460"/>
      <c r="M534" s="601"/>
      <c r="V534" s="295" t="str">
        <f t="shared" si="73"/>
        <v>COP</v>
      </c>
      <c r="W534" s="1507">
        <v>1</v>
      </c>
      <c r="X534" s="1507">
        <v>1</v>
      </c>
      <c r="Y534" s="1507">
        <v>1</v>
      </c>
      <c r="Z534" s="80">
        <v>1</v>
      </c>
      <c r="AA534" s="80">
        <v>1</v>
      </c>
      <c r="AB534" s="80">
        <v>1</v>
      </c>
      <c r="AC534" s="80">
        <v>1</v>
      </c>
      <c r="AD534" s="80">
        <v>1</v>
      </c>
      <c r="AE534" s="80">
        <v>1</v>
      </c>
      <c r="AF534" s="271">
        <f t="shared" si="72"/>
        <v>1.28</v>
      </c>
      <c r="AG534" s="1507"/>
      <c r="AK534" s="358"/>
    </row>
    <row r="535" spans="3:37" ht="30" hidden="1" outlineLevel="1">
      <c r="C535" s="281"/>
      <c r="D535" s="1408" t="s">
        <v>2942</v>
      </c>
      <c r="E535" s="1372" t="s">
        <v>2943</v>
      </c>
      <c r="F535" s="1372"/>
      <c r="G535" s="1816">
        <v>3.1399999999999997E-2</v>
      </c>
      <c r="H535" s="4411" t="s">
        <v>2944</v>
      </c>
      <c r="I535" s="4412"/>
      <c r="J535" s="4460" t="s">
        <v>2930</v>
      </c>
      <c r="K535" s="4460"/>
      <c r="L535" s="4460"/>
      <c r="M535" s="601"/>
      <c r="V535" s="295" t="str">
        <f t="shared" si="73"/>
        <v>Fe</v>
      </c>
      <c r="W535" s="1531">
        <v>3.1399999999999997E-2</v>
      </c>
      <c r="X535" s="1531">
        <v>3.1399999999999997E-2</v>
      </c>
      <c r="Y535" s="1531">
        <v>3.1399999999999997E-2</v>
      </c>
      <c r="Z535" s="602">
        <v>3.1399999999999997E-2</v>
      </c>
      <c r="AA535" s="602">
        <v>3.1399999999999997E-2</v>
      </c>
      <c r="AB535" s="602">
        <v>3.1399999999999997E-2</v>
      </c>
      <c r="AC535" s="602">
        <v>3.1399999999999997E-2</v>
      </c>
      <c r="AD535" s="602">
        <v>3.1399999999999997E-2</v>
      </c>
      <c r="AE535" s="602">
        <v>3.1399999999999997E-2</v>
      </c>
      <c r="AF535" s="271">
        <f t="shared" si="72"/>
        <v>3.1399999999999997E-2</v>
      </c>
      <c r="AG535" s="1531"/>
      <c r="AK535" s="358"/>
    </row>
    <row r="536" spans="3:37" hidden="1" outlineLevel="1">
      <c r="C536" s="281"/>
      <c r="D536" s="1408">
        <v>29.3</v>
      </c>
      <c r="E536" s="1372" t="s">
        <v>2945</v>
      </c>
      <c r="F536" s="1372"/>
      <c r="G536" s="1802">
        <v>29.3</v>
      </c>
      <c r="H536" s="4411" t="s">
        <v>2946</v>
      </c>
      <c r="I536" s="4412"/>
      <c r="J536" s="4460" t="s">
        <v>2930</v>
      </c>
      <c r="K536" s="4460"/>
      <c r="L536" s="4460"/>
      <c r="M536" s="601"/>
      <c r="V536" s="295">
        <f t="shared" si="73"/>
        <v>29.3</v>
      </c>
      <c r="W536" s="1516">
        <v>29.3</v>
      </c>
      <c r="X536" s="1516">
        <v>29.3</v>
      </c>
      <c r="Y536" s="1516">
        <v>29.3</v>
      </c>
      <c r="Z536" s="1413">
        <v>29.3</v>
      </c>
      <c r="AA536" s="1413">
        <v>29.3</v>
      </c>
      <c r="AB536" s="1413">
        <v>29.3</v>
      </c>
      <c r="AC536" s="1413">
        <v>29.3</v>
      </c>
      <c r="AD536" s="1413">
        <v>29.3</v>
      </c>
      <c r="AE536" s="1413">
        <v>29.3</v>
      </c>
      <c r="AF536" s="271">
        <f t="shared" si="72"/>
        <v>29.3</v>
      </c>
      <c r="AG536" s="1516"/>
      <c r="AK536" s="358"/>
    </row>
    <row r="537" spans="3:37" hidden="1" outlineLevel="1">
      <c r="C537" s="281"/>
      <c r="D537" s="603">
        <v>100000</v>
      </c>
      <c r="E537" s="1372" t="s">
        <v>2947</v>
      </c>
      <c r="F537" s="1372"/>
      <c r="G537" s="1803">
        <v>100000</v>
      </c>
      <c r="H537" s="4411" t="s">
        <v>2948</v>
      </c>
      <c r="I537" s="4412"/>
      <c r="J537" s="4448" t="s">
        <v>2949</v>
      </c>
      <c r="K537" s="4448"/>
      <c r="L537" s="4448"/>
      <c r="M537" s="601"/>
      <c r="V537" s="295">
        <f t="shared" si="73"/>
        <v>100000</v>
      </c>
      <c r="W537" s="1514">
        <v>100000</v>
      </c>
      <c r="X537" s="1514">
        <v>100000</v>
      </c>
      <c r="Y537" s="1514">
        <v>100000</v>
      </c>
      <c r="Z537" s="600">
        <v>100000</v>
      </c>
      <c r="AA537" s="600">
        <v>100000</v>
      </c>
      <c r="AB537" s="600">
        <v>100000</v>
      </c>
      <c r="AC537" s="600">
        <v>100000</v>
      </c>
      <c r="AD537" s="600">
        <v>100000</v>
      </c>
      <c r="AE537" s="600">
        <v>100000</v>
      </c>
      <c r="AF537" s="271">
        <f t="shared" si="72"/>
        <v>100000</v>
      </c>
      <c r="AG537" s="1514"/>
      <c r="AK537" s="358"/>
    </row>
    <row r="538" spans="3:37" ht="33.75" hidden="1" customHeight="1" outlineLevel="1">
      <c r="C538" s="281"/>
      <c r="D538" s="604" t="s">
        <v>2950</v>
      </c>
      <c r="E538" s="1372" t="s">
        <v>2951</v>
      </c>
      <c r="F538" s="1372"/>
      <c r="G538" s="1817">
        <v>0.71</v>
      </c>
      <c r="H538" s="4395"/>
      <c r="I538" s="4413"/>
      <c r="J538" s="4448"/>
      <c r="K538" s="4448"/>
      <c r="L538" s="4448"/>
      <c r="M538" s="601"/>
      <c r="V538" s="295" t="str">
        <f t="shared" si="73"/>
        <v>Effheat</v>
      </c>
      <c r="W538" s="1532">
        <v>0.78</v>
      </c>
      <c r="X538" s="1532">
        <v>0.78</v>
      </c>
      <c r="Y538" s="1532">
        <v>0.78</v>
      </c>
      <c r="Z538" s="605">
        <v>0.78</v>
      </c>
      <c r="AA538" s="605">
        <v>0.78</v>
      </c>
      <c r="AB538" s="605">
        <v>0.78</v>
      </c>
      <c r="AC538" s="605">
        <v>0.78</v>
      </c>
      <c r="AD538" s="605">
        <v>0.78</v>
      </c>
      <c r="AE538" s="605">
        <v>0.78</v>
      </c>
      <c r="AF538" s="271">
        <f t="shared" si="72"/>
        <v>0.71</v>
      </c>
      <c r="AG538" s="1532"/>
      <c r="AK538" s="358"/>
    </row>
    <row r="539" spans="3:37" hidden="1" outlineLevel="1">
      <c r="C539" s="281"/>
      <c r="D539" s="1377" t="s">
        <v>1506</v>
      </c>
      <c r="E539" s="1377" t="s">
        <v>2952</v>
      </c>
      <c r="F539" s="1377"/>
      <c r="G539" s="1709">
        <v>1</v>
      </c>
      <c r="H539" s="4461" t="s">
        <v>1370</v>
      </c>
      <c r="I539" s="4462"/>
      <c r="J539" s="4460" t="s">
        <v>2953</v>
      </c>
      <c r="K539" s="4460"/>
      <c r="L539" s="4460"/>
      <c r="M539" s="601"/>
      <c r="V539" s="295" t="str">
        <f t="shared" si="73"/>
        <v>Electric Saturation</v>
      </c>
      <c r="W539" s="327">
        <v>1</v>
      </c>
      <c r="X539" s="327">
        <v>1</v>
      </c>
      <c r="Y539" s="327">
        <v>1</v>
      </c>
      <c r="Z539" s="367">
        <v>1</v>
      </c>
      <c r="AA539" s="367">
        <v>1</v>
      </c>
      <c r="AB539" s="367">
        <v>1</v>
      </c>
      <c r="AC539" s="367">
        <v>1</v>
      </c>
      <c r="AD539" s="367">
        <v>1</v>
      </c>
      <c r="AE539" s="367">
        <v>1</v>
      </c>
      <c r="AF539" s="271">
        <f t="shared" si="72"/>
        <v>1</v>
      </c>
      <c r="AG539" s="327"/>
      <c r="AK539" s="358"/>
    </row>
    <row r="540" spans="3:37" hidden="1" outlineLevel="1">
      <c r="C540" s="281"/>
      <c r="D540" s="1377" t="s">
        <v>1368</v>
      </c>
      <c r="E540" s="1377" t="s">
        <v>1369</v>
      </c>
      <c r="F540" s="1377"/>
      <c r="G540" s="1709">
        <v>1</v>
      </c>
      <c r="H540" s="4461" t="s">
        <v>1370</v>
      </c>
      <c r="I540" s="4462"/>
      <c r="J540" s="4460" t="s">
        <v>2953</v>
      </c>
      <c r="K540" s="4460"/>
      <c r="L540" s="4460"/>
      <c r="M540" s="601"/>
      <c r="V540" s="295" t="str">
        <f t="shared" si="73"/>
        <v>Utility Adjustment</v>
      </c>
      <c r="W540" s="327">
        <v>1</v>
      </c>
      <c r="X540" s="327">
        <v>1</v>
      </c>
      <c r="Y540" s="327">
        <v>1</v>
      </c>
      <c r="Z540" s="367">
        <v>1</v>
      </c>
      <c r="AA540" s="367">
        <v>1</v>
      </c>
      <c r="AB540" s="367">
        <v>1</v>
      </c>
      <c r="AC540" s="367">
        <v>1</v>
      </c>
      <c r="AD540" s="367">
        <v>1</v>
      </c>
      <c r="AE540" s="367">
        <v>1</v>
      </c>
      <c r="AF540" s="271">
        <f t="shared" si="72"/>
        <v>1</v>
      </c>
      <c r="AG540" s="327"/>
      <c r="AK540" s="358"/>
    </row>
    <row r="541" spans="3:37" hidden="1" outlineLevel="1">
      <c r="C541" s="281"/>
      <c r="D541" s="1408" t="s">
        <v>128</v>
      </c>
      <c r="E541" s="1408" t="s">
        <v>1371</v>
      </c>
      <c r="F541" s="1439"/>
      <c r="G541" s="1710">
        <v>1</v>
      </c>
      <c r="H541" s="4395" t="s">
        <v>2954</v>
      </c>
      <c r="I541" s="4413"/>
      <c r="J541" s="4448" t="s">
        <v>2938</v>
      </c>
      <c r="K541" s="4448"/>
      <c r="L541" s="4448"/>
      <c r="M541" s="601"/>
      <c r="V541" s="295" t="str">
        <f t="shared" si="73"/>
        <v>ISR</v>
      </c>
      <c r="W541" s="328">
        <v>1</v>
      </c>
      <c r="X541" s="328">
        <v>1</v>
      </c>
      <c r="Y541" s="328">
        <v>1</v>
      </c>
      <c r="Z541" s="362">
        <v>1</v>
      </c>
      <c r="AA541" s="362">
        <v>1</v>
      </c>
      <c r="AB541" s="362">
        <v>1</v>
      </c>
      <c r="AC541" s="396">
        <v>1</v>
      </c>
      <c r="AD541" s="396">
        <v>1</v>
      </c>
      <c r="AE541" s="396">
        <v>1</v>
      </c>
      <c r="AF541" s="271">
        <f t="shared" si="72"/>
        <v>1</v>
      </c>
      <c r="AG541" s="328"/>
      <c r="AK541" s="358"/>
    </row>
    <row r="542" spans="3:37" ht="47.25" hidden="1" customHeight="1" outlineLevel="1">
      <c r="C542" s="281"/>
      <c r="D542" s="1441" t="str">
        <f>D507</f>
        <v>EUL</v>
      </c>
      <c r="E542" s="1441" t="str">
        <f>E507</f>
        <v>Effective Useful Life</v>
      </c>
      <c r="F542" s="339" t="s">
        <v>1102</v>
      </c>
      <c r="G542" s="1657">
        <v>20</v>
      </c>
      <c r="H542" s="4473" t="s">
        <v>2955</v>
      </c>
      <c r="I542" s="4474"/>
      <c r="J542" s="4460"/>
      <c r="K542" s="4460"/>
      <c r="L542" s="4460"/>
      <c r="M542" s="601"/>
      <c r="V542" s="295" t="str">
        <f>D542</f>
        <v>EUL</v>
      </c>
      <c r="W542" s="329">
        <v>20</v>
      </c>
      <c r="X542" s="329">
        <v>20</v>
      </c>
      <c r="Y542" s="329">
        <v>20</v>
      </c>
      <c r="Z542" s="255">
        <v>20</v>
      </c>
      <c r="AA542" s="255">
        <v>20</v>
      </c>
      <c r="AB542" s="255">
        <v>20</v>
      </c>
      <c r="AC542" s="402">
        <v>20</v>
      </c>
      <c r="AD542" s="402">
        <v>20</v>
      </c>
      <c r="AE542" s="402">
        <v>20</v>
      </c>
      <c r="AF542" s="271">
        <f t="shared" si="72"/>
        <v>20</v>
      </c>
      <c r="AG542" s="329"/>
      <c r="AK542" s="358"/>
    </row>
    <row r="543" spans="3:37" hidden="1" outlineLevel="1">
      <c r="C543" s="281"/>
      <c r="D543" s="1441" t="str">
        <f>D508</f>
        <v>Inc. Cost</v>
      </c>
      <c r="E543" s="1441" t="str">
        <f>E508</f>
        <v>Incremental Cost</v>
      </c>
      <c r="F543" s="742" t="s">
        <v>1102</v>
      </c>
      <c r="G543" s="1705">
        <f>138.7/SQRT(1080)</f>
        <v>4.2205065958870298</v>
      </c>
      <c r="H543" s="4395"/>
      <c r="I543" s="4413"/>
      <c r="J543" s="4448" t="s">
        <v>2956</v>
      </c>
      <c r="K543" s="4448"/>
      <c r="L543" s="4448"/>
      <c r="M543" s="601"/>
      <c r="V543" s="295" t="str">
        <f>D543</f>
        <v>Inc. Cost</v>
      </c>
      <c r="W543" s="298">
        <v>138.69999999999999</v>
      </c>
      <c r="X543" s="298">
        <v>138.69999999999999</v>
      </c>
      <c r="Y543" s="206">
        <f>138.7/SQRT(1080)</f>
        <v>4.2205065958870298</v>
      </c>
      <c r="Z543" s="135">
        <f>138.7/SQRT(1080)</f>
        <v>4.2205065958870298</v>
      </c>
      <c r="AA543" s="135">
        <f>138.7/SQRT(1080)</f>
        <v>4.2205065958870298</v>
      </c>
      <c r="AB543" s="135">
        <v>4.2205065958870298</v>
      </c>
      <c r="AC543" s="135">
        <v>4.2205065958870298</v>
      </c>
      <c r="AD543" s="135">
        <v>4.2205065958870298</v>
      </c>
      <c r="AE543" s="135">
        <v>4.2205065958870298</v>
      </c>
      <c r="AF543" s="271">
        <f t="shared" si="72"/>
        <v>4.2205065958870298</v>
      </c>
      <c r="AG543" s="298"/>
      <c r="AK543" s="358"/>
    </row>
    <row r="544" spans="3:37" hidden="1" outlineLevel="1">
      <c r="C544" s="281"/>
      <c r="D544" s="1406"/>
      <c r="E544" s="1406"/>
      <c r="F544" s="606"/>
      <c r="G544" s="606"/>
      <c r="H544" s="606"/>
      <c r="Y544" s="539" t="s">
        <v>2759</v>
      </c>
      <c r="AK544" s="358"/>
    </row>
    <row r="545" spans="2:114" collapsed="1">
      <c r="C545" s="281"/>
      <c r="D545" s="1406"/>
      <c r="E545" s="1406"/>
      <c r="F545" s="606"/>
      <c r="G545" s="606"/>
      <c r="H545" s="606"/>
      <c r="AK545" s="358"/>
    </row>
    <row r="546" spans="2:114">
      <c r="B546" s="4183" t="s">
        <v>2957</v>
      </c>
      <c r="C546" s="4184"/>
      <c r="D546" s="4184"/>
      <c r="E546" s="4184"/>
      <c r="F546" s="4184"/>
      <c r="G546" s="4184"/>
      <c r="H546" s="4184"/>
      <c r="I546" s="4840"/>
      <c r="J546" s="4840"/>
      <c r="K546" s="4840"/>
      <c r="L546" s="4840"/>
      <c r="M546" s="4840"/>
      <c r="N546" s="4840"/>
      <c r="O546" s="4840"/>
      <c r="P546" s="4840"/>
      <c r="Q546" s="4840"/>
      <c r="R546" s="4841"/>
      <c r="V546" s="4066" t="str">
        <f>B546</f>
        <v>Duct Repair (Duct Sealing and Repair - Methodology 3)</v>
      </c>
      <c r="W546" s="4067"/>
      <c r="X546" s="4067"/>
      <c r="Y546" s="4067"/>
      <c r="Z546" s="4067"/>
      <c r="AA546" s="4067"/>
      <c r="AB546" s="4067"/>
      <c r="AC546" s="4837"/>
      <c r="AD546" s="4837"/>
      <c r="AE546" s="4837"/>
      <c r="AF546" s="4837"/>
      <c r="AG546" s="4837"/>
      <c r="AH546" s="4837"/>
      <c r="AI546" s="4838"/>
      <c r="AK546" s="358"/>
    </row>
    <row r="547" spans="2:114" ht="15" customHeight="1">
      <c r="C547" s="281"/>
      <c r="AK547" s="358"/>
    </row>
    <row r="548" spans="2:114" ht="45">
      <c r="C548" s="1371" t="s">
        <v>42</v>
      </c>
      <c r="D548" s="1371" t="s">
        <v>953</v>
      </c>
      <c r="E548" s="1371" t="s">
        <v>44</v>
      </c>
      <c r="F548" s="1371" t="s">
        <v>1315</v>
      </c>
      <c r="G548" s="1371" t="s">
        <v>46</v>
      </c>
      <c r="H548" s="1371" t="s">
        <v>47</v>
      </c>
      <c r="I548" s="1371" t="s">
        <v>2903</v>
      </c>
      <c r="J548" s="1371" t="s">
        <v>2904</v>
      </c>
      <c r="K548" s="1371" t="s">
        <v>48</v>
      </c>
      <c r="L548" s="1371" t="s">
        <v>49</v>
      </c>
      <c r="M548" s="1371" t="s">
        <v>2906</v>
      </c>
      <c r="N548" s="1371" t="s">
        <v>2907</v>
      </c>
      <c r="V548" s="668" t="s">
        <v>52</v>
      </c>
      <c r="W548" s="669">
        <f>W$6</f>
        <v>43252</v>
      </c>
      <c r="X548" s="669">
        <f t="shared" ref="X548:AG548" si="74">X$6</f>
        <v>43465</v>
      </c>
      <c r="Y548" s="115">
        <f t="shared" si="74"/>
        <v>43800</v>
      </c>
      <c r="Z548" s="669">
        <f t="shared" si="74"/>
        <v>43862</v>
      </c>
      <c r="AA548" s="669">
        <f t="shared" si="74"/>
        <v>44013</v>
      </c>
      <c r="AB548" s="669">
        <f t="shared" si="74"/>
        <v>44166</v>
      </c>
      <c r="AC548" s="669">
        <f t="shared" si="74"/>
        <v>44531</v>
      </c>
      <c r="AD548" s="669">
        <f t="shared" si="74"/>
        <v>44774</v>
      </c>
      <c r="AE548" s="669">
        <f t="shared" si="74"/>
        <v>45139</v>
      </c>
      <c r="AF548" s="669">
        <f t="shared" si="74"/>
        <v>45672</v>
      </c>
      <c r="AG548" s="669" t="str">
        <f t="shared" si="74"/>
        <v>-</v>
      </c>
      <c r="AK548" s="358"/>
      <c r="DG548" s="1060" t="str">
        <f>$DG$6</f>
        <v>TRC (2025)</v>
      </c>
      <c r="DH548" s="811" t="str">
        <f>$DH$6</f>
        <v>Benefit Lookup</v>
      </c>
      <c r="DI548" s="1076" t="str">
        <f>$DI$6</f>
        <v>Benefits (2025 $)</v>
      </c>
      <c r="DJ548" s="1103" t="str">
        <f>$DJ$6</f>
        <v>Incremental Cost (2025 $)</v>
      </c>
    </row>
    <row r="549" spans="2:114" ht="15" customHeight="1">
      <c r="B549" s="1454">
        <f t="shared" ref="B549:B554" si="75">VALUE(LEFT(C549,6))</f>
        <v>402450</v>
      </c>
      <c r="C549" s="1540" t="s">
        <v>2958</v>
      </c>
      <c r="D549" s="555" t="s">
        <v>1486</v>
      </c>
      <c r="E549" s="128" t="s">
        <v>2959</v>
      </c>
      <c r="F549" s="186">
        <f t="shared" ref="F549:F554" si="76">ROUND(I549+J549,2)</f>
        <v>4.92</v>
      </c>
      <c r="G549" s="139" t="s">
        <v>1205</v>
      </c>
      <c r="H549" s="69">
        <f>VLOOKUP(G549,'CP FACTORS'!$A$3:$B$38, 2, FALSE)</f>
        <v>4.6608050000000002E-4</v>
      </c>
      <c r="I549" s="336">
        <f>$G$562*$G$565</f>
        <v>0.81</v>
      </c>
      <c r="J549" s="336">
        <f>$G$566*$G$565</f>
        <v>4.1100000000000003</v>
      </c>
      <c r="K549" s="274">
        <f t="shared" ref="K549:K554" si="77">ROUND(H549*F549,6)</f>
        <v>2.2929999999999999E-3</v>
      </c>
      <c r="L549" s="336">
        <f t="shared" ref="L549:L554" si="78">$G$577</f>
        <v>20</v>
      </c>
      <c r="M549" s="207">
        <f t="shared" ref="M549:M554" si="79">$G$578</f>
        <v>8.0376653213977498</v>
      </c>
      <c r="N549" s="336">
        <f t="shared" ref="N549:N554" si="80">$G$565</f>
        <v>1</v>
      </c>
      <c r="V549" s="356" t="str">
        <f t="shared" ref="V549:V554" si="81">$F$513</f>
        <v>kWh
Annual Savings</v>
      </c>
      <c r="W549" s="330">
        <v>183.23284858343499</v>
      </c>
      <c r="X549" s="269">
        <v>183.23284858343499</v>
      </c>
      <c r="Y549" s="272">
        <v>4.92</v>
      </c>
      <c r="Z549" s="270">
        <v>4.92</v>
      </c>
      <c r="AA549" s="270">
        <v>4.92</v>
      </c>
      <c r="AB549" s="414">
        <v>4.92</v>
      </c>
      <c r="AC549" s="186">
        <v>4.92</v>
      </c>
      <c r="AD549" s="186">
        <v>4.92</v>
      </c>
      <c r="AE549" s="186">
        <v>4.92</v>
      </c>
      <c r="AF549" s="271">
        <f t="shared" ref="AF549:AF554" si="82">IF(F549&lt;&gt;"",F549,"")</f>
        <v>4.92</v>
      </c>
      <c r="AG549" s="356"/>
      <c r="AK549" s="358"/>
      <c r="DG549" s="1062">
        <f t="shared" ref="DG549:DG554" si="83">(DI549)/(DJ549)</f>
        <v>0.93198113324130205</v>
      </c>
      <c r="DH549" s="1400" t="str">
        <f t="shared" ref="DH549:DH554" si="84">CONCATENATE(G549," ",L549," Year EUL")</f>
        <v>HVAC RES 20 Year EUL</v>
      </c>
      <c r="DI549" s="1010">
        <f>(INDEX('Avoided Cost Benefits'!$B$4:$B$865,MATCH(DH549,'Avoided Cost Benefits'!$A$4:$A$865,0)))*F549</f>
        <v>7.4909524348505894</v>
      </c>
      <c r="DJ549" s="1174">
        <f t="shared" ref="DJ549:DJ554" si="85">M549/(1.0686^(2025-2025))</f>
        <v>8.0376653213977498</v>
      </c>
    </row>
    <row r="550" spans="2:114" ht="15" customHeight="1">
      <c r="B550" s="1454">
        <f t="shared" si="75"/>
        <v>402451</v>
      </c>
      <c r="C550" s="1540" t="s">
        <v>2960</v>
      </c>
      <c r="D550" s="555" t="s">
        <v>1486</v>
      </c>
      <c r="E550" s="128" t="s">
        <v>2961</v>
      </c>
      <c r="F550" s="186">
        <f t="shared" si="76"/>
        <v>1</v>
      </c>
      <c r="G550" s="139" t="s">
        <v>1205</v>
      </c>
      <c r="H550" s="69">
        <f>VLOOKUP(G550,'CP FACTORS'!$A$3:$B$38, 2, FALSE)</f>
        <v>4.6608050000000002E-4</v>
      </c>
      <c r="I550" s="336">
        <f>$G$562*$G$565</f>
        <v>0.81</v>
      </c>
      <c r="J550" s="336">
        <f>$G$569*$G$565*$G$572*$G$573</f>
        <v>0.19320419999999999</v>
      </c>
      <c r="K550" s="274">
        <f t="shared" si="77"/>
        <v>4.66E-4</v>
      </c>
      <c r="L550" s="336">
        <f t="shared" si="78"/>
        <v>20</v>
      </c>
      <c r="M550" s="207">
        <f t="shared" si="79"/>
        <v>8.0376653213977498</v>
      </c>
      <c r="N550" s="336">
        <f t="shared" si="80"/>
        <v>1</v>
      </c>
      <c r="V550" s="356" t="str">
        <f t="shared" si="81"/>
        <v>kWh
Annual Savings</v>
      </c>
      <c r="W550" s="330"/>
      <c r="X550" s="269"/>
      <c r="Y550" s="272">
        <v>1.02</v>
      </c>
      <c r="Z550" s="270">
        <v>1.02</v>
      </c>
      <c r="AA550" s="270">
        <v>1.02</v>
      </c>
      <c r="AB550" s="414">
        <v>1.02</v>
      </c>
      <c r="AC550" s="205">
        <v>1</v>
      </c>
      <c r="AD550" s="186">
        <v>1</v>
      </c>
      <c r="AE550" s="186">
        <v>1</v>
      </c>
      <c r="AF550" s="271">
        <f t="shared" si="82"/>
        <v>1</v>
      </c>
      <c r="AG550" s="356"/>
      <c r="AK550" s="358"/>
      <c r="DG550" s="1063">
        <f t="shared" si="83"/>
        <v>0.18942705960189066</v>
      </c>
      <c r="DH550" s="673" t="str">
        <f t="shared" si="84"/>
        <v>HVAC RES 20 Year EUL</v>
      </c>
      <c r="DI550" s="556">
        <f>(INDEX('Avoided Cost Benefits'!$B$4:$B$865,MATCH(DH550,'Avoided Cost Benefits'!$A$4:$A$865,0)))*F550</f>
        <v>1.5225513078964612</v>
      </c>
      <c r="DJ550" s="1176">
        <f t="shared" si="85"/>
        <v>8.0376653213977498</v>
      </c>
    </row>
    <row r="551" spans="2:114" ht="15" customHeight="1">
      <c r="B551" s="1454">
        <f t="shared" si="75"/>
        <v>402452</v>
      </c>
      <c r="C551" s="1540" t="s">
        <v>2962</v>
      </c>
      <c r="D551" s="555" t="s">
        <v>959</v>
      </c>
      <c r="E551" s="128" t="s">
        <v>2963</v>
      </c>
      <c r="F551" s="186">
        <f t="shared" si="76"/>
        <v>4.1100000000000003</v>
      </c>
      <c r="G551" s="139" t="s">
        <v>1205</v>
      </c>
      <c r="H551" s="69">
        <f>VLOOKUP(G551,'CP FACTORS'!$A$3:$B$38, 2, FALSE)</f>
        <v>4.6608050000000002E-4</v>
      </c>
      <c r="I551" s="538">
        <f>$G$563*$G$565</f>
        <v>0.7</v>
      </c>
      <c r="J551" s="538">
        <f>$G$567*$G$565</f>
        <v>3.41</v>
      </c>
      <c r="K551" s="805">
        <f t="shared" si="77"/>
        <v>1.916E-3</v>
      </c>
      <c r="L551" s="336">
        <f t="shared" si="78"/>
        <v>20</v>
      </c>
      <c r="M551" s="742">
        <f t="shared" si="79"/>
        <v>8.0376653213977498</v>
      </c>
      <c r="N551" s="336">
        <f t="shared" si="80"/>
        <v>1</v>
      </c>
      <c r="V551" s="1378" t="str">
        <f t="shared" si="81"/>
        <v>kWh
Annual Savings</v>
      </c>
      <c r="W551" s="748"/>
      <c r="X551" s="749"/>
      <c r="Y551" s="272"/>
      <c r="Z551" s="272"/>
      <c r="AA551" s="272"/>
      <c r="AB551" s="117">
        <v>4.1100000000000003</v>
      </c>
      <c r="AC551" s="186">
        <v>4.1100000000000003</v>
      </c>
      <c r="AD551" s="186">
        <v>4.1100000000000003</v>
      </c>
      <c r="AE551" s="186">
        <v>4.1100000000000003</v>
      </c>
      <c r="AF551" s="271">
        <f t="shared" si="82"/>
        <v>4.1100000000000003</v>
      </c>
      <c r="AG551" s="356"/>
      <c r="AK551" s="358"/>
      <c r="DG551" s="1063">
        <f t="shared" si="83"/>
        <v>0.77854521496377072</v>
      </c>
      <c r="DH551" s="673" t="str">
        <f t="shared" si="84"/>
        <v>HVAC RES 20 Year EUL</v>
      </c>
      <c r="DI551" s="556">
        <f>(INDEX('Avoided Cost Benefits'!$B$4:$B$865,MATCH(DH551,'Avoided Cost Benefits'!$A$4:$A$865,0)))*F551</f>
        <v>6.257685875454456</v>
      </c>
      <c r="DJ551" s="1176">
        <f t="shared" si="85"/>
        <v>8.0376653213977498</v>
      </c>
    </row>
    <row r="552" spans="2:114" ht="15" customHeight="1">
      <c r="B552" s="1454">
        <f t="shared" si="75"/>
        <v>402453</v>
      </c>
      <c r="C552" s="1540" t="s">
        <v>2964</v>
      </c>
      <c r="D552" s="555" t="s">
        <v>959</v>
      </c>
      <c r="E552" s="128" t="s">
        <v>2965</v>
      </c>
      <c r="F552" s="186">
        <f t="shared" si="76"/>
        <v>0.87</v>
      </c>
      <c r="G552" s="139" t="s">
        <v>1205</v>
      </c>
      <c r="H552" s="69">
        <f>VLOOKUP(G552,'CP FACTORS'!$A$3:$B$38, 2, FALSE)</f>
        <v>4.6608050000000002E-4</v>
      </c>
      <c r="I552" s="538">
        <f>$G$563*$G$565</f>
        <v>0.7</v>
      </c>
      <c r="J552" s="538">
        <f>$G$570*$G$565*$G$572*$G$573</f>
        <v>0.17480380000000001</v>
      </c>
      <c r="K552" s="805">
        <f t="shared" si="77"/>
        <v>4.0499999999999998E-4</v>
      </c>
      <c r="L552" s="336">
        <f t="shared" si="78"/>
        <v>20</v>
      </c>
      <c r="M552" s="742">
        <f t="shared" si="79"/>
        <v>8.0376653213977498</v>
      </c>
      <c r="N552" s="336">
        <f t="shared" si="80"/>
        <v>1</v>
      </c>
      <c r="V552" s="1378" t="str">
        <f t="shared" si="81"/>
        <v>kWh
Annual Savings</v>
      </c>
      <c r="W552" s="748"/>
      <c r="X552" s="749"/>
      <c r="Y552" s="272"/>
      <c r="Z552" s="272"/>
      <c r="AA552" s="272"/>
      <c r="AB552" s="117">
        <v>0.89</v>
      </c>
      <c r="AC552" s="205">
        <v>0.87</v>
      </c>
      <c r="AD552" s="186">
        <v>0.87</v>
      </c>
      <c r="AE552" s="186">
        <v>0.87</v>
      </c>
      <c r="AF552" s="271">
        <f t="shared" si="82"/>
        <v>0.87</v>
      </c>
      <c r="AG552" s="356"/>
      <c r="AK552" s="358"/>
      <c r="DG552" s="1063">
        <f t="shared" si="83"/>
        <v>0.16480154185364487</v>
      </c>
      <c r="DH552" s="673" t="str">
        <f t="shared" si="84"/>
        <v>HVAC RES 20 Year EUL</v>
      </c>
      <c r="DI552" s="556">
        <f>(INDEX('Avoided Cost Benefits'!$B$4:$B$865,MATCH(DH552,'Avoided Cost Benefits'!$A$4:$A$865,0)))*F552</f>
        <v>1.3246196378699213</v>
      </c>
      <c r="DJ552" s="1176">
        <f t="shared" si="85"/>
        <v>8.0376653213977498</v>
      </c>
    </row>
    <row r="553" spans="2:114" ht="15" customHeight="1">
      <c r="B553" s="1454">
        <f t="shared" si="75"/>
        <v>402500</v>
      </c>
      <c r="C553" s="1540" t="s">
        <v>2966</v>
      </c>
      <c r="D553" s="555" t="s">
        <v>1486</v>
      </c>
      <c r="E553" s="128" t="s">
        <v>2967</v>
      </c>
      <c r="F553" s="186">
        <f t="shared" si="76"/>
        <v>6.01</v>
      </c>
      <c r="G553" s="139" t="s">
        <v>1205</v>
      </c>
      <c r="H553" s="69">
        <f>VLOOKUP(G553,'CP FACTORS'!$A$3:$B$38, 2, FALSE)</f>
        <v>4.6608050000000002E-4</v>
      </c>
      <c r="I553" s="336">
        <f>G564*G565</f>
        <v>0.95</v>
      </c>
      <c r="J553" s="336">
        <f>$G$568*$G$565</f>
        <v>5.0599999999999996</v>
      </c>
      <c r="K553" s="274">
        <f t="shared" si="77"/>
        <v>2.8010000000000001E-3</v>
      </c>
      <c r="L553" s="336">
        <f t="shared" si="78"/>
        <v>20</v>
      </c>
      <c r="M553" s="207">
        <f t="shared" si="79"/>
        <v>8.0376653213977498</v>
      </c>
      <c r="N553" s="336">
        <f t="shared" si="80"/>
        <v>1</v>
      </c>
      <c r="V553" s="1378" t="str">
        <f t="shared" si="81"/>
        <v>kWh
Annual Savings</v>
      </c>
      <c r="W553" s="330">
        <v>218.61317503755345</v>
      </c>
      <c r="X553" s="269">
        <v>218.61317503755345</v>
      </c>
      <c r="Y553" s="272">
        <v>6.01</v>
      </c>
      <c r="Z553" s="270">
        <v>6.01</v>
      </c>
      <c r="AA553" s="270">
        <v>6.01</v>
      </c>
      <c r="AB553" s="414">
        <v>6.01</v>
      </c>
      <c r="AC553" s="186">
        <v>6.01</v>
      </c>
      <c r="AD553" s="186">
        <v>6.01</v>
      </c>
      <c r="AE553" s="186">
        <v>6.01</v>
      </c>
      <c r="AF553" s="271">
        <f t="shared" si="82"/>
        <v>6.01</v>
      </c>
      <c r="AG553" s="356"/>
      <c r="AK553" s="358"/>
      <c r="DG553" s="1063">
        <f t="shared" si="83"/>
        <v>1.1384566282073629</v>
      </c>
      <c r="DH553" s="673" t="str">
        <f t="shared" si="84"/>
        <v>HVAC RES 20 Year EUL</v>
      </c>
      <c r="DI553" s="556">
        <f>(INDEX('Avoided Cost Benefits'!$B$4:$B$865,MATCH(DH553,'Avoided Cost Benefits'!$A$4:$A$865,0)))*F553</f>
        <v>9.1505333604577324</v>
      </c>
      <c r="DJ553" s="1176">
        <f t="shared" si="85"/>
        <v>8.0376653213977498</v>
      </c>
    </row>
    <row r="554" spans="2:114" ht="15" customHeight="1">
      <c r="B554" s="1454">
        <f t="shared" si="75"/>
        <v>402501</v>
      </c>
      <c r="C554" s="1540" t="s">
        <v>2968</v>
      </c>
      <c r="D554" s="555" t="s">
        <v>1486</v>
      </c>
      <c r="E554" s="128" t="s">
        <v>2969</v>
      </c>
      <c r="F554" s="186">
        <f t="shared" si="76"/>
        <v>1.19</v>
      </c>
      <c r="G554" s="139" t="s">
        <v>1205</v>
      </c>
      <c r="H554" s="69">
        <f>VLOOKUP(G554,'CP FACTORS'!$A$3:$B$38, 2, FALSE)</f>
        <v>4.6608050000000002E-4</v>
      </c>
      <c r="I554" s="336">
        <f>$G$564*$G$565</f>
        <v>0.95</v>
      </c>
      <c r="J554" s="336">
        <f>$G$571*$G$565*$G$572*$G$573</f>
        <v>0.23920519999999998</v>
      </c>
      <c r="K554" s="274">
        <f t="shared" si="77"/>
        <v>5.5500000000000005E-4</v>
      </c>
      <c r="L554" s="336">
        <f t="shared" si="78"/>
        <v>20</v>
      </c>
      <c r="M554" s="207">
        <f t="shared" si="79"/>
        <v>8.0376653213977498</v>
      </c>
      <c r="N554" s="336">
        <f t="shared" si="80"/>
        <v>1</v>
      </c>
      <c r="V554" s="356" t="str">
        <f t="shared" si="81"/>
        <v>kWh
Annual Savings</v>
      </c>
      <c r="W554" s="330"/>
      <c r="X554" s="269"/>
      <c r="Y554" s="272">
        <v>1.21</v>
      </c>
      <c r="Z554" s="270">
        <v>1.21</v>
      </c>
      <c r="AA554" s="270">
        <v>1.21</v>
      </c>
      <c r="AB554" s="414">
        <v>1.21</v>
      </c>
      <c r="AC554" s="205">
        <v>1.19</v>
      </c>
      <c r="AD554" s="186">
        <v>1.19</v>
      </c>
      <c r="AE554" s="186">
        <v>1.19</v>
      </c>
      <c r="AF554" s="271">
        <f t="shared" si="82"/>
        <v>1.19</v>
      </c>
      <c r="AG554" s="356"/>
      <c r="AK554" s="358"/>
      <c r="DG554" s="1064">
        <f t="shared" si="83"/>
        <v>0.22541820092624987</v>
      </c>
      <c r="DH554" s="673" t="str">
        <f t="shared" si="84"/>
        <v>HVAC RES 20 Year EUL</v>
      </c>
      <c r="DI554" s="1072">
        <f>(INDEX('Avoided Cost Benefits'!$B$4:$B$865,MATCH(DH554,'Avoided Cost Benefits'!$A$4:$A$865,0)))*F554</f>
        <v>1.8118360563967888</v>
      </c>
      <c r="DJ554" s="1175">
        <f t="shared" si="85"/>
        <v>8.0376653213977498</v>
      </c>
    </row>
    <row r="555" spans="2:114" ht="15" hidden="1" customHeight="1" outlineLevel="1">
      <c r="C555" s="281"/>
      <c r="D555" s="77" t="s">
        <v>118</v>
      </c>
      <c r="E555" s="77" t="s">
        <v>2970</v>
      </c>
      <c r="I555" s="283" t="s">
        <v>2915</v>
      </c>
      <c r="Y555" s="539" t="s">
        <v>2759</v>
      </c>
      <c r="AK555" s="358"/>
      <c r="DJ555" s="1187"/>
    </row>
    <row r="556" spans="2:114" ht="15" hidden="1" customHeight="1" outlineLevel="1">
      <c r="C556" s="281"/>
      <c r="D556" s="77" t="s">
        <v>963</v>
      </c>
      <c r="E556" s="133" t="s">
        <v>2971</v>
      </c>
      <c r="F556" s="281"/>
      <c r="G556" s="281"/>
      <c r="AK556" s="358"/>
      <c r="DJ556" s="1187"/>
    </row>
    <row r="557" spans="2:114" ht="15" hidden="1" customHeight="1" outlineLevel="1">
      <c r="C557" s="281"/>
      <c r="D557" s="133" t="s">
        <v>2972</v>
      </c>
      <c r="E557" s="133" t="s">
        <v>2973</v>
      </c>
      <c r="F557" s="281"/>
      <c r="G557" s="281"/>
      <c r="AK557" s="358"/>
      <c r="DJ557" s="1187"/>
    </row>
    <row r="558" spans="2:114" hidden="1" outlineLevel="1">
      <c r="C558" s="281"/>
      <c r="E558" s="133" t="s">
        <v>2974</v>
      </c>
      <c r="F558" s="281"/>
      <c r="G558" s="281"/>
      <c r="AK558" s="358"/>
      <c r="DJ558" s="1187"/>
    </row>
    <row r="559" spans="2:114" ht="15" hidden="1" customHeight="1" outlineLevel="1">
      <c r="C559" s="281"/>
      <c r="E559" s="133" t="s">
        <v>2975</v>
      </c>
      <c r="F559" s="281"/>
      <c r="G559" s="281"/>
      <c r="AK559" s="358"/>
      <c r="DJ559" s="1187"/>
    </row>
    <row r="560" spans="2:114" ht="15" hidden="1" customHeight="1" outlineLevel="1">
      <c r="C560" s="281"/>
      <c r="AK560" s="358"/>
      <c r="DJ560" s="1187"/>
    </row>
    <row r="561" spans="3:114" ht="15" hidden="1" customHeight="1" outlineLevel="1">
      <c r="C561" s="281"/>
      <c r="D561" s="1443" t="s">
        <v>1078</v>
      </c>
      <c r="E561" s="1443" t="s">
        <v>967</v>
      </c>
      <c r="F561" s="1371" t="s">
        <v>968</v>
      </c>
      <c r="G561" s="1371" t="s">
        <v>969</v>
      </c>
      <c r="H561" s="4068" t="s">
        <v>970</v>
      </c>
      <c r="I561" s="4068"/>
      <c r="J561" s="4068" t="s">
        <v>755</v>
      </c>
      <c r="K561" s="4068"/>
      <c r="L561" s="4068"/>
      <c r="V561" s="668" t="s">
        <v>52</v>
      </c>
      <c r="W561" s="669">
        <f>W$6</f>
        <v>43252</v>
      </c>
      <c r="X561" s="669">
        <f t="shared" ref="X561:AG561" si="86">X$6</f>
        <v>43465</v>
      </c>
      <c r="Y561" s="115">
        <f t="shared" si="86"/>
        <v>43800</v>
      </c>
      <c r="Z561" s="669">
        <f t="shared" si="86"/>
        <v>43862</v>
      </c>
      <c r="AA561" s="669">
        <f t="shared" si="86"/>
        <v>44013</v>
      </c>
      <c r="AB561" s="669">
        <f t="shared" si="86"/>
        <v>44166</v>
      </c>
      <c r="AC561" s="669">
        <f t="shared" si="86"/>
        <v>44531</v>
      </c>
      <c r="AD561" s="669">
        <f t="shared" si="86"/>
        <v>44774</v>
      </c>
      <c r="AE561" s="669">
        <f t="shared" si="86"/>
        <v>45139</v>
      </c>
      <c r="AF561" s="669">
        <f t="shared" si="86"/>
        <v>45672</v>
      </c>
      <c r="AG561" s="669" t="str">
        <f t="shared" si="86"/>
        <v>-</v>
      </c>
      <c r="AK561" s="358"/>
      <c r="DJ561" s="1187"/>
    </row>
    <row r="562" spans="3:114" hidden="1" outlineLevel="1">
      <c r="C562" s="281"/>
      <c r="D562" s="4414" t="s">
        <v>2976</v>
      </c>
      <c r="E562" s="4416" t="s">
        <v>2977</v>
      </c>
      <c r="F562" s="1430" t="s">
        <v>170</v>
      </c>
      <c r="G562" s="1665">
        <v>0.81</v>
      </c>
      <c r="H562" s="4107" t="s">
        <v>2978</v>
      </c>
      <c r="I562" s="4108"/>
      <c r="J562" s="4418" t="s">
        <v>2979</v>
      </c>
      <c r="K562" s="4419"/>
      <c r="L562" s="4466"/>
      <c r="V562" s="4463" t="str">
        <f>D562</f>
        <v>CoolSavingsPerUnit</v>
      </c>
      <c r="W562" s="331">
        <v>0.81</v>
      </c>
      <c r="X562" s="331">
        <v>0.81</v>
      </c>
      <c r="Y562" s="331">
        <v>0.81</v>
      </c>
      <c r="Z562" s="333">
        <v>0.81</v>
      </c>
      <c r="AA562" s="333">
        <v>0.81</v>
      </c>
      <c r="AB562" s="333">
        <v>0.81</v>
      </c>
      <c r="AC562" s="333">
        <v>0.81</v>
      </c>
      <c r="AD562" s="333">
        <v>0.81</v>
      </c>
      <c r="AE562" s="333">
        <v>0.81</v>
      </c>
      <c r="AF562" s="271">
        <f t="shared" ref="AF562:AF578" si="87">IF(G562&lt;&gt;"",G562,"")</f>
        <v>0.81</v>
      </c>
      <c r="AG562" s="323"/>
      <c r="AK562" s="358"/>
      <c r="DJ562" s="1187"/>
    </row>
    <row r="563" spans="3:114" hidden="1" outlineLevel="1">
      <c r="C563" s="281"/>
      <c r="D563" s="4477"/>
      <c r="E563" s="4476"/>
      <c r="F563" s="1407" t="s">
        <v>1122</v>
      </c>
      <c r="G563" s="1665">
        <v>0.7</v>
      </c>
      <c r="H563" s="4109"/>
      <c r="I563" s="4110"/>
      <c r="J563" s="4467"/>
      <c r="K563" s="4468"/>
      <c r="L563" s="4469"/>
      <c r="V563" s="4464"/>
      <c r="W563" s="332">
        <v>0.7</v>
      </c>
      <c r="X563" s="332">
        <v>0.7</v>
      </c>
      <c r="Y563" s="332">
        <v>0.7</v>
      </c>
      <c r="Z563" s="607">
        <v>0.7</v>
      </c>
      <c r="AA563" s="607">
        <v>0.7</v>
      </c>
      <c r="AB563" s="607">
        <v>0.7</v>
      </c>
      <c r="AC563" s="607">
        <v>0.7</v>
      </c>
      <c r="AD563" s="607">
        <v>0.7</v>
      </c>
      <c r="AE563" s="607">
        <v>0.7</v>
      </c>
      <c r="AF563" s="271">
        <f t="shared" si="87"/>
        <v>0.7</v>
      </c>
      <c r="AG563" s="323"/>
      <c r="AK563" s="358"/>
      <c r="DJ563" s="1187"/>
    </row>
    <row r="564" spans="3:114" hidden="1" outlineLevel="1">
      <c r="C564" s="281"/>
      <c r="D564" s="4415"/>
      <c r="E564" s="4417"/>
      <c r="F564" s="1407" t="s">
        <v>2980</v>
      </c>
      <c r="G564" s="1665">
        <v>0.95</v>
      </c>
      <c r="H564" s="4111"/>
      <c r="I564" s="4112"/>
      <c r="J564" s="4470"/>
      <c r="K564" s="4471"/>
      <c r="L564" s="4472"/>
      <c r="V564" s="4465"/>
      <c r="W564" s="332"/>
      <c r="X564" s="332"/>
      <c r="Y564" s="332"/>
      <c r="Z564" s="607"/>
      <c r="AA564" s="746">
        <v>0.95</v>
      </c>
      <c r="AB564" s="607">
        <v>0.95</v>
      </c>
      <c r="AC564" s="607">
        <v>0.95</v>
      </c>
      <c r="AD564" s="607">
        <v>0.95</v>
      </c>
      <c r="AE564" s="607">
        <v>0.95</v>
      </c>
      <c r="AF564" s="271">
        <f t="shared" si="87"/>
        <v>0.95</v>
      </c>
      <c r="AG564" s="323"/>
      <c r="AK564" s="358"/>
      <c r="DJ564" s="1187"/>
    </row>
    <row r="565" spans="3:114" ht="18" hidden="1" outlineLevel="1">
      <c r="C565" s="281"/>
      <c r="D565" s="1420" t="s">
        <v>2981</v>
      </c>
      <c r="E565" s="1412" t="s">
        <v>2982</v>
      </c>
      <c r="F565" s="1430"/>
      <c r="G565" s="1652">
        <v>1</v>
      </c>
      <c r="H565" s="4475"/>
      <c r="I565" s="4475"/>
      <c r="J565" s="4448" t="s">
        <v>2956</v>
      </c>
      <c r="K565" s="4448"/>
      <c r="L565" s="4448"/>
      <c r="V565" s="1533" t="str">
        <f>D565</f>
        <v>DuctLength</v>
      </c>
      <c r="W565" s="323">
        <f>SQRT($F$86)</f>
        <v>1</v>
      </c>
      <c r="X565" s="323">
        <v>37.242448899072144</v>
      </c>
      <c r="Y565" s="323">
        <v>1</v>
      </c>
      <c r="Z565" s="597">
        <v>1</v>
      </c>
      <c r="AA565" s="597">
        <v>1</v>
      </c>
      <c r="AB565" s="597">
        <v>1</v>
      </c>
      <c r="AC565" s="597">
        <v>1</v>
      </c>
      <c r="AD565" s="597">
        <v>1</v>
      </c>
      <c r="AE565" s="597">
        <v>1</v>
      </c>
      <c r="AF565" s="271">
        <f t="shared" si="87"/>
        <v>1</v>
      </c>
      <c r="AG565" s="323"/>
      <c r="AK565" s="358"/>
      <c r="DJ565" s="1187"/>
    </row>
    <row r="566" spans="3:114" ht="30" hidden="1" customHeight="1" outlineLevel="1">
      <c r="C566" s="281"/>
      <c r="D566" s="4414" t="s">
        <v>2983</v>
      </c>
      <c r="E566" s="4416" t="s">
        <v>2984</v>
      </c>
      <c r="F566" s="1430" t="s">
        <v>2985</v>
      </c>
      <c r="G566" s="1665">
        <v>4.1100000000000003</v>
      </c>
      <c r="H566" s="4107" t="s">
        <v>2978</v>
      </c>
      <c r="I566" s="4108"/>
      <c r="J566" s="4091" t="s">
        <v>2986</v>
      </c>
      <c r="K566" s="4478"/>
      <c r="L566" s="4092"/>
      <c r="V566" s="4463" t="str">
        <f>D566</f>
        <v>HeatSavingsPerUnit</v>
      </c>
      <c r="W566" s="331">
        <v>4.1100000000000003</v>
      </c>
      <c r="X566" s="331">
        <v>4.1100000000000003</v>
      </c>
      <c r="Y566" s="331">
        <v>4.1100000000000003</v>
      </c>
      <c r="Z566" s="333">
        <v>4.1100000000000003</v>
      </c>
      <c r="AA566" s="333">
        <v>4.1100000000000003</v>
      </c>
      <c r="AB566" s="333">
        <v>4.1100000000000003</v>
      </c>
      <c r="AC566" s="333">
        <v>4.1100000000000003</v>
      </c>
      <c r="AD566" s="333">
        <v>4.1100000000000003</v>
      </c>
      <c r="AE566" s="333">
        <v>4.1100000000000003</v>
      </c>
      <c r="AF566" s="271">
        <f t="shared" si="87"/>
        <v>4.1100000000000003</v>
      </c>
      <c r="AG566" s="323"/>
      <c r="AK566" s="358"/>
      <c r="DJ566" s="1187"/>
    </row>
    <row r="567" spans="3:114" hidden="1" outlineLevel="1">
      <c r="C567" s="281"/>
      <c r="D567" s="4477"/>
      <c r="E567" s="4476"/>
      <c r="F567" s="1430" t="s">
        <v>2987</v>
      </c>
      <c r="G567" s="1665">
        <v>3.41</v>
      </c>
      <c r="H567" s="4109"/>
      <c r="I567" s="4110"/>
      <c r="J567" s="4479"/>
      <c r="K567" s="4480"/>
      <c r="L567" s="4481"/>
      <c r="V567" s="4464"/>
      <c r="W567" s="331">
        <v>3.41</v>
      </c>
      <c r="X567" s="331">
        <v>3.41</v>
      </c>
      <c r="Y567" s="331">
        <v>3.41</v>
      </c>
      <c r="Z567" s="333">
        <v>3.41</v>
      </c>
      <c r="AA567" s="333">
        <v>3.41</v>
      </c>
      <c r="AB567" s="333">
        <v>3.41</v>
      </c>
      <c r="AC567" s="333">
        <v>3.41</v>
      </c>
      <c r="AD567" s="333">
        <v>3.41</v>
      </c>
      <c r="AE567" s="333">
        <v>3.41</v>
      </c>
      <c r="AF567" s="271">
        <f t="shared" si="87"/>
        <v>3.41</v>
      </c>
      <c r="AG567" s="323"/>
      <c r="AK567" s="358"/>
      <c r="DJ567" s="1187"/>
    </row>
    <row r="568" spans="3:114" hidden="1" outlineLevel="1">
      <c r="C568" s="281"/>
      <c r="D568" s="4477"/>
      <c r="E568" s="4476"/>
      <c r="F568" s="1430" t="s">
        <v>2988</v>
      </c>
      <c r="G568" s="1665">
        <v>5.0599999999999996</v>
      </c>
      <c r="H568" s="4111"/>
      <c r="I568" s="4112"/>
      <c r="J568" s="4479"/>
      <c r="K568" s="4480"/>
      <c r="L568" s="4481"/>
      <c r="V568" s="4464"/>
      <c r="W568" s="331">
        <v>5.0599999999999996</v>
      </c>
      <c r="X568" s="331">
        <v>5.0599999999999996</v>
      </c>
      <c r="Y568" s="331">
        <v>5.0599999999999996</v>
      </c>
      <c r="Z568" s="333">
        <v>5.0599999999999996</v>
      </c>
      <c r="AA568" s="333">
        <v>5.0599999999999996</v>
      </c>
      <c r="AB568" s="333">
        <v>5.0599999999999996</v>
      </c>
      <c r="AC568" s="333">
        <v>5.0599999999999996</v>
      </c>
      <c r="AD568" s="333">
        <v>5.0599999999999996</v>
      </c>
      <c r="AE568" s="333">
        <v>5.0599999999999996</v>
      </c>
      <c r="AF568" s="271">
        <f t="shared" si="87"/>
        <v>5.0599999999999996</v>
      </c>
      <c r="AG568" s="323"/>
      <c r="AK568" s="358"/>
      <c r="DJ568" s="1187"/>
    </row>
    <row r="569" spans="3:114" ht="15" hidden="1" customHeight="1" outlineLevel="1">
      <c r="C569" s="281"/>
      <c r="D569" s="4414" t="s">
        <v>2983</v>
      </c>
      <c r="E569" s="4416" t="s">
        <v>2989</v>
      </c>
      <c r="F569" s="1430" t="s">
        <v>2990</v>
      </c>
      <c r="G569" s="1665">
        <v>0.21</v>
      </c>
      <c r="H569" s="4107" t="s">
        <v>2991</v>
      </c>
      <c r="I569" s="4108"/>
      <c r="J569" s="4091"/>
      <c r="K569" s="4478"/>
      <c r="L569" s="4092"/>
      <c r="V569" s="4464"/>
      <c r="W569" s="331">
        <v>0.21</v>
      </c>
      <c r="X569" s="331">
        <v>0.21</v>
      </c>
      <c r="Y569" s="331">
        <v>0.21</v>
      </c>
      <c r="Z569" s="333">
        <v>0.21</v>
      </c>
      <c r="AA569" s="333">
        <v>0.21</v>
      </c>
      <c r="AB569" s="333">
        <v>0.21</v>
      </c>
      <c r="AC569" s="333">
        <v>0.21</v>
      </c>
      <c r="AD569" s="333">
        <v>0.21</v>
      </c>
      <c r="AE569" s="333">
        <v>0.21</v>
      </c>
      <c r="AF569" s="271">
        <f t="shared" si="87"/>
        <v>0.21</v>
      </c>
      <c r="AG569" s="323"/>
      <c r="AK569" s="358"/>
      <c r="DJ569" s="1187"/>
    </row>
    <row r="570" spans="3:114" hidden="1" outlineLevel="1">
      <c r="C570" s="281"/>
      <c r="D570" s="4477"/>
      <c r="E570" s="4476"/>
      <c r="F570" s="1407" t="s">
        <v>2992</v>
      </c>
      <c r="G570" s="1665">
        <v>0.19</v>
      </c>
      <c r="H570" s="4109"/>
      <c r="I570" s="4110"/>
      <c r="J570" s="4479"/>
      <c r="K570" s="4480"/>
      <c r="L570" s="4481"/>
      <c r="V570" s="4464"/>
      <c r="W570" s="331">
        <v>0.19</v>
      </c>
      <c r="X570" s="331">
        <v>0.19</v>
      </c>
      <c r="Y570" s="331">
        <v>0.19</v>
      </c>
      <c r="Z570" s="333">
        <v>0.19</v>
      </c>
      <c r="AA570" s="333">
        <v>0.19</v>
      </c>
      <c r="AB570" s="333">
        <v>0.19</v>
      </c>
      <c r="AC570" s="333">
        <v>0.19</v>
      </c>
      <c r="AD570" s="333">
        <v>0.19</v>
      </c>
      <c r="AE570" s="333">
        <v>0.19</v>
      </c>
      <c r="AF570" s="271">
        <f t="shared" si="87"/>
        <v>0.19</v>
      </c>
      <c r="AG570" s="323"/>
      <c r="AK570" s="358"/>
      <c r="DJ570" s="1187"/>
    </row>
    <row r="571" spans="3:114" hidden="1" outlineLevel="1">
      <c r="C571" s="281"/>
      <c r="D571" s="4477"/>
      <c r="E571" s="4476"/>
      <c r="F571" s="1407" t="s">
        <v>2993</v>
      </c>
      <c r="G571" s="1665">
        <v>0.26</v>
      </c>
      <c r="H571" s="4111"/>
      <c r="I571" s="4112"/>
      <c r="J571" s="4479"/>
      <c r="K571" s="4480"/>
      <c r="L571" s="4481"/>
      <c r="V571" s="4465"/>
      <c r="W571" s="331"/>
      <c r="X571" s="331"/>
      <c r="Y571" s="331"/>
      <c r="Z571" s="333"/>
      <c r="AA571" s="747">
        <v>0.26</v>
      </c>
      <c r="AB571" s="333">
        <v>0.26</v>
      </c>
      <c r="AC571" s="333">
        <v>0.26</v>
      </c>
      <c r="AD571" s="333">
        <v>0.26</v>
      </c>
      <c r="AE571" s="333">
        <v>0.26</v>
      </c>
      <c r="AF571" s="271">
        <f t="shared" si="87"/>
        <v>0.26</v>
      </c>
      <c r="AG571" s="323"/>
      <c r="AK571" s="358"/>
      <c r="DJ571" s="1187"/>
    </row>
    <row r="572" spans="3:114" ht="48" hidden="1" customHeight="1" outlineLevel="1">
      <c r="C572" s="281"/>
      <c r="D572" s="1408" t="s">
        <v>2942</v>
      </c>
      <c r="E572" s="1372" t="s">
        <v>2943</v>
      </c>
      <c r="F572" s="1407"/>
      <c r="G572" s="1816">
        <v>3.1399999999999997E-2</v>
      </c>
      <c r="H572" s="4482" t="s">
        <v>2944</v>
      </c>
      <c r="I572" s="4483"/>
      <c r="J572" s="4460"/>
      <c r="K572" s="4460"/>
      <c r="L572" s="4460"/>
      <c r="V572" s="295" t="str">
        <f t="shared" ref="V572:V578" si="88">D572</f>
        <v>Fe</v>
      </c>
      <c r="W572" s="1531">
        <v>3.1399999999999997E-2</v>
      </c>
      <c r="X572" s="1531">
        <v>3.1399999999999997E-2</v>
      </c>
      <c r="Y572" s="1531">
        <v>3.1399999999999997E-2</v>
      </c>
      <c r="Z572" s="602">
        <v>3.1399999999999997E-2</v>
      </c>
      <c r="AA572" s="602">
        <v>3.1399999999999997E-2</v>
      </c>
      <c r="AB572" s="602">
        <v>3.1399999999999997E-2</v>
      </c>
      <c r="AC572" s="602">
        <v>3.1399999999999997E-2</v>
      </c>
      <c r="AD572" s="602">
        <v>3.1399999999999997E-2</v>
      </c>
      <c r="AE572" s="602">
        <v>3.1399999999999997E-2</v>
      </c>
      <c r="AF572" s="271">
        <f t="shared" si="87"/>
        <v>3.1399999999999997E-2</v>
      </c>
      <c r="AG572" s="323"/>
      <c r="AK572" s="358"/>
      <c r="DJ572" s="1187"/>
    </row>
    <row r="573" spans="3:114" ht="15" hidden="1" customHeight="1" outlineLevel="1">
      <c r="C573" s="281"/>
      <c r="D573" s="1408">
        <v>29.3</v>
      </c>
      <c r="E573" s="1372" t="s">
        <v>2945</v>
      </c>
      <c r="F573" s="1407"/>
      <c r="G573" s="1802">
        <v>29.3</v>
      </c>
      <c r="H573" s="4395" t="s">
        <v>2946</v>
      </c>
      <c r="I573" s="4395"/>
      <c r="J573" s="4460"/>
      <c r="K573" s="4460"/>
      <c r="L573" s="4460"/>
      <c r="V573" s="295">
        <f t="shared" si="88"/>
        <v>29.3</v>
      </c>
      <c r="W573" s="1516">
        <v>29.3</v>
      </c>
      <c r="X573" s="1516">
        <v>29.3</v>
      </c>
      <c r="Y573" s="1516">
        <v>29.3</v>
      </c>
      <c r="Z573" s="1413">
        <v>29.3</v>
      </c>
      <c r="AA573" s="1413">
        <v>29.3</v>
      </c>
      <c r="AB573" s="1413">
        <v>29.3</v>
      </c>
      <c r="AC573" s="1413">
        <v>29.3</v>
      </c>
      <c r="AD573" s="1413">
        <v>29.3</v>
      </c>
      <c r="AE573" s="1413">
        <v>29.3</v>
      </c>
      <c r="AF573" s="271">
        <f t="shared" si="87"/>
        <v>29.3</v>
      </c>
      <c r="AG573" s="323"/>
      <c r="AK573" s="358"/>
      <c r="DJ573" s="1187"/>
    </row>
    <row r="574" spans="3:114" ht="15" hidden="1" customHeight="1" outlineLevel="1">
      <c r="C574" s="281"/>
      <c r="D574" s="1377" t="s">
        <v>1506</v>
      </c>
      <c r="E574" s="1377" t="s">
        <v>2952</v>
      </c>
      <c r="F574" s="1407"/>
      <c r="G574" s="1709">
        <v>1</v>
      </c>
      <c r="H574" s="4461" t="s">
        <v>1370</v>
      </c>
      <c r="I574" s="4461"/>
      <c r="J574" s="4460"/>
      <c r="K574" s="4460"/>
      <c r="L574" s="4460"/>
      <c r="V574" s="295" t="str">
        <f t="shared" si="88"/>
        <v>Electric Saturation</v>
      </c>
      <c r="W574" s="327">
        <v>1</v>
      </c>
      <c r="X574" s="327">
        <v>1</v>
      </c>
      <c r="Y574" s="327">
        <v>1</v>
      </c>
      <c r="Z574" s="367">
        <v>1</v>
      </c>
      <c r="AA574" s="367">
        <v>1</v>
      </c>
      <c r="AB574" s="367">
        <v>1</v>
      </c>
      <c r="AC574" s="367">
        <v>1</v>
      </c>
      <c r="AD574" s="367">
        <v>1</v>
      </c>
      <c r="AE574" s="367">
        <v>1</v>
      </c>
      <c r="AF574" s="271">
        <f t="shared" si="87"/>
        <v>1</v>
      </c>
      <c r="AG574" s="323"/>
      <c r="AK574" s="358"/>
      <c r="DJ574" s="1187"/>
    </row>
    <row r="575" spans="3:114" ht="15" hidden="1" customHeight="1" outlineLevel="1">
      <c r="C575" s="281"/>
      <c r="D575" s="1377" t="s">
        <v>1368</v>
      </c>
      <c r="E575" s="1377" t="s">
        <v>1369</v>
      </c>
      <c r="F575" s="1407"/>
      <c r="G575" s="1709">
        <v>1</v>
      </c>
      <c r="H575" s="4461" t="s">
        <v>1370</v>
      </c>
      <c r="I575" s="4461"/>
      <c r="J575" s="4460"/>
      <c r="K575" s="4460"/>
      <c r="L575" s="4460"/>
      <c r="V575" s="295" t="str">
        <f t="shared" si="88"/>
        <v>Utility Adjustment</v>
      </c>
      <c r="W575" s="327">
        <v>1</v>
      </c>
      <c r="X575" s="327">
        <v>1</v>
      </c>
      <c r="Y575" s="327">
        <v>1</v>
      </c>
      <c r="Z575" s="367">
        <v>1</v>
      </c>
      <c r="AA575" s="367">
        <v>1</v>
      </c>
      <c r="AB575" s="367">
        <v>1</v>
      </c>
      <c r="AC575" s="367">
        <v>1</v>
      </c>
      <c r="AD575" s="367">
        <v>1</v>
      </c>
      <c r="AE575" s="367">
        <v>1</v>
      </c>
      <c r="AF575" s="271">
        <f t="shared" si="87"/>
        <v>1</v>
      </c>
      <c r="AG575" s="323"/>
      <c r="AK575" s="358"/>
      <c r="DJ575" s="1187"/>
    </row>
    <row r="576" spans="3:114" ht="15" hidden="1" customHeight="1" outlineLevel="1">
      <c r="C576" s="281"/>
      <c r="D576" s="1408" t="s">
        <v>128</v>
      </c>
      <c r="E576" s="1408" t="s">
        <v>1371</v>
      </c>
      <c r="F576" s="1407"/>
      <c r="G576" s="1719">
        <v>1</v>
      </c>
      <c r="H576" s="4395" t="s">
        <v>2954</v>
      </c>
      <c r="I576" s="4395"/>
      <c r="J576" s="4448" t="s">
        <v>2938</v>
      </c>
      <c r="K576" s="4448"/>
      <c r="L576" s="4448"/>
      <c r="V576" s="295" t="str">
        <f t="shared" si="88"/>
        <v>ISR</v>
      </c>
      <c r="W576" s="328">
        <v>1</v>
      </c>
      <c r="X576" s="328">
        <v>1</v>
      </c>
      <c r="Y576" s="328">
        <v>1</v>
      </c>
      <c r="Z576" s="362">
        <v>1</v>
      </c>
      <c r="AA576" s="362">
        <v>1</v>
      </c>
      <c r="AB576" s="362">
        <v>1</v>
      </c>
      <c r="AC576" s="820">
        <v>1</v>
      </c>
      <c r="AD576" s="820">
        <v>1</v>
      </c>
      <c r="AE576" s="820">
        <v>1</v>
      </c>
      <c r="AF576" s="271">
        <f t="shared" si="87"/>
        <v>1</v>
      </c>
      <c r="AG576" s="323"/>
      <c r="AK576" s="358"/>
      <c r="DJ576" s="1187"/>
    </row>
    <row r="577" spans="2:114" ht="46.5" hidden="1" customHeight="1" outlineLevel="1">
      <c r="C577" s="281"/>
      <c r="D577" s="1441" t="str">
        <f>D542</f>
        <v>EUL</v>
      </c>
      <c r="E577" s="1441" t="str">
        <f>E542</f>
        <v>Effective Useful Life</v>
      </c>
      <c r="F577" s="339" t="s">
        <v>1102</v>
      </c>
      <c r="G577" s="1657">
        <v>20</v>
      </c>
      <c r="H577" s="4473" t="s">
        <v>2955</v>
      </c>
      <c r="I577" s="4474"/>
      <c r="J577" s="4460"/>
      <c r="K577" s="4460"/>
      <c r="L577" s="4460"/>
      <c r="M577" s="601"/>
      <c r="V577" s="295" t="str">
        <f t="shared" si="88"/>
        <v>EUL</v>
      </c>
      <c r="W577" s="329">
        <v>20</v>
      </c>
      <c r="X577" s="329">
        <v>20</v>
      </c>
      <c r="Y577" s="329">
        <v>20</v>
      </c>
      <c r="Z577" s="255">
        <v>20</v>
      </c>
      <c r="AA577" s="255">
        <v>20</v>
      </c>
      <c r="AB577" s="255">
        <v>20</v>
      </c>
      <c r="AC577" s="402">
        <v>20</v>
      </c>
      <c r="AD577" s="402">
        <v>20</v>
      </c>
      <c r="AE577" s="402">
        <v>20</v>
      </c>
      <c r="AF577" s="271">
        <f t="shared" si="87"/>
        <v>20</v>
      </c>
      <c r="AG577" s="329"/>
      <c r="AK577" s="358"/>
      <c r="DJ577" s="1187"/>
    </row>
    <row r="578" spans="2:114" ht="15" hidden="1" customHeight="1" outlineLevel="1">
      <c r="C578" s="281"/>
      <c r="D578" s="1441" t="str">
        <f>D543</f>
        <v>Inc. Cost</v>
      </c>
      <c r="E578" s="1441" t="str">
        <f>E543</f>
        <v>Incremental Cost</v>
      </c>
      <c r="F578" s="742" t="s">
        <v>1102</v>
      </c>
      <c r="G578" s="1705">
        <f>299.34234/SQRT(1387)</f>
        <v>8.0376653213977498</v>
      </c>
      <c r="H578" s="4395" t="s">
        <v>2994</v>
      </c>
      <c r="I578" s="4413"/>
      <c r="J578" s="4448" t="s">
        <v>2956</v>
      </c>
      <c r="K578" s="4448"/>
      <c r="L578" s="4448"/>
      <c r="M578" s="601"/>
      <c r="V578" s="295" t="str">
        <f t="shared" si="88"/>
        <v>Inc. Cost</v>
      </c>
      <c r="W578" s="298">
        <v>299.34233999999998</v>
      </c>
      <c r="X578" s="298">
        <v>299.34233999999998</v>
      </c>
      <c r="Y578" s="206">
        <v>8.0376653213977498</v>
      </c>
      <c r="Z578" s="135">
        <v>8.0376653213977498</v>
      </c>
      <c r="AA578" s="135">
        <v>8.0376653213977498</v>
      </c>
      <c r="AB578" s="135">
        <v>8.0376653213977498</v>
      </c>
      <c r="AC578" s="135">
        <v>8.0376653213977498</v>
      </c>
      <c r="AD578" s="135">
        <v>8.0376653213977498</v>
      </c>
      <c r="AE578" s="135">
        <v>8.0376653213977498</v>
      </c>
      <c r="AF578" s="271">
        <f t="shared" si="87"/>
        <v>8.0376653213977498</v>
      </c>
      <c r="AG578" s="298"/>
      <c r="AK578" s="358"/>
      <c r="DJ578" s="1187"/>
    </row>
    <row r="579" spans="2:114" hidden="1" outlineLevel="1">
      <c r="C579" s="281"/>
      <c r="D579" s="1406"/>
      <c r="E579" s="1406"/>
      <c r="G579" s="606"/>
      <c r="H579" s="606"/>
      <c r="I579" s="606"/>
      <c r="Y579" s="539" t="s">
        <v>2759</v>
      </c>
      <c r="AK579" s="358"/>
    </row>
    <row r="580" spans="2:114" collapsed="1">
      <c r="C580" s="281"/>
      <c r="D580" s="1406"/>
      <c r="E580" s="1406"/>
      <c r="F580" s="606"/>
      <c r="G580" s="606"/>
      <c r="H580" s="606"/>
      <c r="AK580" s="358"/>
    </row>
    <row r="581" spans="2:114">
      <c r="B581" s="4183" t="str">
        <f>'HVAC Deemed Table'!B4:L4</f>
        <v>ECM/ Blower Motor</v>
      </c>
      <c r="C581" s="4184"/>
      <c r="D581" s="4184"/>
      <c r="E581" s="4184"/>
      <c r="F581" s="4184"/>
      <c r="G581" s="4184"/>
      <c r="H581" s="4184"/>
      <c r="I581" s="4840"/>
      <c r="J581" s="4840"/>
      <c r="K581" s="4840"/>
      <c r="L581" s="4840"/>
      <c r="M581" s="4840"/>
      <c r="N581" s="4840"/>
      <c r="O581" s="4840"/>
      <c r="P581" s="4840"/>
      <c r="Q581" s="4840"/>
      <c r="R581" s="4841"/>
      <c r="V581" s="4066" t="str">
        <f>B581</f>
        <v>ECM/ Blower Motor</v>
      </c>
      <c r="W581" s="4067"/>
      <c r="X581" s="4067"/>
      <c r="Y581" s="4067"/>
      <c r="Z581" s="4067"/>
      <c r="AA581" s="4067"/>
      <c r="AB581" s="4067"/>
      <c r="AC581" s="4837"/>
      <c r="AD581" s="4837"/>
      <c r="AE581" s="4837"/>
      <c r="AF581" s="4837"/>
      <c r="AG581" s="4837"/>
      <c r="AH581" s="4837"/>
      <c r="AI581" s="4838"/>
      <c r="AK581" s="358"/>
    </row>
    <row r="582" spans="2:114">
      <c r="B582" s="579"/>
      <c r="C582" s="281"/>
      <c r="D582" s="583"/>
      <c r="E582" s="583"/>
      <c r="F582" s="282"/>
      <c r="G582" s="282"/>
      <c r="H582" s="282"/>
      <c r="I582" s="282"/>
      <c r="J582" s="282"/>
      <c r="K582" s="282"/>
      <c r="L582" s="584"/>
      <c r="AK582" s="358"/>
    </row>
    <row r="583" spans="2:114" ht="30">
      <c r="B583" s="579"/>
      <c r="C583" s="1371" t="s">
        <v>42</v>
      </c>
      <c r="D583" s="1371" t="s">
        <v>953</v>
      </c>
      <c r="E583" s="1371" t="s">
        <v>44</v>
      </c>
      <c r="F583" s="1371" t="s">
        <v>45</v>
      </c>
      <c r="G583" s="1371" t="s">
        <v>46</v>
      </c>
      <c r="H583" s="1371" t="s">
        <v>47</v>
      </c>
      <c r="I583" s="1371" t="s">
        <v>1443</v>
      </c>
      <c r="J583" s="1371" t="s">
        <v>1444</v>
      </c>
      <c r="K583" s="1371" t="s">
        <v>1721</v>
      </c>
      <c r="L583" s="1371" t="s">
        <v>1722</v>
      </c>
      <c r="M583" s="1371" t="s">
        <v>48</v>
      </c>
      <c r="N583" s="1383" t="s">
        <v>49</v>
      </c>
      <c r="O583" s="1371" t="s">
        <v>50</v>
      </c>
      <c r="P583" s="1371" t="s">
        <v>51</v>
      </c>
      <c r="V583" s="668" t="s">
        <v>52</v>
      </c>
      <c r="W583" s="669">
        <f>W$6</f>
        <v>43252</v>
      </c>
      <c r="X583" s="669">
        <f t="shared" ref="X583:AG583" si="89">X$6</f>
        <v>43465</v>
      </c>
      <c r="Y583" s="115">
        <f t="shared" si="89"/>
        <v>43800</v>
      </c>
      <c r="Z583" s="669">
        <f t="shared" si="89"/>
        <v>43862</v>
      </c>
      <c r="AA583" s="669">
        <f t="shared" si="89"/>
        <v>44013</v>
      </c>
      <c r="AB583" s="669">
        <f t="shared" si="89"/>
        <v>44166</v>
      </c>
      <c r="AC583" s="669">
        <f t="shared" si="89"/>
        <v>44531</v>
      </c>
      <c r="AD583" s="669">
        <f t="shared" si="89"/>
        <v>44774</v>
      </c>
      <c r="AE583" s="669">
        <f t="shared" si="89"/>
        <v>45139</v>
      </c>
      <c r="AF583" s="669">
        <f t="shared" si="89"/>
        <v>45672</v>
      </c>
      <c r="AG583" s="669" t="str">
        <f t="shared" si="89"/>
        <v>-</v>
      </c>
      <c r="AK583" s="358"/>
      <c r="DG583" s="1060" t="str">
        <f>$DG$6</f>
        <v>TRC (2025)</v>
      </c>
      <c r="DH583" s="811" t="str">
        <f>$DH$6</f>
        <v>Benefit Lookup</v>
      </c>
      <c r="DI583" s="1076" t="str">
        <f>$DI$6</f>
        <v>Benefits (2025 $)</v>
      </c>
      <c r="DJ583" s="1103" t="str">
        <f>$DJ$6</f>
        <v>Incremental Cost (2025 $)</v>
      </c>
    </row>
    <row r="584" spans="2:114">
      <c r="B584" s="1454">
        <f t="shared" ref="B584:B591" si="90">VALUE(LEFT(C584,6))</f>
        <v>402600</v>
      </c>
      <c r="C584" s="1540" t="s">
        <v>2995</v>
      </c>
      <c r="D584" s="555" t="s">
        <v>1486</v>
      </c>
      <c r="E584" s="187" t="s">
        <v>2996</v>
      </c>
      <c r="F584" s="335">
        <f t="shared" ref="F584:F591" si="91">ROUND(I584+J584+K584+L584,2)</f>
        <v>579.09</v>
      </c>
      <c r="G584" s="139" t="s">
        <v>1205</v>
      </c>
      <c r="H584" s="69">
        <f>VLOOKUP(G584,'CP FACTORS'!$A$3:$B$38, 2, FALSE)</f>
        <v>4.6608050000000002E-4</v>
      </c>
      <c r="I584" s="336">
        <f>(1-G602)*$G$606*G$607/G$608*G621*$G$625</f>
        <v>264.14545423487061</v>
      </c>
      <c r="J584" s="1456">
        <f>(1-G609)*$G$613*G$614/G$615*G621*$G$625</f>
        <v>28.219354838709684</v>
      </c>
      <c r="K584" s="336">
        <f>(25*G$614/G$615+2960*$G$618-$G$620)*G621*$G$625</f>
        <v>286.72123580720518</v>
      </c>
      <c r="L584" s="336">
        <v>0</v>
      </c>
      <c r="M584" s="1488">
        <f t="shared" ref="M584:M591" si="92">ROUND(H584*F584,6)</f>
        <v>0.269903</v>
      </c>
      <c r="N584" s="609">
        <f>G626</f>
        <v>6</v>
      </c>
      <c r="O584" s="173">
        <f>G630</f>
        <v>262.5</v>
      </c>
      <c r="P584" s="139" t="s">
        <v>62</v>
      </c>
      <c r="R584" s="322"/>
      <c r="V584" s="356" t="str">
        <f t="shared" ref="V584:V591" si="93">$F$513</f>
        <v>kWh
Annual Savings</v>
      </c>
      <c r="W584" s="334">
        <v>794.49034774724942</v>
      </c>
      <c r="X584" s="130">
        <v>794.49034774724942</v>
      </c>
      <c r="Y584" s="335">
        <v>582</v>
      </c>
      <c r="Z584" s="745">
        <v>582</v>
      </c>
      <c r="AA584" s="745">
        <v>582</v>
      </c>
      <c r="AB584" s="745">
        <v>582</v>
      </c>
      <c r="AC584" s="608">
        <v>582</v>
      </c>
      <c r="AD584" s="608">
        <v>582</v>
      </c>
      <c r="AE584" s="608">
        <v>582</v>
      </c>
      <c r="AF584" s="271">
        <f t="shared" ref="AF584:AF591" si="94">IF(F584&lt;&gt;"",F584,"")</f>
        <v>579.09</v>
      </c>
      <c r="AG584" s="356"/>
      <c r="AK584" s="358"/>
      <c r="DG584" s="1063">
        <f>(DI584+DI585)/(DJ584+DJ585)</f>
        <v>1.3748154098071015</v>
      </c>
      <c r="DH584" s="187" t="str">
        <f t="shared" ref="DH584:DH591" si="95">CONCATENATE(G584," ",N584," Year EUL")</f>
        <v>HVAC RES 6 Year EUL</v>
      </c>
      <c r="DI584" s="556">
        <f>(INDEX('Avoided Cost Benefits'!$B$4:$B$865,MATCH(DH584,'Avoided Cost Benefits'!$A$4:$A$865,0)))*F584</f>
        <v>360.88904507436416</v>
      </c>
      <c r="DJ584" s="1176">
        <f t="shared" ref="DJ584:DJ591" si="96">O584/(1.0686^(2025-2025))</f>
        <v>262.5</v>
      </c>
    </row>
    <row r="585" spans="2:114">
      <c r="B585" s="1454">
        <f t="shared" si="90"/>
        <v>402600</v>
      </c>
      <c r="C585" s="1540" t="s">
        <v>2995</v>
      </c>
      <c r="D585" s="555" t="s">
        <v>1486</v>
      </c>
      <c r="E585" s="673" t="s">
        <v>2997</v>
      </c>
      <c r="F585" s="608">
        <f t="shared" si="91"/>
        <v>0</v>
      </c>
      <c r="G585" s="1401" t="str">
        <f>'CP FACTORS'!$A$17</f>
        <v>HVAC RES ER2</v>
      </c>
      <c r="H585" s="69">
        <f>VLOOKUP(G585,'CP FACTORS'!$A$3:$B$38, 2, FALSE)</f>
        <v>4.6608050000000002E-4</v>
      </c>
      <c r="I585" s="336">
        <f>0</f>
        <v>0</v>
      </c>
      <c r="J585" s="336">
        <f>0</f>
        <v>0</v>
      </c>
      <c r="K585" s="336">
        <f>0</f>
        <v>0</v>
      </c>
      <c r="L585" s="336">
        <v>0</v>
      </c>
      <c r="M585" s="274">
        <f t="shared" si="92"/>
        <v>0</v>
      </c>
      <c r="N585" s="609">
        <f>G627</f>
        <v>0</v>
      </c>
      <c r="O585" s="742">
        <f>G631</f>
        <v>0</v>
      </c>
      <c r="P585" s="139" t="s">
        <v>62</v>
      </c>
      <c r="R585" s="322"/>
      <c r="V585" s="356" t="str">
        <f t="shared" si="93"/>
        <v>kWh
Annual Savings</v>
      </c>
      <c r="W585" s="334">
        <v>591.90332067911811</v>
      </c>
      <c r="X585" s="130">
        <v>591.90332067911811</v>
      </c>
      <c r="Y585" s="335">
        <v>582</v>
      </c>
      <c r="Z585" s="745">
        <v>582</v>
      </c>
      <c r="AA585" s="745">
        <v>582</v>
      </c>
      <c r="AB585" s="745">
        <v>582</v>
      </c>
      <c r="AC585" s="335">
        <v>0</v>
      </c>
      <c r="AD585" s="608">
        <v>0</v>
      </c>
      <c r="AE585" s="608">
        <v>0</v>
      </c>
      <c r="AF585" s="271">
        <f t="shared" si="94"/>
        <v>0</v>
      </c>
      <c r="AG585" s="356"/>
      <c r="AK585" s="358"/>
      <c r="DG585" s="1080"/>
      <c r="DH585" s="673" t="str">
        <f t="shared" si="95"/>
        <v>HVAC RES ER2 0 Year EUL</v>
      </c>
      <c r="DI585" s="1011">
        <v>0</v>
      </c>
      <c r="DJ585" s="1176">
        <f t="shared" si="96"/>
        <v>0</v>
      </c>
    </row>
    <row r="586" spans="2:114">
      <c r="B586" s="1454">
        <f t="shared" si="90"/>
        <v>402700</v>
      </c>
      <c r="C586" s="2478" t="s">
        <v>2998</v>
      </c>
      <c r="D586" s="2402" t="s">
        <v>1486</v>
      </c>
      <c r="E586" s="2495" t="s">
        <v>2999</v>
      </c>
      <c r="F586" s="2496">
        <f t="shared" si="91"/>
        <v>579.09</v>
      </c>
      <c r="G586" s="2497" t="s">
        <v>1205</v>
      </c>
      <c r="H586" s="2213">
        <f>VLOOKUP(G586,'CP FACTORS'!$A$3:$B$38, 2, FALSE)</f>
        <v>4.6608050000000002E-4</v>
      </c>
      <c r="I586" s="2498">
        <f>(1-G602)*$G$606*G$607/G$608*G621*$G$625</f>
        <v>264.14545423487061</v>
      </c>
      <c r="J586" s="2480">
        <f>(1-G609)*$G$613*G$614/G$615*G621*$G$625</f>
        <v>28.219354838709684</v>
      </c>
      <c r="K586" s="2498">
        <v>0</v>
      </c>
      <c r="L586" s="2498">
        <f>(25*G$614/G$615+2960*$G$618-$G$620)*G622*$G$625</f>
        <v>286.72123580720518</v>
      </c>
      <c r="M586" s="2481">
        <f t="shared" si="92"/>
        <v>0.269903</v>
      </c>
      <c r="N586" s="2499">
        <f>G626</f>
        <v>6</v>
      </c>
      <c r="O586" s="2500">
        <f>G630</f>
        <v>262.5</v>
      </c>
      <c r="P586" s="2408" t="s">
        <v>62</v>
      </c>
      <c r="R586" s="322"/>
      <c r="V586" s="2413" t="str">
        <f t="shared" si="93"/>
        <v>kWh
Annual Savings</v>
      </c>
      <c r="W586" s="2504">
        <v>3458.4903477472494</v>
      </c>
      <c r="X586" s="2505">
        <v>3458.4903477472494</v>
      </c>
      <c r="Y586" s="2496">
        <v>582</v>
      </c>
      <c r="Z586" s="2506">
        <v>582</v>
      </c>
      <c r="AA586" s="2506">
        <v>582</v>
      </c>
      <c r="AB586" s="2506">
        <v>582</v>
      </c>
      <c r="AC586" s="2501">
        <v>582</v>
      </c>
      <c r="AD586" s="2501">
        <v>582</v>
      </c>
      <c r="AE586" s="2501">
        <v>582</v>
      </c>
      <c r="AF586" s="2236">
        <f t="shared" si="94"/>
        <v>579.09</v>
      </c>
      <c r="AG586" s="2413"/>
      <c r="AK586" s="358"/>
      <c r="DG586" s="2422">
        <f>(DI586+DI587)/(DJ586+DJ587)</f>
        <v>1.3748154098071015</v>
      </c>
      <c r="DH586" s="2495" t="str">
        <f t="shared" si="95"/>
        <v>HVAC RES 6 Year EUL</v>
      </c>
      <c r="DI586" s="2336">
        <f>(INDEX('Avoided Cost Benefits'!$B$4:$B$865,MATCH(DH586,'Avoided Cost Benefits'!$A$4:$A$865,0)))*F586</f>
        <v>360.88904507436416</v>
      </c>
      <c r="DJ586" s="2507">
        <f t="shared" si="96"/>
        <v>262.5</v>
      </c>
    </row>
    <row r="587" spans="2:114">
      <c r="B587" s="1454">
        <f t="shared" si="90"/>
        <v>402700</v>
      </c>
      <c r="C587" s="2478" t="s">
        <v>2998</v>
      </c>
      <c r="D587" s="2402" t="s">
        <v>1486</v>
      </c>
      <c r="E587" s="2423" t="s">
        <v>3000</v>
      </c>
      <c r="F587" s="2501">
        <f t="shared" si="91"/>
        <v>0</v>
      </c>
      <c r="G587" s="2497" t="str">
        <f>'CP FACTORS'!$A$17</f>
        <v>HVAC RES ER2</v>
      </c>
      <c r="H587" s="2213">
        <f>VLOOKUP(G587,'CP FACTORS'!$A$3:$B$38, 2, FALSE)</f>
        <v>4.6608050000000002E-4</v>
      </c>
      <c r="I587" s="2498">
        <f>0</f>
        <v>0</v>
      </c>
      <c r="J587" s="2498">
        <f>0</f>
        <v>0</v>
      </c>
      <c r="K587" s="2498">
        <v>0</v>
      </c>
      <c r="L587" s="2498">
        <f>0</f>
        <v>0</v>
      </c>
      <c r="M587" s="2502">
        <f t="shared" si="92"/>
        <v>0</v>
      </c>
      <c r="N587" s="2499">
        <f>G627</f>
        <v>0</v>
      </c>
      <c r="O587" s="2482">
        <f>G631</f>
        <v>0</v>
      </c>
      <c r="P587" s="2408" t="s">
        <v>62</v>
      </c>
      <c r="R587" s="322"/>
      <c r="V587" s="2413" t="str">
        <f t="shared" si="93"/>
        <v>kWh
Annual Savings</v>
      </c>
      <c r="W587" s="2504">
        <v>3255.9033206791182</v>
      </c>
      <c r="X587" s="2505">
        <v>3255.9033206791182</v>
      </c>
      <c r="Y587" s="2496">
        <v>582</v>
      </c>
      <c r="Z587" s="2506">
        <v>582</v>
      </c>
      <c r="AA587" s="2506">
        <v>582</v>
      </c>
      <c r="AB587" s="2506">
        <v>582</v>
      </c>
      <c r="AC587" s="2496">
        <v>0</v>
      </c>
      <c r="AD587" s="2501">
        <v>0</v>
      </c>
      <c r="AE587" s="2501">
        <v>0</v>
      </c>
      <c r="AF587" s="2236">
        <f t="shared" si="94"/>
        <v>0</v>
      </c>
      <c r="AG587" s="2413"/>
      <c r="AK587" s="358"/>
      <c r="DG587" s="2508"/>
      <c r="DH587" s="2423" t="str">
        <f t="shared" si="95"/>
        <v>HVAC RES ER2 0 Year EUL</v>
      </c>
      <c r="DI587" s="2509">
        <v>0</v>
      </c>
      <c r="DJ587" s="2507">
        <f t="shared" si="96"/>
        <v>0</v>
      </c>
    </row>
    <row r="588" spans="2:114">
      <c r="B588" s="1454">
        <f t="shared" si="90"/>
        <v>402800</v>
      </c>
      <c r="C588" s="1540" t="s">
        <v>3001</v>
      </c>
      <c r="D588" s="555" t="s">
        <v>959</v>
      </c>
      <c r="E588" s="187" t="s">
        <v>3002</v>
      </c>
      <c r="F588" s="335">
        <f t="shared" si="91"/>
        <v>579.09</v>
      </c>
      <c r="G588" s="1401" t="s">
        <v>1205</v>
      </c>
      <c r="H588" s="69">
        <f>VLOOKUP(G588,'CP FACTORS'!$A$3:$B$38, 2, FALSE)</f>
        <v>4.6608050000000002E-4</v>
      </c>
      <c r="I588" s="336">
        <f>(1-G604)*$G$606*G$607/G$608*G623*$G$625</f>
        <v>264.14545423487061</v>
      </c>
      <c r="J588" s="1456">
        <f>(1-G611)*$G$613*G$614/G$615*G623*$G$625</f>
        <v>28.219354838709684</v>
      </c>
      <c r="K588" s="336">
        <f>(25*G$614/G$615+2960*$G$618-$G$620)*G623*$G$625</f>
        <v>286.72123580720518</v>
      </c>
      <c r="L588" s="134">
        <v>0</v>
      </c>
      <c r="M588" s="1488">
        <f t="shared" si="92"/>
        <v>0.269903</v>
      </c>
      <c r="N588" s="609">
        <f>G628</f>
        <v>6</v>
      </c>
      <c r="O588" s="173">
        <f>G632</f>
        <v>262.5</v>
      </c>
      <c r="P588" s="139" t="s">
        <v>62</v>
      </c>
      <c r="R588" s="322"/>
      <c r="V588" s="356" t="str">
        <f t="shared" si="93"/>
        <v>kWh
Annual Savings</v>
      </c>
      <c r="W588" s="334">
        <v>794.49034774724942</v>
      </c>
      <c r="X588" s="130">
        <v>794.49034774724942</v>
      </c>
      <c r="Y588" s="335">
        <v>582</v>
      </c>
      <c r="Z588" s="745">
        <v>582</v>
      </c>
      <c r="AA588" s="745">
        <v>582</v>
      </c>
      <c r="AB588" s="745">
        <v>582</v>
      </c>
      <c r="AC588" s="608">
        <v>582</v>
      </c>
      <c r="AD588" s="608">
        <v>582</v>
      </c>
      <c r="AE588" s="608">
        <v>582</v>
      </c>
      <c r="AF588" s="271">
        <f t="shared" si="94"/>
        <v>579.09</v>
      </c>
      <c r="AG588" s="356"/>
      <c r="AK588" s="358"/>
      <c r="DG588" s="1063">
        <f>(DI588+DI589)/(DJ588+DJ589)</f>
        <v>1.3748154098071015</v>
      </c>
      <c r="DH588" s="187" t="str">
        <f t="shared" si="95"/>
        <v>HVAC RES 6 Year EUL</v>
      </c>
      <c r="DI588" s="556">
        <f>(INDEX('Avoided Cost Benefits'!$B$4:$B$865,MATCH(DH588,'Avoided Cost Benefits'!$A$4:$A$865,0)))*F588</f>
        <v>360.88904507436416</v>
      </c>
      <c r="DJ588" s="1176">
        <f t="shared" si="96"/>
        <v>262.5</v>
      </c>
    </row>
    <row r="589" spans="2:114">
      <c r="B589" s="1454">
        <f t="shared" si="90"/>
        <v>402800</v>
      </c>
      <c r="C589" s="1540" t="s">
        <v>3001</v>
      </c>
      <c r="D589" s="555" t="s">
        <v>959</v>
      </c>
      <c r="E589" s="673" t="s">
        <v>3003</v>
      </c>
      <c r="F589" s="608">
        <f t="shared" si="91"/>
        <v>0</v>
      </c>
      <c r="G589" s="1401" t="str">
        <f>'CP FACTORS'!$A$17</f>
        <v>HVAC RES ER2</v>
      </c>
      <c r="H589" s="69">
        <f>VLOOKUP(G589,'CP FACTORS'!$A$3:$B$38, 2, FALSE)</f>
        <v>4.6608050000000002E-4</v>
      </c>
      <c r="I589" s="336">
        <f>0</f>
        <v>0</v>
      </c>
      <c r="J589" s="336">
        <f>0</f>
        <v>0</v>
      </c>
      <c r="K589" s="336">
        <f>0</f>
        <v>0</v>
      </c>
      <c r="L589" s="134">
        <v>0</v>
      </c>
      <c r="M589" s="274">
        <f t="shared" si="92"/>
        <v>0</v>
      </c>
      <c r="N589" s="609">
        <f>G629</f>
        <v>0</v>
      </c>
      <c r="O589" s="742">
        <f>G633</f>
        <v>0</v>
      </c>
      <c r="P589" s="139" t="s">
        <v>62</v>
      </c>
      <c r="R589" s="322"/>
      <c r="V589" s="356" t="str">
        <f t="shared" si="93"/>
        <v>kWh
Annual Savings</v>
      </c>
      <c r="W589" s="334">
        <v>591.90332067911811</v>
      </c>
      <c r="X589" s="130">
        <v>591.90332067911811</v>
      </c>
      <c r="Y589" s="335">
        <v>582</v>
      </c>
      <c r="Z589" s="745">
        <v>582</v>
      </c>
      <c r="AA589" s="745">
        <v>582</v>
      </c>
      <c r="AB589" s="745">
        <v>582</v>
      </c>
      <c r="AC589" s="335">
        <v>0</v>
      </c>
      <c r="AD589" s="608">
        <v>0</v>
      </c>
      <c r="AE589" s="608">
        <v>0</v>
      </c>
      <c r="AF589" s="271">
        <f t="shared" si="94"/>
        <v>0</v>
      </c>
      <c r="AG589" s="356"/>
      <c r="AK589" s="358"/>
      <c r="DG589" s="1080"/>
      <c r="DH589" s="673" t="str">
        <f t="shared" si="95"/>
        <v>HVAC RES ER2 0 Year EUL</v>
      </c>
      <c r="DI589" s="1011">
        <v>0</v>
      </c>
      <c r="DJ589" s="1176">
        <f t="shared" si="96"/>
        <v>0</v>
      </c>
    </row>
    <row r="590" spans="2:114">
      <c r="B590" s="1454">
        <f t="shared" si="90"/>
        <v>402900</v>
      </c>
      <c r="C590" s="2478" t="s">
        <v>3004</v>
      </c>
      <c r="D590" s="2402" t="s">
        <v>959</v>
      </c>
      <c r="E590" s="2495" t="s">
        <v>3005</v>
      </c>
      <c r="F590" s="2496">
        <f t="shared" si="91"/>
        <v>579.09</v>
      </c>
      <c r="G590" s="2497" t="s">
        <v>1205</v>
      </c>
      <c r="H590" s="2213">
        <f>VLOOKUP(G590,'CP FACTORS'!$A$3:$B$38, 2, FALSE)</f>
        <v>4.6608050000000002E-4</v>
      </c>
      <c r="I590" s="2498">
        <f>(1-G604)*$G$606*G$607/G$608*G623*$G$625</f>
        <v>264.14545423487061</v>
      </c>
      <c r="J590" s="2480">
        <f>(1-G611)*$G$613*G$614/G$615*G623*$G$625</f>
        <v>28.219354838709684</v>
      </c>
      <c r="K590" s="2498">
        <v>0</v>
      </c>
      <c r="L590" s="2498">
        <f>(25*G$614/G$615+2960*$G$619-$G$620)*G623*$G$625</f>
        <v>286.72123580720518</v>
      </c>
      <c r="M590" s="2481">
        <f t="shared" si="92"/>
        <v>0.269903</v>
      </c>
      <c r="N590" s="2499">
        <f>G628</f>
        <v>6</v>
      </c>
      <c r="O590" s="2500">
        <f>G632</f>
        <v>262.5</v>
      </c>
      <c r="P590" s="2408" t="s">
        <v>62</v>
      </c>
      <c r="R590" s="322"/>
      <c r="V590" s="2413" t="str">
        <f t="shared" si="93"/>
        <v>kWh
Annual Savings</v>
      </c>
      <c r="W590" s="2504">
        <v>3458.4903477472494</v>
      </c>
      <c r="X590" s="2505">
        <v>3458.4903477472494</v>
      </c>
      <c r="Y590" s="2496">
        <v>582</v>
      </c>
      <c r="Z590" s="2506">
        <v>582</v>
      </c>
      <c r="AA590" s="2506">
        <v>582</v>
      </c>
      <c r="AB590" s="2506">
        <v>582</v>
      </c>
      <c r="AC590" s="2501">
        <v>582</v>
      </c>
      <c r="AD590" s="2501">
        <v>582</v>
      </c>
      <c r="AE590" s="2501">
        <v>582</v>
      </c>
      <c r="AF590" s="2236">
        <f t="shared" si="94"/>
        <v>579.09</v>
      </c>
      <c r="AG590" s="2413"/>
      <c r="AK590" s="358"/>
      <c r="DG590" s="2422">
        <f>(DI590+DI591)/(DJ590+DJ591)</f>
        <v>1.3748154098071015</v>
      </c>
      <c r="DH590" s="2495" t="str">
        <f t="shared" si="95"/>
        <v>HVAC RES 6 Year EUL</v>
      </c>
      <c r="DI590" s="2336">
        <f>(INDEX('Avoided Cost Benefits'!$B$4:$B$865,MATCH(DH590,'Avoided Cost Benefits'!$A$4:$A$865,0)))*F590</f>
        <v>360.88904507436416</v>
      </c>
      <c r="DJ590" s="2507">
        <f t="shared" si="96"/>
        <v>262.5</v>
      </c>
    </row>
    <row r="591" spans="2:114">
      <c r="B591" s="1454">
        <f t="shared" si="90"/>
        <v>402900</v>
      </c>
      <c r="C591" s="2478" t="s">
        <v>3004</v>
      </c>
      <c r="D591" s="2402" t="s">
        <v>959</v>
      </c>
      <c r="E591" s="2423" t="s">
        <v>3006</v>
      </c>
      <c r="F591" s="2501">
        <f t="shared" si="91"/>
        <v>0</v>
      </c>
      <c r="G591" s="2497" t="str">
        <f>'CP FACTORS'!$A$17</f>
        <v>HVAC RES ER2</v>
      </c>
      <c r="H591" s="2213">
        <f>VLOOKUP(G591,'CP FACTORS'!$A$3:$B$38, 2, FALSE)</f>
        <v>4.6608050000000002E-4</v>
      </c>
      <c r="I591" s="2498">
        <f>0</f>
        <v>0</v>
      </c>
      <c r="J591" s="2498">
        <f>0</f>
        <v>0</v>
      </c>
      <c r="K591" s="2498">
        <v>0</v>
      </c>
      <c r="L591" s="2498">
        <f>0</f>
        <v>0</v>
      </c>
      <c r="M591" s="2502">
        <f t="shared" si="92"/>
        <v>0</v>
      </c>
      <c r="N591" s="2499">
        <f>G629</f>
        <v>0</v>
      </c>
      <c r="O591" s="2482">
        <f>G633</f>
        <v>0</v>
      </c>
      <c r="P591" s="2503" t="s">
        <v>62</v>
      </c>
      <c r="R591" s="322"/>
      <c r="V591" s="2413" t="str">
        <f t="shared" si="93"/>
        <v>kWh
Annual Savings</v>
      </c>
      <c r="W591" s="2504">
        <v>3255.9033206791182</v>
      </c>
      <c r="X591" s="2505">
        <v>3255.9033206791182</v>
      </c>
      <c r="Y591" s="2496">
        <v>582</v>
      </c>
      <c r="Z591" s="2506">
        <v>582</v>
      </c>
      <c r="AA591" s="2506">
        <v>582</v>
      </c>
      <c r="AB591" s="2506">
        <v>582</v>
      </c>
      <c r="AC591" s="2496">
        <v>0</v>
      </c>
      <c r="AD591" s="2501">
        <v>0</v>
      </c>
      <c r="AE591" s="2501">
        <v>0</v>
      </c>
      <c r="AF591" s="2236">
        <f t="shared" si="94"/>
        <v>0</v>
      </c>
      <c r="AG591" s="2413"/>
      <c r="AK591" s="358"/>
      <c r="DG591" s="2510"/>
      <c r="DH591" s="2423" t="str">
        <f t="shared" si="95"/>
        <v>HVAC RES ER2 0 Year EUL</v>
      </c>
      <c r="DI591" s="2511">
        <v>0</v>
      </c>
      <c r="DJ591" s="2484">
        <f t="shared" si="96"/>
        <v>0</v>
      </c>
    </row>
    <row r="592" spans="2:114">
      <c r="B592" s="579"/>
      <c r="C592" s="4478" t="s">
        <v>1735</v>
      </c>
      <c r="D592" s="4478"/>
      <c r="E592" s="4478"/>
      <c r="F592" s="4478"/>
      <c r="G592" s="4478"/>
      <c r="H592" s="4478"/>
      <c r="I592" s="4478"/>
      <c r="J592" s="4478"/>
      <c r="K592" s="4478"/>
      <c r="L592" s="4478"/>
      <c r="AK592" s="358"/>
    </row>
    <row r="593" spans="2:37">
      <c r="B593" s="579"/>
      <c r="C593" s="4480"/>
      <c r="D593" s="4480"/>
      <c r="E593" s="4480"/>
      <c r="F593" s="4480"/>
      <c r="G593" s="4480"/>
      <c r="H593" s="4480"/>
      <c r="I593" s="4480"/>
      <c r="J593" s="4480"/>
      <c r="K593" s="4480"/>
      <c r="L593" s="4480"/>
      <c r="AK593" s="358"/>
    </row>
    <row r="594" spans="2:37" hidden="1" outlineLevel="1">
      <c r="B594" s="579"/>
      <c r="C594" s="1406"/>
      <c r="D594" s="77" t="s">
        <v>118</v>
      </c>
      <c r="E594" s="1406" t="s">
        <v>1736</v>
      </c>
      <c r="F594" s="1406"/>
      <c r="G594" s="1406"/>
      <c r="H594" s="1406"/>
      <c r="I594" s="1406"/>
      <c r="J594" s="1406"/>
      <c r="K594" s="1406"/>
      <c r="L594" s="1406"/>
      <c r="AK594" s="358"/>
    </row>
    <row r="595" spans="2:37" hidden="1" outlineLevel="1">
      <c r="B595" s="579"/>
      <c r="C595" s="281"/>
      <c r="D595" s="74" t="s">
        <v>963</v>
      </c>
      <c r="E595" s="133" t="s">
        <v>1737</v>
      </c>
      <c r="F595" s="541"/>
      <c r="AK595" s="358"/>
    </row>
    <row r="596" spans="2:37" ht="18" hidden="1" customHeight="1" outlineLevel="1">
      <c r="B596" s="579"/>
      <c r="C596" s="281"/>
      <c r="E596" s="1534" t="s">
        <v>1738</v>
      </c>
      <c r="AK596" s="358"/>
    </row>
    <row r="597" spans="2:37" ht="18" hidden="1" customHeight="1" outlineLevel="1">
      <c r="B597" s="579"/>
      <c r="C597" s="281"/>
      <c r="E597" s="1534" t="s">
        <v>1739</v>
      </c>
      <c r="AK597" s="358"/>
    </row>
    <row r="598" spans="2:37" ht="18" hidden="1" customHeight="1" outlineLevel="1">
      <c r="B598" s="579"/>
      <c r="C598" s="281"/>
      <c r="E598" s="1534" t="s">
        <v>1740</v>
      </c>
      <c r="AK598" s="358"/>
    </row>
    <row r="599" spans="2:37" ht="14.65" hidden="1" customHeight="1" outlineLevel="1">
      <c r="B599" s="579"/>
      <c r="C599" s="281"/>
      <c r="E599" s="1534" t="s">
        <v>966</v>
      </c>
      <c r="AK599" s="358"/>
    </row>
    <row r="600" spans="2:37" ht="14.65" hidden="1" customHeight="1" outlineLevel="1">
      <c r="B600" s="579"/>
      <c r="C600" s="281"/>
      <c r="E600" s="1534"/>
      <c r="AK600" s="358"/>
    </row>
    <row r="601" spans="2:37" hidden="1" outlineLevel="1">
      <c r="B601" s="579"/>
      <c r="C601" s="281"/>
      <c r="D601" s="1443" t="s">
        <v>1078</v>
      </c>
      <c r="E601" s="1443" t="s">
        <v>967</v>
      </c>
      <c r="F601" s="1371" t="s">
        <v>968</v>
      </c>
      <c r="G601" s="1371" t="s">
        <v>969</v>
      </c>
      <c r="H601" s="1371" t="s">
        <v>970</v>
      </c>
      <c r="I601" s="1371" t="s">
        <v>1079</v>
      </c>
      <c r="V601" s="668" t="s">
        <v>52</v>
      </c>
      <c r="W601" s="669">
        <f>W$6</f>
        <v>43252</v>
      </c>
      <c r="X601" s="669">
        <f t="shared" ref="X601:AG601" si="97">X$6</f>
        <v>43465</v>
      </c>
      <c r="Y601" s="115">
        <f t="shared" si="97"/>
        <v>43800</v>
      </c>
      <c r="Z601" s="669">
        <f t="shared" si="97"/>
        <v>43862</v>
      </c>
      <c r="AA601" s="669">
        <f t="shared" si="97"/>
        <v>44013</v>
      </c>
      <c r="AB601" s="669">
        <f t="shared" si="97"/>
        <v>44166</v>
      </c>
      <c r="AC601" s="669">
        <f t="shared" si="97"/>
        <v>44531</v>
      </c>
      <c r="AD601" s="669">
        <f t="shared" si="97"/>
        <v>44774</v>
      </c>
      <c r="AE601" s="669">
        <f t="shared" si="97"/>
        <v>45139</v>
      </c>
      <c r="AF601" s="669">
        <f t="shared" si="97"/>
        <v>45672</v>
      </c>
      <c r="AG601" s="669" t="str">
        <f t="shared" si="97"/>
        <v>-</v>
      </c>
      <c r="AK601" s="358"/>
    </row>
    <row r="602" spans="2:37" hidden="1" outlineLevel="1">
      <c r="B602" s="579"/>
      <c r="C602" s="281"/>
      <c r="D602" s="4084" t="s">
        <v>1741</v>
      </c>
      <c r="E602" s="4084" t="s">
        <v>1742</v>
      </c>
      <c r="F602" s="128" t="s">
        <v>3007</v>
      </c>
      <c r="G602" s="1664">
        <v>0.16336956521739129</v>
      </c>
      <c r="H602" s="4485" t="s">
        <v>3008</v>
      </c>
      <c r="I602" s="1430"/>
      <c r="V602" s="4084" t="s">
        <v>1741</v>
      </c>
      <c r="W602" s="302">
        <v>0</v>
      </c>
      <c r="X602" s="305">
        <v>0</v>
      </c>
      <c r="Y602" s="146">
        <v>0.16336956521739129</v>
      </c>
      <c r="Z602" s="146">
        <v>0.16336956521739129</v>
      </c>
      <c r="AA602" s="146">
        <v>0.16336956521739129</v>
      </c>
      <c r="AB602" s="146">
        <v>0.16336956521739129</v>
      </c>
      <c r="AC602" s="146">
        <v>0.16336956521739129</v>
      </c>
      <c r="AD602" s="146">
        <v>0.16336956521739129</v>
      </c>
      <c r="AE602" s="146">
        <v>0.16336956521739129</v>
      </c>
      <c r="AF602" s="714">
        <f t="shared" ref="AF602:AF633" si="98">IF(G602&lt;&gt;"",G602,"")</f>
        <v>0.16336956521739129</v>
      </c>
      <c r="AG602" s="302"/>
      <c r="AK602" s="358"/>
    </row>
    <row r="603" spans="2:37" hidden="1" outlineLevel="1">
      <c r="B603" s="579"/>
      <c r="C603" s="281"/>
      <c r="D603" s="4085"/>
      <c r="E603" s="4085"/>
      <c r="F603" s="128" t="s">
        <v>3009</v>
      </c>
      <c r="G603" s="1664">
        <v>0.16336956521739129</v>
      </c>
      <c r="H603" s="4486"/>
      <c r="I603" s="1430"/>
      <c r="V603" s="4085"/>
      <c r="W603" s="302">
        <v>0.16</v>
      </c>
      <c r="X603" s="305">
        <v>0.16</v>
      </c>
      <c r="Y603" s="146">
        <v>0.16336956521739129</v>
      </c>
      <c r="Z603" s="146">
        <v>0.16336956521739129</v>
      </c>
      <c r="AA603" s="146">
        <v>0.16336956521739129</v>
      </c>
      <c r="AB603" s="146">
        <v>0.16336956521739129</v>
      </c>
      <c r="AC603" s="146">
        <v>0.16336956521739129</v>
      </c>
      <c r="AD603" s="146">
        <v>0.16336956521739129</v>
      </c>
      <c r="AE603" s="146">
        <v>0.16336956521739129</v>
      </c>
      <c r="AF603" s="714">
        <f t="shared" si="98"/>
        <v>0.16336956521739129</v>
      </c>
      <c r="AG603" s="302"/>
      <c r="AK603" s="358"/>
    </row>
    <row r="604" spans="2:37" hidden="1" outlineLevel="1">
      <c r="B604" s="579"/>
      <c r="C604" s="281"/>
      <c r="D604" s="4085"/>
      <c r="E604" s="4085"/>
      <c r="F604" s="128" t="s">
        <v>3010</v>
      </c>
      <c r="G604" s="1664">
        <v>0.16336956521739129</v>
      </c>
      <c r="H604" s="4486"/>
      <c r="I604" s="1430"/>
      <c r="V604" s="4085"/>
      <c r="W604" s="302">
        <v>0</v>
      </c>
      <c r="X604" s="305">
        <v>0</v>
      </c>
      <c r="Y604" s="146">
        <v>0.16336956521739129</v>
      </c>
      <c r="Z604" s="146">
        <v>0.16336956521739129</v>
      </c>
      <c r="AA604" s="146">
        <v>0.16336956521739129</v>
      </c>
      <c r="AB604" s="146">
        <v>0.16336956521739129</v>
      </c>
      <c r="AC604" s="146">
        <v>0.16336956521739129</v>
      </c>
      <c r="AD604" s="146">
        <v>0.16336956521739129</v>
      </c>
      <c r="AE604" s="146">
        <v>0.16336956521739129</v>
      </c>
      <c r="AF604" s="714">
        <f t="shared" si="98"/>
        <v>0.16336956521739129</v>
      </c>
      <c r="AG604" s="302"/>
      <c r="AK604" s="358"/>
    </row>
    <row r="605" spans="2:37" hidden="1" outlineLevel="1">
      <c r="B605" s="579"/>
      <c r="C605" s="281"/>
      <c r="D605" s="4095"/>
      <c r="E605" s="4095"/>
      <c r="F605" s="128" t="s">
        <v>3011</v>
      </c>
      <c r="G605" s="1679">
        <v>0.16336956521739129</v>
      </c>
      <c r="H605" s="4487"/>
      <c r="I605" s="1430"/>
      <c r="V605" s="4095"/>
      <c r="W605" s="302">
        <v>0.16</v>
      </c>
      <c r="X605" s="305">
        <v>0.16</v>
      </c>
      <c r="Y605" s="146">
        <v>0.16336956521739129</v>
      </c>
      <c r="Z605" s="146">
        <v>0.16336956521739129</v>
      </c>
      <c r="AA605" s="146">
        <v>0.16336956521739129</v>
      </c>
      <c r="AB605" s="146">
        <v>0.16336956521739129</v>
      </c>
      <c r="AC605" s="146">
        <v>0.16336956521739129</v>
      </c>
      <c r="AD605" s="146">
        <v>0.16336956521739129</v>
      </c>
      <c r="AE605" s="146">
        <v>0.16336956521739129</v>
      </c>
      <c r="AF605" s="714">
        <f t="shared" si="98"/>
        <v>0.16336956521739129</v>
      </c>
      <c r="AG605" s="302"/>
      <c r="AK605" s="358"/>
    </row>
    <row r="606" spans="2:37" ht="33.75" hidden="1" customHeight="1" outlineLevel="1">
      <c r="B606" s="579"/>
      <c r="C606" s="281"/>
      <c r="D606" s="1379" t="s">
        <v>1744</v>
      </c>
      <c r="E606" s="1379" t="s">
        <v>1745</v>
      </c>
      <c r="F606" s="128" t="s">
        <v>1102</v>
      </c>
      <c r="G606" s="1680">
        <v>400</v>
      </c>
      <c r="H606" s="1600" t="s">
        <v>3012</v>
      </c>
      <c r="I606" s="1378"/>
      <c r="V606" s="1379" t="s">
        <v>1744</v>
      </c>
      <c r="W606" s="302"/>
      <c r="X606" s="305"/>
      <c r="Y606" s="311">
        <v>400</v>
      </c>
      <c r="Z606" s="315">
        <v>400</v>
      </c>
      <c r="AA606" s="315">
        <v>400</v>
      </c>
      <c r="AB606" s="315">
        <v>400</v>
      </c>
      <c r="AC606" s="337">
        <v>400</v>
      </c>
      <c r="AD606" s="337">
        <v>400</v>
      </c>
      <c r="AE606" s="337">
        <v>400</v>
      </c>
      <c r="AF606" s="271">
        <f t="shared" si="98"/>
        <v>400</v>
      </c>
      <c r="AG606" s="302"/>
      <c r="AK606" s="358"/>
    </row>
    <row r="607" spans="2:37" ht="60" hidden="1" outlineLevel="1">
      <c r="B607" s="579"/>
      <c r="C607" s="281"/>
      <c r="D607" s="1422" t="s">
        <v>3013</v>
      </c>
      <c r="E607" s="1422" t="s">
        <v>1748</v>
      </c>
      <c r="F607" s="128" t="s">
        <v>1102</v>
      </c>
      <c r="G607" s="1680">
        <v>2009</v>
      </c>
      <c r="H607" s="1600" t="s">
        <v>1749</v>
      </c>
      <c r="I607" s="1430"/>
      <c r="V607" s="1391" t="s">
        <v>3014</v>
      </c>
      <c r="W607" s="301">
        <v>2009</v>
      </c>
      <c r="X607" s="306">
        <v>2009</v>
      </c>
      <c r="Y607" s="337">
        <v>2009</v>
      </c>
      <c r="Z607" s="337">
        <v>2009</v>
      </c>
      <c r="AA607" s="337">
        <v>2009</v>
      </c>
      <c r="AB607" s="337">
        <v>2009</v>
      </c>
      <c r="AC607" s="337">
        <v>2009</v>
      </c>
      <c r="AD607" s="337">
        <v>2009</v>
      </c>
      <c r="AE607" s="337">
        <v>2009</v>
      </c>
      <c r="AF607" s="271">
        <f t="shared" si="98"/>
        <v>2009</v>
      </c>
      <c r="AG607" s="301"/>
      <c r="AK607" s="358"/>
    </row>
    <row r="608" spans="2:37" ht="45" hidden="1" outlineLevel="1">
      <c r="B608" s="579"/>
      <c r="C608" s="281"/>
      <c r="D608" s="1422" t="s">
        <v>3015</v>
      </c>
      <c r="E608" s="1422" t="s">
        <v>1751</v>
      </c>
      <c r="F608" s="128" t="s">
        <v>1102</v>
      </c>
      <c r="G608" s="1681">
        <v>2545.25</v>
      </c>
      <c r="H608" s="1600" t="s">
        <v>3016</v>
      </c>
      <c r="I608" s="1430"/>
      <c r="V608" s="1391" t="s">
        <v>3017</v>
      </c>
      <c r="W608" s="303">
        <v>2545.25</v>
      </c>
      <c r="X608" s="310">
        <v>2545.25</v>
      </c>
      <c r="Y608" s="338">
        <v>2545.25</v>
      </c>
      <c r="Z608" s="338">
        <v>2545.25</v>
      </c>
      <c r="AA608" s="338">
        <v>2545.25</v>
      </c>
      <c r="AB608" s="338">
        <v>2545.25</v>
      </c>
      <c r="AC608" s="338">
        <v>2545.25</v>
      </c>
      <c r="AD608" s="338">
        <v>2545.25</v>
      </c>
      <c r="AE608" s="338">
        <v>2545.25</v>
      </c>
      <c r="AF608" s="271">
        <f t="shared" si="98"/>
        <v>2545.25</v>
      </c>
      <c r="AG608" s="303"/>
      <c r="AK608" s="358"/>
    </row>
    <row r="609" spans="2:37" ht="45" hidden="1" customHeight="1" outlineLevel="1">
      <c r="B609" s="579"/>
      <c r="C609" s="281"/>
      <c r="D609" s="4414" t="s">
        <v>1753</v>
      </c>
      <c r="E609" s="4084" t="s">
        <v>1754</v>
      </c>
      <c r="F609" s="128" t="str">
        <f>F602</f>
        <v>ECM Fan Early Replacement ER 1 (Full Cost) - SF</v>
      </c>
      <c r="G609" s="1682">
        <v>0.82</v>
      </c>
      <c r="H609" s="4491" t="s">
        <v>3018</v>
      </c>
      <c r="I609" s="1430"/>
      <c r="V609" s="4087" t="s">
        <v>1753</v>
      </c>
      <c r="W609" s="302">
        <v>0</v>
      </c>
      <c r="X609" s="305">
        <v>0</v>
      </c>
      <c r="Y609" s="146">
        <v>0.80141304347826092</v>
      </c>
      <c r="Z609" s="146">
        <v>0.80141304347826092</v>
      </c>
      <c r="AA609" s="146">
        <v>0.80141304347826092</v>
      </c>
      <c r="AB609" s="146">
        <v>0.80141304347826092</v>
      </c>
      <c r="AC609" s="146">
        <v>0.80141304347826092</v>
      </c>
      <c r="AD609" s="146">
        <v>0.80141304347826092</v>
      </c>
      <c r="AE609" s="146">
        <v>0.80141304347826092</v>
      </c>
      <c r="AF609" s="271">
        <f t="shared" si="98"/>
        <v>0.82</v>
      </c>
      <c r="AG609" s="302"/>
      <c r="AK609" s="358"/>
    </row>
    <row r="610" spans="2:37" hidden="1" outlineLevel="1">
      <c r="B610" s="579"/>
      <c r="C610" s="281"/>
      <c r="D610" s="4477"/>
      <c r="E610" s="4085"/>
      <c r="F610" s="128" t="str">
        <f>F603</f>
        <v>ECM Fan Early Replacement ER 2 (Remaining Life) - SF</v>
      </c>
      <c r="G610" s="1682">
        <f t="shared" ref="G610:G612" si="99">G609</f>
        <v>0.82</v>
      </c>
      <c r="H610" s="4492"/>
      <c r="I610" s="1430"/>
      <c r="V610" s="4088"/>
      <c r="W610" s="302">
        <v>0.97</v>
      </c>
      <c r="X610" s="305">
        <v>0.97</v>
      </c>
      <c r="Y610" s="146">
        <v>0.80141304347826092</v>
      </c>
      <c r="Z610" s="146">
        <v>0.80141304347826092</v>
      </c>
      <c r="AA610" s="146">
        <v>0.80141304347826092</v>
      </c>
      <c r="AB610" s="146">
        <v>0.80141304347826092</v>
      </c>
      <c r="AC610" s="146">
        <v>0.80141304347826092</v>
      </c>
      <c r="AD610" s="146">
        <v>0.80141304347826092</v>
      </c>
      <c r="AE610" s="146">
        <v>0.80141304347826092</v>
      </c>
      <c r="AF610" s="271">
        <f t="shared" si="98"/>
        <v>0.82</v>
      </c>
      <c r="AG610" s="302"/>
      <c r="AK610" s="358"/>
    </row>
    <row r="611" spans="2:37" hidden="1" outlineLevel="1">
      <c r="B611" s="579"/>
      <c r="C611" s="281"/>
      <c r="D611" s="4477"/>
      <c r="E611" s="4085"/>
      <c r="F611" s="128" t="str">
        <f>F604</f>
        <v>ECM Fan Early Replacement ER 1 (Full Cost) - MF</v>
      </c>
      <c r="G611" s="1682">
        <f t="shared" si="99"/>
        <v>0.82</v>
      </c>
      <c r="H611" s="4492"/>
      <c r="I611" s="1430"/>
      <c r="V611" s="4088"/>
      <c r="W611" s="302">
        <v>0</v>
      </c>
      <c r="X611" s="305">
        <v>0</v>
      </c>
      <c r="Y611" s="146">
        <v>0.80141304347826092</v>
      </c>
      <c r="Z611" s="146">
        <v>0.80141304347826092</v>
      </c>
      <c r="AA611" s="146">
        <v>0.80141304347826092</v>
      </c>
      <c r="AB611" s="146">
        <v>0.80141304347826092</v>
      </c>
      <c r="AC611" s="146">
        <v>0.80141304347826092</v>
      </c>
      <c r="AD611" s="146">
        <v>0.80141304347826092</v>
      </c>
      <c r="AE611" s="146">
        <v>0.80141304347826092</v>
      </c>
      <c r="AF611" s="271">
        <f t="shared" si="98"/>
        <v>0.82</v>
      </c>
      <c r="AG611" s="302"/>
      <c r="AK611" s="358"/>
    </row>
    <row r="612" spans="2:37" hidden="1" outlineLevel="1">
      <c r="B612" s="579"/>
      <c r="C612" s="281"/>
      <c r="D612" s="4415"/>
      <c r="E612" s="4095"/>
      <c r="F612" s="128" t="str">
        <f>F605</f>
        <v>ECM Fan Early Replacement ER 2 (Remaining Life) - MF</v>
      </c>
      <c r="G612" s="1682">
        <f t="shared" si="99"/>
        <v>0.82</v>
      </c>
      <c r="H612" s="4493"/>
      <c r="I612" s="1430"/>
      <c r="V612" s="4096"/>
      <c r="W612" s="302">
        <v>0.97</v>
      </c>
      <c r="X612" s="305">
        <v>0.97</v>
      </c>
      <c r="Y612" s="146">
        <v>0.80141304347826092</v>
      </c>
      <c r="Z612" s="146">
        <v>0.80141304347826092</v>
      </c>
      <c r="AA612" s="146">
        <v>0.80141304347826092</v>
      </c>
      <c r="AB612" s="146">
        <v>0.80141304347826092</v>
      </c>
      <c r="AC612" s="146">
        <v>0.80141304347826092</v>
      </c>
      <c r="AD612" s="146">
        <v>0.80141304347826092</v>
      </c>
      <c r="AE612" s="146">
        <v>0.80141304347826092</v>
      </c>
      <c r="AF612" s="271">
        <f t="shared" si="98"/>
        <v>0.82</v>
      </c>
      <c r="AG612" s="302"/>
      <c r="AK612" s="358"/>
    </row>
    <row r="613" spans="2:37" ht="34.5" hidden="1" customHeight="1" outlineLevel="1" thickBot="1">
      <c r="B613" s="579"/>
      <c r="C613" s="281"/>
      <c r="D613" s="1379" t="s">
        <v>1756</v>
      </c>
      <c r="E613" s="1399" t="s">
        <v>1757</v>
      </c>
      <c r="F613" s="1400" t="s">
        <v>1102</v>
      </c>
      <c r="G613" s="1683">
        <v>70</v>
      </c>
      <c r="H613" s="1600" t="s">
        <v>3012</v>
      </c>
      <c r="I613" s="1378"/>
      <c r="V613" s="1379" t="s">
        <v>1756</v>
      </c>
      <c r="W613" s="302"/>
      <c r="X613" s="305"/>
      <c r="Y613" s="311">
        <v>70</v>
      </c>
      <c r="Z613" s="315">
        <v>70</v>
      </c>
      <c r="AA613" s="315">
        <v>70</v>
      </c>
      <c r="AB613" s="315">
        <v>70</v>
      </c>
      <c r="AC613" s="317">
        <v>70</v>
      </c>
      <c r="AD613" s="317">
        <v>70</v>
      </c>
      <c r="AE613" s="317">
        <v>70</v>
      </c>
      <c r="AF613" s="271">
        <f t="shared" si="98"/>
        <v>70</v>
      </c>
      <c r="AG613" s="302"/>
      <c r="AK613" s="358"/>
    </row>
    <row r="614" spans="2:37" ht="30.75" hidden="1" outlineLevel="1" thickBot="1">
      <c r="B614" s="579"/>
      <c r="C614" s="281"/>
      <c r="D614" s="1379" t="s">
        <v>3019</v>
      </c>
      <c r="E614" s="1422" t="s">
        <v>1760</v>
      </c>
      <c r="F614" s="128" t="s">
        <v>1102</v>
      </c>
      <c r="G614" s="1681">
        <v>1215</v>
      </c>
      <c r="H614" s="1626" t="s">
        <v>1758</v>
      </c>
      <c r="I614" s="1430"/>
      <c r="V614" s="750" t="s">
        <v>3020</v>
      </c>
      <c r="W614" s="303">
        <v>1215</v>
      </c>
      <c r="X614" s="310">
        <v>1215</v>
      </c>
      <c r="Y614" s="338">
        <v>1215</v>
      </c>
      <c r="Z614" s="338">
        <v>1215</v>
      </c>
      <c r="AA614" s="338">
        <v>1215</v>
      </c>
      <c r="AB614" s="338">
        <v>1215</v>
      </c>
      <c r="AC614" s="338">
        <v>1215</v>
      </c>
      <c r="AD614" s="338">
        <v>1215</v>
      </c>
      <c r="AE614" s="338">
        <v>1215</v>
      </c>
      <c r="AF614" s="271">
        <f t="shared" si="98"/>
        <v>1215</v>
      </c>
      <c r="AG614" s="303"/>
      <c r="AK614" s="358"/>
    </row>
    <row r="615" spans="2:37" ht="30.75" hidden="1" outlineLevel="1" thickBot="1">
      <c r="B615" s="579"/>
      <c r="C615" s="281"/>
      <c r="D615" s="1379" t="s">
        <v>3021</v>
      </c>
      <c r="E615" s="1422" t="s">
        <v>1762</v>
      </c>
      <c r="F615" s="128" t="s">
        <v>1102</v>
      </c>
      <c r="G615" s="1683">
        <v>542.5</v>
      </c>
      <c r="H615" s="1626" t="s">
        <v>1758</v>
      </c>
      <c r="I615" s="1430"/>
      <c r="V615" s="750" t="s">
        <v>3022</v>
      </c>
      <c r="W615" s="296">
        <v>542.5</v>
      </c>
      <c r="X615" s="294">
        <v>542.5</v>
      </c>
      <c r="Y615" s="339">
        <v>542.5</v>
      </c>
      <c r="Z615" s="339">
        <v>542.5</v>
      </c>
      <c r="AA615" s="339">
        <v>542.5</v>
      </c>
      <c r="AB615" s="339">
        <v>542.5</v>
      </c>
      <c r="AC615" s="339">
        <v>542.5</v>
      </c>
      <c r="AD615" s="339">
        <v>542.5</v>
      </c>
      <c r="AE615" s="339">
        <v>542.5</v>
      </c>
      <c r="AF615" s="271">
        <f t="shared" si="98"/>
        <v>542.5</v>
      </c>
      <c r="AG615" s="296"/>
      <c r="AK615" s="358"/>
    </row>
    <row r="616" spans="2:37" ht="30.75" hidden="1" customHeight="1" outlineLevel="1" thickBot="1">
      <c r="B616" s="579"/>
      <c r="C616" s="281"/>
      <c r="D616" s="1379" t="s">
        <v>1763</v>
      </c>
      <c r="E616" s="1422" t="s">
        <v>1764</v>
      </c>
      <c r="F616" s="1400" t="s">
        <v>1102</v>
      </c>
      <c r="G616" s="1683">
        <v>25</v>
      </c>
      <c r="H616" s="1626" t="s">
        <v>1758</v>
      </c>
      <c r="I616" s="1378"/>
      <c r="V616" s="1379" t="s">
        <v>1763</v>
      </c>
      <c r="W616" s="296"/>
      <c r="X616" s="294"/>
      <c r="Y616" s="311">
        <v>25</v>
      </c>
      <c r="Z616" s="315">
        <v>25</v>
      </c>
      <c r="AA616" s="315">
        <v>25</v>
      </c>
      <c r="AB616" s="315">
        <v>25</v>
      </c>
      <c r="AC616" s="317">
        <v>25</v>
      </c>
      <c r="AD616" s="317">
        <v>25</v>
      </c>
      <c r="AE616" s="317">
        <v>25</v>
      </c>
      <c r="AF616" s="271">
        <f t="shared" si="98"/>
        <v>25</v>
      </c>
      <c r="AG616" s="296"/>
      <c r="AK616" s="358"/>
    </row>
    <row r="617" spans="2:37" ht="30" hidden="1" outlineLevel="1">
      <c r="B617" s="579"/>
      <c r="C617" s="281"/>
      <c r="D617" s="1379" t="s">
        <v>1766</v>
      </c>
      <c r="E617" s="1422" t="s">
        <v>1767</v>
      </c>
      <c r="F617" s="1400" t="s">
        <v>1102</v>
      </c>
      <c r="G617" s="1683">
        <v>2960</v>
      </c>
      <c r="H617" s="1626" t="s">
        <v>1758</v>
      </c>
      <c r="I617" s="1378"/>
      <c r="V617" s="1379" t="s">
        <v>1766</v>
      </c>
      <c r="W617" s="296"/>
      <c r="X617" s="294"/>
      <c r="Y617" s="194">
        <v>2960</v>
      </c>
      <c r="Z617" s="317">
        <v>2960</v>
      </c>
      <c r="AA617" s="317">
        <v>2960</v>
      </c>
      <c r="AB617" s="317">
        <v>2960</v>
      </c>
      <c r="AC617" s="317">
        <v>2960</v>
      </c>
      <c r="AD617" s="317">
        <v>2960</v>
      </c>
      <c r="AE617" s="317">
        <v>2960</v>
      </c>
      <c r="AF617" s="271">
        <f t="shared" si="98"/>
        <v>2960</v>
      </c>
      <c r="AG617" s="296"/>
      <c r="AK617" s="358"/>
    </row>
    <row r="618" spans="2:37" ht="20.25" hidden="1" customHeight="1" outlineLevel="1">
      <c r="B618" s="579"/>
      <c r="C618" s="281"/>
      <c r="D618" s="4381" t="s">
        <v>1768</v>
      </c>
      <c r="E618" s="4381" t="s">
        <v>1769</v>
      </c>
      <c r="F618" s="1400" t="s">
        <v>1770</v>
      </c>
      <c r="G618" s="1684">
        <v>8.8084612296306403E-2</v>
      </c>
      <c r="H618" s="4382" t="s">
        <v>1771</v>
      </c>
      <c r="I618" s="1367"/>
      <c r="V618" s="4381" t="s">
        <v>1768</v>
      </c>
      <c r="W618" s="296"/>
      <c r="X618" s="294"/>
      <c r="Y618" s="196">
        <v>8.8084612296306403E-2</v>
      </c>
      <c r="Z618" s="197">
        <v>8.8084612296306403E-2</v>
      </c>
      <c r="AA618" s="197">
        <v>8.8084612296306403E-2</v>
      </c>
      <c r="AB618" s="197">
        <v>8.8084612296306403E-2</v>
      </c>
      <c r="AC618" s="197">
        <v>8.8084612296306403E-2</v>
      </c>
      <c r="AD618" s="197">
        <v>8.8084612296306403E-2</v>
      </c>
      <c r="AE618" s="197">
        <v>8.8084612296306403E-2</v>
      </c>
      <c r="AF618" s="271">
        <f t="shared" si="98"/>
        <v>8.8084612296306403E-2</v>
      </c>
      <c r="AG618" s="296"/>
      <c r="AK618" s="358"/>
    </row>
    <row r="619" spans="2:37" ht="23.25" hidden="1" customHeight="1" outlineLevel="1">
      <c r="B619" s="579"/>
      <c r="C619" s="281"/>
      <c r="D619" s="4381"/>
      <c r="E619" s="4381"/>
      <c r="F619" s="2419" t="s">
        <v>1772</v>
      </c>
      <c r="G619" s="2512">
        <v>8.8084612296306403E-2</v>
      </c>
      <c r="H619" s="4383"/>
      <c r="I619" s="751"/>
      <c r="V619" s="4381"/>
      <c r="W619" s="2513"/>
      <c r="X619" s="2514"/>
      <c r="Y619" s="2515">
        <v>8.8084612296306403E-2</v>
      </c>
      <c r="Z619" s="2516">
        <v>8.8084612296306403E-2</v>
      </c>
      <c r="AA619" s="2516">
        <v>8.8084612296306403E-2</v>
      </c>
      <c r="AB619" s="2516">
        <v>8.8084612296306403E-2</v>
      </c>
      <c r="AC619" s="2516">
        <v>8.8084612296306403E-2</v>
      </c>
      <c r="AD619" s="2516">
        <v>8.8084612296306403E-2</v>
      </c>
      <c r="AE619" s="2516">
        <v>8.8084612296306403E-2</v>
      </c>
      <c r="AF619" s="2236">
        <f t="shared" si="98"/>
        <v>8.8084612296306403E-2</v>
      </c>
      <c r="AG619" s="296"/>
      <c r="AK619" s="358"/>
    </row>
    <row r="620" spans="2:37" ht="36.75" hidden="1" customHeight="1" outlineLevel="1">
      <c r="B620" s="579"/>
      <c r="C620" s="281"/>
      <c r="D620" s="1379" t="s">
        <v>1773</v>
      </c>
      <c r="E620" s="1422" t="s">
        <v>1774</v>
      </c>
      <c r="F620" s="1400" t="s">
        <v>1102</v>
      </c>
      <c r="G620" s="1683">
        <v>30</v>
      </c>
      <c r="H620" s="1600" t="s">
        <v>1758</v>
      </c>
      <c r="I620" s="1378"/>
      <c r="V620" s="1379" t="s">
        <v>1773</v>
      </c>
      <c r="W620" s="302"/>
      <c r="X620" s="305"/>
      <c r="Y620" s="311">
        <v>30</v>
      </c>
      <c r="Z620" s="315">
        <v>30</v>
      </c>
      <c r="AA620" s="315">
        <v>30</v>
      </c>
      <c r="AB620" s="315">
        <v>30</v>
      </c>
      <c r="AC620" s="317">
        <v>30</v>
      </c>
      <c r="AD620" s="317">
        <v>30</v>
      </c>
      <c r="AE620" s="317">
        <v>30</v>
      </c>
      <c r="AF620" s="271">
        <f t="shared" si="98"/>
        <v>30</v>
      </c>
      <c r="AG620" s="302"/>
      <c r="AK620" s="358"/>
    </row>
    <row r="621" spans="2:37" hidden="1" outlineLevel="1">
      <c r="B621" s="579"/>
      <c r="C621" s="281"/>
      <c r="D621" s="4084" t="s">
        <v>1089</v>
      </c>
      <c r="E621" s="4084" t="s">
        <v>3023</v>
      </c>
      <c r="F621" s="128" t="s">
        <v>3024</v>
      </c>
      <c r="G621" s="1685">
        <v>1</v>
      </c>
      <c r="H621" s="4488"/>
      <c r="I621" s="1430"/>
      <c r="V621" s="1440" t="s">
        <v>1089</v>
      </c>
      <c r="W621" s="302">
        <v>1</v>
      </c>
      <c r="X621" s="305">
        <v>1</v>
      </c>
      <c r="Y621" s="146">
        <v>1</v>
      </c>
      <c r="Z621" s="146">
        <v>1</v>
      </c>
      <c r="AA621" s="146">
        <v>1</v>
      </c>
      <c r="AB621" s="146">
        <v>1</v>
      </c>
      <c r="AC621" s="146">
        <v>1</v>
      </c>
      <c r="AD621" s="146">
        <v>1</v>
      </c>
      <c r="AE621" s="146">
        <v>1</v>
      </c>
      <c r="AF621" s="271">
        <f t="shared" si="98"/>
        <v>1</v>
      </c>
      <c r="AG621" s="302"/>
      <c r="AK621" s="358"/>
    </row>
    <row r="622" spans="2:37" ht="15" hidden="1" customHeight="1" outlineLevel="1">
      <c r="B622" s="579"/>
      <c r="C622" s="281"/>
      <c r="D622" s="4085"/>
      <c r="E622" s="4085"/>
      <c r="F622" s="128" t="s">
        <v>3025</v>
      </c>
      <c r="G622" s="1685">
        <v>1</v>
      </c>
      <c r="H622" s="4489"/>
      <c r="I622" s="1430"/>
      <c r="R622" s="52"/>
      <c r="S622" s="52"/>
      <c r="V622" s="1440" t="s">
        <v>1089</v>
      </c>
      <c r="W622" s="302">
        <v>1</v>
      </c>
      <c r="X622" s="305">
        <v>1</v>
      </c>
      <c r="Y622" s="146">
        <v>1</v>
      </c>
      <c r="Z622" s="146">
        <v>1</v>
      </c>
      <c r="AA622" s="146">
        <v>1</v>
      </c>
      <c r="AB622" s="146">
        <v>1</v>
      </c>
      <c r="AC622" s="146">
        <v>1</v>
      </c>
      <c r="AD622" s="146">
        <v>1</v>
      </c>
      <c r="AE622" s="146">
        <v>1</v>
      </c>
      <c r="AF622" s="271">
        <f t="shared" si="98"/>
        <v>1</v>
      </c>
      <c r="AG622" s="302"/>
      <c r="AK622" s="358"/>
    </row>
    <row r="623" spans="2:37" hidden="1" outlineLevel="1">
      <c r="B623" s="579"/>
      <c r="C623" s="281"/>
      <c r="D623" s="4085"/>
      <c r="E623" s="4085"/>
      <c r="F623" s="128" t="s">
        <v>3026</v>
      </c>
      <c r="G623" s="1685">
        <v>1</v>
      </c>
      <c r="H623" s="4489"/>
      <c r="I623" s="1430"/>
      <c r="Q623" s="52"/>
      <c r="S623" s="52"/>
      <c r="V623" s="1440" t="s">
        <v>1089</v>
      </c>
      <c r="W623" s="302">
        <v>1</v>
      </c>
      <c r="X623" s="305">
        <v>1</v>
      </c>
      <c r="Y623" s="146">
        <v>1</v>
      </c>
      <c r="Z623" s="146">
        <v>1</v>
      </c>
      <c r="AA623" s="146">
        <v>1</v>
      </c>
      <c r="AB623" s="146">
        <v>1</v>
      </c>
      <c r="AC623" s="146">
        <v>1</v>
      </c>
      <c r="AD623" s="146">
        <v>1</v>
      </c>
      <c r="AE623" s="146">
        <v>1</v>
      </c>
      <c r="AF623" s="271">
        <f t="shared" si="98"/>
        <v>1</v>
      </c>
      <c r="AG623" s="302"/>
      <c r="AK623" s="358"/>
    </row>
    <row r="624" spans="2:37" hidden="1" outlineLevel="1">
      <c r="B624" s="579"/>
      <c r="C624" s="281"/>
      <c r="D624" s="4095"/>
      <c r="E624" s="4095"/>
      <c r="F624" s="128" t="s">
        <v>3027</v>
      </c>
      <c r="G624" s="1685">
        <v>1</v>
      </c>
      <c r="H624" s="4490"/>
      <c r="I624" s="1430"/>
      <c r="M624" s="52"/>
      <c r="N624" s="52"/>
      <c r="O624" s="52"/>
      <c r="Q624" s="52"/>
      <c r="R624" s="52"/>
      <c r="S624" s="52"/>
      <c r="V624" s="1440" t="s">
        <v>1089</v>
      </c>
      <c r="W624" s="302">
        <v>1</v>
      </c>
      <c r="X624" s="305">
        <v>1</v>
      </c>
      <c r="Y624" s="146">
        <v>1</v>
      </c>
      <c r="Z624" s="146">
        <v>1</v>
      </c>
      <c r="AA624" s="146">
        <v>1</v>
      </c>
      <c r="AB624" s="146">
        <v>1</v>
      </c>
      <c r="AC624" s="146">
        <v>1</v>
      </c>
      <c r="AD624" s="146">
        <v>1</v>
      </c>
      <c r="AE624" s="146">
        <v>1</v>
      </c>
      <c r="AF624" s="271">
        <f t="shared" si="98"/>
        <v>1</v>
      </c>
      <c r="AG624" s="302"/>
      <c r="AK624" s="358"/>
    </row>
    <row r="625" spans="1:114" ht="45" hidden="1" outlineLevel="1">
      <c r="B625" s="579"/>
      <c r="C625" s="281"/>
      <c r="D625" s="1428" t="s">
        <v>128</v>
      </c>
      <c r="E625" s="1428" t="s">
        <v>1398</v>
      </c>
      <c r="F625" s="128" t="s">
        <v>1102</v>
      </c>
      <c r="G625" s="1662">
        <v>1</v>
      </c>
      <c r="H625" s="1407" t="s">
        <v>1776</v>
      </c>
      <c r="I625" s="1430"/>
      <c r="M625" s="52"/>
      <c r="N625" s="52"/>
      <c r="O625" s="52"/>
      <c r="Q625" s="52"/>
      <c r="R625" s="52"/>
      <c r="S625" s="52"/>
      <c r="V625" s="1422" t="s">
        <v>128</v>
      </c>
      <c r="W625" s="302"/>
      <c r="X625" s="305"/>
      <c r="Y625" s="146"/>
      <c r="Z625" s="146"/>
      <c r="AA625" s="146"/>
      <c r="AB625" s="147">
        <v>1</v>
      </c>
      <c r="AC625" s="146">
        <v>1</v>
      </c>
      <c r="AD625" s="146">
        <v>1</v>
      </c>
      <c r="AE625" s="146">
        <v>1</v>
      </c>
      <c r="AF625" s="271">
        <f t="shared" si="98"/>
        <v>1</v>
      </c>
      <c r="AG625" s="302"/>
      <c r="AK625" s="358"/>
    </row>
    <row r="626" spans="1:114" hidden="1" outlineLevel="1">
      <c r="B626" s="579"/>
      <c r="C626" s="281"/>
      <c r="D626" s="4378" t="str">
        <f>D577</f>
        <v>EUL</v>
      </c>
      <c r="E626" s="4378" t="s">
        <v>1777</v>
      </c>
      <c r="F626" s="128" t="s">
        <v>3024</v>
      </c>
      <c r="G626" s="1686">
        <v>6</v>
      </c>
      <c r="H626" s="4491" t="s">
        <v>3028</v>
      </c>
      <c r="I626" s="1430"/>
      <c r="M626" s="52"/>
      <c r="N626" s="52"/>
      <c r="O626" s="52"/>
      <c r="Q626" s="52"/>
      <c r="R626" s="52"/>
      <c r="S626" s="52"/>
      <c r="V626" s="4378" t="str">
        <f>V577</f>
        <v>EUL</v>
      </c>
      <c r="W626" s="341">
        <v>6</v>
      </c>
      <c r="X626" s="342">
        <v>6</v>
      </c>
      <c r="Y626" s="340">
        <v>6</v>
      </c>
      <c r="Z626" s="340">
        <v>6</v>
      </c>
      <c r="AA626" s="340">
        <v>6</v>
      </c>
      <c r="AB626" s="340">
        <v>6</v>
      </c>
      <c r="AC626" s="340">
        <v>6</v>
      </c>
      <c r="AD626" s="340">
        <v>6</v>
      </c>
      <c r="AE626" s="340">
        <v>6</v>
      </c>
      <c r="AF626" s="271">
        <f t="shared" si="98"/>
        <v>6</v>
      </c>
      <c r="AG626" s="341"/>
      <c r="AK626" s="358"/>
    </row>
    <row r="627" spans="1:114" ht="15" hidden="1" customHeight="1" outlineLevel="1">
      <c r="B627" s="579"/>
      <c r="C627" s="281"/>
      <c r="D627" s="4379"/>
      <c r="E627" s="4379"/>
      <c r="F627" s="128" t="s">
        <v>3025</v>
      </c>
      <c r="G627" s="1686">
        <v>0</v>
      </c>
      <c r="H627" s="4492"/>
      <c r="I627" s="1430"/>
      <c r="M627" s="52"/>
      <c r="N627" s="52"/>
      <c r="O627" s="52"/>
      <c r="Q627" s="52"/>
      <c r="R627" s="52"/>
      <c r="S627" s="52"/>
      <c r="V627" s="4379"/>
      <c r="W627" s="341">
        <v>12</v>
      </c>
      <c r="X627" s="342">
        <v>12</v>
      </c>
      <c r="Y627" s="340">
        <v>12</v>
      </c>
      <c r="Z627" s="340">
        <v>12</v>
      </c>
      <c r="AA627" s="340">
        <v>12</v>
      </c>
      <c r="AB627" s="340">
        <v>12</v>
      </c>
      <c r="AC627" s="920">
        <v>0</v>
      </c>
      <c r="AD627" s="340">
        <v>0</v>
      </c>
      <c r="AE627" s="340">
        <v>0</v>
      </c>
      <c r="AF627" s="271">
        <f t="shared" si="98"/>
        <v>0</v>
      </c>
      <c r="AG627" s="341"/>
      <c r="AK627" s="358"/>
    </row>
    <row r="628" spans="1:114" ht="15" hidden="1" customHeight="1" outlineLevel="1">
      <c r="B628" s="579"/>
      <c r="C628" s="281"/>
      <c r="D628" s="4379"/>
      <c r="E628" s="4379"/>
      <c r="F628" s="128" t="s">
        <v>3026</v>
      </c>
      <c r="G628" s="1686">
        <v>6</v>
      </c>
      <c r="H628" s="4492"/>
      <c r="I628" s="1430"/>
      <c r="M628" s="52"/>
      <c r="N628" s="52"/>
      <c r="O628" s="52"/>
      <c r="Q628" s="52"/>
      <c r="R628" s="52"/>
      <c r="S628" s="52"/>
      <c r="V628" s="4379"/>
      <c r="W628" s="341">
        <v>6</v>
      </c>
      <c r="X628" s="342">
        <v>6</v>
      </c>
      <c r="Y628" s="340">
        <v>6</v>
      </c>
      <c r="Z628" s="340">
        <v>6</v>
      </c>
      <c r="AA628" s="340">
        <v>6</v>
      </c>
      <c r="AB628" s="340">
        <v>6</v>
      </c>
      <c r="AC628" s="340">
        <v>6</v>
      </c>
      <c r="AD628" s="340">
        <v>6</v>
      </c>
      <c r="AE628" s="340">
        <v>6</v>
      </c>
      <c r="AF628" s="271">
        <f t="shared" si="98"/>
        <v>6</v>
      </c>
      <c r="AG628" s="341"/>
      <c r="AK628" s="358"/>
    </row>
    <row r="629" spans="1:114" hidden="1" outlineLevel="1">
      <c r="B629" s="579"/>
      <c r="C629" s="281"/>
      <c r="D629" s="4380"/>
      <c r="E629" s="4380"/>
      <c r="F629" s="128" t="s">
        <v>3027</v>
      </c>
      <c r="G629" s="1686">
        <v>0</v>
      </c>
      <c r="H629" s="4493"/>
      <c r="I629" s="1430"/>
      <c r="M629" s="52"/>
      <c r="N629" s="52"/>
      <c r="O629" s="52"/>
      <c r="Q629" s="52"/>
      <c r="R629" s="52"/>
      <c r="S629" s="52"/>
      <c r="V629" s="4380"/>
      <c r="W629" s="341">
        <v>12</v>
      </c>
      <c r="X629" s="342">
        <v>12</v>
      </c>
      <c r="Y629" s="340">
        <v>12</v>
      </c>
      <c r="Z629" s="340">
        <v>12</v>
      </c>
      <c r="AA629" s="340">
        <v>12</v>
      </c>
      <c r="AB629" s="340">
        <v>12</v>
      </c>
      <c r="AC629" s="920">
        <v>0</v>
      </c>
      <c r="AD629" s="340">
        <v>0</v>
      </c>
      <c r="AE629" s="340">
        <v>0</v>
      </c>
      <c r="AF629" s="271">
        <f t="shared" si="98"/>
        <v>0</v>
      </c>
      <c r="AG629" s="341"/>
      <c r="AK629" s="358"/>
    </row>
    <row r="630" spans="1:114" hidden="1" outlineLevel="1">
      <c r="B630" s="579"/>
      <c r="C630" s="281"/>
      <c r="D630" s="4378" t="str">
        <f>D578</f>
        <v>Inc. Cost</v>
      </c>
      <c r="E630" s="4378" t="s">
        <v>1135</v>
      </c>
      <c r="F630" s="128" t="s">
        <v>3024</v>
      </c>
      <c r="G630" s="1193">
        <f>0.25*0+0.75*350</f>
        <v>262.5</v>
      </c>
      <c r="H630" s="1457" t="s">
        <v>3028</v>
      </c>
      <c r="I630" s="1430"/>
      <c r="M630" s="52"/>
      <c r="N630" s="52"/>
      <c r="O630" s="52"/>
      <c r="Q630" s="52"/>
      <c r="R630" s="52"/>
      <c r="S630" s="52"/>
      <c r="V630" s="4494" t="str">
        <f>V578</f>
        <v>Inc. Cost</v>
      </c>
      <c r="W630" s="298">
        <v>475</v>
      </c>
      <c r="X630" s="275">
        <v>475</v>
      </c>
      <c r="Y630" s="742">
        <f>'HVAC Deemed Table'!Q70</f>
        <v>0</v>
      </c>
      <c r="Z630" s="742">
        <f>'HVAC Deemed Table'!R70</f>
        <v>0</v>
      </c>
      <c r="AA630" s="742">
        <f>'HVAC Deemed Table'!S70</f>
        <v>0</v>
      </c>
      <c r="AB630" s="742">
        <v>0</v>
      </c>
      <c r="AC630" s="742">
        <v>475</v>
      </c>
      <c r="AD630" s="742">
        <v>475</v>
      </c>
      <c r="AE630" s="742">
        <v>475</v>
      </c>
      <c r="AF630" s="271">
        <f t="shared" si="98"/>
        <v>262.5</v>
      </c>
      <c r="AG630" s="298"/>
      <c r="AK630" s="358"/>
    </row>
    <row r="631" spans="1:114" hidden="1" outlineLevel="1">
      <c r="B631" s="579"/>
      <c r="C631" s="281"/>
      <c r="D631" s="4379"/>
      <c r="E631" s="4379"/>
      <c r="F631" s="128" t="s">
        <v>3025</v>
      </c>
      <c r="G631" s="1687"/>
      <c r="H631" s="1430"/>
      <c r="I631" s="1430"/>
      <c r="M631" s="52"/>
      <c r="N631" s="52"/>
      <c r="O631" s="52"/>
      <c r="V631" s="4495"/>
      <c r="W631" s="298"/>
      <c r="X631" s="275"/>
      <c r="Y631" s="742"/>
      <c r="Z631" s="742"/>
      <c r="AA631" s="742"/>
      <c r="AB631" s="742"/>
      <c r="AC631" s="742"/>
      <c r="AD631" s="742"/>
      <c r="AE631" s="742"/>
      <c r="AF631" s="271" t="str">
        <f t="shared" si="98"/>
        <v/>
      </c>
      <c r="AG631" s="298"/>
      <c r="AK631" s="358"/>
    </row>
    <row r="632" spans="1:114" hidden="1" outlineLevel="1">
      <c r="B632" s="579"/>
      <c r="C632" s="281"/>
      <c r="D632" s="4379"/>
      <c r="E632" s="4379"/>
      <c r="F632" s="128" t="s">
        <v>3026</v>
      </c>
      <c r="G632" s="1193">
        <f>0.25*0+0.75*350</f>
        <v>262.5</v>
      </c>
      <c r="H632" s="1457" t="s">
        <v>3028</v>
      </c>
      <c r="I632" s="1430"/>
      <c r="V632" s="4495"/>
      <c r="W632" s="298">
        <v>475</v>
      </c>
      <c r="X632" s="275">
        <v>475</v>
      </c>
      <c r="Y632" s="742">
        <f>'HVAC Deemed Table'!Q70</f>
        <v>0</v>
      </c>
      <c r="Z632" s="742">
        <f>'HVAC Deemed Table'!R70</f>
        <v>0</v>
      </c>
      <c r="AA632" s="742">
        <f>'HVAC Deemed Table'!S70</f>
        <v>0</v>
      </c>
      <c r="AB632" s="742">
        <v>0</v>
      </c>
      <c r="AC632" s="742">
        <v>475</v>
      </c>
      <c r="AD632" s="742">
        <v>475</v>
      </c>
      <c r="AE632" s="742">
        <v>475</v>
      </c>
      <c r="AF632" s="271">
        <f t="shared" si="98"/>
        <v>262.5</v>
      </c>
      <c r="AG632" s="298"/>
      <c r="AK632" s="358"/>
    </row>
    <row r="633" spans="1:114" hidden="1" outlineLevel="1">
      <c r="B633" s="579"/>
      <c r="C633" s="281"/>
      <c r="D633" s="4380"/>
      <c r="E633" s="4380"/>
      <c r="F633" s="128" t="s">
        <v>3027</v>
      </c>
      <c r="G633" s="1687"/>
      <c r="H633" s="1430"/>
      <c r="I633" s="1430"/>
      <c r="V633" s="4496"/>
      <c r="W633" s="298"/>
      <c r="X633" s="275"/>
      <c r="Y633" s="742"/>
      <c r="Z633" s="742"/>
      <c r="AA633" s="742"/>
      <c r="AB633" s="742"/>
      <c r="AC633" s="742"/>
      <c r="AD633" s="742"/>
      <c r="AE633" s="742"/>
      <c r="AF633" s="271" t="str">
        <f t="shared" si="98"/>
        <v/>
      </c>
      <c r="AG633" s="298"/>
      <c r="AK633" s="358"/>
    </row>
    <row r="634" spans="1:114" hidden="1" outlineLevel="1">
      <c r="C634" s="281"/>
      <c r="AK634" s="358"/>
    </row>
    <row r="635" spans="1:114" collapsed="1">
      <c r="C635" s="281"/>
      <c r="AK635" s="358"/>
    </row>
    <row r="636" spans="1:114" s="52" customFormat="1">
      <c r="A636" s="283"/>
      <c r="B636" s="4183" t="s">
        <v>3029</v>
      </c>
      <c r="C636" s="4184"/>
      <c r="D636" s="4184"/>
      <c r="E636" s="4184"/>
      <c r="F636" s="4184"/>
      <c r="G636" s="4184"/>
      <c r="H636" s="4184"/>
      <c r="I636" s="4840"/>
      <c r="J636" s="4840"/>
      <c r="K636" s="4840"/>
      <c r="L636" s="4840"/>
      <c r="M636" s="4840"/>
      <c r="N636" s="4840"/>
      <c r="O636" s="4840"/>
      <c r="P636" s="4840"/>
      <c r="Q636" s="4840"/>
      <c r="R636" s="4841"/>
      <c r="V636" s="4066" t="str">
        <f>B636</f>
        <v>Heat Pump (HP) Tune-up</v>
      </c>
      <c r="W636" s="4067"/>
      <c r="X636" s="4067"/>
      <c r="Y636" s="4067"/>
      <c r="Z636" s="4067"/>
      <c r="AA636" s="4067"/>
      <c r="AB636" s="4067"/>
      <c r="AC636" s="4837"/>
      <c r="AD636" s="4837"/>
      <c r="AE636" s="4837"/>
      <c r="AF636" s="4837"/>
      <c r="AG636" s="4837"/>
      <c r="AH636" s="4837"/>
      <c r="AI636" s="4838"/>
      <c r="AK636" s="358"/>
      <c r="DG636" s="261"/>
      <c r="DJ636" s="1102"/>
    </row>
    <row r="637" spans="1:114" s="7" customFormat="1">
      <c r="A637" s="283"/>
      <c r="B637" s="66"/>
      <c r="C637" s="64"/>
      <c r="D637" s="2206" t="s">
        <v>2664</v>
      </c>
      <c r="E637" s="65"/>
      <c r="F637" s="66"/>
      <c r="G637" s="66"/>
      <c r="H637" s="66"/>
      <c r="I637" s="66"/>
      <c r="J637" s="66"/>
      <c r="K637" s="66"/>
      <c r="L637" s="66"/>
      <c r="M637" s="66"/>
      <c r="N637" s="66"/>
      <c r="O637" s="66"/>
      <c r="P637" s="66"/>
      <c r="Q637" s="66"/>
      <c r="R637" s="66"/>
      <c r="S637" s="66"/>
      <c r="T637" s="66"/>
      <c r="U637" s="66"/>
      <c r="V637" s="273"/>
      <c r="W637" s="273"/>
      <c r="X637" s="273"/>
      <c r="Y637" s="284"/>
      <c r="Z637" s="273"/>
      <c r="AA637" s="273"/>
      <c r="AB637" s="273"/>
      <c r="AC637" s="273"/>
      <c r="AD637" s="273"/>
      <c r="AE637" s="273"/>
      <c r="AF637" s="273"/>
      <c r="AG637" s="273"/>
      <c r="AH637" s="273"/>
      <c r="AI637" s="273"/>
      <c r="AK637" s="358"/>
      <c r="DG637" s="1059"/>
      <c r="DH637" s="66"/>
      <c r="DI637" s="66"/>
      <c r="DJ637" s="1102"/>
    </row>
    <row r="638" spans="1:114" s="343" customFormat="1" ht="48.75" customHeight="1">
      <c r="A638" s="283"/>
      <c r="B638" s="611"/>
      <c r="C638" s="1371" t="s">
        <v>42</v>
      </c>
      <c r="D638" s="1371" t="s">
        <v>953</v>
      </c>
      <c r="E638" s="1371" t="s">
        <v>44</v>
      </c>
      <c r="F638" s="1371" t="s">
        <v>45</v>
      </c>
      <c r="G638" s="1371" t="s">
        <v>46</v>
      </c>
      <c r="H638" s="1371" t="s">
        <v>47</v>
      </c>
      <c r="I638" s="1371" t="s">
        <v>48</v>
      </c>
      <c r="J638" s="1383" t="s">
        <v>49</v>
      </c>
      <c r="K638" s="1371" t="s">
        <v>50</v>
      </c>
      <c r="L638" s="1371" t="s">
        <v>51</v>
      </c>
      <c r="M638" s="283"/>
      <c r="N638" s="283"/>
      <c r="O638" s="283"/>
      <c r="P638" s="283"/>
      <c r="Q638" s="283"/>
      <c r="R638" s="283"/>
      <c r="S638" s="611"/>
      <c r="T638" s="611"/>
      <c r="U638" s="611"/>
      <c r="V638" s="668" t="s">
        <v>52</v>
      </c>
      <c r="W638" s="669">
        <f>W$6</f>
        <v>43252</v>
      </c>
      <c r="X638" s="669">
        <f t="shared" ref="X638:AG638" si="100">X$6</f>
        <v>43465</v>
      </c>
      <c r="Y638" s="115">
        <f t="shared" si="100"/>
        <v>43800</v>
      </c>
      <c r="Z638" s="669">
        <f t="shared" si="100"/>
        <v>43862</v>
      </c>
      <c r="AA638" s="669">
        <f t="shared" si="100"/>
        <v>44013</v>
      </c>
      <c r="AB638" s="669">
        <f t="shared" si="100"/>
        <v>44166</v>
      </c>
      <c r="AC638" s="669">
        <f t="shared" si="100"/>
        <v>44531</v>
      </c>
      <c r="AD638" s="669">
        <f t="shared" si="100"/>
        <v>44774</v>
      </c>
      <c r="AE638" s="669">
        <f t="shared" si="100"/>
        <v>45139</v>
      </c>
      <c r="AF638" s="669">
        <f t="shared" si="100"/>
        <v>45672</v>
      </c>
      <c r="AG638" s="669" t="str">
        <f t="shared" si="100"/>
        <v>-</v>
      </c>
      <c r="AH638" s="273"/>
      <c r="AI638" s="273"/>
      <c r="AK638" s="358"/>
      <c r="DG638" s="1060" t="str">
        <f>$DG$6</f>
        <v>TRC (2025)</v>
      </c>
      <c r="DH638" s="811" t="str">
        <f>$DH$6</f>
        <v>Benefit Lookup</v>
      </c>
      <c r="DI638" s="1076" t="str">
        <f>$DI$6</f>
        <v>Benefits (2025 $)</v>
      </c>
      <c r="DJ638" s="1103" t="str">
        <f>$DJ$6</f>
        <v>Incremental Cost (2025 $)</v>
      </c>
    </row>
    <row r="639" spans="1:114" s="343" customFormat="1">
      <c r="A639" s="283"/>
      <c r="B639" s="1454">
        <f t="shared" ref="B639:B666" si="101">VALUE(LEFT(C639,6))</f>
        <v>402950</v>
      </c>
      <c r="C639" s="2517" t="s">
        <v>3030</v>
      </c>
      <c r="D639" s="2402" t="s">
        <v>1486</v>
      </c>
      <c r="E639" s="2495" t="s">
        <v>3031</v>
      </c>
      <c r="F639" s="2518">
        <f>ROUND((G673*G675*(1/G677-1/G682)/G687),2)</f>
        <v>141.72</v>
      </c>
      <c r="G639" s="2402" t="s">
        <v>1045</v>
      </c>
      <c r="H639" s="2213">
        <f>VLOOKUP(G639,'CP FACTORS'!$A$3:$B$38, 2, FALSE)</f>
        <v>9.4741810000000004E-4</v>
      </c>
      <c r="I639" s="2519">
        <f>ROUND(F639*H639,6)</f>
        <v>0.134268</v>
      </c>
      <c r="J639" s="2520">
        <f>$G$702</f>
        <v>2</v>
      </c>
      <c r="K639" s="2482">
        <f>$G$703</f>
        <v>70</v>
      </c>
      <c r="L639" s="2517" t="s">
        <v>62</v>
      </c>
      <c r="M639" s="283"/>
      <c r="N639" s="283"/>
      <c r="O639" s="283"/>
      <c r="P639" s="283"/>
      <c r="Q639" s="283"/>
      <c r="R639" s="532"/>
      <c r="S639" s="611"/>
      <c r="T639" s="611"/>
      <c r="U639" s="611"/>
      <c r="V639" s="2413" t="str">
        <f>$F$513</f>
        <v>kWh
Annual Savings</v>
      </c>
      <c r="W639" s="2527">
        <v>146.05813953488371</v>
      </c>
      <c r="X639" s="2449">
        <v>146.05813953488371</v>
      </c>
      <c r="Y639" s="2528">
        <v>146.06</v>
      </c>
      <c r="Z639" s="2528">
        <v>146.06</v>
      </c>
      <c r="AA639" s="2528">
        <v>146.06</v>
      </c>
      <c r="AB639" s="2528">
        <v>146.06</v>
      </c>
      <c r="AC639" s="2518">
        <f>F639</f>
        <v>141.72</v>
      </c>
      <c r="AD639" s="2518">
        <v>141.72</v>
      </c>
      <c r="AE639" s="2518">
        <v>141.72</v>
      </c>
      <c r="AF639" s="2236">
        <f t="shared" ref="AF639:AF666" si="102">IF(F639&lt;&gt;"",F639,"")</f>
        <v>141.72</v>
      </c>
      <c r="AG639" s="2413"/>
      <c r="AH639" s="121"/>
      <c r="AI639" s="273"/>
      <c r="AK639" s="358"/>
      <c r="DG639" s="2418">
        <f>(DI639+DI640)/(DJ639+DJ640)</f>
        <v>0.92937262898050876</v>
      </c>
      <c r="DH639" s="2557" t="str">
        <f>CONCATENATE(G639," ",J639," Year EUL")</f>
        <v>Cooling RES 2 Year EUL</v>
      </c>
      <c r="DI639" s="2420">
        <f>(INDEX('Avoided Cost Benefits'!$B$4:$B$865,MATCH(DH639,'Avoided Cost Benefits'!$A$4:$A$865,0)))*F639</f>
        <v>52.991047468025485</v>
      </c>
      <c r="DJ639" s="2556">
        <f t="shared" ref="DJ639:DJ666" si="103">K639/(1.0686^(2025-2025))</f>
        <v>70</v>
      </c>
    </row>
    <row r="640" spans="1:114" s="343" customFormat="1">
      <c r="A640" s="283"/>
      <c r="B640" s="1454">
        <f t="shared" si="101"/>
        <v>402950</v>
      </c>
      <c r="C640" s="2517" t="s">
        <v>3030</v>
      </c>
      <c r="D640" s="2402" t="s">
        <v>1486</v>
      </c>
      <c r="E640" s="2423" t="s">
        <v>3031</v>
      </c>
      <c r="F640" s="2518">
        <f>ROUND((G688*G690*(1/G692-1/G697)/G687),2)</f>
        <v>114.06</v>
      </c>
      <c r="G640" s="2402" t="s">
        <v>1046</v>
      </c>
      <c r="H640" s="2213">
        <f>VLOOKUP(G640,'CP FACTORS'!$A$3:$B$38, 2, FALSE)</f>
        <v>0</v>
      </c>
      <c r="I640" s="2519">
        <f t="shared" ref="I640:I660" si="104">ROUND(F640*H640,6)</f>
        <v>0</v>
      </c>
      <c r="J640" s="2520">
        <f t="shared" ref="J640:J666" si="105">$G$702</f>
        <v>2</v>
      </c>
      <c r="K640" s="2482">
        <v>0</v>
      </c>
      <c r="L640" s="2408" t="s">
        <v>62</v>
      </c>
      <c r="M640" s="283"/>
      <c r="N640" s="283"/>
      <c r="O640" s="283"/>
      <c r="P640" s="283"/>
      <c r="Q640" s="283"/>
      <c r="R640" s="532"/>
      <c r="S640" s="611"/>
      <c r="T640" s="611"/>
      <c r="U640" s="611"/>
      <c r="V640" s="2413" t="str">
        <f t="shared" ref="V640:V666" si="106">$F$513</f>
        <v>kWh
Annual Savings</v>
      </c>
      <c r="W640" s="2527">
        <v>157.864509605661</v>
      </c>
      <c r="X640" s="2449">
        <v>157.864509605661</v>
      </c>
      <c r="Y640" s="2529">
        <v>117.55</v>
      </c>
      <c r="Z640" s="2528">
        <v>117.55</v>
      </c>
      <c r="AA640" s="2528">
        <v>117.55</v>
      </c>
      <c r="AB640" s="2528">
        <v>117.55</v>
      </c>
      <c r="AC640" s="2518">
        <f t="shared" ref="AC640:AC666" si="107">F640</f>
        <v>114.06</v>
      </c>
      <c r="AD640" s="2518">
        <v>114.06</v>
      </c>
      <c r="AE640" s="2518">
        <v>114.06</v>
      </c>
      <c r="AF640" s="2236">
        <f t="shared" si="102"/>
        <v>114.06</v>
      </c>
      <c r="AG640" s="2413"/>
      <c r="AH640" s="121"/>
      <c r="AI640" s="273"/>
      <c r="AK640" s="358"/>
      <c r="DG640" s="2508"/>
      <c r="DH640" s="2558" t="str">
        <f>CONCATENATE(G640," ",J640," Year EUL")</f>
        <v>Heating RES 2 Year EUL</v>
      </c>
      <c r="DI640" s="2336">
        <f>(INDEX('Avoided Cost Benefits'!$B$4:$B$865,MATCH(DH640,'Avoided Cost Benefits'!$A$4:$A$865,0)))*F640</f>
        <v>12.065036560610121</v>
      </c>
      <c r="DJ640" s="2507">
        <f t="shared" si="103"/>
        <v>0</v>
      </c>
    </row>
    <row r="641" spans="1:114" s="343" customFormat="1">
      <c r="A641" s="283"/>
      <c r="B641" s="1454">
        <f t="shared" si="101"/>
        <v>403000</v>
      </c>
      <c r="C641" s="2517" t="s">
        <v>3032</v>
      </c>
      <c r="D641" s="2402" t="s">
        <v>959</v>
      </c>
      <c r="E641" s="2495" t="s">
        <v>3031</v>
      </c>
      <c r="F641" s="2518">
        <f>ROUND((G673*G676*(1/G677-1/G682)/G687),2)</f>
        <v>87.28</v>
      </c>
      <c r="G641" s="2402" t="s">
        <v>1045</v>
      </c>
      <c r="H641" s="2213">
        <f>VLOOKUP(G641,'CP FACTORS'!$A$3:$B$38, 2, FALSE)</f>
        <v>9.4741810000000004E-4</v>
      </c>
      <c r="I641" s="2519">
        <f t="shared" si="104"/>
        <v>8.2691000000000001E-2</v>
      </c>
      <c r="J641" s="2520">
        <f t="shared" si="105"/>
        <v>2</v>
      </c>
      <c r="K641" s="2482">
        <f>$G$703</f>
        <v>70</v>
      </c>
      <c r="L641" s="2517" t="s">
        <v>62</v>
      </c>
      <c r="M641" s="283"/>
      <c r="N641" s="283"/>
      <c r="O641" s="283"/>
      <c r="P641" s="283"/>
      <c r="Q641" s="283"/>
      <c r="R641" s="532"/>
      <c r="S641" s="611"/>
      <c r="T641" s="611"/>
      <c r="U641" s="611"/>
      <c r="V641" s="2413" t="str">
        <f t="shared" si="106"/>
        <v>kWh
Annual Savings</v>
      </c>
      <c r="W641" s="2527">
        <v>94.937790697674416</v>
      </c>
      <c r="X641" s="2449">
        <v>94.937790697674416</v>
      </c>
      <c r="Y641" s="2529">
        <v>87.28</v>
      </c>
      <c r="Z641" s="2528">
        <v>87.28</v>
      </c>
      <c r="AA641" s="2528">
        <v>87.28</v>
      </c>
      <c r="AB641" s="2528">
        <v>87.28</v>
      </c>
      <c r="AC641" s="2518">
        <f t="shared" si="107"/>
        <v>87.28</v>
      </c>
      <c r="AD641" s="2518">
        <v>87.28</v>
      </c>
      <c r="AE641" s="2518">
        <v>87.28</v>
      </c>
      <c r="AF641" s="2236">
        <f t="shared" si="102"/>
        <v>87.28</v>
      </c>
      <c r="AG641" s="2413"/>
      <c r="AH641" s="121"/>
      <c r="AK641" s="358"/>
      <c r="DG641" s="2422">
        <f>(DI641+DI642)/(DJ641+DJ642)</f>
        <v>0.57237270914039817</v>
      </c>
      <c r="DH641" s="2557" t="str">
        <f t="shared" ref="DH641:DH658" si="108">CONCATENATE(G641," ",J641," Year EUL")</f>
        <v>Cooling RES 2 Year EUL</v>
      </c>
      <c r="DI641" s="2336">
        <f>(INDEX('Avoided Cost Benefits'!$B$4:$B$865,MATCH(DH641,'Avoided Cost Benefits'!$A$4:$A$865,0)))*F641</f>
        <v>32.635186445168387</v>
      </c>
      <c r="DJ641" s="2507">
        <f t="shared" si="103"/>
        <v>70</v>
      </c>
    </row>
    <row r="642" spans="1:114" s="343" customFormat="1">
      <c r="A642" s="283"/>
      <c r="B642" s="1454">
        <f t="shared" si="101"/>
        <v>403000</v>
      </c>
      <c r="C642" s="2517" t="s">
        <v>3032</v>
      </c>
      <c r="D642" s="2402" t="s">
        <v>959</v>
      </c>
      <c r="E642" s="2423" t="s">
        <v>3031</v>
      </c>
      <c r="F642" s="2518">
        <f>ROUND((G688*G691*(1/G692-1/G697)/G687),2)</f>
        <v>70.25</v>
      </c>
      <c r="G642" s="2402" t="s">
        <v>1046</v>
      </c>
      <c r="H642" s="2213">
        <f>VLOOKUP(G642,'CP FACTORS'!$A$3:$B$38, 2, FALSE)</f>
        <v>0</v>
      </c>
      <c r="I642" s="2519">
        <f t="shared" si="104"/>
        <v>0</v>
      </c>
      <c r="J642" s="2520">
        <f t="shared" si="105"/>
        <v>2</v>
      </c>
      <c r="K642" s="2482">
        <v>0</v>
      </c>
      <c r="L642" s="2408" t="s">
        <v>62</v>
      </c>
      <c r="M642" s="283"/>
      <c r="N642" s="283"/>
      <c r="O642" s="283"/>
      <c r="P642" s="283"/>
      <c r="Q642" s="283"/>
      <c r="R642" s="532"/>
      <c r="S642" s="611"/>
      <c r="T642" s="611"/>
      <c r="U642" s="611"/>
      <c r="V642" s="2413" t="str">
        <f t="shared" si="106"/>
        <v>kWh
Annual Savings</v>
      </c>
      <c r="W642" s="2527">
        <v>102.61193124367966</v>
      </c>
      <c r="X642" s="2449">
        <v>102.61193124367966</v>
      </c>
      <c r="Y642" s="2529">
        <v>70.25</v>
      </c>
      <c r="Z642" s="2528">
        <v>70.25</v>
      </c>
      <c r="AA642" s="2528">
        <v>70.25</v>
      </c>
      <c r="AB642" s="2528">
        <v>70.25</v>
      </c>
      <c r="AC642" s="2518">
        <f t="shared" si="107"/>
        <v>70.25</v>
      </c>
      <c r="AD642" s="2518">
        <v>70.25</v>
      </c>
      <c r="AE642" s="2518">
        <v>70.25</v>
      </c>
      <c r="AF642" s="2236">
        <f t="shared" si="102"/>
        <v>70.25</v>
      </c>
      <c r="AG642" s="2413"/>
      <c r="AH642" s="121"/>
      <c r="AK642" s="358"/>
      <c r="DG642" s="2508"/>
      <c r="DH642" s="2558" t="str">
        <f t="shared" si="108"/>
        <v>Heating RES 2 Year EUL</v>
      </c>
      <c r="DI642" s="2336">
        <f>(INDEX('Avoided Cost Benefits'!$B$4:$B$865,MATCH(DH642,'Avoided Cost Benefits'!$A$4:$A$865,0)))*F642</f>
        <v>7.4309031946594866</v>
      </c>
      <c r="DJ642" s="2507">
        <f t="shared" si="103"/>
        <v>0</v>
      </c>
    </row>
    <row r="643" spans="1:114" s="1509" customFormat="1">
      <c r="A643" s="283"/>
      <c r="B643" s="1454">
        <f t="shared" si="101"/>
        <v>403050</v>
      </c>
      <c r="C643" s="2517" t="s">
        <v>3033</v>
      </c>
      <c r="D643" s="2402" t="s">
        <v>1486</v>
      </c>
      <c r="E643" s="2495" t="s">
        <v>3034</v>
      </c>
      <c r="F643" s="2518">
        <f>ROUND((G673*G675*(1/G678-1/G683)/G687),2)</f>
        <v>591.08000000000004</v>
      </c>
      <c r="G643" s="2402" t="s">
        <v>1045</v>
      </c>
      <c r="H643" s="2213">
        <f>VLOOKUP(G643,'CP FACTORS'!$A$3:$B$38, 2, FALSE)</f>
        <v>9.4741810000000004E-4</v>
      </c>
      <c r="I643" s="2519">
        <f t="shared" si="104"/>
        <v>0.56000000000000005</v>
      </c>
      <c r="J643" s="2520">
        <f t="shared" si="105"/>
        <v>2</v>
      </c>
      <c r="K643" s="2482">
        <f>$G$704</f>
        <v>81</v>
      </c>
      <c r="L643" s="2517" t="s">
        <v>62</v>
      </c>
      <c r="M643" s="283"/>
      <c r="N643" s="283"/>
      <c r="O643" s="283"/>
      <c r="P643" s="283"/>
      <c r="Q643" s="283"/>
      <c r="R643" s="532"/>
      <c r="S643" s="77"/>
      <c r="T643" s="75"/>
      <c r="U643" s="75"/>
      <c r="V643" s="2413" t="str">
        <f t="shared" si="106"/>
        <v>kWh
Annual Savings</v>
      </c>
      <c r="W643" s="2527">
        <v>609.19309466886068</v>
      </c>
      <c r="X643" s="2449">
        <v>609.19309466886068</v>
      </c>
      <c r="Y643" s="2529">
        <v>609.19000000000005</v>
      </c>
      <c r="Z643" s="2528">
        <v>609.19000000000005</v>
      </c>
      <c r="AA643" s="2528">
        <v>609.19000000000005</v>
      </c>
      <c r="AB643" s="2528">
        <v>609.19000000000005</v>
      </c>
      <c r="AC643" s="2518">
        <f t="shared" si="107"/>
        <v>591.08000000000004</v>
      </c>
      <c r="AD643" s="2518">
        <v>591.08000000000004</v>
      </c>
      <c r="AE643" s="2518">
        <v>591.08000000000004</v>
      </c>
      <c r="AF643" s="2236">
        <f t="shared" si="102"/>
        <v>591.08000000000004</v>
      </c>
      <c r="AG643" s="2413"/>
      <c r="AH643" s="121"/>
      <c r="AK643" s="358"/>
      <c r="DG643" s="2422">
        <f>(DI643+DI644)/(DJ643+DJ644)</f>
        <v>3.445624575940375</v>
      </c>
      <c r="DH643" s="2557" t="str">
        <f t="shared" si="108"/>
        <v>Cooling RES 2 Year EUL</v>
      </c>
      <c r="DI643" s="2336">
        <f>(INDEX('Avoided Cost Benefits'!$B$4:$B$865,MATCH(DH643,'Avoided Cost Benefits'!$A$4:$A$865,0)))*F643</f>
        <v>221.01290105419491</v>
      </c>
      <c r="DJ643" s="2507">
        <f t="shared" si="103"/>
        <v>81</v>
      </c>
    </row>
    <row r="644" spans="1:114" s="1509" customFormat="1">
      <c r="A644" s="283"/>
      <c r="B644" s="1454">
        <f t="shared" si="101"/>
        <v>403050</v>
      </c>
      <c r="C644" s="2517" t="s">
        <v>3033</v>
      </c>
      <c r="D644" s="2402" t="s">
        <v>1486</v>
      </c>
      <c r="E644" s="2423" t="s">
        <v>3034</v>
      </c>
      <c r="F644" s="2518">
        <f>ROUND((G688*G690*(1/G693-1/G698)/G687),2)</f>
        <v>549.1</v>
      </c>
      <c r="G644" s="2402" t="s">
        <v>1046</v>
      </c>
      <c r="H644" s="2213">
        <f>VLOOKUP(G644,'CP FACTORS'!$A$3:$B$38, 2, FALSE)</f>
        <v>0</v>
      </c>
      <c r="I644" s="2519">
        <f t="shared" si="104"/>
        <v>0</v>
      </c>
      <c r="J644" s="2520">
        <f t="shared" si="105"/>
        <v>2</v>
      </c>
      <c r="K644" s="2482">
        <v>0</v>
      </c>
      <c r="L644" s="2408" t="s">
        <v>62</v>
      </c>
      <c r="M644" s="73"/>
      <c r="N644" s="612"/>
      <c r="O644" s="612"/>
      <c r="P644" s="612"/>
      <c r="Q644" s="612"/>
      <c r="R644" s="532"/>
      <c r="S644" s="77"/>
      <c r="T644" s="75"/>
      <c r="U644" s="75"/>
      <c r="V644" s="2413" t="str">
        <f t="shared" si="106"/>
        <v>kWh
Annual Savings</v>
      </c>
      <c r="W644" s="2527">
        <v>759.98528433977378</v>
      </c>
      <c r="X644" s="2449">
        <v>759.98528433977378</v>
      </c>
      <c r="Y644" s="2529">
        <v>565.91999999999996</v>
      </c>
      <c r="Z644" s="2528">
        <v>565.91999999999996</v>
      </c>
      <c r="AA644" s="2528">
        <v>565.91999999999996</v>
      </c>
      <c r="AB644" s="2528">
        <v>565.91999999999996</v>
      </c>
      <c r="AC644" s="2518">
        <f t="shared" si="107"/>
        <v>549.1</v>
      </c>
      <c r="AD644" s="2518">
        <v>549.1</v>
      </c>
      <c r="AE644" s="2518">
        <v>549.1</v>
      </c>
      <c r="AF644" s="2236">
        <f t="shared" si="102"/>
        <v>549.1</v>
      </c>
      <c r="AG644" s="2413"/>
      <c r="AH644" s="121"/>
      <c r="AK644" s="358"/>
      <c r="DG644" s="2508"/>
      <c r="DH644" s="2558" t="str">
        <f t="shared" si="108"/>
        <v>Heating RES 2 Year EUL</v>
      </c>
      <c r="DI644" s="2336">
        <f>(INDEX('Avoided Cost Benefits'!$B$4:$B$865,MATCH(DH644,'Avoided Cost Benefits'!$A$4:$A$865,0)))*F644</f>
        <v>58.082689596975435</v>
      </c>
      <c r="DJ644" s="2507">
        <f t="shared" si="103"/>
        <v>0</v>
      </c>
    </row>
    <row r="645" spans="1:114">
      <c r="B645" s="1454">
        <f t="shared" si="101"/>
        <v>403100</v>
      </c>
      <c r="C645" s="2517" t="s">
        <v>3035</v>
      </c>
      <c r="D645" s="2402" t="s">
        <v>959</v>
      </c>
      <c r="E645" s="2495" t="s">
        <v>3036</v>
      </c>
      <c r="F645" s="2518">
        <f>ROUND(($G$673*$G$676*(1/$G$678-1/$G$683)/$G$687),2)</f>
        <v>364.03</v>
      </c>
      <c r="G645" s="2402" t="s">
        <v>1045</v>
      </c>
      <c r="H645" s="2213">
        <f>VLOOKUP(G645,'CP FACTORS'!$A$3:$B$38, 2, FALSE)</f>
        <v>9.4741810000000004E-4</v>
      </c>
      <c r="I645" s="2519">
        <f t="shared" si="104"/>
        <v>0.344889</v>
      </c>
      <c r="J645" s="2520">
        <f t="shared" si="105"/>
        <v>2</v>
      </c>
      <c r="K645" s="2482">
        <f>$G$704</f>
        <v>81</v>
      </c>
      <c r="L645" s="2517" t="s">
        <v>62</v>
      </c>
      <c r="R645" s="532"/>
      <c r="V645" s="2413" t="str">
        <f t="shared" si="106"/>
        <v>kWh
Annual Savings</v>
      </c>
      <c r="W645" s="2527">
        <v>395.97551153475945</v>
      </c>
      <c r="X645" s="2449">
        <v>395.97551153475945</v>
      </c>
      <c r="Y645" s="2529">
        <v>364.03</v>
      </c>
      <c r="Z645" s="2528">
        <v>364.03</v>
      </c>
      <c r="AA645" s="2528">
        <v>364.03</v>
      </c>
      <c r="AB645" s="2528">
        <v>364.03</v>
      </c>
      <c r="AC645" s="2518">
        <f t="shared" si="107"/>
        <v>364.03</v>
      </c>
      <c r="AD645" s="2518">
        <v>364.03</v>
      </c>
      <c r="AE645" s="2518">
        <v>364.03</v>
      </c>
      <c r="AF645" s="2236">
        <f t="shared" si="102"/>
        <v>364.03</v>
      </c>
      <c r="AG645" s="2413"/>
      <c r="AH645" s="121"/>
      <c r="AK645" s="358"/>
      <c r="DG645" s="2422">
        <f>(DI645+DI646)/(DJ645+DJ646)</f>
        <v>2.1220715627570024</v>
      </c>
      <c r="DH645" s="2557" t="str">
        <f t="shared" si="108"/>
        <v>Cooling RES 2 Year EUL</v>
      </c>
      <c r="DI645" s="2336">
        <f>(INDEX('Avoided Cost Benefits'!$B$4:$B$865,MATCH(DH645,'Avoided Cost Benefits'!$A$4:$A$865,0)))*F645</f>
        <v>136.1157988271614</v>
      </c>
      <c r="DJ645" s="2507">
        <f t="shared" si="103"/>
        <v>81</v>
      </c>
    </row>
    <row r="646" spans="1:114">
      <c r="B646" s="1454">
        <f t="shared" si="101"/>
        <v>403100</v>
      </c>
      <c r="C646" s="2517" t="s">
        <v>3035</v>
      </c>
      <c r="D646" s="2402" t="s">
        <v>959</v>
      </c>
      <c r="E646" s="2423" t="s">
        <v>3036</v>
      </c>
      <c r="F646" s="2518">
        <f>ROUND(($G$688*$G$691*(1/$G$693-1/$G$698)/$G$687),2)</f>
        <v>338.18</v>
      </c>
      <c r="G646" s="2402" t="s">
        <v>1046</v>
      </c>
      <c r="H646" s="2213">
        <f>VLOOKUP(G646,'CP FACTORS'!$A$3:$B$38, 2, FALSE)</f>
        <v>0</v>
      </c>
      <c r="I646" s="2519">
        <f t="shared" si="104"/>
        <v>0</v>
      </c>
      <c r="J646" s="2520">
        <f t="shared" si="105"/>
        <v>2</v>
      </c>
      <c r="K646" s="2482">
        <v>0</v>
      </c>
      <c r="L646" s="2408" t="s">
        <v>62</v>
      </c>
      <c r="R646" s="532"/>
      <c r="V646" s="2413" t="str">
        <f t="shared" si="106"/>
        <v>kWh
Annual Savings</v>
      </c>
      <c r="W646" s="2527">
        <v>493.99043482085307</v>
      </c>
      <c r="X646" s="2449">
        <v>493.99043482085307</v>
      </c>
      <c r="Y646" s="2529">
        <v>338.18</v>
      </c>
      <c r="Z646" s="2528">
        <v>338.18</v>
      </c>
      <c r="AA646" s="2528">
        <v>338.18</v>
      </c>
      <c r="AB646" s="2528">
        <v>338.18</v>
      </c>
      <c r="AC646" s="2518">
        <f t="shared" si="107"/>
        <v>338.18</v>
      </c>
      <c r="AD646" s="2518">
        <v>338.18</v>
      </c>
      <c r="AE646" s="2518">
        <v>338.18</v>
      </c>
      <c r="AF646" s="2236">
        <f t="shared" si="102"/>
        <v>338.18</v>
      </c>
      <c r="AG646" s="2413"/>
      <c r="AH646" s="121"/>
      <c r="AK646" s="358"/>
      <c r="DG646" s="2508"/>
      <c r="DH646" s="2558" t="str">
        <f t="shared" si="108"/>
        <v>Heating RES 2 Year EUL</v>
      </c>
      <c r="DI646" s="2336">
        <f>(INDEX('Avoided Cost Benefits'!$B$4:$B$865,MATCH(DH646,'Avoided Cost Benefits'!$A$4:$A$865,0)))*F646</f>
        <v>35.771997756155805</v>
      </c>
      <c r="DJ646" s="2507">
        <f t="shared" si="103"/>
        <v>0</v>
      </c>
    </row>
    <row r="647" spans="1:114">
      <c r="B647" s="1454">
        <f t="shared" si="101"/>
        <v>403101</v>
      </c>
      <c r="C647" s="2517" t="s">
        <v>3037</v>
      </c>
      <c r="D647" s="2408" t="s">
        <v>2670</v>
      </c>
      <c r="E647" s="2521" t="str">
        <f>CONCATENATE(E645,"_CompE")</f>
        <v>HP tune-up / Refrigerant charge MF_CompE</v>
      </c>
      <c r="F647" s="2518">
        <f>ROUND(($G$674*$G$676*(1/$G$678-1/$G$683)/$G$687),2)</f>
        <v>264.75</v>
      </c>
      <c r="G647" s="2402" t="s">
        <v>1045</v>
      </c>
      <c r="H647" s="2213">
        <f>VLOOKUP(G647,'CP FACTORS'!$A$3:$B$38, 2, FALSE)</f>
        <v>9.4741810000000004E-4</v>
      </c>
      <c r="I647" s="2519">
        <f t="shared" si="104"/>
        <v>0.25082900000000002</v>
      </c>
      <c r="J647" s="2520">
        <f t="shared" si="105"/>
        <v>2</v>
      </c>
      <c r="K647" s="2482">
        <f>$G$704</f>
        <v>81</v>
      </c>
      <c r="L647" s="2517" t="s">
        <v>62</v>
      </c>
      <c r="R647" s="532"/>
      <c r="V647" s="2413" t="str">
        <f t="shared" si="106"/>
        <v>kWh
Annual Savings</v>
      </c>
      <c r="W647" s="2527"/>
      <c r="X647" s="2449"/>
      <c r="Y647" s="2529">
        <v>264.75</v>
      </c>
      <c r="Z647" s="2528">
        <v>264.75</v>
      </c>
      <c r="AA647" s="2528">
        <v>264.75</v>
      </c>
      <c r="AB647" s="2528">
        <v>264.75</v>
      </c>
      <c r="AC647" s="2518">
        <f t="shared" si="107"/>
        <v>264.75</v>
      </c>
      <c r="AD647" s="2518">
        <v>264.75</v>
      </c>
      <c r="AE647" s="2518">
        <v>264.75</v>
      </c>
      <c r="AF647" s="2236">
        <f t="shared" si="102"/>
        <v>264.75</v>
      </c>
      <c r="AG647" s="2413"/>
      <c r="AH647" s="121"/>
      <c r="AK647" s="358"/>
      <c r="DG647" s="2422">
        <f>(DI647+DI648)/(DJ647+DJ648)</f>
        <v>1.3727011313237363</v>
      </c>
      <c r="DH647" s="2557" t="str">
        <f>CONCATENATE(G647," ",J647," Year EUL")</f>
        <v>Cooling RES 2 Year EUL</v>
      </c>
      <c r="DI647" s="2336">
        <f>(INDEX('Avoided Cost Benefits'!$B$4:$B$865,MATCH(DH647,'Avoided Cost Benefits'!$A$4:$A$865,0)))*F647</f>
        <v>98.993648159467583</v>
      </c>
      <c r="DJ647" s="2507">
        <f t="shared" si="103"/>
        <v>81</v>
      </c>
    </row>
    <row r="648" spans="1:114">
      <c r="B648" s="1454">
        <f t="shared" si="101"/>
        <v>403101</v>
      </c>
      <c r="C648" s="2517" t="s">
        <v>3037</v>
      </c>
      <c r="D648" s="2408" t="s">
        <v>2670</v>
      </c>
      <c r="E648" s="2522" t="str">
        <f>CONCATENATE(E646,"_CompE")</f>
        <v>HP tune-up / Refrigerant charge MF_CompE</v>
      </c>
      <c r="F648" s="2518">
        <f>ROUND(($G$689*$G$691*(1/$G$693-1/$G$698)/$G$687),2)</f>
        <v>115.29</v>
      </c>
      <c r="G648" s="2402" t="s">
        <v>1046</v>
      </c>
      <c r="H648" s="2213">
        <f>VLOOKUP(G648,'CP FACTORS'!$A$3:$B$38, 2, FALSE)</f>
        <v>0</v>
      </c>
      <c r="I648" s="2519">
        <f t="shared" si="104"/>
        <v>0</v>
      </c>
      <c r="J648" s="2520">
        <f t="shared" si="105"/>
        <v>2</v>
      </c>
      <c r="K648" s="2482">
        <v>0</v>
      </c>
      <c r="L648" s="2408" t="s">
        <v>62</v>
      </c>
      <c r="R648" s="532"/>
      <c r="V648" s="2413" t="str">
        <f t="shared" si="106"/>
        <v>kWh
Annual Savings</v>
      </c>
      <c r="W648" s="2527"/>
      <c r="X648" s="2449"/>
      <c r="Y648" s="2529">
        <v>115.29</v>
      </c>
      <c r="Z648" s="2528">
        <v>115.29</v>
      </c>
      <c r="AA648" s="2528">
        <v>115.29</v>
      </c>
      <c r="AB648" s="2528">
        <v>115.29</v>
      </c>
      <c r="AC648" s="2518">
        <f t="shared" si="107"/>
        <v>115.29</v>
      </c>
      <c r="AD648" s="2518">
        <v>115.29</v>
      </c>
      <c r="AE648" s="2518">
        <v>115.29</v>
      </c>
      <c r="AF648" s="2236">
        <f t="shared" si="102"/>
        <v>115.29</v>
      </c>
      <c r="AG648" s="2413"/>
      <c r="AH648" s="121"/>
      <c r="AK648" s="358"/>
      <c r="DG648" s="2508"/>
      <c r="DH648" s="2558" t="str">
        <f>CONCATENATE(G648," ",J648," Year EUL")</f>
        <v>Heating RES 2 Year EUL</v>
      </c>
      <c r="DI648" s="2336">
        <f>(INDEX('Avoided Cost Benefits'!$B$4:$B$865,MATCH(DH648,'Avoided Cost Benefits'!$A$4:$A$865,0)))*F648</f>
        <v>12.19514347775505</v>
      </c>
      <c r="DJ648" s="2507">
        <f t="shared" si="103"/>
        <v>0</v>
      </c>
    </row>
    <row r="649" spans="1:114">
      <c r="B649" s="1454">
        <f t="shared" si="101"/>
        <v>403150</v>
      </c>
      <c r="C649" s="2517" t="s">
        <v>3038</v>
      </c>
      <c r="D649" s="2402" t="s">
        <v>1486</v>
      </c>
      <c r="E649" s="2495" t="s">
        <v>3039</v>
      </c>
      <c r="F649" s="2518">
        <f>ROUND((G673*G675*(1/G679-1/G684)/G687),2)</f>
        <v>97.83</v>
      </c>
      <c r="G649" s="2402" t="s">
        <v>1045</v>
      </c>
      <c r="H649" s="2213">
        <f>VLOOKUP(G649,'CP FACTORS'!$A$3:$B$38, 2, FALSE)</f>
        <v>9.4741810000000004E-4</v>
      </c>
      <c r="I649" s="2519">
        <f t="shared" si="104"/>
        <v>9.2686000000000004E-2</v>
      </c>
      <c r="J649" s="2520">
        <f t="shared" si="105"/>
        <v>2</v>
      </c>
      <c r="K649" s="2482">
        <f>$G$705</f>
        <v>63</v>
      </c>
      <c r="L649" s="2517" t="s">
        <v>62</v>
      </c>
      <c r="R649" s="532"/>
      <c r="V649" s="2413" t="str">
        <f t="shared" si="106"/>
        <v>kWh
Annual Savings</v>
      </c>
      <c r="W649" s="2527">
        <v>100.82956618593137</v>
      </c>
      <c r="X649" s="2449">
        <v>100.82956618593137</v>
      </c>
      <c r="Y649" s="2528">
        <v>100.83</v>
      </c>
      <c r="Z649" s="2528">
        <v>100.83</v>
      </c>
      <c r="AA649" s="2528">
        <v>100.83</v>
      </c>
      <c r="AB649" s="2528">
        <v>100.83</v>
      </c>
      <c r="AC649" s="2518">
        <f t="shared" si="107"/>
        <v>97.83</v>
      </c>
      <c r="AD649" s="2518">
        <v>97.83</v>
      </c>
      <c r="AE649" s="2518">
        <v>97.83</v>
      </c>
      <c r="AF649" s="2236">
        <f t="shared" si="102"/>
        <v>97.83</v>
      </c>
      <c r="AG649" s="2413"/>
      <c r="AH649" s="121"/>
      <c r="AK649" s="358"/>
      <c r="DG649" s="2422">
        <f>(DI649+DI650)/(DJ649+DJ650)</f>
        <v>0.71114441777475534</v>
      </c>
      <c r="DH649" s="2557" t="str">
        <f t="shared" si="108"/>
        <v>Cooling RES 2 Year EUL</v>
      </c>
      <c r="DI649" s="2336">
        <f>(INDEX('Avoided Cost Benefits'!$B$4:$B$865,MATCH(DH649,'Avoided Cost Benefits'!$A$4:$A$865,0)))*F649</f>
        <v>36.579975824138671</v>
      </c>
      <c r="DJ649" s="2507">
        <f t="shared" si="103"/>
        <v>63</v>
      </c>
    </row>
    <row r="650" spans="1:114">
      <c r="B650" s="1454">
        <f t="shared" si="101"/>
        <v>403150</v>
      </c>
      <c r="C650" s="2517" t="s">
        <v>3038</v>
      </c>
      <c r="D650" s="2402" t="s">
        <v>1486</v>
      </c>
      <c r="E650" s="2423" t="s">
        <v>3039</v>
      </c>
      <c r="F650" s="2518">
        <f>ROUND((G688*G690*(1/G694-1/G699)/G687),2)</f>
        <v>77.73</v>
      </c>
      <c r="G650" s="2402" t="s">
        <v>1046</v>
      </c>
      <c r="H650" s="2213">
        <f>VLOOKUP(G650,'CP FACTORS'!$A$3:$B$38, 2, FALSE)</f>
        <v>0</v>
      </c>
      <c r="I650" s="2519">
        <f t="shared" si="104"/>
        <v>0</v>
      </c>
      <c r="J650" s="2520">
        <f t="shared" si="105"/>
        <v>2</v>
      </c>
      <c r="K650" s="2482">
        <v>0</v>
      </c>
      <c r="L650" s="2408" t="s">
        <v>62</v>
      </c>
      <c r="R650" s="532"/>
      <c r="V650" s="2413" t="str">
        <f t="shared" si="106"/>
        <v>kWh
Annual Savings</v>
      </c>
      <c r="W650" s="2527">
        <v>107.57620062894772</v>
      </c>
      <c r="X650" s="2449">
        <v>107.57620062894772</v>
      </c>
      <c r="Y650" s="2529">
        <v>80.11</v>
      </c>
      <c r="Z650" s="2528">
        <v>80.11</v>
      </c>
      <c r="AA650" s="2528">
        <v>80.11</v>
      </c>
      <c r="AB650" s="2528">
        <v>80.11</v>
      </c>
      <c r="AC650" s="2518">
        <f t="shared" si="107"/>
        <v>77.73</v>
      </c>
      <c r="AD650" s="2518">
        <v>77.73</v>
      </c>
      <c r="AE650" s="2518">
        <v>77.73</v>
      </c>
      <c r="AF650" s="2236">
        <f t="shared" si="102"/>
        <v>77.73</v>
      </c>
      <c r="AG650" s="2413"/>
      <c r="AH650" s="121"/>
      <c r="AK650" s="358"/>
      <c r="DG650" s="2508"/>
      <c r="DH650" s="2558" t="str">
        <f t="shared" si="108"/>
        <v>Heating RES 2 Year EUL</v>
      </c>
      <c r="DI650" s="2336">
        <f>(INDEX('Avoided Cost Benefits'!$B$4:$B$865,MATCH(DH650,'Avoided Cost Benefits'!$A$4:$A$865,0)))*F650</f>
        <v>8.2221224956709165</v>
      </c>
      <c r="DJ650" s="2507">
        <f t="shared" si="103"/>
        <v>0</v>
      </c>
    </row>
    <row r="651" spans="1:114">
      <c r="B651" s="1454">
        <f t="shared" si="101"/>
        <v>403200</v>
      </c>
      <c r="C651" s="2517" t="s">
        <v>3040</v>
      </c>
      <c r="D651" s="2402" t="s">
        <v>959</v>
      </c>
      <c r="E651" s="2495" t="s">
        <v>3041</v>
      </c>
      <c r="F651" s="2518">
        <f>ROUND(($G$673*$G$676*(1/$G$679-1/$G$684)/$G$687),2)</f>
        <v>60.25</v>
      </c>
      <c r="G651" s="2402" t="s">
        <v>1045</v>
      </c>
      <c r="H651" s="2213">
        <f>VLOOKUP(G651,'CP FACTORS'!$A$3:$B$38, 2, FALSE)</f>
        <v>9.4741810000000004E-4</v>
      </c>
      <c r="I651" s="2519">
        <f t="shared" si="104"/>
        <v>5.7082000000000001E-2</v>
      </c>
      <c r="J651" s="2520">
        <f t="shared" si="105"/>
        <v>2</v>
      </c>
      <c r="K651" s="2482">
        <f>$G$705</f>
        <v>63</v>
      </c>
      <c r="L651" s="2517" t="s">
        <v>62</v>
      </c>
      <c r="R651" s="532"/>
      <c r="V651" s="2413" t="str">
        <f t="shared" si="106"/>
        <v>kWh
Annual Savings</v>
      </c>
      <c r="W651" s="2527">
        <v>65.539218020855401</v>
      </c>
      <c r="X651" s="2449">
        <v>65.539218020855401</v>
      </c>
      <c r="Y651" s="2529">
        <v>60.25</v>
      </c>
      <c r="Z651" s="2528">
        <v>60.25</v>
      </c>
      <c r="AA651" s="2528">
        <v>60.25</v>
      </c>
      <c r="AB651" s="2528">
        <v>60.25</v>
      </c>
      <c r="AC651" s="2518">
        <f t="shared" si="107"/>
        <v>60.25</v>
      </c>
      <c r="AD651" s="2518">
        <v>60.25</v>
      </c>
      <c r="AE651" s="2518">
        <v>60.25</v>
      </c>
      <c r="AF651" s="2236">
        <f t="shared" si="102"/>
        <v>60.25</v>
      </c>
      <c r="AG651" s="2413"/>
      <c r="AH651" s="121"/>
      <c r="AK651" s="358"/>
      <c r="DG651" s="2422">
        <f>(DI651+DI652)/(DJ651+DJ652)</f>
        <v>0.43796653181651019</v>
      </c>
      <c r="DH651" s="2557" t="str">
        <f t="shared" si="108"/>
        <v>Cooling RES 2 Year EUL</v>
      </c>
      <c r="DI651" s="2336">
        <f>(INDEX('Avoided Cost Benefits'!$B$4:$B$865,MATCH(DH651,'Avoided Cost Benefits'!$A$4:$A$865,0)))*F651</f>
        <v>22.528299533929829</v>
      </c>
      <c r="DJ651" s="2507">
        <f t="shared" si="103"/>
        <v>63</v>
      </c>
    </row>
    <row r="652" spans="1:114">
      <c r="B652" s="1454">
        <f t="shared" si="101"/>
        <v>403200</v>
      </c>
      <c r="C652" s="2517" t="s">
        <v>3040</v>
      </c>
      <c r="D652" s="2402" t="s">
        <v>959</v>
      </c>
      <c r="E652" s="2423" t="s">
        <v>3041</v>
      </c>
      <c r="F652" s="2518">
        <f>ROUND(($G$688*$G$691*(1/$G$694-1/$G$699)/$G$687),2)</f>
        <v>47.87</v>
      </c>
      <c r="G652" s="2402" t="s">
        <v>1046</v>
      </c>
      <c r="H652" s="2213">
        <f>VLOOKUP(G652,'CP FACTORS'!$A$3:$B$38, 2, FALSE)</f>
        <v>0</v>
      </c>
      <c r="I652" s="2519">
        <f t="shared" si="104"/>
        <v>0</v>
      </c>
      <c r="J652" s="2520">
        <f t="shared" si="105"/>
        <v>2</v>
      </c>
      <c r="K652" s="2482">
        <v>0</v>
      </c>
      <c r="L652" s="2408" t="s">
        <v>62</v>
      </c>
      <c r="R652" s="532"/>
      <c r="V652" s="2413" t="str">
        <f t="shared" si="106"/>
        <v>kWh
Annual Savings</v>
      </c>
      <c r="W652" s="2527">
        <v>69.924530408816025</v>
      </c>
      <c r="X652" s="2449">
        <v>69.924530408816025</v>
      </c>
      <c r="Y652" s="2529">
        <v>47.87</v>
      </c>
      <c r="Z652" s="2528">
        <v>47.87</v>
      </c>
      <c r="AA652" s="2528">
        <v>47.87</v>
      </c>
      <c r="AB652" s="2528">
        <v>47.87</v>
      </c>
      <c r="AC652" s="2518">
        <f t="shared" si="107"/>
        <v>47.87</v>
      </c>
      <c r="AD652" s="2518">
        <v>47.87</v>
      </c>
      <c r="AE652" s="2518">
        <v>47.87</v>
      </c>
      <c r="AF652" s="2236">
        <f t="shared" si="102"/>
        <v>47.87</v>
      </c>
      <c r="AG652" s="2413"/>
      <c r="AH652" s="121"/>
      <c r="AK652" s="358"/>
      <c r="DG652" s="2508"/>
      <c r="DH652" s="2558" t="str">
        <f t="shared" si="108"/>
        <v>Heating RES 2 Year EUL</v>
      </c>
      <c r="DI652" s="2336">
        <f>(INDEX('Avoided Cost Benefits'!$B$4:$B$865,MATCH(DH652,'Avoided Cost Benefits'!$A$4:$A$865,0)))*F652</f>
        <v>5.0635919705103145</v>
      </c>
      <c r="DJ652" s="2507">
        <f t="shared" si="103"/>
        <v>0</v>
      </c>
    </row>
    <row r="653" spans="1:114">
      <c r="B653" s="1454">
        <f t="shared" si="101"/>
        <v>403201</v>
      </c>
      <c r="C653" s="2517" t="s">
        <v>3042</v>
      </c>
      <c r="D653" s="2408" t="s">
        <v>2670</v>
      </c>
      <c r="E653" s="2521" t="str">
        <f>CONCATENATE(E651,"_CompE")</f>
        <v>HP tune-up / Indoor Coil (Evaporator) Cleaning MF_CompE</v>
      </c>
      <c r="F653" s="2518">
        <f>ROUND(($G$674*$G$676*(1/$G$679-1/$G$684)/$G$687),2)</f>
        <v>43.82</v>
      </c>
      <c r="G653" s="2402" t="s">
        <v>1045</v>
      </c>
      <c r="H653" s="2213">
        <f>VLOOKUP(G653,'CP FACTORS'!$A$3:$B$38, 2, FALSE)</f>
        <v>9.4741810000000004E-4</v>
      </c>
      <c r="I653" s="2519">
        <f t="shared" si="104"/>
        <v>4.1515999999999997E-2</v>
      </c>
      <c r="J653" s="2520">
        <f t="shared" si="105"/>
        <v>2</v>
      </c>
      <c r="K653" s="2482">
        <f>$G$705</f>
        <v>63</v>
      </c>
      <c r="L653" s="2517" t="s">
        <v>62</v>
      </c>
      <c r="R653" s="532"/>
      <c r="V653" s="2413" t="str">
        <f t="shared" si="106"/>
        <v>kWh
Annual Savings</v>
      </c>
      <c r="W653" s="2527"/>
      <c r="X653" s="2449"/>
      <c r="Y653" s="2529">
        <v>43.82</v>
      </c>
      <c r="Z653" s="2528">
        <v>43.82</v>
      </c>
      <c r="AA653" s="2528">
        <v>43.82</v>
      </c>
      <c r="AB653" s="2528">
        <v>43.82</v>
      </c>
      <c r="AC653" s="2518">
        <f t="shared" si="107"/>
        <v>43.82</v>
      </c>
      <c r="AD653" s="2518">
        <v>43.82</v>
      </c>
      <c r="AE653" s="2518">
        <v>43.82</v>
      </c>
      <c r="AF653" s="2236">
        <f t="shared" si="102"/>
        <v>43.82</v>
      </c>
      <c r="AG653" s="2413"/>
      <c r="AH653" s="121"/>
      <c r="AK653" s="358"/>
      <c r="DG653" s="2422">
        <f>(DI653+DI654)/(DJ653+DJ654)</f>
        <v>0.28747927528054423</v>
      </c>
      <c r="DH653" s="2557" t="str">
        <f>CONCATENATE(G653," ",J653," Year EUL")</f>
        <v>Cooling RES 2 Year EUL</v>
      </c>
      <c r="DI653" s="2336">
        <f>(INDEX('Avoided Cost Benefits'!$B$4:$B$865,MATCH(DH653,'Avoided Cost Benefits'!$A$4:$A$865,0)))*F653</f>
        <v>16.384897685922077</v>
      </c>
      <c r="DJ653" s="2507">
        <f t="shared" si="103"/>
        <v>63</v>
      </c>
    </row>
    <row r="654" spans="1:114">
      <c r="B654" s="1454">
        <f t="shared" si="101"/>
        <v>403201</v>
      </c>
      <c r="C654" s="2517" t="s">
        <v>3042</v>
      </c>
      <c r="D654" s="2408" t="s">
        <v>2670</v>
      </c>
      <c r="E654" s="2522" t="str">
        <f>CONCATENATE(E652,"_CompE")</f>
        <v>HP tune-up / Indoor Coil (Evaporator) Cleaning MF_CompE</v>
      </c>
      <c r="F654" s="2518">
        <f>ROUND(($G$689*$G$691*(1/$G$694-1/$G$699)/$G$687),2)</f>
        <v>16.32</v>
      </c>
      <c r="G654" s="2402" t="s">
        <v>1046</v>
      </c>
      <c r="H654" s="2213">
        <f>VLOOKUP(G654,'CP FACTORS'!$A$3:$B$38, 2, FALSE)</f>
        <v>0</v>
      </c>
      <c r="I654" s="2519">
        <f t="shared" si="104"/>
        <v>0</v>
      </c>
      <c r="J654" s="2520">
        <f t="shared" si="105"/>
        <v>2</v>
      </c>
      <c r="K654" s="2482">
        <v>0</v>
      </c>
      <c r="L654" s="2408" t="s">
        <v>62</v>
      </c>
      <c r="R654" s="532"/>
      <c r="V654" s="2413" t="str">
        <f t="shared" si="106"/>
        <v>kWh
Annual Savings</v>
      </c>
      <c r="W654" s="2527"/>
      <c r="X654" s="2449"/>
      <c r="Y654" s="2529">
        <v>16.32</v>
      </c>
      <c r="Z654" s="2528">
        <v>16.32</v>
      </c>
      <c r="AA654" s="2528">
        <v>16.32</v>
      </c>
      <c r="AB654" s="2528">
        <v>16.32</v>
      </c>
      <c r="AC654" s="2518">
        <f t="shared" si="107"/>
        <v>16.32</v>
      </c>
      <c r="AD654" s="2518">
        <v>16.32</v>
      </c>
      <c r="AE654" s="2518">
        <v>16.32</v>
      </c>
      <c r="AF654" s="2236">
        <f t="shared" si="102"/>
        <v>16.32</v>
      </c>
      <c r="AG654" s="2413"/>
      <c r="AH654" s="121"/>
      <c r="AK654" s="358"/>
      <c r="DG654" s="2508"/>
      <c r="DH654" s="2558" t="str">
        <f>CONCATENATE(G654," ",J654," Year EUL")</f>
        <v>Heating RES 2 Year EUL</v>
      </c>
      <c r="DI654" s="2336">
        <f>(INDEX('Avoided Cost Benefits'!$B$4:$B$865,MATCH(DH654,'Avoided Cost Benefits'!$A$4:$A$865,0)))*F654</f>
        <v>1.7262966567522111</v>
      </c>
      <c r="DJ654" s="2507">
        <f t="shared" si="103"/>
        <v>0</v>
      </c>
    </row>
    <row r="655" spans="1:114">
      <c r="B655" s="1454">
        <f t="shared" si="101"/>
        <v>403250</v>
      </c>
      <c r="C655" s="2517" t="s">
        <v>3043</v>
      </c>
      <c r="D655" s="2402" t="s">
        <v>1486</v>
      </c>
      <c r="E655" s="2495" t="s">
        <v>3044</v>
      </c>
      <c r="F655" s="2518">
        <f>ROUND((G673*G675*(1/G680-1/G685)/G687),2)</f>
        <v>195.66</v>
      </c>
      <c r="G655" s="2402" t="s">
        <v>1045</v>
      </c>
      <c r="H655" s="2213">
        <f>VLOOKUP(G655,'CP FACTORS'!$A$3:$B$38, 2, FALSE)</f>
        <v>9.4741810000000004E-4</v>
      </c>
      <c r="I655" s="2519">
        <f t="shared" si="104"/>
        <v>0.18537200000000001</v>
      </c>
      <c r="J655" s="2520">
        <f t="shared" si="105"/>
        <v>2</v>
      </c>
      <c r="K655" s="2482">
        <f>$G$706</f>
        <v>31</v>
      </c>
      <c r="L655" s="2517" t="s">
        <v>62</v>
      </c>
      <c r="R655" s="532"/>
      <c r="V655" s="2413" t="str">
        <f t="shared" si="106"/>
        <v>kWh
Annual Savings</v>
      </c>
      <c r="W655" s="2527">
        <v>201.65421409635425</v>
      </c>
      <c r="X655" s="2449">
        <v>201.65421409635425</v>
      </c>
      <c r="Y655" s="2528">
        <v>201.65</v>
      </c>
      <c r="Z655" s="2528">
        <v>201.65</v>
      </c>
      <c r="AA655" s="2528">
        <v>201.65</v>
      </c>
      <c r="AB655" s="2528">
        <v>201.65</v>
      </c>
      <c r="AC655" s="2518">
        <f t="shared" si="107"/>
        <v>195.66</v>
      </c>
      <c r="AD655" s="2518">
        <v>195.66</v>
      </c>
      <c r="AE655" s="2518">
        <v>195.66</v>
      </c>
      <c r="AF655" s="2236">
        <f t="shared" si="102"/>
        <v>195.66</v>
      </c>
      <c r="AG655" s="2413"/>
      <c r="AH655" s="121"/>
      <c r="AK655" s="358"/>
      <c r="DG655" s="2422">
        <f>(DI655+DI656)/(DJ655+DJ656)</f>
        <v>2.9060857998231144</v>
      </c>
      <c r="DH655" s="2557" t="str">
        <f t="shared" si="108"/>
        <v>Cooling RES 2 Year EUL</v>
      </c>
      <c r="DI655" s="2336">
        <f>(INDEX('Avoided Cost Benefits'!$B$4:$B$865,MATCH(DH655,'Avoided Cost Benefits'!$A$4:$A$865,0)))*F655</f>
        <v>73.159951648277342</v>
      </c>
      <c r="DJ655" s="2507">
        <f t="shared" si="103"/>
        <v>31</v>
      </c>
    </row>
    <row r="656" spans="1:114">
      <c r="B656" s="1454">
        <f t="shared" si="101"/>
        <v>403250</v>
      </c>
      <c r="C656" s="2517" t="s">
        <v>3043</v>
      </c>
      <c r="D656" s="2402" t="s">
        <v>1486</v>
      </c>
      <c r="E656" s="2423" t="s">
        <v>3044</v>
      </c>
      <c r="F656" s="2518">
        <f>ROUND((G688*G690*(1/G695-1/G700)/G687),2)</f>
        <v>160.04</v>
      </c>
      <c r="G656" s="2402" t="s">
        <v>1046</v>
      </c>
      <c r="H656" s="2213">
        <f>VLOOKUP(G656,'CP FACTORS'!$A$3:$B$38, 2, FALSE)</f>
        <v>0</v>
      </c>
      <c r="I656" s="2519">
        <f t="shared" si="104"/>
        <v>0</v>
      </c>
      <c r="J656" s="2520">
        <f t="shared" si="105"/>
        <v>2</v>
      </c>
      <c r="K656" s="2482">
        <v>0</v>
      </c>
      <c r="L656" s="2408" t="s">
        <v>62</v>
      </c>
      <c r="R656" s="532"/>
      <c r="V656" s="2413" t="str">
        <f t="shared" si="106"/>
        <v>kWh
Annual Savings</v>
      </c>
      <c r="W656" s="2527">
        <v>221.50760781464643</v>
      </c>
      <c r="X656" s="2449">
        <v>221.50760781464643</v>
      </c>
      <c r="Y656" s="2529">
        <v>164.95</v>
      </c>
      <c r="Z656" s="2528">
        <v>164.95</v>
      </c>
      <c r="AA656" s="2528">
        <v>164.95</v>
      </c>
      <c r="AB656" s="2528">
        <v>164.95</v>
      </c>
      <c r="AC656" s="2518">
        <f t="shared" si="107"/>
        <v>160.04</v>
      </c>
      <c r="AD656" s="2518">
        <v>160.04</v>
      </c>
      <c r="AE656" s="2518">
        <v>160.04</v>
      </c>
      <c r="AF656" s="2236">
        <f t="shared" si="102"/>
        <v>160.04</v>
      </c>
      <c r="AG656" s="2413"/>
      <c r="AH656" s="121"/>
      <c r="AK656" s="358"/>
      <c r="DG656" s="2508"/>
      <c r="DH656" s="2558" t="str">
        <f t="shared" si="108"/>
        <v>Heating RES 2 Year EUL</v>
      </c>
      <c r="DI656" s="2336">
        <f>(INDEX('Avoided Cost Benefits'!$B$4:$B$865,MATCH(DH656,'Avoided Cost Benefits'!$A$4:$A$865,0)))*F656</f>
        <v>16.928708146239206</v>
      </c>
      <c r="DJ656" s="2507">
        <f t="shared" si="103"/>
        <v>0</v>
      </c>
    </row>
    <row r="657" spans="1:114">
      <c r="B657" s="1454">
        <f t="shared" si="101"/>
        <v>403300</v>
      </c>
      <c r="C657" s="2517" t="s">
        <v>3045</v>
      </c>
      <c r="D657" s="2402" t="s">
        <v>959</v>
      </c>
      <c r="E657" s="2495" t="s">
        <v>3046</v>
      </c>
      <c r="F657" s="2518">
        <f>ROUND(($G$673*$G$676*(1/$G$680-1/$G$685)/$G$687),2)</f>
        <v>120.5</v>
      </c>
      <c r="G657" s="2402" t="s">
        <v>1045</v>
      </c>
      <c r="H657" s="2213">
        <f>VLOOKUP(G657,'CP FACTORS'!$A$3:$B$38, 2, FALSE)</f>
        <v>9.4741810000000004E-4</v>
      </c>
      <c r="I657" s="2519">
        <f t="shared" si="104"/>
        <v>0.114164</v>
      </c>
      <c r="J657" s="2520">
        <f t="shared" si="105"/>
        <v>2</v>
      </c>
      <c r="K657" s="2482">
        <f>$G$706</f>
        <v>31</v>
      </c>
      <c r="L657" s="2517" t="s">
        <v>62</v>
      </c>
      <c r="R657" s="532"/>
      <c r="V657" s="2413" t="str">
        <f t="shared" si="106"/>
        <v>kWh
Annual Savings</v>
      </c>
      <c r="W657" s="2527">
        <v>131.07523916263028</v>
      </c>
      <c r="X657" s="2449">
        <v>131.07523916263028</v>
      </c>
      <c r="Y657" s="2529">
        <v>120.5</v>
      </c>
      <c r="Z657" s="2528">
        <v>120.5</v>
      </c>
      <c r="AA657" s="2528">
        <v>120.5</v>
      </c>
      <c r="AB657" s="2528">
        <v>120.5</v>
      </c>
      <c r="AC657" s="2518">
        <f t="shared" si="107"/>
        <v>120.5</v>
      </c>
      <c r="AD657" s="2518">
        <v>120.5</v>
      </c>
      <c r="AE657" s="2518">
        <v>120.5</v>
      </c>
      <c r="AF657" s="2236">
        <f t="shared" si="102"/>
        <v>120.5</v>
      </c>
      <c r="AG657" s="2413"/>
      <c r="AH657" s="121"/>
      <c r="AK657" s="358"/>
      <c r="DG657" s="2422">
        <f>(DI657+DI658)/(DJ657+DJ658)</f>
        <v>1.7897785385901626</v>
      </c>
      <c r="DH657" s="2557" t="str">
        <f t="shared" si="108"/>
        <v>Cooling RES 2 Year EUL</v>
      </c>
      <c r="DI657" s="2336">
        <f>(INDEX('Avoided Cost Benefits'!$B$4:$B$865,MATCH(DH657,'Avoided Cost Benefits'!$A$4:$A$865,0)))*F657</f>
        <v>45.056599067859658</v>
      </c>
      <c r="DJ657" s="2507">
        <f t="shared" si="103"/>
        <v>31</v>
      </c>
    </row>
    <row r="658" spans="1:114">
      <c r="B658" s="1454">
        <f t="shared" si="101"/>
        <v>403300</v>
      </c>
      <c r="C658" s="2517" t="s">
        <v>3045</v>
      </c>
      <c r="D658" s="2402" t="s">
        <v>959</v>
      </c>
      <c r="E658" s="2423" t="s">
        <v>3046</v>
      </c>
      <c r="F658" s="2518">
        <f>ROUND(($G$688*$G$691*(1/$G$695-1/$G$700)/$G$687),2)</f>
        <v>98.57</v>
      </c>
      <c r="G658" s="2402" t="s">
        <v>1046</v>
      </c>
      <c r="H658" s="2213">
        <f>VLOOKUP(G658,'CP FACTORS'!$A$3:$B$38, 2, FALSE)</f>
        <v>0</v>
      </c>
      <c r="I658" s="2519">
        <f t="shared" si="104"/>
        <v>0</v>
      </c>
      <c r="J658" s="2520">
        <f t="shared" si="105"/>
        <v>2</v>
      </c>
      <c r="K658" s="2482">
        <v>0</v>
      </c>
      <c r="L658" s="2408" t="s">
        <v>62</v>
      </c>
      <c r="R658" s="532"/>
      <c r="V658" s="2413" t="str">
        <f t="shared" si="106"/>
        <v>kWh
Annual Savings</v>
      </c>
      <c r="W658" s="2527">
        <v>143.97994507952021</v>
      </c>
      <c r="X658" s="2449">
        <v>143.97994507952021</v>
      </c>
      <c r="Y658" s="2529">
        <v>98.57</v>
      </c>
      <c r="Z658" s="2528">
        <v>98.57</v>
      </c>
      <c r="AA658" s="2528">
        <v>98.57</v>
      </c>
      <c r="AB658" s="2528">
        <v>98.57</v>
      </c>
      <c r="AC658" s="2518">
        <f t="shared" si="107"/>
        <v>98.57</v>
      </c>
      <c r="AD658" s="2518">
        <v>98.57</v>
      </c>
      <c r="AE658" s="2518">
        <v>98.57</v>
      </c>
      <c r="AF658" s="2236">
        <f t="shared" si="102"/>
        <v>98.57</v>
      </c>
      <c r="AG658" s="2413"/>
      <c r="AH658" s="121"/>
      <c r="AK658" s="358"/>
      <c r="DG658" s="2508"/>
      <c r="DH658" s="2558" t="str">
        <f t="shared" si="108"/>
        <v>Heating RES 2 Year EUL</v>
      </c>
      <c r="DI658" s="2336">
        <f>(INDEX('Avoided Cost Benefits'!$B$4:$B$865,MATCH(DH658,'Avoided Cost Benefits'!$A$4:$A$865,0)))*F658</f>
        <v>10.426535628435381</v>
      </c>
      <c r="DJ658" s="2507">
        <f t="shared" si="103"/>
        <v>0</v>
      </c>
    </row>
    <row r="659" spans="1:114">
      <c r="B659" s="1454">
        <f t="shared" si="101"/>
        <v>403301</v>
      </c>
      <c r="C659" s="2407" t="s">
        <v>3047</v>
      </c>
      <c r="D659" s="2408" t="s">
        <v>2670</v>
      </c>
      <c r="E659" s="2521" t="str">
        <f>CONCATENATE(E657,"_CompE")</f>
        <v>HP tune-up / Outdoor Coil (Condenser) Cleaning MF_CompE</v>
      </c>
      <c r="F659" s="2518">
        <f>ROUND(($G$674*$G$676*(1/$G$680-1/$G$685)/$G$687),2)</f>
        <v>87.64</v>
      </c>
      <c r="G659" s="2402" t="s">
        <v>1045</v>
      </c>
      <c r="H659" s="2213">
        <f>VLOOKUP(G659,'CP FACTORS'!$A$3:$B$38, 2, FALSE)</f>
        <v>9.4741810000000004E-4</v>
      </c>
      <c r="I659" s="2519">
        <f t="shared" si="104"/>
        <v>8.3031999999999995E-2</v>
      </c>
      <c r="J659" s="2520">
        <f t="shared" si="105"/>
        <v>2</v>
      </c>
      <c r="K659" s="2482">
        <f>$G$706</f>
        <v>31</v>
      </c>
      <c r="L659" s="2517" t="s">
        <v>62</v>
      </c>
      <c r="R659" s="532"/>
      <c r="V659" s="2413" t="str">
        <f t="shared" si="106"/>
        <v>kWh
Annual Savings</v>
      </c>
      <c r="W659" s="2527"/>
      <c r="X659" s="2449"/>
      <c r="Y659" s="2529">
        <v>87.64</v>
      </c>
      <c r="Z659" s="2528">
        <v>87.64</v>
      </c>
      <c r="AA659" s="2528">
        <v>87.64</v>
      </c>
      <c r="AB659" s="2528">
        <v>87.64</v>
      </c>
      <c r="AC659" s="2518">
        <f t="shared" si="107"/>
        <v>87.64</v>
      </c>
      <c r="AD659" s="2518">
        <v>87.64</v>
      </c>
      <c r="AE659" s="2518">
        <v>87.64</v>
      </c>
      <c r="AF659" s="2236">
        <f t="shared" si="102"/>
        <v>87.64</v>
      </c>
      <c r="AG659" s="2413"/>
      <c r="AH659" s="121"/>
      <c r="AK659" s="358"/>
      <c r="DG659" s="2422">
        <f>(DI659+DI660)/(DJ659+DJ660)</f>
        <v>1.1717398563713055</v>
      </c>
      <c r="DH659" s="2557" t="str">
        <f t="shared" ref="DH659:DH666" si="109">CONCATENATE(G659," ",J659," Year EUL")</f>
        <v>Cooling RES 2 Year EUL</v>
      </c>
      <c r="DI659" s="2336">
        <f>(INDEX('Avoided Cost Benefits'!$B$4:$B$865,MATCH(DH659,'Avoided Cost Benefits'!$A$4:$A$865,0)))*F659</f>
        <v>32.769795371844154</v>
      </c>
      <c r="DJ659" s="2507">
        <f t="shared" si="103"/>
        <v>31</v>
      </c>
    </row>
    <row r="660" spans="1:114">
      <c r="B660" s="1454">
        <f t="shared" si="101"/>
        <v>403301</v>
      </c>
      <c r="C660" s="2407" t="s">
        <v>3047</v>
      </c>
      <c r="D660" s="2408" t="s">
        <v>2670</v>
      </c>
      <c r="E660" s="2522" t="str">
        <f>CONCATENATE(E658,"_CompE")</f>
        <v>HP tune-up / Outdoor Coil (Condenser) Cleaning MF_CompE</v>
      </c>
      <c r="F660" s="2518">
        <f>ROUND(($G$689*$G$691*(1/$G$695-1/$G$700)/$G$687),2)</f>
        <v>33.6</v>
      </c>
      <c r="G660" s="2402" t="s">
        <v>1046</v>
      </c>
      <c r="H660" s="2213">
        <f>VLOOKUP(G660,'CP FACTORS'!$A$3:$B$38, 2, FALSE)</f>
        <v>0</v>
      </c>
      <c r="I660" s="2519">
        <f t="shared" si="104"/>
        <v>0</v>
      </c>
      <c r="J660" s="2520">
        <f t="shared" si="105"/>
        <v>2</v>
      </c>
      <c r="K660" s="2482">
        <v>0</v>
      </c>
      <c r="L660" s="2408" t="s">
        <v>62</v>
      </c>
      <c r="R660" s="532"/>
      <c r="V660" s="2413" t="str">
        <f t="shared" si="106"/>
        <v>kWh
Annual Savings</v>
      </c>
      <c r="W660" s="2527"/>
      <c r="X660" s="2449"/>
      <c r="Y660" s="2529">
        <v>33.6</v>
      </c>
      <c r="Z660" s="2528">
        <v>33.6</v>
      </c>
      <c r="AA660" s="2528">
        <v>33.6</v>
      </c>
      <c r="AB660" s="2528">
        <v>33.6</v>
      </c>
      <c r="AC660" s="2518">
        <f t="shared" si="107"/>
        <v>33.6</v>
      </c>
      <c r="AD660" s="2518">
        <v>33.6</v>
      </c>
      <c r="AE660" s="2518">
        <v>33.6</v>
      </c>
      <c r="AF660" s="2236">
        <f t="shared" si="102"/>
        <v>33.6</v>
      </c>
      <c r="AG660" s="2413"/>
      <c r="AH660" s="121"/>
      <c r="AK660" s="358"/>
      <c r="DG660" s="2510"/>
      <c r="DH660" s="2558" t="str">
        <f t="shared" si="109"/>
        <v>Heating RES 2 Year EUL</v>
      </c>
      <c r="DI660" s="2336">
        <f>(INDEX('Avoided Cost Benefits'!$B$4:$B$865,MATCH(DH660,'Avoided Cost Benefits'!$A$4:$A$865,0)))*F660</f>
        <v>3.5541401756663169</v>
      </c>
      <c r="DJ660" s="2507">
        <f t="shared" si="103"/>
        <v>0</v>
      </c>
    </row>
    <row r="661" spans="1:114" s="343" customFormat="1">
      <c r="A661" s="283"/>
      <c r="B661" s="1454">
        <f t="shared" si="101"/>
        <v>403310</v>
      </c>
      <c r="C661" s="2517" t="s">
        <v>3048</v>
      </c>
      <c r="D661" s="2402" t="s">
        <v>1486</v>
      </c>
      <c r="E661" s="2495" t="s">
        <v>3049</v>
      </c>
      <c r="F661" s="2518">
        <f>ROUND((G675*G673*(1/G$681-1/G$686)/G$687),2)</f>
        <v>367.93</v>
      </c>
      <c r="G661" s="2402" t="s">
        <v>1045</v>
      </c>
      <c r="H661" s="2213">
        <f>VLOOKUP(G661,'CP FACTORS'!$A$3:$B$38, 2, FALSE)</f>
        <v>9.4741810000000004E-4</v>
      </c>
      <c r="I661" s="2519">
        <f t="shared" ref="I661:I666" si="110">ROUND(F661*H661,6)</f>
        <v>0.348584</v>
      </c>
      <c r="J661" s="2520">
        <f t="shared" si="105"/>
        <v>2</v>
      </c>
      <c r="K661" s="2482">
        <f>G$707</f>
        <v>185</v>
      </c>
      <c r="L661" s="2517" t="s">
        <v>62</v>
      </c>
      <c r="M661" s="283"/>
      <c r="N661" s="283"/>
      <c r="O661" s="283"/>
      <c r="P661" s="283"/>
      <c r="Q661" s="283"/>
      <c r="R661" s="283"/>
      <c r="S661" s="611"/>
      <c r="T661" s="611"/>
      <c r="U661" s="611"/>
      <c r="V661" s="2413" t="str">
        <f t="shared" si="106"/>
        <v>kWh
Annual Savings</v>
      </c>
      <c r="W661" s="2523"/>
      <c r="X661" s="2524"/>
      <c r="Y661" s="2525"/>
      <c r="Z661" s="2526"/>
      <c r="AA661" s="2526"/>
      <c r="AB661" s="2526"/>
      <c r="AC661" s="2518">
        <f t="shared" si="107"/>
        <v>367.93</v>
      </c>
      <c r="AD661" s="2518">
        <v>367.93</v>
      </c>
      <c r="AE661" s="2518">
        <v>367.93</v>
      </c>
      <c r="AF661" s="2236">
        <f t="shared" si="102"/>
        <v>367.93</v>
      </c>
      <c r="AG661" s="2413"/>
      <c r="AH661" s="273"/>
      <c r="AI661" s="273"/>
      <c r="AK661" s="358"/>
      <c r="DG661" s="2422">
        <f>(DI661+DI662)/(DJ661+DJ662)</f>
        <v>1.4183927463330797</v>
      </c>
      <c r="DH661" s="2557" t="str">
        <f t="shared" si="109"/>
        <v>Cooling RES 2 Year EUL</v>
      </c>
      <c r="DI661" s="2336">
        <f>(INDEX('Avoided Cost Benefits'!$B$4:$B$865,MATCH(DH661,'Avoided Cost Benefits'!$A$4:$A$865,0)))*F661</f>
        <v>137.5740621994822</v>
      </c>
      <c r="DJ661" s="2507">
        <f t="shared" si="103"/>
        <v>185</v>
      </c>
    </row>
    <row r="662" spans="1:114" s="343" customFormat="1">
      <c r="A662" s="283"/>
      <c r="B662" s="1454">
        <f t="shared" si="101"/>
        <v>403310</v>
      </c>
      <c r="C662" s="2517" t="s">
        <v>3048</v>
      </c>
      <c r="D662" s="2402" t="s">
        <v>1486</v>
      </c>
      <c r="E662" s="2423" t="s">
        <v>3049</v>
      </c>
      <c r="F662" s="2518">
        <f>ROUND((G690*G688*(1/G$696-1/G$701)/G$687),2)</f>
        <v>1180.0999999999999</v>
      </c>
      <c r="G662" s="2402" t="s">
        <v>1046</v>
      </c>
      <c r="H662" s="2213">
        <f>VLOOKUP(G662,'CP FACTORS'!$A$3:$B$38, 2, FALSE)</f>
        <v>0</v>
      </c>
      <c r="I662" s="2519">
        <f t="shared" si="110"/>
        <v>0</v>
      </c>
      <c r="J662" s="2520">
        <f t="shared" si="105"/>
        <v>2</v>
      </c>
      <c r="K662" s="2482">
        <v>0</v>
      </c>
      <c r="L662" s="2517" t="s">
        <v>62</v>
      </c>
      <c r="M662" s="283"/>
      <c r="N662" s="283"/>
      <c r="O662" s="283"/>
      <c r="P662" s="283"/>
      <c r="Q662" s="283"/>
      <c r="R662" s="283"/>
      <c r="S662" s="611"/>
      <c r="T662" s="611"/>
      <c r="U662" s="611"/>
      <c r="V662" s="2413" t="str">
        <f t="shared" si="106"/>
        <v>kWh
Annual Savings</v>
      </c>
      <c r="W662" s="2523"/>
      <c r="X662" s="2524"/>
      <c r="Y662" s="2525"/>
      <c r="Z662" s="2526"/>
      <c r="AA662" s="2526"/>
      <c r="AB662" s="2526"/>
      <c r="AC662" s="2518">
        <f t="shared" si="107"/>
        <v>1180.0999999999999</v>
      </c>
      <c r="AD662" s="2518">
        <v>1180.0999999999999</v>
      </c>
      <c r="AE662" s="2518">
        <v>1180.0999999999999</v>
      </c>
      <c r="AF662" s="2236">
        <f t="shared" si="102"/>
        <v>1180.0999999999999</v>
      </c>
      <c r="AG662" s="2413"/>
      <c r="AH662" s="273"/>
      <c r="AI662" s="273"/>
      <c r="AK662" s="358"/>
      <c r="DG662" s="2510"/>
      <c r="DH662" s="2558" t="str">
        <f t="shared" si="109"/>
        <v>Heating RES 2 Year EUL</v>
      </c>
      <c r="DI662" s="2336">
        <f>(INDEX('Avoided Cost Benefits'!$B$4:$B$865,MATCH(DH662,'Avoided Cost Benefits'!$A$4:$A$865,0)))*F662</f>
        <v>124.8285958721375</v>
      </c>
      <c r="DJ662" s="2507">
        <f t="shared" si="103"/>
        <v>0</v>
      </c>
    </row>
    <row r="663" spans="1:114" s="343" customFormat="1">
      <c r="A663" s="283"/>
      <c r="B663" s="1454">
        <f t="shared" si="101"/>
        <v>403311</v>
      </c>
      <c r="C663" s="345" t="s">
        <v>3050</v>
      </c>
      <c r="D663" s="555" t="s">
        <v>959</v>
      </c>
      <c r="E663" s="187" t="s">
        <v>3051</v>
      </c>
      <c r="F663" s="576">
        <f>ROUND((G676*G673*(1/G$681-1/G$686)/G$687),2)</f>
        <v>226.6</v>
      </c>
      <c r="G663" s="555" t="s">
        <v>1045</v>
      </c>
      <c r="H663" s="69">
        <f>VLOOKUP(G663,'CP FACTORS'!$A$3:$B$38, 2, FALSE)</f>
        <v>9.4741810000000004E-4</v>
      </c>
      <c r="I663" s="554">
        <f t="shared" si="110"/>
        <v>0.21468499999999999</v>
      </c>
      <c r="J663" s="344">
        <f t="shared" si="105"/>
        <v>2</v>
      </c>
      <c r="K663" s="742">
        <f>G$707</f>
        <v>185</v>
      </c>
      <c r="L663" s="345" t="s">
        <v>62</v>
      </c>
      <c r="M663" s="283"/>
      <c r="N663" s="283"/>
      <c r="O663" s="283"/>
      <c r="P663" s="283"/>
      <c r="Q663" s="283"/>
      <c r="R663" s="283"/>
      <c r="S663" s="611"/>
      <c r="T663" s="611"/>
      <c r="U663" s="611"/>
      <c r="V663" s="356" t="str">
        <f t="shared" si="106"/>
        <v>kWh
Annual Savings</v>
      </c>
      <c r="W663" s="1513"/>
      <c r="X663" s="852"/>
      <c r="Y663" s="853"/>
      <c r="Z663" s="854"/>
      <c r="AA663" s="854"/>
      <c r="AB663" s="854"/>
      <c r="AC663" s="576">
        <f t="shared" si="107"/>
        <v>226.6</v>
      </c>
      <c r="AD663" s="576">
        <v>226.6</v>
      </c>
      <c r="AE663" s="576">
        <v>226.6</v>
      </c>
      <c r="AF663" s="271">
        <f t="shared" si="102"/>
        <v>226.6</v>
      </c>
      <c r="AG663" s="356"/>
      <c r="AH663" s="273"/>
      <c r="AI663" s="273"/>
      <c r="AK663" s="358"/>
      <c r="DG663" s="1063">
        <f>(DI663+DI664)/(DJ663+DJ664)</f>
        <v>0.87355825926354935</v>
      </c>
      <c r="DH663" s="132" t="str">
        <f t="shared" si="109"/>
        <v>Cooling RES 2 Year EUL</v>
      </c>
      <c r="DI663" s="556">
        <f>(INDEX('Avoided Cost Benefits'!$B$4:$B$865,MATCH(DH663,'Avoided Cost Benefits'!$A$4:$A$865,0)))*F663</f>
        <v>84.72884106868878</v>
      </c>
      <c r="DJ663" s="1176">
        <f t="shared" si="103"/>
        <v>185</v>
      </c>
    </row>
    <row r="664" spans="1:114" s="343" customFormat="1">
      <c r="A664" s="283"/>
      <c r="B664" s="1454">
        <f t="shared" si="101"/>
        <v>403311</v>
      </c>
      <c r="C664" s="345" t="s">
        <v>3050</v>
      </c>
      <c r="D664" s="555" t="s">
        <v>959</v>
      </c>
      <c r="E664" s="673" t="s">
        <v>3051</v>
      </c>
      <c r="F664" s="576">
        <f>ROUND((G691*G688*(1/G$696-1/G$701)/G$687),2)</f>
        <v>726.8</v>
      </c>
      <c r="G664" s="555" t="s">
        <v>1046</v>
      </c>
      <c r="H664" s="69">
        <f>VLOOKUP(G664,'CP FACTORS'!$A$3:$B$38, 2, FALSE)</f>
        <v>0</v>
      </c>
      <c r="I664" s="554">
        <f t="shared" si="110"/>
        <v>0</v>
      </c>
      <c r="J664" s="344">
        <f t="shared" si="105"/>
        <v>2</v>
      </c>
      <c r="K664" s="742">
        <v>0</v>
      </c>
      <c r="L664" s="345" t="s">
        <v>62</v>
      </c>
      <c r="M664" s="283"/>
      <c r="N664" s="283"/>
      <c r="O664" s="283"/>
      <c r="P664" s="283"/>
      <c r="Q664" s="283"/>
      <c r="R664" s="283"/>
      <c r="S664" s="611"/>
      <c r="T664" s="611"/>
      <c r="U664" s="611"/>
      <c r="V664" s="356" t="str">
        <f t="shared" si="106"/>
        <v>kWh
Annual Savings</v>
      </c>
      <c r="W664" s="1513"/>
      <c r="X664" s="852"/>
      <c r="Y664" s="853"/>
      <c r="Z664" s="854"/>
      <c r="AA664" s="854"/>
      <c r="AB664" s="854"/>
      <c r="AC664" s="576">
        <f t="shared" si="107"/>
        <v>726.8</v>
      </c>
      <c r="AD664" s="576">
        <v>726.8</v>
      </c>
      <c r="AE664" s="576">
        <v>726.8</v>
      </c>
      <c r="AF664" s="271">
        <f t="shared" si="102"/>
        <v>726.8</v>
      </c>
      <c r="AG664" s="356"/>
      <c r="AH664" s="273"/>
      <c r="AI664" s="273"/>
      <c r="AK664" s="358"/>
      <c r="DG664" s="1081"/>
      <c r="DH664" s="933" t="str">
        <f t="shared" si="109"/>
        <v>Heating RES 2 Year EUL</v>
      </c>
      <c r="DI664" s="556">
        <f>(INDEX('Avoided Cost Benefits'!$B$4:$B$865,MATCH(DH664,'Avoided Cost Benefits'!$A$4:$A$865,0)))*F664</f>
        <v>76.879436895067826</v>
      </c>
      <c r="DJ664" s="1176">
        <f t="shared" si="103"/>
        <v>0</v>
      </c>
    </row>
    <row r="665" spans="1:114" s="343" customFormat="1">
      <c r="A665" s="283"/>
      <c r="B665" s="1454">
        <f t="shared" si="101"/>
        <v>403312</v>
      </c>
      <c r="C665" s="2517" t="s">
        <v>3052</v>
      </c>
      <c r="D665" s="2402" t="s">
        <v>2670</v>
      </c>
      <c r="E665" s="2495" t="s">
        <v>3053</v>
      </c>
      <c r="F665" s="2518">
        <f>ROUND((G676*G674*(1/G$681-1/G$686)/G$687),2)</f>
        <v>164.8</v>
      </c>
      <c r="G665" s="2402" t="s">
        <v>1045</v>
      </c>
      <c r="H665" s="2213">
        <f>VLOOKUP(G665,'CP FACTORS'!$A$3:$B$38, 2, FALSE)</f>
        <v>9.4741810000000004E-4</v>
      </c>
      <c r="I665" s="2519">
        <f t="shared" si="110"/>
        <v>0.156135</v>
      </c>
      <c r="J665" s="2520">
        <f t="shared" si="105"/>
        <v>2</v>
      </c>
      <c r="K665" s="2482">
        <f>G$707</f>
        <v>185</v>
      </c>
      <c r="L665" s="2517" t="s">
        <v>62</v>
      </c>
      <c r="M665" s="283"/>
      <c r="N665" s="283"/>
      <c r="O665" s="283"/>
      <c r="P665" s="283"/>
      <c r="Q665" s="283"/>
      <c r="R665" s="283"/>
      <c r="S665" s="611"/>
      <c r="T665" s="611"/>
      <c r="U665" s="611"/>
      <c r="V665" s="2413" t="str">
        <f t="shared" si="106"/>
        <v>kWh
Annual Savings</v>
      </c>
      <c r="W665" s="2523"/>
      <c r="X665" s="2524"/>
      <c r="Y665" s="2525"/>
      <c r="Z665" s="2526"/>
      <c r="AA665" s="2526"/>
      <c r="AB665" s="2526"/>
      <c r="AC665" s="2518">
        <f t="shared" si="107"/>
        <v>164.8</v>
      </c>
      <c r="AD665" s="2518">
        <v>164.8</v>
      </c>
      <c r="AE665" s="2518">
        <v>164.8</v>
      </c>
      <c r="AF665" s="2236">
        <f t="shared" si="102"/>
        <v>164.8</v>
      </c>
      <c r="AG665" s="2413"/>
      <c r="AH665" s="273"/>
      <c r="AI665" s="273"/>
      <c r="AK665" s="358"/>
      <c r="DG665" s="2422">
        <f>(DI665+DI666)/(DJ665+DJ666)</f>
        <v>0.47475451772313132</v>
      </c>
      <c r="DH665" s="2557" t="str">
        <f t="shared" si="109"/>
        <v>Cooling RES 2 Year EUL</v>
      </c>
      <c r="DI665" s="2336">
        <f>(INDEX('Avoided Cost Benefits'!$B$4:$B$865,MATCH(DH665,'Avoided Cost Benefits'!$A$4:$A$865,0)))*F665</f>
        <v>61.62097532268276</v>
      </c>
      <c r="DJ665" s="2507">
        <f t="shared" si="103"/>
        <v>185</v>
      </c>
    </row>
    <row r="666" spans="1:114" s="343" customFormat="1">
      <c r="A666" s="283"/>
      <c r="B666" s="1454">
        <f t="shared" si="101"/>
        <v>403312</v>
      </c>
      <c r="C666" s="2517" t="s">
        <v>3052</v>
      </c>
      <c r="D666" s="2402" t="s">
        <v>2670</v>
      </c>
      <c r="E666" s="2423" t="s">
        <v>3053</v>
      </c>
      <c r="F666" s="2518">
        <f>ROUND((G691*G689*(1/G$696-1/G$701)/G$687),2)</f>
        <v>247.77</v>
      </c>
      <c r="G666" s="2402" t="s">
        <v>1046</v>
      </c>
      <c r="H666" s="2213">
        <f>VLOOKUP(G666,'CP FACTORS'!$A$3:$B$38, 2, FALSE)</f>
        <v>0</v>
      </c>
      <c r="I666" s="2519">
        <f t="shared" si="110"/>
        <v>0</v>
      </c>
      <c r="J666" s="2520">
        <f t="shared" si="105"/>
        <v>2</v>
      </c>
      <c r="K666" s="2482">
        <v>0</v>
      </c>
      <c r="L666" s="2517" t="s">
        <v>62</v>
      </c>
      <c r="M666" s="283"/>
      <c r="N666" s="283"/>
      <c r="O666" s="283"/>
      <c r="P666" s="283"/>
      <c r="Q666" s="283"/>
      <c r="R666" s="283"/>
      <c r="S666" s="611"/>
      <c r="T666" s="611"/>
      <c r="U666" s="611"/>
      <c r="V666" s="2413" t="str">
        <f t="shared" si="106"/>
        <v>kWh
Annual Savings</v>
      </c>
      <c r="W666" s="2523"/>
      <c r="X666" s="2524"/>
      <c r="Y666" s="2525"/>
      <c r="Z666" s="2526"/>
      <c r="AA666" s="2526"/>
      <c r="AB666" s="2526"/>
      <c r="AC666" s="2518">
        <f t="shared" si="107"/>
        <v>247.77</v>
      </c>
      <c r="AD666" s="2518">
        <v>247.77</v>
      </c>
      <c r="AE666" s="2518">
        <v>247.77</v>
      </c>
      <c r="AF666" s="2236">
        <f t="shared" si="102"/>
        <v>247.77</v>
      </c>
      <c r="AG666" s="2413"/>
      <c r="AH666" s="273"/>
      <c r="AI666" s="273"/>
      <c r="AK666" s="358"/>
      <c r="DG666" s="2510"/>
      <c r="DH666" s="2558" t="str">
        <f t="shared" si="109"/>
        <v>Heating RES 2 Year EUL</v>
      </c>
      <c r="DI666" s="2430">
        <f>(INDEX('Avoided Cost Benefits'!$B$4:$B$865,MATCH(DH666,'Avoided Cost Benefits'!$A$4:$A$865,0)))*F666</f>
        <v>26.20861045609653</v>
      </c>
      <c r="DJ666" s="2484">
        <f t="shared" si="103"/>
        <v>0</v>
      </c>
    </row>
    <row r="667" spans="1:114" s="343" customFormat="1" hidden="1" outlineLevel="1">
      <c r="A667" s="283"/>
      <c r="B667" s="611"/>
      <c r="C667" s="73"/>
      <c r="D667" s="1449" t="s">
        <v>118</v>
      </c>
      <c r="E667" s="1449" t="s">
        <v>2692</v>
      </c>
      <c r="F667" s="1052"/>
      <c r="G667" s="866"/>
      <c r="H667" s="866"/>
      <c r="I667" s="1053"/>
      <c r="J667" s="1054"/>
      <c r="K667" s="652"/>
      <c r="L667" s="73"/>
      <c r="M667" s="283"/>
      <c r="N667" s="283"/>
      <c r="O667" s="283"/>
      <c r="P667" s="283"/>
      <c r="Q667" s="283"/>
      <c r="R667" s="283"/>
      <c r="S667" s="611"/>
      <c r="T667" s="611"/>
      <c r="U667" s="611"/>
      <c r="V667" s="76"/>
      <c r="W667" s="76"/>
      <c r="X667" s="76"/>
      <c r="Y667" s="76"/>
      <c r="Z667" s="76"/>
      <c r="AA667" s="76"/>
      <c r="AB667" s="76"/>
      <c r="AC667" s="76"/>
      <c r="AD667" s="76"/>
      <c r="AE667" s="76"/>
      <c r="AF667" s="76"/>
      <c r="AG667" s="76"/>
      <c r="AH667" s="273"/>
      <c r="AI667" s="273"/>
      <c r="AK667" s="358"/>
      <c r="DG667" s="611"/>
      <c r="DH667" s="133"/>
      <c r="DI667" s="556"/>
      <c r="DJ667" s="1188"/>
    </row>
    <row r="668" spans="1:114" s="343" customFormat="1" hidden="1" outlineLevel="1">
      <c r="A668" s="283"/>
      <c r="B668" s="611"/>
      <c r="C668" s="73"/>
      <c r="D668" s="1725" t="s">
        <v>963</v>
      </c>
      <c r="E668" s="1725" t="s">
        <v>2693</v>
      </c>
      <c r="F668" s="1052"/>
      <c r="G668" s="866"/>
      <c r="H668" s="866"/>
      <c r="I668" s="1053"/>
      <c r="J668" s="1054"/>
      <c r="K668" s="652"/>
      <c r="L668" s="73"/>
      <c r="M668" s="283"/>
      <c r="N668" s="283"/>
      <c r="O668" s="283"/>
      <c r="P668" s="283"/>
      <c r="Q668" s="283"/>
      <c r="R668" s="283"/>
      <c r="S668" s="611"/>
      <c r="T668" s="611"/>
      <c r="U668" s="611"/>
      <c r="V668" s="76"/>
      <c r="W668" s="76"/>
      <c r="X668" s="76"/>
      <c r="Y668" s="76"/>
      <c r="Z668" s="76"/>
      <c r="AA668" s="76"/>
      <c r="AB668" s="76"/>
      <c r="AC668" s="76"/>
      <c r="AD668" s="76"/>
      <c r="AE668" s="76"/>
      <c r="AF668" s="76"/>
      <c r="AG668" s="76"/>
      <c r="AH668" s="273"/>
      <c r="AI668" s="273"/>
      <c r="AK668" s="358"/>
      <c r="DG668" s="611"/>
      <c r="DH668" s="133"/>
      <c r="DI668" s="556"/>
      <c r="DJ668" s="1188"/>
    </row>
    <row r="669" spans="1:114" s="7" customFormat="1" hidden="1" outlineLevel="1">
      <c r="A669" s="283"/>
      <c r="B669" s="66"/>
      <c r="C669" s="64"/>
      <c r="D669" s="1449"/>
      <c r="E669" s="1725" t="s">
        <v>2694</v>
      </c>
      <c r="F669" s="72"/>
      <c r="G669" s="66"/>
      <c r="H669" s="66"/>
      <c r="I669" s="66"/>
      <c r="J669" s="322"/>
      <c r="K669" s="66"/>
      <c r="L669" s="66"/>
      <c r="M669" s="66"/>
      <c r="N669" s="283"/>
      <c r="O669" s="283"/>
      <c r="P669" s="283"/>
      <c r="Q669" s="283"/>
      <c r="R669" s="283"/>
      <c r="S669" s="611"/>
      <c r="T669" s="611"/>
      <c r="U669" s="611"/>
      <c r="V669" s="76"/>
      <c r="Y669" s="1520"/>
      <c r="AK669" s="358"/>
      <c r="DG669" s="1059"/>
      <c r="DH669" s="66"/>
      <c r="DI669" s="66"/>
      <c r="DJ669" s="1102"/>
    </row>
    <row r="670" spans="1:114" s="7" customFormat="1" hidden="1" outlineLevel="1">
      <c r="A670" s="283"/>
      <c r="B670" s="66"/>
      <c r="C670" s="64"/>
      <c r="D670" s="1449"/>
      <c r="E670" s="1449" t="s">
        <v>1075</v>
      </c>
      <c r="F670" s="577"/>
      <c r="G670" s="66"/>
      <c r="H670" s="66"/>
      <c r="I670" s="66"/>
      <c r="J670" s="66"/>
      <c r="K670" s="66"/>
      <c r="L670" s="66"/>
      <c r="M670" s="66"/>
      <c r="N670" s="283"/>
      <c r="O670" s="283"/>
      <c r="P670" s="283"/>
      <c r="Q670" s="283"/>
      <c r="R670" s="283"/>
      <c r="S670" s="611"/>
      <c r="T670" s="611"/>
      <c r="U670" s="611"/>
      <c r="V670" s="76"/>
      <c r="Y670" s="1520"/>
      <c r="AK670" s="358"/>
      <c r="DG670" s="1059"/>
      <c r="DH670" s="66"/>
      <c r="DI670" s="66"/>
      <c r="DJ670" s="1102"/>
    </row>
    <row r="671" spans="1:114" s="7" customFormat="1" hidden="1" outlineLevel="1">
      <c r="A671" s="283"/>
      <c r="B671" s="66"/>
      <c r="C671" s="64"/>
      <c r="D671" s="1449"/>
      <c r="E671" s="1449"/>
      <c r="F671" s="577"/>
      <c r="G671" s="66"/>
      <c r="H671" s="66"/>
      <c r="I671" s="66"/>
      <c r="J671" s="66"/>
      <c r="K671" s="66"/>
      <c r="L671" s="66"/>
      <c r="M671" s="66"/>
      <c r="N671" s="283"/>
      <c r="O671" s="283"/>
      <c r="P671" s="283"/>
      <c r="Q671" s="283"/>
      <c r="R671" s="283"/>
      <c r="S671" s="611"/>
      <c r="T671" s="611"/>
      <c r="U671" s="611"/>
      <c r="V671" s="76"/>
      <c r="Y671" s="1520"/>
      <c r="AK671" s="358"/>
      <c r="DG671" s="1059"/>
      <c r="DH671" s="66"/>
      <c r="DI671" s="66"/>
      <c r="DJ671" s="1102"/>
    </row>
    <row r="672" spans="1:114" s="9" customFormat="1" ht="15" hidden="1" customHeight="1" outlineLevel="1">
      <c r="A672" s="283"/>
      <c r="B672" s="122"/>
      <c r="C672" s="64"/>
      <c r="D672" s="1443" t="s">
        <v>1078</v>
      </c>
      <c r="E672" s="1443" t="s">
        <v>967</v>
      </c>
      <c r="F672" s="1443" t="s">
        <v>968</v>
      </c>
      <c r="G672" s="1382" t="s">
        <v>969</v>
      </c>
      <c r="H672" s="4068" t="s">
        <v>970</v>
      </c>
      <c r="I672" s="4068"/>
      <c r="J672" s="4438" t="s">
        <v>755</v>
      </c>
      <c r="K672" s="4497"/>
      <c r="L672" s="4497"/>
      <c r="M672" s="4498"/>
      <c r="N672" s="66"/>
      <c r="O672" s="66"/>
      <c r="P672" s="66"/>
      <c r="Q672" s="66"/>
      <c r="R672" s="122"/>
      <c r="S672" s="122"/>
      <c r="T672" s="122"/>
      <c r="U672" s="122"/>
      <c r="V672" s="668" t="s">
        <v>52</v>
      </c>
      <c r="W672" s="669">
        <f>W$6</f>
        <v>43252</v>
      </c>
      <c r="X672" s="669">
        <f t="shared" ref="X672:AG672" si="111">X$6</f>
        <v>43465</v>
      </c>
      <c r="Y672" s="115">
        <f t="shared" si="111"/>
        <v>43800</v>
      </c>
      <c r="Z672" s="669">
        <f t="shared" si="111"/>
        <v>43862</v>
      </c>
      <c r="AA672" s="669">
        <f t="shared" si="111"/>
        <v>44013</v>
      </c>
      <c r="AB672" s="669">
        <f t="shared" si="111"/>
        <v>44166</v>
      </c>
      <c r="AC672" s="669">
        <f t="shared" si="111"/>
        <v>44531</v>
      </c>
      <c r="AD672" s="669">
        <f t="shared" si="111"/>
        <v>44774</v>
      </c>
      <c r="AE672" s="669">
        <f t="shared" si="111"/>
        <v>45139</v>
      </c>
      <c r="AF672" s="669">
        <f t="shared" si="111"/>
        <v>45672</v>
      </c>
      <c r="AG672" s="669" t="str">
        <f t="shared" si="111"/>
        <v>-</v>
      </c>
      <c r="AK672" s="358"/>
      <c r="DG672" s="1065"/>
      <c r="DH672" s="122"/>
      <c r="DI672" s="122"/>
      <c r="DJ672" s="1168"/>
    </row>
    <row r="673" spans="1:114" s="7" customFormat="1" hidden="1" outlineLevel="1">
      <c r="A673" s="283"/>
      <c r="B673" s="66"/>
      <c r="C673" s="64"/>
      <c r="D673" s="4416" t="s">
        <v>2695</v>
      </c>
      <c r="E673" s="4416" t="s">
        <v>2121</v>
      </c>
      <c r="F673" s="1901" t="s">
        <v>1122</v>
      </c>
      <c r="G673" s="1803">
        <v>869</v>
      </c>
      <c r="H673" s="4499" t="s">
        <v>2498</v>
      </c>
      <c r="I673" s="4500"/>
      <c r="J673" s="4503"/>
      <c r="K673" s="4504"/>
      <c r="L673" s="4504"/>
      <c r="M673" s="4505"/>
      <c r="N673" s="66"/>
      <c r="O673" s="66"/>
      <c r="P673" s="66"/>
      <c r="Q673" s="66"/>
      <c r="R673" s="66"/>
      <c r="S673" s="66"/>
      <c r="T673" s="66"/>
      <c r="U673" s="66"/>
      <c r="V673" s="4484" t="s">
        <v>3054</v>
      </c>
      <c r="W673" s="348">
        <v>869</v>
      </c>
      <c r="X673" s="82">
        <v>869</v>
      </c>
      <c r="Y673" s="82">
        <v>869</v>
      </c>
      <c r="Z673" s="82">
        <v>869</v>
      </c>
      <c r="AA673" s="82">
        <v>869</v>
      </c>
      <c r="AB673" s="82">
        <v>869</v>
      </c>
      <c r="AC673" s="865">
        <f>G673</f>
        <v>869</v>
      </c>
      <c r="AD673" s="347">
        <v>869</v>
      </c>
      <c r="AE673" s="347">
        <v>869</v>
      </c>
      <c r="AF673" s="271">
        <f t="shared" ref="AF673:AF707" si="112">IF(G673&lt;&gt;"",G673,"")</f>
        <v>869</v>
      </c>
      <c r="AG673" s="1514"/>
      <c r="AK673" s="358"/>
      <c r="DG673" s="1059"/>
      <c r="DH673" s="66"/>
      <c r="DI673" s="66"/>
      <c r="DJ673" s="1102"/>
    </row>
    <row r="674" spans="1:114" s="7" customFormat="1" hidden="1" outlineLevel="1">
      <c r="A674" s="283"/>
      <c r="B674" s="66"/>
      <c r="C674" s="64"/>
      <c r="D674" s="4203"/>
      <c r="E674" s="4203"/>
      <c r="F674" s="2440" t="s">
        <v>1118</v>
      </c>
      <c r="G674" s="2433">
        <v>632</v>
      </c>
      <c r="H674" s="4501"/>
      <c r="I674" s="4502"/>
      <c r="J674" s="4506"/>
      <c r="K674" s="4507"/>
      <c r="L674" s="4507"/>
      <c r="M674" s="4508"/>
      <c r="N674" s="66"/>
      <c r="O674" s="66"/>
      <c r="P674" s="66"/>
      <c r="Q674" s="66"/>
      <c r="R674" s="66"/>
      <c r="S674" s="66"/>
      <c r="T674" s="66"/>
      <c r="U674" s="66"/>
      <c r="V674" s="4509"/>
      <c r="W674" s="2530"/>
      <c r="X674" s="2531"/>
      <c r="Y674" s="2532">
        <v>632</v>
      </c>
      <c r="Z674" s="2531">
        <v>632</v>
      </c>
      <c r="AA674" s="2531">
        <v>632</v>
      </c>
      <c r="AB674" s="2531">
        <v>632</v>
      </c>
      <c r="AC674" s="2533">
        <f t="shared" ref="AC674:AC706" si="113">G674</f>
        <v>632</v>
      </c>
      <c r="AD674" s="2437">
        <v>632</v>
      </c>
      <c r="AE674" s="2437">
        <v>632</v>
      </c>
      <c r="AF674" s="2236">
        <f t="shared" si="112"/>
        <v>632</v>
      </c>
      <c r="AG674" s="2439"/>
      <c r="AK674" s="358"/>
      <c r="DG674" s="1059"/>
      <c r="DH674" s="66"/>
      <c r="DI674" s="66"/>
      <c r="DJ674" s="1102"/>
    </row>
    <row r="675" spans="1:114" s="7" customFormat="1" ht="43.5" hidden="1" customHeight="1" outlineLevel="1">
      <c r="A675" s="283"/>
      <c r="B675" s="66"/>
      <c r="C675" s="64"/>
      <c r="D675" s="4416" t="s">
        <v>2698</v>
      </c>
      <c r="E675" s="4416" t="s">
        <v>2503</v>
      </c>
      <c r="F675" s="2440" t="s">
        <v>170</v>
      </c>
      <c r="G675" s="2534">
        <v>36595</v>
      </c>
      <c r="H675" s="4161" t="s">
        <v>3055</v>
      </c>
      <c r="I675" s="4162"/>
      <c r="J675" s="4154" t="s">
        <v>3056</v>
      </c>
      <c r="K675" s="4528"/>
      <c r="L675" s="4528"/>
      <c r="M675" s="4155"/>
      <c r="N675" s="66"/>
      <c r="O675" s="66"/>
      <c r="P675" s="66"/>
      <c r="Q675" s="66"/>
      <c r="R675" s="66"/>
      <c r="S675" s="66"/>
      <c r="T675" s="66"/>
      <c r="U675" s="66"/>
      <c r="V675" s="4484" t="s">
        <v>3057</v>
      </c>
      <c r="W675" s="2530">
        <v>37716.279069767443</v>
      </c>
      <c r="X675" s="2531">
        <v>37716.279069767443</v>
      </c>
      <c r="Y675" s="2531">
        <v>37716.279069767443</v>
      </c>
      <c r="Z675" s="2531">
        <v>37716.279069767443</v>
      </c>
      <c r="AA675" s="2531">
        <v>37716.279069767443</v>
      </c>
      <c r="AB675" s="2531">
        <v>37716.279069767443</v>
      </c>
      <c r="AC675" s="2533">
        <f t="shared" si="113"/>
        <v>36595</v>
      </c>
      <c r="AD675" s="2437">
        <v>36595</v>
      </c>
      <c r="AE675" s="2437">
        <v>36595</v>
      </c>
      <c r="AF675" s="2236">
        <f t="shared" si="112"/>
        <v>36595</v>
      </c>
      <c r="AG675" s="1514"/>
      <c r="AK675" s="358"/>
      <c r="DG675" s="1059"/>
      <c r="DH675" s="66"/>
      <c r="DI675" s="66"/>
      <c r="DJ675" s="1102"/>
    </row>
    <row r="676" spans="1:114" s="7" customFormat="1" ht="30" hidden="1" customHeight="1" outlineLevel="1">
      <c r="A676" s="283"/>
      <c r="B676" s="66"/>
      <c r="C676" s="64"/>
      <c r="D676" s="4417"/>
      <c r="E676" s="4417"/>
      <c r="F676" s="350" t="s">
        <v>1122</v>
      </c>
      <c r="G676" s="1737">
        <v>22537.991266375546</v>
      </c>
      <c r="H676" s="4516" t="s">
        <v>1547</v>
      </c>
      <c r="I676" s="4517"/>
      <c r="J676" s="4518"/>
      <c r="K676" s="4519"/>
      <c r="L676" s="4519"/>
      <c r="M676" s="4520"/>
      <c r="N676" s="66"/>
      <c r="O676" s="66"/>
      <c r="P676" s="66"/>
      <c r="Q676" s="66"/>
      <c r="R676" s="66"/>
      <c r="S676" s="66"/>
      <c r="T676" s="66"/>
      <c r="U676" s="66"/>
      <c r="V676" s="4484"/>
      <c r="W676" s="348">
        <f>W675*0.65</f>
        <v>24515.58139534884</v>
      </c>
      <c r="X676" s="82">
        <v>24515.58139534884</v>
      </c>
      <c r="Y676" s="349">
        <v>22537.991266375546</v>
      </c>
      <c r="Z676" s="82">
        <v>22537.991266375546</v>
      </c>
      <c r="AA676" s="82">
        <v>22537.991266375546</v>
      </c>
      <c r="AB676" s="82">
        <v>22537.991266375546</v>
      </c>
      <c r="AC676" s="865">
        <f t="shared" si="113"/>
        <v>22537.991266375546</v>
      </c>
      <c r="AD676" s="347">
        <v>22537.991266375546</v>
      </c>
      <c r="AE676" s="347">
        <v>22537.991266375546</v>
      </c>
      <c r="AF676" s="271">
        <f t="shared" si="112"/>
        <v>22537.991266375546</v>
      </c>
      <c r="AG676" s="1514"/>
      <c r="AK676" s="358"/>
      <c r="DG676" s="1059"/>
      <c r="DH676" s="66"/>
      <c r="DI676" s="66"/>
      <c r="DJ676" s="1102"/>
    </row>
    <row r="677" spans="1:114" s="7" customFormat="1" ht="15" hidden="1" customHeight="1" outlineLevel="1">
      <c r="A677" s="283"/>
      <c r="B677" s="66"/>
      <c r="C677" s="64"/>
      <c r="D677" s="4416" t="s">
        <v>2701</v>
      </c>
      <c r="E677" s="4416" t="s">
        <v>2702</v>
      </c>
      <c r="F677" s="2440" t="s">
        <v>2703</v>
      </c>
      <c r="G677" s="2322">
        <v>11.9</v>
      </c>
      <c r="H677" s="4522" t="s">
        <v>2704</v>
      </c>
      <c r="I677" s="4523"/>
      <c r="J677" s="4516"/>
      <c r="K677" s="4521"/>
      <c r="L677" s="4521"/>
      <c r="M677" s="4517"/>
      <c r="N677" s="66"/>
      <c r="O677" s="66"/>
      <c r="P677" s="66"/>
      <c r="Q677" s="66"/>
      <c r="R677" s="66"/>
      <c r="S677" s="66"/>
      <c r="T677" s="66"/>
      <c r="U677" s="66"/>
      <c r="V677" s="4484" t="s">
        <v>2701</v>
      </c>
      <c r="W677" s="2535">
        <v>11.9</v>
      </c>
      <c r="X677" s="2536">
        <v>11.9</v>
      </c>
      <c r="Y677" s="2537">
        <v>11.9</v>
      </c>
      <c r="Z677" s="2536">
        <v>11.9</v>
      </c>
      <c r="AA677" s="2536">
        <v>11.9</v>
      </c>
      <c r="AB677" s="2536">
        <v>11.9</v>
      </c>
      <c r="AC677" s="2520">
        <f t="shared" si="113"/>
        <v>11.9</v>
      </c>
      <c r="AD677" s="2442">
        <v>11.9</v>
      </c>
      <c r="AE677" s="2442">
        <v>11.9</v>
      </c>
      <c r="AF677" s="2236">
        <f t="shared" si="112"/>
        <v>11.9</v>
      </c>
      <c r="AG677" s="1516"/>
      <c r="AK677" s="358"/>
      <c r="DG677" s="1059"/>
      <c r="DH677" s="66"/>
      <c r="DI677" s="66"/>
      <c r="DJ677" s="1102"/>
    </row>
    <row r="678" spans="1:114" s="7" customFormat="1" hidden="1" outlineLevel="1">
      <c r="A678" s="283"/>
      <c r="B678" s="66"/>
      <c r="C678" s="64"/>
      <c r="D678" s="4476"/>
      <c r="E678" s="4476"/>
      <c r="F678" s="2440" t="s">
        <v>2705</v>
      </c>
      <c r="G678" s="2322">
        <v>11.9</v>
      </c>
      <c r="H678" s="4524"/>
      <c r="I678" s="4525"/>
      <c r="J678" s="4516"/>
      <c r="K678" s="4521"/>
      <c r="L678" s="4521"/>
      <c r="M678" s="4517"/>
      <c r="N678" s="66"/>
      <c r="O678" s="66"/>
      <c r="P678" s="66"/>
      <c r="Q678" s="66"/>
      <c r="R678" s="66"/>
      <c r="S678" s="66"/>
      <c r="T678" s="66"/>
      <c r="U678" s="66"/>
      <c r="V678" s="4484"/>
      <c r="W678" s="2535">
        <v>11.9</v>
      </c>
      <c r="X678" s="2538">
        <v>11.9</v>
      </c>
      <c r="Y678" s="2537">
        <v>11.9</v>
      </c>
      <c r="Z678" s="2536">
        <v>11.9</v>
      </c>
      <c r="AA678" s="2536">
        <v>11.9</v>
      </c>
      <c r="AB678" s="2536">
        <v>11.9</v>
      </c>
      <c r="AC678" s="2520">
        <f t="shared" si="113"/>
        <v>11.9</v>
      </c>
      <c r="AD678" s="2442">
        <v>11.9</v>
      </c>
      <c r="AE678" s="2442">
        <v>11.9</v>
      </c>
      <c r="AF678" s="2236">
        <f t="shared" si="112"/>
        <v>11.9</v>
      </c>
      <c r="AG678" s="1516"/>
      <c r="AK678" s="358"/>
      <c r="DG678" s="1059"/>
      <c r="DH678" s="66"/>
      <c r="DI678" s="66"/>
      <c r="DJ678" s="1102"/>
    </row>
    <row r="679" spans="1:114" s="7" customFormat="1" hidden="1" outlineLevel="1">
      <c r="A679" s="283"/>
      <c r="B679" s="66"/>
      <c r="C679" s="64"/>
      <c r="D679" s="4476"/>
      <c r="E679" s="4476"/>
      <c r="F679" s="2440" t="s">
        <v>2706</v>
      </c>
      <c r="G679" s="2322">
        <v>11.9</v>
      </c>
      <c r="H679" s="4524"/>
      <c r="I679" s="4525"/>
      <c r="J679" s="4516" t="s">
        <v>2707</v>
      </c>
      <c r="K679" s="4521"/>
      <c r="L679" s="4521"/>
      <c r="M679" s="4517"/>
      <c r="N679" s="66"/>
      <c r="O679" s="66"/>
      <c r="P679" s="66"/>
      <c r="Q679" s="66"/>
      <c r="R679" s="66"/>
      <c r="S679" s="66"/>
      <c r="T679" s="66"/>
      <c r="U679" s="66"/>
      <c r="V679" s="4484"/>
      <c r="W679" s="2535">
        <v>11.9</v>
      </c>
      <c r="X679" s="2536">
        <v>11.9</v>
      </c>
      <c r="Y679" s="2537">
        <v>11.9</v>
      </c>
      <c r="Z679" s="2536">
        <v>11.9</v>
      </c>
      <c r="AA679" s="2536">
        <v>11.9</v>
      </c>
      <c r="AB679" s="2536">
        <v>11.9</v>
      </c>
      <c r="AC679" s="2520">
        <f t="shared" si="113"/>
        <v>11.9</v>
      </c>
      <c r="AD679" s="2442">
        <v>11.9</v>
      </c>
      <c r="AE679" s="2442">
        <v>11.9</v>
      </c>
      <c r="AF679" s="2236">
        <f t="shared" si="112"/>
        <v>11.9</v>
      </c>
      <c r="AG679" s="1516"/>
      <c r="AK679" s="358"/>
      <c r="DG679" s="1059"/>
      <c r="DH679" s="66"/>
      <c r="DI679" s="66"/>
      <c r="DJ679" s="1102"/>
    </row>
    <row r="680" spans="1:114" s="7" customFormat="1" hidden="1" outlineLevel="1">
      <c r="A680" s="283"/>
      <c r="B680" s="66"/>
      <c r="C680" s="64"/>
      <c r="D680" s="4476"/>
      <c r="E680" s="4476"/>
      <c r="F680" s="2440" t="s">
        <v>2708</v>
      </c>
      <c r="G680" s="2322">
        <v>11.9</v>
      </c>
      <c r="H680" s="4524"/>
      <c r="I680" s="4525"/>
      <c r="J680" s="4516"/>
      <c r="K680" s="4521"/>
      <c r="L680" s="4521"/>
      <c r="M680" s="4517"/>
      <c r="N680" s="66"/>
      <c r="O680" s="66"/>
      <c r="P680" s="66"/>
      <c r="Q680" s="66"/>
      <c r="R680" s="66"/>
      <c r="S680" s="66"/>
      <c r="T680" s="66"/>
      <c r="U680" s="66"/>
      <c r="V680" s="4484"/>
      <c r="W680" s="2535">
        <v>11.9</v>
      </c>
      <c r="X680" s="2536">
        <v>11.9</v>
      </c>
      <c r="Y680" s="2537">
        <v>11.9</v>
      </c>
      <c r="Z680" s="2536">
        <v>11.9</v>
      </c>
      <c r="AA680" s="2536">
        <v>11.9</v>
      </c>
      <c r="AB680" s="2536">
        <v>11.9</v>
      </c>
      <c r="AC680" s="2520">
        <f t="shared" si="113"/>
        <v>11.9</v>
      </c>
      <c r="AD680" s="2442">
        <v>11.9</v>
      </c>
      <c r="AE680" s="2442">
        <v>11.9</v>
      </c>
      <c r="AF680" s="2236">
        <f t="shared" si="112"/>
        <v>11.9</v>
      </c>
      <c r="AG680" s="1516"/>
      <c r="AK680" s="358"/>
      <c r="DG680" s="1059"/>
      <c r="DH680" s="66"/>
      <c r="DI680" s="66"/>
      <c r="DJ680" s="1102"/>
    </row>
    <row r="681" spans="1:114" s="7" customFormat="1" hidden="1" outlineLevel="1">
      <c r="A681" s="283"/>
      <c r="B681" s="66"/>
      <c r="C681" s="64"/>
      <c r="D681" s="4417"/>
      <c r="E681" s="4417"/>
      <c r="F681" s="350" t="s">
        <v>2709</v>
      </c>
      <c r="G681" s="1665">
        <f>G680</f>
        <v>11.9</v>
      </c>
      <c r="H681" s="4526"/>
      <c r="I681" s="4527"/>
      <c r="J681" s="4516"/>
      <c r="K681" s="4521"/>
      <c r="L681" s="4521"/>
      <c r="M681" s="4517"/>
      <c r="N681" s="66"/>
      <c r="O681" s="2086" t="s">
        <v>3058</v>
      </c>
      <c r="P681" s="2086"/>
      <c r="Q681" s="66"/>
      <c r="R681" s="66"/>
      <c r="S681" s="66"/>
      <c r="T681" s="66"/>
      <c r="U681" s="66"/>
      <c r="V681" s="4484"/>
      <c r="W681" s="854"/>
      <c r="X681" s="854"/>
      <c r="Y681" s="854"/>
      <c r="Z681" s="854"/>
      <c r="AA681" s="854"/>
      <c r="AB681" s="854"/>
      <c r="AC681" s="344">
        <f t="shared" si="113"/>
        <v>11.9</v>
      </c>
      <c r="AD681" s="1381">
        <v>11.9</v>
      </c>
      <c r="AE681" s="1381">
        <v>11.9</v>
      </c>
      <c r="AF681" s="271">
        <f t="shared" si="112"/>
        <v>11.9</v>
      </c>
      <c r="AG681" s="1516"/>
      <c r="AK681" s="358"/>
      <c r="DG681" s="1059"/>
      <c r="DH681" s="66"/>
      <c r="DI681" s="66"/>
      <c r="DJ681" s="1102"/>
    </row>
    <row r="682" spans="1:114" s="7" customFormat="1" ht="15" hidden="1" customHeight="1" outlineLevel="1">
      <c r="A682" s="283"/>
      <c r="B682" s="66"/>
      <c r="C682" s="64"/>
      <c r="D682" s="4416" t="s">
        <v>2710</v>
      </c>
      <c r="E682" s="4416" t="s">
        <v>2711</v>
      </c>
      <c r="F682" s="2440" t="s">
        <v>2703</v>
      </c>
      <c r="G682" s="2322">
        <v>12.566400000000002</v>
      </c>
      <c r="H682" s="4212" t="s">
        <v>2065</v>
      </c>
      <c r="I682" s="4212"/>
      <c r="J682" s="4072" t="s">
        <v>2707</v>
      </c>
      <c r="K682" s="4072"/>
      <c r="L682" s="4072"/>
      <c r="M682" s="4072"/>
      <c r="N682" s="66"/>
      <c r="O682" s="2086">
        <v>5.6000000000000001E-2</v>
      </c>
      <c r="P682" s="2546">
        <f>ROUND(G$681/(1-O682),2)</f>
        <v>12.61</v>
      </c>
      <c r="Q682" s="66"/>
      <c r="R682" s="66"/>
      <c r="S682" s="66"/>
      <c r="T682" s="66"/>
      <c r="U682" s="66"/>
      <c r="V682" s="4484" t="s">
        <v>3059</v>
      </c>
      <c r="W682" s="2535">
        <v>12.566400000000002</v>
      </c>
      <c r="X682" s="2536">
        <v>12.566400000000002</v>
      </c>
      <c r="Y682" s="2537">
        <v>12.566400000000002</v>
      </c>
      <c r="Z682" s="2536">
        <v>12.566400000000002</v>
      </c>
      <c r="AA682" s="2536">
        <v>12.566400000000002</v>
      </c>
      <c r="AB682" s="2536">
        <v>12.566400000000002</v>
      </c>
      <c r="AC682" s="2520">
        <f t="shared" si="113"/>
        <v>12.566400000000002</v>
      </c>
      <c r="AD682" s="2442">
        <v>12.566400000000002</v>
      </c>
      <c r="AE682" s="2442">
        <v>12.566400000000002</v>
      </c>
      <c r="AF682" s="2236">
        <f t="shared" si="112"/>
        <v>12.566400000000002</v>
      </c>
      <c r="AG682" s="1516"/>
      <c r="AK682" s="358"/>
      <c r="DG682" s="1059"/>
      <c r="DH682" s="66"/>
      <c r="DI682" s="66"/>
      <c r="DJ682" s="1102"/>
    </row>
    <row r="683" spans="1:114" s="7" customFormat="1" hidden="1" outlineLevel="1">
      <c r="A683" s="283"/>
      <c r="B683" s="66"/>
      <c r="C683" s="64"/>
      <c r="D683" s="4476"/>
      <c r="E683" s="4476"/>
      <c r="F683" s="2440" t="s">
        <v>2705</v>
      </c>
      <c r="G683" s="2322">
        <v>15.2796</v>
      </c>
      <c r="H683" s="4529" t="s">
        <v>2713</v>
      </c>
      <c r="I683" s="4530"/>
      <c r="J683" s="4072" t="s">
        <v>2707</v>
      </c>
      <c r="K683" s="4072"/>
      <c r="L683" s="4072"/>
      <c r="M683" s="4072"/>
      <c r="N683" s="66"/>
      <c r="O683" s="2086">
        <v>0.22</v>
      </c>
      <c r="P683" s="2546">
        <f>ROUND(G$681/(1-O683),2)</f>
        <v>15.26</v>
      </c>
      <c r="Q683" s="66"/>
      <c r="R683" s="66"/>
      <c r="S683" s="66"/>
      <c r="T683" s="66"/>
      <c r="U683" s="66"/>
      <c r="V683" s="4484"/>
      <c r="W683" s="2535">
        <v>15.2796</v>
      </c>
      <c r="X683" s="2536">
        <v>15.2796</v>
      </c>
      <c r="Y683" s="2537">
        <v>15.2796</v>
      </c>
      <c r="Z683" s="2536">
        <v>15.2796</v>
      </c>
      <c r="AA683" s="2536">
        <v>15.2796</v>
      </c>
      <c r="AB683" s="2536">
        <v>15.2796</v>
      </c>
      <c r="AC683" s="2520">
        <f t="shared" si="113"/>
        <v>15.2796</v>
      </c>
      <c r="AD683" s="2442">
        <v>15.2796</v>
      </c>
      <c r="AE683" s="2442">
        <v>15.2796</v>
      </c>
      <c r="AF683" s="2236">
        <f t="shared" si="112"/>
        <v>15.2796</v>
      </c>
      <c r="AG683" s="1516"/>
      <c r="AK683" s="358"/>
      <c r="DG683" s="1059"/>
      <c r="DH683" s="66"/>
      <c r="DI683" s="66"/>
      <c r="DJ683" s="1102"/>
    </row>
    <row r="684" spans="1:114" s="7" customFormat="1" hidden="1" outlineLevel="1">
      <c r="A684" s="283"/>
      <c r="B684" s="66"/>
      <c r="C684" s="64"/>
      <c r="D684" s="4476"/>
      <c r="E684" s="4476"/>
      <c r="F684" s="2440" t="s">
        <v>2706</v>
      </c>
      <c r="G684" s="2322">
        <v>12.352200000000002</v>
      </c>
      <c r="H684" s="4531"/>
      <c r="I684" s="4532"/>
      <c r="J684" s="4072" t="s">
        <v>2707</v>
      </c>
      <c r="K684" s="4072"/>
      <c r="L684" s="4072"/>
      <c r="M684" s="4072"/>
      <c r="N684" s="66"/>
      <c r="O684" s="2086">
        <v>3.7999999999999999E-2</v>
      </c>
      <c r="P684" s="2546">
        <f>ROUND(G$681/(1-O684),2)</f>
        <v>12.37</v>
      </c>
      <c r="Q684" s="66"/>
      <c r="R684" s="66"/>
      <c r="S684" s="66"/>
      <c r="T684" s="66"/>
      <c r="U684" s="66"/>
      <c r="V684" s="4484"/>
      <c r="W684" s="2535">
        <v>12.352200000000002</v>
      </c>
      <c r="X684" s="2536">
        <v>12.352200000000002</v>
      </c>
      <c r="Y684" s="2537">
        <v>12.352200000000002</v>
      </c>
      <c r="Z684" s="2536">
        <v>12.352200000000002</v>
      </c>
      <c r="AA684" s="2536">
        <v>12.352200000000002</v>
      </c>
      <c r="AB684" s="2536">
        <v>12.352200000000002</v>
      </c>
      <c r="AC684" s="2520">
        <f t="shared" si="113"/>
        <v>12.352200000000002</v>
      </c>
      <c r="AD684" s="2442">
        <v>12.352200000000002</v>
      </c>
      <c r="AE684" s="2442">
        <v>12.352200000000002</v>
      </c>
      <c r="AF684" s="2236">
        <f t="shared" si="112"/>
        <v>12.352200000000002</v>
      </c>
      <c r="AG684" s="1516"/>
      <c r="AK684" s="358"/>
      <c r="DG684" s="1059"/>
      <c r="DH684" s="66"/>
      <c r="DI684" s="66"/>
      <c r="DJ684" s="1102"/>
    </row>
    <row r="685" spans="1:114" s="7" customFormat="1" hidden="1" outlineLevel="1">
      <c r="A685" s="283"/>
      <c r="B685" s="66"/>
      <c r="C685" s="64"/>
      <c r="D685" s="4476"/>
      <c r="E685" s="4476"/>
      <c r="F685" s="2440" t="s">
        <v>2708</v>
      </c>
      <c r="G685" s="2322">
        <v>12.8401</v>
      </c>
      <c r="H685" s="4533"/>
      <c r="I685" s="4534"/>
      <c r="J685" s="4072" t="s">
        <v>2707</v>
      </c>
      <c r="K685" s="4072"/>
      <c r="L685" s="4072"/>
      <c r="M685" s="4072"/>
      <c r="N685" s="66"/>
      <c r="O685" s="2086">
        <v>7.9000000000000001E-2</v>
      </c>
      <c r="P685" s="2546">
        <f>ROUND(G$681/(1-O685),2)</f>
        <v>12.92</v>
      </c>
      <c r="Q685" s="66"/>
      <c r="R685" s="66"/>
      <c r="S685" s="66"/>
      <c r="T685" s="66"/>
      <c r="U685" s="66"/>
      <c r="V685" s="4484"/>
      <c r="W685" s="2536">
        <v>12.8401</v>
      </c>
      <c r="X685" s="2536">
        <v>12.8401</v>
      </c>
      <c r="Y685" s="2537">
        <v>12.8401</v>
      </c>
      <c r="Z685" s="2536">
        <v>12.8401</v>
      </c>
      <c r="AA685" s="2536">
        <v>12.8401</v>
      </c>
      <c r="AB685" s="2536">
        <v>12.8401</v>
      </c>
      <c r="AC685" s="2520">
        <f t="shared" si="113"/>
        <v>12.8401</v>
      </c>
      <c r="AD685" s="2434">
        <v>12.8401</v>
      </c>
      <c r="AE685" s="2434">
        <v>12.8401</v>
      </c>
      <c r="AF685" s="2236">
        <f t="shared" si="112"/>
        <v>12.8401</v>
      </c>
      <c r="AG685" s="1516"/>
      <c r="AK685" s="358"/>
      <c r="DG685" s="1059"/>
      <c r="DH685" s="66"/>
      <c r="DI685" s="66"/>
      <c r="DJ685" s="1102"/>
    </row>
    <row r="686" spans="1:114" s="7" customFormat="1" ht="29.25" hidden="1" customHeight="1" outlineLevel="1">
      <c r="A686" s="283"/>
      <c r="B686" s="66"/>
      <c r="C686" s="64"/>
      <c r="D686" s="4417"/>
      <c r="E686" s="4417"/>
      <c r="F686" s="350" t="s">
        <v>2709</v>
      </c>
      <c r="G686" s="1665">
        <v>13.8</v>
      </c>
      <c r="H686" s="4516" t="s">
        <v>2715</v>
      </c>
      <c r="I686" s="4517"/>
      <c r="J686" s="4516"/>
      <c r="K686" s="4521"/>
      <c r="L686" s="4521"/>
      <c r="M686" s="4517"/>
      <c r="N686" s="66"/>
      <c r="O686" s="2086">
        <v>0.13600000000000001</v>
      </c>
      <c r="P686" s="2546">
        <f>ROUND(G$681/(1-O686),2)</f>
        <v>13.77</v>
      </c>
      <c r="Q686" s="66"/>
      <c r="R686" s="66"/>
      <c r="S686" s="66"/>
      <c r="T686" s="66"/>
      <c r="U686" s="66"/>
      <c r="V686" s="4484"/>
      <c r="W686" s="854"/>
      <c r="X686" s="854"/>
      <c r="Y686" s="854"/>
      <c r="Z686" s="854"/>
      <c r="AA686" s="854"/>
      <c r="AB686" s="854"/>
      <c r="AC686" s="344">
        <f t="shared" si="113"/>
        <v>13.8</v>
      </c>
      <c r="AD686" s="1381">
        <v>13.8</v>
      </c>
      <c r="AE686" s="1381">
        <v>13.8</v>
      </c>
      <c r="AF686" s="271">
        <f t="shared" si="112"/>
        <v>13.8</v>
      </c>
      <c r="AG686" s="1516"/>
      <c r="AK686" s="358"/>
      <c r="DG686" s="1059"/>
      <c r="DH686" s="66"/>
      <c r="DI686" s="66"/>
      <c r="DJ686" s="1102"/>
    </row>
    <row r="687" spans="1:114" s="7" customFormat="1" hidden="1" outlineLevel="1">
      <c r="A687" s="283"/>
      <c r="B687" s="66"/>
      <c r="C687" s="64"/>
      <c r="D687" s="351">
        <v>1000</v>
      </c>
      <c r="E687" s="352" t="s">
        <v>2716</v>
      </c>
      <c r="F687" s="350" t="s">
        <v>3060</v>
      </c>
      <c r="G687" s="1803">
        <v>1000</v>
      </c>
      <c r="H687" s="4199" t="s">
        <v>2718</v>
      </c>
      <c r="I687" s="4199"/>
      <c r="J687" s="4427"/>
      <c r="K687" s="4427"/>
      <c r="L687" s="4427"/>
      <c r="M687" s="4427"/>
      <c r="N687" s="66"/>
      <c r="O687" s="66"/>
      <c r="P687" s="66"/>
      <c r="Q687" s="66"/>
      <c r="R687" s="66"/>
      <c r="S687" s="66"/>
      <c r="T687" s="66"/>
      <c r="U687" s="66"/>
      <c r="V687" s="1526">
        <v>1000</v>
      </c>
      <c r="W687" s="348">
        <v>1000</v>
      </c>
      <c r="X687" s="82">
        <v>1000</v>
      </c>
      <c r="Y687" s="1536">
        <v>1000</v>
      </c>
      <c r="Z687" s="82">
        <v>1000</v>
      </c>
      <c r="AA687" s="82">
        <v>1000</v>
      </c>
      <c r="AB687" s="82">
        <v>1000</v>
      </c>
      <c r="AC687" s="865">
        <f t="shared" si="113"/>
        <v>1000</v>
      </c>
      <c r="AD687" s="347">
        <v>1000</v>
      </c>
      <c r="AE687" s="347">
        <v>1000</v>
      </c>
      <c r="AF687" s="271">
        <f t="shared" si="112"/>
        <v>1000</v>
      </c>
      <c r="AG687" s="1514"/>
      <c r="AK687" s="358"/>
      <c r="DG687" s="1059"/>
      <c r="DH687" s="66"/>
      <c r="DI687" s="66"/>
      <c r="DJ687" s="1102"/>
    </row>
    <row r="688" spans="1:114" s="7" customFormat="1" ht="28.5" hidden="1" customHeight="1" outlineLevel="1">
      <c r="A688" s="283"/>
      <c r="B688" s="66"/>
      <c r="C688" s="64"/>
      <c r="D688" s="4416" t="s">
        <v>3061</v>
      </c>
      <c r="E688" s="4416" t="s">
        <v>2106</v>
      </c>
      <c r="F688" s="1901" t="s">
        <v>1122</v>
      </c>
      <c r="G688" s="1803">
        <v>1496</v>
      </c>
      <c r="H688" s="4072" t="s">
        <v>2498</v>
      </c>
      <c r="I688" s="4072"/>
      <c r="J688" s="4427"/>
      <c r="K688" s="4427"/>
      <c r="L688" s="4427"/>
      <c r="M688" s="4427"/>
      <c r="N688" s="66"/>
      <c r="O688" s="66"/>
      <c r="P688" s="66"/>
      <c r="Q688" s="66"/>
      <c r="R688" s="66"/>
      <c r="S688" s="66"/>
      <c r="T688" s="66"/>
      <c r="U688" s="66"/>
      <c r="V688" s="4484" t="s">
        <v>3062</v>
      </c>
      <c r="W688" s="348">
        <v>2009</v>
      </c>
      <c r="X688" s="348">
        <v>2009</v>
      </c>
      <c r="Y688" s="353">
        <v>1496</v>
      </c>
      <c r="Z688" s="348">
        <v>1496</v>
      </c>
      <c r="AA688" s="348">
        <v>1496</v>
      </c>
      <c r="AB688" s="348">
        <v>1496</v>
      </c>
      <c r="AC688" s="865">
        <f t="shared" si="113"/>
        <v>1496</v>
      </c>
      <c r="AD688" s="347">
        <v>1496</v>
      </c>
      <c r="AE688" s="347">
        <v>1496</v>
      </c>
      <c r="AF688" s="271">
        <f t="shared" si="112"/>
        <v>1496</v>
      </c>
      <c r="AG688" s="1514"/>
      <c r="AK688" s="358"/>
      <c r="DG688" s="1059"/>
      <c r="DH688" s="66"/>
      <c r="DI688" s="66"/>
      <c r="DJ688" s="1102"/>
    </row>
    <row r="689" spans="1:114" s="7" customFormat="1" ht="29.25" hidden="1" customHeight="1" outlineLevel="1">
      <c r="A689" s="283"/>
      <c r="B689" s="66"/>
      <c r="C689" s="64"/>
      <c r="D689" s="4203"/>
      <c r="E689" s="4203"/>
      <c r="F689" s="2440" t="s">
        <v>1118</v>
      </c>
      <c r="G689" s="2433">
        <v>510</v>
      </c>
      <c r="H689" s="4161" t="s">
        <v>2498</v>
      </c>
      <c r="I689" s="4162"/>
      <c r="J689" s="4427"/>
      <c r="K689" s="4427"/>
      <c r="L689" s="4427"/>
      <c r="M689" s="4427"/>
      <c r="N689" s="66"/>
      <c r="O689" s="66"/>
      <c r="P689" s="66"/>
      <c r="Q689" s="66"/>
      <c r="R689" s="66"/>
      <c r="S689" s="66"/>
      <c r="T689" s="66"/>
      <c r="U689" s="66"/>
      <c r="V689" s="4509"/>
      <c r="W689" s="2530"/>
      <c r="X689" s="2530"/>
      <c r="Y689" s="2539">
        <v>510</v>
      </c>
      <c r="Z689" s="2530">
        <v>510</v>
      </c>
      <c r="AA689" s="2530">
        <v>510</v>
      </c>
      <c r="AB689" s="2530">
        <v>510</v>
      </c>
      <c r="AC689" s="2533">
        <f t="shared" si="113"/>
        <v>510</v>
      </c>
      <c r="AD689" s="2437">
        <v>510</v>
      </c>
      <c r="AE689" s="2437">
        <v>510</v>
      </c>
      <c r="AF689" s="2236">
        <f t="shared" si="112"/>
        <v>510</v>
      </c>
      <c r="AG689" s="1514"/>
      <c r="AK689" s="358"/>
      <c r="DG689" s="1059"/>
      <c r="DH689" s="66"/>
      <c r="DI689" s="66"/>
      <c r="DJ689" s="1102"/>
    </row>
    <row r="690" spans="1:114" s="76" customFormat="1" ht="44.25" hidden="1" customHeight="1" outlineLevel="1">
      <c r="A690" s="283"/>
      <c r="B690" s="52"/>
      <c r="C690" s="51"/>
      <c r="D690" s="4416" t="s">
        <v>3063</v>
      </c>
      <c r="E690" s="4416" t="s">
        <v>2103</v>
      </c>
      <c r="F690" s="2440" t="s">
        <v>170</v>
      </c>
      <c r="G690" s="2534">
        <f>G675</f>
        <v>36595</v>
      </c>
      <c r="H690" s="4161" t="s">
        <v>3055</v>
      </c>
      <c r="I690" s="4162"/>
      <c r="J690" s="4154" t="s">
        <v>3056</v>
      </c>
      <c r="K690" s="4528"/>
      <c r="L690" s="4528"/>
      <c r="M690" s="4155"/>
      <c r="N690" s="52"/>
      <c r="O690" s="66"/>
      <c r="P690" s="66"/>
      <c r="Q690" s="66"/>
      <c r="R690" s="52"/>
      <c r="S690" s="52"/>
      <c r="T690" s="52"/>
      <c r="U690" s="52"/>
      <c r="V690" s="4484" t="s">
        <v>3064</v>
      </c>
      <c r="W690" s="2530">
        <v>37716.279069767443</v>
      </c>
      <c r="X690" s="2531">
        <v>37716.279069767443</v>
      </c>
      <c r="Y690" s="2531">
        <v>37716.279069767443</v>
      </c>
      <c r="Z690" s="2531">
        <v>37716.279069767443</v>
      </c>
      <c r="AA690" s="2531">
        <v>37716.279069767443</v>
      </c>
      <c r="AB690" s="2531">
        <v>37716.279069767443</v>
      </c>
      <c r="AC690" s="2533">
        <f t="shared" si="113"/>
        <v>36595</v>
      </c>
      <c r="AD690" s="2437">
        <v>36595</v>
      </c>
      <c r="AE690" s="2437">
        <v>36595</v>
      </c>
      <c r="AF690" s="2236">
        <f t="shared" si="112"/>
        <v>36595</v>
      </c>
      <c r="AG690" s="1514"/>
      <c r="AK690" s="358"/>
      <c r="DG690" s="261"/>
      <c r="DH690" s="52"/>
      <c r="DI690" s="52"/>
      <c r="DJ690" s="1102"/>
    </row>
    <row r="691" spans="1:114" s="76" customFormat="1" ht="33.75" hidden="1" customHeight="1" outlineLevel="1">
      <c r="A691" s="283"/>
      <c r="B691" s="52"/>
      <c r="C691" s="51"/>
      <c r="D691" s="4417"/>
      <c r="E691" s="4417"/>
      <c r="F691" s="350" t="s">
        <v>1122</v>
      </c>
      <c r="G691" s="1737">
        <v>22537.991266375546</v>
      </c>
      <c r="H691" s="4516" t="s">
        <v>1547</v>
      </c>
      <c r="I691" s="4517"/>
      <c r="J691" s="4427"/>
      <c r="K691" s="4427"/>
      <c r="L691" s="4427"/>
      <c r="M691" s="4427"/>
      <c r="N691" s="52"/>
      <c r="O691" s="52"/>
      <c r="P691" s="52"/>
      <c r="Q691" s="66"/>
      <c r="R691" s="52"/>
      <c r="S691" s="52"/>
      <c r="T691" s="52"/>
      <c r="U691" s="52"/>
      <c r="V691" s="4484"/>
      <c r="W691" s="348">
        <v>24515.58139534884</v>
      </c>
      <c r="X691" s="82">
        <v>24515.58139534884</v>
      </c>
      <c r="Y691" s="349">
        <v>22537.991266375546</v>
      </c>
      <c r="Z691" s="82">
        <v>22537.991266375546</v>
      </c>
      <c r="AA691" s="82">
        <v>22537.991266375546</v>
      </c>
      <c r="AB691" s="82">
        <v>22537.991266375546</v>
      </c>
      <c r="AC691" s="865">
        <f t="shared" si="113"/>
        <v>22537.991266375546</v>
      </c>
      <c r="AD691" s="347">
        <v>22537.991266375546</v>
      </c>
      <c r="AE691" s="347">
        <v>22537.991266375546</v>
      </c>
      <c r="AF691" s="271">
        <f t="shared" si="112"/>
        <v>22537.991266375546</v>
      </c>
      <c r="AG691" s="1514"/>
      <c r="AK691" s="358"/>
      <c r="DG691" s="261"/>
      <c r="DH691" s="52"/>
      <c r="DI691" s="52"/>
      <c r="DJ691" s="1102"/>
    </row>
    <row r="692" spans="1:114" s="76" customFormat="1" ht="15.75" hidden="1" customHeight="1" outlineLevel="1">
      <c r="A692" s="283"/>
      <c r="B692" s="52"/>
      <c r="C692" s="51"/>
      <c r="D692" s="4416" t="s">
        <v>3065</v>
      </c>
      <c r="E692" s="4510" t="s">
        <v>3066</v>
      </c>
      <c r="F692" s="2440" t="s">
        <v>2703</v>
      </c>
      <c r="G692" s="2322">
        <v>6.3</v>
      </c>
      <c r="H692" s="4503" t="s">
        <v>3067</v>
      </c>
      <c r="I692" s="4505"/>
      <c r="J692" s="4518"/>
      <c r="K692" s="4535"/>
      <c r="L692" s="4535"/>
      <c r="M692" s="4536"/>
      <c r="N692" s="52"/>
      <c r="O692" s="52"/>
      <c r="P692" s="52"/>
      <c r="Q692" s="52"/>
      <c r="R692" s="52"/>
      <c r="S692" s="52"/>
      <c r="T692" s="52"/>
      <c r="U692" s="52"/>
      <c r="V692" s="4484" t="s">
        <v>3068</v>
      </c>
      <c r="W692" s="2540">
        <v>6.3</v>
      </c>
      <c r="X692" s="2540">
        <v>6.3</v>
      </c>
      <c r="Y692" s="2541">
        <v>6.3</v>
      </c>
      <c r="Z692" s="2540">
        <v>6.3</v>
      </c>
      <c r="AA692" s="2540">
        <v>6.3</v>
      </c>
      <c r="AB692" s="2540">
        <v>6.3</v>
      </c>
      <c r="AC692" s="2518">
        <f t="shared" si="113"/>
        <v>6.3</v>
      </c>
      <c r="AD692" s="2542">
        <v>6.3</v>
      </c>
      <c r="AE692" s="2542">
        <v>6.3</v>
      </c>
      <c r="AF692" s="2236">
        <f t="shared" si="112"/>
        <v>6.3</v>
      </c>
      <c r="AG692" s="1507"/>
      <c r="AK692" s="358"/>
      <c r="DG692" s="261"/>
      <c r="DH692" s="52"/>
      <c r="DI692" s="52"/>
      <c r="DJ692" s="1102"/>
    </row>
    <row r="693" spans="1:114" s="76" customFormat="1" ht="16.5" hidden="1" customHeight="1" outlineLevel="1">
      <c r="A693" s="283"/>
      <c r="B693" s="52"/>
      <c r="C693" s="51"/>
      <c r="D693" s="4476"/>
      <c r="E693" s="4511"/>
      <c r="F693" s="2440" t="s">
        <v>2705</v>
      </c>
      <c r="G693" s="2322">
        <v>6.3</v>
      </c>
      <c r="H693" s="4651"/>
      <c r="I693" s="4652"/>
      <c r="J693" s="4518"/>
      <c r="K693" s="4535"/>
      <c r="L693" s="4535"/>
      <c r="M693" s="4536"/>
      <c r="N693" s="52"/>
      <c r="O693" s="52"/>
      <c r="P693" s="52"/>
      <c r="Q693" s="52"/>
      <c r="R693" s="52"/>
      <c r="S693" s="52"/>
      <c r="T693" s="52"/>
      <c r="U693" s="52"/>
      <c r="V693" s="4484"/>
      <c r="W693" s="2540">
        <v>6.3</v>
      </c>
      <c r="X693" s="2540">
        <v>6.3</v>
      </c>
      <c r="Y693" s="2541">
        <v>6.3</v>
      </c>
      <c r="Z693" s="2540">
        <v>6.3</v>
      </c>
      <c r="AA693" s="2540">
        <v>6.3</v>
      </c>
      <c r="AB693" s="2540">
        <v>6.3</v>
      </c>
      <c r="AC693" s="2518">
        <f t="shared" si="113"/>
        <v>6.3</v>
      </c>
      <c r="AD693" s="2542">
        <v>6.3</v>
      </c>
      <c r="AE693" s="2542">
        <v>6.3</v>
      </c>
      <c r="AF693" s="2236">
        <f t="shared" si="112"/>
        <v>6.3</v>
      </c>
      <c r="AG693" s="1507"/>
      <c r="AK693" s="358"/>
      <c r="DG693" s="261"/>
      <c r="DH693" s="52"/>
      <c r="DI693" s="52"/>
      <c r="DJ693" s="1102"/>
    </row>
    <row r="694" spans="1:114" s="76" customFormat="1" ht="15" hidden="1" customHeight="1" outlineLevel="1">
      <c r="A694" s="283"/>
      <c r="B694" s="52"/>
      <c r="C694" s="51"/>
      <c r="D694" s="4476"/>
      <c r="E694" s="4511"/>
      <c r="F694" s="2440" t="s">
        <v>2706</v>
      </c>
      <c r="G694" s="2322">
        <v>6.3</v>
      </c>
      <c r="H694" s="4651"/>
      <c r="I694" s="4652"/>
      <c r="J694" s="4518"/>
      <c r="K694" s="4535"/>
      <c r="L694" s="4535"/>
      <c r="M694" s="4536"/>
      <c r="N694" s="52"/>
      <c r="O694" s="52"/>
      <c r="P694" s="52"/>
      <c r="Q694" s="52"/>
      <c r="R694" s="52"/>
      <c r="S694" s="52"/>
      <c r="T694" s="52"/>
      <c r="U694" s="52"/>
      <c r="V694" s="4484"/>
      <c r="W694" s="2540">
        <v>6.3</v>
      </c>
      <c r="X694" s="2540">
        <v>6.3</v>
      </c>
      <c r="Y694" s="2541">
        <v>6.3</v>
      </c>
      <c r="Z694" s="2540">
        <v>6.3</v>
      </c>
      <c r="AA694" s="2540">
        <v>6.3</v>
      </c>
      <c r="AB694" s="2540">
        <v>6.3</v>
      </c>
      <c r="AC694" s="2518">
        <f t="shared" si="113"/>
        <v>6.3</v>
      </c>
      <c r="AD694" s="2542">
        <v>6.3</v>
      </c>
      <c r="AE694" s="2542">
        <v>6.3</v>
      </c>
      <c r="AF694" s="2236">
        <f t="shared" si="112"/>
        <v>6.3</v>
      </c>
      <c r="AG694" s="1507"/>
      <c r="AK694" s="358"/>
      <c r="DG694" s="261"/>
      <c r="DH694" s="52"/>
      <c r="DI694" s="52"/>
      <c r="DJ694" s="1102"/>
    </row>
    <row r="695" spans="1:114" s="76" customFormat="1" hidden="1" outlineLevel="1">
      <c r="A695" s="283"/>
      <c r="B695" s="52"/>
      <c r="C695" s="51"/>
      <c r="D695" s="4476"/>
      <c r="E695" s="4511"/>
      <c r="F695" s="2440" t="s">
        <v>2708</v>
      </c>
      <c r="G695" s="2322">
        <v>6.3</v>
      </c>
      <c r="H695" s="4651"/>
      <c r="I695" s="4652"/>
      <c r="J695" s="4518"/>
      <c r="K695" s="4535"/>
      <c r="L695" s="4535"/>
      <c r="M695" s="4536"/>
      <c r="N695" s="52"/>
      <c r="O695" s="52"/>
      <c r="P695" s="52"/>
      <c r="Q695" s="52"/>
      <c r="R695" s="52"/>
      <c r="S695" s="52"/>
      <c r="T695" s="52"/>
      <c r="U695" s="52"/>
      <c r="V695" s="4484"/>
      <c r="W695" s="2540">
        <v>6.3</v>
      </c>
      <c r="X695" s="2540">
        <v>6.3</v>
      </c>
      <c r="Y695" s="2541">
        <v>6.3</v>
      </c>
      <c r="Z695" s="2540">
        <v>6.3</v>
      </c>
      <c r="AA695" s="2540">
        <v>6.3</v>
      </c>
      <c r="AB695" s="2540">
        <v>6.3</v>
      </c>
      <c r="AC695" s="2518">
        <f t="shared" si="113"/>
        <v>6.3</v>
      </c>
      <c r="AD695" s="2542">
        <v>6.3</v>
      </c>
      <c r="AE695" s="2542">
        <v>6.3</v>
      </c>
      <c r="AF695" s="2236">
        <f t="shared" si="112"/>
        <v>6.3</v>
      </c>
      <c r="AG695" s="1507"/>
      <c r="AK695" s="358"/>
      <c r="DG695" s="261"/>
      <c r="DH695" s="52"/>
      <c r="DI695" s="52"/>
      <c r="DJ695" s="1102"/>
    </row>
    <row r="696" spans="1:114" s="76" customFormat="1" hidden="1" outlineLevel="1">
      <c r="A696" s="283"/>
      <c r="B696" s="52"/>
      <c r="C696" s="51"/>
      <c r="D696" s="4417"/>
      <c r="E696" s="4512"/>
      <c r="F696" s="350" t="s">
        <v>2709</v>
      </c>
      <c r="G696" s="1665">
        <f>G695</f>
        <v>6.3</v>
      </c>
      <c r="H696" s="4506"/>
      <c r="I696" s="4508"/>
      <c r="J696" s="4518"/>
      <c r="K696" s="4535"/>
      <c r="L696" s="4535"/>
      <c r="M696" s="4536"/>
      <c r="N696" s="52"/>
      <c r="O696" s="2086" t="s">
        <v>3058</v>
      </c>
      <c r="P696" s="2086"/>
      <c r="Q696" s="635"/>
      <c r="R696" s="635">
        <v>6.3</v>
      </c>
      <c r="S696" s="52"/>
      <c r="T696" s="52"/>
      <c r="U696" s="52"/>
      <c r="V696" s="4484"/>
      <c r="W696" s="854"/>
      <c r="X696" s="854"/>
      <c r="Y696" s="854"/>
      <c r="Z696" s="854"/>
      <c r="AA696" s="854"/>
      <c r="AB696" s="854"/>
      <c r="AC696" s="576">
        <f t="shared" si="113"/>
        <v>6.3</v>
      </c>
      <c r="AD696" s="354">
        <v>6.3</v>
      </c>
      <c r="AE696" s="354">
        <v>6.3</v>
      </c>
      <c r="AF696" s="271">
        <f t="shared" si="112"/>
        <v>6.3</v>
      </c>
      <c r="AG696" s="1507"/>
      <c r="AK696" s="358"/>
      <c r="DG696" s="261"/>
      <c r="DH696" s="52"/>
      <c r="DI696" s="52"/>
      <c r="DJ696" s="1102"/>
    </row>
    <row r="697" spans="1:114" s="76" customFormat="1" ht="23.25" hidden="1" customHeight="1" outlineLevel="1">
      <c r="A697" s="283"/>
      <c r="B697" s="52"/>
      <c r="C697" s="51"/>
      <c r="D697" s="4416" t="s">
        <v>3069</v>
      </c>
      <c r="E697" s="4513" t="s">
        <v>3070</v>
      </c>
      <c r="F697" s="2440" t="s">
        <v>2703</v>
      </c>
      <c r="G697" s="2322">
        <v>6.3837905236907728</v>
      </c>
      <c r="H697" s="4072" t="s">
        <v>3071</v>
      </c>
      <c r="I697" s="4072"/>
      <c r="J697" s="4072" t="s">
        <v>3072</v>
      </c>
      <c r="K697" s="4072"/>
      <c r="L697" s="4072"/>
      <c r="M697" s="4072"/>
      <c r="N697" s="52"/>
      <c r="O697" s="2086">
        <v>5.6000000000000001E-2</v>
      </c>
      <c r="P697" s="2546">
        <f>ROUND(G$696/(1-O697),2)</f>
        <v>6.67</v>
      </c>
      <c r="Q697" s="635"/>
      <c r="R697" s="2547">
        <f>R$696/G697-1</f>
        <v>-1.3125512715340459E-2</v>
      </c>
      <c r="S697" s="52"/>
      <c r="T697" s="52"/>
      <c r="U697" s="52"/>
      <c r="V697" s="4484" t="s">
        <v>3068</v>
      </c>
      <c r="W697" s="2540">
        <v>6.3837905236907728</v>
      </c>
      <c r="X697" s="2540">
        <v>6.3837905236907728</v>
      </c>
      <c r="Y697" s="2541">
        <v>6.3837905236907728</v>
      </c>
      <c r="Z697" s="2540">
        <v>6.3837905236907728</v>
      </c>
      <c r="AA697" s="2540">
        <v>6.3837905236907728</v>
      </c>
      <c r="AB697" s="2540">
        <v>6.3837905236907728</v>
      </c>
      <c r="AC697" s="2518">
        <f t="shared" si="113"/>
        <v>6.3837905236907728</v>
      </c>
      <c r="AD697" s="2542">
        <v>6.3837905236907728</v>
      </c>
      <c r="AE697" s="2542">
        <v>6.3837905236907728</v>
      </c>
      <c r="AF697" s="2236">
        <f t="shared" si="112"/>
        <v>6.3837905236907728</v>
      </c>
      <c r="AG697" s="1507"/>
      <c r="AK697" s="358"/>
      <c r="DG697" s="261"/>
      <c r="DH697" s="52"/>
      <c r="DI697" s="52"/>
      <c r="DJ697" s="1102"/>
    </row>
    <row r="698" spans="1:114" s="76" customFormat="1" ht="22.5" hidden="1" customHeight="1" outlineLevel="1">
      <c r="A698" s="283"/>
      <c r="B698" s="52"/>
      <c r="C698" s="51"/>
      <c r="D698" s="4476"/>
      <c r="E698" s="4514"/>
      <c r="F698" s="2440" t="s">
        <v>2705</v>
      </c>
      <c r="G698" s="2322">
        <v>6.7249376558603498</v>
      </c>
      <c r="H698" s="4072"/>
      <c r="I698" s="4072"/>
      <c r="J698" s="4072"/>
      <c r="K698" s="4072"/>
      <c r="L698" s="4072"/>
      <c r="M698" s="4072"/>
      <c r="N698" s="52"/>
      <c r="O698" s="2086">
        <v>0.22</v>
      </c>
      <c r="P698" s="2546">
        <f>ROUND(G$696/(1-O698),2)</f>
        <v>8.08</v>
      </c>
      <c r="Q698" s="635"/>
      <c r="R698" s="2547">
        <f>R$696/G698-1</f>
        <v>-6.3188341306040785E-2</v>
      </c>
      <c r="S698" s="52"/>
      <c r="T698" s="52"/>
      <c r="U698" s="52"/>
      <c r="V698" s="4484"/>
      <c r="W698" s="2540">
        <v>6.7249376558603498</v>
      </c>
      <c r="X698" s="2543">
        <v>6.7249376558603498</v>
      </c>
      <c r="Y698" s="2541">
        <v>6.7249376558603498</v>
      </c>
      <c r="Z698" s="2540">
        <v>6.7249376558603498</v>
      </c>
      <c r="AA698" s="2540">
        <v>6.7249376558603498</v>
      </c>
      <c r="AB698" s="2540">
        <v>6.7249376558603498</v>
      </c>
      <c r="AC698" s="2518">
        <f t="shared" si="113"/>
        <v>6.7249376558603498</v>
      </c>
      <c r="AD698" s="2542">
        <v>6.7249376558603498</v>
      </c>
      <c r="AE698" s="2542">
        <v>6.7249376558603498</v>
      </c>
      <c r="AF698" s="2236">
        <f t="shared" si="112"/>
        <v>6.7249376558603498</v>
      </c>
      <c r="AG698" s="1507"/>
      <c r="AK698" s="358"/>
      <c r="DG698" s="261"/>
      <c r="DH698" s="52"/>
      <c r="DI698" s="52"/>
      <c r="DJ698" s="1102"/>
    </row>
    <row r="699" spans="1:114" s="76" customFormat="1" ht="22.5" hidden="1" customHeight="1" outlineLevel="1">
      <c r="A699" s="283"/>
      <c r="B699" s="52"/>
      <c r="C699" s="51"/>
      <c r="D699" s="4476"/>
      <c r="E699" s="4514"/>
      <c r="F699" s="2440" t="s">
        <v>2706</v>
      </c>
      <c r="G699" s="2322">
        <v>6.3568578553615955</v>
      </c>
      <c r="H699" s="4072"/>
      <c r="I699" s="4072"/>
      <c r="J699" s="4072"/>
      <c r="K699" s="4072"/>
      <c r="L699" s="4072"/>
      <c r="M699" s="4072"/>
      <c r="N699" s="52"/>
      <c r="O699" s="2086">
        <v>3.7999999999999999E-2</v>
      </c>
      <c r="P699" s="2546">
        <f>ROUND(G$696/(1-O699),2)</f>
        <v>6.55</v>
      </c>
      <c r="Q699" s="635"/>
      <c r="R699" s="2547">
        <f>R$696/G699-1</f>
        <v>-8.9443332941037124E-3</v>
      </c>
      <c r="S699" s="52"/>
      <c r="T699" s="52"/>
      <c r="U699" s="52"/>
      <c r="V699" s="4484"/>
      <c r="W699" s="2540">
        <v>6.3568578553615955</v>
      </c>
      <c r="X699" s="2540">
        <v>6.3568578553615955</v>
      </c>
      <c r="Y699" s="2541">
        <v>6.3568578553615955</v>
      </c>
      <c r="Z699" s="2540">
        <v>6.3568578553615955</v>
      </c>
      <c r="AA699" s="2540">
        <v>6.3568578553615955</v>
      </c>
      <c r="AB699" s="2540">
        <v>6.3568578553615955</v>
      </c>
      <c r="AC699" s="2518">
        <f t="shared" si="113"/>
        <v>6.3568578553615955</v>
      </c>
      <c r="AD699" s="2542">
        <v>6.3568578553615955</v>
      </c>
      <c r="AE699" s="2542">
        <v>6.3568578553615955</v>
      </c>
      <c r="AF699" s="2236">
        <f t="shared" si="112"/>
        <v>6.3568578553615955</v>
      </c>
      <c r="AG699" s="1507"/>
      <c r="AK699" s="358"/>
      <c r="DG699" s="261"/>
      <c r="DH699" s="52"/>
      <c r="DI699" s="52"/>
      <c r="DJ699" s="1102"/>
    </row>
    <row r="700" spans="1:114" s="76" customFormat="1" ht="24" hidden="1" customHeight="1" outlineLevel="1">
      <c r="A700" s="283"/>
      <c r="B700" s="52"/>
      <c r="C700" s="51"/>
      <c r="D700" s="4476"/>
      <c r="E700" s="4514"/>
      <c r="F700" s="2440" t="s">
        <v>2708</v>
      </c>
      <c r="G700" s="2322">
        <v>6.4182044887780547</v>
      </c>
      <c r="H700" s="4072"/>
      <c r="I700" s="4072"/>
      <c r="J700" s="4072"/>
      <c r="K700" s="4072"/>
      <c r="L700" s="4072"/>
      <c r="M700" s="4072"/>
      <c r="N700" s="52"/>
      <c r="O700" s="2086">
        <v>7.9000000000000001E-2</v>
      </c>
      <c r="P700" s="2546">
        <f>ROUND(G$696/(1-O700),2)</f>
        <v>6.84</v>
      </c>
      <c r="Q700" s="635"/>
      <c r="R700" s="2547">
        <f>R$696/G700-1</f>
        <v>-1.8417064925982052E-2</v>
      </c>
      <c r="S700" s="52"/>
      <c r="T700" s="52"/>
      <c r="U700" s="52"/>
      <c r="V700" s="4484"/>
      <c r="W700" s="2540">
        <v>6.4182044887780547</v>
      </c>
      <c r="X700" s="2543">
        <v>6.4182044887780547</v>
      </c>
      <c r="Y700" s="2541">
        <v>6.4182044887780547</v>
      </c>
      <c r="Z700" s="2540">
        <v>6.4182044887780547</v>
      </c>
      <c r="AA700" s="2540">
        <v>6.4182044887780547</v>
      </c>
      <c r="AB700" s="2540">
        <v>6.4182044887780547</v>
      </c>
      <c r="AC700" s="2518">
        <f t="shared" si="113"/>
        <v>6.4182044887780547</v>
      </c>
      <c r="AD700" s="2542">
        <v>6.4182044887780547</v>
      </c>
      <c r="AE700" s="2542">
        <v>6.4182044887780547</v>
      </c>
      <c r="AF700" s="2236">
        <f t="shared" si="112"/>
        <v>6.4182044887780547</v>
      </c>
      <c r="AG700" s="1507"/>
      <c r="AK700" s="358"/>
      <c r="DG700" s="261"/>
      <c r="DH700" s="52"/>
      <c r="DI700" s="52"/>
      <c r="DJ700" s="1102"/>
    </row>
    <row r="701" spans="1:114" s="76" customFormat="1" ht="33.75" hidden="1" customHeight="1" outlineLevel="1">
      <c r="A701" s="283"/>
      <c r="B701" s="52"/>
      <c r="C701" s="51"/>
      <c r="D701" s="4417"/>
      <c r="E701" s="4515"/>
      <c r="F701" s="350" t="s">
        <v>2709</v>
      </c>
      <c r="G701" s="1665">
        <v>7.29</v>
      </c>
      <c r="H701" s="4516" t="s">
        <v>2715</v>
      </c>
      <c r="I701" s="4517"/>
      <c r="J701" s="4537"/>
      <c r="K701" s="4537"/>
      <c r="L701" s="4537"/>
      <c r="M701" s="4537"/>
      <c r="N701" s="52"/>
      <c r="O701" s="2086">
        <v>0.13600000000000001</v>
      </c>
      <c r="P701" s="2546">
        <f>ROUND(G$696/(1-O701),2)</f>
        <v>7.29</v>
      </c>
      <c r="Q701" s="635"/>
      <c r="R701" s="2547">
        <f>R$696/G701-1</f>
        <v>-0.13580246913580252</v>
      </c>
      <c r="S701" s="52"/>
      <c r="T701" s="52"/>
      <c r="U701" s="52"/>
      <c r="V701" s="4484"/>
      <c r="W701" s="854"/>
      <c r="X701" s="854"/>
      <c r="Y701" s="854"/>
      <c r="Z701" s="854"/>
      <c r="AA701" s="854"/>
      <c r="AB701" s="854"/>
      <c r="AC701" s="576">
        <f t="shared" si="113"/>
        <v>7.29</v>
      </c>
      <c r="AD701" s="354">
        <v>7.29</v>
      </c>
      <c r="AE701" s="354">
        <v>7.29</v>
      </c>
      <c r="AF701" s="271">
        <f t="shared" si="112"/>
        <v>7.29</v>
      </c>
      <c r="AG701" s="1507"/>
      <c r="AK701" s="358"/>
      <c r="DG701" s="261"/>
      <c r="DH701" s="52"/>
      <c r="DI701" s="52"/>
      <c r="DJ701" s="1102"/>
    </row>
    <row r="702" spans="1:114" s="76" customFormat="1" ht="33.75" hidden="1" customHeight="1" outlineLevel="1">
      <c r="A702" s="283"/>
      <c r="B702" s="52"/>
      <c r="C702" s="51"/>
      <c r="D702" s="1412" t="s">
        <v>49</v>
      </c>
      <c r="E702" s="1424" t="str">
        <f>E577</f>
        <v>Effective Useful Life</v>
      </c>
      <c r="F702" s="350" t="s">
        <v>1102</v>
      </c>
      <c r="G702" s="1803">
        <v>2</v>
      </c>
      <c r="H702" s="4072" t="s">
        <v>3073</v>
      </c>
      <c r="I702" s="4072"/>
      <c r="J702" s="4072"/>
      <c r="K702" s="4072"/>
      <c r="L702" s="4072"/>
      <c r="M702" s="4072"/>
      <c r="N702" s="52"/>
      <c r="O702" s="52"/>
      <c r="P702" s="52"/>
      <c r="Q702" s="52"/>
      <c r="R702" s="52"/>
      <c r="S702" s="52"/>
      <c r="T702" s="52"/>
      <c r="U702" s="52"/>
      <c r="V702" s="1515" t="str">
        <f>D702</f>
        <v>EUL</v>
      </c>
      <c r="W702" s="355">
        <v>2</v>
      </c>
      <c r="X702" s="78">
        <v>2</v>
      </c>
      <c r="Y702" s="1506">
        <v>2</v>
      </c>
      <c r="Z702" s="78">
        <v>2</v>
      </c>
      <c r="AA702" s="78">
        <v>2</v>
      </c>
      <c r="AB702" s="78">
        <v>2</v>
      </c>
      <c r="AC702" s="576">
        <f t="shared" si="113"/>
        <v>2</v>
      </c>
      <c r="AD702" s="354">
        <v>2</v>
      </c>
      <c r="AE702" s="354">
        <v>2</v>
      </c>
      <c r="AF702" s="271">
        <f t="shared" si="112"/>
        <v>2</v>
      </c>
      <c r="AG702" s="1507"/>
      <c r="AK702" s="358"/>
      <c r="DG702" s="261"/>
      <c r="DH702" s="52"/>
      <c r="DI702" s="52"/>
      <c r="DJ702" s="1102"/>
    </row>
    <row r="703" spans="1:114" s="7" customFormat="1" ht="57.6" hidden="1" customHeight="1" outlineLevel="1">
      <c r="A703" s="283"/>
      <c r="B703" s="66"/>
      <c r="C703" s="64"/>
      <c r="D703" s="4427" t="str">
        <f>D578</f>
        <v>Inc. Cost</v>
      </c>
      <c r="E703" s="4072" t="str">
        <f>E578</f>
        <v>Incremental Cost</v>
      </c>
      <c r="F703" s="2440" t="s">
        <v>2703</v>
      </c>
      <c r="G703" s="2324">
        <v>70</v>
      </c>
      <c r="H703" s="4212"/>
      <c r="I703" s="4212"/>
      <c r="J703" s="4529" t="s">
        <v>2721</v>
      </c>
      <c r="K703" s="4544"/>
      <c r="L703" s="4544"/>
      <c r="M703" s="4530"/>
      <c r="N703" s="66"/>
      <c r="O703" s="66"/>
      <c r="P703" s="66"/>
      <c r="Q703" s="66"/>
      <c r="R703" s="66"/>
      <c r="S703" s="66"/>
      <c r="T703" s="66"/>
      <c r="U703" s="66"/>
      <c r="V703" s="4484" t="str">
        <f>D703</f>
        <v>Inc. Cost</v>
      </c>
      <c r="W703" s="2544">
        <v>70</v>
      </c>
      <c r="X703" s="2544">
        <v>70</v>
      </c>
      <c r="Y703" s="2544">
        <v>70</v>
      </c>
      <c r="Z703" s="2544">
        <v>70</v>
      </c>
      <c r="AA703" s="2544">
        <v>70</v>
      </c>
      <c r="AB703" s="2544">
        <v>70</v>
      </c>
      <c r="AC703" s="2544">
        <f t="shared" si="113"/>
        <v>70</v>
      </c>
      <c r="AD703" s="2544">
        <v>70</v>
      </c>
      <c r="AE703" s="2544">
        <v>70</v>
      </c>
      <c r="AF703" s="2236">
        <f t="shared" si="112"/>
        <v>70</v>
      </c>
      <c r="AG703" s="1516"/>
      <c r="AK703" s="358"/>
      <c r="DG703" s="1059"/>
      <c r="DH703" s="66"/>
      <c r="DI703" s="66"/>
      <c r="DJ703" s="1102"/>
    </row>
    <row r="704" spans="1:114" s="7" customFormat="1" hidden="1" outlineLevel="1">
      <c r="A704" s="283"/>
      <c r="B704" s="66"/>
      <c r="C704" s="64"/>
      <c r="D704" s="4427"/>
      <c r="E704" s="4072"/>
      <c r="F704" s="2440" t="s">
        <v>2705</v>
      </c>
      <c r="G704" s="2324">
        <v>81</v>
      </c>
      <c r="H704" s="4212"/>
      <c r="I704" s="4212"/>
      <c r="J704" s="4531"/>
      <c r="K704" s="4545"/>
      <c r="L704" s="4545"/>
      <c r="M704" s="4532"/>
      <c r="N704" s="66"/>
      <c r="O704" s="66"/>
      <c r="P704" s="66"/>
      <c r="Q704" s="66"/>
      <c r="R704" s="66"/>
      <c r="S704" s="66"/>
      <c r="T704" s="66"/>
      <c r="U704" s="66"/>
      <c r="V704" s="4484"/>
      <c r="W704" s="2544">
        <v>81</v>
      </c>
      <c r="X704" s="2544">
        <v>81</v>
      </c>
      <c r="Y704" s="2544">
        <v>81</v>
      </c>
      <c r="Z704" s="2544">
        <v>81</v>
      </c>
      <c r="AA704" s="2544">
        <v>81</v>
      </c>
      <c r="AB704" s="2544">
        <v>81</v>
      </c>
      <c r="AC704" s="2544">
        <f t="shared" si="113"/>
        <v>81</v>
      </c>
      <c r="AD704" s="2544">
        <v>81</v>
      </c>
      <c r="AE704" s="2544">
        <v>81</v>
      </c>
      <c r="AF704" s="2236">
        <f t="shared" si="112"/>
        <v>81</v>
      </c>
      <c r="AG704" s="1516"/>
      <c r="AK704" s="358"/>
      <c r="DG704" s="1059"/>
      <c r="DH704" s="66"/>
      <c r="DI704" s="66"/>
      <c r="DJ704" s="1102"/>
    </row>
    <row r="705" spans="1:114" s="7" customFormat="1" hidden="1" outlineLevel="1">
      <c r="A705" s="283"/>
      <c r="B705" s="66"/>
      <c r="C705" s="64"/>
      <c r="D705" s="4427"/>
      <c r="E705" s="4072"/>
      <c r="F705" s="2440" t="s">
        <v>2706</v>
      </c>
      <c r="G705" s="2324">
        <v>63</v>
      </c>
      <c r="H705" s="4212"/>
      <c r="I705" s="4212"/>
      <c r="J705" s="4531"/>
      <c r="K705" s="4545"/>
      <c r="L705" s="4545"/>
      <c r="M705" s="4532"/>
      <c r="N705" s="66"/>
      <c r="O705" s="66"/>
      <c r="P705" s="66"/>
      <c r="Q705" s="66"/>
      <c r="R705" s="66"/>
      <c r="S705" s="66"/>
      <c r="T705" s="66"/>
      <c r="U705" s="66"/>
      <c r="V705" s="4484"/>
      <c r="W705" s="2544">
        <v>63</v>
      </c>
      <c r="X705" s="2544">
        <v>63</v>
      </c>
      <c r="Y705" s="2544">
        <v>63</v>
      </c>
      <c r="Z705" s="2544">
        <v>63</v>
      </c>
      <c r="AA705" s="2544">
        <v>63</v>
      </c>
      <c r="AB705" s="2544">
        <v>63</v>
      </c>
      <c r="AC705" s="2544">
        <f t="shared" si="113"/>
        <v>63</v>
      </c>
      <c r="AD705" s="2544">
        <v>63</v>
      </c>
      <c r="AE705" s="2544">
        <v>63</v>
      </c>
      <c r="AF705" s="2236">
        <f t="shared" si="112"/>
        <v>63</v>
      </c>
      <c r="AG705" s="1516"/>
      <c r="AK705" s="358"/>
      <c r="DG705" s="1059"/>
      <c r="DH705" s="66"/>
      <c r="DI705" s="66"/>
      <c r="DJ705" s="1102"/>
    </row>
    <row r="706" spans="1:114" s="7" customFormat="1" hidden="1" outlineLevel="1">
      <c r="A706" s="283"/>
      <c r="B706" s="66"/>
      <c r="C706" s="64"/>
      <c r="D706" s="4427"/>
      <c r="E706" s="4072"/>
      <c r="F706" s="2440" t="s">
        <v>2708</v>
      </c>
      <c r="G706" s="2324">
        <v>31</v>
      </c>
      <c r="H706" s="4212"/>
      <c r="I706" s="4212"/>
      <c r="J706" s="4533"/>
      <c r="K706" s="4546"/>
      <c r="L706" s="4546"/>
      <c r="M706" s="4534"/>
      <c r="N706" s="66"/>
      <c r="O706" s="66"/>
      <c r="P706" s="66"/>
      <c r="Q706" s="66"/>
      <c r="R706" s="66"/>
      <c r="S706" s="66"/>
      <c r="T706" s="66"/>
      <c r="U706" s="66"/>
      <c r="V706" s="4484"/>
      <c r="W706" s="2544">
        <v>31</v>
      </c>
      <c r="X706" s="2544">
        <v>31</v>
      </c>
      <c r="Y706" s="2544">
        <v>31</v>
      </c>
      <c r="Z706" s="2544">
        <v>31</v>
      </c>
      <c r="AA706" s="2544">
        <v>31</v>
      </c>
      <c r="AB706" s="2544">
        <v>31</v>
      </c>
      <c r="AC706" s="2544">
        <f t="shared" si="113"/>
        <v>31</v>
      </c>
      <c r="AD706" s="2545">
        <v>31</v>
      </c>
      <c r="AE706" s="2545">
        <v>31</v>
      </c>
      <c r="AF706" s="2236">
        <f t="shared" si="112"/>
        <v>31</v>
      </c>
      <c r="AG706" s="1516"/>
      <c r="AK706" s="358"/>
      <c r="DG706" s="1059"/>
      <c r="DH706" s="66"/>
      <c r="DI706" s="66"/>
      <c r="DJ706" s="1102"/>
    </row>
    <row r="707" spans="1:114" s="7" customFormat="1" hidden="1" outlineLevel="1">
      <c r="A707" s="283"/>
      <c r="B707" s="66"/>
      <c r="C707" s="64"/>
      <c r="D707" s="4427"/>
      <c r="E707" s="4072"/>
      <c r="F707" s="350" t="s">
        <v>2709</v>
      </c>
      <c r="G707" s="1659">
        <v>185</v>
      </c>
      <c r="H707" s="4072" t="s">
        <v>2722</v>
      </c>
      <c r="I707" s="4072"/>
      <c r="J707" s="4072"/>
      <c r="K707" s="4072"/>
      <c r="L707" s="4072"/>
      <c r="M707" s="4072"/>
      <c r="N707" s="66"/>
      <c r="O707" s="66"/>
      <c r="P707" s="66"/>
      <c r="Q707" s="66"/>
      <c r="R707" s="66"/>
      <c r="S707" s="66"/>
      <c r="T707" s="66"/>
      <c r="U707" s="66"/>
      <c r="V707" s="4484"/>
      <c r="W707" s="854"/>
      <c r="X707" s="854"/>
      <c r="Y707" s="854"/>
      <c r="Z707" s="854"/>
      <c r="AA707" s="854"/>
      <c r="AB707" s="854"/>
      <c r="AC707" s="981">
        <v>185</v>
      </c>
      <c r="AD707" s="864">
        <v>185</v>
      </c>
      <c r="AE707" s="864">
        <v>185</v>
      </c>
      <c r="AF707" s="271">
        <f t="shared" si="112"/>
        <v>185</v>
      </c>
      <c r="AG707" s="1516"/>
      <c r="AK707" s="358"/>
      <c r="DG707" s="1059"/>
      <c r="DH707" s="66"/>
      <c r="DI707" s="66"/>
      <c r="DJ707" s="1102"/>
    </row>
    <row r="708" spans="1:114" ht="15" hidden="1" customHeight="1" outlineLevel="1">
      <c r="B708" s="579"/>
      <c r="C708" s="281"/>
      <c r="AK708" s="358"/>
    </row>
    <row r="709" spans="1:114" collapsed="1">
      <c r="B709" s="579"/>
      <c r="C709" s="281"/>
      <c r="AK709" s="358"/>
    </row>
    <row r="710" spans="1:114" ht="15" customHeight="1">
      <c r="B710" s="4183" t="s">
        <v>3074</v>
      </c>
      <c r="C710" s="4184"/>
      <c r="D710" s="4184"/>
      <c r="E710" s="4184"/>
      <c r="F710" s="4184"/>
      <c r="G710" s="4184"/>
      <c r="H710" s="4184"/>
      <c r="I710" s="4840"/>
      <c r="J710" s="4840"/>
      <c r="K710" s="4840"/>
      <c r="L710" s="4840"/>
      <c r="M710" s="4840"/>
      <c r="N710" s="4840"/>
      <c r="O710" s="4840"/>
      <c r="P710" s="4840"/>
      <c r="Q710" s="4840"/>
      <c r="R710" s="4841"/>
      <c r="V710" s="4066" t="str">
        <f>B710</f>
        <v>Low Flow Faucet Aerators (Bathroom)</v>
      </c>
      <c r="W710" s="4067"/>
      <c r="X710" s="4067"/>
      <c r="Y710" s="4067"/>
      <c r="Z710" s="4067"/>
      <c r="AA710" s="4067"/>
      <c r="AB710" s="4067"/>
      <c r="AC710" s="4826"/>
      <c r="AD710" s="4826"/>
      <c r="AE710" s="4826"/>
      <c r="AF710" s="4826"/>
      <c r="AG710" s="4826"/>
      <c r="AH710" s="4826"/>
      <c r="AI710" s="4827"/>
      <c r="AK710" s="358"/>
    </row>
    <row r="711" spans="1:114" ht="15" customHeight="1">
      <c r="B711" s="579"/>
      <c r="C711" s="281"/>
      <c r="D711" s="583"/>
      <c r="E711" s="583"/>
      <c r="F711" s="282"/>
      <c r="G711" s="282"/>
      <c r="H711" s="282"/>
      <c r="I711" s="282"/>
      <c r="J711" s="282"/>
      <c r="K711" s="282"/>
      <c r="L711" s="584"/>
      <c r="AK711" s="358"/>
    </row>
    <row r="712" spans="1:114" ht="30">
      <c r="B712" s="579"/>
      <c r="C712" s="1371" t="s">
        <v>42</v>
      </c>
      <c r="D712" s="1371" t="s">
        <v>953</v>
      </c>
      <c r="E712" s="1371" t="s">
        <v>44</v>
      </c>
      <c r="F712" s="1371" t="s">
        <v>1315</v>
      </c>
      <c r="G712" s="1371" t="s">
        <v>46</v>
      </c>
      <c r="H712" s="1371" t="s">
        <v>47</v>
      </c>
      <c r="I712" s="1371" t="s">
        <v>1316</v>
      </c>
      <c r="J712" s="1371" t="s">
        <v>48</v>
      </c>
      <c r="K712" s="1371" t="s">
        <v>49</v>
      </c>
      <c r="L712" s="1371" t="s">
        <v>50</v>
      </c>
      <c r="M712" s="1371" t="s">
        <v>51</v>
      </c>
      <c r="V712" s="668" t="s">
        <v>52</v>
      </c>
      <c r="W712" s="669">
        <f>W$6</f>
        <v>43252</v>
      </c>
      <c r="X712" s="669">
        <f t="shared" ref="X712:AG712" si="114">X$6</f>
        <v>43465</v>
      </c>
      <c r="Y712" s="115">
        <f t="shared" si="114"/>
        <v>43800</v>
      </c>
      <c r="Z712" s="669">
        <f t="shared" si="114"/>
        <v>43862</v>
      </c>
      <c r="AA712" s="669">
        <f t="shared" si="114"/>
        <v>44013</v>
      </c>
      <c r="AB712" s="669">
        <f t="shared" si="114"/>
        <v>44166</v>
      </c>
      <c r="AC712" s="669">
        <f t="shared" si="114"/>
        <v>44531</v>
      </c>
      <c r="AD712" s="669">
        <f t="shared" si="114"/>
        <v>44774</v>
      </c>
      <c r="AE712" s="669">
        <f t="shared" si="114"/>
        <v>45139</v>
      </c>
      <c r="AF712" s="669">
        <f t="shared" si="114"/>
        <v>45672</v>
      </c>
      <c r="AG712" s="669" t="str">
        <f t="shared" si="114"/>
        <v>-</v>
      </c>
      <c r="AK712" s="358"/>
      <c r="DG712" s="1060" t="str">
        <f>$DG$6</f>
        <v>TRC (2025)</v>
      </c>
      <c r="DH712" s="811" t="str">
        <f>$DH$6</f>
        <v>Benefit Lookup</v>
      </c>
      <c r="DI712" s="1076" t="str">
        <f>$DI$6</f>
        <v>Benefits (2025 $)</v>
      </c>
      <c r="DJ712" s="1103" t="str">
        <f>$DJ$6</f>
        <v>Incremental Cost (2025 $)</v>
      </c>
    </row>
    <row r="713" spans="1:114">
      <c r="B713" s="1454">
        <f t="shared" ref="B713:B716" si="115">VALUE(LEFT(C713,6))</f>
        <v>403350</v>
      </c>
      <c r="C713" s="2478" t="s">
        <v>3075</v>
      </c>
      <c r="D713" s="2402" t="s">
        <v>959</v>
      </c>
      <c r="E713" s="2419" t="s">
        <v>3076</v>
      </c>
      <c r="F713" s="2245">
        <f>ROUND(G727*(G728*G729-G730*G731)*G732*G733*G734/G735*I713*G743*G742,2)</f>
        <v>20.52</v>
      </c>
      <c r="G713" s="2408" t="s">
        <v>1319</v>
      </c>
      <c r="H713" s="2548">
        <f>VLOOKUP(G713,'CP FACTORS'!$A$3:$B$38, 2, FALSE)</f>
        <v>8.8731800000000003E-5</v>
      </c>
      <c r="I713" s="2363">
        <f>$G$736*$G$737*($G$738-$G$739)/($G$740*$G$741)</f>
        <v>5.3810082063305988E-2</v>
      </c>
      <c r="J713" s="2549">
        <f>ROUND(F713*H713,6)</f>
        <v>1.8209999999999999E-3</v>
      </c>
      <c r="K713" s="2480">
        <f>$G$745</f>
        <v>10</v>
      </c>
      <c r="L713" s="2482">
        <f>G746</f>
        <v>3</v>
      </c>
      <c r="M713" s="2408" t="s">
        <v>62</v>
      </c>
      <c r="R713" s="532"/>
      <c r="V713" s="2413" t="str">
        <f>F712</f>
        <v>kWh
Annual Savings</v>
      </c>
      <c r="W713" s="2550">
        <v>38.83611813974143</v>
      </c>
      <c r="X713" s="2551">
        <v>40.786805206808886</v>
      </c>
      <c r="Y713" s="2552">
        <v>36.979999999999997</v>
      </c>
      <c r="Z713" s="2553">
        <v>36.979999999999997</v>
      </c>
      <c r="AA713" s="2553">
        <v>36.979999999999997</v>
      </c>
      <c r="AB713" s="2554">
        <v>37.020000000000003</v>
      </c>
      <c r="AC713" s="2555">
        <v>37.020000000000003</v>
      </c>
      <c r="AD713" s="2554">
        <v>17.77</v>
      </c>
      <c r="AE713" s="2555">
        <v>17.77</v>
      </c>
      <c r="AF713" s="2236">
        <f>IF(F713&lt;&gt;"",F713,"")</f>
        <v>20.52</v>
      </c>
      <c r="AG713" s="356"/>
      <c r="AH713" s="121"/>
      <c r="AK713" s="358"/>
      <c r="DG713" s="2418">
        <f>(DI713)/(DJ713)</f>
        <v>3.360457028072307</v>
      </c>
      <c r="DH713" s="2419" t="str">
        <f>CONCATENATE(G713," ",K713," Year EUL")</f>
        <v>Water heating RES 10 Year EUL</v>
      </c>
      <c r="DI713" s="2420">
        <f>(INDEX('Avoided Cost Benefits'!$B$4:$B$865,MATCH(DH713,'Avoided Cost Benefits'!$A$4:$A$865,0)))*F713</f>
        <v>10.08137108421692</v>
      </c>
      <c r="DJ713" s="2556">
        <f>L713/(1.0686^(2025-2025))</f>
        <v>3</v>
      </c>
    </row>
    <row r="714" spans="1:114">
      <c r="B714" s="1454">
        <f t="shared" si="115"/>
        <v>403351</v>
      </c>
      <c r="C714" s="2478" t="s">
        <v>3077</v>
      </c>
      <c r="D714" s="2402" t="s">
        <v>1486</v>
      </c>
      <c r="E714" s="2432" t="s">
        <v>3078</v>
      </c>
      <c r="F714" s="2245">
        <f>ROUND(G727*(G728*G729-G730*G731)*G732*G733*G734/G735*I713*G743*G742,2)</f>
        <v>20.52</v>
      </c>
      <c r="G714" s="2408" t="s">
        <v>1319</v>
      </c>
      <c r="H714" s="2213">
        <f>VLOOKUP(G714,'CP FACTORS'!$A$3:$B$38, 2, FALSE)</f>
        <v>8.8731800000000003E-5</v>
      </c>
      <c r="I714" s="2363">
        <f>$G$736*$G$737*($G$738-$G$739)/($G$740*$G$741)</f>
        <v>5.3810082063305988E-2</v>
      </c>
      <c r="J714" s="2549">
        <f>ROUND(F714*H714,6)</f>
        <v>1.8209999999999999E-3</v>
      </c>
      <c r="K714" s="2480">
        <f>$G$745</f>
        <v>10</v>
      </c>
      <c r="L714" s="2482">
        <f>G746</f>
        <v>3</v>
      </c>
      <c r="M714" s="2408" t="s">
        <v>62</v>
      </c>
      <c r="R714" s="532"/>
      <c r="V714" s="2425" t="str">
        <f>V713</f>
        <v>kWh
Annual Savings</v>
      </c>
      <c r="W714" s="2550"/>
      <c r="X714" s="2551"/>
      <c r="Y714" s="2552"/>
      <c r="Z714" s="2553"/>
      <c r="AA714" s="2553"/>
      <c r="AB714" s="2554">
        <v>37.020000000000003</v>
      </c>
      <c r="AC714" s="2555">
        <v>37.020000000000003</v>
      </c>
      <c r="AD714" s="2554">
        <v>17.77</v>
      </c>
      <c r="AE714" s="2555">
        <v>17.77</v>
      </c>
      <c r="AF714" s="2236">
        <f>IF(F714&lt;&gt;"",F714,"")</f>
        <v>20.52</v>
      </c>
      <c r="AG714" s="356"/>
      <c r="AH714" s="121"/>
      <c r="AK714" s="358"/>
      <c r="DG714" s="2418">
        <f>(DI714)/(DJ714)</f>
        <v>3.360457028072307</v>
      </c>
      <c r="DH714" s="2419" t="str">
        <f>CONCATENATE(G714," ",K714," Year EUL")</f>
        <v>Water heating RES 10 Year EUL</v>
      </c>
      <c r="DI714" s="2420">
        <f>(INDEX('Avoided Cost Benefits'!$B$4:$B$865,MATCH(DH714,'Avoided Cost Benefits'!$A$4:$A$865,0)))*F714</f>
        <v>10.08137108421692</v>
      </c>
      <c r="DJ714" s="2556">
        <f>L714/(1.0686^(2025-2025))</f>
        <v>3</v>
      </c>
    </row>
    <row r="715" spans="1:114">
      <c r="B715" s="1454">
        <f t="shared" si="115"/>
        <v>403400</v>
      </c>
      <c r="C715" s="1540" t="s">
        <v>3079</v>
      </c>
      <c r="D715" s="1542" t="s">
        <v>959</v>
      </c>
      <c r="E715" s="1400" t="s">
        <v>3080</v>
      </c>
      <c r="F715" s="1485">
        <f>ROUND(G727*(G728*G729-G730*G731)*G732*G733*G734/G735*I715*G744*G742,2)</f>
        <v>40.619999999999997</v>
      </c>
      <c r="G715" s="139" t="s">
        <v>1319</v>
      </c>
      <c r="H715" s="138">
        <f>VLOOKUP(G715,'CP FACTORS'!$A$3:$B$38, 2, FALSE)</f>
        <v>8.8731800000000003E-5</v>
      </c>
      <c r="I715" s="154">
        <f>$G$736*$G$737*($G$738-$G$739)/($G$740*$G$741)</f>
        <v>5.3810082063305988E-2</v>
      </c>
      <c r="J715" s="1486">
        <f>ROUND(F715*H715,6)</f>
        <v>3.604E-3</v>
      </c>
      <c r="K715" s="1456">
        <f>$G$745</f>
        <v>10</v>
      </c>
      <c r="L715" s="742">
        <f>$G$747</f>
        <v>11.33</v>
      </c>
      <c r="M715" s="139" t="s">
        <v>62</v>
      </c>
      <c r="R715" s="532"/>
      <c r="V715" s="356" t="str">
        <f>V714</f>
        <v>kWh
Annual Savings</v>
      </c>
      <c r="W715" s="341">
        <v>37.942887422527377</v>
      </c>
      <c r="X715" s="359">
        <v>40.786805206808886</v>
      </c>
      <c r="Y715" s="131">
        <v>35.130000000000003</v>
      </c>
      <c r="Z715" s="723">
        <v>35.130000000000003</v>
      </c>
      <c r="AA715" s="723">
        <v>35.130000000000003</v>
      </c>
      <c r="AB715" s="682">
        <v>35.17</v>
      </c>
      <c r="AC715" s="392">
        <v>35.17</v>
      </c>
      <c r="AD715" s="392">
        <v>35.17</v>
      </c>
      <c r="AE715" s="392">
        <v>35.17</v>
      </c>
      <c r="AF715" s="271">
        <f>IF(F715&lt;&gt;"",F715,"")</f>
        <v>40.619999999999997</v>
      </c>
      <c r="AG715" s="356"/>
      <c r="AH715" s="121"/>
      <c r="AK715" s="358"/>
      <c r="DG715" s="1063">
        <f>(DI715)/(DJ715)</f>
        <v>1.7613767269049343</v>
      </c>
      <c r="DH715" s="673" t="str">
        <f>CONCATENATE(G715," ",K715," Year EUL")</f>
        <v>Water heating RES 10 Year EUL</v>
      </c>
      <c r="DI715" s="556">
        <f>(INDEX('Avoided Cost Benefits'!$B$4:$B$865,MATCH(DH715,'Avoided Cost Benefits'!$A$4:$A$865,0)))*F715</f>
        <v>19.956398315832907</v>
      </c>
      <c r="DJ715" s="1176">
        <f>L715/(1.0686^(2025-2025))</f>
        <v>11.33</v>
      </c>
    </row>
    <row r="716" spans="1:114">
      <c r="B716" s="1454">
        <f t="shared" si="115"/>
        <v>403450</v>
      </c>
      <c r="C716" s="1540" t="s">
        <v>3081</v>
      </c>
      <c r="D716" s="1542" t="s">
        <v>1043</v>
      </c>
      <c r="E716" s="1400" t="s">
        <v>3082</v>
      </c>
      <c r="F716" s="161">
        <f>ROUND(G727*(G728*G729-G730*G731)*G732*G733*G734/G735*I716*G744*G742,2)</f>
        <v>40.619999999999997</v>
      </c>
      <c r="G716" s="139" t="s">
        <v>1319</v>
      </c>
      <c r="H716" s="138">
        <f>VLOOKUP(G716,'CP FACTORS'!$A$3:$B$38, 2, FALSE)</f>
        <v>8.8731800000000003E-5</v>
      </c>
      <c r="I716" s="154">
        <f>$G$736*$G$737*($G$738-$G$739)/($G$740*$G$741)</f>
        <v>5.3810082063305988E-2</v>
      </c>
      <c r="J716" s="1486">
        <f>ROUND(F716*H716,6)</f>
        <v>3.604E-3</v>
      </c>
      <c r="K716" s="1456">
        <f>$G$745</f>
        <v>10</v>
      </c>
      <c r="L716" s="742">
        <f>$G$747</f>
        <v>11.33</v>
      </c>
      <c r="M716" s="139" t="s">
        <v>62</v>
      </c>
      <c r="R716" s="532"/>
      <c r="V716" s="356" t="str">
        <f>V715</f>
        <v>kWh
Annual Savings</v>
      </c>
      <c r="W716" s="341">
        <v>37.942887422527377</v>
      </c>
      <c r="X716" s="357">
        <v>40.786805206808886</v>
      </c>
      <c r="Y716" s="131">
        <v>35.130000000000003</v>
      </c>
      <c r="Z716" s="723">
        <v>35.130000000000003</v>
      </c>
      <c r="AA716" s="723">
        <v>35.130000000000003</v>
      </c>
      <c r="AB716" s="682">
        <v>35.17</v>
      </c>
      <c r="AC716" s="392">
        <v>35.17</v>
      </c>
      <c r="AD716" s="392">
        <v>35.17</v>
      </c>
      <c r="AE716" s="392">
        <v>35.17</v>
      </c>
      <c r="AF716" s="271">
        <f>IF(F716&lt;&gt;"",F716,"")</f>
        <v>40.619999999999997</v>
      </c>
      <c r="AG716" s="356"/>
      <c r="AH716" s="121"/>
      <c r="AK716" s="358"/>
      <c r="DG716" s="1064">
        <f>(DI716)/(DJ716)</f>
        <v>1.7613767269049343</v>
      </c>
      <c r="DH716" s="673" t="str">
        <f>CONCATENATE(G716," ",K716," Year EUL")</f>
        <v>Water heating RES 10 Year EUL</v>
      </c>
      <c r="DI716" s="1072">
        <f>(INDEX('Avoided Cost Benefits'!$B$4:$B$865,MATCH(DH716,'Avoided Cost Benefits'!$A$4:$A$865,0)))*F716</f>
        <v>19.956398315832907</v>
      </c>
      <c r="DJ716" s="1175">
        <f>L716/(1.0686^(2025-2025))</f>
        <v>11.33</v>
      </c>
    </row>
    <row r="717" spans="1:114" hidden="1" outlineLevel="1">
      <c r="B717" s="579"/>
      <c r="C717" s="281"/>
      <c r="D717" s="74" t="s">
        <v>118</v>
      </c>
      <c r="E717" s="283" t="s">
        <v>1523</v>
      </c>
      <c r="F717" s="983"/>
      <c r="G717" s="281"/>
      <c r="H717" s="624"/>
      <c r="I717" s="387"/>
      <c r="J717" s="387"/>
      <c r="K717" s="387"/>
      <c r="V717" s="76"/>
      <c r="W717" s="76"/>
      <c r="X717" s="76"/>
      <c r="Y717" s="384"/>
      <c r="Z717" s="76"/>
      <c r="AA717" s="76"/>
      <c r="AB717" s="76"/>
      <c r="AC717" s="76"/>
      <c r="AD717" s="76"/>
      <c r="AE717" s="76"/>
      <c r="AF717" s="76"/>
      <c r="AG717" s="76"/>
      <c r="AH717" s="121"/>
      <c r="AK717" s="358"/>
    </row>
    <row r="718" spans="1:114" hidden="1" outlineLevel="1">
      <c r="B718" s="579"/>
      <c r="C718" s="281"/>
      <c r="D718" s="77" t="s">
        <v>963</v>
      </c>
      <c r="E718" s="52" t="s">
        <v>1524</v>
      </c>
      <c r="F718" s="983"/>
      <c r="G718" s="281"/>
      <c r="H718" s="624"/>
      <c r="V718" s="76"/>
      <c r="W718" s="76"/>
      <c r="X718" s="76"/>
      <c r="Y718" s="384"/>
      <c r="Z718" s="76"/>
      <c r="AA718" s="76"/>
      <c r="AB718" s="76"/>
      <c r="AC718" s="76"/>
      <c r="AD718" s="76"/>
      <c r="AE718" s="76"/>
      <c r="AF718" s="76"/>
      <c r="AG718" s="76"/>
      <c r="AK718" s="358"/>
    </row>
    <row r="719" spans="1:114" hidden="1" outlineLevel="1">
      <c r="B719" s="579"/>
      <c r="C719" s="281"/>
      <c r="D719" s="283"/>
      <c r="E719" s="52" t="s">
        <v>1525</v>
      </c>
      <c r="F719" s="983"/>
      <c r="H719" s="281"/>
      <c r="V719" s="76"/>
      <c r="W719" s="76"/>
      <c r="X719" s="76"/>
      <c r="Y719" s="384"/>
      <c r="Z719" s="76"/>
      <c r="AA719" s="76"/>
      <c r="AB719" s="76"/>
      <c r="AC719" s="76"/>
      <c r="AD719" s="76"/>
      <c r="AE719" s="76"/>
      <c r="AF719" s="76"/>
      <c r="AG719" s="76"/>
      <c r="AK719" s="358"/>
    </row>
    <row r="720" spans="1:114" hidden="1" outlineLevel="1">
      <c r="B720" s="579"/>
      <c r="C720" s="77"/>
      <c r="D720" s="77"/>
      <c r="E720" s="77" t="s">
        <v>966</v>
      </c>
      <c r="F720" s="77"/>
      <c r="G720" s="77"/>
      <c r="H720" s="77"/>
      <c r="V720" s="76"/>
      <c r="W720" s="76"/>
      <c r="X720" s="76"/>
      <c r="Y720" s="384"/>
      <c r="Z720" s="76"/>
      <c r="AA720" s="76"/>
      <c r="AB720" s="76"/>
      <c r="AC720" s="76"/>
      <c r="AD720" s="76"/>
      <c r="AE720" s="76"/>
      <c r="AF720" s="76"/>
      <c r="AG720" s="76"/>
      <c r="AK720" s="358"/>
    </row>
    <row r="721" spans="2:37" hidden="1" outlineLevel="1">
      <c r="B721" s="579"/>
      <c r="C721" s="77"/>
      <c r="D721" s="77"/>
      <c r="E721" s="77" t="s">
        <v>1526</v>
      </c>
      <c r="F721" s="77"/>
      <c r="G721" s="77"/>
      <c r="H721" s="77"/>
      <c r="V721" s="76"/>
      <c r="W721" s="76"/>
      <c r="X721" s="76"/>
      <c r="Y721" s="384"/>
      <c r="Z721" s="76"/>
      <c r="AA721" s="76"/>
      <c r="AB721" s="76"/>
      <c r="AC721" s="76"/>
      <c r="AD721" s="76"/>
      <c r="AE721" s="76"/>
      <c r="AF721" s="76"/>
      <c r="AG721" s="76"/>
      <c r="AK721" s="358"/>
    </row>
    <row r="722" spans="2:37" hidden="1" outlineLevel="1">
      <c r="B722" s="579"/>
      <c r="C722" s="77"/>
      <c r="D722" s="77"/>
      <c r="E722" s="77"/>
      <c r="F722" s="77"/>
      <c r="G722" s="77"/>
      <c r="H722" s="77"/>
      <c r="V722" s="76"/>
      <c r="W722" s="76"/>
      <c r="X722" s="76"/>
      <c r="Y722" s="384"/>
      <c r="Z722" s="76"/>
      <c r="AA722" s="76"/>
      <c r="AB722" s="76"/>
      <c r="AC722" s="76"/>
      <c r="AD722" s="76"/>
      <c r="AE722" s="76"/>
      <c r="AF722" s="76"/>
      <c r="AG722" s="76"/>
      <c r="AK722" s="358"/>
    </row>
    <row r="723" spans="2:37" hidden="1" outlineLevel="1">
      <c r="B723" s="579"/>
      <c r="C723" s="77"/>
      <c r="D723" s="77"/>
      <c r="E723" s="77"/>
      <c r="F723" s="77"/>
      <c r="G723" s="77"/>
      <c r="H723" s="77"/>
      <c r="V723" s="76"/>
      <c r="W723" s="76"/>
      <c r="X723" s="76"/>
      <c r="Y723" s="384"/>
      <c r="Z723" s="76"/>
      <c r="AA723" s="76"/>
      <c r="AB723" s="76"/>
      <c r="AC723" s="76"/>
      <c r="AD723" s="76"/>
      <c r="AE723" s="76"/>
      <c r="AF723" s="76"/>
      <c r="AG723" s="76"/>
      <c r="AK723" s="358"/>
    </row>
    <row r="724" spans="2:37" ht="15" hidden="1" customHeight="1" outlineLevel="1">
      <c r="B724" s="579"/>
      <c r="C724" s="77"/>
      <c r="D724" s="77"/>
      <c r="E724" s="77"/>
      <c r="F724" s="77"/>
      <c r="G724" s="77"/>
      <c r="H724" s="77"/>
      <c r="V724" s="76"/>
      <c r="W724" s="76"/>
      <c r="X724" s="76"/>
      <c r="Y724" s="384"/>
      <c r="Z724" s="76"/>
      <c r="AA724" s="76"/>
      <c r="AB724" s="76"/>
      <c r="AC724" s="76"/>
      <c r="AD724" s="76"/>
      <c r="AE724" s="76"/>
      <c r="AF724" s="76"/>
      <c r="AG724" s="76"/>
      <c r="AK724" s="358"/>
    </row>
    <row r="725" spans="2:37" hidden="1" outlineLevel="1">
      <c r="B725" s="579"/>
      <c r="C725" s="77"/>
      <c r="D725" s="77"/>
      <c r="E725" s="77"/>
      <c r="F725" s="77"/>
      <c r="G725" s="77"/>
      <c r="H725" s="77"/>
      <c r="V725" s="76"/>
      <c r="W725" s="76"/>
      <c r="X725" s="76"/>
      <c r="Y725" s="384"/>
      <c r="Z725" s="76"/>
      <c r="AA725" s="76"/>
      <c r="AB725" s="76"/>
      <c r="AC725" s="76"/>
      <c r="AD725" s="76"/>
      <c r="AE725" s="76"/>
      <c r="AF725" s="76"/>
      <c r="AG725" s="76"/>
      <c r="AK725" s="358"/>
    </row>
    <row r="726" spans="2:37" ht="45.75" hidden="1" customHeight="1" outlineLevel="1">
      <c r="B726" s="579"/>
      <c r="C726" s="281"/>
      <c r="D726" s="1443" t="s">
        <v>1078</v>
      </c>
      <c r="E726" s="1443" t="s">
        <v>967</v>
      </c>
      <c r="F726" s="1371" t="s">
        <v>1215</v>
      </c>
      <c r="G726" s="1382" t="s">
        <v>969</v>
      </c>
      <c r="H726" s="4068" t="s">
        <v>970</v>
      </c>
      <c r="I726" s="4068"/>
      <c r="J726" s="4538" t="s">
        <v>755</v>
      </c>
      <c r="K726" s="4539"/>
      <c r="L726" s="4540"/>
      <c r="V726" s="668" t="s">
        <v>52</v>
      </c>
      <c r="W726" s="669">
        <f>W$6</f>
        <v>43252</v>
      </c>
      <c r="X726" s="669">
        <f t="shared" ref="X726:AG726" si="116">X$6</f>
        <v>43465</v>
      </c>
      <c r="Y726" s="115">
        <f t="shared" si="116"/>
        <v>43800</v>
      </c>
      <c r="Z726" s="669">
        <f t="shared" si="116"/>
        <v>43862</v>
      </c>
      <c r="AA726" s="669">
        <f t="shared" si="116"/>
        <v>44013</v>
      </c>
      <c r="AB726" s="669">
        <f t="shared" si="116"/>
        <v>44166</v>
      </c>
      <c r="AC726" s="669">
        <f t="shared" si="116"/>
        <v>44531</v>
      </c>
      <c r="AD726" s="669">
        <f t="shared" si="116"/>
        <v>44774</v>
      </c>
      <c r="AE726" s="669">
        <f t="shared" si="116"/>
        <v>45139</v>
      </c>
      <c r="AF726" s="669">
        <f t="shared" si="116"/>
        <v>45672</v>
      </c>
      <c r="AG726" s="669" t="str">
        <f t="shared" si="116"/>
        <v>-</v>
      </c>
      <c r="AK726" s="358"/>
    </row>
    <row r="727" spans="2:37" ht="15" hidden="1" customHeight="1" outlineLevel="1">
      <c r="B727" s="579"/>
      <c r="C727" s="281" t="b">
        <f>D727='PAYS Deemed Table'!D128</f>
        <v>1</v>
      </c>
      <c r="D727" s="1377" t="s">
        <v>1325</v>
      </c>
      <c r="E727" s="1377" t="s">
        <v>1326</v>
      </c>
      <c r="F727" s="1377"/>
      <c r="G727" s="1709">
        <v>1</v>
      </c>
      <c r="H727" s="4462" t="s">
        <v>1370</v>
      </c>
      <c r="I727" s="4541"/>
      <c r="J727" s="4542" t="s">
        <v>2953</v>
      </c>
      <c r="K727" s="4543"/>
      <c r="L727" s="4543"/>
      <c r="V727" s="1427" t="s">
        <v>1325</v>
      </c>
      <c r="W727" s="327">
        <v>1</v>
      </c>
      <c r="X727" s="327">
        <v>1</v>
      </c>
      <c r="Y727" s="327">
        <v>1</v>
      </c>
      <c r="Z727" s="367">
        <v>1</v>
      </c>
      <c r="AA727" s="367">
        <v>1</v>
      </c>
      <c r="AB727" s="367">
        <v>1</v>
      </c>
      <c r="AC727" s="367">
        <v>1</v>
      </c>
      <c r="AD727" s="367">
        <v>1</v>
      </c>
      <c r="AE727" s="367">
        <v>1</v>
      </c>
      <c r="AF727" s="271">
        <f t="shared" ref="AF727:AF747" si="117">IF(G727&lt;&gt;"",G727,"")</f>
        <v>1</v>
      </c>
      <c r="AG727" s="356"/>
      <c r="AK727" s="358"/>
    </row>
    <row r="728" spans="2:37" ht="30.4" hidden="1" customHeight="1" outlineLevel="1">
      <c r="B728" s="579"/>
      <c r="C728" s="281" t="b">
        <f>D728='PAYS Deemed Table'!D129</f>
        <v>1</v>
      </c>
      <c r="D728" s="1377" t="s">
        <v>1329</v>
      </c>
      <c r="E728" s="1377" t="s">
        <v>3083</v>
      </c>
      <c r="F728" s="1377"/>
      <c r="G728" s="1653">
        <v>2.2000000000000002</v>
      </c>
      <c r="H728" s="4554" t="s">
        <v>1533</v>
      </c>
      <c r="I728" s="4555"/>
      <c r="J728" s="4547" t="s">
        <v>1575</v>
      </c>
      <c r="K728" s="4548"/>
      <c r="L728" s="4549"/>
      <c r="V728" s="1427" t="s">
        <v>1329</v>
      </c>
      <c r="W728" s="360">
        <v>2.2000000000000002</v>
      </c>
      <c r="X728" s="401">
        <v>2.2000000000000002</v>
      </c>
      <c r="Y728" s="401">
        <v>2.2000000000000002</v>
      </c>
      <c r="Z728" s="46">
        <v>2.2000000000000002</v>
      </c>
      <c r="AA728" s="46">
        <v>2.2000000000000002</v>
      </c>
      <c r="AB728" s="46">
        <v>2.2000000000000002</v>
      </c>
      <c r="AC728" s="46">
        <v>2.2000000000000002</v>
      </c>
      <c r="AD728" s="46">
        <v>2.2000000000000002</v>
      </c>
      <c r="AE728" s="46">
        <v>2.2000000000000002</v>
      </c>
      <c r="AF728" s="271">
        <f t="shared" si="117"/>
        <v>2.2000000000000002</v>
      </c>
      <c r="AG728" s="356"/>
      <c r="AK728" s="358"/>
    </row>
    <row r="729" spans="2:37" ht="30" hidden="1" customHeight="1" outlineLevel="1">
      <c r="B729" s="579"/>
      <c r="C729" s="281" t="b">
        <f>D729='PAYS Deemed Table'!D130</f>
        <v>1</v>
      </c>
      <c r="D729" s="1377" t="s">
        <v>1333</v>
      </c>
      <c r="E729" s="1408" t="s">
        <v>3084</v>
      </c>
      <c r="F729" s="1377"/>
      <c r="G729" s="1657">
        <v>3.7</v>
      </c>
      <c r="H729" s="4413" t="s">
        <v>1537</v>
      </c>
      <c r="I729" s="4394"/>
      <c r="J729" s="4547" t="s">
        <v>1575</v>
      </c>
      <c r="K729" s="4548"/>
      <c r="L729" s="4549"/>
      <c r="V729" s="1427" t="s">
        <v>1333</v>
      </c>
      <c r="W729" s="328">
        <v>3.7</v>
      </c>
      <c r="X729" s="328">
        <v>3.7</v>
      </c>
      <c r="Y729" s="328">
        <v>3.7</v>
      </c>
      <c r="Z729" s="362">
        <v>3.7</v>
      </c>
      <c r="AA729" s="362">
        <v>3.7</v>
      </c>
      <c r="AB729" s="362">
        <v>3.7</v>
      </c>
      <c r="AC729" s="755">
        <v>3.7</v>
      </c>
      <c r="AD729" s="755">
        <v>3.7</v>
      </c>
      <c r="AE729" s="755">
        <v>3.7</v>
      </c>
      <c r="AF729" s="271">
        <f t="shared" si="117"/>
        <v>3.7</v>
      </c>
      <c r="AG729" s="356"/>
      <c r="AK729" s="358"/>
    </row>
    <row r="730" spans="2:37" ht="30" hidden="1" customHeight="1" outlineLevel="1">
      <c r="B730" s="579"/>
      <c r="C730" s="281" t="b">
        <f>D730='PAYS Deemed Table'!D131</f>
        <v>1</v>
      </c>
      <c r="D730" s="1377" t="s">
        <v>1337</v>
      </c>
      <c r="E730" s="1377" t="s">
        <v>3085</v>
      </c>
      <c r="F730" s="1377"/>
      <c r="G730" s="1665">
        <v>1.5</v>
      </c>
      <c r="H730" s="4420" t="s">
        <v>3086</v>
      </c>
      <c r="I730" s="4550"/>
      <c r="J730" s="4547" t="s">
        <v>1575</v>
      </c>
      <c r="K730" s="4548"/>
      <c r="L730" s="4549"/>
      <c r="V730" s="1427" t="s">
        <v>1337</v>
      </c>
      <c r="W730" s="360">
        <v>1.5</v>
      </c>
      <c r="X730" s="401">
        <v>1.5</v>
      </c>
      <c r="Y730" s="401">
        <v>1.5</v>
      </c>
      <c r="Z730" s="46">
        <v>1.5</v>
      </c>
      <c r="AA730" s="46">
        <v>1.5</v>
      </c>
      <c r="AB730" s="46">
        <v>1.5</v>
      </c>
      <c r="AC730" s="46">
        <v>1.5</v>
      </c>
      <c r="AD730" s="46">
        <v>1.5</v>
      </c>
      <c r="AE730" s="46">
        <v>1.5</v>
      </c>
      <c r="AF730" s="271">
        <f t="shared" si="117"/>
        <v>1.5</v>
      </c>
      <c r="AG730" s="1529"/>
      <c r="AK730" s="358"/>
    </row>
    <row r="731" spans="2:37" ht="53.25" hidden="1" customHeight="1" outlineLevel="1">
      <c r="B731" s="579"/>
      <c r="C731" s="281" t="b">
        <f>D731='PAYS Deemed Table'!D132</f>
        <v>1</v>
      </c>
      <c r="D731" s="1377" t="s">
        <v>1340</v>
      </c>
      <c r="E731" s="1408" t="s">
        <v>3084</v>
      </c>
      <c r="F731" s="1377"/>
      <c r="G731" s="1818">
        <v>3.7</v>
      </c>
      <c r="H731" s="4413" t="s">
        <v>1537</v>
      </c>
      <c r="I731" s="4394"/>
      <c r="J731" s="4547" t="s">
        <v>1575</v>
      </c>
      <c r="K731" s="4548"/>
      <c r="L731" s="4549"/>
      <c r="V731" s="1427" t="s">
        <v>1340</v>
      </c>
      <c r="W731" s="754">
        <v>3.7</v>
      </c>
      <c r="X731" s="754">
        <v>3.7</v>
      </c>
      <c r="Y731" s="1538">
        <v>3.7</v>
      </c>
      <c r="Z731" s="336">
        <v>3.7</v>
      </c>
      <c r="AA731" s="336">
        <v>3.7</v>
      </c>
      <c r="AB731" s="336">
        <v>3.7</v>
      </c>
      <c r="AC731" s="336">
        <v>3.7</v>
      </c>
      <c r="AD731" s="336">
        <v>3.7</v>
      </c>
      <c r="AE731" s="336">
        <v>3.7</v>
      </c>
      <c r="AF731" s="271">
        <f t="shared" si="117"/>
        <v>3.7</v>
      </c>
      <c r="AG731" s="1529"/>
      <c r="AK731" s="358"/>
    </row>
    <row r="732" spans="2:37" ht="45" hidden="1" customHeight="1" outlineLevel="1">
      <c r="B732" s="579"/>
      <c r="C732" s="281" t="b">
        <f>D732='PAYS Deemed Table'!D133</f>
        <v>1</v>
      </c>
      <c r="D732" s="1377" t="s">
        <v>982</v>
      </c>
      <c r="E732" s="1408" t="s">
        <v>3087</v>
      </c>
      <c r="F732" s="1377"/>
      <c r="G732" s="1819">
        <v>1.5644946808510638</v>
      </c>
      <c r="H732" s="4413" t="s">
        <v>1542</v>
      </c>
      <c r="I732" s="4394"/>
      <c r="J732" s="4547" t="s">
        <v>1575</v>
      </c>
      <c r="K732" s="4548"/>
      <c r="L732" s="4549"/>
      <c r="V732" s="1427" t="s">
        <v>982</v>
      </c>
      <c r="W732" s="328">
        <v>2.0699999999999998</v>
      </c>
      <c r="X732" s="361">
        <v>1.6639999999999999</v>
      </c>
      <c r="Y732" s="280">
        <v>1.5644946808510638</v>
      </c>
      <c r="Z732" s="582">
        <v>1.5644946808510638</v>
      </c>
      <c r="AA732" s="582">
        <v>1.5644946808510638</v>
      </c>
      <c r="AB732" s="582">
        <v>1.5644946808510638</v>
      </c>
      <c r="AC732" s="582">
        <v>1.5644946808510638</v>
      </c>
      <c r="AD732" s="582">
        <v>1.5644946808510638</v>
      </c>
      <c r="AE732" s="582">
        <v>1.5644946808510638</v>
      </c>
      <c r="AF732" s="271">
        <f t="shared" si="117"/>
        <v>1.5644946808510638</v>
      </c>
      <c r="AG732" s="1529"/>
      <c r="AK732" s="358"/>
    </row>
    <row r="733" spans="2:37" ht="30.75" hidden="1" customHeight="1" outlineLevel="1">
      <c r="B733" s="579"/>
      <c r="C733" s="281" t="b">
        <f>D733='PAYS Deemed Table'!D134</f>
        <v>1</v>
      </c>
      <c r="D733" s="1384" t="s">
        <v>1543</v>
      </c>
      <c r="E733" s="1377" t="s">
        <v>1544</v>
      </c>
      <c r="F733" s="1377"/>
      <c r="G733" s="1656">
        <v>1</v>
      </c>
      <c r="H733" s="4420" t="s">
        <v>1547</v>
      </c>
      <c r="I733" s="4550"/>
      <c r="J733" s="4551" t="s">
        <v>1578</v>
      </c>
      <c r="K733" s="4552"/>
      <c r="L733" s="4553"/>
      <c r="V733" s="385" t="s">
        <v>1543</v>
      </c>
      <c r="W733" s="328">
        <v>0.75</v>
      </c>
      <c r="X733" s="361">
        <v>1</v>
      </c>
      <c r="Y733" s="363">
        <v>1</v>
      </c>
      <c r="Z733" s="389">
        <v>1</v>
      </c>
      <c r="AA733" s="389">
        <v>1</v>
      </c>
      <c r="AB733" s="362">
        <v>1</v>
      </c>
      <c r="AC733" s="362">
        <v>1</v>
      </c>
      <c r="AD733" s="362">
        <v>1</v>
      </c>
      <c r="AE733" s="362">
        <v>1</v>
      </c>
      <c r="AF733" s="271">
        <f t="shared" si="117"/>
        <v>1</v>
      </c>
      <c r="AG733" s="1529"/>
      <c r="AK733" s="358"/>
    </row>
    <row r="734" spans="2:37" ht="15" hidden="1" customHeight="1" outlineLevel="1">
      <c r="B734" s="579"/>
      <c r="C734" s="281" t="b">
        <f>D734='PAYS Deemed Table'!D135</f>
        <v>1</v>
      </c>
      <c r="D734" s="1384">
        <v>365.25</v>
      </c>
      <c r="E734" s="1408" t="s">
        <v>3088</v>
      </c>
      <c r="F734" s="1377"/>
      <c r="G734" s="1820">
        <v>365.25</v>
      </c>
      <c r="H734" s="4420" t="s">
        <v>1350</v>
      </c>
      <c r="I734" s="4550"/>
      <c r="J734" s="4547" t="s">
        <v>1575</v>
      </c>
      <c r="K734" s="4548"/>
      <c r="L734" s="4549"/>
      <c r="V734" s="385">
        <v>365.25</v>
      </c>
      <c r="W734" s="328">
        <v>365</v>
      </c>
      <c r="X734" s="328">
        <v>365</v>
      </c>
      <c r="Y734" s="1539">
        <v>365</v>
      </c>
      <c r="Z734" s="1401">
        <v>365</v>
      </c>
      <c r="AA734" s="1401">
        <v>365</v>
      </c>
      <c r="AB734" s="1540">
        <v>365.25</v>
      </c>
      <c r="AC734" s="139">
        <v>365.25</v>
      </c>
      <c r="AD734" s="139">
        <v>365.25</v>
      </c>
      <c r="AE734" s="139">
        <v>365.25</v>
      </c>
      <c r="AF734" s="271">
        <f t="shared" si="117"/>
        <v>365.25</v>
      </c>
      <c r="AG734" s="1529"/>
      <c r="AK734" s="358"/>
    </row>
    <row r="735" spans="2:37" ht="28.9" hidden="1" customHeight="1" outlineLevel="1">
      <c r="B735" s="579"/>
      <c r="C735" s="281" t="b">
        <f>D735='PAYS Deemed Table'!D136</f>
        <v>1</v>
      </c>
      <c r="D735" s="1384" t="s">
        <v>1548</v>
      </c>
      <c r="E735" s="1408" t="s">
        <v>3089</v>
      </c>
      <c r="F735" s="1377"/>
      <c r="G735" s="1819">
        <v>1.8624708624708626</v>
      </c>
      <c r="H735" s="4420" t="s">
        <v>3090</v>
      </c>
      <c r="I735" s="4550"/>
      <c r="J735" s="4547" t="s">
        <v>3091</v>
      </c>
      <c r="K735" s="4548"/>
      <c r="L735" s="4549"/>
      <c r="V735" s="385" t="s">
        <v>1548</v>
      </c>
      <c r="W735" s="328">
        <v>1.76</v>
      </c>
      <c r="X735" s="361">
        <v>1.7961826857532379</v>
      </c>
      <c r="Y735" s="280">
        <v>1.8624708624708626</v>
      </c>
      <c r="Z735" s="582">
        <v>1.8624708624708626</v>
      </c>
      <c r="AA735" s="582">
        <v>1.8624708624708626</v>
      </c>
      <c r="AB735" s="582">
        <v>1.8624708624708626</v>
      </c>
      <c r="AC735" s="582">
        <v>1.8624708624708626</v>
      </c>
      <c r="AD735" s="582">
        <v>1.8624708624708626</v>
      </c>
      <c r="AE735" s="582">
        <v>1.8624708624708626</v>
      </c>
      <c r="AF735" s="271">
        <f t="shared" si="117"/>
        <v>1.8624708624708626</v>
      </c>
      <c r="AG735" s="1529"/>
      <c r="AK735" s="358"/>
    </row>
    <row r="736" spans="2:37" ht="15" hidden="1" customHeight="1" outlineLevel="1">
      <c r="B736" s="579"/>
      <c r="C736" s="281" t="b">
        <f>D736='PAYS Deemed Table'!D137</f>
        <v>1</v>
      </c>
      <c r="D736" s="1384">
        <v>8.33</v>
      </c>
      <c r="E736" s="1408" t="s">
        <v>1355</v>
      </c>
      <c r="F736" s="1377"/>
      <c r="G736" s="1656">
        <v>8.33</v>
      </c>
      <c r="H736" s="4462" t="s">
        <v>1356</v>
      </c>
      <c r="I736" s="4541"/>
      <c r="J736" s="4547" t="s">
        <v>1575</v>
      </c>
      <c r="K736" s="4548"/>
      <c r="L736" s="4549"/>
      <c r="V736" s="385">
        <v>8.33</v>
      </c>
      <c r="W736" s="328">
        <v>8.33</v>
      </c>
      <c r="X736" s="328">
        <v>8.33</v>
      </c>
      <c r="Y736" s="328">
        <v>8.33</v>
      </c>
      <c r="Z736" s="362">
        <v>8.33</v>
      </c>
      <c r="AA736" s="362">
        <v>8.33</v>
      </c>
      <c r="AB736" s="362">
        <v>8.33</v>
      </c>
      <c r="AC736" s="362">
        <v>8.33</v>
      </c>
      <c r="AD736" s="362">
        <v>8.33</v>
      </c>
      <c r="AE736" s="362">
        <v>8.33</v>
      </c>
      <c r="AF736" s="271">
        <f t="shared" si="117"/>
        <v>8.33</v>
      </c>
      <c r="AG736" s="1529"/>
      <c r="AK736" s="358"/>
    </row>
    <row r="737" spans="2:114" ht="15" hidden="1" customHeight="1" outlineLevel="1">
      <c r="B737" s="579"/>
      <c r="C737" s="281" t="b">
        <f>D737='PAYS Deemed Table'!D138</f>
        <v>1</v>
      </c>
      <c r="D737" s="1384">
        <v>1</v>
      </c>
      <c r="E737" s="1422" t="s">
        <v>3092</v>
      </c>
      <c r="F737" s="1377"/>
      <c r="G737" s="1656">
        <v>1</v>
      </c>
      <c r="H737" s="4420" t="s">
        <v>1358</v>
      </c>
      <c r="I737" s="4550"/>
      <c r="J737" s="4547" t="s">
        <v>1575</v>
      </c>
      <c r="K737" s="4548"/>
      <c r="L737" s="4549"/>
      <c r="V737" s="385">
        <v>1</v>
      </c>
      <c r="W737" s="328">
        <v>1</v>
      </c>
      <c r="X737" s="328">
        <v>1</v>
      </c>
      <c r="Y737" s="328">
        <v>1</v>
      </c>
      <c r="Z737" s="362">
        <v>1</v>
      </c>
      <c r="AA737" s="362">
        <v>1</v>
      </c>
      <c r="AB737" s="362">
        <v>1</v>
      </c>
      <c r="AC737" s="362">
        <v>1</v>
      </c>
      <c r="AD737" s="362">
        <v>1</v>
      </c>
      <c r="AE737" s="362">
        <v>1</v>
      </c>
      <c r="AF737" s="271">
        <f t="shared" si="117"/>
        <v>1</v>
      </c>
      <c r="AG737" s="1529"/>
      <c r="AK737" s="358"/>
    </row>
    <row r="738" spans="2:114" ht="55.9" hidden="1" customHeight="1" outlineLevel="1">
      <c r="B738" s="579"/>
      <c r="C738" s="281" t="b">
        <f>D738='PAYS Deemed Table'!D139</f>
        <v>1</v>
      </c>
      <c r="D738" s="1377" t="s">
        <v>1553</v>
      </c>
      <c r="E738" s="1408" t="s">
        <v>3093</v>
      </c>
      <c r="F738" s="1377"/>
      <c r="G738" s="1656">
        <v>80</v>
      </c>
      <c r="H738" s="4556" t="s">
        <v>1555</v>
      </c>
      <c r="I738" s="4557"/>
      <c r="J738" s="4547" t="s">
        <v>1575</v>
      </c>
      <c r="K738" s="4548"/>
      <c r="L738" s="4549"/>
      <c r="V738" s="1427" t="s">
        <v>1553</v>
      </c>
      <c r="W738" s="328">
        <v>80</v>
      </c>
      <c r="X738" s="328">
        <v>80</v>
      </c>
      <c r="Y738" s="328">
        <v>80</v>
      </c>
      <c r="Z738" s="362">
        <v>80</v>
      </c>
      <c r="AA738" s="362">
        <v>80</v>
      </c>
      <c r="AB738" s="362">
        <v>80</v>
      </c>
      <c r="AC738" s="362">
        <v>80</v>
      </c>
      <c r="AD738" s="362">
        <v>80</v>
      </c>
      <c r="AE738" s="362">
        <v>80</v>
      </c>
      <c r="AF738" s="271">
        <f t="shared" si="117"/>
        <v>80</v>
      </c>
      <c r="AG738" s="1529"/>
      <c r="AK738" s="358"/>
    </row>
    <row r="739" spans="2:114" ht="60" hidden="1" customHeight="1" outlineLevel="1">
      <c r="B739" s="579"/>
      <c r="C739" s="281" t="b">
        <f>D739='PAYS Deemed Table'!D140</f>
        <v>1</v>
      </c>
      <c r="D739" s="1377" t="s">
        <v>1362</v>
      </c>
      <c r="E739" s="1408" t="s">
        <v>1363</v>
      </c>
      <c r="F739" s="1377"/>
      <c r="G739" s="1735">
        <v>58.4</v>
      </c>
      <c r="H739" s="4070" t="s">
        <v>996</v>
      </c>
      <c r="I739" s="4070"/>
      <c r="J739" s="4547" t="s">
        <v>1575</v>
      </c>
      <c r="K739" s="4548"/>
      <c r="L739" s="4549"/>
      <c r="V739" s="1427" t="s">
        <v>1362</v>
      </c>
      <c r="W739" s="328">
        <v>61.3</v>
      </c>
      <c r="X739" s="328">
        <v>61.3</v>
      </c>
      <c r="Y739" s="328">
        <v>61.3</v>
      </c>
      <c r="Z739" s="362">
        <v>61.3</v>
      </c>
      <c r="AA739" s="362">
        <v>61.3</v>
      </c>
      <c r="AB739" s="362">
        <v>61.3</v>
      </c>
      <c r="AC739" s="362">
        <v>61.3</v>
      </c>
      <c r="AD739" s="362">
        <v>61.3</v>
      </c>
      <c r="AE739" s="362">
        <v>61.3</v>
      </c>
      <c r="AF739" s="271">
        <f t="shared" si="117"/>
        <v>58.4</v>
      </c>
      <c r="AG739" s="1529"/>
      <c r="AK739" s="358"/>
    </row>
    <row r="740" spans="2:114" ht="30" hidden="1" customHeight="1" outlineLevel="1">
      <c r="B740" s="579"/>
      <c r="C740" s="281" t="b">
        <f>D740='PAYS Deemed Table'!D141</f>
        <v>1</v>
      </c>
      <c r="D740" s="1377" t="s">
        <v>1365</v>
      </c>
      <c r="E740" s="1408" t="s">
        <v>1366</v>
      </c>
      <c r="F740" s="1377"/>
      <c r="G740" s="1656">
        <v>0.98</v>
      </c>
      <c r="H740" s="4413" t="s">
        <v>3094</v>
      </c>
      <c r="I740" s="4394"/>
      <c r="J740" s="4547" t="s">
        <v>1575</v>
      </c>
      <c r="K740" s="4548"/>
      <c r="L740" s="4549"/>
      <c r="V740" s="1427" t="s">
        <v>1365</v>
      </c>
      <c r="W740" s="328">
        <v>0.98</v>
      </c>
      <c r="X740" s="328">
        <v>0.98</v>
      </c>
      <c r="Y740" s="328">
        <v>0.98</v>
      </c>
      <c r="Z740" s="362">
        <v>0.98</v>
      </c>
      <c r="AA740" s="362">
        <v>0.98</v>
      </c>
      <c r="AB740" s="362">
        <v>0.98</v>
      </c>
      <c r="AC740" s="362">
        <v>0.98</v>
      </c>
      <c r="AD740" s="362">
        <v>0.98</v>
      </c>
      <c r="AE740" s="362">
        <v>0.98</v>
      </c>
      <c r="AF740" s="271">
        <f t="shared" si="117"/>
        <v>0.98</v>
      </c>
      <c r="AG740" s="1529"/>
      <c r="AK740" s="358"/>
    </row>
    <row r="741" spans="2:114" ht="15" hidden="1" customHeight="1" outlineLevel="1">
      <c r="B741" s="579"/>
      <c r="C741" s="281" t="b">
        <f>D741='PAYS Deemed Table'!D142</f>
        <v>1</v>
      </c>
      <c r="D741" s="1377">
        <v>3412</v>
      </c>
      <c r="E741" s="1408">
        <v>3412</v>
      </c>
      <c r="F741" s="1377"/>
      <c r="G741" s="1656">
        <v>3412</v>
      </c>
      <c r="H741" s="4462" t="s">
        <v>1000</v>
      </c>
      <c r="I741" s="4541"/>
      <c r="J741" s="4547" t="s">
        <v>1575</v>
      </c>
      <c r="K741" s="4548"/>
      <c r="L741" s="4549"/>
      <c r="V741" s="1427">
        <v>3412</v>
      </c>
      <c r="W741" s="328">
        <v>3413</v>
      </c>
      <c r="X741" s="328">
        <v>3413</v>
      </c>
      <c r="Y741" s="328">
        <v>3413</v>
      </c>
      <c r="Z741" s="362">
        <v>3413</v>
      </c>
      <c r="AA741" s="362">
        <v>3413</v>
      </c>
      <c r="AB741" s="361">
        <v>3412</v>
      </c>
      <c r="AC741" s="362">
        <v>3412</v>
      </c>
      <c r="AD741" s="362">
        <v>3412</v>
      </c>
      <c r="AE741" s="362">
        <v>3412</v>
      </c>
      <c r="AF741" s="271">
        <f t="shared" si="117"/>
        <v>3412</v>
      </c>
      <c r="AG741" s="1529"/>
      <c r="AK741" s="358"/>
    </row>
    <row r="742" spans="2:114" ht="15" hidden="1" customHeight="1" outlineLevel="1">
      <c r="B742" s="579"/>
      <c r="C742" s="281" t="b">
        <f>D742='PAYS Deemed Table'!D143</f>
        <v>1</v>
      </c>
      <c r="D742" s="1377" t="s">
        <v>1368</v>
      </c>
      <c r="E742" s="1377" t="s">
        <v>1369</v>
      </c>
      <c r="F742" s="1377"/>
      <c r="G742" s="1664">
        <v>1</v>
      </c>
      <c r="H742" s="4462" t="s">
        <v>1370</v>
      </c>
      <c r="I742" s="4541"/>
      <c r="J742" s="4547" t="s">
        <v>2953</v>
      </c>
      <c r="K742" s="4548"/>
      <c r="L742" s="4548"/>
      <c r="V742" s="1427" t="s">
        <v>1368</v>
      </c>
      <c r="W742" s="364">
        <v>1</v>
      </c>
      <c r="X742" s="364">
        <v>1</v>
      </c>
      <c r="Y742" s="364">
        <v>1</v>
      </c>
      <c r="Z742" s="613">
        <v>1</v>
      </c>
      <c r="AA742" s="613">
        <v>1</v>
      </c>
      <c r="AB742" s="613">
        <v>1</v>
      </c>
      <c r="AC742" s="613">
        <v>1</v>
      </c>
      <c r="AD742" s="613">
        <v>1</v>
      </c>
      <c r="AE742" s="613">
        <v>1</v>
      </c>
      <c r="AF742" s="271">
        <f t="shared" si="117"/>
        <v>1</v>
      </c>
      <c r="AG742" s="1529"/>
      <c r="AK742" s="358"/>
    </row>
    <row r="743" spans="2:114" ht="31.5" hidden="1" customHeight="1" outlineLevel="1">
      <c r="B743" s="579"/>
      <c r="C743" s="281" t="b">
        <f>D743='PAYS Deemed Table'!D144</f>
        <v>1</v>
      </c>
      <c r="D743" s="4199" t="s">
        <v>128</v>
      </c>
      <c r="E743" s="4452" t="s">
        <v>1371</v>
      </c>
      <c r="F743" s="1444" t="s">
        <v>1195</v>
      </c>
      <c r="G743" s="2376">
        <v>0.48</v>
      </c>
      <c r="H743" s="4558" t="s">
        <v>1470</v>
      </c>
      <c r="I743" s="4559"/>
      <c r="J743" s="4547" t="s">
        <v>3095</v>
      </c>
      <c r="K743" s="4548"/>
      <c r="L743" s="4549"/>
      <c r="V743" s="4509" t="s">
        <v>128</v>
      </c>
      <c r="W743" s="2559">
        <v>1</v>
      </c>
      <c r="X743" s="2559">
        <v>1</v>
      </c>
      <c r="Y743" s="2559">
        <v>1</v>
      </c>
      <c r="Z743" s="2560">
        <v>1</v>
      </c>
      <c r="AA743" s="2560">
        <v>1</v>
      </c>
      <c r="AB743" s="2560">
        <v>1</v>
      </c>
      <c r="AC743" s="2560">
        <v>1</v>
      </c>
      <c r="AD743" s="2561">
        <v>0.48</v>
      </c>
      <c r="AE743" s="2560">
        <v>0.48</v>
      </c>
      <c r="AF743" s="2236">
        <f t="shared" si="117"/>
        <v>0.48</v>
      </c>
      <c r="AG743" s="1529"/>
      <c r="AK743" s="358"/>
    </row>
    <row r="744" spans="2:114" ht="30.4" hidden="1" customHeight="1" outlineLevel="1">
      <c r="B744" s="579"/>
      <c r="C744" s="281" t="b">
        <f>D744='PAYS Deemed Table'!D145</f>
        <v>0</v>
      </c>
      <c r="D744" s="4199"/>
      <c r="E744" s="4452"/>
      <c r="F744" s="1377" t="s">
        <v>1196</v>
      </c>
      <c r="G744" s="1698">
        <v>0.95</v>
      </c>
      <c r="H744" s="4420" t="s">
        <v>3090</v>
      </c>
      <c r="I744" s="4550"/>
      <c r="J744" s="4560"/>
      <c r="K744" s="4561"/>
      <c r="L744" s="4562"/>
      <c r="V744" s="4509"/>
      <c r="W744" s="327">
        <v>0.97699999999999998</v>
      </c>
      <c r="X744" s="168">
        <v>1</v>
      </c>
      <c r="Y744" s="1460">
        <v>0.95</v>
      </c>
      <c r="Z744" s="313">
        <v>0.95</v>
      </c>
      <c r="AA744" s="313">
        <v>0.95</v>
      </c>
      <c r="AB744" s="313">
        <v>0.95</v>
      </c>
      <c r="AC744" s="313">
        <v>0.95</v>
      </c>
      <c r="AD744" s="313">
        <v>0.95</v>
      </c>
      <c r="AE744" s="313">
        <v>0.95</v>
      </c>
      <c r="AF744" s="271">
        <f t="shared" si="117"/>
        <v>0.95</v>
      </c>
      <c r="AG744" s="1529"/>
      <c r="AK744" s="358"/>
    </row>
    <row r="745" spans="2:114" ht="31.15" hidden="1" customHeight="1" outlineLevel="1">
      <c r="B745" s="579"/>
      <c r="C745" s="281" t="b">
        <f>D745='PAYS Deemed Table'!D146</f>
        <v>0</v>
      </c>
      <c r="D745" s="1423" t="str">
        <f>D702</f>
        <v>EUL</v>
      </c>
      <c r="E745" s="1423" t="str">
        <f>E702</f>
        <v>Effective Useful Life</v>
      </c>
      <c r="F745" s="1377" t="s">
        <v>1102</v>
      </c>
      <c r="G745" s="1811">
        <v>10</v>
      </c>
      <c r="H745" s="4556" t="s">
        <v>1563</v>
      </c>
      <c r="I745" s="4557"/>
      <c r="J745" s="4560"/>
      <c r="K745" s="4561"/>
      <c r="L745" s="4562"/>
      <c r="V745" s="1541" t="str">
        <f>D745</f>
        <v>EUL</v>
      </c>
      <c r="W745" s="328">
        <v>10</v>
      </c>
      <c r="X745" s="328">
        <v>10</v>
      </c>
      <c r="Y745" s="328">
        <v>11</v>
      </c>
      <c r="Z745" s="362">
        <v>11</v>
      </c>
      <c r="AA745" s="362">
        <v>11</v>
      </c>
      <c r="AB745" s="362">
        <v>11</v>
      </c>
      <c r="AC745" s="362">
        <v>11</v>
      </c>
      <c r="AD745" s="362">
        <v>11</v>
      </c>
      <c r="AE745" s="362">
        <v>11</v>
      </c>
      <c r="AF745" s="271">
        <f t="shared" si="117"/>
        <v>10</v>
      </c>
      <c r="AG745" s="1529"/>
      <c r="AK745" s="358"/>
    </row>
    <row r="746" spans="2:114" ht="15" hidden="1" customHeight="1" outlineLevel="1">
      <c r="B746" s="579"/>
      <c r="C746" s="281" t="b">
        <f>D746='PAYS Deemed Table'!D147</f>
        <v>0</v>
      </c>
      <c r="D746" s="4567" t="str">
        <f>D703</f>
        <v>Inc. Cost</v>
      </c>
      <c r="E746" s="4567" t="str">
        <f>E703</f>
        <v>Incremental Cost</v>
      </c>
      <c r="F746" s="1444" t="s">
        <v>1195</v>
      </c>
      <c r="G746" s="2379">
        <v>3</v>
      </c>
      <c r="H746" s="4568" t="s">
        <v>3096</v>
      </c>
      <c r="I746" s="4569"/>
      <c r="J746" s="4560" t="s">
        <v>3097</v>
      </c>
      <c r="K746" s="4561"/>
      <c r="L746" s="4562"/>
      <c r="V746" s="4563" t="str">
        <f>D746</f>
        <v>Inc. Cost</v>
      </c>
      <c r="W746" s="2562">
        <v>11.33</v>
      </c>
      <c r="X746" s="2563">
        <v>3</v>
      </c>
      <c r="Y746" s="2564">
        <v>3</v>
      </c>
      <c r="Z746" s="2564">
        <v>3</v>
      </c>
      <c r="AA746" s="2564">
        <v>3</v>
      </c>
      <c r="AB746" s="2565">
        <v>3</v>
      </c>
      <c r="AC746" s="2565">
        <v>3</v>
      </c>
      <c r="AD746" s="2565">
        <v>3</v>
      </c>
      <c r="AE746" s="2565">
        <v>3</v>
      </c>
      <c r="AF746" s="2236">
        <f t="shared" si="117"/>
        <v>3</v>
      </c>
      <c r="AG746" s="1529"/>
      <c r="AK746" s="358"/>
    </row>
    <row r="747" spans="2:114" ht="15" hidden="1" customHeight="1" outlineLevel="1">
      <c r="B747" s="579"/>
      <c r="C747" s="281" t="b">
        <f>D747='PAYS Deemed Table'!D148</f>
        <v>1</v>
      </c>
      <c r="D747" s="4847"/>
      <c r="E747" s="4847"/>
      <c r="F747" s="1377" t="s">
        <v>1196</v>
      </c>
      <c r="G747" s="1722">
        <v>11.33</v>
      </c>
      <c r="H747" s="4556" t="s">
        <v>3098</v>
      </c>
      <c r="I747" s="4557"/>
      <c r="J747" s="4564"/>
      <c r="K747" s="4565"/>
      <c r="L747" s="4566"/>
      <c r="V747" s="4509"/>
      <c r="W747" s="328">
        <v>11.33</v>
      </c>
      <c r="X747" s="328">
        <v>11.33</v>
      </c>
      <c r="Y747" s="328">
        <v>11.33</v>
      </c>
      <c r="Z747" s="362">
        <v>11.33</v>
      </c>
      <c r="AA747" s="362">
        <v>11.33</v>
      </c>
      <c r="AB747" s="752">
        <v>11.33</v>
      </c>
      <c r="AC747" s="752">
        <v>11.33</v>
      </c>
      <c r="AD747" s="752">
        <v>11.33</v>
      </c>
      <c r="AE747" s="752">
        <v>11.33</v>
      </c>
      <c r="AF747" s="271">
        <f t="shared" si="117"/>
        <v>11.33</v>
      </c>
      <c r="AG747" s="1529"/>
      <c r="AK747" s="358"/>
    </row>
    <row r="748" spans="2:114" ht="15" hidden="1" customHeight="1" outlineLevel="1">
      <c r="B748" s="579"/>
      <c r="C748" s="1404"/>
      <c r="AK748" s="358"/>
    </row>
    <row r="749" spans="2:114" ht="15" customHeight="1" collapsed="1">
      <c r="B749" s="579"/>
      <c r="C749" s="281"/>
      <c r="AK749" s="358"/>
    </row>
    <row r="750" spans="2:114" ht="15" customHeight="1">
      <c r="B750" s="4183" t="s">
        <v>3099</v>
      </c>
      <c r="C750" s="4184"/>
      <c r="D750" s="4184"/>
      <c r="E750" s="4184"/>
      <c r="F750" s="4184"/>
      <c r="G750" s="4184"/>
      <c r="H750" s="4184"/>
      <c r="I750" s="4840"/>
      <c r="J750" s="4840"/>
      <c r="K750" s="4840"/>
      <c r="L750" s="4840"/>
      <c r="M750" s="4840"/>
      <c r="N750" s="4840"/>
      <c r="O750" s="4840"/>
      <c r="P750" s="4840"/>
      <c r="Q750" s="4840"/>
      <c r="R750" s="4841"/>
      <c r="V750" s="4066" t="str">
        <f>B750</f>
        <v>Low Flow Faucet Aerators (Kitchen)</v>
      </c>
      <c r="W750" s="4067"/>
      <c r="X750" s="4067"/>
      <c r="Y750" s="4067"/>
      <c r="Z750" s="4067"/>
      <c r="AA750" s="4067"/>
      <c r="AB750" s="4067"/>
      <c r="AC750" s="4826"/>
      <c r="AD750" s="4826"/>
      <c r="AE750" s="4826"/>
      <c r="AF750" s="4826"/>
      <c r="AG750" s="4826"/>
      <c r="AH750" s="4826"/>
      <c r="AI750" s="4827"/>
      <c r="AK750" s="358"/>
    </row>
    <row r="751" spans="2:114" ht="15" customHeight="1">
      <c r="B751" s="579"/>
      <c r="C751" s="281"/>
      <c r="D751" s="583"/>
      <c r="E751" s="583"/>
      <c r="F751" s="282"/>
      <c r="G751" s="282"/>
      <c r="H751" s="282"/>
      <c r="I751" s="282"/>
      <c r="J751" s="282"/>
      <c r="K751" s="282"/>
      <c r="L751" s="584"/>
      <c r="AK751" s="358"/>
    </row>
    <row r="752" spans="2:114" ht="30">
      <c r="B752" s="579"/>
      <c r="C752" s="1371" t="s">
        <v>42</v>
      </c>
      <c r="D752" s="1371" t="s">
        <v>953</v>
      </c>
      <c r="E752" s="1371" t="s">
        <v>44</v>
      </c>
      <c r="F752" s="1371" t="s">
        <v>1315</v>
      </c>
      <c r="G752" s="1371" t="s">
        <v>46</v>
      </c>
      <c r="H752" s="1371" t="s">
        <v>47</v>
      </c>
      <c r="I752" s="1371" t="s">
        <v>1316</v>
      </c>
      <c r="J752" s="1371" t="s">
        <v>48</v>
      </c>
      <c r="K752" s="1371" t="s">
        <v>49</v>
      </c>
      <c r="L752" s="1371" t="s">
        <v>50</v>
      </c>
      <c r="M752" s="1371" t="s">
        <v>51</v>
      </c>
      <c r="V752" s="177" t="s">
        <v>52</v>
      </c>
      <c r="W752" s="178">
        <f>W$6</f>
        <v>43252</v>
      </c>
      <c r="X752" s="178">
        <f t="shared" ref="X752:AG752" si="118">X$6</f>
        <v>43465</v>
      </c>
      <c r="Y752" s="775">
        <f t="shared" si="118"/>
        <v>43800</v>
      </c>
      <c r="Z752" s="178">
        <f t="shared" si="118"/>
        <v>43862</v>
      </c>
      <c r="AA752" s="178">
        <f t="shared" si="118"/>
        <v>44013</v>
      </c>
      <c r="AB752" s="178">
        <f t="shared" si="118"/>
        <v>44166</v>
      </c>
      <c r="AC752" s="669">
        <f t="shared" si="118"/>
        <v>44531</v>
      </c>
      <c r="AD752" s="669">
        <f t="shared" si="118"/>
        <v>44774</v>
      </c>
      <c r="AE752" s="669">
        <f t="shared" si="118"/>
        <v>45139</v>
      </c>
      <c r="AF752" s="669">
        <f t="shared" si="118"/>
        <v>45672</v>
      </c>
      <c r="AG752" s="669" t="str">
        <f t="shared" si="118"/>
        <v>-</v>
      </c>
      <c r="AK752" s="358"/>
      <c r="DG752" s="1060" t="str">
        <f>$DG$6</f>
        <v>TRC (2025)</v>
      </c>
      <c r="DH752" s="811" t="str">
        <f>$DH$6</f>
        <v>Benefit Lookup</v>
      </c>
      <c r="DI752" s="1076" t="str">
        <f>$DI$6</f>
        <v>Benefits (2025 $)</v>
      </c>
      <c r="DJ752" s="1103" t="str">
        <f>$DJ$6</f>
        <v>Incremental Cost (2025 $)</v>
      </c>
    </row>
    <row r="753" spans="2:114">
      <c r="B753" s="1454">
        <f t="shared" ref="B753:B756" si="119">VALUE(LEFT(C753,6))</f>
        <v>403470</v>
      </c>
      <c r="C753" s="2554" t="s">
        <v>3100</v>
      </c>
      <c r="D753" s="2402" t="s">
        <v>959</v>
      </c>
      <c r="E753" s="2365" t="s">
        <v>3101</v>
      </c>
      <c r="F753" s="2245">
        <f>ROUND(G766*(G767*G768-G769*G770)*G771*G772*G773/G774*I753*G782*G781,2)</f>
        <v>51.03</v>
      </c>
      <c r="G753" s="2244" t="s">
        <v>961</v>
      </c>
      <c r="H753" s="2213">
        <f>VLOOKUP(G753,'CP FACTORS'!$A$3:$B$38, 2, FALSE)</f>
        <v>8.8731800000000003E-5</v>
      </c>
      <c r="I753" s="2363">
        <f>G775*G776*(G777-G778)/(G779*G780)</f>
        <v>8.6195779601406813E-2</v>
      </c>
      <c r="J753" s="2246">
        <f>ROUND(F753*H753,6)</f>
        <v>4.5279999999999999E-3</v>
      </c>
      <c r="K753" s="2252">
        <f>$G$784</f>
        <v>10</v>
      </c>
      <c r="L753" s="2566">
        <f>$G$785</f>
        <v>3</v>
      </c>
      <c r="M753" s="2517" t="s">
        <v>62</v>
      </c>
      <c r="R753" s="532"/>
      <c r="V753" s="2425" t="str">
        <f>F752</f>
        <v>kWh
Annual Savings</v>
      </c>
      <c r="W753" s="2567"/>
      <c r="X753" s="2568"/>
      <c r="Y753" s="2552"/>
      <c r="Z753" s="2552"/>
      <c r="AA753" s="2552"/>
      <c r="AB753" s="2554">
        <v>116.88</v>
      </c>
      <c r="AC753" s="2569">
        <v>116.88</v>
      </c>
      <c r="AD753" s="2245">
        <v>46.75</v>
      </c>
      <c r="AE753" s="2569">
        <v>46.75</v>
      </c>
      <c r="AF753" s="2236">
        <f>IF(F753&lt;&gt;"",F753,"")</f>
        <v>51.03</v>
      </c>
      <c r="AG753" s="356"/>
      <c r="AH753" s="121"/>
      <c r="AK753" s="358"/>
      <c r="DG753" s="2418">
        <f>(DI753)/(DJ753)</f>
        <v>8.3569260303377106</v>
      </c>
      <c r="DH753" s="2419" t="str">
        <f>CONCATENATE(G753," ",K753," Year EUL")</f>
        <v>Water Heating RES 10 Year EUL</v>
      </c>
      <c r="DI753" s="2420">
        <f>(INDEX('Avoided Cost Benefits'!$B$4:$B$865,MATCH(DH753,'Avoided Cost Benefits'!$A$4:$A$865,0)))*F753</f>
        <v>25.070778091013132</v>
      </c>
      <c r="DJ753" s="2570">
        <f>L753/(1.0686^(2025-2025))</f>
        <v>3</v>
      </c>
    </row>
    <row r="754" spans="2:114">
      <c r="B754" s="1454">
        <f t="shared" si="119"/>
        <v>403471</v>
      </c>
      <c r="C754" s="2554" t="s">
        <v>3102</v>
      </c>
      <c r="D754" s="2402" t="s">
        <v>1486</v>
      </c>
      <c r="E754" s="2365" t="s">
        <v>3103</v>
      </c>
      <c r="F754" s="2245">
        <f>ROUND(G766*(G767*G768-G769*G770)*G771*G772*G773/G774*I753*G782*G781,2)</f>
        <v>51.03</v>
      </c>
      <c r="G754" s="2244" t="s">
        <v>961</v>
      </c>
      <c r="H754" s="2213">
        <f>VLOOKUP(G754,'CP FACTORS'!$A$3:$B$38, 2, FALSE)</f>
        <v>8.8731800000000003E-5</v>
      </c>
      <c r="I754" s="2363">
        <f>G775*G776*(G777-G778)/(G779*G780)</f>
        <v>8.6195779601406813E-2</v>
      </c>
      <c r="J754" s="2246">
        <f>ROUND(F754*H754,6)</f>
        <v>4.5279999999999999E-3</v>
      </c>
      <c r="K754" s="2252">
        <f>$G$784</f>
        <v>10</v>
      </c>
      <c r="L754" s="2566">
        <f>$G$785</f>
        <v>3</v>
      </c>
      <c r="M754" s="2517" t="s">
        <v>62</v>
      </c>
      <c r="R754" s="532"/>
      <c r="V754" s="2425" t="str">
        <f>V753</f>
        <v>kWh
Annual Savings</v>
      </c>
      <c r="W754" s="2567"/>
      <c r="X754" s="2568"/>
      <c r="Y754" s="2552"/>
      <c r="Z754" s="2552"/>
      <c r="AA754" s="2552"/>
      <c r="AB754" s="2554">
        <v>116.88</v>
      </c>
      <c r="AC754" s="2569">
        <v>116.88</v>
      </c>
      <c r="AD754" s="2245">
        <v>46.75</v>
      </c>
      <c r="AE754" s="2569">
        <v>46.75</v>
      </c>
      <c r="AF754" s="2236">
        <f>IF(F754&lt;&gt;"",F754,"")</f>
        <v>51.03</v>
      </c>
      <c r="AG754" s="356"/>
      <c r="AH754" s="121"/>
      <c r="AK754" s="358"/>
      <c r="DG754" s="2418">
        <f>(DI754)/(DJ754)</f>
        <v>8.3569260303377106</v>
      </c>
      <c r="DH754" s="2419" t="str">
        <f>CONCATENATE(G754," ",K754," Year EUL")</f>
        <v>Water Heating RES 10 Year EUL</v>
      </c>
      <c r="DI754" s="2420">
        <f>(INDEX('Avoided Cost Benefits'!$B$4:$B$865,MATCH(DH754,'Avoided Cost Benefits'!$A$4:$A$865,0)))*F754</f>
        <v>25.070778091013132</v>
      </c>
      <c r="DJ754" s="2570">
        <f>L754/(1.0686^(2025-2025))</f>
        <v>3</v>
      </c>
    </row>
    <row r="755" spans="2:114">
      <c r="B755" s="1454">
        <f t="shared" si="119"/>
        <v>403480</v>
      </c>
      <c r="C755" s="682" t="s">
        <v>3104</v>
      </c>
      <c r="D755" s="1542" t="s">
        <v>959</v>
      </c>
      <c r="E755" s="806" t="s">
        <v>3105</v>
      </c>
      <c r="F755" s="161">
        <f>ROUND(G766*(G767*G768-G769*G770)*G771*G772*G773/G774*I755*G783*G781,2)</f>
        <v>121.19</v>
      </c>
      <c r="G755" s="1445" t="s">
        <v>961</v>
      </c>
      <c r="H755" s="69">
        <f>VLOOKUP(G755,'CP FACTORS'!$A$3:$B$38, 2, FALSE)</f>
        <v>8.8731800000000003E-5</v>
      </c>
      <c r="I755" s="154">
        <f>G775*G776*(G777-G778)/(G779*G780)</f>
        <v>8.6195779601406813E-2</v>
      </c>
      <c r="J755" s="1474">
        <f>ROUND(F755*H755,6)</f>
        <v>1.0753E-2</v>
      </c>
      <c r="K755" s="50">
        <f>$G$784</f>
        <v>10</v>
      </c>
      <c r="L755" s="442">
        <f>$G$786</f>
        <v>11.33</v>
      </c>
      <c r="M755" s="345" t="s">
        <v>62</v>
      </c>
      <c r="R755" s="532"/>
      <c r="V755" s="1378" t="str">
        <f>V754</f>
        <v>kWh
Annual Savings</v>
      </c>
      <c r="W755" s="88"/>
      <c r="X755" s="759"/>
      <c r="Y755" s="131"/>
      <c r="Z755" s="131"/>
      <c r="AA755" s="131"/>
      <c r="AB755" s="682">
        <v>111.03</v>
      </c>
      <c r="AC755" s="162">
        <v>111.03</v>
      </c>
      <c r="AD755" s="162">
        <v>111.03</v>
      </c>
      <c r="AE755" s="162">
        <v>111.03</v>
      </c>
      <c r="AF755" s="271">
        <f>IF(F755&lt;&gt;"",F755,"")</f>
        <v>121.19</v>
      </c>
      <c r="AG755" s="356"/>
      <c r="AH755" s="121"/>
      <c r="AK755" s="358"/>
      <c r="DG755" s="1063">
        <f>(DI755)/(DJ755)</f>
        <v>5.2550774380504439</v>
      </c>
      <c r="DH755" s="673" t="str">
        <f>CONCATENATE(G755," ",K755," Year EUL")</f>
        <v>Water Heating RES 10 Year EUL</v>
      </c>
      <c r="DI755" s="556">
        <f>(INDEX('Avoided Cost Benefits'!$B$4:$B$865,MATCH(DH755,'Avoided Cost Benefits'!$A$4:$A$865,0)))*F755</f>
        <v>59.540027373111528</v>
      </c>
      <c r="DJ755" s="1190">
        <f>L755/(1.0686^(2025-2025))</f>
        <v>11.33</v>
      </c>
    </row>
    <row r="756" spans="2:114">
      <c r="B756" s="1454">
        <f t="shared" si="119"/>
        <v>403481</v>
      </c>
      <c r="C756" s="682" t="s">
        <v>3106</v>
      </c>
      <c r="D756" s="1542" t="s">
        <v>1043</v>
      </c>
      <c r="E756" s="806" t="s">
        <v>3107</v>
      </c>
      <c r="F756" s="161">
        <f>ROUND(G766*(G767*G768-G769*G770)*G771*G772*G773/G774*I756*G783*G781,2)</f>
        <v>121.19</v>
      </c>
      <c r="G756" s="1445" t="s">
        <v>961</v>
      </c>
      <c r="H756" s="69">
        <f>VLOOKUP(G756,'CP FACTORS'!$A$3:$B$38, 2, FALSE)</f>
        <v>8.8731800000000003E-5</v>
      </c>
      <c r="I756" s="154">
        <f>G775*G776*(G777-G778)/(G779*G780)</f>
        <v>8.6195779601406813E-2</v>
      </c>
      <c r="J756" s="1474">
        <f>ROUND(F756*H756,6)</f>
        <v>1.0753E-2</v>
      </c>
      <c r="K756" s="50">
        <f>$G$784</f>
        <v>10</v>
      </c>
      <c r="L756" s="442">
        <f>$G$786</f>
        <v>11.33</v>
      </c>
      <c r="M756" s="345" t="s">
        <v>62</v>
      </c>
      <c r="R756" s="532"/>
      <c r="V756" s="1378" t="str">
        <f>V755</f>
        <v>kWh
Annual Savings</v>
      </c>
      <c r="W756" s="88"/>
      <c r="X756" s="758"/>
      <c r="Y756" s="131"/>
      <c r="Z756" s="131"/>
      <c r="AA756" s="131"/>
      <c r="AB756" s="682">
        <v>111.03</v>
      </c>
      <c r="AC756" s="162">
        <v>111.03</v>
      </c>
      <c r="AD756" s="162">
        <v>111.03</v>
      </c>
      <c r="AE756" s="162">
        <v>111.03</v>
      </c>
      <c r="AF756" s="271">
        <f>IF(F756&lt;&gt;"",F756,"")</f>
        <v>121.19</v>
      </c>
      <c r="AG756" s="356"/>
      <c r="AH756" s="121"/>
      <c r="AK756" s="358"/>
      <c r="DG756" s="1064">
        <f>(DI756)/(DJ756)</f>
        <v>5.2550774380504439</v>
      </c>
      <c r="DH756" s="673" t="str">
        <f>CONCATENATE(G756," ",K756," Year EUL")</f>
        <v>Water Heating RES 10 Year EUL</v>
      </c>
      <c r="DI756" s="1072">
        <f>(INDEX('Avoided Cost Benefits'!$B$4:$B$865,MATCH(DH756,'Avoided Cost Benefits'!$A$4:$A$865,0)))*F756</f>
        <v>59.540027373111528</v>
      </c>
      <c r="DJ756" s="1191">
        <f>L756/(1.0686^(2025-2025))</f>
        <v>11.33</v>
      </c>
    </row>
    <row r="757" spans="2:114" hidden="1" outlineLevel="1">
      <c r="B757" s="579"/>
      <c r="C757" s="281"/>
      <c r="D757" s="74" t="s">
        <v>118</v>
      </c>
      <c r="E757" s="283" t="s">
        <v>1523</v>
      </c>
      <c r="F757" s="983"/>
      <c r="G757" s="281"/>
      <c r="H757" s="624"/>
      <c r="I757" s="387"/>
      <c r="J757" s="387"/>
      <c r="K757" s="387"/>
      <c r="V757" s="52"/>
      <c r="W757" s="76"/>
      <c r="X757" s="76"/>
      <c r="Y757" s="384"/>
      <c r="Z757" s="76"/>
      <c r="AA757" s="76"/>
      <c r="AB757" s="76"/>
      <c r="AC757" s="76"/>
      <c r="AD757" s="76"/>
      <c r="AE757" s="76"/>
      <c r="AF757" s="76"/>
      <c r="AG757" s="76"/>
      <c r="AH757" s="121"/>
      <c r="AK757" s="358"/>
    </row>
    <row r="758" spans="2:114" hidden="1" outlineLevel="1">
      <c r="B758" s="579"/>
      <c r="C758" s="281"/>
      <c r="D758" s="77" t="s">
        <v>963</v>
      </c>
      <c r="E758" s="52" t="s">
        <v>1524</v>
      </c>
      <c r="F758" s="983"/>
      <c r="G758" s="281"/>
      <c r="H758" s="624"/>
      <c r="V758" s="52"/>
      <c r="W758" s="76"/>
      <c r="X758" s="76"/>
      <c r="Y758" s="384"/>
      <c r="Z758" s="76"/>
      <c r="AA758" s="76"/>
      <c r="AB758" s="76"/>
      <c r="AC758" s="76"/>
      <c r="AD758" s="76"/>
      <c r="AE758" s="76"/>
      <c r="AF758" s="76"/>
      <c r="AG758" s="76"/>
      <c r="AK758" s="358"/>
    </row>
    <row r="759" spans="2:114" hidden="1" outlineLevel="1">
      <c r="B759" s="579"/>
      <c r="C759" s="281"/>
      <c r="D759" s="283"/>
      <c r="E759" s="52" t="s">
        <v>1525</v>
      </c>
      <c r="F759" s="983"/>
      <c r="H759" s="281"/>
      <c r="V759" s="52"/>
      <c r="W759" s="76"/>
      <c r="X759" s="76"/>
      <c r="Y759" s="384"/>
      <c r="Z759" s="76"/>
      <c r="AA759" s="76"/>
      <c r="AB759" s="76"/>
      <c r="AC759" s="76"/>
      <c r="AD759" s="76"/>
      <c r="AE759" s="76"/>
      <c r="AF759" s="76"/>
      <c r="AG759" s="76"/>
      <c r="AK759" s="358"/>
    </row>
    <row r="760" spans="2:114" hidden="1" outlineLevel="1">
      <c r="B760" s="579"/>
      <c r="C760" s="281"/>
      <c r="E760" s="52" t="s">
        <v>966</v>
      </c>
      <c r="F760" s="1537"/>
      <c r="G760" s="1537"/>
      <c r="V760" s="52"/>
      <c r="W760" s="76"/>
      <c r="X760" s="76"/>
      <c r="Y760" s="384"/>
      <c r="Z760" s="76"/>
      <c r="AA760" s="76"/>
      <c r="AB760" s="76"/>
      <c r="AC760" s="76"/>
      <c r="AD760" s="76"/>
      <c r="AE760" s="76"/>
      <c r="AF760" s="76"/>
      <c r="AG760" s="76"/>
      <c r="AK760" s="358"/>
    </row>
    <row r="761" spans="2:114" hidden="1" outlineLevel="1">
      <c r="B761" s="579"/>
      <c r="C761" s="281"/>
      <c r="E761" s="52" t="s">
        <v>1526</v>
      </c>
      <c r="F761" s="621"/>
      <c r="G761" s="621"/>
      <c r="V761" s="52"/>
      <c r="W761" s="76"/>
      <c r="X761" s="76"/>
      <c r="Y761" s="384"/>
      <c r="Z761" s="76"/>
      <c r="AA761" s="76"/>
      <c r="AB761" s="76"/>
      <c r="AC761" s="76"/>
      <c r="AD761" s="76"/>
      <c r="AE761" s="76"/>
      <c r="AF761" s="76"/>
      <c r="AG761" s="76"/>
      <c r="AK761" s="358"/>
    </row>
    <row r="762" spans="2:114" hidden="1" outlineLevel="1">
      <c r="B762" s="579"/>
      <c r="C762" s="281"/>
      <c r="E762" s="620"/>
      <c r="F762" s="621"/>
      <c r="G762" s="621"/>
      <c r="V762" s="52"/>
      <c r="W762" s="76"/>
      <c r="X762" s="76"/>
      <c r="Y762" s="384"/>
      <c r="Z762" s="76"/>
      <c r="AA762" s="76"/>
      <c r="AB762" s="76"/>
      <c r="AC762" s="76"/>
      <c r="AD762" s="76"/>
      <c r="AE762" s="76"/>
      <c r="AF762" s="76"/>
      <c r="AG762" s="76"/>
      <c r="AK762" s="358"/>
    </row>
    <row r="763" spans="2:114" ht="15" hidden="1" customHeight="1" outlineLevel="1">
      <c r="B763" s="579"/>
      <c r="C763" s="281"/>
      <c r="E763" s="620"/>
      <c r="F763" s="621"/>
      <c r="G763" s="621"/>
      <c r="V763" s="52"/>
      <c r="W763" s="76"/>
      <c r="X763" s="76"/>
      <c r="Y763" s="384"/>
      <c r="Z763" s="76"/>
      <c r="AA763" s="76"/>
      <c r="AB763" s="76"/>
      <c r="AC763" s="76"/>
      <c r="AD763" s="76"/>
      <c r="AE763" s="76"/>
      <c r="AF763" s="76"/>
      <c r="AG763" s="76"/>
      <c r="AK763" s="358"/>
    </row>
    <row r="764" spans="2:114" hidden="1" outlineLevel="1">
      <c r="B764" s="579"/>
      <c r="C764" s="281"/>
      <c r="V764" s="52"/>
      <c r="W764" s="76"/>
      <c r="X764" s="76"/>
      <c r="Y764" s="384"/>
      <c r="Z764" s="76"/>
      <c r="AA764" s="76"/>
      <c r="AB764" s="76"/>
      <c r="AC764" s="76"/>
      <c r="AD764" s="76"/>
      <c r="AE764" s="76"/>
      <c r="AF764" s="76"/>
      <c r="AG764" s="76"/>
      <c r="AK764" s="358"/>
    </row>
    <row r="765" spans="2:114" hidden="1" outlineLevel="1">
      <c r="B765" s="579"/>
      <c r="C765" s="281"/>
      <c r="D765" s="1443" t="s">
        <v>1078</v>
      </c>
      <c r="E765" s="1443" t="s">
        <v>967</v>
      </c>
      <c r="F765" s="1371" t="s">
        <v>1215</v>
      </c>
      <c r="G765" s="1382" t="s">
        <v>969</v>
      </c>
      <c r="H765" s="4068" t="s">
        <v>970</v>
      </c>
      <c r="I765" s="4068"/>
      <c r="J765" s="4538" t="s">
        <v>755</v>
      </c>
      <c r="K765" s="4539"/>
      <c r="L765" s="4540"/>
      <c r="V765" s="177" t="s">
        <v>52</v>
      </c>
      <c r="W765" s="178">
        <f>W$6</f>
        <v>43252</v>
      </c>
      <c r="X765" s="178">
        <f t="shared" ref="X765:AG765" si="120">X$6</f>
        <v>43465</v>
      </c>
      <c r="Y765" s="775">
        <f t="shared" si="120"/>
        <v>43800</v>
      </c>
      <c r="Z765" s="178">
        <f t="shared" si="120"/>
        <v>43862</v>
      </c>
      <c r="AA765" s="178">
        <f t="shared" si="120"/>
        <v>44013</v>
      </c>
      <c r="AB765" s="178">
        <f t="shared" si="120"/>
        <v>44166</v>
      </c>
      <c r="AC765" s="178">
        <f t="shared" si="120"/>
        <v>44531</v>
      </c>
      <c r="AD765" s="178">
        <f t="shared" si="120"/>
        <v>44774</v>
      </c>
      <c r="AE765" s="178">
        <f t="shared" si="120"/>
        <v>45139</v>
      </c>
      <c r="AF765" s="178">
        <f t="shared" si="120"/>
        <v>45672</v>
      </c>
      <c r="AG765" s="178" t="str">
        <f t="shared" si="120"/>
        <v>-</v>
      </c>
      <c r="AK765" s="358"/>
    </row>
    <row r="766" spans="2:114" ht="15" hidden="1" customHeight="1" outlineLevel="1">
      <c r="B766" s="579"/>
      <c r="C766" s="281"/>
      <c r="D766" s="1377" t="s">
        <v>1325</v>
      </c>
      <c r="E766" s="1377" t="s">
        <v>1326</v>
      </c>
      <c r="F766" s="1377"/>
      <c r="G766" s="1709">
        <v>1</v>
      </c>
      <c r="H766" s="4462" t="s">
        <v>1370</v>
      </c>
      <c r="I766" s="4541"/>
      <c r="J766" s="4542" t="s">
        <v>2953</v>
      </c>
      <c r="K766" s="4543"/>
      <c r="L766" s="4543"/>
      <c r="V766" s="1377" t="s">
        <v>1325</v>
      </c>
      <c r="W766" s="168"/>
      <c r="X766" s="168"/>
      <c r="Y766" s="168"/>
      <c r="Z766" s="168"/>
      <c r="AA766" s="168"/>
      <c r="AB766" s="168">
        <v>1</v>
      </c>
      <c r="AC766" s="367">
        <v>1</v>
      </c>
      <c r="AD766" s="367">
        <v>1</v>
      </c>
      <c r="AE766" s="367">
        <v>1</v>
      </c>
      <c r="AF766" s="271">
        <f t="shared" ref="AF766:AF786" si="121">IF(G766&lt;&gt;"",G766,"")</f>
        <v>1</v>
      </c>
      <c r="AG766" s="356"/>
      <c r="AK766" s="358"/>
    </row>
    <row r="767" spans="2:114" ht="27" hidden="1" customHeight="1" outlineLevel="1">
      <c r="B767" s="579"/>
      <c r="C767" s="281"/>
      <c r="D767" s="1377" t="s">
        <v>1329</v>
      </c>
      <c r="E767" s="1377" t="s">
        <v>3083</v>
      </c>
      <c r="F767" s="1377"/>
      <c r="G767" s="1653">
        <v>2.2000000000000002</v>
      </c>
      <c r="H767" s="4554" t="s">
        <v>1533</v>
      </c>
      <c r="I767" s="4555"/>
      <c r="J767" s="4547" t="s">
        <v>1575</v>
      </c>
      <c r="K767" s="4548"/>
      <c r="L767" s="4549"/>
      <c r="V767" s="1377" t="s">
        <v>1329</v>
      </c>
      <c r="W767" s="105"/>
      <c r="X767" s="757"/>
      <c r="Y767" s="757"/>
      <c r="Z767" s="757"/>
      <c r="AA767" s="757"/>
      <c r="AB767" s="50">
        <v>2.2000000000000002</v>
      </c>
      <c r="AC767" s="46">
        <v>2.2000000000000002</v>
      </c>
      <c r="AD767" s="46">
        <v>2.2000000000000002</v>
      </c>
      <c r="AE767" s="46">
        <v>2.2000000000000002</v>
      </c>
      <c r="AF767" s="271">
        <f t="shared" si="121"/>
        <v>2.2000000000000002</v>
      </c>
      <c r="AG767" s="356"/>
      <c r="AK767" s="358"/>
    </row>
    <row r="768" spans="2:114" ht="30" hidden="1" customHeight="1" outlineLevel="1">
      <c r="B768" s="579"/>
      <c r="C768" s="281"/>
      <c r="D768" s="1377" t="s">
        <v>1333</v>
      </c>
      <c r="E768" s="1408" t="s">
        <v>3084</v>
      </c>
      <c r="F768" s="1377"/>
      <c r="G768" s="1657">
        <v>3.7</v>
      </c>
      <c r="H768" s="4413" t="s">
        <v>1537</v>
      </c>
      <c r="I768" s="4394"/>
      <c r="J768" s="4547" t="s">
        <v>1575</v>
      </c>
      <c r="K768" s="4548"/>
      <c r="L768" s="4549"/>
      <c r="V768" s="1377" t="s">
        <v>1333</v>
      </c>
      <c r="W768" s="361"/>
      <c r="X768" s="361"/>
      <c r="Y768" s="361"/>
      <c r="Z768" s="361"/>
      <c r="AA768" s="361"/>
      <c r="AB768" s="756">
        <v>3.7</v>
      </c>
      <c r="AC768" s="755">
        <v>3.7</v>
      </c>
      <c r="AD768" s="755">
        <v>3.7</v>
      </c>
      <c r="AE768" s="755">
        <v>3.7</v>
      </c>
      <c r="AF768" s="271">
        <f t="shared" si="121"/>
        <v>3.7</v>
      </c>
      <c r="AG768" s="356"/>
      <c r="AK768" s="358"/>
    </row>
    <row r="769" spans="2:37" ht="30" hidden="1" customHeight="1" outlineLevel="1">
      <c r="B769" s="579"/>
      <c r="C769" s="281"/>
      <c r="D769" s="1377" t="s">
        <v>1337</v>
      </c>
      <c r="E769" s="1377" t="s">
        <v>3085</v>
      </c>
      <c r="F769" s="1377"/>
      <c r="G769" s="1665">
        <v>1.5</v>
      </c>
      <c r="H769" s="4420" t="s">
        <v>3086</v>
      </c>
      <c r="I769" s="4550"/>
      <c r="J769" s="4547" t="s">
        <v>1575</v>
      </c>
      <c r="K769" s="4548"/>
      <c r="L769" s="4549"/>
      <c r="V769" s="1377" t="s">
        <v>1337</v>
      </c>
      <c r="W769" s="105"/>
      <c r="X769" s="369"/>
      <c r="Y769" s="369"/>
      <c r="Z769" s="369"/>
      <c r="AA769" s="369"/>
      <c r="AB769" s="50">
        <v>1.5</v>
      </c>
      <c r="AC769" s="46">
        <v>1.5</v>
      </c>
      <c r="AD769" s="46">
        <v>1.5</v>
      </c>
      <c r="AE769" s="46">
        <v>1.5</v>
      </c>
      <c r="AF769" s="271">
        <f t="shared" si="121"/>
        <v>1.5</v>
      </c>
      <c r="AG769" s="1529"/>
      <c r="AK769" s="358"/>
    </row>
    <row r="770" spans="2:37" ht="30" hidden="1" customHeight="1" outlineLevel="1">
      <c r="B770" s="579"/>
      <c r="C770" s="281"/>
      <c r="D770" s="1377" t="s">
        <v>1340</v>
      </c>
      <c r="E770" s="1408" t="s">
        <v>3084</v>
      </c>
      <c r="F770" s="1377"/>
      <c r="G770" s="1818">
        <v>3.7</v>
      </c>
      <c r="H770" s="4413" t="s">
        <v>1537</v>
      </c>
      <c r="I770" s="4394"/>
      <c r="J770" s="4547" t="s">
        <v>1575</v>
      </c>
      <c r="K770" s="4548"/>
      <c r="L770" s="4549"/>
      <c r="V770" s="1377" t="s">
        <v>1340</v>
      </c>
      <c r="W770" s="361"/>
      <c r="X770" s="361"/>
      <c r="Y770" s="1540"/>
      <c r="Z770" s="1540"/>
      <c r="AA770" s="1540"/>
      <c r="AB770" s="1456">
        <v>3.7</v>
      </c>
      <c r="AC770" s="336">
        <v>3.7</v>
      </c>
      <c r="AD770" s="336">
        <v>3.7</v>
      </c>
      <c r="AE770" s="336">
        <v>3.7</v>
      </c>
      <c r="AF770" s="271">
        <f t="shared" si="121"/>
        <v>3.7</v>
      </c>
      <c r="AG770" s="1529"/>
      <c r="AK770" s="358"/>
    </row>
    <row r="771" spans="2:37" ht="45" hidden="1" customHeight="1" outlineLevel="1">
      <c r="B771" s="579"/>
      <c r="C771" s="281"/>
      <c r="D771" s="1377" t="s">
        <v>982</v>
      </c>
      <c r="E771" s="1408" t="s">
        <v>3087</v>
      </c>
      <c r="F771" s="1377"/>
      <c r="G771" s="1819">
        <v>1.5644946808510638</v>
      </c>
      <c r="H771" s="4413" t="s">
        <v>1542</v>
      </c>
      <c r="I771" s="4394"/>
      <c r="J771" s="4547" t="s">
        <v>1575</v>
      </c>
      <c r="K771" s="4548"/>
      <c r="L771" s="4549"/>
      <c r="V771" s="1377" t="s">
        <v>982</v>
      </c>
      <c r="W771" s="361"/>
      <c r="X771" s="361"/>
      <c r="Y771" s="280"/>
      <c r="Z771" s="280"/>
      <c r="AA771" s="280"/>
      <c r="AB771" s="280">
        <v>1.5644946808510638</v>
      </c>
      <c r="AC771" s="582">
        <v>1.5644946808510638</v>
      </c>
      <c r="AD771" s="582">
        <v>1.5644946808510638</v>
      </c>
      <c r="AE771" s="582">
        <v>1.5644946808510638</v>
      </c>
      <c r="AF771" s="271">
        <f t="shared" si="121"/>
        <v>1.5644946808510638</v>
      </c>
      <c r="AG771" s="1529"/>
      <c r="AK771" s="358"/>
    </row>
    <row r="772" spans="2:37" ht="29.25" hidden="1" customHeight="1" outlineLevel="1">
      <c r="B772" s="579"/>
      <c r="C772" s="281"/>
      <c r="D772" s="1384" t="s">
        <v>1543</v>
      </c>
      <c r="E772" s="1377" t="s">
        <v>1544</v>
      </c>
      <c r="F772" s="1377"/>
      <c r="G772" s="1656">
        <v>1</v>
      </c>
      <c r="H772" s="4420" t="s">
        <v>1547</v>
      </c>
      <c r="I772" s="4550"/>
      <c r="J772" s="4551" t="s">
        <v>1578</v>
      </c>
      <c r="K772" s="4552"/>
      <c r="L772" s="4553"/>
      <c r="V772" s="1384" t="s">
        <v>1543</v>
      </c>
      <c r="W772" s="361"/>
      <c r="X772" s="361"/>
      <c r="Y772" s="363"/>
      <c r="Z772" s="363"/>
      <c r="AA772" s="363"/>
      <c r="AB772" s="361">
        <v>1</v>
      </c>
      <c r="AC772" s="362">
        <v>1</v>
      </c>
      <c r="AD772" s="362">
        <v>1</v>
      </c>
      <c r="AE772" s="362">
        <v>1</v>
      </c>
      <c r="AF772" s="271">
        <f t="shared" si="121"/>
        <v>1</v>
      </c>
      <c r="AG772" s="1529"/>
      <c r="AK772" s="358"/>
    </row>
    <row r="773" spans="2:37" ht="15" hidden="1" customHeight="1" outlineLevel="1">
      <c r="B773" s="579"/>
      <c r="C773" s="281"/>
      <c r="D773" s="1384">
        <v>365.25</v>
      </c>
      <c r="E773" s="1408" t="s">
        <v>3088</v>
      </c>
      <c r="F773" s="1377"/>
      <c r="G773" s="1820">
        <v>365.25</v>
      </c>
      <c r="H773" s="4420" t="s">
        <v>1350</v>
      </c>
      <c r="I773" s="4550"/>
      <c r="J773" s="4547" t="s">
        <v>1575</v>
      </c>
      <c r="K773" s="4548"/>
      <c r="L773" s="4549"/>
      <c r="V773" s="1384">
        <v>365.25</v>
      </c>
      <c r="W773" s="361"/>
      <c r="X773" s="361"/>
      <c r="Y773" s="1542"/>
      <c r="Z773" s="1542"/>
      <c r="AA773" s="1542"/>
      <c r="AB773" s="1540">
        <v>365.25</v>
      </c>
      <c r="AC773" s="139">
        <v>365.25</v>
      </c>
      <c r="AD773" s="139">
        <v>365.25</v>
      </c>
      <c r="AE773" s="139">
        <v>365.25</v>
      </c>
      <c r="AF773" s="271">
        <f t="shared" si="121"/>
        <v>365.25</v>
      </c>
      <c r="AG773" s="1529"/>
      <c r="AK773" s="358"/>
    </row>
    <row r="774" spans="2:37" ht="30" hidden="1" customHeight="1" outlineLevel="1">
      <c r="B774" s="579"/>
      <c r="C774" s="281"/>
      <c r="D774" s="1384" t="s">
        <v>1548</v>
      </c>
      <c r="E774" s="1408" t="s">
        <v>3089</v>
      </c>
      <c r="F774" s="1377"/>
      <c r="G774" s="1819">
        <v>1</v>
      </c>
      <c r="H774" s="4198" t="s">
        <v>3108</v>
      </c>
      <c r="I774" s="4198"/>
      <c r="J774" s="4547" t="s">
        <v>3091</v>
      </c>
      <c r="K774" s="4548"/>
      <c r="L774" s="4549"/>
      <c r="V774" s="1384" t="s">
        <v>1548</v>
      </c>
      <c r="W774" s="361"/>
      <c r="X774" s="361"/>
      <c r="Y774" s="280"/>
      <c r="Z774" s="280"/>
      <c r="AA774" s="280"/>
      <c r="AB774" s="1456">
        <v>1</v>
      </c>
      <c r="AC774" s="336">
        <v>1</v>
      </c>
      <c r="AD774" s="336">
        <v>1</v>
      </c>
      <c r="AE774" s="336">
        <v>1</v>
      </c>
      <c r="AF774" s="271">
        <f t="shared" si="121"/>
        <v>1</v>
      </c>
      <c r="AG774" s="1529"/>
      <c r="AK774" s="358"/>
    </row>
    <row r="775" spans="2:37" ht="15" hidden="1" customHeight="1" outlineLevel="1">
      <c r="B775" s="579"/>
      <c r="C775" s="281"/>
      <c r="D775" s="1384">
        <v>8.33</v>
      </c>
      <c r="E775" s="1408" t="s">
        <v>1355</v>
      </c>
      <c r="F775" s="1377"/>
      <c r="G775" s="1656">
        <v>8.33</v>
      </c>
      <c r="H775" s="4462" t="s">
        <v>1356</v>
      </c>
      <c r="I775" s="4541"/>
      <c r="J775" s="4547" t="s">
        <v>1575</v>
      </c>
      <c r="K775" s="4548"/>
      <c r="L775" s="4549"/>
      <c r="V775" s="1384">
        <v>8.33</v>
      </c>
      <c r="W775" s="361"/>
      <c r="X775" s="361"/>
      <c r="Y775" s="361"/>
      <c r="Z775" s="361"/>
      <c r="AA775" s="361"/>
      <c r="AB775" s="361">
        <v>8.33</v>
      </c>
      <c r="AC775" s="362">
        <v>8.33</v>
      </c>
      <c r="AD775" s="362">
        <v>8.33</v>
      </c>
      <c r="AE775" s="362">
        <v>8.33</v>
      </c>
      <c r="AF775" s="271">
        <f t="shared" si="121"/>
        <v>8.33</v>
      </c>
      <c r="AG775" s="1529"/>
      <c r="AK775" s="358"/>
    </row>
    <row r="776" spans="2:37" ht="15" hidden="1" customHeight="1" outlineLevel="1">
      <c r="B776" s="579"/>
      <c r="C776" s="281"/>
      <c r="D776" s="1384">
        <v>1</v>
      </c>
      <c r="E776" s="1422" t="s">
        <v>3092</v>
      </c>
      <c r="F776" s="1377"/>
      <c r="G776" s="1656">
        <v>1</v>
      </c>
      <c r="H776" s="4420" t="s">
        <v>1358</v>
      </c>
      <c r="I776" s="4550"/>
      <c r="J776" s="4547" t="s">
        <v>1575</v>
      </c>
      <c r="K776" s="4548"/>
      <c r="L776" s="4549"/>
      <c r="V776" s="1384">
        <v>1</v>
      </c>
      <c r="W776" s="361"/>
      <c r="X776" s="361"/>
      <c r="Y776" s="361"/>
      <c r="Z776" s="361"/>
      <c r="AA776" s="361"/>
      <c r="AB776" s="361">
        <v>1</v>
      </c>
      <c r="AC776" s="362">
        <v>1</v>
      </c>
      <c r="AD776" s="362">
        <v>1</v>
      </c>
      <c r="AE776" s="362">
        <v>1</v>
      </c>
      <c r="AF776" s="271">
        <f t="shared" si="121"/>
        <v>1</v>
      </c>
      <c r="AG776" s="1529"/>
      <c r="AK776" s="358"/>
    </row>
    <row r="777" spans="2:37" ht="47.25" hidden="1" customHeight="1" outlineLevel="1">
      <c r="B777" s="579"/>
      <c r="C777" s="281"/>
      <c r="D777" s="1377" t="s">
        <v>1553</v>
      </c>
      <c r="E777" s="1408" t="s">
        <v>3093</v>
      </c>
      <c r="F777" s="1377"/>
      <c r="G777" s="1656">
        <v>93</v>
      </c>
      <c r="H777" s="4570" t="s">
        <v>3109</v>
      </c>
      <c r="I777" s="4570"/>
      <c r="J777" s="4547" t="s">
        <v>1575</v>
      </c>
      <c r="K777" s="4548"/>
      <c r="L777" s="4549"/>
      <c r="V777" s="1377" t="s">
        <v>1553</v>
      </c>
      <c r="W777" s="361"/>
      <c r="X777" s="361"/>
      <c r="Y777" s="361"/>
      <c r="Z777" s="361"/>
      <c r="AA777" s="361"/>
      <c r="AB777" s="365">
        <v>93</v>
      </c>
      <c r="AC777" s="396">
        <v>93</v>
      </c>
      <c r="AD777" s="396">
        <v>93</v>
      </c>
      <c r="AE777" s="396">
        <v>93</v>
      </c>
      <c r="AF777" s="271">
        <f t="shared" si="121"/>
        <v>93</v>
      </c>
      <c r="AG777" s="1529"/>
      <c r="AK777" s="358"/>
    </row>
    <row r="778" spans="2:37" ht="60" hidden="1" customHeight="1" outlineLevel="1">
      <c r="B778" s="579"/>
      <c r="C778" s="281"/>
      <c r="D778" s="1377" t="s">
        <v>1362</v>
      </c>
      <c r="E778" s="1408" t="s">
        <v>1363</v>
      </c>
      <c r="F778" s="1377"/>
      <c r="G778" s="1735">
        <v>58.4</v>
      </c>
      <c r="H778" s="4070" t="s">
        <v>996</v>
      </c>
      <c r="I778" s="4070"/>
      <c r="J778" s="4547" t="s">
        <v>1575</v>
      </c>
      <c r="K778" s="4548"/>
      <c r="L778" s="4549"/>
      <c r="V778" s="1377" t="s">
        <v>1362</v>
      </c>
      <c r="W778" s="361"/>
      <c r="X778" s="361"/>
      <c r="Y778" s="361"/>
      <c r="Z778" s="361"/>
      <c r="AA778" s="361"/>
      <c r="AB778" s="365">
        <v>61.3</v>
      </c>
      <c r="AC778" s="396">
        <v>61.3</v>
      </c>
      <c r="AD778" s="396">
        <v>61.3</v>
      </c>
      <c r="AE778" s="396">
        <v>61.3</v>
      </c>
      <c r="AF778" s="271">
        <f t="shared" si="121"/>
        <v>58.4</v>
      </c>
      <c r="AG778" s="1529"/>
      <c r="AK778" s="358"/>
    </row>
    <row r="779" spans="2:37" ht="47.25" hidden="1" customHeight="1" outlineLevel="1">
      <c r="B779" s="579"/>
      <c r="C779" s="281"/>
      <c r="D779" s="1377" t="s">
        <v>1365</v>
      </c>
      <c r="E779" s="1408" t="s">
        <v>1366</v>
      </c>
      <c r="F779" s="1377"/>
      <c r="G779" s="1656">
        <v>0.98</v>
      </c>
      <c r="H779" s="4413" t="s">
        <v>3094</v>
      </c>
      <c r="I779" s="4394"/>
      <c r="J779" s="4547" t="s">
        <v>1575</v>
      </c>
      <c r="K779" s="4548"/>
      <c r="L779" s="4549"/>
      <c r="V779" s="1377" t="s">
        <v>1365</v>
      </c>
      <c r="W779" s="361"/>
      <c r="X779" s="361"/>
      <c r="Y779" s="361"/>
      <c r="Z779" s="361"/>
      <c r="AA779" s="361"/>
      <c r="AB779" s="361">
        <v>0.98</v>
      </c>
      <c r="AC779" s="362">
        <v>0.98</v>
      </c>
      <c r="AD779" s="362">
        <v>0.98</v>
      </c>
      <c r="AE779" s="362">
        <v>0.98</v>
      </c>
      <c r="AF779" s="271">
        <f t="shared" si="121"/>
        <v>0.98</v>
      </c>
      <c r="AG779" s="1529"/>
      <c r="AK779" s="358"/>
    </row>
    <row r="780" spans="2:37" ht="15" hidden="1" customHeight="1" outlineLevel="1">
      <c r="B780" s="579"/>
      <c r="C780" s="281"/>
      <c r="D780" s="1377">
        <v>3412</v>
      </c>
      <c r="E780" s="1408">
        <v>3412</v>
      </c>
      <c r="F780" s="1377"/>
      <c r="G780" s="1656">
        <v>3412</v>
      </c>
      <c r="H780" s="4462" t="s">
        <v>1000</v>
      </c>
      <c r="I780" s="4541"/>
      <c r="J780" s="4603" t="s">
        <v>1575</v>
      </c>
      <c r="K780" s="4604"/>
      <c r="L780" s="4605"/>
      <c r="V780" s="1377">
        <v>3412</v>
      </c>
      <c r="W780" s="361"/>
      <c r="X780" s="361"/>
      <c r="Y780" s="361"/>
      <c r="Z780" s="361"/>
      <c r="AA780" s="361"/>
      <c r="AB780" s="361">
        <v>3412</v>
      </c>
      <c r="AC780" s="362">
        <v>3412</v>
      </c>
      <c r="AD780" s="362">
        <v>3412</v>
      </c>
      <c r="AE780" s="362">
        <v>3412</v>
      </c>
      <c r="AF780" s="271">
        <f t="shared" si="121"/>
        <v>3412</v>
      </c>
      <c r="AG780" s="1529"/>
      <c r="AK780" s="358"/>
    </row>
    <row r="781" spans="2:37" ht="15" hidden="1" customHeight="1" outlineLevel="1">
      <c r="B781" s="579"/>
      <c r="C781" s="281"/>
      <c r="D781" s="1377" t="s">
        <v>1368</v>
      </c>
      <c r="E781" s="1377" t="s">
        <v>1369</v>
      </c>
      <c r="F781" s="1377"/>
      <c r="G781" s="1664">
        <v>1</v>
      </c>
      <c r="H781" s="4462" t="s">
        <v>1370</v>
      </c>
      <c r="I781" s="4606"/>
      <c r="J781" s="4607" t="s">
        <v>2953</v>
      </c>
      <c r="K781" s="4607"/>
      <c r="L781" s="4607"/>
      <c r="V781" s="1377" t="s">
        <v>1368</v>
      </c>
      <c r="W781" s="695"/>
      <c r="X781" s="695"/>
      <c r="Y781" s="695"/>
      <c r="Z781" s="695"/>
      <c r="AA781" s="695"/>
      <c r="AB781" s="695">
        <v>1</v>
      </c>
      <c r="AC781" s="613">
        <v>1</v>
      </c>
      <c r="AD781" s="613">
        <v>1</v>
      </c>
      <c r="AE781" s="613">
        <v>1</v>
      </c>
      <c r="AF781" s="271">
        <f t="shared" si="121"/>
        <v>1</v>
      </c>
      <c r="AG781" s="1529"/>
      <c r="AK781" s="358"/>
    </row>
    <row r="782" spans="2:37" ht="30" hidden="1" customHeight="1" outlineLevel="1">
      <c r="B782" s="579"/>
      <c r="C782" s="281"/>
      <c r="D782" s="4199" t="s">
        <v>128</v>
      </c>
      <c r="E782" s="4452" t="s">
        <v>1371</v>
      </c>
      <c r="F782" s="1444" t="s">
        <v>1195</v>
      </c>
      <c r="G782" s="2376">
        <v>0.4</v>
      </c>
      <c r="H782" s="4558" t="s">
        <v>1470</v>
      </c>
      <c r="I782" s="4559"/>
      <c r="J782" s="4542" t="s">
        <v>3095</v>
      </c>
      <c r="K782" s="4543"/>
      <c r="L782" s="4608"/>
      <c r="V782" s="4199" t="s">
        <v>128</v>
      </c>
      <c r="W782" s="2561"/>
      <c r="X782" s="2561"/>
      <c r="Y782" s="2561"/>
      <c r="Z782" s="2561"/>
      <c r="AA782" s="2561"/>
      <c r="AB782" s="2561">
        <v>1</v>
      </c>
      <c r="AC782" s="2560">
        <v>1</v>
      </c>
      <c r="AD782" s="2561">
        <v>0.4</v>
      </c>
      <c r="AE782" s="2560">
        <v>0.4</v>
      </c>
      <c r="AF782" s="2236">
        <f t="shared" si="121"/>
        <v>0.4</v>
      </c>
      <c r="AG782" s="1529"/>
      <c r="AK782" s="358"/>
    </row>
    <row r="783" spans="2:37" ht="29.65" hidden="1" customHeight="1" outlineLevel="1">
      <c r="B783" s="579"/>
      <c r="C783" s="281"/>
      <c r="D783" s="4199"/>
      <c r="E783" s="4452"/>
      <c r="F783" s="1377" t="s">
        <v>1196</v>
      </c>
      <c r="G783" s="1698">
        <v>0.95</v>
      </c>
      <c r="H783" s="4420" t="s">
        <v>3090</v>
      </c>
      <c r="I783" s="4550"/>
      <c r="J783" s="4560"/>
      <c r="K783" s="4561"/>
      <c r="L783" s="4562"/>
      <c r="V783" s="4199"/>
      <c r="W783" s="168"/>
      <c r="X783" s="168"/>
      <c r="Y783" s="1460"/>
      <c r="Z783" s="1460"/>
      <c r="AA783" s="1460"/>
      <c r="AB783" s="1460">
        <v>0.95</v>
      </c>
      <c r="AC783" s="313">
        <v>0.95</v>
      </c>
      <c r="AD783" s="313">
        <v>0.95</v>
      </c>
      <c r="AE783" s="313">
        <v>0.95</v>
      </c>
      <c r="AF783" s="271">
        <f t="shared" si="121"/>
        <v>0.95</v>
      </c>
      <c r="AG783" s="1529"/>
      <c r="AK783" s="358"/>
    </row>
    <row r="784" spans="2:37" ht="33.75" hidden="1" customHeight="1" outlineLevel="1">
      <c r="B784" s="579"/>
      <c r="C784" s="281"/>
      <c r="D784" s="1423" t="s">
        <v>49</v>
      </c>
      <c r="E784" s="1423" t="s">
        <v>3110</v>
      </c>
      <c r="F784" s="1377" t="s">
        <v>1102</v>
      </c>
      <c r="G784" s="1695">
        <v>10</v>
      </c>
      <c r="H784" s="4556" t="s">
        <v>1563</v>
      </c>
      <c r="I784" s="4557"/>
      <c r="J784" s="4560"/>
      <c r="K784" s="4561"/>
      <c r="L784" s="4562"/>
      <c r="V784" s="1409" t="str">
        <f>D784</f>
        <v>EUL</v>
      </c>
      <c r="W784" s="361"/>
      <c r="X784" s="361"/>
      <c r="Y784" s="361"/>
      <c r="Z784" s="361"/>
      <c r="AA784" s="361"/>
      <c r="AB784" s="361">
        <v>11</v>
      </c>
      <c r="AC784" s="362">
        <v>11</v>
      </c>
      <c r="AD784" s="362">
        <v>11</v>
      </c>
      <c r="AE784" s="362">
        <v>11</v>
      </c>
      <c r="AF784" s="271">
        <f t="shared" si="121"/>
        <v>10</v>
      </c>
      <c r="AG784" s="1529"/>
      <c r="AK784" s="358"/>
    </row>
    <row r="785" spans="2:114" ht="15" hidden="1" customHeight="1" outlineLevel="1">
      <c r="B785" s="579"/>
      <c r="C785" s="281"/>
      <c r="D785" s="4567" t="s">
        <v>50</v>
      </c>
      <c r="E785" s="4567" t="s">
        <v>1135</v>
      </c>
      <c r="F785" s="1444" t="s">
        <v>1195</v>
      </c>
      <c r="G785" s="2379">
        <v>3</v>
      </c>
      <c r="H785" s="4568" t="s">
        <v>3098</v>
      </c>
      <c r="I785" s="4569"/>
      <c r="J785" s="4560" t="s">
        <v>3097</v>
      </c>
      <c r="K785" s="4561"/>
      <c r="L785" s="4562"/>
      <c r="V785" s="4587" t="str">
        <f>D785</f>
        <v>Inc. Cost</v>
      </c>
      <c r="W785" s="2563"/>
      <c r="X785" s="2563"/>
      <c r="Y785" s="2563"/>
      <c r="Z785" s="2563"/>
      <c r="AA785" s="2563"/>
      <c r="AB785" s="2571">
        <v>3</v>
      </c>
      <c r="AC785" s="2565">
        <v>3</v>
      </c>
      <c r="AD785" s="2565">
        <v>3</v>
      </c>
      <c r="AE785" s="2565">
        <v>3</v>
      </c>
      <c r="AF785" s="2236">
        <f t="shared" si="121"/>
        <v>3</v>
      </c>
      <c r="AG785" s="1529"/>
      <c r="AK785" s="358"/>
    </row>
    <row r="786" spans="2:114" ht="15" hidden="1" customHeight="1" outlineLevel="1">
      <c r="B786" s="579"/>
      <c r="C786" s="281"/>
      <c r="D786" s="4847"/>
      <c r="E786" s="4847"/>
      <c r="F786" s="1377" t="s">
        <v>1196</v>
      </c>
      <c r="G786" s="1722">
        <v>11.33</v>
      </c>
      <c r="H786" s="4556" t="s">
        <v>3111</v>
      </c>
      <c r="I786" s="4557"/>
      <c r="J786" s="4560"/>
      <c r="K786" s="4561"/>
      <c r="L786" s="4562"/>
      <c r="V786" s="4199"/>
      <c r="W786" s="361"/>
      <c r="X786" s="361"/>
      <c r="Y786" s="361"/>
      <c r="Z786" s="361"/>
      <c r="AA786" s="361"/>
      <c r="AB786" s="753">
        <v>11.33</v>
      </c>
      <c r="AC786" s="752">
        <v>11.33</v>
      </c>
      <c r="AD786" s="752">
        <v>11.33</v>
      </c>
      <c r="AE786" s="752">
        <v>11.33</v>
      </c>
      <c r="AF786" s="271">
        <f t="shared" si="121"/>
        <v>11.33</v>
      </c>
      <c r="AG786" s="1529"/>
      <c r="AK786" s="358"/>
    </row>
    <row r="787" spans="2:114" ht="15" hidden="1" customHeight="1" outlineLevel="1">
      <c r="B787" s="579"/>
      <c r="C787" s="1404"/>
      <c r="AK787" s="358"/>
    </row>
    <row r="788" spans="2:114" ht="15" customHeight="1" collapsed="1">
      <c r="B788" s="579"/>
      <c r="C788" s="281"/>
      <c r="AK788" s="358"/>
    </row>
    <row r="789" spans="2:114">
      <c r="B789" s="4183" t="s">
        <v>1585</v>
      </c>
      <c r="C789" s="4184"/>
      <c r="D789" s="4184"/>
      <c r="E789" s="4184"/>
      <c r="F789" s="4184"/>
      <c r="G789" s="4184"/>
      <c r="H789" s="4184"/>
      <c r="I789" s="4840"/>
      <c r="J789" s="4840"/>
      <c r="K789" s="4840"/>
      <c r="L789" s="4840"/>
      <c r="M789" s="4840"/>
      <c r="N789" s="4840"/>
      <c r="O789" s="4840"/>
      <c r="P789" s="4840"/>
      <c r="Q789" s="4840"/>
      <c r="R789" s="4841"/>
      <c r="V789" s="4066" t="str">
        <f>B789</f>
        <v xml:space="preserve">Low Flow Showerheads </v>
      </c>
      <c r="W789" s="4067"/>
      <c r="X789" s="4067"/>
      <c r="Y789" s="4067"/>
      <c r="Z789" s="4067"/>
      <c r="AA789" s="4067"/>
      <c r="AB789" s="4067"/>
      <c r="AC789" s="4837"/>
      <c r="AD789" s="4837"/>
      <c r="AE789" s="4837"/>
      <c r="AF789" s="4837"/>
      <c r="AG789" s="4837"/>
      <c r="AH789" s="4837"/>
      <c r="AI789" s="4838"/>
      <c r="AK789" s="358"/>
    </row>
    <row r="790" spans="2:114">
      <c r="B790" s="1543"/>
      <c r="C790" s="1544"/>
      <c r="D790" s="583"/>
      <c r="E790" s="583"/>
      <c r="F790" s="282"/>
      <c r="G790" s="282"/>
      <c r="H790" s="282"/>
      <c r="I790" s="282"/>
      <c r="J790" s="282"/>
      <c r="K790" s="282"/>
      <c r="L790" s="584"/>
      <c r="AK790" s="358"/>
    </row>
    <row r="791" spans="2:114" ht="49.5" customHeight="1">
      <c r="B791" s="579"/>
      <c r="C791" s="1371" t="s">
        <v>42</v>
      </c>
      <c r="D791" s="1371" t="s">
        <v>953</v>
      </c>
      <c r="E791" s="1371" t="s">
        <v>44</v>
      </c>
      <c r="F791" s="1371" t="s">
        <v>1315</v>
      </c>
      <c r="G791" s="1371" t="s">
        <v>46</v>
      </c>
      <c r="H791" s="1371" t="s">
        <v>47</v>
      </c>
      <c r="I791" s="1371" t="s">
        <v>1316</v>
      </c>
      <c r="J791" s="1371" t="s">
        <v>48</v>
      </c>
      <c r="K791" s="1371" t="s">
        <v>49</v>
      </c>
      <c r="L791" s="1371" t="s">
        <v>50</v>
      </c>
      <c r="M791" s="1371" t="s">
        <v>51</v>
      </c>
      <c r="V791" s="668" t="s">
        <v>52</v>
      </c>
      <c r="W791" s="669">
        <f>W$6</f>
        <v>43252</v>
      </c>
      <c r="X791" s="669">
        <f t="shared" ref="X791:AG791" si="122">X$6</f>
        <v>43465</v>
      </c>
      <c r="Y791" s="115">
        <f t="shared" si="122"/>
        <v>43800</v>
      </c>
      <c r="Z791" s="669">
        <f t="shared" si="122"/>
        <v>43862</v>
      </c>
      <c r="AA791" s="669">
        <f t="shared" si="122"/>
        <v>44013</v>
      </c>
      <c r="AB791" s="669">
        <f t="shared" si="122"/>
        <v>44166</v>
      </c>
      <c r="AC791" s="669">
        <f t="shared" si="122"/>
        <v>44531</v>
      </c>
      <c r="AD791" s="669">
        <f t="shared" si="122"/>
        <v>44774</v>
      </c>
      <c r="AE791" s="669">
        <f t="shared" si="122"/>
        <v>45139</v>
      </c>
      <c r="AF791" s="669">
        <f t="shared" si="122"/>
        <v>45672</v>
      </c>
      <c r="AG791" s="669" t="str">
        <f t="shared" si="122"/>
        <v>-</v>
      </c>
      <c r="AK791" s="358"/>
      <c r="DG791" s="1060" t="str">
        <f>$DG$6</f>
        <v>TRC (2025)</v>
      </c>
      <c r="DH791" s="811" t="str">
        <f>$DH$6</f>
        <v>Benefit Lookup</v>
      </c>
      <c r="DI791" s="1076" t="str">
        <f>$DI$6</f>
        <v>Benefits (2025 $)</v>
      </c>
      <c r="DJ791" s="1103" t="str">
        <f>$DJ$6</f>
        <v>Incremental Cost (2025 $)</v>
      </c>
    </row>
    <row r="792" spans="2:114">
      <c r="B792" s="1454">
        <f t="shared" ref="B792:B796" si="123">VALUE(LEFT(C792,6))</f>
        <v>403500</v>
      </c>
      <c r="C792" s="2478" t="s">
        <v>3112</v>
      </c>
      <c r="D792" s="2402" t="s">
        <v>959</v>
      </c>
      <c r="E792" s="2432" t="s">
        <v>3113</v>
      </c>
      <c r="F792" s="2342">
        <f>ROUND(G806*(G807*G808-G809*G810)*G812*G813*G814/G816*I792*G824*G823,2)</f>
        <v>235.01</v>
      </c>
      <c r="G792" s="2408" t="s">
        <v>1319</v>
      </c>
      <c r="H792" s="2548">
        <f>VLOOKUP(G792,'CP FACTORS'!$A$3:$B$38, 2, FALSE)</f>
        <v>8.8731800000000003E-5</v>
      </c>
      <c r="I792" s="2363">
        <f>G817*G818*(G819-G820)/(G821*G822)</f>
        <v>0.1160902696365768</v>
      </c>
      <c r="J792" s="2549">
        <f>ROUND(F792*H792,6)</f>
        <v>2.0853E-2</v>
      </c>
      <c r="K792" s="2345">
        <f>$G$827</f>
        <v>10</v>
      </c>
      <c r="L792" s="2482">
        <f>G828</f>
        <v>7</v>
      </c>
      <c r="M792" s="2408" t="s">
        <v>62</v>
      </c>
      <c r="R792" s="90"/>
      <c r="S792" s="614"/>
      <c r="V792" s="2413" t="str">
        <f>F791</f>
        <v>kWh
Annual Savings</v>
      </c>
      <c r="W792" s="2414">
        <v>205.45946120574482</v>
      </c>
      <c r="X792" s="2415">
        <v>386.59384956558648</v>
      </c>
      <c r="Y792" s="2572">
        <v>220.17</v>
      </c>
      <c r="Z792" s="2573">
        <v>220.17</v>
      </c>
      <c r="AA792" s="2573">
        <v>220.17</v>
      </c>
      <c r="AB792" s="2573">
        <v>220.17</v>
      </c>
      <c r="AC792" s="2342">
        <v>220.32</v>
      </c>
      <c r="AD792" s="2342">
        <v>220.38</v>
      </c>
      <c r="AE792" s="2574">
        <v>220.38</v>
      </c>
      <c r="AF792" s="2236">
        <f>IF(F792&lt;&gt;"",F792,"")</f>
        <v>235.01</v>
      </c>
      <c r="AG792" s="356"/>
      <c r="AH792" s="121"/>
      <c r="AK792" s="358"/>
      <c r="DG792" s="2418">
        <f>(DI792)/(DJ792)</f>
        <v>16.494173061137694</v>
      </c>
      <c r="DH792" s="2419" t="str">
        <f>CONCATENATE(G792," ",K792," Year EUL")</f>
        <v>Water heating RES 10 Year EUL</v>
      </c>
      <c r="DI792" s="2420">
        <f>(INDEX('Avoided Cost Benefits'!$B$4:$B$865,MATCH(DH792,'Avoided Cost Benefits'!$A$4:$A$865,0)))*F792</f>
        <v>115.45921142796385</v>
      </c>
      <c r="DJ792" s="2556">
        <f>L792/(1.0686^(2025-2025))</f>
        <v>7</v>
      </c>
    </row>
    <row r="793" spans="2:114">
      <c r="B793" s="1454">
        <f t="shared" si="123"/>
        <v>403550</v>
      </c>
      <c r="C793" s="1540" t="s">
        <v>3114</v>
      </c>
      <c r="D793" s="1542" t="s">
        <v>959</v>
      </c>
      <c r="E793" s="128" t="s">
        <v>3115</v>
      </c>
      <c r="F793" s="365">
        <f>ROUND($G$806*($G$807*$G$808-$G$809*$G$810)*$G$812*$G$813*$G$814/$G$816*$I$793*$G$826*$G$823,2)</f>
        <v>248.01</v>
      </c>
      <c r="G793" s="139" t="s">
        <v>1319</v>
      </c>
      <c r="H793" s="138">
        <f>VLOOKUP(G793,'CP FACTORS'!$A$3:$B$38, 2, FALSE)</f>
        <v>8.8731800000000003E-5</v>
      </c>
      <c r="I793" s="277">
        <f>$G$817*$G$818*($G$819-$G$820)/($G$821*$G$822)</f>
        <v>0.1160902696365768</v>
      </c>
      <c r="J793" s="1486">
        <f>ROUND(F793*H793,6)</f>
        <v>2.2006000000000001E-2</v>
      </c>
      <c r="K793" s="46">
        <f>$G$827</f>
        <v>10</v>
      </c>
      <c r="L793" s="742">
        <f>G829</f>
        <v>15.33</v>
      </c>
      <c r="M793" s="139" t="s">
        <v>62</v>
      </c>
      <c r="R793" s="90"/>
      <c r="V793" s="356" t="str">
        <f>V792</f>
        <v>kWh
Annual Savings</v>
      </c>
      <c r="W793" s="383">
        <v>219.7507887809823</v>
      </c>
      <c r="X793" s="269">
        <v>396.76737192257565</v>
      </c>
      <c r="Y793" s="175">
        <v>232.42</v>
      </c>
      <c r="Z793" s="21">
        <v>232.42</v>
      </c>
      <c r="AA793" s="21">
        <v>232.42</v>
      </c>
      <c r="AB793" s="21">
        <v>232.42</v>
      </c>
      <c r="AC793" s="365">
        <v>232.51</v>
      </c>
      <c r="AD793" s="365">
        <v>232.58</v>
      </c>
      <c r="AE793" s="396">
        <v>232.58</v>
      </c>
      <c r="AF793" s="271">
        <f>IF(F793&lt;&gt;"",F793,"")</f>
        <v>248.01</v>
      </c>
      <c r="AG793" s="356"/>
      <c r="AH793" s="121"/>
      <c r="AK793" s="358"/>
      <c r="DG793" s="1063">
        <f>(DI793)/(DJ793)</f>
        <v>7.9482090646346917</v>
      </c>
      <c r="DH793" s="673" t="str">
        <f>CONCATENATE(G793," ",K793," Year EUL")</f>
        <v>Water heating RES 10 Year EUL</v>
      </c>
      <c r="DI793" s="556">
        <f>(INDEX('Avoided Cost Benefits'!$B$4:$B$865,MATCH(DH793,'Avoided Cost Benefits'!$A$4:$A$865,0)))*F793</f>
        <v>121.84604496084982</v>
      </c>
      <c r="DJ793" s="1176">
        <f>L793/(1.0686^(2025-2025))</f>
        <v>15.33</v>
      </c>
    </row>
    <row r="794" spans="2:114">
      <c r="B794" s="1454">
        <f t="shared" si="123"/>
        <v>403551</v>
      </c>
      <c r="C794" s="1540" t="s">
        <v>3116</v>
      </c>
      <c r="D794" s="1542" t="s">
        <v>959</v>
      </c>
      <c r="E794" s="128" t="s">
        <v>3117</v>
      </c>
      <c r="F794" s="365">
        <f>ROUND($G$806*($G$807*$G$808-$G$809*$G$810)*$G$812*$G$813*$G$814/$G$816*$I$794*$G$826*$G$823,2)</f>
        <v>248.01</v>
      </c>
      <c r="G794" s="139" t="s">
        <v>1319</v>
      </c>
      <c r="H794" s="138">
        <f>VLOOKUP(G794,'CP FACTORS'!$A$3:$B$38, 2, FALSE)</f>
        <v>8.8731800000000003E-5</v>
      </c>
      <c r="I794" s="277">
        <f>$G$817*$G$818*($G$819-$G$820)/($G$821*$G$822)</f>
        <v>0.1160902696365768</v>
      </c>
      <c r="J794" s="1486">
        <f>ROUND(F794*H794,6)</f>
        <v>2.2006000000000001E-2</v>
      </c>
      <c r="K794" s="46">
        <f>$G$827</f>
        <v>10</v>
      </c>
      <c r="L794" s="742">
        <f>G831</f>
        <v>23.35</v>
      </c>
      <c r="M794" s="139" t="s">
        <v>62</v>
      </c>
      <c r="R794" s="90"/>
      <c r="V794" s="356" t="str">
        <f>V793</f>
        <v>kWh
Annual Savings</v>
      </c>
      <c r="W794" s="383"/>
      <c r="X794" s="269"/>
      <c r="Y794" s="175">
        <v>232.42</v>
      </c>
      <c r="Z794" s="21">
        <v>232.42</v>
      </c>
      <c r="AA794" s="21">
        <v>232.42</v>
      </c>
      <c r="AB794" s="21">
        <v>232.42</v>
      </c>
      <c r="AC794" s="365">
        <v>232.51</v>
      </c>
      <c r="AD794" s="365">
        <v>232.58</v>
      </c>
      <c r="AE794" s="396">
        <v>232.58</v>
      </c>
      <c r="AF794" s="271">
        <f>IF(F794&lt;&gt;"",F794,"")</f>
        <v>248.01</v>
      </c>
      <c r="AG794" s="356"/>
      <c r="AH794" s="121"/>
      <c r="AK794" s="358"/>
      <c r="DG794" s="1063">
        <f>(DI794)/(DJ794)</f>
        <v>5.2182460368672299</v>
      </c>
      <c r="DH794" s="673" t="str">
        <f>CONCATENATE(G794," ",K794," Year EUL")</f>
        <v>Water heating RES 10 Year EUL</v>
      </c>
      <c r="DI794" s="556">
        <f>(INDEX('Avoided Cost Benefits'!$B$4:$B$865,MATCH(DH794,'Avoided Cost Benefits'!$A$4:$A$865,0)))*F794</f>
        <v>121.84604496084982</v>
      </c>
      <c r="DJ794" s="1176">
        <f>L794/(1.0686^(2025-2025))</f>
        <v>23.35</v>
      </c>
    </row>
    <row r="795" spans="2:114">
      <c r="B795" s="1454">
        <f t="shared" si="123"/>
        <v>403600</v>
      </c>
      <c r="C795" s="1540" t="s">
        <v>3118</v>
      </c>
      <c r="D795" s="1542" t="s">
        <v>1043</v>
      </c>
      <c r="E795" s="128" t="s">
        <v>3119</v>
      </c>
      <c r="F795" s="365">
        <f>ROUND($G$806*($G$807*$G$808-$G$809*$G$810)*$G$811*$G$813*$G$814/$G$815*$I$795*$G$825*$G$823,2)</f>
        <v>207.7</v>
      </c>
      <c r="G795" s="139" t="s">
        <v>1319</v>
      </c>
      <c r="H795" s="138">
        <f>VLOOKUP(G795,'CP FACTORS'!$A$3:$B$38, 2, FALSE)</f>
        <v>8.8731800000000003E-5</v>
      </c>
      <c r="I795" s="277">
        <f>$G$817*$G$818*($G$819-$G$820)/($G$821*$G$822)</f>
        <v>0.1160902696365768</v>
      </c>
      <c r="J795" s="1486">
        <f>ROUND(F795*H795,6)</f>
        <v>1.8429999999999998E-2</v>
      </c>
      <c r="K795" s="46">
        <f>$G$827</f>
        <v>10</v>
      </c>
      <c r="L795" s="742">
        <f>G829</f>
        <v>15.33</v>
      </c>
      <c r="M795" s="139" t="s">
        <v>62</v>
      </c>
      <c r="R795" s="90"/>
      <c r="V795" s="356" t="str">
        <f>V794</f>
        <v>kWh
Annual Savings</v>
      </c>
      <c r="W795" s="383">
        <v>193.57333532775112</v>
      </c>
      <c r="X795" s="269">
        <v>277.23460772356242</v>
      </c>
      <c r="Y795" s="175">
        <v>199.61</v>
      </c>
      <c r="Z795" s="21">
        <v>199.61</v>
      </c>
      <c r="AA795" s="21">
        <v>199.61</v>
      </c>
      <c r="AB795" s="21">
        <v>199.61</v>
      </c>
      <c r="AC795" s="365">
        <v>194.72</v>
      </c>
      <c r="AD795" s="365">
        <v>194.77</v>
      </c>
      <c r="AE795" s="396">
        <v>194.77</v>
      </c>
      <c r="AF795" s="271">
        <f>IF(F795&lt;&gt;"",F795,"")</f>
        <v>207.7</v>
      </c>
      <c r="AG795" s="356"/>
      <c r="AH795" s="121"/>
      <c r="AK795" s="358"/>
      <c r="DG795" s="1063">
        <f>(DI795)/(DJ795)</f>
        <v>6.6563566901521121</v>
      </c>
      <c r="DH795" s="673" t="str">
        <f>CONCATENATE(G795," ",K795," Year EUL")</f>
        <v>Water heating RES 10 Year EUL</v>
      </c>
      <c r="DI795" s="556">
        <f>(INDEX('Avoided Cost Benefits'!$B$4:$B$865,MATCH(DH795,'Avoided Cost Benefits'!$A$4:$A$865,0)))*F795</f>
        <v>102.04194806003188</v>
      </c>
      <c r="DJ795" s="1176">
        <f>L795/(1.0686^(2025-2025))</f>
        <v>15.33</v>
      </c>
    </row>
    <row r="796" spans="2:114">
      <c r="B796" s="1454">
        <f t="shared" si="123"/>
        <v>403601</v>
      </c>
      <c r="C796" s="1540" t="s">
        <v>3120</v>
      </c>
      <c r="D796" s="1542" t="s">
        <v>1486</v>
      </c>
      <c r="E796" s="128" t="s">
        <v>3121</v>
      </c>
      <c r="F796" s="365">
        <f>ROUND($G$806*($G$807*$G$808-$G$809*$G$810)*$G$811*$G$813*$G$814/$G$815*$I$796*$G$825*$G$823,2)</f>
        <v>207.7</v>
      </c>
      <c r="G796" s="139" t="s">
        <v>1319</v>
      </c>
      <c r="H796" s="138">
        <f>VLOOKUP(G796,'CP FACTORS'!$A$3:$B$38, 2, FALSE)</f>
        <v>8.8731800000000003E-5</v>
      </c>
      <c r="I796" s="277">
        <f>$G$817*$G$818*($G$819-$G$820)/($G$821*$G$822)</f>
        <v>0.1160902696365768</v>
      </c>
      <c r="J796" s="1486">
        <f>ROUND(F796*H796,6)</f>
        <v>1.8429999999999998E-2</v>
      </c>
      <c r="K796" s="46">
        <f>$G$827</f>
        <v>10</v>
      </c>
      <c r="L796" s="742">
        <f>G830</f>
        <v>23.35</v>
      </c>
      <c r="M796" s="139" t="s">
        <v>62</v>
      </c>
      <c r="R796" s="90"/>
      <c r="V796" s="356" t="str">
        <f>V795</f>
        <v>kWh
Annual Savings</v>
      </c>
      <c r="W796" s="383"/>
      <c r="X796" s="269"/>
      <c r="Y796" s="175">
        <v>199.61</v>
      </c>
      <c r="Z796" s="21">
        <v>199.61</v>
      </c>
      <c r="AA796" s="21">
        <v>199.61</v>
      </c>
      <c r="AB796" s="21">
        <v>199.61</v>
      </c>
      <c r="AC796" s="365">
        <v>194.72</v>
      </c>
      <c r="AD796" s="365">
        <v>194.77</v>
      </c>
      <c r="AE796" s="396">
        <v>194.77</v>
      </c>
      <c r="AF796" s="271">
        <f>IF(F796&lt;&gt;"",F796,"")</f>
        <v>207.7</v>
      </c>
      <c r="AG796" s="356"/>
      <c r="AH796" s="121"/>
      <c r="AK796" s="358"/>
      <c r="DG796" s="1064">
        <f>(DI796)/(DJ796)</f>
        <v>4.3701048419713864</v>
      </c>
      <c r="DH796" s="673" t="str">
        <f>CONCATENATE(G796," ",K796," Year EUL")</f>
        <v>Water heating RES 10 Year EUL</v>
      </c>
      <c r="DI796" s="1072">
        <f>(INDEX('Avoided Cost Benefits'!$B$4:$B$865,MATCH(DH796,'Avoided Cost Benefits'!$A$4:$A$865,0)))*F796</f>
        <v>102.04194806003188</v>
      </c>
      <c r="DJ796" s="1175">
        <f>L796/(1.0686^(2025-2025))</f>
        <v>23.35</v>
      </c>
    </row>
    <row r="797" spans="2:114" hidden="1" outlineLevel="1">
      <c r="B797" s="579"/>
      <c r="C797" s="281"/>
      <c r="D797" s="74" t="s">
        <v>118</v>
      </c>
      <c r="E797" s="283" t="s">
        <v>1322</v>
      </c>
      <c r="F797" s="625"/>
      <c r="G797" s="281"/>
      <c r="H797" s="624"/>
      <c r="I797" s="387"/>
      <c r="J797" s="387"/>
      <c r="K797" s="387"/>
      <c r="V797" s="76"/>
      <c r="W797" s="76"/>
      <c r="X797" s="76"/>
      <c r="Y797" s="384"/>
      <c r="Z797" s="76"/>
      <c r="AA797" s="76"/>
      <c r="AB797" s="76"/>
      <c r="AC797" s="76"/>
      <c r="AD797" s="76"/>
      <c r="AE797" s="76"/>
      <c r="AF797" s="76"/>
      <c r="AG797" s="76"/>
      <c r="AK797" s="358"/>
    </row>
    <row r="798" spans="2:114" hidden="1" outlineLevel="1">
      <c r="B798" s="579"/>
      <c r="C798" s="281"/>
      <c r="D798" s="77" t="s">
        <v>963</v>
      </c>
      <c r="E798" s="52" t="s">
        <v>1323</v>
      </c>
      <c r="F798" s="625"/>
      <c r="G798" s="281"/>
      <c r="H798" s="624"/>
      <c r="I798" s="387"/>
      <c r="J798" s="387"/>
      <c r="K798" s="387"/>
      <c r="V798" s="76"/>
      <c r="W798" s="76"/>
      <c r="X798" s="76"/>
      <c r="Y798" s="384"/>
      <c r="Z798" s="76"/>
      <c r="AA798" s="76"/>
      <c r="AB798" s="76"/>
      <c r="AC798" s="76"/>
      <c r="AD798" s="76"/>
      <c r="AE798" s="76"/>
      <c r="AF798" s="76"/>
      <c r="AG798" s="76"/>
      <c r="AK798" s="358"/>
    </row>
    <row r="799" spans="2:114" hidden="1" outlineLevel="1">
      <c r="B799" s="579"/>
      <c r="C799" s="281"/>
      <c r="D799" s="283"/>
      <c r="E799" s="52" t="s">
        <v>1591</v>
      </c>
      <c r="V799" s="76"/>
      <c r="W799" s="76"/>
      <c r="X799" s="76"/>
      <c r="Y799" s="384"/>
      <c r="Z799" s="76"/>
      <c r="AA799" s="76"/>
      <c r="AB799" s="76"/>
      <c r="AC799" s="76"/>
      <c r="AD799" s="76"/>
      <c r="AE799" s="76"/>
      <c r="AF799" s="76"/>
      <c r="AG799" s="76"/>
      <c r="AK799" s="358"/>
    </row>
    <row r="800" spans="2:114" hidden="1" outlineLevel="1">
      <c r="B800" s="579"/>
      <c r="C800" s="281"/>
      <c r="E800" s="52" t="s">
        <v>966</v>
      </c>
      <c r="V800" s="76"/>
      <c r="W800" s="76"/>
      <c r="X800" s="76"/>
      <c r="Y800" s="384"/>
      <c r="Z800" s="76"/>
      <c r="AA800" s="76"/>
      <c r="AB800" s="76"/>
      <c r="AC800" s="76"/>
      <c r="AD800" s="76"/>
      <c r="AE800" s="76"/>
      <c r="AF800" s="76"/>
      <c r="AG800" s="76"/>
      <c r="AK800" s="358"/>
    </row>
    <row r="801" spans="2:37" hidden="1" outlineLevel="1">
      <c r="B801" s="579"/>
      <c r="C801" s="281"/>
      <c r="E801" s="52" t="s">
        <v>1324</v>
      </c>
      <c r="V801" s="76"/>
      <c r="W801" s="76"/>
      <c r="X801" s="76"/>
      <c r="Y801" s="384"/>
      <c r="Z801" s="76"/>
      <c r="AA801" s="76"/>
      <c r="AB801" s="76"/>
      <c r="AC801" s="76"/>
      <c r="AD801" s="76"/>
      <c r="AE801" s="76"/>
      <c r="AF801" s="76"/>
      <c r="AG801" s="76"/>
      <c r="AK801" s="358"/>
    </row>
    <row r="802" spans="2:37" hidden="1" outlineLevel="1">
      <c r="B802" s="579"/>
      <c r="C802" s="281"/>
      <c r="V802" s="76"/>
      <c r="W802" s="76"/>
      <c r="X802" s="76"/>
      <c r="Y802" s="384"/>
      <c r="Z802" s="76"/>
      <c r="AA802" s="76"/>
      <c r="AB802" s="76"/>
      <c r="AC802" s="76"/>
      <c r="AD802" s="76"/>
      <c r="AE802" s="76"/>
      <c r="AF802" s="76"/>
      <c r="AG802" s="76"/>
      <c r="AK802" s="358"/>
    </row>
    <row r="803" spans="2:37" ht="15" hidden="1" customHeight="1" outlineLevel="1">
      <c r="B803" s="579"/>
      <c r="C803" s="281"/>
      <c r="D803" s="1450"/>
      <c r="V803" s="76"/>
      <c r="W803" s="76"/>
      <c r="X803" s="76"/>
      <c r="Y803" s="384"/>
      <c r="Z803" s="76"/>
      <c r="AA803" s="76"/>
      <c r="AB803" s="76"/>
      <c r="AC803" s="76"/>
      <c r="AD803" s="76"/>
      <c r="AE803" s="76"/>
      <c r="AF803" s="76"/>
      <c r="AG803" s="76"/>
      <c r="AK803" s="358"/>
    </row>
    <row r="804" spans="2:37" ht="15" hidden="1" customHeight="1" outlineLevel="1">
      <c r="C804" s="281"/>
      <c r="V804" s="76"/>
      <c r="W804" s="76"/>
      <c r="X804" s="76"/>
      <c r="Y804" s="384"/>
      <c r="Z804" s="76"/>
      <c r="AA804" s="76"/>
      <c r="AB804" s="76"/>
      <c r="AC804" s="76"/>
      <c r="AD804" s="76"/>
      <c r="AE804" s="76"/>
      <c r="AF804" s="76"/>
      <c r="AG804" s="76"/>
      <c r="AK804" s="358"/>
    </row>
    <row r="805" spans="2:37" ht="15" hidden="1" customHeight="1" outlineLevel="1">
      <c r="C805" s="281"/>
      <c r="D805" s="1443" t="s">
        <v>1078</v>
      </c>
      <c r="E805" s="1443" t="s">
        <v>967</v>
      </c>
      <c r="F805" s="1371" t="s">
        <v>1215</v>
      </c>
      <c r="G805" s="1371" t="s">
        <v>969</v>
      </c>
      <c r="H805" s="4068" t="s">
        <v>970</v>
      </c>
      <c r="I805" s="4068"/>
      <c r="J805" s="4068" t="s">
        <v>755</v>
      </c>
      <c r="K805" s="4068"/>
      <c r="L805" s="4068"/>
      <c r="V805" s="668" t="s">
        <v>52</v>
      </c>
      <c r="W805" s="669">
        <f>W$6</f>
        <v>43252</v>
      </c>
      <c r="X805" s="669">
        <f t="shared" ref="X805:AG805" si="124">X$6</f>
        <v>43465</v>
      </c>
      <c r="Y805" s="115">
        <f t="shared" si="124"/>
        <v>43800</v>
      </c>
      <c r="Z805" s="669">
        <f t="shared" si="124"/>
        <v>43862</v>
      </c>
      <c r="AA805" s="669">
        <f t="shared" si="124"/>
        <v>44013</v>
      </c>
      <c r="AB805" s="669">
        <f t="shared" si="124"/>
        <v>44166</v>
      </c>
      <c r="AC805" s="669">
        <f t="shared" si="124"/>
        <v>44531</v>
      </c>
      <c r="AD805" s="669">
        <f t="shared" si="124"/>
        <v>44774</v>
      </c>
      <c r="AE805" s="669">
        <f t="shared" si="124"/>
        <v>45139</v>
      </c>
      <c r="AF805" s="669">
        <f t="shared" si="124"/>
        <v>45672</v>
      </c>
      <c r="AG805" s="669" t="str">
        <f t="shared" si="124"/>
        <v>-</v>
      </c>
      <c r="AK805" s="358"/>
    </row>
    <row r="806" spans="2:37" ht="30" hidden="1" customHeight="1" outlineLevel="1">
      <c r="C806" s="281"/>
      <c r="D806" s="1377" t="s">
        <v>1325</v>
      </c>
      <c r="E806" s="1377" t="s">
        <v>1326</v>
      </c>
      <c r="F806" s="1377"/>
      <c r="G806" s="1709">
        <v>1</v>
      </c>
      <c r="H806" s="4461" t="s">
        <v>1370</v>
      </c>
      <c r="I806" s="4461"/>
      <c r="J806" s="4571" t="s">
        <v>2953</v>
      </c>
      <c r="K806" s="4572"/>
      <c r="L806" s="4573"/>
      <c r="S806" s="366"/>
      <c r="V806" s="1427" t="s">
        <v>1325</v>
      </c>
      <c r="W806" s="327">
        <v>1</v>
      </c>
      <c r="X806" s="327">
        <v>1</v>
      </c>
      <c r="Y806" s="327">
        <v>1</v>
      </c>
      <c r="Z806" s="367">
        <v>1</v>
      </c>
      <c r="AA806" s="367">
        <v>1</v>
      </c>
      <c r="AB806" s="367">
        <v>1</v>
      </c>
      <c r="AC806" s="367">
        <v>1</v>
      </c>
      <c r="AD806" s="367">
        <v>1</v>
      </c>
      <c r="AE806" s="367">
        <v>1</v>
      </c>
      <c r="AF806" s="271">
        <f t="shared" ref="AF806:AF831" si="125">IF(G806&lt;&gt;"",G806,"")</f>
        <v>1</v>
      </c>
      <c r="AG806" s="367"/>
      <c r="AK806" s="358"/>
    </row>
    <row r="807" spans="2:37" ht="51.75" hidden="1" customHeight="1" outlineLevel="1">
      <c r="C807" s="281"/>
      <c r="D807" s="1377" t="s">
        <v>1329</v>
      </c>
      <c r="E807" s="1377" t="s">
        <v>1330</v>
      </c>
      <c r="F807" s="1377"/>
      <c r="G807" s="1812">
        <v>2.2000000000000002</v>
      </c>
      <c r="H807" s="4199" t="s">
        <v>1595</v>
      </c>
      <c r="I807" s="4199"/>
      <c r="J807" s="4072" t="s">
        <v>1575</v>
      </c>
      <c r="K807" s="4072"/>
      <c r="L807" s="4072"/>
      <c r="S807" s="1404"/>
      <c r="V807" s="1427" t="str">
        <f>D807</f>
        <v>GPM_base</v>
      </c>
      <c r="W807" s="360">
        <v>2.67</v>
      </c>
      <c r="X807" s="105">
        <f>'Energy Effic. Kits Deemed Table'!G197</f>
        <v>2.35</v>
      </c>
      <c r="Y807" s="369">
        <v>2.2000000000000002</v>
      </c>
      <c r="Z807" s="368">
        <v>2.2000000000000002</v>
      </c>
      <c r="AA807" s="368">
        <v>2.2000000000000002</v>
      </c>
      <c r="AB807" s="368">
        <v>2.2000000000000002</v>
      </c>
      <c r="AC807" s="368">
        <v>2.2000000000000002</v>
      </c>
      <c r="AD807" s="368">
        <v>2.2000000000000002</v>
      </c>
      <c r="AE807" s="368">
        <v>2.2000000000000002</v>
      </c>
      <c r="AF807" s="271">
        <f t="shared" si="125"/>
        <v>2.2000000000000002</v>
      </c>
      <c r="AG807" s="1445"/>
      <c r="AK807" s="358"/>
    </row>
    <row r="808" spans="2:37" ht="75" hidden="1" customHeight="1" outlineLevel="1">
      <c r="C808" s="281"/>
      <c r="D808" s="1377" t="s">
        <v>1333</v>
      </c>
      <c r="E808" s="1408" t="s">
        <v>1334</v>
      </c>
      <c r="F808" s="1377"/>
      <c r="G808" s="1812">
        <v>8.66</v>
      </c>
      <c r="H808" s="4395" t="s">
        <v>1348</v>
      </c>
      <c r="I808" s="4395"/>
      <c r="J808" s="4072" t="s">
        <v>1575</v>
      </c>
      <c r="K808" s="4072"/>
      <c r="L808" s="4072"/>
      <c r="S808" s="370"/>
      <c r="V808" s="1427" t="str">
        <f>D808</f>
        <v>L_base</v>
      </c>
      <c r="W808" s="328">
        <v>8.66</v>
      </c>
      <c r="X808" s="328">
        <v>8.66</v>
      </c>
      <c r="Y808" s="328">
        <v>8.66</v>
      </c>
      <c r="Z808" s="362">
        <v>8.66</v>
      </c>
      <c r="AA808" s="362">
        <v>8.66</v>
      </c>
      <c r="AB808" s="362">
        <v>8.66</v>
      </c>
      <c r="AC808" s="362">
        <v>8.66</v>
      </c>
      <c r="AD808" s="362">
        <v>8.66</v>
      </c>
      <c r="AE808" s="362">
        <v>8.66</v>
      </c>
      <c r="AF808" s="271">
        <f t="shared" si="125"/>
        <v>8.66</v>
      </c>
      <c r="AG808" s="362"/>
      <c r="AK808" s="358"/>
    </row>
    <row r="809" spans="2:37" ht="45" hidden="1" customHeight="1" outlineLevel="1">
      <c r="C809" s="281"/>
      <c r="D809" s="1377" t="s">
        <v>1337</v>
      </c>
      <c r="E809" s="1377" t="s">
        <v>1338</v>
      </c>
      <c r="F809" s="1377"/>
      <c r="G809" s="1651">
        <v>1.5</v>
      </c>
      <c r="H809" s="4199" t="s">
        <v>1595</v>
      </c>
      <c r="I809" s="4199"/>
      <c r="J809" s="4072" t="s">
        <v>1575</v>
      </c>
      <c r="K809" s="4072"/>
      <c r="L809" s="4072"/>
      <c r="S809" s="1404"/>
      <c r="V809" s="1427" t="str">
        <f>D809</f>
        <v>GPM_low</v>
      </c>
      <c r="W809" s="360">
        <v>2</v>
      </c>
      <c r="X809" s="105">
        <f>X807-1</f>
        <v>1.35</v>
      </c>
      <c r="Y809" s="105">
        <v>1.5</v>
      </c>
      <c r="Z809" s="1445">
        <v>1.5</v>
      </c>
      <c r="AA809" s="1445">
        <v>1.5</v>
      </c>
      <c r="AB809" s="1445">
        <v>1.5</v>
      </c>
      <c r="AC809" s="1445">
        <v>1.5</v>
      </c>
      <c r="AD809" s="1445">
        <v>1.5</v>
      </c>
      <c r="AE809" s="1445">
        <v>1.5</v>
      </c>
      <c r="AF809" s="271">
        <f t="shared" si="125"/>
        <v>1.5</v>
      </c>
      <c r="AG809" s="1445"/>
      <c r="AK809" s="358"/>
    </row>
    <row r="810" spans="2:37" ht="45.4" hidden="1" customHeight="1" outlineLevel="1">
      <c r="C810" s="281"/>
      <c r="D810" s="1377" t="s">
        <v>1340</v>
      </c>
      <c r="E810" s="1408" t="s">
        <v>1334</v>
      </c>
      <c r="F810" s="1377"/>
      <c r="G810" s="1656">
        <v>8.66</v>
      </c>
      <c r="H810" s="4395" t="s">
        <v>3122</v>
      </c>
      <c r="I810" s="4395"/>
      <c r="J810" s="4072" t="s">
        <v>1575</v>
      </c>
      <c r="K810" s="4072"/>
      <c r="L810" s="4072"/>
      <c r="S810" s="370"/>
      <c r="V810" s="1427" t="str">
        <f>D810</f>
        <v>L_low</v>
      </c>
      <c r="W810" s="328">
        <v>8.66</v>
      </c>
      <c r="X810" s="328">
        <v>8.66</v>
      </c>
      <c r="Y810" s="328">
        <v>8.66</v>
      </c>
      <c r="Z810" s="362">
        <v>8.66</v>
      </c>
      <c r="AA810" s="362">
        <v>8.66</v>
      </c>
      <c r="AB810" s="362">
        <v>8.66</v>
      </c>
      <c r="AC810" s="362">
        <v>8.66</v>
      </c>
      <c r="AD810" s="362">
        <v>8.66</v>
      </c>
      <c r="AE810" s="362">
        <v>8.66</v>
      </c>
      <c r="AF810" s="271">
        <f t="shared" si="125"/>
        <v>8.66</v>
      </c>
      <c r="AG810" s="362"/>
      <c r="AK810" s="358"/>
    </row>
    <row r="811" spans="2:37" ht="43.5" hidden="1" customHeight="1" outlineLevel="1">
      <c r="C811" s="281"/>
      <c r="D811" s="4201" t="s">
        <v>982</v>
      </c>
      <c r="E811" s="4414" t="s">
        <v>1341</v>
      </c>
      <c r="F811" s="1377" t="s">
        <v>170</v>
      </c>
      <c r="G811" s="1655">
        <v>2.67</v>
      </c>
      <c r="H811" s="4570" t="s">
        <v>1353</v>
      </c>
      <c r="I811" s="4570"/>
      <c r="J811" s="4408" t="s">
        <v>3123</v>
      </c>
      <c r="K811" s="4408"/>
      <c r="L811" s="4408"/>
      <c r="S811" s="370"/>
      <c r="V811" s="4574" t="str">
        <f>D811</f>
        <v>Household</v>
      </c>
      <c r="W811" s="328">
        <v>2.67</v>
      </c>
      <c r="X811" s="328">
        <v>2.67</v>
      </c>
      <c r="Y811" s="328">
        <v>2.67</v>
      </c>
      <c r="Z811" s="362">
        <v>2.67</v>
      </c>
      <c r="AA811" s="362">
        <v>2.67</v>
      </c>
      <c r="AB811" s="362">
        <v>2.67</v>
      </c>
      <c r="AC811" s="362">
        <v>2.67</v>
      </c>
      <c r="AD811" s="362">
        <v>2.67</v>
      </c>
      <c r="AE811" s="362">
        <v>2.67</v>
      </c>
      <c r="AF811" s="271">
        <f t="shared" si="125"/>
        <v>2.67</v>
      </c>
      <c r="AG811" s="362"/>
      <c r="AK811" s="358"/>
    </row>
    <row r="812" spans="2:37" ht="30" hidden="1" customHeight="1" outlineLevel="1">
      <c r="C812" s="281"/>
      <c r="D812" s="4203"/>
      <c r="E812" s="4415"/>
      <c r="F812" s="1377" t="s">
        <v>1122</v>
      </c>
      <c r="G812" s="1655">
        <v>1.5165094339622642</v>
      </c>
      <c r="H812" s="4413" t="s">
        <v>3124</v>
      </c>
      <c r="I812" s="4394"/>
      <c r="J812" s="4408" t="s">
        <v>3123</v>
      </c>
      <c r="K812" s="4408"/>
      <c r="L812" s="4408"/>
      <c r="S812" s="370"/>
      <c r="V812" s="4440"/>
      <c r="W812" s="328">
        <v>2.0699999999999998</v>
      </c>
      <c r="X812" s="361">
        <v>1.8640000000000001</v>
      </c>
      <c r="Y812" s="363">
        <v>1.5165094339622642</v>
      </c>
      <c r="Z812" s="389">
        <v>1.5165094339622642</v>
      </c>
      <c r="AA812" s="389">
        <v>1.5165094339622642</v>
      </c>
      <c r="AB812" s="389">
        <v>1.5165094339622642</v>
      </c>
      <c r="AC812" s="362">
        <v>1.5165094339622642</v>
      </c>
      <c r="AD812" s="362">
        <v>1.5165094339622642</v>
      </c>
      <c r="AE812" s="362">
        <v>1.5165094339622642</v>
      </c>
      <c r="AF812" s="271">
        <f t="shared" si="125"/>
        <v>1.5165094339622642</v>
      </c>
      <c r="AG812" s="362"/>
      <c r="AK812" s="358"/>
    </row>
    <row r="813" spans="2:37" ht="44.65" hidden="1" customHeight="1" outlineLevel="1">
      <c r="C813" s="281"/>
      <c r="D813" s="1377" t="s">
        <v>1346</v>
      </c>
      <c r="E813" s="1408" t="s">
        <v>1347</v>
      </c>
      <c r="F813" s="1377"/>
      <c r="G813" s="1656">
        <v>0.66</v>
      </c>
      <c r="H813" s="4395" t="s">
        <v>1348</v>
      </c>
      <c r="I813" s="4395"/>
      <c r="J813" s="4408" t="s">
        <v>3125</v>
      </c>
      <c r="K813" s="4408"/>
      <c r="L813" s="4408"/>
      <c r="S813" s="370"/>
      <c r="V813" s="1427" t="str">
        <f>D813</f>
        <v>SPDC</v>
      </c>
      <c r="W813" s="328">
        <v>0.66</v>
      </c>
      <c r="X813" s="328">
        <v>0.66</v>
      </c>
      <c r="Y813" s="328">
        <v>0.66</v>
      </c>
      <c r="Z813" s="362">
        <v>0.66</v>
      </c>
      <c r="AA813" s="362">
        <v>0.66</v>
      </c>
      <c r="AB813" s="362">
        <v>0.66</v>
      </c>
      <c r="AC813" s="362">
        <v>0.66</v>
      </c>
      <c r="AD813" s="362">
        <v>0.66</v>
      </c>
      <c r="AE813" s="362">
        <v>0.66</v>
      </c>
      <c r="AF813" s="271">
        <f t="shared" si="125"/>
        <v>0.66</v>
      </c>
      <c r="AG813" s="362"/>
      <c r="AK813" s="358"/>
    </row>
    <row r="814" spans="2:37" ht="15" hidden="1" customHeight="1" outlineLevel="1">
      <c r="C814" s="281"/>
      <c r="D814" s="1377">
        <v>365.25</v>
      </c>
      <c r="E814" s="1408" t="s">
        <v>1349</v>
      </c>
      <c r="F814" s="1377"/>
      <c r="G814" s="1656">
        <v>365.25</v>
      </c>
      <c r="H814" s="4199" t="s">
        <v>1350</v>
      </c>
      <c r="I814" s="4199"/>
      <c r="J814" s="4408" t="s">
        <v>3125</v>
      </c>
      <c r="K814" s="4408"/>
      <c r="L814" s="4408"/>
      <c r="S814" s="370"/>
      <c r="V814" s="1427">
        <f>D814</f>
        <v>365.25</v>
      </c>
      <c r="W814" s="328">
        <v>365</v>
      </c>
      <c r="X814" s="328">
        <v>365</v>
      </c>
      <c r="Y814" s="328">
        <v>365</v>
      </c>
      <c r="Z814" s="362">
        <v>365</v>
      </c>
      <c r="AA814" s="362">
        <v>365</v>
      </c>
      <c r="AB814" s="362">
        <v>365</v>
      </c>
      <c r="AC814" s="361">
        <v>365.25</v>
      </c>
      <c r="AD814" s="362">
        <v>365.25</v>
      </c>
      <c r="AE814" s="362">
        <v>365.25</v>
      </c>
      <c r="AF814" s="271">
        <f t="shared" si="125"/>
        <v>365.25</v>
      </c>
      <c r="AG814" s="362"/>
      <c r="AK814" s="358"/>
    </row>
    <row r="815" spans="2:37" ht="43.5" hidden="1" customHeight="1" outlineLevel="1">
      <c r="C815" s="281"/>
      <c r="D815" s="4201" t="s">
        <v>1351</v>
      </c>
      <c r="E815" s="4414" t="s">
        <v>1352</v>
      </c>
      <c r="F815" s="1377" t="s">
        <v>170</v>
      </c>
      <c r="G815" s="1656">
        <v>2.0499999999999998</v>
      </c>
      <c r="H815" s="4570" t="s">
        <v>1353</v>
      </c>
      <c r="I815" s="4570"/>
      <c r="J815" s="4408" t="s">
        <v>3123</v>
      </c>
      <c r="K815" s="4408"/>
      <c r="L815" s="4408"/>
      <c r="S815" s="370"/>
      <c r="V815" s="4574" t="str">
        <f>D815</f>
        <v>SPH</v>
      </c>
      <c r="W815" s="328">
        <v>2.0499999999999998</v>
      </c>
      <c r="X815" s="328">
        <v>2.0499999999999998</v>
      </c>
      <c r="Y815" s="328">
        <v>2.0499999999999998</v>
      </c>
      <c r="Z815" s="362">
        <v>2.0499999999999998</v>
      </c>
      <c r="AA815" s="362">
        <v>2.0499999999999998</v>
      </c>
      <c r="AB815" s="362">
        <v>2.0499999999999998</v>
      </c>
      <c r="AC815" s="362">
        <v>2.0499999999999998</v>
      </c>
      <c r="AD815" s="362">
        <v>2.0499999999999998</v>
      </c>
      <c r="AE815" s="362">
        <v>2.0499999999999998</v>
      </c>
      <c r="AF815" s="271">
        <f t="shared" si="125"/>
        <v>2.0499999999999998</v>
      </c>
      <c r="AG815" s="362"/>
      <c r="AK815" s="358"/>
    </row>
    <row r="816" spans="2:37" ht="28.9" hidden="1" customHeight="1" outlineLevel="1">
      <c r="C816" s="281"/>
      <c r="D816" s="4203"/>
      <c r="E816" s="4415"/>
      <c r="F816" s="1377" t="s">
        <v>1122</v>
      </c>
      <c r="G816" s="1656">
        <v>1</v>
      </c>
      <c r="H816" s="4570" t="s">
        <v>3126</v>
      </c>
      <c r="I816" s="4570"/>
      <c r="J816" s="4408" t="s">
        <v>3123</v>
      </c>
      <c r="K816" s="4408"/>
      <c r="L816" s="4408"/>
      <c r="S816" s="370"/>
      <c r="V816" s="4440"/>
      <c r="W816" s="328">
        <v>1.4</v>
      </c>
      <c r="X816" s="361">
        <v>1</v>
      </c>
      <c r="Y816" s="361">
        <v>1</v>
      </c>
      <c r="Z816" s="362">
        <v>1</v>
      </c>
      <c r="AA816" s="362">
        <v>1</v>
      </c>
      <c r="AB816" s="362">
        <v>1</v>
      </c>
      <c r="AC816" s="362">
        <v>1</v>
      </c>
      <c r="AD816" s="362">
        <v>1</v>
      </c>
      <c r="AE816" s="362">
        <v>1</v>
      </c>
      <c r="AF816" s="271">
        <f t="shared" si="125"/>
        <v>1</v>
      </c>
      <c r="AG816" s="362"/>
      <c r="AK816" s="358"/>
    </row>
    <row r="817" spans="2:37" ht="15" hidden="1" customHeight="1" outlineLevel="1">
      <c r="C817" s="281"/>
      <c r="D817" s="1377">
        <v>8.33</v>
      </c>
      <c r="E817" s="1408" t="s">
        <v>1355</v>
      </c>
      <c r="F817" s="1377"/>
      <c r="G817" s="1808">
        <v>8.33</v>
      </c>
      <c r="H817" s="4461" t="s">
        <v>1356</v>
      </c>
      <c r="I817" s="4461"/>
      <c r="J817" s="4408" t="s">
        <v>3125</v>
      </c>
      <c r="K817" s="4408"/>
      <c r="L817" s="4408"/>
      <c r="S817" s="370"/>
      <c r="V817" s="1427">
        <f>D817</f>
        <v>8.33</v>
      </c>
      <c r="W817" s="328">
        <v>8.33</v>
      </c>
      <c r="X817" s="328">
        <v>8.33</v>
      </c>
      <c r="Y817" s="328">
        <v>8.33</v>
      </c>
      <c r="Z817" s="362">
        <v>8.33</v>
      </c>
      <c r="AA817" s="362">
        <v>8.33</v>
      </c>
      <c r="AB817" s="362">
        <v>8.33</v>
      </c>
      <c r="AC817" s="362">
        <v>8.33</v>
      </c>
      <c r="AD817" s="362">
        <v>8.33</v>
      </c>
      <c r="AE817" s="362">
        <v>8.33</v>
      </c>
      <c r="AF817" s="271">
        <f t="shared" si="125"/>
        <v>8.33</v>
      </c>
      <c r="AG817" s="362"/>
      <c r="AK817" s="358"/>
    </row>
    <row r="818" spans="2:37" ht="15" hidden="1" customHeight="1" outlineLevel="1">
      <c r="C818" s="281"/>
      <c r="D818" s="1377">
        <v>1</v>
      </c>
      <c r="E818" s="1408" t="s">
        <v>1357</v>
      </c>
      <c r="F818" s="1377"/>
      <c r="G818" s="1808">
        <v>1</v>
      </c>
      <c r="H818" s="4199" t="s">
        <v>1358</v>
      </c>
      <c r="I818" s="4199"/>
      <c r="J818" s="4408" t="s">
        <v>3125</v>
      </c>
      <c r="K818" s="4408"/>
      <c r="L818" s="4408"/>
      <c r="S818" s="370"/>
      <c r="V818" s="1427">
        <f t="shared" ref="V818:V823" si="126">D818</f>
        <v>1</v>
      </c>
      <c r="W818" s="328">
        <v>1</v>
      </c>
      <c r="X818" s="328">
        <v>1</v>
      </c>
      <c r="Y818" s="328">
        <v>1</v>
      </c>
      <c r="Z818" s="362">
        <v>1</v>
      </c>
      <c r="AA818" s="362">
        <v>1</v>
      </c>
      <c r="AB818" s="362">
        <v>1</v>
      </c>
      <c r="AC818" s="362">
        <v>1</v>
      </c>
      <c r="AD818" s="362">
        <v>1</v>
      </c>
      <c r="AE818" s="362">
        <v>1</v>
      </c>
      <c r="AF818" s="271">
        <f t="shared" si="125"/>
        <v>1</v>
      </c>
      <c r="AG818" s="362"/>
      <c r="AK818" s="358"/>
    </row>
    <row r="819" spans="2:37" ht="31.15" hidden="1" customHeight="1" outlineLevel="1">
      <c r="C819" s="281"/>
      <c r="D819" s="1377" t="s">
        <v>1359</v>
      </c>
      <c r="E819" s="1408" t="s">
        <v>1360</v>
      </c>
      <c r="F819" s="1377"/>
      <c r="G819" s="1808">
        <v>105</v>
      </c>
      <c r="H819" s="4198" t="s">
        <v>1361</v>
      </c>
      <c r="I819" s="4198"/>
      <c r="J819" s="4408" t="s">
        <v>3125</v>
      </c>
      <c r="K819" s="4408"/>
      <c r="L819" s="4408"/>
      <c r="S819" s="370"/>
      <c r="V819" s="1427" t="str">
        <f t="shared" si="126"/>
        <v>ShowerTemp</v>
      </c>
      <c r="W819" s="328">
        <v>105</v>
      </c>
      <c r="X819" s="328">
        <v>105</v>
      </c>
      <c r="Y819" s="328">
        <v>105</v>
      </c>
      <c r="Z819" s="362">
        <v>105</v>
      </c>
      <c r="AA819" s="362">
        <v>105</v>
      </c>
      <c r="AB819" s="362">
        <v>105</v>
      </c>
      <c r="AC819" s="362">
        <v>105</v>
      </c>
      <c r="AD819" s="362">
        <v>105</v>
      </c>
      <c r="AE819" s="362">
        <v>105</v>
      </c>
      <c r="AF819" s="271">
        <f t="shared" si="125"/>
        <v>105</v>
      </c>
      <c r="AG819" s="362"/>
      <c r="AK819" s="358"/>
    </row>
    <row r="820" spans="2:37" ht="47.65" hidden="1" customHeight="1" outlineLevel="1">
      <c r="B820" s="579"/>
      <c r="C820" s="281"/>
      <c r="D820" s="1377" t="s">
        <v>1362</v>
      </c>
      <c r="E820" s="1408" t="s">
        <v>1363</v>
      </c>
      <c r="F820" s="1377"/>
      <c r="G820" s="1735">
        <v>58.4</v>
      </c>
      <c r="H820" s="4070" t="s">
        <v>996</v>
      </c>
      <c r="I820" s="4070"/>
      <c r="J820" s="4408" t="s">
        <v>3125</v>
      </c>
      <c r="K820" s="4408"/>
      <c r="L820" s="4408"/>
      <c r="S820" s="370"/>
      <c r="V820" s="1427" t="str">
        <f t="shared" si="126"/>
        <v>SupplyTemp</v>
      </c>
      <c r="W820" s="328">
        <v>61.3</v>
      </c>
      <c r="X820" s="328">
        <v>61.3</v>
      </c>
      <c r="Y820" s="328">
        <v>61.3</v>
      </c>
      <c r="Z820" s="362">
        <v>61.3</v>
      </c>
      <c r="AA820" s="362">
        <v>61.3</v>
      </c>
      <c r="AB820" s="362">
        <v>61.3</v>
      </c>
      <c r="AC820" s="362">
        <v>61.3</v>
      </c>
      <c r="AD820" s="362">
        <v>61.3</v>
      </c>
      <c r="AE820" s="362">
        <v>61.3</v>
      </c>
      <c r="AF820" s="271">
        <f t="shared" si="125"/>
        <v>58.4</v>
      </c>
      <c r="AG820" s="362"/>
      <c r="AK820" s="358"/>
    </row>
    <row r="821" spans="2:37" ht="31.9" hidden="1" customHeight="1" outlineLevel="1">
      <c r="B821" s="579"/>
      <c r="C821" s="281"/>
      <c r="D821" s="1377" t="s">
        <v>1365</v>
      </c>
      <c r="E821" s="1408" t="s">
        <v>1366</v>
      </c>
      <c r="F821" s="1377"/>
      <c r="G821" s="1808">
        <v>0.98</v>
      </c>
      <c r="H821" s="4395" t="s">
        <v>3094</v>
      </c>
      <c r="I821" s="4395"/>
      <c r="J821" s="4408" t="s">
        <v>3125</v>
      </c>
      <c r="K821" s="4408"/>
      <c r="L821" s="4408"/>
      <c r="S821" s="370"/>
      <c r="V821" s="1427" t="str">
        <f t="shared" si="126"/>
        <v>RE_electric</v>
      </c>
      <c r="W821" s="328">
        <v>0.98</v>
      </c>
      <c r="X821" s="328">
        <v>0.98</v>
      </c>
      <c r="Y821" s="328">
        <v>0.98</v>
      </c>
      <c r="Z821" s="362">
        <v>0.98</v>
      </c>
      <c r="AA821" s="362">
        <v>0.98</v>
      </c>
      <c r="AB821" s="362">
        <v>0.98</v>
      </c>
      <c r="AC821" s="362">
        <v>0.98</v>
      </c>
      <c r="AD821" s="362">
        <v>0.98</v>
      </c>
      <c r="AE821" s="362">
        <v>0.98</v>
      </c>
      <c r="AF821" s="271">
        <f t="shared" si="125"/>
        <v>0.98</v>
      </c>
      <c r="AG821" s="362"/>
      <c r="AK821" s="358"/>
    </row>
    <row r="822" spans="2:37" ht="15" hidden="1" customHeight="1" outlineLevel="1">
      <c r="B822" s="579"/>
      <c r="C822" s="281"/>
      <c r="D822" s="1377">
        <v>3412</v>
      </c>
      <c r="E822" s="1408">
        <v>3412</v>
      </c>
      <c r="F822" s="1377"/>
      <c r="G822" s="1676">
        <v>3412</v>
      </c>
      <c r="H822" s="4461" t="s">
        <v>1000</v>
      </c>
      <c r="I822" s="4461"/>
      <c r="J822" s="4408" t="s">
        <v>3125</v>
      </c>
      <c r="K822" s="4408"/>
      <c r="L822" s="4408"/>
      <c r="S822" s="372"/>
      <c r="V822" s="1427">
        <f t="shared" si="126"/>
        <v>3412</v>
      </c>
      <c r="W822" s="371">
        <v>3413</v>
      </c>
      <c r="X822" s="371">
        <v>3413</v>
      </c>
      <c r="Y822" s="371">
        <v>3413</v>
      </c>
      <c r="Z822" s="373">
        <v>3413</v>
      </c>
      <c r="AA822" s="373">
        <v>3413</v>
      </c>
      <c r="AB822" s="373">
        <v>3413</v>
      </c>
      <c r="AC822" s="373">
        <v>3413</v>
      </c>
      <c r="AD822" s="940">
        <v>3412</v>
      </c>
      <c r="AE822" s="373">
        <v>3412</v>
      </c>
      <c r="AF822" s="271">
        <f t="shared" si="125"/>
        <v>3412</v>
      </c>
      <c r="AG822" s="373"/>
      <c r="AK822" s="358"/>
    </row>
    <row r="823" spans="2:37" ht="15" hidden="1" customHeight="1" outlineLevel="1">
      <c r="B823" s="579"/>
      <c r="C823" s="1404"/>
      <c r="D823" s="1377" t="s">
        <v>1368</v>
      </c>
      <c r="E823" s="1377" t="s">
        <v>1369</v>
      </c>
      <c r="F823" s="1377"/>
      <c r="G823" s="1809">
        <v>1</v>
      </c>
      <c r="H823" s="4461" t="s">
        <v>1370</v>
      </c>
      <c r="I823" s="4461"/>
      <c r="J823" s="4580" t="s">
        <v>2953</v>
      </c>
      <c r="K823" s="4581"/>
      <c r="L823" s="4581"/>
      <c r="S823" s="366"/>
      <c r="V823" s="1427" t="str">
        <f t="shared" si="126"/>
        <v>Utility Adjustment</v>
      </c>
      <c r="W823" s="327">
        <v>1</v>
      </c>
      <c r="X823" s="327">
        <v>1</v>
      </c>
      <c r="Y823" s="327">
        <v>1</v>
      </c>
      <c r="Z823" s="367">
        <v>1</v>
      </c>
      <c r="AA823" s="367">
        <v>1</v>
      </c>
      <c r="AB823" s="367">
        <v>1</v>
      </c>
      <c r="AC823" s="367">
        <v>1</v>
      </c>
      <c r="AD823" s="367">
        <v>1</v>
      </c>
      <c r="AE823" s="367">
        <v>1</v>
      </c>
      <c r="AF823" s="271">
        <f t="shared" si="125"/>
        <v>1</v>
      </c>
      <c r="AG823" s="367"/>
      <c r="AK823" s="358"/>
    </row>
    <row r="824" spans="2:37" ht="15" hidden="1" customHeight="1" outlineLevel="1">
      <c r="B824" s="579"/>
      <c r="C824" s="1404"/>
      <c r="D824" s="4575" t="s">
        <v>128</v>
      </c>
      <c r="E824" s="4414" t="s">
        <v>1371</v>
      </c>
      <c r="F824" s="1444" t="s">
        <v>1195</v>
      </c>
      <c r="G824" s="2355">
        <v>0.91346153846153844</v>
      </c>
      <c r="H824" s="4582" t="s">
        <v>1606</v>
      </c>
      <c r="I824" s="4582"/>
      <c r="J824" s="4408" t="s">
        <v>3125</v>
      </c>
      <c r="K824" s="4408"/>
      <c r="L824" s="4408"/>
      <c r="S824" s="374"/>
      <c r="V824" s="4574" t="str">
        <f>D824</f>
        <v>ISR</v>
      </c>
      <c r="W824" s="2562">
        <v>0.91346153846153844</v>
      </c>
      <c r="X824" s="2562">
        <v>0.91346153846153844</v>
      </c>
      <c r="Y824" s="2562">
        <v>0.91346153846153844</v>
      </c>
      <c r="Z824" s="2564">
        <v>0.91346153846153844</v>
      </c>
      <c r="AA824" s="2564">
        <v>0.91346153846153844</v>
      </c>
      <c r="AB824" s="2564">
        <v>0.91346153846153844</v>
      </c>
      <c r="AC824" s="2575">
        <v>0.91346153846153844</v>
      </c>
      <c r="AD824" s="2575">
        <v>0.91346153846153844</v>
      </c>
      <c r="AE824" s="2575">
        <v>0.91346153846153844</v>
      </c>
      <c r="AF824" s="2236">
        <f t="shared" si="125"/>
        <v>0.91346153846153844</v>
      </c>
      <c r="AG824" s="362"/>
      <c r="AK824" s="358"/>
    </row>
    <row r="825" spans="2:37" ht="44.65" hidden="1" customHeight="1" outlineLevel="1">
      <c r="B825" s="579"/>
      <c r="C825" s="1404"/>
      <c r="D825" s="4576"/>
      <c r="E825" s="4477"/>
      <c r="F825" s="1377" t="s">
        <v>3127</v>
      </c>
      <c r="G825" s="482">
        <v>0.94</v>
      </c>
      <c r="H825" s="4413" t="s">
        <v>3128</v>
      </c>
      <c r="I825" s="4394"/>
      <c r="J825" s="4072"/>
      <c r="K825" s="4072"/>
      <c r="L825" s="4072"/>
      <c r="S825" s="374"/>
      <c r="V825" s="4440"/>
      <c r="W825" s="376">
        <v>0.97699999999999998</v>
      </c>
      <c r="X825" s="377">
        <v>0.9375</v>
      </c>
      <c r="Y825" s="377">
        <v>0.96430000000000005</v>
      </c>
      <c r="Z825" s="375">
        <v>0.96430000000000005</v>
      </c>
      <c r="AA825" s="375">
        <v>0.96430000000000005</v>
      </c>
      <c r="AB825" s="375">
        <v>0.96430000000000005</v>
      </c>
      <c r="AC825" s="782">
        <v>0.94</v>
      </c>
      <c r="AD825" s="782">
        <v>0.94</v>
      </c>
      <c r="AE825" s="782">
        <v>0.94</v>
      </c>
      <c r="AF825" s="271">
        <f t="shared" si="125"/>
        <v>0.94</v>
      </c>
      <c r="AG825" s="375"/>
      <c r="AK825" s="358"/>
    </row>
    <row r="826" spans="2:37" ht="27.4" hidden="1" customHeight="1" outlineLevel="1">
      <c r="B826" s="579"/>
      <c r="C826" s="1404"/>
      <c r="D826" s="4577"/>
      <c r="E826" s="4415"/>
      <c r="F826" s="1377" t="s">
        <v>3129</v>
      </c>
      <c r="G826" s="482">
        <v>0.96399999999999997</v>
      </c>
      <c r="H826" s="4578" t="s">
        <v>3130</v>
      </c>
      <c r="I826" s="4579"/>
      <c r="J826" s="4408" t="s">
        <v>3125</v>
      </c>
      <c r="K826" s="4408"/>
      <c r="L826" s="4408"/>
      <c r="S826" s="374"/>
      <c r="V826" s="1426"/>
      <c r="W826" s="376"/>
      <c r="X826" s="377"/>
      <c r="Y826" s="377"/>
      <c r="Z826" s="375"/>
      <c r="AA826" s="375"/>
      <c r="AB826" s="375"/>
      <c r="AC826" s="782">
        <v>0.96399999999999997</v>
      </c>
      <c r="AD826" s="782">
        <v>0.96399999999999997</v>
      </c>
      <c r="AE826" s="782">
        <v>0.96399999999999997</v>
      </c>
      <c r="AF826" s="271">
        <f t="shared" si="125"/>
        <v>0.96399999999999997</v>
      </c>
      <c r="AG826" s="375"/>
      <c r="AK826" s="358"/>
    </row>
    <row r="827" spans="2:37" ht="44.65" hidden="1" customHeight="1" outlineLevel="1">
      <c r="B827" s="579"/>
      <c r="C827" s="1404"/>
      <c r="D827" s="1409" t="str">
        <f>D745</f>
        <v>EUL</v>
      </c>
      <c r="E827" s="1409" t="str">
        <f>E745</f>
        <v>Effective Useful Life</v>
      </c>
      <c r="F827" s="1377" t="s">
        <v>1102</v>
      </c>
      <c r="G827" s="1810">
        <v>10</v>
      </c>
      <c r="H827" s="4473" t="s">
        <v>1374</v>
      </c>
      <c r="I827" s="4473"/>
      <c r="J827" s="4460"/>
      <c r="K827" s="4460"/>
      <c r="L827" s="4460"/>
      <c r="S827" s="366"/>
      <c r="V827" s="1427" t="str">
        <f>D827</f>
        <v>EUL</v>
      </c>
      <c r="W827" s="378">
        <v>10</v>
      </c>
      <c r="X827" s="378">
        <v>10</v>
      </c>
      <c r="Y827" s="378">
        <v>10</v>
      </c>
      <c r="Z827" s="615">
        <v>10</v>
      </c>
      <c r="AA827" s="615">
        <v>10</v>
      </c>
      <c r="AB827" s="615">
        <v>10</v>
      </c>
      <c r="AC827" s="615">
        <v>10</v>
      </c>
      <c r="AD827" s="615">
        <v>10</v>
      </c>
      <c r="AE827" s="615">
        <v>10</v>
      </c>
      <c r="AF827" s="271">
        <f t="shared" si="125"/>
        <v>10</v>
      </c>
      <c r="AG827" s="379"/>
      <c r="AK827" s="358"/>
    </row>
    <row r="828" spans="2:37" hidden="1" outlineLevel="1">
      <c r="B828" s="579"/>
      <c r="C828" s="1404"/>
      <c r="D828" s="4587" t="s">
        <v>50</v>
      </c>
      <c r="E828" s="4587" t="s">
        <v>1135</v>
      </c>
      <c r="F828" s="2371" t="s">
        <v>3131</v>
      </c>
      <c r="G828" s="2357">
        <v>7</v>
      </c>
      <c r="H828" s="4582" t="s">
        <v>1611</v>
      </c>
      <c r="I828" s="4582"/>
      <c r="J828" s="4072"/>
      <c r="K828" s="4072"/>
      <c r="L828" s="4072"/>
      <c r="S828" s="374"/>
      <c r="V828" s="4509" t="str">
        <f>D828</f>
        <v>Inc. Cost</v>
      </c>
      <c r="W828" s="2576">
        <v>7</v>
      </c>
      <c r="X828" s="2576">
        <v>7</v>
      </c>
      <c r="Y828" s="2576">
        <v>7</v>
      </c>
      <c r="Z828" s="2577">
        <v>7</v>
      </c>
      <c r="AA828" s="2577">
        <v>7</v>
      </c>
      <c r="AB828" s="2577">
        <v>7</v>
      </c>
      <c r="AC828" s="2577">
        <v>7</v>
      </c>
      <c r="AD828" s="2577">
        <v>7</v>
      </c>
      <c r="AE828" s="2577">
        <v>7</v>
      </c>
      <c r="AF828" s="2236">
        <f t="shared" si="125"/>
        <v>7</v>
      </c>
      <c r="AG828" s="381"/>
      <c r="AK828" s="358"/>
    </row>
    <row r="829" spans="2:37" hidden="1" outlineLevel="1">
      <c r="B829" s="579"/>
      <c r="C829" s="1404"/>
      <c r="D829" s="4199"/>
      <c r="E829" s="4199"/>
      <c r="F829" s="1375" t="s">
        <v>3132</v>
      </c>
      <c r="G829" s="1720">
        <v>15.33</v>
      </c>
      <c r="H829" s="4395" t="s">
        <v>3133</v>
      </c>
      <c r="I829" s="4395"/>
      <c r="J829" s="4072"/>
      <c r="K829" s="4072"/>
      <c r="L829" s="4072"/>
      <c r="S829" s="374"/>
      <c r="V829" s="4509"/>
      <c r="W829" s="380">
        <v>7</v>
      </c>
      <c r="X829" s="380">
        <v>7</v>
      </c>
      <c r="Y829" s="382">
        <v>12.98</v>
      </c>
      <c r="Z829" s="381">
        <v>12.98</v>
      </c>
      <c r="AA829" s="381">
        <v>12.98</v>
      </c>
      <c r="AB829" s="381">
        <v>12.98</v>
      </c>
      <c r="AC829" s="381">
        <v>12.98</v>
      </c>
      <c r="AD829" s="382">
        <v>15.33</v>
      </c>
      <c r="AE829" s="381">
        <v>15.33</v>
      </c>
      <c r="AF829" s="271">
        <f t="shared" si="125"/>
        <v>15.33</v>
      </c>
      <c r="AG829" s="381"/>
      <c r="AK829" s="358"/>
    </row>
    <row r="830" spans="2:37" ht="14.65" hidden="1" customHeight="1" outlineLevel="1">
      <c r="B830" s="579"/>
      <c r="C830" s="1404"/>
      <c r="D830" s="4199"/>
      <c r="E830" s="4199"/>
      <c r="F830" s="1375" t="s">
        <v>3134</v>
      </c>
      <c r="G830" s="1720">
        <v>23.35</v>
      </c>
      <c r="H830" s="4395" t="s">
        <v>3135</v>
      </c>
      <c r="I830" s="4395"/>
      <c r="J830" s="4072"/>
      <c r="K830" s="4072"/>
      <c r="L830" s="4072"/>
      <c r="S830" s="374"/>
      <c r="V830" s="4509"/>
      <c r="W830" s="380"/>
      <c r="X830" s="380"/>
      <c r="Y830" s="382">
        <v>18.45</v>
      </c>
      <c r="Z830" s="381">
        <v>18.45</v>
      </c>
      <c r="AA830" s="381">
        <v>18.45</v>
      </c>
      <c r="AB830" s="381">
        <v>18.45</v>
      </c>
      <c r="AC830" s="381">
        <v>18.45</v>
      </c>
      <c r="AD830" s="382">
        <v>23.35</v>
      </c>
      <c r="AE830" s="381">
        <v>23.35</v>
      </c>
      <c r="AF830" s="271">
        <f t="shared" si="125"/>
        <v>23.35</v>
      </c>
      <c r="AG830" s="381"/>
      <c r="AK830" s="358"/>
    </row>
    <row r="831" spans="2:37" ht="23.25" hidden="1" customHeight="1" outlineLevel="1">
      <c r="B831" s="579"/>
      <c r="C831" s="1404"/>
      <c r="D831" s="4199"/>
      <c r="E831" s="4199"/>
      <c r="F831" s="1375" t="s">
        <v>3136</v>
      </c>
      <c r="G831" s="1720">
        <v>23.35</v>
      </c>
      <c r="H831" s="4395" t="s">
        <v>3135</v>
      </c>
      <c r="I831" s="4395"/>
      <c r="J831" s="4072"/>
      <c r="K831" s="4072"/>
      <c r="L831" s="4072"/>
      <c r="S831" s="374"/>
      <c r="V831" s="4509"/>
      <c r="W831" s="380"/>
      <c r="X831" s="380"/>
      <c r="Y831" s="382">
        <v>12.47</v>
      </c>
      <c r="Z831" s="381">
        <v>12.47</v>
      </c>
      <c r="AA831" s="381">
        <v>12.47</v>
      </c>
      <c r="AB831" s="381">
        <v>12.47</v>
      </c>
      <c r="AC831" s="381">
        <v>12.47</v>
      </c>
      <c r="AD831" s="382">
        <v>23.35</v>
      </c>
      <c r="AE831" s="381">
        <v>23.35</v>
      </c>
      <c r="AF831" s="271">
        <f t="shared" si="125"/>
        <v>23.35</v>
      </c>
      <c r="AG831" s="381"/>
      <c r="AK831" s="358"/>
    </row>
    <row r="832" spans="2:37" ht="15" hidden="1" customHeight="1" outlineLevel="1">
      <c r="B832" s="579"/>
      <c r="C832" s="281"/>
      <c r="AK832" s="358"/>
    </row>
    <row r="833" spans="2:114" ht="15" customHeight="1" collapsed="1">
      <c r="B833" s="579"/>
      <c r="C833" s="281"/>
      <c r="AK833" s="358"/>
    </row>
    <row r="834" spans="2:114" ht="15" customHeight="1">
      <c r="B834" s="4183" t="s">
        <v>1612</v>
      </c>
      <c r="C834" s="4184"/>
      <c r="D834" s="4184"/>
      <c r="E834" s="4184"/>
      <c r="F834" s="4184"/>
      <c r="G834" s="4184"/>
      <c r="H834" s="4184"/>
      <c r="I834" s="4840"/>
      <c r="J834" s="4840"/>
      <c r="K834" s="4840"/>
      <c r="L834" s="4840"/>
      <c r="M834" s="4840"/>
      <c r="N834" s="4840"/>
      <c r="O834" s="4840"/>
      <c r="P834" s="4840"/>
      <c r="Q834" s="4840"/>
      <c r="R834" s="4841"/>
      <c r="V834" s="4066" t="str">
        <f>B834</f>
        <v>Pipe Insulation</v>
      </c>
      <c r="W834" s="4067"/>
      <c r="X834" s="4067"/>
      <c r="Y834" s="4067"/>
      <c r="Z834" s="4067"/>
      <c r="AA834" s="4067"/>
      <c r="AB834" s="4067"/>
      <c r="AC834" s="4837"/>
      <c r="AD834" s="4837"/>
      <c r="AE834" s="4837"/>
      <c r="AF834" s="4837"/>
      <c r="AG834" s="4837"/>
      <c r="AH834" s="4837"/>
      <c r="AI834" s="4838"/>
      <c r="AK834" s="358"/>
    </row>
    <row r="835" spans="2:114" ht="15" customHeight="1">
      <c r="B835" s="579"/>
      <c r="C835" s="281"/>
      <c r="D835" s="583"/>
      <c r="E835" s="583"/>
      <c r="F835" s="282"/>
      <c r="G835" s="282"/>
      <c r="H835" s="282"/>
      <c r="I835" s="282"/>
      <c r="J835" s="282"/>
      <c r="K835" s="282"/>
      <c r="L835" s="584"/>
      <c r="AK835" s="358"/>
    </row>
    <row r="836" spans="2:114" ht="30">
      <c r="B836" s="579"/>
      <c r="C836" s="1371" t="s">
        <v>42</v>
      </c>
      <c r="D836" s="1371" t="s">
        <v>953</v>
      </c>
      <c r="E836" s="1371" t="s">
        <v>44</v>
      </c>
      <c r="F836" s="1371" t="s">
        <v>1315</v>
      </c>
      <c r="G836" s="1371" t="s">
        <v>46</v>
      </c>
      <c r="H836" s="1371" t="s">
        <v>47</v>
      </c>
      <c r="I836" s="1371" t="s">
        <v>48</v>
      </c>
      <c r="J836" s="1371" t="s">
        <v>49</v>
      </c>
      <c r="K836" s="1371" t="s">
        <v>50</v>
      </c>
      <c r="L836" s="1371" t="s">
        <v>51</v>
      </c>
      <c r="V836" s="668" t="s">
        <v>52</v>
      </c>
      <c r="W836" s="669">
        <f>W$6</f>
        <v>43252</v>
      </c>
      <c r="X836" s="669">
        <f t="shared" ref="X836:AG836" si="127">X$6</f>
        <v>43465</v>
      </c>
      <c r="Y836" s="115">
        <f t="shared" si="127"/>
        <v>43800</v>
      </c>
      <c r="Z836" s="669">
        <f t="shared" si="127"/>
        <v>43862</v>
      </c>
      <c r="AA836" s="669">
        <f t="shared" si="127"/>
        <v>44013</v>
      </c>
      <c r="AB836" s="669">
        <f t="shared" si="127"/>
        <v>44166</v>
      </c>
      <c r="AC836" s="669">
        <f t="shared" si="127"/>
        <v>44531</v>
      </c>
      <c r="AD836" s="669">
        <f t="shared" si="127"/>
        <v>44774</v>
      </c>
      <c r="AE836" s="669">
        <f t="shared" si="127"/>
        <v>45139</v>
      </c>
      <c r="AF836" s="669">
        <f t="shared" si="127"/>
        <v>45672</v>
      </c>
      <c r="AG836" s="669" t="str">
        <f t="shared" si="127"/>
        <v>-</v>
      </c>
      <c r="AK836" s="358"/>
      <c r="DG836" s="1060" t="str">
        <f>$DG$6</f>
        <v>TRC (2025)</v>
      </c>
      <c r="DH836" s="811" t="str">
        <f>$DH$6</f>
        <v>Benefit Lookup</v>
      </c>
      <c r="DI836" s="1076" t="str">
        <f>$DI$6</f>
        <v>Benefits (2025 $)</v>
      </c>
      <c r="DJ836" s="1103" t="str">
        <f>$DJ$6</f>
        <v>Incremental Cost (2025 $)</v>
      </c>
    </row>
    <row r="837" spans="2:114" ht="15" customHeight="1">
      <c r="B837" s="1454">
        <f t="shared" ref="B837:B839" si="128">VALUE(LEFT(C837,6))</f>
        <v>403650</v>
      </c>
      <c r="C837" s="2408" t="s">
        <v>3137</v>
      </c>
      <c r="D837" s="2402" t="s">
        <v>959</v>
      </c>
      <c r="E837" s="2432" t="s">
        <v>3138</v>
      </c>
      <c r="F837" s="2569">
        <f>ROUND(((((F845/F846)-(F847/F848))*F849*F850*F851)/(F852*F853))*F854*F855*F856,2)</f>
        <v>4.6399999999999997</v>
      </c>
      <c r="G837" s="2408" t="s">
        <v>1319</v>
      </c>
      <c r="H837" s="2548">
        <f>VLOOKUP(G837,'CP FACTORS'!$A$3:$B$38, 2, FALSE)</f>
        <v>8.8731800000000003E-5</v>
      </c>
      <c r="I837" s="2519">
        <f>ROUND(F837*H837,6)</f>
        <v>4.1199999999999999E-4</v>
      </c>
      <c r="J837" s="2498">
        <f>$F$859</f>
        <v>12</v>
      </c>
      <c r="K837" s="2482">
        <f>F860</f>
        <v>7.1</v>
      </c>
      <c r="L837" s="2408" t="s">
        <v>1614</v>
      </c>
      <c r="R837" s="532"/>
      <c r="V837" s="2413" t="str">
        <f>F836</f>
        <v>kWh
Annual Savings</v>
      </c>
      <c r="W837" s="2414">
        <v>16.471996316343358</v>
      </c>
      <c r="X837" s="2415">
        <v>4.4836485277384011</v>
      </c>
      <c r="Y837" s="2529">
        <v>4.6399999999999997</v>
      </c>
      <c r="Z837" s="2528">
        <v>4.6399999999999997</v>
      </c>
      <c r="AA837" s="2528">
        <v>4.6399999999999997</v>
      </c>
      <c r="AB837" s="2528">
        <v>4.6399999999999997</v>
      </c>
      <c r="AC837" s="2569">
        <v>4.6399999999999997</v>
      </c>
      <c r="AD837" s="2569">
        <v>4.6399999999999997</v>
      </c>
      <c r="AE837" s="2569">
        <v>4.6399999999999997</v>
      </c>
      <c r="AF837" s="2236">
        <f>IF(F837&lt;&gt;"",F837,"")</f>
        <v>4.6399999999999997</v>
      </c>
      <c r="AG837" s="356"/>
      <c r="AK837" s="358"/>
      <c r="DG837" s="2418">
        <f>(DI837)/(DJ837)</f>
        <v>0.36692158346784881</v>
      </c>
      <c r="DH837" s="2419" t="str">
        <f>CONCATENATE(G837," ",J837," Year EUL")</f>
        <v>Water heating RES 12 Year EUL</v>
      </c>
      <c r="DI837" s="2420">
        <f>(INDEX('Avoided Cost Benefits'!$B$4:$B$865,MATCH(DH837,'Avoided Cost Benefits'!$A$4:$A$865,0)))*F837</f>
        <v>2.6051432426217263</v>
      </c>
      <c r="DJ837" s="2556">
        <f>K837/(1.0686^(2025-2025))</f>
        <v>7.1</v>
      </c>
    </row>
    <row r="838" spans="2:114" ht="15" customHeight="1">
      <c r="B838" s="1454">
        <f t="shared" si="128"/>
        <v>403700</v>
      </c>
      <c r="C838" s="139" t="s">
        <v>3139</v>
      </c>
      <c r="D838" s="1542" t="s">
        <v>959</v>
      </c>
      <c r="E838" s="128" t="s">
        <v>3140</v>
      </c>
      <c r="F838" s="162">
        <f>ROUND(((((F845/F846)-(F847/F848))*F849*F850*F851)/(F852*F853))*F854*F855*F856,2)</f>
        <v>4.6399999999999997</v>
      </c>
      <c r="G838" s="139" t="s">
        <v>1319</v>
      </c>
      <c r="H838" s="138">
        <f>VLOOKUP(G838,'CP FACTORS'!$A$3:$B$38, 2, FALSE)</f>
        <v>8.8731800000000003E-5</v>
      </c>
      <c r="I838" s="554">
        <f>ROUND(F838*H838,6)</f>
        <v>4.1199999999999999E-4</v>
      </c>
      <c r="J838" s="336">
        <f>$F$859</f>
        <v>12</v>
      </c>
      <c r="K838" s="742">
        <f>$F$861</f>
        <v>5.66</v>
      </c>
      <c r="L838" s="139" t="s">
        <v>1614</v>
      </c>
      <c r="R838" s="532"/>
      <c r="V838" s="356" t="str">
        <f>V837</f>
        <v>kWh
Annual Savings</v>
      </c>
      <c r="W838" s="383">
        <v>16.471996316343358</v>
      </c>
      <c r="X838" s="269">
        <v>4.4836485277384011</v>
      </c>
      <c r="Y838" s="117">
        <v>4.6399999999999997</v>
      </c>
      <c r="Z838" s="18">
        <v>4.6399999999999997</v>
      </c>
      <c r="AA838" s="18">
        <v>4.6399999999999997</v>
      </c>
      <c r="AB838" s="18">
        <v>4.6399999999999997</v>
      </c>
      <c r="AC838" s="162">
        <v>4.6399999999999997</v>
      </c>
      <c r="AD838" s="162">
        <v>4.6399999999999997</v>
      </c>
      <c r="AE838" s="162">
        <v>4.6399999999999997</v>
      </c>
      <c r="AF838" s="271">
        <f>IF(F838&lt;&gt;"",F838,"")</f>
        <v>4.6399999999999997</v>
      </c>
      <c r="AG838" s="356"/>
      <c r="AK838" s="358"/>
      <c r="DG838" s="1063">
        <f>(DI838)/(DJ838)</f>
        <v>0.46027265770701875</v>
      </c>
      <c r="DH838" s="673" t="str">
        <f>CONCATENATE(G838," ",J838," Year EUL")</f>
        <v>Water heating RES 12 Year EUL</v>
      </c>
      <c r="DI838" s="556">
        <f>(INDEX('Avoided Cost Benefits'!$B$4:$B$865,MATCH(DH838,'Avoided Cost Benefits'!$A$4:$A$865,0)))*F838</f>
        <v>2.6051432426217263</v>
      </c>
      <c r="DJ838" s="1176">
        <f>K838/(1.0686^(2025-2025))</f>
        <v>5.66</v>
      </c>
    </row>
    <row r="839" spans="2:114" ht="15" customHeight="1">
      <c r="B839" s="1454">
        <f t="shared" si="128"/>
        <v>403750</v>
      </c>
      <c r="C839" s="139" t="s">
        <v>3141</v>
      </c>
      <c r="D839" s="1542" t="s">
        <v>1043</v>
      </c>
      <c r="E839" s="128" t="s">
        <v>3142</v>
      </c>
      <c r="F839" s="162">
        <f>ROUND(((((F845/F846)-(F847/F848))*F849*F850*F851)/(F852*F853))*F854*F855*F856,2)</f>
        <v>4.6399999999999997</v>
      </c>
      <c r="G839" s="139" t="s">
        <v>1319</v>
      </c>
      <c r="H839" s="138">
        <f>VLOOKUP(G839,'CP FACTORS'!$A$3:$B$38, 2, FALSE)</f>
        <v>8.8731800000000003E-5</v>
      </c>
      <c r="I839" s="554">
        <f>ROUND(F839*H839,6)</f>
        <v>4.1199999999999999E-4</v>
      </c>
      <c r="J839" s="336">
        <f>$F$859</f>
        <v>12</v>
      </c>
      <c r="K839" s="742">
        <f>$F$861</f>
        <v>5.66</v>
      </c>
      <c r="L839" s="139" t="s">
        <v>1614</v>
      </c>
      <c r="R839" s="532"/>
      <c r="V839" s="356" t="str">
        <f>V838</f>
        <v>kWh
Annual Savings</v>
      </c>
      <c r="W839" s="383">
        <v>16.471996316343358</v>
      </c>
      <c r="X839" s="269">
        <v>4.4836485277384011</v>
      </c>
      <c r="Y839" s="117">
        <v>4.6399999999999997</v>
      </c>
      <c r="Z839" s="18">
        <v>4.6399999999999997</v>
      </c>
      <c r="AA839" s="18">
        <v>4.6399999999999997</v>
      </c>
      <c r="AB839" s="18">
        <v>4.6399999999999997</v>
      </c>
      <c r="AC839" s="162">
        <v>4.6399999999999997</v>
      </c>
      <c r="AD839" s="162">
        <v>4.6399999999999997</v>
      </c>
      <c r="AE839" s="162">
        <v>4.6399999999999997</v>
      </c>
      <c r="AF839" s="271">
        <f>IF(F839&lt;&gt;"",F839,"")</f>
        <v>4.6399999999999997</v>
      </c>
      <c r="AG839" s="356"/>
      <c r="AK839" s="358"/>
      <c r="DG839" s="1064">
        <f>(DI839)/(DJ839)</f>
        <v>0.46027265770701875</v>
      </c>
      <c r="DH839" s="673" t="str">
        <f>CONCATENATE(G839," ",J839," Year EUL")</f>
        <v>Water heating RES 12 Year EUL</v>
      </c>
      <c r="DI839" s="1072">
        <f>(INDEX('Avoided Cost Benefits'!$B$4:$B$865,MATCH(DH839,'Avoided Cost Benefits'!$A$4:$A$865,0)))*F839</f>
        <v>2.6051432426217263</v>
      </c>
      <c r="DJ839" s="1175">
        <f>K839/(1.0686^(2025-2025))</f>
        <v>5.66</v>
      </c>
    </row>
    <row r="840" spans="2:114" ht="15" hidden="1" customHeight="1" outlineLevel="1">
      <c r="B840" s="579"/>
      <c r="C840" s="285"/>
      <c r="D840" s="74" t="s">
        <v>118</v>
      </c>
      <c r="E840" s="1458" t="s">
        <v>1618</v>
      </c>
      <c r="F840" s="322"/>
      <c r="G840" s="322"/>
      <c r="H840" s="322"/>
      <c r="I840" s="322"/>
      <c r="J840" s="322"/>
      <c r="V840" s="76"/>
      <c r="W840" s="76"/>
      <c r="X840" s="76"/>
      <c r="Y840" s="384"/>
      <c r="Z840" s="76"/>
      <c r="AA840" s="76"/>
      <c r="AB840" s="76"/>
      <c r="AC840" s="76"/>
      <c r="AD840" s="76"/>
      <c r="AE840" s="76"/>
      <c r="AF840" s="76"/>
      <c r="AG840" s="76"/>
      <c r="AK840" s="358"/>
    </row>
    <row r="841" spans="2:114" ht="15" hidden="1" customHeight="1" outlineLevel="1">
      <c r="B841" s="579"/>
      <c r="C841" s="285"/>
      <c r="D841" s="74" t="s">
        <v>963</v>
      </c>
      <c r="E841" s="52" t="s">
        <v>1619</v>
      </c>
      <c r="F841" s="616"/>
      <c r="G841" s="616"/>
      <c r="H841" s="322"/>
      <c r="I841" s="322"/>
      <c r="J841" s="322"/>
      <c r="V841" s="76"/>
      <c r="W841" s="76"/>
      <c r="X841" s="76"/>
      <c r="Y841" s="384"/>
      <c r="Z841" s="76"/>
      <c r="AA841" s="76"/>
      <c r="AB841" s="76"/>
      <c r="AC841" s="76"/>
      <c r="AD841" s="76"/>
      <c r="AE841" s="76"/>
      <c r="AF841" s="76"/>
      <c r="AG841" s="76"/>
      <c r="AK841" s="358"/>
    </row>
    <row r="842" spans="2:114" hidden="1" outlineLevel="1">
      <c r="B842" s="579"/>
      <c r="C842" s="286"/>
      <c r="D842" s="617"/>
      <c r="E842" s="52" t="s">
        <v>966</v>
      </c>
      <c r="F842" s="618"/>
      <c r="G842" s="618"/>
      <c r="H842" s="618"/>
      <c r="I842" s="618"/>
      <c r="J842" s="618"/>
      <c r="V842" s="76"/>
      <c r="W842" s="76"/>
      <c r="X842" s="76"/>
      <c r="Y842" s="384"/>
      <c r="Z842" s="76"/>
      <c r="AA842" s="76"/>
      <c r="AB842" s="76"/>
      <c r="AC842" s="76"/>
      <c r="AD842" s="76"/>
      <c r="AE842" s="76"/>
      <c r="AF842" s="76"/>
      <c r="AG842" s="76"/>
      <c r="AK842" s="358"/>
    </row>
    <row r="843" spans="2:114" hidden="1" outlineLevel="1">
      <c r="B843" s="579"/>
      <c r="C843" s="286"/>
      <c r="D843" s="619"/>
      <c r="E843" s="52" t="s">
        <v>1620</v>
      </c>
      <c r="F843" s="621"/>
      <c r="G843" s="622"/>
      <c r="H843" s="622"/>
      <c r="I843" s="622"/>
      <c r="J843" s="622"/>
      <c r="V843" s="76"/>
      <c r="W843" s="76"/>
      <c r="X843" s="76"/>
      <c r="Y843" s="384"/>
      <c r="Z843" s="76"/>
      <c r="AA843" s="76"/>
      <c r="AB843" s="76"/>
      <c r="AC843" s="76"/>
      <c r="AD843" s="76"/>
      <c r="AE843" s="76"/>
      <c r="AF843" s="76"/>
      <c r="AG843" s="76"/>
      <c r="AK843" s="358"/>
    </row>
    <row r="844" spans="2:114" hidden="1" outlineLevel="1">
      <c r="B844" s="579"/>
      <c r="C844" s="281"/>
      <c r="D844" s="1443" t="s">
        <v>1078</v>
      </c>
      <c r="E844" s="1443" t="s">
        <v>967</v>
      </c>
      <c r="F844" s="1382" t="s">
        <v>969</v>
      </c>
      <c r="G844" s="4438" t="s">
        <v>970</v>
      </c>
      <c r="H844" s="4498"/>
      <c r="I844" s="4438" t="s">
        <v>755</v>
      </c>
      <c r="J844" s="4497"/>
      <c r="K844" s="4498"/>
      <c r="V844" s="668" t="s">
        <v>52</v>
      </c>
      <c r="W844" s="669">
        <f>W$6</f>
        <v>43252</v>
      </c>
      <c r="X844" s="669">
        <f t="shared" ref="X844:AG844" si="129">X$6</f>
        <v>43465</v>
      </c>
      <c r="Y844" s="115">
        <f t="shared" si="129"/>
        <v>43800</v>
      </c>
      <c r="Z844" s="669">
        <f t="shared" si="129"/>
        <v>43862</v>
      </c>
      <c r="AA844" s="669">
        <f t="shared" si="129"/>
        <v>44013</v>
      </c>
      <c r="AB844" s="669">
        <f t="shared" si="129"/>
        <v>44166</v>
      </c>
      <c r="AC844" s="669">
        <f t="shared" si="129"/>
        <v>44531</v>
      </c>
      <c r="AD844" s="669">
        <f t="shared" si="129"/>
        <v>44774</v>
      </c>
      <c r="AE844" s="669">
        <f t="shared" si="129"/>
        <v>45139</v>
      </c>
      <c r="AF844" s="669">
        <f t="shared" si="129"/>
        <v>45672</v>
      </c>
      <c r="AG844" s="669" t="str">
        <f t="shared" si="129"/>
        <v>-</v>
      </c>
      <c r="AK844" s="358"/>
    </row>
    <row r="845" spans="2:114" ht="18" hidden="1" outlineLevel="1">
      <c r="B845" s="579"/>
      <c r="C845" s="286"/>
      <c r="D845" s="1384" t="s">
        <v>3143</v>
      </c>
      <c r="E845" s="1379" t="s">
        <v>3144</v>
      </c>
      <c r="F845" s="1667">
        <f>(PI()*F857)/12</f>
        <v>0.14398966328953219</v>
      </c>
      <c r="G845" s="4412" t="s">
        <v>1108</v>
      </c>
      <c r="H845" s="4583"/>
      <c r="I845" s="4584"/>
      <c r="J845" s="4585"/>
      <c r="K845" s="4586"/>
      <c r="P845" s="387"/>
      <c r="V845" s="385" t="str">
        <f>D845</f>
        <v>CBase</v>
      </c>
      <c r="W845" s="388">
        <f>(PI()*W857)/12</f>
        <v>0.19634954084936207</v>
      </c>
      <c r="X845" s="386">
        <f>(PI()*X857)/12</f>
        <v>0.14398966328953219</v>
      </c>
      <c r="Y845" s="179">
        <v>0.14398966328953219</v>
      </c>
      <c r="Z845" s="179">
        <v>0.14398966328953219</v>
      </c>
      <c r="AA845" s="179">
        <v>0.14398966328953219</v>
      </c>
      <c r="AB845" s="388">
        <v>0.14398966328953219</v>
      </c>
      <c r="AC845" s="388">
        <v>0.14398966328953219</v>
      </c>
      <c r="AD845" s="388">
        <v>0.14398966328953219</v>
      </c>
      <c r="AE845" s="388">
        <v>0.14398966328953219</v>
      </c>
      <c r="AF845" s="271">
        <f t="shared" ref="AF845:AF861" si="130">IF(F845&lt;&gt;"",F845,"")</f>
        <v>0.14398966328953219</v>
      </c>
      <c r="AG845" s="388"/>
      <c r="AK845" s="358"/>
    </row>
    <row r="846" spans="2:114" ht="51.4" hidden="1" customHeight="1" outlineLevel="1">
      <c r="B846" s="579"/>
      <c r="C846" s="286"/>
      <c r="D846" s="1384" t="s">
        <v>3145</v>
      </c>
      <c r="E846" s="1399" t="s">
        <v>3146</v>
      </c>
      <c r="F846" s="1653">
        <v>1</v>
      </c>
      <c r="G846" s="4593" t="s">
        <v>1627</v>
      </c>
      <c r="H846" s="4593"/>
      <c r="I846" s="4590" t="s">
        <v>2938</v>
      </c>
      <c r="J846" s="4591"/>
      <c r="K846" s="4592"/>
      <c r="P846" s="387"/>
      <c r="V846" s="385" t="str">
        <f>D846</f>
        <v>RBase</v>
      </c>
      <c r="W846" s="390">
        <v>1</v>
      </c>
      <c r="X846" s="389">
        <v>1</v>
      </c>
      <c r="Y846" s="389">
        <v>1</v>
      </c>
      <c r="Z846" s="389">
        <v>1</v>
      </c>
      <c r="AA846" s="389">
        <v>1</v>
      </c>
      <c r="AB846" s="390">
        <v>1</v>
      </c>
      <c r="AC846" s="390">
        <v>1</v>
      </c>
      <c r="AD846" s="390">
        <v>1</v>
      </c>
      <c r="AE846" s="390">
        <v>1</v>
      </c>
      <c r="AF846" s="271">
        <f t="shared" si="130"/>
        <v>1</v>
      </c>
      <c r="AG846" s="390"/>
      <c r="AK846" s="358"/>
    </row>
    <row r="847" spans="2:114" ht="18" hidden="1" outlineLevel="1">
      <c r="B847" s="579"/>
      <c r="C847" s="286"/>
      <c r="D847" s="1384" t="s">
        <v>3147</v>
      </c>
      <c r="E847" s="1399" t="s">
        <v>1629</v>
      </c>
      <c r="F847" s="1667">
        <f>(PI()*(F857+(2*F858))/12)</f>
        <v>0.40578905108868163</v>
      </c>
      <c r="G847" s="4588" t="s">
        <v>1108</v>
      </c>
      <c r="H847" s="4589"/>
      <c r="I847" s="4584"/>
      <c r="J847" s="4585"/>
      <c r="K847" s="4586"/>
      <c r="P847" s="387"/>
      <c r="V847" s="385" t="str">
        <f>D847</f>
        <v>CEE</v>
      </c>
      <c r="W847" s="391">
        <f>(PI()*(W857+(2*W858))/12)</f>
        <v>0.45814892864851148</v>
      </c>
      <c r="X847" s="155">
        <f>(PI()*(X857+(2*X858))/12)</f>
        <v>0.40578905108868163</v>
      </c>
      <c r="Y847" s="155">
        <v>0.40578905108868163</v>
      </c>
      <c r="Z847" s="155">
        <v>0.40578905108868163</v>
      </c>
      <c r="AA847" s="155">
        <v>0.40578905108868163</v>
      </c>
      <c r="AB847" s="391">
        <v>0.40578905108868163</v>
      </c>
      <c r="AC847" s="391">
        <v>0.40578905108868163</v>
      </c>
      <c r="AD847" s="391">
        <v>0.40578905108868163</v>
      </c>
      <c r="AE847" s="391">
        <v>0.40578905108868163</v>
      </c>
      <c r="AF847" s="271">
        <f t="shared" si="130"/>
        <v>0.40578905108868163</v>
      </c>
      <c r="AG847" s="391"/>
      <c r="AK847" s="358"/>
    </row>
    <row r="848" spans="2:114" ht="18" hidden="1" outlineLevel="1">
      <c r="B848" s="579"/>
      <c r="C848" s="286"/>
      <c r="D848" s="1384" t="s">
        <v>3148</v>
      </c>
      <c r="E848" s="1399" t="s">
        <v>1633</v>
      </c>
      <c r="F848" s="1651">
        <v>3.6</v>
      </c>
      <c r="G848" s="4851" t="s">
        <v>3149</v>
      </c>
      <c r="H848" s="4852"/>
      <c r="I848" s="4590" t="s">
        <v>2938</v>
      </c>
      <c r="J848" s="4591"/>
      <c r="K848" s="4592"/>
      <c r="P848" s="387"/>
      <c r="V848" s="385" t="str">
        <f>D848</f>
        <v>REE</v>
      </c>
      <c r="W848" s="44">
        <f>4+1</f>
        <v>5</v>
      </c>
      <c r="X848" s="44">
        <v>3.6</v>
      </c>
      <c r="Y848" s="392">
        <v>3.6</v>
      </c>
      <c r="Z848" s="19">
        <v>3.6</v>
      </c>
      <c r="AA848" s="19">
        <v>3.6</v>
      </c>
      <c r="AB848" s="44">
        <v>3.6</v>
      </c>
      <c r="AC848" s="44">
        <v>3.6</v>
      </c>
      <c r="AD848" s="44">
        <v>3.6</v>
      </c>
      <c r="AE848" s="44">
        <v>3.6</v>
      </c>
      <c r="AF848" s="271">
        <f t="shared" si="130"/>
        <v>3.6</v>
      </c>
      <c r="AG848" s="44"/>
      <c r="AK848" s="358"/>
    </row>
    <row r="849" spans="2:37" hidden="1" outlineLevel="1">
      <c r="B849" s="579"/>
      <c r="C849" s="286"/>
      <c r="D849" s="143" t="s">
        <v>1636</v>
      </c>
      <c r="E849" s="1399" t="s">
        <v>3150</v>
      </c>
      <c r="F849" s="1652">
        <v>1</v>
      </c>
      <c r="G849" s="4588" t="s">
        <v>1638</v>
      </c>
      <c r="H849" s="4589"/>
      <c r="I849" s="4590" t="s">
        <v>2938</v>
      </c>
      <c r="J849" s="4591"/>
      <c r="K849" s="4592"/>
      <c r="P849" s="387"/>
      <c r="V849" s="385" t="str">
        <f>D849</f>
        <v>L</v>
      </c>
      <c r="W849" s="390">
        <v>1</v>
      </c>
      <c r="X849" s="389">
        <v>1</v>
      </c>
      <c r="Y849" s="389">
        <v>1</v>
      </c>
      <c r="Z849" s="389">
        <v>1</v>
      </c>
      <c r="AA849" s="389">
        <v>1</v>
      </c>
      <c r="AB849" s="390">
        <v>1</v>
      </c>
      <c r="AC849" s="390">
        <v>1</v>
      </c>
      <c r="AD849" s="390">
        <v>1</v>
      </c>
      <c r="AE849" s="390">
        <v>1</v>
      </c>
      <c r="AF849" s="271">
        <f t="shared" si="130"/>
        <v>1</v>
      </c>
      <c r="AG849" s="390"/>
      <c r="AK849" s="358"/>
    </row>
    <row r="850" spans="2:37" hidden="1" outlineLevel="1">
      <c r="B850" s="579"/>
      <c r="C850" s="286"/>
      <c r="D850" s="1384" t="s">
        <v>1639</v>
      </c>
      <c r="E850" s="1422" t="s">
        <v>1640</v>
      </c>
      <c r="F850" s="1654">
        <v>58.9</v>
      </c>
      <c r="G850" s="4851" t="s">
        <v>3149</v>
      </c>
      <c r="H850" s="4852"/>
      <c r="I850" s="4590" t="s">
        <v>2938</v>
      </c>
      <c r="J850" s="4591"/>
      <c r="K850" s="4592"/>
      <c r="P850" s="387"/>
      <c r="V850" s="385" t="str">
        <f t="shared" ref="V850:V860" si="131">D850</f>
        <v>DT</v>
      </c>
      <c r="W850" s="180">
        <v>60</v>
      </c>
      <c r="X850" s="393">
        <v>58.9</v>
      </c>
      <c r="Y850" s="180">
        <v>58.9</v>
      </c>
      <c r="Z850" s="180">
        <v>58.9</v>
      </c>
      <c r="AA850" s="180">
        <v>58.9</v>
      </c>
      <c r="AB850" s="180">
        <v>58.9</v>
      </c>
      <c r="AC850" s="180">
        <v>58.9</v>
      </c>
      <c r="AD850" s="180">
        <v>58.9</v>
      </c>
      <c r="AE850" s="180">
        <v>58.9</v>
      </c>
      <c r="AF850" s="271">
        <f t="shared" si="130"/>
        <v>58.9</v>
      </c>
      <c r="AG850" s="180"/>
      <c r="AK850" s="358"/>
    </row>
    <row r="851" spans="2:37" hidden="1" outlineLevel="1">
      <c r="B851" s="579"/>
      <c r="C851" s="286"/>
      <c r="D851" s="1384" t="s">
        <v>173</v>
      </c>
      <c r="E851" s="1422" t="s">
        <v>1644</v>
      </c>
      <c r="F851" s="1658">
        <v>8766</v>
      </c>
      <c r="G851" s="4156" t="s">
        <v>1645</v>
      </c>
      <c r="H851" s="4157"/>
      <c r="I851" s="4590" t="s">
        <v>2938</v>
      </c>
      <c r="J851" s="4591"/>
      <c r="K851" s="4592"/>
      <c r="P851" s="387"/>
      <c r="V851" s="385" t="str">
        <f t="shared" si="131"/>
        <v>Hours</v>
      </c>
      <c r="W851" s="1414">
        <v>8766</v>
      </c>
      <c r="X851" s="1414">
        <v>8766</v>
      </c>
      <c r="Y851" s="1414">
        <v>8766</v>
      </c>
      <c r="Z851" s="1414">
        <v>8766</v>
      </c>
      <c r="AA851" s="1414">
        <v>8766</v>
      </c>
      <c r="AB851" s="1414">
        <v>8766</v>
      </c>
      <c r="AC851" s="1414">
        <v>8766</v>
      </c>
      <c r="AD851" s="1414">
        <v>8766</v>
      </c>
      <c r="AE851" s="1414">
        <v>8766</v>
      </c>
      <c r="AF851" s="271">
        <f t="shared" si="130"/>
        <v>8766</v>
      </c>
      <c r="AG851" s="1414"/>
      <c r="AK851" s="358"/>
    </row>
    <row r="852" spans="2:37" ht="29.65" hidden="1" customHeight="1" outlineLevel="1">
      <c r="B852" s="579"/>
      <c r="C852" s="286"/>
      <c r="D852" s="1384" t="s">
        <v>3151</v>
      </c>
      <c r="E852" s="1422" t="s">
        <v>1647</v>
      </c>
      <c r="F852" s="1655">
        <v>0.98</v>
      </c>
      <c r="G852" s="4413" t="s">
        <v>3152</v>
      </c>
      <c r="H852" s="4394"/>
      <c r="I852" s="4590" t="s">
        <v>2938</v>
      </c>
      <c r="J852" s="4591"/>
      <c r="K852" s="4592"/>
      <c r="P852" s="387"/>
      <c r="V852" s="385" t="str">
        <f t="shared" si="131"/>
        <v>ȠDHWElec</v>
      </c>
      <c r="W852" s="390">
        <v>0.98</v>
      </c>
      <c r="X852" s="389">
        <v>0.98</v>
      </c>
      <c r="Y852" s="389">
        <v>0.98</v>
      </c>
      <c r="Z852" s="389">
        <v>0.98</v>
      </c>
      <c r="AA852" s="389">
        <v>0.98</v>
      </c>
      <c r="AB852" s="390">
        <v>0.98</v>
      </c>
      <c r="AC852" s="390">
        <v>0.98</v>
      </c>
      <c r="AD852" s="390">
        <v>0.98</v>
      </c>
      <c r="AE852" s="390">
        <v>0.98</v>
      </c>
      <c r="AF852" s="271">
        <f t="shared" si="130"/>
        <v>0.98</v>
      </c>
      <c r="AG852" s="390"/>
      <c r="AK852" s="358"/>
    </row>
    <row r="853" spans="2:37" hidden="1" outlineLevel="1">
      <c r="B853" s="579"/>
      <c r="C853" s="286"/>
      <c r="D853" s="1384">
        <v>3412</v>
      </c>
      <c r="E853" s="1408" t="s">
        <v>1649</v>
      </c>
      <c r="F853" s="1658">
        <v>3412</v>
      </c>
      <c r="G853" s="4156" t="s">
        <v>1645</v>
      </c>
      <c r="H853" s="4157"/>
      <c r="I853" s="4590" t="s">
        <v>2938</v>
      </c>
      <c r="J853" s="4591"/>
      <c r="K853" s="4592"/>
      <c r="P853" s="387"/>
      <c r="V853" s="385">
        <f t="shared" si="131"/>
        <v>3412</v>
      </c>
      <c r="W853" s="158">
        <v>3412</v>
      </c>
      <c r="X853" s="158">
        <v>3412</v>
      </c>
      <c r="Y853" s="158">
        <v>3412</v>
      </c>
      <c r="Z853" s="158">
        <v>3412</v>
      </c>
      <c r="AA853" s="158">
        <v>3412</v>
      </c>
      <c r="AB853" s="158">
        <v>3412</v>
      </c>
      <c r="AC853" s="158">
        <v>3412</v>
      </c>
      <c r="AD853" s="158">
        <v>3412</v>
      </c>
      <c r="AE853" s="158">
        <v>3412</v>
      </c>
      <c r="AF853" s="271">
        <f t="shared" si="130"/>
        <v>3412</v>
      </c>
      <c r="AG853" s="158"/>
      <c r="AK853" s="358"/>
    </row>
    <row r="854" spans="2:37" ht="30" hidden="1" outlineLevel="1">
      <c r="B854" s="579"/>
      <c r="C854" s="286"/>
      <c r="D854" s="1377" t="s">
        <v>1650</v>
      </c>
      <c r="E854" s="1377" t="s">
        <v>1326</v>
      </c>
      <c r="F854" s="1661">
        <v>1</v>
      </c>
      <c r="G854" s="4462" t="s">
        <v>1370</v>
      </c>
      <c r="H854" s="4541"/>
      <c r="I854" s="4597" t="s">
        <v>2953</v>
      </c>
      <c r="J854" s="4598"/>
      <c r="K854" s="4599"/>
      <c r="P854" s="387"/>
      <c r="V854" s="385" t="str">
        <f t="shared" si="131"/>
        <v>*Electric Saturation</v>
      </c>
      <c r="W854" s="394">
        <v>1</v>
      </c>
      <c r="X854" s="367">
        <v>1</v>
      </c>
      <c r="Y854" s="367">
        <v>1</v>
      </c>
      <c r="Z854" s="367">
        <v>1</v>
      </c>
      <c r="AA854" s="367">
        <v>1</v>
      </c>
      <c r="AB854" s="394">
        <v>1</v>
      </c>
      <c r="AC854" s="394">
        <v>1</v>
      </c>
      <c r="AD854" s="394">
        <v>1</v>
      </c>
      <c r="AE854" s="394">
        <v>1</v>
      </c>
      <c r="AF854" s="271">
        <f t="shared" si="130"/>
        <v>1</v>
      </c>
      <c r="AG854" s="394"/>
      <c r="AK854" s="358"/>
    </row>
    <row r="855" spans="2:37" hidden="1" outlineLevel="1">
      <c r="B855" s="579"/>
      <c r="C855" s="286"/>
      <c r="D855" s="1377" t="s">
        <v>1368</v>
      </c>
      <c r="E855" s="1377" t="s">
        <v>1369</v>
      </c>
      <c r="F855" s="1664">
        <v>1</v>
      </c>
      <c r="G855" s="4462" t="s">
        <v>1370</v>
      </c>
      <c r="H855" s="4541"/>
      <c r="I855" s="4597" t="s">
        <v>2953</v>
      </c>
      <c r="J855" s="4598"/>
      <c r="K855" s="4599"/>
      <c r="P855" s="387"/>
      <c r="V855" s="385" t="str">
        <f t="shared" si="131"/>
        <v>Utility Adjustment</v>
      </c>
      <c r="W855" s="394">
        <v>1</v>
      </c>
      <c r="X855" s="367">
        <v>1</v>
      </c>
      <c r="Y855" s="367">
        <v>1</v>
      </c>
      <c r="Z855" s="367">
        <v>1</v>
      </c>
      <c r="AA855" s="367">
        <v>1</v>
      </c>
      <c r="AB855" s="394">
        <v>1</v>
      </c>
      <c r="AC855" s="394">
        <v>1</v>
      </c>
      <c r="AD855" s="394">
        <v>1</v>
      </c>
      <c r="AE855" s="394">
        <v>1</v>
      </c>
      <c r="AF855" s="271">
        <f t="shared" si="130"/>
        <v>1</v>
      </c>
      <c r="AG855" s="394"/>
      <c r="AK855" s="358"/>
    </row>
    <row r="856" spans="2:37" ht="29.65" hidden="1" customHeight="1" outlineLevel="1">
      <c r="B856" s="579"/>
      <c r="C856" s="286"/>
      <c r="D856" s="352" t="s">
        <v>128</v>
      </c>
      <c r="E856" s="1408" t="s">
        <v>1371</v>
      </c>
      <c r="F856" s="1662">
        <v>0.96</v>
      </c>
      <c r="G856" s="4413" t="s">
        <v>3153</v>
      </c>
      <c r="H856" s="4394"/>
      <c r="I856" s="4594" t="s">
        <v>2938</v>
      </c>
      <c r="J856" s="4595"/>
      <c r="K856" s="4596"/>
      <c r="P856" s="387"/>
      <c r="V856" s="385" t="str">
        <f t="shared" si="131"/>
        <v>ISR</v>
      </c>
      <c r="W856" s="395">
        <v>1</v>
      </c>
      <c r="X856" s="396">
        <v>0.92857142857142905</v>
      </c>
      <c r="Y856" s="365">
        <v>0.96</v>
      </c>
      <c r="Z856" s="396">
        <v>0.96</v>
      </c>
      <c r="AA856" s="396">
        <v>0.96</v>
      </c>
      <c r="AB856" s="395">
        <v>0.96</v>
      </c>
      <c r="AC856" s="395">
        <v>0.96</v>
      </c>
      <c r="AD856" s="395">
        <v>0.96</v>
      </c>
      <c r="AE856" s="395">
        <v>0.96</v>
      </c>
      <c r="AF856" s="271">
        <f t="shared" si="130"/>
        <v>0.96</v>
      </c>
      <c r="AG856" s="395"/>
      <c r="AK856" s="358"/>
    </row>
    <row r="857" spans="2:37" hidden="1" outlineLevel="1">
      <c r="B857" s="579"/>
      <c r="C857" s="281"/>
      <c r="D857" s="352" t="s">
        <v>3154</v>
      </c>
      <c r="E857" s="1430" t="s">
        <v>1657</v>
      </c>
      <c r="F857" s="1665">
        <v>0.55000000000000004</v>
      </c>
      <c r="G857" s="4556" t="s">
        <v>3155</v>
      </c>
      <c r="H857" s="4557"/>
      <c r="I857" s="4594"/>
      <c r="J857" s="4595"/>
      <c r="K857" s="4596"/>
      <c r="P857" s="387"/>
      <c r="V857" s="385" t="str">
        <f t="shared" si="131"/>
        <v>Pipe Diameter</v>
      </c>
      <c r="W857" s="395">
        <v>0.75</v>
      </c>
      <c r="X857" s="365">
        <v>0.55000000000000004</v>
      </c>
      <c r="Y857" s="396">
        <v>0.55000000000000004</v>
      </c>
      <c r="Z857" s="396">
        <v>0.55000000000000004</v>
      </c>
      <c r="AA857" s="396">
        <v>0.55000000000000004</v>
      </c>
      <c r="AB857" s="395">
        <v>0.55000000000000004</v>
      </c>
      <c r="AC857" s="395">
        <v>0.55000000000000004</v>
      </c>
      <c r="AD857" s="395">
        <v>0.55000000000000004</v>
      </c>
      <c r="AE857" s="395">
        <v>0.55000000000000004</v>
      </c>
      <c r="AF857" s="271">
        <f t="shared" si="130"/>
        <v>0.55000000000000004</v>
      </c>
      <c r="AG857" s="395"/>
      <c r="AK857" s="358"/>
    </row>
    <row r="858" spans="2:37" hidden="1" outlineLevel="1">
      <c r="B858" s="579"/>
      <c r="C858" s="281"/>
      <c r="D858" s="1377" t="s">
        <v>1659</v>
      </c>
      <c r="E858" s="1377" t="s">
        <v>1659</v>
      </c>
      <c r="F858" s="1665">
        <v>0.5</v>
      </c>
      <c r="G858" s="4413"/>
      <c r="H858" s="4394"/>
      <c r="I858" s="4594"/>
      <c r="J858" s="4595"/>
      <c r="K858" s="4596"/>
      <c r="P858" s="387"/>
      <c r="V858" s="385" t="str">
        <f t="shared" si="131"/>
        <v>Pipe wrap width</v>
      </c>
      <c r="W858" s="395">
        <v>0.5</v>
      </c>
      <c r="X858" s="182">
        <v>0.5</v>
      </c>
      <c r="Y858" s="182">
        <v>0.5</v>
      </c>
      <c r="Z858" s="182">
        <v>0.5</v>
      </c>
      <c r="AA858" s="182">
        <v>0.5</v>
      </c>
      <c r="AB858" s="395">
        <v>0.5</v>
      </c>
      <c r="AC858" s="395">
        <v>0.5</v>
      </c>
      <c r="AD858" s="395">
        <v>0.5</v>
      </c>
      <c r="AE858" s="395">
        <v>0.5</v>
      </c>
      <c r="AF858" s="271">
        <f t="shared" si="130"/>
        <v>0.5</v>
      </c>
      <c r="AG858" s="395"/>
      <c r="AK858" s="358"/>
    </row>
    <row r="859" spans="2:37" ht="30.75" hidden="1" customHeight="1" outlineLevel="1">
      <c r="B859" s="579"/>
      <c r="C859" s="1404"/>
      <c r="D859" s="1409" t="str">
        <f>D827</f>
        <v>EUL</v>
      </c>
      <c r="E859" s="1409" t="s">
        <v>3156</v>
      </c>
      <c r="F859" s="1658">
        <v>12</v>
      </c>
      <c r="G859" s="4613" t="s">
        <v>1661</v>
      </c>
      <c r="H859" s="4613"/>
      <c r="I859" s="4594"/>
      <c r="J859" s="4595"/>
      <c r="K859" s="4596"/>
      <c r="P859" s="387"/>
      <c r="V859" s="385" t="str">
        <f t="shared" si="131"/>
        <v>EUL</v>
      </c>
      <c r="W859" s="378">
        <v>12</v>
      </c>
      <c r="X859" s="329">
        <v>12</v>
      </c>
      <c r="Y859" s="329">
        <v>12</v>
      </c>
      <c r="Z859" s="255">
        <v>12</v>
      </c>
      <c r="AA859" s="255">
        <v>12</v>
      </c>
      <c r="AB859" s="379">
        <v>12</v>
      </c>
      <c r="AC859" s="379">
        <v>12</v>
      </c>
      <c r="AD859" s="379">
        <v>12</v>
      </c>
      <c r="AE859" s="379">
        <v>12</v>
      </c>
      <c r="AF859" s="271">
        <f t="shared" si="130"/>
        <v>12</v>
      </c>
      <c r="AG859" s="379"/>
      <c r="AK859" s="358"/>
    </row>
    <row r="860" spans="2:37" ht="42.4" hidden="1" customHeight="1" outlineLevel="1">
      <c r="B860" s="579"/>
      <c r="C860" s="1404"/>
      <c r="D860" s="4587" t="str">
        <f>D828</f>
        <v>Inc. Cost</v>
      </c>
      <c r="E860" s="1444" t="s">
        <v>3157</v>
      </c>
      <c r="F860" s="2324">
        <v>7.1</v>
      </c>
      <c r="G860" s="4568" t="s">
        <v>3158</v>
      </c>
      <c r="H860" s="4569"/>
      <c r="I860" s="4594"/>
      <c r="J860" s="4595"/>
      <c r="K860" s="4596"/>
      <c r="P860" s="387"/>
      <c r="V860" s="4600" t="str">
        <f t="shared" si="131"/>
        <v>Inc. Cost</v>
      </c>
      <c r="W860" s="2576">
        <v>7.1</v>
      </c>
      <c r="X860" s="2578">
        <v>7.1</v>
      </c>
      <c r="Y860" s="2578">
        <v>7.1</v>
      </c>
      <c r="Z860" s="2579">
        <v>7.1</v>
      </c>
      <c r="AA860" s="2579">
        <v>7.1</v>
      </c>
      <c r="AB860" s="2577">
        <v>7.1</v>
      </c>
      <c r="AC860" s="2577">
        <v>7.1</v>
      </c>
      <c r="AD860" s="2577">
        <v>7.1</v>
      </c>
      <c r="AE860" s="2577">
        <v>7.1</v>
      </c>
      <c r="AF860" s="2236">
        <f t="shared" si="130"/>
        <v>7.1</v>
      </c>
      <c r="AG860" s="381"/>
      <c r="AK860" s="358"/>
    </row>
    <row r="861" spans="2:37" ht="28.5" hidden="1" customHeight="1" outlineLevel="1">
      <c r="B861" s="579"/>
      <c r="C861" s="1404"/>
      <c r="D861" s="4199"/>
      <c r="E861" s="1377" t="s">
        <v>3159</v>
      </c>
      <c r="F861" s="1668">
        <v>5.66</v>
      </c>
      <c r="G861" s="4413" t="s">
        <v>3160</v>
      </c>
      <c r="H861" s="4394"/>
      <c r="I861" s="4594"/>
      <c r="J861" s="4595"/>
      <c r="K861" s="4596"/>
      <c r="V861" s="4440"/>
      <c r="W861" s="380">
        <v>7.1</v>
      </c>
      <c r="X861" s="397">
        <v>7.1</v>
      </c>
      <c r="Y861" s="397">
        <v>7.1</v>
      </c>
      <c r="Z861" s="623">
        <v>7.1</v>
      </c>
      <c r="AA861" s="623">
        <v>7.1</v>
      </c>
      <c r="AB861" s="382">
        <v>5.66</v>
      </c>
      <c r="AC861" s="381">
        <v>5.66</v>
      </c>
      <c r="AD861" s="381">
        <v>5.66</v>
      </c>
      <c r="AE861" s="381">
        <v>5.66</v>
      </c>
      <c r="AF861" s="271">
        <f t="shared" si="130"/>
        <v>5.66</v>
      </c>
      <c r="AG861" s="381"/>
      <c r="AK861" s="358"/>
    </row>
    <row r="862" spans="2:37" ht="15" hidden="1" customHeight="1" outlineLevel="1">
      <c r="B862" s="1454"/>
      <c r="C862" s="281"/>
      <c r="D862" s="1406"/>
      <c r="AK862" s="358"/>
    </row>
    <row r="863" spans="2:37" ht="15" customHeight="1" collapsed="1">
      <c r="B863" s="579"/>
      <c r="C863" s="281"/>
      <c r="F863" s="606"/>
      <c r="G863" s="606"/>
      <c r="AK863" s="358"/>
    </row>
    <row r="864" spans="2:37">
      <c r="B864" s="4183" t="s">
        <v>3161</v>
      </c>
      <c r="C864" s="4184"/>
      <c r="D864" s="4184"/>
      <c r="E864" s="4184"/>
      <c r="F864" s="4184"/>
      <c r="G864" s="4184"/>
      <c r="H864" s="4184"/>
      <c r="I864" s="4840"/>
      <c r="J864" s="4840"/>
      <c r="K864" s="4840"/>
      <c r="L864" s="4840"/>
      <c r="M864" s="4840"/>
      <c r="N864" s="4840"/>
      <c r="O864" s="4840"/>
      <c r="P864" s="4840"/>
      <c r="Q864" s="4840"/>
      <c r="R864" s="4841"/>
      <c r="V864" s="4066" t="str">
        <f>B864</f>
        <v>Programmable Thermostat</v>
      </c>
      <c r="W864" s="4067"/>
      <c r="X864" s="4067"/>
      <c r="Y864" s="4067"/>
      <c r="Z864" s="4067"/>
      <c r="AA864" s="4067"/>
      <c r="AB864" s="4067"/>
      <c r="AC864" s="4837"/>
      <c r="AD864" s="4837"/>
      <c r="AE864" s="4837"/>
      <c r="AF864" s="4837"/>
      <c r="AG864" s="4837"/>
      <c r="AH864" s="4837"/>
      <c r="AI864" s="4838"/>
      <c r="AK864" s="358"/>
    </row>
    <row r="865" spans="2:114">
      <c r="B865" s="579"/>
      <c r="C865" s="281"/>
      <c r="D865" s="104" t="s">
        <v>3162</v>
      </c>
      <c r="E865" s="583"/>
      <c r="F865" s="282"/>
      <c r="G865" s="282"/>
      <c r="H865" s="282"/>
      <c r="I865" s="282"/>
      <c r="J865" s="282"/>
      <c r="K865" s="282"/>
      <c r="L865" s="584"/>
      <c r="AK865" s="358"/>
    </row>
    <row r="866" spans="2:114" ht="30">
      <c r="B866" s="579"/>
      <c r="C866" s="1371" t="s">
        <v>42</v>
      </c>
      <c r="D866" s="1371" t="s">
        <v>953</v>
      </c>
      <c r="E866" s="1371" t="s">
        <v>44</v>
      </c>
      <c r="F866" s="1371" t="s">
        <v>45</v>
      </c>
      <c r="G866" s="1371" t="s">
        <v>46</v>
      </c>
      <c r="H866" s="1371" t="s">
        <v>47</v>
      </c>
      <c r="I866" s="1371" t="s">
        <v>48</v>
      </c>
      <c r="J866" s="1383" t="s">
        <v>49</v>
      </c>
      <c r="K866" s="1371" t="s">
        <v>50</v>
      </c>
      <c r="L866" s="1371" t="s">
        <v>51</v>
      </c>
      <c r="V866" s="668" t="s">
        <v>52</v>
      </c>
      <c r="W866" s="669">
        <f>W$6</f>
        <v>43252</v>
      </c>
      <c r="X866" s="669">
        <f t="shared" ref="X866:AG866" si="132">X$6</f>
        <v>43465</v>
      </c>
      <c r="Y866" s="115">
        <f t="shared" si="132"/>
        <v>43800</v>
      </c>
      <c r="Z866" s="669">
        <f t="shared" si="132"/>
        <v>43862</v>
      </c>
      <c r="AA866" s="669">
        <f t="shared" si="132"/>
        <v>44013</v>
      </c>
      <c r="AB866" s="669">
        <f t="shared" si="132"/>
        <v>44166</v>
      </c>
      <c r="AC866" s="669">
        <f t="shared" si="132"/>
        <v>44531</v>
      </c>
      <c r="AD866" s="669">
        <f t="shared" si="132"/>
        <v>44774</v>
      </c>
      <c r="AE866" s="669">
        <f t="shared" si="132"/>
        <v>45139</v>
      </c>
      <c r="AF866" s="669">
        <f t="shared" si="132"/>
        <v>45672</v>
      </c>
      <c r="AG866" s="669" t="str">
        <f t="shared" si="132"/>
        <v>-</v>
      </c>
      <c r="AK866" s="358"/>
      <c r="DG866" s="1060" t="str">
        <f>$DG$6</f>
        <v>TRC (2025)</v>
      </c>
      <c r="DH866" s="811" t="str">
        <f>$DH$6</f>
        <v>Benefit Lookup</v>
      </c>
      <c r="DI866" s="1076" t="str">
        <f>$DI$6</f>
        <v>Benefits (2025 $)</v>
      </c>
      <c r="DJ866" s="1103" t="str">
        <f>$DJ$6</f>
        <v>Incremental Cost (2025 $)</v>
      </c>
    </row>
    <row r="867" spans="2:114">
      <c r="B867" s="1454">
        <f t="shared" ref="B867:B890" si="133">VALUE(LEFT(C867,6))</f>
        <v>403800</v>
      </c>
      <c r="C867" s="1401" t="s">
        <v>3163</v>
      </c>
      <c r="D867" s="569" t="s">
        <v>959</v>
      </c>
      <c r="E867" s="990" t="s">
        <v>3164</v>
      </c>
      <c r="F867" s="1523">
        <f>ROUND($F$901*$F$903*1/$F$911*$F$912*$F$913*$F$914/1000,2)*0</f>
        <v>0</v>
      </c>
      <c r="G867" s="1401" t="s">
        <v>1045</v>
      </c>
      <c r="H867" s="69">
        <f>VLOOKUP(G867,'CP FACTORS'!$A$3:$B$38, 2, FALSE)</f>
        <v>9.4741810000000004E-4</v>
      </c>
      <c r="I867" s="979">
        <f>ROUND(F867*H867,6)</f>
        <v>0</v>
      </c>
      <c r="J867" s="134">
        <f t="shared" ref="J867:J890" si="134">$F$944</f>
        <v>10</v>
      </c>
      <c r="K867" s="135">
        <f>$F$947</f>
        <v>70</v>
      </c>
      <c r="L867" s="1401" t="s">
        <v>62</v>
      </c>
      <c r="R867" s="532"/>
      <c r="V867" s="356" t="str">
        <f>F866</f>
        <v>kWh Annual Savings</v>
      </c>
      <c r="W867" s="341">
        <v>102.44464690909089</v>
      </c>
      <c r="X867" s="130">
        <v>439.92233999999996</v>
      </c>
      <c r="Y867" s="205">
        <v>201.39</v>
      </c>
      <c r="Z867" s="186">
        <v>201.39</v>
      </c>
      <c r="AA867" s="186">
        <v>201.39</v>
      </c>
      <c r="AB867" s="186">
        <v>201.39</v>
      </c>
      <c r="AC867" s="186">
        <v>201.39</v>
      </c>
      <c r="AD867" s="186">
        <v>201.39</v>
      </c>
      <c r="AE867" s="186">
        <v>201.39</v>
      </c>
      <c r="AF867" s="271">
        <f t="shared" ref="AF867:AF890" si="135">IF(F867&lt;&gt;"",F867,"")</f>
        <v>0</v>
      </c>
      <c r="AG867" s="71"/>
      <c r="AH867" s="121"/>
      <c r="AK867" s="358"/>
      <c r="DG867" s="1062">
        <f>(DI867+DI868)/(DJ867+DJ868)</f>
        <v>0</v>
      </c>
      <c r="DH867" s="132" t="str">
        <f>CONCATENATE(G867," ",J867," Year EUL")</f>
        <v>Cooling RES 10 Year EUL</v>
      </c>
      <c r="DI867" s="1010">
        <f>(INDEX('Avoided Cost Benefits'!$B$4:$B$865,MATCH(DH867,'Avoided Cost Benefits'!$A$4:$A$865,0)))*F867</f>
        <v>0</v>
      </c>
      <c r="DJ867" s="1174">
        <f t="shared" ref="DJ867:DJ890" si="136">K867/(1.0686^(2025-2025))</f>
        <v>70</v>
      </c>
    </row>
    <row r="868" spans="2:114">
      <c r="B868" s="1454">
        <f t="shared" si="133"/>
        <v>403800</v>
      </c>
      <c r="C868" s="1401" t="s">
        <v>3163</v>
      </c>
      <c r="D868" s="569" t="s">
        <v>959</v>
      </c>
      <c r="E868" s="991" t="s">
        <v>3164</v>
      </c>
      <c r="F868" s="1523">
        <f>ROUND($F$915*$F$923*$F$925*(1/$F$933)*$F$941*$F$942*$F$943/1000,2)*0</f>
        <v>0</v>
      </c>
      <c r="G868" s="1401" t="s">
        <v>1046</v>
      </c>
      <c r="H868" s="69">
        <f>VLOOKUP(G868,'CP FACTORS'!$A$3:$B$38, 2, FALSE)</f>
        <v>0</v>
      </c>
      <c r="I868" s="979">
        <f t="shared" ref="I868:I890" si="137">ROUND(F868*H868,6)</f>
        <v>0</v>
      </c>
      <c r="J868" s="134">
        <f t="shared" si="134"/>
        <v>10</v>
      </c>
      <c r="K868" s="135">
        <v>0</v>
      </c>
      <c r="L868" s="1401" t="s">
        <v>62</v>
      </c>
      <c r="R868" s="532"/>
      <c r="V868" s="356" t="str">
        <f>V867</f>
        <v>kWh Annual Savings</v>
      </c>
      <c r="W868" s="341">
        <v>338.97776639999995</v>
      </c>
      <c r="X868" s="130">
        <v>48.891023999999994</v>
      </c>
      <c r="Y868" s="205">
        <v>30.37</v>
      </c>
      <c r="Z868" s="186">
        <v>30.37</v>
      </c>
      <c r="AA868" s="186">
        <v>30.37</v>
      </c>
      <c r="AB868" s="186">
        <v>30.37</v>
      </c>
      <c r="AC868" s="186">
        <v>30.37</v>
      </c>
      <c r="AD868" s="186">
        <v>30.37</v>
      </c>
      <c r="AE868" s="186">
        <v>30.37</v>
      </c>
      <c r="AF868" s="271">
        <f t="shared" si="135"/>
        <v>0</v>
      </c>
      <c r="AG868" s="71"/>
      <c r="AH868" s="121"/>
      <c r="AK868" s="358"/>
      <c r="DG868" s="1080"/>
      <c r="DH868" s="933" t="str">
        <f t="shared" ref="DH868:DH890" si="138">CONCATENATE(G868," ",J868," Year EUL")</f>
        <v>Heating RES 10 Year EUL</v>
      </c>
      <c r="DI868" s="556">
        <f>(INDEX('Avoided Cost Benefits'!$B$4:$B$865,MATCH(DH868,'Avoided Cost Benefits'!$A$4:$A$865,0)))*F868</f>
        <v>0</v>
      </c>
      <c r="DJ868" s="1176">
        <f t="shared" si="136"/>
        <v>0</v>
      </c>
    </row>
    <row r="869" spans="2:114">
      <c r="B869" s="1454">
        <f t="shared" si="133"/>
        <v>403801</v>
      </c>
      <c r="C869" s="2497" t="s">
        <v>3165</v>
      </c>
      <c r="D869" s="2497" t="s">
        <v>2670</v>
      </c>
      <c r="E869" s="2521" t="str">
        <f>CONCATENATE(E867,"_CompE")</f>
        <v>Setback thermostat - full setback - ASHP heating/cooling MF_CompE</v>
      </c>
      <c r="F869" s="2580">
        <f>ROUND($F$902*$F$903*1/$F$911*$F$912*$F$913*$F$914/1000,2)*0</f>
        <v>0</v>
      </c>
      <c r="G869" s="2497" t="s">
        <v>1045</v>
      </c>
      <c r="H869" s="2213">
        <f>VLOOKUP(G869,'CP FACTORS'!$A$3:$B$38, 2, FALSE)</f>
        <v>9.4741810000000004E-4</v>
      </c>
      <c r="I869" s="2581">
        <f>ROUND(F869*H869,6)</f>
        <v>0</v>
      </c>
      <c r="J869" s="2582">
        <f t="shared" si="134"/>
        <v>10</v>
      </c>
      <c r="K869" s="2583">
        <f>$F$947</f>
        <v>70</v>
      </c>
      <c r="L869" s="2497" t="s">
        <v>62</v>
      </c>
      <c r="R869" s="532"/>
      <c r="V869" s="2413" t="str">
        <f t="shared" ref="V869:V890" si="139">V868</f>
        <v>kWh Annual Savings</v>
      </c>
      <c r="W869" s="2550"/>
      <c r="X869" s="2505"/>
      <c r="Y869" s="2479">
        <v>146.46</v>
      </c>
      <c r="Z869" s="2483">
        <v>146.46</v>
      </c>
      <c r="AA869" s="2483">
        <v>146.46</v>
      </c>
      <c r="AB869" s="2483">
        <v>146.46</v>
      </c>
      <c r="AC869" s="2483">
        <v>146.46</v>
      </c>
      <c r="AD869" s="2483">
        <v>146.46</v>
      </c>
      <c r="AE869" s="2483">
        <v>146.46</v>
      </c>
      <c r="AF869" s="2236">
        <f t="shared" si="135"/>
        <v>0</v>
      </c>
      <c r="AG869" s="71"/>
      <c r="AH869" s="121"/>
      <c r="AK869" s="358"/>
      <c r="DG869" s="2422">
        <f>(DI869+DI870)/(DJ869+DJ870)</f>
        <v>0</v>
      </c>
      <c r="DH869" s="2557" t="str">
        <f>CONCATENATE(G869," ",J869," Year EUL")</f>
        <v>Cooling RES 10 Year EUL</v>
      </c>
      <c r="DI869" s="2336">
        <f>(INDEX('Avoided Cost Benefits'!$B$4:$B$865,MATCH(DH869,'Avoided Cost Benefits'!$A$4:$A$865,0)))*F869</f>
        <v>0</v>
      </c>
      <c r="DJ869" s="2507">
        <f t="shared" si="136"/>
        <v>70</v>
      </c>
    </row>
    <row r="870" spans="2:114">
      <c r="B870" s="1454">
        <f t="shared" si="133"/>
        <v>403801</v>
      </c>
      <c r="C870" s="2497" t="s">
        <v>3165</v>
      </c>
      <c r="D870" s="2497" t="s">
        <v>2670</v>
      </c>
      <c r="E870" s="2522" t="str">
        <f>CONCATENATE(E868,"_CompE")</f>
        <v>Setback thermostat - full setback - ASHP heating/cooling MF_CompE</v>
      </c>
      <c r="F870" s="2580">
        <f>ROUND($F$915*$F$924*$F$925*(1/$F$933)*$F$941*$F$942*$F$943/1000,2)*0</f>
        <v>0</v>
      </c>
      <c r="G870" s="2497" t="s">
        <v>1046</v>
      </c>
      <c r="H870" s="2213">
        <f>VLOOKUP(G870,'CP FACTORS'!$A$3:$B$38, 2, FALSE)</f>
        <v>0</v>
      </c>
      <c r="I870" s="2581">
        <f>ROUND(F870*H870,6)</f>
        <v>0</v>
      </c>
      <c r="J870" s="2582">
        <f t="shared" si="134"/>
        <v>10</v>
      </c>
      <c r="K870" s="2583">
        <v>0</v>
      </c>
      <c r="L870" s="2497" t="s">
        <v>62</v>
      </c>
      <c r="R870" s="532"/>
      <c r="V870" s="2413" t="str">
        <f t="shared" si="139"/>
        <v>kWh Annual Savings</v>
      </c>
      <c r="W870" s="2550"/>
      <c r="X870" s="2505"/>
      <c r="Y870" s="2479">
        <v>10.35</v>
      </c>
      <c r="Z870" s="2483">
        <v>10.35</v>
      </c>
      <c r="AA870" s="2483">
        <v>10.35</v>
      </c>
      <c r="AB870" s="2483">
        <v>10.35</v>
      </c>
      <c r="AC870" s="2483">
        <v>10.35</v>
      </c>
      <c r="AD870" s="2483">
        <v>10.35</v>
      </c>
      <c r="AE870" s="2483">
        <v>10.35</v>
      </c>
      <c r="AF870" s="2236">
        <f t="shared" si="135"/>
        <v>0</v>
      </c>
      <c r="AG870" s="71"/>
      <c r="AH870" s="121"/>
      <c r="AK870" s="358"/>
      <c r="DG870" s="2508"/>
      <c r="DH870" s="2558" t="str">
        <f>CONCATENATE(G870," ",J870," Year EUL")</f>
        <v>Heating RES 10 Year EUL</v>
      </c>
      <c r="DI870" s="2336">
        <f>(INDEX('Avoided Cost Benefits'!$B$4:$B$865,MATCH(DH870,'Avoided Cost Benefits'!$A$4:$A$865,0)))*F870</f>
        <v>0</v>
      </c>
      <c r="DJ870" s="2507">
        <f t="shared" si="136"/>
        <v>0</v>
      </c>
    </row>
    <row r="871" spans="2:114">
      <c r="B871" s="1454">
        <f t="shared" si="133"/>
        <v>403850</v>
      </c>
      <c r="C871" s="1542" t="s">
        <v>3166</v>
      </c>
      <c r="D871" s="569" t="s">
        <v>1486</v>
      </c>
      <c r="E871" s="990" t="s">
        <v>3167</v>
      </c>
      <c r="F871" s="1523">
        <f>ROUND(F901*F904*1/F$911*F$912*F$913*F$914/1000,2)*0</f>
        <v>0</v>
      </c>
      <c r="G871" s="1401" t="s">
        <v>1045</v>
      </c>
      <c r="H871" s="69">
        <f>VLOOKUP(G871,'CP FACTORS'!$A$3:$B$38, 2, FALSE)</f>
        <v>9.4741810000000004E-4</v>
      </c>
      <c r="I871" s="979">
        <f t="shared" si="137"/>
        <v>0</v>
      </c>
      <c r="J871" s="134">
        <f t="shared" si="134"/>
        <v>10</v>
      </c>
      <c r="K871" s="135">
        <f>$F$947</f>
        <v>70</v>
      </c>
      <c r="L871" s="1401" t="s">
        <v>62</v>
      </c>
      <c r="R871" s="532"/>
      <c r="V871" s="356" t="str">
        <f t="shared" si="139"/>
        <v>kWh Annual Savings</v>
      </c>
      <c r="W871" s="341">
        <v>157.60714909090908</v>
      </c>
      <c r="X871" s="130">
        <v>750.57839999999999</v>
      </c>
      <c r="Y871" s="205">
        <v>358.2</v>
      </c>
      <c r="Z871" s="186">
        <v>358.2</v>
      </c>
      <c r="AA871" s="186">
        <v>358.2</v>
      </c>
      <c r="AB871" s="186">
        <v>358.2</v>
      </c>
      <c r="AC871" s="186">
        <v>358.2</v>
      </c>
      <c r="AD871" s="186">
        <v>358.2</v>
      </c>
      <c r="AE871" s="186">
        <v>358.2</v>
      </c>
      <c r="AF871" s="271">
        <f t="shared" si="135"/>
        <v>0</v>
      </c>
      <c r="AG871" s="71"/>
      <c r="AH871" s="121"/>
      <c r="AK871" s="358"/>
      <c r="DG871" s="1063">
        <f>(DI871+DI872)/(DJ871+DJ872)</f>
        <v>0</v>
      </c>
      <c r="DH871" s="132" t="str">
        <f t="shared" si="138"/>
        <v>Cooling RES 10 Year EUL</v>
      </c>
      <c r="DI871" s="556">
        <f>(INDEX('Avoided Cost Benefits'!$B$4:$B$865,MATCH(DH871,'Avoided Cost Benefits'!$A$4:$A$865,0)))*F871</f>
        <v>0</v>
      </c>
      <c r="DJ871" s="1176">
        <f t="shared" si="136"/>
        <v>70</v>
      </c>
    </row>
    <row r="872" spans="2:114">
      <c r="B872" s="1454">
        <f t="shared" si="133"/>
        <v>403850</v>
      </c>
      <c r="C872" s="1542" t="s">
        <v>3166</v>
      </c>
      <c r="D872" s="569" t="s">
        <v>1486</v>
      </c>
      <c r="E872" s="991" t="s">
        <v>3167</v>
      </c>
      <c r="F872" s="1523">
        <f>ROUND(F916*F923*F926*(1/F934)*F$941*F$942*F$943/1000,2)*0</f>
        <v>0</v>
      </c>
      <c r="G872" s="1401" t="s">
        <v>1046</v>
      </c>
      <c r="H872" s="69">
        <f>VLOOKUP(G872,'CP FACTORS'!$A$3:$B$38, 2, FALSE)</f>
        <v>0</v>
      </c>
      <c r="I872" s="979">
        <f t="shared" si="137"/>
        <v>0</v>
      </c>
      <c r="J872" s="134">
        <f t="shared" si="134"/>
        <v>10</v>
      </c>
      <c r="K872" s="135">
        <v>0</v>
      </c>
      <c r="L872" s="1401" t="s">
        <v>62</v>
      </c>
      <c r="R872" s="532"/>
      <c r="V872" s="356" t="str">
        <f t="shared" si="139"/>
        <v>kWh Annual Savings</v>
      </c>
      <c r="W872" s="341">
        <v>521.50425599999994</v>
      </c>
      <c r="X872" s="130">
        <v>135.59110655999999</v>
      </c>
      <c r="Y872" s="205">
        <v>87.38</v>
      </c>
      <c r="Z872" s="186">
        <v>87.38</v>
      </c>
      <c r="AA872" s="186">
        <v>87.38</v>
      </c>
      <c r="AB872" s="186">
        <v>87.38</v>
      </c>
      <c r="AC872" s="186">
        <v>87.38</v>
      </c>
      <c r="AD872" s="186">
        <v>87.38</v>
      </c>
      <c r="AE872" s="186">
        <v>87.38</v>
      </c>
      <c r="AF872" s="271">
        <f t="shared" si="135"/>
        <v>0</v>
      </c>
      <c r="AG872" s="71"/>
      <c r="AH872" s="121"/>
      <c r="AK872" s="358"/>
      <c r="DG872" s="1080"/>
      <c r="DH872" s="933" t="str">
        <f t="shared" si="138"/>
        <v>Heating RES 10 Year EUL</v>
      </c>
      <c r="DI872" s="556">
        <f>(INDEX('Avoided Cost Benefits'!$B$4:$B$865,MATCH(DH872,'Avoided Cost Benefits'!$A$4:$A$865,0)))*F872</f>
        <v>0</v>
      </c>
      <c r="DJ872" s="1176">
        <f t="shared" si="136"/>
        <v>0</v>
      </c>
    </row>
    <row r="873" spans="2:114">
      <c r="B873" s="1454">
        <f t="shared" si="133"/>
        <v>403900</v>
      </c>
      <c r="C873" s="1401" t="s">
        <v>3168</v>
      </c>
      <c r="D873" s="569" t="s">
        <v>959</v>
      </c>
      <c r="E873" s="990" t="s">
        <v>3169</v>
      </c>
      <c r="F873" s="1523">
        <f>ROUND($F$901*$F$905*1/$F$911*$F$912*$F$913*$F$914/1000,2)*0</f>
        <v>0</v>
      </c>
      <c r="G873" s="1401" t="s">
        <v>1045</v>
      </c>
      <c r="H873" s="69">
        <f>VLOOKUP(G873,'CP FACTORS'!$A$3:$B$38, 2, FALSE)</f>
        <v>9.4741810000000004E-4</v>
      </c>
      <c r="I873" s="979">
        <f t="shared" si="137"/>
        <v>0</v>
      </c>
      <c r="J873" s="134">
        <f t="shared" si="134"/>
        <v>10</v>
      </c>
      <c r="K873" s="135">
        <f>$F$947</f>
        <v>70</v>
      </c>
      <c r="L873" s="1401" t="s">
        <v>62</v>
      </c>
      <c r="R873" s="532"/>
      <c r="V873" s="356" t="str">
        <f t="shared" si="139"/>
        <v>kWh Annual Savings</v>
      </c>
      <c r="W873" s="341">
        <v>102.44464690909089</v>
      </c>
      <c r="X873" s="130">
        <v>439.92233999999996</v>
      </c>
      <c r="Y873" s="205">
        <v>201.39</v>
      </c>
      <c r="Z873" s="186">
        <v>201.39</v>
      </c>
      <c r="AA873" s="186">
        <v>201.39</v>
      </c>
      <c r="AB873" s="186">
        <v>201.39</v>
      </c>
      <c r="AC873" s="186">
        <v>201.39</v>
      </c>
      <c r="AD873" s="186">
        <v>201.39</v>
      </c>
      <c r="AE873" s="186">
        <v>201.39</v>
      </c>
      <c r="AF873" s="271">
        <f t="shared" si="135"/>
        <v>0</v>
      </c>
      <c r="AG873" s="71"/>
      <c r="AH873" s="121"/>
      <c r="AK873" s="358"/>
      <c r="DG873" s="1063">
        <f>(DI873+DI874)/(DJ873+DJ874)</f>
        <v>0</v>
      </c>
      <c r="DH873" s="132" t="str">
        <f t="shared" si="138"/>
        <v>Cooling RES 10 Year EUL</v>
      </c>
      <c r="DI873" s="556">
        <f>(INDEX('Avoided Cost Benefits'!$B$4:$B$865,MATCH(DH873,'Avoided Cost Benefits'!$A$4:$A$865,0)))*F873</f>
        <v>0</v>
      </c>
      <c r="DJ873" s="1176">
        <f t="shared" si="136"/>
        <v>70</v>
      </c>
    </row>
    <row r="874" spans="2:114">
      <c r="B874" s="1454">
        <f t="shared" si="133"/>
        <v>403900</v>
      </c>
      <c r="C874" s="1401" t="s">
        <v>3168</v>
      </c>
      <c r="D874" s="569" t="s">
        <v>959</v>
      </c>
      <c r="E874" s="991" t="s">
        <v>3169</v>
      </c>
      <c r="F874" s="1523">
        <f>ROUND($F$917*$F$923*$F$927*(1/$F$935)*$F$941*$F$942*$F$943/1000,2)*0</f>
        <v>0</v>
      </c>
      <c r="G874" s="1401" t="s">
        <v>1046</v>
      </c>
      <c r="H874" s="69">
        <f>VLOOKUP(G874,'CP FACTORS'!$A$3:$B$38, 2, FALSE)</f>
        <v>0</v>
      </c>
      <c r="I874" s="979">
        <f t="shared" si="137"/>
        <v>0</v>
      </c>
      <c r="J874" s="134">
        <f t="shared" si="134"/>
        <v>10</v>
      </c>
      <c r="K874" s="135">
        <v>0</v>
      </c>
      <c r="L874" s="1401" t="s">
        <v>62</v>
      </c>
      <c r="R874" s="532"/>
      <c r="V874" s="356" t="str">
        <f t="shared" si="139"/>
        <v>kWh Annual Savings</v>
      </c>
      <c r="W874" s="341">
        <v>576.26220288000002</v>
      </c>
      <c r="X874" s="130">
        <v>100.36280586510264</v>
      </c>
      <c r="Y874" s="205">
        <v>62.33</v>
      </c>
      <c r="Z874" s="186">
        <v>62.33</v>
      </c>
      <c r="AA874" s="186">
        <v>62.33</v>
      </c>
      <c r="AB874" s="186">
        <v>62.33</v>
      </c>
      <c r="AC874" s="186">
        <v>62.33</v>
      </c>
      <c r="AD874" s="186">
        <v>62.33</v>
      </c>
      <c r="AE874" s="186">
        <v>62.33</v>
      </c>
      <c r="AF874" s="271">
        <f t="shared" si="135"/>
        <v>0</v>
      </c>
      <c r="AG874" s="71"/>
      <c r="AH874" s="121"/>
      <c r="AK874" s="358"/>
      <c r="DG874" s="1080"/>
      <c r="DH874" s="933" t="str">
        <f t="shared" si="138"/>
        <v>Heating RES 10 Year EUL</v>
      </c>
      <c r="DI874" s="556">
        <f>(INDEX('Avoided Cost Benefits'!$B$4:$B$865,MATCH(DH874,'Avoided Cost Benefits'!$A$4:$A$865,0)))*F874</f>
        <v>0</v>
      </c>
      <c r="DJ874" s="1176">
        <f t="shared" si="136"/>
        <v>0</v>
      </c>
    </row>
    <row r="875" spans="2:114" ht="30">
      <c r="B875" s="1454">
        <f t="shared" si="133"/>
        <v>403901</v>
      </c>
      <c r="C875" s="2497" t="s">
        <v>3170</v>
      </c>
      <c r="D875" s="2497" t="s">
        <v>2670</v>
      </c>
      <c r="E875" s="2521" t="str">
        <f>CONCATENATE(E873,"_CompE")</f>
        <v>Setback thermostat - full setback - elec furnace heating / central AC MF_CompE</v>
      </c>
      <c r="F875" s="2580">
        <f>ROUND($F$902*$F$905*1/$F$911*$F$912*$F$913*$F$914/1000,2)*0</f>
        <v>0</v>
      </c>
      <c r="G875" s="2497" t="s">
        <v>1045</v>
      </c>
      <c r="H875" s="2213">
        <f>VLOOKUP(G875,'CP FACTORS'!$A$3:$B$38, 2, FALSE)</f>
        <v>9.4741810000000004E-4</v>
      </c>
      <c r="I875" s="2581">
        <f t="shared" si="137"/>
        <v>0</v>
      </c>
      <c r="J875" s="2582">
        <f t="shared" si="134"/>
        <v>10</v>
      </c>
      <c r="K875" s="2583">
        <f>$F$947</f>
        <v>70</v>
      </c>
      <c r="L875" s="2497" t="s">
        <v>62</v>
      </c>
      <c r="R875" s="532"/>
      <c r="V875" s="2413" t="str">
        <f t="shared" si="139"/>
        <v>kWh Annual Savings</v>
      </c>
      <c r="W875" s="2550"/>
      <c r="X875" s="2505"/>
      <c r="Y875" s="2479">
        <v>146.46</v>
      </c>
      <c r="Z875" s="2483">
        <v>146.46</v>
      </c>
      <c r="AA875" s="2483">
        <v>146.46</v>
      </c>
      <c r="AB875" s="2483">
        <v>146.46</v>
      </c>
      <c r="AC875" s="2483">
        <v>146.46</v>
      </c>
      <c r="AD875" s="2483">
        <v>146.46</v>
      </c>
      <c r="AE875" s="2483">
        <v>146.46</v>
      </c>
      <c r="AF875" s="2236">
        <f t="shared" si="135"/>
        <v>0</v>
      </c>
      <c r="AG875" s="71"/>
      <c r="AH875" s="121"/>
      <c r="AK875" s="358"/>
      <c r="DG875" s="2422">
        <f>(DI875+DI876)/(DJ875+DJ876)</f>
        <v>0</v>
      </c>
      <c r="DH875" s="2557" t="str">
        <f>CONCATENATE(G875," ",J875," Year EUL")</f>
        <v>Cooling RES 10 Year EUL</v>
      </c>
      <c r="DI875" s="2336">
        <f>(INDEX('Avoided Cost Benefits'!$B$4:$B$865,MATCH(DH875,'Avoided Cost Benefits'!$A$4:$A$865,0)))*F875</f>
        <v>0</v>
      </c>
      <c r="DJ875" s="2507">
        <f t="shared" si="136"/>
        <v>70</v>
      </c>
    </row>
    <row r="876" spans="2:114" ht="30">
      <c r="B876" s="1454">
        <f t="shared" si="133"/>
        <v>403901</v>
      </c>
      <c r="C876" s="2497" t="s">
        <v>3170</v>
      </c>
      <c r="D876" s="2497" t="s">
        <v>2670</v>
      </c>
      <c r="E876" s="2522" t="str">
        <f>CONCATENATE(E874,"_CompE")</f>
        <v>Setback thermostat - full setback - elec furnace heating / central AC MF_CompE</v>
      </c>
      <c r="F876" s="2580">
        <f>ROUND($F$917*$F$924*$F$927*(1/$F$935)*$F$941*$F$942*$F$943/1000,2)*0</f>
        <v>0</v>
      </c>
      <c r="G876" s="2497" t="s">
        <v>1046</v>
      </c>
      <c r="H876" s="2213">
        <f>VLOOKUP(G876,'CP FACTORS'!$A$3:$B$38, 2, FALSE)</f>
        <v>0</v>
      </c>
      <c r="I876" s="2581">
        <f t="shared" si="137"/>
        <v>0</v>
      </c>
      <c r="J876" s="2582">
        <f t="shared" si="134"/>
        <v>10</v>
      </c>
      <c r="K876" s="2583">
        <v>0</v>
      </c>
      <c r="L876" s="2497" t="s">
        <v>62</v>
      </c>
      <c r="R876" s="532"/>
      <c r="V876" s="2413" t="str">
        <f t="shared" si="139"/>
        <v>kWh Annual Savings</v>
      </c>
      <c r="W876" s="2550"/>
      <c r="X876" s="2505"/>
      <c r="Y876" s="2479">
        <v>21.25</v>
      </c>
      <c r="Z876" s="2483">
        <v>21.25</v>
      </c>
      <c r="AA876" s="2483">
        <v>21.25</v>
      </c>
      <c r="AB876" s="2483">
        <v>21.25</v>
      </c>
      <c r="AC876" s="2483">
        <v>21.25</v>
      </c>
      <c r="AD876" s="2483">
        <v>21.25</v>
      </c>
      <c r="AE876" s="2483">
        <v>21.25</v>
      </c>
      <c r="AF876" s="2236">
        <f t="shared" si="135"/>
        <v>0</v>
      </c>
      <c r="AG876" s="71"/>
      <c r="AH876" s="121"/>
      <c r="AK876" s="358"/>
      <c r="DG876" s="2508"/>
      <c r="DH876" s="2558" t="str">
        <f>CONCATENATE(G876," ",J876," Year EUL")</f>
        <v>Heating RES 10 Year EUL</v>
      </c>
      <c r="DI876" s="2336">
        <f>(INDEX('Avoided Cost Benefits'!$B$4:$B$865,MATCH(DH876,'Avoided Cost Benefits'!$A$4:$A$865,0)))*F876</f>
        <v>0</v>
      </c>
      <c r="DJ876" s="2507">
        <f t="shared" si="136"/>
        <v>0</v>
      </c>
    </row>
    <row r="877" spans="2:114">
      <c r="B877" s="1454">
        <f t="shared" si="133"/>
        <v>403950</v>
      </c>
      <c r="C877" s="1542" t="s">
        <v>3171</v>
      </c>
      <c r="D877" s="569" t="s">
        <v>1486</v>
      </c>
      <c r="E877" s="990" t="s">
        <v>3172</v>
      </c>
      <c r="F877" s="1523">
        <f>ROUND(F901*F906*1/F$911*F$912*F$913*F$914/1000,2)*0</f>
        <v>0</v>
      </c>
      <c r="G877" s="1401" t="s">
        <v>1045</v>
      </c>
      <c r="H877" s="69">
        <f>VLOOKUP(G877,'CP FACTORS'!$A$3:$B$38, 2, FALSE)</f>
        <v>9.4741810000000004E-4</v>
      </c>
      <c r="I877" s="979">
        <f t="shared" si="137"/>
        <v>0</v>
      </c>
      <c r="J877" s="134">
        <f t="shared" si="134"/>
        <v>10</v>
      </c>
      <c r="K877" s="135">
        <f>$F$947</f>
        <v>70</v>
      </c>
      <c r="L877" s="1401" t="s">
        <v>62</v>
      </c>
      <c r="R877" s="532"/>
      <c r="V877" s="356" t="str">
        <f t="shared" si="139"/>
        <v>kWh Annual Savings</v>
      </c>
      <c r="W877" s="341">
        <v>157.60714909090908</v>
      </c>
      <c r="X877" s="130">
        <v>750.57839999999999</v>
      </c>
      <c r="Y877" s="205">
        <v>358.2</v>
      </c>
      <c r="Z877" s="186">
        <v>358.2</v>
      </c>
      <c r="AA877" s="186">
        <v>358.2</v>
      </c>
      <c r="AB877" s="186">
        <v>358.2</v>
      </c>
      <c r="AC877" s="186">
        <v>358.2</v>
      </c>
      <c r="AD877" s="186">
        <v>358.2</v>
      </c>
      <c r="AE877" s="186">
        <v>358.2</v>
      </c>
      <c r="AF877" s="271">
        <f t="shared" si="135"/>
        <v>0</v>
      </c>
      <c r="AG877" s="71"/>
      <c r="AH877" s="121"/>
      <c r="AK877" s="358"/>
      <c r="DG877" s="1063">
        <f>(DI877+DI878)/(DJ877+DJ878)</f>
        <v>0</v>
      </c>
      <c r="DH877" s="132" t="str">
        <f t="shared" si="138"/>
        <v>Cooling RES 10 Year EUL</v>
      </c>
      <c r="DI877" s="556">
        <f>(INDEX('Avoided Cost Benefits'!$B$4:$B$865,MATCH(DH877,'Avoided Cost Benefits'!$A$4:$A$865,0)))*F877</f>
        <v>0</v>
      </c>
      <c r="DJ877" s="1176">
        <f t="shared" si="136"/>
        <v>70</v>
      </c>
    </row>
    <row r="878" spans="2:114">
      <c r="B878" s="1454">
        <f t="shared" si="133"/>
        <v>403950</v>
      </c>
      <c r="C878" s="1542" t="s">
        <v>3171</v>
      </c>
      <c r="D878" s="569" t="s">
        <v>1486</v>
      </c>
      <c r="E878" s="991" t="s">
        <v>3172</v>
      </c>
      <c r="F878" s="1523">
        <f>ROUND(F918*F923*F928*(1/F936)*F$941*F$942*F$943/1000,2)*0</f>
        <v>0</v>
      </c>
      <c r="G878" s="1401" t="s">
        <v>1046</v>
      </c>
      <c r="H878" s="69">
        <f>VLOOKUP(G878,'CP FACTORS'!$A$3:$B$38, 2, FALSE)</f>
        <v>0</v>
      </c>
      <c r="I878" s="979">
        <f t="shared" si="137"/>
        <v>0</v>
      </c>
      <c r="J878" s="134">
        <f t="shared" si="134"/>
        <v>10</v>
      </c>
      <c r="K878" s="135">
        <v>0</v>
      </c>
      <c r="L878" s="1401" t="s">
        <v>62</v>
      </c>
      <c r="R878" s="532"/>
      <c r="V878" s="356" t="str">
        <f t="shared" si="139"/>
        <v>kWh Annual Savings</v>
      </c>
      <c r="W878" s="341">
        <v>886.55723520000015</v>
      </c>
      <c r="X878" s="130">
        <v>230.64007463068151</v>
      </c>
      <c r="Y878" s="205">
        <v>148.63</v>
      </c>
      <c r="Z878" s="186">
        <v>148.63</v>
      </c>
      <c r="AA878" s="186">
        <v>148.63</v>
      </c>
      <c r="AB878" s="186">
        <v>148.63</v>
      </c>
      <c r="AC878" s="186">
        <v>148.63</v>
      </c>
      <c r="AD878" s="186">
        <v>148.63</v>
      </c>
      <c r="AE878" s="186">
        <v>148.63</v>
      </c>
      <c r="AF878" s="271">
        <f t="shared" si="135"/>
        <v>0</v>
      </c>
      <c r="AG878" s="71"/>
      <c r="AH878" s="121"/>
      <c r="AK878" s="358"/>
      <c r="DG878" s="1080"/>
      <c r="DH878" s="933" t="str">
        <f t="shared" si="138"/>
        <v>Heating RES 10 Year EUL</v>
      </c>
      <c r="DI878" s="556">
        <f>(INDEX('Avoided Cost Benefits'!$B$4:$B$865,MATCH(DH878,'Avoided Cost Benefits'!$A$4:$A$865,0)))*F878</f>
        <v>0</v>
      </c>
      <c r="DJ878" s="1176">
        <f t="shared" si="136"/>
        <v>0</v>
      </c>
    </row>
    <row r="879" spans="2:114">
      <c r="B879" s="1454">
        <f t="shared" si="133"/>
        <v>404000</v>
      </c>
      <c r="C879" s="1542" t="s">
        <v>3173</v>
      </c>
      <c r="D879" s="569" t="s">
        <v>959</v>
      </c>
      <c r="E879" s="990" t="s">
        <v>3174</v>
      </c>
      <c r="F879" s="1523">
        <f>ROUND($F$901*$F$907*1/$F$911*$F$912*$F$913*$F$914/1000,2)*0</f>
        <v>0</v>
      </c>
      <c r="G879" s="1401" t="s">
        <v>1045</v>
      </c>
      <c r="H879" s="69">
        <f>VLOOKUP(G879,'CP FACTORS'!$A$3:$B$38, 2, FALSE)</f>
        <v>9.4741810000000004E-4</v>
      </c>
      <c r="I879" s="979">
        <f t="shared" si="137"/>
        <v>0</v>
      </c>
      <c r="J879" s="134">
        <f t="shared" si="134"/>
        <v>10</v>
      </c>
      <c r="K879" s="135">
        <f>$F$947</f>
        <v>70</v>
      </c>
      <c r="L879" s="1401" t="s">
        <v>62</v>
      </c>
      <c r="R879" s="532"/>
      <c r="V879" s="356" t="str">
        <f t="shared" si="139"/>
        <v>kWh Annual Savings</v>
      </c>
      <c r="W879" s="341">
        <v>102.44464690909089</v>
      </c>
      <c r="X879" s="130">
        <v>439.92233999999996</v>
      </c>
      <c r="Y879" s="205">
        <v>201.38901200000001</v>
      </c>
      <c r="Z879" s="186">
        <v>201.38901200000001</v>
      </c>
      <c r="AA879" s="186">
        <v>201.38901200000001</v>
      </c>
      <c r="AB879" s="186">
        <v>201.38901200000001</v>
      </c>
      <c r="AC879" s="186">
        <v>201.38901200000001</v>
      </c>
      <c r="AD879" s="186">
        <v>201.38901200000001</v>
      </c>
      <c r="AE879" s="186">
        <v>201.38901200000001</v>
      </c>
      <c r="AF879" s="271">
        <f t="shared" si="135"/>
        <v>0</v>
      </c>
      <c r="AG879" s="71"/>
      <c r="AH879" s="121"/>
      <c r="AK879" s="358"/>
      <c r="DG879" s="1063">
        <f>(DI879+DI880)/(DJ879+DJ880)</f>
        <v>0</v>
      </c>
      <c r="DH879" s="132" t="str">
        <f t="shared" si="138"/>
        <v>Cooling RES 10 Year EUL</v>
      </c>
      <c r="DI879" s="556">
        <f>(INDEX('Avoided Cost Benefits'!$B$4:$B$865,MATCH(DH879,'Avoided Cost Benefits'!$A$4:$A$865,0)))*F879</f>
        <v>0</v>
      </c>
      <c r="DJ879" s="1176">
        <f t="shared" si="136"/>
        <v>70</v>
      </c>
    </row>
    <row r="880" spans="2:114">
      <c r="B880" s="1454">
        <f t="shared" si="133"/>
        <v>404000</v>
      </c>
      <c r="C880" s="1542" t="s">
        <v>3173</v>
      </c>
      <c r="D880" s="569" t="s">
        <v>959</v>
      </c>
      <c r="E880" s="991" t="s">
        <v>3174</v>
      </c>
      <c r="F880" s="1523">
        <v>0</v>
      </c>
      <c r="G880" s="1401" t="s">
        <v>1046</v>
      </c>
      <c r="H880" s="69">
        <f>VLOOKUP(G880,'CP FACTORS'!$A$3:$B$38, 2, FALSE)</f>
        <v>0</v>
      </c>
      <c r="I880" s="979">
        <f t="shared" si="137"/>
        <v>0</v>
      </c>
      <c r="J880" s="134">
        <f t="shared" si="134"/>
        <v>10</v>
      </c>
      <c r="K880" s="135">
        <v>0</v>
      </c>
      <c r="L880" s="1401" t="s">
        <v>62</v>
      </c>
      <c r="R880" s="532"/>
      <c r="V880" s="356" t="str">
        <f t="shared" si="139"/>
        <v>kWh Annual Savings</v>
      </c>
      <c r="W880" s="341">
        <v>0</v>
      </c>
      <c r="X880" s="130">
        <v>0</v>
      </c>
      <c r="Y880" s="205">
        <v>0</v>
      </c>
      <c r="Z880" s="186">
        <v>0</v>
      </c>
      <c r="AA880" s="186">
        <v>0</v>
      </c>
      <c r="AB880" s="186">
        <v>0</v>
      </c>
      <c r="AC880" s="186">
        <v>0</v>
      </c>
      <c r="AD880" s="186">
        <v>0</v>
      </c>
      <c r="AE880" s="186">
        <v>0</v>
      </c>
      <c r="AF880" s="271">
        <f t="shared" si="135"/>
        <v>0</v>
      </c>
      <c r="AG880" s="71"/>
      <c r="AH880" s="121"/>
      <c r="AK880" s="358"/>
      <c r="DG880" s="1080"/>
      <c r="DH880" s="933" t="str">
        <f t="shared" si="138"/>
        <v>Heating RES 10 Year EUL</v>
      </c>
      <c r="DI880" s="556">
        <f>(INDEX('Avoided Cost Benefits'!$B$4:$B$865,MATCH(DH880,'Avoided Cost Benefits'!$A$4:$A$865,0)))*F880</f>
        <v>0</v>
      </c>
      <c r="DJ880" s="1176">
        <f t="shared" si="136"/>
        <v>0</v>
      </c>
    </row>
    <row r="881" spans="2:114">
      <c r="B881" s="1454">
        <f t="shared" si="133"/>
        <v>404001</v>
      </c>
      <c r="C881" s="2584" t="s">
        <v>3175</v>
      </c>
      <c r="D881" s="2497" t="s">
        <v>2670</v>
      </c>
      <c r="E881" s="2521" t="str">
        <f>CONCATENATE(E879,"_CompE")</f>
        <v>Setback thermostat - full setback - gas heating / central AC MF_CompE</v>
      </c>
      <c r="F881" s="2585">
        <f>ROUND($F$902*$F$907*1/$F$911*$F$912*$F$913*$F$914/1000,2)*0</f>
        <v>0</v>
      </c>
      <c r="G881" s="2497" t="s">
        <v>1045</v>
      </c>
      <c r="H881" s="2213">
        <f>VLOOKUP(G881,'CP FACTORS'!$A$3:$B$38, 2, FALSE)</f>
        <v>9.4741810000000004E-4</v>
      </c>
      <c r="I881" s="2581">
        <f t="shared" si="137"/>
        <v>0</v>
      </c>
      <c r="J881" s="2582">
        <f t="shared" si="134"/>
        <v>10</v>
      </c>
      <c r="K881" s="2583">
        <f>$F$947</f>
        <v>70</v>
      </c>
      <c r="L881" s="2497" t="s">
        <v>62</v>
      </c>
      <c r="R881" s="532"/>
      <c r="V881" s="2413" t="str">
        <f t="shared" si="139"/>
        <v>kWh Annual Savings</v>
      </c>
      <c r="W881" s="2550"/>
      <c r="X881" s="2505"/>
      <c r="Y881" s="2479">
        <v>146.46473600000002</v>
      </c>
      <c r="Z881" s="2483">
        <v>146.46473600000002</v>
      </c>
      <c r="AA881" s="2483">
        <v>146.46473600000002</v>
      </c>
      <c r="AB881" s="2483">
        <v>146.46473600000002</v>
      </c>
      <c r="AC881" s="2483">
        <v>146.46473600000002</v>
      </c>
      <c r="AD881" s="2483">
        <v>146.46473600000002</v>
      </c>
      <c r="AE881" s="2483">
        <v>146.46473600000002</v>
      </c>
      <c r="AF881" s="2236">
        <f t="shared" si="135"/>
        <v>0</v>
      </c>
      <c r="AG881" s="71"/>
      <c r="AH881" s="121"/>
      <c r="AK881" s="358"/>
      <c r="DG881" s="2422">
        <f>(DI881+DI882)/(DJ881+DJ882)</f>
        <v>0</v>
      </c>
      <c r="DH881" s="2557" t="str">
        <f>CONCATENATE(G881," ",J881," Year EUL")</f>
        <v>Cooling RES 10 Year EUL</v>
      </c>
      <c r="DI881" s="2336">
        <f>(INDEX('Avoided Cost Benefits'!$B$4:$B$865,MATCH(DH881,'Avoided Cost Benefits'!$A$4:$A$865,0)))*F881</f>
        <v>0</v>
      </c>
      <c r="DJ881" s="2507">
        <f t="shared" si="136"/>
        <v>70</v>
      </c>
    </row>
    <row r="882" spans="2:114">
      <c r="B882" s="1454">
        <f t="shared" si="133"/>
        <v>404001</v>
      </c>
      <c r="C882" s="2584" t="s">
        <v>3175</v>
      </c>
      <c r="D882" s="2497" t="s">
        <v>2670</v>
      </c>
      <c r="E882" s="2522" t="str">
        <f>CONCATENATE(E880,"_CompE")</f>
        <v>Setback thermostat - full setback - gas heating / central AC MF_CompE</v>
      </c>
      <c r="F882" s="2580">
        <v>0</v>
      </c>
      <c r="G882" s="2497" t="s">
        <v>1046</v>
      </c>
      <c r="H882" s="2213">
        <f>VLOOKUP(G882,'CP FACTORS'!$A$3:$B$38, 2, FALSE)</f>
        <v>0</v>
      </c>
      <c r="I882" s="2581">
        <f t="shared" si="137"/>
        <v>0</v>
      </c>
      <c r="J882" s="2582">
        <f t="shared" si="134"/>
        <v>10</v>
      </c>
      <c r="K882" s="2583">
        <v>0</v>
      </c>
      <c r="L882" s="2497" t="s">
        <v>62</v>
      </c>
      <c r="R882" s="532"/>
      <c r="V882" s="2413" t="str">
        <f t="shared" si="139"/>
        <v>kWh Annual Savings</v>
      </c>
      <c r="W882" s="2550"/>
      <c r="X882" s="2505"/>
      <c r="Y882" s="2479">
        <v>0</v>
      </c>
      <c r="Z882" s="2483">
        <v>0</v>
      </c>
      <c r="AA882" s="2483">
        <v>0</v>
      </c>
      <c r="AB882" s="2483">
        <v>0</v>
      </c>
      <c r="AC882" s="2483">
        <v>0</v>
      </c>
      <c r="AD882" s="2483">
        <v>0</v>
      </c>
      <c r="AE882" s="2483">
        <v>0</v>
      </c>
      <c r="AF882" s="2236">
        <f t="shared" si="135"/>
        <v>0</v>
      </c>
      <c r="AG882" s="71"/>
      <c r="AH882" s="121"/>
      <c r="AK882" s="358"/>
      <c r="DG882" s="2508"/>
      <c r="DH882" s="2558" t="str">
        <f>CONCATENATE(G882," ",J882," Year EUL")</f>
        <v>Heating RES 10 Year EUL</v>
      </c>
      <c r="DI882" s="2336">
        <f>(INDEX('Avoided Cost Benefits'!$B$4:$B$865,MATCH(DH882,'Avoided Cost Benefits'!$A$4:$A$865,0)))*F882</f>
        <v>0</v>
      </c>
      <c r="DJ882" s="2507">
        <f t="shared" si="136"/>
        <v>0</v>
      </c>
    </row>
    <row r="883" spans="2:114">
      <c r="B883" s="1454">
        <f t="shared" si="133"/>
        <v>404050</v>
      </c>
      <c r="C883" s="1401" t="s">
        <v>3176</v>
      </c>
      <c r="D883" s="569" t="s">
        <v>1486</v>
      </c>
      <c r="E883" s="990" t="s">
        <v>3177</v>
      </c>
      <c r="F883" s="1523">
        <f>ROUND(F901*F908*1/F$911*F$912*F$913*F$914/1000,2)*0</f>
        <v>0</v>
      </c>
      <c r="G883" s="1401" t="s">
        <v>1045</v>
      </c>
      <c r="H883" s="69">
        <f>VLOOKUP(G883,'CP FACTORS'!$A$3:$B$38, 2, FALSE)</f>
        <v>9.4741810000000004E-4</v>
      </c>
      <c r="I883" s="979">
        <f t="shared" si="137"/>
        <v>0</v>
      </c>
      <c r="J883" s="134">
        <f t="shared" si="134"/>
        <v>10</v>
      </c>
      <c r="K883" s="135">
        <f>$F$947</f>
        <v>70</v>
      </c>
      <c r="L883" s="1401" t="s">
        <v>62</v>
      </c>
      <c r="R883" s="532"/>
      <c r="V883" s="356" t="str">
        <f t="shared" si="139"/>
        <v>kWh Annual Savings</v>
      </c>
      <c r="W883" s="341">
        <v>157.60714909090908</v>
      </c>
      <c r="X883" s="130">
        <v>750.57839999999999</v>
      </c>
      <c r="Y883" s="205">
        <v>358.2</v>
      </c>
      <c r="Z883" s="186">
        <v>358.2</v>
      </c>
      <c r="AA883" s="186">
        <v>358.2</v>
      </c>
      <c r="AB883" s="186">
        <v>358.2</v>
      </c>
      <c r="AC883" s="186">
        <v>358.2</v>
      </c>
      <c r="AD883" s="186">
        <v>358.2</v>
      </c>
      <c r="AE883" s="186">
        <v>358.2</v>
      </c>
      <c r="AF883" s="271">
        <f t="shared" si="135"/>
        <v>0</v>
      </c>
      <c r="AG883" s="71"/>
      <c r="AH883" s="121"/>
      <c r="AK883" s="358"/>
      <c r="DG883" s="1063">
        <f>(DI883+DI884)/(DJ883+DJ884)</f>
        <v>0</v>
      </c>
      <c r="DH883" s="132" t="str">
        <f t="shared" si="138"/>
        <v>Cooling RES 10 Year EUL</v>
      </c>
      <c r="DI883" s="556">
        <f>(INDEX('Avoided Cost Benefits'!$B$4:$B$865,MATCH(DH883,'Avoided Cost Benefits'!$A$4:$A$865,0)))*F883</f>
        <v>0</v>
      </c>
      <c r="DJ883" s="1176">
        <f t="shared" si="136"/>
        <v>70</v>
      </c>
    </row>
    <row r="884" spans="2:114">
      <c r="B884" s="1454">
        <f t="shared" si="133"/>
        <v>404050</v>
      </c>
      <c r="C884" s="1401" t="s">
        <v>3176</v>
      </c>
      <c r="D884" s="569" t="s">
        <v>1486</v>
      </c>
      <c r="E884" s="991" t="s">
        <v>3177</v>
      </c>
      <c r="F884" s="1523">
        <v>0</v>
      </c>
      <c r="G884" s="1401" t="s">
        <v>1046</v>
      </c>
      <c r="H884" s="69">
        <f>VLOOKUP(G884,'CP FACTORS'!$A$3:$B$38, 2, FALSE)</f>
        <v>0</v>
      </c>
      <c r="I884" s="979">
        <f t="shared" si="137"/>
        <v>0</v>
      </c>
      <c r="J884" s="134">
        <f t="shared" si="134"/>
        <v>10</v>
      </c>
      <c r="K884" s="135">
        <v>0</v>
      </c>
      <c r="L884" s="1401" t="s">
        <v>62</v>
      </c>
      <c r="R884" s="532"/>
      <c r="V884" s="356" t="str">
        <f t="shared" si="139"/>
        <v>kWh Annual Savings</v>
      </c>
      <c r="W884" s="341">
        <v>0</v>
      </c>
      <c r="X884" s="130">
        <v>0</v>
      </c>
      <c r="Y884" s="205">
        <v>0</v>
      </c>
      <c r="Z884" s="186">
        <v>0</v>
      </c>
      <c r="AA884" s="186">
        <v>0</v>
      </c>
      <c r="AB884" s="186">
        <v>0</v>
      </c>
      <c r="AC884" s="186">
        <v>0</v>
      </c>
      <c r="AD884" s="186">
        <v>0</v>
      </c>
      <c r="AE884" s="186">
        <v>0</v>
      </c>
      <c r="AF884" s="271">
        <f t="shared" si="135"/>
        <v>0</v>
      </c>
      <c r="AG884" s="71"/>
      <c r="AH884" s="121"/>
      <c r="AK884" s="358"/>
      <c r="DG884" s="1080"/>
      <c r="DH884" s="933" t="str">
        <f t="shared" si="138"/>
        <v>Heating RES 10 Year EUL</v>
      </c>
      <c r="DI884" s="556">
        <f>(INDEX('Avoided Cost Benefits'!$B$4:$B$865,MATCH(DH884,'Avoided Cost Benefits'!$A$4:$A$865,0)))*F884</f>
        <v>0</v>
      </c>
      <c r="DJ884" s="1176">
        <f t="shared" si="136"/>
        <v>0</v>
      </c>
    </row>
    <row r="885" spans="2:114">
      <c r="B885" s="1454">
        <f t="shared" si="133"/>
        <v>404100</v>
      </c>
      <c r="C885" s="1401" t="s">
        <v>3178</v>
      </c>
      <c r="D885" s="569" t="s">
        <v>959</v>
      </c>
      <c r="E885" s="990" t="s">
        <v>3179</v>
      </c>
      <c r="F885" s="1523">
        <f>ROUND($F$901*$F$909*1/$F$911*$F$912*$F$913*$F$914/1000,2)*0</f>
        <v>0</v>
      </c>
      <c r="G885" s="1401" t="s">
        <v>1045</v>
      </c>
      <c r="H885" s="69">
        <f>VLOOKUP(G885,'CP FACTORS'!$A$3:$B$38, 2, FALSE)</f>
        <v>9.4741810000000004E-4</v>
      </c>
      <c r="I885" s="979">
        <f t="shared" si="137"/>
        <v>0</v>
      </c>
      <c r="J885" s="134">
        <f t="shared" si="134"/>
        <v>10</v>
      </c>
      <c r="K885" s="135">
        <f>$F$947</f>
        <v>70</v>
      </c>
      <c r="L885" s="1401" t="s">
        <v>62</v>
      </c>
      <c r="R885" s="532"/>
      <c r="V885" s="356" t="str">
        <f t="shared" si="139"/>
        <v>kWh Annual Savings</v>
      </c>
      <c r="W885" s="341">
        <v>102.44464690909089</v>
      </c>
      <c r="X885" s="130">
        <v>439.92233999999996</v>
      </c>
      <c r="Y885" s="205">
        <v>201.39</v>
      </c>
      <c r="Z885" s="186">
        <v>201.39</v>
      </c>
      <c r="AA885" s="186">
        <v>201.39</v>
      </c>
      <c r="AB885" s="186">
        <v>201.39</v>
      </c>
      <c r="AC885" s="186">
        <v>201.39</v>
      </c>
      <c r="AD885" s="186">
        <v>201.39</v>
      </c>
      <c r="AE885" s="186">
        <v>201.39</v>
      </c>
      <c r="AF885" s="271">
        <f t="shared" si="135"/>
        <v>0</v>
      </c>
      <c r="AG885" s="71"/>
      <c r="AH885" s="121"/>
      <c r="AK885" s="358"/>
      <c r="DG885" s="1063">
        <f>(DI885+DI886)/(DJ885+DJ886)</f>
        <v>0</v>
      </c>
      <c r="DH885" s="132" t="str">
        <f t="shared" si="138"/>
        <v>Cooling RES 10 Year EUL</v>
      </c>
      <c r="DI885" s="556">
        <f>(INDEX('Avoided Cost Benefits'!$B$4:$B$865,MATCH(DH885,'Avoided Cost Benefits'!$A$4:$A$865,0)))*F885</f>
        <v>0</v>
      </c>
      <c r="DJ885" s="1176">
        <f t="shared" si="136"/>
        <v>70</v>
      </c>
    </row>
    <row r="886" spans="2:114">
      <c r="B886" s="1454">
        <f t="shared" si="133"/>
        <v>404100</v>
      </c>
      <c r="C886" s="1401" t="s">
        <v>3178</v>
      </c>
      <c r="D886" s="569" t="s">
        <v>959</v>
      </c>
      <c r="E886" s="991" t="s">
        <v>3179</v>
      </c>
      <c r="F886" s="1523">
        <f>ROUND($F$921*$F$923*$F$931*(1/$F$939)*$F$941*$F$942*$F$943/1000,2)*0</f>
        <v>0</v>
      </c>
      <c r="G886" s="1401" t="s">
        <v>1046</v>
      </c>
      <c r="H886" s="69">
        <f>VLOOKUP(G886,'CP FACTORS'!$A$3:$B$38, 2, FALSE)</f>
        <v>0</v>
      </c>
      <c r="I886" s="979">
        <f t="shared" si="137"/>
        <v>0</v>
      </c>
      <c r="J886" s="134">
        <f t="shared" si="134"/>
        <v>10</v>
      </c>
      <c r="K886" s="135">
        <v>0</v>
      </c>
      <c r="L886" s="1401" t="s">
        <v>62</v>
      </c>
      <c r="R886" s="532"/>
      <c r="V886" s="356" t="str">
        <f t="shared" si="139"/>
        <v>kWh Annual Savings</v>
      </c>
      <c r="W886" s="341">
        <v>125.36894234037186</v>
      </c>
      <c r="X886" s="130">
        <v>24.940157257477999</v>
      </c>
      <c r="Y886" s="205">
        <v>15.49</v>
      </c>
      <c r="Z886" s="186">
        <v>15.49</v>
      </c>
      <c r="AA886" s="186">
        <v>15.49</v>
      </c>
      <c r="AB886" s="186">
        <v>15.49</v>
      </c>
      <c r="AC886" s="186">
        <v>15.49</v>
      </c>
      <c r="AD886" s="186">
        <v>15.49</v>
      </c>
      <c r="AE886" s="186">
        <v>15.49</v>
      </c>
      <c r="AF886" s="271">
        <f t="shared" si="135"/>
        <v>0</v>
      </c>
      <c r="AG886" s="71"/>
      <c r="AH886" s="121"/>
      <c r="AK886" s="358"/>
      <c r="DG886" s="1080"/>
      <c r="DH886" s="933" t="str">
        <f t="shared" si="138"/>
        <v>Heating RES 10 Year EUL</v>
      </c>
      <c r="DI886" s="556">
        <f>(INDEX('Avoided Cost Benefits'!$B$4:$B$865,MATCH(DH886,'Avoided Cost Benefits'!$A$4:$A$865,0)))*F886</f>
        <v>0</v>
      </c>
      <c r="DJ886" s="1176">
        <f t="shared" si="136"/>
        <v>0</v>
      </c>
    </row>
    <row r="887" spans="2:114">
      <c r="B887" s="1454">
        <f t="shared" si="133"/>
        <v>404101</v>
      </c>
      <c r="C887" s="2497" t="s">
        <v>3180</v>
      </c>
      <c r="D887" s="2497" t="s">
        <v>2670</v>
      </c>
      <c r="E887" s="2521" t="str">
        <f>CONCATENATE(E885,"_CompE")</f>
        <v>Setback thermostat - full setback - Unknown MF_CompE</v>
      </c>
      <c r="F887" s="2580">
        <f>ROUND($F$902*$F$909*1/$F$911*$F$912*$F$913*$F$914/1000,2)*0</f>
        <v>0</v>
      </c>
      <c r="G887" s="2497" t="s">
        <v>1045</v>
      </c>
      <c r="H887" s="2213">
        <f>VLOOKUP(G887,'CP FACTORS'!$A$3:$B$38, 2, FALSE)</f>
        <v>9.4741810000000004E-4</v>
      </c>
      <c r="I887" s="2581">
        <f t="shared" si="137"/>
        <v>0</v>
      </c>
      <c r="J887" s="2582">
        <f t="shared" si="134"/>
        <v>10</v>
      </c>
      <c r="K887" s="2583">
        <f>$F$947</f>
        <v>70</v>
      </c>
      <c r="L887" s="2497" t="s">
        <v>62</v>
      </c>
      <c r="R887" s="532"/>
      <c r="V887" s="2413" t="str">
        <f t="shared" si="139"/>
        <v>kWh Annual Savings</v>
      </c>
      <c r="W887" s="2550"/>
      <c r="X887" s="2505"/>
      <c r="Y887" s="2479">
        <v>146.46</v>
      </c>
      <c r="Z887" s="2483">
        <v>146.46</v>
      </c>
      <c r="AA887" s="2483">
        <v>146.46</v>
      </c>
      <c r="AB887" s="2483">
        <v>146.46</v>
      </c>
      <c r="AC887" s="2483">
        <v>146.46</v>
      </c>
      <c r="AD887" s="2483">
        <v>146.46</v>
      </c>
      <c r="AE887" s="2483">
        <v>146.46</v>
      </c>
      <c r="AF887" s="2236">
        <f t="shared" si="135"/>
        <v>0</v>
      </c>
      <c r="AG887" s="71"/>
      <c r="AH887" s="121"/>
      <c r="AK887" s="358"/>
      <c r="DG887" s="2422">
        <f>(DI887+DI888)/(DJ887+DJ888)</f>
        <v>0</v>
      </c>
      <c r="DH887" s="2557" t="str">
        <f>CONCATENATE(G887," ",J887," Year EUL")</f>
        <v>Cooling RES 10 Year EUL</v>
      </c>
      <c r="DI887" s="2336">
        <f>(INDEX('Avoided Cost Benefits'!$B$4:$B$865,MATCH(DH887,'Avoided Cost Benefits'!$A$4:$A$865,0)))*F887</f>
        <v>0</v>
      </c>
      <c r="DJ887" s="2507">
        <f t="shared" si="136"/>
        <v>70</v>
      </c>
    </row>
    <row r="888" spans="2:114">
      <c r="B888" s="1454">
        <f t="shared" si="133"/>
        <v>404101</v>
      </c>
      <c r="C888" s="2497" t="s">
        <v>3180</v>
      </c>
      <c r="D888" s="2497" t="s">
        <v>2670</v>
      </c>
      <c r="E888" s="2522" t="str">
        <f>CONCATENATE(E886,"_CompE")</f>
        <v>Setback thermostat - full setback - Unknown MF_CompE</v>
      </c>
      <c r="F888" s="2580">
        <f>ROUND($F$921*$F$924*$F$931*(1/$F$939)*$F$941*$F$942*$F$943/1000,2)*0</f>
        <v>0</v>
      </c>
      <c r="G888" s="2497" t="s">
        <v>1046</v>
      </c>
      <c r="H888" s="2213">
        <f>VLOOKUP(G888,'CP FACTORS'!$A$3:$B$38, 2, FALSE)</f>
        <v>0</v>
      </c>
      <c r="I888" s="2581">
        <f t="shared" si="137"/>
        <v>0</v>
      </c>
      <c r="J888" s="2582">
        <f t="shared" si="134"/>
        <v>10</v>
      </c>
      <c r="K888" s="2583">
        <v>0</v>
      </c>
      <c r="L888" s="2497" t="s">
        <v>62</v>
      </c>
      <c r="R888" s="532"/>
      <c r="V888" s="2413" t="str">
        <f t="shared" si="139"/>
        <v>kWh Annual Savings</v>
      </c>
      <c r="W888" s="2550"/>
      <c r="X888" s="2505"/>
      <c r="Y888" s="2479">
        <v>5.28</v>
      </c>
      <c r="Z888" s="2483">
        <v>5.28</v>
      </c>
      <c r="AA888" s="2483">
        <v>5.28</v>
      </c>
      <c r="AB888" s="2483">
        <v>5.28</v>
      </c>
      <c r="AC888" s="2483">
        <v>5.28</v>
      </c>
      <c r="AD888" s="2483">
        <v>5.28</v>
      </c>
      <c r="AE888" s="2483">
        <v>5.28</v>
      </c>
      <c r="AF888" s="2236">
        <f t="shared" si="135"/>
        <v>0</v>
      </c>
      <c r="AG888" s="71"/>
      <c r="AH888" s="121"/>
      <c r="AK888" s="358"/>
      <c r="DG888" s="2508"/>
      <c r="DH888" s="2558" t="str">
        <f>CONCATENATE(G888," ",J888," Year EUL")</f>
        <v>Heating RES 10 Year EUL</v>
      </c>
      <c r="DI888" s="2336">
        <f>(INDEX('Avoided Cost Benefits'!$B$4:$B$865,MATCH(DH888,'Avoided Cost Benefits'!$A$4:$A$865,0)))*F888</f>
        <v>0</v>
      </c>
      <c r="DJ888" s="2507">
        <f t="shared" si="136"/>
        <v>0</v>
      </c>
    </row>
    <row r="889" spans="2:114">
      <c r="B889" s="1454">
        <f t="shared" si="133"/>
        <v>404150</v>
      </c>
      <c r="C889" s="1542" t="s">
        <v>3181</v>
      </c>
      <c r="D889" s="569" t="s">
        <v>1486</v>
      </c>
      <c r="E889" s="990" t="s">
        <v>3182</v>
      </c>
      <c r="F889" s="1523">
        <f>ROUND(F901*F910*1/F$911*F$912*F$913*F$914/1000,2)*0</f>
        <v>0</v>
      </c>
      <c r="G889" s="1401" t="s">
        <v>1045</v>
      </c>
      <c r="H889" s="69">
        <f>VLOOKUP(G889,'CP FACTORS'!$A$3:$B$38, 2, FALSE)</f>
        <v>9.4741810000000004E-4</v>
      </c>
      <c r="I889" s="979">
        <f t="shared" si="137"/>
        <v>0</v>
      </c>
      <c r="J889" s="134">
        <f t="shared" si="134"/>
        <v>10</v>
      </c>
      <c r="K889" s="135">
        <f>$F$947</f>
        <v>70</v>
      </c>
      <c r="L889" s="1401" t="s">
        <v>62</v>
      </c>
      <c r="R889" s="532"/>
      <c r="V889" s="356" t="str">
        <f t="shared" si="139"/>
        <v>kWh Annual Savings</v>
      </c>
      <c r="W889" s="341">
        <v>157.60714909090908</v>
      </c>
      <c r="X889" s="130">
        <v>750.57839999999999</v>
      </c>
      <c r="Y889" s="205">
        <v>358.2</v>
      </c>
      <c r="Z889" s="186">
        <v>358.2</v>
      </c>
      <c r="AA889" s="186">
        <v>358.2</v>
      </c>
      <c r="AB889" s="186">
        <v>358.2</v>
      </c>
      <c r="AC889" s="186">
        <v>358.2</v>
      </c>
      <c r="AD889" s="186">
        <v>358.2</v>
      </c>
      <c r="AE889" s="186">
        <v>358.2</v>
      </c>
      <c r="AF889" s="271">
        <f t="shared" si="135"/>
        <v>0</v>
      </c>
      <c r="AG889" s="71"/>
      <c r="AH889" s="121"/>
      <c r="AK889" s="358"/>
      <c r="DG889" s="1063">
        <f>(DI889+DI890)/(DJ889+DJ890)</f>
        <v>0</v>
      </c>
      <c r="DH889" s="132" t="str">
        <f t="shared" si="138"/>
        <v>Cooling RES 10 Year EUL</v>
      </c>
      <c r="DI889" s="556">
        <f>(INDEX('Avoided Cost Benefits'!$B$4:$B$865,MATCH(DH889,'Avoided Cost Benefits'!$A$4:$A$865,0)))*F889</f>
        <v>0</v>
      </c>
      <c r="DJ889" s="1176">
        <f t="shared" si="136"/>
        <v>70</v>
      </c>
    </row>
    <row r="890" spans="2:114">
      <c r="B890" s="1454">
        <f t="shared" si="133"/>
        <v>404150</v>
      </c>
      <c r="C890" s="1542" t="s">
        <v>3181</v>
      </c>
      <c r="D890" s="569" t="s">
        <v>1486</v>
      </c>
      <c r="E890" s="991" t="s">
        <v>3182</v>
      </c>
      <c r="F890" s="1523">
        <f>ROUND(F922*F923*F932*(1/F940)*F$941*F$942*F$943/1000,2)*0</f>
        <v>0</v>
      </c>
      <c r="G890" s="1401" t="s">
        <v>1046</v>
      </c>
      <c r="H890" s="69">
        <f>VLOOKUP(G890,'CP FACTORS'!$A$3:$B$38, 2, FALSE)</f>
        <v>0</v>
      </c>
      <c r="I890" s="979">
        <f t="shared" si="137"/>
        <v>0</v>
      </c>
      <c r="J890" s="134">
        <f t="shared" si="134"/>
        <v>10</v>
      </c>
      <c r="K890" s="135">
        <v>0</v>
      </c>
      <c r="L890" s="1401" t="s">
        <v>62</v>
      </c>
      <c r="R890" s="532"/>
      <c r="V890" s="356" t="str">
        <f t="shared" si="139"/>
        <v>kWh Annual Savings</v>
      </c>
      <c r="W890" s="341">
        <v>192.87529590826432</v>
      </c>
      <c r="X890" s="130">
        <v>50.176989004732967</v>
      </c>
      <c r="Y890" s="205">
        <v>32.33</v>
      </c>
      <c r="Z890" s="186">
        <v>32.33</v>
      </c>
      <c r="AA890" s="186">
        <v>32.33</v>
      </c>
      <c r="AB890" s="186">
        <v>32.33</v>
      </c>
      <c r="AC890" s="186">
        <v>32.33</v>
      </c>
      <c r="AD890" s="186">
        <v>32.33</v>
      </c>
      <c r="AE890" s="186">
        <v>32.33</v>
      </c>
      <c r="AF890" s="271">
        <f t="shared" si="135"/>
        <v>0</v>
      </c>
      <c r="AG890" s="71"/>
      <c r="AH890" s="121"/>
      <c r="AK890" s="358"/>
      <c r="DG890" s="1081"/>
      <c r="DH890" s="933" t="str">
        <f t="shared" si="138"/>
        <v>Heating RES 10 Year EUL</v>
      </c>
      <c r="DI890" s="1072">
        <f>(INDEX('Avoided Cost Benefits'!$B$4:$B$865,MATCH(DH890,'Avoided Cost Benefits'!$A$4:$A$865,0)))*F890</f>
        <v>0</v>
      </c>
      <c r="DJ890" s="1175">
        <f t="shared" si="136"/>
        <v>0</v>
      </c>
    </row>
    <row r="891" spans="2:114" hidden="1" outlineLevel="1">
      <c r="B891" s="579"/>
      <c r="C891" s="281"/>
      <c r="D891" s="74" t="s">
        <v>118</v>
      </c>
      <c r="E891" s="133" t="s">
        <v>3183</v>
      </c>
      <c r="F891" s="980"/>
      <c r="AK891" s="358"/>
    </row>
    <row r="892" spans="2:114" ht="18" hidden="1" customHeight="1" outlineLevel="1">
      <c r="B892" s="579"/>
      <c r="C892" s="281"/>
      <c r="D892" s="77" t="s">
        <v>963</v>
      </c>
      <c r="E892" s="1138" t="s">
        <v>3184</v>
      </c>
      <c r="F892" s="299"/>
      <c r="G892" s="299"/>
      <c r="H892" s="299"/>
      <c r="I892" s="1270"/>
      <c r="J892" s="1270"/>
      <c r="K892" s="1270"/>
      <c r="L892" s="1270"/>
      <c r="AK892" s="358"/>
    </row>
    <row r="893" spans="2:114" hidden="1" outlineLevel="1">
      <c r="B893" s="579"/>
      <c r="C893" s="281"/>
      <c r="D893" s="834"/>
      <c r="E893" s="1138" t="s">
        <v>3185</v>
      </c>
      <c r="F893" s="299"/>
      <c r="G893" s="299"/>
      <c r="H893" s="299"/>
      <c r="I893" s="1270"/>
      <c r="J893" s="1270"/>
      <c r="K893" s="1270"/>
      <c r="L893" s="1270"/>
      <c r="V893" s="273" t="str">
        <f t="shared" ref="V893:V899" si="140">IF(C891&gt;0,C891," ")</f>
        <v xml:space="preserve"> </v>
      </c>
      <c r="AK893" s="358"/>
    </row>
    <row r="894" spans="2:114" hidden="1" outlineLevel="1">
      <c r="B894" s="579"/>
      <c r="C894" s="281"/>
      <c r="D894" s="834"/>
      <c r="E894" s="1138" t="s">
        <v>3186</v>
      </c>
      <c r="F894" s="299"/>
      <c r="G894" s="299"/>
      <c r="H894" s="299"/>
      <c r="I894" s="1270"/>
      <c r="J894" s="1270"/>
      <c r="K894" s="1270"/>
      <c r="L894" s="1270"/>
      <c r="V894" s="273" t="str">
        <f t="shared" si="140"/>
        <v xml:space="preserve"> </v>
      </c>
      <c r="AK894" s="358"/>
    </row>
    <row r="895" spans="2:114" hidden="1" outlineLevel="1">
      <c r="B895" s="579"/>
      <c r="C895" s="281"/>
      <c r="D895" s="834"/>
      <c r="E895" s="834"/>
      <c r="F895" s="299"/>
      <c r="G895" s="299"/>
      <c r="H895" s="299"/>
      <c r="I895" s="1270"/>
      <c r="J895" s="1270"/>
      <c r="K895" s="1270"/>
      <c r="L895" s="1270"/>
      <c r="V895" s="273" t="str">
        <f t="shared" si="140"/>
        <v xml:space="preserve"> </v>
      </c>
      <c r="AK895" s="358"/>
    </row>
    <row r="896" spans="2:114" hidden="1" outlineLevel="1">
      <c r="B896" s="579"/>
      <c r="C896" s="281"/>
      <c r="D896" s="834"/>
      <c r="E896" s="834"/>
      <c r="F896" s="299"/>
      <c r="G896" s="299"/>
      <c r="H896" s="299"/>
      <c r="I896" s="1270"/>
      <c r="J896" s="1270"/>
      <c r="K896" s="1270"/>
      <c r="L896" s="1270"/>
      <c r="V896" s="273" t="str">
        <f t="shared" si="140"/>
        <v xml:space="preserve"> </v>
      </c>
      <c r="AK896" s="358"/>
    </row>
    <row r="897" spans="2:37" hidden="1" outlineLevel="1">
      <c r="B897" s="579"/>
      <c r="C897" s="281"/>
      <c r="D897" s="834"/>
      <c r="E897" s="834"/>
      <c r="F897" s="299"/>
      <c r="G897" s="299"/>
      <c r="H897" s="299"/>
      <c r="I897" s="1270"/>
      <c r="J897" s="1270"/>
      <c r="K897" s="1270"/>
      <c r="L897" s="1270"/>
      <c r="V897" s="273" t="str">
        <f t="shared" si="140"/>
        <v xml:space="preserve"> </v>
      </c>
      <c r="AK897" s="358"/>
    </row>
    <row r="898" spans="2:37" ht="15" hidden="1" customHeight="1" outlineLevel="1">
      <c r="B898" s="579"/>
      <c r="C898" s="281"/>
      <c r="D898" s="834"/>
      <c r="E898" s="834"/>
      <c r="F898" s="299"/>
      <c r="G898" s="299"/>
      <c r="H898" s="299"/>
      <c r="I898" s="1270"/>
      <c r="J898" s="1270"/>
      <c r="K898" s="1270"/>
      <c r="L898" s="1270"/>
      <c r="V898" s="273" t="str">
        <f t="shared" si="140"/>
        <v xml:space="preserve"> </v>
      </c>
      <c r="AK898" s="358"/>
    </row>
    <row r="899" spans="2:37" hidden="1" outlineLevel="1">
      <c r="B899" s="579"/>
      <c r="C899" s="281"/>
      <c r="V899" s="273" t="str">
        <f t="shared" si="140"/>
        <v xml:space="preserve"> </v>
      </c>
      <c r="AK899" s="358"/>
    </row>
    <row r="900" spans="2:37" hidden="1" outlineLevel="1">
      <c r="B900" s="579"/>
      <c r="C900" s="281"/>
      <c r="D900" s="1443" t="s">
        <v>1078</v>
      </c>
      <c r="E900" s="1443" t="s">
        <v>967</v>
      </c>
      <c r="F900" s="1371" t="s">
        <v>969</v>
      </c>
      <c r="G900" s="1371" t="s">
        <v>970</v>
      </c>
      <c r="H900" s="1371" t="s">
        <v>1079</v>
      </c>
      <c r="V900" s="668" t="s">
        <v>52</v>
      </c>
      <c r="W900" s="669">
        <f>W$6</f>
        <v>43252</v>
      </c>
      <c r="X900" s="669">
        <f t="shared" ref="X900:AG900" si="141">X$6</f>
        <v>43465</v>
      </c>
      <c r="Y900" s="115">
        <f t="shared" si="141"/>
        <v>43800</v>
      </c>
      <c r="Z900" s="669">
        <f t="shared" si="141"/>
        <v>43862</v>
      </c>
      <c r="AA900" s="669">
        <f t="shared" si="141"/>
        <v>44013</v>
      </c>
      <c r="AB900" s="669">
        <f t="shared" si="141"/>
        <v>44166</v>
      </c>
      <c r="AC900" s="669">
        <f t="shared" si="141"/>
        <v>44531</v>
      </c>
      <c r="AD900" s="669">
        <f t="shared" si="141"/>
        <v>44774</v>
      </c>
      <c r="AE900" s="669">
        <f t="shared" si="141"/>
        <v>45139</v>
      </c>
      <c r="AF900" s="669">
        <f t="shared" si="141"/>
        <v>45672</v>
      </c>
      <c r="AG900" s="669" t="str">
        <f t="shared" si="141"/>
        <v>-</v>
      </c>
      <c r="AK900" s="358"/>
    </row>
    <row r="901" spans="2:37" ht="87" hidden="1" customHeight="1" outlineLevel="1">
      <c r="B901" s="579"/>
      <c r="C901" s="281"/>
      <c r="D901" s="4200" t="s">
        <v>2695</v>
      </c>
      <c r="E901" s="128" t="s">
        <v>1115</v>
      </c>
      <c r="F901" s="1680">
        <v>869</v>
      </c>
      <c r="G901" s="4575" t="s">
        <v>3187</v>
      </c>
      <c r="H901" s="1430"/>
      <c r="V901" s="4424" t="str">
        <f>D901</f>
        <v>EFLHcool</v>
      </c>
      <c r="W901" s="279">
        <v>1215</v>
      </c>
      <c r="X901" s="301">
        <v>1215</v>
      </c>
      <c r="Y901" s="301">
        <v>869</v>
      </c>
      <c r="Z901" s="315">
        <v>869</v>
      </c>
      <c r="AA901" s="315">
        <v>869</v>
      </c>
      <c r="AB901" s="315">
        <v>869</v>
      </c>
      <c r="AC901" s="315">
        <v>869</v>
      </c>
      <c r="AD901" s="315">
        <v>869</v>
      </c>
      <c r="AE901" s="315">
        <v>869</v>
      </c>
      <c r="AF901" s="271">
        <f t="shared" ref="AF901:AF947" si="142">IF(F901&lt;&gt;"",F901,"")</f>
        <v>869</v>
      </c>
      <c r="AG901" s="279"/>
      <c r="AK901" s="358"/>
    </row>
    <row r="902" spans="2:37" ht="23.25" hidden="1" customHeight="1" outlineLevel="1">
      <c r="B902" s="579"/>
      <c r="C902" s="281"/>
      <c r="D902" s="4200"/>
      <c r="E902" s="2432" t="s">
        <v>1465</v>
      </c>
      <c r="F902" s="2485">
        <v>632</v>
      </c>
      <c r="G902" s="4577"/>
      <c r="H902" s="1430"/>
      <c r="V902" s="4425"/>
      <c r="W902" s="2586"/>
      <c r="X902" s="2587"/>
      <c r="Y902" s="2494">
        <v>632</v>
      </c>
      <c r="Z902" s="2493">
        <v>632</v>
      </c>
      <c r="AA902" s="2493">
        <v>632</v>
      </c>
      <c r="AB902" s="2493">
        <v>632</v>
      </c>
      <c r="AC902" s="2493">
        <v>632</v>
      </c>
      <c r="AD902" s="2493">
        <v>632</v>
      </c>
      <c r="AE902" s="2493">
        <v>632</v>
      </c>
      <c r="AF902" s="2236">
        <f t="shared" si="142"/>
        <v>632</v>
      </c>
      <c r="AG902" s="279"/>
      <c r="AK902" s="358"/>
    </row>
    <row r="903" spans="2:37" ht="60" hidden="1" outlineLevel="1">
      <c r="B903" s="579"/>
      <c r="C903" s="281"/>
      <c r="D903" s="4200" t="s">
        <v>3188</v>
      </c>
      <c r="E903" s="128" t="s">
        <v>3164</v>
      </c>
      <c r="F903" s="1688">
        <v>20240</v>
      </c>
      <c r="G903" s="1407" t="s">
        <v>3189</v>
      </c>
      <c r="H903" s="1430"/>
      <c r="V903" s="4424" t="str">
        <f>D903</f>
        <v>CapacityCooling</v>
      </c>
      <c r="W903" s="279">
        <f>0.65*36000</f>
        <v>23400</v>
      </c>
      <c r="X903" s="311">
        <v>21100</v>
      </c>
      <c r="Y903" s="300">
        <v>20240</v>
      </c>
      <c r="Z903" s="444">
        <v>20240</v>
      </c>
      <c r="AA903" s="444">
        <v>20240</v>
      </c>
      <c r="AB903" s="444">
        <v>20240</v>
      </c>
      <c r="AC903" s="793">
        <v>20240</v>
      </c>
      <c r="AD903" s="793">
        <v>20240</v>
      </c>
      <c r="AE903" s="793">
        <v>20240</v>
      </c>
      <c r="AF903" s="271">
        <f t="shared" si="142"/>
        <v>20240</v>
      </c>
      <c r="AG903" s="290"/>
      <c r="AK903" s="358"/>
    </row>
    <row r="904" spans="2:37" hidden="1" outlineLevel="1">
      <c r="B904" s="579"/>
      <c r="C904" s="281"/>
      <c r="D904" s="4200"/>
      <c r="E904" s="128" t="s">
        <v>3167</v>
      </c>
      <c r="F904" s="1688">
        <v>36000</v>
      </c>
      <c r="G904" s="1633" t="s">
        <v>1080</v>
      </c>
      <c r="H904" s="1430"/>
      <c r="V904" s="4425"/>
      <c r="W904" s="279">
        <v>36000</v>
      </c>
      <c r="X904" s="301">
        <v>36000</v>
      </c>
      <c r="Y904" s="301">
        <v>36000</v>
      </c>
      <c r="Z904" s="315">
        <v>36000</v>
      </c>
      <c r="AA904" s="315">
        <v>36000</v>
      </c>
      <c r="AB904" s="315">
        <v>36000</v>
      </c>
      <c r="AC904" s="794">
        <v>36000</v>
      </c>
      <c r="AD904" s="794">
        <v>36000</v>
      </c>
      <c r="AE904" s="794">
        <v>36000</v>
      </c>
      <c r="AF904" s="271">
        <f t="shared" si="142"/>
        <v>36000</v>
      </c>
      <c r="AG904" s="290"/>
      <c r="AK904" s="358"/>
    </row>
    <row r="905" spans="2:37" ht="60" hidden="1" outlineLevel="1">
      <c r="B905" s="579"/>
      <c r="C905" s="281"/>
      <c r="D905" s="4200"/>
      <c r="E905" s="1411" t="s">
        <v>3169</v>
      </c>
      <c r="F905" s="1688">
        <v>20240</v>
      </c>
      <c r="G905" s="1407" t="s">
        <v>3189</v>
      </c>
      <c r="H905" s="1430"/>
      <c r="V905" s="4425"/>
      <c r="W905" s="279">
        <f>0.65*36000</f>
        <v>23400</v>
      </c>
      <c r="X905" s="311">
        <v>21100</v>
      </c>
      <c r="Y905" s="300">
        <v>20240</v>
      </c>
      <c r="Z905" s="444">
        <v>20240</v>
      </c>
      <c r="AA905" s="444">
        <v>20240</v>
      </c>
      <c r="AB905" s="444">
        <v>20240</v>
      </c>
      <c r="AC905" s="793">
        <v>20240</v>
      </c>
      <c r="AD905" s="793">
        <v>20240</v>
      </c>
      <c r="AE905" s="793">
        <v>20240</v>
      </c>
      <c r="AF905" s="271">
        <f t="shared" si="142"/>
        <v>20240</v>
      </c>
      <c r="AG905" s="290"/>
      <c r="AK905" s="358"/>
    </row>
    <row r="906" spans="2:37" hidden="1" outlineLevel="1">
      <c r="B906" s="579"/>
      <c r="C906" s="281"/>
      <c r="D906" s="4200"/>
      <c r="E906" s="1411" t="s">
        <v>3172</v>
      </c>
      <c r="F906" s="1688">
        <v>36000</v>
      </c>
      <c r="G906" s="1633" t="s">
        <v>1080</v>
      </c>
      <c r="H906" s="1430"/>
      <c r="V906" s="4425"/>
      <c r="W906" s="279">
        <v>36000</v>
      </c>
      <c r="X906" s="301">
        <v>36000</v>
      </c>
      <c r="Y906" s="301">
        <v>36000</v>
      </c>
      <c r="Z906" s="315">
        <v>36000</v>
      </c>
      <c r="AA906" s="315">
        <v>36000</v>
      </c>
      <c r="AB906" s="315">
        <v>36000</v>
      </c>
      <c r="AC906" s="794">
        <v>36000</v>
      </c>
      <c r="AD906" s="794">
        <v>36000</v>
      </c>
      <c r="AE906" s="794">
        <v>36000</v>
      </c>
      <c r="AF906" s="271">
        <f t="shared" si="142"/>
        <v>36000</v>
      </c>
      <c r="AG906" s="290"/>
      <c r="AK906" s="358"/>
    </row>
    <row r="907" spans="2:37" ht="60" hidden="1" outlineLevel="1">
      <c r="B907" s="579"/>
      <c r="C907" s="281"/>
      <c r="D907" s="4200"/>
      <c r="E907" s="1411" t="s">
        <v>3174</v>
      </c>
      <c r="F907" s="1688">
        <v>20240</v>
      </c>
      <c r="G907" s="1407" t="s">
        <v>3189</v>
      </c>
      <c r="H907" s="1430"/>
      <c r="V907" s="4425"/>
      <c r="W907" s="279">
        <f>0.65*36000</f>
        <v>23400</v>
      </c>
      <c r="X907" s="311">
        <v>21100</v>
      </c>
      <c r="Y907" s="300">
        <v>20240</v>
      </c>
      <c r="Z907" s="444">
        <v>20240</v>
      </c>
      <c r="AA907" s="444">
        <v>20240</v>
      </c>
      <c r="AB907" s="444">
        <v>20240</v>
      </c>
      <c r="AC907" s="793">
        <v>20240</v>
      </c>
      <c r="AD907" s="793">
        <v>20240</v>
      </c>
      <c r="AE907" s="793">
        <v>20240</v>
      </c>
      <c r="AF907" s="271">
        <f t="shared" si="142"/>
        <v>20240</v>
      </c>
      <c r="AG907" s="290"/>
      <c r="AK907" s="358"/>
    </row>
    <row r="908" spans="2:37" hidden="1" outlineLevel="1">
      <c r="B908" s="579"/>
      <c r="C908" s="281"/>
      <c r="D908" s="4200"/>
      <c r="E908" s="1411" t="s">
        <v>3177</v>
      </c>
      <c r="F908" s="1688">
        <v>36000</v>
      </c>
      <c r="G908" s="1633" t="s">
        <v>1080</v>
      </c>
      <c r="H908" s="1430"/>
      <c r="V908" s="4425"/>
      <c r="W908" s="279">
        <v>36000</v>
      </c>
      <c r="X908" s="301">
        <v>36000</v>
      </c>
      <c r="Y908" s="301">
        <v>36000</v>
      </c>
      <c r="Z908" s="315">
        <v>36000</v>
      </c>
      <c r="AA908" s="315">
        <v>36000</v>
      </c>
      <c r="AB908" s="315">
        <v>36000</v>
      </c>
      <c r="AC908" s="794">
        <v>36000</v>
      </c>
      <c r="AD908" s="794">
        <v>36000</v>
      </c>
      <c r="AE908" s="794">
        <v>36000</v>
      </c>
      <c r="AF908" s="271">
        <f t="shared" si="142"/>
        <v>36000</v>
      </c>
      <c r="AG908" s="290"/>
      <c r="AK908" s="358"/>
    </row>
    <row r="909" spans="2:37" ht="60" hidden="1" outlineLevel="1">
      <c r="B909" s="579"/>
      <c r="C909" s="281"/>
      <c r="D909" s="4200"/>
      <c r="E909" s="128" t="s">
        <v>3179</v>
      </c>
      <c r="F909" s="1688">
        <v>20240</v>
      </c>
      <c r="G909" s="1407" t="s">
        <v>3189</v>
      </c>
      <c r="H909" s="1430"/>
      <c r="V909" s="4425"/>
      <c r="W909" s="279">
        <f>0.65*36000</f>
        <v>23400</v>
      </c>
      <c r="X909" s="311">
        <v>21100</v>
      </c>
      <c r="Y909" s="300">
        <v>20240</v>
      </c>
      <c r="Z909" s="444">
        <v>20240</v>
      </c>
      <c r="AA909" s="444">
        <v>20240</v>
      </c>
      <c r="AB909" s="444">
        <v>20240</v>
      </c>
      <c r="AC909" s="793">
        <v>20240</v>
      </c>
      <c r="AD909" s="793">
        <v>20240</v>
      </c>
      <c r="AE909" s="793">
        <v>20240</v>
      </c>
      <c r="AF909" s="271">
        <f t="shared" si="142"/>
        <v>20240</v>
      </c>
      <c r="AG909" s="290"/>
      <c r="AK909" s="358"/>
    </row>
    <row r="910" spans="2:37" hidden="1" outlineLevel="1">
      <c r="B910" s="579"/>
      <c r="C910" s="281"/>
      <c r="D910" s="4200"/>
      <c r="E910" s="128" t="s">
        <v>3182</v>
      </c>
      <c r="F910" s="1688">
        <v>36000</v>
      </c>
      <c r="G910" s="1633" t="s">
        <v>1080</v>
      </c>
      <c r="H910" s="1430"/>
      <c r="V910" s="4437"/>
      <c r="W910" s="279">
        <v>36000</v>
      </c>
      <c r="X910" s="301">
        <v>36000</v>
      </c>
      <c r="Y910" s="301">
        <v>36000</v>
      </c>
      <c r="Z910" s="315">
        <v>36000</v>
      </c>
      <c r="AA910" s="315">
        <v>36000</v>
      </c>
      <c r="AB910" s="315">
        <v>36000</v>
      </c>
      <c r="AC910" s="794">
        <v>36000</v>
      </c>
      <c r="AD910" s="794">
        <v>36000</v>
      </c>
      <c r="AE910" s="794">
        <v>36000</v>
      </c>
      <c r="AF910" s="271">
        <f t="shared" si="142"/>
        <v>36000</v>
      </c>
      <c r="AG910" s="290"/>
      <c r="AK910" s="358"/>
    </row>
    <row r="911" spans="2:37" ht="75" hidden="1" outlineLevel="1">
      <c r="B911" s="579"/>
      <c r="C911" s="281"/>
      <c r="D911" s="1422" t="s">
        <v>3190</v>
      </c>
      <c r="E911" s="128" t="s">
        <v>1102</v>
      </c>
      <c r="F911" s="1689">
        <v>10</v>
      </c>
      <c r="G911" s="1601" t="s">
        <v>3191</v>
      </c>
      <c r="H911" s="1407" t="s">
        <v>1084</v>
      </c>
      <c r="V911" s="289" t="str">
        <f>D911</f>
        <v>SEER</v>
      </c>
      <c r="W911" s="279">
        <v>11</v>
      </c>
      <c r="X911" s="311">
        <v>10</v>
      </c>
      <c r="Y911" s="315">
        <v>10</v>
      </c>
      <c r="Z911" s="315">
        <v>10</v>
      </c>
      <c r="AA911" s="315">
        <v>10</v>
      </c>
      <c r="AB911" s="315">
        <v>10</v>
      </c>
      <c r="AC911" s="315">
        <v>10</v>
      </c>
      <c r="AD911" s="315">
        <v>10</v>
      </c>
      <c r="AE911" s="315">
        <v>10</v>
      </c>
      <c r="AF911" s="271">
        <f t="shared" si="142"/>
        <v>10</v>
      </c>
      <c r="AG911" s="279"/>
      <c r="AK911" s="358"/>
    </row>
    <row r="912" spans="2:37" ht="75" hidden="1" outlineLevel="1">
      <c r="B912" s="579"/>
      <c r="C912" s="281"/>
      <c r="D912" s="1422" t="s">
        <v>3192</v>
      </c>
      <c r="E912" s="128" t="s">
        <v>1102</v>
      </c>
      <c r="F912" s="1681">
        <v>1.9083333333333337</v>
      </c>
      <c r="G912" s="1407" t="s">
        <v>3193</v>
      </c>
      <c r="H912" s="1430"/>
      <c r="V912" s="289" t="str">
        <f>D912</f>
        <v>Sbdegreescooling</v>
      </c>
      <c r="W912" s="290">
        <v>3.67</v>
      </c>
      <c r="X912" s="398">
        <v>3.67</v>
      </c>
      <c r="Y912" s="304">
        <v>1.9083333333333337</v>
      </c>
      <c r="Z912" s="398">
        <v>1.9083333333333337</v>
      </c>
      <c r="AA912" s="398">
        <v>1.9083333333333337</v>
      </c>
      <c r="AB912" s="398">
        <v>1.9083333333333337</v>
      </c>
      <c r="AC912" s="398">
        <v>1.9083333333333337</v>
      </c>
      <c r="AD912" s="398">
        <v>1.9083333333333337</v>
      </c>
      <c r="AE912" s="398">
        <v>1.9083333333333337</v>
      </c>
      <c r="AF912" s="271">
        <f t="shared" si="142"/>
        <v>1.9083333333333337</v>
      </c>
      <c r="AG912" s="290"/>
      <c r="AK912" s="358"/>
    </row>
    <row r="913" spans="2:37" ht="75" hidden="1" outlineLevel="1">
      <c r="B913" s="579"/>
      <c r="C913" s="281"/>
      <c r="D913" s="1422" t="s">
        <v>3194</v>
      </c>
      <c r="E913" s="128" t="s">
        <v>1102</v>
      </c>
      <c r="F913" s="1685">
        <v>0.06</v>
      </c>
      <c r="G913" s="1407" t="s">
        <v>3195</v>
      </c>
      <c r="H913" s="1430"/>
      <c r="V913" s="289" t="str">
        <f>D913</f>
        <v>SFcooling</v>
      </c>
      <c r="W913" s="287">
        <v>0.06</v>
      </c>
      <c r="X913" s="302">
        <v>0.06</v>
      </c>
      <c r="Y913" s="192">
        <v>0.06</v>
      </c>
      <c r="Z913" s="190">
        <v>0.06</v>
      </c>
      <c r="AA913" s="190">
        <v>0.06</v>
      </c>
      <c r="AB913" s="190">
        <v>0.06</v>
      </c>
      <c r="AC913" s="190">
        <v>0.06</v>
      </c>
      <c r="AD913" s="190">
        <v>0.06</v>
      </c>
      <c r="AE913" s="190">
        <v>0.06</v>
      </c>
      <c r="AF913" s="271">
        <f t="shared" si="142"/>
        <v>0.06</v>
      </c>
      <c r="AG913" s="287"/>
      <c r="AK913" s="358"/>
    </row>
    <row r="914" spans="2:37" ht="60" hidden="1" outlineLevel="1">
      <c r="B914" s="579"/>
      <c r="C914" s="281"/>
      <c r="D914" s="1422" t="s">
        <v>3196</v>
      </c>
      <c r="E914" s="128" t="s">
        <v>1102</v>
      </c>
      <c r="F914" s="1685">
        <v>1</v>
      </c>
      <c r="G914" s="1407" t="s">
        <v>3197</v>
      </c>
      <c r="H914" s="128"/>
      <c r="V914" s="289" t="str">
        <f>D914</f>
        <v>EFcooling</v>
      </c>
      <c r="W914" s="287">
        <v>0.18</v>
      </c>
      <c r="X914" s="192">
        <v>1</v>
      </c>
      <c r="Y914" s="190">
        <v>1</v>
      </c>
      <c r="Z914" s="190">
        <v>1</v>
      </c>
      <c r="AA914" s="190">
        <v>1</v>
      </c>
      <c r="AB914" s="190">
        <v>1</v>
      </c>
      <c r="AC914" s="190">
        <v>1</v>
      </c>
      <c r="AD914" s="190">
        <v>1</v>
      </c>
      <c r="AE914" s="190">
        <v>1</v>
      </c>
      <c r="AF914" s="271">
        <f t="shared" si="142"/>
        <v>1</v>
      </c>
      <c r="AG914" s="287"/>
      <c r="AK914" s="358"/>
    </row>
    <row r="915" spans="2:37" hidden="1" outlineLevel="1">
      <c r="B915" s="579"/>
      <c r="C915" s="281"/>
      <c r="D915" s="4084" t="s">
        <v>353</v>
      </c>
      <c r="E915" s="128" t="s">
        <v>3164</v>
      </c>
      <c r="F915" s="525">
        <v>1</v>
      </c>
      <c r="G915" s="1633" t="s">
        <v>1080</v>
      </c>
      <c r="H915" s="1430"/>
      <c r="V915" s="4424" t="str">
        <f>D915</f>
        <v>%ElectricHeat</v>
      </c>
      <c r="W915" s="287">
        <v>1</v>
      </c>
      <c r="X915" s="302">
        <v>1</v>
      </c>
      <c r="Y915" s="302">
        <v>1</v>
      </c>
      <c r="Z915" s="190">
        <v>1</v>
      </c>
      <c r="AA915" s="190">
        <v>1</v>
      </c>
      <c r="AB915" s="190">
        <v>1</v>
      </c>
      <c r="AC915" s="190">
        <v>1</v>
      </c>
      <c r="AD915" s="190">
        <v>1</v>
      </c>
      <c r="AE915" s="190">
        <v>1</v>
      </c>
      <c r="AF915" s="271">
        <f t="shared" si="142"/>
        <v>1</v>
      </c>
      <c r="AG915" s="287"/>
      <c r="AK915" s="358"/>
    </row>
    <row r="916" spans="2:37" hidden="1" outlineLevel="1">
      <c r="B916" s="579"/>
      <c r="C916" s="281"/>
      <c r="D916" s="4085"/>
      <c r="E916" s="128" t="s">
        <v>3167</v>
      </c>
      <c r="F916" s="525">
        <v>1</v>
      </c>
      <c r="G916" s="1633" t="s">
        <v>1080</v>
      </c>
      <c r="H916" s="1430"/>
      <c r="V916" s="4425"/>
      <c r="W916" s="287">
        <v>1</v>
      </c>
      <c r="X916" s="302">
        <v>1</v>
      </c>
      <c r="Y916" s="302">
        <v>1</v>
      </c>
      <c r="Z916" s="190">
        <v>1</v>
      </c>
      <c r="AA916" s="190">
        <v>1</v>
      </c>
      <c r="AB916" s="190">
        <v>1</v>
      </c>
      <c r="AC916" s="190">
        <v>1</v>
      </c>
      <c r="AD916" s="190">
        <v>1</v>
      </c>
      <c r="AE916" s="190">
        <v>1</v>
      </c>
      <c r="AF916" s="271">
        <f t="shared" si="142"/>
        <v>1</v>
      </c>
      <c r="AG916" s="287"/>
      <c r="AK916" s="358"/>
    </row>
    <row r="917" spans="2:37" hidden="1" outlineLevel="1">
      <c r="B917" s="579"/>
      <c r="C917" s="281"/>
      <c r="D917" s="4085"/>
      <c r="E917" s="1411" t="s">
        <v>3169</v>
      </c>
      <c r="F917" s="525">
        <v>1</v>
      </c>
      <c r="G917" s="1633" t="s">
        <v>1080</v>
      </c>
      <c r="H917" s="1430"/>
      <c r="V917" s="4425"/>
      <c r="W917" s="287">
        <v>1</v>
      </c>
      <c r="X917" s="302">
        <v>1</v>
      </c>
      <c r="Y917" s="302">
        <v>1</v>
      </c>
      <c r="Z917" s="190">
        <v>1</v>
      </c>
      <c r="AA917" s="190">
        <v>1</v>
      </c>
      <c r="AB917" s="190">
        <v>1</v>
      </c>
      <c r="AC917" s="190">
        <v>1</v>
      </c>
      <c r="AD917" s="190">
        <v>1</v>
      </c>
      <c r="AE917" s="190">
        <v>1</v>
      </c>
      <c r="AF917" s="271">
        <f t="shared" si="142"/>
        <v>1</v>
      </c>
      <c r="AG917" s="287"/>
      <c r="AK917" s="358"/>
    </row>
    <row r="918" spans="2:37" hidden="1" outlineLevel="1">
      <c r="B918" s="579"/>
      <c r="C918" s="281"/>
      <c r="D918" s="4085"/>
      <c r="E918" s="1411" t="s">
        <v>3172</v>
      </c>
      <c r="F918" s="525">
        <v>1</v>
      </c>
      <c r="G918" s="1633" t="s">
        <v>1080</v>
      </c>
      <c r="H918" s="1430"/>
      <c r="V918" s="4425"/>
      <c r="W918" s="287">
        <v>1</v>
      </c>
      <c r="X918" s="302">
        <v>1</v>
      </c>
      <c r="Y918" s="302">
        <v>1</v>
      </c>
      <c r="Z918" s="190">
        <v>1</v>
      </c>
      <c r="AA918" s="190">
        <v>1</v>
      </c>
      <c r="AB918" s="190">
        <v>1</v>
      </c>
      <c r="AC918" s="190">
        <v>1</v>
      </c>
      <c r="AD918" s="190">
        <v>1</v>
      </c>
      <c r="AE918" s="190">
        <v>1</v>
      </c>
      <c r="AF918" s="271">
        <f t="shared" si="142"/>
        <v>1</v>
      </c>
      <c r="AG918" s="287"/>
      <c r="AK918" s="358"/>
    </row>
    <row r="919" spans="2:37" hidden="1" outlineLevel="1">
      <c r="B919" s="579"/>
      <c r="C919" s="281"/>
      <c r="D919" s="4085"/>
      <c r="E919" s="1411" t="s">
        <v>3174</v>
      </c>
      <c r="F919" s="525">
        <v>0</v>
      </c>
      <c r="G919" s="1633" t="s">
        <v>1080</v>
      </c>
      <c r="H919" s="1430"/>
      <c r="V919" s="4425"/>
      <c r="W919" s="287">
        <v>0</v>
      </c>
      <c r="X919" s="302">
        <v>0</v>
      </c>
      <c r="Y919" s="302">
        <v>0</v>
      </c>
      <c r="Z919" s="190">
        <v>0</v>
      </c>
      <c r="AA919" s="190">
        <v>0</v>
      </c>
      <c r="AB919" s="190">
        <v>0</v>
      </c>
      <c r="AC919" s="190">
        <v>0</v>
      </c>
      <c r="AD919" s="190">
        <v>0</v>
      </c>
      <c r="AE919" s="190">
        <v>0</v>
      </c>
      <c r="AF919" s="271">
        <f t="shared" si="142"/>
        <v>0</v>
      </c>
      <c r="AG919" s="287"/>
      <c r="AK919" s="358"/>
    </row>
    <row r="920" spans="2:37" hidden="1" outlineLevel="1">
      <c r="B920" s="579"/>
      <c r="C920" s="281"/>
      <c r="D920" s="4085"/>
      <c r="E920" s="1411" t="s">
        <v>3177</v>
      </c>
      <c r="F920" s="525">
        <v>0</v>
      </c>
      <c r="G920" s="1633" t="s">
        <v>1080</v>
      </c>
      <c r="H920" s="1430"/>
      <c r="V920" s="4425"/>
      <c r="W920" s="287">
        <v>0</v>
      </c>
      <c r="X920" s="302">
        <v>0</v>
      </c>
      <c r="Y920" s="302">
        <v>0</v>
      </c>
      <c r="Z920" s="190">
        <v>0</v>
      </c>
      <c r="AA920" s="190">
        <v>0</v>
      </c>
      <c r="AB920" s="190">
        <v>0</v>
      </c>
      <c r="AC920" s="190">
        <v>0</v>
      </c>
      <c r="AD920" s="190">
        <v>0</v>
      </c>
      <c r="AE920" s="190">
        <v>0</v>
      </c>
      <c r="AF920" s="271">
        <f t="shared" si="142"/>
        <v>0</v>
      </c>
      <c r="AG920" s="287"/>
      <c r="AK920" s="358"/>
    </row>
    <row r="921" spans="2:37" hidden="1" outlineLevel="1">
      <c r="B921" s="579"/>
      <c r="C921" s="281"/>
      <c r="D921" s="4085"/>
      <c r="E921" s="128" t="s">
        <v>3179</v>
      </c>
      <c r="F921" s="525">
        <f>0.35*0.71</f>
        <v>0.24849999999999997</v>
      </c>
      <c r="G921" s="1633" t="s">
        <v>1080</v>
      </c>
      <c r="H921" s="1430"/>
      <c r="V921" s="4425"/>
      <c r="W921" s="287">
        <f>0.35*0.71</f>
        <v>0.24849999999999997</v>
      </c>
      <c r="X921" s="302">
        <f>0.35*0.71</f>
        <v>0.24849999999999997</v>
      </c>
      <c r="Y921" s="302">
        <v>0.24849999999999997</v>
      </c>
      <c r="Z921" s="190">
        <v>0.24849999999999997</v>
      </c>
      <c r="AA921" s="190">
        <v>0.24849999999999997</v>
      </c>
      <c r="AB921" s="190">
        <v>0.24849999999999997</v>
      </c>
      <c r="AC921" s="190">
        <v>0.24849999999999997</v>
      </c>
      <c r="AD921" s="190">
        <v>0.24849999999999997</v>
      </c>
      <c r="AE921" s="190">
        <v>0.24849999999999997</v>
      </c>
      <c r="AF921" s="271">
        <f t="shared" si="142"/>
        <v>0.24849999999999997</v>
      </c>
      <c r="AG921" s="287"/>
      <c r="AK921" s="358"/>
    </row>
    <row r="922" spans="2:37" hidden="1" outlineLevel="1">
      <c r="B922" s="579"/>
      <c r="C922" s="281"/>
      <c r="D922" s="4095"/>
      <c r="E922" s="128" t="s">
        <v>3182</v>
      </c>
      <c r="F922" s="525">
        <f>0.35*0.71</f>
        <v>0.24849999999999997</v>
      </c>
      <c r="G922" s="1633" t="s">
        <v>1080</v>
      </c>
      <c r="H922" s="1430"/>
      <c r="V922" s="4437"/>
      <c r="W922" s="287">
        <f>0.35*0.71</f>
        <v>0.24849999999999997</v>
      </c>
      <c r="X922" s="302">
        <f>0.35*0.71</f>
        <v>0.24849999999999997</v>
      </c>
      <c r="Y922" s="302">
        <v>0.24849999999999997</v>
      </c>
      <c r="Z922" s="190">
        <v>0.24849999999999997</v>
      </c>
      <c r="AA922" s="190">
        <v>0.24849999999999997</v>
      </c>
      <c r="AB922" s="190">
        <v>0.24849999999999997</v>
      </c>
      <c r="AC922" s="190">
        <v>0.24849999999999997</v>
      </c>
      <c r="AD922" s="190">
        <v>0.24849999999999997</v>
      </c>
      <c r="AE922" s="190">
        <v>0.24849999999999997</v>
      </c>
      <c r="AF922" s="271">
        <f t="shared" si="142"/>
        <v>0.24849999999999997</v>
      </c>
      <c r="AG922" s="287"/>
      <c r="AK922" s="358"/>
    </row>
    <row r="923" spans="2:37" ht="32.65" hidden="1" customHeight="1" outlineLevel="1">
      <c r="B923" s="579"/>
      <c r="C923" s="281"/>
      <c r="D923" s="4084" t="s">
        <v>3061</v>
      </c>
      <c r="E923" s="128" t="s">
        <v>1115</v>
      </c>
      <c r="F923" s="1680">
        <v>1496</v>
      </c>
      <c r="G923" s="1388" t="s">
        <v>2108</v>
      </c>
      <c r="H923" s="1430"/>
      <c r="V923" s="4424" t="str">
        <f>D923</f>
        <v>EFLHheat</v>
      </c>
      <c r="W923" s="279">
        <v>2009</v>
      </c>
      <c r="X923" s="301">
        <v>2009</v>
      </c>
      <c r="Y923" s="301">
        <v>1496</v>
      </c>
      <c r="Z923" s="315">
        <v>1496</v>
      </c>
      <c r="AA923" s="315">
        <v>1496</v>
      </c>
      <c r="AB923" s="315">
        <v>1496</v>
      </c>
      <c r="AC923" s="315">
        <v>1496</v>
      </c>
      <c r="AD923" s="315">
        <v>1496</v>
      </c>
      <c r="AE923" s="315">
        <v>1496</v>
      </c>
      <c r="AF923" s="271">
        <f t="shared" si="142"/>
        <v>1496</v>
      </c>
      <c r="AG923" s="279"/>
      <c r="AK923" s="358"/>
    </row>
    <row r="924" spans="2:37" ht="45" hidden="1" outlineLevel="1">
      <c r="B924" s="579"/>
      <c r="C924" s="281"/>
      <c r="D924" s="4085"/>
      <c r="E924" s="2432" t="s">
        <v>1465</v>
      </c>
      <c r="F924" s="2485">
        <v>510</v>
      </c>
      <c r="G924" s="1444" t="s">
        <v>2108</v>
      </c>
      <c r="H924" s="1430"/>
      <c r="V924" s="4425"/>
      <c r="W924" s="279"/>
      <c r="X924" s="301"/>
      <c r="Y924" s="2494">
        <v>510</v>
      </c>
      <c r="Z924" s="2493">
        <v>510</v>
      </c>
      <c r="AA924" s="2493">
        <v>510</v>
      </c>
      <c r="AB924" s="2493">
        <v>510</v>
      </c>
      <c r="AC924" s="2493">
        <v>510</v>
      </c>
      <c r="AD924" s="2493">
        <v>510</v>
      </c>
      <c r="AE924" s="2493">
        <v>510</v>
      </c>
      <c r="AF924" s="2236">
        <f t="shared" si="142"/>
        <v>510</v>
      </c>
      <c r="AG924" s="279"/>
      <c r="AK924" s="358"/>
    </row>
    <row r="925" spans="2:37" ht="60" hidden="1" outlineLevel="1">
      <c r="B925" s="579"/>
      <c r="C925" s="281"/>
      <c r="D925" s="4084" t="s">
        <v>3198</v>
      </c>
      <c r="E925" s="128" t="s">
        <v>3164</v>
      </c>
      <c r="F925" s="1690">
        <v>20240</v>
      </c>
      <c r="G925" s="1407" t="s">
        <v>3199</v>
      </c>
      <c r="H925" s="1430"/>
      <c r="V925" s="4424" t="str">
        <f>D925</f>
        <v>CapacityHeating</v>
      </c>
      <c r="W925" s="301">
        <v>37856</v>
      </c>
      <c r="X925" s="311">
        <v>21000</v>
      </c>
      <c r="Y925" s="311">
        <v>20240</v>
      </c>
      <c r="Z925" s="315">
        <v>20240</v>
      </c>
      <c r="AA925" s="315">
        <v>20240</v>
      </c>
      <c r="AB925" s="315">
        <v>20240</v>
      </c>
      <c r="AC925" s="315">
        <v>20240</v>
      </c>
      <c r="AD925" s="315">
        <v>20240</v>
      </c>
      <c r="AE925" s="315">
        <v>20240</v>
      </c>
      <c r="AF925" s="271">
        <f t="shared" si="142"/>
        <v>20240</v>
      </c>
      <c r="AG925" s="301"/>
      <c r="AK925" s="358"/>
    </row>
    <row r="926" spans="2:37" hidden="1" outlineLevel="1">
      <c r="B926" s="579"/>
      <c r="C926" s="281"/>
      <c r="D926" s="4085"/>
      <c r="E926" s="128" t="s">
        <v>3167</v>
      </c>
      <c r="F926" s="1691">
        <v>36000</v>
      </c>
      <c r="G926" s="1407"/>
      <c r="H926" s="1430"/>
      <c r="V926" s="4425"/>
      <c r="W926" s="301">
        <v>58240</v>
      </c>
      <c r="X926" s="301">
        <v>58240</v>
      </c>
      <c r="Y926" s="301">
        <v>58240</v>
      </c>
      <c r="Z926" s="315">
        <v>58240</v>
      </c>
      <c r="AA926" s="315">
        <v>58240</v>
      </c>
      <c r="AB926" s="315">
        <v>58240</v>
      </c>
      <c r="AC926" s="315">
        <v>58240</v>
      </c>
      <c r="AD926" s="315">
        <v>58240</v>
      </c>
      <c r="AE926" s="315">
        <v>58240</v>
      </c>
      <c r="AF926" s="271">
        <f t="shared" si="142"/>
        <v>36000</v>
      </c>
      <c r="AG926" s="301"/>
      <c r="AK926" s="358"/>
    </row>
    <row r="927" spans="2:37" ht="60" hidden="1" outlineLevel="1">
      <c r="B927" s="579"/>
      <c r="C927" s="281"/>
      <c r="D927" s="4085"/>
      <c r="E927" s="1411" t="s">
        <v>3169</v>
      </c>
      <c r="F927" s="1690">
        <v>20240</v>
      </c>
      <c r="G927" s="1407" t="s">
        <v>3199</v>
      </c>
      <c r="H927" s="1430"/>
      <c r="V927" s="4425"/>
      <c r="W927" s="301">
        <v>31368.563200000001</v>
      </c>
      <c r="X927" s="311">
        <v>21000</v>
      </c>
      <c r="Y927" s="311">
        <v>20240</v>
      </c>
      <c r="Z927" s="315">
        <v>20240</v>
      </c>
      <c r="AA927" s="315">
        <v>20240</v>
      </c>
      <c r="AB927" s="315">
        <v>20240</v>
      </c>
      <c r="AC927" s="315">
        <v>20240</v>
      </c>
      <c r="AD927" s="315">
        <v>20240</v>
      </c>
      <c r="AE927" s="315">
        <v>20240</v>
      </c>
      <c r="AF927" s="271">
        <f t="shared" si="142"/>
        <v>20240</v>
      </c>
      <c r="AG927" s="301"/>
      <c r="AK927" s="358"/>
    </row>
    <row r="928" spans="2:37" hidden="1" outlineLevel="1">
      <c r="B928" s="579"/>
      <c r="C928" s="281"/>
      <c r="D928" s="4085"/>
      <c r="E928" s="1411" t="s">
        <v>3172</v>
      </c>
      <c r="F928" s="1691">
        <v>36000</v>
      </c>
      <c r="G928" s="1407"/>
      <c r="H928" s="1430"/>
      <c r="V928" s="4425"/>
      <c r="W928" s="301">
        <v>48259.328000000001</v>
      </c>
      <c r="X928" s="301">
        <v>48259.328000000001</v>
      </c>
      <c r="Y928" s="301">
        <v>48259.328000000001</v>
      </c>
      <c r="Z928" s="315">
        <v>48259.328000000001</v>
      </c>
      <c r="AA928" s="315">
        <v>48259.328000000001</v>
      </c>
      <c r="AB928" s="315">
        <v>48259.328000000001</v>
      </c>
      <c r="AC928" s="315">
        <v>48259.328000000001</v>
      </c>
      <c r="AD928" s="315">
        <v>48259.328000000001</v>
      </c>
      <c r="AE928" s="315">
        <v>48259.328000000001</v>
      </c>
      <c r="AF928" s="271">
        <f t="shared" si="142"/>
        <v>36000</v>
      </c>
      <c r="AG928" s="301"/>
      <c r="AK928" s="358"/>
    </row>
    <row r="929" spans="2:37" hidden="1" outlineLevel="1">
      <c r="B929" s="579"/>
      <c r="C929" s="281"/>
      <c r="D929" s="4085"/>
      <c r="E929" s="1411" t="s">
        <v>3174</v>
      </c>
      <c r="F929" s="1690">
        <v>0</v>
      </c>
      <c r="G929" s="1407"/>
      <c r="H929" s="1430"/>
      <c r="V929" s="4425"/>
      <c r="W929" s="301">
        <v>0</v>
      </c>
      <c r="X929" s="301">
        <v>0</v>
      </c>
      <c r="Y929" s="301">
        <v>0</v>
      </c>
      <c r="Z929" s="315">
        <v>0</v>
      </c>
      <c r="AA929" s="315">
        <v>0</v>
      </c>
      <c r="AB929" s="315">
        <v>0</v>
      </c>
      <c r="AC929" s="315">
        <v>0</v>
      </c>
      <c r="AD929" s="315">
        <v>0</v>
      </c>
      <c r="AE929" s="315">
        <v>0</v>
      </c>
      <c r="AF929" s="271">
        <f t="shared" si="142"/>
        <v>0</v>
      </c>
      <c r="AG929" s="301"/>
      <c r="AK929" s="358"/>
    </row>
    <row r="930" spans="2:37" hidden="1" outlineLevel="1">
      <c r="B930" s="579"/>
      <c r="C930" s="281"/>
      <c r="D930" s="4085"/>
      <c r="E930" s="1411" t="s">
        <v>3177</v>
      </c>
      <c r="F930" s="1690">
        <v>0</v>
      </c>
      <c r="G930" s="1407"/>
      <c r="H930" s="1430"/>
      <c r="V930" s="4425"/>
      <c r="W930" s="301">
        <v>0</v>
      </c>
      <c r="X930" s="301">
        <v>0</v>
      </c>
      <c r="Y930" s="301">
        <v>0</v>
      </c>
      <c r="Z930" s="315">
        <v>0</v>
      </c>
      <c r="AA930" s="315">
        <v>0</v>
      </c>
      <c r="AB930" s="315">
        <v>0</v>
      </c>
      <c r="AC930" s="315">
        <v>0</v>
      </c>
      <c r="AD930" s="315">
        <v>0</v>
      </c>
      <c r="AE930" s="315">
        <v>0</v>
      </c>
      <c r="AF930" s="271">
        <f t="shared" si="142"/>
        <v>0</v>
      </c>
      <c r="AG930" s="301"/>
      <c r="AK930" s="358"/>
    </row>
    <row r="931" spans="2:37" ht="60" hidden="1" outlineLevel="1">
      <c r="B931" s="579"/>
      <c r="C931" s="281"/>
      <c r="D931" s="4085"/>
      <c r="E931" s="128" t="s">
        <v>3179</v>
      </c>
      <c r="F931" s="1690">
        <v>20240</v>
      </c>
      <c r="G931" s="1407" t="s">
        <v>3199</v>
      </c>
      <c r="H931" s="1430"/>
      <c r="V931" s="4425"/>
      <c r="W931" s="301">
        <v>27462.372945112107</v>
      </c>
      <c r="X931" s="311">
        <v>21000</v>
      </c>
      <c r="Y931" s="311">
        <v>20240</v>
      </c>
      <c r="Z931" s="315">
        <v>20240</v>
      </c>
      <c r="AA931" s="315">
        <v>20240</v>
      </c>
      <c r="AB931" s="315">
        <v>20240</v>
      </c>
      <c r="AC931" s="315">
        <v>20240</v>
      </c>
      <c r="AD931" s="315">
        <v>20240</v>
      </c>
      <c r="AE931" s="315">
        <v>20240</v>
      </c>
      <c r="AF931" s="271">
        <f t="shared" si="142"/>
        <v>20240</v>
      </c>
      <c r="AG931" s="301"/>
      <c r="AK931" s="358"/>
    </row>
    <row r="932" spans="2:37" hidden="1" outlineLevel="1">
      <c r="B932" s="579"/>
      <c r="C932" s="281"/>
      <c r="D932" s="4095"/>
      <c r="E932" s="128" t="s">
        <v>3182</v>
      </c>
      <c r="F932" s="1691">
        <v>36000</v>
      </c>
      <c r="G932" s="1407"/>
      <c r="H932" s="1430"/>
      <c r="V932" s="4437"/>
      <c r="W932" s="301">
        <v>42249.804530941699</v>
      </c>
      <c r="X932" s="301">
        <v>42249.804530941699</v>
      </c>
      <c r="Y932" s="301">
        <v>42249.804530941699</v>
      </c>
      <c r="Z932" s="315">
        <v>42249.804530941699</v>
      </c>
      <c r="AA932" s="315">
        <v>42249.804530941699</v>
      </c>
      <c r="AB932" s="315">
        <v>42249.804530941699</v>
      </c>
      <c r="AC932" s="315">
        <v>42249.804530941699</v>
      </c>
      <c r="AD932" s="315">
        <v>42249.804530941699</v>
      </c>
      <c r="AE932" s="315">
        <v>42249.804530941699</v>
      </c>
      <c r="AF932" s="271">
        <f t="shared" si="142"/>
        <v>36000</v>
      </c>
      <c r="AG932" s="301"/>
      <c r="AK932" s="358"/>
    </row>
    <row r="933" spans="2:37" ht="24.4" hidden="1" customHeight="1" outlineLevel="1">
      <c r="B933" s="579"/>
      <c r="C933" s="281"/>
      <c r="D933" s="4084" t="s">
        <v>3200</v>
      </c>
      <c r="E933" s="128" t="s">
        <v>3164</v>
      </c>
      <c r="F933" s="1689">
        <v>7</v>
      </c>
      <c r="G933" s="4611" t="s">
        <v>3201</v>
      </c>
      <c r="H933" s="1430"/>
      <c r="V933" s="4424" t="str">
        <f>D933</f>
        <v>HSPF</v>
      </c>
      <c r="W933" s="400">
        <v>7</v>
      </c>
      <c r="X933" s="400">
        <v>7</v>
      </c>
      <c r="Y933" s="399">
        <v>7</v>
      </c>
      <c r="Z933" s="399">
        <v>7</v>
      </c>
      <c r="AA933" s="399">
        <v>7</v>
      </c>
      <c r="AB933" s="399">
        <v>7</v>
      </c>
      <c r="AC933" s="399">
        <v>7</v>
      </c>
      <c r="AD933" s="399">
        <v>7</v>
      </c>
      <c r="AE933" s="399">
        <v>7</v>
      </c>
      <c r="AF933" s="271">
        <f t="shared" si="142"/>
        <v>7</v>
      </c>
      <c r="AG933" s="400"/>
      <c r="AK933" s="358"/>
    </row>
    <row r="934" spans="2:37" ht="22.15" hidden="1" customHeight="1" outlineLevel="1">
      <c r="B934" s="579"/>
      <c r="C934" s="281"/>
      <c r="D934" s="4085"/>
      <c r="E934" s="128" t="s">
        <v>3167</v>
      </c>
      <c r="F934" s="1689">
        <v>7</v>
      </c>
      <c r="G934" s="4612"/>
      <c r="H934" s="1430"/>
      <c r="V934" s="4425"/>
      <c r="W934" s="400">
        <v>7</v>
      </c>
      <c r="X934" s="400">
        <v>7</v>
      </c>
      <c r="Y934" s="399">
        <v>7</v>
      </c>
      <c r="Z934" s="399">
        <v>7</v>
      </c>
      <c r="AA934" s="399">
        <v>7</v>
      </c>
      <c r="AB934" s="399">
        <v>7</v>
      </c>
      <c r="AC934" s="399">
        <v>7</v>
      </c>
      <c r="AD934" s="399">
        <v>7</v>
      </c>
      <c r="AE934" s="399">
        <v>7</v>
      </c>
      <c r="AF934" s="271">
        <f t="shared" si="142"/>
        <v>7</v>
      </c>
      <c r="AG934" s="400"/>
      <c r="AK934" s="358"/>
    </row>
    <row r="935" spans="2:37" ht="31.5" hidden="1" customHeight="1" outlineLevel="1">
      <c r="B935" s="579"/>
      <c r="C935" s="281"/>
      <c r="D935" s="4085"/>
      <c r="E935" s="1411" t="s">
        <v>3169</v>
      </c>
      <c r="F935" s="1692">
        <f>3.41*1+7*0</f>
        <v>3.41</v>
      </c>
      <c r="G935" s="4609" t="s">
        <v>3202</v>
      </c>
      <c r="H935" s="1430"/>
      <c r="V935" s="4425"/>
      <c r="W935" s="400">
        <v>3.4119999999999999</v>
      </c>
      <c r="X935" s="1545">
        <f>3.41*1+7*0</f>
        <v>3.41</v>
      </c>
      <c r="Y935" s="1022">
        <v>3.41</v>
      </c>
      <c r="Z935" s="1022">
        <v>3.41</v>
      </c>
      <c r="AA935" s="1022">
        <v>3.41</v>
      </c>
      <c r="AB935" s="1022">
        <v>3.41</v>
      </c>
      <c r="AC935" s="1022">
        <v>3.41</v>
      </c>
      <c r="AD935" s="1022">
        <v>3.41</v>
      </c>
      <c r="AE935" s="1022">
        <v>3.41</v>
      </c>
      <c r="AF935" s="271">
        <f t="shared" si="142"/>
        <v>3.41</v>
      </c>
      <c r="AG935" s="400"/>
      <c r="AK935" s="358"/>
    </row>
    <row r="936" spans="2:37" hidden="1" outlineLevel="1">
      <c r="B936" s="579"/>
      <c r="C936" s="281"/>
      <c r="D936" s="4085"/>
      <c r="E936" s="1411" t="s">
        <v>3172</v>
      </c>
      <c r="F936" s="1692">
        <f>3.41*1+7*0</f>
        <v>3.41</v>
      </c>
      <c r="G936" s="4609"/>
      <c r="H936" s="1430"/>
      <c r="V936" s="4425"/>
      <c r="W936" s="400">
        <v>3.4119999999999999</v>
      </c>
      <c r="X936" s="1545">
        <f>3.41*1+7*0</f>
        <v>3.41</v>
      </c>
      <c r="Y936" s="1022">
        <v>3.41</v>
      </c>
      <c r="Z936" s="1022">
        <v>3.41</v>
      </c>
      <c r="AA936" s="1022">
        <v>3.41</v>
      </c>
      <c r="AB936" s="1022">
        <v>3.41</v>
      </c>
      <c r="AC936" s="1022">
        <v>3.41</v>
      </c>
      <c r="AD936" s="1022">
        <v>3.41</v>
      </c>
      <c r="AE936" s="1022">
        <v>3.41</v>
      </c>
      <c r="AF936" s="271">
        <f t="shared" si="142"/>
        <v>3.41</v>
      </c>
      <c r="AG936" s="400"/>
      <c r="AK936" s="358"/>
    </row>
    <row r="937" spans="2:37" hidden="1" outlineLevel="1">
      <c r="B937" s="579"/>
      <c r="C937" s="281"/>
      <c r="D937" s="4085"/>
      <c r="E937" s="1411" t="s">
        <v>3174</v>
      </c>
      <c r="F937" s="1693">
        <v>0</v>
      </c>
      <c r="G937" s="1631"/>
      <c r="H937" s="1430"/>
      <c r="V937" s="4425"/>
      <c r="W937" s="400">
        <v>0</v>
      </c>
      <c r="X937" s="400">
        <v>0</v>
      </c>
      <c r="Y937" s="399">
        <v>0</v>
      </c>
      <c r="Z937" s="399">
        <v>0</v>
      </c>
      <c r="AA937" s="399">
        <v>0</v>
      </c>
      <c r="AB937" s="399">
        <v>0</v>
      </c>
      <c r="AC937" s="399">
        <v>0</v>
      </c>
      <c r="AD937" s="399">
        <v>0</v>
      </c>
      <c r="AE937" s="399">
        <v>0</v>
      </c>
      <c r="AF937" s="271">
        <f t="shared" si="142"/>
        <v>0</v>
      </c>
      <c r="AG937" s="400"/>
      <c r="AK937" s="358"/>
    </row>
    <row r="938" spans="2:37" hidden="1" outlineLevel="1">
      <c r="B938" s="579"/>
      <c r="C938" s="281"/>
      <c r="D938" s="4085"/>
      <c r="E938" s="1411" t="s">
        <v>3177</v>
      </c>
      <c r="F938" s="1693">
        <v>0</v>
      </c>
      <c r="G938" s="1631"/>
      <c r="H938" s="1430"/>
      <c r="V938" s="4425"/>
      <c r="W938" s="400">
        <v>0</v>
      </c>
      <c r="X938" s="400">
        <v>0</v>
      </c>
      <c r="Y938" s="399">
        <v>0</v>
      </c>
      <c r="Z938" s="399">
        <v>0</v>
      </c>
      <c r="AA938" s="399">
        <v>0</v>
      </c>
      <c r="AB938" s="399">
        <v>0</v>
      </c>
      <c r="AC938" s="399">
        <v>0</v>
      </c>
      <c r="AD938" s="399">
        <v>0</v>
      </c>
      <c r="AE938" s="399">
        <v>0</v>
      </c>
      <c r="AF938" s="271">
        <f t="shared" si="142"/>
        <v>0</v>
      </c>
      <c r="AG938" s="400"/>
      <c r="AK938" s="358"/>
    </row>
    <row r="939" spans="2:37" ht="22.15" hidden="1" customHeight="1" outlineLevel="1">
      <c r="B939" s="579"/>
      <c r="C939" s="281"/>
      <c r="D939" s="4085"/>
      <c r="E939" s="128" t="s">
        <v>3179</v>
      </c>
      <c r="F939" s="1692">
        <f>3.41*1+7*0</f>
        <v>3.41</v>
      </c>
      <c r="G939" s="4610" t="s">
        <v>3202</v>
      </c>
      <c r="H939" s="1430"/>
      <c r="V939" s="4425"/>
      <c r="W939" s="400">
        <v>3.4119999999999999</v>
      </c>
      <c r="X939" s="1545">
        <f>3.41*1+7*0</f>
        <v>3.41</v>
      </c>
      <c r="Y939" s="1022">
        <v>3.41</v>
      </c>
      <c r="Z939" s="1022">
        <v>3.41</v>
      </c>
      <c r="AA939" s="1022">
        <v>3.41</v>
      </c>
      <c r="AB939" s="1022">
        <v>3.41</v>
      </c>
      <c r="AC939" s="1022">
        <v>3.41</v>
      </c>
      <c r="AD939" s="1022">
        <v>3.41</v>
      </c>
      <c r="AE939" s="1022">
        <v>3.41</v>
      </c>
      <c r="AF939" s="271">
        <f t="shared" si="142"/>
        <v>3.41</v>
      </c>
      <c r="AG939" s="400"/>
      <c r="AK939" s="358"/>
    </row>
    <row r="940" spans="2:37" ht="23.65" hidden="1" customHeight="1" outlineLevel="1">
      <c r="B940" s="579"/>
      <c r="C940" s="281"/>
      <c r="D940" s="4095"/>
      <c r="E940" s="128" t="s">
        <v>3182</v>
      </c>
      <c r="F940" s="1692">
        <f>3.41*1+7*0</f>
        <v>3.41</v>
      </c>
      <c r="G940" s="4610"/>
      <c r="H940" s="1430"/>
      <c r="V940" s="4437"/>
      <c r="W940" s="400">
        <v>3.4119999999999999</v>
      </c>
      <c r="X940" s="1545">
        <f>3.41*1+7*0</f>
        <v>3.41</v>
      </c>
      <c r="Y940" s="1022">
        <v>3.41</v>
      </c>
      <c r="Z940" s="1022">
        <v>3.41</v>
      </c>
      <c r="AA940" s="1022">
        <v>3.41</v>
      </c>
      <c r="AB940" s="1022">
        <v>3.41</v>
      </c>
      <c r="AC940" s="1022">
        <v>3.41</v>
      </c>
      <c r="AD940" s="1022">
        <v>3.41</v>
      </c>
      <c r="AE940" s="1022">
        <v>3.41</v>
      </c>
      <c r="AF940" s="271">
        <f t="shared" si="142"/>
        <v>3.41</v>
      </c>
      <c r="AG940" s="400"/>
      <c r="AK940" s="358"/>
    </row>
    <row r="941" spans="2:37" ht="60" hidden="1" outlineLevel="1">
      <c r="B941" s="579"/>
      <c r="C941" s="281"/>
      <c r="D941" s="1422" t="s">
        <v>3203</v>
      </c>
      <c r="E941" s="128" t="s">
        <v>1102</v>
      </c>
      <c r="F941" s="1681">
        <v>1.8</v>
      </c>
      <c r="G941" s="1407" t="s">
        <v>3189</v>
      </c>
      <c r="H941" s="1430"/>
      <c r="V941" s="289" t="str">
        <f>D941</f>
        <v>Sbdegreesheating</v>
      </c>
      <c r="W941" s="303">
        <v>8</v>
      </c>
      <c r="X941" s="303">
        <v>8</v>
      </c>
      <c r="Y941" s="304">
        <v>1.8</v>
      </c>
      <c r="Z941" s="398">
        <v>1.8</v>
      </c>
      <c r="AA941" s="398">
        <v>1.8</v>
      </c>
      <c r="AB941" s="398">
        <v>1.8</v>
      </c>
      <c r="AC941" s="398">
        <v>1.8</v>
      </c>
      <c r="AD941" s="398">
        <v>1.8</v>
      </c>
      <c r="AE941" s="398">
        <v>1.8</v>
      </c>
      <c r="AF941" s="271">
        <f t="shared" si="142"/>
        <v>1.8</v>
      </c>
      <c r="AG941" s="303"/>
      <c r="AK941" s="358"/>
    </row>
    <row r="942" spans="2:37" ht="30" hidden="1" outlineLevel="1">
      <c r="B942" s="579"/>
      <c r="C942" s="281"/>
      <c r="D942" s="1422" t="s">
        <v>3204</v>
      </c>
      <c r="E942" s="128" t="s">
        <v>1102</v>
      </c>
      <c r="F942" s="1685">
        <v>0.03</v>
      </c>
      <c r="G942" s="1407" t="s">
        <v>3205</v>
      </c>
      <c r="H942" s="1430"/>
      <c r="V942" s="289" t="str">
        <f>D942</f>
        <v>SFheating</v>
      </c>
      <c r="W942" s="287">
        <v>0.03</v>
      </c>
      <c r="X942" s="302">
        <v>0.03</v>
      </c>
      <c r="Y942" s="190">
        <v>0.03</v>
      </c>
      <c r="Z942" s="190">
        <v>0.03</v>
      </c>
      <c r="AA942" s="190">
        <v>0.03</v>
      </c>
      <c r="AB942" s="190">
        <v>0.03</v>
      </c>
      <c r="AC942" s="190">
        <v>0.03</v>
      </c>
      <c r="AD942" s="190">
        <v>0.03</v>
      </c>
      <c r="AE942" s="190">
        <v>0.03</v>
      </c>
      <c r="AF942" s="271">
        <f t="shared" si="142"/>
        <v>0.03</v>
      </c>
      <c r="AG942" s="302"/>
      <c r="AK942" s="358"/>
    </row>
    <row r="943" spans="2:37" ht="60" hidden="1" outlineLevel="1">
      <c r="B943" s="579"/>
      <c r="C943" s="281"/>
      <c r="D943" s="1422" t="s">
        <v>3206</v>
      </c>
      <c r="E943" s="128" t="s">
        <v>1102</v>
      </c>
      <c r="F943" s="1685">
        <v>0.13</v>
      </c>
      <c r="G943" s="1600" t="s">
        <v>3207</v>
      </c>
      <c r="H943" s="128"/>
      <c r="V943" s="289" t="str">
        <f>D943</f>
        <v>EFheating</v>
      </c>
      <c r="W943" s="302">
        <v>0.13</v>
      </c>
      <c r="X943" s="302">
        <v>0.13</v>
      </c>
      <c r="Y943" s="302">
        <v>0.13</v>
      </c>
      <c r="Z943" s="190">
        <v>0.13</v>
      </c>
      <c r="AA943" s="190">
        <v>0.13</v>
      </c>
      <c r="AB943" s="190">
        <v>0.13</v>
      </c>
      <c r="AC943" s="190">
        <v>0.13</v>
      </c>
      <c r="AD943" s="190">
        <v>0.13</v>
      </c>
      <c r="AE943" s="190">
        <v>0.13</v>
      </c>
      <c r="AF943" s="271">
        <f t="shared" si="142"/>
        <v>0.13</v>
      </c>
      <c r="AG943" s="302"/>
      <c r="AK943" s="358"/>
    </row>
    <row r="944" spans="2:37" ht="120" hidden="1" outlineLevel="1">
      <c r="B944" s="579"/>
      <c r="C944" s="1404"/>
      <c r="D944" s="1409" t="str">
        <f>D859</f>
        <v>EUL</v>
      </c>
      <c r="E944" s="1409" t="str">
        <f>E859</f>
        <v>Effective Useful Life (All)</v>
      </c>
      <c r="F944" s="1657">
        <v>10</v>
      </c>
      <c r="G944" s="1600" t="s">
        <v>3208</v>
      </c>
      <c r="H944" s="1430"/>
      <c r="V944" s="289" t="str">
        <f>D944</f>
        <v>EUL</v>
      </c>
      <c r="W944" s="329">
        <v>10</v>
      </c>
      <c r="X944" s="329">
        <v>10</v>
      </c>
      <c r="Y944" s="329">
        <v>10</v>
      </c>
      <c r="Z944" s="255">
        <v>10</v>
      </c>
      <c r="AA944" s="255">
        <v>10</v>
      </c>
      <c r="AB944" s="255">
        <v>10</v>
      </c>
      <c r="AC944" s="255">
        <v>10</v>
      </c>
      <c r="AD944" s="255">
        <v>10</v>
      </c>
      <c r="AE944" s="255">
        <v>10</v>
      </c>
      <c r="AF944" s="271">
        <f t="shared" si="142"/>
        <v>10</v>
      </c>
      <c r="AG944" s="379"/>
      <c r="AK944" s="358"/>
    </row>
    <row r="945" spans="2:114" hidden="1" outlineLevel="1">
      <c r="B945" s="579"/>
      <c r="C945" s="1404"/>
      <c r="D945" s="1157" t="s">
        <v>128</v>
      </c>
      <c r="E945" s="1157" t="s">
        <v>1240</v>
      </c>
      <c r="F945" s="1677">
        <v>1</v>
      </c>
      <c r="G945" s="1600" t="s">
        <v>1278</v>
      </c>
      <c r="H945" s="1563"/>
      <c r="V945" s="1417"/>
      <c r="W945" s="329"/>
      <c r="X945" s="329"/>
      <c r="Y945" s="329"/>
      <c r="Z945" s="255"/>
      <c r="AA945" s="255"/>
      <c r="AB945" s="255"/>
      <c r="AC945" s="255"/>
      <c r="AD945" s="255"/>
      <c r="AE945" s="255"/>
      <c r="AF945" s="271">
        <f t="shared" si="142"/>
        <v>1</v>
      </c>
      <c r="AG945" s="379"/>
      <c r="AK945" s="358"/>
    </row>
    <row r="946" spans="2:114" hidden="1" outlineLevel="1">
      <c r="B946" s="579"/>
      <c r="C946" s="1404"/>
      <c r="D946" s="4587" t="str">
        <f>D860</f>
        <v>Inc. Cost</v>
      </c>
      <c r="E946" s="2323" t="str">
        <f>E860</f>
        <v>Incremental Cost - Non-DI</v>
      </c>
      <c r="F946" s="2588" t="s">
        <v>950</v>
      </c>
      <c r="G946" s="1407"/>
      <c r="H946" s="1430"/>
      <c r="V946" s="4600" t="str">
        <f>D946</f>
        <v>Inc. Cost</v>
      </c>
      <c r="W946" s="2576">
        <v>70</v>
      </c>
      <c r="X946" s="2578">
        <v>70</v>
      </c>
      <c r="Y946" s="2578">
        <v>70</v>
      </c>
      <c r="Z946" s="2579">
        <v>70</v>
      </c>
      <c r="AA946" s="2579">
        <v>70</v>
      </c>
      <c r="AB946" s="2579">
        <v>70</v>
      </c>
      <c r="AC946" s="2579">
        <v>70</v>
      </c>
      <c r="AD946" s="2579">
        <v>70</v>
      </c>
      <c r="AE946" s="2579">
        <v>70</v>
      </c>
      <c r="AF946" s="2236" t="str">
        <f t="shared" si="142"/>
        <v>n/a</v>
      </c>
      <c r="AG946" s="381"/>
      <c r="AK946" s="358"/>
    </row>
    <row r="947" spans="2:114" hidden="1" outlineLevel="1">
      <c r="B947" s="579"/>
      <c r="C947" s="1404"/>
      <c r="D947" s="4199"/>
      <c r="E947" s="1409" t="str">
        <f>E861</f>
        <v>Incremental Cost - Direct Install (DI)</v>
      </c>
      <c r="F947" s="1694">
        <v>70</v>
      </c>
      <c r="G947" s="1600" t="s">
        <v>3209</v>
      </c>
      <c r="H947" s="1430"/>
      <c r="V947" s="4440"/>
      <c r="W947" s="380">
        <v>70</v>
      </c>
      <c r="X947" s="397">
        <v>70</v>
      </c>
      <c r="Y947" s="397">
        <v>70</v>
      </c>
      <c r="Z947" s="623">
        <v>70</v>
      </c>
      <c r="AA947" s="623">
        <v>70</v>
      </c>
      <c r="AB947" s="623">
        <v>70</v>
      </c>
      <c r="AC947" s="623">
        <v>70</v>
      </c>
      <c r="AD947" s="623">
        <v>70</v>
      </c>
      <c r="AE947" s="623">
        <v>70</v>
      </c>
      <c r="AF947" s="271">
        <f t="shared" si="142"/>
        <v>70</v>
      </c>
      <c r="AG947" s="381"/>
      <c r="AK947" s="358"/>
    </row>
    <row r="948" spans="2:114" hidden="1" outlineLevel="1">
      <c r="B948" s="579"/>
      <c r="C948" s="281"/>
      <c r="D948" s="1546"/>
      <c r="E948" s="104"/>
      <c r="F948" s="546"/>
      <c r="G948" s="606"/>
      <c r="V948" s="273" t="str">
        <f>IF(C942&gt;0,C942," ")</f>
        <v xml:space="preserve"> </v>
      </c>
      <c r="AK948" s="358"/>
    </row>
    <row r="949" spans="2:114" ht="15" hidden="1" customHeight="1" outlineLevel="1">
      <c r="B949" s="579"/>
      <c r="C949" s="1404"/>
      <c r="X949" s="283"/>
      <c r="Y949" s="539" t="s">
        <v>3210</v>
      </c>
      <c r="Z949" s="321"/>
      <c r="AA949" s="321"/>
      <c r="AK949" s="358"/>
    </row>
    <row r="950" spans="2:114" ht="15" hidden="1" customHeight="1" outlineLevel="1">
      <c r="B950" s="579"/>
      <c r="C950" s="281"/>
      <c r="AK950" s="358"/>
    </row>
    <row r="951" spans="2:114" ht="15" customHeight="1" collapsed="1">
      <c r="B951" s="579"/>
      <c r="C951" s="281"/>
      <c r="AK951" s="358"/>
    </row>
    <row r="952" spans="2:114" ht="15" customHeight="1">
      <c r="B952" s="4183" t="s">
        <v>41</v>
      </c>
      <c r="C952" s="4184"/>
      <c r="D952" s="4184"/>
      <c r="E952" s="4184"/>
      <c r="F952" s="4184"/>
      <c r="G952" s="4184"/>
      <c r="H952" s="4184"/>
      <c r="I952" s="4840"/>
      <c r="J952" s="4840"/>
      <c r="K952" s="4840"/>
      <c r="L952" s="4840"/>
      <c r="M952" s="4840"/>
      <c r="N952" s="4840"/>
      <c r="O952" s="4840"/>
      <c r="P952" s="4840"/>
      <c r="Q952" s="4840"/>
      <c r="R952" s="4841"/>
      <c r="V952" s="4066" t="str">
        <f>B952</f>
        <v>Lighting</v>
      </c>
      <c r="W952" s="4067"/>
      <c r="X952" s="4067"/>
      <c r="Y952" s="4067"/>
      <c r="Z952" s="4067"/>
      <c r="AA952" s="4067"/>
      <c r="AB952" s="4067"/>
      <c r="AC952" s="4837"/>
      <c r="AD952" s="4837"/>
      <c r="AE952" s="4837"/>
      <c r="AF952" s="4837"/>
      <c r="AG952" s="4837"/>
      <c r="AH952" s="4837"/>
      <c r="AI952" s="4838"/>
      <c r="AK952" s="358"/>
    </row>
    <row r="953" spans="2:114">
      <c r="B953" s="52"/>
      <c r="C953" s="51"/>
      <c r="D953" s="104"/>
      <c r="E953" s="104"/>
      <c r="F953" s="159" t="s">
        <v>3211</v>
      </c>
      <c r="G953" s="52"/>
      <c r="H953" s="52"/>
      <c r="I953" s="52"/>
      <c r="J953" s="52"/>
      <c r="K953" s="52"/>
      <c r="L953" s="52"/>
      <c r="M953" s="52"/>
      <c r="N953" s="52"/>
      <c r="O953" s="52"/>
      <c r="AK953" s="358"/>
    </row>
    <row r="954" spans="2:114">
      <c r="B954" s="52"/>
      <c r="C954" s="4601" t="s">
        <v>42</v>
      </c>
      <c r="D954" s="4601" t="s">
        <v>953</v>
      </c>
      <c r="E954" s="4601" t="s">
        <v>44</v>
      </c>
      <c r="F954" s="4601" t="s">
        <v>45</v>
      </c>
      <c r="G954" s="4601" t="s">
        <v>3212</v>
      </c>
      <c r="H954" s="4601" t="s">
        <v>3213</v>
      </c>
      <c r="I954" s="4601" t="s">
        <v>3214</v>
      </c>
      <c r="J954" s="4601" t="s">
        <v>3215</v>
      </c>
      <c r="K954" s="4601" t="s">
        <v>3216</v>
      </c>
      <c r="L954" s="4601" t="s">
        <v>3217</v>
      </c>
      <c r="M954" s="4601" t="s">
        <v>48</v>
      </c>
      <c r="N954" s="4601" t="s">
        <v>3218</v>
      </c>
      <c r="O954" s="4601" t="s">
        <v>3219</v>
      </c>
      <c r="P954" s="4438" t="s">
        <v>2906</v>
      </c>
      <c r="Q954" s="4536"/>
      <c r="R954" s="4601" t="s">
        <v>51</v>
      </c>
      <c r="AK954" s="358"/>
    </row>
    <row r="955" spans="2:114" ht="30">
      <c r="B955" s="52"/>
      <c r="C955" s="4577"/>
      <c r="D955" s="4577"/>
      <c r="E955" s="4577"/>
      <c r="F955" s="4577"/>
      <c r="G955" s="4577"/>
      <c r="H955" s="4577"/>
      <c r="I955" s="4577"/>
      <c r="J955" s="4577"/>
      <c r="K955" s="4577"/>
      <c r="L955" s="4577"/>
      <c r="M955" s="4577"/>
      <c r="N955" s="4577"/>
      <c r="O955" s="4577"/>
      <c r="P955" s="1398" t="s">
        <v>170</v>
      </c>
      <c r="Q955" s="1398" t="s">
        <v>1122</v>
      </c>
      <c r="R955" s="4577"/>
      <c r="V955" s="668" t="s">
        <v>52</v>
      </c>
      <c r="W955" s="669">
        <f t="shared" ref="W955:AG955" si="143">W6</f>
        <v>43252</v>
      </c>
      <c r="X955" s="669">
        <f t="shared" si="143"/>
        <v>43465</v>
      </c>
      <c r="Y955" s="669">
        <f t="shared" si="143"/>
        <v>43800</v>
      </c>
      <c r="Z955" s="669">
        <f t="shared" si="143"/>
        <v>43862</v>
      </c>
      <c r="AA955" s="669">
        <f t="shared" si="143"/>
        <v>44013</v>
      </c>
      <c r="AB955" s="669">
        <f t="shared" si="143"/>
        <v>44166</v>
      </c>
      <c r="AC955" s="669">
        <f t="shared" si="143"/>
        <v>44531</v>
      </c>
      <c r="AD955" s="669">
        <f t="shared" si="143"/>
        <v>44774</v>
      </c>
      <c r="AE955" s="669">
        <f t="shared" si="143"/>
        <v>45139</v>
      </c>
      <c r="AF955" s="669">
        <f t="shared" si="143"/>
        <v>45672</v>
      </c>
      <c r="AG955" s="669" t="str">
        <f t="shared" si="143"/>
        <v>-</v>
      </c>
      <c r="AK955" s="358"/>
      <c r="DG955" s="1060" t="str">
        <f>$DG$6</f>
        <v>TRC (2025)</v>
      </c>
      <c r="DH955" s="811" t="str">
        <f>$DH$6</f>
        <v>Benefit Lookup</v>
      </c>
      <c r="DI955" s="1076" t="str">
        <f>$DI$6</f>
        <v>Benefits (2025 $)</v>
      </c>
      <c r="DJ955" s="1103" t="str">
        <f>$DJ$6</f>
        <v>Incremental Cost (2025 $)</v>
      </c>
    </row>
    <row r="956" spans="2:114">
      <c r="B956" s="1454">
        <f t="shared" ref="B956:B967" si="144">VALUE(LEFT(C956,6))</f>
        <v>404450</v>
      </c>
      <c r="C956" s="682" t="s">
        <v>3220</v>
      </c>
      <c r="D956" s="719" t="s">
        <v>3221</v>
      </c>
      <c r="E956" s="1377" t="s">
        <v>3222</v>
      </c>
      <c r="F956" s="165">
        <f>ROUND(K956+L956,2)</f>
        <v>44.56</v>
      </c>
      <c r="G956" s="403" t="s">
        <v>1414</v>
      </c>
      <c r="H956" s="69">
        <f>VLOOKUP(G956,'CP FACTORS'!$A$3:$B$38, 2, FALSE)</f>
        <v>1.4925290000000001E-4</v>
      </c>
      <c r="I956" s="403" t="s">
        <v>61</v>
      </c>
      <c r="J956" s="69">
        <f>VLOOKUP(I956,'CP FACTORS'!$A$3:$B$38, 2, FALSE)</f>
        <v>1.899635E-4</v>
      </c>
      <c r="K956" s="50">
        <f t="shared" ref="K956:K966" si="145">((F973-F985)*$F$1006*$F$997*(1-$F$999)*($F$1000*$F$1002)/1000)</f>
        <v>44.563401514255574</v>
      </c>
      <c r="L956" s="530">
        <f t="shared" ref="L956:L966" si="146">((F973-F985)*(1-$F$1006)*$F$997*(1-$F$999)*($F$1003*$F$1005)/1000)</f>
        <v>0</v>
      </c>
      <c r="M956" s="1474">
        <f t="shared" ref="M956:M967" si="147">IFERROR(ROUND(((K956/F956)*H956+IFERROR((L956/F956),0)*J956)*F956,6),0)</f>
        <v>6.6509999999999998E-3</v>
      </c>
      <c r="N956" s="50">
        <f t="shared" ref="N956:N967" si="148">F$1011</f>
        <v>8</v>
      </c>
      <c r="O956" s="50">
        <v>0</v>
      </c>
      <c r="P956" s="2076">
        <f t="shared" ref="P956" si="149">F1016</f>
        <v>1.66</v>
      </c>
      <c r="Q956" s="2074">
        <f t="shared" ref="Q956" si="150">G1016</f>
        <v>1.66</v>
      </c>
      <c r="R956" s="139" t="s">
        <v>62</v>
      </c>
      <c r="V956" s="356" t="str">
        <f>F954</f>
        <v>kWh Annual Savings</v>
      </c>
      <c r="W956" s="383">
        <v>23.12165583413233</v>
      </c>
      <c r="X956" s="404">
        <v>23.769345599999998</v>
      </c>
      <c r="Y956" s="117">
        <v>23.59</v>
      </c>
      <c r="Z956" s="18">
        <v>23.59</v>
      </c>
      <c r="AA956" s="18">
        <v>23.59</v>
      </c>
      <c r="AB956" s="414">
        <v>23.59</v>
      </c>
      <c r="AC956" s="44">
        <v>23.59</v>
      </c>
      <c r="AD956" s="44">
        <v>23.59</v>
      </c>
      <c r="AE956" s="49">
        <v>5.24</v>
      </c>
      <c r="AF956" s="271">
        <f t="shared" ref="AF956:AF967" si="151">IF(F956&lt;&gt;"",F956,"")</f>
        <v>44.56</v>
      </c>
      <c r="AG956" s="356"/>
      <c r="AH956" s="121"/>
      <c r="AK956" s="358"/>
      <c r="DG956" s="1062">
        <f t="shared" ref="DG956:DG967" si="152">IFERROR((DI956)/(DJ956),0)</f>
        <v>10.714425002390662</v>
      </c>
      <c r="DH956" s="1400" t="str">
        <f>CONCATENATE(G956," ",N956," Year EUL")</f>
        <v>Lighting RES 8 Year EUL</v>
      </c>
      <c r="DI956" s="1010">
        <f>(INDEX('Avoided Cost Benefits'!$B$4:$B$865,MATCH(DH956,'Avoided Cost Benefits'!$A$4:$A$865,0)))*F956</f>
        <v>17.785945503968499</v>
      </c>
      <c r="DJ956" s="1169">
        <f t="shared" ref="DJ956:DJ967" si="153">P956/(1.0686^(2025-2025))</f>
        <v>1.66</v>
      </c>
    </row>
    <row r="957" spans="2:114">
      <c r="B957" s="1454">
        <f t="shared" si="144"/>
        <v>404500</v>
      </c>
      <c r="C957" s="682" t="s">
        <v>3223</v>
      </c>
      <c r="D957" s="719" t="s">
        <v>3221</v>
      </c>
      <c r="E957" s="1470" t="s">
        <v>3224</v>
      </c>
      <c r="F957" s="59">
        <f>ROUND(K957+L957,2)</f>
        <v>22.22</v>
      </c>
      <c r="G957" s="403" t="s">
        <v>1414</v>
      </c>
      <c r="H957" s="69">
        <f>VLOOKUP(G957,'CP FACTORS'!$A$3:$B$38, 2, FALSE)</f>
        <v>1.4925290000000001E-4</v>
      </c>
      <c r="I957" s="403" t="s">
        <v>61</v>
      </c>
      <c r="J957" s="69">
        <f>VLOOKUP(I957,'CP FACTORS'!$A$3:$B$38, 2, FALSE)</f>
        <v>1.899635E-4</v>
      </c>
      <c r="K957" s="162">
        <f t="shared" si="145"/>
        <v>22.216166343136237</v>
      </c>
      <c r="L957" s="530">
        <f t="shared" si="146"/>
        <v>0</v>
      </c>
      <c r="M957" s="45">
        <f t="shared" si="147"/>
        <v>3.3159999999999999E-3</v>
      </c>
      <c r="N957" s="50">
        <f t="shared" si="148"/>
        <v>8</v>
      </c>
      <c r="O957" s="50">
        <v>0</v>
      </c>
      <c r="P957" s="2076">
        <f t="shared" ref="P957:P967" si="154">F1017</f>
        <v>1.45</v>
      </c>
      <c r="Q957" s="2074">
        <f t="shared" ref="Q957:Q967" si="155">G1017</f>
        <v>1.45</v>
      </c>
      <c r="R957" s="139" t="s">
        <v>62</v>
      </c>
      <c r="V957" s="356" t="str">
        <f>V956</f>
        <v>kWh Annual Savings</v>
      </c>
      <c r="W957" s="383">
        <v>20.693881971548436</v>
      </c>
      <c r="X957" s="404">
        <v>22.524950447999998</v>
      </c>
      <c r="Y957" s="117">
        <v>21.12</v>
      </c>
      <c r="Z957" s="18">
        <v>21.12</v>
      </c>
      <c r="AA957" s="18">
        <v>21.12</v>
      </c>
      <c r="AB957" s="117">
        <v>22.22</v>
      </c>
      <c r="AC957" s="44">
        <v>22.22</v>
      </c>
      <c r="AD957" s="44">
        <v>22.22</v>
      </c>
      <c r="AE957" s="44">
        <v>22.22</v>
      </c>
      <c r="AF957" s="271">
        <f t="shared" si="151"/>
        <v>22.22</v>
      </c>
      <c r="AG957" s="356"/>
      <c r="AH957" s="121"/>
      <c r="AK957" s="358"/>
      <c r="DG957" s="1062">
        <f t="shared" si="152"/>
        <v>6.1165682705717206</v>
      </c>
      <c r="DH957" s="673" t="str">
        <f t="shared" ref="DH957:DH965" si="156">CONCATENATE(G957," ",N957," Year EUL")</f>
        <v>Lighting RES 8 Year EUL</v>
      </c>
      <c r="DI957" s="556">
        <f>(INDEX('Avoided Cost Benefits'!$B$4:$B$865,MATCH(DH957,'Avoided Cost Benefits'!$A$4:$A$865,0)))*F957</f>
        <v>8.8690239923289944</v>
      </c>
      <c r="DJ957" s="1170">
        <f t="shared" si="153"/>
        <v>1.45</v>
      </c>
    </row>
    <row r="958" spans="2:114">
      <c r="B958" s="1454">
        <f t="shared" si="144"/>
        <v>404600</v>
      </c>
      <c r="C958" s="682" t="s">
        <v>3225</v>
      </c>
      <c r="D958" s="719" t="s">
        <v>3221</v>
      </c>
      <c r="E958" s="1377" t="s">
        <v>3226</v>
      </c>
      <c r="F958" s="165">
        <f t="shared" ref="F958:F967" si="157">ROUND(K958+L958,2)</f>
        <v>58.33</v>
      </c>
      <c r="G958" s="403" t="s">
        <v>1414</v>
      </c>
      <c r="H958" s="69">
        <f>VLOOKUP(G958,'CP FACTORS'!$A$3:$B$38, 2, FALSE)</f>
        <v>1.4925290000000001E-4</v>
      </c>
      <c r="I958" s="403" t="s">
        <v>61</v>
      </c>
      <c r="J958" s="69">
        <f>VLOOKUP(I958,'CP FACTORS'!$A$3:$B$38, 2, FALSE)</f>
        <v>1.899635E-4</v>
      </c>
      <c r="K958" s="50">
        <f t="shared" si="145"/>
        <v>58.325628452481567</v>
      </c>
      <c r="L958" s="530">
        <f t="shared" si="146"/>
        <v>0</v>
      </c>
      <c r="M958" s="1474">
        <f t="shared" si="147"/>
        <v>8.7049999999999992E-3</v>
      </c>
      <c r="N958" s="50">
        <f t="shared" si="148"/>
        <v>8</v>
      </c>
      <c r="O958" s="50">
        <v>0</v>
      </c>
      <c r="P958" s="2076">
        <f t="shared" si="154"/>
        <v>1.66</v>
      </c>
      <c r="Q958" s="2074">
        <f t="shared" si="155"/>
        <v>1.66</v>
      </c>
      <c r="R958" s="139" t="s">
        <v>62</v>
      </c>
      <c r="V958" s="356" t="e">
        <f>#REF!</f>
        <v>#REF!</v>
      </c>
      <c r="W958" s="383">
        <v>42.871403525787038</v>
      </c>
      <c r="X958" s="269">
        <v>46.853574768000001</v>
      </c>
      <c r="Y958" s="175">
        <v>27.52</v>
      </c>
      <c r="Z958" s="21">
        <v>27.52</v>
      </c>
      <c r="AA958" s="21">
        <v>27.52</v>
      </c>
      <c r="AB958" s="414">
        <v>27.52</v>
      </c>
      <c r="AC958" s="44">
        <v>27.52</v>
      </c>
      <c r="AD958" s="44">
        <v>27.52</v>
      </c>
      <c r="AE958" s="49">
        <v>5.5</v>
      </c>
      <c r="AF958" s="271">
        <f t="shared" si="151"/>
        <v>58.33</v>
      </c>
      <c r="AG958" s="356"/>
      <c r="AH958" s="121"/>
      <c r="AK958" s="358"/>
      <c r="DG958" s="1062">
        <f t="shared" si="152"/>
        <v>14.025413159547739</v>
      </c>
      <c r="DH958" s="673" t="str">
        <f t="shared" si="156"/>
        <v>Lighting RES 8 Year EUL</v>
      </c>
      <c r="DI958" s="556">
        <f>(INDEX('Avoided Cost Benefits'!$B$4:$B$865,MATCH(DH958,'Avoided Cost Benefits'!$A$4:$A$865,0)))*F958</f>
        <v>23.282185844849245</v>
      </c>
      <c r="DJ958" s="1170">
        <f t="shared" si="153"/>
        <v>1.66</v>
      </c>
    </row>
    <row r="959" spans="2:114">
      <c r="B959" s="1454">
        <f t="shared" si="144"/>
        <v>404650</v>
      </c>
      <c r="C959" s="682" t="s">
        <v>3227</v>
      </c>
      <c r="D959" s="719" t="s">
        <v>3221</v>
      </c>
      <c r="E959" s="1470" t="s">
        <v>3228</v>
      </c>
      <c r="F959" s="59">
        <f>ROUND(K959+L959,2)</f>
        <v>27.79</v>
      </c>
      <c r="G959" s="403" t="s">
        <v>1414</v>
      </c>
      <c r="H959" s="69">
        <f>VLOOKUP(G959,'CP FACTORS'!$A$3:$B$38, 2, FALSE)</f>
        <v>1.4925290000000001E-4</v>
      </c>
      <c r="I959" s="403" t="s">
        <v>61</v>
      </c>
      <c r="J959" s="69">
        <f>VLOOKUP(I959,'CP FACTORS'!$A$3:$B$38, 2, FALSE)</f>
        <v>1.899635E-4</v>
      </c>
      <c r="K959" s="46">
        <f t="shared" si="145"/>
        <v>27.786591532418186</v>
      </c>
      <c r="L959" s="530">
        <f t="shared" si="146"/>
        <v>0</v>
      </c>
      <c r="M959" s="45">
        <f t="shared" si="147"/>
        <v>4.1469999999999996E-3</v>
      </c>
      <c r="N959" s="50">
        <f t="shared" si="148"/>
        <v>8</v>
      </c>
      <c r="O959" s="50">
        <v>0</v>
      </c>
      <c r="P959" s="2076">
        <f t="shared" si="154"/>
        <v>1.45</v>
      </c>
      <c r="Q959" s="2074">
        <f t="shared" si="155"/>
        <v>1.45</v>
      </c>
      <c r="R959" s="139" t="s">
        <v>62</v>
      </c>
      <c r="V959" s="356" t="e">
        <f t="shared" ref="V959:V967" si="158">V958</f>
        <v>#REF!</v>
      </c>
      <c r="W959" s="383">
        <v>27.232172426866967</v>
      </c>
      <c r="X959" s="404">
        <v>29.641772160000002</v>
      </c>
      <c r="Y959" s="117">
        <v>27.79</v>
      </c>
      <c r="Z959" s="18">
        <v>27.79</v>
      </c>
      <c r="AA959" s="18">
        <v>27.79</v>
      </c>
      <c r="AB959" s="414">
        <v>27.79</v>
      </c>
      <c r="AC959" s="44">
        <v>27.79</v>
      </c>
      <c r="AD959" s="44">
        <v>27.79</v>
      </c>
      <c r="AE959" s="44">
        <v>27.79</v>
      </c>
      <c r="AF959" s="271">
        <f t="shared" si="151"/>
        <v>27.79</v>
      </c>
      <c r="AG959" s="356"/>
      <c r="AH959" s="121"/>
      <c r="AK959" s="358"/>
      <c r="DG959" s="1062">
        <f t="shared" si="152"/>
        <v>7.6498394347069363</v>
      </c>
      <c r="DH959" s="673" t="str">
        <f t="shared" si="156"/>
        <v>Lighting RES 8 Year EUL</v>
      </c>
      <c r="DI959" s="556">
        <f>(INDEX('Avoided Cost Benefits'!$B$4:$B$865,MATCH(DH959,'Avoided Cost Benefits'!$A$4:$A$865,0)))*F959</f>
        <v>11.092267180325058</v>
      </c>
      <c r="DJ959" s="1170">
        <f t="shared" si="153"/>
        <v>1.45</v>
      </c>
    </row>
    <row r="960" spans="2:114">
      <c r="B960" s="1454">
        <f t="shared" si="144"/>
        <v>404651</v>
      </c>
      <c r="C960" s="682" t="s">
        <v>3229</v>
      </c>
      <c r="D960" s="719" t="s">
        <v>3221</v>
      </c>
      <c r="E960" s="1377" t="s">
        <v>3230</v>
      </c>
      <c r="F960" s="165">
        <f>ROUND(K960+L960,2)</f>
        <v>41.94</v>
      </c>
      <c r="G960" s="403" t="s">
        <v>1414</v>
      </c>
      <c r="H960" s="69">
        <f>VLOOKUP(G960,'CP FACTORS'!$A$3:$B$38, 2, FALSE)</f>
        <v>1.4925290000000001E-4</v>
      </c>
      <c r="I960" s="403" t="s">
        <v>61</v>
      </c>
      <c r="J960" s="69">
        <f>VLOOKUP(I960,'CP FACTORS'!$A$3:$B$38, 2, FALSE)</f>
        <v>1.899635E-4</v>
      </c>
      <c r="K960" s="50">
        <f t="shared" si="145"/>
        <v>41.942024954593478</v>
      </c>
      <c r="L960" s="530">
        <f t="shared" si="146"/>
        <v>0</v>
      </c>
      <c r="M960" s="1474">
        <f t="shared" si="147"/>
        <v>6.2599999999999999E-3</v>
      </c>
      <c r="N960" s="50">
        <f t="shared" si="148"/>
        <v>8</v>
      </c>
      <c r="O960" s="50">
        <v>0</v>
      </c>
      <c r="P960" s="2076">
        <f t="shared" si="154"/>
        <v>1.66</v>
      </c>
      <c r="Q960" s="2074">
        <f t="shared" si="155"/>
        <v>1.66</v>
      </c>
      <c r="R960" s="139" t="s">
        <v>62</v>
      </c>
      <c r="V960" s="1378" t="e">
        <f t="shared" si="158"/>
        <v>#REF!</v>
      </c>
      <c r="W960" s="383"/>
      <c r="X960" s="404"/>
      <c r="Y960" s="117"/>
      <c r="Z960" s="18"/>
      <c r="AA960" s="18"/>
      <c r="AB960" s="117">
        <v>28.84</v>
      </c>
      <c r="AC960" s="44">
        <v>35.39</v>
      </c>
      <c r="AD960" s="44">
        <v>35.39</v>
      </c>
      <c r="AE960" s="44">
        <v>35.39</v>
      </c>
      <c r="AF960" s="271">
        <f t="shared" si="151"/>
        <v>41.94</v>
      </c>
      <c r="AG960" s="356"/>
      <c r="AH960" s="121"/>
      <c r="AK960" s="358"/>
      <c r="DG960" s="1062">
        <f t="shared" si="152"/>
        <v>10.084447589772537</v>
      </c>
      <c r="DH960" s="673" t="str">
        <f>CONCATENATE(G960," ",N960," Year EUL")</f>
        <v>Lighting RES 8 Year EUL</v>
      </c>
      <c r="DI960" s="556">
        <f>(INDEX('Avoided Cost Benefits'!$B$4:$B$865,MATCH(DH960,'Avoided Cost Benefits'!$A$4:$A$865,0)))*F960</f>
        <v>16.740182999022412</v>
      </c>
      <c r="DJ960" s="1170">
        <f t="shared" si="153"/>
        <v>1.66</v>
      </c>
    </row>
    <row r="961" spans="2:114">
      <c r="B961" s="1454">
        <f t="shared" si="144"/>
        <v>404700</v>
      </c>
      <c r="C961" s="682" t="s">
        <v>3231</v>
      </c>
      <c r="D961" s="719" t="s">
        <v>3221</v>
      </c>
      <c r="E961" s="1377" t="s">
        <v>3232</v>
      </c>
      <c r="F961" s="165">
        <f t="shared" si="157"/>
        <v>69.47</v>
      </c>
      <c r="G961" s="403" t="s">
        <v>1414</v>
      </c>
      <c r="H961" s="69">
        <f>VLOOKUP(G961,'CP FACTORS'!$A$3:$B$38, 2, FALSE)</f>
        <v>1.4925290000000001E-4</v>
      </c>
      <c r="I961" s="403" t="s">
        <v>61</v>
      </c>
      <c r="J961" s="69">
        <f>VLOOKUP(I961,'CP FACTORS'!$A$3:$B$38, 2, FALSE)</f>
        <v>1.899635E-4</v>
      </c>
      <c r="K961" s="50">
        <f t="shared" si="145"/>
        <v>69.466478831045464</v>
      </c>
      <c r="L961" s="530">
        <f t="shared" si="146"/>
        <v>0</v>
      </c>
      <c r="M961" s="1474">
        <f t="shared" si="147"/>
        <v>1.0368E-2</v>
      </c>
      <c r="N961" s="50">
        <f t="shared" si="148"/>
        <v>8</v>
      </c>
      <c r="O961" s="50">
        <v>0</v>
      </c>
      <c r="P961" s="2076">
        <f t="shared" si="154"/>
        <v>1.66</v>
      </c>
      <c r="Q961" s="2074">
        <f t="shared" si="155"/>
        <v>1.66</v>
      </c>
      <c r="R961" s="139" t="s">
        <v>62</v>
      </c>
      <c r="V961" s="1378" t="e">
        <f t="shared" si="158"/>
        <v>#REF!</v>
      </c>
      <c r="W961" s="383">
        <v>32.691452276592656</v>
      </c>
      <c r="X961" s="404">
        <v>28.663034399999997</v>
      </c>
      <c r="Y961" s="117">
        <v>26.87</v>
      </c>
      <c r="Z961" s="18">
        <v>26.87</v>
      </c>
      <c r="AA961" s="18">
        <v>26.87</v>
      </c>
      <c r="AB961" s="414">
        <v>26.87</v>
      </c>
      <c r="AC961" s="44">
        <v>26.87</v>
      </c>
      <c r="AD961" s="44">
        <v>26.87</v>
      </c>
      <c r="AE961" s="44">
        <v>26.87</v>
      </c>
      <c r="AF961" s="271">
        <f t="shared" si="151"/>
        <v>69.47</v>
      </c>
      <c r="AG961" s="356"/>
      <c r="AH961" s="121"/>
      <c r="AK961" s="358"/>
      <c r="DG961" s="1062">
        <f t="shared" si="152"/>
        <v>16.704019410145406</v>
      </c>
      <c r="DH961" s="673" t="str">
        <f t="shared" si="156"/>
        <v>Lighting RES 8 Year EUL</v>
      </c>
      <c r="DI961" s="556">
        <f>(INDEX('Avoided Cost Benefits'!$B$4:$B$865,MATCH(DH961,'Avoided Cost Benefits'!$A$4:$A$865,0)))*F961</f>
        <v>27.728672220841371</v>
      </c>
      <c r="DJ961" s="1170">
        <f t="shared" si="153"/>
        <v>1.66</v>
      </c>
    </row>
    <row r="962" spans="2:114">
      <c r="B962" s="1454">
        <f t="shared" si="144"/>
        <v>404750</v>
      </c>
      <c r="C962" s="682" t="s">
        <v>3233</v>
      </c>
      <c r="D962" s="719" t="s">
        <v>3221</v>
      </c>
      <c r="E962" s="1377" t="s">
        <v>3234</v>
      </c>
      <c r="F962" s="165">
        <f t="shared" si="157"/>
        <v>87.16</v>
      </c>
      <c r="G962" s="403" t="s">
        <v>1414</v>
      </c>
      <c r="H962" s="69">
        <f>VLOOKUP(G962,'CP FACTORS'!$A$3:$B$38, 2, FALSE)</f>
        <v>1.4925290000000001E-4</v>
      </c>
      <c r="I962" s="403" t="s">
        <v>61</v>
      </c>
      <c r="J962" s="69">
        <f>VLOOKUP(I962,'CP FACTORS'!$A$3:$B$38, 2, FALSE)</f>
        <v>1.899635E-4</v>
      </c>
      <c r="K962" s="50">
        <f t="shared" si="145"/>
        <v>87.160770608764579</v>
      </c>
      <c r="L962" s="530">
        <f t="shared" si="146"/>
        <v>0</v>
      </c>
      <c r="M962" s="1474">
        <f t="shared" si="147"/>
        <v>1.3009E-2</v>
      </c>
      <c r="N962" s="50">
        <f t="shared" si="148"/>
        <v>8</v>
      </c>
      <c r="O962" s="50">
        <v>0</v>
      </c>
      <c r="P962" s="2076">
        <f t="shared" si="154"/>
        <v>1.66</v>
      </c>
      <c r="Q962" s="2074">
        <f t="shared" si="155"/>
        <v>1.66</v>
      </c>
      <c r="R962" s="139" t="s">
        <v>62</v>
      </c>
      <c r="V962" s="1378" t="e">
        <f t="shared" si="158"/>
        <v>#REF!</v>
      </c>
      <c r="W962" s="383">
        <v>52.66599384441254</v>
      </c>
      <c r="X962" s="404">
        <v>37.052215199999999</v>
      </c>
      <c r="Y962" s="117">
        <v>34.729999999999997</v>
      </c>
      <c r="Z962" s="18">
        <v>34.729999999999997</v>
      </c>
      <c r="AA962" s="18">
        <v>34.729999999999997</v>
      </c>
      <c r="AB962" s="414">
        <v>34.729999999999997</v>
      </c>
      <c r="AC962" s="44">
        <v>34.729999999999997</v>
      </c>
      <c r="AD962" s="44">
        <v>34.729999999999997</v>
      </c>
      <c r="AE962" s="44">
        <v>34.729999999999997</v>
      </c>
      <c r="AF962" s="271">
        <f t="shared" si="151"/>
        <v>87.16</v>
      </c>
      <c r="AG962" s="356"/>
      <c r="AH962" s="121"/>
      <c r="AK962" s="358"/>
      <c r="DG962" s="1062">
        <f t="shared" si="152"/>
        <v>20.957569192288378</v>
      </c>
      <c r="DH962" s="673" t="str">
        <f t="shared" si="156"/>
        <v>Lighting RES 8 Year EUL</v>
      </c>
      <c r="DI962" s="556">
        <f>(INDEX('Avoided Cost Benefits'!$B$4:$B$865,MATCH(DH962,'Avoided Cost Benefits'!$A$4:$A$865,0)))*F962</f>
        <v>34.789564859198705</v>
      </c>
      <c r="DJ962" s="1170">
        <f t="shared" si="153"/>
        <v>1.66</v>
      </c>
    </row>
    <row r="963" spans="2:114">
      <c r="B963" s="1454">
        <f t="shared" si="144"/>
        <v>404800</v>
      </c>
      <c r="C963" s="682" t="s">
        <v>3235</v>
      </c>
      <c r="D963" s="719" t="s">
        <v>3221</v>
      </c>
      <c r="E963" s="1470" t="s">
        <v>3236</v>
      </c>
      <c r="F963" s="59">
        <f>ROUND(K963+L963,2)</f>
        <v>37.35</v>
      </c>
      <c r="G963" s="405" t="s">
        <v>1414</v>
      </c>
      <c r="H963" s="69">
        <f>VLOOKUP(G963,'CP FACTORS'!$A$3:$B$38, 2, FALSE)</f>
        <v>1.4925290000000001E-4</v>
      </c>
      <c r="I963" s="405" t="s">
        <v>61</v>
      </c>
      <c r="J963" s="69">
        <f>VLOOKUP(I963,'CP FACTORS'!$A$3:$B$38, 2, FALSE)</f>
        <v>1.899635E-4</v>
      </c>
      <c r="K963" s="59">
        <f t="shared" si="145"/>
        <v>37.354615975184814</v>
      </c>
      <c r="L963" s="626">
        <f t="shared" si="146"/>
        <v>0</v>
      </c>
      <c r="M963" s="45">
        <f t="shared" si="147"/>
        <v>5.5750000000000001E-3</v>
      </c>
      <c r="N963" s="50">
        <f t="shared" si="148"/>
        <v>8</v>
      </c>
      <c r="O963" s="50">
        <v>0</v>
      </c>
      <c r="P963" s="2076">
        <f t="shared" si="154"/>
        <v>1.45</v>
      </c>
      <c r="Q963" s="2074">
        <f t="shared" si="155"/>
        <v>1.45</v>
      </c>
      <c r="R963" s="139" t="s">
        <v>62</v>
      </c>
      <c r="V963" s="1378" t="e">
        <f t="shared" si="158"/>
        <v>#REF!</v>
      </c>
      <c r="W963" s="383">
        <v>36.609288404042864</v>
      </c>
      <c r="X963" s="404">
        <v>39.848608800000001</v>
      </c>
      <c r="Y963" s="117">
        <v>37.35</v>
      </c>
      <c r="Z963" s="18">
        <v>37.35</v>
      </c>
      <c r="AA963" s="18">
        <v>37.35</v>
      </c>
      <c r="AB963" s="414">
        <v>37.35</v>
      </c>
      <c r="AC963" s="44">
        <v>37.35</v>
      </c>
      <c r="AD963" s="44">
        <v>37.35</v>
      </c>
      <c r="AE963" s="44">
        <v>37.35</v>
      </c>
      <c r="AF963" s="271">
        <f t="shared" si="151"/>
        <v>37.35</v>
      </c>
      <c r="AG963" s="356"/>
      <c r="AH963" s="121"/>
      <c r="AK963" s="358"/>
      <c r="DG963" s="1062">
        <f t="shared" si="152"/>
        <v>10.281450265789999</v>
      </c>
      <c r="DH963" s="673" t="str">
        <f t="shared" si="156"/>
        <v>Lighting RES 8 Year EUL</v>
      </c>
      <c r="DI963" s="556">
        <f>(INDEX('Avoided Cost Benefits'!$B$4:$B$865,MATCH(DH963,'Avoided Cost Benefits'!$A$4:$A$865,0)))*F963</f>
        <v>14.908102885395499</v>
      </c>
      <c r="DJ963" s="1170">
        <f t="shared" si="153"/>
        <v>1.45</v>
      </c>
    </row>
    <row r="964" spans="2:114">
      <c r="B964" s="1454">
        <f t="shared" si="144"/>
        <v>404850</v>
      </c>
      <c r="C964" s="682" t="s">
        <v>3237</v>
      </c>
      <c r="D964" s="719" t="s">
        <v>3221</v>
      </c>
      <c r="E964" s="1377" t="s">
        <v>3238</v>
      </c>
      <c r="F964" s="165">
        <f t="shared" si="157"/>
        <v>23.26</v>
      </c>
      <c r="G964" s="405" t="s">
        <v>1414</v>
      </c>
      <c r="H964" s="69">
        <f>VLOOKUP(G964,'CP FACTORS'!$A$3:$B$38, 2, FALSE)</f>
        <v>1.4925290000000001E-4</v>
      </c>
      <c r="I964" s="405" t="s">
        <v>61</v>
      </c>
      <c r="J964" s="69">
        <f>VLOOKUP(I964,'CP FACTORS'!$A$3:$B$38, 2, FALSE)</f>
        <v>1.899635E-4</v>
      </c>
      <c r="K964" s="49">
        <f t="shared" si="145"/>
        <v>23.264716967001075</v>
      </c>
      <c r="L964" s="626">
        <f t="shared" si="146"/>
        <v>0</v>
      </c>
      <c r="M964" s="1474">
        <f t="shared" si="147"/>
        <v>3.4719999999999998E-3</v>
      </c>
      <c r="N964" s="50">
        <f t="shared" si="148"/>
        <v>8</v>
      </c>
      <c r="O964" s="50">
        <v>0</v>
      </c>
      <c r="P964" s="2076">
        <f t="shared" si="154"/>
        <v>1.66</v>
      </c>
      <c r="Q964" s="2074">
        <f t="shared" si="155"/>
        <v>1.66</v>
      </c>
      <c r="R964" s="139" t="s">
        <v>62</v>
      </c>
      <c r="V964" s="1378" t="e">
        <f t="shared" si="158"/>
        <v>#REF!</v>
      </c>
      <c r="W964" s="383">
        <v>23.063851694547001</v>
      </c>
      <c r="X964" s="404">
        <v>25.104623543999999</v>
      </c>
      <c r="Y964" s="117">
        <v>23.53</v>
      </c>
      <c r="Z964" s="18">
        <v>23.53</v>
      </c>
      <c r="AA964" s="18">
        <v>23.53</v>
      </c>
      <c r="AB964" s="414">
        <v>23.53</v>
      </c>
      <c r="AC964" s="44">
        <v>23.53</v>
      </c>
      <c r="AD964" s="44">
        <v>23.53</v>
      </c>
      <c r="AE964" s="44">
        <v>23.53</v>
      </c>
      <c r="AF964" s="271">
        <f t="shared" si="151"/>
        <v>23.26</v>
      </c>
      <c r="AG964" s="356"/>
      <c r="AH964" s="121"/>
      <c r="AK964" s="358"/>
      <c r="DG964" s="1062">
        <f t="shared" si="152"/>
        <v>5.592852907441805</v>
      </c>
      <c r="DH964" s="673" t="str">
        <f t="shared" si="156"/>
        <v>Lighting RES 8 Year EUL</v>
      </c>
      <c r="DI964" s="556">
        <f>(INDEX('Avoided Cost Benefits'!$B$4:$B$865,MATCH(DH964,'Avoided Cost Benefits'!$A$4:$A$865,0)))*F964</f>
        <v>9.2841358263533955</v>
      </c>
      <c r="DJ964" s="1170">
        <f t="shared" si="153"/>
        <v>1.66</v>
      </c>
    </row>
    <row r="965" spans="2:114">
      <c r="B965" s="1454">
        <f t="shared" si="144"/>
        <v>404950</v>
      </c>
      <c r="C965" s="682" t="s">
        <v>3239</v>
      </c>
      <c r="D965" s="719" t="s">
        <v>3221</v>
      </c>
      <c r="E965" s="1377" t="s">
        <v>3240</v>
      </c>
      <c r="F965" s="165">
        <f>ROUND(K965+L965,2)</f>
        <v>60.95</v>
      </c>
      <c r="G965" s="405" t="s">
        <v>1414</v>
      </c>
      <c r="H965" s="69">
        <f>VLOOKUP(G965,'CP FACTORS'!$A$3:$B$38, 2, FALSE)</f>
        <v>1.4925290000000001E-4</v>
      </c>
      <c r="I965" s="405" t="s">
        <v>61</v>
      </c>
      <c r="J965" s="69">
        <f>VLOOKUP(I965,'CP FACTORS'!$A$3:$B$38, 2, FALSE)</f>
        <v>1.899635E-4</v>
      </c>
      <c r="K965" s="165">
        <f t="shared" si="145"/>
        <v>60.947005012143649</v>
      </c>
      <c r="L965" s="626">
        <f t="shared" si="146"/>
        <v>0</v>
      </c>
      <c r="M965" s="1474">
        <f t="shared" si="147"/>
        <v>9.0969999999999992E-3</v>
      </c>
      <c r="N965" s="50">
        <f t="shared" si="148"/>
        <v>8</v>
      </c>
      <c r="O965" s="50">
        <v>0</v>
      </c>
      <c r="P965" s="2076">
        <f t="shared" si="154"/>
        <v>1.66</v>
      </c>
      <c r="Q965" s="2074">
        <f t="shared" si="155"/>
        <v>1.66</v>
      </c>
      <c r="R965" s="139" t="s">
        <v>62</v>
      </c>
      <c r="V965" s="1378" t="e">
        <f>#REF!</f>
        <v>#REF!</v>
      </c>
      <c r="W965" s="383">
        <v>23.211573384598399</v>
      </c>
      <c r="X965" s="404">
        <v>14.681066400000002</v>
      </c>
      <c r="Y965" s="117">
        <v>14.42</v>
      </c>
      <c r="Z965" s="18">
        <v>14.42</v>
      </c>
      <c r="AA965" s="18">
        <v>14.42</v>
      </c>
      <c r="AB965" s="414">
        <v>14.42</v>
      </c>
      <c r="AC965" s="44">
        <v>14.42</v>
      </c>
      <c r="AD965" s="44">
        <v>14.42</v>
      </c>
      <c r="AE965" s="49">
        <v>3.21</v>
      </c>
      <c r="AF965" s="271">
        <f t="shared" si="151"/>
        <v>60.95</v>
      </c>
      <c r="AG965" s="356"/>
      <c r="AH965" s="121"/>
      <c r="AK965" s="358"/>
      <c r="DG965" s="1062">
        <f t="shared" si="152"/>
        <v>14.655390572165864</v>
      </c>
      <c r="DH965" s="673" t="str">
        <f t="shared" si="156"/>
        <v>Lighting RES 8 Year EUL</v>
      </c>
      <c r="DI965" s="556">
        <f>(INDEX('Avoided Cost Benefits'!$B$4:$B$865,MATCH(DH965,'Avoided Cost Benefits'!$A$4:$A$865,0)))*F965</f>
        <v>24.327948349795331</v>
      </c>
      <c r="DJ965" s="1170">
        <f t="shared" si="153"/>
        <v>1.66</v>
      </c>
    </row>
    <row r="966" spans="2:114">
      <c r="B966" s="1454">
        <f t="shared" si="144"/>
        <v>405410</v>
      </c>
      <c r="C966" s="682" t="s">
        <v>3241</v>
      </c>
      <c r="D966" s="719" t="s">
        <v>3221</v>
      </c>
      <c r="E966" s="1470" t="s">
        <v>3242</v>
      </c>
      <c r="F966" s="59">
        <f>ROUND(K966+L966,2)</f>
        <v>15.07</v>
      </c>
      <c r="G966" s="405" t="s">
        <v>1414</v>
      </c>
      <c r="H966" s="69">
        <f>VLOOKUP(G966,'CP FACTORS'!$A$3:$B$38, 2, FALSE)</f>
        <v>1.4925290000000001E-4</v>
      </c>
      <c r="I966" s="405" t="s">
        <v>61</v>
      </c>
      <c r="J966" s="69">
        <f>VLOOKUP(I966,'CP FACTORS'!$A$3:$B$38, 2, FALSE)</f>
        <v>1.899635E-4</v>
      </c>
      <c r="K966" s="59">
        <f t="shared" si="145"/>
        <v>15.07291521805703</v>
      </c>
      <c r="L966" s="626">
        <f t="shared" si="146"/>
        <v>0</v>
      </c>
      <c r="M966" s="45">
        <f t="shared" si="147"/>
        <v>2.2499999999999998E-3</v>
      </c>
      <c r="N966" s="50">
        <f t="shared" si="148"/>
        <v>8</v>
      </c>
      <c r="O966" s="50">
        <v>0</v>
      </c>
      <c r="P966" s="2076">
        <f t="shared" si="154"/>
        <v>1.45</v>
      </c>
      <c r="Q966" s="2074">
        <f t="shared" si="155"/>
        <v>1.45</v>
      </c>
      <c r="R966" s="139" t="s">
        <v>62</v>
      </c>
      <c r="V966" s="1378" t="e">
        <f>#REF!</f>
        <v>#REF!</v>
      </c>
      <c r="W966" s="383"/>
      <c r="X966" s="404"/>
      <c r="Y966" s="117"/>
      <c r="Z966" s="18"/>
      <c r="AA966" s="18"/>
      <c r="AB966" s="117">
        <v>15.07</v>
      </c>
      <c r="AC966" s="44">
        <v>15.07</v>
      </c>
      <c r="AD966" s="44">
        <v>15.07</v>
      </c>
      <c r="AE966" s="44">
        <v>15.07</v>
      </c>
      <c r="AF966" s="271">
        <f t="shared" si="151"/>
        <v>15.07</v>
      </c>
      <c r="AG966" s="356"/>
      <c r="AH966" s="121"/>
      <c r="AK966" s="358"/>
      <c r="DG966" s="1062">
        <f t="shared" si="152"/>
        <v>4.1483656092491374</v>
      </c>
      <c r="DH966" s="673" t="str">
        <f t="shared" ref="DH966:DH967" si="159">CONCATENATE(G966," ",N966," Year EUL")</f>
        <v>Lighting RES 8 Year EUL</v>
      </c>
      <c r="DI966" s="556">
        <f>(INDEX('Avoided Cost Benefits'!$B$4:$B$865,MATCH(DH966,'Avoided Cost Benefits'!$A$4:$A$865,0)))*F966</f>
        <v>6.0151301334112492</v>
      </c>
      <c r="DJ966" s="1170">
        <f t="shared" si="153"/>
        <v>1.45</v>
      </c>
    </row>
    <row r="967" spans="2:114">
      <c r="B967" s="1454">
        <f t="shared" si="144"/>
        <v>405430</v>
      </c>
      <c r="C967" s="682" t="s">
        <v>3243</v>
      </c>
      <c r="D967" s="719" t="s">
        <v>1486</v>
      </c>
      <c r="E967" s="1377" t="s">
        <v>1413</v>
      </c>
      <c r="F967" s="44">
        <f t="shared" si="157"/>
        <v>28.53</v>
      </c>
      <c r="G967" s="405" t="s">
        <v>1414</v>
      </c>
      <c r="H967" s="69">
        <f>VLOOKUP(G967,'CP FACTORS'!$A$3:$B$38, 2, FALSE)</f>
        <v>1.4925290000000001E-4</v>
      </c>
      <c r="I967" s="405" t="s">
        <v>61</v>
      </c>
      <c r="J967" s="69">
        <f>VLOOKUP(I967,'CP FACTORS'!$A$3:$B$38, 2, FALSE)</f>
        <v>1.899635E-4</v>
      </c>
      <c r="K967" s="59">
        <f>((F984-F996)*$F$1006*$F$997*(1-$F$999)*($F$1001*$F$1002)/1000)</f>
        <v>28.526284813109683</v>
      </c>
      <c r="L967" s="626">
        <f>((F984-F996)*(1-$F$1006)*$F$997*(1-$F$999)*($F$1004*$F$1005)/1000)</f>
        <v>0</v>
      </c>
      <c r="M967" s="45">
        <f t="shared" si="147"/>
        <v>4.2579999999999996E-3</v>
      </c>
      <c r="N967" s="50">
        <f t="shared" si="148"/>
        <v>8</v>
      </c>
      <c r="O967" s="2082">
        <v>0</v>
      </c>
      <c r="P967" s="700">
        <f t="shared" si="154"/>
        <v>3.35</v>
      </c>
      <c r="Q967" s="2075">
        <f t="shared" si="155"/>
        <v>3.35</v>
      </c>
      <c r="R967" s="982" t="s">
        <v>62</v>
      </c>
      <c r="V967" s="676" t="e">
        <f t="shared" si="158"/>
        <v>#REF!</v>
      </c>
      <c r="W967" s="383"/>
      <c r="X967" s="404"/>
      <c r="Y967" s="117"/>
      <c r="Z967" s="18"/>
      <c r="AA967" s="18"/>
      <c r="AB967" s="117"/>
      <c r="AC967" s="49">
        <v>28.53</v>
      </c>
      <c r="AD967" s="44">
        <v>28.53</v>
      </c>
      <c r="AE967" s="44">
        <v>28.53</v>
      </c>
      <c r="AF967" s="271">
        <f t="shared" si="151"/>
        <v>28.53</v>
      </c>
      <c r="AG967" s="356"/>
      <c r="AH967" s="121"/>
      <c r="AK967" s="358"/>
      <c r="DG967" s="1062">
        <f t="shared" si="152"/>
        <v>3.3992940943502052</v>
      </c>
      <c r="DH967" s="673" t="str">
        <f t="shared" si="159"/>
        <v>Lighting RES 8 Year EUL</v>
      </c>
      <c r="DI967" s="1072">
        <f>(INDEX('Avoided Cost Benefits'!$B$4:$B$865,MATCH(DH967,'Avoided Cost Benefits'!$A$4:$A$865,0)))*F967</f>
        <v>11.387635216073187</v>
      </c>
      <c r="DJ967" s="1171">
        <f t="shared" si="153"/>
        <v>3.35</v>
      </c>
    </row>
    <row r="968" spans="2:114" hidden="1" outlineLevel="1">
      <c r="B968" s="52"/>
      <c r="C968" s="51"/>
      <c r="D968" s="77" t="s">
        <v>118</v>
      </c>
      <c r="E968" s="1458" t="s">
        <v>3244</v>
      </c>
      <c r="F968" s="1264"/>
      <c r="G968" s="446"/>
      <c r="H968" s="974"/>
      <c r="I968" s="446"/>
      <c r="J968" s="974"/>
      <c r="K968" s="408"/>
      <c r="L968" s="1468"/>
      <c r="M968" s="410"/>
      <c r="N968" s="627"/>
      <c r="O968" s="627"/>
      <c r="P968" s="655"/>
      <c r="Q968" s="655"/>
      <c r="R968" s="52"/>
      <c r="AK968" s="358"/>
      <c r="DJ968" s="1187"/>
    </row>
    <row r="969" spans="2:114" hidden="1" outlineLevel="1">
      <c r="B969" s="52"/>
      <c r="C969" s="51"/>
      <c r="D969" s="407"/>
      <c r="E969" s="52" t="s">
        <v>1416</v>
      </c>
      <c r="F969" s="408"/>
      <c r="G969" s="446"/>
      <c r="H969" s="1469"/>
      <c r="I969" s="52"/>
      <c r="J969" s="627"/>
      <c r="K969" s="410"/>
      <c r="L969" s="52"/>
      <c r="M969" s="52"/>
      <c r="N969" s="52"/>
      <c r="AK969" s="358"/>
      <c r="DJ969" s="1187"/>
    </row>
    <row r="970" spans="2:114" hidden="1" outlineLevel="1">
      <c r="B970" s="52"/>
      <c r="C970" s="51"/>
      <c r="D970" s="77" t="s">
        <v>963</v>
      </c>
      <c r="E970" s="52" t="s">
        <v>966</v>
      </c>
      <c r="F970" s="52"/>
      <c r="G970" s="52"/>
      <c r="H970" s="52"/>
      <c r="I970" s="52"/>
      <c r="J970" s="627"/>
      <c r="K970" s="410"/>
      <c r="L970" s="52"/>
      <c r="M970" s="52"/>
      <c r="N970" s="52"/>
      <c r="V970" s="273" t="str">
        <f>IF(C968&gt;0,C968," ")</f>
        <v xml:space="preserve"> </v>
      </c>
      <c r="AK970" s="358"/>
      <c r="DJ970" s="1187"/>
    </row>
    <row r="971" spans="2:114" hidden="1" outlineLevel="1">
      <c r="B971" s="52"/>
      <c r="C971" s="51"/>
      <c r="D971" s="104"/>
      <c r="E971" s="104"/>
      <c r="F971" s="52"/>
      <c r="G971" s="52"/>
      <c r="H971" s="52"/>
      <c r="I971" s="52"/>
      <c r="J971" s="627"/>
      <c r="K971" s="410"/>
      <c r="L971" s="52"/>
      <c r="M971" s="52"/>
      <c r="N971" s="52"/>
      <c r="V971" s="273" t="str">
        <f>IF(C969&gt;0,C969," ")</f>
        <v xml:space="preserve"> </v>
      </c>
      <c r="AK971" s="358"/>
      <c r="DJ971" s="1187"/>
    </row>
    <row r="972" spans="2:114" hidden="1" outlineLevel="1">
      <c r="B972" s="52"/>
      <c r="C972" s="411"/>
      <c r="D972" s="412" t="s">
        <v>967</v>
      </c>
      <c r="E972" s="412" t="s">
        <v>122</v>
      </c>
      <c r="F972" s="4602" t="s">
        <v>969</v>
      </c>
      <c r="G972" s="4847"/>
      <c r="H972" s="4602" t="s">
        <v>755</v>
      </c>
      <c r="I972" s="4847"/>
      <c r="J972" s="52"/>
      <c r="K972" s="52"/>
      <c r="L972" s="52"/>
      <c r="M972" s="52"/>
      <c r="N972" s="52"/>
      <c r="V972" s="856" t="s">
        <v>52</v>
      </c>
      <c r="W972" s="1842">
        <f>$W$6</f>
        <v>43252</v>
      </c>
      <c r="X972" s="1842">
        <f>$X$6</f>
        <v>43465</v>
      </c>
      <c r="Y972" s="1844">
        <f>$Y$6</f>
        <v>43800</v>
      </c>
      <c r="Z972" s="1842">
        <f>$Z$6</f>
        <v>43862</v>
      </c>
      <c r="AA972" s="1842">
        <f>$AA$6</f>
        <v>44013</v>
      </c>
      <c r="AB972" s="1842">
        <f>$AB$6</f>
        <v>44166</v>
      </c>
      <c r="AC972" s="1842">
        <f>$AC$6</f>
        <v>44531</v>
      </c>
      <c r="AD972" s="1842">
        <f>$AD$6</f>
        <v>44774</v>
      </c>
      <c r="AE972" s="1842">
        <f>$AE$6</f>
        <v>45139</v>
      </c>
      <c r="AF972" s="1842">
        <f>$AF$6</f>
        <v>45672</v>
      </c>
      <c r="AG972" s="1842" t="str">
        <f>$AG$6</f>
        <v>-</v>
      </c>
      <c r="AK972" s="358"/>
    </row>
    <row r="973" spans="2:114" ht="15" hidden="1" customHeight="1" outlineLevel="1">
      <c r="B973" s="52"/>
      <c r="C973" s="411"/>
      <c r="D973" s="4396" t="s">
        <v>3245</v>
      </c>
      <c r="E973" s="1377" t="s">
        <v>3222</v>
      </c>
      <c r="F973" s="1795">
        <v>75</v>
      </c>
      <c r="G973" s="18"/>
      <c r="H973" s="4391" t="s">
        <v>3246</v>
      </c>
      <c r="I973" s="4392"/>
      <c r="J973" s="52"/>
      <c r="K973" s="52"/>
      <c r="L973" s="52"/>
      <c r="M973" s="52"/>
      <c r="N973" s="52"/>
      <c r="V973" s="4396" t="s">
        <v>3245</v>
      </c>
      <c r="W973" s="414">
        <v>43</v>
      </c>
      <c r="X973" s="117">
        <v>43</v>
      </c>
      <c r="Y973" s="21">
        <v>43</v>
      </c>
      <c r="Z973" s="21">
        <v>43</v>
      </c>
      <c r="AA973" s="21">
        <v>43</v>
      </c>
      <c r="AB973" s="21">
        <v>43</v>
      </c>
      <c r="AC973" s="21">
        <v>43</v>
      </c>
      <c r="AD973" s="21">
        <v>43</v>
      </c>
      <c r="AE973" s="175">
        <v>15</v>
      </c>
      <c r="AF973" s="271">
        <f t="shared" ref="AF973:AF990" si="160">IF(F973&lt;&gt;"",F973,"")</f>
        <v>75</v>
      </c>
      <c r="AG973" s="388"/>
      <c r="AK973" s="358"/>
    </row>
    <row r="974" spans="2:114" ht="15" hidden="1" customHeight="1" outlineLevel="1">
      <c r="B974" s="52"/>
      <c r="C974" s="411"/>
      <c r="D974" s="4397"/>
      <c r="E974" s="1470" t="s">
        <v>3224</v>
      </c>
      <c r="F974" s="1838">
        <v>43</v>
      </c>
      <c r="G974" s="18"/>
      <c r="H974" s="4391" t="s">
        <v>1419</v>
      </c>
      <c r="I974" s="4392"/>
      <c r="J974" s="52"/>
      <c r="K974" s="52"/>
      <c r="L974" s="52"/>
      <c r="M974" s="52"/>
      <c r="N974" s="52"/>
      <c r="V974" s="4397"/>
      <c r="W974" s="414">
        <v>41.32</v>
      </c>
      <c r="X974" s="414">
        <v>41.32</v>
      </c>
      <c r="Y974" s="538">
        <v>41.32</v>
      </c>
      <c r="Z974" s="538">
        <v>41.32</v>
      </c>
      <c r="AA974" s="538">
        <v>41.32</v>
      </c>
      <c r="AB974" s="175">
        <v>43</v>
      </c>
      <c r="AC974" s="21">
        <v>43</v>
      </c>
      <c r="AD974" s="21">
        <v>43</v>
      </c>
      <c r="AE974" s="21">
        <v>43</v>
      </c>
      <c r="AF974" s="271">
        <f t="shared" si="160"/>
        <v>43</v>
      </c>
      <c r="AG974" s="1529"/>
      <c r="AK974" s="358"/>
    </row>
    <row r="975" spans="2:114" ht="15" hidden="1" customHeight="1" outlineLevel="1">
      <c r="B975" s="52"/>
      <c r="C975" s="411"/>
      <c r="D975" s="4397"/>
      <c r="E975" s="1377" t="s">
        <v>3226</v>
      </c>
      <c r="F975" s="1795">
        <v>100</v>
      </c>
      <c r="G975" s="18"/>
      <c r="H975" s="4391" t="s">
        <v>3247</v>
      </c>
      <c r="I975" s="4392"/>
      <c r="J975" s="52"/>
      <c r="K975" s="52"/>
      <c r="L975" s="52"/>
      <c r="M975" s="52"/>
      <c r="N975" s="52"/>
      <c r="V975" s="4397"/>
      <c r="W975" s="414">
        <v>76.25</v>
      </c>
      <c r="X975" s="415">
        <v>76.25</v>
      </c>
      <c r="Y975" s="175">
        <v>53</v>
      </c>
      <c r="Z975" s="21">
        <v>53</v>
      </c>
      <c r="AA975" s="21">
        <v>53</v>
      </c>
      <c r="AB975" s="21">
        <v>53</v>
      </c>
      <c r="AC975" s="21">
        <v>53</v>
      </c>
      <c r="AD975" s="21">
        <v>53</v>
      </c>
      <c r="AE975" s="21">
        <v>53</v>
      </c>
      <c r="AF975" s="271">
        <f t="shared" si="160"/>
        <v>100</v>
      </c>
      <c r="AG975" s="1529"/>
      <c r="AK975" s="358"/>
    </row>
    <row r="976" spans="2:114" ht="15" hidden="1" customHeight="1" outlineLevel="1">
      <c r="B976" s="52"/>
      <c r="C976" s="411"/>
      <c r="D976" s="4397"/>
      <c r="E976" s="1470" t="s">
        <v>3228</v>
      </c>
      <c r="F976" s="1838">
        <v>53</v>
      </c>
      <c r="G976" s="18"/>
      <c r="H976" s="4391" t="s">
        <v>1419</v>
      </c>
      <c r="I976" s="4392"/>
      <c r="J976" s="52"/>
      <c r="K976" s="52"/>
      <c r="L976" s="52"/>
      <c r="M976" s="52"/>
      <c r="N976" s="52"/>
      <c r="V976" s="4397"/>
      <c r="W976" s="18">
        <v>53</v>
      </c>
      <c r="X976" s="18">
        <v>53</v>
      </c>
      <c r="Y976" s="1547">
        <v>53</v>
      </c>
      <c r="Z976" s="538">
        <v>53</v>
      </c>
      <c r="AA976" s="538">
        <v>53</v>
      </c>
      <c r="AB976" s="21">
        <v>53</v>
      </c>
      <c r="AC976" s="21">
        <v>53</v>
      </c>
      <c r="AD976" s="21">
        <v>53</v>
      </c>
      <c r="AE976" s="21">
        <v>53</v>
      </c>
      <c r="AF976" s="271">
        <f t="shared" si="160"/>
        <v>53</v>
      </c>
      <c r="AG976" s="1529"/>
      <c r="AK976" s="358"/>
    </row>
    <row r="977" spans="2:37" ht="15" hidden="1" customHeight="1" outlineLevel="1">
      <c r="B977" s="52"/>
      <c r="C977" s="411"/>
      <c r="D977" s="4397"/>
      <c r="E977" s="1377" t="s">
        <v>3230</v>
      </c>
      <c r="F977" s="1795">
        <v>75</v>
      </c>
      <c r="G977" s="18"/>
      <c r="H977" s="4391" t="s">
        <v>3248</v>
      </c>
      <c r="I977" s="4391"/>
      <c r="J977" s="52"/>
      <c r="K977" s="52"/>
      <c r="L977" s="52"/>
      <c r="M977" s="52"/>
      <c r="N977" s="52"/>
      <c r="V977" s="4397"/>
      <c r="W977" s="414"/>
      <c r="X977" s="117"/>
      <c r="Y977" s="21"/>
      <c r="Z977" s="21"/>
      <c r="AA977" s="21"/>
      <c r="AB977" s="175">
        <v>65</v>
      </c>
      <c r="AC977" s="21">
        <v>65</v>
      </c>
      <c r="AD977" s="21">
        <v>65</v>
      </c>
      <c r="AE977" s="21">
        <v>65</v>
      </c>
      <c r="AF977" s="271">
        <f t="shared" si="160"/>
        <v>75</v>
      </c>
      <c r="AG977" s="1529"/>
      <c r="AK977" s="358"/>
    </row>
    <row r="978" spans="2:37" ht="15" hidden="1" customHeight="1" outlineLevel="1">
      <c r="B978" s="52"/>
      <c r="C978" s="411"/>
      <c r="D978" s="4397"/>
      <c r="E978" s="1377" t="s">
        <v>3232</v>
      </c>
      <c r="F978" s="1795">
        <v>120</v>
      </c>
      <c r="G978" s="18"/>
      <c r="H978" s="4391" t="s">
        <v>3249</v>
      </c>
      <c r="I978" s="4391"/>
      <c r="J978" s="52"/>
      <c r="K978" s="52"/>
      <c r="L978" s="52"/>
      <c r="M978" s="52"/>
      <c r="N978" s="52"/>
      <c r="V978" s="4397"/>
      <c r="W978" s="414">
        <v>62.1</v>
      </c>
      <c r="X978" s="117">
        <v>55</v>
      </c>
      <c r="Y978" s="21">
        <v>55</v>
      </c>
      <c r="Z978" s="21">
        <v>55</v>
      </c>
      <c r="AA978" s="21">
        <v>55</v>
      </c>
      <c r="AB978" s="21">
        <v>55</v>
      </c>
      <c r="AC978" s="21">
        <v>55</v>
      </c>
      <c r="AD978" s="21">
        <v>55</v>
      </c>
      <c r="AE978" s="21">
        <v>55</v>
      </c>
      <c r="AF978" s="271">
        <f t="shared" si="160"/>
        <v>120</v>
      </c>
      <c r="AG978" s="1529"/>
      <c r="AK978" s="358"/>
    </row>
    <row r="979" spans="2:37" ht="15" hidden="1" customHeight="1" outlineLevel="1">
      <c r="B979" s="52"/>
      <c r="C979" s="411"/>
      <c r="D979" s="4397"/>
      <c r="E979" s="1377" t="s">
        <v>3234</v>
      </c>
      <c r="F979" s="1795">
        <v>150</v>
      </c>
      <c r="G979" s="18"/>
      <c r="H979" s="4391" t="s">
        <v>3250</v>
      </c>
      <c r="I979" s="4391"/>
      <c r="J979" s="52"/>
      <c r="K979" s="52"/>
      <c r="L979" s="52"/>
      <c r="M979" s="52"/>
      <c r="N979" s="52"/>
      <c r="V979" s="4397"/>
      <c r="W979" s="414">
        <v>100</v>
      </c>
      <c r="X979" s="117">
        <v>70</v>
      </c>
      <c r="Y979" s="538">
        <v>70</v>
      </c>
      <c r="Z979" s="538">
        <v>70</v>
      </c>
      <c r="AA979" s="538">
        <v>70</v>
      </c>
      <c r="AB979" s="21">
        <v>70</v>
      </c>
      <c r="AC979" s="21">
        <v>70</v>
      </c>
      <c r="AD979" s="21">
        <v>70</v>
      </c>
      <c r="AE979" s="21">
        <v>70</v>
      </c>
      <c r="AF979" s="271">
        <f t="shared" si="160"/>
        <v>150</v>
      </c>
      <c r="AG979" s="1529"/>
      <c r="AK979" s="358"/>
    </row>
    <row r="980" spans="2:37" ht="15" hidden="1" customHeight="1" outlineLevel="1">
      <c r="B980" s="52"/>
      <c r="C980" s="411"/>
      <c r="D980" s="4397"/>
      <c r="E980" s="1470" t="s">
        <v>3236</v>
      </c>
      <c r="F980" s="1838">
        <v>72</v>
      </c>
      <c r="G980" s="18"/>
      <c r="H980" s="4391" t="s">
        <v>1419</v>
      </c>
      <c r="I980" s="4392"/>
      <c r="J980" s="52"/>
      <c r="K980" s="52"/>
      <c r="L980" s="52"/>
      <c r="M980" s="52"/>
      <c r="N980" s="52"/>
      <c r="V980" s="4397"/>
      <c r="W980" s="414">
        <v>72</v>
      </c>
      <c r="X980" s="414">
        <v>72</v>
      </c>
      <c r="Y980" s="538">
        <v>72</v>
      </c>
      <c r="Z980" s="538">
        <v>72</v>
      </c>
      <c r="AA980" s="538">
        <v>72</v>
      </c>
      <c r="AB980" s="21">
        <v>72</v>
      </c>
      <c r="AC980" s="21">
        <v>72</v>
      </c>
      <c r="AD980" s="21">
        <v>72</v>
      </c>
      <c r="AE980" s="21">
        <v>72</v>
      </c>
      <c r="AF980" s="271">
        <f t="shared" si="160"/>
        <v>72</v>
      </c>
      <c r="AG980" s="1529"/>
      <c r="AK980" s="358"/>
    </row>
    <row r="981" spans="2:37" ht="15" hidden="1" customHeight="1" outlineLevel="1">
      <c r="B981" s="52"/>
      <c r="C981" s="411"/>
      <c r="D981" s="4397"/>
      <c r="E981" s="1377" t="s">
        <v>3238</v>
      </c>
      <c r="F981" s="1795">
        <v>40</v>
      </c>
      <c r="G981" s="18"/>
      <c r="H981" s="4391" t="s">
        <v>3251</v>
      </c>
      <c r="I981" s="4392"/>
      <c r="J981" s="52"/>
      <c r="K981" s="52"/>
      <c r="L981" s="52"/>
      <c r="M981" s="52"/>
      <c r="N981" s="52"/>
      <c r="V981" s="4397"/>
      <c r="W981" s="415">
        <v>40.409999999999997</v>
      </c>
      <c r="X981" s="415">
        <v>40.409999999999997</v>
      </c>
      <c r="Y981" s="538">
        <v>40.409999999999997</v>
      </c>
      <c r="Z981" s="538">
        <v>40.409999999999997</v>
      </c>
      <c r="AA981" s="538">
        <v>40.409999999999997</v>
      </c>
      <c r="AB981" s="21">
        <v>40.409999999999997</v>
      </c>
      <c r="AC981" s="21">
        <v>40.409999999999997</v>
      </c>
      <c r="AD981" s="21">
        <v>40.409999999999997</v>
      </c>
      <c r="AE981" s="21">
        <v>40.409999999999997</v>
      </c>
      <c r="AF981" s="271">
        <f t="shared" si="160"/>
        <v>40</v>
      </c>
      <c r="AG981" s="1529"/>
      <c r="AK981" s="358"/>
    </row>
    <row r="982" spans="2:37" hidden="1" outlineLevel="1">
      <c r="B982" s="52"/>
      <c r="C982" s="411"/>
      <c r="D982" s="4397"/>
      <c r="E982" s="1377" t="s">
        <v>3240</v>
      </c>
      <c r="F982" s="1795">
        <v>100</v>
      </c>
      <c r="G982" s="18"/>
      <c r="H982" s="4391" t="s">
        <v>3252</v>
      </c>
      <c r="I982" s="4392"/>
      <c r="J982" s="52"/>
      <c r="K982" s="52"/>
      <c r="L982" s="52"/>
      <c r="M982" s="52"/>
      <c r="N982" s="52"/>
      <c r="V982" s="4397"/>
      <c r="W982" s="415">
        <v>42.04</v>
      </c>
      <c r="X982" s="117">
        <v>29</v>
      </c>
      <c r="Y982" s="21">
        <v>29</v>
      </c>
      <c r="Z982" s="21">
        <v>29</v>
      </c>
      <c r="AA982" s="21">
        <v>29</v>
      </c>
      <c r="AB982" s="21">
        <v>29</v>
      </c>
      <c r="AC982" s="21">
        <v>29</v>
      </c>
      <c r="AD982" s="21">
        <v>29</v>
      </c>
      <c r="AE982" s="175">
        <v>11.9</v>
      </c>
      <c r="AF982" s="271">
        <f t="shared" si="160"/>
        <v>100</v>
      </c>
      <c r="AG982" s="1529"/>
      <c r="AK982" s="358"/>
    </row>
    <row r="983" spans="2:37" ht="15" hidden="1" customHeight="1" outlineLevel="1">
      <c r="B983" s="52"/>
      <c r="C983" s="411"/>
      <c r="D983" s="4397"/>
      <c r="E983" s="1470" t="s">
        <v>3242</v>
      </c>
      <c r="F983" s="1838">
        <v>29</v>
      </c>
      <c r="G983" s="18"/>
      <c r="H983" s="4391" t="s">
        <v>1419</v>
      </c>
      <c r="I983" s="4392"/>
      <c r="J983" s="52"/>
      <c r="K983" s="52"/>
      <c r="L983" s="52"/>
      <c r="M983" s="52"/>
      <c r="N983" s="52"/>
      <c r="V983" s="4397"/>
      <c r="W983" s="416"/>
      <c r="X983" s="416"/>
      <c r="Y983" s="538"/>
      <c r="Z983" s="538"/>
      <c r="AA983" s="538"/>
      <c r="AB983" s="175">
        <v>29</v>
      </c>
      <c r="AC983" s="21">
        <v>29</v>
      </c>
      <c r="AD983" s="21">
        <v>29</v>
      </c>
      <c r="AE983" s="21">
        <v>29</v>
      </c>
      <c r="AF983" s="271">
        <f t="shared" si="160"/>
        <v>29</v>
      </c>
      <c r="AG983" s="1529"/>
      <c r="AK983" s="358"/>
    </row>
    <row r="984" spans="2:37" hidden="1" outlineLevel="1">
      <c r="B984" s="52"/>
      <c r="C984" s="411"/>
      <c r="D984" s="4398"/>
      <c r="E984" s="1377" t="s">
        <v>1413</v>
      </c>
      <c r="F984" s="1838">
        <v>7</v>
      </c>
      <c r="G984" s="18"/>
      <c r="H984" s="4391" t="s">
        <v>3253</v>
      </c>
      <c r="I984" s="4391"/>
      <c r="J984" s="52"/>
      <c r="K984" s="52"/>
      <c r="L984" s="52"/>
      <c r="M984" s="52"/>
      <c r="N984" s="52"/>
      <c r="V984" s="4398"/>
      <c r="W984" s="416"/>
      <c r="X984" s="416"/>
      <c r="Y984" s="538"/>
      <c r="Z984" s="538"/>
      <c r="AA984" s="538"/>
      <c r="AB984" s="175"/>
      <c r="AC984" s="175">
        <v>7</v>
      </c>
      <c r="AD984" s="21">
        <v>7</v>
      </c>
      <c r="AE984" s="21">
        <v>7</v>
      </c>
      <c r="AF984" s="271">
        <f t="shared" si="160"/>
        <v>7</v>
      </c>
      <c r="AG984" s="1529"/>
      <c r="AK984" s="358"/>
    </row>
    <row r="985" spans="2:37" hidden="1" outlineLevel="1">
      <c r="B985" s="52"/>
      <c r="C985" s="411"/>
      <c r="D985" s="4396" t="s">
        <v>3254</v>
      </c>
      <c r="E985" s="1377" t="s">
        <v>3222</v>
      </c>
      <c r="F985" s="916">
        <v>7</v>
      </c>
      <c r="G985" s="18"/>
      <c r="H985" s="4390" t="s">
        <v>3255</v>
      </c>
      <c r="I985" s="4847"/>
      <c r="J985" s="52"/>
      <c r="K985" s="52"/>
      <c r="L985" s="52"/>
      <c r="M985" s="52"/>
      <c r="N985" s="52"/>
      <c r="V985" s="4396" t="s">
        <v>3254</v>
      </c>
      <c r="W985" s="414">
        <v>7</v>
      </c>
      <c r="X985" s="117">
        <v>9</v>
      </c>
      <c r="Y985" s="175">
        <v>7</v>
      </c>
      <c r="Z985" s="21">
        <v>7</v>
      </c>
      <c r="AA985" s="21">
        <v>7</v>
      </c>
      <c r="AB985" s="18">
        <v>7</v>
      </c>
      <c r="AC985" s="18">
        <v>7</v>
      </c>
      <c r="AD985" s="18">
        <v>7</v>
      </c>
      <c r="AE985" s="18">
        <v>7</v>
      </c>
      <c r="AF985" s="271">
        <f t="shared" si="160"/>
        <v>7</v>
      </c>
      <c r="AG985" s="1529"/>
      <c r="AK985" s="358"/>
    </row>
    <row r="986" spans="2:37" hidden="1" outlineLevel="1">
      <c r="B986" s="52"/>
      <c r="C986" s="411"/>
      <c r="D986" s="4397"/>
      <c r="E986" s="1470" t="s">
        <v>3224</v>
      </c>
      <c r="F986" s="916">
        <v>9.1</v>
      </c>
      <c r="G986" s="18"/>
      <c r="H986" s="4390" t="s">
        <v>1423</v>
      </c>
      <c r="I986" s="4847"/>
      <c r="J986" s="52"/>
      <c r="K986" s="52"/>
      <c r="L986" s="52"/>
      <c r="M986" s="52"/>
      <c r="N986" s="52"/>
      <c r="V986" s="4397"/>
      <c r="W986" s="414">
        <v>9.1</v>
      </c>
      <c r="X986" s="414">
        <v>9.1</v>
      </c>
      <c r="Y986" s="538">
        <v>9.1</v>
      </c>
      <c r="Z986" s="538">
        <v>9.1</v>
      </c>
      <c r="AA986" s="538">
        <v>9.1</v>
      </c>
      <c r="AB986" s="18">
        <v>9.1</v>
      </c>
      <c r="AC986" s="18">
        <v>9.1</v>
      </c>
      <c r="AD986" s="18">
        <v>9.1</v>
      </c>
      <c r="AE986" s="18">
        <v>9.1</v>
      </c>
      <c r="AF986" s="271">
        <f t="shared" si="160"/>
        <v>9.1</v>
      </c>
      <c r="AG986" s="1529"/>
      <c r="AK986" s="358"/>
    </row>
    <row r="987" spans="2:37" hidden="1" outlineLevel="1">
      <c r="B987" s="52"/>
      <c r="C987" s="411"/>
      <c r="D987" s="4397"/>
      <c r="E987" s="1377" t="s">
        <v>3226</v>
      </c>
      <c r="F987" s="916">
        <v>11</v>
      </c>
      <c r="G987" s="18"/>
      <c r="H987" s="4390" t="s">
        <v>3255</v>
      </c>
      <c r="I987" s="4847"/>
      <c r="J987" s="52"/>
      <c r="K987" s="52"/>
      <c r="L987" s="52"/>
      <c r="M987" s="52"/>
      <c r="N987" s="52"/>
      <c r="V987" s="4397"/>
      <c r="W987" s="414">
        <v>9.5</v>
      </c>
      <c r="X987" s="117">
        <v>9.23</v>
      </c>
      <c r="Y987" s="175">
        <v>11</v>
      </c>
      <c r="Z987" s="21">
        <v>11</v>
      </c>
      <c r="AA987" s="21">
        <v>11</v>
      </c>
      <c r="AB987" s="18">
        <v>11</v>
      </c>
      <c r="AC987" s="18">
        <v>11</v>
      </c>
      <c r="AD987" s="18">
        <v>11</v>
      </c>
      <c r="AE987" s="18">
        <v>11</v>
      </c>
      <c r="AF987" s="271">
        <f t="shared" si="160"/>
        <v>11</v>
      </c>
      <c r="AG987" s="1529"/>
      <c r="AK987" s="358"/>
    </row>
    <row r="988" spans="2:37" hidden="1" outlineLevel="1">
      <c r="B988" s="52"/>
      <c r="C988" s="411"/>
      <c r="D988" s="4397"/>
      <c r="E988" s="1470" t="s">
        <v>3228</v>
      </c>
      <c r="F988" s="916">
        <v>10.6</v>
      </c>
      <c r="G988" s="18"/>
      <c r="H988" s="4390" t="s">
        <v>1423</v>
      </c>
      <c r="I988" s="4847"/>
      <c r="J988" s="52"/>
      <c r="K988" s="52"/>
      <c r="L988" s="52"/>
      <c r="M988" s="52"/>
      <c r="N988" s="52"/>
      <c r="V988" s="4397"/>
      <c r="W988" s="414">
        <v>10.6</v>
      </c>
      <c r="X988" s="414">
        <v>10.6</v>
      </c>
      <c r="Y988" s="414">
        <v>10.6</v>
      </c>
      <c r="Z988" s="18">
        <v>10.6</v>
      </c>
      <c r="AA988" s="18">
        <v>10.6</v>
      </c>
      <c r="AB988" s="18">
        <v>10.6</v>
      </c>
      <c r="AC988" s="18">
        <v>10.6</v>
      </c>
      <c r="AD988" s="18">
        <v>10.6</v>
      </c>
      <c r="AE988" s="18">
        <v>10.6</v>
      </c>
      <c r="AF988" s="271">
        <f t="shared" si="160"/>
        <v>10.6</v>
      </c>
      <c r="AG988" s="1529"/>
      <c r="AK988" s="358"/>
    </row>
    <row r="989" spans="2:37" hidden="1" outlineLevel="1">
      <c r="B989" s="52"/>
      <c r="C989" s="411"/>
      <c r="D989" s="4397"/>
      <c r="E989" s="1377" t="s">
        <v>3230</v>
      </c>
      <c r="F989" s="916">
        <v>11</v>
      </c>
      <c r="G989" s="18"/>
      <c r="H989" s="4390" t="s">
        <v>3256</v>
      </c>
      <c r="I989" s="4390"/>
      <c r="J989" s="52"/>
      <c r="K989" s="52"/>
      <c r="L989" s="52"/>
      <c r="M989" s="52"/>
      <c r="N989" s="52"/>
      <c r="V989" s="4397"/>
      <c r="W989" s="414"/>
      <c r="X989" s="414"/>
      <c r="Y989" s="414"/>
      <c r="Z989" s="18"/>
      <c r="AA989" s="18"/>
      <c r="AB989" s="117">
        <v>11</v>
      </c>
      <c r="AC989" s="18">
        <v>11</v>
      </c>
      <c r="AD989" s="18">
        <v>11</v>
      </c>
      <c r="AE989" s="18">
        <v>11</v>
      </c>
      <c r="AF989" s="271">
        <f t="shared" si="160"/>
        <v>11</v>
      </c>
      <c r="AG989" s="1529"/>
      <c r="AK989" s="358"/>
    </row>
    <row r="990" spans="2:37" hidden="1" outlineLevel="1">
      <c r="B990" s="52"/>
      <c r="C990" s="411"/>
      <c r="D990" s="4397"/>
      <c r="E990" s="1377" t="s">
        <v>3232</v>
      </c>
      <c r="F990" s="916">
        <v>14</v>
      </c>
      <c r="G990" s="18"/>
      <c r="H990" s="4390" t="s">
        <v>3255</v>
      </c>
      <c r="I990" s="4847"/>
      <c r="J990" s="52"/>
      <c r="K990" s="52"/>
      <c r="L990" s="52"/>
      <c r="M990" s="52"/>
      <c r="N990" s="52"/>
      <c r="V990" s="4397"/>
      <c r="W990" s="414">
        <v>11.2</v>
      </c>
      <c r="X990" s="117">
        <v>14</v>
      </c>
      <c r="Y990" s="21">
        <v>14</v>
      </c>
      <c r="Z990" s="21">
        <v>14</v>
      </c>
      <c r="AA990" s="21">
        <v>14</v>
      </c>
      <c r="AB990" s="18">
        <v>14</v>
      </c>
      <c r="AC990" s="18">
        <v>14</v>
      </c>
      <c r="AD990" s="18">
        <v>14</v>
      </c>
      <c r="AE990" s="18">
        <v>14</v>
      </c>
      <c r="AF990" s="271">
        <f t="shared" si="160"/>
        <v>14</v>
      </c>
      <c r="AG990" s="1529"/>
      <c r="AK990" s="358"/>
    </row>
    <row r="991" spans="2:37" hidden="1" outlineLevel="1">
      <c r="B991" s="52"/>
      <c r="C991" s="411"/>
      <c r="D991" s="4397"/>
      <c r="E991" s="1377" t="s">
        <v>3234</v>
      </c>
      <c r="F991" s="916">
        <v>17</v>
      </c>
      <c r="G991" s="18"/>
      <c r="H991" s="4390" t="s">
        <v>3257</v>
      </c>
      <c r="I991" s="4847"/>
      <c r="J991" s="52"/>
      <c r="K991" s="52"/>
      <c r="L991" s="52"/>
      <c r="M991" s="52"/>
      <c r="N991" s="52"/>
      <c r="V991" s="4397"/>
      <c r="W991" s="21">
        <v>18</v>
      </c>
      <c r="X991" s="117">
        <v>17</v>
      </c>
      <c r="Y991" s="1547">
        <v>17</v>
      </c>
      <c r="Z991" s="538">
        <v>17</v>
      </c>
      <c r="AA991" s="538">
        <v>17</v>
      </c>
      <c r="AB991" s="18">
        <v>17</v>
      </c>
      <c r="AC991" s="18">
        <v>17</v>
      </c>
      <c r="AD991" s="18">
        <v>17</v>
      </c>
      <c r="AE991" s="18">
        <v>17</v>
      </c>
      <c r="AF991" s="271">
        <f t="shared" ref="AF991:AF1013" si="161">IF(F991&lt;&gt;"",F991,"")</f>
        <v>17</v>
      </c>
      <c r="AG991" s="1529"/>
      <c r="AK991" s="358"/>
    </row>
    <row r="992" spans="2:37" hidden="1" outlineLevel="1">
      <c r="B992" s="52"/>
      <c r="C992" s="411"/>
      <c r="D992" s="4397"/>
      <c r="E992" s="1470" t="s">
        <v>3236</v>
      </c>
      <c r="F992" s="916">
        <v>15</v>
      </c>
      <c r="G992" s="18"/>
      <c r="H992" s="4390" t="s">
        <v>1423</v>
      </c>
      <c r="I992" s="4847"/>
      <c r="J992" s="52"/>
      <c r="K992" s="52"/>
      <c r="L992" s="52"/>
      <c r="M992" s="52"/>
      <c r="N992" s="52"/>
      <c r="V992" s="4397"/>
      <c r="W992" s="21">
        <v>15</v>
      </c>
      <c r="X992" s="21">
        <v>15</v>
      </c>
      <c r="Y992" s="1547">
        <v>15</v>
      </c>
      <c r="Z992" s="538">
        <v>15</v>
      </c>
      <c r="AA992" s="538">
        <v>15</v>
      </c>
      <c r="AB992" s="21">
        <v>15</v>
      </c>
      <c r="AC992" s="21">
        <v>15</v>
      </c>
      <c r="AD992" s="21">
        <v>15</v>
      </c>
      <c r="AE992" s="21">
        <v>15</v>
      </c>
      <c r="AF992" s="271">
        <f t="shared" si="161"/>
        <v>15</v>
      </c>
      <c r="AG992" s="1529"/>
      <c r="AK992" s="358"/>
    </row>
    <row r="993" spans="2:37" hidden="1" outlineLevel="1">
      <c r="B993" s="52"/>
      <c r="C993" s="411"/>
      <c r="D993" s="4397"/>
      <c r="E993" s="1377" t="s">
        <v>3238</v>
      </c>
      <c r="F993" s="916">
        <v>4.5</v>
      </c>
      <c r="G993" s="18"/>
      <c r="H993" s="4390" t="s">
        <v>1423</v>
      </c>
      <c r="I993" s="4847"/>
      <c r="J993" s="52"/>
      <c r="K993" s="52"/>
      <c r="L993" s="52"/>
      <c r="M993" s="52"/>
      <c r="N993" s="52"/>
      <c r="V993" s="4397"/>
      <c r="W993" s="21">
        <v>4.5</v>
      </c>
      <c r="X993" s="21">
        <v>4.5</v>
      </c>
      <c r="Y993" s="1547">
        <v>4.5</v>
      </c>
      <c r="Z993" s="538">
        <v>4.5</v>
      </c>
      <c r="AA993" s="538">
        <v>4.5</v>
      </c>
      <c r="AB993" s="21">
        <v>4.5</v>
      </c>
      <c r="AC993" s="21">
        <v>4.5</v>
      </c>
      <c r="AD993" s="21">
        <v>4.5</v>
      </c>
      <c r="AE993" s="21">
        <v>4.5</v>
      </c>
      <c r="AF993" s="271">
        <f t="shared" si="161"/>
        <v>4.5</v>
      </c>
      <c r="AG993" s="1529"/>
      <c r="AK993" s="358"/>
    </row>
    <row r="994" spans="2:37" hidden="1" outlineLevel="1">
      <c r="B994" s="52"/>
      <c r="C994" s="411"/>
      <c r="D994" s="4397"/>
      <c r="E994" s="1377" t="s">
        <v>3240</v>
      </c>
      <c r="F994" s="916">
        <v>7</v>
      </c>
      <c r="G994" s="18"/>
      <c r="H994" s="4390" t="s">
        <v>3255</v>
      </c>
      <c r="I994" s="4847"/>
      <c r="J994" s="52"/>
      <c r="K994" s="52"/>
      <c r="L994" s="52"/>
      <c r="M994" s="52"/>
      <c r="N994" s="52"/>
      <c r="V994" s="4397"/>
      <c r="W994" s="21">
        <v>5.9</v>
      </c>
      <c r="X994" s="117">
        <v>8</v>
      </c>
      <c r="Y994" s="175">
        <v>7</v>
      </c>
      <c r="Z994" s="21">
        <v>7</v>
      </c>
      <c r="AA994" s="21">
        <v>7</v>
      </c>
      <c r="AB994" s="18">
        <v>7</v>
      </c>
      <c r="AC994" s="18">
        <v>7</v>
      </c>
      <c r="AD994" s="18">
        <v>7</v>
      </c>
      <c r="AE994" s="18">
        <v>7</v>
      </c>
      <c r="AF994" s="271">
        <f t="shared" si="161"/>
        <v>7</v>
      </c>
      <c r="AG994" s="1529"/>
      <c r="AK994" s="358"/>
    </row>
    <row r="995" spans="2:37" hidden="1" outlineLevel="1">
      <c r="B995" s="52"/>
      <c r="C995" s="411"/>
      <c r="D995" s="4397"/>
      <c r="E995" s="1470" t="s">
        <v>3242</v>
      </c>
      <c r="F995" s="916">
        <v>6</v>
      </c>
      <c r="G995" s="18"/>
      <c r="H995" s="4390" t="s">
        <v>1423</v>
      </c>
      <c r="I995" s="4847"/>
      <c r="J995" s="52"/>
      <c r="K995" s="52"/>
      <c r="L995" s="52"/>
      <c r="M995" s="52"/>
      <c r="N995" s="52"/>
      <c r="V995" s="4397"/>
      <c r="W995" s="21"/>
      <c r="X995" s="21"/>
      <c r="Y995" s="21"/>
      <c r="Z995" s="21"/>
      <c r="AA995" s="21"/>
      <c r="AB995" s="175">
        <v>6</v>
      </c>
      <c r="AC995" s="21">
        <v>6</v>
      </c>
      <c r="AD995" s="21">
        <v>6</v>
      </c>
      <c r="AE995" s="21">
        <v>6</v>
      </c>
      <c r="AF995" s="271">
        <f t="shared" si="161"/>
        <v>6</v>
      </c>
      <c r="AG995" s="1529"/>
      <c r="AK995" s="358"/>
    </row>
    <row r="996" spans="2:37" hidden="1" outlineLevel="1">
      <c r="B996" s="52"/>
      <c r="C996" s="411"/>
      <c r="D996" s="4398"/>
      <c r="E996" s="1377" t="s">
        <v>1413</v>
      </c>
      <c r="F996" s="1829">
        <v>0.3</v>
      </c>
      <c r="G996" s="18"/>
      <c r="H996" s="4390" t="s">
        <v>1423</v>
      </c>
      <c r="I996" s="4847"/>
      <c r="J996" s="52"/>
      <c r="K996" s="52"/>
      <c r="L996" s="52"/>
      <c r="M996" s="52"/>
      <c r="N996" s="52"/>
      <c r="V996" s="4398"/>
      <c r="W996" s="21"/>
      <c r="X996" s="21"/>
      <c r="Y996" s="21"/>
      <c r="Z996" s="21"/>
      <c r="AA996" s="21"/>
      <c r="AB996" s="175"/>
      <c r="AC996" s="175">
        <v>0.3</v>
      </c>
      <c r="AD996" s="21">
        <v>0.3</v>
      </c>
      <c r="AE996" s="21">
        <v>0.3</v>
      </c>
      <c r="AF996" s="271">
        <f t="shared" si="161"/>
        <v>0.3</v>
      </c>
      <c r="AG996" s="1529"/>
      <c r="AK996" s="358"/>
    </row>
    <row r="997" spans="2:37" ht="15" hidden="1" customHeight="1" outlineLevel="1">
      <c r="B997" s="52"/>
      <c r="C997" s="411"/>
      <c r="D997" s="4389" t="s">
        <v>128</v>
      </c>
      <c r="E997" s="1411" t="s">
        <v>3258</v>
      </c>
      <c r="F997" s="1669">
        <v>0.98180000000000001</v>
      </c>
      <c r="G997" s="18"/>
      <c r="H997" s="4390" t="s">
        <v>3259</v>
      </c>
      <c r="I997" s="4847"/>
      <c r="J997" s="52"/>
      <c r="K997" s="417"/>
      <c r="L997" s="52"/>
      <c r="M997" s="52"/>
      <c r="N997" s="52"/>
      <c r="V997" s="4389" t="s">
        <v>128</v>
      </c>
      <c r="W997" s="1142">
        <v>0.95120000000000005</v>
      </c>
      <c r="X997" s="1839">
        <v>0.97</v>
      </c>
      <c r="Y997" s="196">
        <v>0.98180000000000001</v>
      </c>
      <c r="Z997" s="197">
        <v>0.98180000000000001</v>
      </c>
      <c r="AA997" s="197">
        <v>0.98180000000000001</v>
      </c>
      <c r="AB997" s="1826">
        <v>0.98180000000000001</v>
      </c>
      <c r="AC997" s="1826">
        <v>0.98180000000000001</v>
      </c>
      <c r="AD997" s="1826">
        <v>0.98180000000000001</v>
      </c>
      <c r="AE997" s="1826">
        <v>0.98180000000000001</v>
      </c>
      <c r="AF997" s="271">
        <f t="shared" si="161"/>
        <v>0.98180000000000001</v>
      </c>
      <c r="AG997" s="1529"/>
      <c r="AK997" s="358"/>
    </row>
    <row r="998" spans="2:37" ht="15" hidden="1" customHeight="1" outlineLevel="1">
      <c r="B998" s="52"/>
      <c r="C998" s="411"/>
      <c r="D998" s="4389"/>
      <c r="E998" s="1411" t="s">
        <v>3260</v>
      </c>
      <c r="F998" s="1669">
        <v>1</v>
      </c>
      <c r="G998" s="18"/>
      <c r="H998" s="4390" t="s">
        <v>3261</v>
      </c>
      <c r="I998" s="4390"/>
      <c r="J998" s="52"/>
      <c r="K998" s="417"/>
      <c r="L998" s="52"/>
      <c r="M998" s="52"/>
      <c r="N998" s="52"/>
      <c r="V998" s="4389"/>
      <c r="W998" s="1142"/>
      <c r="X998" s="1839"/>
      <c r="Y998" s="196"/>
      <c r="Z998" s="197"/>
      <c r="AA998" s="197"/>
      <c r="AB998" s="1839">
        <v>1</v>
      </c>
      <c r="AC998" s="1826">
        <v>1</v>
      </c>
      <c r="AD998" s="1826">
        <v>1</v>
      </c>
      <c r="AE998" s="1826">
        <v>1</v>
      </c>
      <c r="AF998" s="271">
        <f t="shared" si="161"/>
        <v>1</v>
      </c>
      <c r="AG998" s="1529"/>
      <c r="AK998" s="358"/>
    </row>
    <row r="999" spans="2:37" hidden="1" outlineLevel="1">
      <c r="B999" s="52"/>
      <c r="C999" s="411"/>
      <c r="D999" s="413" t="s">
        <v>1433</v>
      </c>
      <c r="E999" s="413" t="s">
        <v>1102</v>
      </c>
      <c r="F999" s="1837">
        <v>0</v>
      </c>
      <c r="G999" s="18"/>
      <c r="H999" s="4390" t="s">
        <v>3259</v>
      </c>
      <c r="I999" s="4847"/>
      <c r="J999" s="52"/>
      <c r="K999" s="417"/>
      <c r="L999" s="52"/>
      <c r="M999" s="52"/>
      <c r="N999" s="52"/>
      <c r="V999" s="413" t="s">
        <v>1433</v>
      </c>
      <c r="W999" s="1142">
        <v>1.6525893496695268E-2</v>
      </c>
      <c r="X999" s="1839">
        <v>0</v>
      </c>
      <c r="Y999" s="1839">
        <v>0</v>
      </c>
      <c r="Z999" s="1826">
        <v>0</v>
      </c>
      <c r="AA999" s="1826">
        <v>0</v>
      </c>
      <c r="AB999" s="1826">
        <v>0</v>
      </c>
      <c r="AC999" s="1826">
        <v>0</v>
      </c>
      <c r="AD999" s="1826">
        <v>0</v>
      </c>
      <c r="AE999" s="1826">
        <v>0</v>
      </c>
      <c r="AF999" s="271">
        <f t="shared" si="161"/>
        <v>0</v>
      </c>
      <c r="AG999" s="1529"/>
      <c r="AK999" s="358"/>
    </row>
    <row r="1000" spans="2:37" ht="15" hidden="1" customHeight="1" outlineLevel="1">
      <c r="B1000" s="52"/>
      <c r="C1000" s="411"/>
      <c r="D1000" s="4389" t="s">
        <v>3262</v>
      </c>
      <c r="E1000" s="413" t="s">
        <v>1502</v>
      </c>
      <c r="F1000" s="1831">
        <v>674.17573847971641</v>
      </c>
      <c r="G1000" s="18"/>
      <c r="H1000" s="4390" t="s">
        <v>3263</v>
      </c>
      <c r="I1000" s="4390"/>
      <c r="J1000" s="52"/>
      <c r="K1000" s="52"/>
      <c r="L1000" s="52"/>
      <c r="M1000" s="52"/>
      <c r="N1000" s="52"/>
      <c r="V1000" s="4389" t="s">
        <v>3262</v>
      </c>
      <c r="W1000" s="1843">
        <v>693.5</v>
      </c>
      <c r="X1000" s="58">
        <v>728</v>
      </c>
      <c r="Y1000" s="1550">
        <v>674.17573847971641</v>
      </c>
      <c r="Z1000" s="538">
        <v>674.17573847971641</v>
      </c>
      <c r="AA1000" s="538">
        <v>674.17573847971641</v>
      </c>
      <c r="AB1000" s="418">
        <v>674.17573847971641</v>
      </c>
      <c r="AC1000" s="418">
        <v>674.17573847971641</v>
      </c>
      <c r="AD1000" s="418">
        <v>674.17573847971641</v>
      </c>
      <c r="AE1000" s="418">
        <v>674.17573847971641</v>
      </c>
      <c r="AF1000" s="271">
        <f t="shared" si="161"/>
        <v>674.17573847971641</v>
      </c>
      <c r="AG1000" s="1529"/>
      <c r="AK1000" s="358"/>
    </row>
    <row r="1001" spans="2:37" ht="15" hidden="1" customHeight="1" outlineLevel="1">
      <c r="B1001" s="52"/>
      <c r="C1001" s="411"/>
      <c r="D1001" s="4389"/>
      <c r="E1001" s="413" t="s">
        <v>3264</v>
      </c>
      <c r="F1001" s="1831">
        <v>4380</v>
      </c>
      <c r="G1001" s="18"/>
      <c r="H1001" s="4390" t="s">
        <v>3265</v>
      </c>
      <c r="I1001" s="4390"/>
      <c r="J1001" s="52"/>
      <c r="K1001" s="52"/>
      <c r="L1001" s="52"/>
      <c r="M1001" s="52"/>
      <c r="N1001" s="52"/>
      <c r="V1001" s="4389"/>
      <c r="W1001" s="1843"/>
      <c r="X1001" s="58"/>
      <c r="Y1001" s="1550"/>
      <c r="Z1001" s="538"/>
      <c r="AA1001" s="538"/>
      <c r="AB1001" s="418"/>
      <c r="AC1001" s="58">
        <v>4380</v>
      </c>
      <c r="AD1001" s="418">
        <v>4380</v>
      </c>
      <c r="AE1001" s="418">
        <v>4380</v>
      </c>
      <c r="AF1001" s="271">
        <f t="shared" si="161"/>
        <v>4380</v>
      </c>
      <c r="AG1001" s="1529"/>
      <c r="AK1001" s="358"/>
    </row>
    <row r="1002" spans="2:37" hidden="1" outlineLevel="1">
      <c r="B1002" s="52"/>
      <c r="C1002" s="411"/>
      <c r="D1002" s="413" t="s">
        <v>3266</v>
      </c>
      <c r="E1002" s="413" t="s">
        <v>3267</v>
      </c>
      <c r="F1002" s="1665">
        <v>0.99008680582907171</v>
      </c>
      <c r="G1002" s="18"/>
      <c r="H1002" s="4390" t="s">
        <v>3268</v>
      </c>
      <c r="I1002" s="4847"/>
      <c r="J1002" s="52"/>
      <c r="K1002" s="52"/>
      <c r="L1002" s="52"/>
      <c r="M1002" s="52"/>
      <c r="N1002" s="52"/>
      <c r="V1002" s="413" t="s">
        <v>3266</v>
      </c>
      <c r="W1002" s="1843">
        <v>0.99</v>
      </c>
      <c r="X1002" s="1843">
        <v>0.99</v>
      </c>
      <c r="Y1002" s="1550">
        <v>0.99008680582907171</v>
      </c>
      <c r="Z1002" s="538">
        <v>0.99008680582907171</v>
      </c>
      <c r="AA1002" s="538">
        <v>0.99008680582907171</v>
      </c>
      <c r="AB1002" s="418">
        <v>0.99008680582907171</v>
      </c>
      <c r="AC1002" s="418">
        <v>0.99008680582907171</v>
      </c>
      <c r="AD1002" s="418">
        <v>0.99008680582907171</v>
      </c>
      <c r="AE1002" s="418">
        <v>0.99008680582907171</v>
      </c>
      <c r="AF1002" s="271">
        <f t="shared" si="161"/>
        <v>0.99008680582907171</v>
      </c>
      <c r="AG1002" s="1529"/>
      <c r="AK1002" s="358"/>
    </row>
    <row r="1003" spans="2:37" ht="15" hidden="1" customHeight="1" outlineLevel="1">
      <c r="B1003" s="52"/>
      <c r="C1003" s="411"/>
      <c r="D1003" s="4389" t="s">
        <v>3269</v>
      </c>
      <c r="E1003" s="413" t="s">
        <v>1502</v>
      </c>
      <c r="F1003" s="1830">
        <v>7321.0388096521265</v>
      </c>
      <c r="G1003" s="18"/>
      <c r="H1003" s="4390" t="s">
        <v>3263</v>
      </c>
      <c r="I1003" s="4390"/>
      <c r="J1003" s="52"/>
      <c r="K1003" s="52"/>
      <c r="L1003" s="52"/>
      <c r="M1003" s="52"/>
      <c r="N1003" s="52"/>
      <c r="V1003" s="4389" t="s">
        <v>3269</v>
      </c>
      <c r="W1003" s="1843">
        <v>3613</v>
      </c>
      <c r="X1003" s="58">
        <v>5949</v>
      </c>
      <c r="Y1003" s="1550">
        <v>7321.0388096521265</v>
      </c>
      <c r="Z1003" s="538">
        <v>7321.0388096521265</v>
      </c>
      <c r="AA1003" s="538">
        <v>7321.0388096521265</v>
      </c>
      <c r="AB1003" s="418">
        <v>7321.0388096521265</v>
      </c>
      <c r="AC1003" s="418">
        <v>7321.0388096521265</v>
      </c>
      <c r="AD1003" s="418">
        <v>7321.0388096521265</v>
      </c>
      <c r="AE1003" s="418">
        <v>7321.0388096521265</v>
      </c>
      <c r="AF1003" s="271">
        <f t="shared" si="161"/>
        <v>7321.0388096521265</v>
      </c>
      <c r="AG1003" s="418"/>
      <c r="AK1003" s="358"/>
    </row>
    <row r="1004" spans="2:37" ht="15" hidden="1" customHeight="1" outlineLevel="1">
      <c r="B1004" s="52"/>
      <c r="C1004" s="411"/>
      <c r="D1004" s="4389"/>
      <c r="E1004" s="413" t="s">
        <v>3264</v>
      </c>
      <c r="F1004" s="1830">
        <v>4380</v>
      </c>
      <c r="G1004" s="18"/>
      <c r="H1004" s="4390" t="s">
        <v>3265</v>
      </c>
      <c r="I1004" s="4390"/>
      <c r="J1004" s="52"/>
      <c r="K1004" s="52"/>
      <c r="L1004" s="52"/>
      <c r="M1004" s="52"/>
      <c r="N1004" s="52"/>
      <c r="V1004" s="4389"/>
      <c r="W1004" s="1843"/>
      <c r="X1004" s="58"/>
      <c r="Y1004" s="1550"/>
      <c r="Z1004" s="538"/>
      <c r="AA1004" s="538"/>
      <c r="AB1004" s="418"/>
      <c r="AC1004" s="58">
        <v>4380</v>
      </c>
      <c r="AD1004" s="418">
        <v>4380</v>
      </c>
      <c r="AE1004" s="418">
        <v>4380</v>
      </c>
      <c r="AF1004" s="271">
        <f t="shared" si="161"/>
        <v>4380</v>
      </c>
      <c r="AG1004" s="418"/>
      <c r="AK1004" s="358"/>
    </row>
    <row r="1005" spans="2:37" ht="15" hidden="1" customHeight="1" outlineLevel="1">
      <c r="B1005" s="52"/>
      <c r="C1005" s="411"/>
      <c r="D1005" s="413" t="s">
        <v>3270</v>
      </c>
      <c r="E1005" s="413" t="s">
        <v>1430</v>
      </c>
      <c r="F1005" s="1830">
        <v>0.96568754422551695</v>
      </c>
      <c r="G1005" s="18"/>
      <c r="H1005" s="4390" t="s">
        <v>3271</v>
      </c>
      <c r="I1005" s="4390"/>
      <c r="J1005" s="52"/>
      <c r="K1005" s="52"/>
      <c r="L1005" s="52"/>
      <c r="M1005" s="52"/>
      <c r="N1005" s="52"/>
      <c r="V1005" s="413" t="s">
        <v>3270</v>
      </c>
      <c r="W1005" s="1843">
        <v>1.1000000000000001</v>
      </c>
      <c r="X1005" s="1843">
        <v>2.1</v>
      </c>
      <c r="Y1005" s="1550">
        <v>0.96568754422551695</v>
      </c>
      <c r="Z1005" s="538">
        <v>0.96568754422551695</v>
      </c>
      <c r="AA1005" s="538">
        <v>0.96568754422551695</v>
      </c>
      <c r="AB1005" s="418">
        <v>0.96568754422551695</v>
      </c>
      <c r="AC1005" s="418">
        <v>0.96568754422551695</v>
      </c>
      <c r="AD1005" s="418">
        <v>0.96568754422551695</v>
      </c>
      <c r="AE1005" s="418">
        <v>0.96568754422551695</v>
      </c>
      <c r="AF1005" s="271">
        <f t="shared" si="161"/>
        <v>0.96568754422551695</v>
      </c>
      <c r="AG1005" s="1529"/>
      <c r="AK1005" s="358"/>
    </row>
    <row r="1006" spans="2:37" hidden="1" outlineLevel="1">
      <c r="B1006" s="52"/>
      <c r="C1006" s="411"/>
      <c r="D1006" s="413" t="s">
        <v>3272</v>
      </c>
      <c r="E1006" s="413" t="s">
        <v>1102</v>
      </c>
      <c r="F1006" s="1836">
        <v>1</v>
      </c>
      <c r="G1006" s="18"/>
      <c r="H1006" s="4390" t="s">
        <v>3273</v>
      </c>
      <c r="I1006" s="4847"/>
      <c r="J1006" s="52"/>
      <c r="K1006" s="52"/>
      <c r="L1006" s="52"/>
      <c r="M1006" s="52"/>
      <c r="N1006" s="52"/>
      <c r="V1006" s="413" t="s">
        <v>3272</v>
      </c>
      <c r="W1006" s="419">
        <v>1</v>
      </c>
      <c r="X1006" s="419">
        <v>1</v>
      </c>
      <c r="Y1006" s="419">
        <v>1</v>
      </c>
      <c r="Z1006" s="419">
        <v>1</v>
      </c>
      <c r="AA1006" s="419">
        <v>1</v>
      </c>
      <c r="AB1006" s="419">
        <v>1</v>
      </c>
      <c r="AC1006" s="419">
        <v>1</v>
      </c>
      <c r="AD1006" s="419">
        <v>1</v>
      </c>
      <c r="AE1006" s="419">
        <v>1</v>
      </c>
      <c r="AF1006" s="271">
        <f t="shared" si="161"/>
        <v>1</v>
      </c>
      <c r="AG1006" s="1529"/>
      <c r="AK1006" s="358"/>
    </row>
    <row r="1007" spans="2:37" ht="15" hidden="1" customHeight="1" outlineLevel="1">
      <c r="B1007" s="52"/>
      <c r="C1007" s="411"/>
      <c r="D1007" s="413" t="s">
        <v>3274</v>
      </c>
      <c r="E1007" s="413" t="s">
        <v>1414</v>
      </c>
      <c r="F1007" s="1833">
        <v>1.4925290000000001E-4</v>
      </c>
      <c r="G1007" s="18"/>
      <c r="H1007" s="4390" t="s">
        <v>3275</v>
      </c>
      <c r="I1007" s="4847"/>
      <c r="J1007" s="52"/>
      <c r="K1007" s="52"/>
      <c r="L1007" s="52"/>
      <c r="M1007" s="52"/>
      <c r="N1007" s="52"/>
      <c r="V1007" s="413" t="s">
        <v>3274</v>
      </c>
      <c r="W1007" s="421">
        <v>1.4925290000000001E-4</v>
      </c>
      <c r="X1007" s="421">
        <v>1.4925290000000001E-4</v>
      </c>
      <c r="Y1007" s="421">
        <v>1.4925290000000001E-4</v>
      </c>
      <c r="Z1007" s="420">
        <v>1.4925290000000001E-4</v>
      </c>
      <c r="AA1007" s="420">
        <v>1.4925290000000001E-4</v>
      </c>
      <c r="AB1007" s="420">
        <v>1.4925290000000001E-4</v>
      </c>
      <c r="AC1007" s="420">
        <v>1.4925290000000001E-4</v>
      </c>
      <c r="AD1007" s="420">
        <v>1.4925290000000001E-4</v>
      </c>
      <c r="AE1007" s="420">
        <v>1.4925290000000001E-4</v>
      </c>
      <c r="AF1007" s="271">
        <f t="shared" si="161"/>
        <v>1.4925290000000001E-4</v>
      </c>
      <c r="AG1007" s="1529"/>
      <c r="AK1007" s="358"/>
    </row>
    <row r="1008" spans="2:37" ht="15" hidden="1" customHeight="1" outlineLevel="1">
      <c r="B1008" s="52"/>
      <c r="C1008" s="411"/>
      <c r="D1008" s="413" t="s">
        <v>3276</v>
      </c>
      <c r="E1008" s="413" t="s">
        <v>61</v>
      </c>
      <c r="F1008" s="1828">
        <v>1.899635E-4</v>
      </c>
      <c r="G1008" s="18"/>
      <c r="H1008" s="4390" t="s">
        <v>3275</v>
      </c>
      <c r="I1008" s="4847"/>
      <c r="J1008" s="52"/>
      <c r="K1008" s="52"/>
      <c r="L1008" s="52"/>
      <c r="M1008" s="52"/>
      <c r="N1008" s="52"/>
      <c r="V1008" s="413" t="s">
        <v>3276</v>
      </c>
      <c r="W1008" s="421">
        <v>1.899635E-4</v>
      </c>
      <c r="X1008" s="421">
        <v>1.899635E-4</v>
      </c>
      <c r="Y1008" s="421">
        <v>1.899635E-4</v>
      </c>
      <c r="Z1008" s="420">
        <v>1.899635E-4</v>
      </c>
      <c r="AA1008" s="420">
        <v>1.899635E-4</v>
      </c>
      <c r="AB1008" s="420">
        <v>1.899635E-4</v>
      </c>
      <c r="AC1008" s="420">
        <v>1.899635E-4</v>
      </c>
      <c r="AD1008" s="420">
        <v>1.899635E-4</v>
      </c>
      <c r="AE1008" s="420">
        <v>1.899635E-4</v>
      </c>
      <c r="AF1008" s="271">
        <f t="shared" si="161"/>
        <v>1.899635E-4</v>
      </c>
      <c r="AG1008" s="1529"/>
      <c r="AK1008" s="358"/>
    </row>
    <row r="1009" spans="2:45" hidden="1" outlineLevel="1">
      <c r="B1009" s="52"/>
      <c r="C1009" s="411"/>
      <c r="D1009" s="413" t="s">
        <v>3277</v>
      </c>
      <c r="E1009" s="413" t="s">
        <v>3278</v>
      </c>
      <c r="F1009" s="1832">
        <v>8760</v>
      </c>
      <c r="G1009" s="18"/>
      <c r="H1009" s="4390" t="s">
        <v>3279</v>
      </c>
      <c r="I1009" s="4847"/>
      <c r="J1009" s="52"/>
      <c r="K1009" s="52"/>
      <c r="L1009" s="52"/>
      <c r="M1009" s="52"/>
      <c r="N1009" s="52"/>
      <c r="V1009" s="413" t="s">
        <v>3277</v>
      </c>
      <c r="W1009" s="30">
        <v>8760</v>
      </c>
      <c r="X1009" s="30">
        <v>8760</v>
      </c>
      <c r="Y1009" s="30">
        <v>8760</v>
      </c>
      <c r="Z1009" s="20">
        <v>8760</v>
      </c>
      <c r="AA1009" s="20">
        <v>8760</v>
      </c>
      <c r="AB1009" s="20">
        <v>8760</v>
      </c>
      <c r="AC1009" s="20">
        <v>8760</v>
      </c>
      <c r="AD1009" s="20">
        <v>8760</v>
      </c>
      <c r="AE1009" s="20">
        <v>8760</v>
      </c>
      <c r="AF1009" s="271">
        <f t="shared" si="161"/>
        <v>8760</v>
      </c>
      <c r="AG1009" s="1529"/>
      <c r="AK1009" s="358"/>
    </row>
    <row r="1010" spans="2:45" hidden="1" outlineLevel="1">
      <c r="B1010" s="52"/>
      <c r="C1010" s="411"/>
      <c r="D1010" s="413" t="s">
        <v>3280</v>
      </c>
      <c r="E1010" s="413" t="s">
        <v>3281</v>
      </c>
      <c r="F1010" s="1832">
        <v>4380</v>
      </c>
      <c r="G1010" s="18"/>
      <c r="H1010" s="4390" t="s">
        <v>3282</v>
      </c>
      <c r="I1010" s="4847"/>
      <c r="J1010" s="52"/>
      <c r="K1010" s="52"/>
      <c r="L1010" s="52"/>
      <c r="M1010" s="52"/>
      <c r="N1010" s="52"/>
      <c r="V1010" s="413" t="s">
        <v>3280</v>
      </c>
      <c r="W1010" s="30">
        <v>4380</v>
      </c>
      <c r="X1010" s="30">
        <v>4380</v>
      </c>
      <c r="Y1010" s="30">
        <v>4380</v>
      </c>
      <c r="Z1010" s="20">
        <v>4380</v>
      </c>
      <c r="AA1010" s="20">
        <v>4380</v>
      </c>
      <c r="AB1010" s="20">
        <v>4380</v>
      </c>
      <c r="AC1010" s="20">
        <v>4380</v>
      </c>
      <c r="AD1010" s="20">
        <v>4380</v>
      </c>
      <c r="AE1010" s="20">
        <v>4380</v>
      </c>
      <c r="AF1010" s="271">
        <f t="shared" si="161"/>
        <v>4380</v>
      </c>
      <c r="AG1010" s="1529"/>
      <c r="AK1010" s="358"/>
    </row>
    <row r="1011" spans="2:45" ht="14.45" hidden="1" customHeight="1" outlineLevel="1">
      <c r="B1011" s="579"/>
      <c r="C1011" s="1404"/>
      <c r="D1011" s="4587" t="s">
        <v>49</v>
      </c>
      <c r="E1011" s="1409" t="s">
        <v>3283</v>
      </c>
      <c r="F1011" s="1834">
        <v>8</v>
      </c>
      <c r="G1011" s="18"/>
      <c r="H1011" s="4391" t="s">
        <v>3284</v>
      </c>
      <c r="I1011" s="4853"/>
      <c r="V1011" s="4587" t="s">
        <v>49</v>
      </c>
      <c r="W1011" s="702">
        <v>7</v>
      </c>
      <c r="X1011" s="702">
        <v>7</v>
      </c>
      <c r="Y1011" s="702">
        <v>7</v>
      </c>
      <c r="Z1011" s="702">
        <v>7</v>
      </c>
      <c r="AA1011" s="702">
        <v>7</v>
      </c>
      <c r="AB1011" s="702">
        <v>7</v>
      </c>
      <c r="AC1011" s="702">
        <v>7</v>
      </c>
      <c r="AD1011" s="702">
        <v>7</v>
      </c>
      <c r="AE1011" s="702">
        <v>7</v>
      </c>
      <c r="AF1011" s="271">
        <f t="shared" si="161"/>
        <v>8</v>
      </c>
      <c r="AG1011" s="381"/>
      <c r="AK1011" s="358"/>
    </row>
    <row r="1012" spans="2:45" ht="44.65" hidden="1" customHeight="1" outlineLevel="1">
      <c r="B1012" s="579"/>
      <c r="C1012" s="1404"/>
      <c r="D1012" s="4587"/>
      <c r="E1012" s="1409" t="s">
        <v>3285</v>
      </c>
      <c r="F1012" s="1834">
        <v>8</v>
      </c>
      <c r="G1012" s="18"/>
      <c r="H1012" s="4615" t="s">
        <v>3286</v>
      </c>
      <c r="I1012" s="4615"/>
      <c r="V1012" s="4587"/>
      <c r="W1012" s="702"/>
      <c r="X1012" s="702"/>
      <c r="Y1012" s="702"/>
      <c r="Z1012" s="702"/>
      <c r="AA1012" s="702"/>
      <c r="AB1012" s="702"/>
      <c r="AC1012" s="823">
        <v>19</v>
      </c>
      <c r="AD1012" s="702">
        <v>19</v>
      </c>
      <c r="AE1012" s="702">
        <v>19</v>
      </c>
      <c r="AF1012" s="271">
        <f t="shared" si="161"/>
        <v>8</v>
      </c>
      <c r="AG1012" s="381"/>
      <c r="AK1012" s="358"/>
    </row>
    <row r="1013" spans="2:45" hidden="1" outlineLevel="1">
      <c r="B1013" s="579"/>
      <c r="C1013" s="1404"/>
      <c r="D1013" s="4587"/>
      <c r="E1013" s="1409" t="s">
        <v>3287</v>
      </c>
      <c r="F1013" s="1827"/>
      <c r="G1013" s="18"/>
      <c r="H1013" s="4390"/>
      <c r="I1013" s="4847"/>
      <c r="V1013" s="4199"/>
      <c r="W1013" s="702">
        <v>7</v>
      </c>
      <c r="X1013" s="702">
        <v>7</v>
      </c>
      <c r="Y1013" s="702">
        <v>7</v>
      </c>
      <c r="Z1013" s="702">
        <v>7</v>
      </c>
      <c r="AA1013" s="702">
        <v>7</v>
      </c>
      <c r="AB1013" s="702">
        <v>7</v>
      </c>
      <c r="AC1013" s="702">
        <v>7</v>
      </c>
      <c r="AD1013" s="702">
        <v>7</v>
      </c>
      <c r="AE1013" s="702">
        <v>7</v>
      </c>
      <c r="AF1013" s="271" t="str">
        <f t="shared" si="161"/>
        <v/>
      </c>
      <c r="AG1013" s="381"/>
      <c r="AK1013" s="358"/>
    </row>
    <row r="1014" spans="2:45" hidden="1" outlineLevel="1">
      <c r="B1014" s="579"/>
      <c r="C1014" s="1404"/>
      <c r="D1014" s="4614" t="s">
        <v>967</v>
      </c>
      <c r="E1014" s="4614" t="s">
        <v>122</v>
      </c>
      <c r="F1014" s="4602" t="s">
        <v>170</v>
      </c>
      <c r="G1014" s="4602" t="s">
        <v>1122</v>
      </c>
      <c r="H1014" s="4614" t="s">
        <v>755</v>
      </c>
      <c r="I1014" s="4199"/>
      <c r="V1014" s="283"/>
      <c r="W1014" s="283"/>
      <c r="X1014" s="283"/>
      <c r="Y1014" s="283"/>
      <c r="Z1014" s="283"/>
      <c r="AA1014" s="283"/>
      <c r="AB1014" s="283"/>
      <c r="AC1014" s="283"/>
      <c r="AD1014" s="283"/>
      <c r="AE1014" s="283"/>
      <c r="AF1014" s="283"/>
      <c r="AG1014" s="283"/>
      <c r="AI1014" s="669">
        <f>$W$6</f>
        <v>43252</v>
      </c>
      <c r="AJ1014" s="669">
        <f>$X$6</f>
        <v>43465</v>
      </c>
      <c r="AK1014" s="669">
        <f>$Y$6</f>
        <v>43800</v>
      </c>
      <c r="AL1014" s="669">
        <f>$Z$6</f>
        <v>43862</v>
      </c>
      <c r="AM1014" s="669">
        <f>$AA$6</f>
        <v>44013</v>
      </c>
      <c r="AN1014" s="669">
        <f>$AB$6</f>
        <v>44166</v>
      </c>
      <c r="AO1014" s="669">
        <f>$AC$6</f>
        <v>44531</v>
      </c>
      <c r="AP1014" s="669">
        <f>$AD$6</f>
        <v>44774</v>
      </c>
      <c r="AQ1014" s="669">
        <f>$AE$6</f>
        <v>45139</v>
      </c>
      <c r="AR1014" s="669">
        <f>$AF$6</f>
        <v>45672</v>
      </c>
      <c r="AS1014" s="669" t="str">
        <f>$AG$6</f>
        <v>-</v>
      </c>
    </row>
    <row r="1015" spans="2:45" hidden="1" outlineLevel="1">
      <c r="B1015" s="579"/>
      <c r="C1015" s="1404"/>
      <c r="D1015" s="4199"/>
      <c r="E1015" s="4199"/>
      <c r="F1015" s="4197"/>
      <c r="G1015" s="4197"/>
      <c r="H1015" s="4199"/>
      <c r="I1015" s="4199"/>
      <c r="V1015" s="283"/>
      <c r="W1015" s="283"/>
      <c r="X1015" s="283"/>
      <c r="Y1015" s="283"/>
      <c r="Z1015" s="283"/>
      <c r="AA1015" s="283"/>
      <c r="AB1015" s="283"/>
      <c r="AC1015" s="283"/>
      <c r="AD1015" s="283"/>
      <c r="AE1015" s="283"/>
      <c r="AF1015" s="283"/>
      <c r="AG1015" s="283"/>
      <c r="AI1015" s="115" t="str">
        <f>$Q$955</f>
        <v>MF</v>
      </c>
      <c r="AJ1015" s="115" t="str">
        <f t="shared" ref="AJ1015:AS1015" si="162">$Q$955</f>
        <v>MF</v>
      </c>
      <c r="AK1015" s="115" t="str">
        <f t="shared" si="162"/>
        <v>MF</v>
      </c>
      <c r="AL1015" s="115" t="str">
        <f t="shared" si="162"/>
        <v>MF</v>
      </c>
      <c r="AM1015" s="115" t="str">
        <f t="shared" si="162"/>
        <v>MF</v>
      </c>
      <c r="AN1015" s="115" t="str">
        <f t="shared" si="162"/>
        <v>MF</v>
      </c>
      <c r="AO1015" s="115" t="str">
        <f t="shared" si="162"/>
        <v>MF</v>
      </c>
      <c r="AP1015" s="115" t="str">
        <f t="shared" si="162"/>
        <v>MF</v>
      </c>
      <c r="AQ1015" s="115" t="str">
        <f t="shared" si="162"/>
        <v>MF</v>
      </c>
      <c r="AR1015" s="115" t="str">
        <f t="shared" si="162"/>
        <v>MF</v>
      </c>
      <c r="AS1015" s="115" t="str">
        <f t="shared" si="162"/>
        <v>MF</v>
      </c>
    </row>
    <row r="1016" spans="2:45" ht="14.45" hidden="1" customHeight="1" outlineLevel="1">
      <c r="B1016" s="579"/>
      <c r="C1016" s="1404"/>
      <c r="D1016" s="4629" t="s">
        <v>50</v>
      </c>
      <c r="E1016" s="1384" t="s">
        <v>3222</v>
      </c>
      <c r="F1016" s="1835">
        <v>1.66</v>
      </c>
      <c r="G1016" s="790">
        <f>F1016</f>
        <v>1.66</v>
      </c>
      <c r="H1016" s="4391" t="s">
        <v>3288</v>
      </c>
      <c r="I1016" s="4853"/>
      <c r="V1016" s="4667" t="str">
        <f>D1016</f>
        <v>Inc. Cost</v>
      </c>
      <c r="W1016" s="824">
        <v>6</v>
      </c>
      <c r="X1016" s="422">
        <v>6</v>
      </c>
      <c r="Y1016" s="381">
        <v>6</v>
      </c>
      <c r="Z1016" s="381">
        <v>6</v>
      </c>
      <c r="AA1016" s="381">
        <v>6</v>
      </c>
      <c r="AB1016" s="406">
        <v>6</v>
      </c>
      <c r="AC1016" s="381">
        <v>6</v>
      </c>
      <c r="AD1016" s="381">
        <v>6</v>
      </c>
      <c r="AE1016" s="381">
        <v>6</v>
      </c>
      <c r="AF1016" s="271">
        <f t="shared" ref="AF1016:AF1027" si="163">IF(F1016&lt;&gt;"",F1016,"")</f>
        <v>1.66</v>
      </c>
      <c r="AG1016" s="381"/>
      <c r="AI1016" s="422">
        <v>3.3</v>
      </c>
      <c r="AJ1016" s="422">
        <v>3.3</v>
      </c>
      <c r="AK1016" s="422">
        <v>3.3</v>
      </c>
      <c r="AL1016" s="422">
        <v>3.3</v>
      </c>
      <c r="AM1016" s="422">
        <v>3.3</v>
      </c>
      <c r="AN1016" s="406">
        <v>3.3</v>
      </c>
      <c r="AO1016" s="381">
        <v>3.3</v>
      </c>
      <c r="AP1016" s="381">
        <v>3.3</v>
      </c>
      <c r="AQ1016" s="381">
        <v>3.3</v>
      </c>
      <c r="AR1016" s="381">
        <f t="shared" ref="AR1016:AR1027" si="164">IF(F1016&lt;&gt;"",F1016,"")</f>
        <v>1.66</v>
      </c>
      <c r="AS1016" s="381"/>
    </row>
    <row r="1017" spans="2:45" ht="14.45" hidden="1" customHeight="1" outlineLevel="1">
      <c r="B1017" s="579"/>
      <c r="C1017" s="1404"/>
      <c r="D1017" s="4666"/>
      <c r="E1017" s="1599" t="s">
        <v>3224</v>
      </c>
      <c r="F1017" s="1835">
        <v>1.45</v>
      </c>
      <c r="G1017" s="790">
        <f>F1017</f>
        <v>1.45</v>
      </c>
      <c r="H1017" s="4391" t="s">
        <v>3289</v>
      </c>
      <c r="I1017" s="4853"/>
      <c r="V1017" s="4668"/>
      <c r="W1017" s="824">
        <v>6</v>
      </c>
      <c r="X1017" s="422">
        <v>6</v>
      </c>
      <c r="Y1017" s="381">
        <v>6</v>
      </c>
      <c r="Z1017" s="381">
        <v>6</v>
      </c>
      <c r="AA1017" s="381">
        <v>6</v>
      </c>
      <c r="AB1017" s="406">
        <v>6</v>
      </c>
      <c r="AC1017" s="381">
        <v>6</v>
      </c>
      <c r="AD1017" s="381">
        <v>6</v>
      </c>
      <c r="AE1017" s="381">
        <v>6</v>
      </c>
      <c r="AF1017" s="271">
        <f t="shared" si="163"/>
        <v>1.45</v>
      </c>
      <c r="AG1017" s="381"/>
      <c r="AI1017" s="422">
        <v>3.68</v>
      </c>
      <c r="AJ1017" s="422">
        <v>3.68</v>
      </c>
      <c r="AK1017" s="422">
        <v>3.68</v>
      </c>
      <c r="AL1017" s="422">
        <v>3.68</v>
      </c>
      <c r="AM1017" s="422">
        <v>3.68</v>
      </c>
      <c r="AN1017" s="406">
        <v>3.68</v>
      </c>
      <c r="AO1017" s="381">
        <v>3.68</v>
      </c>
      <c r="AP1017" s="381">
        <v>3.68</v>
      </c>
      <c r="AQ1017" s="381">
        <v>3.68</v>
      </c>
      <c r="AR1017" s="381">
        <f t="shared" si="164"/>
        <v>1.45</v>
      </c>
      <c r="AS1017" s="381"/>
    </row>
    <row r="1018" spans="2:45" ht="14.45" hidden="1" customHeight="1" outlineLevel="1">
      <c r="B1018" s="579"/>
      <c r="C1018" s="1404"/>
      <c r="D1018" s="4666"/>
      <c r="E1018" s="1384" t="s">
        <v>3226</v>
      </c>
      <c r="F1018" s="1835">
        <v>1.66</v>
      </c>
      <c r="G1018" s="790">
        <f t="shared" ref="G1018:G1024" si="165">F1018</f>
        <v>1.66</v>
      </c>
      <c r="H1018" s="4391" t="s">
        <v>3288</v>
      </c>
      <c r="I1018" s="4853"/>
      <c r="V1018" s="4668"/>
      <c r="W1018" s="824">
        <v>6</v>
      </c>
      <c r="X1018" s="422">
        <v>6</v>
      </c>
      <c r="Y1018" s="381">
        <v>6</v>
      </c>
      <c r="Z1018" s="381">
        <v>6</v>
      </c>
      <c r="AA1018" s="381">
        <v>6</v>
      </c>
      <c r="AB1018" s="406">
        <v>6</v>
      </c>
      <c r="AC1018" s="381">
        <v>6</v>
      </c>
      <c r="AD1018" s="381">
        <v>6</v>
      </c>
      <c r="AE1018" s="381">
        <v>6</v>
      </c>
      <c r="AF1018" s="271">
        <f t="shared" si="163"/>
        <v>1.66</v>
      </c>
      <c r="AG1018" s="381"/>
      <c r="AI1018" s="422">
        <v>3.53</v>
      </c>
      <c r="AJ1018" s="422">
        <v>3.53</v>
      </c>
      <c r="AK1018" s="422">
        <v>3.53</v>
      </c>
      <c r="AL1018" s="422">
        <v>3.53</v>
      </c>
      <c r="AM1018" s="422">
        <v>3.53</v>
      </c>
      <c r="AN1018" s="406">
        <v>3.53</v>
      </c>
      <c r="AO1018" s="381">
        <v>3.53</v>
      </c>
      <c r="AP1018" s="381">
        <v>3.53</v>
      </c>
      <c r="AQ1018" s="381">
        <v>3.53</v>
      </c>
      <c r="AR1018" s="381">
        <f t="shared" si="164"/>
        <v>1.66</v>
      </c>
      <c r="AS1018" s="381"/>
    </row>
    <row r="1019" spans="2:45" ht="14.45" hidden="1" customHeight="1" outlineLevel="1">
      <c r="B1019" s="579"/>
      <c r="C1019" s="1404"/>
      <c r="D1019" s="4666"/>
      <c r="E1019" s="1599" t="s">
        <v>3228</v>
      </c>
      <c r="F1019" s="1835">
        <v>1.45</v>
      </c>
      <c r="G1019" s="790">
        <f t="shared" si="165"/>
        <v>1.45</v>
      </c>
      <c r="H1019" s="4391" t="s">
        <v>3289</v>
      </c>
      <c r="I1019" s="4853"/>
      <c r="V1019" s="4668"/>
      <c r="W1019" s="824">
        <v>8</v>
      </c>
      <c r="X1019" s="422">
        <v>8</v>
      </c>
      <c r="Y1019" s="381">
        <v>8</v>
      </c>
      <c r="Z1019" s="381">
        <v>8</v>
      </c>
      <c r="AA1019" s="381">
        <v>8</v>
      </c>
      <c r="AB1019" s="406">
        <v>8</v>
      </c>
      <c r="AC1019" s="381">
        <v>8</v>
      </c>
      <c r="AD1019" s="381">
        <v>8</v>
      </c>
      <c r="AE1019" s="381">
        <v>8</v>
      </c>
      <c r="AF1019" s="271">
        <f t="shared" si="163"/>
        <v>1.45</v>
      </c>
      <c r="AG1019" s="381"/>
      <c r="AI1019" s="422">
        <v>6.27</v>
      </c>
      <c r="AJ1019" s="422">
        <v>6.27</v>
      </c>
      <c r="AK1019" s="422">
        <v>6.27</v>
      </c>
      <c r="AL1019" s="422">
        <v>6.27</v>
      </c>
      <c r="AM1019" s="422">
        <v>6.27</v>
      </c>
      <c r="AN1019" s="406">
        <v>6.27</v>
      </c>
      <c r="AO1019" s="381">
        <v>6.27</v>
      </c>
      <c r="AP1019" s="381">
        <v>6.27</v>
      </c>
      <c r="AQ1019" s="381">
        <v>6.27</v>
      </c>
      <c r="AR1019" s="381">
        <f t="shared" si="164"/>
        <v>1.45</v>
      </c>
      <c r="AS1019" s="381"/>
    </row>
    <row r="1020" spans="2:45" ht="14.45" hidden="1" customHeight="1" outlineLevel="1">
      <c r="B1020" s="579"/>
      <c r="C1020" s="1404"/>
      <c r="D1020" s="4666"/>
      <c r="E1020" s="1384" t="s">
        <v>3230</v>
      </c>
      <c r="F1020" s="1835">
        <v>1.66</v>
      </c>
      <c r="G1020" s="790">
        <f t="shared" si="165"/>
        <v>1.66</v>
      </c>
      <c r="H1020" s="4391" t="s">
        <v>3288</v>
      </c>
      <c r="I1020" s="4853"/>
      <c r="V1020" s="4668"/>
      <c r="W1020" s="824"/>
      <c r="X1020" s="422"/>
      <c r="Y1020" s="381"/>
      <c r="Z1020" s="381"/>
      <c r="AA1020" s="381"/>
      <c r="AB1020" s="700">
        <v>10</v>
      </c>
      <c r="AC1020" s="381">
        <v>10</v>
      </c>
      <c r="AD1020" s="381">
        <v>10</v>
      </c>
      <c r="AE1020" s="381">
        <v>10</v>
      </c>
      <c r="AF1020" s="271">
        <f t="shared" si="163"/>
        <v>1.66</v>
      </c>
      <c r="AG1020" s="381"/>
      <c r="AI1020" s="422"/>
      <c r="AJ1020" s="422"/>
      <c r="AK1020" s="422"/>
      <c r="AL1020" s="422"/>
      <c r="AM1020" s="422"/>
      <c r="AN1020" s="700">
        <v>4.92</v>
      </c>
      <c r="AO1020" s="381">
        <v>4.92</v>
      </c>
      <c r="AP1020" s="381">
        <v>4.92</v>
      </c>
      <c r="AQ1020" s="381">
        <v>4.92</v>
      </c>
      <c r="AR1020" s="381">
        <f t="shared" si="164"/>
        <v>1.66</v>
      </c>
      <c r="AS1020" s="381"/>
    </row>
    <row r="1021" spans="2:45" ht="14.45" hidden="1" customHeight="1" outlineLevel="1">
      <c r="B1021" s="579"/>
      <c r="C1021" s="1404"/>
      <c r="D1021" s="4666"/>
      <c r="E1021" s="1384" t="s">
        <v>3232</v>
      </c>
      <c r="F1021" s="1835">
        <v>1.66</v>
      </c>
      <c r="G1021" s="790">
        <f t="shared" si="165"/>
        <v>1.66</v>
      </c>
      <c r="H1021" s="4391" t="s">
        <v>3288</v>
      </c>
      <c r="I1021" s="4853"/>
      <c r="V1021" s="4668"/>
      <c r="W1021" s="824">
        <v>10</v>
      </c>
      <c r="X1021" s="422">
        <v>10</v>
      </c>
      <c r="Y1021" s="381">
        <v>10</v>
      </c>
      <c r="Z1021" s="381">
        <v>10</v>
      </c>
      <c r="AA1021" s="381">
        <v>10</v>
      </c>
      <c r="AB1021" s="406">
        <v>10</v>
      </c>
      <c r="AC1021" s="381">
        <v>10</v>
      </c>
      <c r="AD1021" s="381">
        <v>10</v>
      </c>
      <c r="AE1021" s="381">
        <v>10</v>
      </c>
      <c r="AF1021" s="271">
        <f t="shared" si="163"/>
        <v>1.66</v>
      </c>
      <c r="AG1021" s="381"/>
      <c r="AI1021" s="422">
        <v>4.92</v>
      </c>
      <c r="AJ1021" s="422">
        <v>4.92</v>
      </c>
      <c r="AK1021" s="422">
        <v>4.92</v>
      </c>
      <c r="AL1021" s="422">
        <v>4.92</v>
      </c>
      <c r="AM1021" s="422">
        <v>4.92</v>
      </c>
      <c r="AN1021" s="406">
        <v>4.92</v>
      </c>
      <c r="AO1021" s="381">
        <v>4.92</v>
      </c>
      <c r="AP1021" s="381">
        <v>4.92</v>
      </c>
      <c r="AQ1021" s="381">
        <v>4.92</v>
      </c>
      <c r="AR1021" s="381">
        <f t="shared" si="164"/>
        <v>1.66</v>
      </c>
      <c r="AS1021" s="381"/>
    </row>
    <row r="1022" spans="2:45" ht="14.45" hidden="1" customHeight="1" outlineLevel="1">
      <c r="B1022" s="579"/>
      <c r="C1022" s="1404"/>
      <c r="D1022" s="4666"/>
      <c r="E1022" s="1384" t="s">
        <v>3234</v>
      </c>
      <c r="F1022" s="1835">
        <v>1.66</v>
      </c>
      <c r="G1022" s="790">
        <f t="shared" si="165"/>
        <v>1.66</v>
      </c>
      <c r="H1022" s="4391" t="s">
        <v>3288</v>
      </c>
      <c r="I1022" s="4853"/>
      <c r="V1022" s="4668"/>
      <c r="W1022" s="824">
        <v>15</v>
      </c>
      <c r="X1022" s="422">
        <v>15</v>
      </c>
      <c r="Y1022" s="381">
        <v>15</v>
      </c>
      <c r="Z1022" s="381">
        <v>15</v>
      </c>
      <c r="AA1022" s="381">
        <v>15</v>
      </c>
      <c r="AB1022" s="406">
        <v>15</v>
      </c>
      <c r="AC1022" s="381">
        <v>15</v>
      </c>
      <c r="AD1022" s="381">
        <v>15</v>
      </c>
      <c r="AE1022" s="381">
        <v>15</v>
      </c>
      <c r="AF1022" s="271">
        <f t="shared" si="163"/>
        <v>1.66</v>
      </c>
      <c r="AG1022" s="381"/>
      <c r="AI1022" s="422">
        <v>4.92</v>
      </c>
      <c r="AJ1022" s="422">
        <v>4.92</v>
      </c>
      <c r="AK1022" s="422">
        <v>4.92</v>
      </c>
      <c r="AL1022" s="422">
        <v>4.92</v>
      </c>
      <c r="AM1022" s="422">
        <v>4.92</v>
      </c>
      <c r="AN1022" s="406">
        <v>4.92</v>
      </c>
      <c r="AO1022" s="381">
        <v>4.92</v>
      </c>
      <c r="AP1022" s="381">
        <v>4.92</v>
      </c>
      <c r="AQ1022" s="381">
        <v>4.92</v>
      </c>
      <c r="AR1022" s="381">
        <f t="shared" si="164"/>
        <v>1.66</v>
      </c>
      <c r="AS1022" s="381"/>
    </row>
    <row r="1023" spans="2:45" ht="14.45" hidden="1" customHeight="1" outlineLevel="1">
      <c r="B1023" s="579"/>
      <c r="C1023" s="1404"/>
      <c r="D1023" s="4666"/>
      <c r="E1023" s="1599" t="s">
        <v>3236</v>
      </c>
      <c r="F1023" s="1835">
        <v>1.45</v>
      </c>
      <c r="G1023" s="790">
        <f t="shared" si="165"/>
        <v>1.45</v>
      </c>
      <c r="H1023" s="4391" t="s">
        <v>3289</v>
      </c>
      <c r="I1023" s="4853"/>
      <c r="V1023" s="4668"/>
      <c r="W1023" s="824">
        <v>8</v>
      </c>
      <c r="X1023" s="422">
        <v>8</v>
      </c>
      <c r="Y1023" s="381">
        <v>8</v>
      </c>
      <c r="Z1023" s="381">
        <v>8</v>
      </c>
      <c r="AA1023" s="381">
        <v>8</v>
      </c>
      <c r="AB1023" s="406">
        <v>8</v>
      </c>
      <c r="AC1023" s="381">
        <v>8</v>
      </c>
      <c r="AD1023" s="381">
        <v>8</v>
      </c>
      <c r="AE1023" s="381">
        <v>8</v>
      </c>
      <c r="AF1023" s="271">
        <f t="shared" si="163"/>
        <v>1.45</v>
      </c>
      <c r="AG1023" s="381"/>
      <c r="AI1023" s="422">
        <v>7.83</v>
      </c>
      <c r="AJ1023" s="422">
        <v>7.83</v>
      </c>
      <c r="AK1023" s="422">
        <v>7.83</v>
      </c>
      <c r="AL1023" s="422">
        <v>7.83</v>
      </c>
      <c r="AM1023" s="422">
        <v>7.83</v>
      </c>
      <c r="AN1023" s="406">
        <v>7.83</v>
      </c>
      <c r="AO1023" s="381">
        <v>7.83</v>
      </c>
      <c r="AP1023" s="381">
        <v>7.83</v>
      </c>
      <c r="AQ1023" s="381">
        <v>7.83</v>
      </c>
      <c r="AR1023" s="381">
        <f t="shared" si="164"/>
        <v>1.45</v>
      </c>
      <c r="AS1023" s="381"/>
    </row>
    <row r="1024" spans="2:45" ht="14.45" hidden="1" customHeight="1" outlineLevel="1">
      <c r="B1024" s="579"/>
      <c r="C1024" s="1404"/>
      <c r="D1024" s="4666"/>
      <c r="E1024" s="1384" t="s">
        <v>3238</v>
      </c>
      <c r="F1024" s="1835">
        <v>1.66</v>
      </c>
      <c r="G1024" s="790">
        <f t="shared" si="165"/>
        <v>1.66</v>
      </c>
      <c r="H1024" s="4391" t="s">
        <v>3288</v>
      </c>
      <c r="I1024" s="4853"/>
      <c r="V1024" s="4668"/>
      <c r="W1024" s="824">
        <v>7</v>
      </c>
      <c r="X1024" s="422">
        <v>7</v>
      </c>
      <c r="Y1024" s="381">
        <v>7</v>
      </c>
      <c r="Z1024" s="381">
        <v>7</v>
      </c>
      <c r="AA1024" s="381">
        <v>7</v>
      </c>
      <c r="AB1024" s="406">
        <v>7</v>
      </c>
      <c r="AC1024" s="381">
        <v>7</v>
      </c>
      <c r="AD1024" s="381">
        <v>7</v>
      </c>
      <c r="AE1024" s="381">
        <v>7</v>
      </c>
      <c r="AF1024" s="271">
        <f t="shared" si="163"/>
        <v>1.66</v>
      </c>
      <c r="AG1024" s="381"/>
      <c r="AI1024" s="422">
        <v>3.27</v>
      </c>
      <c r="AJ1024" s="422">
        <v>3.27</v>
      </c>
      <c r="AK1024" s="422">
        <v>3.27</v>
      </c>
      <c r="AL1024" s="422">
        <v>3.27</v>
      </c>
      <c r="AM1024" s="422">
        <v>3.27</v>
      </c>
      <c r="AN1024" s="406">
        <v>3.27</v>
      </c>
      <c r="AO1024" s="381">
        <v>3.27</v>
      </c>
      <c r="AP1024" s="381">
        <v>3.27</v>
      </c>
      <c r="AQ1024" s="381">
        <v>3.27</v>
      </c>
      <c r="AR1024" s="381">
        <f t="shared" si="164"/>
        <v>1.66</v>
      </c>
      <c r="AS1024" s="381"/>
    </row>
    <row r="1025" spans="2:114" ht="14.45" hidden="1" customHeight="1" outlineLevel="1">
      <c r="B1025" s="579"/>
      <c r="C1025" s="1404"/>
      <c r="D1025" s="4666"/>
      <c r="E1025" s="1384" t="s">
        <v>3240</v>
      </c>
      <c r="F1025" s="1835">
        <v>1.66</v>
      </c>
      <c r="G1025" s="1835">
        <v>1.66</v>
      </c>
      <c r="H1025" s="4391" t="s">
        <v>3288</v>
      </c>
      <c r="I1025" s="4853"/>
      <c r="V1025" s="4668"/>
      <c r="W1025" s="824">
        <v>7</v>
      </c>
      <c r="X1025" s="422">
        <v>7</v>
      </c>
      <c r="Y1025" s="381">
        <v>7</v>
      </c>
      <c r="Z1025" s="381">
        <v>7</v>
      </c>
      <c r="AA1025" s="381">
        <v>7</v>
      </c>
      <c r="AB1025" s="406">
        <v>7</v>
      </c>
      <c r="AC1025" s="381">
        <v>7</v>
      </c>
      <c r="AD1025" s="381">
        <v>7</v>
      </c>
      <c r="AE1025" s="381">
        <v>7</v>
      </c>
      <c r="AF1025" s="271">
        <f t="shared" si="163"/>
        <v>1.66</v>
      </c>
      <c r="AG1025" s="381"/>
      <c r="AI1025" s="422">
        <v>3.27</v>
      </c>
      <c r="AJ1025" s="422">
        <v>3.27</v>
      </c>
      <c r="AK1025" s="422">
        <v>3.27</v>
      </c>
      <c r="AL1025" s="422">
        <v>3.27</v>
      </c>
      <c r="AM1025" s="422">
        <v>3.27</v>
      </c>
      <c r="AN1025" s="406">
        <v>3.27</v>
      </c>
      <c r="AO1025" s="381">
        <v>3.27</v>
      </c>
      <c r="AP1025" s="381">
        <v>3.27</v>
      </c>
      <c r="AQ1025" s="381">
        <v>3.27</v>
      </c>
      <c r="AR1025" s="381">
        <f t="shared" si="164"/>
        <v>1.66</v>
      </c>
      <c r="AS1025" s="381"/>
    </row>
    <row r="1026" spans="2:114" ht="14.45" hidden="1" customHeight="1" outlineLevel="1">
      <c r="B1026" s="52"/>
      <c r="C1026" s="51"/>
      <c r="D1026" s="4666"/>
      <c r="E1026" s="1384" t="s">
        <v>3242</v>
      </c>
      <c r="F1026" s="790">
        <f>F1017</f>
        <v>1.45</v>
      </c>
      <c r="G1026" s="790">
        <f>F1026</f>
        <v>1.45</v>
      </c>
      <c r="H1026" s="4391" t="s">
        <v>3289</v>
      </c>
      <c r="I1026" s="4853"/>
      <c r="K1026" s="52"/>
      <c r="L1026" s="52"/>
      <c r="M1026" s="52"/>
      <c r="N1026" s="52"/>
      <c r="V1026" s="4668"/>
      <c r="W1026" s="1548"/>
      <c r="X1026" s="258"/>
      <c r="Y1026" s="381"/>
      <c r="Z1026" s="381"/>
      <c r="AA1026" s="381"/>
      <c r="AB1026" s="701">
        <v>6</v>
      </c>
      <c r="AC1026" s="381">
        <v>6</v>
      </c>
      <c r="AD1026" s="381">
        <v>6</v>
      </c>
      <c r="AE1026" s="381">
        <v>6</v>
      </c>
      <c r="AF1026" s="271">
        <f t="shared" si="163"/>
        <v>1.45</v>
      </c>
      <c r="AG1026" s="381"/>
      <c r="AI1026" s="258"/>
      <c r="AJ1026" s="258"/>
      <c r="AK1026" s="258"/>
      <c r="AL1026" s="258"/>
      <c r="AM1026" s="258"/>
      <c r="AN1026" s="701">
        <f>AN1017</f>
        <v>3.68</v>
      </c>
      <c r="AO1026" s="381">
        <v>3.68</v>
      </c>
      <c r="AP1026" s="381">
        <v>3.68</v>
      </c>
      <c r="AQ1026" s="381">
        <v>3.68</v>
      </c>
      <c r="AR1026" s="381">
        <f t="shared" si="164"/>
        <v>1.45</v>
      </c>
      <c r="AS1026" s="381"/>
    </row>
    <row r="1027" spans="2:114" ht="42.6" hidden="1" customHeight="1" outlineLevel="1">
      <c r="B1027" s="52"/>
      <c r="C1027" s="51"/>
      <c r="D1027" s="4630"/>
      <c r="E1027" s="1378" t="s">
        <v>1413</v>
      </c>
      <c r="F1027" s="790">
        <v>3.35</v>
      </c>
      <c r="G1027" s="790">
        <f>F1027</f>
        <v>3.35</v>
      </c>
      <c r="H1027" s="4391" t="s">
        <v>3290</v>
      </c>
      <c r="I1027" s="4391"/>
      <c r="K1027" s="52"/>
      <c r="L1027" s="52"/>
      <c r="M1027" s="52"/>
      <c r="N1027" s="52"/>
      <c r="V1027" s="4669"/>
      <c r="W1027" s="258"/>
      <c r="X1027" s="258"/>
      <c r="Y1027" s="381"/>
      <c r="Z1027" s="381"/>
      <c r="AA1027" s="381"/>
      <c r="AB1027" s="701"/>
      <c r="AC1027" s="382">
        <v>3.35</v>
      </c>
      <c r="AD1027" s="381">
        <v>3.35</v>
      </c>
      <c r="AE1027" s="381">
        <v>3.35</v>
      </c>
      <c r="AF1027" s="271">
        <f t="shared" si="163"/>
        <v>3.35</v>
      </c>
      <c r="AG1027" s="381"/>
      <c r="AI1027" s="258"/>
      <c r="AJ1027" s="258"/>
      <c r="AK1027" s="258"/>
      <c r="AL1027" s="258"/>
      <c r="AM1027" s="258"/>
      <c r="AN1027" s="701"/>
      <c r="AO1027" s="382">
        <v>3.35</v>
      </c>
      <c r="AP1027" s="381">
        <v>3.35</v>
      </c>
      <c r="AQ1027" s="381">
        <v>3.35</v>
      </c>
      <c r="AR1027" s="381">
        <f t="shared" si="164"/>
        <v>3.35</v>
      </c>
      <c r="AS1027" s="381"/>
    </row>
    <row r="1028" spans="2:114" hidden="1" outlineLevel="1">
      <c r="B1028" s="52"/>
      <c r="C1028" s="51"/>
      <c r="D1028" s="104"/>
      <c r="E1028" s="104"/>
      <c r="F1028" s="52"/>
      <c r="G1028" s="52"/>
      <c r="H1028" s="52"/>
      <c r="I1028" s="52"/>
      <c r="J1028" s="52"/>
      <c r="K1028" s="52"/>
      <c r="L1028" s="52"/>
      <c r="M1028" s="52"/>
      <c r="N1028" s="52"/>
      <c r="AK1028" s="358"/>
    </row>
    <row r="1029" spans="2:114" collapsed="1">
      <c r="B1029" s="52"/>
      <c r="C1029" s="51"/>
      <c r="D1029" s="104"/>
      <c r="E1029" s="104"/>
      <c r="F1029" s="52"/>
      <c r="G1029" s="52"/>
      <c r="H1029" s="52"/>
      <c r="I1029" s="52"/>
      <c r="J1029" s="52"/>
      <c r="K1029" s="52"/>
      <c r="L1029" s="52"/>
      <c r="M1029" s="52"/>
      <c r="N1029" s="52"/>
      <c r="AK1029" s="358"/>
    </row>
    <row r="1030" spans="2:114">
      <c r="B1030" s="4183" t="s">
        <v>3291</v>
      </c>
      <c r="C1030" s="4184"/>
      <c r="D1030" s="4184"/>
      <c r="E1030" s="4184"/>
      <c r="F1030" s="4184"/>
      <c r="G1030" s="4184"/>
      <c r="H1030" s="4184"/>
      <c r="I1030" s="4840"/>
      <c r="J1030" s="4840"/>
      <c r="K1030" s="4840"/>
      <c r="L1030" s="4840"/>
      <c r="M1030" s="4840"/>
      <c r="N1030" s="4840"/>
      <c r="O1030" s="4840"/>
      <c r="P1030" s="4840"/>
      <c r="Q1030" s="4840"/>
      <c r="R1030" s="4841"/>
      <c r="V1030" s="1363" t="str">
        <f>B1030</f>
        <v>Advanced Power Strips Tier 1  and 2/ Load Sensing</v>
      </c>
      <c r="W1030" s="1364"/>
      <c r="X1030" s="1364"/>
      <c r="Y1030" s="1364"/>
      <c r="Z1030" s="1364"/>
      <c r="AA1030" s="1364"/>
      <c r="AB1030" s="1364"/>
      <c r="AC1030" s="1364"/>
      <c r="AD1030" s="1364"/>
      <c r="AE1030" s="1364"/>
      <c r="AF1030" s="1364"/>
      <c r="AG1030" s="1364"/>
      <c r="AH1030" s="1364"/>
      <c r="AI1030" s="1397"/>
      <c r="AK1030" s="358"/>
    </row>
    <row r="1031" spans="2:114">
      <c r="B1031" s="52"/>
      <c r="C1031" s="51"/>
      <c r="D1031" s="104"/>
      <c r="E1031" s="104"/>
      <c r="F1031" s="52"/>
      <c r="G1031" s="52"/>
      <c r="H1031" s="52"/>
      <c r="I1031" s="52"/>
      <c r="J1031" s="52"/>
      <c r="K1031" s="52"/>
      <c r="L1031" s="52"/>
      <c r="M1031" s="52"/>
      <c r="N1031" s="52"/>
      <c r="AK1031" s="358"/>
    </row>
    <row r="1032" spans="2:114" ht="30">
      <c r="B1032" s="52"/>
      <c r="C1032" s="1371" t="s">
        <v>42</v>
      </c>
      <c r="D1032" s="1371" t="s">
        <v>953</v>
      </c>
      <c r="E1032" s="1371" t="s">
        <v>44</v>
      </c>
      <c r="F1032" s="1371" t="s">
        <v>45</v>
      </c>
      <c r="G1032" s="1371" t="s">
        <v>46</v>
      </c>
      <c r="H1032" s="1371" t="s">
        <v>47</v>
      </c>
      <c r="I1032" s="1371" t="s">
        <v>48</v>
      </c>
      <c r="J1032" s="1371" t="s">
        <v>49</v>
      </c>
      <c r="K1032" s="1371" t="s">
        <v>50</v>
      </c>
      <c r="L1032" s="1371" t="s">
        <v>51</v>
      </c>
      <c r="M1032" s="52"/>
      <c r="N1032" s="52"/>
      <c r="V1032" s="668" t="s">
        <v>52</v>
      </c>
      <c r="W1032" s="669">
        <v>43252</v>
      </c>
      <c r="X1032" s="669">
        <f>$X$6</f>
        <v>43465</v>
      </c>
      <c r="Y1032" s="115">
        <f>$Y$6</f>
        <v>43800</v>
      </c>
      <c r="Z1032" s="669">
        <f>$Z$6</f>
        <v>43862</v>
      </c>
      <c r="AA1032" s="669">
        <f>$AA$6</f>
        <v>44013</v>
      </c>
      <c r="AB1032" s="669">
        <f>$AB$6</f>
        <v>44166</v>
      </c>
      <c r="AC1032" s="669">
        <f>$AC$6</f>
        <v>44531</v>
      </c>
      <c r="AD1032" s="669">
        <f>$AD$6</f>
        <v>44774</v>
      </c>
      <c r="AE1032" s="669">
        <f>$AE$6</f>
        <v>45139</v>
      </c>
      <c r="AF1032" s="669">
        <f>$AF$6</f>
        <v>45672</v>
      </c>
      <c r="AG1032" s="669" t="str">
        <f>$AG$6</f>
        <v>-</v>
      </c>
      <c r="AK1032" s="358"/>
      <c r="DG1032" s="1060" t="str">
        <f>$DG$6</f>
        <v>TRC (2025)</v>
      </c>
      <c r="DH1032" s="811" t="str">
        <f>$DH$6</f>
        <v>Benefit Lookup</v>
      </c>
      <c r="DI1032" s="1076" t="str">
        <f>$DI$6</f>
        <v>Benefits (2025 $)</v>
      </c>
      <c r="DJ1032" s="1103" t="str">
        <f>$DJ$6</f>
        <v>Incremental Cost (2025 $)</v>
      </c>
    </row>
    <row r="1033" spans="2:114">
      <c r="B1033" s="1454">
        <f t="shared" ref="B1033:B1045" si="166">VALUE(LEFT(C1033,6))</f>
        <v>405450</v>
      </c>
      <c r="C1033" s="2517" t="s">
        <v>3292</v>
      </c>
      <c r="D1033" s="2589" t="s">
        <v>3293</v>
      </c>
      <c r="E1033" s="2310" t="s">
        <v>3294</v>
      </c>
      <c r="F1033" s="2590">
        <f>ROUND((G$1054*G1060+G$1055*G1056)*G$1064,2)</f>
        <v>29.45</v>
      </c>
      <c r="G1033" s="2591" t="s">
        <v>1172</v>
      </c>
      <c r="H1033" s="2213">
        <f>VLOOKUP(G1033,'CP FACTORS'!$A$3:$B$38, 2, FALSE)</f>
        <v>1.148238E-4</v>
      </c>
      <c r="I1033" s="2519">
        <f t="shared" ref="I1033:I1043" si="167">ROUND(F1033*H1033,6)</f>
        <v>3.382E-3</v>
      </c>
      <c r="J1033" s="2449">
        <v>10</v>
      </c>
      <c r="K1033" s="2592">
        <f>$G$1067</f>
        <v>20</v>
      </c>
      <c r="L1033" s="2593" t="s">
        <v>62</v>
      </c>
      <c r="M1033" s="52"/>
      <c r="N1033" s="52"/>
      <c r="V1033" s="2597" t="str">
        <f t="shared" ref="V1033:V1045" si="168">$F$1032</f>
        <v>kWh Annual Savings</v>
      </c>
      <c r="W1033" s="2601">
        <v>31</v>
      </c>
      <c r="X1033" s="2601">
        <v>31</v>
      </c>
      <c r="Y1033" s="2601">
        <v>31</v>
      </c>
      <c r="Z1033" s="2601">
        <v>31</v>
      </c>
      <c r="AA1033" s="2601">
        <v>31</v>
      </c>
      <c r="AB1033" s="2602">
        <v>31</v>
      </c>
      <c r="AC1033" s="2235">
        <v>29.45</v>
      </c>
      <c r="AD1033" s="2456">
        <v>29.45</v>
      </c>
      <c r="AE1033" s="2456">
        <v>29.45</v>
      </c>
      <c r="AF1033" s="2236">
        <f t="shared" ref="AF1033:AF1045" si="169">IF(F1033&lt;&gt;"",F1033,"")</f>
        <v>29.45</v>
      </c>
      <c r="AG1033" s="383"/>
      <c r="AK1033" s="358"/>
      <c r="DG1033" s="2418">
        <f>(DI1033)/(DJ1033)</f>
        <v>0.73781113692177425</v>
      </c>
      <c r="DH1033" s="2419" t="str">
        <f t="shared" ref="DH1033:DH1043" si="170">CONCATENATE(G1033," ",J1033," Year EUL")</f>
        <v>Miscellaneous RES 10 Year EUL</v>
      </c>
      <c r="DI1033" s="2420">
        <f>(INDEX('Avoided Cost Benefits'!$B$4:$B$865,MATCH(DH1033,'Avoided Cost Benefits'!$A$4:$A$865,0)))*F1033</f>
        <v>14.756222738435484</v>
      </c>
      <c r="DJ1033" s="2421">
        <f t="shared" ref="DJ1033:DJ1045" si="171">K1033/(1.0686^(2025-2025))</f>
        <v>20</v>
      </c>
    </row>
    <row r="1034" spans="2:114">
      <c r="B1034" s="1454">
        <f t="shared" si="166"/>
        <v>405451</v>
      </c>
      <c r="C1034" s="2517" t="s">
        <v>3295</v>
      </c>
      <c r="D1034" s="2589" t="s">
        <v>3293</v>
      </c>
      <c r="E1034" s="1444" t="s">
        <v>3296</v>
      </c>
      <c r="F1034" s="2594">
        <f>ROUND((G$1054*G1060+G$1055*G1056)*G$1064,2)</f>
        <v>29.45</v>
      </c>
      <c r="G1034" s="2591" t="s">
        <v>1172</v>
      </c>
      <c r="H1034" s="2213">
        <f>VLOOKUP(G1034,'CP FACTORS'!$A$3:$B$38, 2, FALSE)</f>
        <v>1.148238E-4</v>
      </c>
      <c r="I1034" s="2519">
        <f t="shared" si="167"/>
        <v>3.382E-3</v>
      </c>
      <c r="J1034" s="2449">
        <v>10</v>
      </c>
      <c r="K1034" s="2592">
        <f>$G$1068</f>
        <v>30</v>
      </c>
      <c r="L1034" s="2593" t="s">
        <v>62</v>
      </c>
      <c r="M1034" s="52"/>
      <c r="N1034" s="52"/>
      <c r="V1034" s="2597" t="str">
        <f t="shared" si="168"/>
        <v>kWh Annual Savings</v>
      </c>
      <c r="W1034" s="2601"/>
      <c r="X1034" s="2601"/>
      <c r="Y1034" s="2601"/>
      <c r="Z1034" s="2601"/>
      <c r="AA1034" s="2601"/>
      <c r="AB1034" s="2602">
        <v>31</v>
      </c>
      <c r="AC1034" s="2245">
        <v>29.45</v>
      </c>
      <c r="AD1034" s="2569">
        <v>29.45</v>
      </c>
      <c r="AE1034" s="2569">
        <v>29.45</v>
      </c>
      <c r="AF1034" s="2236">
        <f t="shared" si="169"/>
        <v>29.45</v>
      </c>
      <c r="AG1034" s="383"/>
      <c r="AK1034" s="358"/>
      <c r="DG1034" s="2418">
        <f t="shared" ref="DG1034:DG1039" si="172">(DI1034)/(DJ1034)</f>
        <v>0.49187409128118281</v>
      </c>
      <c r="DH1034" s="2419" t="str">
        <f t="shared" si="170"/>
        <v>Miscellaneous RES 10 Year EUL</v>
      </c>
      <c r="DI1034" s="2420">
        <f>(INDEX('Avoided Cost Benefits'!$B$4:$B$865,MATCH(DH1034,'Avoided Cost Benefits'!$A$4:$A$865,0)))*F1034</f>
        <v>14.756222738435484</v>
      </c>
      <c r="DJ1034" s="2421">
        <f t="shared" si="171"/>
        <v>30</v>
      </c>
    </row>
    <row r="1035" spans="2:114">
      <c r="B1035" s="1454">
        <f t="shared" si="166"/>
        <v>405500</v>
      </c>
      <c r="C1035" s="2401" t="s">
        <v>3297</v>
      </c>
      <c r="D1035" s="2589" t="s">
        <v>3293</v>
      </c>
      <c r="E1035" s="2310" t="s">
        <v>3298</v>
      </c>
      <c r="F1035" s="2595">
        <f>ROUND((G1054*G1060+G1055*G1061)*G1065,2)</f>
        <v>29.08</v>
      </c>
      <c r="G1035" s="2591" t="s">
        <v>1172</v>
      </c>
      <c r="H1035" s="2213">
        <f>VLOOKUP(G1035,'CP FACTORS'!$A$3:$B$38, 2, FALSE)</f>
        <v>1.148238E-4</v>
      </c>
      <c r="I1035" s="2404">
        <f t="shared" si="167"/>
        <v>3.339E-3</v>
      </c>
      <c r="J1035" s="2449">
        <v>10</v>
      </c>
      <c r="K1035" s="2592">
        <f>$G$1067</f>
        <v>20</v>
      </c>
      <c r="L1035" s="2593" t="s">
        <v>62</v>
      </c>
      <c r="M1035" s="52"/>
      <c r="N1035" s="52"/>
      <c r="V1035" s="2597" t="str">
        <f t="shared" si="168"/>
        <v>kWh Annual Savings</v>
      </c>
      <c r="W1035" s="2601">
        <v>24.18</v>
      </c>
      <c r="X1035" s="2601">
        <v>24.18</v>
      </c>
      <c r="Y1035" s="2601">
        <v>24.18</v>
      </c>
      <c r="Z1035" s="2601">
        <v>24.18</v>
      </c>
      <c r="AA1035" s="2601">
        <v>24.18</v>
      </c>
      <c r="AB1035" s="2602">
        <v>24.18</v>
      </c>
      <c r="AC1035" s="2456">
        <v>24.18</v>
      </c>
      <c r="AD1035" s="2456">
        <v>24.18</v>
      </c>
      <c r="AE1035" s="2456">
        <v>24.18</v>
      </c>
      <c r="AF1035" s="2236">
        <f t="shared" si="169"/>
        <v>29.08</v>
      </c>
      <c r="AG1035" s="383"/>
      <c r="AK1035" s="358"/>
      <c r="DG1035" s="2418">
        <f t="shared" si="172"/>
        <v>0.72854152331698452</v>
      </c>
      <c r="DH1035" s="2419" t="str">
        <f t="shared" si="170"/>
        <v>Miscellaneous RES 10 Year EUL</v>
      </c>
      <c r="DI1035" s="2420">
        <f>(INDEX('Avoided Cost Benefits'!$B$4:$B$865,MATCH(DH1035,'Avoided Cost Benefits'!$A$4:$A$865,0)))*F1035</f>
        <v>14.570830466339691</v>
      </c>
      <c r="DJ1035" s="2421">
        <f t="shared" si="171"/>
        <v>20</v>
      </c>
    </row>
    <row r="1036" spans="2:114">
      <c r="B1036" s="1454">
        <f t="shared" si="166"/>
        <v>405550</v>
      </c>
      <c r="C1036" s="2517" t="s">
        <v>3299</v>
      </c>
      <c r="D1036" s="2589" t="s">
        <v>3293</v>
      </c>
      <c r="E1036" s="2310" t="s">
        <v>3300</v>
      </c>
      <c r="F1036" s="2590">
        <f>ROUND((G1054*G1056+G1055*G1057)*G1064,2)</f>
        <v>71.349999999999994</v>
      </c>
      <c r="G1036" s="2591" t="s">
        <v>1172</v>
      </c>
      <c r="H1036" s="2213">
        <f>VLOOKUP(G1036,'CP FACTORS'!$A$3:$B$38, 2, FALSE)</f>
        <v>1.148238E-4</v>
      </c>
      <c r="I1036" s="2519">
        <f t="shared" si="167"/>
        <v>8.1930000000000006E-3</v>
      </c>
      <c r="J1036" s="2449">
        <v>10</v>
      </c>
      <c r="K1036" s="2592">
        <f>$G$1067</f>
        <v>20</v>
      </c>
      <c r="L1036" s="2593" t="s">
        <v>62</v>
      </c>
      <c r="M1036" s="52"/>
      <c r="N1036" s="52"/>
      <c r="V1036" s="2597" t="str">
        <f t="shared" si="168"/>
        <v>kWh Annual Savings</v>
      </c>
      <c r="W1036" s="2601">
        <v>75.099999999999994</v>
      </c>
      <c r="X1036" s="2601">
        <v>75.099999999999994</v>
      </c>
      <c r="Y1036" s="2601">
        <v>75.099999999999994</v>
      </c>
      <c r="Z1036" s="2601">
        <v>75.099999999999994</v>
      </c>
      <c r="AA1036" s="2601">
        <v>75.099999999999994</v>
      </c>
      <c r="AB1036" s="2602">
        <v>75.099999999999994</v>
      </c>
      <c r="AC1036" s="2235">
        <v>71.349999999999994</v>
      </c>
      <c r="AD1036" s="2456">
        <v>71.349999999999994</v>
      </c>
      <c r="AE1036" s="2456">
        <v>71.349999999999994</v>
      </c>
      <c r="AF1036" s="2236">
        <f t="shared" si="169"/>
        <v>71.349999999999994</v>
      </c>
      <c r="AG1036" s="383"/>
      <c r="AK1036" s="358"/>
      <c r="DG1036" s="2418">
        <f t="shared" si="172"/>
        <v>1.7875322451398503</v>
      </c>
      <c r="DH1036" s="2419" t="str">
        <f t="shared" si="170"/>
        <v>Miscellaneous RES 10 Year EUL</v>
      </c>
      <c r="DI1036" s="2420">
        <f>(INDEX('Avoided Cost Benefits'!$B$4:$B$865,MATCH(DH1036,'Avoided Cost Benefits'!$A$4:$A$865,0)))*F1036</f>
        <v>35.750644902797006</v>
      </c>
      <c r="DJ1036" s="2421">
        <f t="shared" si="171"/>
        <v>20</v>
      </c>
    </row>
    <row r="1037" spans="2:114">
      <c r="B1037" s="1454">
        <f t="shared" si="166"/>
        <v>405551</v>
      </c>
      <c r="C1037" s="2517" t="s">
        <v>3301</v>
      </c>
      <c r="D1037" s="2589" t="s">
        <v>3293</v>
      </c>
      <c r="E1037" s="1444" t="s">
        <v>3302</v>
      </c>
      <c r="F1037" s="2594">
        <f>ROUND((G1054*G1056+G1055*G1057)*G1064,2)</f>
        <v>71.349999999999994</v>
      </c>
      <c r="G1037" s="2591" t="s">
        <v>1172</v>
      </c>
      <c r="H1037" s="2213">
        <f>VLOOKUP(G1037,'CP FACTORS'!$A$3:$B$38, 2, FALSE)</f>
        <v>1.148238E-4</v>
      </c>
      <c r="I1037" s="2519">
        <f t="shared" si="167"/>
        <v>8.1930000000000006E-3</v>
      </c>
      <c r="J1037" s="2449">
        <v>10</v>
      </c>
      <c r="K1037" s="2592">
        <f>$G$1068</f>
        <v>30</v>
      </c>
      <c r="L1037" s="2593" t="s">
        <v>62</v>
      </c>
      <c r="M1037" s="52"/>
      <c r="N1037" s="52"/>
      <c r="V1037" s="2597" t="str">
        <f t="shared" si="168"/>
        <v>kWh Annual Savings</v>
      </c>
      <c r="W1037" s="2601"/>
      <c r="X1037" s="2601"/>
      <c r="Y1037" s="2601"/>
      <c r="Z1037" s="2601"/>
      <c r="AA1037" s="2601"/>
      <c r="AB1037" s="2602">
        <v>75.099999999999994</v>
      </c>
      <c r="AC1037" s="2245">
        <v>71.349999999999994</v>
      </c>
      <c r="AD1037" s="2569">
        <v>71.349999999999994</v>
      </c>
      <c r="AE1037" s="2569">
        <v>71.349999999999994</v>
      </c>
      <c r="AF1037" s="2236">
        <f t="shared" si="169"/>
        <v>71.349999999999994</v>
      </c>
      <c r="AG1037" s="383"/>
      <c r="AK1037" s="358"/>
      <c r="DG1037" s="2418">
        <f t="shared" si="172"/>
        <v>1.1916881634265668</v>
      </c>
      <c r="DH1037" s="2419" t="str">
        <f t="shared" si="170"/>
        <v>Miscellaneous RES 10 Year EUL</v>
      </c>
      <c r="DI1037" s="2420">
        <f>(INDEX('Avoided Cost Benefits'!$B$4:$B$865,MATCH(DH1037,'Avoided Cost Benefits'!$A$4:$A$865,0)))*F1037</f>
        <v>35.750644902797006</v>
      </c>
      <c r="DJ1037" s="2421">
        <f t="shared" si="171"/>
        <v>30</v>
      </c>
    </row>
    <row r="1038" spans="2:114">
      <c r="B1038" s="1454">
        <f t="shared" si="166"/>
        <v>405600</v>
      </c>
      <c r="C1038" s="2401" t="s">
        <v>3303</v>
      </c>
      <c r="D1038" s="2589" t="s">
        <v>3293</v>
      </c>
      <c r="E1038" s="2310" t="s">
        <v>3304</v>
      </c>
      <c r="F1038" s="2595">
        <f>ROUND((G1054*G1056+G1055*G1057)*G1065,2)</f>
        <v>70.44</v>
      </c>
      <c r="G1038" s="2591" t="s">
        <v>1172</v>
      </c>
      <c r="H1038" s="2213">
        <f>VLOOKUP(G1038,'CP FACTORS'!$A$3:$B$38, 2, FALSE)</f>
        <v>1.148238E-4</v>
      </c>
      <c r="I1038" s="2404">
        <f t="shared" si="167"/>
        <v>8.0879999999999997E-3</v>
      </c>
      <c r="J1038" s="2449">
        <v>10</v>
      </c>
      <c r="K1038" s="2592">
        <f>$G$1067</f>
        <v>20</v>
      </c>
      <c r="L1038" s="2593" t="s">
        <v>62</v>
      </c>
      <c r="M1038" s="52"/>
      <c r="N1038" s="52"/>
      <c r="V1038" s="2597" t="str">
        <f t="shared" si="168"/>
        <v>kWh Annual Savings</v>
      </c>
      <c r="W1038" s="2598">
        <v>58.577999999999996</v>
      </c>
      <c r="X1038" s="2598">
        <v>58.577999999999996</v>
      </c>
      <c r="Y1038" s="2598">
        <v>58.58</v>
      </c>
      <c r="Z1038" s="2598">
        <v>58.58</v>
      </c>
      <c r="AA1038" s="2598">
        <v>58.58</v>
      </c>
      <c r="AB1038" s="2599">
        <v>58.58</v>
      </c>
      <c r="AC1038" s="2456">
        <v>58.58</v>
      </c>
      <c r="AD1038" s="2456">
        <v>58.58</v>
      </c>
      <c r="AE1038" s="2456">
        <v>58.58</v>
      </c>
      <c r="AF1038" s="2236">
        <f t="shared" si="169"/>
        <v>70.44</v>
      </c>
      <c r="AG1038" s="1529"/>
      <c r="AK1038" s="358"/>
      <c r="DG1038" s="2418">
        <f t="shared" si="172"/>
        <v>1.7647340062740162</v>
      </c>
      <c r="DH1038" s="2419" t="str">
        <f t="shared" si="170"/>
        <v>Miscellaneous RES 10 Year EUL</v>
      </c>
      <c r="DI1038" s="2420">
        <f>(INDEX('Avoided Cost Benefits'!$B$4:$B$865,MATCH(DH1038,'Avoided Cost Benefits'!$A$4:$A$865,0)))*F1038</f>
        <v>35.294680125480326</v>
      </c>
      <c r="DJ1038" s="2421">
        <f t="shared" si="171"/>
        <v>20</v>
      </c>
    </row>
    <row r="1039" spans="2:114">
      <c r="B1039" s="1454">
        <f t="shared" si="166"/>
        <v>405650</v>
      </c>
      <c r="C1039" s="2517" t="s">
        <v>3305</v>
      </c>
      <c r="D1039" s="2589" t="s">
        <v>3293</v>
      </c>
      <c r="E1039" s="2310" t="s">
        <v>3306</v>
      </c>
      <c r="F1039" s="2590">
        <f>ROUND((G1054*G1062+G1055*G1058)*G1064,2)</f>
        <v>56.26</v>
      </c>
      <c r="G1039" s="2591" t="s">
        <v>1172</v>
      </c>
      <c r="H1039" s="2213">
        <f>VLOOKUP(G1039,'CP FACTORS'!$A$3:$B$38, 2, FALSE)</f>
        <v>1.148238E-4</v>
      </c>
      <c r="I1039" s="2519">
        <f t="shared" si="167"/>
        <v>6.4599999999999996E-3</v>
      </c>
      <c r="J1039" s="2449">
        <v>10</v>
      </c>
      <c r="K1039" s="2592">
        <f>$G$1067</f>
        <v>20</v>
      </c>
      <c r="L1039" s="2593" t="s">
        <v>62</v>
      </c>
      <c r="M1039" s="52"/>
      <c r="N1039" s="52"/>
      <c r="V1039" s="2597" t="str">
        <f t="shared" si="168"/>
        <v>kWh Annual Savings</v>
      </c>
      <c r="W1039" s="2598">
        <v>59.224000000000004</v>
      </c>
      <c r="X1039" s="2598">
        <v>59.224000000000004</v>
      </c>
      <c r="Y1039" s="2598">
        <v>59.22</v>
      </c>
      <c r="Z1039" s="2598">
        <v>59.22</v>
      </c>
      <c r="AA1039" s="2598">
        <v>59.22</v>
      </c>
      <c r="AB1039" s="2599">
        <v>59.22</v>
      </c>
      <c r="AC1039" s="2235">
        <v>56.26</v>
      </c>
      <c r="AD1039" s="2456">
        <v>56.26</v>
      </c>
      <c r="AE1039" s="2456">
        <v>56.26</v>
      </c>
      <c r="AF1039" s="2236">
        <f t="shared" si="169"/>
        <v>56.26</v>
      </c>
      <c r="AG1039" s="1529"/>
      <c r="AK1039" s="358"/>
      <c r="DG1039" s="2418">
        <f t="shared" si="172"/>
        <v>1.409482328122887</v>
      </c>
      <c r="DH1039" s="2419" t="str">
        <f t="shared" si="170"/>
        <v>Miscellaneous RES 10 Year EUL</v>
      </c>
      <c r="DI1039" s="2420">
        <f>(INDEX('Avoided Cost Benefits'!$B$4:$B$865,MATCH(DH1039,'Avoided Cost Benefits'!$A$4:$A$865,0)))*F1039</f>
        <v>28.189646562457739</v>
      </c>
      <c r="DJ1039" s="2421">
        <f t="shared" si="171"/>
        <v>20</v>
      </c>
    </row>
    <row r="1040" spans="2:114">
      <c r="B1040" s="1454">
        <f t="shared" si="166"/>
        <v>405651</v>
      </c>
      <c r="C1040" s="2517" t="s">
        <v>3307</v>
      </c>
      <c r="D1040" s="2589" t="s">
        <v>3293</v>
      </c>
      <c r="E1040" s="1444" t="s">
        <v>3308</v>
      </c>
      <c r="F1040" s="2594">
        <f>ROUND((G1054*G1062+G1055*G1058)*G1064,2)</f>
        <v>56.26</v>
      </c>
      <c r="G1040" s="2591" t="s">
        <v>1172</v>
      </c>
      <c r="H1040" s="2213">
        <f>VLOOKUP(G1040,'CP FACTORS'!$A$3:$B$38, 2, FALSE)</f>
        <v>1.148238E-4</v>
      </c>
      <c r="I1040" s="2519">
        <f t="shared" si="167"/>
        <v>6.4599999999999996E-3</v>
      </c>
      <c r="J1040" s="2449">
        <v>10</v>
      </c>
      <c r="K1040" s="2592">
        <f>$G$1068</f>
        <v>30</v>
      </c>
      <c r="L1040" s="2593" t="s">
        <v>62</v>
      </c>
      <c r="M1040" s="52"/>
      <c r="N1040" s="52"/>
      <c r="V1040" s="2597" t="str">
        <f t="shared" si="168"/>
        <v>kWh Annual Savings</v>
      </c>
      <c r="W1040" s="2598"/>
      <c r="X1040" s="2598"/>
      <c r="Y1040" s="2598"/>
      <c r="Z1040" s="2598"/>
      <c r="AA1040" s="2598"/>
      <c r="AB1040" s="2599">
        <v>59.22</v>
      </c>
      <c r="AC1040" s="2245">
        <v>56.26</v>
      </c>
      <c r="AD1040" s="2569">
        <v>56.26</v>
      </c>
      <c r="AE1040" s="2569">
        <v>56.26</v>
      </c>
      <c r="AF1040" s="2236">
        <f t="shared" si="169"/>
        <v>56.26</v>
      </c>
      <c r="AG1040" s="1529"/>
      <c r="AK1040" s="358"/>
      <c r="DG1040" s="2418">
        <f t="shared" ref="DG1040:DG1045" si="173">(DI1040)/(DJ1040)</f>
        <v>0.93965488541525799</v>
      </c>
      <c r="DH1040" s="2419" t="str">
        <f t="shared" si="170"/>
        <v>Miscellaneous RES 10 Year EUL</v>
      </c>
      <c r="DI1040" s="2420">
        <f>(INDEX('Avoided Cost Benefits'!$B$4:$B$865,MATCH(DH1040,'Avoided Cost Benefits'!$A$4:$A$865,0)))*F1040</f>
        <v>28.189646562457739</v>
      </c>
      <c r="DJ1040" s="2421">
        <f t="shared" si="171"/>
        <v>30</v>
      </c>
    </row>
    <row r="1041" spans="1:114">
      <c r="B1041" s="1454">
        <f t="shared" si="166"/>
        <v>405700</v>
      </c>
      <c r="C1041" s="2401" t="s">
        <v>3309</v>
      </c>
      <c r="D1041" s="2589" t="s">
        <v>3293</v>
      </c>
      <c r="E1041" s="1444" t="s">
        <v>3310</v>
      </c>
      <c r="F1041" s="2363">
        <f>ROUND((G1054*G1063+G1055*G1059)*G1065,2)</f>
        <v>50.59</v>
      </c>
      <c r="G1041" s="2591" t="s">
        <v>1172</v>
      </c>
      <c r="H1041" s="2213">
        <f>VLOOKUP(G1041,'CP FACTORS'!$A$3:$B$38, 2, FALSE)</f>
        <v>1.148238E-4</v>
      </c>
      <c r="I1041" s="2519">
        <f t="shared" si="167"/>
        <v>5.8089999999999999E-3</v>
      </c>
      <c r="J1041" s="2449">
        <v>10</v>
      </c>
      <c r="K1041" s="2592">
        <f>$G$1067</f>
        <v>20</v>
      </c>
      <c r="L1041" s="2593" t="s">
        <v>62</v>
      </c>
      <c r="M1041" s="52"/>
      <c r="N1041" s="52"/>
      <c r="V1041" s="2597" t="str">
        <f t="shared" si="168"/>
        <v>kWh Annual Savings</v>
      </c>
      <c r="W1041" s="2598">
        <v>42.066960000000002</v>
      </c>
      <c r="X1041" s="2598">
        <v>42.066960000000002</v>
      </c>
      <c r="Y1041" s="2598">
        <v>42.07</v>
      </c>
      <c r="Z1041" s="2598">
        <v>42.07</v>
      </c>
      <c r="AA1041" s="2598">
        <v>42.07</v>
      </c>
      <c r="AB1041" s="2599">
        <v>42.07</v>
      </c>
      <c r="AC1041" s="2456">
        <v>42.07</v>
      </c>
      <c r="AD1041" s="2456">
        <v>42.07</v>
      </c>
      <c r="AE1041" s="2456">
        <v>42.07</v>
      </c>
      <c r="AF1041" s="2236">
        <f t="shared" si="169"/>
        <v>50.59</v>
      </c>
      <c r="AG1041" s="1529"/>
      <c r="AK1041" s="358"/>
      <c r="DG1041" s="2418">
        <f t="shared" si="173"/>
        <v>1.2674317628819207</v>
      </c>
      <c r="DH1041" s="2419" t="str">
        <f t="shared" si="170"/>
        <v>Miscellaneous RES 10 Year EUL</v>
      </c>
      <c r="DI1041" s="2420">
        <f>(INDEX('Avoided Cost Benefits'!$B$4:$B$865,MATCH(DH1041,'Avoided Cost Benefits'!$A$4:$A$865,0)))*F1041</f>
        <v>25.348635257638414</v>
      </c>
      <c r="DJ1041" s="2421">
        <f t="shared" si="171"/>
        <v>20</v>
      </c>
    </row>
    <row r="1042" spans="1:114" s="1118" customFormat="1">
      <c r="A1042" s="283"/>
      <c r="B1042" s="1454">
        <f t="shared" si="166"/>
        <v>405750</v>
      </c>
      <c r="C1042" s="692" t="s">
        <v>3311</v>
      </c>
      <c r="D1042" s="108" t="s">
        <v>3293</v>
      </c>
      <c r="E1042" s="1377" t="str">
        <f>'Efficient Products Deemed Table'!E179</f>
        <v>Advanced Tier 2 Power Strips: Infrared, TOS/NC</v>
      </c>
      <c r="F1042" s="154">
        <f>G1079*G1080*G1081</f>
        <v>177.07999999999998</v>
      </c>
      <c r="G1042" s="405" t="s">
        <v>1172</v>
      </c>
      <c r="H1042" s="69">
        <f>VLOOKUP(G1042,'CP FACTORS'!$A$3:$B$38, 2, FALSE)</f>
        <v>1.148238E-4</v>
      </c>
      <c r="I1042" s="1473">
        <f t="shared" si="167"/>
        <v>2.0333E-2</v>
      </c>
      <c r="J1042" s="59">
        <f>G1082</f>
        <v>10</v>
      </c>
      <c r="K1042" s="2083">
        <f>G1083</f>
        <v>60</v>
      </c>
      <c r="L1042" s="19" t="s">
        <v>62</v>
      </c>
      <c r="M1042" s="1119"/>
      <c r="N1042" s="1119"/>
      <c r="O1042" s="1119"/>
      <c r="P1042" s="1119"/>
      <c r="Q1042" s="1119"/>
      <c r="R1042" s="1119"/>
      <c r="S1042" s="1119"/>
      <c r="T1042" s="1119"/>
      <c r="U1042" s="1119"/>
      <c r="V1042" s="1446" t="str">
        <f t="shared" si="168"/>
        <v>kWh Annual Savings</v>
      </c>
      <c r="W1042" s="1549">
        <v>162</v>
      </c>
      <c r="X1042" s="1549">
        <v>162</v>
      </c>
      <c r="Y1042" s="1549">
        <v>162</v>
      </c>
      <c r="Z1042" s="1549">
        <v>162</v>
      </c>
      <c r="AA1042" s="1549">
        <v>162</v>
      </c>
      <c r="AB1042" s="1550">
        <v>151.96</v>
      </c>
      <c r="AC1042" s="44">
        <v>151.96</v>
      </c>
      <c r="AD1042" s="44">
        <v>151.96</v>
      </c>
      <c r="AE1042" s="49">
        <v>153.9</v>
      </c>
      <c r="AF1042" s="271">
        <f t="shared" si="169"/>
        <v>177.07999999999998</v>
      </c>
      <c r="AG1042" s="1529"/>
      <c r="AH1042" s="273"/>
      <c r="AI1042" s="273"/>
      <c r="AJ1042" s="273"/>
      <c r="AK1042" s="358"/>
      <c r="AL1042" s="273"/>
      <c r="DG1042" s="1062">
        <f t="shared" si="173"/>
        <v>1.4787956550776207</v>
      </c>
      <c r="DH1042" s="1400" t="str">
        <f t="shared" si="170"/>
        <v>Miscellaneous RES 10 Year EUL</v>
      </c>
      <c r="DI1042" s="1010">
        <f>(INDEX('Avoided Cost Benefits'!$B$4:$B$865,MATCH(DH1042,'Avoided Cost Benefits'!$A$4:$A$865,0)))*F1042</f>
        <v>88.727739304657234</v>
      </c>
      <c r="DJ1042" s="1169">
        <f t="shared" si="171"/>
        <v>60</v>
      </c>
    </row>
    <row r="1043" spans="1:114" s="1118" customFormat="1">
      <c r="A1043" s="283"/>
      <c r="B1043" s="1454">
        <f t="shared" si="166"/>
        <v>405751</v>
      </c>
      <c r="C1043" s="692" t="s">
        <v>3312</v>
      </c>
      <c r="D1043" s="108" t="s">
        <v>3293</v>
      </c>
      <c r="E1043" s="1377" t="str">
        <f>'Efficient Products Deemed Table'!E180</f>
        <v>Advanced Tier 2 Power Strips: Infrared, DI</v>
      </c>
      <c r="F1043" s="154">
        <f>G1079*G1080*G1081</f>
        <v>177.07999999999998</v>
      </c>
      <c r="G1043" s="405" t="s">
        <v>1172</v>
      </c>
      <c r="H1043" s="69">
        <f>VLOOKUP(G1043,'CP FACTORS'!$A$3:$B$38, 2, FALSE)</f>
        <v>1.148238E-4</v>
      </c>
      <c r="I1043" s="1473">
        <f t="shared" si="167"/>
        <v>2.0333E-2</v>
      </c>
      <c r="J1043" s="59">
        <f>G1082</f>
        <v>10</v>
      </c>
      <c r="K1043" s="2083">
        <f>G1083</f>
        <v>60</v>
      </c>
      <c r="L1043" s="19" t="s">
        <v>62</v>
      </c>
      <c r="M1043" s="1119"/>
      <c r="N1043" s="1119"/>
      <c r="O1043" s="1119"/>
      <c r="P1043" s="1119"/>
      <c r="Q1043" s="1119"/>
      <c r="R1043" s="1119"/>
      <c r="S1043" s="1119"/>
      <c r="T1043" s="1119"/>
      <c r="U1043" s="1119"/>
      <c r="V1043" s="1378" t="str">
        <f t="shared" si="168"/>
        <v>kWh Annual Savings</v>
      </c>
      <c r="W1043" s="1549"/>
      <c r="X1043" s="1549"/>
      <c r="Y1043" s="1549"/>
      <c r="Z1043" s="1549"/>
      <c r="AA1043" s="1549"/>
      <c r="AB1043" s="1550">
        <v>153.9</v>
      </c>
      <c r="AC1043" s="162">
        <v>153.9</v>
      </c>
      <c r="AD1043" s="162">
        <v>153.9</v>
      </c>
      <c r="AE1043" s="162">
        <v>153.9</v>
      </c>
      <c r="AF1043" s="271">
        <f t="shared" si="169"/>
        <v>177.07999999999998</v>
      </c>
      <c r="AG1043" s="1529"/>
      <c r="AH1043" s="273"/>
      <c r="AI1043" s="273"/>
      <c r="AJ1043" s="273"/>
      <c r="AK1043" s="358"/>
      <c r="AL1043" s="273"/>
      <c r="DG1043" s="1067">
        <f t="shared" si="173"/>
        <v>1.4787956550776207</v>
      </c>
      <c r="DH1043" s="1400" t="str">
        <f t="shared" si="170"/>
        <v>Miscellaneous RES 10 Year EUL</v>
      </c>
      <c r="DI1043" s="1078">
        <f>(INDEX('Avoided Cost Benefits'!$B$4:$B$865,MATCH(DH1043,'Avoided Cost Benefits'!$A$4:$A$865,0)))*F1043</f>
        <v>88.727739304657234</v>
      </c>
      <c r="DJ1043" s="1178">
        <f t="shared" si="171"/>
        <v>60</v>
      </c>
    </row>
    <row r="1044" spans="1:114">
      <c r="B1044" s="1454">
        <f t="shared" si="166"/>
        <v>405752</v>
      </c>
      <c r="C1044" s="2401" t="s">
        <v>3313</v>
      </c>
      <c r="D1044" s="2589" t="s">
        <v>3293</v>
      </c>
      <c r="E1044" s="1444" t="str">
        <f>'Efficient Products Deemed Table'!E181</f>
        <v>Advanced Tier 2 Power Strips: Infrared &amp; Occupancy Sensor, TOS/NC</v>
      </c>
      <c r="F1044" s="2363">
        <f>ROUND('Efficient Products Deemed Table'!G188*'Efficient Products Deemed Table'!G190*G1064, 2)</f>
        <v>110.68</v>
      </c>
      <c r="G1044" s="2591" t="s">
        <v>1172</v>
      </c>
      <c r="H1044" s="2213">
        <f>VLOOKUP(G1044,'CP FACTORS'!$A$3:$B$38, 2, FALSE)</f>
        <v>1.148238E-4</v>
      </c>
      <c r="I1044" s="2404">
        <f t="shared" ref="I1044:I1045" si="174">ROUND(F1044*H1044,6)</f>
        <v>1.2709E-2</v>
      </c>
      <c r="J1044" s="2449">
        <v>10</v>
      </c>
      <c r="K1044" s="2596">
        <f>$G$1069</f>
        <v>65</v>
      </c>
      <c r="L1044" s="2593" t="s">
        <v>62</v>
      </c>
      <c r="M1044" s="1119"/>
      <c r="N1044" s="1119"/>
      <c r="O1044" s="1119"/>
      <c r="P1044" s="1119"/>
      <c r="Q1044" s="1119"/>
      <c r="R1044" s="1119"/>
      <c r="S1044" s="1119"/>
      <c r="T1044" s="1119"/>
      <c r="U1044" s="1119"/>
      <c r="V1044" s="2597" t="str">
        <f t="shared" si="168"/>
        <v>kWh Annual Savings</v>
      </c>
      <c r="W1044" s="2598"/>
      <c r="X1044" s="2598"/>
      <c r="Y1044" s="2598"/>
      <c r="Z1044" s="2598"/>
      <c r="AA1044" s="2598"/>
      <c r="AB1044" s="2599"/>
      <c r="AC1044" s="2456"/>
      <c r="AD1044" s="2456"/>
      <c r="AE1044" s="2235"/>
      <c r="AF1044" s="2236">
        <f t="shared" si="169"/>
        <v>110.68</v>
      </c>
      <c r="AG1044" s="2600"/>
      <c r="AK1044" s="358"/>
      <c r="AM1044" s="1118"/>
      <c r="DG1044" s="2418">
        <f t="shared" si="173"/>
        <v>0.85318988255977002</v>
      </c>
      <c r="DH1044" s="2419" t="str">
        <f t="shared" ref="DH1044:DH1045" si="175">CONCATENATE(G1044," ",J1044," Year EUL")</f>
        <v>Miscellaneous RES 10 Year EUL</v>
      </c>
      <c r="DI1044" s="2420">
        <f>(INDEX('Avoided Cost Benefits'!$B$4:$B$865,MATCH(DH1044,'Avoided Cost Benefits'!$A$4:$A$865,0)))*F1044</f>
        <v>55.457342366385049</v>
      </c>
      <c r="DJ1044" s="2421">
        <f t="shared" si="171"/>
        <v>65</v>
      </c>
    </row>
    <row r="1045" spans="1:114">
      <c r="B1045" s="1454">
        <f t="shared" si="166"/>
        <v>405753</v>
      </c>
      <c r="C1045" s="2401" t="s">
        <v>3314</v>
      </c>
      <c r="D1045" s="2589" t="s">
        <v>3293</v>
      </c>
      <c r="E1045" s="1444" t="str">
        <f>'Efficient Products Deemed Table'!E182</f>
        <v>Advanced Tier 2 Power Strips: Infrared &amp; Occupancy Sensor, DI</v>
      </c>
      <c r="F1045" s="2363">
        <f>ROUND('Efficient Products Deemed Table'!G188*'Efficient Products Deemed Table'!G190*G1064, 2)</f>
        <v>110.68</v>
      </c>
      <c r="G1045" s="2591" t="s">
        <v>1172</v>
      </c>
      <c r="H1045" s="2213">
        <f>VLOOKUP(G1045,'CP FACTORS'!$A$3:$B$38, 2, FALSE)</f>
        <v>1.148238E-4</v>
      </c>
      <c r="I1045" s="2404">
        <f t="shared" si="174"/>
        <v>1.2709E-2</v>
      </c>
      <c r="J1045" s="2449">
        <v>10</v>
      </c>
      <c r="K1045" s="2596">
        <f>$G$1070</f>
        <v>60</v>
      </c>
      <c r="L1045" s="2593" t="s">
        <v>62</v>
      </c>
      <c r="M1045" s="1119"/>
      <c r="N1045" s="1119"/>
      <c r="O1045" s="1119"/>
      <c r="P1045" s="1119"/>
      <c r="Q1045" s="1119"/>
      <c r="R1045" s="1119"/>
      <c r="S1045" s="1119"/>
      <c r="T1045" s="1119"/>
      <c r="U1045" s="1119"/>
      <c r="V1045" s="2425" t="str">
        <f t="shared" si="168"/>
        <v>kWh Annual Savings</v>
      </c>
      <c r="W1045" s="2598"/>
      <c r="X1045" s="2598"/>
      <c r="Y1045" s="2598"/>
      <c r="Z1045" s="2598"/>
      <c r="AA1045" s="2598"/>
      <c r="AB1045" s="2599"/>
      <c r="AC1045" s="2569"/>
      <c r="AD1045" s="2569"/>
      <c r="AE1045" s="2569"/>
      <c r="AF1045" s="2236">
        <f t="shared" si="169"/>
        <v>110.68</v>
      </c>
      <c r="AG1045" s="2600"/>
      <c r="AK1045" s="358"/>
      <c r="AM1045" s="1118"/>
      <c r="DG1045" s="2603">
        <f t="shared" si="173"/>
        <v>0.92428903943975083</v>
      </c>
      <c r="DH1045" s="2419" t="str">
        <f t="shared" si="175"/>
        <v>Miscellaneous RES 10 Year EUL</v>
      </c>
      <c r="DI1045" s="2604">
        <f>(INDEX('Avoided Cost Benefits'!$B$4:$B$865,MATCH(DH1045,'Avoided Cost Benefits'!$A$4:$A$865,0)))*F1045</f>
        <v>55.457342366385049</v>
      </c>
      <c r="DJ1045" s="2605">
        <f t="shared" si="171"/>
        <v>60</v>
      </c>
    </row>
    <row r="1046" spans="1:114" hidden="1" outlineLevel="1">
      <c r="B1046" s="1454"/>
      <c r="C1046" s="73"/>
      <c r="D1046" s="2624" t="s">
        <v>118</v>
      </c>
      <c r="E1046" s="2220" t="s">
        <v>3315</v>
      </c>
      <c r="F1046" s="52"/>
      <c r="G1046" s="52"/>
      <c r="H1046" s="52"/>
      <c r="I1046" s="52"/>
      <c r="J1046" s="52"/>
      <c r="K1046" s="52"/>
      <c r="L1046" s="51"/>
      <c r="M1046" s="1119"/>
      <c r="N1046" s="1119"/>
      <c r="O1046" s="1119"/>
      <c r="P1046" s="1119"/>
      <c r="Q1046" s="1119"/>
      <c r="R1046" s="1119"/>
      <c r="S1046" s="1119"/>
      <c r="T1046" s="1119"/>
      <c r="U1046" s="1119"/>
      <c r="V1046" s="52"/>
      <c r="W1046" s="1728"/>
      <c r="X1046" s="1728"/>
      <c r="Y1046" s="1728"/>
      <c r="Z1046" s="1728"/>
      <c r="AA1046" s="1728"/>
      <c r="AB1046" s="1729"/>
      <c r="AC1046" s="1730"/>
      <c r="AD1046" s="1730"/>
      <c r="AE1046" s="1730"/>
      <c r="AF1046" s="1731"/>
      <c r="AK1046" s="358"/>
      <c r="AM1046" s="1118"/>
      <c r="DG1046" s="1732"/>
      <c r="DH1046" s="595"/>
      <c r="DI1046" s="556"/>
      <c r="DJ1046" s="1733"/>
    </row>
    <row r="1047" spans="1:114" hidden="1" outlineLevel="1">
      <c r="B1047" s="1454"/>
      <c r="C1047" s="73"/>
      <c r="D1047" s="2360" t="s">
        <v>963</v>
      </c>
      <c r="E1047" s="635" t="s">
        <v>1683</v>
      </c>
      <c r="F1047" s="52"/>
      <c r="G1047" s="52"/>
      <c r="H1047" s="52"/>
      <c r="I1047" s="52"/>
      <c r="J1047" s="52"/>
      <c r="K1047" s="52"/>
      <c r="L1047" s="51"/>
      <c r="M1047" s="1119"/>
      <c r="N1047" s="1119"/>
      <c r="O1047" s="1119"/>
      <c r="P1047" s="1119"/>
      <c r="Q1047" s="1119"/>
      <c r="R1047" s="1119"/>
      <c r="S1047" s="1119"/>
      <c r="T1047" s="1119"/>
      <c r="U1047" s="1119"/>
      <c r="V1047" s="52"/>
      <c r="W1047" s="1728"/>
      <c r="X1047" s="1728"/>
      <c r="Y1047" s="1728"/>
      <c r="Z1047" s="1728"/>
      <c r="AA1047" s="1728"/>
      <c r="AB1047" s="1729"/>
      <c r="AC1047" s="1730"/>
      <c r="AD1047" s="1730"/>
      <c r="AE1047" s="1730"/>
      <c r="AF1047" s="1731"/>
      <c r="AK1047" s="358"/>
      <c r="AM1047" s="1118"/>
      <c r="DG1047" s="1732"/>
      <c r="DH1047" s="595"/>
      <c r="DI1047" s="556"/>
      <c r="DJ1047" s="1733"/>
    </row>
    <row r="1048" spans="1:114" hidden="1" outlineLevel="1">
      <c r="B1048" s="1454"/>
      <c r="C1048" s="73"/>
      <c r="D1048" s="2625"/>
      <c r="E1048" s="635" t="s">
        <v>966</v>
      </c>
      <c r="F1048" s="52"/>
      <c r="G1048" s="52"/>
      <c r="H1048" s="52"/>
      <c r="I1048" s="52"/>
      <c r="J1048" s="52"/>
      <c r="K1048" s="52"/>
      <c r="L1048" s="51"/>
      <c r="M1048" s="1119"/>
      <c r="N1048" s="1119"/>
      <c r="O1048" s="1119"/>
      <c r="P1048" s="1119"/>
      <c r="Q1048" s="1119"/>
      <c r="R1048" s="1119"/>
      <c r="S1048" s="1119"/>
      <c r="T1048" s="1119"/>
      <c r="U1048" s="1119"/>
      <c r="V1048" s="52"/>
      <c r="W1048" s="1728"/>
      <c r="X1048" s="1728"/>
      <c r="Y1048" s="1728"/>
      <c r="Z1048" s="1728"/>
      <c r="AA1048" s="1728"/>
      <c r="AB1048" s="1729"/>
      <c r="AC1048" s="1730"/>
      <c r="AD1048" s="1730"/>
      <c r="AE1048" s="1730"/>
      <c r="AF1048" s="1731"/>
      <c r="AK1048" s="358"/>
      <c r="AM1048" s="1118"/>
      <c r="DG1048" s="1732"/>
      <c r="DH1048" s="595"/>
      <c r="DI1048" s="556"/>
      <c r="DJ1048" s="1733"/>
    </row>
    <row r="1049" spans="1:114" hidden="1" outlineLevel="1">
      <c r="B1049" s="52"/>
      <c r="C1049" s="51"/>
      <c r="D1049" s="2624" t="s">
        <v>118</v>
      </c>
      <c r="E1049" s="2624" t="s">
        <v>3316</v>
      </c>
      <c r="F1049" s="52"/>
      <c r="G1049" s="52"/>
      <c r="H1049" s="52"/>
      <c r="I1049" s="52"/>
      <c r="J1049" s="52"/>
      <c r="K1049" s="52"/>
      <c r="L1049" s="52"/>
      <c r="M1049" s="52"/>
      <c r="N1049" s="52"/>
      <c r="AK1049" s="358"/>
    </row>
    <row r="1050" spans="1:114" hidden="1" outlineLevel="1">
      <c r="B1050" s="52"/>
      <c r="C1050" s="51"/>
      <c r="D1050" s="2624" t="s">
        <v>963</v>
      </c>
      <c r="E1050" s="2624" t="s">
        <v>1183</v>
      </c>
      <c r="F1050" s="52"/>
      <c r="G1050" s="52"/>
      <c r="H1050" s="52"/>
      <c r="I1050" s="52"/>
      <c r="J1050" s="52"/>
      <c r="K1050" s="52"/>
      <c r="L1050" s="52"/>
      <c r="M1050" s="52"/>
      <c r="N1050" s="52"/>
      <c r="AK1050" s="358"/>
    </row>
    <row r="1051" spans="1:114" hidden="1" outlineLevel="1">
      <c r="B1051" s="52"/>
      <c r="C1051" s="51"/>
      <c r="D1051" s="2206"/>
      <c r="E1051" s="2626" t="s">
        <v>966</v>
      </c>
      <c r="F1051" s="52"/>
      <c r="G1051" s="52"/>
      <c r="H1051" s="52"/>
      <c r="I1051" s="52"/>
      <c r="J1051" s="52"/>
      <c r="K1051" s="52"/>
      <c r="L1051" s="52"/>
      <c r="M1051" s="52"/>
      <c r="N1051" s="52"/>
      <c r="AK1051" s="358"/>
    </row>
    <row r="1052" spans="1:114" hidden="1" outlineLevel="1">
      <c r="B1052" s="52"/>
      <c r="C1052" s="51"/>
      <c r="D1052" s="2615" t="s">
        <v>1078</v>
      </c>
      <c r="E1052" s="2615" t="s">
        <v>967</v>
      </c>
      <c r="F1052" s="2616" t="s">
        <v>968</v>
      </c>
      <c r="G1052" s="2616" t="s">
        <v>969</v>
      </c>
      <c r="H1052" s="2369" t="s">
        <v>3317</v>
      </c>
      <c r="I1052" s="2617"/>
      <c r="J1052" s="2618"/>
      <c r="K1052" s="159"/>
      <c r="L1052" s="52"/>
      <c r="M1052" s="52"/>
      <c r="N1052" s="52"/>
      <c r="V1052" s="2640" t="s">
        <v>52</v>
      </c>
      <c r="W1052" s="2641">
        <f>$W$6</f>
        <v>43252</v>
      </c>
      <c r="X1052" s="2641">
        <f>$X$6</f>
        <v>43465</v>
      </c>
      <c r="Y1052" s="2642">
        <f>$Y$6</f>
        <v>43800</v>
      </c>
      <c r="Z1052" s="2641">
        <f>$Z$6</f>
        <v>43862</v>
      </c>
      <c r="AA1052" s="2641">
        <f>$AA$6</f>
        <v>44013</v>
      </c>
      <c r="AB1052" s="2641">
        <f>$AB$6</f>
        <v>44166</v>
      </c>
      <c r="AC1052" s="2641">
        <f>$AC$6</f>
        <v>44531</v>
      </c>
      <c r="AD1052" s="2641">
        <f>$AD$6</f>
        <v>44774</v>
      </c>
      <c r="AE1052" s="2641">
        <f>$AE$6</f>
        <v>45139</v>
      </c>
      <c r="AF1052" s="2641">
        <f>$AF$6</f>
        <v>45672</v>
      </c>
      <c r="AG1052" s="2641" t="str">
        <f>$AG$6</f>
        <v>-</v>
      </c>
      <c r="AK1052" s="358"/>
    </row>
    <row r="1053" spans="1:114" hidden="1" outlineLevel="1">
      <c r="B1053" s="52"/>
      <c r="C1053" s="51"/>
      <c r="D1053" s="2619"/>
      <c r="E1053" s="2619"/>
      <c r="F1053" s="2620"/>
      <c r="G1053" s="2620"/>
      <c r="H1053" s="2621"/>
      <c r="I1053" s="2622"/>
      <c r="J1053" s="2623"/>
      <c r="K1053" s="159"/>
      <c r="L1053" s="52"/>
      <c r="M1053" s="52"/>
      <c r="N1053" s="52"/>
      <c r="V1053" s="2640"/>
      <c r="W1053" s="760"/>
      <c r="X1053" s="760"/>
      <c r="Y1053" s="760"/>
      <c r="Z1053" s="760"/>
      <c r="AA1053" s="760"/>
      <c r="AB1053" s="760"/>
      <c r="AC1053" s="760"/>
      <c r="AD1053" s="760"/>
      <c r="AE1053" s="760"/>
      <c r="AF1053" s="760"/>
      <c r="AG1053" s="760"/>
      <c r="AK1053" s="358"/>
    </row>
    <row r="1054" spans="1:114" ht="119.25" hidden="1" customHeight="1" outlineLevel="1">
      <c r="B1054" s="52"/>
      <c r="C1054" s="51"/>
      <c r="D1054" s="4144" t="s">
        <v>1684</v>
      </c>
      <c r="E1054" s="4144" t="s">
        <v>1685</v>
      </c>
      <c r="F1054" s="1444" t="s">
        <v>1686</v>
      </c>
      <c r="G1054" s="2289">
        <v>31</v>
      </c>
      <c r="H1054" s="4158" t="s">
        <v>3318</v>
      </c>
      <c r="I1054" s="4213"/>
      <c r="J1054" s="4130"/>
      <c r="K1054" s="159"/>
      <c r="L1054" s="52"/>
      <c r="M1054" s="52"/>
      <c r="N1054" s="52"/>
      <c r="V1054" s="4144" t="s">
        <v>1684</v>
      </c>
      <c r="W1054" s="2244">
        <v>31</v>
      </c>
      <c r="X1054" s="2244">
        <v>31</v>
      </c>
      <c r="Y1054" s="2244">
        <v>31</v>
      </c>
      <c r="Z1054" s="2244">
        <v>31</v>
      </c>
      <c r="AA1054" s="2244">
        <v>31</v>
      </c>
      <c r="AB1054" s="2244">
        <v>31</v>
      </c>
      <c r="AC1054" s="2244">
        <v>31</v>
      </c>
      <c r="AD1054" s="2244">
        <v>31</v>
      </c>
      <c r="AE1054" s="2244">
        <v>31</v>
      </c>
      <c r="AF1054" s="2236">
        <f t="shared" ref="AF1054:AF1070" si="176">IF(G1054&lt;&gt;"",G1054,"")</f>
        <v>31</v>
      </c>
      <c r="AG1054" s="2600"/>
      <c r="AK1054" s="358"/>
    </row>
    <row r="1055" spans="1:114" hidden="1" outlineLevel="1">
      <c r="B1055" s="52"/>
      <c r="C1055" s="51"/>
      <c r="D1055" s="4152"/>
      <c r="E1055" s="4152"/>
      <c r="F1055" s="1444" t="s">
        <v>1688</v>
      </c>
      <c r="G1055" s="2289">
        <v>75.099999999999994</v>
      </c>
      <c r="H1055" s="4158" t="s">
        <v>3319</v>
      </c>
      <c r="I1055" s="4213"/>
      <c r="J1055" s="4130"/>
      <c r="K1055" s="159"/>
      <c r="L1055" s="52"/>
      <c r="M1055" s="52"/>
      <c r="N1055" s="52"/>
      <c r="V1055" s="4152"/>
      <c r="W1055" s="2244">
        <v>75.099999999999994</v>
      </c>
      <c r="X1055" s="2244">
        <v>75.099999999999994</v>
      </c>
      <c r="Y1055" s="2244">
        <v>75.099999999999994</v>
      </c>
      <c r="Z1055" s="2244">
        <v>75.099999999999994</v>
      </c>
      <c r="AA1055" s="2244">
        <v>75.099999999999994</v>
      </c>
      <c r="AB1055" s="2244">
        <v>75.099999999999994</v>
      </c>
      <c r="AC1055" s="2244">
        <v>75.099999999999994</v>
      </c>
      <c r="AD1055" s="2244">
        <v>75.099999999999994</v>
      </c>
      <c r="AE1055" s="2244">
        <v>75.099999999999994</v>
      </c>
      <c r="AF1055" s="2236">
        <f t="shared" si="176"/>
        <v>75.099999999999994</v>
      </c>
      <c r="AG1055" s="2600"/>
      <c r="AK1055" s="358"/>
    </row>
    <row r="1056" spans="1:114" hidden="1" outlineLevel="1">
      <c r="B1056" s="52"/>
      <c r="C1056" s="51"/>
      <c r="D1056" s="4144" t="s">
        <v>1690</v>
      </c>
      <c r="E1056" s="4144" t="s">
        <v>1691</v>
      </c>
      <c r="F1056" s="1444" t="s">
        <v>1686</v>
      </c>
      <c r="G1056" s="2320">
        <v>0</v>
      </c>
      <c r="H1056" s="4158" t="s">
        <v>3320</v>
      </c>
      <c r="I1056" s="4213"/>
      <c r="J1056" s="4130"/>
      <c r="K1056" s="159"/>
      <c r="L1056" s="52"/>
      <c r="M1056" s="52"/>
      <c r="N1056" s="52"/>
      <c r="V1056" s="4144" t="s">
        <v>1690</v>
      </c>
      <c r="W1056" s="2643">
        <v>1</v>
      </c>
      <c r="X1056" s="2643">
        <v>1</v>
      </c>
      <c r="Y1056" s="2643">
        <v>1</v>
      </c>
      <c r="Z1056" s="2643">
        <v>1</v>
      </c>
      <c r="AA1056" s="2643">
        <v>1</v>
      </c>
      <c r="AB1056" s="2644">
        <v>0</v>
      </c>
      <c r="AC1056" s="2644">
        <v>0</v>
      </c>
      <c r="AD1056" s="2644">
        <v>0</v>
      </c>
      <c r="AE1056" s="2644">
        <v>0</v>
      </c>
      <c r="AF1056" s="2236">
        <f t="shared" si="176"/>
        <v>0</v>
      </c>
      <c r="AG1056" s="2600"/>
      <c r="AK1056" s="358"/>
    </row>
    <row r="1057" spans="2:37" hidden="1" outlineLevel="1">
      <c r="B1057" s="52"/>
      <c r="C1057" s="51"/>
      <c r="D1057" s="4152"/>
      <c r="E1057" s="4152"/>
      <c r="F1057" s="1444" t="s">
        <v>1688</v>
      </c>
      <c r="G1057" s="2320">
        <v>1</v>
      </c>
      <c r="H1057" s="4158" t="s">
        <v>3320</v>
      </c>
      <c r="I1057" s="4213"/>
      <c r="J1057" s="4130"/>
      <c r="K1057" s="159"/>
      <c r="L1057" s="52"/>
      <c r="M1057" s="52"/>
      <c r="N1057" s="52"/>
      <c r="V1057" s="4152"/>
      <c r="W1057" s="2643"/>
      <c r="X1057" s="2643"/>
      <c r="Y1057" s="2643"/>
      <c r="Z1057" s="2643"/>
      <c r="AA1057" s="2643"/>
      <c r="AB1057" s="2645">
        <v>1</v>
      </c>
      <c r="AC1057" s="2646">
        <v>1</v>
      </c>
      <c r="AD1057" s="2646">
        <v>1</v>
      </c>
      <c r="AE1057" s="2646">
        <v>1</v>
      </c>
      <c r="AF1057" s="2236">
        <f t="shared" si="176"/>
        <v>1</v>
      </c>
      <c r="AG1057" s="2600"/>
      <c r="AK1057" s="358"/>
    </row>
    <row r="1058" spans="2:37" hidden="1" outlineLevel="1">
      <c r="B1058" s="52"/>
      <c r="C1058" s="51"/>
      <c r="D1058" s="4152"/>
      <c r="E1058" s="4152"/>
      <c r="F1058" s="1444" t="s">
        <v>1692</v>
      </c>
      <c r="G1058" s="2320">
        <f>1-G1062</f>
        <v>0.64</v>
      </c>
      <c r="H1058" s="4158" t="s">
        <v>3321</v>
      </c>
      <c r="I1058" s="4213"/>
      <c r="J1058" s="4130"/>
      <c r="K1058" s="159"/>
      <c r="L1058" s="52"/>
      <c r="M1058" s="52"/>
      <c r="N1058" s="52"/>
      <c r="V1058" s="4152"/>
      <c r="W1058" s="2643">
        <v>0.64</v>
      </c>
      <c r="X1058" s="2643">
        <v>0.64</v>
      </c>
      <c r="Y1058" s="2643">
        <v>0.64</v>
      </c>
      <c r="Z1058" s="2643">
        <v>0.64</v>
      </c>
      <c r="AA1058" s="2643">
        <v>0.64</v>
      </c>
      <c r="AB1058" s="2646">
        <v>0.64</v>
      </c>
      <c r="AC1058" s="2646">
        <v>0.64</v>
      </c>
      <c r="AD1058" s="2646">
        <v>0.64</v>
      </c>
      <c r="AE1058" s="2646">
        <v>0.64</v>
      </c>
      <c r="AF1058" s="2236">
        <f t="shared" si="176"/>
        <v>0.64</v>
      </c>
      <c r="AG1058" s="2600"/>
      <c r="AK1058" s="358"/>
    </row>
    <row r="1059" spans="2:37" ht="27" hidden="1" customHeight="1" outlineLevel="1">
      <c r="B1059" s="52"/>
      <c r="C1059" s="51"/>
      <c r="D1059" s="4145"/>
      <c r="E1059" s="4145"/>
      <c r="F1059" s="1444" t="s">
        <v>1694</v>
      </c>
      <c r="G1059" s="2320">
        <f>1-G1063</f>
        <v>0.52</v>
      </c>
      <c r="H1059" s="4158" t="s">
        <v>3321</v>
      </c>
      <c r="I1059" s="4213"/>
      <c r="J1059" s="4130"/>
      <c r="K1059" s="159"/>
      <c r="L1059" s="52"/>
      <c r="M1059" s="52"/>
      <c r="N1059" s="52"/>
      <c r="V1059" s="4145"/>
      <c r="W1059" s="2643"/>
      <c r="X1059" s="2643"/>
      <c r="Y1059" s="2643"/>
      <c r="Z1059" s="2643"/>
      <c r="AA1059" s="2643"/>
      <c r="AB1059" s="2645">
        <v>0.52</v>
      </c>
      <c r="AC1059" s="2646">
        <v>0.52</v>
      </c>
      <c r="AD1059" s="2646">
        <v>0.52</v>
      </c>
      <c r="AE1059" s="2646">
        <v>0.52</v>
      </c>
      <c r="AF1059" s="2236">
        <f t="shared" si="176"/>
        <v>0.52</v>
      </c>
      <c r="AG1059" s="2600"/>
      <c r="AK1059" s="358"/>
    </row>
    <row r="1060" spans="2:37" hidden="1" outlineLevel="1">
      <c r="B1060" s="52"/>
      <c r="C1060" s="51"/>
      <c r="D1060" s="4144" t="s">
        <v>1695</v>
      </c>
      <c r="E1060" s="4144" t="s">
        <v>1696</v>
      </c>
      <c r="F1060" s="1444" t="s">
        <v>1686</v>
      </c>
      <c r="G1060" s="2320">
        <v>1</v>
      </c>
      <c r="H1060" s="4222" t="s">
        <v>1697</v>
      </c>
      <c r="I1060" s="4653"/>
      <c r="J1060" s="4223"/>
      <c r="K1060" s="159"/>
      <c r="L1060" s="52"/>
      <c r="M1060" s="52"/>
      <c r="N1060" s="52"/>
      <c r="V1060" s="4144" t="s">
        <v>1695</v>
      </c>
      <c r="W1060" s="2643"/>
      <c r="X1060" s="2643"/>
      <c r="Y1060" s="2643"/>
      <c r="Z1060" s="2643"/>
      <c r="AA1060" s="2643"/>
      <c r="AB1060" s="2645">
        <v>1</v>
      </c>
      <c r="AC1060" s="2646">
        <v>1</v>
      </c>
      <c r="AD1060" s="2646">
        <v>1</v>
      </c>
      <c r="AE1060" s="2646">
        <v>1</v>
      </c>
      <c r="AF1060" s="2236">
        <f t="shared" si="176"/>
        <v>1</v>
      </c>
      <c r="AG1060" s="2600"/>
      <c r="AK1060" s="358"/>
    </row>
    <row r="1061" spans="2:37" hidden="1" outlineLevel="1">
      <c r="B1061" s="52"/>
      <c r="C1061" s="51"/>
      <c r="D1061" s="4152"/>
      <c r="E1061" s="4152"/>
      <c r="F1061" s="1444" t="s">
        <v>1688</v>
      </c>
      <c r="G1061" s="2320">
        <v>0</v>
      </c>
      <c r="H1061" s="4654"/>
      <c r="I1061" s="4655"/>
      <c r="J1061" s="4656"/>
      <c r="K1061" s="159"/>
      <c r="L1061" s="52"/>
      <c r="M1061" s="52"/>
      <c r="N1061" s="52"/>
      <c r="V1061" s="4152"/>
      <c r="W1061" s="2643"/>
      <c r="X1061" s="2643"/>
      <c r="Y1061" s="2643"/>
      <c r="Z1061" s="2643"/>
      <c r="AA1061" s="2643"/>
      <c r="AB1061" s="2645">
        <v>0</v>
      </c>
      <c r="AC1061" s="2646">
        <v>0</v>
      </c>
      <c r="AD1061" s="2646">
        <v>0</v>
      </c>
      <c r="AE1061" s="2646">
        <v>0</v>
      </c>
      <c r="AF1061" s="2236">
        <f t="shared" si="176"/>
        <v>0</v>
      </c>
      <c r="AG1061" s="2600"/>
      <c r="AK1061" s="358"/>
    </row>
    <row r="1062" spans="2:37" ht="57.6" hidden="1" customHeight="1" outlineLevel="1">
      <c r="B1062" s="52"/>
      <c r="C1062" s="51"/>
      <c r="D1062" s="4152"/>
      <c r="E1062" s="4152"/>
      <c r="F1062" s="1444" t="s">
        <v>1692</v>
      </c>
      <c r="G1062" s="2320">
        <v>0.36</v>
      </c>
      <c r="H1062" s="4654"/>
      <c r="I1062" s="4655"/>
      <c r="J1062" s="4656"/>
      <c r="K1062" s="159"/>
      <c r="L1062" s="52"/>
      <c r="M1062" s="52"/>
      <c r="N1062" s="52"/>
      <c r="V1062" s="4152"/>
      <c r="W1062" s="2646">
        <v>0.36</v>
      </c>
      <c r="X1062" s="2646">
        <v>0.36</v>
      </c>
      <c r="Y1062" s="2646">
        <v>0.36</v>
      </c>
      <c r="Z1062" s="2646">
        <v>0.36</v>
      </c>
      <c r="AA1062" s="2646">
        <v>0.36</v>
      </c>
      <c r="AB1062" s="2646">
        <v>0.36</v>
      </c>
      <c r="AC1062" s="2646">
        <v>0.36</v>
      </c>
      <c r="AD1062" s="2646">
        <v>0.36</v>
      </c>
      <c r="AE1062" s="2646">
        <v>0.36</v>
      </c>
      <c r="AF1062" s="2236">
        <f t="shared" si="176"/>
        <v>0.36</v>
      </c>
      <c r="AG1062" s="2600"/>
      <c r="AK1062" s="358"/>
    </row>
    <row r="1063" spans="2:37" ht="57.6" hidden="1" customHeight="1" outlineLevel="1">
      <c r="B1063" s="52"/>
      <c r="C1063" s="51"/>
      <c r="D1063" s="4145"/>
      <c r="E1063" s="4145"/>
      <c r="F1063" s="1444" t="s">
        <v>1694</v>
      </c>
      <c r="G1063" s="2320">
        <v>0.48</v>
      </c>
      <c r="H1063" s="4224"/>
      <c r="I1063" s="4657"/>
      <c r="J1063" s="4225"/>
      <c r="K1063" s="159"/>
      <c r="L1063" s="52"/>
      <c r="M1063" s="52"/>
      <c r="N1063" s="52"/>
      <c r="V1063" s="4145"/>
      <c r="W1063" s="2643"/>
      <c r="X1063" s="2643"/>
      <c r="Y1063" s="2643"/>
      <c r="Z1063" s="2643"/>
      <c r="AA1063" s="2643"/>
      <c r="AB1063" s="2645">
        <v>0.48</v>
      </c>
      <c r="AC1063" s="2646">
        <v>0.48</v>
      </c>
      <c r="AD1063" s="2646">
        <v>0.48</v>
      </c>
      <c r="AE1063" s="2646">
        <v>0.48</v>
      </c>
      <c r="AF1063" s="2236">
        <f t="shared" si="176"/>
        <v>0.48</v>
      </c>
      <c r="AG1063" s="2600"/>
      <c r="AK1063" s="358"/>
    </row>
    <row r="1064" spans="2:37" ht="27" hidden="1" customHeight="1" outlineLevel="1">
      <c r="B1064" s="52"/>
      <c r="C1064" s="51"/>
      <c r="D1064" s="4144" t="s">
        <v>128</v>
      </c>
      <c r="E1064" s="4144" t="s">
        <v>3322</v>
      </c>
      <c r="F1064" s="1444" t="s">
        <v>1698</v>
      </c>
      <c r="G1064" s="2607">
        <v>0.95</v>
      </c>
      <c r="H1064" s="4158" t="s">
        <v>3323</v>
      </c>
      <c r="I1064" s="4213"/>
      <c r="J1064" s="4130"/>
      <c r="K1064" s="159"/>
      <c r="L1064" s="52"/>
      <c r="M1064" s="52"/>
      <c r="N1064" s="52"/>
      <c r="V1064" s="4144" t="s">
        <v>128</v>
      </c>
      <c r="W1064" s="2643"/>
      <c r="X1064" s="2643"/>
      <c r="Y1064" s="2643"/>
      <c r="Z1064" s="2643"/>
      <c r="AA1064" s="2643"/>
      <c r="AB1064" s="2382">
        <v>1</v>
      </c>
      <c r="AC1064" s="2382">
        <v>0.95</v>
      </c>
      <c r="AD1064" s="2469">
        <v>0.95</v>
      </c>
      <c r="AE1064" s="2469">
        <v>0.95</v>
      </c>
      <c r="AF1064" s="2236">
        <f t="shared" si="176"/>
        <v>0.95</v>
      </c>
      <c r="AG1064" s="2600"/>
      <c r="AK1064" s="358"/>
    </row>
    <row r="1065" spans="2:37" ht="45" hidden="1" customHeight="1" outlineLevel="1">
      <c r="B1065" s="52"/>
      <c r="C1065" s="51"/>
      <c r="D1065" s="4152"/>
      <c r="E1065" s="4152"/>
      <c r="F1065" s="1444" t="s">
        <v>1700</v>
      </c>
      <c r="G1065" s="2608">
        <v>0.93799999999999994</v>
      </c>
      <c r="H1065" s="4158" t="s">
        <v>1701</v>
      </c>
      <c r="I1065" s="4213"/>
      <c r="J1065" s="4130"/>
      <c r="K1065" s="159"/>
      <c r="L1065" s="52"/>
      <c r="M1065" s="52"/>
      <c r="N1065" s="52"/>
      <c r="V1065" s="4152"/>
      <c r="W1065" s="2643"/>
      <c r="X1065" s="2643"/>
      <c r="Y1065" s="2643"/>
      <c r="Z1065" s="2643"/>
      <c r="AA1065" s="2643"/>
      <c r="AB1065" s="2647">
        <v>0.78</v>
      </c>
      <c r="AC1065" s="2648">
        <v>0.78</v>
      </c>
      <c r="AD1065" s="2648">
        <v>0.78</v>
      </c>
      <c r="AE1065" s="2648">
        <v>0.78</v>
      </c>
      <c r="AF1065" s="2236">
        <f t="shared" si="176"/>
        <v>0.93799999999999994</v>
      </c>
      <c r="AG1065" s="2600"/>
      <c r="AK1065" s="358"/>
    </row>
    <row r="1066" spans="2:37" ht="33" hidden="1" customHeight="1" outlineLevel="1">
      <c r="B1066" s="579"/>
      <c r="C1066" s="1404"/>
      <c r="D1066" s="2323" t="s">
        <v>49</v>
      </c>
      <c r="E1066" s="2323" t="s">
        <v>1198</v>
      </c>
      <c r="F1066" s="2614" t="s">
        <v>1102</v>
      </c>
      <c r="G1066" s="2315">
        <v>10</v>
      </c>
      <c r="H1066" s="4158" t="s">
        <v>3324</v>
      </c>
      <c r="I1066" s="4213"/>
      <c r="J1066" s="4130"/>
      <c r="K1066" s="159"/>
      <c r="L1066" s="52"/>
      <c r="V1066" s="2323" t="e">
        <f>#REF!</f>
        <v>#REF!</v>
      </c>
      <c r="W1066" s="2649">
        <v>10</v>
      </c>
      <c r="X1066" s="2649">
        <v>10</v>
      </c>
      <c r="Y1066" s="2649">
        <v>10</v>
      </c>
      <c r="Z1066" s="2649">
        <v>10</v>
      </c>
      <c r="AA1066" s="2649">
        <v>10</v>
      </c>
      <c r="AB1066" s="2650">
        <v>10</v>
      </c>
      <c r="AC1066" s="2650">
        <v>10</v>
      </c>
      <c r="AD1066" s="2650">
        <v>10</v>
      </c>
      <c r="AE1066" s="2650">
        <v>10</v>
      </c>
      <c r="AF1066" s="2236">
        <f t="shared" si="176"/>
        <v>10</v>
      </c>
      <c r="AG1066" s="2466"/>
      <c r="AK1066" s="358"/>
    </row>
    <row r="1067" spans="2:37" ht="31.15" hidden="1" customHeight="1" outlineLevel="1">
      <c r="B1067" s="579"/>
      <c r="C1067" s="1404"/>
      <c r="D1067" s="4618" t="s">
        <v>50</v>
      </c>
      <c r="E1067" s="4618" t="s">
        <v>1135</v>
      </c>
      <c r="F1067" s="2610" t="s">
        <v>3325</v>
      </c>
      <c r="G1067" s="2324">
        <v>20</v>
      </c>
      <c r="H1067" s="4156" t="s">
        <v>1702</v>
      </c>
      <c r="I1067" s="4169"/>
      <c r="J1067" s="4157"/>
      <c r="K1067" s="159"/>
      <c r="L1067" s="52"/>
      <c r="V1067" s="4618" t="s">
        <v>50</v>
      </c>
      <c r="W1067" s="2577">
        <v>7</v>
      </c>
      <c r="X1067" s="2577">
        <v>7</v>
      </c>
      <c r="Y1067" s="2577">
        <v>7</v>
      </c>
      <c r="Z1067" s="2577">
        <v>7</v>
      </c>
      <c r="AA1067" s="2577">
        <v>7</v>
      </c>
      <c r="AB1067" s="2651">
        <v>20</v>
      </c>
      <c r="AC1067" s="2651">
        <v>20</v>
      </c>
      <c r="AD1067" s="2651">
        <v>20</v>
      </c>
      <c r="AE1067" s="2651">
        <v>20</v>
      </c>
      <c r="AF1067" s="2236">
        <f t="shared" si="176"/>
        <v>20</v>
      </c>
      <c r="AG1067" s="2577"/>
      <c r="AK1067" s="358"/>
    </row>
    <row r="1068" spans="2:37" ht="27" hidden="1" customHeight="1" outlineLevel="1">
      <c r="B1068" s="579"/>
      <c r="C1068" s="1404"/>
      <c r="D1068" s="4619"/>
      <c r="E1068" s="4619"/>
      <c r="F1068" s="2610" t="s">
        <v>3326</v>
      </c>
      <c r="G1068" s="2611">
        <v>30</v>
      </c>
      <c r="H1068" s="4156" t="s">
        <v>1702</v>
      </c>
      <c r="I1068" s="4169"/>
      <c r="J1068" s="4157"/>
      <c r="K1068" s="159"/>
      <c r="L1068" s="52"/>
      <c r="V1068" s="4619"/>
      <c r="W1068" s="2577">
        <v>7</v>
      </c>
      <c r="X1068" s="2577">
        <v>7</v>
      </c>
      <c r="Y1068" s="2577">
        <v>7</v>
      </c>
      <c r="Z1068" s="2577">
        <v>7</v>
      </c>
      <c r="AA1068" s="2577">
        <v>7</v>
      </c>
      <c r="AB1068" s="2651">
        <v>30</v>
      </c>
      <c r="AC1068" s="2651">
        <v>30</v>
      </c>
      <c r="AD1068" s="2651">
        <v>30</v>
      </c>
      <c r="AE1068" s="2651">
        <v>30</v>
      </c>
      <c r="AF1068" s="2236">
        <f t="shared" si="176"/>
        <v>30</v>
      </c>
      <c r="AG1068" s="2577"/>
      <c r="AK1068" s="358"/>
    </row>
    <row r="1069" spans="2:37" hidden="1" outlineLevel="1">
      <c r="B1069" s="579"/>
      <c r="C1069" s="1404"/>
      <c r="D1069" s="4619"/>
      <c r="E1069" s="4619"/>
      <c r="F1069" s="2610" t="s">
        <v>3327</v>
      </c>
      <c r="G1069" s="2612">
        <f>'Efficient Products Deemed Table'!G194</f>
        <v>65</v>
      </c>
      <c r="H1069" s="4156" t="str">
        <f>'Efficient Products Deemed Table'!H194</f>
        <v>California Technology Forum, June 2015.</v>
      </c>
      <c r="I1069" s="4169"/>
      <c r="J1069" s="4157"/>
      <c r="K1069" s="159"/>
      <c r="L1069" s="52"/>
      <c r="V1069" s="4619"/>
      <c r="W1069" s="2577">
        <v>7</v>
      </c>
      <c r="X1069" s="2577">
        <v>7</v>
      </c>
      <c r="Y1069" s="2577">
        <v>7</v>
      </c>
      <c r="Z1069" s="2577">
        <v>7</v>
      </c>
      <c r="AA1069" s="2577">
        <v>7</v>
      </c>
      <c r="AB1069" s="2651">
        <v>30</v>
      </c>
      <c r="AC1069" s="2651">
        <v>30</v>
      </c>
      <c r="AD1069" s="2651">
        <v>30</v>
      </c>
      <c r="AE1069" s="2651">
        <v>30</v>
      </c>
      <c r="AF1069" s="2236">
        <f t="shared" si="176"/>
        <v>65</v>
      </c>
      <c r="AG1069" s="2577"/>
      <c r="AK1069" s="358"/>
    </row>
    <row r="1070" spans="2:37" hidden="1" outlineLevel="1">
      <c r="B1070" s="579"/>
      <c r="C1070" s="1404"/>
      <c r="D1070" s="4619"/>
      <c r="E1070" s="4619"/>
      <c r="F1070" s="2613" t="s">
        <v>3328</v>
      </c>
      <c r="G1070" s="2611">
        <v>60</v>
      </c>
      <c r="H1070" s="4156" t="s">
        <v>1201</v>
      </c>
      <c r="I1070" s="4169"/>
      <c r="J1070" s="4157"/>
      <c r="K1070" s="159"/>
      <c r="L1070" s="52"/>
      <c r="V1070" s="4620"/>
      <c r="W1070" s="2577">
        <v>7</v>
      </c>
      <c r="X1070" s="2577">
        <v>7</v>
      </c>
      <c r="Y1070" s="2577">
        <v>7</v>
      </c>
      <c r="Z1070" s="2577">
        <v>7</v>
      </c>
      <c r="AA1070" s="2577">
        <v>7</v>
      </c>
      <c r="AB1070" s="2651">
        <v>60</v>
      </c>
      <c r="AC1070" s="2651">
        <v>60</v>
      </c>
      <c r="AD1070" s="2651">
        <v>60</v>
      </c>
      <c r="AE1070" s="2652">
        <v>60</v>
      </c>
      <c r="AF1070" s="2236">
        <f t="shared" si="176"/>
        <v>60</v>
      </c>
      <c r="AG1070" s="2577"/>
      <c r="AK1070" s="358"/>
    </row>
    <row r="1071" spans="2:37" hidden="1" outlineLevel="1">
      <c r="C1071" s="1404"/>
      <c r="D1071" s="2380"/>
      <c r="E1071" s="2380"/>
      <c r="F1071" s="2627"/>
      <c r="G1071" s="2628"/>
      <c r="H1071" s="2606"/>
      <c r="I1071" s="2606"/>
      <c r="J1071" s="2606"/>
      <c r="K1071" s="159"/>
      <c r="L1071" s="52"/>
      <c r="V1071" s="2380"/>
      <c r="W1071" s="2653"/>
      <c r="X1071" s="2653"/>
      <c r="Y1071" s="2653"/>
      <c r="Z1071" s="2653"/>
      <c r="AA1071" s="2653"/>
      <c r="AB1071" s="2654"/>
      <c r="AC1071" s="2654"/>
      <c r="AD1071" s="2654"/>
      <c r="AE1071" s="2654"/>
      <c r="AF1071" s="2655"/>
      <c r="AG1071" s="2653"/>
      <c r="AK1071" s="358"/>
    </row>
    <row r="1072" spans="2:37" hidden="1" outlineLevel="1">
      <c r="C1072" s="1404"/>
      <c r="D1072" s="2380"/>
      <c r="E1072" s="2380"/>
      <c r="F1072" s="159"/>
      <c r="G1072" s="159"/>
      <c r="H1072" s="159"/>
      <c r="I1072" s="159"/>
      <c r="J1072" s="159"/>
      <c r="K1072" s="159"/>
      <c r="L1072" s="52"/>
      <c r="V1072" s="1153"/>
      <c r="W1072" s="764"/>
      <c r="X1072" s="764"/>
      <c r="Y1072" s="764"/>
      <c r="Z1072" s="764"/>
      <c r="AA1072" s="764"/>
      <c r="AB1072" s="2609"/>
      <c r="AC1072" s="2609"/>
      <c r="AD1072" s="2609"/>
      <c r="AE1072" s="2609"/>
      <c r="AF1072" s="2197"/>
      <c r="AG1072" s="764"/>
      <c r="AK1072" s="358"/>
    </row>
    <row r="1073" spans="2:37" hidden="1" outlineLevel="1">
      <c r="C1073" s="1404"/>
      <c r="D1073" s="1590" t="s">
        <v>118</v>
      </c>
      <c r="E1073" s="1590" t="s">
        <v>1179</v>
      </c>
      <c r="F1073" s="159"/>
      <c r="G1073" s="159"/>
      <c r="H1073" s="159"/>
      <c r="I1073" s="159"/>
      <c r="J1073" s="159"/>
      <c r="K1073" s="159"/>
      <c r="L1073" s="52"/>
      <c r="V1073" s="1153"/>
      <c r="W1073" s="764"/>
      <c r="X1073" s="764"/>
      <c r="Y1073" s="764"/>
      <c r="Z1073" s="764"/>
      <c r="AA1073" s="764"/>
      <c r="AB1073" s="2609"/>
      <c r="AC1073" s="2609"/>
      <c r="AD1073" s="2609"/>
      <c r="AE1073" s="2609"/>
      <c r="AF1073" s="2197"/>
      <c r="AG1073" s="764"/>
      <c r="AK1073" s="358"/>
    </row>
    <row r="1074" spans="2:37" hidden="1" outlineLevel="1">
      <c r="C1074" s="1404"/>
      <c r="D1074" s="1590" t="s">
        <v>963</v>
      </c>
      <c r="E1074" s="1590" t="s">
        <v>1183</v>
      </c>
      <c r="F1074" s="159"/>
      <c r="G1074" s="159"/>
      <c r="H1074" s="159"/>
      <c r="I1074" s="159"/>
      <c r="J1074" s="159"/>
      <c r="K1074" s="159"/>
      <c r="L1074" s="52"/>
      <c r="V1074" s="1153"/>
      <c r="W1074" s="764"/>
      <c r="X1074" s="764"/>
      <c r="Y1074" s="764"/>
      <c r="Z1074" s="764"/>
      <c r="AA1074" s="764"/>
      <c r="AB1074" s="2609"/>
      <c r="AC1074" s="2609"/>
      <c r="AD1074" s="2609"/>
      <c r="AE1074" s="2609"/>
      <c r="AF1074" s="2197"/>
      <c r="AG1074" s="764"/>
      <c r="AK1074" s="358"/>
    </row>
    <row r="1075" spans="2:37" hidden="1" outlineLevel="1">
      <c r="C1075" s="1404"/>
      <c r="D1075" s="828"/>
      <c r="E1075" s="1593" t="s">
        <v>966</v>
      </c>
      <c r="F1075" s="159"/>
      <c r="G1075" s="159"/>
      <c r="H1075" s="159"/>
      <c r="I1075" s="159"/>
      <c r="J1075" s="159"/>
      <c r="K1075" s="159"/>
      <c r="L1075" s="52"/>
      <c r="V1075" s="1153"/>
      <c r="W1075" s="764"/>
      <c r="X1075" s="764"/>
      <c r="Y1075" s="764"/>
      <c r="Z1075" s="764"/>
      <c r="AA1075" s="764"/>
      <c r="AB1075" s="2609"/>
      <c r="AC1075" s="2609"/>
      <c r="AD1075" s="2609"/>
      <c r="AE1075" s="2609"/>
      <c r="AF1075" s="2197"/>
      <c r="AG1075" s="764"/>
      <c r="AK1075" s="358"/>
    </row>
    <row r="1076" spans="2:37" hidden="1" outlineLevel="1">
      <c r="C1076" s="1404"/>
      <c r="D1076" s="2380"/>
      <c r="E1076" s="2380"/>
      <c r="F1076" s="159"/>
      <c r="G1076" s="159"/>
      <c r="H1076" s="159"/>
      <c r="I1076" s="159"/>
      <c r="J1076" s="159"/>
      <c r="K1076" s="159"/>
      <c r="L1076" s="52"/>
      <c r="V1076" s="1153"/>
      <c r="W1076" s="764"/>
      <c r="X1076" s="764"/>
      <c r="Y1076" s="764"/>
      <c r="Z1076" s="764"/>
      <c r="AA1076" s="764"/>
      <c r="AB1076" s="2609"/>
      <c r="AC1076" s="2609"/>
      <c r="AD1076" s="2609"/>
      <c r="AE1076" s="2609"/>
      <c r="AF1076" s="2197"/>
      <c r="AG1076" s="764"/>
      <c r="AK1076" s="358"/>
    </row>
    <row r="1077" spans="2:37" hidden="1" outlineLevel="1">
      <c r="C1077" s="1404"/>
      <c r="D1077" s="1153"/>
      <c r="E1077" s="1153"/>
      <c r="F1077" s="159"/>
      <c r="G1077" s="159"/>
      <c r="H1077" s="159"/>
      <c r="I1077" s="159"/>
      <c r="J1077" s="159"/>
      <c r="K1077" s="159"/>
      <c r="L1077" s="52"/>
      <c r="V1077" s="1153"/>
      <c r="W1077" s="764"/>
      <c r="X1077" s="764"/>
      <c r="Y1077" s="764"/>
      <c r="Z1077" s="764"/>
      <c r="AA1077" s="764"/>
      <c r="AB1077" s="2609"/>
      <c r="AC1077" s="2609"/>
      <c r="AD1077" s="2609"/>
      <c r="AE1077" s="2609"/>
      <c r="AF1077" s="2197"/>
      <c r="AG1077" s="764"/>
      <c r="AK1077" s="358"/>
    </row>
    <row r="1078" spans="2:37" hidden="1" outlineLevel="1">
      <c r="C1078" s="1404"/>
      <c r="D1078" s="1587" t="s">
        <v>1078</v>
      </c>
      <c r="E1078" s="1587" t="s">
        <v>967</v>
      </c>
      <c r="F1078" s="1587" t="s">
        <v>968</v>
      </c>
      <c r="G1078" s="1587" t="s">
        <v>969</v>
      </c>
      <c r="H1078" s="1587" t="s">
        <v>970</v>
      </c>
      <c r="I1078" s="1587" t="s">
        <v>1184</v>
      </c>
      <c r="J1078" s="2200"/>
      <c r="K1078" s="159"/>
      <c r="L1078" s="52"/>
      <c r="V1078" s="1008" t="s">
        <v>52</v>
      </c>
      <c r="W1078" s="1002">
        <v>43252</v>
      </c>
      <c r="X1078" s="1002">
        <f>$X$6</f>
        <v>43465</v>
      </c>
      <c r="Y1078" s="1002">
        <f>$Y$6</f>
        <v>43800</v>
      </c>
      <c r="Z1078" s="1002">
        <f>$Z$6</f>
        <v>43862</v>
      </c>
      <c r="AA1078" s="1002">
        <f>$AA$6</f>
        <v>44013</v>
      </c>
      <c r="AB1078" s="1002">
        <f>$AB$6</f>
        <v>44166</v>
      </c>
      <c r="AC1078" s="1002">
        <f>$AC$6</f>
        <v>44531</v>
      </c>
      <c r="AD1078" s="1002">
        <f>$AD$6</f>
        <v>44774</v>
      </c>
      <c r="AE1078" s="1002">
        <f>$AE$6</f>
        <v>45139</v>
      </c>
      <c r="AF1078" s="1002">
        <f>$AF$6</f>
        <v>45672</v>
      </c>
      <c r="AG1078" s="1002" t="str">
        <f>$AG$6</f>
        <v>-</v>
      </c>
      <c r="AK1078" s="358"/>
    </row>
    <row r="1079" spans="2:37" ht="150" hidden="1" outlineLevel="1">
      <c r="C1079" s="1404"/>
      <c r="D1079" s="1470" t="s">
        <v>1185</v>
      </c>
      <c r="E1079" s="2629" t="s">
        <v>1186</v>
      </c>
      <c r="F1079" s="105" t="s">
        <v>1102</v>
      </c>
      <c r="G1079" s="1673">
        <v>466</v>
      </c>
      <c r="H1079" s="2199" t="s">
        <v>1187</v>
      </c>
      <c r="I1079" s="105"/>
      <c r="J1079" s="159"/>
      <c r="K1079" s="159"/>
      <c r="L1079" s="52"/>
      <c r="V1079" s="1470" t="s">
        <v>1185</v>
      </c>
      <c r="W1079" s="719"/>
      <c r="X1079" s="719"/>
      <c r="Y1079" s="719"/>
      <c r="Z1079" s="719"/>
      <c r="AA1079" s="719"/>
      <c r="AB1079" s="719"/>
      <c r="AC1079" s="2656"/>
      <c r="AD1079" s="2656"/>
      <c r="AE1079" s="2656"/>
      <c r="AF1079" s="271">
        <f t="shared" ref="AF1079:AF1083" si="177">IF(G1079&lt;&gt;"",G1079,"")</f>
        <v>466</v>
      </c>
      <c r="AG1079" s="105"/>
      <c r="AK1079" s="358"/>
    </row>
    <row r="1080" spans="2:37" ht="75" hidden="1" outlineLevel="1">
      <c r="C1080" s="1404"/>
      <c r="D1080" s="2630" t="s">
        <v>1188</v>
      </c>
      <c r="E1080" s="2631" t="s">
        <v>1189</v>
      </c>
      <c r="F1080" s="719" t="s">
        <v>1190</v>
      </c>
      <c r="G1080" s="1675">
        <v>0.4</v>
      </c>
      <c r="H1080" s="1648" t="s">
        <v>1191</v>
      </c>
      <c r="I1080" s="2632"/>
      <c r="J1080" s="159"/>
      <c r="K1080" s="159"/>
      <c r="L1080" s="52"/>
      <c r="V1080" s="2633" t="str">
        <f>D1080</f>
        <v>ERP</v>
      </c>
      <c r="W1080" s="829"/>
      <c r="X1080" s="720"/>
      <c r="Y1080" s="720"/>
      <c r="Z1080" s="720"/>
      <c r="AA1080" s="720"/>
      <c r="AB1080" s="829"/>
      <c r="AC1080" s="720"/>
      <c r="AD1080" s="720"/>
      <c r="AE1080" s="720"/>
      <c r="AF1080" s="271">
        <f t="shared" si="177"/>
        <v>0.4</v>
      </c>
      <c r="AG1080" s="703"/>
      <c r="AK1080" s="358"/>
    </row>
    <row r="1081" spans="2:37" ht="60" hidden="1" outlineLevel="1">
      <c r="C1081" s="1404"/>
      <c r="D1081" s="2633" t="s">
        <v>128</v>
      </c>
      <c r="E1081" s="2631" t="s">
        <v>1194</v>
      </c>
      <c r="F1081" s="2634" t="s">
        <v>1196</v>
      </c>
      <c r="G1081" s="1678">
        <v>0.95</v>
      </c>
      <c r="H1081" s="1648" t="s">
        <v>1197</v>
      </c>
      <c r="I1081" s="2632"/>
      <c r="J1081" s="159"/>
      <c r="K1081" s="159"/>
      <c r="L1081" s="52"/>
      <c r="V1081" s="2658" t="s">
        <v>128</v>
      </c>
      <c r="W1081" s="95"/>
      <c r="X1081" s="720"/>
      <c r="Y1081" s="720"/>
      <c r="Z1081" s="720"/>
      <c r="AA1081" s="720"/>
      <c r="AB1081" s="829"/>
      <c r="AC1081" s="720"/>
      <c r="AD1081" s="720"/>
      <c r="AE1081" s="720"/>
      <c r="AF1081" s="271">
        <f t="shared" si="177"/>
        <v>0.95</v>
      </c>
      <c r="AG1081" s="703"/>
      <c r="AK1081" s="358"/>
    </row>
    <row r="1082" spans="2:37" ht="45" hidden="1" outlineLevel="1">
      <c r="C1082" s="1404"/>
      <c r="D1082" s="2635" t="s">
        <v>49</v>
      </c>
      <c r="E1082" s="2635" t="s">
        <v>1198</v>
      </c>
      <c r="F1082" s="2636" t="s">
        <v>1102</v>
      </c>
      <c r="G1082" s="2637">
        <v>10</v>
      </c>
      <c r="H1082" s="1648" t="s">
        <v>1199</v>
      </c>
      <c r="I1082" s="1602"/>
      <c r="J1082" s="159"/>
      <c r="K1082" s="159"/>
      <c r="L1082" s="52"/>
      <c r="V1082" s="2635" t="s">
        <v>49</v>
      </c>
      <c r="W1082" s="721"/>
      <c r="X1082" s="721"/>
      <c r="Y1082" s="721"/>
      <c r="Z1082" s="721"/>
      <c r="AA1082" s="721"/>
      <c r="AB1082" s="830"/>
      <c r="AC1082" s="2657"/>
      <c r="AD1082" s="2657"/>
      <c r="AE1082" s="2657"/>
      <c r="AF1082" s="271">
        <f t="shared" si="177"/>
        <v>10</v>
      </c>
      <c r="AG1082" s="703"/>
      <c r="AK1082" s="358"/>
    </row>
    <row r="1083" spans="2:37" ht="45" hidden="1" outlineLevel="1">
      <c r="C1083" s="1404"/>
      <c r="D1083" s="2638" t="s">
        <v>50</v>
      </c>
      <c r="E1083" s="2638" t="s">
        <v>1135</v>
      </c>
      <c r="F1083" s="722" t="s">
        <v>1196</v>
      </c>
      <c r="G1083" s="2639">
        <v>60</v>
      </c>
      <c r="H1083" s="1649" t="s">
        <v>1201</v>
      </c>
      <c r="I1083" s="1649" t="s">
        <v>1201</v>
      </c>
      <c r="J1083" s="159"/>
      <c r="K1083" s="159"/>
      <c r="L1083" s="52"/>
      <c r="V1083" s="2638" t="s">
        <v>1135</v>
      </c>
      <c r="W1083" s="2659"/>
      <c r="X1083" s="2660"/>
      <c r="Y1083" s="2660"/>
      <c r="Z1083" s="2660"/>
      <c r="AA1083" s="2660"/>
      <c r="AB1083" s="2661"/>
      <c r="AC1083" s="2660"/>
      <c r="AD1083" s="2660"/>
      <c r="AE1083" s="2660"/>
      <c r="AF1083" s="271">
        <f t="shared" si="177"/>
        <v>60</v>
      </c>
      <c r="AG1083" s="703"/>
      <c r="AK1083" s="358"/>
    </row>
    <row r="1084" spans="2:37" hidden="1" outlineLevel="1">
      <c r="C1084" s="1404"/>
      <c r="D1084" s="628"/>
      <c r="E1084" s="934"/>
      <c r="F1084" s="935"/>
      <c r="G1084" s="935"/>
      <c r="H1084" s="1416"/>
      <c r="I1084" s="1416"/>
      <c r="J1084" s="1416"/>
      <c r="K1084" s="159"/>
      <c r="L1084" s="52"/>
      <c r="V1084" s="761"/>
      <c r="W1084" s="763"/>
      <c r="X1084" s="763"/>
      <c r="Y1084" s="763"/>
      <c r="Z1084" s="763"/>
      <c r="AA1084" s="763"/>
      <c r="AB1084" s="762"/>
      <c r="AC1084" s="764"/>
      <c r="AD1084" s="764"/>
      <c r="AE1084" s="764"/>
      <c r="AF1084" s="764"/>
      <c r="AG1084" s="764"/>
      <c r="AK1084" s="358"/>
    </row>
    <row r="1085" spans="2:37" ht="15" hidden="1" customHeight="1" outlineLevel="1">
      <c r="B1085" s="52"/>
      <c r="C1085" s="51"/>
      <c r="D1085" s="148"/>
      <c r="E1085" s="1362"/>
      <c r="F1085" s="1362"/>
      <c r="G1085" s="1362"/>
      <c r="H1085" s="1362"/>
      <c r="I1085" s="1362"/>
      <c r="M1085" s="52"/>
      <c r="N1085" s="52"/>
      <c r="V1085" s="283"/>
      <c r="W1085" s="283"/>
      <c r="X1085" s="283"/>
      <c r="Y1085" s="539" t="s">
        <v>2759</v>
      </c>
      <c r="AK1085" s="358"/>
    </row>
    <row r="1086" spans="2:37" collapsed="1">
      <c r="B1086" s="52"/>
      <c r="C1086" s="51"/>
      <c r="D1086" s="104"/>
      <c r="E1086" s="104"/>
      <c r="F1086" s="52"/>
      <c r="G1086" s="52"/>
      <c r="H1086" s="52"/>
      <c r="I1086" s="52"/>
      <c r="J1086" s="52"/>
      <c r="K1086" s="52"/>
      <c r="L1086" s="52"/>
      <c r="M1086" s="52"/>
      <c r="N1086" s="52"/>
      <c r="AK1086" s="358"/>
    </row>
    <row r="1087" spans="2:37">
      <c r="B1087" s="4183" t="s">
        <v>3329</v>
      </c>
      <c r="C1087" s="4184"/>
      <c r="D1087" s="4184"/>
      <c r="E1087" s="4184"/>
      <c r="F1087" s="4184"/>
      <c r="G1087" s="4184"/>
      <c r="H1087" s="4184"/>
      <c r="I1087" s="4840"/>
      <c r="J1087" s="4840"/>
      <c r="K1087" s="4840"/>
      <c r="L1087" s="4840"/>
      <c r="M1087" s="4840"/>
      <c r="N1087" s="4840"/>
      <c r="O1087" s="4840"/>
      <c r="P1087" s="4840"/>
      <c r="Q1087" s="4840"/>
      <c r="R1087" s="4841"/>
      <c r="V1087" s="1363" t="str">
        <f>B1087</f>
        <v>Refrigerator</v>
      </c>
      <c r="W1087" s="1364"/>
      <c r="X1087" s="1364"/>
      <c r="Y1087" s="1364"/>
      <c r="Z1087" s="1364"/>
      <c r="AA1087" s="1364"/>
      <c r="AB1087" s="1364"/>
      <c r="AC1087" s="1364"/>
      <c r="AD1087" s="1364"/>
      <c r="AE1087" s="1364"/>
      <c r="AF1087" s="1364"/>
      <c r="AG1087" s="1364"/>
      <c r="AH1087" s="1364"/>
      <c r="AI1087" s="1397"/>
      <c r="AK1087" s="358"/>
    </row>
    <row r="1088" spans="2:37">
      <c r="B1088" s="52"/>
      <c r="C1088" s="51"/>
      <c r="D1088" s="104"/>
      <c r="E1088" s="104"/>
      <c r="F1088" s="52"/>
      <c r="G1088" s="52"/>
      <c r="H1088" s="52"/>
      <c r="I1088" s="52"/>
      <c r="J1088" s="52"/>
      <c r="K1088" s="52"/>
      <c r="L1088" s="52"/>
      <c r="M1088" s="52"/>
      <c r="N1088" s="52"/>
      <c r="AK1088" s="358"/>
    </row>
    <row r="1089" spans="2:114" ht="30">
      <c r="C1089" s="1371" t="s">
        <v>42</v>
      </c>
      <c r="D1089" s="1371" t="s">
        <v>953</v>
      </c>
      <c r="E1089" s="1371" t="s">
        <v>44</v>
      </c>
      <c r="F1089" s="1371" t="s">
        <v>45</v>
      </c>
      <c r="G1089" s="1371" t="s">
        <v>46</v>
      </c>
      <c r="H1089" s="1371" t="s">
        <v>47</v>
      </c>
      <c r="I1089" s="1371" t="s">
        <v>48</v>
      </c>
      <c r="J1089" s="1371" t="s">
        <v>49</v>
      </c>
      <c r="K1089" s="1371" t="s">
        <v>50</v>
      </c>
      <c r="L1089" s="1371" t="s">
        <v>51</v>
      </c>
      <c r="V1089" s="668" t="s">
        <v>52</v>
      </c>
      <c r="W1089" s="669">
        <v>43252</v>
      </c>
      <c r="X1089" s="669">
        <f>$X$6</f>
        <v>43465</v>
      </c>
      <c r="Y1089" s="115">
        <f>$Y$6</f>
        <v>43800</v>
      </c>
      <c r="Z1089" s="669">
        <f>$Z$6</f>
        <v>43862</v>
      </c>
      <c r="AA1089" s="669">
        <f>$AA$6</f>
        <v>44013</v>
      </c>
      <c r="AB1089" s="669">
        <f>$AB$6</f>
        <v>44166</v>
      </c>
      <c r="AC1089" s="669">
        <f>$AC$6</f>
        <v>44531</v>
      </c>
      <c r="AD1089" s="669">
        <f>$AD$6</f>
        <v>44774</v>
      </c>
      <c r="AE1089" s="669">
        <f>$AE$6</f>
        <v>45139</v>
      </c>
      <c r="AF1089" s="669">
        <f>$AF$6</f>
        <v>45672</v>
      </c>
      <c r="AG1089" s="669" t="str">
        <f>$AG$6</f>
        <v>-</v>
      </c>
      <c r="AK1089" s="358"/>
      <c r="DG1089" s="1060" t="str">
        <f>$DG$6</f>
        <v>TRC (2025)</v>
      </c>
      <c r="DH1089" s="811" t="str">
        <f>$DH$6</f>
        <v>Benefit Lookup</v>
      </c>
      <c r="DI1089" s="1076" t="str">
        <f>$DI$6</f>
        <v>Benefits (2025 $)</v>
      </c>
      <c r="DJ1089" s="1103" t="str">
        <f>$DJ$6</f>
        <v>Incremental Cost (2025 $)</v>
      </c>
    </row>
    <row r="1090" spans="2:114">
      <c r="B1090" s="1454">
        <f t="shared" ref="B1090:B1093" si="178">VALUE(LEFT(C1090,6))</f>
        <v>405800</v>
      </c>
      <c r="C1090" s="682" t="s">
        <v>3330</v>
      </c>
      <c r="D1090" s="108" t="s">
        <v>3293</v>
      </c>
      <c r="E1090" s="1369" t="s">
        <v>3331</v>
      </c>
      <c r="F1090" s="1523">
        <f>ROUND(F1101-F1104,2)</f>
        <v>643.5</v>
      </c>
      <c r="G1090" s="59" t="s">
        <v>3332</v>
      </c>
      <c r="H1090" s="69">
        <f>VLOOKUP(G1090,'CP FACTORS'!$A$3:$B$38, 2, FALSE)</f>
        <v>1.2852529999999999E-4</v>
      </c>
      <c r="I1090" s="1473">
        <f>ROUND(F1090*H1090,6)</f>
        <v>8.2706000000000002E-2</v>
      </c>
      <c r="J1090" s="50">
        <f>$F$1118</f>
        <v>5</v>
      </c>
      <c r="K1090" s="2073">
        <f>$F$1120</f>
        <v>28</v>
      </c>
      <c r="L1090" s="19" t="s">
        <v>62</v>
      </c>
      <c r="M1090" s="322"/>
      <c r="V1090" s="356" t="str">
        <f>F1089</f>
        <v>kWh Annual Savings</v>
      </c>
      <c r="W1090" s="383">
        <v>564.66038920276219</v>
      </c>
      <c r="X1090" s="269">
        <v>564.66038920276219</v>
      </c>
      <c r="Y1090" s="270">
        <v>564.66</v>
      </c>
      <c r="Z1090" s="270">
        <v>564.66</v>
      </c>
      <c r="AA1090" s="270">
        <v>564.66</v>
      </c>
      <c r="AB1090" s="270">
        <v>564.66</v>
      </c>
      <c r="AC1090" s="318">
        <v>564.66</v>
      </c>
      <c r="AD1090" s="318">
        <v>564.66</v>
      </c>
      <c r="AE1090" s="318">
        <v>564.66</v>
      </c>
      <c r="AF1090" s="271">
        <f>IF(F1090&lt;&gt;"",F1090,"")</f>
        <v>643.5</v>
      </c>
      <c r="AG1090" s="356"/>
      <c r="AK1090" s="358"/>
      <c r="DG1090" s="1062">
        <f>(DI1090+DI1091)/(DJ1090+DJ1091)</f>
        <v>7.0802679163207047</v>
      </c>
      <c r="DH1090" s="1400" t="str">
        <f>CONCATENATE(G1090," ",J1090," Year EUL")</f>
        <v>Refrigeration RES 5 Year EUL</v>
      </c>
      <c r="DI1090" s="1010">
        <f>(INDEX('Avoided Cost Benefits'!$B$4:$B$865,MATCH(DH1090,'Avoided Cost Benefits'!$A$4:$A$865,0)))*F1090</f>
        <v>182.88494132325033</v>
      </c>
      <c r="DJ1090" s="1169">
        <f>K1090/(1.0686^(2025-2025))</f>
        <v>28</v>
      </c>
    </row>
    <row r="1091" spans="2:114">
      <c r="B1091" s="1454">
        <f t="shared" si="178"/>
        <v>405800</v>
      </c>
      <c r="C1091" s="682" t="s">
        <v>3330</v>
      </c>
      <c r="D1091" s="108" t="s">
        <v>3293</v>
      </c>
      <c r="E1091" s="1370" t="s">
        <v>3333</v>
      </c>
      <c r="F1091" s="827">
        <f>ROUND(F1103-F1104,2)</f>
        <v>41.53</v>
      </c>
      <c r="G1091" s="59" t="s">
        <v>3334</v>
      </c>
      <c r="H1091" s="69">
        <f>VLOOKUP(G1091,'CP FACTORS'!$A$3:$B$38, 2, FALSE)</f>
        <v>1.2852529999999999E-4</v>
      </c>
      <c r="I1091" s="1473">
        <f>ROUND(F1091*H1091,6)</f>
        <v>5.3379999999999999E-3</v>
      </c>
      <c r="J1091" s="50">
        <f>$F$1119</f>
        <v>10</v>
      </c>
      <c r="K1091" s="151">
        <v>0</v>
      </c>
      <c r="L1091" s="19" t="s">
        <v>62</v>
      </c>
      <c r="M1091" s="322"/>
      <c r="V1091" s="356" t="str">
        <f>V1090</f>
        <v>kWh Annual Savings</v>
      </c>
      <c r="W1091" s="383">
        <v>46.722222222222229</v>
      </c>
      <c r="X1091" s="269">
        <v>46.722222222222229</v>
      </c>
      <c r="Y1091" s="270">
        <v>46.72</v>
      </c>
      <c r="Z1091" s="270">
        <v>46.72</v>
      </c>
      <c r="AA1091" s="270">
        <v>46.72</v>
      </c>
      <c r="AB1091" s="270">
        <v>46.72</v>
      </c>
      <c r="AC1091" s="1551">
        <v>46.72</v>
      </c>
      <c r="AD1091" s="1551">
        <v>46.72</v>
      </c>
      <c r="AE1091" s="1551">
        <v>46.72</v>
      </c>
      <c r="AF1091" s="271">
        <f>IF(F1091&lt;&gt;"",F1091,"")</f>
        <v>41.53</v>
      </c>
      <c r="AG1091" s="356"/>
      <c r="AK1091" s="358"/>
      <c r="DG1091" s="1080"/>
      <c r="DH1091" s="673" t="str">
        <f>CONCATENATE(G1091," ",J1091," Year EUL")</f>
        <v>Refrigeration RES ER2 10 Year EUL</v>
      </c>
      <c r="DI1091" s="556">
        <f>(INDEX('Avoided Cost Benefits'!$B$4:$B$865,MATCH(DH1091,'Avoided Cost Benefits'!$A$4:$A$865,0)))*F1091</f>
        <v>15.362560333729393</v>
      </c>
      <c r="DJ1091" s="1170">
        <f>K1091/(1.0686^(2025-2025))</f>
        <v>0</v>
      </c>
    </row>
    <row r="1092" spans="2:114">
      <c r="B1092" s="1454">
        <f t="shared" si="178"/>
        <v>405825</v>
      </c>
      <c r="C1092" s="682" t="s">
        <v>3335</v>
      </c>
      <c r="D1092" s="108" t="s">
        <v>3293</v>
      </c>
      <c r="E1092" s="1369" t="s">
        <v>3336</v>
      </c>
      <c r="F1092" s="1523">
        <f>F1102-F1104</f>
        <v>1298.5452350427352</v>
      </c>
      <c r="G1092" s="59" t="s">
        <v>3332</v>
      </c>
      <c r="H1092" s="69">
        <f>VLOOKUP(G1092,'CP FACTORS'!$A$3:$B$38, 2, FALSE)</f>
        <v>1.2852529999999999E-4</v>
      </c>
      <c r="I1092" s="1473">
        <f>ROUND(F1092*H1092,6)</f>
        <v>0.16689599999999999</v>
      </c>
      <c r="J1092" s="50">
        <f>$F$1118</f>
        <v>5</v>
      </c>
      <c r="K1092" s="2073">
        <f>$F$1120</f>
        <v>28</v>
      </c>
      <c r="L1092" s="19" t="s">
        <v>62</v>
      </c>
      <c r="M1092" s="322"/>
      <c r="V1092" s="356" t="str">
        <f>V1091</f>
        <v>kWh Annual Savings</v>
      </c>
      <c r="W1092" s="383"/>
      <c r="X1092" s="269"/>
      <c r="Y1092" s="272">
        <v>1269.9100000000001</v>
      </c>
      <c r="Z1092" s="270">
        <v>1269.9100000000001</v>
      </c>
      <c r="AA1092" s="270">
        <v>1269.9100000000001</v>
      </c>
      <c r="AB1092" s="270">
        <v>1269.9100000000001</v>
      </c>
      <c r="AC1092" s="318">
        <v>1269.9100000000001</v>
      </c>
      <c r="AD1092" s="318">
        <v>1269.9100000000001</v>
      </c>
      <c r="AE1092" s="318">
        <v>1269.9100000000001</v>
      </c>
      <c r="AF1092" s="271">
        <f>IF(F1092&lt;&gt;"",F1092,"")</f>
        <v>1298.5452350427352</v>
      </c>
      <c r="AG1092" s="356"/>
      <c r="AK1092" s="358"/>
      <c r="DG1092" s="1063">
        <f>(DI1092+DI1093)/(DJ1092+DJ1093)</f>
        <v>13.729058535416348</v>
      </c>
      <c r="DH1092" s="673" t="str">
        <f>CONCATENATE(G1092," ",J1092," Year EUL")</f>
        <v>Refrigeration RES 5 Year EUL</v>
      </c>
      <c r="DI1092" s="556">
        <f>(INDEX('Avoided Cost Benefits'!$B$4:$B$865,MATCH(DH1092,'Avoided Cost Benefits'!$A$4:$A$865,0)))*F1092</f>
        <v>369.05107865792837</v>
      </c>
      <c r="DJ1092" s="1170">
        <f>K1092/(1.0686^(2025-2025))</f>
        <v>28</v>
      </c>
    </row>
    <row r="1093" spans="2:114">
      <c r="B1093" s="1454">
        <f t="shared" si="178"/>
        <v>405825</v>
      </c>
      <c r="C1093" s="682" t="s">
        <v>3335</v>
      </c>
      <c r="D1093" s="108" t="s">
        <v>3293</v>
      </c>
      <c r="E1093" s="1370" t="s">
        <v>3337</v>
      </c>
      <c r="F1093" s="827">
        <f>ROUND(F1103-F1104,2)</f>
        <v>41.53</v>
      </c>
      <c r="G1093" s="59" t="s">
        <v>3334</v>
      </c>
      <c r="H1093" s="69">
        <f>VLOOKUP(G1093,'CP FACTORS'!$A$3:$B$38, 2, FALSE)</f>
        <v>1.2852529999999999E-4</v>
      </c>
      <c r="I1093" s="1473">
        <f>ROUND(F1093*H1093,6)</f>
        <v>5.3379999999999999E-3</v>
      </c>
      <c r="J1093" s="50">
        <f>$F$1119</f>
        <v>10</v>
      </c>
      <c r="K1093" s="151">
        <v>0</v>
      </c>
      <c r="L1093" s="19" t="s">
        <v>62</v>
      </c>
      <c r="M1093" s="322"/>
      <c r="V1093" s="356" t="str">
        <f>V1092</f>
        <v>kWh Annual Savings</v>
      </c>
      <c r="W1093" s="383"/>
      <c r="X1093" s="269"/>
      <c r="Y1093" s="272">
        <v>46.72</v>
      </c>
      <c r="Z1093" s="270">
        <v>46.72</v>
      </c>
      <c r="AA1093" s="270">
        <v>46.72</v>
      </c>
      <c r="AB1093" s="270">
        <v>46.72</v>
      </c>
      <c r="AC1093" s="1551">
        <v>46.72</v>
      </c>
      <c r="AD1093" s="1551">
        <v>46.72</v>
      </c>
      <c r="AE1093" s="1551">
        <v>46.72</v>
      </c>
      <c r="AF1093" s="271">
        <f>IF(F1093&lt;&gt;"",F1093,"")</f>
        <v>41.53</v>
      </c>
      <c r="AG1093" s="356"/>
      <c r="AK1093" s="358"/>
      <c r="DG1093" s="1081"/>
      <c r="DH1093" s="673" t="str">
        <f>CONCATENATE(G1093," ",J1093," Year EUL")</f>
        <v>Refrigeration RES ER2 10 Year EUL</v>
      </c>
      <c r="DI1093" s="1072">
        <f>(INDEX('Avoided Cost Benefits'!$B$4:$B$865,MATCH(DH1093,'Avoided Cost Benefits'!$A$4:$A$865,0)))*F1093</f>
        <v>15.362560333729393</v>
      </c>
      <c r="DJ1093" s="1171">
        <f>K1093/(1.0686^(2025-2025))</f>
        <v>0</v>
      </c>
    </row>
    <row r="1094" spans="2:114" hidden="1" outlineLevel="1">
      <c r="B1094" s="1454"/>
      <c r="C1094" s="51"/>
      <c r="D1094" s="77" t="s">
        <v>118</v>
      </c>
      <c r="E1094" s="1590" t="s">
        <v>1213</v>
      </c>
      <c r="G1094" s="408"/>
      <c r="I1094" s="410"/>
      <c r="J1094" s="627"/>
      <c r="K1094" s="410"/>
      <c r="L1094" s="52"/>
      <c r="AK1094" s="358"/>
    </row>
    <row r="1095" spans="2:114" hidden="1" outlineLevel="1">
      <c r="B1095" s="1454"/>
      <c r="C1095" s="51"/>
      <c r="D1095" s="77" t="s">
        <v>963</v>
      </c>
      <c r="E1095" s="77" t="s">
        <v>3338</v>
      </c>
      <c r="G1095" s="408"/>
      <c r="I1095" s="410"/>
      <c r="J1095" s="627"/>
      <c r="K1095" s="410"/>
      <c r="L1095" s="52"/>
      <c r="AK1095" s="358"/>
    </row>
    <row r="1096" spans="2:114" hidden="1" outlineLevel="1">
      <c r="B1096" s="1454"/>
      <c r="C1096" s="51"/>
      <c r="D1096" s="104"/>
      <c r="E1096" s="1453" t="s">
        <v>966</v>
      </c>
      <c r="G1096" s="408"/>
      <c r="I1096" s="410"/>
      <c r="J1096" s="627"/>
      <c r="K1096" s="410"/>
      <c r="L1096" s="52"/>
      <c r="AK1096" s="358"/>
    </row>
    <row r="1097" spans="2:114" hidden="1" outlineLevel="1">
      <c r="B1097" s="1454"/>
      <c r="C1097" s="51"/>
      <c r="D1097" s="148" t="s">
        <v>3339</v>
      </c>
      <c r="E1097" s="407"/>
      <c r="G1097" s="408"/>
      <c r="I1097" s="410"/>
      <c r="J1097" s="627"/>
      <c r="K1097" s="410"/>
      <c r="L1097" s="52"/>
      <c r="AK1097" s="358"/>
    </row>
    <row r="1098" spans="2:114" hidden="1" outlineLevel="1">
      <c r="B1098" s="1454"/>
      <c r="C1098" s="51"/>
      <c r="D1098" s="407"/>
      <c r="E1098" s="407"/>
      <c r="G1098" s="408"/>
      <c r="I1098" s="410"/>
      <c r="J1098" s="627"/>
      <c r="K1098" s="410"/>
      <c r="L1098" s="52"/>
      <c r="AK1098" s="358"/>
    </row>
    <row r="1099" spans="2:114" hidden="1" outlineLevel="1">
      <c r="B1099" s="1454"/>
      <c r="C1099" s="281"/>
      <c r="AK1099" s="358"/>
    </row>
    <row r="1100" spans="2:114" hidden="1" outlineLevel="1">
      <c r="B1100" s="1454"/>
      <c r="C1100" s="281"/>
      <c r="D1100" s="1371" t="s">
        <v>1078</v>
      </c>
      <c r="E1100" s="1371" t="s">
        <v>967</v>
      </c>
      <c r="F1100" s="1371" t="s">
        <v>969</v>
      </c>
      <c r="G1100" s="1371" t="s">
        <v>970</v>
      </c>
      <c r="H1100" s="606"/>
      <c r="I1100" s="52"/>
      <c r="J1100" s="52"/>
      <c r="K1100" s="606"/>
      <c r="L1100" s="606"/>
      <c r="M1100" s="606"/>
      <c r="N1100" s="606"/>
      <c r="O1100" s="606"/>
      <c r="P1100" s="606"/>
      <c r="Q1100" s="606"/>
      <c r="R1100" s="606"/>
      <c r="V1100" s="668" t="s">
        <v>52</v>
      </c>
      <c r="W1100" s="669">
        <f>W$6</f>
        <v>43252</v>
      </c>
      <c r="X1100" s="669">
        <f t="shared" ref="X1100:AG1100" si="179">X$6</f>
        <v>43465</v>
      </c>
      <c r="Y1100" s="115">
        <f t="shared" si="179"/>
        <v>43800</v>
      </c>
      <c r="Z1100" s="669">
        <f t="shared" si="179"/>
        <v>43862</v>
      </c>
      <c r="AA1100" s="669">
        <f t="shared" si="179"/>
        <v>44013</v>
      </c>
      <c r="AB1100" s="669">
        <f t="shared" si="179"/>
        <v>44166</v>
      </c>
      <c r="AC1100" s="669">
        <f t="shared" si="179"/>
        <v>44531</v>
      </c>
      <c r="AD1100" s="669">
        <f t="shared" si="179"/>
        <v>44774</v>
      </c>
      <c r="AE1100" s="669">
        <f t="shared" si="179"/>
        <v>45139</v>
      </c>
      <c r="AF1100" s="669">
        <f t="shared" si="179"/>
        <v>45672</v>
      </c>
      <c r="AG1100" s="669" t="str">
        <f t="shared" si="179"/>
        <v>-</v>
      </c>
      <c r="AK1100" s="358"/>
    </row>
    <row r="1101" spans="2:114" ht="28.9" hidden="1" customHeight="1" outlineLevel="1">
      <c r="B1101" s="1454"/>
      <c r="C1101" s="281"/>
      <c r="D1101" s="4621" t="s">
        <v>3340</v>
      </c>
      <c r="E1101" s="128" t="s">
        <v>3341</v>
      </c>
      <c r="F1101" s="1715">
        <f>SUMPRODUCT($F$1106:$F$1111, $F$1112:$F$1117)/SUM($F$1112:$F$1117)</f>
        <v>1017.245138888889</v>
      </c>
      <c r="G1101" s="1563" t="s">
        <v>1108</v>
      </c>
      <c r="H1101" s="606"/>
      <c r="I1101" s="4623" t="s">
        <v>3342</v>
      </c>
      <c r="J1101" s="4624"/>
      <c r="K1101" s="4624"/>
      <c r="L1101" s="4624"/>
      <c r="M1101" s="4624"/>
      <c r="N1101" s="4624"/>
      <c r="O1101" s="4624"/>
      <c r="P1101" s="4624"/>
      <c r="Q1101" s="4624"/>
      <c r="R1101" s="4625"/>
      <c r="V1101" s="4616" t="s">
        <v>3343</v>
      </c>
      <c r="W1101" s="425">
        <v>985.16038920276219</v>
      </c>
      <c r="X1101" s="425">
        <f>SUMPRODUCT($F$1106:$F$1111, $F$1112:$F$1117)/SUM($F$1112:$F$1117)</f>
        <v>1017.245138888889</v>
      </c>
      <c r="Y1101" s="425">
        <v>985.16038920276219</v>
      </c>
      <c r="Z1101" s="425">
        <v>985.16038920276219</v>
      </c>
      <c r="AA1101" s="425">
        <v>985.16038920276219</v>
      </c>
      <c r="AB1101" s="425">
        <v>985.16038920276219</v>
      </c>
      <c r="AC1101" s="425">
        <v>985.16038920276219</v>
      </c>
      <c r="AD1101" s="425">
        <v>985.16038920276219</v>
      </c>
      <c r="AE1101" s="425">
        <v>985.16038920276219</v>
      </c>
      <c r="AF1101" s="271">
        <f t="shared" ref="AF1101:AF1120" si="180">IF(F1101&lt;&gt;"",F1101,"")</f>
        <v>1017.245138888889</v>
      </c>
      <c r="AG1101" s="426"/>
      <c r="AK1101" s="358"/>
    </row>
    <row r="1102" spans="2:114" hidden="1" outlineLevel="1">
      <c r="B1102" s="1454"/>
      <c r="C1102" s="281"/>
      <c r="D1102" s="4622"/>
      <c r="E1102" s="128" t="s">
        <v>3344</v>
      </c>
      <c r="F1102" s="1715">
        <f>SUMPRODUCT($F$1109:$F$1111, $F$1115:$F$1117)/SUM($F$1115:$F$1117)</f>
        <v>1672.2927350427351</v>
      </c>
      <c r="G1102" s="1563" t="s">
        <v>1108</v>
      </c>
      <c r="H1102" s="606"/>
      <c r="I1102" s="4626"/>
      <c r="J1102" s="4627"/>
      <c r="K1102" s="4627"/>
      <c r="L1102" s="4627"/>
      <c r="M1102" s="4627"/>
      <c r="N1102" s="4627"/>
      <c r="O1102" s="4627"/>
      <c r="P1102" s="4627"/>
      <c r="Q1102" s="4627"/>
      <c r="R1102" s="4628"/>
      <c r="V1102" s="4617"/>
      <c r="W1102" s="425"/>
      <c r="X1102" s="425"/>
      <c r="Y1102" s="183">
        <v>1690.4148148148149</v>
      </c>
      <c r="Z1102" s="425">
        <v>1690.4148148148149</v>
      </c>
      <c r="AA1102" s="425">
        <v>1690.4148148148149</v>
      </c>
      <c r="AB1102" s="425">
        <v>1690.4148148148149</v>
      </c>
      <c r="AC1102" s="425">
        <v>1690.4148148148149</v>
      </c>
      <c r="AD1102" s="425">
        <v>1690.4148148148149</v>
      </c>
      <c r="AE1102" s="425">
        <v>1690.4148148148149</v>
      </c>
      <c r="AF1102" s="271">
        <f t="shared" si="180"/>
        <v>1672.2927350427351</v>
      </c>
      <c r="AG1102" s="426"/>
      <c r="AK1102" s="358"/>
    </row>
    <row r="1103" spans="2:114" ht="18" hidden="1" outlineLevel="1">
      <c r="B1103" s="1454"/>
      <c r="C1103" s="281"/>
      <c r="D1103" s="1601" t="s">
        <v>3345</v>
      </c>
      <c r="E1103" s="128" t="s">
        <v>3346</v>
      </c>
      <c r="F1103" s="1713">
        <f>8.07*22.5 + 233.7</f>
        <v>415.27499999999998</v>
      </c>
      <c r="G1103" s="1563" t="s">
        <v>3347</v>
      </c>
      <c r="H1103" s="606"/>
      <c r="I1103" s="1647" t="s">
        <v>3348</v>
      </c>
      <c r="J1103" s="1433" t="s">
        <v>3349</v>
      </c>
      <c r="K1103" s="4386" t="s">
        <v>3350</v>
      </c>
      <c r="L1103" s="4387"/>
      <c r="M1103" s="4388"/>
      <c r="N1103" s="4386" t="s">
        <v>3351</v>
      </c>
      <c r="O1103" s="4387"/>
      <c r="P1103" s="4387"/>
      <c r="Q1103" s="4387"/>
      <c r="R1103" s="4388"/>
      <c r="V1103" s="352" t="s">
        <v>3352</v>
      </c>
      <c r="W1103" s="425"/>
      <c r="X1103" s="425"/>
      <c r="Y1103" s="183"/>
      <c r="Z1103" s="425"/>
      <c r="AA1103" s="425"/>
      <c r="AB1103" s="425"/>
      <c r="AC1103" s="425"/>
      <c r="AD1103" s="425"/>
      <c r="AE1103" s="425"/>
      <c r="AF1103" s="271">
        <f t="shared" si="180"/>
        <v>415.27499999999998</v>
      </c>
      <c r="AG1103" s="426"/>
      <c r="AK1103" s="358"/>
    </row>
    <row r="1104" spans="2:114" ht="30" hidden="1" outlineLevel="1">
      <c r="B1104" s="1454"/>
      <c r="C1104" s="281"/>
      <c r="D1104" s="1601" t="s">
        <v>3353</v>
      </c>
      <c r="E1104" s="128" t="s">
        <v>3354</v>
      </c>
      <c r="F1104" s="1713">
        <f>(F1103 * (1 - F1105))</f>
        <v>373.7475</v>
      </c>
      <c r="G1104" s="1430"/>
      <c r="H1104" s="606"/>
      <c r="I1104" s="1647"/>
      <c r="J1104" s="1433" t="s">
        <v>3355</v>
      </c>
      <c r="K1104" s="1433" t="s">
        <v>3356</v>
      </c>
      <c r="L1104" s="1433" t="s">
        <v>3357</v>
      </c>
      <c r="M1104" s="1433" t="s">
        <v>3355</v>
      </c>
      <c r="N1104" s="1433" t="s">
        <v>3356</v>
      </c>
      <c r="O1104" s="1433" t="s">
        <v>3357</v>
      </c>
      <c r="P1104" s="1433" t="s">
        <v>3355</v>
      </c>
      <c r="Q1104" s="1433" t="s">
        <v>3358</v>
      </c>
      <c r="R1104" s="1433" t="s">
        <v>3359</v>
      </c>
      <c r="V1104" s="352" t="s">
        <v>3360</v>
      </c>
      <c r="W1104" s="425">
        <v>467.22222222222223</v>
      </c>
      <c r="X1104" s="425">
        <f>$F$1106</f>
        <v>467.22222222222223</v>
      </c>
      <c r="Y1104" s="425">
        <v>467.22222222222223</v>
      </c>
      <c r="Z1104" s="425">
        <v>467.22222222222223</v>
      </c>
      <c r="AA1104" s="425">
        <v>467.22222222222223</v>
      </c>
      <c r="AB1104" s="425">
        <v>467.22222222222223</v>
      </c>
      <c r="AC1104" s="425">
        <v>467.22222222222223</v>
      </c>
      <c r="AD1104" s="425">
        <v>467.22222222222223</v>
      </c>
      <c r="AE1104" s="425">
        <v>467.22222222222223</v>
      </c>
      <c r="AF1104" s="271">
        <f t="shared" si="180"/>
        <v>373.7475</v>
      </c>
      <c r="AG1104" s="426"/>
      <c r="AJ1104" s="358"/>
    </row>
    <row r="1105" spans="2:37" hidden="1" outlineLevel="1">
      <c r="B1105" s="1454"/>
      <c r="C1105" s="281"/>
      <c r="D1105" s="352" t="s">
        <v>3361</v>
      </c>
      <c r="E1105" s="128" t="s">
        <v>3362</v>
      </c>
      <c r="F1105" s="482">
        <v>0.1</v>
      </c>
      <c r="G1105" s="1407" t="s">
        <v>3363</v>
      </c>
      <c r="H1105" s="606"/>
      <c r="I1105" s="352" t="s">
        <v>3364</v>
      </c>
      <c r="J1105" s="1407">
        <v>483</v>
      </c>
      <c r="K1105" s="1407">
        <v>592</v>
      </c>
      <c r="L1105" s="1407">
        <v>592</v>
      </c>
      <c r="M1105" s="1407">
        <v>592</v>
      </c>
      <c r="N1105" s="1407">
        <v>374</v>
      </c>
      <c r="O1105" s="1407">
        <v>374</v>
      </c>
      <c r="P1105" s="1407">
        <v>374</v>
      </c>
      <c r="Q1105" s="1407">
        <v>412</v>
      </c>
      <c r="R1105" s="1407">
        <v>412</v>
      </c>
      <c r="V1105" s="352" t="str">
        <f t="shared" ref="V1105:V1118" si="181">D1105</f>
        <v>% Savings</v>
      </c>
      <c r="W1105" s="102">
        <v>0.1</v>
      </c>
      <c r="X1105" s="102">
        <v>0.1</v>
      </c>
      <c r="Y1105" s="102">
        <v>0.1</v>
      </c>
      <c r="Z1105" s="102">
        <v>0.1</v>
      </c>
      <c r="AA1105" s="102">
        <v>0.1</v>
      </c>
      <c r="AB1105" s="102">
        <v>0.1</v>
      </c>
      <c r="AC1105" s="102">
        <v>0.1</v>
      </c>
      <c r="AD1105" s="102">
        <v>0.1</v>
      </c>
      <c r="AE1105" s="102">
        <v>0.1</v>
      </c>
      <c r="AF1105" s="271">
        <f t="shared" si="180"/>
        <v>0.1</v>
      </c>
      <c r="AG1105" s="427"/>
      <c r="AJ1105" s="358"/>
    </row>
    <row r="1106" spans="2:37" ht="31.5" hidden="1" outlineLevel="1">
      <c r="B1106" s="1454"/>
      <c r="C1106" s="281"/>
      <c r="D1106" s="352" t="s">
        <v>3365</v>
      </c>
      <c r="E1106" s="352" t="s">
        <v>3366</v>
      </c>
      <c r="F1106" s="1716">
        <f>AVERAGE($J$1105:$R$1105)</f>
        <v>467.22222222222223</v>
      </c>
      <c r="G1106" s="1600" t="s">
        <v>1108</v>
      </c>
      <c r="H1106" s="606"/>
      <c r="I1106" s="352" t="s">
        <v>3367</v>
      </c>
      <c r="J1106" s="1407">
        <v>724</v>
      </c>
      <c r="K1106" s="1407">
        <v>747</v>
      </c>
      <c r="L1106" s="1407">
        <v>747</v>
      </c>
      <c r="M1106" s="1407">
        <v>747</v>
      </c>
      <c r="N1106" s="1407">
        <v>556</v>
      </c>
      <c r="O1106" s="1407">
        <v>556</v>
      </c>
      <c r="P1106" s="1407">
        <v>556</v>
      </c>
      <c r="Q1106" s="1407">
        <v>613</v>
      </c>
      <c r="R1106" s="1407">
        <v>613</v>
      </c>
      <c r="V1106" s="352" t="str">
        <f t="shared" si="181"/>
        <v>kWh2011-2015</v>
      </c>
      <c r="W1106" s="425">
        <v>467.22222222222223</v>
      </c>
      <c r="X1106" s="425">
        <f>AVERAGE($J$1105:$R$1105)</f>
        <v>467.22222222222223</v>
      </c>
      <c r="Y1106" s="425">
        <v>467.22222222222223</v>
      </c>
      <c r="Z1106" s="425">
        <v>467.22222222222223</v>
      </c>
      <c r="AA1106" s="425">
        <v>467.22222222222223</v>
      </c>
      <c r="AB1106" s="425">
        <v>467.22222222222223</v>
      </c>
      <c r="AC1106" s="425">
        <v>467.22222222222223</v>
      </c>
      <c r="AD1106" s="425">
        <v>467.22222222222223</v>
      </c>
      <c r="AE1106" s="425">
        <v>467.22222222222223</v>
      </c>
      <c r="AF1106" s="271">
        <f t="shared" si="180"/>
        <v>467.22222222222223</v>
      </c>
      <c r="AG1106" s="426"/>
      <c r="AJ1106" s="358"/>
    </row>
    <row r="1107" spans="2:37" ht="31.5" hidden="1" outlineLevel="1">
      <c r="B1107" s="1454"/>
      <c r="C1107" s="281"/>
      <c r="D1107" s="352" t="s">
        <v>3368</v>
      </c>
      <c r="E1107" s="352" t="s">
        <v>3369</v>
      </c>
      <c r="F1107" s="1716">
        <f>AVERAGE($J$1106:$R$1106)</f>
        <v>651</v>
      </c>
      <c r="G1107" s="1600" t="s">
        <v>1108</v>
      </c>
      <c r="H1107" s="606"/>
      <c r="I1107" s="352" t="s">
        <v>3370</v>
      </c>
      <c r="J1107" s="1407">
        <v>962</v>
      </c>
      <c r="K1107" s="1407">
        <v>1139</v>
      </c>
      <c r="L1107" s="1407">
        <v>1139</v>
      </c>
      <c r="M1107" s="1407">
        <v>1139</v>
      </c>
      <c r="N1107" s="1407">
        <v>861</v>
      </c>
      <c r="O1107" s="1407">
        <v>861</v>
      </c>
      <c r="P1107" s="1407">
        <v>861</v>
      </c>
      <c r="Q1107" s="1407">
        <v>962</v>
      </c>
      <c r="R1107" s="1407">
        <v>962</v>
      </c>
      <c r="V1107" s="352" t="str">
        <f t="shared" si="181"/>
        <v>kWh2001(after July)-2010</v>
      </c>
      <c r="W1107" s="425">
        <v>651</v>
      </c>
      <c r="X1107" s="425">
        <f>AVERAGE($J$1106:$R$1106)</f>
        <v>651</v>
      </c>
      <c r="Y1107" s="425">
        <v>651</v>
      </c>
      <c r="Z1107" s="425">
        <v>651</v>
      </c>
      <c r="AA1107" s="425">
        <v>651</v>
      </c>
      <c r="AB1107" s="425">
        <v>651</v>
      </c>
      <c r="AC1107" s="425">
        <v>651</v>
      </c>
      <c r="AD1107" s="425">
        <v>651</v>
      </c>
      <c r="AE1107" s="425">
        <v>651</v>
      </c>
      <c r="AF1107" s="271">
        <f t="shared" si="180"/>
        <v>651</v>
      </c>
      <c r="AG1107" s="426"/>
      <c r="AJ1107" s="358"/>
    </row>
    <row r="1108" spans="2:37" ht="36" hidden="1" outlineLevel="1">
      <c r="B1108" s="1454"/>
      <c r="C1108" s="281"/>
      <c r="D1108" s="352" t="s">
        <v>3371</v>
      </c>
      <c r="E1108" s="352" t="s">
        <v>3372</v>
      </c>
      <c r="F1108" s="1716">
        <f>AVERAGE($J$1107:$R$1107)</f>
        <v>987.33333333333337</v>
      </c>
      <c r="G1108" s="1600" t="s">
        <v>1108</v>
      </c>
      <c r="H1108" s="606"/>
      <c r="I1108" s="352" t="s">
        <v>3373</v>
      </c>
      <c r="J1108" s="1430">
        <v>1519</v>
      </c>
      <c r="K1108" s="1430">
        <v>1617</v>
      </c>
      <c r="L1108" s="1430">
        <v>1617</v>
      </c>
      <c r="M1108" s="1430">
        <v>1617</v>
      </c>
      <c r="N1108" s="1430">
        <v>1272</v>
      </c>
      <c r="O1108" s="1430">
        <v>1272</v>
      </c>
      <c r="P1108" s="1430">
        <v>1272</v>
      </c>
      <c r="Q1108" s="1430">
        <v>1432</v>
      </c>
      <c r="R1108" s="1430">
        <v>1432</v>
      </c>
      <c r="V1108" s="352" t="str">
        <f t="shared" si="181"/>
        <v>kWh1993-2001(before June)</v>
      </c>
      <c r="W1108" s="425">
        <v>987.33333333333337</v>
      </c>
      <c r="X1108" s="425">
        <f>AVERAGE($J$1107:$R$1107)</f>
        <v>987.33333333333337</v>
      </c>
      <c r="Y1108" s="425">
        <v>987.33333333333337</v>
      </c>
      <c r="Z1108" s="425">
        <v>987.33333333333337</v>
      </c>
      <c r="AA1108" s="425">
        <v>987.33333333333337</v>
      </c>
      <c r="AB1108" s="425">
        <v>987.33333333333337</v>
      </c>
      <c r="AC1108" s="425">
        <v>987.33333333333337</v>
      </c>
      <c r="AD1108" s="425">
        <v>987.33333333333337</v>
      </c>
      <c r="AE1108" s="425">
        <v>987.33333333333337</v>
      </c>
      <c r="AF1108" s="271">
        <f t="shared" si="180"/>
        <v>987.33333333333337</v>
      </c>
      <c r="AG1108" s="426"/>
      <c r="AJ1108" s="358"/>
    </row>
    <row r="1109" spans="2:37" ht="18" hidden="1" outlineLevel="1">
      <c r="B1109" s="1454"/>
      <c r="C1109" s="281"/>
      <c r="D1109" s="352" t="s">
        <v>3374</v>
      </c>
      <c r="E1109" s="352" t="s">
        <v>3375</v>
      </c>
      <c r="F1109" s="1716">
        <f>AVERAGE($J$1108:$R$1108)</f>
        <v>1450</v>
      </c>
      <c r="G1109" s="1600" t="s">
        <v>1108</v>
      </c>
      <c r="H1109" s="52"/>
      <c r="I1109" s="352" t="s">
        <v>3376</v>
      </c>
      <c r="J1109" s="1407">
        <v>1992</v>
      </c>
      <c r="K1109" s="1407">
        <v>2119</v>
      </c>
      <c r="L1109" s="1407">
        <v>2119</v>
      </c>
      <c r="M1109" s="1407">
        <v>2119</v>
      </c>
      <c r="N1109" s="1407">
        <v>1668</v>
      </c>
      <c r="O1109" s="1407">
        <v>1668</v>
      </c>
      <c r="P1109" s="1407">
        <v>1668</v>
      </c>
      <c r="Q1109" s="1407">
        <v>1877</v>
      </c>
      <c r="R1109" s="1407">
        <v>1877</v>
      </c>
      <c r="V1109" s="352" t="str">
        <f t="shared" si="181"/>
        <v>kWh1990-1992</v>
      </c>
      <c r="W1109" s="425">
        <v>1450</v>
      </c>
      <c r="X1109" s="425">
        <f>AVERAGE($J$1108:$R$1108)</f>
        <v>1450</v>
      </c>
      <c r="Y1109" s="425">
        <v>1450</v>
      </c>
      <c r="Z1109" s="425">
        <v>1450</v>
      </c>
      <c r="AA1109" s="425">
        <v>1450</v>
      </c>
      <c r="AB1109" s="425">
        <v>1450</v>
      </c>
      <c r="AC1109" s="425">
        <v>1450</v>
      </c>
      <c r="AD1109" s="425">
        <v>1450</v>
      </c>
      <c r="AE1109" s="425">
        <v>1450</v>
      </c>
      <c r="AF1109" s="271">
        <f t="shared" si="180"/>
        <v>1450</v>
      </c>
      <c r="AG1109" s="426"/>
      <c r="AJ1109" s="358"/>
    </row>
    <row r="1110" spans="2:37" ht="18" hidden="1" outlineLevel="1">
      <c r="B1110" s="1454"/>
      <c r="C1110" s="281"/>
      <c r="D1110" s="352" t="s">
        <v>3377</v>
      </c>
      <c r="E1110" s="352" t="s">
        <v>3378</v>
      </c>
      <c r="F1110" s="1716">
        <f>AVERAGE($J$1109:$R$1109)</f>
        <v>1900.7777777777778</v>
      </c>
      <c r="G1110" s="1600" t="s">
        <v>1108</v>
      </c>
      <c r="H1110" s="606"/>
      <c r="I1110" s="352" t="s">
        <v>3379</v>
      </c>
      <c r="J1110" s="1430">
        <v>2523</v>
      </c>
      <c r="K1110" s="1430">
        <v>2684</v>
      </c>
      <c r="L1110" s="1430">
        <v>2684</v>
      </c>
      <c r="M1110" s="1430">
        <v>2684</v>
      </c>
      <c r="N1110" s="1430"/>
      <c r="O1110" s="1430">
        <v>2112</v>
      </c>
      <c r="P1110" s="1430">
        <v>2112</v>
      </c>
      <c r="Q1110" s="1430">
        <v>2377</v>
      </c>
      <c r="R1110" s="1430">
        <v>2377</v>
      </c>
      <c r="V1110" s="352" t="str">
        <f t="shared" si="181"/>
        <v>kWh1980-1989</v>
      </c>
      <c r="W1110" s="425">
        <v>1900.7777777777778</v>
      </c>
      <c r="X1110" s="425">
        <f>AVERAGE($J$1109:$R$1109)</f>
        <v>1900.7777777777778</v>
      </c>
      <c r="Y1110" s="425">
        <v>1900.7777777777778</v>
      </c>
      <c r="Z1110" s="425">
        <v>1900.7777777777778</v>
      </c>
      <c r="AA1110" s="425">
        <v>1900.7777777777778</v>
      </c>
      <c r="AB1110" s="425">
        <v>1900.7777777777778</v>
      </c>
      <c r="AC1110" s="425">
        <v>1900.7777777777778</v>
      </c>
      <c r="AD1110" s="425">
        <v>1900.7777777777778</v>
      </c>
      <c r="AE1110" s="425">
        <v>1900.7777777777778</v>
      </c>
      <c r="AF1110" s="271">
        <f t="shared" si="180"/>
        <v>1900.7777777777778</v>
      </c>
      <c r="AG1110" s="426"/>
      <c r="AJ1110" s="358"/>
    </row>
    <row r="1111" spans="2:37" ht="18" hidden="1" outlineLevel="1">
      <c r="B1111" s="1454"/>
      <c r="C1111" s="281"/>
      <c r="D1111" s="352" t="s">
        <v>3380</v>
      </c>
      <c r="E1111" s="352" t="s">
        <v>3381</v>
      </c>
      <c r="F1111" s="1716">
        <f>AVERAGE($J$1110:$R$1110)</f>
        <v>2444.125</v>
      </c>
      <c r="G1111" s="1600" t="s">
        <v>1108</v>
      </c>
      <c r="H1111" s="52"/>
      <c r="I1111" s="273"/>
      <c r="J1111" s="273"/>
      <c r="K1111" s="273"/>
      <c r="L1111" s="273"/>
      <c r="M1111" s="273"/>
      <c r="N1111" s="273"/>
      <c r="O1111" s="273"/>
      <c r="P1111" s="273"/>
      <c r="Q1111" s="273"/>
      <c r="R1111" s="273"/>
      <c r="V1111" s="352" t="str">
        <f t="shared" si="181"/>
        <v>kWhbefore 1980</v>
      </c>
      <c r="W1111" s="425">
        <v>2444.125</v>
      </c>
      <c r="X1111" s="425">
        <f>AVERAGE($J$1110:$R$1110)</f>
        <v>2444.125</v>
      </c>
      <c r="Y1111" s="425">
        <v>2444.125</v>
      </c>
      <c r="Z1111" s="425">
        <v>2444.125</v>
      </c>
      <c r="AA1111" s="425">
        <v>2444.125</v>
      </c>
      <c r="AB1111" s="425">
        <v>2444.125</v>
      </c>
      <c r="AC1111" s="425">
        <v>2444.125</v>
      </c>
      <c r="AD1111" s="425">
        <v>2444.125</v>
      </c>
      <c r="AE1111" s="425">
        <v>2444.125</v>
      </c>
      <c r="AF1111" s="271">
        <f t="shared" si="180"/>
        <v>2444.125</v>
      </c>
      <c r="AG1111" s="426"/>
      <c r="AK1111" s="358"/>
    </row>
    <row r="1112" spans="2:37" ht="33" hidden="1" outlineLevel="1">
      <c r="B1112" s="1454"/>
      <c r="C1112" s="281"/>
      <c r="D1112" s="352" t="s">
        <v>3382</v>
      </c>
      <c r="E1112" s="352" t="s">
        <v>3383</v>
      </c>
      <c r="F1112" s="1674">
        <f>1/4*0.9</f>
        <v>0.22500000000000001</v>
      </c>
      <c r="G1112" s="1407" t="s">
        <v>1399</v>
      </c>
      <c r="H1112" s="606"/>
      <c r="I1112" s="606"/>
      <c r="J1112" s="606"/>
      <c r="K1112" s="606"/>
      <c r="L1112" s="606"/>
      <c r="M1112" s="606"/>
      <c r="N1112" s="606"/>
      <c r="O1112" s="606"/>
      <c r="P1112" s="606"/>
      <c r="Q1112" s="606"/>
      <c r="R1112" s="606"/>
      <c r="S1112" s="606"/>
      <c r="V1112" s="352" t="str">
        <f t="shared" si="181"/>
        <v>Number of Units2011-2015</v>
      </c>
      <c r="W1112" s="428">
        <v>0</v>
      </c>
      <c r="X1112" s="428">
        <v>0</v>
      </c>
      <c r="Y1112" s="428">
        <v>0</v>
      </c>
      <c r="Z1112" s="428">
        <v>0</v>
      </c>
      <c r="AA1112" s="428">
        <v>0</v>
      </c>
      <c r="AB1112" s="428">
        <v>0</v>
      </c>
      <c r="AC1112" s="428">
        <v>0</v>
      </c>
      <c r="AD1112" s="428">
        <v>0</v>
      </c>
      <c r="AE1112" s="428">
        <v>0</v>
      </c>
      <c r="AF1112" s="271">
        <f t="shared" si="180"/>
        <v>0.22500000000000001</v>
      </c>
      <c r="AG1112" s="429"/>
      <c r="AK1112" s="358"/>
    </row>
    <row r="1113" spans="2:37" ht="33" hidden="1" outlineLevel="1">
      <c r="B1113" s="1454"/>
      <c r="C1113" s="281"/>
      <c r="D1113" s="352" t="s">
        <v>3384</v>
      </c>
      <c r="E1113" s="352" t="s">
        <v>3385</v>
      </c>
      <c r="F1113" s="1674">
        <f t="shared" ref="F1113:F1115" si="182">1/4*0.9</f>
        <v>0.22500000000000001</v>
      </c>
      <c r="G1113" s="1407" t="s">
        <v>1399</v>
      </c>
      <c r="H1113" s="606"/>
      <c r="I1113" s="606"/>
      <c r="J1113" s="606"/>
      <c r="K1113" s="606"/>
      <c r="L1113" s="606"/>
      <c r="M1113" s="606"/>
      <c r="N1113" s="606"/>
      <c r="O1113" s="606"/>
      <c r="P1113" s="606"/>
      <c r="Q1113" s="606"/>
      <c r="R1113" s="606"/>
      <c r="S1113" s="606"/>
      <c r="V1113" s="352" t="str">
        <f t="shared" si="181"/>
        <v>Number of Units2001(after July)-2010</v>
      </c>
      <c r="W1113" s="428">
        <v>65</v>
      </c>
      <c r="X1113" s="428">
        <v>65</v>
      </c>
      <c r="Y1113" s="428">
        <v>65</v>
      </c>
      <c r="Z1113" s="428">
        <v>65</v>
      </c>
      <c r="AA1113" s="428">
        <v>65</v>
      </c>
      <c r="AB1113" s="428">
        <v>65</v>
      </c>
      <c r="AC1113" s="428">
        <v>65</v>
      </c>
      <c r="AD1113" s="428">
        <v>65</v>
      </c>
      <c r="AE1113" s="428">
        <v>65</v>
      </c>
      <c r="AF1113" s="271">
        <f t="shared" si="180"/>
        <v>0.22500000000000001</v>
      </c>
      <c r="AG1113" s="429"/>
      <c r="AK1113" s="358"/>
    </row>
    <row r="1114" spans="2:37" ht="51" hidden="1" outlineLevel="1">
      <c r="B1114" s="1454"/>
      <c r="C1114" s="281"/>
      <c r="D1114" s="352" t="s">
        <v>3386</v>
      </c>
      <c r="E1114" s="352" t="s">
        <v>3387</v>
      </c>
      <c r="F1114" s="1674">
        <f t="shared" si="182"/>
        <v>0.22500000000000001</v>
      </c>
      <c r="G1114" s="1407" t="s">
        <v>1399</v>
      </c>
      <c r="H1114" s="606"/>
      <c r="I1114" s="606"/>
      <c r="J1114" s="606"/>
      <c r="K1114" s="606"/>
      <c r="L1114" s="606"/>
      <c r="M1114" s="606"/>
      <c r="N1114" s="606"/>
      <c r="O1114" s="606"/>
      <c r="P1114" s="606"/>
      <c r="Q1114" s="606"/>
      <c r="R1114" s="606"/>
      <c r="S1114" s="606"/>
      <c r="V1114" s="352" t="str">
        <f t="shared" si="181"/>
        <v>Number of Units1993-2001(before June)</v>
      </c>
      <c r="W1114" s="428">
        <v>259</v>
      </c>
      <c r="X1114" s="428">
        <v>259</v>
      </c>
      <c r="Y1114" s="428">
        <v>259</v>
      </c>
      <c r="Z1114" s="428">
        <v>259</v>
      </c>
      <c r="AA1114" s="428">
        <v>259</v>
      </c>
      <c r="AB1114" s="428">
        <v>259</v>
      </c>
      <c r="AC1114" s="428">
        <v>259</v>
      </c>
      <c r="AD1114" s="428">
        <v>259</v>
      </c>
      <c r="AE1114" s="428">
        <v>259</v>
      </c>
      <c r="AF1114" s="271">
        <f t="shared" si="180"/>
        <v>0.22500000000000001</v>
      </c>
      <c r="AG1114" s="429"/>
      <c r="AK1114" s="358"/>
    </row>
    <row r="1115" spans="2:37" ht="33" hidden="1" outlineLevel="1">
      <c r="B1115" s="1454"/>
      <c r="C1115" s="281"/>
      <c r="D1115" s="352" t="s">
        <v>3388</v>
      </c>
      <c r="E1115" s="352" t="s">
        <v>3389</v>
      </c>
      <c r="F1115" s="1674">
        <f t="shared" si="182"/>
        <v>0.22500000000000001</v>
      </c>
      <c r="G1115" s="1407" t="s">
        <v>1399</v>
      </c>
      <c r="H1115" s="606"/>
      <c r="I1115" s="606"/>
      <c r="J1115" s="606"/>
      <c r="K1115" s="606"/>
      <c r="L1115" s="606"/>
      <c r="M1115" s="606"/>
      <c r="N1115" s="606"/>
      <c r="O1115" s="606"/>
      <c r="P1115" s="606"/>
      <c r="Q1115" s="606"/>
      <c r="R1115" s="606"/>
      <c r="S1115" s="606"/>
      <c r="V1115" s="352" t="str">
        <f t="shared" si="181"/>
        <v>Number of Units1990-1992</v>
      </c>
      <c r="W1115" s="428">
        <v>14</v>
      </c>
      <c r="X1115" s="428">
        <v>14</v>
      </c>
      <c r="Y1115" s="428">
        <v>14</v>
      </c>
      <c r="Z1115" s="428">
        <v>14</v>
      </c>
      <c r="AA1115" s="428">
        <v>14</v>
      </c>
      <c r="AB1115" s="428">
        <v>14</v>
      </c>
      <c r="AC1115" s="428">
        <v>14</v>
      </c>
      <c r="AD1115" s="428">
        <v>14</v>
      </c>
      <c r="AE1115" s="428">
        <v>14</v>
      </c>
      <c r="AF1115" s="271">
        <f t="shared" si="180"/>
        <v>0.22500000000000001</v>
      </c>
      <c r="AG1115" s="429"/>
      <c r="AK1115" s="358"/>
    </row>
    <row r="1116" spans="2:37" ht="33" hidden="1" outlineLevel="1">
      <c r="B1116" s="1454"/>
      <c r="C1116" s="281"/>
      <c r="D1116" s="352" t="s">
        <v>3390</v>
      </c>
      <c r="E1116" s="352" t="s">
        <v>3391</v>
      </c>
      <c r="F1116" s="1674">
        <v>0.05</v>
      </c>
      <c r="G1116" s="1407" t="s">
        <v>1399</v>
      </c>
      <c r="H1116" s="606"/>
      <c r="I1116" s="606"/>
      <c r="J1116" s="606"/>
      <c r="K1116" s="606"/>
      <c r="L1116" s="606"/>
      <c r="M1116" s="606"/>
      <c r="N1116" s="606"/>
      <c r="O1116" s="606"/>
      <c r="P1116" s="606"/>
      <c r="Q1116" s="606"/>
      <c r="R1116" s="606"/>
      <c r="S1116" s="606"/>
      <c r="V1116" s="352" t="str">
        <f t="shared" si="181"/>
        <v>Number of Units1980-1989</v>
      </c>
      <c r="W1116" s="428">
        <v>16</v>
      </c>
      <c r="X1116" s="428">
        <v>16</v>
      </c>
      <c r="Y1116" s="428">
        <v>16</v>
      </c>
      <c r="Z1116" s="428">
        <v>16</v>
      </c>
      <c r="AA1116" s="428">
        <v>16</v>
      </c>
      <c r="AB1116" s="428">
        <v>16</v>
      </c>
      <c r="AC1116" s="428">
        <v>16</v>
      </c>
      <c r="AD1116" s="428">
        <v>16</v>
      </c>
      <c r="AE1116" s="428">
        <v>16</v>
      </c>
      <c r="AF1116" s="271">
        <f t="shared" si="180"/>
        <v>0.05</v>
      </c>
      <c r="AG1116" s="429"/>
      <c r="AK1116" s="358"/>
    </row>
    <row r="1117" spans="2:37" ht="33" hidden="1" outlineLevel="1">
      <c r="B1117" s="1454"/>
      <c r="C1117" s="281"/>
      <c r="D1117" s="352" t="s">
        <v>3392</v>
      </c>
      <c r="E1117" s="352" t="s">
        <v>3393</v>
      </c>
      <c r="F1117" s="1674">
        <v>0.05</v>
      </c>
      <c r="G1117" s="1407" t="s">
        <v>1399</v>
      </c>
      <c r="H1117" s="606"/>
      <c r="I1117" s="606"/>
      <c r="J1117" s="606"/>
      <c r="K1117" s="606"/>
      <c r="L1117" s="606"/>
      <c r="M1117" s="606"/>
      <c r="N1117" s="606"/>
      <c r="O1117" s="606"/>
      <c r="P1117" s="606"/>
      <c r="Q1117" s="606"/>
      <c r="R1117" s="606"/>
      <c r="S1117" s="606"/>
      <c r="V1117" s="352" t="str">
        <f t="shared" si="181"/>
        <v>Number of Unitsbefore 1980</v>
      </c>
      <c r="W1117" s="428">
        <v>0</v>
      </c>
      <c r="X1117" s="428">
        <v>0</v>
      </c>
      <c r="Y1117" s="428">
        <v>0</v>
      </c>
      <c r="Z1117" s="428">
        <v>0</v>
      </c>
      <c r="AA1117" s="428">
        <v>0</v>
      </c>
      <c r="AB1117" s="428">
        <v>0</v>
      </c>
      <c r="AC1117" s="428">
        <v>0</v>
      </c>
      <c r="AD1117" s="428">
        <v>0</v>
      </c>
      <c r="AE1117" s="428">
        <v>0</v>
      </c>
      <c r="AF1117" s="271">
        <f t="shared" si="180"/>
        <v>0.05</v>
      </c>
      <c r="AG1117" s="429"/>
      <c r="AK1117" s="358"/>
    </row>
    <row r="1118" spans="2:37" ht="50.25" hidden="1" customHeight="1" outlineLevel="1">
      <c r="B1118" s="1454"/>
      <c r="C1118" s="1404"/>
      <c r="D1118" s="4629" t="s">
        <v>49</v>
      </c>
      <c r="E1118" s="1409" t="str">
        <f>E1090</f>
        <v>Refrigerator - early replacement ER1</v>
      </c>
      <c r="F1118" s="1673">
        <v>5</v>
      </c>
      <c r="G1118" s="4491" t="s">
        <v>3394</v>
      </c>
      <c r="H1118" s="606"/>
      <c r="I1118" s="606"/>
      <c r="V1118" s="4629" t="str">
        <f t="shared" si="181"/>
        <v>EUL</v>
      </c>
      <c r="W1118" s="428">
        <v>6</v>
      </c>
      <c r="X1118" s="428">
        <v>6</v>
      </c>
      <c r="Y1118" s="428">
        <v>6</v>
      </c>
      <c r="Z1118" s="428">
        <v>6</v>
      </c>
      <c r="AA1118" s="428">
        <v>6</v>
      </c>
      <c r="AB1118" s="428">
        <v>6</v>
      </c>
      <c r="AC1118" s="428">
        <v>6</v>
      </c>
      <c r="AD1118" s="428">
        <v>6</v>
      </c>
      <c r="AE1118" s="428">
        <v>6</v>
      </c>
      <c r="AF1118" s="271">
        <f t="shared" si="180"/>
        <v>5</v>
      </c>
      <c r="AG1118" s="429"/>
      <c r="AK1118" s="358"/>
    </row>
    <row r="1119" spans="2:37" ht="62.25" hidden="1" customHeight="1" outlineLevel="1">
      <c r="B1119" s="1454"/>
      <c r="C1119" s="1404"/>
      <c r="D1119" s="4630"/>
      <c r="E1119" s="1409" t="str">
        <f>E1091</f>
        <v>Refrigerator - early replacement ER2</v>
      </c>
      <c r="F1119" s="1673">
        <v>10</v>
      </c>
      <c r="G1119" s="4493"/>
      <c r="H1119" s="606"/>
      <c r="I1119" s="606"/>
      <c r="V1119" s="4630"/>
      <c r="W1119" s="428">
        <v>11</v>
      </c>
      <c r="X1119" s="428">
        <v>11</v>
      </c>
      <c r="Y1119" s="428">
        <v>11</v>
      </c>
      <c r="Z1119" s="428">
        <v>11</v>
      </c>
      <c r="AA1119" s="428">
        <v>11</v>
      </c>
      <c r="AB1119" s="428">
        <v>11</v>
      </c>
      <c r="AC1119" s="428">
        <v>11</v>
      </c>
      <c r="AD1119" s="428">
        <v>11</v>
      </c>
      <c r="AE1119" s="428">
        <v>11</v>
      </c>
      <c r="AF1119" s="271">
        <f t="shared" si="180"/>
        <v>10</v>
      </c>
      <c r="AG1119" s="429"/>
      <c r="AK1119" s="358"/>
    </row>
    <row r="1120" spans="2:37" ht="30" hidden="1" outlineLevel="1">
      <c r="B1120" s="1454"/>
      <c r="C1120" s="1404"/>
      <c r="D1120" s="1409" t="str">
        <f>D1016</f>
        <v>Inc. Cost</v>
      </c>
      <c r="E1120" s="1157" t="s">
        <v>1135</v>
      </c>
      <c r="F1120" s="1821">
        <v>28</v>
      </c>
      <c r="G1120" s="1600" t="s">
        <v>3395</v>
      </c>
      <c r="H1120" s="606"/>
      <c r="I1120" s="606"/>
      <c r="V1120" s="1409" t="str">
        <f>D1120</f>
        <v>Inc. Cost</v>
      </c>
      <c r="W1120" s="151">
        <v>753</v>
      </c>
      <c r="X1120" s="151">
        <v>753</v>
      </c>
      <c r="Y1120" s="151">
        <v>753</v>
      </c>
      <c r="Z1120" s="151">
        <v>753</v>
      </c>
      <c r="AA1120" s="151">
        <v>753</v>
      </c>
      <c r="AB1120" s="151">
        <v>753</v>
      </c>
      <c r="AC1120" s="151">
        <v>753</v>
      </c>
      <c r="AD1120" s="151">
        <v>753</v>
      </c>
      <c r="AE1120" s="151">
        <v>753</v>
      </c>
      <c r="AF1120" s="271">
        <f t="shared" si="180"/>
        <v>28</v>
      </c>
      <c r="AG1120" s="430"/>
      <c r="AK1120" s="358"/>
    </row>
    <row r="1121" spans="1:114" hidden="1" outlineLevel="1">
      <c r="C1121" s="281"/>
      <c r="X1121" s="283"/>
      <c r="Y1121" s="539" t="s">
        <v>3396</v>
      </c>
      <c r="Z1121" s="321"/>
      <c r="AA1121" s="321"/>
      <c r="AB1121" s="321"/>
    </row>
    <row r="1122" spans="1:114" collapsed="1">
      <c r="C1122" s="281"/>
    </row>
    <row r="1123" spans="1:114" s="7" customFormat="1">
      <c r="A1123" s="283"/>
      <c r="B1123" s="4183" t="s">
        <v>1283</v>
      </c>
      <c r="C1123" s="4184"/>
      <c r="D1123" s="4184"/>
      <c r="E1123" s="4184"/>
      <c r="F1123" s="4184"/>
      <c r="G1123" s="4184"/>
      <c r="H1123" s="4184"/>
      <c r="I1123" s="4840"/>
      <c r="J1123" s="4840"/>
      <c r="K1123" s="4840"/>
      <c r="L1123" s="4840"/>
      <c r="M1123" s="4840"/>
      <c r="N1123" s="4840"/>
      <c r="O1123" s="4840"/>
      <c r="P1123" s="4840"/>
      <c r="Q1123" s="4840"/>
      <c r="R1123" s="4841"/>
      <c r="S1123" s="66"/>
      <c r="T1123" s="66"/>
      <c r="U1123" s="66"/>
      <c r="V1123" s="1363" t="str">
        <f>B1123</f>
        <v>Energy Star Room AC</v>
      </c>
      <c r="W1123" s="1364"/>
      <c r="X1123" s="1364"/>
      <c r="Y1123" s="1364"/>
      <c r="Z1123" s="1364"/>
      <c r="AA1123" s="1364"/>
      <c r="AB1123" s="1364"/>
      <c r="AC1123" s="1364"/>
      <c r="AD1123" s="1364"/>
      <c r="AE1123" s="1364"/>
      <c r="AF1123" s="1364"/>
      <c r="AG1123" s="1364"/>
      <c r="AH1123" s="1364"/>
      <c r="AI1123" s="1397"/>
      <c r="AU1123" s="1505"/>
      <c r="DG1123" s="1059"/>
      <c r="DH1123" s="66"/>
      <c r="DI1123" s="66"/>
      <c r="DJ1123" s="1102"/>
    </row>
    <row r="1124" spans="1:114" s="7" customFormat="1">
      <c r="A1124" s="283"/>
      <c r="B1124" s="52"/>
      <c r="C1124" s="51"/>
      <c r="D1124" s="104"/>
      <c r="E1124" s="104"/>
      <c r="F1124" s="52"/>
      <c r="G1124" s="52"/>
      <c r="H1124" s="52"/>
      <c r="I1124" s="52"/>
      <c r="J1124" s="52"/>
      <c r="K1124" s="52"/>
      <c r="L1124" s="52"/>
      <c r="M1124" s="52"/>
      <c r="N1124" s="52"/>
      <c r="O1124" s="52"/>
      <c r="P1124" s="66"/>
      <c r="Q1124" s="66"/>
      <c r="R1124" s="66"/>
      <c r="S1124" s="66"/>
      <c r="T1124" s="66"/>
      <c r="U1124" s="66"/>
      <c r="Y1124" s="1520"/>
      <c r="AU1124" s="1505"/>
      <c r="DG1124" s="1059"/>
      <c r="DH1124" s="66"/>
      <c r="DI1124" s="66"/>
      <c r="DJ1124" s="1102"/>
    </row>
    <row r="1125" spans="1:114" s="7" customFormat="1" ht="30">
      <c r="A1125" s="283"/>
      <c r="B1125" s="122"/>
      <c r="C1125" s="1398" t="s">
        <v>42</v>
      </c>
      <c r="D1125" s="1398" t="s">
        <v>953</v>
      </c>
      <c r="E1125" s="1398" t="s">
        <v>44</v>
      </c>
      <c r="F1125" s="1398" t="s">
        <v>45</v>
      </c>
      <c r="G1125" s="1398" t="s">
        <v>46</v>
      </c>
      <c r="H1125" s="1398" t="s">
        <v>47</v>
      </c>
      <c r="I1125" s="1398" t="s">
        <v>48</v>
      </c>
      <c r="J1125" s="1398" t="s">
        <v>49</v>
      </c>
      <c r="K1125" s="1398" t="s">
        <v>50</v>
      </c>
      <c r="L1125" s="1398" t="s">
        <v>51</v>
      </c>
      <c r="M1125" s="52"/>
      <c r="N1125" s="52"/>
      <c r="O1125" s="122"/>
      <c r="P1125" s="66"/>
      <c r="Q1125" s="66"/>
      <c r="R1125" s="66"/>
      <c r="S1125" s="66"/>
      <c r="T1125" s="66"/>
      <c r="U1125" s="66"/>
      <c r="V1125" s="668" t="s">
        <v>52</v>
      </c>
      <c r="W1125" s="669">
        <v>43252</v>
      </c>
      <c r="X1125" s="669">
        <f>$X$6</f>
        <v>43465</v>
      </c>
      <c r="Y1125" s="115">
        <f>$Y$6</f>
        <v>43800</v>
      </c>
      <c r="Z1125" s="669">
        <f>$Z$6</f>
        <v>43862</v>
      </c>
      <c r="AA1125" s="669">
        <f>$AA$6</f>
        <v>44013</v>
      </c>
      <c r="AB1125" s="669">
        <f>$AB$6</f>
        <v>44166</v>
      </c>
      <c r="AC1125" s="669">
        <f>$AC$6</f>
        <v>44531</v>
      </c>
      <c r="AD1125" s="669">
        <f>$AD$6</f>
        <v>44774</v>
      </c>
      <c r="AE1125" s="669">
        <f>$AE$6</f>
        <v>45139</v>
      </c>
      <c r="AF1125" s="669">
        <f>$AF$6</f>
        <v>45672</v>
      </c>
      <c r="AG1125" s="669" t="str">
        <f>$AG$6</f>
        <v>-</v>
      </c>
      <c r="AU1125" s="1505"/>
      <c r="DG1125" s="1060" t="str">
        <f>$DG$6</f>
        <v>TRC (2025)</v>
      </c>
      <c r="DH1125" s="811" t="str">
        <f>$DH$6</f>
        <v>Benefit Lookup</v>
      </c>
      <c r="DI1125" s="1076" t="str">
        <f>$DI$6</f>
        <v>Benefits (2025 $)</v>
      </c>
      <c r="DJ1125" s="1103" t="str">
        <f>$DJ$6</f>
        <v>Incremental Cost (2025 $)</v>
      </c>
    </row>
    <row r="1126" spans="1:114" s="7" customFormat="1">
      <c r="A1126" s="283"/>
      <c r="B1126" s="1454">
        <f t="shared" ref="B1126:B1149" si="183">VALUE(LEFT(C1126,6))</f>
        <v>405850</v>
      </c>
      <c r="C1126" s="2209" t="s">
        <v>3397</v>
      </c>
      <c r="D1126" s="2402" t="s">
        <v>959</v>
      </c>
      <c r="E1126" s="2662" t="s">
        <v>3398</v>
      </c>
      <c r="F1126" s="2663">
        <f>ROUND(($H$1166*$H$1156*(1/$H$1164-1/$H$1163)/1000*$F$1168),2)</f>
        <v>427.46</v>
      </c>
      <c r="G1126" s="2460" t="s">
        <v>1045</v>
      </c>
      <c r="H1126" s="2213">
        <f>VLOOKUP(G1126,'CP FACTORS'!$A$3:$B$38, 2, FALSE)</f>
        <v>9.4741810000000004E-4</v>
      </c>
      <c r="I1126" s="2404">
        <f t="shared" ref="I1126:I1149" si="184">ROUND(F1126*H1126,6)</f>
        <v>0.40498299999999998</v>
      </c>
      <c r="J1126" s="2664">
        <f t="shared" ref="J1126:J1149" si="185">$F$1169</f>
        <v>12</v>
      </c>
      <c r="K1126" s="2665">
        <f t="shared" ref="K1126:K1149" si="186">$F$1170</f>
        <v>300</v>
      </c>
      <c r="L1126" s="2210" t="s">
        <v>62</v>
      </c>
      <c r="M1126" s="66"/>
      <c r="N1126" s="531"/>
      <c r="O1126" s="417"/>
      <c r="P1126" s="66"/>
      <c r="Q1126" s="66"/>
      <c r="R1126" s="532"/>
      <c r="S1126" s="66"/>
      <c r="T1126" s="66"/>
      <c r="U1126" s="66"/>
      <c r="V1126" s="2684" t="s">
        <v>45</v>
      </c>
      <c r="W1126" s="2685"/>
      <c r="X1126" s="2498">
        <v>898.77014282038067</v>
      </c>
      <c r="Y1126" s="2480">
        <v>195.22</v>
      </c>
      <c r="Z1126" s="2498">
        <v>195.22</v>
      </c>
      <c r="AA1126" s="2498">
        <v>195.22</v>
      </c>
      <c r="AB1126" s="2498">
        <v>195.22</v>
      </c>
      <c r="AC1126" s="2663">
        <v>190.46</v>
      </c>
      <c r="AD1126" s="2686">
        <v>190.46</v>
      </c>
      <c r="AE1126" s="2686">
        <v>190.46</v>
      </c>
      <c r="AF1126" s="2236">
        <f t="shared" ref="AF1126:AF1149" si="187">IF(F1126&lt;&gt;"",F1126,"")</f>
        <v>427.46</v>
      </c>
      <c r="AG1126" s="2684"/>
      <c r="AU1126" s="1505"/>
      <c r="DG1126" s="2418">
        <f t="shared" ref="DG1126:DG1149" si="188">(DI1126)/(DJ1126)</f>
        <v>2.4741096632162609</v>
      </c>
      <c r="DH1126" s="2419" t="str">
        <f t="shared" ref="DH1126:DH1149" si="189">CONCATENATE(G1126," ",J1126," Year EUL")</f>
        <v>Cooling RES 12 Year EUL</v>
      </c>
      <c r="DI1126" s="2420">
        <f>(INDEX('Avoided Cost Benefits'!$B$4:$B$865,MATCH(DH1126,'Avoided Cost Benefits'!$A$4:$A$865,0)))*F1126</f>
        <v>742.23289896487825</v>
      </c>
      <c r="DJ1126" s="2421">
        <f t="shared" ref="DJ1126:DJ1149" si="190">K1126/(1.0686^(2025-2025))</f>
        <v>300</v>
      </c>
    </row>
    <row r="1127" spans="1:114" s="7" customFormat="1">
      <c r="A1127" s="283"/>
      <c r="B1127" s="1454">
        <f t="shared" si="183"/>
        <v>405900</v>
      </c>
      <c r="C1127" s="2209" t="s">
        <v>3399</v>
      </c>
      <c r="D1127" s="2402" t="s">
        <v>1486</v>
      </c>
      <c r="E1127" s="2662" t="s">
        <v>3400</v>
      </c>
      <c r="F1127" s="2663">
        <f>ROUND(($F$1166*$F$1156*(1/$F$1164-1/$F$1163)/1000*$F$1168),2)</f>
        <v>400.38</v>
      </c>
      <c r="G1127" s="2460" t="s">
        <v>1045</v>
      </c>
      <c r="H1127" s="2213">
        <f>VLOOKUP(G1127,'CP FACTORS'!$A$3:$B$38, 2, FALSE)</f>
        <v>9.4741810000000004E-4</v>
      </c>
      <c r="I1127" s="2404">
        <f t="shared" si="184"/>
        <v>0.37932700000000003</v>
      </c>
      <c r="J1127" s="2664">
        <f t="shared" si="185"/>
        <v>12</v>
      </c>
      <c r="K1127" s="2665">
        <f t="shared" si="186"/>
        <v>300</v>
      </c>
      <c r="L1127" s="2210" t="s">
        <v>62</v>
      </c>
      <c r="M1127" s="66"/>
      <c r="N1127" s="531"/>
      <c r="O1127" s="417"/>
      <c r="P1127" s="66"/>
      <c r="Q1127" s="66"/>
      <c r="R1127" s="532"/>
      <c r="S1127" s="66"/>
      <c r="T1127" s="66"/>
      <c r="U1127" s="66"/>
      <c r="V1127" s="2684" t="s">
        <v>45</v>
      </c>
      <c r="W1127" s="2685">
        <v>40.971199412398086</v>
      </c>
      <c r="X1127" s="2687">
        <v>49.727499015442788</v>
      </c>
      <c r="Y1127" s="2664">
        <v>76.92</v>
      </c>
      <c r="Z1127" s="2687">
        <v>76.92</v>
      </c>
      <c r="AA1127" s="2687">
        <v>76.92</v>
      </c>
      <c r="AB1127" s="2687">
        <v>76.92</v>
      </c>
      <c r="AC1127" s="2663">
        <v>75.040000000000006</v>
      </c>
      <c r="AD1127" s="2686">
        <v>75.040000000000006</v>
      </c>
      <c r="AE1127" s="2686">
        <v>75.040000000000006</v>
      </c>
      <c r="AF1127" s="2236">
        <f t="shared" si="187"/>
        <v>400.38</v>
      </c>
      <c r="AG1127" s="2684"/>
      <c r="AU1127" s="1505"/>
      <c r="DG1127" s="2422">
        <f t="shared" si="188"/>
        <v>2.3173724487870828</v>
      </c>
      <c r="DH1127" s="2423" t="str">
        <f t="shared" si="189"/>
        <v>Cooling RES 12 Year EUL</v>
      </c>
      <c r="DI1127" s="2336">
        <f>(INDEX('Avoided Cost Benefits'!$B$4:$B$865,MATCH(DH1127,'Avoided Cost Benefits'!$A$4:$A$865,0)))*F1127</f>
        <v>695.2117346361249</v>
      </c>
      <c r="DJ1127" s="2424">
        <f t="shared" si="190"/>
        <v>300</v>
      </c>
    </row>
    <row r="1128" spans="1:114" s="7" customFormat="1">
      <c r="A1128" s="283"/>
      <c r="B1128" s="1454">
        <f t="shared" si="183"/>
        <v>405950</v>
      </c>
      <c r="C1128" s="2209" t="s">
        <v>3401</v>
      </c>
      <c r="D1128" s="2402" t="s">
        <v>959</v>
      </c>
      <c r="E1128" s="2662" t="s">
        <v>3402</v>
      </c>
      <c r="F1128" s="2663">
        <f>ROUND(($H$1166*$H$1156*(1/$H$1164-1/$H$1163)/1000*$F$1168),2)</f>
        <v>427.46</v>
      </c>
      <c r="G1128" s="2460" t="s">
        <v>1045</v>
      </c>
      <c r="H1128" s="2213">
        <f>VLOOKUP(G1128,'CP FACTORS'!$A$3:$B$38, 2, FALSE)</f>
        <v>9.4741810000000004E-4</v>
      </c>
      <c r="I1128" s="2404">
        <f t="shared" si="184"/>
        <v>0.40498299999999998</v>
      </c>
      <c r="J1128" s="2664">
        <f t="shared" si="185"/>
        <v>12</v>
      </c>
      <c r="K1128" s="2665">
        <f t="shared" si="186"/>
        <v>300</v>
      </c>
      <c r="L1128" s="2210" t="s">
        <v>62</v>
      </c>
      <c r="M1128" s="66"/>
      <c r="N1128" s="531"/>
      <c r="O1128" s="417"/>
      <c r="P1128" s="66"/>
      <c r="Q1128" s="66"/>
      <c r="R1128" s="532"/>
      <c r="S1128" s="66"/>
      <c r="T1128" s="66"/>
      <c r="U1128" s="66"/>
      <c r="V1128" s="2684" t="s">
        <v>45</v>
      </c>
      <c r="W1128" s="2685"/>
      <c r="X1128" s="2498">
        <v>898.77014282038067</v>
      </c>
      <c r="Y1128" s="2480">
        <v>195.22</v>
      </c>
      <c r="Z1128" s="2498">
        <v>195.22</v>
      </c>
      <c r="AA1128" s="2498">
        <v>195.22</v>
      </c>
      <c r="AB1128" s="2498">
        <v>195.22</v>
      </c>
      <c r="AC1128" s="2663">
        <v>190.46</v>
      </c>
      <c r="AD1128" s="2686">
        <v>190.46</v>
      </c>
      <c r="AE1128" s="2686">
        <v>190.46</v>
      </c>
      <c r="AF1128" s="2236">
        <f t="shared" si="187"/>
        <v>427.46</v>
      </c>
      <c r="AG1128" s="2684"/>
      <c r="AU1128" s="1505"/>
      <c r="DG1128" s="2422">
        <f t="shared" si="188"/>
        <v>2.4741096632162609</v>
      </c>
      <c r="DH1128" s="2423" t="str">
        <f t="shared" si="189"/>
        <v>Cooling RES 12 Year EUL</v>
      </c>
      <c r="DI1128" s="2336">
        <f>(INDEX('Avoided Cost Benefits'!$B$4:$B$865,MATCH(DH1128,'Avoided Cost Benefits'!$A$4:$A$865,0)))*F1128</f>
        <v>742.23289896487825</v>
      </c>
      <c r="DJ1128" s="2424">
        <f t="shared" si="190"/>
        <v>300</v>
      </c>
    </row>
    <row r="1129" spans="1:114" s="7" customFormat="1" ht="15.75" thickBot="1">
      <c r="A1129" s="283"/>
      <c r="B1129" s="1454">
        <f t="shared" si="183"/>
        <v>406000</v>
      </c>
      <c r="C1129" s="2008" t="s">
        <v>3403</v>
      </c>
      <c r="D1129" s="632" t="s">
        <v>1486</v>
      </c>
      <c r="E1129" s="432" t="s">
        <v>3404</v>
      </c>
      <c r="F1129" s="1554">
        <f>ROUND(($F$1166*$F$1156*(1/$F$1164-1/$F$1163)/1000*$F$1168),2)</f>
        <v>400.38</v>
      </c>
      <c r="G1129" s="630" t="s">
        <v>1045</v>
      </c>
      <c r="H1129" s="631">
        <f>VLOOKUP(G1129,'CP FACTORS'!$A$3:$B$38, 2, FALSE)</f>
        <v>9.4741810000000004E-4</v>
      </c>
      <c r="I1129" s="1489">
        <f t="shared" si="184"/>
        <v>0.37932700000000003</v>
      </c>
      <c r="J1129" s="2084">
        <f t="shared" si="185"/>
        <v>12</v>
      </c>
      <c r="K1129" s="2085">
        <f t="shared" si="186"/>
        <v>300</v>
      </c>
      <c r="L1129" s="632" t="s">
        <v>62</v>
      </c>
      <c r="M1129" s="66"/>
      <c r="N1129" s="531"/>
      <c r="O1129" s="417"/>
      <c r="P1129" s="66"/>
      <c r="Q1129" s="66"/>
      <c r="R1129" s="532"/>
      <c r="S1129" s="66"/>
      <c r="T1129" s="66"/>
      <c r="U1129" s="66"/>
      <c r="V1129" s="1494" t="s">
        <v>45</v>
      </c>
      <c r="W1129" s="1553">
        <v>40.971199412398086</v>
      </c>
      <c r="X1129" s="103">
        <v>49.727499015442788</v>
      </c>
      <c r="Y1129" s="39">
        <v>76.92</v>
      </c>
      <c r="Z1129" s="103">
        <v>76.92</v>
      </c>
      <c r="AA1129" s="103">
        <v>76.92</v>
      </c>
      <c r="AB1129" s="103">
        <v>76.92</v>
      </c>
      <c r="AC1129" s="1552">
        <v>75.040000000000006</v>
      </c>
      <c r="AD1129" s="1519">
        <v>75.040000000000006</v>
      </c>
      <c r="AE1129" s="1519">
        <v>75.040000000000006</v>
      </c>
      <c r="AF1129" s="271">
        <f t="shared" si="187"/>
        <v>400.38</v>
      </c>
      <c r="AG1129" s="1494"/>
      <c r="AU1129" s="1505"/>
      <c r="DG1129" s="1063">
        <f t="shared" si="188"/>
        <v>2.3173724487870828</v>
      </c>
      <c r="DH1129" s="673" t="str">
        <f t="shared" si="189"/>
        <v>Cooling RES 12 Year EUL</v>
      </c>
      <c r="DI1129" s="556">
        <f>(INDEX('Avoided Cost Benefits'!$B$4:$B$865,MATCH(DH1129,'Avoided Cost Benefits'!$A$4:$A$865,0)))*F1129</f>
        <v>695.2117346361249</v>
      </c>
      <c r="DJ1129" s="1170">
        <f t="shared" si="190"/>
        <v>300</v>
      </c>
    </row>
    <row r="1130" spans="1:114" s="7" customFormat="1">
      <c r="A1130" s="283"/>
      <c r="B1130" s="1454">
        <f t="shared" si="183"/>
        <v>405851</v>
      </c>
      <c r="C1130" s="2666" t="s">
        <v>3405</v>
      </c>
      <c r="D1130" s="2402" t="s">
        <v>959</v>
      </c>
      <c r="E1130" s="2667" t="s">
        <v>3406</v>
      </c>
      <c r="F1130" s="2668">
        <f>ROUND(($H$1166*$H$1157*(1/$H$1164-1/$H$1163)/1000*$F$1168),2)</f>
        <v>181.97</v>
      </c>
      <c r="G1130" s="2669" t="s">
        <v>1045</v>
      </c>
      <c r="H1130" s="2670">
        <f>VLOOKUP(G1130,'CP FACTORS'!$A$3:$B$38, 2, FALSE)</f>
        <v>9.4741810000000004E-4</v>
      </c>
      <c r="I1130" s="2671">
        <f t="shared" si="184"/>
        <v>0.172402</v>
      </c>
      <c r="J1130" s="2672">
        <f t="shared" si="185"/>
        <v>12</v>
      </c>
      <c r="K1130" s="2673">
        <f t="shared" si="186"/>
        <v>300</v>
      </c>
      <c r="L1130" s="2674" t="s">
        <v>62</v>
      </c>
      <c r="M1130" s="66"/>
      <c r="N1130" s="531"/>
      <c r="O1130" s="417"/>
      <c r="P1130" s="66"/>
      <c r="Q1130" s="66"/>
      <c r="R1130" s="532"/>
      <c r="S1130" s="66"/>
      <c r="T1130" s="66"/>
      <c r="U1130" s="66"/>
      <c r="V1130" s="2684" t="s">
        <v>45</v>
      </c>
      <c r="W1130" s="2685"/>
      <c r="X1130" s="2687"/>
      <c r="Y1130" s="2664">
        <v>83.11</v>
      </c>
      <c r="Z1130" s="2687">
        <v>83.11</v>
      </c>
      <c r="AA1130" s="2687">
        <v>83.11</v>
      </c>
      <c r="AB1130" s="2687">
        <v>83.11</v>
      </c>
      <c r="AC1130" s="2663">
        <v>81.08</v>
      </c>
      <c r="AD1130" s="2686">
        <v>81.08</v>
      </c>
      <c r="AE1130" s="2686">
        <v>81.08</v>
      </c>
      <c r="AF1130" s="2236">
        <f t="shared" si="187"/>
        <v>181.97</v>
      </c>
      <c r="AG1130" s="2684"/>
      <c r="AU1130" s="1505"/>
      <c r="DG1130" s="2422">
        <f t="shared" si="188"/>
        <v>1.0532300926764211</v>
      </c>
      <c r="DH1130" s="2423" t="str">
        <f t="shared" si="189"/>
        <v>Cooling RES 12 Year EUL</v>
      </c>
      <c r="DI1130" s="2336">
        <f>(INDEX('Avoided Cost Benefits'!$B$4:$B$865,MATCH(DH1130,'Avoided Cost Benefits'!$A$4:$A$865,0)))*F1130</f>
        <v>315.96902780292635</v>
      </c>
      <c r="DJ1130" s="2424">
        <f t="shared" si="190"/>
        <v>300</v>
      </c>
    </row>
    <row r="1131" spans="1:114" s="7" customFormat="1">
      <c r="A1131" s="283"/>
      <c r="B1131" s="1454">
        <f t="shared" si="183"/>
        <v>405901</v>
      </c>
      <c r="C1131" s="2209" t="s">
        <v>3407</v>
      </c>
      <c r="D1131" s="2402" t="s">
        <v>1486</v>
      </c>
      <c r="E1131" s="2662" t="s">
        <v>3408</v>
      </c>
      <c r="F1131" s="2663">
        <f>ROUND(($F$1166*$F$1157*(1/$F$1164-1/$F$1163)/1000*$F$1168),2)</f>
        <v>193.94</v>
      </c>
      <c r="G1131" s="2460" t="s">
        <v>1045</v>
      </c>
      <c r="H1131" s="2213">
        <f>VLOOKUP(G1131,'CP FACTORS'!$A$3:$B$38, 2, FALSE)</f>
        <v>9.4741810000000004E-4</v>
      </c>
      <c r="I1131" s="2404">
        <f t="shared" si="184"/>
        <v>0.18374199999999999</v>
      </c>
      <c r="J1131" s="2664">
        <f t="shared" si="185"/>
        <v>12</v>
      </c>
      <c r="K1131" s="2665">
        <f t="shared" si="186"/>
        <v>300</v>
      </c>
      <c r="L1131" s="2210" t="s">
        <v>62</v>
      </c>
      <c r="M1131" s="66"/>
      <c r="N1131" s="531"/>
      <c r="O1131" s="417"/>
      <c r="P1131" s="66"/>
      <c r="Q1131" s="66"/>
      <c r="R1131" s="532"/>
      <c r="S1131" s="66"/>
      <c r="T1131" s="66"/>
      <c r="U1131" s="66"/>
      <c r="V1131" s="2684" t="s">
        <v>45</v>
      </c>
      <c r="W1131" s="2685"/>
      <c r="X1131" s="2687"/>
      <c r="Y1131" s="2664">
        <v>37.26</v>
      </c>
      <c r="Z1131" s="2687">
        <v>37.26</v>
      </c>
      <c r="AA1131" s="2687">
        <v>37.26</v>
      </c>
      <c r="AB1131" s="2687">
        <v>37.26</v>
      </c>
      <c r="AC1131" s="2663">
        <v>36.35</v>
      </c>
      <c r="AD1131" s="2686">
        <v>36.35</v>
      </c>
      <c r="AE1131" s="2686">
        <v>36.35</v>
      </c>
      <c r="AF1131" s="2236">
        <f t="shared" si="187"/>
        <v>193.94</v>
      </c>
      <c r="AG1131" s="2684"/>
      <c r="AU1131" s="1505"/>
      <c r="DG1131" s="2422">
        <f t="shared" si="188"/>
        <v>1.1225116457309727</v>
      </c>
      <c r="DH1131" s="2423" t="str">
        <f t="shared" si="189"/>
        <v>Cooling RES 12 Year EUL</v>
      </c>
      <c r="DI1131" s="2336">
        <f>(INDEX('Avoided Cost Benefits'!$B$4:$B$865,MATCH(DH1131,'Avoided Cost Benefits'!$A$4:$A$865,0)))*F1131</f>
        <v>336.75349371929184</v>
      </c>
      <c r="DJ1131" s="2424">
        <f t="shared" si="190"/>
        <v>300</v>
      </c>
    </row>
    <row r="1132" spans="1:114" s="7" customFormat="1">
      <c r="A1132" s="283"/>
      <c r="B1132" s="1454">
        <f t="shared" si="183"/>
        <v>405951</v>
      </c>
      <c r="C1132" s="2209" t="s">
        <v>3409</v>
      </c>
      <c r="D1132" s="2402" t="s">
        <v>959</v>
      </c>
      <c r="E1132" s="2662" t="s">
        <v>3410</v>
      </c>
      <c r="F1132" s="2663">
        <f>ROUND(($H$1166*$H$1157*(1/$H$1164-1/$H$1163)/1000*$F$1168),2)</f>
        <v>181.97</v>
      </c>
      <c r="G1132" s="2460" t="s">
        <v>1045</v>
      </c>
      <c r="H1132" s="2213">
        <f>VLOOKUP(G1132,'CP FACTORS'!$A$3:$B$38, 2, FALSE)</f>
        <v>9.4741810000000004E-4</v>
      </c>
      <c r="I1132" s="2404">
        <f t="shared" si="184"/>
        <v>0.172402</v>
      </c>
      <c r="J1132" s="2664">
        <f t="shared" si="185"/>
        <v>12</v>
      </c>
      <c r="K1132" s="2665">
        <f t="shared" si="186"/>
        <v>300</v>
      </c>
      <c r="L1132" s="2210" t="s">
        <v>62</v>
      </c>
      <c r="M1132" s="66"/>
      <c r="N1132" s="531"/>
      <c r="O1132" s="417"/>
      <c r="P1132" s="66"/>
      <c r="Q1132" s="66"/>
      <c r="R1132" s="532"/>
      <c r="S1132" s="66"/>
      <c r="T1132" s="66"/>
      <c r="U1132" s="66"/>
      <c r="V1132" s="2684" t="s">
        <v>45</v>
      </c>
      <c r="W1132" s="2685"/>
      <c r="X1132" s="2687"/>
      <c r="Y1132" s="2664">
        <v>83.11</v>
      </c>
      <c r="Z1132" s="2687">
        <v>83.11</v>
      </c>
      <c r="AA1132" s="2687">
        <v>83.11</v>
      </c>
      <c r="AB1132" s="2687">
        <v>83.11</v>
      </c>
      <c r="AC1132" s="2663">
        <v>81.08</v>
      </c>
      <c r="AD1132" s="2686">
        <v>81.08</v>
      </c>
      <c r="AE1132" s="2686">
        <v>81.08</v>
      </c>
      <c r="AF1132" s="2236">
        <f t="shared" si="187"/>
        <v>181.97</v>
      </c>
      <c r="AG1132" s="2684"/>
      <c r="AU1132" s="1505"/>
      <c r="DG1132" s="2422">
        <f t="shared" si="188"/>
        <v>1.0532300926764211</v>
      </c>
      <c r="DH1132" s="2423" t="str">
        <f t="shared" si="189"/>
        <v>Cooling RES 12 Year EUL</v>
      </c>
      <c r="DI1132" s="2336">
        <f>(INDEX('Avoided Cost Benefits'!$B$4:$B$865,MATCH(DH1132,'Avoided Cost Benefits'!$A$4:$A$865,0)))*F1132</f>
        <v>315.96902780292635</v>
      </c>
      <c r="DJ1132" s="2424">
        <f t="shared" si="190"/>
        <v>300</v>
      </c>
    </row>
    <row r="1133" spans="1:114" s="7" customFormat="1" ht="15.75" thickBot="1">
      <c r="A1133" s="283"/>
      <c r="B1133" s="1454">
        <f t="shared" si="183"/>
        <v>406001</v>
      </c>
      <c r="C1133" s="2675" t="s">
        <v>3411</v>
      </c>
      <c r="D1133" s="2676" t="s">
        <v>1486</v>
      </c>
      <c r="E1133" s="2677" t="s">
        <v>3412</v>
      </c>
      <c r="F1133" s="2678">
        <f>ROUND(($F$1166*$F$1157*(1/$F$1164-1/$F$1163)/1000*$F$1168),2)</f>
        <v>193.94</v>
      </c>
      <c r="G1133" s="2679" t="s">
        <v>1045</v>
      </c>
      <c r="H1133" s="2680">
        <f>VLOOKUP(G1133,'CP FACTORS'!$A$3:$B$38, 2, FALSE)</f>
        <v>9.4741810000000004E-4</v>
      </c>
      <c r="I1133" s="2681">
        <f t="shared" si="184"/>
        <v>0.18374199999999999</v>
      </c>
      <c r="J1133" s="2682">
        <f t="shared" si="185"/>
        <v>12</v>
      </c>
      <c r="K1133" s="2683">
        <f t="shared" si="186"/>
        <v>300</v>
      </c>
      <c r="L1133" s="2676" t="s">
        <v>62</v>
      </c>
      <c r="M1133" s="66"/>
      <c r="N1133" s="531"/>
      <c r="O1133" s="417"/>
      <c r="P1133" s="66"/>
      <c r="Q1133" s="66"/>
      <c r="R1133" s="532"/>
      <c r="S1133" s="66"/>
      <c r="T1133" s="66"/>
      <c r="U1133" s="66"/>
      <c r="V1133" s="2684" t="s">
        <v>45</v>
      </c>
      <c r="W1133" s="2685"/>
      <c r="X1133" s="2687"/>
      <c r="Y1133" s="2664">
        <v>37.26</v>
      </c>
      <c r="Z1133" s="2687">
        <v>37.26</v>
      </c>
      <c r="AA1133" s="2687">
        <v>37.26</v>
      </c>
      <c r="AB1133" s="2687">
        <v>37.26</v>
      </c>
      <c r="AC1133" s="2663">
        <v>36.35</v>
      </c>
      <c r="AD1133" s="2686">
        <v>36.35</v>
      </c>
      <c r="AE1133" s="2686">
        <v>36.35</v>
      </c>
      <c r="AF1133" s="2236">
        <f t="shared" si="187"/>
        <v>193.94</v>
      </c>
      <c r="AG1133" s="2684"/>
      <c r="AU1133" s="1505"/>
      <c r="DG1133" s="2422">
        <f t="shared" si="188"/>
        <v>1.1225116457309727</v>
      </c>
      <c r="DH1133" s="2423" t="str">
        <f t="shared" si="189"/>
        <v>Cooling RES 12 Year EUL</v>
      </c>
      <c r="DI1133" s="2336">
        <f>(INDEX('Avoided Cost Benefits'!$B$4:$B$865,MATCH(DH1133,'Avoided Cost Benefits'!$A$4:$A$865,0)))*F1133</f>
        <v>336.75349371929184</v>
      </c>
      <c r="DJ1133" s="2424">
        <f t="shared" si="190"/>
        <v>300</v>
      </c>
    </row>
    <row r="1134" spans="1:114" s="7" customFormat="1">
      <c r="A1134" s="283"/>
      <c r="B1134" s="1454">
        <f t="shared" si="183"/>
        <v>405852</v>
      </c>
      <c r="C1134" s="2666" t="s">
        <v>3413</v>
      </c>
      <c r="D1134" s="2402" t="s">
        <v>959</v>
      </c>
      <c r="E1134" s="2667" t="s">
        <v>3414</v>
      </c>
      <c r="F1134" s="2668">
        <f>ROUND(($H$1166*$H$1158*(1/$H$1164-1/$H$1163)/1000*$F$1168),2)</f>
        <v>291.16000000000003</v>
      </c>
      <c r="G1134" s="2669" t="s">
        <v>1045</v>
      </c>
      <c r="H1134" s="2670">
        <f>VLOOKUP(G1134,'CP FACTORS'!$A$3:$B$38, 2, FALSE)</f>
        <v>9.4741810000000004E-4</v>
      </c>
      <c r="I1134" s="2671">
        <f t="shared" si="184"/>
        <v>0.27584999999999998</v>
      </c>
      <c r="J1134" s="2672">
        <f t="shared" si="185"/>
        <v>12</v>
      </c>
      <c r="K1134" s="2673">
        <f t="shared" si="186"/>
        <v>300</v>
      </c>
      <c r="L1134" s="2674" t="s">
        <v>62</v>
      </c>
      <c r="M1134" s="66"/>
      <c r="N1134" s="531"/>
      <c r="O1134" s="417"/>
      <c r="P1134" s="66"/>
      <c r="Q1134" s="66"/>
      <c r="R1134" s="532"/>
      <c r="S1134" s="66"/>
      <c r="T1134" s="66"/>
      <c r="U1134" s="66"/>
      <c r="V1134" s="2684" t="s">
        <v>45</v>
      </c>
      <c r="W1134" s="2685"/>
      <c r="X1134" s="2687"/>
      <c r="Y1134" s="2664">
        <v>132.97</v>
      </c>
      <c r="Z1134" s="2687">
        <v>132.97</v>
      </c>
      <c r="AA1134" s="2687">
        <v>132.97</v>
      </c>
      <c r="AB1134" s="2687">
        <v>132.97</v>
      </c>
      <c r="AC1134" s="2663">
        <v>129.72999999999999</v>
      </c>
      <c r="AD1134" s="2686">
        <v>129.72999999999999</v>
      </c>
      <c r="AE1134" s="2686">
        <v>129.72999999999999</v>
      </c>
      <c r="AF1134" s="2236">
        <f t="shared" si="187"/>
        <v>291.16000000000003</v>
      </c>
      <c r="AG1134" s="2684"/>
      <c r="AU1134" s="1505"/>
      <c r="DG1134" s="2422">
        <f t="shared" si="188"/>
        <v>1.6852144517429621</v>
      </c>
      <c r="DH1134" s="2423" t="str">
        <f t="shared" si="189"/>
        <v>Cooling RES 12 Year EUL</v>
      </c>
      <c r="DI1134" s="2336">
        <f>(INDEX('Avoided Cost Benefits'!$B$4:$B$865,MATCH(DH1134,'Avoided Cost Benefits'!$A$4:$A$865,0)))*F1134</f>
        <v>505.56433552288865</v>
      </c>
      <c r="DJ1134" s="2424">
        <f t="shared" si="190"/>
        <v>300</v>
      </c>
    </row>
    <row r="1135" spans="1:114" s="7" customFormat="1">
      <c r="A1135" s="283"/>
      <c r="B1135" s="1454">
        <f t="shared" si="183"/>
        <v>405902</v>
      </c>
      <c r="C1135" s="2209" t="s">
        <v>3415</v>
      </c>
      <c r="D1135" s="2402" t="s">
        <v>1486</v>
      </c>
      <c r="E1135" s="2662" t="s">
        <v>3416</v>
      </c>
      <c r="F1135" s="2663">
        <f>ROUND(($F$1166*$F$1158*(1/$F$1164-1/$F$1163)/1000*$F$1168),2)</f>
        <v>310.3</v>
      </c>
      <c r="G1135" s="2460" t="s">
        <v>1045</v>
      </c>
      <c r="H1135" s="2213">
        <f>VLOOKUP(G1135,'CP FACTORS'!$A$3:$B$38, 2, FALSE)</f>
        <v>9.4741810000000004E-4</v>
      </c>
      <c r="I1135" s="2404">
        <f t="shared" si="184"/>
        <v>0.29398400000000002</v>
      </c>
      <c r="J1135" s="2664">
        <f t="shared" si="185"/>
        <v>12</v>
      </c>
      <c r="K1135" s="2665">
        <f t="shared" si="186"/>
        <v>300</v>
      </c>
      <c r="L1135" s="2210" t="s">
        <v>62</v>
      </c>
      <c r="M1135" s="66"/>
      <c r="N1135" s="531"/>
      <c r="O1135" s="417"/>
      <c r="P1135" s="66"/>
      <c r="Q1135" s="66"/>
      <c r="R1135" s="532"/>
      <c r="S1135" s="66"/>
      <c r="T1135" s="66"/>
      <c r="U1135" s="66"/>
      <c r="V1135" s="2684" t="s">
        <v>45</v>
      </c>
      <c r="W1135" s="2685"/>
      <c r="X1135" s="2687"/>
      <c r="Y1135" s="2664">
        <v>59.61</v>
      </c>
      <c r="Z1135" s="2687">
        <v>59.61</v>
      </c>
      <c r="AA1135" s="2687">
        <v>59.61</v>
      </c>
      <c r="AB1135" s="2687">
        <v>59.61</v>
      </c>
      <c r="AC1135" s="2663">
        <v>58.16</v>
      </c>
      <c r="AD1135" s="2686">
        <v>58.16</v>
      </c>
      <c r="AE1135" s="2686">
        <v>58.16</v>
      </c>
      <c r="AF1135" s="2236">
        <f t="shared" si="187"/>
        <v>310.3</v>
      </c>
      <c r="AG1135" s="2684"/>
      <c r="AU1135" s="1505"/>
      <c r="DG1135" s="2422">
        <f t="shared" si="188"/>
        <v>1.7959954814392127</v>
      </c>
      <c r="DH1135" s="2423" t="str">
        <f t="shared" si="189"/>
        <v>Cooling RES 12 Year EUL</v>
      </c>
      <c r="DI1135" s="2336">
        <f>(INDEX('Avoided Cost Benefits'!$B$4:$B$865,MATCH(DH1135,'Avoided Cost Benefits'!$A$4:$A$865,0)))*F1135</f>
        <v>538.79864443176382</v>
      </c>
      <c r="DJ1135" s="2424">
        <f t="shared" si="190"/>
        <v>300</v>
      </c>
    </row>
    <row r="1136" spans="1:114" s="7" customFormat="1">
      <c r="A1136" s="283"/>
      <c r="B1136" s="1454">
        <f t="shared" si="183"/>
        <v>405952</v>
      </c>
      <c r="C1136" s="2209" t="s">
        <v>3417</v>
      </c>
      <c r="D1136" s="2402" t="s">
        <v>959</v>
      </c>
      <c r="E1136" s="2662" t="s">
        <v>3418</v>
      </c>
      <c r="F1136" s="2663">
        <f>ROUND(($H$1166*$H$1158*(1/$H$1164-1/$H$1163)/1000*$F$1168),2)</f>
        <v>291.16000000000003</v>
      </c>
      <c r="G1136" s="2460" t="s">
        <v>1045</v>
      </c>
      <c r="H1136" s="2213">
        <f>VLOOKUP(G1136,'CP FACTORS'!$A$3:$B$38, 2, FALSE)</f>
        <v>9.4741810000000004E-4</v>
      </c>
      <c r="I1136" s="2404">
        <f t="shared" si="184"/>
        <v>0.27584999999999998</v>
      </c>
      <c r="J1136" s="2664">
        <f t="shared" si="185"/>
        <v>12</v>
      </c>
      <c r="K1136" s="2665">
        <f t="shared" si="186"/>
        <v>300</v>
      </c>
      <c r="L1136" s="2210" t="s">
        <v>62</v>
      </c>
      <c r="M1136" s="66"/>
      <c r="N1136" s="531"/>
      <c r="O1136" s="417"/>
      <c r="P1136" s="66"/>
      <c r="Q1136" s="66"/>
      <c r="R1136" s="532"/>
      <c r="S1136" s="66"/>
      <c r="T1136" s="66"/>
      <c r="U1136" s="66"/>
      <c r="V1136" s="2684" t="s">
        <v>45</v>
      </c>
      <c r="W1136" s="2685"/>
      <c r="X1136" s="2687"/>
      <c r="Y1136" s="2664">
        <v>132.97</v>
      </c>
      <c r="Z1136" s="2687">
        <v>132.97</v>
      </c>
      <c r="AA1136" s="2687">
        <v>132.97</v>
      </c>
      <c r="AB1136" s="2687">
        <v>132.97</v>
      </c>
      <c r="AC1136" s="2663">
        <v>129.72999999999999</v>
      </c>
      <c r="AD1136" s="2686">
        <v>129.72999999999999</v>
      </c>
      <c r="AE1136" s="2686">
        <v>129.72999999999999</v>
      </c>
      <c r="AF1136" s="2236">
        <f t="shared" si="187"/>
        <v>291.16000000000003</v>
      </c>
      <c r="AG1136" s="2684"/>
      <c r="AU1136" s="1505"/>
      <c r="DG1136" s="2422">
        <f t="shared" si="188"/>
        <v>1.6852144517429621</v>
      </c>
      <c r="DH1136" s="2423" t="str">
        <f t="shared" si="189"/>
        <v>Cooling RES 12 Year EUL</v>
      </c>
      <c r="DI1136" s="2336">
        <f>(INDEX('Avoided Cost Benefits'!$B$4:$B$865,MATCH(DH1136,'Avoided Cost Benefits'!$A$4:$A$865,0)))*F1136</f>
        <v>505.56433552288865</v>
      </c>
      <c r="DJ1136" s="2424">
        <f t="shared" si="190"/>
        <v>300</v>
      </c>
    </row>
    <row r="1137" spans="1:114" s="7" customFormat="1" ht="15.75" thickBot="1">
      <c r="A1137" s="283"/>
      <c r="B1137" s="1454">
        <f t="shared" si="183"/>
        <v>406002</v>
      </c>
      <c r="C1137" s="2675" t="s">
        <v>3419</v>
      </c>
      <c r="D1137" s="2676" t="s">
        <v>1486</v>
      </c>
      <c r="E1137" s="2677" t="s">
        <v>3420</v>
      </c>
      <c r="F1137" s="2678">
        <f>ROUND(($F$1166*$F$1158*(1/$F$1164-1/$F$1163)/1000*$F$1168),2)</f>
        <v>310.3</v>
      </c>
      <c r="G1137" s="2679" t="s">
        <v>1045</v>
      </c>
      <c r="H1137" s="2680">
        <f>VLOOKUP(G1137,'CP FACTORS'!$A$3:$B$38, 2, FALSE)</f>
        <v>9.4741810000000004E-4</v>
      </c>
      <c r="I1137" s="2681">
        <f t="shared" si="184"/>
        <v>0.29398400000000002</v>
      </c>
      <c r="J1137" s="2682">
        <f t="shared" si="185"/>
        <v>12</v>
      </c>
      <c r="K1137" s="2683">
        <f t="shared" si="186"/>
        <v>300</v>
      </c>
      <c r="L1137" s="2676" t="s">
        <v>62</v>
      </c>
      <c r="M1137" s="66"/>
      <c r="N1137" s="531"/>
      <c r="O1137" s="417"/>
      <c r="P1137" s="66"/>
      <c r="Q1137" s="66"/>
      <c r="R1137" s="532"/>
      <c r="S1137" s="66"/>
      <c r="T1137" s="66"/>
      <c r="U1137" s="66"/>
      <c r="V1137" s="2684" t="s">
        <v>45</v>
      </c>
      <c r="W1137" s="2685"/>
      <c r="X1137" s="2687"/>
      <c r="Y1137" s="2664">
        <v>59.61</v>
      </c>
      <c r="Z1137" s="2687">
        <v>59.61</v>
      </c>
      <c r="AA1137" s="2687">
        <v>59.61</v>
      </c>
      <c r="AB1137" s="2687">
        <v>59.61</v>
      </c>
      <c r="AC1137" s="2663">
        <v>58.16</v>
      </c>
      <c r="AD1137" s="2686">
        <v>58.16</v>
      </c>
      <c r="AE1137" s="2686">
        <v>58.16</v>
      </c>
      <c r="AF1137" s="2236">
        <f t="shared" si="187"/>
        <v>310.3</v>
      </c>
      <c r="AG1137" s="2684"/>
      <c r="AU1137" s="1505"/>
      <c r="DG1137" s="2422">
        <f t="shared" si="188"/>
        <v>1.7959954814392127</v>
      </c>
      <c r="DH1137" s="2423" t="str">
        <f t="shared" si="189"/>
        <v>Cooling RES 12 Year EUL</v>
      </c>
      <c r="DI1137" s="2336">
        <f>(INDEX('Avoided Cost Benefits'!$B$4:$B$865,MATCH(DH1137,'Avoided Cost Benefits'!$A$4:$A$865,0)))*F1137</f>
        <v>538.79864443176382</v>
      </c>
      <c r="DJ1137" s="2424">
        <f t="shared" si="190"/>
        <v>300</v>
      </c>
    </row>
    <row r="1138" spans="1:114" s="7" customFormat="1">
      <c r="A1138" s="283"/>
      <c r="B1138" s="1454">
        <f t="shared" si="183"/>
        <v>405853</v>
      </c>
      <c r="C1138" s="2666" t="s">
        <v>3421</v>
      </c>
      <c r="D1138" s="2402" t="s">
        <v>959</v>
      </c>
      <c r="E1138" s="2667" t="s">
        <v>3422</v>
      </c>
      <c r="F1138" s="2668">
        <f>ROUND(($H$1166*$H$1159*(1/$H$1164-1/$H$1163)/1000*$F$1168),2)</f>
        <v>363.95</v>
      </c>
      <c r="G1138" s="2669" t="s">
        <v>1045</v>
      </c>
      <c r="H1138" s="2670">
        <f>VLOOKUP(G1138,'CP FACTORS'!$A$3:$B$38, 2, FALSE)</f>
        <v>9.4741810000000004E-4</v>
      </c>
      <c r="I1138" s="2671">
        <f t="shared" si="184"/>
        <v>0.34481299999999998</v>
      </c>
      <c r="J1138" s="2672">
        <f t="shared" si="185"/>
        <v>12</v>
      </c>
      <c r="K1138" s="2673">
        <f t="shared" si="186"/>
        <v>300</v>
      </c>
      <c r="L1138" s="2674" t="s">
        <v>62</v>
      </c>
      <c r="M1138" s="66"/>
      <c r="N1138" s="531"/>
      <c r="O1138" s="417"/>
      <c r="P1138" s="66"/>
      <c r="Q1138" s="66"/>
      <c r="R1138" s="532"/>
      <c r="S1138" s="66"/>
      <c r="T1138" s="66"/>
      <c r="U1138" s="66"/>
      <c r="V1138" s="2684" t="s">
        <v>45</v>
      </c>
      <c r="W1138" s="2685"/>
      <c r="X1138" s="2687"/>
      <c r="Y1138" s="2664">
        <v>166.22</v>
      </c>
      <c r="Z1138" s="2687">
        <v>166.22</v>
      </c>
      <c r="AA1138" s="2687">
        <v>166.22</v>
      </c>
      <c r="AB1138" s="2687">
        <v>166.22</v>
      </c>
      <c r="AC1138" s="2663">
        <v>162.16</v>
      </c>
      <c r="AD1138" s="2686">
        <v>162.16</v>
      </c>
      <c r="AE1138" s="2686">
        <v>162.16</v>
      </c>
      <c r="AF1138" s="2236">
        <f t="shared" si="187"/>
        <v>363.95</v>
      </c>
      <c r="AG1138" s="2684"/>
      <c r="AU1138" s="1505"/>
      <c r="DG1138" s="2422">
        <f t="shared" si="188"/>
        <v>2.1065180646787027</v>
      </c>
      <c r="DH1138" s="2423" t="str">
        <f t="shared" si="189"/>
        <v>Cooling RES 12 Year EUL</v>
      </c>
      <c r="DI1138" s="2336">
        <f>(INDEX('Avoided Cost Benefits'!$B$4:$B$865,MATCH(DH1138,'Avoided Cost Benefits'!$A$4:$A$865,0)))*F1138</f>
        <v>631.95541940361079</v>
      </c>
      <c r="DJ1138" s="2424">
        <f t="shared" si="190"/>
        <v>300</v>
      </c>
    </row>
    <row r="1139" spans="1:114" s="7" customFormat="1">
      <c r="A1139" s="283"/>
      <c r="B1139" s="1454">
        <f t="shared" si="183"/>
        <v>405903</v>
      </c>
      <c r="C1139" s="2209" t="s">
        <v>3423</v>
      </c>
      <c r="D1139" s="2402" t="s">
        <v>1486</v>
      </c>
      <c r="E1139" s="2662" t="s">
        <v>3424</v>
      </c>
      <c r="F1139" s="2663">
        <f>ROUND(($F$1166*$F$1159*(1/$F$1164-1/$F$1163)/1000*$F$1168),2)</f>
        <v>387.88</v>
      </c>
      <c r="G1139" s="2460" t="s">
        <v>1045</v>
      </c>
      <c r="H1139" s="2213">
        <f>VLOOKUP(G1139,'CP FACTORS'!$A$3:$B$38, 2, FALSE)</f>
        <v>9.4741810000000004E-4</v>
      </c>
      <c r="I1139" s="2404">
        <f t="shared" si="184"/>
        <v>0.36748500000000001</v>
      </c>
      <c r="J1139" s="2664">
        <f t="shared" si="185"/>
        <v>12</v>
      </c>
      <c r="K1139" s="2665">
        <f t="shared" si="186"/>
        <v>300</v>
      </c>
      <c r="L1139" s="2210" t="s">
        <v>62</v>
      </c>
      <c r="M1139" s="66"/>
      <c r="N1139" s="531"/>
      <c r="O1139" s="417"/>
      <c r="P1139" s="66"/>
      <c r="Q1139" s="66"/>
      <c r="R1139" s="532"/>
      <c r="S1139" s="66"/>
      <c r="T1139" s="66"/>
      <c r="U1139" s="66"/>
      <c r="V1139" s="2684" t="s">
        <v>45</v>
      </c>
      <c r="W1139" s="2685"/>
      <c r="X1139" s="2687"/>
      <c r="Y1139" s="2664">
        <v>74.52</v>
      </c>
      <c r="Z1139" s="2687">
        <v>74.52</v>
      </c>
      <c r="AA1139" s="2687">
        <v>74.52</v>
      </c>
      <c r="AB1139" s="2687">
        <v>74.52</v>
      </c>
      <c r="AC1139" s="2663">
        <v>72.7</v>
      </c>
      <c r="AD1139" s="2686">
        <v>72.7</v>
      </c>
      <c r="AE1139" s="2686">
        <v>72.7</v>
      </c>
      <c r="AF1139" s="2236">
        <f t="shared" si="187"/>
        <v>387.88</v>
      </c>
      <c r="AG1139" s="2684"/>
      <c r="AU1139" s="1505"/>
      <c r="DG1139" s="2422">
        <f t="shared" si="188"/>
        <v>2.2450232914619455</v>
      </c>
      <c r="DH1139" s="2423" t="str">
        <f t="shared" si="189"/>
        <v>Cooling RES 12 Year EUL</v>
      </c>
      <c r="DI1139" s="2336">
        <f>(INDEX('Avoided Cost Benefits'!$B$4:$B$865,MATCH(DH1139,'Avoided Cost Benefits'!$A$4:$A$865,0)))*F1139</f>
        <v>673.50698743858368</v>
      </c>
      <c r="DJ1139" s="2424">
        <f t="shared" si="190"/>
        <v>300</v>
      </c>
    </row>
    <row r="1140" spans="1:114" s="7" customFormat="1">
      <c r="A1140" s="283"/>
      <c r="B1140" s="1454">
        <f t="shared" si="183"/>
        <v>405953</v>
      </c>
      <c r="C1140" s="2209" t="s">
        <v>3425</v>
      </c>
      <c r="D1140" s="2402" t="s">
        <v>959</v>
      </c>
      <c r="E1140" s="2662" t="s">
        <v>3426</v>
      </c>
      <c r="F1140" s="2663">
        <f>ROUND(($H$1166*$H$1159*(1/$H$1164-1/$H$1163)/1000*$F$1168),2)</f>
        <v>363.95</v>
      </c>
      <c r="G1140" s="2460" t="s">
        <v>1045</v>
      </c>
      <c r="H1140" s="2213">
        <f>VLOOKUP(G1140,'CP FACTORS'!$A$3:$B$38, 2, FALSE)</f>
        <v>9.4741810000000004E-4</v>
      </c>
      <c r="I1140" s="2404">
        <f t="shared" si="184"/>
        <v>0.34481299999999998</v>
      </c>
      <c r="J1140" s="2664">
        <f t="shared" si="185"/>
        <v>12</v>
      </c>
      <c r="K1140" s="2665">
        <f t="shared" si="186"/>
        <v>300</v>
      </c>
      <c r="L1140" s="2210" t="s">
        <v>62</v>
      </c>
      <c r="M1140" s="66"/>
      <c r="N1140" s="531"/>
      <c r="O1140" s="417"/>
      <c r="P1140" s="66"/>
      <c r="Q1140" s="66"/>
      <c r="R1140" s="532"/>
      <c r="S1140" s="66"/>
      <c r="T1140" s="66"/>
      <c r="U1140" s="66"/>
      <c r="V1140" s="2684" t="s">
        <v>45</v>
      </c>
      <c r="W1140" s="2685"/>
      <c r="X1140" s="2687"/>
      <c r="Y1140" s="2664">
        <v>166.22</v>
      </c>
      <c r="Z1140" s="2687">
        <v>166.22</v>
      </c>
      <c r="AA1140" s="2687">
        <v>166.22</v>
      </c>
      <c r="AB1140" s="2687">
        <v>166.22</v>
      </c>
      <c r="AC1140" s="2663">
        <v>162.16</v>
      </c>
      <c r="AD1140" s="2686">
        <v>162.16</v>
      </c>
      <c r="AE1140" s="2686">
        <v>162.16</v>
      </c>
      <c r="AF1140" s="2236">
        <f t="shared" si="187"/>
        <v>363.95</v>
      </c>
      <c r="AG1140" s="2684"/>
      <c r="AU1140" s="1505"/>
      <c r="DG1140" s="2422">
        <f t="shared" si="188"/>
        <v>2.1065180646787027</v>
      </c>
      <c r="DH1140" s="2423" t="str">
        <f t="shared" si="189"/>
        <v>Cooling RES 12 Year EUL</v>
      </c>
      <c r="DI1140" s="2336">
        <f>(INDEX('Avoided Cost Benefits'!$B$4:$B$865,MATCH(DH1140,'Avoided Cost Benefits'!$A$4:$A$865,0)))*F1140</f>
        <v>631.95541940361079</v>
      </c>
      <c r="DJ1140" s="2424">
        <f t="shared" si="190"/>
        <v>300</v>
      </c>
    </row>
    <row r="1141" spans="1:114" s="7" customFormat="1" ht="15.75" thickBot="1">
      <c r="A1141" s="283"/>
      <c r="B1141" s="1454">
        <f t="shared" si="183"/>
        <v>406003</v>
      </c>
      <c r="C1141" s="2675" t="s">
        <v>3427</v>
      </c>
      <c r="D1141" s="2676" t="s">
        <v>1486</v>
      </c>
      <c r="E1141" s="2677" t="s">
        <v>3428</v>
      </c>
      <c r="F1141" s="2678">
        <f>ROUND(($F$1166*$F$1159*(1/$F$1164-1/$F$1163)/1000*$F$1168),2)</f>
        <v>387.88</v>
      </c>
      <c r="G1141" s="2679" t="s">
        <v>1045</v>
      </c>
      <c r="H1141" s="2680">
        <f>VLOOKUP(G1141,'CP FACTORS'!$A$3:$B$38, 2, FALSE)</f>
        <v>9.4741810000000004E-4</v>
      </c>
      <c r="I1141" s="2681">
        <f t="shared" si="184"/>
        <v>0.36748500000000001</v>
      </c>
      <c r="J1141" s="2682">
        <f t="shared" si="185"/>
        <v>12</v>
      </c>
      <c r="K1141" s="2683">
        <f t="shared" si="186"/>
        <v>300</v>
      </c>
      <c r="L1141" s="2676" t="s">
        <v>62</v>
      </c>
      <c r="M1141" s="66"/>
      <c r="N1141" s="531"/>
      <c r="O1141" s="417"/>
      <c r="P1141" s="66"/>
      <c r="Q1141" s="66"/>
      <c r="R1141" s="532"/>
      <c r="S1141" s="66"/>
      <c r="T1141" s="66"/>
      <c r="U1141" s="66"/>
      <c r="V1141" s="2684" t="s">
        <v>45</v>
      </c>
      <c r="W1141" s="2685"/>
      <c r="X1141" s="2687"/>
      <c r="Y1141" s="2664">
        <v>74.52</v>
      </c>
      <c r="Z1141" s="2687">
        <v>74.52</v>
      </c>
      <c r="AA1141" s="2687">
        <v>74.52</v>
      </c>
      <c r="AB1141" s="2687">
        <v>74.52</v>
      </c>
      <c r="AC1141" s="2663">
        <v>72.7</v>
      </c>
      <c r="AD1141" s="2686">
        <v>72.7</v>
      </c>
      <c r="AE1141" s="2686">
        <v>72.7</v>
      </c>
      <c r="AF1141" s="2236">
        <f t="shared" si="187"/>
        <v>387.88</v>
      </c>
      <c r="AG1141" s="2684"/>
      <c r="AU1141" s="1505"/>
      <c r="DG1141" s="2422">
        <f t="shared" si="188"/>
        <v>2.2450232914619455</v>
      </c>
      <c r="DH1141" s="2423" t="str">
        <f t="shared" si="189"/>
        <v>Cooling RES 12 Year EUL</v>
      </c>
      <c r="DI1141" s="2336">
        <f>(INDEX('Avoided Cost Benefits'!$B$4:$B$865,MATCH(DH1141,'Avoided Cost Benefits'!$A$4:$A$865,0)))*F1141</f>
        <v>673.50698743858368</v>
      </c>
      <c r="DJ1141" s="2424">
        <f t="shared" si="190"/>
        <v>300</v>
      </c>
    </row>
    <row r="1142" spans="1:114" s="7" customFormat="1">
      <c r="A1142" s="283"/>
      <c r="B1142" s="1454">
        <f t="shared" si="183"/>
        <v>405854</v>
      </c>
      <c r="C1142" s="2666" t="s">
        <v>3429</v>
      </c>
      <c r="D1142" s="2402" t="s">
        <v>959</v>
      </c>
      <c r="E1142" s="2667" t="s">
        <v>3430</v>
      </c>
      <c r="F1142" s="2668">
        <f>ROUND(($H$1166*$H$1160*(1/$H$1164-1/$H$1163)/1000*$F$1168),2)</f>
        <v>436.74</v>
      </c>
      <c r="G1142" s="2669" t="s">
        <v>1045</v>
      </c>
      <c r="H1142" s="2670">
        <f>VLOOKUP(G1142,'CP FACTORS'!$A$3:$B$38, 2, FALSE)</f>
        <v>9.4741810000000004E-4</v>
      </c>
      <c r="I1142" s="2671">
        <f t="shared" si="184"/>
        <v>0.413775</v>
      </c>
      <c r="J1142" s="2672">
        <f t="shared" si="185"/>
        <v>12</v>
      </c>
      <c r="K1142" s="2673">
        <f t="shared" si="186"/>
        <v>300</v>
      </c>
      <c r="L1142" s="2674" t="s">
        <v>62</v>
      </c>
      <c r="M1142" s="66"/>
      <c r="N1142" s="531"/>
      <c r="O1142" s="417"/>
      <c r="P1142" s="66"/>
      <c r="Q1142" s="66"/>
      <c r="R1142" s="532"/>
      <c r="S1142" s="66"/>
      <c r="T1142" s="66"/>
      <c r="U1142" s="66"/>
      <c r="V1142" s="2684" t="s">
        <v>45</v>
      </c>
      <c r="W1142" s="2685"/>
      <c r="X1142" s="2687"/>
      <c r="Y1142" s="2664">
        <v>199.46</v>
      </c>
      <c r="Z1142" s="2687">
        <v>199.46</v>
      </c>
      <c r="AA1142" s="2687">
        <v>199.46</v>
      </c>
      <c r="AB1142" s="2687">
        <v>199.46</v>
      </c>
      <c r="AC1142" s="2663">
        <v>194.59</v>
      </c>
      <c r="AD1142" s="2686">
        <v>194.59</v>
      </c>
      <c r="AE1142" s="2686">
        <v>194.59</v>
      </c>
      <c r="AF1142" s="2236">
        <f t="shared" si="187"/>
        <v>436.74</v>
      </c>
      <c r="AG1142" s="2684"/>
      <c r="AU1142" s="1505"/>
      <c r="DG1142" s="2422">
        <f t="shared" si="188"/>
        <v>2.5278216776144431</v>
      </c>
      <c r="DH1142" s="2423" t="str">
        <f t="shared" si="189"/>
        <v>Cooling RES 12 Year EUL</v>
      </c>
      <c r="DI1142" s="2336">
        <f>(INDEX('Avoided Cost Benefits'!$B$4:$B$865,MATCH(DH1142,'Avoided Cost Benefits'!$A$4:$A$865,0)))*F1142</f>
        <v>758.34650328433293</v>
      </c>
      <c r="DJ1142" s="2424">
        <f t="shared" si="190"/>
        <v>300</v>
      </c>
    </row>
    <row r="1143" spans="1:114" s="7" customFormat="1">
      <c r="A1143" s="283"/>
      <c r="B1143" s="1454">
        <f t="shared" si="183"/>
        <v>405904</v>
      </c>
      <c r="C1143" s="2209" t="s">
        <v>3431</v>
      </c>
      <c r="D1143" s="2402" t="s">
        <v>1486</v>
      </c>
      <c r="E1143" s="2662" t="s">
        <v>3432</v>
      </c>
      <c r="F1143" s="2663">
        <f>ROUND(($F$1166*$F$1160*(1/$F$1164-1/$F$1163)/1000*$F$1168),2)</f>
        <v>465.46</v>
      </c>
      <c r="G1143" s="2460" t="s">
        <v>1045</v>
      </c>
      <c r="H1143" s="2213">
        <f>VLOOKUP(G1143,'CP FACTORS'!$A$3:$B$38, 2, FALSE)</f>
        <v>9.4741810000000004E-4</v>
      </c>
      <c r="I1143" s="2404">
        <f t="shared" si="184"/>
        <v>0.44098500000000002</v>
      </c>
      <c r="J1143" s="2664">
        <f t="shared" si="185"/>
        <v>12</v>
      </c>
      <c r="K1143" s="2665">
        <f t="shared" si="186"/>
        <v>300</v>
      </c>
      <c r="L1143" s="2210" t="s">
        <v>62</v>
      </c>
      <c r="M1143" s="66"/>
      <c r="N1143" s="531"/>
      <c r="O1143" s="417"/>
      <c r="P1143" s="66"/>
      <c r="Q1143" s="66"/>
      <c r="R1143" s="532"/>
      <c r="S1143" s="66"/>
      <c r="T1143" s="66"/>
      <c r="U1143" s="66"/>
      <c r="V1143" s="2684" t="s">
        <v>45</v>
      </c>
      <c r="W1143" s="2685"/>
      <c r="X1143" s="2687"/>
      <c r="Y1143" s="2664">
        <v>89.42</v>
      </c>
      <c r="Z1143" s="2687">
        <v>89.42</v>
      </c>
      <c r="AA1143" s="2687">
        <v>89.42</v>
      </c>
      <c r="AB1143" s="2687">
        <v>89.42</v>
      </c>
      <c r="AC1143" s="2663">
        <v>87.24</v>
      </c>
      <c r="AD1143" s="2686">
        <v>87.24</v>
      </c>
      <c r="AE1143" s="2686">
        <v>87.24</v>
      </c>
      <c r="AF1143" s="2236">
        <f t="shared" si="187"/>
        <v>465.46</v>
      </c>
      <c r="AG1143" s="2684"/>
      <c r="AU1143" s="1505"/>
      <c r="DG1143" s="2422">
        <f t="shared" si="188"/>
        <v>2.6940511014846789</v>
      </c>
      <c r="DH1143" s="2423" t="str">
        <f t="shared" si="189"/>
        <v>Cooling RES 12 Year EUL</v>
      </c>
      <c r="DI1143" s="2336">
        <f>(INDEX('Avoided Cost Benefits'!$B$4:$B$865,MATCH(DH1143,'Avoided Cost Benefits'!$A$4:$A$865,0)))*F1143</f>
        <v>808.21533044540365</v>
      </c>
      <c r="DJ1143" s="2424">
        <f t="shared" si="190"/>
        <v>300</v>
      </c>
    </row>
    <row r="1144" spans="1:114" s="7" customFormat="1">
      <c r="A1144" s="283"/>
      <c r="B1144" s="1454">
        <f t="shared" si="183"/>
        <v>405954</v>
      </c>
      <c r="C1144" s="2209" t="s">
        <v>3433</v>
      </c>
      <c r="D1144" s="2402" t="s">
        <v>959</v>
      </c>
      <c r="E1144" s="2662" t="s">
        <v>3434</v>
      </c>
      <c r="F1144" s="2663">
        <f>ROUND(($H$1166*$H$1160*(1/$H$1164-1/$H$1163)/1000*$F$1168),2)</f>
        <v>436.74</v>
      </c>
      <c r="G1144" s="2460" t="s">
        <v>1045</v>
      </c>
      <c r="H1144" s="2213">
        <f>VLOOKUP(G1144,'CP FACTORS'!$A$3:$B$38, 2, FALSE)</f>
        <v>9.4741810000000004E-4</v>
      </c>
      <c r="I1144" s="2404">
        <f t="shared" si="184"/>
        <v>0.413775</v>
      </c>
      <c r="J1144" s="2664">
        <f t="shared" si="185"/>
        <v>12</v>
      </c>
      <c r="K1144" s="2665">
        <f t="shared" si="186"/>
        <v>300</v>
      </c>
      <c r="L1144" s="2210" t="s">
        <v>62</v>
      </c>
      <c r="M1144" s="66"/>
      <c r="N1144" s="531"/>
      <c r="O1144" s="417"/>
      <c r="P1144" s="66"/>
      <c r="Q1144" s="66"/>
      <c r="R1144" s="532"/>
      <c r="S1144" s="66"/>
      <c r="T1144" s="66"/>
      <c r="U1144" s="66"/>
      <c r="V1144" s="2684" t="s">
        <v>45</v>
      </c>
      <c r="W1144" s="2685"/>
      <c r="X1144" s="2687"/>
      <c r="Y1144" s="2664">
        <v>199.46</v>
      </c>
      <c r="Z1144" s="2687">
        <v>199.46</v>
      </c>
      <c r="AA1144" s="2687">
        <v>199.46</v>
      </c>
      <c r="AB1144" s="2687">
        <v>199.46</v>
      </c>
      <c r="AC1144" s="2663">
        <v>194.59</v>
      </c>
      <c r="AD1144" s="2686">
        <v>194.59</v>
      </c>
      <c r="AE1144" s="2686">
        <v>194.59</v>
      </c>
      <c r="AF1144" s="2236">
        <f t="shared" si="187"/>
        <v>436.74</v>
      </c>
      <c r="AG1144" s="2684"/>
      <c r="AU1144" s="1505"/>
      <c r="DG1144" s="2422">
        <f t="shared" si="188"/>
        <v>2.5278216776144431</v>
      </c>
      <c r="DH1144" s="2423" t="str">
        <f t="shared" si="189"/>
        <v>Cooling RES 12 Year EUL</v>
      </c>
      <c r="DI1144" s="2336">
        <f>(INDEX('Avoided Cost Benefits'!$B$4:$B$865,MATCH(DH1144,'Avoided Cost Benefits'!$A$4:$A$865,0)))*F1144</f>
        <v>758.34650328433293</v>
      </c>
      <c r="DJ1144" s="2424">
        <f t="shared" si="190"/>
        <v>300</v>
      </c>
    </row>
    <row r="1145" spans="1:114" s="7" customFormat="1" ht="15.75" thickBot="1">
      <c r="A1145" s="283"/>
      <c r="B1145" s="1454">
        <f t="shared" si="183"/>
        <v>406004</v>
      </c>
      <c r="C1145" s="2008" t="s">
        <v>3435</v>
      </c>
      <c r="D1145" s="632" t="s">
        <v>1486</v>
      </c>
      <c r="E1145" s="432" t="s">
        <v>3436</v>
      </c>
      <c r="F1145" s="1554">
        <f>ROUND(($F$1166*$F$1160*(1/$F$1164-1/$F$1163)/1000*$F$1168),2)</f>
        <v>465.46</v>
      </c>
      <c r="G1145" s="630" t="s">
        <v>1045</v>
      </c>
      <c r="H1145" s="631">
        <f>VLOOKUP(G1145,'CP FACTORS'!$A$3:$B$38, 2, FALSE)</f>
        <v>9.4741810000000004E-4</v>
      </c>
      <c r="I1145" s="1489">
        <f t="shared" si="184"/>
        <v>0.44098500000000002</v>
      </c>
      <c r="J1145" s="2084">
        <f t="shared" si="185"/>
        <v>12</v>
      </c>
      <c r="K1145" s="2085">
        <f t="shared" si="186"/>
        <v>300</v>
      </c>
      <c r="L1145" s="632" t="s">
        <v>62</v>
      </c>
      <c r="M1145" s="66"/>
      <c r="N1145" s="531"/>
      <c r="O1145" s="417"/>
      <c r="P1145" s="66"/>
      <c r="Q1145" s="66"/>
      <c r="R1145" s="532"/>
      <c r="S1145" s="66"/>
      <c r="T1145" s="66"/>
      <c r="U1145" s="66"/>
      <c r="V1145" s="1494" t="s">
        <v>45</v>
      </c>
      <c r="W1145" s="1553"/>
      <c r="X1145" s="103"/>
      <c r="Y1145" s="39">
        <v>89.42</v>
      </c>
      <c r="Z1145" s="103">
        <v>89.42</v>
      </c>
      <c r="AA1145" s="103">
        <v>89.42</v>
      </c>
      <c r="AB1145" s="103">
        <v>89.42</v>
      </c>
      <c r="AC1145" s="1552">
        <v>87.24</v>
      </c>
      <c r="AD1145" s="1519">
        <v>87.24</v>
      </c>
      <c r="AE1145" s="1519">
        <v>87.24</v>
      </c>
      <c r="AF1145" s="271">
        <f t="shared" si="187"/>
        <v>465.46</v>
      </c>
      <c r="AG1145" s="1494"/>
      <c r="AU1145" s="1505"/>
      <c r="DG1145" s="1063">
        <f t="shared" si="188"/>
        <v>2.6940511014846789</v>
      </c>
      <c r="DH1145" s="673" t="str">
        <f t="shared" si="189"/>
        <v>Cooling RES 12 Year EUL</v>
      </c>
      <c r="DI1145" s="556">
        <f>(INDEX('Avoided Cost Benefits'!$B$4:$B$865,MATCH(DH1145,'Avoided Cost Benefits'!$A$4:$A$865,0)))*F1145</f>
        <v>808.21533044540365</v>
      </c>
      <c r="DJ1145" s="1170">
        <f t="shared" si="190"/>
        <v>300</v>
      </c>
    </row>
    <row r="1146" spans="1:114" s="7" customFormat="1">
      <c r="A1146" s="283"/>
      <c r="B1146" s="1454">
        <f t="shared" si="183"/>
        <v>405855</v>
      </c>
      <c r="C1146" s="2666" t="s">
        <v>3437</v>
      </c>
      <c r="D1146" s="2402" t="s">
        <v>959</v>
      </c>
      <c r="E1146" s="2667" t="s">
        <v>3438</v>
      </c>
      <c r="F1146" s="2668">
        <f>ROUND(($H$1166*$H$1161*(1/$H$1164-1/$H$1163)/1000*$F$1168),2)</f>
        <v>545.91999999999996</v>
      </c>
      <c r="G1146" s="2669" t="s">
        <v>1045</v>
      </c>
      <c r="H1146" s="2670">
        <f>VLOOKUP(G1146,'CP FACTORS'!$A$3:$B$38, 2, FALSE)</f>
        <v>9.4741810000000004E-4</v>
      </c>
      <c r="I1146" s="2671">
        <f t="shared" si="184"/>
        <v>0.51721399999999995</v>
      </c>
      <c r="J1146" s="2672">
        <f t="shared" si="185"/>
        <v>12</v>
      </c>
      <c r="K1146" s="2673">
        <f t="shared" si="186"/>
        <v>300</v>
      </c>
      <c r="L1146" s="2674" t="s">
        <v>62</v>
      </c>
      <c r="M1146" s="66"/>
      <c r="N1146" s="531"/>
      <c r="O1146" s="417"/>
      <c r="P1146" s="66"/>
      <c r="Q1146" s="66"/>
      <c r="R1146" s="532"/>
      <c r="S1146" s="66"/>
      <c r="T1146" s="66"/>
      <c r="U1146" s="66"/>
      <c r="V1146" s="2684" t="s">
        <v>45</v>
      </c>
      <c r="W1146" s="2685"/>
      <c r="X1146" s="2687"/>
      <c r="Y1146" s="2664">
        <v>249.32</v>
      </c>
      <c r="Z1146" s="2687">
        <v>249.32</v>
      </c>
      <c r="AA1146" s="2687">
        <v>249.32</v>
      </c>
      <c r="AB1146" s="2687">
        <v>249.32</v>
      </c>
      <c r="AC1146" s="2663">
        <v>243.24</v>
      </c>
      <c r="AD1146" s="2686">
        <v>243.24</v>
      </c>
      <c r="AE1146" s="2686">
        <v>243.24</v>
      </c>
      <c r="AF1146" s="2236">
        <f t="shared" si="187"/>
        <v>545.91999999999996</v>
      </c>
      <c r="AG1146" s="1494"/>
      <c r="AU1146" s="1505"/>
      <c r="DG1146" s="2422">
        <f t="shared" si="188"/>
        <v>3.1597481573551236</v>
      </c>
      <c r="DH1146" s="2423" t="str">
        <f t="shared" si="189"/>
        <v>Cooling RES 12 Year EUL</v>
      </c>
      <c r="DI1146" s="2336">
        <f>(INDEX('Avoided Cost Benefits'!$B$4:$B$865,MATCH(DH1146,'Avoided Cost Benefits'!$A$4:$A$865,0)))*F1146</f>
        <v>947.92444720653702</v>
      </c>
      <c r="DJ1146" s="2424">
        <f t="shared" si="190"/>
        <v>300</v>
      </c>
    </row>
    <row r="1147" spans="1:114" s="7" customFormat="1">
      <c r="A1147" s="283"/>
      <c r="B1147" s="1454">
        <f t="shared" si="183"/>
        <v>405905</v>
      </c>
      <c r="C1147" s="2209" t="s">
        <v>3439</v>
      </c>
      <c r="D1147" s="2402" t="s">
        <v>1486</v>
      </c>
      <c r="E1147" s="2662" t="s">
        <v>3440</v>
      </c>
      <c r="F1147" s="2663">
        <f>ROUND(($F$1166*$F$1161*(1/$F$1164-1/$F$1163)/1000*$F$1168),2)</f>
        <v>581.82000000000005</v>
      </c>
      <c r="G1147" s="2460" t="s">
        <v>1045</v>
      </c>
      <c r="H1147" s="2213">
        <f>VLOOKUP(G1147,'CP FACTORS'!$A$3:$B$38, 2, FALSE)</f>
        <v>9.4741810000000004E-4</v>
      </c>
      <c r="I1147" s="2404">
        <f t="shared" si="184"/>
        <v>0.55122700000000002</v>
      </c>
      <c r="J1147" s="2664">
        <f t="shared" si="185"/>
        <v>12</v>
      </c>
      <c r="K1147" s="2665">
        <f t="shared" si="186"/>
        <v>300</v>
      </c>
      <c r="L1147" s="2210" t="s">
        <v>62</v>
      </c>
      <c r="M1147" s="66"/>
      <c r="N1147" s="531"/>
      <c r="O1147" s="417"/>
      <c r="P1147" s="66"/>
      <c r="Q1147" s="66"/>
      <c r="R1147" s="532"/>
      <c r="S1147" s="66"/>
      <c r="T1147" s="66"/>
      <c r="U1147" s="66"/>
      <c r="V1147" s="2684" t="s">
        <v>45</v>
      </c>
      <c r="W1147" s="2685"/>
      <c r="X1147" s="2687"/>
      <c r="Y1147" s="2664">
        <v>111.77</v>
      </c>
      <c r="Z1147" s="2687">
        <v>111.77</v>
      </c>
      <c r="AA1147" s="2687">
        <v>111.77</v>
      </c>
      <c r="AB1147" s="2687">
        <v>111.77</v>
      </c>
      <c r="AC1147" s="2663">
        <v>109.05</v>
      </c>
      <c r="AD1147" s="2686">
        <v>109.05</v>
      </c>
      <c r="AE1147" s="2686">
        <v>109.05</v>
      </c>
      <c r="AF1147" s="2236">
        <f t="shared" si="187"/>
        <v>581.82000000000005</v>
      </c>
      <c r="AG1147" s="1494"/>
      <c r="AU1147" s="1505"/>
      <c r="DG1147" s="2422">
        <f t="shared" si="188"/>
        <v>3.3675349371929189</v>
      </c>
      <c r="DH1147" s="2423" t="str">
        <f t="shared" si="189"/>
        <v>Cooling RES 12 Year EUL</v>
      </c>
      <c r="DI1147" s="2336">
        <f>(INDEX('Avoided Cost Benefits'!$B$4:$B$865,MATCH(DH1147,'Avoided Cost Benefits'!$A$4:$A$865,0)))*F1147</f>
        <v>1010.2604811578757</v>
      </c>
      <c r="DJ1147" s="2424">
        <f t="shared" si="190"/>
        <v>300</v>
      </c>
    </row>
    <row r="1148" spans="1:114" s="7" customFormat="1">
      <c r="A1148" s="283"/>
      <c r="B1148" s="1454">
        <f t="shared" si="183"/>
        <v>405955</v>
      </c>
      <c r="C1148" s="2209" t="s">
        <v>3441</v>
      </c>
      <c r="D1148" s="2402" t="s">
        <v>959</v>
      </c>
      <c r="E1148" s="2662" t="s">
        <v>3442</v>
      </c>
      <c r="F1148" s="2663">
        <f>ROUND(($H$1166*$H$1161*(1/$H$1164-1/$H$1163)/1000*$F$1168),2)</f>
        <v>545.91999999999996</v>
      </c>
      <c r="G1148" s="2460" t="s">
        <v>1045</v>
      </c>
      <c r="H1148" s="2213">
        <f>VLOOKUP(G1148,'CP FACTORS'!$A$3:$B$38, 2, FALSE)</f>
        <v>9.4741810000000004E-4</v>
      </c>
      <c r="I1148" s="2404">
        <f t="shared" si="184"/>
        <v>0.51721399999999995</v>
      </c>
      <c r="J1148" s="2664">
        <f t="shared" si="185"/>
        <v>12</v>
      </c>
      <c r="K1148" s="2665">
        <f t="shared" si="186"/>
        <v>300</v>
      </c>
      <c r="L1148" s="2210" t="s">
        <v>62</v>
      </c>
      <c r="M1148" s="66"/>
      <c r="N1148" s="531"/>
      <c r="O1148" s="417"/>
      <c r="P1148" s="66"/>
      <c r="Q1148" s="66"/>
      <c r="R1148" s="532"/>
      <c r="S1148" s="66"/>
      <c r="T1148" s="66"/>
      <c r="U1148" s="66"/>
      <c r="V1148" s="2684" t="s">
        <v>45</v>
      </c>
      <c r="W1148" s="2685"/>
      <c r="X1148" s="2687"/>
      <c r="Y1148" s="2664">
        <v>249.32</v>
      </c>
      <c r="Z1148" s="2687">
        <v>249.32</v>
      </c>
      <c r="AA1148" s="2687">
        <v>249.32</v>
      </c>
      <c r="AB1148" s="2687">
        <v>249.32</v>
      </c>
      <c r="AC1148" s="2663">
        <v>243.24</v>
      </c>
      <c r="AD1148" s="2686">
        <v>243.24</v>
      </c>
      <c r="AE1148" s="2686">
        <v>243.24</v>
      </c>
      <c r="AF1148" s="2236">
        <f t="shared" si="187"/>
        <v>545.91999999999996</v>
      </c>
      <c r="AG1148" s="1494"/>
      <c r="AU1148" s="1505"/>
      <c r="DG1148" s="2422">
        <f t="shared" si="188"/>
        <v>3.1597481573551236</v>
      </c>
      <c r="DH1148" s="2423" t="str">
        <f t="shared" si="189"/>
        <v>Cooling RES 12 Year EUL</v>
      </c>
      <c r="DI1148" s="2336">
        <f>(INDEX('Avoided Cost Benefits'!$B$4:$B$865,MATCH(DH1148,'Avoided Cost Benefits'!$A$4:$A$865,0)))*F1148</f>
        <v>947.92444720653702</v>
      </c>
      <c r="DJ1148" s="2424">
        <f t="shared" si="190"/>
        <v>300</v>
      </c>
    </row>
    <row r="1149" spans="1:114" s="7" customFormat="1">
      <c r="A1149" s="283"/>
      <c r="B1149" s="1454">
        <f t="shared" si="183"/>
        <v>406005</v>
      </c>
      <c r="C1149" s="2209" t="s">
        <v>3443</v>
      </c>
      <c r="D1149" s="2402" t="s">
        <v>1486</v>
      </c>
      <c r="E1149" s="2662" t="s">
        <v>3444</v>
      </c>
      <c r="F1149" s="2663">
        <f>ROUND(($F$1166*$F$1161*(1/$F$1164-1/$F$1163)/1000*$F$1168),2)</f>
        <v>581.82000000000005</v>
      </c>
      <c r="G1149" s="2460" t="s">
        <v>1045</v>
      </c>
      <c r="H1149" s="2213">
        <f>VLOOKUP(G1149,'CP FACTORS'!$A$3:$B$38, 2, FALSE)</f>
        <v>9.4741810000000004E-4</v>
      </c>
      <c r="I1149" s="2404">
        <f t="shared" si="184"/>
        <v>0.55122700000000002</v>
      </c>
      <c r="J1149" s="2664">
        <f t="shared" si="185"/>
        <v>12</v>
      </c>
      <c r="K1149" s="2665">
        <f t="shared" si="186"/>
        <v>300</v>
      </c>
      <c r="L1149" s="2210" t="s">
        <v>62</v>
      </c>
      <c r="M1149" s="66"/>
      <c r="N1149" s="531"/>
      <c r="O1149" s="417"/>
      <c r="P1149" s="66"/>
      <c r="Q1149" s="66"/>
      <c r="R1149" s="532"/>
      <c r="S1149" s="66"/>
      <c r="T1149" s="66"/>
      <c r="U1149" s="66"/>
      <c r="V1149" s="2684" t="s">
        <v>45</v>
      </c>
      <c r="W1149" s="2685"/>
      <c r="X1149" s="2687"/>
      <c r="Y1149" s="2664">
        <v>111.77</v>
      </c>
      <c r="Z1149" s="2687">
        <v>111.77</v>
      </c>
      <c r="AA1149" s="2687">
        <v>111.77</v>
      </c>
      <c r="AB1149" s="2687">
        <v>111.77</v>
      </c>
      <c r="AC1149" s="2663">
        <v>109.05</v>
      </c>
      <c r="AD1149" s="2686">
        <v>109.05</v>
      </c>
      <c r="AE1149" s="2686">
        <v>109.05</v>
      </c>
      <c r="AF1149" s="2236">
        <f t="shared" si="187"/>
        <v>581.82000000000005</v>
      </c>
      <c r="AG1149" s="1494"/>
      <c r="AU1149" s="1505"/>
      <c r="DG1149" s="2429">
        <f t="shared" si="188"/>
        <v>3.3675349371929189</v>
      </c>
      <c r="DH1149" s="2423" t="str">
        <f t="shared" si="189"/>
        <v>Cooling RES 12 Year EUL</v>
      </c>
      <c r="DI1149" s="2430">
        <f>(INDEX('Avoided Cost Benefits'!$B$4:$B$865,MATCH(DH1149,'Avoided Cost Benefits'!$A$4:$A$865,0)))*F1149</f>
        <v>1010.2604811578757</v>
      </c>
      <c r="DJ1149" s="2431">
        <f t="shared" si="190"/>
        <v>300</v>
      </c>
    </row>
    <row r="1150" spans="1:114" s="7" customFormat="1" ht="27" hidden="1" customHeight="1" outlineLevel="2">
      <c r="A1150" s="283"/>
      <c r="B1150" s="122"/>
      <c r="C1150" s="64"/>
      <c r="D1150" s="77" t="s">
        <v>118</v>
      </c>
      <c r="E1150" s="77" t="s">
        <v>1288</v>
      </c>
      <c r="F1150" s="1555"/>
      <c r="G1150" s="66"/>
      <c r="H1150" s="66"/>
      <c r="I1150" s="52"/>
      <c r="J1150" s="52"/>
      <c r="K1150" s="52"/>
      <c r="L1150" s="66"/>
      <c r="M1150" s="122"/>
      <c r="N1150" s="122"/>
      <c r="O1150" s="122"/>
      <c r="P1150" s="66"/>
      <c r="Q1150" s="66"/>
      <c r="R1150" s="66"/>
      <c r="S1150" s="66"/>
      <c r="T1150" s="66"/>
      <c r="U1150" s="66"/>
      <c r="X1150" s="1508"/>
      <c r="Y1150" s="433"/>
      <c r="Z1150" s="1508"/>
      <c r="AA1150" s="1508"/>
      <c r="AB1150" s="1508"/>
      <c r="AC1150" s="1508"/>
      <c r="AD1150" s="1508"/>
      <c r="AE1150" s="1508"/>
      <c r="AF1150" s="1508"/>
      <c r="AG1150" s="1508"/>
      <c r="AH1150" s="1508"/>
      <c r="AI1150" s="1508"/>
      <c r="AJ1150" s="1508"/>
      <c r="AK1150" s="1508"/>
      <c r="AU1150" s="1505"/>
      <c r="DG1150" s="1059"/>
      <c r="DH1150" s="66"/>
      <c r="DI1150" s="66"/>
      <c r="DJ1150" s="1102"/>
    </row>
    <row r="1151" spans="1:114" s="7" customFormat="1" hidden="1" outlineLevel="2">
      <c r="A1151" s="283"/>
      <c r="B1151" s="122"/>
      <c r="C1151" s="64"/>
      <c r="D1151" s="77" t="s">
        <v>963</v>
      </c>
      <c r="E1151" s="77" t="s">
        <v>1289</v>
      </c>
      <c r="F1151" s="1555"/>
      <c r="G1151" s="66"/>
      <c r="H1151" s="122"/>
      <c r="I1151" s="52"/>
      <c r="J1151" s="52"/>
      <c r="K1151" s="52"/>
      <c r="L1151" s="66"/>
      <c r="M1151" s="122"/>
      <c r="N1151" s="122"/>
      <c r="O1151" s="122"/>
      <c r="P1151" s="66"/>
      <c r="Q1151" s="66"/>
      <c r="R1151" s="66"/>
      <c r="S1151" s="66"/>
      <c r="T1151" s="66"/>
      <c r="U1151" s="66"/>
      <c r="X1151" s="1508"/>
      <c r="Y1151" s="1556"/>
      <c r="Z1151" s="1508"/>
      <c r="AA1151" s="1508"/>
      <c r="AB1151" s="1508"/>
      <c r="AC1151" s="1508"/>
      <c r="AD1151" s="1508"/>
      <c r="AE1151" s="1508"/>
      <c r="AF1151" s="1508"/>
      <c r="AG1151" s="1508"/>
      <c r="AH1151" s="1508"/>
      <c r="AI1151" s="1508"/>
      <c r="AJ1151" s="1508"/>
      <c r="AK1151" s="1508"/>
      <c r="AU1151" s="1505"/>
      <c r="DG1151" s="1059"/>
      <c r="DH1151" s="66"/>
      <c r="DI1151" s="66"/>
      <c r="DJ1151" s="1102"/>
    </row>
    <row r="1152" spans="1:114" s="7" customFormat="1" hidden="1" outlineLevel="2">
      <c r="A1152" s="283"/>
      <c r="B1152" s="122"/>
      <c r="C1152" s="64"/>
      <c r="D1152" s="104"/>
      <c r="E1152" s="1453" t="s">
        <v>966</v>
      </c>
      <c r="F1152" s="1555"/>
      <c r="G1152" s="66"/>
      <c r="H1152" s="122"/>
      <c r="I1152" s="52"/>
      <c r="J1152" s="52"/>
      <c r="K1152" s="52"/>
      <c r="L1152" s="66"/>
      <c r="M1152" s="122"/>
      <c r="N1152" s="122"/>
      <c r="O1152" s="122"/>
      <c r="P1152" s="66"/>
      <c r="Q1152" s="66"/>
      <c r="R1152" s="66"/>
      <c r="S1152" s="66"/>
      <c r="T1152" s="66"/>
      <c r="U1152" s="66"/>
      <c r="X1152" s="1508"/>
      <c r="Y1152" s="433"/>
      <c r="Z1152" s="1508"/>
      <c r="AA1152" s="1508"/>
      <c r="AB1152" s="1508"/>
      <c r="AC1152" s="1508"/>
      <c r="AD1152" s="1508"/>
      <c r="AE1152" s="1508"/>
      <c r="AF1152" s="1508"/>
      <c r="AG1152" s="1508"/>
      <c r="AH1152" s="1508"/>
      <c r="AI1152" s="1508"/>
      <c r="AJ1152" s="1508"/>
      <c r="AK1152" s="1508"/>
      <c r="AU1152" s="1505"/>
      <c r="DG1152" s="1059"/>
      <c r="DH1152" s="66"/>
      <c r="DI1152" s="66"/>
      <c r="DJ1152" s="1102"/>
    </row>
    <row r="1153" spans="1:114" s="7" customFormat="1" hidden="1" outlineLevel="2">
      <c r="A1153" s="283"/>
      <c r="B1153" s="122"/>
      <c r="C1153" s="64"/>
      <c r="D1153" s="77"/>
      <c r="E1153" s="77"/>
      <c r="F1153" s="75"/>
      <c r="G1153" s="66"/>
      <c r="H1153" s="122"/>
      <c r="I1153" s="66"/>
      <c r="J1153" s="66"/>
      <c r="K1153" s="66"/>
      <c r="L1153" s="66"/>
      <c r="M1153" s="122"/>
      <c r="N1153" s="122"/>
      <c r="O1153" s="122"/>
      <c r="P1153" s="66"/>
      <c r="Q1153" s="66"/>
      <c r="R1153" s="66"/>
      <c r="S1153" s="66"/>
      <c r="T1153" s="66"/>
      <c r="U1153" s="66"/>
      <c r="X1153" s="1508"/>
      <c r="Y1153" s="1556"/>
      <c r="Z1153" s="1508"/>
      <c r="AA1153" s="1508"/>
      <c r="AB1153" s="1508"/>
      <c r="AC1153" s="1508"/>
      <c r="AD1153" s="1508"/>
      <c r="AE1153" s="1508"/>
      <c r="AF1153" s="1508"/>
      <c r="AG1153" s="1508"/>
      <c r="AH1153" s="1508"/>
      <c r="AI1153" s="1508"/>
      <c r="AJ1153" s="1508"/>
      <c r="AK1153" s="1508"/>
      <c r="AU1153" s="1505"/>
      <c r="DG1153" s="1059"/>
      <c r="DH1153" s="66"/>
      <c r="DI1153" s="66"/>
      <c r="DJ1153" s="1102"/>
    </row>
    <row r="1154" spans="1:114" s="7" customFormat="1" hidden="1" outlineLevel="2">
      <c r="A1154" s="283"/>
      <c r="B1154" s="122"/>
      <c r="C1154" s="64"/>
      <c r="D1154" s="77"/>
      <c r="E1154" s="77"/>
      <c r="F1154" s="75"/>
      <c r="G1154" s="66"/>
      <c r="H1154" s="66"/>
      <c r="I1154" s="66"/>
      <c r="J1154" s="66"/>
      <c r="K1154" s="66"/>
      <c r="L1154" s="66"/>
      <c r="M1154" s="122"/>
      <c r="N1154" s="122"/>
      <c r="O1154" s="122"/>
      <c r="P1154" s="66"/>
      <c r="Q1154" s="66"/>
      <c r="R1154" s="66"/>
      <c r="S1154" s="66"/>
      <c r="T1154" s="66"/>
      <c r="U1154" s="66"/>
      <c r="V1154" s="668" t="s">
        <v>52</v>
      </c>
      <c r="W1154" s="669">
        <v>43252</v>
      </c>
      <c r="X1154" s="669">
        <f>$X$6</f>
        <v>43465</v>
      </c>
      <c r="Y1154" s="115">
        <f>$Y$6</f>
        <v>43800</v>
      </c>
      <c r="Z1154" s="669">
        <f>$Z$6</f>
        <v>43862</v>
      </c>
      <c r="AA1154" s="669">
        <f>$AA$6</f>
        <v>44013</v>
      </c>
      <c r="AB1154" s="669">
        <f>$AB$6</f>
        <v>44166</v>
      </c>
      <c r="AC1154" s="669">
        <f>$AC$6</f>
        <v>44531</v>
      </c>
      <c r="AD1154" s="669">
        <f>$AD$6</f>
        <v>44774</v>
      </c>
      <c r="AE1154" s="669">
        <f>$AE$6</f>
        <v>45139</v>
      </c>
      <c r="AF1154" s="669">
        <f>$AF$6</f>
        <v>45672</v>
      </c>
      <c r="AG1154" s="669" t="str">
        <f>$AG$6</f>
        <v>-</v>
      </c>
      <c r="AI1154" s="669">
        <v>43252</v>
      </c>
      <c r="AJ1154" s="669">
        <f>$Y$6</f>
        <v>43800</v>
      </c>
      <c r="AK1154" s="669">
        <f>$Y$6</f>
        <v>43800</v>
      </c>
      <c r="AL1154" s="669">
        <f>$Z$6</f>
        <v>43862</v>
      </c>
      <c r="AM1154" s="669">
        <f>$AA$6</f>
        <v>44013</v>
      </c>
      <c r="AN1154" s="669">
        <f>$AB$6</f>
        <v>44166</v>
      </c>
      <c r="AO1154" s="669">
        <f>$AC$6</f>
        <v>44531</v>
      </c>
      <c r="AP1154" s="669">
        <f>$AD$6</f>
        <v>44774</v>
      </c>
      <c r="AQ1154" s="669">
        <f>$AE$6</f>
        <v>45139</v>
      </c>
      <c r="AR1154" s="669">
        <f>$AF$6</f>
        <v>45672</v>
      </c>
      <c r="AS1154" s="669" t="str">
        <f>$AG$6</f>
        <v>-</v>
      </c>
      <c r="AU1154" s="1505"/>
      <c r="DG1154" s="1059"/>
      <c r="DH1154" s="66"/>
      <c r="DI1154" s="66"/>
      <c r="DJ1154" s="1102"/>
    </row>
    <row r="1155" spans="1:114" s="7" customFormat="1" hidden="1" outlineLevel="2">
      <c r="A1155" s="283"/>
      <c r="B1155" s="122"/>
      <c r="C1155" s="64"/>
      <c r="D1155" s="1443" t="s">
        <v>967</v>
      </c>
      <c r="E1155" s="1371" t="s">
        <v>3445</v>
      </c>
      <c r="F1155" s="1443" t="s">
        <v>3446</v>
      </c>
      <c r="G1155" s="1371" t="s">
        <v>3447</v>
      </c>
      <c r="H1155" s="1443" t="s">
        <v>3448</v>
      </c>
      <c r="I1155" s="1398" t="s">
        <v>1184</v>
      </c>
      <c r="J1155" s="66"/>
      <c r="K1155" s="66"/>
      <c r="L1155" s="66"/>
      <c r="M1155" s="52"/>
      <c r="N1155" s="52"/>
      <c r="O1155" s="122"/>
      <c r="P1155" s="66"/>
      <c r="Q1155" s="66"/>
      <c r="R1155" s="66"/>
      <c r="S1155" s="66"/>
      <c r="T1155" s="66"/>
      <c r="U1155" s="66"/>
      <c r="V1155" s="1557"/>
      <c r="W1155" s="1853" t="s">
        <v>1292</v>
      </c>
      <c r="X1155" s="1853" t="s">
        <v>1292</v>
      </c>
      <c r="Y1155" s="1853" t="s">
        <v>1292</v>
      </c>
      <c r="Z1155" s="1853" t="s">
        <v>1292</v>
      </c>
      <c r="AA1155" s="1853" t="s">
        <v>1292</v>
      </c>
      <c r="AB1155" s="1853" t="s">
        <v>1292</v>
      </c>
      <c r="AC1155" s="1853" t="s">
        <v>1292</v>
      </c>
      <c r="AD1155" s="1853" t="s">
        <v>1292</v>
      </c>
      <c r="AE1155" s="1853" t="s">
        <v>1292</v>
      </c>
      <c r="AF1155" s="1853" t="s">
        <v>1292</v>
      </c>
      <c r="AG1155" s="1853" t="s">
        <v>1292</v>
      </c>
      <c r="AI1155" s="15" t="s">
        <v>3449</v>
      </c>
      <c r="AJ1155" s="15" t="s">
        <v>3449</v>
      </c>
      <c r="AK1155" s="15" t="s">
        <v>3449</v>
      </c>
      <c r="AL1155" s="15" t="s">
        <v>3449</v>
      </c>
      <c r="AM1155" s="15" t="s">
        <v>3449</v>
      </c>
      <c r="AN1155" s="15" t="s">
        <v>3449</v>
      </c>
      <c r="AO1155" s="15" t="s">
        <v>3449</v>
      </c>
      <c r="AP1155" s="15" t="s">
        <v>3449</v>
      </c>
      <c r="AQ1155" s="15" t="s">
        <v>3449</v>
      </c>
      <c r="AR1155" s="15" t="s">
        <v>3449</v>
      </c>
      <c r="AS1155" s="15" t="s">
        <v>3449</v>
      </c>
      <c r="AU1155" s="1505"/>
      <c r="DG1155" s="1059"/>
      <c r="DH1155" s="66"/>
      <c r="DI1155" s="66"/>
      <c r="DJ1155" s="1102"/>
    </row>
    <row r="1156" spans="1:114" s="7" customFormat="1" ht="60" hidden="1" outlineLevel="2">
      <c r="A1156" s="283"/>
      <c r="B1156" s="122"/>
      <c r="C1156" s="64"/>
      <c r="D1156" s="4631" t="s">
        <v>1293</v>
      </c>
      <c r="E1156" s="1374" t="s">
        <v>3450</v>
      </c>
      <c r="F1156" s="1717">
        <v>10322.173207292981</v>
      </c>
      <c r="G1156" s="832" t="s">
        <v>3451</v>
      </c>
      <c r="H1156" s="1717">
        <v>11745</v>
      </c>
      <c r="I1156" s="434"/>
      <c r="J1156" s="66"/>
      <c r="K1156" s="66"/>
      <c r="L1156" s="66"/>
      <c r="M1156" s="66"/>
      <c r="N1156" s="66"/>
      <c r="O1156" s="122"/>
      <c r="P1156" s="66"/>
      <c r="Q1156" s="66"/>
      <c r="R1156" s="66"/>
      <c r="S1156" s="66"/>
      <c r="T1156" s="66"/>
      <c r="U1156" s="66"/>
      <c r="V1156" s="4632" t="s">
        <v>1293</v>
      </c>
      <c r="W1156" s="1558">
        <v>9558.22711471611</v>
      </c>
      <c r="X1156" s="832">
        <v>10322.173207292981</v>
      </c>
      <c r="Y1156" s="101">
        <v>10322.173207292981</v>
      </c>
      <c r="Z1156" s="101">
        <v>10322.173207292981</v>
      </c>
      <c r="AA1156" s="101">
        <v>10322.173207292981</v>
      </c>
      <c r="AB1156" s="101">
        <v>10322.173207292981</v>
      </c>
      <c r="AC1156" s="101">
        <v>10322.173207292981</v>
      </c>
      <c r="AD1156" s="101">
        <v>10322.173207292981</v>
      </c>
      <c r="AE1156" s="101">
        <v>10322.173207292981</v>
      </c>
      <c r="AF1156" s="271">
        <f t="shared" ref="AF1156:AF1170" si="191">IF(F1156&lt;&gt;"",F1156,"")</f>
        <v>10322.173207292981</v>
      </c>
      <c r="AG1156" s="1494"/>
      <c r="AI1156" s="1558" t="s">
        <v>3452</v>
      </c>
      <c r="AJ1156" s="435">
        <v>11733</v>
      </c>
      <c r="AK1156" s="435">
        <v>11745</v>
      </c>
      <c r="AL1156" s="428">
        <v>11745</v>
      </c>
      <c r="AM1156" s="428">
        <v>11745</v>
      </c>
      <c r="AN1156" s="428">
        <v>11745</v>
      </c>
      <c r="AO1156" s="428">
        <v>11745</v>
      </c>
      <c r="AP1156" s="428">
        <v>11745</v>
      </c>
      <c r="AQ1156" s="428">
        <v>11745</v>
      </c>
      <c r="AR1156" s="271">
        <f t="shared" ref="AR1156:AR1170" si="192">H1156</f>
        <v>11745</v>
      </c>
      <c r="AS1156" s="1559"/>
      <c r="AU1156" s="1505"/>
      <c r="DG1156" s="1059"/>
      <c r="DH1156" s="66"/>
      <c r="DI1156" s="66"/>
      <c r="DJ1156" s="1102"/>
    </row>
    <row r="1157" spans="1:114" s="7" customFormat="1" ht="30" hidden="1" outlineLevel="2">
      <c r="A1157" s="283"/>
      <c r="B1157" s="122"/>
      <c r="C1157" s="64"/>
      <c r="D1157" s="4202"/>
      <c r="E1157" s="2688" t="s">
        <v>3453</v>
      </c>
      <c r="F1157" s="2689">
        <v>5000</v>
      </c>
      <c r="G1157" s="2688" t="s">
        <v>3453</v>
      </c>
      <c r="H1157" s="2689">
        <v>5000</v>
      </c>
      <c r="I1157" s="434"/>
      <c r="J1157" s="66"/>
      <c r="K1157" s="66"/>
      <c r="L1157" s="66"/>
      <c r="M1157" s="66"/>
      <c r="N1157" s="66"/>
      <c r="O1157" s="122"/>
      <c r="P1157" s="66"/>
      <c r="Q1157" s="66"/>
      <c r="R1157" s="66"/>
      <c r="S1157" s="66"/>
      <c r="T1157" s="66"/>
      <c r="U1157" s="66"/>
      <c r="V1157" s="4509"/>
      <c r="W1157" s="2690"/>
      <c r="X1157" s="2691"/>
      <c r="Y1157" s="2692">
        <v>5000</v>
      </c>
      <c r="Z1157" s="2693">
        <v>5000</v>
      </c>
      <c r="AA1157" s="2693">
        <v>5000</v>
      </c>
      <c r="AB1157" s="2693">
        <v>5000</v>
      </c>
      <c r="AC1157" s="2693">
        <v>5000</v>
      </c>
      <c r="AD1157" s="2693">
        <v>5000</v>
      </c>
      <c r="AE1157" s="2693">
        <v>5000</v>
      </c>
      <c r="AF1157" s="2236">
        <f t="shared" si="191"/>
        <v>5000</v>
      </c>
      <c r="AG1157" s="1494"/>
      <c r="AI1157" s="1558"/>
      <c r="AJ1157" s="435"/>
      <c r="AK1157" s="435">
        <v>5000</v>
      </c>
      <c r="AL1157" s="428">
        <v>5000</v>
      </c>
      <c r="AM1157" s="428">
        <v>5000</v>
      </c>
      <c r="AN1157" s="428">
        <v>5000</v>
      </c>
      <c r="AO1157" s="428">
        <v>5000</v>
      </c>
      <c r="AP1157" s="428">
        <v>5000</v>
      </c>
      <c r="AQ1157" s="428">
        <v>5000</v>
      </c>
      <c r="AR1157" s="271">
        <f t="shared" si="192"/>
        <v>5000</v>
      </c>
      <c r="AS1157" s="1559"/>
      <c r="AU1157" s="1505"/>
      <c r="DG1157" s="1059"/>
      <c r="DH1157" s="66"/>
      <c r="DI1157" s="66"/>
      <c r="DJ1157" s="1102"/>
    </row>
    <row r="1158" spans="1:114" s="7" customFormat="1" ht="30" hidden="1" outlineLevel="2">
      <c r="A1158" s="283"/>
      <c r="B1158" s="122"/>
      <c r="C1158" s="64"/>
      <c r="D1158" s="4202"/>
      <c r="E1158" s="2688" t="s">
        <v>3454</v>
      </c>
      <c r="F1158" s="2689">
        <v>8000</v>
      </c>
      <c r="G1158" s="2688" t="s">
        <v>3454</v>
      </c>
      <c r="H1158" s="2689">
        <v>8000</v>
      </c>
      <c r="I1158" s="434"/>
      <c r="J1158" s="66"/>
      <c r="K1158" s="66"/>
      <c r="L1158" s="66"/>
      <c r="M1158" s="66"/>
      <c r="N1158" s="66"/>
      <c r="O1158" s="122"/>
      <c r="P1158" s="66"/>
      <c r="Q1158" s="66"/>
      <c r="R1158" s="66"/>
      <c r="S1158" s="66"/>
      <c r="T1158" s="66"/>
      <c r="U1158" s="66"/>
      <c r="V1158" s="4509"/>
      <c r="W1158" s="2690"/>
      <c r="X1158" s="2691"/>
      <c r="Y1158" s="2692">
        <v>8000</v>
      </c>
      <c r="Z1158" s="2693">
        <v>8000</v>
      </c>
      <c r="AA1158" s="2693">
        <v>8000</v>
      </c>
      <c r="AB1158" s="2693">
        <v>8000</v>
      </c>
      <c r="AC1158" s="2693">
        <v>8000</v>
      </c>
      <c r="AD1158" s="2693">
        <v>8000</v>
      </c>
      <c r="AE1158" s="2693">
        <v>8000</v>
      </c>
      <c r="AF1158" s="2236">
        <f t="shared" si="191"/>
        <v>8000</v>
      </c>
      <c r="AG1158" s="1494"/>
      <c r="AI1158" s="1558"/>
      <c r="AJ1158" s="435"/>
      <c r="AK1158" s="435">
        <v>8000</v>
      </c>
      <c r="AL1158" s="428">
        <v>8000</v>
      </c>
      <c r="AM1158" s="428">
        <v>8000</v>
      </c>
      <c r="AN1158" s="428">
        <v>8000</v>
      </c>
      <c r="AO1158" s="428">
        <v>8000</v>
      </c>
      <c r="AP1158" s="428">
        <v>8000</v>
      </c>
      <c r="AQ1158" s="428">
        <v>8000</v>
      </c>
      <c r="AR1158" s="271">
        <f t="shared" si="192"/>
        <v>8000</v>
      </c>
      <c r="AS1158" s="1559"/>
      <c r="AU1158" s="1505"/>
      <c r="DG1158" s="1059"/>
      <c r="DH1158" s="66"/>
      <c r="DI1158" s="66"/>
      <c r="DJ1158" s="1102"/>
    </row>
    <row r="1159" spans="1:114" s="7" customFormat="1" ht="30" hidden="1" outlineLevel="2">
      <c r="A1159" s="283"/>
      <c r="B1159" s="122"/>
      <c r="C1159" s="64"/>
      <c r="D1159" s="4202"/>
      <c r="E1159" s="2688" t="s">
        <v>3455</v>
      </c>
      <c r="F1159" s="2689">
        <v>10000</v>
      </c>
      <c r="G1159" s="2688" t="s">
        <v>3455</v>
      </c>
      <c r="H1159" s="2689">
        <v>10000</v>
      </c>
      <c r="I1159" s="434"/>
      <c r="J1159" s="66"/>
      <c r="K1159" s="66"/>
      <c r="L1159" s="66"/>
      <c r="M1159" s="66"/>
      <c r="N1159" s="66"/>
      <c r="O1159" s="122"/>
      <c r="P1159" s="66"/>
      <c r="Q1159" s="66"/>
      <c r="R1159" s="66"/>
      <c r="S1159" s="66"/>
      <c r="T1159" s="66"/>
      <c r="U1159" s="66"/>
      <c r="V1159" s="4509"/>
      <c r="W1159" s="2690"/>
      <c r="X1159" s="2691"/>
      <c r="Y1159" s="2692">
        <v>10000</v>
      </c>
      <c r="Z1159" s="2693">
        <v>10000</v>
      </c>
      <c r="AA1159" s="2693">
        <v>10000</v>
      </c>
      <c r="AB1159" s="2693">
        <v>10000</v>
      </c>
      <c r="AC1159" s="2693">
        <v>10000</v>
      </c>
      <c r="AD1159" s="2693">
        <v>10000</v>
      </c>
      <c r="AE1159" s="2693">
        <v>10000</v>
      </c>
      <c r="AF1159" s="2236">
        <f t="shared" si="191"/>
        <v>10000</v>
      </c>
      <c r="AG1159" s="1494"/>
      <c r="AI1159" s="1558"/>
      <c r="AJ1159" s="435"/>
      <c r="AK1159" s="435">
        <v>10000</v>
      </c>
      <c r="AL1159" s="428">
        <v>10000</v>
      </c>
      <c r="AM1159" s="428">
        <v>10000</v>
      </c>
      <c r="AN1159" s="428">
        <v>10000</v>
      </c>
      <c r="AO1159" s="428">
        <v>10000</v>
      </c>
      <c r="AP1159" s="428">
        <v>10000</v>
      </c>
      <c r="AQ1159" s="428">
        <v>10000</v>
      </c>
      <c r="AR1159" s="271">
        <f t="shared" si="192"/>
        <v>10000</v>
      </c>
      <c r="AS1159" s="1559"/>
      <c r="AU1159" s="1505"/>
      <c r="DG1159" s="1059"/>
      <c r="DH1159" s="66"/>
      <c r="DI1159" s="66"/>
      <c r="DJ1159" s="1102"/>
    </row>
    <row r="1160" spans="1:114" s="7" customFormat="1" ht="30" hidden="1" outlineLevel="2">
      <c r="A1160" s="283"/>
      <c r="B1160" s="122"/>
      <c r="C1160" s="64"/>
      <c r="D1160" s="4202"/>
      <c r="E1160" s="1374" t="s">
        <v>3456</v>
      </c>
      <c r="F1160" s="1717">
        <v>12000</v>
      </c>
      <c r="G1160" s="1374" t="s">
        <v>3456</v>
      </c>
      <c r="H1160" s="1717">
        <v>12000</v>
      </c>
      <c r="I1160" s="434"/>
      <c r="J1160" s="66"/>
      <c r="K1160" s="66"/>
      <c r="L1160" s="66"/>
      <c r="M1160" s="66"/>
      <c r="N1160" s="66"/>
      <c r="O1160" s="122"/>
      <c r="P1160" s="66"/>
      <c r="Q1160" s="66"/>
      <c r="R1160" s="66"/>
      <c r="S1160" s="66"/>
      <c r="T1160" s="66"/>
      <c r="U1160" s="66"/>
      <c r="V1160" s="4509"/>
      <c r="W1160" s="1558"/>
      <c r="X1160" s="832"/>
      <c r="Y1160" s="123">
        <v>12000</v>
      </c>
      <c r="Z1160" s="101">
        <v>12000</v>
      </c>
      <c r="AA1160" s="101">
        <v>12000</v>
      </c>
      <c r="AB1160" s="101">
        <v>12000</v>
      </c>
      <c r="AC1160" s="101">
        <v>12000</v>
      </c>
      <c r="AD1160" s="101">
        <v>12000</v>
      </c>
      <c r="AE1160" s="101">
        <v>12000</v>
      </c>
      <c r="AF1160" s="271">
        <f t="shared" si="191"/>
        <v>12000</v>
      </c>
      <c r="AG1160" s="1494"/>
      <c r="AI1160" s="1558"/>
      <c r="AJ1160" s="435"/>
      <c r="AK1160" s="435">
        <v>12000</v>
      </c>
      <c r="AL1160" s="428">
        <v>12000</v>
      </c>
      <c r="AM1160" s="428">
        <v>12000</v>
      </c>
      <c r="AN1160" s="428">
        <v>12000</v>
      </c>
      <c r="AO1160" s="428">
        <v>12000</v>
      </c>
      <c r="AP1160" s="428">
        <v>12000</v>
      </c>
      <c r="AQ1160" s="428">
        <v>12000</v>
      </c>
      <c r="AR1160" s="271">
        <f t="shared" si="192"/>
        <v>12000</v>
      </c>
      <c r="AS1160" s="1559"/>
      <c r="AU1160" s="1505"/>
      <c r="DG1160" s="1059"/>
      <c r="DH1160" s="66"/>
      <c r="DI1160" s="66"/>
      <c r="DJ1160" s="1102"/>
    </row>
    <row r="1161" spans="1:114" s="7" customFormat="1" ht="30" hidden="1" outlineLevel="2">
      <c r="A1161" s="283"/>
      <c r="B1161" s="122"/>
      <c r="C1161" s="64"/>
      <c r="D1161" s="4203"/>
      <c r="E1161" s="2688" t="s">
        <v>3457</v>
      </c>
      <c r="F1161" s="2689">
        <v>15000</v>
      </c>
      <c r="G1161" s="2688" t="s">
        <v>3457</v>
      </c>
      <c r="H1161" s="2689">
        <v>15000</v>
      </c>
      <c r="I1161" s="434"/>
      <c r="J1161" s="66"/>
      <c r="K1161" s="66"/>
      <c r="L1161" s="66"/>
      <c r="M1161" s="66"/>
      <c r="N1161" s="66"/>
      <c r="O1161" s="122"/>
      <c r="P1161" s="66"/>
      <c r="Q1161" s="66"/>
      <c r="R1161" s="66"/>
      <c r="S1161" s="66"/>
      <c r="T1161" s="66"/>
      <c r="U1161" s="66"/>
      <c r="V1161" s="4509"/>
      <c r="W1161" s="1558"/>
      <c r="X1161" s="832"/>
      <c r="Y1161" s="2692">
        <v>15000</v>
      </c>
      <c r="Z1161" s="2693">
        <v>15000</v>
      </c>
      <c r="AA1161" s="2693">
        <v>15000</v>
      </c>
      <c r="AB1161" s="2693">
        <v>15000</v>
      </c>
      <c r="AC1161" s="2693">
        <v>15000</v>
      </c>
      <c r="AD1161" s="2693">
        <v>15000</v>
      </c>
      <c r="AE1161" s="2693">
        <v>15000</v>
      </c>
      <c r="AF1161" s="2236">
        <f t="shared" si="191"/>
        <v>15000</v>
      </c>
      <c r="AG1161" s="1494"/>
      <c r="AI1161" s="1558"/>
      <c r="AJ1161" s="435"/>
      <c r="AK1161" s="435">
        <v>15000</v>
      </c>
      <c r="AL1161" s="428">
        <v>15000</v>
      </c>
      <c r="AM1161" s="428">
        <v>15000</v>
      </c>
      <c r="AN1161" s="428">
        <v>15000</v>
      </c>
      <c r="AO1161" s="428">
        <v>15000</v>
      </c>
      <c r="AP1161" s="428">
        <v>15000</v>
      </c>
      <c r="AQ1161" s="428">
        <v>15000</v>
      </c>
      <c r="AR1161" s="271">
        <f t="shared" si="192"/>
        <v>15000</v>
      </c>
      <c r="AS1161" s="1559"/>
      <c r="AU1161" s="1505"/>
      <c r="DG1161" s="1059"/>
      <c r="DH1161" s="66"/>
      <c r="DI1161" s="66"/>
      <c r="DJ1161" s="1102"/>
    </row>
    <row r="1162" spans="1:114" s="7" customFormat="1" ht="60" hidden="1" outlineLevel="2">
      <c r="A1162" s="283"/>
      <c r="B1162" s="122"/>
      <c r="C1162" s="64"/>
      <c r="D1162" s="832" t="s">
        <v>3458</v>
      </c>
      <c r="E1162" s="1374" t="s">
        <v>3459</v>
      </c>
      <c r="F1162" s="1717">
        <v>10.833666904931999</v>
      </c>
      <c r="G1162" s="832" t="s">
        <v>3451</v>
      </c>
      <c r="H1162" s="1717">
        <v>10.8</v>
      </c>
      <c r="I1162" s="109"/>
      <c r="J1162" s="66"/>
      <c r="K1162" s="66"/>
      <c r="L1162" s="66"/>
      <c r="M1162" s="66"/>
      <c r="N1162" s="66"/>
      <c r="O1162" s="122"/>
      <c r="P1162" s="66"/>
      <c r="Q1162" s="66"/>
      <c r="R1162" s="66"/>
      <c r="S1162" s="66"/>
      <c r="T1162" s="66"/>
      <c r="U1162" s="66"/>
      <c r="V1162" s="1558" t="s">
        <v>3460</v>
      </c>
      <c r="W1162" s="1558">
        <v>10.9</v>
      </c>
      <c r="X1162" s="832">
        <v>10.833666904931999</v>
      </c>
      <c r="Y1162" s="101">
        <v>10.833666904931999</v>
      </c>
      <c r="Z1162" s="101">
        <v>10.833666904931999</v>
      </c>
      <c r="AA1162" s="101">
        <v>10.833666904931999</v>
      </c>
      <c r="AB1162" s="101">
        <v>10.833666904931999</v>
      </c>
      <c r="AC1162" s="101">
        <v>10.833666904931999</v>
      </c>
      <c r="AD1162" s="101">
        <v>10.833666904931999</v>
      </c>
      <c r="AE1162" s="101">
        <v>10.833666904931999</v>
      </c>
      <c r="AF1162" s="271">
        <f t="shared" si="191"/>
        <v>10.833666904931999</v>
      </c>
      <c r="AG1162" s="1494"/>
      <c r="AI1162" s="1558" t="s">
        <v>3452</v>
      </c>
      <c r="AJ1162" s="123" t="s">
        <v>1303</v>
      </c>
      <c r="AK1162" s="1559"/>
      <c r="AL1162" s="108"/>
      <c r="AM1162" s="108"/>
      <c r="AN1162" s="108"/>
      <c r="AO1162" s="108"/>
      <c r="AP1162" s="108"/>
      <c r="AQ1162" s="108"/>
      <c r="AR1162" s="271">
        <f t="shared" si="192"/>
        <v>10.8</v>
      </c>
      <c r="AS1162" s="1559"/>
      <c r="AU1162" s="1505"/>
      <c r="DG1162" s="1059"/>
      <c r="DH1162" s="66"/>
      <c r="DI1162" s="66"/>
      <c r="DJ1162" s="1102"/>
    </row>
    <row r="1163" spans="1:114" s="7" customFormat="1" ht="46.5" hidden="1" customHeight="1" outlineLevel="2">
      <c r="A1163" s="283"/>
      <c r="B1163" s="122"/>
      <c r="C1163" s="64"/>
      <c r="D1163" s="832" t="s">
        <v>3461</v>
      </c>
      <c r="E1163" s="1374" t="s">
        <v>3462</v>
      </c>
      <c r="F1163" s="1718">
        <v>11.955972333179201</v>
      </c>
      <c r="G1163" s="832" t="s">
        <v>3451</v>
      </c>
      <c r="H1163" s="1718">
        <v>11.561669242658486</v>
      </c>
      <c r="I1163" s="109"/>
      <c r="J1163" s="66"/>
      <c r="K1163" s="66"/>
      <c r="L1163" s="66"/>
      <c r="M1163" s="66"/>
      <c r="N1163" s="66"/>
      <c r="O1163" s="122"/>
      <c r="P1163" s="66"/>
      <c r="Q1163" s="66"/>
      <c r="R1163" s="66"/>
      <c r="S1163" s="66"/>
      <c r="T1163" s="66"/>
      <c r="U1163" s="66"/>
      <c r="V1163" s="1558" t="s">
        <v>3463</v>
      </c>
      <c r="W1163" s="1558">
        <v>11.9</v>
      </c>
      <c r="X1163" s="832">
        <v>11.955972333179155</v>
      </c>
      <c r="Y1163" s="101">
        <v>11.955972333179155</v>
      </c>
      <c r="Z1163" s="101">
        <v>11.955972333179155</v>
      </c>
      <c r="AA1163" s="101">
        <v>11.955972333179155</v>
      </c>
      <c r="AB1163" s="101">
        <v>11.955972333179155</v>
      </c>
      <c r="AC1163" s="101">
        <v>11.955972333179155</v>
      </c>
      <c r="AD1163" s="101">
        <v>11.955972333179155</v>
      </c>
      <c r="AE1163" s="101">
        <v>11.955972333179155</v>
      </c>
      <c r="AF1163" s="271">
        <f t="shared" si="191"/>
        <v>11.955972333179201</v>
      </c>
      <c r="AG1163" s="1494"/>
      <c r="AI1163" s="1558" t="s">
        <v>3452</v>
      </c>
      <c r="AJ1163" s="123">
        <v>11.6</v>
      </c>
      <c r="AK1163" s="101">
        <v>11.561669242658486</v>
      </c>
      <c r="AL1163" s="101">
        <v>11.561669242658486</v>
      </c>
      <c r="AM1163" s="101">
        <v>11.561669242658486</v>
      </c>
      <c r="AN1163" s="101">
        <v>11.561669242658486</v>
      </c>
      <c r="AO1163" s="101">
        <v>11.561669242658486</v>
      </c>
      <c r="AP1163" s="101">
        <v>11.561669242658486</v>
      </c>
      <c r="AQ1163" s="101">
        <v>11.561669242658486</v>
      </c>
      <c r="AR1163" s="271">
        <f t="shared" si="192"/>
        <v>11.561669242658486</v>
      </c>
      <c r="AS1163" s="101"/>
      <c r="AU1163" s="1505"/>
      <c r="DG1163" s="1059"/>
      <c r="DH1163" s="66"/>
      <c r="DI1163" s="66"/>
      <c r="DJ1163" s="1102"/>
    </row>
    <row r="1164" spans="1:114" s="7" customFormat="1" ht="46.5" hidden="1" customHeight="1" outlineLevel="2">
      <c r="A1164" s="283"/>
      <c r="B1164" s="122"/>
      <c r="C1164" s="64"/>
      <c r="D1164" s="832" t="s">
        <v>3464</v>
      </c>
      <c r="E1164" s="1374"/>
      <c r="F1164" s="1822">
        <v>7.7</v>
      </c>
      <c r="G1164" s="832" t="s">
        <v>3465</v>
      </c>
      <c r="H1164" s="1822">
        <v>7.7</v>
      </c>
      <c r="I1164" s="109"/>
      <c r="J1164" s="66"/>
      <c r="K1164" s="66"/>
      <c r="L1164" s="66"/>
      <c r="M1164" s="66"/>
      <c r="N1164" s="66"/>
      <c r="O1164" s="122"/>
      <c r="P1164" s="66"/>
      <c r="Q1164" s="66"/>
      <c r="R1164" s="66"/>
      <c r="S1164" s="66"/>
      <c r="T1164" s="66"/>
      <c r="U1164" s="66"/>
      <c r="V1164" s="1558" t="s">
        <v>1304</v>
      </c>
      <c r="W1164" s="1558"/>
      <c r="X1164" s="436"/>
      <c r="Y1164" s="101"/>
      <c r="Z1164" s="101"/>
      <c r="AA1164" s="101"/>
      <c r="AB1164" s="101"/>
      <c r="AC1164" s="101"/>
      <c r="AD1164" s="101"/>
      <c r="AE1164" s="101"/>
      <c r="AF1164" s="271">
        <f t="shared" si="191"/>
        <v>7.7</v>
      </c>
      <c r="AG1164" s="1494"/>
      <c r="AI1164" s="1558" t="s">
        <v>3452</v>
      </c>
      <c r="AJ1164" s="123">
        <v>6.7</v>
      </c>
      <c r="AK1164" s="123">
        <v>9.4499999999999993</v>
      </c>
      <c r="AL1164" s="101">
        <v>9.4499999999999993</v>
      </c>
      <c r="AM1164" s="101">
        <v>9.4499999999999993</v>
      </c>
      <c r="AN1164" s="101">
        <v>9.4499999999999993</v>
      </c>
      <c r="AO1164" s="101">
        <v>9.4499999999999993</v>
      </c>
      <c r="AP1164" s="101">
        <v>9.4499999999999993</v>
      </c>
      <c r="AQ1164" s="101">
        <v>9.4499999999999993</v>
      </c>
      <c r="AR1164" s="271">
        <f t="shared" si="192"/>
        <v>7.7</v>
      </c>
      <c r="AS1164" s="437"/>
      <c r="AU1164" s="1505"/>
      <c r="DG1164" s="1059"/>
      <c r="DH1164" s="66"/>
      <c r="DI1164" s="66"/>
      <c r="DJ1164" s="1102"/>
    </row>
    <row r="1165" spans="1:114" s="7" customFormat="1" ht="45" hidden="1" customHeight="1" outlineLevel="2">
      <c r="A1165" s="283"/>
      <c r="B1165" s="536"/>
      <c r="C1165" s="124"/>
      <c r="D1165" s="1374" t="s">
        <v>3466</v>
      </c>
      <c r="E1165" s="1374" t="s">
        <v>3467</v>
      </c>
      <c r="F1165" s="1807">
        <v>556</v>
      </c>
      <c r="G1165" s="1374" t="s">
        <v>3468</v>
      </c>
      <c r="H1165" s="1807">
        <v>556</v>
      </c>
      <c r="I1165" s="109"/>
      <c r="J1165" s="66"/>
      <c r="K1165" s="66"/>
      <c r="L1165" s="66"/>
      <c r="M1165" s="66"/>
      <c r="N1165" s="66"/>
      <c r="O1165" s="536"/>
      <c r="P1165" s="66"/>
      <c r="Q1165" s="66"/>
      <c r="R1165" s="66"/>
      <c r="S1165" s="66"/>
      <c r="T1165" s="66"/>
      <c r="U1165" s="66"/>
      <c r="V1165" s="1558" t="s">
        <v>3469</v>
      </c>
      <c r="W1165" s="1560">
        <v>556</v>
      </c>
      <c r="X1165" s="1560">
        <v>556</v>
      </c>
      <c r="Y1165" s="438">
        <v>556</v>
      </c>
      <c r="Z1165" s="438">
        <v>556</v>
      </c>
      <c r="AA1165" s="438">
        <v>556</v>
      </c>
      <c r="AB1165" s="438">
        <v>556</v>
      </c>
      <c r="AC1165" s="438">
        <v>556</v>
      </c>
      <c r="AD1165" s="438">
        <v>556</v>
      </c>
      <c r="AE1165" s="438">
        <v>556</v>
      </c>
      <c r="AF1165" s="271">
        <f t="shared" si="191"/>
        <v>556</v>
      </c>
      <c r="AG1165" s="1494"/>
      <c r="AI1165" s="1558" t="s">
        <v>3452</v>
      </c>
      <c r="AJ1165" s="438">
        <v>556</v>
      </c>
      <c r="AK1165" s="438">
        <v>556</v>
      </c>
      <c r="AL1165" s="438">
        <v>556</v>
      </c>
      <c r="AM1165" s="438">
        <v>556</v>
      </c>
      <c r="AN1165" s="438">
        <v>556</v>
      </c>
      <c r="AO1165" s="438">
        <v>556</v>
      </c>
      <c r="AP1165" s="438">
        <v>556</v>
      </c>
      <c r="AQ1165" s="438">
        <v>556</v>
      </c>
      <c r="AR1165" s="271">
        <f t="shared" si="192"/>
        <v>556</v>
      </c>
      <c r="AS1165" s="438"/>
      <c r="AU1165" s="1505"/>
      <c r="DG1165" s="1059"/>
      <c r="DH1165" s="66"/>
      <c r="DI1165" s="66"/>
      <c r="DJ1165" s="1102"/>
    </row>
    <row r="1166" spans="1:114" s="7" customFormat="1" ht="45.4" hidden="1" customHeight="1" outlineLevel="2">
      <c r="A1166" s="283"/>
      <c r="B1166" s="536"/>
      <c r="C1166" s="124"/>
      <c r="D1166" s="1374" t="s">
        <v>3470</v>
      </c>
      <c r="E1166" s="1374" t="s">
        <v>3471</v>
      </c>
      <c r="F1166" s="1807">
        <v>860</v>
      </c>
      <c r="G1166" s="832" t="s">
        <v>3472</v>
      </c>
      <c r="H1166" s="1807">
        <v>860</v>
      </c>
      <c r="I1166" s="1376" t="s">
        <v>3473</v>
      </c>
      <c r="J1166" s="66"/>
      <c r="K1166" s="66"/>
      <c r="L1166" s="66"/>
      <c r="M1166" s="66"/>
      <c r="N1166" s="66"/>
      <c r="O1166" s="536"/>
      <c r="P1166" s="66"/>
      <c r="Q1166" s="66"/>
      <c r="R1166" s="66"/>
      <c r="S1166" s="66"/>
      <c r="T1166" s="66"/>
      <c r="U1166" s="66"/>
      <c r="V1166" s="1558" t="s">
        <v>3474</v>
      </c>
      <c r="W1166" s="1560">
        <v>860</v>
      </c>
      <c r="X1166" s="1560">
        <v>860</v>
      </c>
      <c r="Y1166" s="438">
        <v>860</v>
      </c>
      <c r="Z1166" s="438">
        <v>860</v>
      </c>
      <c r="AA1166" s="438">
        <v>860</v>
      </c>
      <c r="AB1166" s="438">
        <v>860</v>
      </c>
      <c r="AC1166" s="438">
        <v>860</v>
      </c>
      <c r="AD1166" s="438">
        <v>860</v>
      </c>
      <c r="AE1166" s="438">
        <v>860</v>
      </c>
      <c r="AF1166" s="271">
        <f t="shared" si="191"/>
        <v>860</v>
      </c>
      <c r="AG1166" s="1494"/>
      <c r="AI1166" s="1558" t="s">
        <v>3452</v>
      </c>
      <c r="AJ1166" s="439">
        <v>1215</v>
      </c>
      <c r="AK1166" s="439">
        <v>860</v>
      </c>
      <c r="AL1166" s="438">
        <v>860</v>
      </c>
      <c r="AM1166" s="438">
        <v>860</v>
      </c>
      <c r="AN1166" s="438">
        <v>860</v>
      </c>
      <c r="AO1166" s="438">
        <v>860</v>
      </c>
      <c r="AP1166" s="438">
        <v>860</v>
      </c>
      <c r="AQ1166" s="438">
        <v>860</v>
      </c>
      <c r="AR1166" s="271">
        <f t="shared" si="192"/>
        <v>860</v>
      </c>
      <c r="AS1166" s="439"/>
      <c r="AU1166" s="1505"/>
      <c r="DG1166" s="1059"/>
      <c r="DH1166" s="66"/>
      <c r="DI1166" s="66"/>
      <c r="DJ1166" s="1102"/>
    </row>
    <row r="1167" spans="1:114" s="7" customFormat="1" ht="30" hidden="1" customHeight="1" outlineLevel="2">
      <c r="A1167" s="283"/>
      <c r="B1167" s="536"/>
      <c r="C1167" s="124"/>
      <c r="D1167" s="1374" t="s">
        <v>1311</v>
      </c>
      <c r="E1167" s="1374" t="s">
        <v>950</v>
      </c>
      <c r="F1167" s="1807">
        <v>1000</v>
      </c>
      <c r="G1167" s="1374" t="s">
        <v>950</v>
      </c>
      <c r="H1167" s="1807">
        <v>1000</v>
      </c>
      <c r="I1167" s="109"/>
      <c r="J1167" s="66"/>
      <c r="K1167" s="66"/>
      <c r="L1167" s="66"/>
      <c r="M1167" s="66"/>
      <c r="N1167" s="66"/>
      <c r="O1167" s="536"/>
      <c r="P1167" s="66"/>
      <c r="Q1167" s="66"/>
      <c r="R1167" s="66"/>
      <c r="S1167" s="66"/>
      <c r="T1167" s="66"/>
      <c r="U1167" s="66"/>
      <c r="V1167" s="1558" t="s">
        <v>1311</v>
      </c>
      <c r="W1167" s="1558">
        <v>1000</v>
      </c>
      <c r="X1167" s="1558">
        <v>1000</v>
      </c>
      <c r="Y1167" s="101">
        <v>1000</v>
      </c>
      <c r="Z1167" s="101">
        <v>1000</v>
      </c>
      <c r="AA1167" s="101">
        <v>1000</v>
      </c>
      <c r="AB1167" s="101">
        <v>1000</v>
      </c>
      <c r="AC1167" s="101">
        <v>1000</v>
      </c>
      <c r="AD1167" s="101">
        <v>1000</v>
      </c>
      <c r="AE1167" s="101">
        <v>1000</v>
      </c>
      <c r="AF1167" s="271">
        <f t="shared" si="191"/>
        <v>1000</v>
      </c>
      <c r="AG1167" s="1494"/>
      <c r="AI1167" s="1558" t="s">
        <v>3452</v>
      </c>
      <c r="AJ1167" s="123">
        <v>1000</v>
      </c>
      <c r="AK1167" s="1559">
        <v>1000</v>
      </c>
      <c r="AL1167" s="108">
        <v>1000</v>
      </c>
      <c r="AM1167" s="108">
        <v>1000</v>
      </c>
      <c r="AN1167" s="108">
        <v>1000</v>
      </c>
      <c r="AO1167" s="108">
        <v>1000</v>
      </c>
      <c r="AP1167" s="108">
        <v>1000</v>
      </c>
      <c r="AQ1167" s="108">
        <v>1000</v>
      </c>
      <c r="AR1167" s="271">
        <f t="shared" si="192"/>
        <v>1000</v>
      </c>
      <c r="AS1167" s="1559"/>
      <c r="AU1167" s="1505"/>
      <c r="DG1167" s="1059"/>
      <c r="DH1167" s="66"/>
      <c r="DI1167" s="66"/>
      <c r="DJ1167" s="1102"/>
    </row>
    <row r="1168" spans="1:114" s="7" customFormat="1" ht="63.4" hidden="1" customHeight="1" outlineLevel="2">
      <c r="A1168" s="283"/>
      <c r="B1168" s="536"/>
      <c r="C1168" s="124"/>
      <c r="D1168" s="1374" t="s">
        <v>128</v>
      </c>
      <c r="E1168" s="1374" t="s">
        <v>3475</v>
      </c>
      <c r="F1168" s="482">
        <v>0.97560975609756095</v>
      </c>
      <c r="G1168" s="832" t="s">
        <v>3476</v>
      </c>
      <c r="H1168" s="525">
        <v>1</v>
      </c>
      <c r="I1168" s="109"/>
      <c r="J1168" s="66"/>
      <c r="K1168" s="66"/>
      <c r="L1168" s="66"/>
      <c r="M1168" s="66"/>
      <c r="N1168" s="66"/>
      <c r="O1168" s="536"/>
      <c r="P1168" s="66"/>
      <c r="Q1168" s="66"/>
      <c r="R1168" s="66"/>
      <c r="S1168" s="66"/>
      <c r="T1168" s="66"/>
      <c r="U1168" s="66"/>
      <c r="V1168" s="1558" t="s">
        <v>1036</v>
      </c>
      <c r="W1168" s="1854">
        <v>0.97560975609756095</v>
      </c>
      <c r="X1168" s="1854">
        <v>0.97560975609756095</v>
      </c>
      <c r="Y1168" s="102">
        <v>0.97560975609756095</v>
      </c>
      <c r="Z1168" s="102">
        <v>0.97560975609756095</v>
      </c>
      <c r="AA1168" s="102">
        <v>0.97560975609756095</v>
      </c>
      <c r="AB1168" s="102">
        <v>0.97560975609756095</v>
      </c>
      <c r="AC1168" s="102">
        <v>0.97560975609756095</v>
      </c>
      <c r="AD1168" s="102">
        <v>0.97560975609756095</v>
      </c>
      <c r="AE1168" s="102">
        <v>0.97560975609756095</v>
      </c>
      <c r="AF1168" s="271">
        <f t="shared" si="191"/>
        <v>0.97560975609756095</v>
      </c>
      <c r="AG1168" s="1494"/>
      <c r="AI1168" s="1558" t="s">
        <v>3452</v>
      </c>
      <c r="AJ1168" s="228">
        <v>1</v>
      </c>
      <c r="AK1168" s="102">
        <v>1</v>
      </c>
      <c r="AL1168" s="102">
        <v>1</v>
      </c>
      <c r="AM1168" s="102">
        <v>1</v>
      </c>
      <c r="AN1168" s="102">
        <v>1</v>
      </c>
      <c r="AO1168" s="102">
        <v>1</v>
      </c>
      <c r="AP1168" s="102">
        <v>1</v>
      </c>
      <c r="AQ1168" s="102">
        <v>1</v>
      </c>
      <c r="AR1168" s="271">
        <f t="shared" si="192"/>
        <v>1</v>
      </c>
      <c r="AS1168" s="1559"/>
      <c r="AU1168" s="1505"/>
      <c r="DG1168" s="1059"/>
      <c r="DH1168" s="66"/>
      <c r="DI1168" s="66"/>
      <c r="DJ1168" s="1102"/>
    </row>
    <row r="1169" spans="1:114" s="7" customFormat="1" ht="68.650000000000006" hidden="1" customHeight="1" outlineLevel="2">
      <c r="A1169" s="283"/>
      <c r="B1169" s="66"/>
      <c r="C1169" s="64"/>
      <c r="D1169" s="1441" t="str">
        <f>D1118</f>
        <v>EUL</v>
      </c>
      <c r="E1169" s="1441"/>
      <c r="F1169" s="1823">
        <v>12</v>
      </c>
      <c r="G1169" s="1632" t="s">
        <v>3477</v>
      </c>
      <c r="H1169" s="1855">
        <f>F1169</f>
        <v>12</v>
      </c>
      <c r="I1169" s="109" t="s">
        <v>62</v>
      </c>
      <c r="J1169" s="66"/>
      <c r="K1169" s="66"/>
      <c r="L1169" s="66"/>
      <c r="M1169" s="66"/>
      <c r="N1169" s="66"/>
      <c r="O1169" s="66"/>
      <c r="P1169" s="66"/>
      <c r="Q1169" s="66"/>
      <c r="R1169" s="66"/>
      <c r="S1169" s="66"/>
      <c r="T1169" s="66"/>
      <c r="U1169" s="66"/>
      <c r="V1169" s="1558" t="str">
        <f>D1169</f>
        <v>EUL</v>
      </c>
      <c r="W1169" s="1521">
        <v>9</v>
      </c>
      <c r="X1169" s="1521">
        <v>9</v>
      </c>
      <c r="Y1169" s="116">
        <v>9</v>
      </c>
      <c r="Z1169" s="116">
        <v>9</v>
      </c>
      <c r="AA1169" s="116">
        <v>9</v>
      </c>
      <c r="AB1169" s="116">
        <v>9</v>
      </c>
      <c r="AC1169" s="116">
        <v>9</v>
      </c>
      <c r="AD1169" s="116">
        <v>9</v>
      </c>
      <c r="AE1169" s="116">
        <v>9</v>
      </c>
      <c r="AF1169" s="271">
        <f t="shared" si="191"/>
        <v>12</v>
      </c>
      <c r="AG1169" s="1521"/>
      <c r="AI1169" s="1561">
        <v>9</v>
      </c>
      <c r="AJ1169" s="1561">
        <v>9</v>
      </c>
      <c r="AK1169" s="440">
        <v>9</v>
      </c>
      <c r="AL1169" s="440">
        <v>9</v>
      </c>
      <c r="AM1169" s="440">
        <v>9</v>
      </c>
      <c r="AN1169" s="440">
        <v>9</v>
      </c>
      <c r="AO1169" s="440">
        <v>9</v>
      </c>
      <c r="AP1169" s="440">
        <v>9</v>
      </c>
      <c r="AQ1169" s="440">
        <v>9</v>
      </c>
      <c r="AR1169" s="271">
        <f t="shared" si="192"/>
        <v>12</v>
      </c>
      <c r="AS1169" s="1561"/>
      <c r="AU1169" s="1505"/>
      <c r="DG1169" s="1059"/>
      <c r="DH1169" s="66"/>
      <c r="DI1169" s="66"/>
      <c r="DJ1169" s="1102"/>
    </row>
    <row r="1170" spans="1:114" s="7" customFormat="1" ht="28.9" hidden="1" customHeight="1" outlineLevel="2">
      <c r="A1170" s="283"/>
      <c r="B1170" s="66"/>
      <c r="C1170" s="64"/>
      <c r="D1170" s="1441" t="str">
        <f>D1120</f>
        <v>Inc. Cost</v>
      </c>
      <c r="E1170" s="1441"/>
      <c r="F1170" s="1824">
        <v>300</v>
      </c>
      <c r="G1170" s="1632" t="s">
        <v>3478</v>
      </c>
      <c r="H1170" s="1856">
        <f>F1170</f>
        <v>300</v>
      </c>
      <c r="I1170" s="109" t="s">
        <v>62</v>
      </c>
      <c r="J1170" s="66"/>
      <c r="K1170" s="66"/>
      <c r="L1170" s="66"/>
      <c r="M1170" s="66"/>
      <c r="N1170" s="66"/>
      <c r="O1170" s="66"/>
      <c r="P1170" s="66"/>
      <c r="Q1170" s="66"/>
      <c r="R1170" s="66"/>
      <c r="S1170" s="66"/>
      <c r="T1170" s="66"/>
      <c r="U1170" s="66"/>
      <c r="V1170" s="1558" t="str">
        <f>D1170</f>
        <v>Inc. Cost</v>
      </c>
      <c r="W1170" s="1522">
        <v>20</v>
      </c>
      <c r="X1170" s="1522">
        <v>20</v>
      </c>
      <c r="Y1170" s="431">
        <v>20</v>
      </c>
      <c r="Z1170" s="431">
        <v>20</v>
      </c>
      <c r="AA1170" s="431">
        <v>20</v>
      </c>
      <c r="AB1170" s="431">
        <v>20</v>
      </c>
      <c r="AC1170" s="431">
        <v>20</v>
      </c>
      <c r="AD1170" s="431">
        <v>20</v>
      </c>
      <c r="AE1170" s="431">
        <v>20</v>
      </c>
      <c r="AF1170" s="271">
        <f t="shared" si="191"/>
        <v>300</v>
      </c>
      <c r="AG1170" s="1522"/>
      <c r="AI1170" s="1522">
        <v>20</v>
      </c>
      <c r="AJ1170" s="1522">
        <v>20</v>
      </c>
      <c r="AK1170" s="431">
        <v>20</v>
      </c>
      <c r="AL1170" s="431">
        <v>20</v>
      </c>
      <c r="AM1170" s="431">
        <v>20</v>
      </c>
      <c r="AN1170" s="431">
        <v>20</v>
      </c>
      <c r="AO1170" s="431">
        <v>20</v>
      </c>
      <c r="AP1170" s="431">
        <v>20</v>
      </c>
      <c r="AQ1170" s="431">
        <v>20</v>
      </c>
      <c r="AR1170" s="271">
        <f t="shared" si="192"/>
        <v>300</v>
      </c>
      <c r="AS1170" s="1522"/>
      <c r="AU1170" s="1505"/>
      <c r="DG1170" s="1059"/>
      <c r="DH1170" s="66"/>
      <c r="DI1170" s="66"/>
      <c r="DJ1170" s="1102"/>
    </row>
    <row r="1171" spans="1:114" s="7" customFormat="1" hidden="1" outlineLevel="2">
      <c r="A1171" s="283"/>
      <c r="B1171" s="66"/>
      <c r="C1171" s="64"/>
      <c r="D1171" s="125"/>
      <c r="E1171" s="125"/>
      <c r="F1171" s="126"/>
      <c r="G1171" s="127"/>
      <c r="H1171" s="66"/>
      <c r="I1171" s="66"/>
      <c r="J1171" s="66"/>
      <c r="K1171" s="66"/>
      <c r="L1171" s="66"/>
      <c r="M1171" s="66"/>
      <c r="N1171" s="66"/>
      <c r="O1171" s="66"/>
      <c r="P1171" s="66"/>
      <c r="Q1171" s="66"/>
      <c r="R1171" s="66"/>
      <c r="S1171" s="66"/>
      <c r="T1171" s="66"/>
      <c r="U1171" s="66"/>
      <c r="Y1171" s="1520"/>
      <c r="AU1171" s="1505"/>
      <c r="DG1171" s="1059"/>
      <c r="DH1171" s="66"/>
      <c r="DI1171" s="66"/>
      <c r="DJ1171" s="1102"/>
    </row>
    <row r="1172" spans="1:114" s="7" customFormat="1" hidden="1" outlineLevel="2">
      <c r="A1172" s="283"/>
      <c r="B1172" s="66"/>
      <c r="C1172" s="64"/>
      <c r="D1172" s="65"/>
      <c r="E1172" s="65"/>
      <c r="F1172" s="66"/>
      <c r="G1172" s="66"/>
      <c r="H1172" s="66"/>
      <c r="I1172" s="66"/>
      <c r="J1172" s="66"/>
      <c r="K1172" s="66"/>
      <c r="L1172" s="66"/>
      <c r="M1172" s="66"/>
      <c r="N1172" s="66"/>
      <c r="O1172" s="66"/>
      <c r="P1172" s="66"/>
      <c r="Q1172" s="66"/>
      <c r="R1172" s="66"/>
      <c r="S1172" s="66"/>
      <c r="T1172" s="66"/>
      <c r="U1172" s="66"/>
      <c r="Y1172" s="1520"/>
      <c r="AU1172" s="1505"/>
      <c r="DG1172" s="1059"/>
      <c r="DH1172" s="66"/>
      <c r="DI1172" s="66"/>
      <c r="DJ1172" s="1102"/>
    </row>
    <row r="1173" spans="1:114" s="7" customFormat="1" collapsed="1">
      <c r="A1173" s="283"/>
      <c r="B1173" s="66"/>
      <c r="C1173" s="64"/>
      <c r="D1173" s="65"/>
      <c r="E1173" s="65"/>
      <c r="F1173" s="66"/>
      <c r="G1173" s="66"/>
      <c r="H1173" s="66"/>
      <c r="I1173" s="66"/>
      <c r="J1173" s="66"/>
      <c r="K1173" s="66"/>
      <c r="L1173" s="66"/>
      <c r="M1173" s="66"/>
      <c r="N1173" s="66"/>
      <c r="O1173" s="66"/>
      <c r="P1173" s="66"/>
      <c r="Q1173" s="66"/>
      <c r="R1173" s="66"/>
      <c r="S1173" s="66"/>
      <c r="T1173" s="66"/>
      <c r="U1173" s="66"/>
      <c r="Y1173" s="1520"/>
      <c r="AU1173" s="1505"/>
      <c r="DG1173" s="1059"/>
      <c r="DH1173" s="66"/>
      <c r="DI1173" s="66"/>
      <c r="DJ1173" s="1102"/>
    </row>
    <row r="1174" spans="1:114" s="67" customFormat="1">
      <c r="A1174" s="283"/>
      <c r="B1174" s="4025" t="s">
        <v>3479</v>
      </c>
      <c r="C1174" s="4026"/>
      <c r="D1174" s="4026"/>
      <c r="E1174" s="4026"/>
      <c r="F1174" s="4026"/>
      <c r="G1174" s="4026"/>
      <c r="H1174" s="4026"/>
      <c r="I1174" s="4817"/>
      <c r="J1174" s="4817"/>
      <c r="K1174" s="4817"/>
      <c r="L1174" s="4817"/>
      <c r="M1174" s="4817"/>
      <c r="N1174" s="4817"/>
      <c r="O1174" s="4817"/>
      <c r="P1174" s="4817"/>
      <c r="Q1174" s="4817"/>
      <c r="R1174" s="4818"/>
      <c r="V1174" s="2203" t="str">
        <f>B1174</f>
        <v>Storm Window</v>
      </c>
      <c r="W1174" s="2204"/>
      <c r="X1174" s="2204"/>
      <c r="Y1174" s="2204"/>
      <c r="Z1174" s="2204"/>
      <c r="AA1174" s="2204"/>
      <c r="AB1174" s="2694"/>
      <c r="AC1174" s="2695"/>
      <c r="AD1174" s="2695"/>
      <c r="AE1174" s="2695"/>
      <c r="AF1174" s="2695"/>
      <c r="AG1174" s="2695"/>
      <c r="AH1174" s="1358"/>
      <c r="AI1174" s="1359"/>
      <c r="AU1174" s="765"/>
      <c r="DG1174" s="1059"/>
      <c r="DH1174" s="66"/>
      <c r="DI1174" s="66"/>
      <c r="DJ1174" s="1102"/>
    </row>
    <row r="1175" spans="1:114" s="1458" customFormat="1">
      <c r="A1175" s="283"/>
      <c r="B1175" s="635"/>
      <c r="C1175" s="2205"/>
      <c r="D1175" s="2206"/>
      <c r="E1175" s="2206"/>
      <c r="F1175" s="635"/>
      <c r="G1175" s="635"/>
      <c r="H1175" s="635"/>
      <c r="I1175" s="635"/>
      <c r="J1175" s="635"/>
      <c r="K1175" s="635"/>
      <c r="L1175" s="635"/>
      <c r="M1175" s="635"/>
      <c r="N1175" s="635"/>
      <c r="O1175" s="635"/>
      <c r="P1175" s="2696"/>
      <c r="Q1175" s="2696"/>
      <c r="R1175" s="2696"/>
      <c r="V1175" s="2696"/>
      <c r="W1175" s="2696"/>
      <c r="X1175" s="2696"/>
      <c r="Y1175" s="2703"/>
      <c r="Z1175" s="2696"/>
      <c r="AA1175" s="2696"/>
      <c r="AB1175" s="2696"/>
      <c r="AC1175" s="2696"/>
      <c r="AD1175" s="2696"/>
      <c r="AE1175" s="2696"/>
      <c r="AF1175" s="2696"/>
      <c r="AG1175" s="2696"/>
      <c r="AH1175" s="283"/>
      <c r="AI1175" s="283"/>
      <c r="DG1175" s="540"/>
      <c r="DH1175" s="283"/>
      <c r="DI1175" s="283"/>
      <c r="DJ1175" s="1102"/>
    </row>
    <row r="1176" spans="1:114" s="1458" customFormat="1" ht="30">
      <c r="A1176" s="283"/>
      <c r="B1176" s="2697"/>
      <c r="C1176" s="2616" t="s">
        <v>42</v>
      </c>
      <c r="D1176" s="2616" t="s">
        <v>953</v>
      </c>
      <c r="E1176" s="2616" t="s">
        <v>44</v>
      </c>
      <c r="F1176" s="2616" t="s">
        <v>45</v>
      </c>
      <c r="G1176" s="2616" t="s">
        <v>46</v>
      </c>
      <c r="H1176" s="2616" t="s">
        <v>47</v>
      </c>
      <c r="I1176" s="2616" t="s">
        <v>48</v>
      </c>
      <c r="J1176" s="2616" t="s">
        <v>49</v>
      </c>
      <c r="K1176" s="2616" t="s">
        <v>50</v>
      </c>
      <c r="L1176" s="2616" t="s">
        <v>51</v>
      </c>
      <c r="M1176" s="635"/>
      <c r="N1176" s="635"/>
      <c r="O1176" s="2697"/>
      <c r="P1176" s="2696"/>
      <c r="Q1176" s="2696"/>
      <c r="R1176" s="2696"/>
      <c r="V1176" s="2704" t="s">
        <v>52</v>
      </c>
      <c r="W1176" s="2705">
        <v>43252</v>
      </c>
      <c r="X1176" s="2705">
        <f>$X$6</f>
        <v>43465</v>
      </c>
      <c r="Y1176" s="2706">
        <f>$Y$6</f>
        <v>43800</v>
      </c>
      <c r="Z1176" s="2705">
        <f>$Z$6</f>
        <v>43862</v>
      </c>
      <c r="AA1176" s="2705">
        <f>$AA$6</f>
        <v>44013</v>
      </c>
      <c r="AB1176" s="2705">
        <f>$AB$6</f>
        <v>44166</v>
      </c>
      <c r="AC1176" s="2705">
        <f>$AC$6</f>
        <v>44531</v>
      </c>
      <c r="AD1176" s="2705">
        <f>$AD$6</f>
        <v>44774</v>
      </c>
      <c r="AE1176" s="2705">
        <f>$AE$6</f>
        <v>45139</v>
      </c>
      <c r="AF1176" s="2705">
        <f>$AF$6</f>
        <v>45672</v>
      </c>
      <c r="AG1176" s="2705" t="str">
        <f>$AG$6</f>
        <v>-</v>
      </c>
      <c r="AH1176" s="283"/>
      <c r="AI1176" s="283"/>
      <c r="DG1176" s="2749" t="str">
        <f>$DG$6</f>
        <v>TRC (2025)</v>
      </c>
      <c r="DH1176" s="2750" t="str">
        <f>$DH$6</f>
        <v>Benefit Lookup</v>
      </c>
      <c r="DI1176" s="2751" t="str">
        <f>$DI$6</f>
        <v>Benefits (2025 $)</v>
      </c>
      <c r="DJ1176" s="2752" t="str">
        <f>$DJ$6</f>
        <v>Incremental Cost (2025 $)</v>
      </c>
    </row>
    <row r="1177" spans="1:114" s="1458" customFormat="1">
      <c r="A1177" s="283"/>
      <c r="B1177" s="2208">
        <f t="shared" ref="B1177:B1188" si="193">VALUE(LEFT(C1177,6))</f>
        <v>406025</v>
      </c>
      <c r="C1177" s="2554" t="s">
        <v>3480</v>
      </c>
      <c r="D1177" s="2698" t="s">
        <v>3293</v>
      </c>
      <c r="E1177" s="2698" t="s">
        <v>3481</v>
      </c>
      <c r="F1177" s="2663">
        <f>ROUND(G1197*G$1196/G$1201+G1202*G$1196/(G$1206*G$1209),2)</f>
        <v>17.27</v>
      </c>
      <c r="G1177" s="2244" t="s">
        <v>1380</v>
      </c>
      <c r="H1177" s="2548">
        <f>VLOOKUP(G1177,'CP FACTORS'!$A$3:$B$38, 2, FALSE)</f>
        <v>4.6608050000000002E-4</v>
      </c>
      <c r="I1177" s="2404">
        <f t="shared" ref="I1177:I1188" si="194">ROUND(F1177*H1177,6)</f>
        <v>8.0490000000000006E-3</v>
      </c>
      <c r="J1177" s="2699">
        <f t="shared" ref="J1177:J1188" si="195">G$1210</f>
        <v>20</v>
      </c>
      <c r="K1177" s="2700">
        <f t="shared" ref="K1177:K1188" si="196">G$1211</f>
        <v>9.2850000000000001</v>
      </c>
      <c r="L1177" s="2589" t="s">
        <v>3482</v>
      </c>
      <c r="M1177" s="2086"/>
      <c r="N1177" s="2701"/>
      <c r="O1177" s="2702"/>
      <c r="P1177" s="2696"/>
      <c r="Q1177" s="2696"/>
      <c r="R1177" s="2696"/>
      <c r="V1177" s="2707" t="s">
        <v>45</v>
      </c>
      <c r="W1177" s="2708"/>
      <c r="X1177" s="2480"/>
      <c r="Y1177" s="2480"/>
      <c r="Z1177" s="2480"/>
      <c r="AA1177" s="2709"/>
      <c r="AB1177" s="2708">
        <v>17.535985292550357</v>
      </c>
      <c r="AC1177" s="2686">
        <v>17.535985292550357</v>
      </c>
      <c r="AD1177" s="2686">
        <v>17.535985292550357</v>
      </c>
      <c r="AE1177" s="2686">
        <v>17.535985292550357</v>
      </c>
      <c r="AF1177" s="2236">
        <f t="shared" ref="AF1177:AF1188" si="197">IF(F1177&lt;&gt;"",F1177,"")</f>
        <v>17.27</v>
      </c>
      <c r="AG1177" s="2710"/>
      <c r="DG1177" s="2418">
        <f t="shared" ref="DG1177:DG1187" si="198">(DI1177)/(DJ1177)</f>
        <v>2.8319290347196429</v>
      </c>
      <c r="DH1177" s="2419" t="str">
        <f t="shared" ref="DH1177:DH1188" si="199">CONCATENATE(G1177," ",J1177," Year EUL")</f>
        <v>Building Shell RES 20 Year EUL</v>
      </c>
      <c r="DI1177" s="2420">
        <f>(INDEX('Avoided Cost Benefits'!$B$4:$B$865,MATCH(DH1177,'Avoided Cost Benefits'!$A$4:$A$865,0)))*F1177</f>
        <v>26.294461087371886</v>
      </c>
      <c r="DJ1177" s="2421">
        <f t="shared" ref="DJ1177:DJ1188" si="200">K1177/(1.0686^(2025-2025))</f>
        <v>9.2850000000000001</v>
      </c>
    </row>
    <row r="1178" spans="1:114" s="1458" customFormat="1">
      <c r="A1178" s="283"/>
      <c r="B1178" s="2208">
        <f t="shared" si="193"/>
        <v>406050</v>
      </c>
      <c r="C1178" s="2554" t="s">
        <v>3483</v>
      </c>
      <c r="D1178" s="2698" t="s">
        <v>3293</v>
      </c>
      <c r="E1178" s="2698" t="s">
        <v>3484</v>
      </c>
      <c r="F1178" s="2663">
        <f>ROUND(G1197*G$1196/G$1201+G1202*G$1196/(G$1207*G$1209),2)</f>
        <v>11.47</v>
      </c>
      <c r="G1178" s="2244" t="s">
        <v>1380</v>
      </c>
      <c r="H1178" s="2548">
        <f>VLOOKUP(G1178,'CP FACTORS'!$A$3:$B$38, 2, FALSE)</f>
        <v>4.6608050000000002E-4</v>
      </c>
      <c r="I1178" s="2404">
        <f t="shared" si="194"/>
        <v>5.3460000000000001E-3</v>
      </c>
      <c r="J1178" s="2699">
        <f t="shared" si="195"/>
        <v>20</v>
      </c>
      <c r="K1178" s="2700">
        <f t="shared" si="196"/>
        <v>9.2850000000000001</v>
      </c>
      <c r="L1178" s="2589" t="s">
        <v>3482</v>
      </c>
      <c r="M1178" s="2086"/>
      <c r="N1178" s="2701"/>
      <c r="O1178" s="2702"/>
      <c r="P1178" s="2696"/>
      <c r="Q1178" s="2696"/>
      <c r="R1178" s="2696"/>
      <c r="V1178" s="2707" t="s">
        <v>45</v>
      </c>
      <c r="W1178" s="2708"/>
      <c r="X1178" s="2664"/>
      <c r="Y1178" s="2664"/>
      <c r="Z1178" s="2664"/>
      <c r="AA1178" s="2709"/>
      <c r="AB1178" s="2708">
        <v>10.4183346394822</v>
      </c>
      <c r="AC1178" s="2686">
        <v>10.4183346394822</v>
      </c>
      <c r="AD1178" s="2686">
        <v>10.4183346394822</v>
      </c>
      <c r="AE1178" s="2686">
        <v>10.4183346394822</v>
      </c>
      <c r="AF1178" s="2236">
        <f t="shared" si="197"/>
        <v>11.47</v>
      </c>
      <c r="AG1178" s="2710"/>
      <c r="DG1178" s="2422">
        <f t="shared" si="198"/>
        <v>1.8808469037773197</v>
      </c>
      <c r="DH1178" s="2423" t="str">
        <f t="shared" si="199"/>
        <v>Building Shell RES 20 Year EUL</v>
      </c>
      <c r="DI1178" s="2336">
        <f>(INDEX('Avoided Cost Benefits'!$B$4:$B$865,MATCH(DH1178,'Avoided Cost Benefits'!$A$4:$A$865,0)))*F1178</f>
        <v>17.463663501572412</v>
      </c>
      <c r="DJ1178" s="2424">
        <f t="shared" si="200"/>
        <v>9.2850000000000001</v>
      </c>
    </row>
    <row r="1179" spans="1:114" s="1458" customFormat="1">
      <c r="A1179" s="283"/>
      <c r="B1179" s="2208">
        <f t="shared" si="193"/>
        <v>406075</v>
      </c>
      <c r="C1179" s="2554" t="s">
        <v>3485</v>
      </c>
      <c r="D1179" s="2698" t="s">
        <v>3293</v>
      </c>
      <c r="E1179" s="2698" t="s">
        <v>3486</v>
      </c>
      <c r="F1179" s="2663">
        <f>ROUND(G1197*G$1196/G$1201,2)</f>
        <v>2.12</v>
      </c>
      <c r="G1179" s="2244" t="s">
        <v>1380</v>
      </c>
      <c r="H1179" s="2548">
        <f>VLOOKUP(G1179,'CP FACTORS'!$A$3:$B$38, 2, FALSE)</f>
        <v>4.6608050000000002E-4</v>
      </c>
      <c r="I1179" s="2404">
        <f t="shared" si="194"/>
        <v>9.8799999999999995E-4</v>
      </c>
      <c r="J1179" s="2699">
        <f t="shared" si="195"/>
        <v>20</v>
      </c>
      <c r="K1179" s="2700">
        <f t="shared" si="196"/>
        <v>9.2850000000000001</v>
      </c>
      <c r="L1179" s="2589" t="s">
        <v>3482</v>
      </c>
      <c r="M1179" s="2086"/>
      <c r="N1179" s="2701"/>
      <c r="O1179" s="2702"/>
      <c r="P1179" s="2696"/>
      <c r="Q1179" s="2696"/>
      <c r="R1179" s="2696"/>
      <c r="V1179" s="2707" t="s">
        <v>45</v>
      </c>
      <c r="W1179" s="2708"/>
      <c r="X1179" s="2480"/>
      <c r="Y1179" s="2480"/>
      <c r="Z1179" s="2480"/>
      <c r="AA1179" s="2709"/>
      <c r="AB1179" s="2708">
        <v>2.3909090909090911</v>
      </c>
      <c r="AC1179" s="2686">
        <v>2.3909090909090911</v>
      </c>
      <c r="AD1179" s="2686">
        <v>2.3909090909090911</v>
      </c>
      <c r="AE1179" s="2686">
        <v>2.3909090909090911</v>
      </c>
      <c r="AF1179" s="2236">
        <f t="shared" si="197"/>
        <v>2.12</v>
      </c>
      <c r="AG1179" s="2710"/>
      <c r="DG1179" s="2422">
        <f t="shared" si="198"/>
        <v>0.34763691682719416</v>
      </c>
      <c r="DH1179" s="2423" t="str">
        <f t="shared" si="199"/>
        <v>Building Shell RES 20 Year EUL</v>
      </c>
      <c r="DI1179" s="2336">
        <f>(INDEX('Avoided Cost Benefits'!$B$4:$B$865,MATCH(DH1179,'Avoided Cost Benefits'!$A$4:$A$865,0)))*F1179</f>
        <v>3.2278087727404978</v>
      </c>
      <c r="DJ1179" s="2424">
        <f t="shared" si="200"/>
        <v>9.2850000000000001</v>
      </c>
    </row>
    <row r="1180" spans="1:114" s="1458" customFormat="1">
      <c r="A1180" s="283"/>
      <c r="B1180" s="2208">
        <f t="shared" si="193"/>
        <v>406100</v>
      </c>
      <c r="C1180" s="2554" t="s">
        <v>3487</v>
      </c>
      <c r="D1180" s="2698" t="s">
        <v>3293</v>
      </c>
      <c r="E1180" s="2698" t="s">
        <v>3488</v>
      </c>
      <c r="F1180" s="2663">
        <f>ROUND(G1198*G$1196/G$1201+G1203*G$1196/(G$1206*G$1209),2)</f>
        <v>5.77</v>
      </c>
      <c r="G1180" s="2244" t="s">
        <v>1380</v>
      </c>
      <c r="H1180" s="2548">
        <f>VLOOKUP(G1180,'CP FACTORS'!$A$3:$B$38, 2, FALSE)</f>
        <v>4.6608050000000002E-4</v>
      </c>
      <c r="I1180" s="2404">
        <f t="shared" si="194"/>
        <v>2.689E-3</v>
      </c>
      <c r="J1180" s="2699">
        <f t="shared" si="195"/>
        <v>20</v>
      </c>
      <c r="K1180" s="2700">
        <f t="shared" si="196"/>
        <v>9.2850000000000001</v>
      </c>
      <c r="L1180" s="2589" t="s">
        <v>3482</v>
      </c>
      <c r="M1180" s="2086"/>
      <c r="N1180" s="2701"/>
      <c r="O1180" s="2702"/>
      <c r="P1180" s="2696"/>
      <c r="Q1180" s="2696"/>
      <c r="R1180" s="2696"/>
      <c r="V1180" s="2707" t="s">
        <v>45</v>
      </c>
      <c r="W1180" s="2708"/>
      <c r="X1180" s="2664"/>
      <c r="Y1180" s="2664"/>
      <c r="Z1180" s="2664"/>
      <c r="AA1180" s="2709"/>
      <c r="AB1180" s="2708">
        <v>5.9024938718959818</v>
      </c>
      <c r="AC1180" s="2686">
        <v>5.9024938718959818</v>
      </c>
      <c r="AD1180" s="2686">
        <v>5.9024938718959818</v>
      </c>
      <c r="AE1180" s="2686">
        <v>5.9024938718959818</v>
      </c>
      <c r="AF1180" s="2236">
        <f t="shared" si="197"/>
        <v>5.77</v>
      </c>
      <c r="AG1180" s="2710"/>
      <c r="DG1180" s="2422">
        <f t="shared" si="198"/>
        <v>0.94616274060986316</v>
      </c>
      <c r="DH1180" s="2423" t="str">
        <f t="shared" si="199"/>
        <v>Building Shell RES 20 Year EUL</v>
      </c>
      <c r="DI1180" s="2336">
        <f>(INDEX('Avoided Cost Benefits'!$B$4:$B$865,MATCH(DH1180,'Avoided Cost Benefits'!$A$4:$A$865,0)))*F1180</f>
        <v>8.7851210465625797</v>
      </c>
      <c r="DJ1180" s="2424">
        <f t="shared" si="200"/>
        <v>9.2850000000000001</v>
      </c>
    </row>
    <row r="1181" spans="1:114" s="1458" customFormat="1">
      <c r="A1181" s="283"/>
      <c r="B1181" s="2208">
        <f t="shared" si="193"/>
        <v>406125</v>
      </c>
      <c r="C1181" s="2554" t="s">
        <v>3489</v>
      </c>
      <c r="D1181" s="2698" t="s">
        <v>3293</v>
      </c>
      <c r="E1181" s="2698" t="s">
        <v>3490</v>
      </c>
      <c r="F1181" s="2663">
        <f>ROUND(G1198*G$1196/G$1201+G1203*G$1196/(G$1207*G$1209),2)</f>
        <v>3.96</v>
      </c>
      <c r="G1181" s="2244" t="s">
        <v>1380</v>
      </c>
      <c r="H1181" s="2548">
        <f>VLOOKUP(G1181,'CP FACTORS'!$A$3:$B$38, 2, FALSE)</f>
        <v>4.6608050000000002E-4</v>
      </c>
      <c r="I1181" s="2404">
        <f t="shared" si="194"/>
        <v>1.846E-3</v>
      </c>
      <c r="J1181" s="2699">
        <f t="shared" si="195"/>
        <v>20</v>
      </c>
      <c r="K1181" s="2700">
        <f t="shared" si="196"/>
        <v>9.2850000000000001</v>
      </c>
      <c r="L1181" s="2589" t="s">
        <v>3482</v>
      </c>
      <c r="M1181" s="2086"/>
      <c r="N1181" s="2701"/>
      <c r="O1181" s="2702"/>
      <c r="P1181" s="2696"/>
      <c r="Q1181" s="2696"/>
      <c r="R1181" s="2696"/>
      <c r="V1181" s="2707" t="s">
        <v>45</v>
      </c>
      <c r="W1181" s="2708"/>
      <c r="X1181" s="2664"/>
      <c r="Y1181" s="2664"/>
      <c r="Z1181" s="2664"/>
      <c r="AA1181" s="2709"/>
      <c r="AB1181" s="2708">
        <v>3.6711258877701161</v>
      </c>
      <c r="AC1181" s="2686">
        <v>3.6711258877701161</v>
      </c>
      <c r="AD1181" s="2686">
        <v>3.6711258877701161</v>
      </c>
      <c r="AE1181" s="2686">
        <v>3.6711258877701161</v>
      </c>
      <c r="AF1181" s="2236">
        <f t="shared" si="197"/>
        <v>3.96</v>
      </c>
      <c r="AG1181" s="2710"/>
      <c r="DG1181" s="2422">
        <f t="shared" si="198"/>
        <v>0.64935952388475882</v>
      </c>
      <c r="DH1181" s="2423" t="str">
        <f t="shared" si="199"/>
        <v>Building Shell RES 20 Year EUL</v>
      </c>
      <c r="DI1181" s="2336">
        <f>(INDEX('Avoided Cost Benefits'!$B$4:$B$865,MATCH(DH1181,'Avoided Cost Benefits'!$A$4:$A$865,0)))*F1181</f>
        <v>6.029303179269986</v>
      </c>
      <c r="DJ1181" s="2424">
        <f t="shared" si="200"/>
        <v>9.2850000000000001</v>
      </c>
    </row>
    <row r="1182" spans="1:114" s="1458" customFormat="1">
      <c r="A1182" s="283"/>
      <c r="B1182" s="2208">
        <f t="shared" si="193"/>
        <v>406150</v>
      </c>
      <c r="C1182" s="2554" t="s">
        <v>3491</v>
      </c>
      <c r="D1182" s="2698" t="s">
        <v>3293</v>
      </c>
      <c r="E1182" s="2698" t="s">
        <v>3492</v>
      </c>
      <c r="F1182" s="2663">
        <f>ROUND(G1198*G$1196/G$1201,2)</f>
        <v>1.02</v>
      </c>
      <c r="G1182" s="2244" t="s">
        <v>1380</v>
      </c>
      <c r="H1182" s="2548">
        <f>VLOOKUP(G1182,'CP FACTORS'!$A$3:$B$38, 2, FALSE)</f>
        <v>4.6608050000000002E-4</v>
      </c>
      <c r="I1182" s="2404">
        <f t="shared" si="194"/>
        <v>4.75E-4</v>
      </c>
      <c r="J1182" s="2699">
        <f t="shared" si="195"/>
        <v>20</v>
      </c>
      <c r="K1182" s="2700">
        <f t="shared" si="196"/>
        <v>9.2850000000000001</v>
      </c>
      <c r="L1182" s="2589" t="s">
        <v>3482</v>
      </c>
      <c r="M1182" s="2086"/>
      <c r="N1182" s="2701"/>
      <c r="O1182" s="2702"/>
      <c r="P1182" s="2696"/>
      <c r="Q1182" s="2696"/>
      <c r="R1182" s="2696"/>
      <c r="V1182" s="2707" t="s">
        <v>45</v>
      </c>
      <c r="W1182" s="2708"/>
      <c r="X1182" s="2664"/>
      <c r="Y1182" s="2664"/>
      <c r="Z1182" s="2664"/>
      <c r="AA1182" s="2709"/>
      <c r="AB1182" s="2708">
        <v>1.1545454545454545</v>
      </c>
      <c r="AC1182" s="2686">
        <v>1.1545454545454545</v>
      </c>
      <c r="AD1182" s="2686">
        <v>1.1545454545454545</v>
      </c>
      <c r="AE1182" s="2686">
        <v>1.1545454545454545</v>
      </c>
      <c r="AF1182" s="2236">
        <f t="shared" si="197"/>
        <v>1.02</v>
      </c>
      <c r="AG1182" s="2710"/>
      <c r="DG1182" s="2422">
        <f t="shared" si="198"/>
        <v>0.16725927130365001</v>
      </c>
      <c r="DH1182" s="2423" t="str">
        <f t="shared" si="199"/>
        <v>Building Shell RES 20 Year EUL</v>
      </c>
      <c r="DI1182" s="2336">
        <f>(INDEX('Avoided Cost Benefits'!$B$4:$B$865,MATCH(DH1182,'Avoided Cost Benefits'!$A$4:$A$865,0)))*F1182</f>
        <v>1.5530023340543904</v>
      </c>
      <c r="DJ1182" s="2424">
        <f t="shared" si="200"/>
        <v>9.2850000000000001</v>
      </c>
    </row>
    <row r="1183" spans="1:114" s="1458" customFormat="1">
      <c r="A1183" s="283"/>
      <c r="B1183" s="2208">
        <f t="shared" si="193"/>
        <v>406175</v>
      </c>
      <c r="C1183" s="2554" t="s">
        <v>3493</v>
      </c>
      <c r="D1183" s="2698" t="s">
        <v>3293</v>
      </c>
      <c r="E1183" s="2698" t="s">
        <v>3494</v>
      </c>
      <c r="F1183" s="2663">
        <f>ROUND(G1199*G$1196/G$1201+G1204*G$1196/(G$1206*G$1209),2)</f>
        <v>17.260000000000002</v>
      </c>
      <c r="G1183" s="2244" t="s">
        <v>1380</v>
      </c>
      <c r="H1183" s="2548">
        <f>VLOOKUP(G1183,'CP FACTORS'!$A$3:$B$38, 2, FALSE)</f>
        <v>4.6608050000000002E-4</v>
      </c>
      <c r="I1183" s="2404">
        <f t="shared" si="194"/>
        <v>8.0450000000000001E-3</v>
      </c>
      <c r="J1183" s="2699">
        <f t="shared" si="195"/>
        <v>20</v>
      </c>
      <c r="K1183" s="2700">
        <f t="shared" si="196"/>
        <v>9.2850000000000001</v>
      </c>
      <c r="L1183" s="2589" t="s">
        <v>3482</v>
      </c>
      <c r="M1183" s="2086"/>
      <c r="N1183" s="2701"/>
      <c r="O1183" s="2702"/>
      <c r="P1183" s="2696"/>
      <c r="Q1183" s="2696"/>
      <c r="R1183" s="2696"/>
      <c r="V1183" s="2707" t="s">
        <v>45</v>
      </c>
      <c r="W1183" s="2708"/>
      <c r="X1183" s="2664"/>
      <c r="Y1183" s="2664"/>
      <c r="Z1183" s="2664"/>
      <c r="AA1183" s="2709"/>
      <c r="AB1183" s="2708">
        <v>17.528658211659383</v>
      </c>
      <c r="AC1183" s="2686">
        <v>17.528658211659383</v>
      </c>
      <c r="AD1183" s="2686">
        <v>17.528658211659383</v>
      </c>
      <c r="AE1183" s="2686">
        <v>17.528658211659383</v>
      </c>
      <c r="AF1183" s="2236">
        <f t="shared" si="197"/>
        <v>17.260000000000002</v>
      </c>
      <c r="AG1183" s="2710"/>
      <c r="DG1183" s="2422">
        <f t="shared" si="198"/>
        <v>2.8302892379421563</v>
      </c>
      <c r="DH1183" s="2423" t="str">
        <f t="shared" si="199"/>
        <v>Building Shell RES 20 Year EUL</v>
      </c>
      <c r="DI1183" s="2336">
        <f>(INDEX('Avoided Cost Benefits'!$B$4:$B$865,MATCH(DH1183,'Avoided Cost Benefits'!$A$4:$A$865,0)))*F1183</f>
        <v>26.279235574292922</v>
      </c>
      <c r="DJ1183" s="2424">
        <f t="shared" si="200"/>
        <v>9.2850000000000001</v>
      </c>
    </row>
    <row r="1184" spans="1:114" s="1458" customFormat="1">
      <c r="A1184" s="283"/>
      <c r="B1184" s="2208">
        <f t="shared" si="193"/>
        <v>406200</v>
      </c>
      <c r="C1184" s="2554" t="s">
        <v>3495</v>
      </c>
      <c r="D1184" s="2698" t="s">
        <v>3293</v>
      </c>
      <c r="E1184" s="2698" t="s">
        <v>3496</v>
      </c>
      <c r="F1184" s="2663">
        <f>ROUND(G1199*G$1196/G$1201+G1204*G$1196/(G$1207*G$1209),2)</f>
        <v>11.47</v>
      </c>
      <c r="G1184" s="2244" t="s">
        <v>1380</v>
      </c>
      <c r="H1184" s="2548">
        <f>VLOOKUP(G1184,'CP FACTORS'!$A$3:$B$38, 2, FALSE)</f>
        <v>4.6608050000000002E-4</v>
      </c>
      <c r="I1184" s="2404">
        <f t="shared" si="194"/>
        <v>5.3460000000000001E-3</v>
      </c>
      <c r="J1184" s="2699">
        <f t="shared" si="195"/>
        <v>20</v>
      </c>
      <c r="K1184" s="2700">
        <f t="shared" si="196"/>
        <v>9.2850000000000001</v>
      </c>
      <c r="L1184" s="2589" t="s">
        <v>3482</v>
      </c>
      <c r="M1184" s="2086"/>
      <c r="N1184" s="2701"/>
      <c r="O1184" s="2702"/>
      <c r="P1184" s="2696"/>
      <c r="Q1184" s="2696"/>
      <c r="R1184" s="2696"/>
      <c r="V1184" s="2707" t="s">
        <v>45</v>
      </c>
      <c r="W1184" s="2708"/>
      <c r="X1184" s="2664"/>
      <c r="Y1184" s="2664"/>
      <c r="Z1184" s="2664"/>
      <c r="AA1184" s="2709"/>
      <c r="AB1184" s="2708">
        <v>10.414451027702533</v>
      </c>
      <c r="AC1184" s="2686">
        <v>10.414451027702533</v>
      </c>
      <c r="AD1184" s="2686">
        <v>10.414451027702533</v>
      </c>
      <c r="AE1184" s="2686">
        <v>10.414451027702533</v>
      </c>
      <c r="AF1184" s="2236">
        <f t="shared" si="197"/>
        <v>11.47</v>
      </c>
      <c r="AG1184" s="2710"/>
      <c r="DG1184" s="2422">
        <f t="shared" si="198"/>
        <v>1.8808469037773197</v>
      </c>
      <c r="DH1184" s="2423" t="str">
        <f t="shared" si="199"/>
        <v>Building Shell RES 20 Year EUL</v>
      </c>
      <c r="DI1184" s="2336">
        <f>(INDEX('Avoided Cost Benefits'!$B$4:$B$865,MATCH(DH1184,'Avoided Cost Benefits'!$A$4:$A$865,0)))*F1184</f>
        <v>17.463663501572412</v>
      </c>
      <c r="DJ1184" s="2424">
        <f t="shared" si="200"/>
        <v>9.2850000000000001</v>
      </c>
    </row>
    <row r="1185" spans="1:114" s="1458" customFormat="1">
      <c r="A1185" s="283"/>
      <c r="B1185" s="2208">
        <f t="shared" si="193"/>
        <v>406225</v>
      </c>
      <c r="C1185" s="2554" t="s">
        <v>3497</v>
      </c>
      <c r="D1185" s="2698" t="s">
        <v>3293</v>
      </c>
      <c r="E1185" s="2698" t="s">
        <v>3498</v>
      </c>
      <c r="F1185" s="2663">
        <f>ROUND(G1199*G$1196/G$1201,2)</f>
        <v>2.12</v>
      </c>
      <c r="G1185" s="2244" t="s">
        <v>1380</v>
      </c>
      <c r="H1185" s="2548">
        <f>VLOOKUP(G1185,'CP FACTORS'!$A$3:$B$38, 2, FALSE)</f>
        <v>4.6608050000000002E-4</v>
      </c>
      <c r="I1185" s="2404">
        <f t="shared" si="194"/>
        <v>9.8799999999999995E-4</v>
      </c>
      <c r="J1185" s="2699">
        <f t="shared" si="195"/>
        <v>20</v>
      </c>
      <c r="K1185" s="2700">
        <f t="shared" si="196"/>
        <v>9.2850000000000001</v>
      </c>
      <c r="L1185" s="2589" t="s">
        <v>3482</v>
      </c>
      <c r="M1185" s="2086"/>
      <c r="N1185" s="2701"/>
      <c r="O1185" s="2702"/>
      <c r="P1185" s="2696"/>
      <c r="Q1185" s="2696"/>
      <c r="R1185" s="2696"/>
      <c r="V1185" s="2707" t="s">
        <v>45</v>
      </c>
      <c r="W1185" s="2708"/>
      <c r="X1185" s="2664"/>
      <c r="Y1185" s="2664"/>
      <c r="Z1185" s="2664"/>
      <c r="AA1185" s="2709"/>
      <c r="AB1185" s="2708">
        <v>2.3909090909090911</v>
      </c>
      <c r="AC1185" s="2686">
        <v>2.3909090909090911</v>
      </c>
      <c r="AD1185" s="2686">
        <v>2.3909090909090911</v>
      </c>
      <c r="AE1185" s="2686">
        <v>2.3909090909090911</v>
      </c>
      <c r="AF1185" s="2236">
        <f t="shared" si="197"/>
        <v>2.12</v>
      </c>
      <c r="AG1185" s="2710"/>
      <c r="DG1185" s="2422">
        <f t="shared" si="198"/>
        <v>0.34763691682719416</v>
      </c>
      <c r="DH1185" s="2423" t="str">
        <f t="shared" si="199"/>
        <v>Building Shell RES 20 Year EUL</v>
      </c>
      <c r="DI1185" s="2336">
        <f>(INDEX('Avoided Cost Benefits'!$B$4:$B$865,MATCH(DH1185,'Avoided Cost Benefits'!$A$4:$A$865,0)))*F1185</f>
        <v>3.2278087727404978</v>
      </c>
      <c r="DJ1185" s="2424">
        <f t="shared" si="200"/>
        <v>9.2850000000000001</v>
      </c>
    </row>
    <row r="1186" spans="1:114" s="1458" customFormat="1">
      <c r="A1186" s="283"/>
      <c r="B1186" s="2208">
        <f t="shared" si="193"/>
        <v>406250</v>
      </c>
      <c r="C1186" s="2554" t="s">
        <v>3499</v>
      </c>
      <c r="D1186" s="2698" t="s">
        <v>3293</v>
      </c>
      <c r="E1186" s="2698" t="s">
        <v>3500</v>
      </c>
      <c r="F1186" s="2663">
        <f>ROUND(G1200*G$1196/G$1201+G1205*G$1196/(G$1206*G$1209),2)</f>
        <v>5.49</v>
      </c>
      <c r="G1186" s="2244" t="s">
        <v>1380</v>
      </c>
      <c r="H1186" s="2548">
        <f>VLOOKUP(G1186,'CP FACTORS'!$A$3:$B$38, 2, FALSE)</f>
        <v>4.6608050000000002E-4</v>
      </c>
      <c r="I1186" s="2404">
        <f t="shared" si="194"/>
        <v>2.5590000000000001E-3</v>
      </c>
      <c r="J1186" s="2699">
        <f t="shared" si="195"/>
        <v>20</v>
      </c>
      <c r="K1186" s="2700">
        <f t="shared" si="196"/>
        <v>9.2850000000000001</v>
      </c>
      <c r="L1186" s="2589" t="s">
        <v>3482</v>
      </c>
      <c r="M1186" s="2086"/>
      <c r="N1186" s="2701"/>
      <c r="O1186" s="2702"/>
      <c r="P1186" s="2696"/>
      <c r="Q1186" s="2696"/>
      <c r="R1186" s="2696"/>
      <c r="V1186" s="2707" t="s">
        <v>45</v>
      </c>
      <c r="W1186" s="2708"/>
      <c r="X1186" s="2664"/>
      <c r="Y1186" s="2664"/>
      <c r="Z1186" s="2664"/>
      <c r="AA1186" s="2709"/>
      <c r="AB1186" s="2708">
        <v>5.5948603858041137</v>
      </c>
      <c r="AC1186" s="2686">
        <v>5.5948603858041137</v>
      </c>
      <c r="AD1186" s="2686">
        <v>5.5948603858041137</v>
      </c>
      <c r="AE1186" s="2686">
        <v>5.5948603858041137</v>
      </c>
      <c r="AF1186" s="2236">
        <f t="shared" si="197"/>
        <v>5.49</v>
      </c>
      <c r="AG1186" s="2710"/>
      <c r="DG1186" s="2422">
        <f t="shared" si="198"/>
        <v>0.90024843084023387</v>
      </c>
      <c r="DH1186" s="2423" t="str">
        <f t="shared" si="199"/>
        <v>Building Shell RES 20 Year EUL</v>
      </c>
      <c r="DI1186" s="2336">
        <f>(INDEX('Avoided Cost Benefits'!$B$4:$B$865,MATCH(DH1186,'Avoided Cost Benefits'!$A$4:$A$865,0)))*F1186</f>
        <v>8.3588066803515719</v>
      </c>
      <c r="DJ1186" s="2424">
        <f t="shared" si="200"/>
        <v>9.2850000000000001</v>
      </c>
    </row>
    <row r="1187" spans="1:114" s="1458" customFormat="1">
      <c r="A1187" s="283"/>
      <c r="B1187" s="2208">
        <f t="shared" si="193"/>
        <v>406275</v>
      </c>
      <c r="C1187" s="2554" t="s">
        <v>3501</v>
      </c>
      <c r="D1187" s="2698" t="s">
        <v>3293</v>
      </c>
      <c r="E1187" s="2698" t="s">
        <v>3502</v>
      </c>
      <c r="F1187" s="2663">
        <f>ROUND(G1200*G$1196/G$1201+G1205*G$1196/(G$1207*G$1209),2)</f>
        <v>3.71</v>
      </c>
      <c r="G1187" s="2244" t="s">
        <v>1380</v>
      </c>
      <c r="H1187" s="2548">
        <f>VLOOKUP(G1187,'CP FACTORS'!$A$3:$B$38, 2, FALSE)</f>
        <v>4.6608050000000002E-4</v>
      </c>
      <c r="I1187" s="2404">
        <f t="shared" si="194"/>
        <v>1.7290000000000001E-3</v>
      </c>
      <c r="J1187" s="2699">
        <f t="shared" si="195"/>
        <v>20</v>
      </c>
      <c r="K1187" s="2700">
        <f t="shared" si="196"/>
        <v>9.2850000000000001</v>
      </c>
      <c r="L1187" s="2589" t="s">
        <v>3482</v>
      </c>
      <c r="M1187" s="2086"/>
      <c r="N1187" s="2701"/>
      <c r="O1187" s="2702"/>
      <c r="P1187" s="2696"/>
      <c r="Q1187" s="2696"/>
      <c r="R1187" s="2696"/>
      <c r="V1187" s="2707" t="s">
        <v>45</v>
      </c>
      <c r="W1187" s="2708"/>
      <c r="X1187" s="2664"/>
      <c r="Y1187" s="2664"/>
      <c r="Z1187" s="2664"/>
      <c r="AA1187" s="2709"/>
      <c r="AB1187" s="2708">
        <v>3.415144438347828</v>
      </c>
      <c r="AC1187" s="2686">
        <v>3.415144438347828</v>
      </c>
      <c r="AD1187" s="2686">
        <v>3.415144438347828</v>
      </c>
      <c r="AE1187" s="2686">
        <v>3.415144438347828</v>
      </c>
      <c r="AF1187" s="2236">
        <f t="shared" si="197"/>
        <v>3.71</v>
      </c>
      <c r="AG1187" s="2710"/>
      <c r="DG1187" s="2422">
        <f t="shared" si="198"/>
        <v>0.60836460444758977</v>
      </c>
      <c r="DH1187" s="2423" t="str">
        <f t="shared" si="199"/>
        <v>Building Shell RES 20 Year EUL</v>
      </c>
      <c r="DI1187" s="2336">
        <f>(INDEX('Avoided Cost Benefits'!$B$4:$B$865,MATCH(DH1187,'Avoided Cost Benefits'!$A$4:$A$865,0)))*F1187</f>
        <v>5.648665352295871</v>
      </c>
      <c r="DJ1187" s="2424">
        <f t="shared" si="200"/>
        <v>9.2850000000000001</v>
      </c>
    </row>
    <row r="1188" spans="1:114" s="1458" customFormat="1">
      <c r="A1188" s="283"/>
      <c r="B1188" s="2208">
        <f t="shared" si="193"/>
        <v>406300</v>
      </c>
      <c r="C1188" s="2554" t="s">
        <v>3503</v>
      </c>
      <c r="D1188" s="2698" t="s">
        <v>3293</v>
      </c>
      <c r="E1188" s="2698" t="s">
        <v>3504</v>
      </c>
      <c r="F1188" s="2663">
        <f>ROUND(G1200*G$1196/G$1201,2)</f>
        <v>0.85</v>
      </c>
      <c r="G1188" s="2244" t="s">
        <v>1380</v>
      </c>
      <c r="H1188" s="2548">
        <f>VLOOKUP(G1188,'CP FACTORS'!$A$3:$B$38, 2, FALSE)</f>
        <v>4.6608050000000002E-4</v>
      </c>
      <c r="I1188" s="2404">
        <f t="shared" si="194"/>
        <v>3.9599999999999998E-4</v>
      </c>
      <c r="J1188" s="2699">
        <f t="shared" si="195"/>
        <v>20</v>
      </c>
      <c r="K1188" s="2700">
        <f t="shared" si="196"/>
        <v>9.2850000000000001</v>
      </c>
      <c r="L1188" s="2589" t="s">
        <v>3482</v>
      </c>
      <c r="M1188" s="2086"/>
      <c r="N1188" s="2701"/>
      <c r="O1188" s="2702"/>
      <c r="P1188" s="2696"/>
      <c r="Q1188" s="2696"/>
      <c r="R1188" s="2696"/>
      <c r="V1188" s="2707" t="s">
        <v>45</v>
      </c>
      <c r="W1188" s="2708"/>
      <c r="X1188" s="2664"/>
      <c r="Y1188" s="2664"/>
      <c r="Z1188" s="2664"/>
      <c r="AA1188" s="2709"/>
      <c r="AB1188" s="2708">
        <v>0.9568181818181819</v>
      </c>
      <c r="AC1188" s="2686">
        <v>0.9568181818181819</v>
      </c>
      <c r="AD1188" s="2686">
        <v>0.9568181818181819</v>
      </c>
      <c r="AE1188" s="2686">
        <v>0.9568181818181819</v>
      </c>
      <c r="AF1188" s="2236">
        <f t="shared" si="197"/>
        <v>0.85</v>
      </c>
      <c r="AG1188" s="2710"/>
      <c r="DG1188" s="2429">
        <f>(DI1188)/(DJ1188)</f>
        <v>0.139382726086375</v>
      </c>
      <c r="DH1188" s="2423" t="str">
        <f t="shared" si="199"/>
        <v>Building Shell RES 20 Year EUL</v>
      </c>
      <c r="DI1188" s="2430">
        <f>(INDEX('Avoided Cost Benefits'!$B$4:$B$865,MATCH(DH1188,'Avoided Cost Benefits'!$A$4:$A$865,0)))*F1188</f>
        <v>1.2941686117119919</v>
      </c>
      <c r="DJ1188" s="2431">
        <f t="shared" si="200"/>
        <v>9.2850000000000001</v>
      </c>
    </row>
    <row r="1189" spans="1:114" s="1458" customFormat="1" hidden="1" outlineLevel="1">
      <c r="A1189" s="283"/>
      <c r="B1189" s="283"/>
      <c r="C1189" s="281"/>
      <c r="D1189" s="2294" t="s">
        <v>118</v>
      </c>
      <c r="E1189" s="2753" t="s">
        <v>3505</v>
      </c>
      <c r="F1189" s="283"/>
      <c r="G1189" s="283"/>
      <c r="H1189" s="283"/>
      <c r="I1189" s="283"/>
      <c r="J1189" s="283"/>
      <c r="K1189" s="283"/>
      <c r="L1189" s="283"/>
      <c r="M1189" s="283"/>
      <c r="N1189" s="283"/>
      <c r="O1189" s="283"/>
      <c r="P1189" s="283"/>
      <c r="Q1189" s="283"/>
      <c r="R1189" s="283"/>
      <c r="V1189" s="283"/>
      <c r="DG1189" s="540"/>
      <c r="DH1189" s="283"/>
      <c r="DI1189" s="283"/>
      <c r="DJ1189" s="1102"/>
    </row>
    <row r="1190" spans="1:114" s="1458" customFormat="1" hidden="1" outlineLevel="1">
      <c r="A1190" s="283"/>
      <c r="B1190" s="283"/>
      <c r="C1190" s="281"/>
      <c r="D1190" s="2294" t="s">
        <v>963</v>
      </c>
      <c r="E1190" s="2754" t="s">
        <v>3506</v>
      </c>
      <c r="F1190" s="283"/>
      <c r="G1190" s="283"/>
      <c r="H1190" s="283"/>
      <c r="I1190" s="283"/>
      <c r="J1190" s="283"/>
      <c r="K1190" s="283"/>
      <c r="L1190" s="283"/>
      <c r="M1190" s="283"/>
      <c r="N1190" s="283"/>
      <c r="O1190" s="283"/>
      <c r="P1190" s="283"/>
      <c r="Q1190" s="283"/>
      <c r="R1190" s="283"/>
      <c r="V1190" s="283"/>
      <c r="Y1190" s="1562"/>
      <c r="DG1190" s="540"/>
      <c r="DH1190" s="283"/>
      <c r="DI1190" s="283"/>
      <c r="DJ1190" s="1102"/>
    </row>
    <row r="1191" spans="1:114" s="1458" customFormat="1" hidden="1" outlineLevel="1">
      <c r="A1191" s="283"/>
      <c r="B1191" s="283"/>
      <c r="C1191" s="281"/>
      <c r="D1191" s="2754"/>
      <c r="E1191" s="2754" t="s">
        <v>3507</v>
      </c>
      <c r="F1191" s="283"/>
      <c r="G1191" s="283"/>
      <c r="H1191" s="283"/>
      <c r="I1191" s="283"/>
      <c r="J1191" s="283"/>
      <c r="K1191" s="283"/>
      <c r="L1191" s="283"/>
      <c r="M1191" s="283"/>
      <c r="N1191" s="283"/>
      <c r="O1191" s="283"/>
      <c r="P1191" s="283"/>
      <c r="Q1191" s="283"/>
      <c r="R1191" s="283"/>
      <c r="V1191" s="283"/>
      <c r="Y1191" s="1562"/>
      <c r="DG1191" s="540"/>
      <c r="DH1191" s="283"/>
      <c r="DI1191" s="283"/>
      <c r="DJ1191" s="1102"/>
    </row>
    <row r="1192" spans="1:114" s="1458" customFormat="1" hidden="1" outlineLevel="1">
      <c r="A1192" s="283"/>
      <c r="B1192" s="283"/>
      <c r="C1192" s="281"/>
      <c r="D1192" s="2754"/>
      <c r="E1192" s="2754" t="s">
        <v>3508</v>
      </c>
      <c r="F1192" s="283"/>
      <c r="G1192" s="283"/>
      <c r="H1192" s="283"/>
      <c r="I1192" s="283"/>
      <c r="J1192" s="283"/>
      <c r="K1192" s="283"/>
      <c r="L1192" s="283"/>
      <c r="M1192" s="283"/>
      <c r="N1192" s="283"/>
      <c r="O1192" s="283"/>
      <c r="P1192" s="283"/>
      <c r="Q1192" s="283"/>
      <c r="R1192" s="283"/>
      <c r="V1192" s="283"/>
      <c r="Y1192" s="1562"/>
      <c r="DG1192" s="540"/>
      <c r="DH1192" s="283"/>
      <c r="DI1192" s="283"/>
      <c r="DJ1192" s="1102"/>
    </row>
    <row r="1193" spans="1:114" s="1458" customFormat="1" hidden="1" outlineLevel="1">
      <c r="A1193" s="283"/>
      <c r="B1193" s="283"/>
      <c r="C1193" s="281"/>
      <c r="D1193" s="2754"/>
      <c r="E1193" s="2754" t="s">
        <v>1075</v>
      </c>
      <c r="F1193" s="283"/>
      <c r="G1193" s="283"/>
      <c r="H1193" s="283"/>
      <c r="I1193" s="283"/>
      <c r="J1193" s="283"/>
      <c r="K1193" s="283"/>
      <c r="L1193" s="283"/>
      <c r="M1193" s="283"/>
      <c r="N1193" s="283"/>
      <c r="O1193" s="283"/>
      <c r="P1193" s="283"/>
      <c r="Q1193" s="283"/>
      <c r="R1193" s="283"/>
      <c r="V1193" s="283"/>
      <c r="Y1193" s="1562"/>
      <c r="DG1193" s="540"/>
      <c r="DH1193" s="283"/>
      <c r="DI1193" s="283"/>
      <c r="DJ1193" s="1102"/>
    </row>
    <row r="1194" spans="1:114" s="1458" customFormat="1" hidden="1" outlineLevel="1">
      <c r="A1194" s="283"/>
      <c r="B1194" s="283"/>
      <c r="C1194" s="281"/>
      <c r="D1194" s="133"/>
      <c r="E1194" s="133"/>
      <c r="F1194" s="283"/>
      <c r="G1194" s="283"/>
      <c r="H1194" s="283"/>
      <c r="I1194" s="283"/>
      <c r="J1194" s="283"/>
      <c r="K1194" s="283"/>
      <c r="L1194" s="283"/>
      <c r="M1194" s="283"/>
      <c r="N1194" s="283"/>
      <c r="O1194" s="283"/>
      <c r="P1194" s="283"/>
      <c r="Q1194" s="283"/>
      <c r="R1194" s="283"/>
      <c r="V1194" s="283"/>
      <c r="Y1194" s="1562"/>
      <c r="DG1194" s="540"/>
      <c r="DH1194" s="283"/>
      <c r="DI1194" s="283"/>
      <c r="DJ1194" s="1102"/>
    </row>
    <row r="1195" spans="1:114" s="1458" customFormat="1" hidden="1" outlineLevel="1">
      <c r="A1195" s="283"/>
      <c r="B1195" s="283"/>
      <c r="C1195" s="281"/>
      <c r="D1195" s="2303" t="s">
        <v>1078</v>
      </c>
      <c r="E1195" s="2303" t="s">
        <v>967</v>
      </c>
      <c r="F1195" s="2207" t="s">
        <v>968</v>
      </c>
      <c r="G1195" s="2207" t="s">
        <v>969</v>
      </c>
      <c r="H1195" s="4061" t="s">
        <v>970</v>
      </c>
      <c r="I1195" s="4634"/>
      <c r="J1195" s="4068" t="s">
        <v>755</v>
      </c>
      <c r="K1195" s="4068"/>
      <c r="L1195" s="4068"/>
      <c r="M1195" s="283"/>
      <c r="N1195" s="283"/>
      <c r="O1195" s="283"/>
      <c r="P1195" s="283"/>
      <c r="Q1195" s="283"/>
      <c r="R1195" s="283"/>
      <c r="V1195" s="2704" t="s">
        <v>52</v>
      </c>
      <c r="W1195" s="2705">
        <v>43252</v>
      </c>
      <c r="X1195" s="2705">
        <f>$X$6</f>
        <v>43465</v>
      </c>
      <c r="Y1195" s="2706">
        <f>$Y$6</f>
        <v>43800</v>
      </c>
      <c r="Z1195" s="2705">
        <f>$Z$6</f>
        <v>43862</v>
      </c>
      <c r="AA1195" s="2705">
        <f>$AA$6</f>
        <v>44013</v>
      </c>
      <c r="AB1195" s="2705">
        <f>$AB$6</f>
        <v>44166</v>
      </c>
      <c r="AC1195" s="2705">
        <f>$AC$6</f>
        <v>44531</v>
      </c>
      <c r="AD1195" s="2705">
        <f>$AD$6</f>
        <v>44774</v>
      </c>
      <c r="AE1195" s="2705">
        <f>$AE$6</f>
        <v>45139</v>
      </c>
      <c r="AF1195" s="2705">
        <f>$AF$6</f>
        <v>45672</v>
      </c>
      <c r="AG1195" s="2705" t="str">
        <f>$AG$6</f>
        <v>-</v>
      </c>
      <c r="DG1195" s="540"/>
      <c r="DH1195" s="283"/>
      <c r="DI1195" s="283"/>
      <c r="DJ1195" s="1102"/>
    </row>
    <row r="1196" spans="1:114" s="1458" customFormat="1" ht="15" hidden="1" customHeight="1" outlineLevel="1">
      <c r="A1196" s="283"/>
      <c r="B1196" s="283"/>
      <c r="C1196" s="281"/>
      <c r="D1196" s="2351" t="s">
        <v>287</v>
      </c>
      <c r="E1196" s="2755" t="s">
        <v>3509</v>
      </c>
      <c r="F1196" s="2755"/>
      <c r="G1196" s="2313">
        <v>1</v>
      </c>
      <c r="H1196" s="4647"/>
      <c r="I1196" s="4647"/>
      <c r="J1196" s="4394" t="s">
        <v>3510</v>
      </c>
      <c r="K1196" s="4395"/>
      <c r="L1196" s="4395"/>
      <c r="M1196" s="283"/>
      <c r="N1196" s="283"/>
      <c r="O1196" s="283"/>
      <c r="P1196" s="283"/>
      <c r="Q1196" s="283"/>
      <c r="R1196" s="283"/>
      <c r="V1196" s="2351" t="s">
        <v>287</v>
      </c>
      <c r="W1196" s="2708"/>
      <c r="X1196" s="2480"/>
      <c r="Y1196" s="2480"/>
      <c r="Z1196" s="2480"/>
      <c r="AA1196" s="2762"/>
      <c r="AB1196" s="2763">
        <v>1</v>
      </c>
      <c r="AC1196" s="2764">
        <v>1</v>
      </c>
      <c r="AD1196" s="2764">
        <v>1</v>
      </c>
      <c r="AE1196" s="2764">
        <v>1</v>
      </c>
      <c r="AF1196" s="2236">
        <f t="shared" ref="AF1196:AF1211" si="201">IF(G1196&lt;&gt;"",G1196,"")</f>
        <v>1</v>
      </c>
      <c r="AG1196" s="2762"/>
      <c r="DG1196" s="540"/>
      <c r="DH1196" s="283"/>
      <c r="DI1196" s="283"/>
      <c r="DJ1196" s="1102"/>
    </row>
    <row r="1197" spans="1:114" s="1458" customFormat="1" ht="15" hidden="1" customHeight="1" outlineLevel="1">
      <c r="A1197" s="283"/>
      <c r="B1197" s="283"/>
      <c r="C1197" s="281"/>
      <c r="D1197" s="4633" t="s">
        <v>3511</v>
      </c>
      <c r="E1197" s="4212" t="s">
        <v>3512</v>
      </c>
      <c r="F1197" s="2755" t="s">
        <v>3513</v>
      </c>
      <c r="G1197" s="2756">
        <f>AVERAGE(23,23.9, 29.5, 28.8)</f>
        <v>26.3</v>
      </c>
      <c r="H1197" s="4635" t="s">
        <v>3514</v>
      </c>
      <c r="I1197" s="4636"/>
      <c r="J1197" s="4394" t="s">
        <v>3515</v>
      </c>
      <c r="K1197" s="4395"/>
      <c r="L1197" s="4395"/>
      <c r="M1197" s="283"/>
      <c r="N1197" s="283"/>
      <c r="O1197" s="283"/>
      <c r="P1197" s="283"/>
      <c r="Q1197" s="283"/>
      <c r="R1197" s="283"/>
      <c r="V1197" s="4633" t="s">
        <v>3511</v>
      </c>
      <c r="W1197" s="2708"/>
      <c r="X1197" s="2664"/>
      <c r="Y1197" s="2664"/>
      <c r="Z1197" s="2664"/>
      <c r="AA1197" s="2762"/>
      <c r="AB1197" s="2765">
        <v>26.3</v>
      </c>
      <c r="AC1197" s="2766">
        <v>26.3</v>
      </c>
      <c r="AD1197" s="2766">
        <v>26.3</v>
      </c>
      <c r="AE1197" s="2766">
        <v>26.3</v>
      </c>
      <c r="AF1197" s="2236">
        <f t="shared" si="201"/>
        <v>26.3</v>
      </c>
      <c r="AG1197" s="2762"/>
      <c r="DG1197" s="540"/>
      <c r="DH1197" s="283"/>
      <c r="DI1197" s="283"/>
      <c r="DJ1197" s="1102"/>
    </row>
    <row r="1198" spans="1:114" s="1458" customFormat="1" ht="15" hidden="1" customHeight="1" outlineLevel="1">
      <c r="A1198" s="283"/>
      <c r="B1198" s="283"/>
      <c r="C1198" s="281"/>
      <c r="D1198" s="4633"/>
      <c r="E1198" s="4212"/>
      <c r="F1198" s="2755" t="s">
        <v>3516</v>
      </c>
      <c r="G1198" s="2756">
        <f>AVERAGE(10.5,10.7,15.4,14.2)</f>
        <v>12.7</v>
      </c>
      <c r="H1198" s="4637"/>
      <c r="I1198" s="4638"/>
      <c r="J1198" s="4394" t="s">
        <v>3515</v>
      </c>
      <c r="K1198" s="4395"/>
      <c r="L1198" s="4395"/>
      <c r="M1198" s="283"/>
      <c r="N1198" s="283"/>
      <c r="O1198" s="283"/>
      <c r="P1198" s="283"/>
      <c r="Q1198" s="283"/>
      <c r="R1198" s="283"/>
      <c r="V1198" s="4633"/>
      <c r="W1198" s="2708"/>
      <c r="X1198" s="2480"/>
      <c r="Y1198" s="2480"/>
      <c r="Z1198" s="2480"/>
      <c r="AA1198" s="2762"/>
      <c r="AB1198" s="2765">
        <v>12.7</v>
      </c>
      <c r="AC1198" s="2766">
        <v>12.7</v>
      </c>
      <c r="AD1198" s="2766">
        <v>12.7</v>
      </c>
      <c r="AE1198" s="2766">
        <v>12.7</v>
      </c>
      <c r="AF1198" s="2236">
        <f t="shared" si="201"/>
        <v>12.7</v>
      </c>
      <c r="AG1198" s="2762"/>
      <c r="DG1198" s="540"/>
      <c r="DH1198" s="283"/>
      <c r="DI1198" s="283"/>
      <c r="DJ1198" s="1102"/>
    </row>
    <row r="1199" spans="1:114" s="1458" customFormat="1" ht="15" hidden="1" customHeight="1" outlineLevel="1">
      <c r="A1199" s="283"/>
      <c r="B1199" s="283"/>
      <c r="C1199" s="281"/>
      <c r="D1199" s="4633"/>
      <c r="E1199" s="4212"/>
      <c r="F1199" s="2755" t="s">
        <v>3517</v>
      </c>
      <c r="G1199" s="2756">
        <f>AVERAGE(22.5, 24.4, 29.3, 29)</f>
        <v>26.3</v>
      </c>
      <c r="H1199" s="4637"/>
      <c r="I1199" s="4638"/>
      <c r="J1199" s="4394" t="s">
        <v>3515</v>
      </c>
      <c r="K1199" s="4395"/>
      <c r="L1199" s="4395"/>
      <c r="M1199" s="283"/>
      <c r="N1199" s="283"/>
      <c r="O1199" s="283"/>
      <c r="P1199" s="283"/>
      <c r="Q1199" s="283"/>
      <c r="R1199" s="283"/>
      <c r="V1199" s="4633"/>
      <c r="W1199" s="2708"/>
      <c r="X1199" s="2664"/>
      <c r="Y1199" s="2664"/>
      <c r="Z1199" s="2664"/>
      <c r="AA1199" s="2762"/>
      <c r="AB1199" s="2765">
        <v>26.3</v>
      </c>
      <c r="AC1199" s="2766">
        <v>26.3</v>
      </c>
      <c r="AD1199" s="2766">
        <v>26.3</v>
      </c>
      <c r="AE1199" s="2766">
        <v>26.3</v>
      </c>
      <c r="AF1199" s="2236">
        <f t="shared" si="201"/>
        <v>26.3</v>
      </c>
      <c r="AG1199" s="2762"/>
      <c r="DG1199" s="540"/>
      <c r="DH1199" s="283"/>
      <c r="DI1199" s="283"/>
      <c r="DJ1199" s="1102"/>
    </row>
    <row r="1200" spans="1:114" s="1458" customFormat="1" ht="15" hidden="1" customHeight="1" outlineLevel="1">
      <c r="A1200" s="283"/>
      <c r="B1200" s="283"/>
      <c r="C1200" s="281"/>
      <c r="D1200" s="4633"/>
      <c r="E1200" s="4212"/>
      <c r="F1200" s="2755" t="s">
        <v>3518</v>
      </c>
      <c r="G1200" s="2756">
        <f>AVERAGE(9.6, 9.8, 9.3, 13.4)</f>
        <v>10.525</v>
      </c>
      <c r="H1200" s="4639"/>
      <c r="I1200" s="4640"/>
      <c r="J1200" s="4394" t="s">
        <v>3515</v>
      </c>
      <c r="K1200" s="4395"/>
      <c r="L1200" s="4395"/>
      <c r="M1200" s="283"/>
      <c r="N1200" s="283"/>
      <c r="O1200" s="283"/>
      <c r="P1200" s="283"/>
      <c r="Q1200" s="283"/>
      <c r="R1200" s="283"/>
      <c r="V1200" s="4633"/>
      <c r="W1200" s="2708"/>
      <c r="X1200" s="2664"/>
      <c r="Y1200" s="2664"/>
      <c r="Z1200" s="2664"/>
      <c r="AA1200" s="2762"/>
      <c r="AB1200" s="2765">
        <v>10.525</v>
      </c>
      <c r="AC1200" s="2766">
        <v>10.525</v>
      </c>
      <c r="AD1200" s="2766">
        <v>10.525</v>
      </c>
      <c r="AE1200" s="2766">
        <v>10.525</v>
      </c>
      <c r="AF1200" s="2236">
        <f t="shared" si="201"/>
        <v>10.525</v>
      </c>
      <c r="AG1200" s="2762"/>
      <c r="DG1200" s="540"/>
      <c r="DH1200" s="283"/>
      <c r="DI1200" s="283"/>
      <c r="DJ1200" s="1102"/>
    </row>
    <row r="1201" spans="1:114" s="1458" customFormat="1" ht="30.75" hidden="1" customHeight="1" outlineLevel="1">
      <c r="A1201" s="283"/>
      <c r="B1201" s="283"/>
      <c r="C1201" s="281"/>
      <c r="D1201" s="2317" t="s">
        <v>3519</v>
      </c>
      <c r="E1201" s="2358" t="s">
        <v>3520</v>
      </c>
      <c r="F1201" s="2358"/>
      <c r="G1201" s="2757">
        <v>12.4</v>
      </c>
      <c r="H1201" s="4393" t="s">
        <v>3521</v>
      </c>
      <c r="I1201" s="4393"/>
      <c r="J1201" s="4394"/>
      <c r="K1201" s="4395"/>
      <c r="L1201" s="4395"/>
      <c r="M1201" s="283"/>
      <c r="N1201" s="283"/>
      <c r="O1201" s="283"/>
      <c r="P1201" s="283"/>
      <c r="Q1201" s="283"/>
      <c r="R1201" s="283"/>
      <c r="V1201" s="2317" t="s">
        <v>3519</v>
      </c>
      <c r="W1201" s="2708"/>
      <c r="X1201" s="2664"/>
      <c r="Y1201" s="2664"/>
      <c r="Z1201" s="2664"/>
      <c r="AA1201" s="2762"/>
      <c r="AB1201" s="2765">
        <v>11</v>
      </c>
      <c r="AC1201" s="2766">
        <v>11</v>
      </c>
      <c r="AD1201" s="2766">
        <v>11</v>
      </c>
      <c r="AE1201" s="2766">
        <v>11</v>
      </c>
      <c r="AF1201" s="2236">
        <f t="shared" si="201"/>
        <v>12.4</v>
      </c>
      <c r="AG1201" s="2762"/>
      <c r="DG1201" s="540"/>
      <c r="DH1201" s="283"/>
      <c r="DI1201" s="283"/>
      <c r="DJ1201" s="1102"/>
    </row>
    <row r="1202" spans="1:114" s="1458" customFormat="1" ht="15" hidden="1" customHeight="1" outlineLevel="1">
      <c r="A1202" s="283"/>
      <c r="B1202" s="283"/>
      <c r="C1202" s="281"/>
      <c r="D1202" s="4633" t="s">
        <v>3522</v>
      </c>
      <c r="E1202" s="4212" t="s">
        <v>3523</v>
      </c>
      <c r="F1202" s="2755" t="s">
        <v>3513</v>
      </c>
      <c r="G1202" s="2756">
        <f>AVERAGE(47.7, 49.8,51.5, 57.7)</f>
        <v>51.674999999999997</v>
      </c>
      <c r="H1202" s="4641" t="s">
        <v>3514</v>
      </c>
      <c r="I1202" s="4642"/>
      <c r="J1202" s="4394" t="s">
        <v>3515</v>
      </c>
      <c r="K1202" s="4395"/>
      <c r="L1202" s="4395"/>
      <c r="M1202" s="283"/>
      <c r="N1202" s="283"/>
      <c r="O1202" s="283"/>
      <c r="P1202" s="283"/>
      <c r="Q1202" s="283"/>
      <c r="R1202" s="283"/>
      <c r="V1202" s="4633" t="s">
        <v>3522</v>
      </c>
      <c r="W1202" s="2708"/>
      <c r="X1202" s="2664"/>
      <c r="Y1202" s="2664"/>
      <c r="Z1202" s="2664"/>
      <c r="AA1202" s="2762"/>
      <c r="AB1202" s="2767">
        <v>51.674999999999997</v>
      </c>
      <c r="AC1202" s="2442">
        <v>51.674999999999997</v>
      </c>
      <c r="AD1202" s="2442">
        <v>51.674999999999997</v>
      </c>
      <c r="AE1202" s="2442">
        <v>51.674999999999997</v>
      </c>
      <c r="AF1202" s="2236">
        <f t="shared" si="201"/>
        <v>51.674999999999997</v>
      </c>
      <c r="AG1202" s="2762"/>
      <c r="DG1202" s="540"/>
      <c r="DH1202" s="283"/>
      <c r="DI1202" s="283"/>
      <c r="DJ1202" s="1102"/>
    </row>
    <row r="1203" spans="1:114" s="1458" customFormat="1" ht="15" hidden="1" customHeight="1" outlineLevel="1">
      <c r="A1203" s="283"/>
      <c r="B1203" s="283"/>
      <c r="C1203" s="281"/>
      <c r="D1203" s="4633"/>
      <c r="E1203" s="4212"/>
      <c r="F1203" s="2755" t="s">
        <v>3516</v>
      </c>
      <c r="G1203" s="2756">
        <f>AVERAGE(13.3, 17.9,13.3,20.3)</f>
        <v>16.2</v>
      </c>
      <c r="H1203" s="4643"/>
      <c r="I1203" s="4644"/>
      <c r="J1203" s="4394" t="s">
        <v>3515</v>
      </c>
      <c r="K1203" s="4395"/>
      <c r="L1203" s="4395"/>
      <c r="M1203" s="283"/>
      <c r="N1203" s="283"/>
      <c r="O1203" s="283"/>
      <c r="P1203" s="283"/>
      <c r="Q1203" s="283"/>
      <c r="R1203" s="283"/>
      <c r="V1203" s="4633"/>
      <c r="W1203" s="2708"/>
      <c r="X1203" s="2664"/>
      <c r="Y1203" s="2664"/>
      <c r="Z1203" s="2664"/>
      <c r="AA1203" s="2762"/>
      <c r="AB1203" s="2765">
        <v>16.2</v>
      </c>
      <c r="AC1203" s="2766">
        <v>16.2</v>
      </c>
      <c r="AD1203" s="2766">
        <v>16.2</v>
      </c>
      <c r="AE1203" s="2766">
        <v>16.2</v>
      </c>
      <c r="AF1203" s="2236">
        <f t="shared" si="201"/>
        <v>16.2</v>
      </c>
      <c r="AG1203" s="2762"/>
      <c r="DG1203" s="540"/>
      <c r="DH1203" s="283"/>
      <c r="DI1203" s="283"/>
      <c r="DJ1203" s="1102"/>
    </row>
    <row r="1204" spans="1:114" s="1458" customFormat="1" ht="15" hidden="1" customHeight="1" outlineLevel="1">
      <c r="A1204" s="283"/>
      <c r="B1204" s="283"/>
      <c r="C1204" s="281"/>
      <c r="D1204" s="4633"/>
      <c r="E1204" s="4212"/>
      <c r="F1204" s="2755" t="s">
        <v>3517</v>
      </c>
      <c r="G1204" s="2756">
        <f>AVERAGE(48.5,49,53.2,55.9)</f>
        <v>51.65</v>
      </c>
      <c r="H1204" s="4643"/>
      <c r="I1204" s="4644"/>
      <c r="J1204" s="4394" t="s">
        <v>3515</v>
      </c>
      <c r="K1204" s="4395"/>
      <c r="L1204" s="4395"/>
      <c r="M1204" s="283"/>
      <c r="N1204" s="283"/>
      <c r="O1204" s="283"/>
      <c r="P1204" s="283"/>
      <c r="Q1204" s="283"/>
      <c r="R1204" s="283"/>
      <c r="V1204" s="4633"/>
      <c r="W1204" s="2708"/>
      <c r="X1204" s="2664"/>
      <c r="Y1204" s="2664"/>
      <c r="Z1204" s="2664"/>
      <c r="AA1204" s="2762"/>
      <c r="AB1204" s="2765">
        <v>51.65</v>
      </c>
      <c r="AC1204" s="2766">
        <v>51.65</v>
      </c>
      <c r="AD1204" s="2766">
        <v>51.65</v>
      </c>
      <c r="AE1204" s="2766">
        <v>51.65</v>
      </c>
      <c r="AF1204" s="2236">
        <f t="shared" si="201"/>
        <v>51.65</v>
      </c>
      <c r="AG1204" s="2762"/>
      <c r="DG1204" s="540"/>
      <c r="DH1204" s="283"/>
      <c r="DI1204" s="283"/>
      <c r="DJ1204" s="1102"/>
    </row>
    <row r="1205" spans="1:114" s="1458" customFormat="1" ht="15" hidden="1" customHeight="1" outlineLevel="1">
      <c r="A1205" s="283"/>
      <c r="B1205" s="283"/>
      <c r="C1205" s="281"/>
      <c r="D1205" s="4633"/>
      <c r="E1205" s="4212"/>
      <c r="F1205" s="2755" t="s">
        <v>3518</v>
      </c>
      <c r="G1205" s="2756">
        <f>AVERAGE(12.3,14.2,19.3,17.5)</f>
        <v>15.824999999999999</v>
      </c>
      <c r="H1205" s="4645"/>
      <c r="I1205" s="4646"/>
      <c r="J1205" s="4394" t="s">
        <v>3515</v>
      </c>
      <c r="K1205" s="4395"/>
      <c r="L1205" s="4395"/>
      <c r="M1205" s="283"/>
      <c r="N1205" s="283"/>
      <c r="O1205" s="283"/>
      <c r="P1205" s="283"/>
      <c r="Q1205" s="283"/>
      <c r="R1205" s="283"/>
      <c r="V1205" s="4633"/>
      <c r="W1205" s="2708"/>
      <c r="X1205" s="2664"/>
      <c r="Y1205" s="2664"/>
      <c r="Z1205" s="2664"/>
      <c r="AA1205" s="2762"/>
      <c r="AB1205" s="2765">
        <v>15.824999999999999</v>
      </c>
      <c r="AC1205" s="2766">
        <v>15.824999999999999</v>
      </c>
      <c r="AD1205" s="2766">
        <v>15.824999999999999</v>
      </c>
      <c r="AE1205" s="2766">
        <v>15.824999999999999</v>
      </c>
      <c r="AF1205" s="2236">
        <f t="shared" si="201"/>
        <v>15.824999999999999</v>
      </c>
      <c r="AG1205" s="2762"/>
      <c r="DG1205" s="540"/>
      <c r="DH1205" s="283"/>
      <c r="DI1205" s="283"/>
      <c r="DJ1205" s="1102"/>
    </row>
    <row r="1206" spans="1:114" s="1458" customFormat="1" ht="15" hidden="1" customHeight="1" outlineLevel="1">
      <c r="A1206" s="283"/>
      <c r="B1206" s="283"/>
      <c r="C1206" s="281"/>
      <c r="D1206" s="4633" t="s">
        <v>3524</v>
      </c>
      <c r="E1206" s="4212" t="s">
        <v>3525</v>
      </c>
      <c r="F1206" s="2755" t="s">
        <v>3526</v>
      </c>
      <c r="G1206" s="2322">
        <v>1</v>
      </c>
      <c r="H1206" s="4647"/>
      <c r="I1206" s="4647"/>
      <c r="J1206" s="4394"/>
      <c r="K1206" s="4395"/>
      <c r="L1206" s="4395"/>
      <c r="M1206" s="283"/>
      <c r="N1206" s="283"/>
      <c r="O1206" s="283"/>
      <c r="P1206" s="283"/>
      <c r="Q1206" s="283"/>
      <c r="R1206" s="283"/>
      <c r="V1206" s="4633" t="s">
        <v>3524</v>
      </c>
      <c r="W1206" s="2708"/>
      <c r="X1206" s="2664"/>
      <c r="Y1206" s="2664"/>
      <c r="Z1206" s="2664"/>
      <c r="AA1206" s="2762"/>
      <c r="AB1206" s="2768">
        <v>1</v>
      </c>
      <c r="AC1206" s="2769">
        <v>1</v>
      </c>
      <c r="AD1206" s="2769">
        <v>1</v>
      </c>
      <c r="AE1206" s="2769">
        <v>1</v>
      </c>
      <c r="AF1206" s="2236">
        <f t="shared" si="201"/>
        <v>1</v>
      </c>
      <c r="AG1206" s="2762"/>
      <c r="DG1206" s="540"/>
      <c r="DH1206" s="283"/>
      <c r="DI1206" s="283"/>
      <c r="DJ1206" s="1102"/>
    </row>
    <row r="1207" spans="1:114" s="1458" customFormat="1" ht="30.75" hidden="1" customHeight="1" outlineLevel="1">
      <c r="A1207" s="283"/>
      <c r="B1207" s="283"/>
      <c r="C1207" s="281"/>
      <c r="D1207" s="4633"/>
      <c r="E1207" s="4212"/>
      <c r="F1207" s="2358" t="s">
        <v>3527</v>
      </c>
      <c r="G1207" s="2757">
        <v>1.62</v>
      </c>
      <c r="H1207" s="4393" t="s">
        <v>3521</v>
      </c>
      <c r="I1207" s="4393"/>
      <c r="J1207" s="4394"/>
      <c r="K1207" s="4395"/>
      <c r="L1207" s="4395"/>
      <c r="M1207" s="283"/>
      <c r="N1207" s="283"/>
      <c r="O1207" s="283"/>
      <c r="P1207" s="283"/>
      <c r="Q1207" s="283"/>
      <c r="R1207" s="283"/>
      <c r="V1207" s="4633"/>
      <c r="W1207" s="2708"/>
      <c r="X1207" s="2664"/>
      <c r="Y1207" s="2664"/>
      <c r="Z1207" s="2664"/>
      <c r="AA1207" s="2762"/>
      <c r="AB1207" s="2770">
        <v>1.8866666666666667</v>
      </c>
      <c r="AC1207" s="2771">
        <v>1.8866666666666667</v>
      </c>
      <c r="AD1207" s="2771">
        <v>1.8866666666666667</v>
      </c>
      <c r="AE1207" s="2771">
        <v>1.8866666666666667</v>
      </c>
      <c r="AF1207" s="2236">
        <f t="shared" si="201"/>
        <v>1.62</v>
      </c>
      <c r="AG1207" s="2762"/>
      <c r="DG1207" s="540"/>
      <c r="DH1207" s="283"/>
      <c r="DI1207" s="283"/>
      <c r="DJ1207" s="1102"/>
    </row>
    <row r="1208" spans="1:114" s="1458" customFormat="1" ht="15" hidden="1" customHeight="1" outlineLevel="1">
      <c r="A1208" s="283"/>
      <c r="B1208" s="283"/>
      <c r="C1208" s="281"/>
      <c r="D1208" s="4633"/>
      <c r="E1208" s="4212"/>
      <c r="F1208" s="2358" t="s">
        <v>3528</v>
      </c>
      <c r="G1208" s="2758">
        <v>0</v>
      </c>
      <c r="H1208" s="4647"/>
      <c r="I1208" s="4647"/>
      <c r="J1208" s="4394" t="s">
        <v>3529</v>
      </c>
      <c r="K1208" s="4395"/>
      <c r="L1208" s="4395"/>
      <c r="M1208" s="283"/>
      <c r="N1208" s="283"/>
      <c r="O1208" s="283"/>
      <c r="P1208" s="283"/>
      <c r="Q1208" s="283"/>
      <c r="R1208" s="283"/>
      <c r="V1208" s="4633"/>
      <c r="W1208" s="2708"/>
      <c r="X1208" s="2664"/>
      <c r="Y1208" s="2664"/>
      <c r="Z1208" s="2664"/>
      <c r="AA1208" s="2762"/>
      <c r="AB1208" s="2768">
        <v>0</v>
      </c>
      <c r="AC1208" s="2769">
        <v>0</v>
      </c>
      <c r="AD1208" s="2769">
        <v>0</v>
      </c>
      <c r="AE1208" s="2769">
        <v>0</v>
      </c>
      <c r="AF1208" s="2236">
        <f t="shared" si="201"/>
        <v>0</v>
      </c>
      <c r="AG1208" s="2762"/>
      <c r="DG1208" s="540"/>
      <c r="DH1208" s="283"/>
      <c r="DI1208" s="283"/>
      <c r="DJ1208" s="1102"/>
    </row>
    <row r="1209" spans="1:114" s="1458" customFormat="1" ht="15" hidden="1" customHeight="1" outlineLevel="1">
      <c r="A1209" s="283"/>
      <c r="B1209" s="283"/>
      <c r="C1209" s="281"/>
      <c r="D1209" s="2317">
        <v>3.4119999999999999</v>
      </c>
      <c r="E1209" s="2358" t="s">
        <v>3530</v>
      </c>
      <c r="F1209" s="2358"/>
      <c r="G1209" s="2759">
        <v>3.4119999999999999</v>
      </c>
      <c r="H1209" s="4647"/>
      <c r="I1209" s="4647"/>
      <c r="J1209" s="4394"/>
      <c r="K1209" s="4395"/>
      <c r="L1209" s="4395"/>
      <c r="M1209" s="283"/>
      <c r="N1209" s="283"/>
      <c r="O1209" s="283"/>
      <c r="P1209" s="283"/>
      <c r="Q1209" s="283"/>
      <c r="R1209" s="283"/>
      <c r="V1209" s="2317">
        <v>3.4119999999999999</v>
      </c>
      <c r="W1209" s="1597"/>
      <c r="X1209" s="1597"/>
      <c r="Y1209" s="2478"/>
      <c r="Z1209" s="1597"/>
      <c r="AA1209" s="1597"/>
      <c r="AB1209" s="2772">
        <v>3.4119999999999999</v>
      </c>
      <c r="AC1209" s="2773">
        <v>3.4119999999999999</v>
      </c>
      <c r="AD1209" s="2773">
        <v>3.4119999999999999</v>
      </c>
      <c r="AE1209" s="2773">
        <v>3.4119999999999999</v>
      </c>
      <c r="AF1209" s="2236">
        <f t="shared" si="201"/>
        <v>3.4119999999999999</v>
      </c>
      <c r="AG1209" s="1597"/>
      <c r="DG1209" s="540"/>
      <c r="DH1209" s="283"/>
      <c r="DI1209" s="283"/>
      <c r="DJ1209" s="1102"/>
    </row>
    <row r="1210" spans="1:114" s="1458" customFormat="1" ht="44.25" hidden="1" customHeight="1" outlineLevel="1">
      <c r="A1210" s="283"/>
      <c r="B1210" s="283"/>
      <c r="C1210" s="281"/>
      <c r="D1210" s="2317" t="s">
        <v>49</v>
      </c>
      <c r="E1210" s="2358" t="s">
        <v>1198</v>
      </c>
      <c r="F1210" s="2358"/>
      <c r="G1210" s="2760">
        <v>20</v>
      </c>
      <c r="H1210" s="4393" t="s">
        <v>3531</v>
      </c>
      <c r="I1210" s="4393"/>
      <c r="J1210" s="4394"/>
      <c r="K1210" s="4395"/>
      <c r="L1210" s="4395"/>
      <c r="M1210" s="283"/>
      <c r="N1210" s="283"/>
      <c r="O1210" s="283"/>
      <c r="P1210" s="283"/>
      <c r="Q1210" s="283"/>
      <c r="R1210" s="283"/>
      <c r="V1210" s="2317" t="s">
        <v>49</v>
      </c>
      <c r="W1210" s="1597"/>
      <c r="X1210" s="1597"/>
      <c r="Y1210" s="2478"/>
      <c r="Z1210" s="1597"/>
      <c r="AA1210" s="1597"/>
      <c r="AB1210" s="2768">
        <v>20</v>
      </c>
      <c r="AC1210" s="2769">
        <v>20</v>
      </c>
      <c r="AD1210" s="2769">
        <v>20</v>
      </c>
      <c r="AE1210" s="2769">
        <v>20</v>
      </c>
      <c r="AF1210" s="2236">
        <f t="shared" si="201"/>
        <v>20</v>
      </c>
      <c r="AG1210" s="1597"/>
      <c r="DG1210" s="540"/>
      <c r="DH1210" s="283"/>
      <c r="DI1210" s="283"/>
      <c r="DJ1210" s="1102"/>
    </row>
    <row r="1211" spans="1:114" s="1458" customFormat="1" ht="43.5" hidden="1" customHeight="1" outlineLevel="1">
      <c r="A1211" s="283"/>
      <c r="B1211" s="283"/>
      <c r="C1211" s="281"/>
      <c r="D1211" s="2317" t="s">
        <v>3532</v>
      </c>
      <c r="E1211" s="2358" t="s">
        <v>1135</v>
      </c>
      <c r="F1211" s="2358" t="s">
        <v>3533</v>
      </c>
      <c r="G1211" s="2761">
        <f>AVERAGE(6.72,7.85)+30/15</f>
        <v>9.2850000000000001</v>
      </c>
      <c r="H1211" s="4393" t="s">
        <v>3534</v>
      </c>
      <c r="I1211" s="4393"/>
      <c r="J1211" s="4394" t="s">
        <v>3535</v>
      </c>
      <c r="K1211" s="4395"/>
      <c r="L1211" s="4395"/>
      <c r="M1211" s="283"/>
      <c r="N1211" s="283"/>
      <c r="O1211" s="283"/>
      <c r="P1211" s="283"/>
      <c r="Q1211" s="283"/>
      <c r="R1211" s="283"/>
      <c r="V1211" s="2317" t="s">
        <v>3532</v>
      </c>
      <c r="W1211" s="1597"/>
      <c r="X1211" s="1597"/>
      <c r="Y1211" s="2478"/>
      <c r="Z1211" s="1597"/>
      <c r="AA1211" s="1597"/>
      <c r="AB1211" s="2774">
        <v>9.2850000000000001</v>
      </c>
      <c r="AC1211" s="2775">
        <v>9.2850000000000001</v>
      </c>
      <c r="AD1211" s="2775">
        <v>9.2850000000000001</v>
      </c>
      <c r="AE1211" s="2775">
        <v>9.2850000000000001</v>
      </c>
      <c r="AF1211" s="2236">
        <f t="shared" si="201"/>
        <v>9.2850000000000001</v>
      </c>
      <c r="AG1211" s="1597"/>
      <c r="DG1211" s="540"/>
      <c r="DH1211" s="283"/>
      <c r="DI1211" s="283"/>
      <c r="DJ1211" s="1102"/>
    </row>
    <row r="1212" spans="1:114" s="1458" customFormat="1" hidden="1" outlineLevel="1">
      <c r="A1212" s="283"/>
      <c r="B1212" s="283"/>
      <c r="C1212" s="281"/>
      <c r="D1212" s="133"/>
      <c r="E1212" s="133"/>
      <c r="F1212" s="283"/>
      <c r="G1212" s="283"/>
      <c r="H1212" s="283"/>
      <c r="I1212" s="283"/>
      <c r="J1212" s="283"/>
      <c r="K1212" s="283"/>
      <c r="L1212" s="283"/>
      <c r="M1212" s="283"/>
      <c r="N1212" s="283"/>
      <c r="O1212" s="283"/>
      <c r="P1212" s="283"/>
      <c r="Q1212" s="283"/>
      <c r="R1212" s="283"/>
      <c r="Y1212" s="1562"/>
      <c r="DG1212" s="540"/>
      <c r="DH1212" s="283"/>
      <c r="DI1212" s="283"/>
      <c r="DJ1212" s="1102"/>
    </row>
    <row r="1213" spans="1:114" hidden="1" outlineLevel="1">
      <c r="C1213" s="281"/>
    </row>
    <row r="1214" spans="1:114" s="7" customFormat="1" collapsed="1">
      <c r="A1214" s="283"/>
      <c r="B1214" s="66"/>
      <c r="C1214" s="64"/>
      <c r="D1214" s="65"/>
      <c r="E1214" s="65"/>
      <c r="F1214" s="66"/>
      <c r="G1214" s="66"/>
      <c r="H1214" s="66"/>
      <c r="I1214" s="66"/>
      <c r="J1214" s="66"/>
      <c r="K1214" s="66"/>
      <c r="L1214" s="66"/>
      <c r="M1214" s="66"/>
      <c r="N1214" s="66"/>
      <c r="O1214" s="66"/>
      <c r="P1214" s="66"/>
      <c r="Q1214" s="66"/>
      <c r="R1214" s="66"/>
      <c r="S1214" s="66"/>
      <c r="T1214" s="66"/>
      <c r="U1214" s="66"/>
      <c r="X1214" s="1508"/>
      <c r="Y1214" s="1508"/>
      <c r="Z1214" s="1508"/>
      <c r="AA1214" s="1508"/>
      <c r="AU1214" s="1505"/>
      <c r="DG1214" s="1073"/>
      <c r="DH1214" s="66"/>
      <c r="DI1214" s="66"/>
      <c r="DJ1214" s="1102"/>
    </row>
    <row r="1215" spans="1:114" s="7" customFormat="1">
      <c r="A1215" s="283"/>
      <c r="B1215" s="4040" t="s">
        <v>1040</v>
      </c>
      <c r="C1215" s="4041"/>
      <c r="D1215" s="4041"/>
      <c r="E1215" s="4041"/>
      <c r="F1215" s="4041"/>
      <c r="G1215" s="4041"/>
      <c r="H1215" s="4041"/>
      <c r="I1215" s="4835"/>
      <c r="J1215" s="4835"/>
      <c r="K1215" s="4835"/>
      <c r="L1215" s="4835"/>
      <c r="M1215" s="4835"/>
      <c r="N1215" s="4835"/>
      <c r="O1215" s="4836"/>
      <c r="P1215" s="283"/>
      <c r="Q1215" s="283"/>
      <c r="R1215" s="66"/>
      <c r="S1215" s="66"/>
      <c r="T1215" s="66"/>
      <c r="U1215" s="66"/>
      <c r="V1215" s="4040" t="str">
        <f>B1215</f>
        <v>Learning Thermostat / Advanced Thermostat</v>
      </c>
      <c r="W1215" s="4041"/>
      <c r="X1215" s="4041"/>
      <c r="Y1215" s="4041"/>
      <c r="Z1215" s="4041"/>
      <c r="AA1215" s="4041"/>
      <c r="AB1215" s="4041"/>
      <c r="AC1215" s="4832"/>
      <c r="AD1215" s="4832"/>
      <c r="AE1215" s="4832"/>
      <c r="AF1215" s="4832"/>
      <c r="AG1215" s="4832"/>
      <c r="AH1215" s="4832"/>
      <c r="AI1215" s="4833"/>
      <c r="AU1215" s="1505"/>
      <c r="DG1215" s="1073"/>
      <c r="DH1215" s="66"/>
      <c r="DI1215" s="66"/>
      <c r="DJ1215" s="1102"/>
    </row>
    <row r="1216" spans="1:114" s="7" customFormat="1">
      <c r="A1216" s="283"/>
      <c r="B1216" s="2696"/>
      <c r="C1216" s="2703"/>
      <c r="D1216" s="2711"/>
      <c r="E1216" s="2206"/>
      <c r="F1216" s="2712"/>
      <c r="G1216" s="2712"/>
      <c r="H1216" s="2712"/>
      <c r="I1216" s="2712"/>
      <c r="J1216" s="2712"/>
      <c r="K1216" s="2712"/>
      <c r="L1216" s="2713"/>
      <c r="M1216" s="2696"/>
      <c r="N1216" s="2696"/>
      <c r="O1216" s="2696"/>
      <c r="P1216" s="283"/>
      <c r="Q1216" s="283"/>
      <c r="R1216" s="66"/>
      <c r="S1216" s="66"/>
      <c r="T1216" s="66"/>
      <c r="U1216" s="66"/>
      <c r="V1216" s="2723"/>
      <c r="W1216" s="2723"/>
      <c r="X1216" s="2723"/>
      <c r="Y1216" s="2723"/>
      <c r="Z1216" s="2723"/>
      <c r="AA1216" s="2723"/>
      <c r="AB1216" s="2723"/>
      <c r="AC1216" s="2723"/>
      <c r="AD1216" s="2723"/>
      <c r="AE1216" s="2723"/>
      <c r="AF1216" s="2723"/>
      <c r="AG1216" s="2723"/>
      <c r="AH1216" s="2723"/>
      <c r="AI1216" s="2723"/>
      <c r="AU1216" s="1505"/>
      <c r="DG1216" s="1073"/>
      <c r="DH1216" s="66"/>
      <c r="DI1216" s="66"/>
      <c r="DJ1216" s="1102"/>
    </row>
    <row r="1217" spans="1:114" s="7" customFormat="1" ht="30">
      <c r="A1217" s="283"/>
      <c r="B1217" s="2696"/>
      <c r="C1217" s="2207" t="s">
        <v>42</v>
      </c>
      <c r="D1217" s="2207" t="s">
        <v>953</v>
      </c>
      <c r="E1217" s="2207" t="s">
        <v>44</v>
      </c>
      <c r="F1217" s="2207" t="s">
        <v>45</v>
      </c>
      <c r="G1217" s="2207" t="s">
        <v>46</v>
      </c>
      <c r="H1217" s="2207" t="s">
        <v>47</v>
      </c>
      <c r="I1217" s="2207" t="s">
        <v>48</v>
      </c>
      <c r="J1217" s="2305" t="s">
        <v>49</v>
      </c>
      <c r="K1217" s="2207" t="s">
        <v>50</v>
      </c>
      <c r="L1217" s="2207" t="s">
        <v>51</v>
      </c>
      <c r="M1217" s="635"/>
      <c r="N1217" s="635"/>
      <c r="O1217" s="2696"/>
      <c r="P1217" s="283"/>
      <c r="Q1217" s="283"/>
      <c r="R1217" s="66"/>
      <c r="S1217" s="66"/>
      <c r="T1217" s="66"/>
      <c r="U1217" s="66"/>
      <c r="V1217" s="2640" t="s">
        <v>52</v>
      </c>
      <c r="W1217" s="2641">
        <v>43252</v>
      </c>
      <c r="X1217" s="2641">
        <f>$X$6</f>
        <v>43465</v>
      </c>
      <c r="Y1217" s="2641">
        <f>$Y$6</f>
        <v>43800</v>
      </c>
      <c r="Z1217" s="2641">
        <f>$Z$6</f>
        <v>43862</v>
      </c>
      <c r="AA1217" s="2641">
        <f>$AA$6</f>
        <v>44013</v>
      </c>
      <c r="AB1217" s="2641">
        <f>$AB$6</f>
        <v>44166</v>
      </c>
      <c r="AC1217" s="2641">
        <f>$AC$6</f>
        <v>44531</v>
      </c>
      <c r="AD1217" s="2641">
        <f>$AD$6</f>
        <v>44774</v>
      </c>
      <c r="AE1217" s="2641">
        <f>$AE$6</f>
        <v>45139</v>
      </c>
      <c r="AF1217" s="2641">
        <f>$AF$6</f>
        <v>45672</v>
      </c>
      <c r="AG1217" s="2641" t="str">
        <f>$AG$6</f>
        <v>-</v>
      </c>
      <c r="AH1217" s="2723"/>
      <c r="AI1217" s="2723"/>
      <c r="AU1217" s="1505"/>
      <c r="DG1217" s="2744" t="str">
        <f>$DG$6</f>
        <v>TRC (2025)</v>
      </c>
      <c r="DH1217" s="2744" t="str">
        <f>$DH$6</f>
        <v>Benefit Lookup</v>
      </c>
      <c r="DI1217" s="2745" t="str">
        <f>$DI$6</f>
        <v>Benefits (2025 $)</v>
      </c>
      <c r="DJ1217" s="2746" t="str">
        <f>$DJ$6</f>
        <v>Incremental Cost (2025 $)</v>
      </c>
    </row>
    <row r="1218" spans="1:114" s="7" customFormat="1">
      <c r="A1218" s="283"/>
      <c r="B1218" s="2208">
        <f t="shared" ref="B1218:B1233" si="202">VALUE(LEFT(C1218,6))</f>
        <v>406500</v>
      </c>
      <c r="C1218" s="2714" t="s">
        <v>3536</v>
      </c>
      <c r="D1218" s="2460" t="s">
        <v>1486</v>
      </c>
      <c r="E1218" s="2495" t="s">
        <v>1044</v>
      </c>
      <c r="F1218" s="2715">
        <f>ROUND($F$1281*(($F$1289*$F$1290*1/$F$1292)/1000)*$F$1293*$F$1271,2)*0</f>
        <v>0</v>
      </c>
      <c r="G1218" s="2497" t="s">
        <v>1045</v>
      </c>
      <c r="H1218" s="2213">
        <f>VLOOKUP(G1218,'CP FACTORS'!$A$3:$B$38, 2, FALSE)</f>
        <v>9.4741810000000004E-4</v>
      </c>
      <c r="I1218" s="2716">
        <f t="shared" ref="I1218:I1233" si="203">ROUND(H1218*F1218,6)</f>
        <v>0</v>
      </c>
      <c r="J1218" s="2717">
        <f t="shared" ref="J1218:J1233" si="204">$F$1303</f>
        <v>11</v>
      </c>
      <c r="K1218" s="2718">
        <f>$F$1304</f>
        <v>79</v>
      </c>
      <c r="L1218" s="2719" t="s">
        <v>62</v>
      </c>
      <c r="M1218" s="2696"/>
      <c r="N1218" s="2720"/>
      <c r="O1218" s="635"/>
      <c r="P1218" s="52"/>
      <c r="Q1218" s="66"/>
      <c r="R1218" s="532"/>
      <c r="S1218" s="66"/>
      <c r="T1218" s="66"/>
      <c r="U1218" s="66"/>
      <c r="V1218" s="2724" t="str">
        <f>$F$1217</f>
        <v>kWh Annual Savings</v>
      </c>
      <c r="W1218" s="2567"/>
      <c r="X1218" s="2567"/>
      <c r="Y1218" s="2725"/>
      <c r="Z1218" s="2726"/>
      <c r="AA1218" s="2726"/>
      <c r="AB1218" s="2554"/>
      <c r="AC1218" s="2663"/>
      <c r="AD1218" s="2715">
        <v>192.52</v>
      </c>
      <c r="AE1218" s="2727">
        <v>192.52</v>
      </c>
      <c r="AF1218" s="2236">
        <f t="shared" ref="AF1218:AF1233" si="205">IF(F1218&lt;&gt;"",F1218,"")</f>
        <v>0</v>
      </c>
      <c r="AG1218" s="2724"/>
      <c r="AH1218" s="2728"/>
      <c r="AI1218" s="2723"/>
      <c r="AU1218" s="1505"/>
      <c r="DG1218" s="2747">
        <f>(DI1218+DI1219)/(DJ1218+DJ1219)</f>
        <v>0</v>
      </c>
      <c r="DH1218" s="2557" t="str">
        <f t="shared" ref="DH1218:DH1233" si="206">CONCATENATE(G1218," ",J1218," Year EUL")</f>
        <v>Cooling RES 11 Year EUL</v>
      </c>
      <c r="DI1218" s="2420">
        <f>(INDEX('Avoided Cost Benefits'!$B$4:$B$865,MATCH(DH1218,'Avoided Cost Benefits'!$A$4:$A$865,0)))*F1218</f>
        <v>0</v>
      </c>
      <c r="DJ1218" s="2421">
        <f t="shared" ref="DJ1218:DJ1233" si="207">K1218/(1.0686^(2025-2025))</f>
        <v>79</v>
      </c>
    </row>
    <row r="1219" spans="1:114" s="7" customFormat="1">
      <c r="A1219" s="283"/>
      <c r="B1219" s="2208">
        <f t="shared" si="202"/>
        <v>406500</v>
      </c>
      <c r="C1219" s="2714" t="s">
        <v>3536</v>
      </c>
      <c r="D1219" s="2460" t="s">
        <v>1486</v>
      </c>
      <c r="E1219" s="2423" t="s">
        <v>1044</v>
      </c>
      <c r="F1219" s="2715">
        <f>ROUND($F$1243*$F$1251*$F$1259*$F$1267*$F$1271+$F$1272*$F$1280*29.3,2)*0</f>
        <v>0</v>
      </c>
      <c r="G1219" s="2497" t="s">
        <v>1046</v>
      </c>
      <c r="H1219" s="2213">
        <f>VLOOKUP(G1219,'CP FACTORS'!$A$3:$B$38, 2, FALSE)</f>
        <v>0</v>
      </c>
      <c r="I1219" s="2721">
        <f t="shared" si="203"/>
        <v>0</v>
      </c>
      <c r="J1219" s="2717">
        <f t="shared" si="204"/>
        <v>11</v>
      </c>
      <c r="K1219" s="2722"/>
      <c r="L1219" s="2719" t="s">
        <v>62</v>
      </c>
      <c r="M1219" s="2696"/>
      <c r="N1219" s="2720"/>
      <c r="O1219" s="635"/>
      <c r="P1219" s="90"/>
      <c r="Q1219" s="66"/>
      <c r="R1219" s="532"/>
      <c r="S1219" s="66"/>
      <c r="T1219" s="66"/>
      <c r="U1219" s="66"/>
      <c r="V1219" s="2724" t="str">
        <f t="shared" ref="V1219:V1233" si="208">$F$1217</f>
        <v>kWh Annual Savings</v>
      </c>
      <c r="W1219" s="2567"/>
      <c r="X1219" s="2567"/>
      <c r="Y1219" s="2725"/>
      <c r="Z1219" s="2726"/>
      <c r="AA1219" s="2726"/>
      <c r="AB1219" s="2554"/>
      <c r="AC1219" s="2663"/>
      <c r="AD1219" s="2715">
        <v>557.16</v>
      </c>
      <c r="AE1219" s="2727">
        <v>557.16</v>
      </c>
      <c r="AF1219" s="2236">
        <f t="shared" si="205"/>
        <v>0</v>
      </c>
      <c r="AG1219" s="2724"/>
      <c r="AH1219" s="2728"/>
      <c r="AI1219" s="2723"/>
      <c r="AU1219" s="1505"/>
      <c r="DG1219" s="2748"/>
      <c r="DH1219" s="2558" t="str">
        <f t="shared" si="206"/>
        <v>Heating RES 11 Year EUL</v>
      </c>
      <c r="DI1219" s="2430">
        <f>(INDEX('Avoided Cost Benefits'!$B$4:$B$865,MATCH(DH1219,'Avoided Cost Benefits'!$A$4:$A$865,0)))*F1219</f>
        <v>0</v>
      </c>
      <c r="DJ1219" s="2431">
        <f t="shared" si="207"/>
        <v>0</v>
      </c>
    </row>
    <row r="1220" spans="1:114" s="7" customFormat="1">
      <c r="A1220" s="283"/>
      <c r="B1220" s="2208">
        <f t="shared" si="202"/>
        <v>406525</v>
      </c>
      <c r="C1220" s="2714" t="s">
        <v>3537</v>
      </c>
      <c r="D1220" s="2460" t="s">
        <v>959</v>
      </c>
      <c r="E1220" s="2495" t="s">
        <v>1048</v>
      </c>
      <c r="F1220" s="2715">
        <f>ROUND($F$1282*(($F$1289*$F$1291*1/$F$1292)/1000)*$F$1293*$F$1271,2)*0</f>
        <v>0</v>
      </c>
      <c r="G1220" s="2497" t="s">
        <v>1045</v>
      </c>
      <c r="H1220" s="2213">
        <f>VLOOKUP(G1220,'CP FACTORS'!$A$3:$B$38, 2, FALSE)</f>
        <v>9.4741810000000004E-4</v>
      </c>
      <c r="I1220" s="2716">
        <f t="shared" si="203"/>
        <v>0</v>
      </c>
      <c r="J1220" s="2717">
        <f t="shared" si="204"/>
        <v>11</v>
      </c>
      <c r="K1220" s="2718">
        <f>$F$1304</f>
        <v>79</v>
      </c>
      <c r="L1220" s="2719" t="s">
        <v>62</v>
      </c>
      <c r="M1220" s="2696"/>
      <c r="N1220" s="2720"/>
      <c r="O1220" s="635"/>
      <c r="P1220" s="90"/>
      <c r="Q1220" s="66"/>
      <c r="R1220" s="532"/>
      <c r="S1220" s="66"/>
      <c r="T1220" s="66"/>
      <c r="U1220" s="66"/>
      <c r="V1220" s="2724" t="str">
        <f t="shared" si="208"/>
        <v>kWh Annual Savings</v>
      </c>
      <c r="W1220" s="2567"/>
      <c r="X1220" s="2567"/>
      <c r="Y1220" s="2725"/>
      <c r="Z1220" s="2726"/>
      <c r="AA1220" s="2726"/>
      <c r="AB1220" s="2554"/>
      <c r="AC1220" s="2663"/>
      <c r="AD1220" s="2715">
        <v>192.52</v>
      </c>
      <c r="AE1220" s="2727">
        <v>192.52</v>
      </c>
      <c r="AF1220" s="2236">
        <f t="shared" si="205"/>
        <v>0</v>
      </c>
      <c r="AG1220" s="2724"/>
      <c r="AH1220" s="2728"/>
      <c r="AI1220" s="2723"/>
      <c r="AU1220" s="1505"/>
      <c r="DG1220" s="2747">
        <f>(DI1220+DI1221)/(DJ1220+DJ1221)</f>
        <v>0</v>
      </c>
      <c r="DH1220" s="2557" t="str">
        <f t="shared" si="206"/>
        <v>Cooling RES 11 Year EUL</v>
      </c>
      <c r="DI1220" s="2420">
        <f>(INDEX('Avoided Cost Benefits'!$B$4:$B$865,MATCH(DH1220,'Avoided Cost Benefits'!$A$4:$A$865,0)))*F1220</f>
        <v>0</v>
      </c>
      <c r="DJ1220" s="2421">
        <f t="shared" si="207"/>
        <v>79</v>
      </c>
    </row>
    <row r="1221" spans="1:114" s="7" customFormat="1">
      <c r="A1221" s="283"/>
      <c r="B1221" s="2208">
        <f t="shared" si="202"/>
        <v>406525</v>
      </c>
      <c r="C1221" s="2714" t="s">
        <v>3537</v>
      </c>
      <c r="D1221" s="2460" t="s">
        <v>959</v>
      </c>
      <c r="E1221" s="2423" t="s">
        <v>1048</v>
      </c>
      <c r="F1221" s="2715">
        <f>ROUND($F$1244*$F$1252*$F$1260*$F$1267*$F$1271+$F$1273*$F$1280*29.3,2)*0</f>
        <v>0</v>
      </c>
      <c r="G1221" s="2497" t="s">
        <v>1046</v>
      </c>
      <c r="H1221" s="2213">
        <f>VLOOKUP(G1221,'CP FACTORS'!$A$3:$B$38, 2, FALSE)</f>
        <v>0</v>
      </c>
      <c r="I1221" s="2721">
        <f t="shared" si="203"/>
        <v>0</v>
      </c>
      <c r="J1221" s="2717">
        <f t="shared" si="204"/>
        <v>11</v>
      </c>
      <c r="K1221" s="2722"/>
      <c r="L1221" s="2719" t="s">
        <v>62</v>
      </c>
      <c r="M1221" s="2696"/>
      <c r="N1221" s="2720"/>
      <c r="O1221" s="635"/>
      <c r="P1221" s="90"/>
      <c r="Q1221" s="66"/>
      <c r="R1221" s="532"/>
      <c r="S1221" s="66"/>
      <c r="T1221" s="66"/>
      <c r="U1221" s="66"/>
      <c r="V1221" s="2724" t="str">
        <f t="shared" si="208"/>
        <v>kWh Annual Savings</v>
      </c>
      <c r="W1221" s="2567"/>
      <c r="X1221" s="2567"/>
      <c r="Y1221" s="2725"/>
      <c r="Z1221" s="2726"/>
      <c r="AA1221" s="2726"/>
      <c r="AB1221" s="2554"/>
      <c r="AC1221" s="2663"/>
      <c r="AD1221" s="2715">
        <v>362.16</v>
      </c>
      <c r="AE1221" s="2727">
        <v>362.16</v>
      </c>
      <c r="AF1221" s="2236">
        <f t="shared" si="205"/>
        <v>0</v>
      </c>
      <c r="AG1221" s="2724"/>
      <c r="AH1221" s="2728"/>
      <c r="AI1221" s="2723"/>
      <c r="AU1221" s="1505"/>
      <c r="DG1221" s="2748"/>
      <c r="DH1221" s="2558" t="str">
        <f t="shared" si="206"/>
        <v>Heating RES 11 Year EUL</v>
      </c>
      <c r="DI1221" s="2430">
        <f>(INDEX('Avoided Cost Benefits'!$B$4:$B$865,MATCH(DH1221,'Avoided Cost Benefits'!$A$4:$A$865,0)))*F1221</f>
        <v>0</v>
      </c>
      <c r="DJ1221" s="2431">
        <f t="shared" si="207"/>
        <v>0</v>
      </c>
    </row>
    <row r="1222" spans="1:114" s="7" customFormat="1">
      <c r="A1222" s="283"/>
      <c r="B1222" s="2208">
        <f t="shared" si="202"/>
        <v>406550</v>
      </c>
      <c r="C1222" s="2714" t="s">
        <v>3538</v>
      </c>
      <c r="D1222" s="2460" t="s">
        <v>959</v>
      </c>
      <c r="E1222" s="2495" t="s">
        <v>1051</v>
      </c>
      <c r="F1222" s="2715">
        <f>ROUND($F$1283*(($F$1289*$F$1291*1/$F$1292)/1000)*$F$1293*$F$1271,2)*0</f>
        <v>0</v>
      </c>
      <c r="G1222" s="2497" t="s">
        <v>1045</v>
      </c>
      <c r="H1222" s="2213">
        <f>VLOOKUP(G1222,'CP FACTORS'!$A$3:$B$38, 2, FALSE)</f>
        <v>9.4741810000000004E-4</v>
      </c>
      <c r="I1222" s="2716">
        <f t="shared" si="203"/>
        <v>0</v>
      </c>
      <c r="J1222" s="2717">
        <f t="shared" si="204"/>
        <v>11</v>
      </c>
      <c r="K1222" s="2718">
        <f>$F$1304</f>
        <v>79</v>
      </c>
      <c r="L1222" s="2719" t="s">
        <v>62</v>
      </c>
      <c r="M1222" s="2696"/>
      <c r="N1222" s="2720"/>
      <c r="O1222" s="635"/>
      <c r="P1222" s="91"/>
      <c r="Q1222" s="66"/>
      <c r="R1222" s="532"/>
      <c r="S1222" s="66"/>
      <c r="T1222" s="66"/>
      <c r="U1222" s="66"/>
      <c r="V1222" s="2724" t="str">
        <f t="shared" si="208"/>
        <v>kWh Annual Savings</v>
      </c>
      <c r="W1222" s="2567"/>
      <c r="X1222" s="2567"/>
      <c r="Y1222" s="2725"/>
      <c r="Z1222" s="2726"/>
      <c r="AA1222" s="2726"/>
      <c r="AB1222" s="2554"/>
      <c r="AC1222" s="2663"/>
      <c r="AD1222" s="2715">
        <v>192.52</v>
      </c>
      <c r="AE1222" s="2727">
        <v>192.52</v>
      </c>
      <c r="AF1222" s="2236">
        <f t="shared" si="205"/>
        <v>0</v>
      </c>
      <c r="AG1222" s="2724"/>
      <c r="AH1222" s="2728"/>
      <c r="AI1222" s="2723"/>
      <c r="AU1222" s="1505"/>
      <c r="DG1222" s="2747">
        <f>(DI1222+DI1223)/(DJ1222+DJ1223)</f>
        <v>0</v>
      </c>
      <c r="DH1222" s="2557" t="str">
        <f t="shared" si="206"/>
        <v>Cooling RES 11 Year EUL</v>
      </c>
      <c r="DI1222" s="2420">
        <f>(INDEX('Avoided Cost Benefits'!$B$4:$B$865,MATCH(DH1222,'Avoided Cost Benefits'!$A$4:$A$865,0)))*F1222</f>
        <v>0</v>
      </c>
      <c r="DJ1222" s="2421">
        <f t="shared" si="207"/>
        <v>79</v>
      </c>
    </row>
    <row r="1223" spans="1:114" s="7" customFormat="1">
      <c r="A1223" s="283"/>
      <c r="B1223" s="2208">
        <f t="shared" si="202"/>
        <v>406550</v>
      </c>
      <c r="C1223" s="2714" t="s">
        <v>3538</v>
      </c>
      <c r="D1223" s="2460" t="s">
        <v>959</v>
      </c>
      <c r="E1223" s="2423" t="s">
        <v>1051</v>
      </c>
      <c r="F1223" s="2715">
        <f>ROUND($F$1245*$F$1253*$F$1261*$F$1267*$F$1271+$F$1274*$F$1280*29.3,2)*0</f>
        <v>0</v>
      </c>
      <c r="G1223" s="2497" t="s">
        <v>1046</v>
      </c>
      <c r="H1223" s="2213">
        <f>VLOOKUP(G1223,'CP FACTORS'!$A$3:$B$38, 2, FALSE)</f>
        <v>0</v>
      </c>
      <c r="I1223" s="2721">
        <f t="shared" si="203"/>
        <v>0</v>
      </c>
      <c r="J1223" s="2717">
        <f t="shared" si="204"/>
        <v>11</v>
      </c>
      <c r="K1223" s="2722"/>
      <c r="L1223" s="2719" t="s">
        <v>62</v>
      </c>
      <c r="M1223" s="2696"/>
      <c r="N1223" s="2720"/>
      <c r="O1223" s="635"/>
      <c r="P1223" s="52"/>
      <c r="Q1223" s="66"/>
      <c r="R1223" s="532"/>
      <c r="S1223" s="66"/>
      <c r="T1223" s="66"/>
      <c r="U1223" s="66"/>
      <c r="V1223" s="2724" t="str">
        <f t="shared" si="208"/>
        <v>kWh Annual Savings</v>
      </c>
      <c r="W1223" s="2567"/>
      <c r="X1223" s="2567"/>
      <c r="Y1223" s="2725"/>
      <c r="Z1223" s="2726"/>
      <c r="AA1223" s="2726"/>
      <c r="AB1223" s="2554"/>
      <c r="AC1223" s="2663"/>
      <c r="AD1223" s="2715">
        <v>615.61</v>
      </c>
      <c r="AE1223" s="2727">
        <v>615.61</v>
      </c>
      <c r="AF1223" s="2236">
        <f t="shared" si="205"/>
        <v>0</v>
      </c>
      <c r="AG1223" s="2724"/>
      <c r="AH1223" s="2728"/>
      <c r="AI1223" s="2723"/>
      <c r="AU1223" s="1505"/>
      <c r="DG1223" s="2748"/>
      <c r="DH1223" s="2558" t="str">
        <f t="shared" si="206"/>
        <v>Heating RES 11 Year EUL</v>
      </c>
      <c r="DI1223" s="2430">
        <f>(INDEX('Avoided Cost Benefits'!$B$4:$B$865,MATCH(DH1223,'Avoided Cost Benefits'!$A$4:$A$865,0)))*F1223</f>
        <v>0</v>
      </c>
      <c r="DJ1223" s="2431">
        <f t="shared" si="207"/>
        <v>0</v>
      </c>
    </row>
    <row r="1224" spans="1:114" s="7" customFormat="1">
      <c r="A1224" s="283"/>
      <c r="B1224" s="2208">
        <f t="shared" si="202"/>
        <v>406575</v>
      </c>
      <c r="C1224" s="2714" t="s">
        <v>3539</v>
      </c>
      <c r="D1224" s="2460" t="s">
        <v>1486</v>
      </c>
      <c r="E1224" s="2495" t="s">
        <v>1054</v>
      </c>
      <c r="F1224" s="2715">
        <f>ROUND($F$1284*(($F$1289*$F$1290*1/$F$1292)/1000)*$F$1293*$F$1271,2)*0</f>
        <v>0</v>
      </c>
      <c r="G1224" s="2497" t="s">
        <v>1045</v>
      </c>
      <c r="H1224" s="2213">
        <f>VLOOKUP(G1224,'CP FACTORS'!$A$3:$B$38, 2, FALSE)</f>
        <v>9.4741810000000004E-4</v>
      </c>
      <c r="I1224" s="2716">
        <f>ROUND(H1224*F1224,6)</f>
        <v>0</v>
      </c>
      <c r="J1224" s="2717">
        <f t="shared" si="204"/>
        <v>11</v>
      </c>
      <c r="K1224" s="2718">
        <f>$F$1304</f>
        <v>79</v>
      </c>
      <c r="L1224" s="2719" t="s">
        <v>62</v>
      </c>
      <c r="M1224" s="2696"/>
      <c r="N1224" s="2720"/>
      <c r="O1224" s="635"/>
      <c r="P1224" s="52"/>
      <c r="Q1224" s="66"/>
      <c r="R1224" s="532"/>
      <c r="S1224" s="66"/>
      <c r="T1224" s="66"/>
      <c r="U1224" s="66"/>
      <c r="V1224" s="2724" t="str">
        <f t="shared" si="208"/>
        <v>kWh Annual Savings</v>
      </c>
      <c r="W1224" s="2567"/>
      <c r="X1224" s="2567"/>
      <c r="Y1224" s="2725"/>
      <c r="Z1224" s="2726"/>
      <c r="AA1224" s="2726"/>
      <c r="AB1224" s="2554"/>
      <c r="AC1224" s="2663"/>
      <c r="AD1224" s="2715">
        <v>192.52</v>
      </c>
      <c r="AE1224" s="2727">
        <v>192.52</v>
      </c>
      <c r="AF1224" s="2236">
        <f t="shared" si="205"/>
        <v>0</v>
      </c>
      <c r="AG1224" s="2724"/>
      <c r="AH1224" s="2728"/>
      <c r="AI1224" s="2723"/>
      <c r="AU1224" s="1505"/>
      <c r="DG1224" s="2747">
        <f>(DI1224+DI1225)/(DJ1224+DJ1225)</f>
        <v>0</v>
      </c>
      <c r="DH1224" s="2557" t="str">
        <f>CONCATENATE(G1224," ",J1224," Year EUL")</f>
        <v>Cooling RES 11 Year EUL</v>
      </c>
      <c r="DI1224" s="2420">
        <f>(INDEX('Avoided Cost Benefits'!$B$4:$B$865,MATCH(DH1224,'Avoided Cost Benefits'!$A$4:$A$865,0)))*F1224</f>
        <v>0</v>
      </c>
      <c r="DJ1224" s="2421">
        <f t="shared" si="207"/>
        <v>79</v>
      </c>
    </row>
    <row r="1225" spans="1:114" s="7" customFormat="1">
      <c r="A1225" s="283"/>
      <c r="B1225" s="2208">
        <f t="shared" si="202"/>
        <v>406575</v>
      </c>
      <c r="C1225" s="2714" t="s">
        <v>3539</v>
      </c>
      <c r="D1225" s="2460" t="s">
        <v>1486</v>
      </c>
      <c r="E1225" s="2423" t="s">
        <v>1054</v>
      </c>
      <c r="F1225" s="2715">
        <f>ROUND($F$1246*$F$1254*$F$1262*$F$1267*$F$1271+$F$1275*$F$1280*29.3,2)*0</f>
        <v>0</v>
      </c>
      <c r="G1225" s="2497" t="s">
        <v>1046</v>
      </c>
      <c r="H1225" s="2213">
        <f>VLOOKUP(G1225,'CP FACTORS'!$A$3:$B$38, 2, FALSE)</f>
        <v>0</v>
      </c>
      <c r="I1225" s="2721">
        <f>ROUND(H1225*F1225,6)</f>
        <v>0</v>
      </c>
      <c r="J1225" s="2717">
        <f t="shared" si="204"/>
        <v>11</v>
      </c>
      <c r="K1225" s="2722"/>
      <c r="L1225" s="2719" t="s">
        <v>62</v>
      </c>
      <c r="M1225" s="2696"/>
      <c r="N1225" s="2720"/>
      <c r="O1225" s="635"/>
      <c r="P1225" s="52"/>
      <c r="Q1225" s="66"/>
      <c r="R1225" s="532"/>
      <c r="S1225" s="66"/>
      <c r="T1225" s="66"/>
      <c r="U1225" s="66"/>
      <c r="V1225" s="2724" t="str">
        <f t="shared" si="208"/>
        <v>kWh Annual Savings</v>
      </c>
      <c r="W1225" s="2567"/>
      <c r="X1225" s="2567"/>
      <c r="Y1225" s="2725"/>
      <c r="Z1225" s="2726"/>
      <c r="AA1225" s="2726"/>
      <c r="AB1225" s="2554"/>
      <c r="AC1225" s="2663"/>
      <c r="AD1225" s="2715">
        <v>947.09</v>
      </c>
      <c r="AE1225" s="2727">
        <v>947.09</v>
      </c>
      <c r="AF1225" s="2236">
        <f t="shared" si="205"/>
        <v>0</v>
      </c>
      <c r="AG1225" s="2724"/>
      <c r="AH1225" s="2728"/>
      <c r="AI1225" s="2723"/>
      <c r="AU1225" s="1505"/>
      <c r="DG1225" s="2748"/>
      <c r="DH1225" s="2558" t="str">
        <f>CONCATENATE(G1225," ",J1225," Year EUL")</f>
        <v>Heating RES 11 Year EUL</v>
      </c>
      <c r="DI1225" s="2430">
        <f>(INDEX('Avoided Cost Benefits'!$B$4:$B$865,MATCH(DH1225,'Avoided Cost Benefits'!$A$4:$A$865,0)))*F1225</f>
        <v>0</v>
      </c>
      <c r="DJ1225" s="2431">
        <f t="shared" si="207"/>
        <v>0</v>
      </c>
    </row>
    <row r="1226" spans="1:114" s="7" customFormat="1">
      <c r="A1226" s="283"/>
      <c r="B1226" s="2208">
        <f t="shared" si="202"/>
        <v>406600</v>
      </c>
      <c r="C1226" s="2714" t="s">
        <v>3540</v>
      </c>
      <c r="D1226" s="2460" t="s">
        <v>1486</v>
      </c>
      <c r="E1226" s="2495" t="s">
        <v>1056</v>
      </c>
      <c r="F1226" s="2715">
        <f>ROUND($F$1285*(($F$1289*$F$1290*1/$F$1292)/1000)*$F$1293*$F$1271,2)*0</f>
        <v>0</v>
      </c>
      <c r="G1226" s="2497" t="s">
        <v>1045</v>
      </c>
      <c r="H1226" s="2213">
        <f>VLOOKUP(G1226,'CP FACTORS'!$A$3:$B$38, 2, FALSE)</f>
        <v>9.4741810000000004E-4</v>
      </c>
      <c r="I1226" s="2716">
        <f t="shared" si="203"/>
        <v>0</v>
      </c>
      <c r="J1226" s="2717">
        <f t="shared" si="204"/>
        <v>11</v>
      </c>
      <c r="K1226" s="2718">
        <f>$F$1304</f>
        <v>79</v>
      </c>
      <c r="L1226" s="2719" t="s">
        <v>62</v>
      </c>
      <c r="M1226" s="2696"/>
      <c r="N1226" s="2720"/>
      <c r="O1226" s="635"/>
      <c r="P1226" s="90"/>
      <c r="Q1226" s="66"/>
      <c r="R1226" s="532"/>
      <c r="S1226" s="66"/>
      <c r="T1226" s="66"/>
      <c r="U1226" s="66"/>
      <c r="V1226" s="2724" t="str">
        <f t="shared" si="208"/>
        <v>kWh Annual Savings</v>
      </c>
      <c r="W1226" s="2567"/>
      <c r="X1226" s="2567"/>
      <c r="Y1226" s="2725"/>
      <c r="Z1226" s="2726"/>
      <c r="AA1226" s="2726"/>
      <c r="AB1226" s="2554"/>
      <c r="AC1226" s="2663"/>
      <c r="AD1226" s="2715">
        <v>192.52</v>
      </c>
      <c r="AE1226" s="2727">
        <v>192.52</v>
      </c>
      <c r="AF1226" s="2236">
        <f t="shared" si="205"/>
        <v>0</v>
      </c>
      <c r="AG1226" s="2724"/>
      <c r="AH1226" s="2728"/>
      <c r="AI1226" s="2723"/>
      <c r="AU1226" s="1505"/>
      <c r="DG1226" s="2747">
        <f>(DI1226+DI1227)/(DJ1226+DJ1227)</f>
        <v>0</v>
      </c>
      <c r="DH1226" s="2557" t="str">
        <f t="shared" si="206"/>
        <v>Cooling RES 11 Year EUL</v>
      </c>
      <c r="DI1226" s="2420">
        <f>(INDEX('Avoided Cost Benefits'!$B$4:$B$865,MATCH(DH1226,'Avoided Cost Benefits'!$A$4:$A$865,0)))*F1226</f>
        <v>0</v>
      </c>
      <c r="DJ1226" s="2421">
        <f t="shared" si="207"/>
        <v>79</v>
      </c>
    </row>
    <row r="1227" spans="1:114" s="7" customFormat="1">
      <c r="A1227" s="283"/>
      <c r="B1227" s="2208">
        <f t="shared" si="202"/>
        <v>406600</v>
      </c>
      <c r="C1227" s="2714" t="s">
        <v>3540</v>
      </c>
      <c r="D1227" s="2460" t="s">
        <v>1486</v>
      </c>
      <c r="E1227" s="2423" t="s">
        <v>1056</v>
      </c>
      <c r="F1227" s="2715">
        <f>ROUND($F$1247*$F$1255*$F$1263*$F$1267*$F$1271+$F$1276*$F$1280*29.3,2)*0</f>
        <v>0</v>
      </c>
      <c r="G1227" s="2497" t="s">
        <v>1046</v>
      </c>
      <c r="H1227" s="2213">
        <f>VLOOKUP(G1227,'CP FACTORS'!$A$3:$B$38, 2, FALSE)</f>
        <v>0</v>
      </c>
      <c r="I1227" s="2721">
        <f t="shared" si="203"/>
        <v>0</v>
      </c>
      <c r="J1227" s="2717">
        <f t="shared" si="204"/>
        <v>11</v>
      </c>
      <c r="K1227" s="2722"/>
      <c r="L1227" s="2719" t="s">
        <v>62</v>
      </c>
      <c r="M1227" s="2696"/>
      <c r="N1227" s="2720"/>
      <c r="O1227" s="635"/>
      <c r="P1227" s="91"/>
      <c r="Q1227" s="66"/>
      <c r="R1227" s="532"/>
      <c r="S1227" s="66"/>
      <c r="T1227" s="66"/>
      <c r="U1227" s="66"/>
      <c r="V1227" s="2724" t="str">
        <f t="shared" si="208"/>
        <v>kWh Annual Savings</v>
      </c>
      <c r="W1227" s="2567"/>
      <c r="X1227" s="2567"/>
      <c r="Y1227" s="2725"/>
      <c r="Z1227" s="2726"/>
      <c r="AA1227" s="2726"/>
      <c r="AB1227" s="2554"/>
      <c r="AC1227" s="2663"/>
      <c r="AD1227" s="2715">
        <v>41.85</v>
      </c>
      <c r="AE1227" s="2727">
        <v>41.85</v>
      </c>
      <c r="AF1227" s="2236">
        <f t="shared" si="205"/>
        <v>0</v>
      </c>
      <c r="AG1227" s="2724"/>
      <c r="AH1227" s="2728"/>
      <c r="AI1227" s="2723"/>
      <c r="AU1227" s="1505"/>
      <c r="DG1227" s="2748"/>
      <c r="DH1227" s="2558" t="str">
        <f t="shared" si="206"/>
        <v>Heating RES 11 Year EUL</v>
      </c>
      <c r="DI1227" s="2430">
        <f>(INDEX('Avoided Cost Benefits'!$B$4:$B$865,MATCH(DH1227,'Avoided Cost Benefits'!$A$4:$A$865,0)))*F1227</f>
        <v>0</v>
      </c>
      <c r="DJ1227" s="2431">
        <f t="shared" si="207"/>
        <v>0</v>
      </c>
    </row>
    <row r="1228" spans="1:114" s="7" customFormat="1">
      <c r="A1228" s="283"/>
      <c r="B1228" s="2208">
        <f t="shared" si="202"/>
        <v>406625</v>
      </c>
      <c r="C1228" s="2714" t="s">
        <v>3541</v>
      </c>
      <c r="D1228" s="2460" t="s">
        <v>959</v>
      </c>
      <c r="E1228" s="2495" t="s">
        <v>1058</v>
      </c>
      <c r="F1228" s="2715">
        <f>ROUND($F$1286*(($F$1289*$F$1291*1/$F$1292)/1000)*$F$1293*$F$1271,2)*0</f>
        <v>0</v>
      </c>
      <c r="G1228" s="2497" t="s">
        <v>1045</v>
      </c>
      <c r="H1228" s="2213">
        <f>VLOOKUP(G1228,'CP FACTORS'!$A$3:$B$38, 2, FALSE)</f>
        <v>9.4741810000000004E-4</v>
      </c>
      <c r="I1228" s="2716">
        <f>ROUND(H1228*F1228,6)</f>
        <v>0</v>
      </c>
      <c r="J1228" s="2717">
        <f t="shared" si="204"/>
        <v>11</v>
      </c>
      <c r="K1228" s="2718">
        <f>$F$1304</f>
        <v>79</v>
      </c>
      <c r="L1228" s="2719" t="s">
        <v>62</v>
      </c>
      <c r="M1228" s="2696"/>
      <c r="N1228" s="2720"/>
      <c r="O1228" s="635"/>
      <c r="P1228" s="91"/>
      <c r="Q1228" s="66"/>
      <c r="R1228" s="532"/>
      <c r="S1228" s="66"/>
      <c r="T1228" s="66"/>
      <c r="U1228" s="66"/>
      <c r="V1228" s="2724" t="str">
        <f t="shared" si="208"/>
        <v>kWh Annual Savings</v>
      </c>
      <c r="W1228" s="2567"/>
      <c r="X1228" s="2567"/>
      <c r="Y1228" s="2725"/>
      <c r="Z1228" s="2726"/>
      <c r="AA1228" s="2726"/>
      <c r="AB1228" s="2554"/>
      <c r="AC1228" s="2663"/>
      <c r="AD1228" s="2715">
        <v>192.52</v>
      </c>
      <c r="AE1228" s="2727">
        <v>192.52</v>
      </c>
      <c r="AF1228" s="2236">
        <f t="shared" si="205"/>
        <v>0</v>
      </c>
      <c r="AG1228" s="2724"/>
      <c r="AH1228" s="2728"/>
      <c r="AI1228" s="2723"/>
      <c r="AU1228" s="1505"/>
      <c r="DG1228" s="2747">
        <f>(DI1228+DI1229)/(DJ1228+DJ1229)</f>
        <v>0</v>
      </c>
      <c r="DH1228" s="2557" t="str">
        <f>CONCATENATE(G1228," ",J1228," Year EUL")</f>
        <v>Cooling RES 11 Year EUL</v>
      </c>
      <c r="DI1228" s="2420">
        <f>(INDEX('Avoided Cost Benefits'!$B$4:$B$865,MATCH(DH1228,'Avoided Cost Benefits'!$A$4:$A$865,0)))*F1228</f>
        <v>0</v>
      </c>
      <c r="DJ1228" s="2421">
        <f t="shared" si="207"/>
        <v>79</v>
      </c>
    </row>
    <row r="1229" spans="1:114" s="7" customFormat="1">
      <c r="A1229" s="283"/>
      <c r="B1229" s="2208">
        <f t="shared" si="202"/>
        <v>406625</v>
      </c>
      <c r="C1229" s="2714" t="s">
        <v>3541</v>
      </c>
      <c r="D1229" s="2460" t="s">
        <v>959</v>
      </c>
      <c r="E1229" s="2423" t="s">
        <v>1058</v>
      </c>
      <c r="F1229" s="2715">
        <f>ROUND($F$1248*$F$1256*$F$1264*$F$1267*$F$1271+$F$1277*$F$1280*29.3,2)*0</f>
        <v>0</v>
      </c>
      <c r="G1229" s="2497" t="s">
        <v>1046</v>
      </c>
      <c r="H1229" s="2213">
        <f>VLOOKUP(G1229,'CP FACTORS'!$A$3:$B$38, 2, FALSE)</f>
        <v>0</v>
      </c>
      <c r="I1229" s="2721">
        <f>ROUND(H1229*F1229,6)</f>
        <v>0</v>
      </c>
      <c r="J1229" s="2717">
        <f t="shared" si="204"/>
        <v>11</v>
      </c>
      <c r="K1229" s="2722"/>
      <c r="L1229" s="2719" t="s">
        <v>62</v>
      </c>
      <c r="M1229" s="2696"/>
      <c r="N1229" s="2720"/>
      <c r="O1229" s="635"/>
      <c r="P1229" s="91"/>
      <c r="Q1229" s="66"/>
      <c r="R1229" s="532"/>
      <c r="S1229" s="66"/>
      <c r="T1229" s="66"/>
      <c r="U1229" s="66"/>
      <c r="V1229" s="2724" t="str">
        <f t="shared" si="208"/>
        <v>kWh Annual Savings</v>
      </c>
      <c r="W1229" s="2567"/>
      <c r="X1229" s="2567"/>
      <c r="Y1229" s="2725"/>
      <c r="Z1229" s="2726"/>
      <c r="AA1229" s="2726"/>
      <c r="AB1229" s="2554"/>
      <c r="AC1229" s="2663"/>
      <c r="AD1229" s="2715">
        <v>27.2</v>
      </c>
      <c r="AE1229" s="2727">
        <v>27.2</v>
      </c>
      <c r="AF1229" s="2236">
        <f t="shared" si="205"/>
        <v>0</v>
      </c>
      <c r="AG1229" s="2724"/>
      <c r="AH1229" s="2728"/>
      <c r="AI1229" s="2723"/>
      <c r="AU1229" s="1505"/>
      <c r="DG1229" s="2748"/>
      <c r="DH1229" s="2558" t="str">
        <f>CONCATENATE(G1229," ",J1229," Year EUL")</f>
        <v>Heating RES 11 Year EUL</v>
      </c>
      <c r="DI1229" s="2430">
        <f>(INDEX('Avoided Cost Benefits'!$B$4:$B$865,MATCH(DH1229,'Avoided Cost Benefits'!$A$4:$A$865,0)))*F1229</f>
        <v>0</v>
      </c>
      <c r="DJ1229" s="2431">
        <f t="shared" si="207"/>
        <v>0</v>
      </c>
    </row>
    <row r="1230" spans="1:114" s="7" customFormat="1">
      <c r="A1230" s="283"/>
      <c r="B1230" s="2208">
        <f t="shared" si="202"/>
        <v>406650</v>
      </c>
      <c r="C1230" s="2714" t="s">
        <v>3542</v>
      </c>
      <c r="D1230" s="2460" t="s">
        <v>1486</v>
      </c>
      <c r="E1230" s="2495" t="s">
        <v>1063</v>
      </c>
      <c r="F1230" s="2715">
        <f>ROUND($F$1287*(($F$1289*$F$1290*1/$F$1292)/1000)*$F$1293*$F$1271,2)*0</f>
        <v>0</v>
      </c>
      <c r="G1230" s="2497" t="s">
        <v>1045</v>
      </c>
      <c r="H1230" s="2213">
        <f>VLOOKUP(G1230,'CP FACTORS'!$A$3:$B$38, 2, FALSE)</f>
        <v>9.4741810000000004E-4</v>
      </c>
      <c r="I1230" s="2716">
        <f t="shared" si="203"/>
        <v>0</v>
      </c>
      <c r="J1230" s="2717">
        <f t="shared" si="204"/>
        <v>11</v>
      </c>
      <c r="K1230" s="2718">
        <f>$F$1304</f>
        <v>79</v>
      </c>
      <c r="L1230" s="2719" t="s">
        <v>62</v>
      </c>
      <c r="M1230" s="2696"/>
      <c r="N1230" s="2720"/>
      <c r="O1230" s="635"/>
      <c r="P1230" s="52"/>
      <c r="Q1230" s="66"/>
      <c r="R1230" s="532"/>
      <c r="S1230" s="66"/>
      <c r="T1230" s="66"/>
      <c r="U1230" s="66"/>
      <c r="V1230" s="2724" t="str">
        <f t="shared" si="208"/>
        <v>kWh Annual Savings</v>
      </c>
      <c r="W1230" s="2567"/>
      <c r="X1230" s="2567"/>
      <c r="Y1230" s="2725"/>
      <c r="Z1230" s="2726"/>
      <c r="AA1230" s="2726"/>
      <c r="AB1230" s="2554"/>
      <c r="AC1230" s="2663"/>
      <c r="AD1230" s="2715">
        <v>192.52</v>
      </c>
      <c r="AE1230" s="2727">
        <v>192.52</v>
      </c>
      <c r="AF1230" s="2236">
        <f t="shared" si="205"/>
        <v>0</v>
      </c>
      <c r="AG1230" s="2724"/>
      <c r="AH1230" s="2728"/>
      <c r="AI1230" s="2723"/>
      <c r="AU1230" s="1505"/>
      <c r="DG1230" s="2747">
        <f>(DI1230+DI1231)/(DJ1230+DJ1231)</f>
        <v>0</v>
      </c>
      <c r="DH1230" s="2557" t="str">
        <f t="shared" si="206"/>
        <v>Cooling RES 11 Year EUL</v>
      </c>
      <c r="DI1230" s="2420">
        <f>(INDEX('Avoided Cost Benefits'!$B$4:$B$865,MATCH(DH1230,'Avoided Cost Benefits'!$A$4:$A$865,0)))*F1230</f>
        <v>0</v>
      </c>
      <c r="DJ1230" s="2421">
        <f t="shared" si="207"/>
        <v>79</v>
      </c>
    </row>
    <row r="1231" spans="1:114" s="7" customFormat="1">
      <c r="A1231" s="283"/>
      <c r="B1231" s="2208">
        <f t="shared" si="202"/>
        <v>406650</v>
      </c>
      <c r="C1231" s="2714" t="s">
        <v>3542</v>
      </c>
      <c r="D1231" s="2460" t="s">
        <v>1486</v>
      </c>
      <c r="E1231" s="2423" t="s">
        <v>1063</v>
      </c>
      <c r="F1231" s="2715">
        <f>ROUND($F$1249*$F$1257*$F$1265*$F$1267*$F$1271+$F$1278*$F$1280*29.3,2)*0</f>
        <v>0</v>
      </c>
      <c r="G1231" s="2497" t="s">
        <v>1046</v>
      </c>
      <c r="H1231" s="2213">
        <f>VLOOKUP(G1231,'CP FACTORS'!$A$3:$B$38, 2, FALSE)</f>
        <v>0</v>
      </c>
      <c r="I1231" s="2721">
        <f t="shared" si="203"/>
        <v>0</v>
      </c>
      <c r="J1231" s="2717">
        <f t="shared" si="204"/>
        <v>11</v>
      </c>
      <c r="K1231" s="2722"/>
      <c r="L1231" s="2719" t="s">
        <v>62</v>
      </c>
      <c r="M1231" s="2696"/>
      <c r="N1231" s="2720"/>
      <c r="O1231" s="2696"/>
      <c r="P1231" s="283"/>
      <c r="Q1231" s="66"/>
      <c r="R1231" s="532"/>
      <c r="S1231" s="66"/>
      <c r="T1231" s="66"/>
      <c r="U1231" s="66"/>
      <c r="V1231" s="2724" t="str">
        <f t="shared" si="208"/>
        <v>kWh Annual Savings</v>
      </c>
      <c r="W1231" s="2567"/>
      <c r="X1231" s="2567"/>
      <c r="Y1231" s="2725"/>
      <c r="Z1231" s="2726"/>
      <c r="AA1231" s="2726"/>
      <c r="AB1231" s="2554"/>
      <c r="AC1231" s="2663"/>
      <c r="AD1231" s="2715">
        <v>280.14999999999998</v>
      </c>
      <c r="AE1231" s="2727">
        <v>280.14999999999998</v>
      </c>
      <c r="AF1231" s="2236">
        <f t="shared" si="205"/>
        <v>0</v>
      </c>
      <c r="AG1231" s="2724"/>
      <c r="AH1231" s="2728"/>
      <c r="AI1231" s="2723"/>
      <c r="AU1231" s="1505"/>
      <c r="DG1231" s="2748"/>
      <c r="DH1231" s="2558" t="str">
        <f t="shared" si="206"/>
        <v>Heating RES 11 Year EUL</v>
      </c>
      <c r="DI1231" s="2430">
        <f>(INDEX('Avoided Cost Benefits'!$B$4:$B$865,MATCH(DH1231,'Avoided Cost Benefits'!$A$4:$A$865,0)))*F1231</f>
        <v>0</v>
      </c>
      <c r="DJ1231" s="2431">
        <f t="shared" si="207"/>
        <v>0</v>
      </c>
    </row>
    <row r="1232" spans="1:114" s="7" customFormat="1">
      <c r="A1232" s="283"/>
      <c r="B1232" s="2208">
        <f t="shared" si="202"/>
        <v>406675</v>
      </c>
      <c r="C1232" s="2714" t="s">
        <v>3543</v>
      </c>
      <c r="D1232" s="2460" t="s">
        <v>959</v>
      </c>
      <c r="E1232" s="2495" t="s">
        <v>1066</v>
      </c>
      <c r="F1232" s="2715">
        <f>ROUND($F$1288*(($F$1289*$F$1291*1/$F$1292)/1000)*$F$1293*$F$1271,2)*0</f>
        <v>0</v>
      </c>
      <c r="G1232" s="2497" t="s">
        <v>1045</v>
      </c>
      <c r="H1232" s="2213">
        <f>VLOOKUP(G1232,'CP FACTORS'!$A$3:$B$38, 2, FALSE)</f>
        <v>9.4741810000000004E-4</v>
      </c>
      <c r="I1232" s="2716">
        <f t="shared" si="203"/>
        <v>0</v>
      </c>
      <c r="J1232" s="2717">
        <f t="shared" si="204"/>
        <v>11</v>
      </c>
      <c r="K1232" s="2718">
        <f>$F$1304</f>
        <v>79</v>
      </c>
      <c r="L1232" s="2719" t="s">
        <v>62</v>
      </c>
      <c r="M1232" s="2696"/>
      <c r="N1232" s="2720"/>
      <c r="O1232" s="2696"/>
      <c r="P1232" s="283"/>
      <c r="Q1232" s="66"/>
      <c r="R1232" s="532"/>
      <c r="S1232" s="66"/>
      <c r="T1232" s="66"/>
      <c r="U1232" s="66"/>
      <c r="V1232" s="2724" t="str">
        <f t="shared" si="208"/>
        <v>kWh Annual Savings</v>
      </c>
      <c r="W1232" s="2567"/>
      <c r="X1232" s="2567"/>
      <c r="Y1232" s="2725"/>
      <c r="Z1232" s="2726"/>
      <c r="AA1232" s="2726"/>
      <c r="AB1232" s="2554"/>
      <c r="AC1232" s="2663"/>
      <c r="AD1232" s="2715">
        <v>192.52</v>
      </c>
      <c r="AE1232" s="2727">
        <v>192.52</v>
      </c>
      <c r="AF1232" s="2236">
        <f t="shared" si="205"/>
        <v>0</v>
      </c>
      <c r="AG1232" s="2724"/>
      <c r="AH1232" s="2728"/>
      <c r="AI1232" s="2723"/>
      <c r="AU1232" s="1505"/>
      <c r="DG1232" s="2747">
        <f>(DI1232+DI1233)/(DJ1232+DJ1233)</f>
        <v>0</v>
      </c>
      <c r="DH1232" s="2557" t="str">
        <f t="shared" si="206"/>
        <v>Cooling RES 11 Year EUL</v>
      </c>
      <c r="DI1232" s="2420">
        <f>(INDEX('Avoided Cost Benefits'!$B$4:$B$865,MATCH(DH1232,'Avoided Cost Benefits'!$A$4:$A$865,0)))*F1232</f>
        <v>0</v>
      </c>
      <c r="DJ1232" s="2421">
        <f t="shared" si="207"/>
        <v>79</v>
      </c>
    </row>
    <row r="1233" spans="1:114" s="7" customFormat="1">
      <c r="A1233" s="283"/>
      <c r="B1233" s="2208">
        <f t="shared" si="202"/>
        <v>406675</v>
      </c>
      <c r="C1233" s="2714" t="s">
        <v>3543</v>
      </c>
      <c r="D1233" s="2460" t="s">
        <v>959</v>
      </c>
      <c r="E1233" s="2423" t="s">
        <v>1066</v>
      </c>
      <c r="F1233" s="2715">
        <f>ROUND($F$1250*$F$1258*$F$1266*$F$1267*$F$1271+$F$1279*$F$1280*29.3,2)*0</f>
        <v>0</v>
      </c>
      <c r="G1233" s="2497" t="s">
        <v>1046</v>
      </c>
      <c r="H1233" s="2213">
        <f>VLOOKUP(G1233,'CP FACTORS'!$A$3:$B$38, 2, FALSE)</f>
        <v>0</v>
      </c>
      <c r="I1233" s="2721">
        <f t="shared" si="203"/>
        <v>0</v>
      </c>
      <c r="J1233" s="2717">
        <f t="shared" si="204"/>
        <v>11</v>
      </c>
      <c r="K1233" s="2722"/>
      <c r="L1233" s="2719" t="s">
        <v>62</v>
      </c>
      <c r="M1233" s="2696"/>
      <c r="N1233" s="2720"/>
      <c r="O1233" s="2696"/>
      <c r="P1233" s="283"/>
      <c r="Q1233" s="66"/>
      <c r="R1233" s="532"/>
      <c r="S1233" s="66"/>
      <c r="T1233" s="66"/>
      <c r="U1233" s="66"/>
      <c r="V1233" s="2724" t="str">
        <f t="shared" si="208"/>
        <v>kWh Annual Savings</v>
      </c>
      <c r="W1233" s="2567"/>
      <c r="X1233" s="2567"/>
      <c r="Y1233" s="2725"/>
      <c r="Z1233" s="2726"/>
      <c r="AA1233" s="2726"/>
      <c r="AB1233" s="2554"/>
      <c r="AC1233" s="2663"/>
      <c r="AD1233" s="2715">
        <v>182.1</v>
      </c>
      <c r="AE1233" s="2727">
        <v>182.1</v>
      </c>
      <c r="AF1233" s="2236">
        <f t="shared" si="205"/>
        <v>0</v>
      </c>
      <c r="AG1233" s="2724"/>
      <c r="AH1233" s="2728"/>
      <c r="AI1233" s="2723"/>
      <c r="AU1233" s="1505"/>
      <c r="DG1233" s="2748"/>
      <c r="DH1233" s="2558" t="str">
        <f t="shared" si="206"/>
        <v>Heating RES 11 Year EUL</v>
      </c>
      <c r="DI1233" s="2430">
        <f>(INDEX('Avoided Cost Benefits'!$B$4:$B$865,MATCH(DH1233,'Avoided Cost Benefits'!$A$4:$A$865,0)))*F1233</f>
        <v>0</v>
      </c>
      <c r="DJ1233" s="2431">
        <f t="shared" si="207"/>
        <v>0</v>
      </c>
    </row>
    <row r="1234" spans="1:114" s="7" customFormat="1" hidden="1" outlineLevel="1">
      <c r="A1234" s="283"/>
      <c r="B1234" s="283"/>
      <c r="C1234" s="281"/>
      <c r="D1234" s="2294" t="s">
        <v>118</v>
      </c>
      <c r="E1234" s="2754" t="s">
        <v>1069</v>
      </c>
      <c r="F1234" s="133" t="s">
        <v>1070</v>
      </c>
      <c r="G1234" s="283"/>
      <c r="H1234" s="283"/>
      <c r="I1234" s="283"/>
      <c r="J1234" s="283"/>
      <c r="K1234" s="283"/>
      <c r="L1234" s="283"/>
      <c r="M1234" s="283"/>
      <c r="N1234" s="1565"/>
      <c r="O1234" s="283"/>
      <c r="P1234" s="283"/>
      <c r="Q1234" s="66"/>
      <c r="R1234" s="66"/>
      <c r="S1234" s="66"/>
      <c r="T1234" s="66"/>
      <c r="U1234" s="66"/>
      <c r="AU1234" s="1505"/>
      <c r="DG1234" s="1073"/>
      <c r="DH1234" s="66"/>
      <c r="DI1234" s="66"/>
      <c r="DJ1234" s="1102"/>
    </row>
    <row r="1235" spans="1:114" s="1509" customFormat="1" hidden="1" outlineLevel="1">
      <c r="A1235" s="283"/>
      <c r="B1235" s="283"/>
      <c r="C1235" s="281"/>
      <c r="D1235" s="2294" t="s">
        <v>963</v>
      </c>
      <c r="E1235" s="2754" t="s">
        <v>1071</v>
      </c>
      <c r="F1235" s="541"/>
      <c r="G1235" s="283"/>
      <c r="H1235" s="283"/>
      <c r="I1235" s="283"/>
      <c r="J1235" s="283"/>
      <c r="K1235" s="283"/>
      <c r="L1235" s="283"/>
      <c r="M1235" s="283"/>
      <c r="N1235" s="1565"/>
      <c r="O1235" s="283"/>
      <c r="P1235" s="283"/>
      <c r="Q1235" s="75"/>
      <c r="R1235" s="75"/>
      <c r="S1235" s="75"/>
      <c r="T1235" s="75"/>
      <c r="U1235" s="75"/>
      <c r="V1235" s="92"/>
      <c r="AU1235" s="1505"/>
      <c r="DG1235" s="1074"/>
      <c r="DH1235" s="75"/>
      <c r="DI1235" s="75"/>
      <c r="DJ1235" s="1102"/>
    </row>
    <row r="1236" spans="1:114" s="1509" customFormat="1" ht="18" hidden="1" customHeight="1" outlineLevel="1">
      <c r="A1236" s="283"/>
      <c r="B1236" s="283"/>
      <c r="C1236" s="281"/>
      <c r="D1236" s="2776" t="s">
        <v>1072</v>
      </c>
      <c r="E1236" s="2776" t="s">
        <v>1073</v>
      </c>
      <c r="F1236" s="1567"/>
      <c r="G1236" s="1567"/>
      <c r="H1236" s="1567"/>
      <c r="I1236" s="1567"/>
      <c r="J1236" s="1567"/>
      <c r="K1236" s="1567"/>
      <c r="L1236" s="1567"/>
      <c r="M1236" s="283"/>
      <c r="N1236" s="1565"/>
      <c r="O1236" s="283"/>
      <c r="P1236" s="532"/>
      <c r="Q1236" s="75"/>
      <c r="R1236" s="75"/>
      <c r="S1236" s="75"/>
      <c r="T1236" s="75"/>
      <c r="U1236" s="75"/>
      <c r="AU1236" s="1505"/>
      <c r="DG1236" s="1074"/>
      <c r="DH1236" s="75"/>
      <c r="DI1236" s="75"/>
      <c r="DJ1236" s="1102"/>
    </row>
    <row r="1237" spans="1:114" s="1509" customFormat="1" ht="18" hidden="1" customHeight="1" outlineLevel="1">
      <c r="A1237" s="283"/>
      <c r="B1237" s="283"/>
      <c r="C1237" s="281"/>
      <c r="D1237" s="2776"/>
      <c r="E1237" s="2776" t="s">
        <v>1074</v>
      </c>
      <c r="F1237" s="1567"/>
      <c r="G1237" s="1567"/>
      <c r="H1237" s="1567"/>
      <c r="I1237" s="1567"/>
      <c r="J1237" s="1567"/>
      <c r="K1237" s="1567"/>
      <c r="L1237" s="1567"/>
      <c r="M1237" s="283"/>
      <c r="N1237" s="1565"/>
      <c r="O1237" s="283"/>
      <c r="P1237" s="532"/>
      <c r="Q1237" s="75"/>
      <c r="R1237" s="75"/>
      <c r="S1237" s="75"/>
      <c r="T1237" s="75"/>
      <c r="U1237" s="75"/>
      <c r="AU1237" s="1505"/>
      <c r="DG1237" s="1074"/>
      <c r="DH1237" s="75"/>
      <c r="DI1237" s="75"/>
      <c r="DJ1237" s="1102"/>
    </row>
    <row r="1238" spans="1:114" s="1509" customFormat="1" ht="18" hidden="1" customHeight="1" outlineLevel="1">
      <c r="A1238" s="283"/>
      <c r="B1238" s="283"/>
      <c r="C1238" s="281"/>
      <c r="D1238" s="2776"/>
      <c r="E1238" s="2776" t="s">
        <v>3544</v>
      </c>
      <c r="F1238" s="1567"/>
      <c r="G1238" s="1567"/>
      <c r="H1238" s="1567"/>
      <c r="I1238" s="1567"/>
      <c r="J1238" s="1567"/>
      <c r="K1238" s="1567"/>
      <c r="L1238" s="1567"/>
      <c r="M1238" s="283"/>
      <c r="N1238" s="1565"/>
      <c r="O1238" s="283"/>
      <c r="P1238" s="532"/>
      <c r="Q1238" s="75"/>
      <c r="R1238" s="75"/>
      <c r="S1238" s="75"/>
      <c r="T1238" s="75"/>
      <c r="U1238" s="75"/>
      <c r="AU1238" s="1505"/>
      <c r="DG1238" s="1074"/>
      <c r="DH1238" s="75"/>
      <c r="DI1238" s="75"/>
      <c r="DJ1238" s="1102"/>
    </row>
    <row r="1239" spans="1:114" s="1509" customFormat="1" ht="18" hidden="1" customHeight="1" outlineLevel="1">
      <c r="A1239" s="283"/>
      <c r="B1239" s="283"/>
      <c r="C1239" s="281"/>
      <c r="D1239" s="2776"/>
      <c r="E1239" s="2776" t="s">
        <v>1075</v>
      </c>
      <c r="F1239" s="1567"/>
      <c r="G1239" s="1567"/>
      <c r="H1239" s="1567"/>
      <c r="I1239" s="1567"/>
      <c r="J1239" s="1567"/>
      <c r="K1239" s="1567"/>
      <c r="L1239" s="1567"/>
      <c r="M1239" s="283"/>
      <c r="N1239" s="1565"/>
      <c r="O1239" s="283"/>
      <c r="P1239" s="532"/>
      <c r="Q1239" s="75"/>
      <c r="R1239" s="75"/>
      <c r="S1239" s="75"/>
      <c r="T1239" s="75"/>
      <c r="U1239" s="75"/>
      <c r="AU1239" s="1505"/>
      <c r="DG1239" s="1074"/>
      <c r="DH1239" s="75"/>
      <c r="DI1239" s="75"/>
      <c r="DJ1239" s="1102"/>
    </row>
    <row r="1240" spans="1:114" s="1509" customFormat="1" ht="18" hidden="1" customHeight="1" outlineLevel="1">
      <c r="A1240" s="283"/>
      <c r="B1240" s="283"/>
      <c r="C1240" s="281"/>
      <c r="D1240" s="2776"/>
      <c r="E1240" s="2776" t="s">
        <v>1076</v>
      </c>
      <c r="F1240" s="1567"/>
      <c r="G1240" s="1567"/>
      <c r="H1240" s="1567"/>
      <c r="I1240" s="1567"/>
      <c r="J1240" s="1567"/>
      <c r="K1240" s="1567"/>
      <c r="L1240" s="1567"/>
      <c r="M1240" s="283"/>
      <c r="N1240" s="1565"/>
      <c r="O1240" s="283"/>
      <c r="P1240" s="532"/>
      <c r="Q1240" s="75"/>
      <c r="R1240" s="75"/>
      <c r="S1240" s="75"/>
      <c r="T1240" s="75"/>
      <c r="U1240" s="75"/>
      <c r="AU1240" s="1505"/>
      <c r="DG1240" s="1074"/>
      <c r="DH1240" s="75"/>
      <c r="DI1240" s="75"/>
      <c r="DJ1240" s="1102"/>
    </row>
    <row r="1241" spans="1:114" s="1509" customFormat="1" ht="18" hidden="1" customHeight="1" outlineLevel="1">
      <c r="A1241" s="283"/>
      <c r="B1241" s="283"/>
      <c r="C1241" s="281"/>
      <c r="D1241" s="1566"/>
      <c r="E1241" s="1566"/>
      <c r="F1241" s="1567"/>
      <c r="G1241" s="1567"/>
      <c r="H1241" s="1567"/>
      <c r="I1241" s="1567"/>
      <c r="J1241" s="1567"/>
      <c r="K1241" s="1567"/>
      <c r="L1241" s="1567"/>
      <c r="M1241" s="283"/>
      <c r="N1241" s="1565"/>
      <c r="O1241" s="283"/>
      <c r="P1241" s="532"/>
      <c r="Q1241" s="75"/>
      <c r="R1241" s="75"/>
      <c r="S1241" s="75"/>
      <c r="T1241" s="75"/>
      <c r="U1241" s="75"/>
      <c r="AU1241" s="1505"/>
      <c r="DG1241" s="1074"/>
      <c r="DH1241" s="75"/>
      <c r="DI1241" s="75"/>
      <c r="DJ1241" s="1102"/>
    </row>
    <row r="1242" spans="1:114" s="7" customFormat="1" hidden="1" outlineLevel="1">
      <c r="A1242" s="283"/>
      <c r="B1242" s="283"/>
      <c r="C1242" s="281"/>
      <c r="D1242" s="2303" t="s">
        <v>1078</v>
      </c>
      <c r="E1242" s="2303" t="s">
        <v>967</v>
      </c>
      <c r="F1242" s="2207" t="s">
        <v>969</v>
      </c>
      <c r="G1242" s="2207" t="s">
        <v>970</v>
      </c>
      <c r="H1242" s="2207" t="s">
        <v>1079</v>
      </c>
      <c r="I1242" s="2207" t="s">
        <v>1079</v>
      </c>
      <c r="J1242" s="283"/>
      <c r="K1242" s="66"/>
      <c r="L1242" s="66"/>
      <c r="M1242" s="52"/>
      <c r="N1242" s="1565"/>
      <c r="O1242" s="283"/>
      <c r="P1242" s="283"/>
      <c r="Q1242" s="283"/>
      <c r="R1242" s="66"/>
      <c r="S1242" s="66"/>
      <c r="T1242" s="66"/>
      <c r="U1242" s="66"/>
      <c r="V1242" s="2640" t="s">
        <v>52</v>
      </c>
      <c r="W1242" s="2641">
        <v>43252</v>
      </c>
      <c r="X1242" s="2641">
        <f>$X$6</f>
        <v>43465</v>
      </c>
      <c r="Y1242" s="2641">
        <f>$Y$6</f>
        <v>43800</v>
      </c>
      <c r="Z1242" s="2641">
        <f>$Z$6</f>
        <v>43862</v>
      </c>
      <c r="AA1242" s="2641">
        <f>$AA$6</f>
        <v>44013</v>
      </c>
      <c r="AB1242" s="2641">
        <f>$AB$6</f>
        <v>44166</v>
      </c>
      <c r="AC1242" s="2641">
        <f>$AC$6</f>
        <v>44531</v>
      </c>
      <c r="AD1242" s="2641">
        <f>$AD$6</f>
        <v>44774</v>
      </c>
      <c r="AE1242" s="2641">
        <f>$AE$6</f>
        <v>45139</v>
      </c>
      <c r="AF1242" s="2641">
        <f>$AF$6</f>
        <v>45672</v>
      </c>
      <c r="AG1242" s="2641" t="str">
        <f>$AG$6</f>
        <v>-</v>
      </c>
      <c r="AH1242" s="1509"/>
      <c r="AU1242" s="1505"/>
      <c r="DG1242" s="1073"/>
      <c r="DH1242" s="66"/>
      <c r="DI1242" s="66"/>
      <c r="DJ1242" s="1102"/>
    </row>
    <row r="1243" spans="1:114" s="7" customFormat="1" hidden="1" outlineLevel="1">
      <c r="A1243" s="283"/>
      <c r="B1243" s="283"/>
      <c r="C1243" s="281"/>
      <c r="D1243" s="4648" t="s">
        <v>353</v>
      </c>
      <c r="E1243" s="2432" t="str">
        <f>E1218</f>
        <v>Learning Thermostat - ASHP heating/cooling SF</v>
      </c>
      <c r="F1243" s="2347">
        <v>1</v>
      </c>
      <c r="G1243" s="4323" t="s">
        <v>1080</v>
      </c>
      <c r="H1243" s="4323"/>
      <c r="I1243" s="1430"/>
      <c r="J1243" s="283"/>
      <c r="K1243" s="66"/>
      <c r="L1243" s="66"/>
      <c r="M1243" s="66"/>
      <c r="N1243" s="1565"/>
      <c r="O1243" s="283"/>
      <c r="P1243" s="283"/>
      <c r="Q1243" s="283"/>
      <c r="R1243" s="66"/>
      <c r="S1243" s="66"/>
      <c r="T1243" s="66"/>
      <c r="U1243" s="66"/>
      <c r="V1243" s="4399" t="str">
        <f>D1243</f>
        <v>%ElectricHeat</v>
      </c>
      <c r="W1243" s="2793"/>
      <c r="X1243" s="2793"/>
      <c r="Y1243" s="2793"/>
      <c r="Z1243" s="2794"/>
      <c r="AA1243" s="2794"/>
      <c r="AB1243" s="2794"/>
      <c r="AC1243" s="2789"/>
      <c r="AD1243" s="2795">
        <v>1</v>
      </c>
      <c r="AE1243" s="2794">
        <v>1</v>
      </c>
      <c r="AF1243" s="2236">
        <f t="shared" ref="AF1243:AF1274" si="209">IF(F1243&lt;&gt;"",F1243,"")</f>
        <v>1</v>
      </c>
      <c r="AG1243" s="2793"/>
      <c r="AH1243" s="1509"/>
      <c r="AU1243" s="1505"/>
      <c r="DG1243" s="1073"/>
      <c r="DH1243" s="66"/>
      <c r="DI1243" s="66"/>
      <c r="DJ1243" s="1102"/>
    </row>
    <row r="1244" spans="1:114" s="7" customFormat="1" hidden="1" outlineLevel="1">
      <c r="A1244" s="283"/>
      <c r="B1244" s="283"/>
      <c r="C1244" s="281"/>
      <c r="D1244" s="4648"/>
      <c r="E1244" s="2432" t="str">
        <f>E1220</f>
        <v>Learning Thermostat - ASHP heating/cooling MF</v>
      </c>
      <c r="F1244" s="2347">
        <v>1</v>
      </c>
      <c r="G1244" s="4323" t="s">
        <v>1080</v>
      </c>
      <c r="H1244" s="4323"/>
      <c r="I1244" s="1430"/>
      <c r="J1244" s="283"/>
      <c r="K1244" s="66"/>
      <c r="L1244" s="66"/>
      <c r="M1244" s="66"/>
      <c r="N1244" s="1565"/>
      <c r="O1244" s="283"/>
      <c r="P1244" s="283"/>
      <c r="Q1244" s="283"/>
      <c r="R1244" s="66"/>
      <c r="S1244" s="66"/>
      <c r="T1244" s="66"/>
      <c r="U1244" s="66"/>
      <c r="V1244" s="4400"/>
      <c r="W1244" s="2793"/>
      <c r="X1244" s="2793"/>
      <c r="Y1244" s="2793"/>
      <c r="Z1244" s="2794"/>
      <c r="AA1244" s="2794"/>
      <c r="AB1244" s="2794"/>
      <c r="AC1244" s="2789"/>
      <c r="AD1244" s="2795">
        <v>1</v>
      </c>
      <c r="AE1244" s="2794">
        <v>1</v>
      </c>
      <c r="AF1244" s="2236">
        <f t="shared" si="209"/>
        <v>1</v>
      </c>
      <c r="AG1244" s="2793"/>
      <c r="AH1244" s="1509"/>
      <c r="AU1244" s="1505"/>
      <c r="DG1244" s="1073"/>
      <c r="DH1244" s="66"/>
      <c r="DI1244" s="66"/>
      <c r="DJ1244" s="1102"/>
    </row>
    <row r="1245" spans="1:114" s="7" customFormat="1" hidden="1" outlineLevel="1">
      <c r="A1245" s="283"/>
      <c r="B1245" s="283"/>
      <c r="C1245" s="281"/>
      <c r="D1245" s="4648"/>
      <c r="E1245" s="2432" t="str">
        <f>E1222</f>
        <v>Learning Thermostat - electric furnace heating / central AC MF</v>
      </c>
      <c r="F1245" s="2347">
        <v>1</v>
      </c>
      <c r="G1245" s="4323" t="s">
        <v>1080</v>
      </c>
      <c r="H1245" s="4323"/>
      <c r="I1245" s="1430"/>
      <c r="J1245" s="283"/>
      <c r="K1245" s="66"/>
      <c r="L1245" s="66"/>
      <c r="M1245" s="66"/>
      <c r="N1245" s="1565"/>
      <c r="O1245" s="283"/>
      <c r="P1245" s="283"/>
      <c r="Q1245" s="283"/>
      <c r="R1245" s="66"/>
      <c r="S1245" s="66"/>
      <c r="T1245" s="66"/>
      <c r="U1245" s="66"/>
      <c r="V1245" s="4400"/>
      <c r="W1245" s="2793"/>
      <c r="X1245" s="2793"/>
      <c r="Y1245" s="2793"/>
      <c r="Z1245" s="2794"/>
      <c r="AA1245" s="2794"/>
      <c r="AB1245" s="2794"/>
      <c r="AC1245" s="2789"/>
      <c r="AD1245" s="2795">
        <v>1</v>
      </c>
      <c r="AE1245" s="2794">
        <v>1</v>
      </c>
      <c r="AF1245" s="2236">
        <f t="shared" si="209"/>
        <v>1</v>
      </c>
      <c r="AG1245" s="2793"/>
      <c r="AH1245" s="1509"/>
      <c r="AU1245" s="1505"/>
      <c r="DG1245" s="1073"/>
      <c r="DH1245" s="66"/>
      <c r="DI1245" s="66"/>
      <c r="DJ1245" s="1102"/>
    </row>
    <row r="1246" spans="1:114" s="7" customFormat="1" hidden="1" outlineLevel="1">
      <c r="A1246" s="283"/>
      <c r="B1246" s="283"/>
      <c r="C1246" s="281"/>
      <c r="D1246" s="4648"/>
      <c r="E1246" s="2777" t="str">
        <f>E1224</f>
        <v>Learning Thermostat - electric furnace heating / central AC SF</v>
      </c>
      <c r="F1246" s="2347">
        <v>1</v>
      </c>
      <c r="G1246" s="4323" t="s">
        <v>1080</v>
      </c>
      <c r="H1246" s="4323"/>
      <c r="I1246" s="1430"/>
      <c r="J1246" s="283"/>
      <c r="K1246" s="66"/>
      <c r="L1246" s="66"/>
      <c r="M1246" s="66"/>
      <c r="N1246" s="1565"/>
      <c r="O1246" s="283"/>
      <c r="P1246" s="283"/>
      <c r="Q1246" s="283"/>
      <c r="R1246" s="66"/>
      <c r="S1246" s="66"/>
      <c r="T1246" s="66"/>
      <c r="U1246" s="66"/>
      <c r="V1246" s="4400"/>
      <c r="W1246" s="2793"/>
      <c r="X1246" s="2793"/>
      <c r="Y1246" s="2793"/>
      <c r="Z1246" s="2794"/>
      <c r="AA1246" s="2794"/>
      <c r="AB1246" s="2794"/>
      <c r="AC1246" s="2789"/>
      <c r="AD1246" s="2795">
        <v>1</v>
      </c>
      <c r="AE1246" s="2794">
        <v>1</v>
      </c>
      <c r="AF1246" s="2236">
        <f t="shared" si="209"/>
        <v>1</v>
      </c>
      <c r="AG1246" s="2793"/>
      <c r="AH1246" s="1509"/>
      <c r="AU1246" s="1505"/>
      <c r="DG1246" s="1073"/>
      <c r="DH1246" s="66"/>
      <c r="DI1246" s="66"/>
      <c r="DJ1246" s="1102"/>
    </row>
    <row r="1247" spans="1:114" s="7" customFormat="1" hidden="1" outlineLevel="1">
      <c r="A1247" s="283"/>
      <c r="B1247" s="283"/>
      <c r="C1247" s="281"/>
      <c r="D1247" s="4648"/>
      <c r="E1247" s="2777" t="str">
        <f>E1226</f>
        <v>Learning Thermostat - Gas Heated / central AC SF**</v>
      </c>
      <c r="F1247" s="2347">
        <v>0</v>
      </c>
      <c r="G1247" s="4323" t="s">
        <v>1080</v>
      </c>
      <c r="H1247" s="4323"/>
      <c r="I1247" s="1430"/>
      <c r="J1247" s="283"/>
      <c r="K1247" s="66"/>
      <c r="L1247" s="66"/>
      <c r="M1247" s="66"/>
      <c r="N1247" s="1565"/>
      <c r="O1247" s="283"/>
      <c r="P1247" s="283"/>
      <c r="Q1247" s="283"/>
      <c r="R1247" s="66"/>
      <c r="S1247" s="66"/>
      <c r="T1247" s="66"/>
      <c r="U1247" s="66"/>
      <c r="V1247" s="4400"/>
      <c r="W1247" s="2793"/>
      <c r="X1247" s="2793"/>
      <c r="Y1247" s="2793"/>
      <c r="Z1247" s="2794"/>
      <c r="AA1247" s="2794"/>
      <c r="AB1247" s="2794"/>
      <c r="AC1247" s="2789"/>
      <c r="AD1247" s="2795">
        <v>0</v>
      </c>
      <c r="AE1247" s="2794">
        <v>0</v>
      </c>
      <c r="AF1247" s="2236">
        <f t="shared" si="209"/>
        <v>0</v>
      </c>
      <c r="AG1247" s="2793"/>
      <c r="AH1247" s="1509"/>
      <c r="AU1247" s="1505"/>
      <c r="DG1247" s="1073"/>
      <c r="DH1247" s="66"/>
      <c r="DI1247" s="66"/>
      <c r="DJ1247" s="1102"/>
    </row>
    <row r="1248" spans="1:114" s="7" customFormat="1" hidden="1" outlineLevel="1">
      <c r="A1248" s="283"/>
      <c r="B1248" s="283"/>
      <c r="C1248" s="281"/>
      <c r="D1248" s="4648"/>
      <c r="E1248" s="2777" t="str">
        <f>E1228</f>
        <v>Learning Thermostat - Gas Heated / central AC MF**</v>
      </c>
      <c r="F1248" s="2347">
        <v>0</v>
      </c>
      <c r="G1248" s="4323" t="s">
        <v>1080</v>
      </c>
      <c r="H1248" s="4323"/>
      <c r="I1248" s="1430"/>
      <c r="J1248" s="283"/>
      <c r="K1248" s="66"/>
      <c r="L1248" s="66"/>
      <c r="M1248" s="66"/>
      <c r="N1248" s="1565"/>
      <c r="O1248" s="283"/>
      <c r="P1248" s="283"/>
      <c r="Q1248" s="283"/>
      <c r="R1248" s="66"/>
      <c r="S1248" s="66"/>
      <c r="T1248" s="66"/>
      <c r="U1248" s="66"/>
      <c r="V1248" s="4400"/>
      <c r="W1248" s="2793"/>
      <c r="X1248" s="2793"/>
      <c r="Y1248" s="2796"/>
      <c r="Z1248" s="2794"/>
      <c r="AA1248" s="2794"/>
      <c r="AB1248" s="2794"/>
      <c r="AC1248" s="2789"/>
      <c r="AD1248" s="2795">
        <v>0</v>
      </c>
      <c r="AE1248" s="2794">
        <v>0</v>
      </c>
      <c r="AF1248" s="2236">
        <f t="shared" si="209"/>
        <v>0</v>
      </c>
      <c r="AG1248" s="2793"/>
      <c r="AH1248" s="1509"/>
      <c r="AU1248" s="1505"/>
      <c r="DG1248" s="1073"/>
      <c r="DH1248" s="66"/>
      <c r="DI1248" s="66"/>
      <c r="DJ1248" s="1102"/>
    </row>
    <row r="1249" spans="1:114" s="7" customFormat="1" hidden="1" outlineLevel="1">
      <c r="A1249" s="283"/>
      <c r="B1249" s="283"/>
      <c r="C1249" s="281"/>
      <c r="D1249" s="4648"/>
      <c r="E1249" s="2777" t="str">
        <f>E1230</f>
        <v>Learning Thermostat - Unknown SF**</v>
      </c>
      <c r="F1249" s="2347">
        <v>0.33</v>
      </c>
      <c r="G1249" s="4649" t="s">
        <v>3545</v>
      </c>
      <c r="H1249" s="4649"/>
      <c r="I1249" s="191"/>
      <c r="J1249" s="283"/>
      <c r="K1249" s="66"/>
      <c r="L1249" s="66"/>
      <c r="M1249" s="66"/>
      <c r="N1249" s="1565"/>
      <c r="O1249" s="283"/>
      <c r="P1249" s="283"/>
      <c r="Q1249" s="283"/>
      <c r="R1249" s="66"/>
      <c r="S1249" s="66"/>
      <c r="T1249" s="66"/>
      <c r="U1249" s="66"/>
      <c r="V1249" s="4400"/>
      <c r="W1249" s="2793"/>
      <c r="X1249" s="2793"/>
      <c r="Y1249" s="2796"/>
      <c r="Z1249" s="2794"/>
      <c r="AA1249" s="2794"/>
      <c r="AB1249" s="2794"/>
      <c r="AC1249" s="2789"/>
      <c r="AD1249" s="2797">
        <v>0.33</v>
      </c>
      <c r="AE1249" s="2789">
        <v>0.33</v>
      </c>
      <c r="AF1249" s="2236">
        <f t="shared" si="209"/>
        <v>0.33</v>
      </c>
      <c r="AG1249" s="2793"/>
      <c r="AH1249" s="1509"/>
      <c r="AU1249" s="1505"/>
      <c r="DG1249" s="1073"/>
      <c r="DH1249" s="66"/>
      <c r="DI1249" s="66"/>
      <c r="DJ1249" s="1102"/>
    </row>
    <row r="1250" spans="1:114" s="7" customFormat="1" hidden="1" outlineLevel="1">
      <c r="A1250" s="283"/>
      <c r="B1250" s="283"/>
      <c r="C1250" s="281"/>
      <c r="D1250" s="4187"/>
      <c r="E1250" s="2777" t="str">
        <f>E1232</f>
        <v>Learning Thermostat - Unknown MF**</v>
      </c>
      <c r="F1250" s="2347">
        <v>0.33</v>
      </c>
      <c r="G1250" s="4649"/>
      <c r="H1250" s="4649"/>
      <c r="I1250" s="191"/>
      <c r="J1250" s="283"/>
      <c r="K1250" s="66"/>
      <c r="L1250" s="66"/>
      <c r="M1250" s="66"/>
      <c r="N1250" s="1565"/>
      <c r="O1250" s="283"/>
      <c r="P1250" s="283"/>
      <c r="Q1250" s="283"/>
      <c r="R1250" s="66"/>
      <c r="S1250" s="66"/>
      <c r="T1250" s="66"/>
      <c r="U1250" s="66"/>
      <c r="V1250" s="4402"/>
      <c r="W1250" s="2793"/>
      <c r="X1250" s="2793"/>
      <c r="Y1250" s="2796"/>
      <c r="Z1250" s="2794"/>
      <c r="AA1250" s="2794"/>
      <c r="AB1250" s="2794"/>
      <c r="AC1250" s="2789"/>
      <c r="AD1250" s="2797">
        <v>0.33</v>
      </c>
      <c r="AE1250" s="2789">
        <v>0.33</v>
      </c>
      <c r="AF1250" s="2236">
        <f t="shared" si="209"/>
        <v>0.33</v>
      </c>
      <c r="AG1250" s="2793"/>
      <c r="AH1250" s="1509"/>
      <c r="AU1250" s="1505"/>
      <c r="DG1250" s="1073"/>
      <c r="DH1250" s="66"/>
      <c r="DI1250" s="66"/>
      <c r="DJ1250" s="1102"/>
    </row>
    <row r="1251" spans="1:114" s="7" customFormat="1" hidden="1" outlineLevel="1">
      <c r="A1251" s="283"/>
      <c r="B1251" s="283"/>
      <c r="C1251" s="281"/>
      <c r="D1251" s="4648" t="s">
        <v>1082</v>
      </c>
      <c r="E1251" s="2432" t="str">
        <f t="shared" ref="E1251:E1258" si="210">E1243</f>
        <v>Learning Thermostat - ASHP heating/cooling SF</v>
      </c>
      <c r="F1251" s="2778">
        <v>8354.8764478764479</v>
      </c>
      <c r="G1251" s="4277" t="s">
        <v>3546</v>
      </c>
      <c r="H1251" s="4277"/>
      <c r="I1251" s="4671" t="s">
        <v>1084</v>
      </c>
      <c r="J1251" s="283"/>
      <c r="K1251" s="66"/>
      <c r="L1251" s="66"/>
      <c r="M1251" s="66"/>
      <c r="N1251" s="1565"/>
      <c r="O1251" s="283"/>
      <c r="P1251" s="283"/>
      <c r="Q1251" s="283"/>
      <c r="R1251" s="66"/>
      <c r="S1251" s="66"/>
      <c r="T1251" s="66"/>
      <c r="U1251" s="66"/>
      <c r="V1251" s="4399" t="str">
        <f>D1251</f>
        <v>HeatingConsumption_Electric</v>
      </c>
      <c r="W1251" s="2793"/>
      <c r="X1251" s="2793"/>
      <c r="Y1251" s="2796"/>
      <c r="Z1251" s="2794"/>
      <c r="AA1251" s="2794"/>
      <c r="AB1251" s="2794"/>
      <c r="AC1251" s="2789"/>
      <c r="AD1251" s="2494">
        <v>8354.8764478764479</v>
      </c>
      <c r="AE1251" s="2493">
        <v>8354.8764478764479</v>
      </c>
      <c r="AF1251" s="2236">
        <f t="shared" si="209"/>
        <v>8354.8764478764479</v>
      </c>
      <c r="AG1251" s="2793"/>
      <c r="AH1251" s="1509"/>
      <c r="AU1251" s="1505"/>
      <c r="DG1251" s="1073"/>
      <c r="DH1251" s="66"/>
      <c r="DI1251" s="66"/>
      <c r="DJ1251" s="1102"/>
    </row>
    <row r="1252" spans="1:114" s="7" customFormat="1" hidden="1" outlineLevel="1">
      <c r="A1252" s="283"/>
      <c r="B1252" s="283"/>
      <c r="C1252" s="281"/>
      <c r="D1252" s="4648"/>
      <c r="E1252" s="2432" t="str">
        <f t="shared" si="210"/>
        <v>Learning Thermostat - ASHP heating/cooling MF</v>
      </c>
      <c r="F1252" s="2778">
        <v>8355</v>
      </c>
      <c r="G1252" s="4277"/>
      <c r="H1252" s="4277"/>
      <c r="I1252" s="4671"/>
      <c r="J1252" s="283"/>
      <c r="K1252" s="66"/>
      <c r="L1252" s="66"/>
      <c r="M1252" s="66"/>
      <c r="N1252" s="1565"/>
      <c r="O1252" s="283"/>
      <c r="P1252" s="283"/>
      <c r="Q1252" s="283"/>
      <c r="R1252" s="66"/>
      <c r="S1252" s="66"/>
      <c r="T1252" s="66"/>
      <c r="U1252" s="66"/>
      <c r="V1252" s="4400"/>
      <c r="W1252" s="2793"/>
      <c r="X1252" s="2793"/>
      <c r="Y1252" s="2796"/>
      <c r="Z1252" s="2794"/>
      <c r="AA1252" s="2794"/>
      <c r="AB1252" s="2794"/>
      <c r="AC1252" s="2789"/>
      <c r="AD1252" s="2494">
        <v>8355</v>
      </c>
      <c r="AE1252" s="2493">
        <v>8355</v>
      </c>
      <c r="AF1252" s="2236">
        <f t="shared" si="209"/>
        <v>8355</v>
      </c>
      <c r="AG1252" s="2793"/>
      <c r="AH1252" s="1509"/>
      <c r="AU1252" s="1505"/>
      <c r="DG1252" s="1073"/>
      <c r="DH1252" s="66"/>
      <c r="DI1252" s="66"/>
      <c r="DJ1252" s="1102"/>
    </row>
    <row r="1253" spans="1:114" s="7" customFormat="1" hidden="1" outlineLevel="1">
      <c r="A1253" s="283"/>
      <c r="B1253" s="283"/>
      <c r="C1253" s="281"/>
      <c r="D1253" s="4648"/>
      <c r="E1253" s="2432" t="str">
        <f t="shared" si="210"/>
        <v>Learning Thermostat - electric furnace heating / central AC MF</v>
      </c>
      <c r="F1253" s="2778">
        <v>14201.965811965812</v>
      </c>
      <c r="G1253" s="4277"/>
      <c r="H1253" s="4277"/>
      <c r="I1253" s="4216"/>
      <c r="J1253" s="283"/>
      <c r="K1253" s="66"/>
      <c r="L1253" s="66"/>
      <c r="M1253" s="66"/>
      <c r="N1253" s="1565"/>
      <c r="O1253" s="283"/>
      <c r="P1253" s="283"/>
      <c r="Q1253" s="283"/>
      <c r="R1253" s="66"/>
      <c r="S1253" s="66"/>
      <c r="T1253" s="66"/>
      <c r="U1253" s="66"/>
      <c r="V1253" s="4400"/>
      <c r="W1253" s="2793"/>
      <c r="X1253" s="2793"/>
      <c r="Y1253" s="2796"/>
      <c r="Z1253" s="2794"/>
      <c r="AA1253" s="2794"/>
      <c r="AB1253" s="2794"/>
      <c r="AC1253" s="2789"/>
      <c r="AD1253" s="2494">
        <v>14201.965811965812</v>
      </c>
      <c r="AE1253" s="2493">
        <v>14201.965811965812</v>
      </c>
      <c r="AF1253" s="2236">
        <f t="shared" si="209"/>
        <v>14201.965811965812</v>
      </c>
      <c r="AG1253" s="2793"/>
      <c r="AH1253" s="1509"/>
      <c r="AU1253" s="1505"/>
      <c r="DG1253" s="1073"/>
      <c r="DH1253" s="66"/>
      <c r="DI1253" s="66"/>
      <c r="DJ1253" s="1102"/>
    </row>
    <row r="1254" spans="1:114" s="7" customFormat="1" hidden="1" outlineLevel="1">
      <c r="A1254" s="283"/>
      <c r="B1254" s="283"/>
      <c r="C1254" s="281"/>
      <c r="D1254" s="4648"/>
      <c r="E1254" s="2432" t="str">
        <f t="shared" si="210"/>
        <v>Learning Thermostat - electric furnace heating / central AC SF</v>
      </c>
      <c r="F1254" s="2778">
        <v>14201.965811965812</v>
      </c>
      <c r="G1254" s="4277"/>
      <c r="H1254" s="4277"/>
      <c r="I1254" s="4216"/>
      <c r="J1254" s="283"/>
      <c r="K1254" s="66"/>
      <c r="L1254" s="66"/>
      <c r="M1254" s="66"/>
      <c r="N1254" s="1565"/>
      <c r="O1254" s="283"/>
      <c r="P1254" s="283"/>
      <c r="Q1254" s="283"/>
      <c r="R1254" s="66"/>
      <c r="S1254" s="66"/>
      <c r="T1254" s="66"/>
      <c r="U1254" s="66"/>
      <c r="V1254" s="4400"/>
      <c r="W1254" s="2793"/>
      <c r="X1254" s="2793"/>
      <c r="Y1254" s="2796"/>
      <c r="Z1254" s="2794"/>
      <c r="AA1254" s="2794"/>
      <c r="AB1254" s="2794"/>
      <c r="AC1254" s="2789"/>
      <c r="AD1254" s="2494">
        <v>14201.965811965812</v>
      </c>
      <c r="AE1254" s="2493">
        <v>14201.965811965812</v>
      </c>
      <c r="AF1254" s="2236">
        <f t="shared" si="209"/>
        <v>14201.965811965812</v>
      </c>
      <c r="AG1254" s="2793"/>
      <c r="AH1254" s="1509"/>
      <c r="AU1254" s="1505"/>
      <c r="DG1254" s="1073"/>
      <c r="DH1254" s="66"/>
      <c r="DI1254" s="66"/>
      <c r="DJ1254" s="1102"/>
    </row>
    <row r="1255" spans="1:114" s="7" customFormat="1" hidden="1" outlineLevel="1">
      <c r="A1255" s="283"/>
      <c r="B1255" s="283"/>
      <c r="C1255" s="281"/>
      <c r="D1255" s="4648"/>
      <c r="E1255" s="2432" t="str">
        <f t="shared" si="210"/>
        <v>Learning Thermostat - Gas Heated / central AC SF**</v>
      </c>
      <c r="F1255" s="2485">
        <v>0</v>
      </c>
      <c r="G1255" s="4277"/>
      <c r="H1255" s="4277"/>
      <c r="I1255" s="4216"/>
      <c r="J1255" s="283"/>
      <c r="K1255" s="66"/>
      <c r="L1255" s="66"/>
      <c r="M1255" s="66"/>
      <c r="N1255" s="1565"/>
      <c r="O1255" s="283"/>
      <c r="P1255" s="283"/>
      <c r="Q1255" s="283"/>
      <c r="R1255" s="66"/>
      <c r="S1255" s="66"/>
      <c r="T1255" s="66"/>
      <c r="U1255" s="66"/>
      <c r="V1255" s="4400"/>
      <c r="W1255" s="2793"/>
      <c r="X1255" s="2793"/>
      <c r="Y1255" s="2796"/>
      <c r="Z1255" s="2794"/>
      <c r="AA1255" s="2794"/>
      <c r="AB1255" s="2794"/>
      <c r="AC1255" s="2789"/>
      <c r="AD1255" s="2494">
        <v>0</v>
      </c>
      <c r="AE1255" s="2493">
        <v>0</v>
      </c>
      <c r="AF1255" s="2236">
        <f t="shared" si="209"/>
        <v>0</v>
      </c>
      <c r="AG1255" s="2793"/>
      <c r="AH1255" s="1509"/>
      <c r="AU1255" s="1505"/>
      <c r="DG1255" s="1073"/>
      <c r="DH1255" s="66"/>
      <c r="DI1255" s="66"/>
      <c r="DJ1255" s="1102"/>
    </row>
    <row r="1256" spans="1:114" s="7" customFormat="1" hidden="1" outlineLevel="1">
      <c r="A1256" s="283"/>
      <c r="B1256" s="283"/>
      <c r="C1256" s="281"/>
      <c r="D1256" s="4648"/>
      <c r="E1256" s="2432" t="str">
        <f t="shared" si="210"/>
        <v>Learning Thermostat - Gas Heated / central AC MF**</v>
      </c>
      <c r="F1256" s="2485">
        <v>0</v>
      </c>
      <c r="G1256" s="4277"/>
      <c r="H1256" s="4277"/>
      <c r="I1256" s="4216"/>
      <c r="J1256" s="283"/>
      <c r="K1256" s="66"/>
      <c r="L1256" s="66"/>
      <c r="M1256" s="66"/>
      <c r="N1256" s="1565"/>
      <c r="O1256" s="283"/>
      <c r="P1256" s="283"/>
      <c r="Q1256" s="283"/>
      <c r="R1256" s="66"/>
      <c r="S1256" s="66"/>
      <c r="T1256" s="66"/>
      <c r="U1256" s="66"/>
      <c r="V1256" s="4400"/>
      <c r="W1256" s="2793"/>
      <c r="X1256" s="2793"/>
      <c r="Y1256" s="2796"/>
      <c r="Z1256" s="2794"/>
      <c r="AA1256" s="2794"/>
      <c r="AB1256" s="2794"/>
      <c r="AC1256" s="2789"/>
      <c r="AD1256" s="2494">
        <v>0</v>
      </c>
      <c r="AE1256" s="2493">
        <v>0</v>
      </c>
      <c r="AF1256" s="2236">
        <f t="shared" si="209"/>
        <v>0</v>
      </c>
      <c r="AG1256" s="2793"/>
      <c r="AH1256" s="1509"/>
      <c r="AU1256" s="1505"/>
      <c r="DG1256" s="1073"/>
      <c r="DH1256" s="66"/>
      <c r="DI1256" s="66"/>
      <c r="DJ1256" s="1102"/>
    </row>
    <row r="1257" spans="1:114" s="7" customFormat="1" hidden="1" outlineLevel="1">
      <c r="A1257" s="283"/>
      <c r="B1257" s="283"/>
      <c r="C1257" s="281"/>
      <c r="D1257" s="4648"/>
      <c r="E1257" s="2432" t="str">
        <f t="shared" si="210"/>
        <v>Learning Thermostat - Unknown SF**</v>
      </c>
      <c r="F1257" s="2778">
        <v>11456.0072529465</v>
      </c>
      <c r="G1257" s="4277"/>
      <c r="H1257" s="4277"/>
      <c r="I1257" s="4216"/>
      <c r="J1257" s="283"/>
      <c r="K1257" s="66"/>
      <c r="L1257" s="66"/>
      <c r="M1257" s="66"/>
      <c r="N1257" s="1565"/>
      <c r="O1257" s="283"/>
      <c r="P1257" s="283"/>
      <c r="Q1257" s="283"/>
      <c r="R1257" s="66"/>
      <c r="S1257" s="66"/>
      <c r="T1257" s="66"/>
      <c r="U1257" s="66"/>
      <c r="V1257" s="4400"/>
      <c r="W1257" s="2793"/>
      <c r="X1257" s="2793"/>
      <c r="Y1257" s="2796"/>
      <c r="Z1257" s="2794"/>
      <c r="AA1257" s="2794"/>
      <c r="AB1257" s="2794"/>
      <c r="AC1257" s="2789"/>
      <c r="AD1257" s="2494">
        <v>11456.0072529465</v>
      </c>
      <c r="AE1257" s="2493">
        <v>11456.0072529465</v>
      </c>
      <c r="AF1257" s="2236">
        <f t="shared" si="209"/>
        <v>11456.0072529465</v>
      </c>
      <c r="AG1257" s="2793"/>
      <c r="AH1257" s="1509"/>
      <c r="AU1257" s="1505"/>
      <c r="DG1257" s="1073"/>
      <c r="DH1257" s="66"/>
      <c r="DI1257" s="66"/>
      <c r="DJ1257" s="1102"/>
    </row>
    <row r="1258" spans="1:114" s="7" customFormat="1" hidden="1" outlineLevel="1">
      <c r="A1258" s="283"/>
      <c r="B1258" s="283"/>
      <c r="C1258" s="281"/>
      <c r="D1258" s="4187"/>
      <c r="E1258" s="2432" t="str">
        <f t="shared" si="210"/>
        <v>Learning Thermostat - Unknown MF**</v>
      </c>
      <c r="F1258" s="2778">
        <v>11456.0072529465</v>
      </c>
      <c r="G1258" s="4277"/>
      <c r="H1258" s="4277"/>
      <c r="I1258" s="4216"/>
      <c r="J1258" s="283"/>
      <c r="K1258" s="66"/>
      <c r="L1258" s="66"/>
      <c r="M1258" s="66"/>
      <c r="N1258" s="1565"/>
      <c r="O1258" s="283"/>
      <c r="P1258" s="283"/>
      <c r="Q1258" s="283"/>
      <c r="R1258" s="66"/>
      <c r="S1258" s="66"/>
      <c r="T1258" s="66"/>
      <c r="U1258" s="66"/>
      <c r="V1258" s="4401"/>
      <c r="W1258" s="2793"/>
      <c r="X1258" s="2793"/>
      <c r="Y1258" s="2796"/>
      <c r="Z1258" s="2794"/>
      <c r="AA1258" s="2794"/>
      <c r="AB1258" s="2794"/>
      <c r="AC1258" s="2789"/>
      <c r="AD1258" s="2494">
        <v>11456.0072529465</v>
      </c>
      <c r="AE1258" s="2493">
        <v>11456.0072529465</v>
      </c>
      <c r="AF1258" s="2236">
        <f t="shared" si="209"/>
        <v>11456.0072529465</v>
      </c>
      <c r="AG1258" s="2793"/>
      <c r="AH1258" s="1509"/>
      <c r="AU1258" s="1505"/>
      <c r="DG1258" s="1073"/>
      <c r="DH1258" s="66"/>
      <c r="DI1258" s="66"/>
      <c r="DJ1258" s="1102"/>
    </row>
    <row r="1259" spans="1:114" s="7" customFormat="1" ht="14.65" hidden="1" customHeight="1" outlineLevel="1">
      <c r="A1259" s="283"/>
      <c r="B1259" s="283"/>
      <c r="C1259" s="281"/>
      <c r="D1259" s="4648" t="s">
        <v>1089</v>
      </c>
      <c r="E1259" s="2432" t="str">
        <f>E1243</f>
        <v>Learning Thermostat - ASHP heating/cooling SF</v>
      </c>
      <c r="F1259" s="2779">
        <v>1</v>
      </c>
      <c r="G1259" s="4672" t="s">
        <v>1951</v>
      </c>
      <c r="H1259" s="4673"/>
      <c r="I1259" s="2487"/>
      <c r="J1259" s="283"/>
      <c r="K1259" s="66"/>
      <c r="L1259" s="66"/>
      <c r="M1259" s="66"/>
      <c r="N1259" s="1565"/>
      <c r="O1259" s="283"/>
      <c r="P1259" s="283"/>
      <c r="Q1259" s="283"/>
      <c r="R1259" s="66"/>
      <c r="S1259" s="66"/>
      <c r="T1259" s="66"/>
      <c r="U1259" s="66"/>
      <c r="V1259" s="4399" t="str">
        <f>D1259</f>
        <v>HF</v>
      </c>
      <c r="W1259" s="2793"/>
      <c r="X1259" s="2793"/>
      <c r="Y1259" s="2796"/>
      <c r="Z1259" s="2794"/>
      <c r="AA1259" s="2794"/>
      <c r="AB1259" s="2794"/>
      <c r="AC1259" s="2789"/>
      <c r="AD1259" s="2797">
        <v>1</v>
      </c>
      <c r="AE1259" s="2789">
        <v>1</v>
      </c>
      <c r="AF1259" s="2236">
        <f t="shared" si="209"/>
        <v>1</v>
      </c>
      <c r="AG1259" s="2793"/>
      <c r="AH1259" s="1509"/>
      <c r="AU1259" s="1505"/>
      <c r="DG1259" s="1073"/>
      <c r="DH1259" s="66"/>
      <c r="DI1259" s="66"/>
      <c r="DJ1259" s="1102"/>
    </row>
    <row r="1260" spans="1:114" s="7" customFormat="1" hidden="1" outlineLevel="1">
      <c r="A1260" s="283"/>
      <c r="B1260" s="283"/>
      <c r="C1260" s="281"/>
      <c r="D1260" s="4648"/>
      <c r="E1260" s="2432" t="str">
        <f t="shared" ref="E1260:E1266" si="211">E1244</f>
        <v>Learning Thermostat - ASHP heating/cooling MF</v>
      </c>
      <c r="F1260" s="2779">
        <v>0.65</v>
      </c>
      <c r="G1260" s="4674"/>
      <c r="H1260" s="4675"/>
      <c r="I1260" s="2487"/>
      <c r="J1260" s="283"/>
      <c r="K1260" s="66"/>
      <c r="L1260" s="66"/>
      <c r="M1260" s="66"/>
      <c r="N1260" s="1565"/>
      <c r="O1260" s="283"/>
      <c r="P1260" s="283"/>
      <c r="Q1260" s="283"/>
      <c r="R1260" s="66"/>
      <c r="S1260" s="66"/>
      <c r="T1260" s="66"/>
      <c r="U1260" s="66"/>
      <c r="V1260" s="4400"/>
      <c r="W1260" s="2793"/>
      <c r="X1260" s="2793"/>
      <c r="Y1260" s="2796"/>
      <c r="Z1260" s="2794"/>
      <c r="AA1260" s="2794"/>
      <c r="AB1260" s="2794"/>
      <c r="AC1260" s="2789"/>
      <c r="AD1260" s="2797">
        <v>0.65</v>
      </c>
      <c r="AE1260" s="2789">
        <v>0.65</v>
      </c>
      <c r="AF1260" s="2236">
        <f t="shared" si="209"/>
        <v>0.65</v>
      </c>
      <c r="AG1260" s="2793"/>
      <c r="AH1260" s="1509"/>
      <c r="AU1260" s="1505"/>
      <c r="DG1260" s="1073"/>
      <c r="DH1260" s="66"/>
      <c r="DI1260" s="66"/>
      <c r="DJ1260" s="1102"/>
    </row>
    <row r="1261" spans="1:114" s="7" customFormat="1" hidden="1" outlineLevel="1">
      <c r="A1261" s="283"/>
      <c r="B1261" s="283"/>
      <c r="C1261" s="281"/>
      <c r="D1261" s="4648"/>
      <c r="E1261" s="2432" t="str">
        <f t="shared" si="211"/>
        <v>Learning Thermostat - electric furnace heating / central AC MF</v>
      </c>
      <c r="F1261" s="2779">
        <v>0.65</v>
      </c>
      <c r="G1261" s="4674"/>
      <c r="H1261" s="4675"/>
      <c r="I1261" s="2487"/>
      <c r="J1261" s="283"/>
      <c r="K1261" s="66"/>
      <c r="L1261" s="66"/>
      <c r="M1261" s="66"/>
      <c r="N1261" s="1565"/>
      <c r="O1261" s="283"/>
      <c r="P1261" s="283"/>
      <c r="Q1261" s="283"/>
      <c r="R1261" s="66"/>
      <c r="S1261" s="66"/>
      <c r="T1261" s="66"/>
      <c r="U1261" s="66"/>
      <c r="V1261" s="4400"/>
      <c r="W1261" s="2793"/>
      <c r="X1261" s="2793"/>
      <c r="Y1261" s="2796"/>
      <c r="Z1261" s="2794"/>
      <c r="AA1261" s="2794"/>
      <c r="AB1261" s="2794"/>
      <c r="AC1261" s="2789"/>
      <c r="AD1261" s="2797">
        <v>0.65</v>
      </c>
      <c r="AE1261" s="2789">
        <v>0.65</v>
      </c>
      <c r="AF1261" s="2236">
        <f t="shared" si="209"/>
        <v>0.65</v>
      </c>
      <c r="AG1261" s="2793"/>
      <c r="AH1261" s="1509"/>
      <c r="AU1261" s="1505"/>
      <c r="DG1261" s="1073"/>
      <c r="DH1261" s="66"/>
      <c r="DI1261" s="66"/>
      <c r="DJ1261" s="1102"/>
    </row>
    <row r="1262" spans="1:114" s="7" customFormat="1" hidden="1" outlineLevel="1">
      <c r="A1262" s="283"/>
      <c r="B1262" s="283"/>
      <c r="C1262" s="281"/>
      <c r="D1262" s="4648"/>
      <c r="E1262" s="2432" t="str">
        <f t="shared" si="211"/>
        <v>Learning Thermostat - electric furnace heating / central AC SF</v>
      </c>
      <c r="F1262" s="2779">
        <v>1</v>
      </c>
      <c r="G1262" s="4674"/>
      <c r="H1262" s="4675"/>
      <c r="I1262" s="2487"/>
      <c r="J1262" s="283"/>
      <c r="K1262" s="66"/>
      <c r="L1262" s="66"/>
      <c r="M1262" s="66"/>
      <c r="N1262" s="1565"/>
      <c r="O1262" s="283"/>
      <c r="P1262" s="283"/>
      <c r="Q1262" s="283"/>
      <c r="R1262" s="66"/>
      <c r="S1262" s="66"/>
      <c r="T1262" s="66"/>
      <c r="U1262" s="66"/>
      <c r="V1262" s="4400"/>
      <c r="W1262" s="2793"/>
      <c r="X1262" s="2793"/>
      <c r="Y1262" s="2796"/>
      <c r="Z1262" s="2794"/>
      <c r="AA1262" s="2794"/>
      <c r="AB1262" s="2794"/>
      <c r="AC1262" s="2789"/>
      <c r="AD1262" s="2797">
        <v>1</v>
      </c>
      <c r="AE1262" s="2789">
        <v>1</v>
      </c>
      <c r="AF1262" s="2236">
        <f t="shared" si="209"/>
        <v>1</v>
      </c>
      <c r="AG1262" s="2793"/>
      <c r="AH1262" s="1509"/>
      <c r="AU1262" s="1505"/>
      <c r="DG1262" s="1073"/>
      <c r="DH1262" s="66"/>
      <c r="DI1262" s="66"/>
      <c r="DJ1262" s="1102"/>
    </row>
    <row r="1263" spans="1:114" s="7" customFormat="1" hidden="1" outlineLevel="1">
      <c r="A1263" s="283"/>
      <c r="B1263" s="283"/>
      <c r="C1263" s="281"/>
      <c r="D1263" s="4648"/>
      <c r="E1263" s="2432" t="str">
        <f t="shared" si="211"/>
        <v>Learning Thermostat - Gas Heated / central AC SF**</v>
      </c>
      <c r="F1263" s="2779">
        <v>1</v>
      </c>
      <c r="G1263" s="4674"/>
      <c r="H1263" s="4675"/>
      <c r="I1263" s="2487"/>
      <c r="J1263" s="283"/>
      <c r="K1263" s="66"/>
      <c r="L1263" s="66"/>
      <c r="M1263" s="66"/>
      <c r="N1263" s="1565"/>
      <c r="O1263" s="283"/>
      <c r="P1263" s="283"/>
      <c r="Q1263" s="283"/>
      <c r="R1263" s="66"/>
      <c r="S1263" s="66"/>
      <c r="T1263" s="66"/>
      <c r="U1263" s="66"/>
      <c r="V1263" s="4400"/>
      <c r="W1263" s="2793"/>
      <c r="X1263" s="2793"/>
      <c r="Y1263" s="2796"/>
      <c r="Z1263" s="2794"/>
      <c r="AA1263" s="2794"/>
      <c r="AB1263" s="2794"/>
      <c r="AC1263" s="2789"/>
      <c r="AD1263" s="2797">
        <v>1</v>
      </c>
      <c r="AE1263" s="2789">
        <v>1</v>
      </c>
      <c r="AF1263" s="2236">
        <f t="shared" si="209"/>
        <v>1</v>
      </c>
      <c r="AG1263" s="2793"/>
      <c r="AH1263" s="1509"/>
      <c r="AU1263" s="1505"/>
      <c r="DG1263" s="1073"/>
      <c r="DH1263" s="66"/>
      <c r="DI1263" s="66"/>
      <c r="DJ1263" s="1102"/>
    </row>
    <row r="1264" spans="1:114" s="7" customFormat="1" hidden="1" outlineLevel="1">
      <c r="A1264" s="283"/>
      <c r="B1264" s="283"/>
      <c r="C1264" s="281"/>
      <c r="D1264" s="4648"/>
      <c r="E1264" s="2432" t="str">
        <f t="shared" si="211"/>
        <v>Learning Thermostat - Gas Heated / central AC MF**</v>
      </c>
      <c r="F1264" s="2779">
        <v>0.65</v>
      </c>
      <c r="G1264" s="4674"/>
      <c r="H1264" s="4675"/>
      <c r="I1264" s="2487"/>
      <c r="J1264" s="283"/>
      <c r="K1264" s="66"/>
      <c r="L1264" s="66"/>
      <c r="M1264" s="66"/>
      <c r="N1264" s="1565"/>
      <c r="O1264" s="283"/>
      <c r="P1264" s="283"/>
      <c r="Q1264" s="283"/>
      <c r="R1264" s="66"/>
      <c r="S1264" s="66"/>
      <c r="T1264" s="66"/>
      <c r="U1264" s="66"/>
      <c r="V1264" s="4400"/>
      <c r="W1264" s="2793"/>
      <c r="X1264" s="2793"/>
      <c r="Y1264" s="2796"/>
      <c r="Z1264" s="2794"/>
      <c r="AA1264" s="2794"/>
      <c r="AB1264" s="2794"/>
      <c r="AC1264" s="2789"/>
      <c r="AD1264" s="2797">
        <v>0.65</v>
      </c>
      <c r="AE1264" s="2789">
        <v>0.65</v>
      </c>
      <c r="AF1264" s="2236">
        <f t="shared" si="209"/>
        <v>0.65</v>
      </c>
      <c r="AG1264" s="2793"/>
      <c r="AH1264" s="1509"/>
      <c r="AU1264" s="1505"/>
      <c r="DG1264" s="1073"/>
      <c r="DH1264" s="66"/>
      <c r="DI1264" s="66"/>
      <c r="DJ1264" s="1102"/>
    </row>
    <row r="1265" spans="1:114" s="7" customFormat="1" hidden="1" outlineLevel="1">
      <c r="A1265" s="283"/>
      <c r="B1265" s="283"/>
      <c r="C1265" s="281"/>
      <c r="D1265" s="4648"/>
      <c r="E1265" s="2432" t="str">
        <f t="shared" si="211"/>
        <v>Learning Thermostat - Unknown SF**</v>
      </c>
      <c r="F1265" s="2779">
        <v>1</v>
      </c>
      <c r="G1265" s="4674"/>
      <c r="H1265" s="4675"/>
      <c r="I1265" s="2487"/>
      <c r="J1265" s="283"/>
      <c r="K1265" s="66"/>
      <c r="L1265" s="66"/>
      <c r="M1265" s="66"/>
      <c r="N1265" s="1565"/>
      <c r="O1265" s="283"/>
      <c r="P1265" s="283"/>
      <c r="Q1265" s="283"/>
      <c r="R1265" s="66"/>
      <c r="S1265" s="66"/>
      <c r="T1265" s="66"/>
      <c r="U1265" s="66"/>
      <c r="V1265" s="4400"/>
      <c r="W1265" s="2793"/>
      <c r="X1265" s="2793"/>
      <c r="Y1265" s="2796"/>
      <c r="Z1265" s="2794"/>
      <c r="AA1265" s="2794"/>
      <c r="AB1265" s="2794"/>
      <c r="AC1265" s="2789"/>
      <c r="AD1265" s="2797">
        <v>1</v>
      </c>
      <c r="AE1265" s="2789">
        <v>1</v>
      </c>
      <c r="AF1265" s="2236">
        <f t="shared" si="209"/>
        <v>1</v>
      </c>
      <c r="AG1265" s="2793"/>
      <c r="AH1265" s="1509"/>
      <c r="AU1265" s="1505"/>
      <c r="DG1265" s="1073"/>
      <c r="DH1265" s="66"/>
      <c r="DI1265" s="66"/>
      <c r="DJ1265" s="1102"/>
    </row>
    <row r="1266" spans="1:114" s="7" customFormat="1" hidden="1" outlineLevel="1">
      <c r="A1266" s="283"/>
      <c r="B1266" s="283"/>
      <c r="C1266" s="281"/>
      <c r="D1266" s="4187"/>
      <c r="E1266" s="2432" t="str">
        <f t="shared" si="211"/>
        <v>Learning Thermostat - Unknown MF**</v>
      </c>
      <c r="F1266" s="2779">
        <v>0.65</v>
      </c>
      <c r="G1266" s="4676"/>
      <c r="H1266" s="4677"/>
      <c r="I1266" s="2487"/>
      <c r="J1266" s="283"/>
      <c r="K1266" s="66"/>
      <c r="L1266" s="66"/>
      <c r="M1266" s="66"/>
      <c r="N1266" s="1565"/>
      <c r="O1266" s="283"/>
      <c r="P1266" s="283"/>
      <c r="Q1266" s="283"/>
      <c r="R1266" s="66"/>
      <c r="S1266" s="66"/>
      <c r="T1266" s="66"/>
      <c r="U1266" s="66"/>
      <c r="V1266" s="4402"/>
      <c r="W1266" s="2793"/>
      <c r="X1266" s="2793"/>
      <c r="Y1266" s="2796"/>
      <c r="Z1266" s="2794"/>
      <c r="AA1266" s="2794"/>
      <c r="AB1266" s="2794"/>
      <c r="AC1266" s="2789"/>
      <c r="AD1266" s="2797">
        <v>0.65</v>
      </c>
      <c r="AE1266" s="2789">
        <v>0.65</v>
      </c>
      <c r="AF1266" s="2236">
        <f t="shared" si="209"/>
        <v>0.65</v>
      </c>
      <c r="AG1266" s="2793"/>
      <c r="AH1266" s="1509"/>
      <c r="AU1266" s="1505"/>
      <c r="DG1266" s="1073"/>
      <c r="DH1266" s="66"/>
      <c r="DI1266" s="66"/>
      <c r="DJ1266" s="1102"/>
    </row>
    <row r="1267" spans="1:114" s="7" customFormat="1" ht="43.15" hidden="1" customHeight="1" outlineLevel="1">
      <c r="A1267" s="283"/>
      <c r="B1267" s="283"/>
      <c r="C1267" s="281"/>
      <c r="D1267" s="4648" t="s">
        <v>1094</v>
      </c>
      <c r="E1267" s="2432" t="s">
        <v>1095</v>
      </c>
      <c r="F1267" s="2780">
        <f>SUMPRODUCT(F1268:F1270,I1268:I1270)</f>
        <v>6.668717948717949E-2</v>
      </c>
      <c r="G1267" s="4403" t="s">
        <v>1096</v>
      </c>
      <c r="H1267" s="4403"/>
      <c r="I1267" s="2460" t="s">
        <v>1097</v>
      </c>
      <c r="J1267" s="283"/>
      <c r="K1267" s="66"/>
      <c r="L1267" s="66"/>
      <c r="M1267" s="66"/>
      <c r="N1267" s="1565"/>
      <c r="O1267" s="283"/>
      <c r="P1267" s="283"/>
      <c r="Q1267" s="283"/>
      <c r="R1267" s="66"/>
      <c r="S1267" s="66"/>
      <c r="T1267" s="66"/>
      <c r="U1267" s="66"/>
      <c r="V1267" s="4399" t="str">
        <f>D1267</f>
        <v>HeatingReduction</v>
      </c>
      <c r="W1267" s="2793"/>
      <c r="X1267" s="2793"/>
      <c r="Y1267" s="2796"/>
      <c r="Z1267" s="2794"/>
      <c r="AA1267" s="2794"/>
      <c r="AB1267" s="2794"/>
      <c r="AC1267" s="2789"/>
      <c r="AD1267" s="2798">
        <v>6.668717948717949E-2</v>
      </c>
      <c r="AE1267" s="2799">
        <v>6.668717948717949E-2</v>
      </c>
      <c r="AF1267" s="2236">
        <f t="shared" si="209"/>
        <v>6.668717948717949E-2</v>
      </c>
      <c r="AG1267" s="2793"/>
      <c r="AH1267" s="1509"/>
      <c r="AJ1267" s="1568"/>
      <c r="AU1267" s="1505"/>
      <c r="DG1267" s="1073"/>
      <c r="DH1267" s="66"/>
      <c r="DI1267" s="66"/>
      <c r="DJ1267" s="1102"/>
    </row>
    <row r="1268" spans="1:114" s="7" customFormat="1" ht="14.65" hidden="1" customHeight="1" outlineLevel="1">
      <c r="A1268" s="283"/>
      <c r="B1268" s="283"/>
      <c r="C1268" s="281"/>
      <c r="D1268" s="4648"/>
      <c r="E1268" s="2432" t="s">
        <v>1098</v>
      </c>
      <c r="F1268" s="2780">
        <v>8.7999999999999995E-2</v>
      </c>
      <c r="G1268" s="4403"/>
      <c r="H1268" s="4403"/>
      <c r="I1268" s="2789">
        <v>0.42820512820512818</v>
      </c>
      <c r="J1268" s="283"/>
      <c r="K1268" s="66"/>
      <c r="L1268" s="66"/>
      <c r="M1268" s="66"/>
      <c r="N1268" s="1565"/>
      <c r="O1268" s="283"/>
      <c r="P1268" s="283"/>
      <c r="Q1268" s="283"/>
      <c r="R1268" s="66"/>
      <c r="S1268" s="66"/>
      <c r="T1268" s="66"/>
      <c r="U1268" s="66"/>
      <c r="V1268" s="4400"/>
      <c r="W1268" s="2793"/>
      <c r="X1268" s="2793"/>
      <c r="Y1268" s="2796"/>
      <c r="Z1268" s="2794"/>
      <c r="AA1268" s="2794"/>
      <c r="AB1268" s="2794"/>
      <c r="AC1268" s="2789"/>
      <c r="AD1268" s="2798">
        <v>8.7999999999999995E-2</v>
      </c>
      <c r="AE1268" s="2799">
        <v>8.7999999999999995E-2</v>
      </c>
      <c r="AF1268" s="2236">
        <f t="shared" si="209"/>
        <v>8.7999999999999995E-2</v>
      </c>
      <c r="AG1268" s="2793"/>
      <c r="AH1268" s="1509"/>
      <c r="AJ1268" s="1568"/>
      <c r="AU1268" s="1505"/>
      <c r="DG1268" s="1073"/>
      <c r="DH1268" s="66"/>
      <c r="DI1268" s="66"/>
      <c r="DJ1268" s="1102"/>
    </row>
    <row r="1269" spans="1:114" s="7" customFormat="1" ht="14.65" hidden="1" customHeight="1" outlineLevel="1">
      <c r="A1269" s="283"/>
      <c r="B1269" s="283"/>
      <c r="C1269" s="281"/>
      <c r="D1269" s="4648"/>
      <c r="E1269" s="2432" t="s">
        <v>1099</v>
      </c>
      <c r="F1269" s="2780">
        <v>5.6000000000000001E-2</v>
      </c>
      <c r="G1269" s="4403"/>
      <c r="H1269" s="4403"/>
      <c r="I1269" s="2789">
        <v>0.517948717948718</v>
      </c>
      <c r="J1269" s="283"/>
      <c r="K1269" s="66"/>
      <c r="L1269" s="66"/>
      <c r="M1269" s="66"/>
      <c r="N1269" s="1565"/>
      <c r="O1269" s="283"/>
      <c r="P1269" s="283"/>
      <c r="Q1269" s="283"/>
      <c r="R1269" s="66"/>
      <c r="S1269" s="66"/>
      <c r="T1269" s="66"/>
      <c r="U1269" s="66"/>
      <c r="V1269" s="4400"/>
      <c r="W1269" s="2793"/>
      <c r="X1269" s="2793"/>
      <c r="Y1269" s="2796"/>
      <c r="Z1269" s="2794"/>
      <c r="AA1269" s="2794"/>
      <c r="AB1269" s="2794"/>
      <c r="AC1269" s="2789"/>
      <c r="AD1269" s="2798">
        <v>5.6000000000000001E-2</v>
      </c>
      <c r="AE1269" s="2799">
        <v>5.6000000000000001E-2</v>
      </c>
      <c r="AF1269" s="2236">
        <f t="shared" si="209"/>
        <v>5.6000000000000001E-2</v>
      </c>
      <c r="AG1269" s="2793"/>
      <c r="AH1269" s="1509"/>
      <c r="AJ1269" s="1568"/>
      <c r="AU1269" s="1505"/>
      <c r="DG1269" s="1073"/>
      <c r="DH1269" s="66"/>
      <c r="DI1269" s="66"/>
      <c r="DJ1269" s="1102"/>
    </row>
    <row r="1270" spans="1:114" s="7" customFormat="1" hidden="1" outlineLevel="1">
      <c r="A1270" s="283"/>
      <c r="B1270" s="283"/>
      <c r="C1270" s="281"/>
      <c r="D1270" s="4648"/>
      <c r="E1270" s="2432" t="s">
        <v>1100</v>
      </c>
      <c r="F1270" s="2780">
        <v>0</v>
      </c>
      <c r="G1270" s="4403"/>
      <c r="H1270" s="4403"/>
      <c r="I1270" s="2789">
        <v>5.3846153846153849E-2</v>
      </c>
      <c r="J1270" s="283"/>
      <c r="K1270" s="66"/>
      <c r="L1270" s="66"/>
      <c r="M1270" s="66"/>
      <c r="N1270" s="1565"/>
      <c r="O1270" s="283"/>
      <c r="P1270" s="283"/>
      <c r="Q1270" s="283"/>
      <c r="R1270" s="66"/>
      <c r="S1270" s="66"/>
      <c r="T1270" s="66"/>
      <c r="U1270" s="66"/>
      <c r="V1270" s="4406"/>
      <c r="W1270" s="2793"/>
      <c r="X1270" s="2793"/>
      <c r="Y1270" s="2796"/>
      <c r="Z1270" s="2794"/>
      <c r="AA1270" s="2794"/>
      <c r="AB1270" s="2794"/>
      <c r="AC1270" s="2789"/>
      <c r="AD1270" s="2798">
        <v>0</v>
      </c>
      <c r="AE1270" s="2799">
        <v>0</v>
      </c>
      <c r="AF1270" s="2236">
        <f t="shared" si="209"/>
        <v>0</v>
      </c>
      <c r="AG1270" s="2793"/>
      <c r="AH1270" s="1509"/>
      <c r="AJ1270" s="1568"/>
      <c r="AU1270" s="1505"/>
      <c r="DG1270" s="1073"/>
      <c r="DH1270" s="66"/>
      <c r="DI1270" s="66"/>
      <c r="DJ1270" s="1102"/>
    </row>
    <row r="1271" spans="1:114" s="7" customFormat="1" ht="45" hidden="1" outlineLevel="1">
      <c r="A1271" s="283"/>
      <c r="B1271" s="283"/>
      <c r="C1271" s="281"/>
      <c r="D1271" s="2274" t="s">
        <v>1101</v>
      </c>
      <c r="E1271" s="2432" t="s">
        <v>1102</v>
      </c>
      <c r="F1271" s="2780">
        <v>1</v>
      </c>
      <c r="G1271" s="4405" t="s">
        <v>1080</v>
      </c>
      <c r="H1271" s="4405"/>
      <c r="I1271" s="2489" t="s">
        <v>1104</v>
      </c>
      <c r="J1271" s="283"/>
      <c r="K1271" s="66"/>
      <c r="L1271" s="534"/>
      <c r="M1271" s="66"/>
      <c r="N1271" s="1565"/>
      <c r="O1271" s="283"/>
      <c r="P1271" s="283"/>
      <c r="Q1271" s="283"/>
      <c r="R1271" s="66"/>
      <c r="S1271" s="66"/>
      <c r="T1271" s="66"/>
      <c r="U1271" s="66"/>
      <c r="V1271" s="2792" t="str">
        <f>D1271</f>
        <v>Eff_ISR</v>
      </c>
      <c r="W1271" s="2793"/>
      <c r="X1271" s="2793"/>
      <c r="Y1271" s="2796"/>
      <c r="Z1271" s="2794"/>
      <c r="AA1271" s="2794"/>
      <c r="AB1271" s="2794"/>
      <c r="AC1271" s="2789"/>
      <c r="AD1271" s="2798">
        <v>1</v>
      </c>
      <c r="AE1271" s="2799">
        <v>1</v>
      </c>
      <c r="AF1271" s="2236">
        <f t="shared" si="209"/>
        <v>1</v>
      </c>
      <c r="AG1271" s="2793"/>
      <c r="AH1271" s="1509"/>
      <c r="AJ1271" s="1568"/>
      <c r="AU1271" s="1505"/>
      <c r="DG1271" s="1073"/>
      <c r="DH1271" s="66"/>
      <c r="DI1271" s="66"/>
      <c r="DJ1271" s="1102"/>
    </row>
    <row r="1272" spans="1:114" s="7" customFormat="1" hidden="1" outlineLevel="1">
      <c r="A1272" s="283"/>
      <c r="B1272" s="283"/>
      <c r="C1272" s="281"/>
      <c r="D1272" s="4648" t="s">
        <v>1107</v>
      </c>
      <c r="E1272" s="2432" t="str">
        <f t="shared" ref="E1272:E1279" si="212">E1243</f>
        <v>Learning Thermostat - ASHP heating/cooling SF</v>
      </c>
      <c r="F1272" s="2781">
        <f t="shared" ref="F1272:F1279" si="213">F1294*$F$1302*F1259*$F$1267*$F$1271</f>
        <v>0</v>
      </c>
      <c r="G1272" s="4633" t="s">
        <v>1108</v>
      </c>
      <c r="H1272" s="4633"/>
      <c r="I1272" s="2790"/>
      <c r="J1272" s="283"/>
      <c r="K1272" s="66"/>
      <c r="L1272" s="66"/>
      <c r="M1272" s="66"/>
      <c r="N1272" s="1565"/>
      <c r="O1272" s="283"/>
      <c r="P1272" s="283"/>
      <c r="Q1272" s="283"/>
      <c r="R1272" s="66"/>
      <c r="S1272" s="66"/>
      <c r="T1272" s="66"/>
      <c r="U1272" s="66"/>
      <c r="V1272" s="4399" t="str">
        <f>D1272</f>
        <v>∆Therms</v>
      </c>
      <c r="W1272" s="2793"/>
      <c r="X1272" s="2793"/>
      <c r="Y1272" s="2796"/>
      <c r="Z1272" s="2794"/>
      <c r="AA1272" s="2794"/>
      <c r="AB1272" s="2794"/>
      <c r="AC1272" s="2789"/>
      <c r="AD1272" s="2726">
        <v>0</v>
      </c>
      <c r="AE1272" s="2800">
        <v>0</v>
      </c>
      <c r="AF1272" s="2236">
        <f t="shared" si="209"/>
        <v>0</v>
      </c>
      <c r="AG1272" s="2793"/>
      <c r="AH1272" s="1509"/>
      <c r="AU1272" s="1505"/>
      <c r="DG1272" s="1073"/>
      <c r="DH1272" s="66"/>
      <c r="DI1272" s="66"/>
      <c r="DJ1272" s="1102"/>
    </row>
    <row r="1273" spans="1:114" s="7" customFormat="1" hidden="1" outlineLevel="1">
      <c r="A1273" s="283"/>
      <c r="B1273" s="283"/>
      <c r="C1273" s="281"/>
      <c r="D1273" s="4648"/>
      <c r="E1273" s="2432" t="str">
        <f t="shared" si="212"/>
        <v>Learning Thermostat - ASHP heating/cooling MF</v>
      </c>
      <c r="F1273" s="2781">
        <f>F1295*$F$1302*F1260*$F$1267*$F$1271</f>
        <v>0</v>
      </c>
      <c r="G1273" s="4633"/>
      <c r="H1273" s="4633"/>
      <c r="I1273" s="2790"/>
      <c r="J1273" s="283"/>
      <c r="K1273" s="66"/>
      <c r="L1273" s="66"/>
      <c r="M1273" s="66"/>
      <c r="N1273" s="1565"/>
      <c r="O1273" s="283"/>
      <c r="P1273" s="283"/>
      <c r="Q1273" s="283"/>
      <c r="R1273" s="66"/>
      <c r="S1273" s="66"/>
      <c r="T1273" s="66"/>
      <c r="U1273" s="66"/>
      <c r="V1273" s="4400"/>
      <c r="W1273" s="2801"/>
      <c r="X1273" s="2801"/>
      <c r="Y1273" s="2479"/>
      <c r="Z1273" s="2800"/>
      <c r="AA1273" s="2800"/>
      <c r="AB1273" s="2800"/>
      <c r="AC1273" s="2800"/>
      <c r="AD1273" s="2726">
        <v>0</v>
      </c>
      <c r="AE1273" s="2800">
        <v>0</v>
      </c>
      <c r="AF1273" s="2236">
        <f t="shared" si="209"/>
        <v>0</v>
      </c>
      <c r="AG1273" s="2801"/>
      <c r="AH1273" s="1509"/>
      <c r="AU1273" s="1505"/>
      <c r="DG1273" s="1073"/>
      <c r="DH1273" s="66"/>
      <c r="DI1273" s="66"/>
      <c r="DJ1273" s="1102"/>
    </row>
    <row r="1274" spans="1:114" s="7" customFormat="1" hidden="1" outlineLevel="1">
      <c r="A1274" s="283"/>
      <c r="B1274" s="283"/>
      <c r="C1274" s="281"/>
      <c r="D1274" s="4648"/>
      <c r="E1274" s="2432" t="str">
        <f t="shared" si="212"/>
        <v>Learning Thermostat - electric furnace heating / central AC MF</v>
      </c>
      <c r="F1274" s="2781">
        <f t="shared" si="213"/>
        <v>0</v>
      </c>
      <c r="G1274" s="4633"/>
      <c r="H1274" s="4633"/>
      <c r="I1274" s="2790"/>
      <c r="J1274" s="283"/>
      <c r="K1274" s="66"/>
      <c r="L1274" s="66"/>
      <c r="M1274" s="66"/>
      <c r="N1274" s="1565"/>
      <c r="O1274" s="283"/>
      <c r="P1274" s="283"/>
      <c r="Q1274" s="283"/>
      <c r="R1274" s="66"/>
      <c r="S1274" s="66"/>
      <c r="T1274" s="66"/>
      <c r="U1274" s="66"/>
      <c r="V1274" s="4400"/>
      <c r="W1274" s="2801"/>
      <c r="X1274" s="2801"/>
      <c r="Y1274" s="2801"/>
      <c r="Z1274" s="2800"/>
      <c r="AA1274" s="2800"/>
      <c r="AB1274" s="2800"/>
      <c r="AC1274" s="2800"/>
      <c r="AD1274" s="2726">
        <v>0</v>
      </c>
      <c r="AE1274" s="2800">
        <v>0</v>
      </c>
      <c r="AF1274" s="2236">
        <f t="shared" si="209"/>
        <v>0</v>
      </c>
      <c r="AG1274" s="2801"/>
      <c r="AH1274" s="1509"/>
      <c r="AJ1274" s="1568"/>
      <c r="AU1274" s="1505"/>
      <c r="DG1274" s="1073"/>
      <c r="DH1274" s="66"/>
      <c r="DI1274" s="66"/>
      <c r="DJ1274" s="1102"/>
    </row>
    <row r="1275" spans="1:114" s="7" customFormat="1" hidden="1" outlineLevel="1">
      <c r="A1275" s="283"/>
      <c r="B1275" s="283"/>
      <c r="C1275" s="281"/>
      <c r="D1275" s="4648"/>
      <c r="E1275" s="2432" t="str">
        <f t="shared" si="212"/>
        <v>Learning Thermostat - electric furnace heating / central AC SF</v>
      </c>
      <c r="F1275" s="2781">
        <f t="shared" si="213"/>
        <v>0</v>
      </c>
      <c r="G1275" s="4633"/>
      <c r="H1275" s="4633"/>
      <c r="I1275" s="2790"/>
      <c r="J1275" s="283"/>
      <c r="K1275" s="66"/>
      <c r="L1275" s="66"/>
      <c r="M1275" s="66"/>
      <c r="N1275" s="1565"/>
      <c r="O1275" s="283"/>
      <c r="P1275" s="283"/>
      <c r="Q1275" s="283"/>
      <c r="R1275" s="66"/>
      <c r="S1275" s="66"/>
      <c r="T1275" s="66"/>
      <c r="U1275" s="66"/>
      <c r="V1275" s="4400"/>
      <c r="W1275" s="2801"/>
      <c r="X1275" s="2801"/>
      <c r="Y1275" s="2801"/>
      <c r="Z1275" s="2800"/>
      <c r="AA1275" s="2800"/>
      <c r="AB1275" s="2800"/>
      <c r="AC1275" s="2800"/>
      <c r="AD1275" s="2726">
        <v>0</v>
      </c>
      <c r="AE1275" s="2800">
        <v>0</v>
      </c>
      <c r="AF1275" s="2236">
        <f t="shared" ref="AF1275:AF1304" si="214">IF(F1275&lt;&gt;"",F1275,"")</f>
        <v>0</v>
      </c>
      <c r="AG1275" s="2801"/>
      <c r="AH1275" s="1509"/>
      <c r="AJ1275" s="1568"/>
      <c r="AU1275" s="1505"/>
      <c r="DG1275" s="1073"/>
      <c r="DH1275" s="66"/>
      <c r="DI1275" s="66"/>
      <c r="DJ1275" s="1102"/>
    </row>
    <row r="1276" spans="1:114" s="7" customFormat="1" hidden="1" outlineLevel="1">
      <c r="A1276" s="283"/>
      <c r="B1276" s="283"/>
      <c r="C1276" s="281"/>
      <c r="D1276" s="4648"/>
      <c r="E1276" s="2432" t="str">
        <f t="shared" si="212"/>
        <v>Learning Thermostat - Gas Heated / central AC SF**</v>
      </c>
      <c r="F1276" s="2781">
        <f>F1298*$F$1302*F1263*$F$1267*$F$1271</f>
        <v>45.490139449541282</v>
      </c>
      <c r="G1276" s="4633"/>
      <c r="H1276" s="4633"/>
      <c r="I1276" s="2790"/>
      <c r="J1276" s="283"/>
      <c r="K1276" s="66"/>
      <c r="L1276" s="66"/>
      <c r="M1276" s="66"/>
      <c r="N1276" s="1565"/>
      <c r="O1276" s="283"/>
      <c r="P1276" s="283"/>
      <c r="Q1276" s="283"/>
      <c r="R1276" s="66"/>
      <c r="S1276" s="66"/>
      <c r="T1276" s="66"/>
      <c r="U1276" s="66"/>
      <c r="V1276" s="4400"/>
      <c r="W1276" s="2801"/>
      <c r="X1276" s="2801"/>
      <c r="Y1276" s="2725"/>
      <c r="Z1276" s="2800"/>
      <c r="AA1276" s="2800"/>
      <c r="AB1276" s="2800"/>
      <c r="AC1276" s="2800"/>
      <c r="AD1276" s="2726">
        <v>45.490139449541282</v>
      </c>
      <c r="AE1276" s="2800">
        <v>45.490139449541282</v>
      </c>
      <c r="AF1276" s="2236">
        <f t="shared" si="214"/>
        <v>45.490139449541282</v>
      </c>
      <c r="AG1276" s="2801"/>
      <c r="AH1276" s="1509"/>
      <c r="AJ1276" s="1568"/>
      <c r="AU1276" s="1505"/>
      <c r="DG1276" s="1073"/>
      <c r="DH1276" s="66"/>
      <c r="DI1276" s="66"/>
      <c r="DJ1276" s="1102"/>
    </row>
    <row r="1277" spans="1:114" s="7" customFormat="1" hidden="1" outlineLevel="1">
      <c r="A1277" s="283"/>
      <c r="B1277" s="283"/>
      <c r="C1277" s="281"/>
      <c r="D1277" s="4648"/>
      <c r="E1277" s="2432" t="str">
        <f t="shared" si="212"/>
        <v>Learning Thermostat - Gas Heated / central AC MF**</v>
      </c>
      <c r="F1277" s="2781">
        <f t="shared" si="213"/>
        <v>29.568590642201833</v>
      </c>
      <c r="G1277" s="4633"/>
      <c r="H1277" s="4633"/>
      <c r="I1277" s="2790"/>
      <c r="J1277" s="283"/>
      <c r="K1277" s="66"/>
      <c r="L1277" s="66"/>
      <c r="M1277" s="66"/>
      <c r="N1277" s="1565"/>
      <c r="O1277" s="283"/>
      <c r="P1277" s="283"/>
      <c r="Q1277" s="283"/>
      <c r="R1277" s="66"/>
      <c r="S1277" s="66"/>
      <c r="T1277" s="66"/>
      <c r="U1277" s="66"/>
      <c r="V1277" s="4400"/>
      <c r="W1277" s="2801"/>
      <c r="X1277" s="2801"/>
      <c r="Y1277" s="2725"/>
      <c r="Z1277" s="2800"/>
      <c r="AA1277" s="2800"/>
      <c r="AB1277" s="2800"/>
      <c r="AC1277" s="2800"/>
      <c r="AD1277" s="2726">
        <v>29.568590642201833</v>
      </c>
      <c r="AE1277" s="2800">
        <v>29.568590642201833</v>
      </c>
      <c r="AF1277" s="2236">
        <f t="shared" si="214"/>
        <v>29.568590642201833</v>
      </c>
      <c r="AG1277" s="2801"/>
      <c r="AH1277" s="1509"/>
      <c r="AJ1277" s="1568"/>
      <c r="AU1277" s="1505"/>
      <c r="DG1277" s="1073"/>
      <c r="DH1277" s="66"/>
      <c r="DI1277" s="66"/>
      <c r="DJ1277" s="1102"/>
    </row>
    <row r="1278" spans="1:114" s="7" customFormat="1" hidden="1" outlineLevel="1">
      <c r="A1278" s="283"/>
      <c r="B1278" s="283"/>
      <c r="C1278" s="281"/>
      <c r="D1278" s="4648"/>
      <c r="E1278" s="2432" t="str">
        <f t="shared" si="212"/>
        <v>Learning Thermostat - Unknown SF**</v>
      </c>
      <c r="F1278" s="2781">
        <f t="shared" si="213"/>
        <v>30.478393431192664</v>
      </c>
      <c r="G1278" s="4633"/>
      <c r="H1278" s="4633"/>
      <c r="I1278" s="2790"/>
      <c r="J1278" s="283"/>
      <c r="K1278" s="66"/>
      <c r="L1278" s="66"/>
      <c r="M1278" s="66"/>
      <c r="N1278" s="1565"/>
      <c r="O1278" s="283"/>
      <c r="P1278" s="283"/>
      <c r="Q1278" s="283"/>
      <c r="R1278" s="66"/>
      <c r="S1278" s="66"/>
      <c r="T1278" s="66"/>
      <c r="U1278" s="66"/>
      <c r="V1278" s="4400"/>
      <c r="W1278" s="2801"/>
      <c r="X1278" s="2801"/>
      <c r="Y1278" s="2725"/>
      <c r="Z1278" s="2800"/>
      <c r="AA1278" s="2800"/>
      <c r="AB1278" s="2800"/>
      <c r="AC1278" s="2800"/>
      <c r="AD1278" s="2726">
        <v>30.478393431192664</v>
      </c>
      <c r="AE1278" s="2800">
        <v>30.478393431192664</v>
      </c>
      <c r="AF1278" s="2236">
        <f t="shared" si="214"/>
        <v>30.478393431192664</v>
      </c>
      <c r="AG1278" s="2801"/>
      <c r="AH1278" s="1509"/>
      <c r="AU1278" s="1505"/>
      <c r="DG1278" s="1073"/>
      <c r="DH1278" s="66"/>
      <c r="DI1278" s="66"/>
      <c r="DJ1278" s="1102"/>
    </row>
    <row r="1279" spans="1:114" s="7" customFormat="1" hidden="1" outlineLevel="1">
      <c r="A1279" s="283"/>
      <c r="B1279" s="283"/>
      <c r="C1279" s="281"/>
      <c r="D1279" s="4187"/>
      <c r="E1279" s="2432" t="str">
        <f t="shared" si="212"/>
        <v>Learning Thermostat - Unknown MF**</v>
      </c>
      <c r="F1279" s="2781">
        <f t="shared" si="213"/>
        <v>19.810955730275229</v>
      </c>
      <c r="G1279" s="4633"/>
      <c r="H1279" s="4633"/>
      <c r="I1279" s="2790"/>
      <c r="J1279" s="283"/>
      <c r="K1279" s="66"/>
      <c r="L1279" s="66"/>
      <c r="M1279" s="66"/>
      <c r="N1279" s="1565"/>
      <c r="O1279" s="283"/>
      <c r="P1279" s="283"/>
      <c r="Q1279" s="283"/>
      <c r="R1279" s="66"/>
      <c r="S1279" s="66"/>
      <c r="T1279" s="66"/>
      <c r="U1279" s="66"/>
      <c r="V1279" s="4402"/>
      <c r="W1279" s="2801"/>
      <c r="X1279" s="2801"/>
      <c r="Y1279" s="2725"/>
      <c r="Z1279" s="2800"/>
      <c r="AA1279" s="2800"/>
      <c r="AB1279" s="2800"/>
      <c r="AC1279" s="2800"/>
      <c r="AD1279" s="2726">
        <v>19.810955730275229</v>
      </c>
      <c r="AE1279" s="2800">
        <v>19.810955730275229</v>
      </c>
      <c r="AF1279" s="2236">
        <f t="shared" si="214"/>
        <v>19.810955730275229</v>
      </c>
      <c r="AG1279" s="2801"/>
      <c r="AH1279" s="1509"/>
      <c r="AU1279" s="1505"/>
      <c r="DG1279" s="1073"/>
      <c r="DH1279" s="66"/>
      <c r="DI1279" s="66"/>
      <c r="DJ1279" s="1102"/>
    </row>
    <row r="1280" spans="1:114" s="7" customFormat="1" ht="29.25" hidden="1" customHeight="1" outlineLevel="1">
      <c r="A1280" s="283"/>
      <c r="B1280" s="283"/>
      <c r="C1280" s="281"/>
      <c r="D1280" s="2274" t="s">
        <v>1109</v>
      </c>
      <c r="E1280" s="2782" t="s">
        <v>1102</v>
      </c>
      <c r="F1280" s="2512">
        <v>3.1399999999999997E-2</v>
      </c>
      <c r="G1280" s="4323" t="s">
        <v>1110</v>
      </c>
      <c r="H1280" s="4323"/>
      <c r="I1280" s="2487" t="s">
        <v>1111</v>
      </c>
      <c r="J1280" s="283"/>
      <c r="K1280" s="66"/>
      <c r="L1280" s="66"/>
      <c r="M1280" s="66"/>
      <c r="N1280" s="1565"/>
      <c r="O1280" s="283"/>
      <c r="P1280" s="283"/>
      <c r="Q1280" s="283"/>
      <c r="R1280" s="66"/>
      <c r="S1280" s="66"/>
      <c r="T1280" s="66"/>
      <c r="U1280" s="66"/>
      <c r="V1280" s="2802" t="str">
        <f>D1280</f>
        <v>Fe</v>
      </c>
      <c r="W1280" s="2803"/>
      <c r="X1280" s="2803"/>
      <c r="Y1280" s="2804"/>
      <c r="Z1280" s="2805"/>
      <c r="AA1280" s="2805"/>
      <c r="AB1280" s="2805"/>
      <c r="AC1280" s="2805"/>
      <c r="AD1280" s="2515">
        <v>3.1399999999999997E-2</v>
      </c>
      <c r="AE1280" s="2516">
        <v>3.1399999999999997E-2</v>
      </c>
      <c r="AF1280" s="2236">
        <f t="shared" si="214"/>
        <v>3.1399999999999997E-2</v>
      </c>
      <c r="AG1280" s="2803"/>
      <c r="AH1280" s="1509"/>
      <c r="AJ1280" s="1568"/>
      <c r="AU1280" s="1505"/>
      <c r="DG1280" s="1073"/>
      <c r="DH1280" s="66"/>
      <c r="DI1280" s="66"/>
      <c r="DJ1280" s="1102"/>
    </row>
    <row r="1281" spans="1:114" s="7" customFormat="1" hidden="1" outlineLevel="1">
      <c r="A1281" s="283"/>
      <c r="B1281" s="283"/>
      <c r="C1281" s="281"/>
      <c r="D1281" s="4648" t="s">
        <v>1112</v>
      </c>
      <c r="E1281" s="2432" t="str">
        <f>E1243</f>
        <v>Learning Thermostat - ASHP heating/cooling SF</v>
      </c>
      <c r="F1281" s="2783">
        <v>1</v>
      </c>
      <c r="G1281" s="4403" t="s">
        <v>1113</v>
      </c>
      <c r="H1281" s="4403"/>
      <c r="I1281" s="2487"/>
      <c r="J1281" s="283"/>
      <c r="K1281" s="66"/>
      <c r="L1281" s="66"/>
      <c r="M1281" s="66"/>
      <c r="N1281" s="1565"/>
      <c r="O1281" s="283"/>
      <c r="P1281" s="283"/>
      <c r="Q1281" s="283"/>
      <c r="R1281" s="66"/>
      <c r="S1281" s="66"/>
      <c r="T1281" s="66"/>
      <c r="U1281" s="66"/>
      <c r="V1281" s="4399" t="str">
        <f>D1281</f>
        <v>%AC</v>
      </c>
      <c r="W1281" s="2793"/>
      <c r="X1281" s="2793"/>
      <c r="Y1281" s="2793"/>
      <c r="Z1281" s="2794"/>
      <c r="AA1281" s="2794"/>
      <c r="AB1281" s="2794"/>
      <c r="AC1281" s="2794"/>
      <c r="AD1281" s="2797">
        <v>1</v>
      </c>
      <c r="AE1281" s="2789">
        <v>1</v>
      </c>
      <c r="AF1281" s="2236">
        <f t="shared" si="214"/>
        <v>1</v>
      </c>
      <c r="AG1281" s="2793"/>
      <c r="AH1281" s="1509"/>
      <c r="AJ1281" s="1568"/>
      <c r="AU1281" s="1505"/>
      <c r="DG1281" s="1073"/>
      <c r="DH1281" s="66"/>
      <c r="DI1281" s="66"/>
      <c r="DJ1281" s="1102"/>
    </row>
    <row r="1282" spans="1:114" s="7" customFormat="1" ht="14.65" hidden="1" customHeight="1" outlineLevel="1">
      <c r="A1282" s="283"/>
      <c r="B1282" s="283"/>
      <c r="C1282" s="281"/>
      <c r="D1282" s="4648"/>
      <c r="E1282" s="2432" t="str">
        <f t="shared" ref="E1282:E1288" si="215">E1244</f>
        <v>Learning Thermostat - ASHP heating/cooling MF</v>
      </c>
      <c r="F1282" s="2783">
        <v>1</v>
      </c>
      <c r="G1282" s="4403"/>
      <c r="H1282" s="4403"/>
      <c r="I1282" s="2487"/>
      <c r="J1282" s="283"/>
      <c r="K1282" s="66"/>
      <c r="L1282" s="66"/>
      <c r="M1282" s="66"/>
      <c r="N1282" s="1565"/>
      <c r="O1282" s="283"/>
      <c r="P1282" s="283"/>
      <c r="Q1282" s="283"/>
      <c r="R1282" s="66"/>
      <c r="S1282" s="66"/>
      <c r="T1282" s="66"/>
      <c r="U1282" s="66"/>
      <c r="V1282" s="4400"/>
      <c r="W1282" s="2793"/>
      <c r="X1282" s="2793"/>
      <c r="Y1282" s="2796"/>
      <c r="Z1282" s="2794"/>
      <c r="AA1282" s="2794"/>
      <c r="AB1282" s="2794"/>
      <c r="AC1282" s="2794"/>
      <c r="AD1282" s="2797">
        <v>1</v>
      </c>
      <c r="AE1282" s="2789">
        <v>1</v>
      </c>
      <c r="AF1282" s="2236">
        <f t="shared" si="214"/>
        <v>1</v>
      </c>
      <c r="AG1282" s="2793"/>
      <c r="AH1282" s="1509"/>
      <c r="AJ1282" s="1568"/>
      <c r="AU1282" s="1505"/>
      <c r="DG1282" s="1073"/>
      <c r="DH1282" s="66"/>
      <c r="DI1282" s="66"/>
      <c r="DJ1282" s="1102"/>
    </row>
    <row r="1283" spans="1:114" s="7" customFormat="1" ht="14.65" hidden="1" customHeight="1" outlineLevel="1">
      <c r="A1283" s="283"/>
      <c r="B1283" s="283"/>
      <c r="C1283" s="281"/>
      <c r="D1283" s="4648"/>
      <c r="E1283" s="2432" t="str">
        <f t="shared" si="215"/>
        <v>Learning Thermostat - electric furnace heating / central AC MF</v>
      </c>
      <c r="F1283" s="2783">
        <v>1</v>
      </c>
      <c r="G1283" s="4403"/>
      <c r="H1283" s="4403"/>
      <c r="I1283" s="2487"/>
      <c r="J1283" s="283"/>
      <c r="K1283" s="66"/>
      <c r="L1283" s="66"/>
      <c r="M1283" s="66"/>
      <c r="N1283" s="1565"/>
      <c r="O1283" s="283"/>
      <c r="P1283" s="283"/>
      <c r="Q1283" s="283"/>
      <c r="R1283" s="66"/>
      <c r="S1283" s="66"/>
      <c r="T1283" s="66"/>
      <c r="U1283" s="66"/>
      <c r="V1283" s="4400"/>
      <c r="W1283" s="2793"/>
      <c r="X1283" s="2793"/>
      <c r="Y1283" s="2793"/>
      <c r="Z1283" s="2794"/>
      <c r="AA1283" s="2794"/>
      <c r="AB1283" s="2794"/>
      <c r="AC1283" s="2794"/>
      <c r="AD1283" s="2797">
        <v>1</v>
      </c>
      <c r="AE1283" s="2789">
        <v>1</v>
      </c>
      <c r="AF1283" s="2236">
        <f t="shared" si="214"/>
        <v>1</v>
      </c>
      <c r="AG1283" s="2793"/>
      <c r="AH1283" s="1509"/>
      <c r="AJ1283" s="1568"/>
      <c r="AU1283" s="1505"/>
      <c r="DG1283" s="1073"/>
      <c r="DH1283" s="66"/>
      <c r="DI1283" s="66"/>
      <c r="DJ1283" s="1102"/>
    </row>
    <row r="1284" spans="1:114" s="7" customFormat="1" ht="14.65" hidden="1" customHeight="1" outlineLevel="1">
      <c r="A1284" s="283"/>
      <c r="B1284" s="283"/>
      <c r="C1284" s="281"/>
      <c r="D1284" s="4648"/>
      <c r="E1284" s="2432" t="str">
        <f t="shared" si="215"/>
        <v>Learning Thermostat - electric furnace heating / central AC SF</v>
      </c>
      <c r="F1284" s="2783">
        <v>1</v>
      </c>
      <c r="G1284" s="4403"/>
      <c r="H1284" s="4403"/>
      <c r="I1284" s="2487"/>
      <c r="J1284" s="283"/>
      <c r="K1284" s="66"/>
      <c r="L1284" s="66"/>
      <c r="M1284" s="66"/>
      <c r="N1284" s="1565"/>
      <c r="O1284" s="283"/>
      <c r="P1284" s="283"/>
      <c r="Q1284" s="283"/>
      <c r="R1284" s="66"/>
      <c r="S1284" s="66"/>
      <c r="T1284" s="66"/>
      <c r="U1284" s="66"/>
      <c r="V1284" s="4400"/>
      <c r="W1284" s="2793"/>
      <c r="X1284" s="2793"/>
      <c r="Y1284" s="2793"/>
      <c r="Z1284" s="2794"/>
      <c r="AA1284" s="2794"/>
      <c r="AB1284" s="2794"/>
      <c r="AC1284" s="2794"/>
      <c r="AD1284" s="2797">
        <v>1</v>
      </c>
      <c r="AE1284" s="2789">
        <v>1</v>
      </c>
      <c r="AF1284" s="2236">
        <f t="shared" si="214"/>
        <v>1</v>
      </c>
      <c r="AG1284" s="2793"/>
      <c r="AH1284" s="1509"/>
      <c r="AU1284" s="1505"/>
      <c r="DG1284" s="1073"/>
      <c r="DH1284" s="66"/>
      <c r="DI1284" s="66"/>
      <c r="DJ1284" s="1102"/>
    </row>
    <row r="1285" spans="1:114" s="7" customFormat="1" ht="14.65" hidden="1" customHeight="1" outlineLevel="1">
      <c r="A1285" s="283"/>
      <c r="B1285" s="283"/>
      <c r="C1285" s="281"/>
      <c r="D1285" s="4648"/>
      <c r="E1285" s="2432" t="str">
        <f t="shared" si="215"/>
        <v>Learning Thermostat - Gas Heated / central AC SF**</v>
      </c>
      <c r="F1285" s="2783">
        <v>1</v>
      </c>
      <c r="G1285" s="4403"/>
      <c r="H1285" s="4403"/>
      <c r="I1285" s="2487"/>
      <c r="J1285" s="283"/>
      <c r="K1285" s="66"/>
      <c r="L1285" s="66"/>
      <c r="M1285" s="66"/>
      <c r="N1285" s="1565"/>
      <c r="O1285" s="283"/>
      <c r="P1285" s="283"/>
      <c r="Q1285" s="283"/>
      <c r="R1285" s="66"/>
      <c r="S1285" s="66"/>
      <c r="T1285" s="66"/>
      <c r="U1285" s="66"/>
      <c r="V1285" s="4400"/>
      <c r="W1285" s="2793"/>
      <c r="X1285" s="2793"/>
      <c r="Y1285" s="2793"/>
      <c r="Z1285" s="2794"/>
      <c r="AA1285" s="2794"/>
      <c r="AB1285" s="2794"/>
      <c r="AC1285" s="2794"/>
      <c r="AD1285" s="2797">
        <v>1</v>
      </c>
      <c r="AE1285" s="2789">
        <v>1</v>
      </c>
      <c r="AF1285" s="2236">
        <f t="shared" si="214"/>
        <v>1</v>
      </c>
      <c r="AG1285" s="2793"/>
      <c r="AH1285" s="1509"/>
      <c r="AJ1285" s="1568"/>
      <c r="AU1285" s="1505"/>
      <c r="DG1285" s="1073"/>
      <c r="DH1285" s="66"/>
      <c r="DI1285" s="66"/>
      <c r="DJ1285" s="1102"/>
    </row>
    <row r="1286" spans="1:114" s="7" customFormat="1" ht="14.65" hidden="1" customHeight="1" outlineLevel="1">
      <c r="A1286" s="283"/>
      <c r="B1286" s="283"/>
      <c r="C1286" s="281"/>
      <c r="D1286" s="4648"/>
      <c r="E1286" s="2432" t="str">
        <f t="shared" si="215"/>
        <v>Learning Thermostat - Gas Heated / central AC MF**</v>
      </c>
      <c r="F1286" s="2783">
        <v>1</v>
      </c>
      <c r="G1286" s="4403"/>
      <c r="H1286" s="4403"/>
      <c r="I1286" s="2487"/>
      <c r="J1286" s="283"/>
      <c r="K1286" s="66"/>
      <c r="L1286" s="66"/>
      <c r="M1286" s="66"/>
      <c r="N1286" s="1565"/>
      <c r="O1286" s="283"/>
      <c r="P1286" s="283"/>
      <c r="Q1286" s="283"/>
      <c r="R1286" s="66"/>
      <c r="S1286" s="66"/>
      <c r="T1286" s="66"/>
      <c r="U1286" s="66"/>
      <c r="V1286" s="4400"/>
      <c r="W1286" s="2793"/>
      <c r="X1286" s="2793"/>
      <c r="Y1286" s="2796"/>
      <c r="Z1286" s="2794"/>
      <c r="AA1286" s="2794"/>
      <c r="AB1286" s="2794"/>
      <c r="AC1286" s="2794"/>
      <c r="AD1286" s="2797">
        <v>1</v>
      </c>
      <c r="AE1286" s="2789">
        <v>1</v>
      </c>
      <c r="AF1286" s="2236">
        <f t="shared" si="214"/>
        <v>1</v>
      </c>
      <c r="AG1286" s="2793"/>
      <c r="AH1286" s="1509"/>
      <c r="AJ1286" s="1568"/>
      <c r="AU1286" s="1505"/>
      <c r="DG1286" s="1073"/>
      <c r="DH1286" s="66"/>
      <c r="DI1286" s="66"/>
      <c r="DJ1286" s="1102"/>
    </row>
    <row r="1287" spans="1:114" s="7" customFormat="1" ht="14.65" hidden="1" customHeight="1" outlineLevel="1">
      <c r="A1287" s="283"/>
      <c r="B1287" s="283"/>
      <c r="C1287" s="281"/>
      <c r="D1287" s="4648"/>
      <c r="E1287" s="2432" t="str">
        <f t="shared" si="215"/>
        <v>Learning Thermostat - Unknown SF**</v>
      </c>
      <c r="F1287" s="2783">
        <v>1</v>
      </c>
      <c r="G1287" s="4403"/>
      <c r="H1287" s="4403"/>
      <c r="I1287" s="2487"/>
      <c r="J1287" s="283"/>
      <c r="K1287" s="66"/>
      <c r="L1287" s="66"/>
      <c r="M1287" s="66"/>
      <c r="N1287" s="1565"/>
      <c r="O1287" s="283"/>
      <c r="P1287" s="283"/>
      <c r="Q1287" s="283"/>
      <c r="R1287" s="66"/>
      <c r="S1287" s="66"/>
      <c r="T1287" s="66"/>
      <c r="U1287" s="66"/>
      <c r="V1287" s="4400"/>
      <c r="W1287" s="2793"/>
      <c r="X1287" s="2793"/>
      <c r="Y1287" s="2793"/>
      <c r="Z1287" s="2794"/>
      <c r="AA1287" s="2794"/>
      <c r="AB1287" s="2794"/>
      <c r="AC1287" s="2794"/>
      <c r="AD1287" s="2797">
        <v>1</v>
      </c>
      <c r="AE1287" s="2789">
        <v>1</v>
      </c>
      <c r="AF1287" s="2236">
        <f t="shared" si="214"/>
        <v>1</v>
      </c>
      <c r="AG1287" s="2793"/>
      <c r="AH1287" s="1509"/>
      <c r="AJ1287" s="1568"/>
      <c r="AU1287" s="1505"/>
      <c r="DG1287" s="1073"/>
      <c r="DH1287" s="66"/>
      <c r="DI1287" s="66"/>
      <c r="DJ1287" s="1102"/>
    </row>
    <row r="1288" spans="1:114" s="7" customFormat="1" hidden="1" outlineLevel="1">
      <c r="A1288" s="283"/>
      <c r="B1288" s="283"/>
      <c r="C1288" s="281"/>
      <c r="D1288" s="4187"/>
      <c r="E1288" s="2432" t="str">
        <f t="shared" si="215"/>
        <v>Learning Thermostat - Unknown MF**</v>
      </c>
      <c r="F1288" s="2783">
        <v>1</v>
      </c>
      <c r="G1288" s="4403"/>
      <c r="H1288" s="4403"/>
      <c r="I1288" s="2487"/>
      <c r="J1288" s="283"/>
      <c r="K1288" s="66"/>
      <c r="L1288" s="66"/>
      <c r="M1288" s="66"/>
      <c r="N1288" s="1565"/>
      <c r="O1288" s="283"/>
      <c r="P1288" s="283"/>
      <c r="Q1288" s="283"/>
      <c r="R1288" s="66"/>
      <c r="S1288" s="66"/>
      <c r="T1288" s="66"/>
      <c r="U1288" s="66"/>
      <c r="V1288" s="4402"/>
      <c r="W1288" s="2793"/>
      <c r="X1288" s="2793"/>
      <c r="Y1288" s="2796"/>
      <c r="Z1288" s="2794"/>
      <c r="AA1288" s="2794"/>
      <c r="AB1288" s="2794"/>
      <c r="AC1288" s="2794"/>
      <c r="AD1288" s="2797">
        <v>1</v>
      </c>
      <c r="AE1288" s="2789">
        <v>1</v>
      </c>
      <c r="AF1288" s="2236">
        <f t="shared" si="214"/>
        <v>1</v>
      </c>
      <c r="AG1288" s="2793"/>
      <c r="AH1288" s="1509"/>
      <c r="AJ1288" s="1568"/>
      <c r="AU1288" s="1505"/>
      <c r="DG1288" s="1073"/>
      <c r="DH1288" s="66"/>
      <c r="DI1288" s="66"/>
      <c r="DJ1288" s="1102"/>
    </row>
    <row r="1289" spans="1:114" s="7" customFormat="1" ht="18" hidden="1" outlineLevel="1">
      <c r="A1289" s="283"/>
      <c r="B1289" s="283"/>
      <c r="C1289" s="281"/>
      <c r="D1289" s="2274" t="s">
        <v>2657</v>
      </c>
      <c r="E1289" s="2782" t="s">
        <v>1115</v>
      </c>
      <c r="F1289" s="2784">
        <v>869</v>
      </c>
      <c r="G1289" s="4323" t="s">
        <v>1116</v>
      </c>
      <c r="H1289" s="4323"/>
      <c r="I1289" s="2487" t="s">
        <v>1117</v>
      </c>
      <c r="J1289" s="283"/>
      <c r="K1289" s="66"/>
      <c r="L1289" s="66"/>
      <c r="M1289" s="66"/>
      <c r="N1289" s="1565"/>
      <c r="O1289" s="283"/>
      <c r="P1289" s="283"/>
      <c r="Q1289" s="283"/>
      <c r="R1289" s="66"/>
      <c r="S1289" s="66"/>
      <c r="T1289" s="66"/>
      <c r="U1289" s="66"/>
      <c r="V1289" s="2792" t="str">
        <f t="shared" ref="V1289:V1294" si="216">D1289</f>
        <v>EFLH cool</v>
      </c>
      <c r="W1289" s="2806"/>
      <c r="X1289" s="2806"/>
      <c r="Y1289" s="2807"/>
      <c r="Z1289" s="2808"/>
      <c r="AA1289" s="2808"/>
      <c r="AB1289" s="2808"/>
      <c r="AC1289" s="2808"/>
      <c r="AD1289" s="2809">
        <v>869</v>
      </c>
      <c r="AE1289" s="2810">
        <v>869</v>
      </c>
      <c r="AF1289" s="2236">
        <f t="shared" si="214"/>
        <v>869</v>
      </c>
      <c r="AG1289" s="2806"/>
      <c r="AH1289" s="1509"/>
      <c r="AJ1289" s="1568"/>
      <c r="AU1289" s="1505"/>
      <c r="DG1289" s="1073"/>
      <c r="DH1289" s="66"/>
      <c r="DI1289" s="66"/>
      <c r="DJ1289" s="1102"/>
    </row>
    <row r="1290" spans="1:114" s="7" customFormat="1" hidden="1" outlineLevel="1">
      <c r="A1290" s="283"/>
      <c r="B1290" s="283"/>
      <c r="C1290" s="281"/>
      <c r="D1290" s="4648" t="s">
        <v>1120</v>
      </c>
      <c r="E1290" s="2782" t="s">
        <v>170</v>
      </c>
      <c r="F1290" s="2778">
        <v>36000</v>
      </c>
      <c r="G1290" s="4405" t="s">
        <v>1080</v>
      </c>
      <c r="H1290" s="4405"/>
      <c r="I1290" s="2487" t="s">
        <v>1121</v>
      </c>
      <c r="J1290" s="283"/>
      <c r="K1290" s="66"/>
      <c r="L1290" s="66"/>
      <c r="M1290" s="66"/>
      <c r="N1290" s="1565"/>
      <c r="O1290" s="283"/>
      <c r="P1290" s="283"/>
      <c r="Q1290" s="283"/>
      <c r="R1290" s="66"/>
      <c r="S1290" s="66"/>
      <c r="T1290" s="66"/>
      <c r="U1290" s="66"/>
      <c r="V1290" s="2811" t="str">
        <f t="shared" si="216"/>
        <v>CapacityCool</v>
      </c>
      <c r="W1290" s="2806"/>
      <c r="X1290" s="2807"/>
      <c r="Y1290" s="2807"/>
      <c r="Z1290" s="2808"/>
      <c r="AA1290" s="2808"/>
      <c r="AB1290" s="2808"/>
      <c r="AC1290" s="2812"/>
      <c r="AD1290" s="2809">
        <v>36000</v>
      </c>
      <c r="AE1290" s="2810">
        <v>36000</v>
      </c>
      <c r="AF1290" s="2236">
        <f t="shared" si="214"/>
        <v>36000</v>
      </c>
      <c r="AG1290" s="2806"/>
      <c r="AH1290" s="1509"/>
      <c r="AU1290" s="1505"/>
      <c r="DG1290" s="1073"/>
      <c r="DH1290" s="66"/>
      <c r="DI1290" s="66"/>
      <c r="DJ1290" s="1102"/>
    </row>
    <row r="1291" spans="1:114" s="7" customFormat="1" hidden="1" outlineLevel="1">
      <c r="A1291" s="283"/>
      <c r="B1291" s="283"/>
      <c r="C1291" s="281"/>
      <c r="D1291" s="4648"/>
      <c r="E1291" s="2782" t="s">
        <v>1122</v>
      </c>
      <c r="F1291" s="2778">
        <v>36000</v>
      </c>
      <c r="G1291" s="4405" t="s">
        <v>1080</v>
      </c>
      <c r="H1291" s="4405"/>
      <c r="I1291" s="2487" t="s">
        <v>1121</v>
      </c>
      <c r="J1291" s="283"/>
      <c r="K1291" s="66"/>
      <c r="L1291" s="66"/>
      <c r="M1291" s="66"/>
      <c r="N1291" s="1565"/>
      <c r="O1291" s="283"/>
      <c r="P1291" s="283"/>
      <c r="Q1291" s="283"/>
      <c r="R1291" s="66"/>
      <c r="S1291" s="66"/>
      <c r="T1291" s="66"/>
      <c r="U1291" s="66"/>
      <c r="V1291" s="2811">
        <f t="shared" si="216"/>
        <v>0</v>
      </c>
      <c r="W1291" s="2806"/>
      <c r="X1291" s="2807"/>
      <c r="Y1291" s="2807"/>
      <c r="Z1291" s="2808"/>
      <c r="AA1291" s="2808"/>
      <c r="AB1291" s="2808"/>
      <c r="AC1291" s="2812"/>
      <c r="AD1291" s="2809">
        <v>36000</v>
      </c>
      <c r="AE1291" s="2810">
        <v>36000</v>
      </c>
      <c r="AF1291" s="2236">
        <f t="shared" si="214"/>
        <v>36000</v>
      </c>
      <c r="AG1291" s="2806"/>
      <c r="AH1291" s="1509"/>
      <c r="AJ1291" s="1568"/>
      <c r="AU1291" s="1505"/>
      <c r="DG1291" s="1073"/>
      <c r="DH1291" s="66"/>
      <c r="DI1291" s="66"/>
      <c r="DJ1291" s="1102"/>
    </row>
    <row r="1292" spans="1:114" s="7" customFormat="1" hidden="1" outlineLevel="1">
      <c r="A1292" s="283"/>
      <c r="B1292" s="283"/>
      <c r="C1292" s="281"/>
      <c r="D1292" s="2785" t="s">
        <v>1124</v>
      </c>
      <c r="E1292" s="2782" t="s">
        <v>1102</v>
      </c>
      <c r="F1292" s="2786">
        <v>13.4</v>
      </c>
      <c r="G1292" s="4323" t="s">
        <v>1125</v>
      </c>
      <c r="H1292" s="4323"/>
      <c r="I1292" s="2791"/>
      <c r="J1292" s="283"/>
      <c r="K1292" s="66"/>
      <c r="L1292" s="66"/>
      <c r="M1292" s="66"/>
      <c r="N1292" s="1565"/>
      <c r="O1292" s="283"/>
      <c r="P1292" s="283"/>
      <c r="Q1292" s="283"/>
      <c r="R1292" s="66"/>
      <c r="S1292" s="66"/>
      <c r="T1292" s="66"/>
      <c r="U1292" s="66"/>
      <c r="V1292" s="2811" t="str">
        <f t="shared" si="216"/>
        <v>SEER2</v>
      </c>
      <c r="W1292" s="2806"/>
      <c r="X1292" s="2806"/>
      <c r="Y1292" s="2813"/>
      <c r="Z1292" s="2814"/>
      <c r="AA1292" s="2814"/>
      <c r="AB1292" s="2815"/>
      <c r="AC1292" s="2816"/>
      <c r="AD1292" s="2809">
        <v>13</v>
      </c>
      <c r="AE1292" s="2810">
        <v>13</v>
      </c>
      <c r="AF1292" s="2236">
        <f t="shared" si="214"/>
        <v>13.4</v>
      </c>
      <c r="AG1292" s="2806"/>
      <c r="AH1292" s="1509"/>
      <c r="AJ1292" s="1568"/>
      <c r="AU1292" s="1505"/>
      <c r="DG1292" s="1073"/>
      <c r="DH1292" s="66"/>
      <c r="DI1292" s="66"/>
      <c r="DJ1292" s="1102"/>
    </row>
    <row r="1293" spans="1:114" s="7" customFormat="1" hidden="1" outlineLevel="1">
      <c r="A1293" s="283"/>
      <c r="B1293" s="283"/>
      <c r="C1293" s="281"/>
      <c r="D1293" s="2274" t="s">
        <v>1126</v>
      </c>
      <c r="E1293" s="2782" t="s">
        <v>1102</v>
      </c>
      <c r="F1293" s="2780">
        <v>0.08</v>
      </c>
      <c r="G1293" s="4404" t="s">
        <v>3547</v>
      </c>
      <c r="H1293" s="4404"/>
      <c r="I1293" s="2487" t="s">
        <v>1111</v>
      </c>
      <c r="J1293" s="283"/>
      <c r="K1293" s="66"/>
      <c r="L1293" s="66"/>
      <c r="M1293" s="66"/>
      <c r="N1293" s="1565"/>
      <c r="O1293" s="283"/>
      <c r="P1293" s="283"/>
      <c r="Q1293" s="283"/>
      <c r="R1293" s="66"/>
      <c r="S1293" s="66"/>
      <c r="T1293" s="66"/>
      <c r="U1293" s="66"/>
      <c r="V1293" s="2802" t="str">
        <f t="shared" si="216"/>
        <v>CoolingReduction</v>
      </c>
      <c r="W1293" s="2817"/>
      <c r="X1293" s="2817"/>
      <c r="Y1293" s="2818"/>
      <c r="Z1293" s="2819"/>
      <c r="AA1293" s="2819"/>
      <c r="AB1293" s="2819"/>
      <c r="AC1293" s="2819"/>
      <c r="AD1293" s="2798">
        <v>0.08</v>
      </c>
      <c r="AE1293" s="2799">
        <v>0.08</v>
      </c>
      <c r="AF1293" s="2236">
        <f t="shared" si="214"/>
        <v>0.08</v>
      </c>
      <c r="AG1293" s="2817"/>
      <c r="AH1293" s="1509"/>
      <c r="AJ1293" s="1568"/>
      <c r="AU1293" s="1505"/>
      <c r="DG1293" s="1073"/>
      <c r="DH1293" s="66"/>
      <c r="DI1293" s="66"/>
      <c r="DJ1293" s="1102"/>
    </row>
    <row r="1294" spans="1:114" s="7" customFormat="1" hidden="1" outlineLevel="1">
      <c r="A1294" s="283"/>
      <c r="B1294" s="283"/>
      <c r="C1294" s="281"/>
      <c r="D1294" s="4648" t="s">
        <v>1128</v>
      </c>
      <c r="E1294" s="2432" t="str">
        <f>E1243</f>
        <v>Learning Thermostat - ASHP heating/cooling SF</v>
      </c>
      <c r="F1294" s="2347">
        <v>0</v>
      </c>
      <c r="G1294" s="4403" t="s">
        <v>1129</v>
      </c>
      <c r="H1294" s="4403"/>
      <c r="I1294" s="2487"/>
      <c r="J1294" s="283"/>
      <c r="K1294" s="66"/>
      <c r="L1294" s="66"/>
      <c r="M1294" s="66"/>
      <c r="N1294" s="1565"/>
      <c r="O1294" s="283"/>
      <c r="P1294" s="283"/>
      <c r="Q1294" s="283"/>
      <c r="R1294" s="66"/>
      <c r="S1294" s="66"/>
      <c r="T1294" s="66"/>
      <c r="U1294" s="66"/>
      <c r="V1294" s="4399" t="str">
        <f t="shared" si="216"/>
        <v>%FossilHeat</v>
      </c>
      <c r="W1294" s="2793"/>
      <c r="X1294" s="2796"/>
      <c r="Y1294" s="2820"/>
      <c r="Z1294" s="2794"/>
      <c r="AA1294" s="2794"/>
      <c r="AB1294" s="2794"/>
      <c r="AC1294" s="2794"/>
      <c r="AD1294" s="2797">
        <v>0</v>
      </c>
      <c r="AE1294" s="2789">
        <v>0</v>
      </c>
      <c r="AF1294" s="2236">
        <f t="shared" si="214"/>
        <v>0</v>
      </c>
      <c r="AG1294" s="2793"/>
      <c r="AH1294" s="1509"/>
      <c r="AU1294" s="1505"/>
      <c r="DG1294" s="1073"/>
      <c r="DH1294" s="66"/>
      <c r="DI1294" s="66"/>
      <c r="DJ1294" s="1102"/>
    </row>
    <row r="1295" spans="1:114" s="7" customFormat="1" ht="14.65" hidden="1" customHeight="1" outlineLevel="1">
      <c r="A1295" s="283"/>
      <c r="B1295" s="283"/>
      <c r="C1295" s="281"/>
      <c r="D1295" s="4648"/>
      <c r="E1295" s="2432" t="str">
        <f t="shared" ref="E1295:E1301" si="217">E1244</f>
        <v>Learning Thermostat - ASHP heating/cooling MF</v>
      </c>
      <c r="F1295" s="2347">
        <v>0</v>
      </c>
      <c r="G1295" s="4403"/>
      <c r="H1295" s="4403"/>
      <c r="I1295" s="2487"/>
      <c r="J1295" s="283"/>
      <c r="K1295" s="66"/>
      <c r="L1295" s="66"/>
      <c r="M1295" s="66"/>
      <c r="N1295" s="1565"/>
      <c r="O1295" s="283"/>
      <c r="P1295" s="283"/>
      <c r="Q1295" s="283"/>
      <c r="R1295" s="66"/>
      <c r="S1295" s="66"/>
      <c r="T1295" s="66"/>
      <c r="U1295" s="66"/>
      <c r="V1295" s="4400"/>
      <c r="W1295" s="2793"/>
      <c r="X1295" s="2796"/>
      <c r="Y1295" s="2796"/>
      <c r="Z1295" s="2794"/>
      <c r="AA1295" s="2794"/>
      <c r="AB1295" s="2794"/>
      <c r="AC1295" s="2794"/>
      <c r="AD1295" s="2797">
        <v>0</v>
      </c>
      <c r="AE1295" s="2789">
        <v>0</v>
      </c>
      <c r="AF1295" s="2236">
        <f t="shared" si="214"/>
        <v>0</v>
      </c>
      <c r="AG1295" s="2793"/>
      <c r="AH1295" s="1509"/>
      <c r="AU1295" s="1505"/>
      <c r="DG1295" s="1073"/>
      <c r="DH1295" s="66"/>
      <c r="DI1295" s="66"/>
      <c r="DJ1295" s="1102"/>
    </row>
    <row r="1296" spans="1:114" s="7" customFormat="1" ht="14.65" hidden="1" customHeight="1" outlineLevel="1">
      <c r="A1296" s="283"/>
      <c r="B1296" s="283"/>
      <c r="C1296" s="281"/>
      <c r="D1296" s="4648"/>
      <c r="E1296" s="2432" t="str">
        <f t="shared" si="217"/>
        <v>Learning Thermostat - electric furnace heating / central AC MF</v>
      </c>
      <c r="F1296" s="2347">
        <v>0</v>
      </c>
      <c r="G1296" s="4403"/>
      <c r="H1296" s="4403"/>
      <c r="I1296" s="2487"/>
      <c r="J1296" s="283"/>
      <c r="K1296" s="66"/>
      <c r="L1296" s="66"/>
      <c r="M1296" s="66"/>
      <c r="N1296" s="1565"/>
      <c r="O1296" s="283"/>
      <c r="P1296" s="283"/>
      <c r="Q1296" s="283"/>
      <c r="R1296" s="66"/>
      <c r="S1296" s="66"/>
      <c r="T1296" s="66"/>
      <c r="U1296" s="66"/>
      <c r="V1296" s="4400"/>
      <c r="W1296" s="2793"/>
      <c r="X1296" s="2796"/>
      <c r="Y1296" s="2820"/>
      <c r="Z1296" s="2794"/>
      <c r="AA1296" s="2794"/>
      <c r="AB1296" s="2794"/>
      <c r="AC1296" s="2794"/>
      <c r="AD1296" s="2797">
        <v>0</v>
      </c>
      <c r="AE1296" s="2789">
        <v>0</v>
      </c>
      <c r="AF1296" s="2236">
        <f t="shared" si="214"/>
        <v>0</v>
      </c>
      <c r="AG1296" s="2793"/>
      <c r="AH1296" s="1509"/>
      <c r="AU1296" s="1505"/>
      <c r="DG1296" s="1073"/>
      <c r="DH1296" s="66"/>
      <c r="DI1296" s="66"/>
      <c r="DJ1296" s="1102"/>
    </row>
    <row r="1297" spans="1:114" s="7" customFormat="1" ht="14.65" hidden="1" customHeight="1" outlineLevel="1">
      <c r="A1297" s="283"/>
      <c r="B1297" s="283"/>
      <c r="C1297" s="281"/>
      <c r="D1297" s="4648"/>
      <c r="E1297" s="2432" t="str">
        <f t="shared" si="217"/>
        <v>Learning Thermostat - electric furnace heating / central AC SF</v>
      </c>
      <c r="F1297" s="2347">
        <v>0</v>
      </c>
      <c r="G1297" s="4403"/>
      <c r="H1297" s="4403"/>
      <c r="I1297" s="2487"/>
      <c r="J1297" s="283"/>
      <c r="K1297" s="66"/>
      <c r="L1297" s="66"/>
      <c r="M1297" s="66"/>
      <c r="N1297" s="1565"/>
      <c r="O1297" s="283"/>
      <c r="P1297" s="283"/>
      <c r="Q1297" s="283"/>
      <c r="R1297" s="66"/>
      <c r="S1297" s="66"/>
      <c r="T1297" s="66"/>
      <c r="U1297" s="66"/>
      <c r="V1297" s="4400"/>
      <c r="W1297" s="2793"/>
      <c r="X1297" s="2796"/>
      <c r="Y1297" s="2820"/>
      <c r="Z1297" s="2794"/>
      <c r="AA1297" s="2794"/>
      <c r="AB1297" s="2794"/>
      <c r="AC1297" s="2794"/>
      <c r="AD1297" s="2797">
        <v>0</v>
      </c>
      <c r="AE1297" s="2789">
        <v>0</v>
      </c>
      <c r="AF1297" s="2236">
        <f t="shared" si="214"/>
        <v>0</v>
      </c>
      <c r="AG1297" s="2793"/>
      <c r="AH1297" s="1509"/>
      <c r="AU1297" s="1505"/>
      <c r="DG1297" s="1073"/>
      <c r="DH1297" s="66"/>
      <c r="DI1297" s="66"/>
      <c r="DJ1297" s="1102"/>
    </row>
    <row r="1298" spans="1:114" s="7" customFormat="1" ht="14.65" hidden="1" customHeight="1" outlineLevel="1">
      <c r="A1298" s="283"/>
      <c r="B1298" s="283"/>
      <c r="C1298" s="281"/>
      <c r="D1298" s="4648"/>
      <c r="E1298" s="2432" t="str">
        <f t="shared" si="217"/>
        <v>Learning Thermostat - Gas Heated / central AC SF**</v>
      </c>
      <c r="F1298" s="2347">
        <v>1</v>
      </c>
      <c r="G1298" s="4403"/>
      <c r="H1298" s="4403"/>
      <c r="I1298" s="2487"/>
      <c r="J1298" s="283"/>
      <c r="K1298" s="66"/>
      <c r="L1298" s="66"/>
      <c r="M1298" s="66"/>
      <c r="N1298" s="1565"/>
      <c r="O1298" s="283"/>
      <c r="P1298" s="283"/>
      <c r="Q1298" s="283"/>
      <c r="R1298" s="66"/>
      <c r="S1298" s="66"/>
      <c r="T1298" s="66"/>
      <c r="U1298" s="66"/>
      <c r="V1298" s="4400"/>
      <c r="W1298" s="2793"/>
      <c r="X1298" s="2793"/>
      <c r="Y1298" s="2820"/>
      <c r="Z1298" s="2794"/>
      <c r="AA1298" s="2794"/>
      <c r="AB1298" s="2794"/>
      <c r="AC1298" s="2794"/>
      <c r="AD1298" s="2797">
        <v>1</v>
      </c>
      <c r="AE1298" s="2789">
        <v>1</v>
      </c>
      <c r="AF1298" s="2236">
        <f t="shared" si="214"/>
        <v>1</v>
      </c>
      <c r="AG1298" s="2793"/>
      <c r="AH1298" s="1509"/>
      <c r="AU1298" s="1505"/>
      <c r="DG1298" s="1073"/>
      <c r="DH1298" s="66"/>
      <c r="DI1298" s="66"/>
      <c r="DJ1298" s="1102"/>
    </row>
    <row r="1299" spans="1:114" s="7" customFormat="1" ht="14.65" hidden="1" customHeight="1" outlineLevel="1">
      <c r="A1299" s="283"/>
      <c r="B1299" s="283"/>
      <c r="C1299" s="281"/>
      <c r="D1299" s="4648"/>
      <c r="E1299" s="2432" t="str">
        <f t="shared" si="217"/>
        <v>Learning Thermostat - Gas Heated / central AC MF**</v>
      </c>
      <c r="F1299" s="2347">
        <v>1</v>
      </c>
      <c r="G1299" s="4403"/>
      <c r="H1299" s="4403"/>
      <c r="I1299" s="2487"/>
      <c r="J1299" s="283"/>
      <c r="K1299" s="66"/>
      <c r="L1299" s="66"/>
      <c r="M1299" s="66"/>
      <c r="N1299" s="1565"/>
      <c r="O1299" s="283"/>
      <c r="P1299" s="283"/>
      <c r="Q1299" s="283"/>
      <c r="R1299" s="66"/>
      <c r="S1299" s="66"/>
      <c r="T1299" s="66"/>
      <c r="U1299" s="66"/>
      <c r="V1299" s="4400"/>
      <c r="W1299" s="2793"/>
      <c r="X1299" s="2793"/>
      <c r="Y1299" s="2796"/>
      <c r="Z1299" s="2794"/>
      <c r="AA1299" s="2794"/>
      <c r="AB1299" s="2794"/>
      <c r="AC1299" s="2794"/>
      <c r="AD1299" s="2797">
        <v>1</v>
      </c>
      <c r="AE1299" s="2789">
        <v>1</v>
      </c>
      <c r="AF1299" s="2236">
        <f t="shared" si="214"/>
        <v>1</v>
      </c>
      <c r="AG1299" s="2793"/>
      <c r="AH1299" s="1509"/>
      <c r="AU1299" s="1505"/>
      <c r="DG1299" s="1073"/>
      <c r="DH1299" s="66"/>
      <c r="DI1299" s="66"/>
      <c r="DJ1299" s="1102"/>
    </row>
    <row r="1300" spans="1:114" s="7" customFormat="1" ht="15" hidden="1" customHeight="1" outlineLevel="1">
      <c r="A1300" s="283"/>
      <c r="B1300" s="283"/>
      <c r="C1300" s="281"/>
      <c r="D1300" s="4648"/>
      <c r="E1300" s="2432" t="str">
        <f t="shared" si="217"/>
        <v>Learning Thermostat - Unknown SF**</v>
      </c>
      <c r="F1300" s="2347">
        <v>0.67</v>
      </c>
      <c r="G1300" s="4404" t="s">
        <v>3548</v>
      </c>
      <c r="H1300" s="4404"/>
      <c r="I1300" s="2487"/>
      <c r="J1300" s="283"/>
      <c r="K1300" s="66"/>
      <c r="L1300" s="66"/>
      <c r="M1300" s="66"/>
      <c r="N1300" s="1565"/>
      <c r="O1300" s="283"/>
      <c r="P1300" s="283"/>
      <c r="Q1300" s="283"/>
      <c r="R1300" s="66"/>
      <c r="S1300" s="66"/>
      <c r="T1300" s="66"/>
      <c r="U1300" s="66"/>
      <c r="V1300" s="4400"/>
      <c r="W1300" s="2793"/>
      <c r="X1300" s="2796"/>
      <c r="Y1300" s="2796"/>
      <c r="Z1300" s="2794"/>
      <c r="AA1300" s="2794"/>
      <c r="AB1300" s="2794"/>
      <c r="AC1300" s="2795"/>
      <c r="AD1300" s="2797">
        <v>0.67</v>
      </c>
      <c r="AE1300" s="2789">
        <v>0.67</v>
      </c>
      <c r="AF1300" s="2236">
        <f t="shared" si="214"/>
        <v>0.67</v>
      </c>
      <c r="AG1300" s="2793"/>
      <c r="AH1300" s="1509"/>
      <c r="AU1300" s="1505"/>
      <c r="DG1300" s="1073"/>
      <c r="DH1300" s="66"/>
      <c r="DI1300" s="66"/>
      <c r="DJ1300" s="1102"/>
    </row>
    <row r="1301" spans="1:114" s="7" customFormat="1" ht="14.65" hidden="1" customHeight="1" outlineLevel="1">
      <c r="A1301" s="283"/>
      <c r="B1301" s="283"/>
      <c r="C1301" s="281"/>
      <c r="D1301" s="4187"/>
      <c r="E1301" s="2432" t="str">
        <f t="shared" si="217"/>
        <v>Learning Thermostat - Unknown MF**</v>
      </c>
      <c r="F1301" s="2347">
        <v>0.67</v>
      </c>
      <c r="G1301" s="4404"/>
      <c r="H1301" s="4404"/>
      <c r="I1301" s="2487"/>
      <c r="J1301" s="283"/>
      <c r="K1301" s="66"/>
      <c r="L1301" s="66"/>
      <c r="M1301" s="66"/>
      <c r="N1301" s="1565"/>
      <c r="O1301" s="283"/>
      <c r="P1301" s="283"/>
      <c r="Q1301" s="283"/>
      <c r="R1301" s="66"/>
      <c r="S1301" s="66"/>
      <c r="T1301" s="66"/>
      <c r="U1301" s="66"/>
      <c r="V1301" s="4402"/>
      <c r="W1301" s="2793"/>
      <c r="X1301" s="2796"/>
      <c r="Y1301" s="2796"/>
      <c r="Z1301" s="2794"/>
      <c r="AA1301" s="2794"/>
      <c r="AB1301" s="2794"/>
      <c r="AC1301" s="2795"/>
      <c r="AD1301" s="2797">
        <v>0.67</v>
      </c>
      <c r="AE1301" s="2789">
        <v>0.67</v>
      </c>
      <c r="AF1301" s="2236">
        <f t="shared" si="214"/>
        <v>0.67</v>
      </c>
      <c r="AG1301" s="2793"/>
      <c r="AH1301" s="1509"/>
      <c r="AU1301" s="1505"/>
      <c r="DG1301" s="1073"/>
      <c r="DH1301" s="66"/>
      <c r="DI1301" s="66"/>
      <c r="DJ1301" s="1102"/>
    </row>
    <row r="1302" spans="1:114" s="7" customFormat="1" ht="29.25" hidden="1" customHeight="1" outlineLevel="1">
      <c r="A1302" s="283"/>
      <c r="B1302" s="283"/>
      <c r="C1302" s="281"/>
      <c r="D1302" s="2274" t="s">
        <v>1131</v>
      </c>
      <c r="E1302" s="2432" t="s">
        <v>1102</v>
      </c>
      <c r="F1302" s="2485">
        <v>682.14220183486236</v>
      </c>
      <c r="G1302" s="4404" t="s">
        <v>3549</v>
      </c>
      <c r="H1302" s="4404"/>
      <c r="I1302" s="2487" t="s">
        <v>1133</v>
      </c>
      <c r="J1302" s="283"/>
      <c r="K1302" s="66"/>
      <c r="L1302" s="66"/>
      <c r="M1302" s="66"/>
      <c r="N1302" s="1565"/>
      <c r="O1302" s="283"/>
      <c r="P1302" s="283"/>
      <c r="Q1302" s="283"/>
      <c r="R1302" s="66"/>
      <c r="S1302" s="66"/>
      <c r="T1302" s="66"/>
      <c r="U1302" s="66"/>
      <c r="V1302" s="2802" t="str">
        <f>D1302</f>
        <v>HeatingConsumption_Gas</v>
      </c>
      <c r="W1302" s="2586"/>
      <c r="X1302" s="2491"/>
      <c r="Y1302" s="2491"/>
      <c r="Z1302" s="2821"/>
      <c r="AA1302" s="2821"/>
      <c r="AB1302" s="2821"/>
      <c r="AC1302" s="2821"/>
      <c r="AD1302" s="2494">
        <v>682.14220183486236</v>
      </c>
      <c r="AE1302" s="2493">
        <v>682.14220183486236</v>
      </c>
      <c r="AF1302" s="2236">
        <f t="shared" si="214"/>
        <v>682.14220183486236</v>
      </c>
      <c r="AG1302" s="2586"/>
      <c r="AH1302" s="1509"/>
      <c r="AU1302" s="1505"/>
      <c r="DG1302" s="1073"/>
      <c r="DH1302" s="66"/>
      <c r="DI1302" s="66"/>
      <c r="DJ1302" s="1102"/>
    </row>
    <row r="1303" spans="1:114" s="7" customFormat="1" hidden="1" outlineLevel="1">
      <c r="A1303" s="283"/>
      <c r="B1303" s="283"/>
      <c r="C1303" s="281"/>
      <c r="D1303" s="2377" t="s">
        <v>49</v>
      </c>
      <c r="E1303" s="2377" t="s">
        <v>1198</v>
      </c>
      <c r="F1303" s="2787">
        <v>11</v>
      </c>
      <c r="G1303" s="4323" t="s">
        <v>1134</v>
      </c>
      <c r="H1303" s="4404"/>
      <c r="I1303" s="2487"/>
      <c r="J1303" s="283"/>
      <c r="K1303" s="66"/>
      <c r="L1303" s="66"/>
      <c r="M1303" s="66"/>
      <c r="N1303" s="1565"/>
      <c r="O1303" s="283"/>
      <c r="P1303" s="283"/>
      <c r="Q1303" s="283"/>
      <c r="R1303" s="66"/>
      <c r="S1303" s="66"/>
      <c r="T1303" s="66"/>
      <c r="U1303" s="66"/>
      <c r="V1303" s="2822" t="str">
        <f>D1303</f>
        <v>EUL</v>
      </c>
      <c r="W1303" s="2492"/>
      <c r="X1303" s="2492"/>
      <c r="Y1303" s="2492"/>
      <c r="Z1303" s="2821"/>
      <c r="AA1303" s="2821"/>
      <c r="AB1303" s="2821"/>
      <c r="AC1303" s="2821"/>
      <c r="AD1303" s="2494">
        <v>10</v>
      </c>
      <c r="AE1303" s="2493">
        <v>10</v>
      </c>
      <c r="AF1303" s="2236">
        <f t="shared" si="214"/>
        <v>11</v>
      </c>
      <c r="AG1303" s="2492"/>
      <c r="AH1303" s="1509"/>
      <c r="AU1303" s="1505"/>
      <c r="DG1303" s="1073"/>
      <c r="DH1303" s="66"/>
      <c r="DI1303" s="66"/>
      <c r="DJ1303" s="1102"/>
    </row>
    <row r="1304" spans="1:114" s="7" customFormat="1" hidden="1" outlineLevel="1">
      <c r="A1304" s="283"/>
      <c r="B1304" s="283"/>
      <c r="C1304" s="281"/>
      <c r="D1304" s="2377" t="s">
        <v>50</v>
      </c>
      <c r="E1304" s="2377" t="s">
        <v>1280</v>
      </c>
      <c r="F1304" s="2788">
        <v>79</v>
      </c>
      <c r="G1304" s="4323" t="s">
        <v>1134</v>
      </c>
      <c r="H1304" s="4404"/>
      <c r="I1304" s="2489"/>
      <c r="J1304" s="283"/>
      <c r="K1304" s="66"/>
      <c r="L1304" s="66"/>
      <c r="M1304" s="66"/>
      <c r="N1304" s="1565"/>
      <c r="O1304" s="283"/>
      <c r="P1304" s="283"/>
      <c r="Q1304" s="283"/>
      <c r="R1304" s="66"/>
      <c r="S1304" s="66"/>
      <c r="T1304" s="66"/>
      <c r="U1304" s="66"/>
      <c r="V1304" s="2822" t="str">
        <f>D1304</f>
        <v>Inc. Cost</v>
      </c>
      <c r="W1304" s="2823"/>
      <c r="X1304" s="2823"/>
      <c r="Y1304" s="2823"/>
      <c r="Z1304" s="2823"/>
      <c r="AA1304" s="2823"/>
      <c r="AB1304" s="2824"/>
      <c r="AC1304" s="2823"/>
      <c r="AD1304" s="2718">
        <v>125</v>
      </c>
      <c r="AE1304" s="2722">
        <v>125</v>
      </c>
      <c r="AF1304" s="2236">
        <f t="shared" si="214"/>
        <v>79</v>
      </c>
      <c r="AG1304" s="2823"/>
      <c r="AH1304" s="1509"/>
      <c r="AU1304" s="1505"/>
      <c r="DG1304" s="1073"/>
      <c r="DH1304" s="66"/>
      <c r="DI1304" s="66"/>
      <c r="DJ1304" s="1102"/>
    </row>
    <row r="1305" spans="1:114" s="7" customFormat="1" collapsed="1">
      <c r="A1305" s="283"/>
      <c r="B1305" s="283"/>
      <c r="C1305" s="281"/>
      <c r="D1305" s="133"/>
      <c r="E1305" s="1406"/>
      <c r="F1305" s="283"/>
      <c r="G1305" s="283"/>
      <c r="H1305" s="283"/>
      <c r="I1305" s="283"/>
      <c r="J1305" s="283"/>
      <c r="K1305" s="283"/>
      <c r="L1305" s="283"/>
      <c r="M1305" s="283"/>
      <c r="N1305" s="283"/>
      <c r="O1305" s="283"/>
      <c r="P1305" s="283"/>
      <c r="Q1305" s="283"/>
      <c r="R1305" s="66"/>
      <c r="S1305" s="66"/>
      <c r="T1305" s="66"/>
      <c r="U1305" s="66"/>
      <c r="AH1305" s="1509"/>
      <c r="AU1305" s="1505"/>
      <c r="DG1305" s="1073"/>
      <c r="DH1305" s="66"/>
      <c r="DI1305" s="66"/>
      <c r="DJ1305" s="1102"/>
    </row>
    <row r="1306" spans="1:114" s="1458" customFormat="1">
      <c r="A1306" s="283"/>
      <c r="B1306" s="4658" t="s">
        <v>3550</v>
      </c>
      <c r="C1306" s="4658"/>
      <c r="D1306" s="4658"/>
      <c r="E1306" s="4658"/>
      <c r="F1306" s="4658"/>
      <c r="G1306" s="4658"/>
      <c r="H1306" s="4658"/>
      <c r="I1306" s="4658"/>
      <c r="J1306" s="4658"/>
      <c r="K1306" s="4658"/>
      <c r="L1306" s="4658"/>
      <c r="M1306" s="4658"/>
      <c r="N1306" s="4854"/>
      <c r="O1306" s="4854"/>
      <c r="P1306" s="4854"/>
      <c r="Q1306" s="4854"/>
      <c r="R1306" s="4854"/>
      <c r="V1306" s="4659" t="str">
        <f>B1306</f>
        <v>Cool Roofs</v>
      </c>
      <c r="W1306" s="4660"/>
      <c r="X1306" s="4660"/>
      <c r="Y1306" s="4660"/>
      <c r="Z1306" s="4660"/>
      <c r="AA1306" s="4660"/>
      <c r="AB1306" s="4660"/>
      <c r="AC1306" s="4855"/>
      <c r="AD1306" s="4855"/>
      <c r="AE1306" s="4855"/>
      <c r="AF1306" s="4855"/>
      <c r="AG1306" s="4855"/>
      <c r="AH1306" s="4855"/>
      <c r="AI1306" s="4856"/>
      <c r="DG1306" s="1729"/>
      <c r="DI1306" s="38"/>
      <c r="DJ1306" s="1102"/>
    </row>
    <row r="1307" spans="1:114" s="1458" customFormat="1">
      <c r="A1307" s="283"/>
      <c r="B1307" s="1889"/>
      <c r="C1307" s="1562"/>
      <c r="D1307" s="828"/>
      <c r="E1307" s="1890"/>
      <c r="F1307" s="1891"/>
      <c r="G1307" s="1891"/>
      <c r="H1307" s="1891"/>
      <c r="I1307" s="1891"/>
      <c r="J1307" s="1891"/>
      <c r="K1307" s="1891"/>
      <c r="L1307" s="1892"/>
      <c r="Y1307" s="1562"/>
      <c r="DG1307" s="1729"/>
      <c r="DI1307" s="38"/>
      <c r="DJ1307" s="1102"/>
    </row>
    <row r="1308" spans="1:114" s="1458" customFormat="1" ht="30">
      <c r="A1308" s="283"/>
      <c r="B1308" s="1889"/>
      <c r="C1308" s="1587" t="s">
        <v>42</v>
      </c>
      <c r="D1308" s="1587" t="s">
        <v>953</v>
      </c>
      <c r="E1308" s="1587" t="s">
        <v>44</v>
      </c>
      <c r="F1308" s="1587" t="s">
        <v>45</v>
      </c>
      <c r="G1308" s="1587" t="s">
        <v>46</v>
      </c>
      <c r="H1308" s="1587" t="s">
        <v>47</v>
      </c>
      <c r="I1308" s="1587" t="s">
        <v>48</v>
      </c>
      <c r="J1308" s="1596" t="s">
        <v>49</v>
      </c>
      <c r="K1308" s="1587" t="s">
        <v>50</v>
      </c>
      <c r="L1308" s="1587" t="s">
        <v>51</v>
      </c>
      <c r="V1308" s="1008" t="s">
        <v>52</v>
      </c>
      <c r="W1308" s="1002">
        <v>43252</v>
      </c>
      <c r="X1308" s="1002">
        <v>43465</v>
      </c>
      <c r="Y1308" s="1197">
        <v>43800</v>
      </c>
      <c r="Z1308" s="1002">
        <v>43862</v>
      </c>
      <c r="AA1308" s="1002">
        <v>44013</v>
      </c>
      <c r="AB1308" s="1002">
        <v>44166</v>
      </c>
      <c r="AC1308" s="1002">
        <v>44531</v>
      </c>
      <c r="AD1308" s="1002">
        <v>44774</v>
      </c>
      <c r="AE1308" s="1002">
        <v>45139</v>
      </c>
      <c r="AF1308" s="1002">
        <f t="shared" ref="AF1308" si="218">AF$6</f>
        <v>45672</v>
      </c>
      <c r="AG1308" s="1002" t="s">
        <v>53</v>
      </c>
      <c r="DG1308" s="868" t="s">
        <v>54</v>
      </c>
      <c r="DH1308" s="1893" t="s">
        <v>55</v>
      </c>
      <c r="DI1308" s="869" t="s">
        <v>56</v>
      </c>
      <c r="DJ1308" s="1103" t="s">
        <v>57</v>
      </c>
    </row>
    <row r="1309" spans="1:114" s="1458" customFormat="1">
      <c r="A1309" s="283"/>
      <c r="B1309" s="2109">
        <f t="shared" ref="B1309:B1316" si="219">VALUE(LEFT(C1309,6))</f>
        <v>406800</v>
      </c>
      <c r="C1309" s="2401" t="s">
        <v>3551</v>
      </c>
      <c r="D1309" s="2729" t="s">
        <v>1486</v>
      </c>
      <c r="E1309" s="2730" t="s">
        <v>3552</v>
      </c>
      <c r="F1309" s="2236">
        <f t="shared" ref="F1309:F1316" si="220">ROUND((G1330*G$1340*G$1339),2)</f>
        <v>136</v>
      </c>
      <c r="G1309" s="2478" t="s">
        <v>1380</v>
      </c>
      <c r="H1309" s="2225">
        <f>VLOOKUP(G1309,'CP FACTORS'!$A$3:$B$38, 2, FALSE)</f>
        <v>4.6608050000000002E-4</v>
      </c>
      <c r="I1309" s="2404">
        <f>ROUND(F1309*H1309,6)</f>
        <v>6.3386999999999999E-2</v>
      </c>
      <c r="J1309" s="2731">
        <f>$G$1341</f>
        <v>15</v>
      </c>
      <c r="K1309" s="2732">
        <f>G$1342</f>
        <v>7.84</v>
      </c>
      <c r="L1309" s="2733" t="s">
        <v>3482</v>
      </c>
      <c r="R1309" s="1606"/>
      <c r="V1309" s="2724" t="s">
        <v>45</v>
      </c>
      <c r="W1309" s="2735"/>
      <c r="X1309" s="2736"/>
      <c r="Y1309" s="2417"/>
      <c r="Z1309" s="2417"/>
      <c r="AA1309" s="2417"/>
      <c r="AB1309" s="2417"/>
      <c r="AC1309" s="2417"/>
      <c r="AD1309" s="2236"/>
      <c r="AE1309" s="2236"/>
      <c r="AF1309" s="2236">
        <f>IF(F1309&lt;&gt;"",F1309,"")</f>
        <v>136</v>
      </c>
      <c r="AG1309" s="676"/>
      <c r="AK1309" s="1897"/>
      <c r="DG1309" s="2737">
        <f>IFERROR((DI1309)/(DJ1309),"Varies")</f>
        <v>21.998759890588161</v>
      </c>
      <c r="DH1309" s="2738" t="str">
        <f t="shared" ref="DH1309:DH1316" si="221">CONCATENATE(G1309," ",J1309," Year EUL")</f>
        <v>Building Shell RES 15 Year EUL</v>
      </c>
      <c r="DI1309" s="2739">
        <f>(INDEX('Avoided Cost Benefits'!$B$4:$B$865,MATCH(DH1309,'Avoided Cost Benefits'!$A$4:$A$865,0)))*F1309</f>
        <v>172.47027754221119</v>
      </c>
      <c r="DJ1309" s="2421">
        <f t="shared" ref="DJ1309:DJ1324" si="222">IFERROR(K1309/(1.0686^(2025-2025)),"")</f>
        <v>7.84</v>
      </c>
    </row>
    <row r="1310" spans="1:114" s="1458" customFormat="1">
      <c r="A1310" s="283"/>
      <c r="B1310" s="2109">
        <f t="shared" si="219"/>
        <v>406801</v>
      </c>
      <c r="C1310" s="2401" t="s">
        <v>3553</v>
      </c>
      <c r="D1310" s="2729" t="s">
        <v>1486</v>
      </c>
      <c r="E1310" s="2730" t="s">
        <v>3554</v>
      </c>
      <c r="F1310" s="2236">
        <f t="shared" si="220"/>
        <v>73.900000000000006</v>
      </c>
      <c r="G1310" s="2478" t="s">
        <v>1380</v>
      </c>
      <c r="H1310" s="2225">
        <f>VLOOKUP(G1310,'CP FACTORS'!$A$3:$B$38, 2, FALSE)</f>
        <v>4.6608050000000002E-4</v>
      </c>
      <c r="I1310" s="2404">
        <f t="shared" ref="I1310:I1316" si="223">ROUND(F1310*H1310,6)</f>
        <v>3.4443000000000001E-2</v>
      </c>
      <c r="J1310" s="2731">
        <f t="shared" ref="J1310:J1316" si="224">$G$1341</f>
        <v>15</v>
      </c>
      <c r="K1310" s="2732">
        <f t="shared" ref="K1310:K1316" si="225">G$1342</f>
        <v>7.84</v>
      </c>
      <c r="L1310" s="2733" t="s">
        <v>3482</v>
      </c>
      <c r="R1310" s="1606"/>
      <c r="V1310" s="2724" t="s">
        <v>45</v>
      </c>
      <c r="W1310" s="2735"/>
      <c r="X1310" s="2736"/>
      <c r="Y1310" s="2417"/>
      <c r="Z1310" s="2417"/>
      <c r="AA1310" s="2417"/>
      <c r="AB1310" s="2417"/>
      <c r="AC1310" s="2417"/>
      <c r="AD1310" s="2236"/>
      <c r="AE1310" s="2236"/>
      <c r="AF1310" s="2236">
        <f t="shared" ref="AF1310:AF1316" si="226">IF(F1310&lt;&gt;"",F1310,"")</f>
        <v>73.900000000000006</v>
      </c>
      <c r="AG1310" s="676"/>
      <c r="AK1310" s="1897"/>
      <c r="DG1310" s="2737">
        <f t="shared" ref="DG1310:DG1316" si="227">IFERROR((DI1310)/(DJ1310),"Varies")</f>
        <v>11.953737911135775</v>
      </c>
      <c r="DH1310" s="2741" t="str">
        <f t="shared" si="221"/>
        <v>Building Shell RES 15 Year EUL</v>
      </c>
      <c r="DI1310" s="2742">
        <f>(INDEX('Avoided Cost Benefits'!$B$4:$B$865,MATCH(DH1310,'Avoided Cost Benefits'!$A$4:$A$865,0)))*F1310</f>
        <v>93.717305223304479</v>
      </c>
      <c r="DJ1310" s="2743">
        <f t="shared" si="222"/>
        <v>7.84</v>
      </c>
    </row>
    <row r="1311" spans="1:114" s="1458" customFormat="1">
      <c r="A1311" s="283"/>
      <c r="B1311" s="2109">
        <f t="shared" si="219"/>
        <v>406802</v>
      </c>
      <c r="C1311" s="2401" t="s">
        <v>3555</v>
      </c>
      <c r="D1311" s="2729" t="s">
        <v>1486</v>
      </c>
      <c r="E1311" s="2734" t="s">
        <v>3556</v>
      </c>
      <c r="F1311" s="2236">
        <f t="shared" si="220"/>
        <v>33.299999999999997</v>
      </c>
      <c r="G1311" s="2478" t="s">
        <v>1380</v>
      </c>
      <c r="H1311" s="2225">
        <f>VLOOKUP(G1311,'CP FACTORS'!$A$3:$B$38, 2, FALSE)</f>
        <v>4.6608050000000002E-4</v>
      </c>
      <c r="I1311" s="2404">
        <f t="shared" si="223"/>
        <v>1.5520000000000001E-2</v>
      </c>
      <c r="J1311" s="2731">
        <f t="shared" si="224"/>
        <v>15</v>
      </c>
      <c r="K1311" s="2732">
        <f t="shared" si="225"/>
        <v>7.84</v>
      </c>
      <c r="L1311" s="2733" t="s">
        <v>3482</v>
      </c>
      <c r="R1311" s="1606"/>
      <c r="V1311" s="2724" t="s">
        <v>45</v>
      </c>
      <c r="W1311" s="2735"/>
      <c r="X1311" s="2736"/>
      <c r="Y1311" s="2417"/>
      <c r="Z1311" s="2417"/>
      <c r="AA1311" s="2417"/>
      <c r="AB1311" s="2417"/>
      <c r="AC1311" s="2417"/>
      <c r="AD1311" s="2236"/>
      <c r="AE1311" s="2236"/>
      <c r="AF1311" s="2236">
        <f t="shared" si="226"/>
        <v>33.299999999999997</v>
      </c>
      <c r="AG1311" s="676"/>
      <c r="AK1311" s="1897"/>
      <c r="DG1311" s="2737">
        <f t="shared" si="227"/>
        <v>5.386461061445484</v>
      </c>
      <c r="DH1311" s="2741" t="str">
        <f t="shared" si="221"/>
        <v>Building Shell RES 15 Year EUL</v>
      </c>
      <c r="DI1311" s="2742">
        <f>(INDEX('Avoided Cost Benefits'!$B$4:$B$865,MATCH(DH1311,'Avoided Cost Benefits'!$A$4:$A$865,0)))*F1311</f>
        <v>42.229854721732593</v>
      </c>
      <c r="DJ1311" s="2743">
        <f t="shared" si="222"/>
        <v>7.84</v>
      </c>
    </row>
    <row r="1312" spans="1:114" s="1458" customFormat="1">
      <c r="A1312" s="283"/>
      <c r="B1312" s="2109">
        <f t="shared" si="219"/>
        <v>406803</v>
      </c>
      <c r="C1312" s="2401" t="s">
        <v>3557</v>
      </c>
      <c r="D1312" s="2729" t="s">
        <v>1486</v>
      </c>
      <c r="E1312" s="2730" t="s">
        <v>3558</v>
      </c>
      <c r="F1312" s="2236">
        <f t="shared" si="220"/>
        <v>23.9</v>
      </c>
      <c r="G1312" s="2478" t="s">
        <v>1380</v>
      </c>
      <c r="H1312" s="2225">
        <f>VLOOKUP(G1312,'CP FACTORS'!$A$3:$B$38, 2, FALSE)</f>
        <v>4.6608050000000002E-4</v>
      </c>
      <c r="I1312" s="2404">
        <f t="shared" si="223"/>
        <v>1.1139E-2</v>
      </c>
      <c r="J1312" s="2731">
        <f t="shared" si="224"/>
        <v>15</v>
      </c>
      <c r="K1312" s="2732">
        <f t="shared" si="225"/>
        <v>7.84</v>
      </c>
      <c r="L1312" s="2733" t="s">
        <v>3482</v>
      </c>
      <c r="R1312" s="1606"/>
      <c r="V1312" s="2724" t="s">
        <v>45</v>
      </c>
      <c r="W1312" s="2735"/>
      <c r="X1312" s="2736"/>
      <c r="Y1312" s="2417"/>
      <c r="Z1312" s="2417"/>
      <c r="AA1312" s="2417"/>
      <c r="AB1312" s="2417"/>
      <c r="AC1312" s="2417"/>
      <c r="AD1312" s="2236"/>
      <c r="AE1312" s="2236"/>
      <c r="AF1312" s="2236">
        <f t="shared" si="226"/>
        <v>23.9</v>
      </c>
      <c r="AG1312" s="676"/>
      <c r="AK1312" s="1897"/>
      <c r="DG1312" s="2737">
        <f t="shared" si="227"/>
        <v>3.8659585395960083</v>
      </c>
      <c r="DH1312" s="2741" t="str">
        <f t="shared" si="221"/>
        <v>Building Shell RES 15 Year EUL</v>
      </c>
      <c r="DI1312" s="2742">
        <f>(INDEX('Avoided Cost Benefits'!$B$4:$B$865,MATCH(DH1312,'Avoided Cost Benefits'!$A$4:$A$865,0)))*F1312</f>
        <v>30.309114950432704</v>
      </c>
      <c r="DJ1312" s="2743">
        <f t="shared" si="222"/>
        <v>7.84</v>
      </c>
    </row>
    <row r="1313" spans="1:114" s="1458" customFormat="1">
      <c r="A1313" s="283"/>
      <c r="B1313" s="38">
        <f t="shared" si="219"/>
        <v>406804</v>
      </c>
      <c r="C1313" s="692" t="s">
        <v>3559</v>
      </c>
      <c r="D1313" s="1894" t="s">
        <v>959</v>
      </c>
      <c r="E1313" s="1895" t="s">
        <v>3560</v>
      </c>
      <c r="F1313" s="271">
        <f t="shared" si="220"/>
        <v>114</v>
      </c>
      <c r="G1313" s="1540" t="s">
        <v>1380</v>
      </c>
      <c r="H1313" s="1484">
        <f>VLOOKUP(G1313,'CP FACTORS'!$A$3:$B$38, 2, FALSE)</f>
        <v>4.6608050000000002E-4</v>
      </c>
      <c r="I1313" s="1473">
        <f t="shared" si="223"/>
        <v>5.3133E-2</v>
      </c>
      <c r="J1313" s="1896">
        <f t="shared" si="224"/>
        <v>15</v>
      </c>
      <c r="K1313" s="1586">
        <f t="shared" si="225"/>
        <v>7.84</v>
      </c>
      <c r="L1313" s="719" t="s">
        <v>3482</v>
      </c>
      <c r="R1313" s="1606"/>
      <c r="V1313" s="676" t="s">
        <v>45</v>
      </c>
      <c r="W1313" s="1545"/>
      <c r="X1313" s="749"/>
      <c r="Y1313" s="272"/>
      <c r="Z1313" s="272"/>
      <c r="AA1313" s="272"/>
      <c r="AB1313" s="272"/>
      <c r="AC1313" s="272"/>
      <c r="AD1313" s="271"/>
      <c r="AE1313" s="271"/>
      <c r="AF1313" s="271">
        <f t="shared" si="226"/>
        <v>114</v>
      </c>
      <c r="AG1313" s="676"/>
      <c r="AK1313" s="1897"/>
      <c r="DG1313" s="1898">
        <f t="shared" si="227"/>
        <v>18.440136967110668</v>
      </c>
      <c r="DH1313" s="870" t="str">
        <f t="shared" si="221"/>
        <v>Building Shell RES 15 Year EUL</v>
      </c>
      <c r="DI1313" s="871">
        <f>(INDEX('Avoided Cost Benefits'!$B$4:$B$865,MATCH(DH1313,'Avoided Cost Benefits'!$A$4:$A$865,0)))*F1313</f>
        <v>144.57067382214763</v>
      </c>
      <c r="DJ1313" s="1857">
        <f t="shared" si="222"/>
        <v>7.84</v>
      </c>
    </row>
    <row r="1314" spans="1:114" s="1458" customFormat="1">
      <c r="A1314" s="283"/>
      <c r="B1314" s="38">
        <f t="shared" si="219"/>
        <v>406805</v>
      </c>
      <c r="C1314" s="692" t="s">
        <v>3561</v>
      </c>
      <c r="D1314" s="1894" t="s">
        <v>959</v>
      </c>
      <c r="E1314" s="1024" t="s">
        <v>3562</v>
      </c>
      <c r="F1314" s="271">
        <f t="shared" si="220"/>
        <v>58.1</v>
      </c>
      <c r="G1314" s="1540" t="s">
        <v>1380</v>
      </c>
      <c r="H1314" s="1484">
        <f>VLOOKUP(G1314,'CP FACTORS'!$A$3:$B$38, 2, FALSE)</f>
        <v>4.6608050000000002E-4</v>
      </c>
      <c r="I1314" s="1473">
        <f t="shared" si="223"/>
        <v>2.7078999999999999E-2</v>
      </c>
      <c r="J1314" s="1896">
        <f t="shared" si="224"/>
        <v>15</v>
      </c>
      <c r="K1314" s="1586">
        <f t="shared" si="225"/>
        <v>7.84</v>
      </c>
      <c r="L1314" s="719" t="s">
        <v>3482</v>
      </c>
      <c r="R1314" s="1606"/>
      <c r="V1314" s="676" t="s">
        <v>45</v>
      </c>
      <c r="W1314" s="1545"/>
      <c r="X1314" s="749"/>
      <c r="Y1314" s="272"/>
      <c r="Z1314" s="272"/>
      <c r="AA1314" s="272"/>
      <c r="AB1314" s="272"/>
      <c r="AC1314" s="272"/>
      <c r="AD1314" s="271"/>
      <c r="AE1314" s="271"/>
      <c r="AF1314" s="271">
        <f t="shared" si="226"/>
        <v>58.1</v>
      </c>
      <c r="AG1314" s="676"/>
      <c r="AK1314" s="1897"/>
      <c r="DG1314" s="1898">
        <f t="shared" si="227"/>
        <v>9.3979996297292079</v>
      </c>
      <c r="DH1314" s="870" t="str">
        <f t="shared" si="221"/>
        <v>Building Shell RES 15 Year EUL</v>
      </c>
      <c r="DI1314" s="871">
        <f>(INDEX('Avoided Cost Benefits'!$B$4:$B$865,MATCH(DH1314,'Avoided Cost Benefits'!$A$4:$A$865,0)))*F1314</f>
        <v>73.680317097076994</v>
      </c>
      <c r="DJ1314" s="1857">
        <f t="shared" si="222"/>
        <v>7.84</v>
      </c>
    </row>
    <row r="1315" spans="1:114" s="1458" customFormat="1">
      <c r="A1315" s="283"/>
      <c r="B1315" s="38">
        <f t="shared" si="219"/>
        <v>406806</v>
      </c>
      <c r="C1315" s="692" t="s">
        <v>3563</v>
      </c>
      <c r="D1315" s="1894" t="s">
        <v>959</v>
      </c>
      <c r="E1315" s="1895" t="s">
        <v>3564</v>
      </c>
      <c r="F1315" s="271">
        <f t="shared" si="220"/>
        <v>24.9</v>
      </c>
      <c r="G1315" s="1540" t="s">
        <v>1380</v>
      </c>
      <c r="H1315" s="1484">
        <f>VLOOKUP(G1315,'CP FACTORS'!$A$3:$B$38, 2, FALSE)</f>
        <v>4.6608050000000002E-4</v>
      </c>
      <c r="I1315" s="1473">
        <f t="shared" si="223"/>
        <v>1.1605000000000001E-2</v>
      </c>
      <c r="J1315" s="1896">
        <f t="shared" si="224"/>
        <v>15</v>
      </c>
      <c r="K1315" s="1586">
        <f t="shared" si="225"/>
        <v>7.84</v>
      </c>
      <c r="L1315" s="719" t="s">
        <v>3482</v>
      </c>
      <c r="R1315" s="1606"/>
      <c r="V1315" s="676" t="s">
        <v>45</v>
      </c>
      <c r="W1315" s="1545"/>
      <c r="X1315" s="749"/>
      <c r="Y1315" s="272"/>
      <c r="Z1315" s="272"/>
      <c r="AA1315" s="272"/>
      <c r="AB1315" s="272"/>
      <c r="AC1315" s="272"/>
      <c r="AD1315" s="271"/>
      <c r="AE1315" s="271"/>
      <c r="AF1315" s="271">
        <f t="shared" si="226"/>
        <v>24.9</v>
      </c>
      <c r="AG1315" s="676"/>
      <c r="AK1315" s="1897"/>
      <c r="DG1315" s="1898">
        <f t="shared" si="227"/>
        <v>4.0277141270268038</v>
      </c>
      <c r="DH1315" s="870" t="str">
        <f t="shared" si="221"/>
        <v>Building Shell RES 15 Year EUL</v>
      </c>
      <c r="DI1315" s="871">
        <f>(INDEX('Avoided Cost Benefits'!$B$4:$B$865,MATCH(DH1315,'Avoided Cost Benefits'!$A$4:$A$865,0)))*F1315</f>
        <v>31.577278755890138</v>
      </c>
      <c r="DJ1315" s="1857">
        <f t="shared" si="222"/>
        <v>7.84</v>
      </c>
    </row>
    <row r="1316" spans="1:114" s="1458" customFormat="1">
      <c r="A1316" s="283"/>
      <c r="B1316" s="38">
        <f t="shared" si="219"/>
        <v>406807</v>
      </c>
      <c r="C1316" s="692" t="s">
        <v>3565</v>
      </c>
      <c r="D1316" s="1894" t="s">
        <v>959</v>
      </c>
      <c r="E1316" s="1895" t="s">
        <v>3566</v>
      </c>
      <c r="F1316" s="271">
        <f t="shared" si="220"/>
        <v>19.5</v>
      </c>
      <c r="G1316" s="1540" t="s">
        <v>1380</v>
      </c>
      <c r="H1316" s="1484">
        <f>VLOOKUP(G1316,'CP FACTORS'!$A$3:$B$38, 2, FALSE)</f>
        <v>4.6608050000000002E-4</v>
      </c>
      <c r="I1316" s="1473">
        <f t="shared" si="223"/>
        <v>9.0889999999999999E-3</v>
      </c>
      <c r="J1316" s="1896">
        <f t="shared" si="224"/>
        <v>15</v>
      </c>
      <c r="K1316" s="1586">
        <f t="shared" si="225"/>
        <v>7.84</v>
      </c>
      <c r="L1316" s="719" t="s">
        <v>3482</v>
      </c>
      <c r="R1316" s="1606"/>
      <c r="V1316" s="676" t="s">
        <v>45</v>
      </c>
      <c r="W1316" s="1545"/>
      <c r="X1316" s="749"/>
      <c r="Y1316" s="272"/>
      <c r="Z1316" s="272"/>
      <c r="AA1316" s="272"/>
      <c r="AB1316" s="272"/>
      <c r="AC1316" s="272"/>
      <c r="AD1316" s="271"/>
      <c r="AE1316" s="271"/>
      <c r="AF1316" s="271">
        <f t="shared" si="226"/>
        <v>19.5</v>
      </c>
      <c r="AG1316" s="676"/>
      <c r="AK1316" s="1897"/>
      <c r="DG1316" s="1898">
        <f t="shared" si="227"/>
        <v>3.154233954900509</v>
      </c>
      <c r="DH1316" s="870" t="str">
        <f t="shared" si="221"/>
        <v>Building Shell RES 15 Year EUL</v>
      </c>
      <c r="DI1316" s="871">
        <f>(INDEX('Avoided Cost Benefits'!$B$4:$B$865,MATCH(DH1316,'Avoided Cost Benefits'!$A$4:$A$865,0)))*F1316</f>
        <v>24.72919420641999</v>
      </c>
      <c r="DJ1316" s="1857">
        <f t="shared" si="222"/>
        <v>7.84</v>
      </c>
    </row>
    <row r="1317" spans="1:114" s="1458" customFormat="1">
      <c r="A1317" s="283"/>
      <c r="B1317" s="2109">
        <f t="shared" ref="B1317:B1324" si="228">VALUE(LEFT(C1317,6))</f>
        <v>406808</v>
      </c>
      <c r="C1317" s="2401" t="s">
        <v>3567</v>
      </c>
      <c r="D1317" s="2729" t="s">
        <v>1486</v>
      </c>
      <c r="E1317" s="2730" t="s">
        <v>3568</v>
      </c>
      <c r="F1317" s="2236">
        <f t="shared" ref="F1317:F1324" si="229">ROUND((G1330*G$1340*G$1338),2)</f>
        <v>57.12</v>
      </c>
      <c r="G1317" s="2478" t="s">
        <v>1380</v>
      </c>
      <c r="H1317" s="2225">
        <f>VLOOKUP(G1317,'CP FACTORS'!$A$3:$B$38, 2, FALSE)</f>
        <v>4.6608050000000002E-4</v>
      </c>
      <c r="I1317" s="2404">
        <f t="shared" ref="I1317:I1324" si="230">ROUND(F1317*H1317,6)</f>
        <v>2.6623000000000001E-2</v>
      </c>
      <c r="J1317" s="2731">
        <f t="shared" ref="J1317:J1324" si="231">$G$1341</f>
        <v>15</v>
      </c>
      <c r="K1317" s="2732">
        <f t="shared" ref="K1317:K1324" si="232">G$1342</f>
        <v>7.84</v>
      </c>
      <c r="L1317" s="2733" t="s">
        <v>3482</v>
      </c>
      <c r="R1317" s="1606"/>
      <c r="V1317" s="2724" t="s">
        <v>45</v>
      </c>
      <c r="W1317" s="2735"/>
      <c r="X1317" s="2736"/>
      <c r="Y1317" s="2417"/>
      <c r="Z1317" s="2417"/>
      <c r="AA1317" s="2417"/>
      <c r="AB1317" s="2417"/>
      <c r="AC1317" s="2417"/>
      <c r="AD1317" s="2236"/>
      <c r="AE1317" s="2236"/>
      <c r="AF1317" s="2236">
        <f t="shared" ref="AF1317:AF1324" si="233">IF(F1317&lt;&gt;"",F1317,"")</f>
        <v>57.12</v>
      </c>
      <c r="AG1317" s="2724"/>
      <c r="AK1317" s="1897"/>
      <c r="DG1317" s="2737">
        <f t="shared" ref="DG1317:DG1324" si="234">IFERROR((DI1317)/(DJ1317),"Varies")</f>
        <v>9.2394791540470287</v>
      </c>
      <c r="DH1317" s="2738" t="str">
        <f t="shared" ref="DH1317:DH1324" si="235">CONCATENATE(G1317," ",J1317," Year EUL")</f>
        <v>Building Shell RES 15 Year EUL</v>
      </c>
      <c r="DI1317" s="2739">
        <f>(INDEX('Avoided Cost Benefits'!$B$4:$B$865,MATCH(DH1317,'Avoided Cost Benefits'!$A$4:$A$865,0)))*F1317</f>
        <v>72.437516567728707</v>
      </c>
      <c r="DJ1317" s="2740">
        <f t="shared" si="222"/>
        <v>7.84</v>
      </c>
    </row>
    <row r="1318" spans="1:114" s="1458" customFormat="1">
      <c r="A1318" s="283"/>
      <c r="B1318" s="2109">
        <f t="shared" si="228"/>
        <v>406809</v>
      </c>
      <c r="C1318" s="2401" t="s">
        <v>3569</v>
      </c>
      <c r="D1318" s="2729" t="s">
        <v>1486</v>
      </c>
      <c r="E1318" s="2730" t="s">
        <v>3570</v>
      </c>
      <c r="F1318" s="2236">
        <f t="shared" si="229"/>
        <v>31.04</v>
      </c>
      <c r="G1318" s="2478" t="s">
        <v>1380</v>
      </c>
      <c r="H1318" s="2225">
        <f>VLOOKUP(G1318,'CP FACTORS'!$A$3:$B$38, 2, FALSE)</f>
        <v>4.6608050000000002E-4</v>
      </c>
      <c r="I1318" s="2404">
        <f t="shared" si="230"/>
        <v>1.4467000000000001E-2</v>
      </c>
      <c r="J1318" s="2731">
        <f t="shared" si="231"/>
        <v>15</v>
      </c>
      <c r="K1318" s="2732">
        <f t="shared" si="232"/>
        <v>7.84</v>
      </c>
      <c r="L1318" s="2733" t="s">
        <v>3482</v>
      </c>
      <c r="R1318" s="1606"/>
      <c r="V1318" s="2724" t="s">
        <v>45</v>
      </c>
      <c r="W1318" s="2735"/>
      <c r="X1318" s="2736"/>
      <c r="Y1318" s="2417"/>
      <c r="Z1318" s="2417"/>
      <c r="AA1318" s="2417"/>
      <c r="AB1318" s="2417"/>
      <c r="AC1318" s="2417"/>
      <c r="AD1318" s="2236"/>
      <c r="AE1318" s="2236"/>
      <c r="AF1318" s="2236">
        <f t="shared" si="233"/>
        <v>31.04</v>
      </c>
      <c r="AG1318" s="2724"/>
      <c r="AK1318" s="1897"/>
      <c r="DG1318" s="2737">
        <f t="shared" si="234"/>
        <v>5.0208934338518869</v>
      </c>
      <c r="DH1318" s="2741" t="str">
        <f t="shared" si="235"/>
        <v>Building Shell RES 15 Year EUL</v>
      </c>
      <c r="DI1318" s="2742">
        <f>(INDEX('Avoided Cost Benefits'!$B$4:$B$865,MATCH(DH1318,'Avoided Cost Benefits'!$A$4:$A$865,0)))*F1318</f>
        <v>39.363804521398791</v>
      </c>
      <c r="DJ1318" s="2743">
        <f t="shared" si="222"/>
        <v>7.84</v>
      </c>
    </row>
    <row r="1319" spans="1:114" s="1458" customFormat="1">
      <c r="A1319" s="283"/>
      <c r="B1319" s="2109">
        <f t="shared" si="228"/>
        <v>406810</v>
      </c>
      <c r="C1319" s="2401" t="s">
        <v>3571</v>
      </c>
      <c r="D1319" s="2729" t="s">
        <v>1486</v>
      </c>
      <c r="E1319" s="2734" t="s">
        <v>3572</v>
      </c>
      <c r="F1319" s="2236">
        <f t="shared" si="229"/>
        <v>13.99</v>
      </c>
      <c r="G1319" s="2478" t="s">
        <v>1380</v>
      </c>
      <c r="H1319" s="2225">
        <f>VLOOKUP(G1319,'CP FACTORS'!$A$3:$B$38, 2, FALSE)</f>
        <v>4.6608050000000002E-4</v>
      </c>
      <c r="I1319" s="2404">
        <f t="shared" si="230"/>
        <v>6.5199999999999998E-3</v>
      </c>
      <c r="J1319" s="2731">
        <f t="shared" si="231"/>
        <v>15</v>
      </c>
      <c r="K1319" s="2732">
        <f t="shared" si="232"/>
        <v>7.84</v>
      </c>
      <c r="L1319" s="2733" t="s">
        <v>3482</v>
      </c>
      <c r="R1319" s="1606"/>
      <c r="V1319" s="2724" t="s">
        <v>45</v>
      </c>
      <c r="W1319" s="2735"/>
      <c r="X1319" s="2736"/>
      <c r="Y1319" s="2417"/>
      <c r="Z1319" s="2417"/>
      <c r="AA1319" s="2417"/>
      <c r="AB1319" s="2417"/>
      <c r="AC1319" s="2417"/>
      <c r="AD1319" s="2236"/>
      <c r="AE1319" s="2236"/>
      <c r="AF1319" s="2236">
        <f t="shared" si="233"/>
        <v>13.99</v>
      </c>
      <c r="AG1319" s="2724"/>
      <c r="AK1319" s="1897"/>
      <c r="DG1319" s="2737">
        <f t="shared" si="234"/>
        <v>2.2629606681568268</v>
      </c>
      <c r="DH1319" s="2741" t="str">
        <f t="shared" si="235"/>
        <v>Building Shell RES 15 Year EUL</v>
      </c>
      <c r="DI1319" s="2742">
        <f>(INDEX('Avoided Cost Benefits'!$B$4:$B$865,MATCH(DH1319,'Avoided Cost Benefits'!$A$4:$A$865,0)))*F1319</f>
        <v>17.741611638349521</v>
      </c>
      <c r="DJ1319" s="2743">
        <f t="shared" si="222"/>
        <v>7.84</v>
      </c>
    </row>
    <row r="1320" spans="1:114" s="1458" customFormat="1">
      <c r="A1320" s="283"/>
      <c r="B1320" s="2109">
        <f t="shared" si="228"/>
        <v>406811</v>
      </c>
      <c r="C1320" s="2401" t="s">
        <v>3573</v>
      </c>
      <c r="D1320" s="2729" t="s">
        <v>1486</v>
      </c>
      <c r="E1320" s="2730" t="s">
        <v>3574</v>
      </c>
      <c r="F1320" s="2236">
        <f t="shared" si="229"/>
        <v>10.039999999999999</v>
      </c>
      <c r="G1320" s="2478" t="s">
        <v>1380</v>
      </c>
      <c r="H1320" s="2225">
        <f>VLOOKUP(G1320,'CP FACTORS'!$A$3:$B$38, 2, FALSE)</f>
        <v>4.6608050000000002E-4</v>
      </c>
      <c r="I1320" s="2404">
        <f t="shared" si="230"/>
        <v>4.679E-3</v>
      </c>
      <c r="J1320" s="2731">
        <f t="shared" si="231"/>
        <v>15</v>
      </c>
      <c r="K1320" s="2732">
        <f t="shared" si="232"/>
        <v>7.84</v>
      </c>
      <c r="L1320" s="2733" t="s">
        <v>3482</v>
      </c>
      <c r="R1320" s="1606"/>
      <c r="V1320" s="2724" t="s">
        <v>45</v>
      </c>
      <c r="W1320" s="2735"/>
      <c r="X1320" s="2736"/>
      <c r="Y1320" s="2417"/>
      <c r="Z1320" s="2417"/>
      <c r="AA1320" s="2417"/>
      <c r="AB1320" s="2417"/>
      <c r="AC1320" s="2417"/>
      <c r="AD1320" s="2236"/>
      <c r="AE1320" s="2236"/>
      <c r="AF1320" s="2236">
        <f t="shared" si="233"/>
        <v>10.039999999999999</v>
      </c>
      <c r="AG1320" s="2724"/>
      <c r="AK1320" s="1897"/>
      <c r="DG1320" s="2737">
        <f t="shared" si="234"/>
        <v>1.624026097805185</v>
      </c>
      <c r="DH1320" s="2741" t="str">
        <f t="shared" si="235"/>
        <v>Building Shell RES 15 Year EUL</v>
      </c>
      <c r="DI1320" s="2742">
        <f>(INDEX('Avoided Cost Benefits'!$B$4:$B$865,MATCH(DH1320,'Avoided Cost Benefits'!$A$4:$A$865,0)))*F1320</f>
        <v>12.73236460679265</v>
      </c>
      <c r="DJ1320" s="2743">
        <f t="shared" si="222"/>
        <v>7.84</v>
      </c>
    </row>
    <row r="1321" spans="1:114" s="1458" customFormat="1">
      <c r="A1321" s="283"/>
      <c r="B1321" s="38">
        <f t="shared" si="228"/>
        <v>406812</v>
      </c>
      <c r="C1321" s="692" t="s">
        <v>3575</v>
      </c>
      <c r="D1321" s="1894" t="s">
        <v>959</v>
      </c>
      <c r="E1321" s="1895" t="s">
        <v>3576</v>
      </c>
      <c r="F1321" s="271">
        <f t="shared" si="229"/>
        <v>47.88</v>
      </c>
      <c r="G1321" s="1540" t="s">
        <v>1380</v>
      </c>
      <c r="H1321" s="1484">
        <f>VLOOKUP(G1321,'CP FACTORS'!$A$3:$B$38, 2, FALSE)</f>
        <v>4.6608050000000002E-4</v>
      </c>
      <c r="I1321" s="1473">
        <f t="shared" si="230"/>
        <v>2.2315999999999999E-2</v>
      </c>
      <c r="J1321" s="1896">
        <f t="shared" si="231"/>
        <v>15</v>
      </c>
      <c r="K1321" s="1586">
        <f t="shared" si="232"/>
        <v>7.84</v>
      </c>
      <c r="L1321" s="719" t="s">
        <v>3482</v>
      </c>
      <c r="R1321" s="1606"/>
      <c r="V1321" s="676" t="s">
        <v>45</v>
      </c>
      <c r="W1321" s="1545"/>
      <c r="X1321" s="749"/>
      <c r="Y1321" s="272"/>
      <c r="Z1321" s="272"/>
      <c r="AA1321" s="272"/>
      <c r="AB1321" s="272"/>
      <c r="AC1321" s="272"/>
      <c r="AD1321" s="271"/>
      <c r="AE1321" s="271"/>
      <c r="AF1321" s="271">
        <f t="shared" si="233"/>
        <v>47.88</v>
      </c>
      <c r="AG1321" s="676"/>
      <c r="AK1321" s="1897"/>
      <c r="DG1321" s="1898">
        <f t="shared" si="234"/>
        <v>7.7448575261864807</v>
      </c>
      <c r="DH1321" s="870" t="str">
        <f t="shared" si="235"/>
        <v>Building Shell RES 15 Year EUL</v>
      </c>
      <c r="DI1321" s="871">
        <f>(INDEX('Avoided Cost Benefits'!$B$4:$B$865,MATCH(DH1321,'Avoided Cost Benefits'!$A$4:$A$865,0)))*F1321</f>
        <v>60.719683005302009</v>
      </c>
      <c r="DJ1321" s="1857">
        <f t="shared" si="222"/>
        <v>7.84</v>
      </c>
    </row>
    <row r="1322" spans="1:114" s="1458" customFormat="1">
      <c r="A1322" s="283"/>
      <c r="B1322" s="38">
        <f t="shared" si="228"/>
        <v>406813</v>
      </c>
      <c r="C1322" s="692" t="s">
        <v>3577</v>
      </c>
      <c r="D1322" s="1894" t="s">
        <v>959</v>
      </c>
      <c r="E1322" s="1024" t="s">
        <v>3578</v>
      </c>
      <c r="F1322" s="271">
        <f t="shared" si="229"/>
        <v>24.4</v>
      </c>
      <c r="G1322" s="1540" t="s">
        <v>1380</v>
      </c>
      <c r="H1322" s="1484">
        <f>VLOOKUP(G1322,'CP FACTORS'!$A$3:$B$38, 2, FALSE)</f>
        <v>4.6608050000000002E-4</v>
      </c>
      <c r="I1322" s="1473">
        <f t="shared" si="230"/>
        <v>1.1372E-2</v>
      </c>
      <c r="J1322" s="1896">
        <f t="shared" si="231"/>
        <v>15</v>
      </c>
      <c r="K1322" s="1586">
        <f t="shared" si="232"/>
        <v>7.84</v>
      </c>
      <c r="L1322" s="719" t="s">
        <v>3482</v>
      </c>
      <c r="R1322" s="1606"/>
      <c r="V1322" s="676" t="s">
        <v>45</v>
      </c>
      <c r="W1322" s="1545"/>
      <c r="X1322" s="749"/>
      <c r="Y1322" s="272"/>
      <c r="Z1322" s="272"/>
      <c r="AA1322" s="272"/>
      <c r="AB1322" s="272"/>
      <c r="AC1322" s="272"/>
      <c r="AD1322" s="271"/>
      <c r="AE1322" s="271"/>
      <c r="AF1322" s="271">
        <f t="shared" si="233"/>
        <v>24.4</v>
      </c>
      <c r="AG1322" s="676"/>
      <c r="AK1322" s="1897"/>
      <c r="DG1322" s="1898">
        <f t="shared" si="234"/>
        <v>3.9468363333114058</v>
      </c>
      <c r="DH1322" s="870" t="str">
        <f t="shared" si="235"/>
        <v>Building Shell RES 15 Year EUL</v>
      </c>
      <c r="DI1322" s="871">
        <f>(INDEX('Avoided Cost Benefits'!$B$4:$B$865,MATCH(DH1322,'Avoided Cost Benefits'!$A$4:$A$865,0)))*F1322</f>
        <v>30.943196853161421</v>
      </c>
      <c r="DJ1322" s="1857">
        <f t="shared" si="222"/>
        <v>7.84</v>
      </c>
    </row>
    <row r="1323" spans="1:114" s="1458" customFormat="1">
      <c r="A1323" s="283"/>
      <c r="B1323" s="38">
        <f t="shared" si="228"/>
        <v>406814</v>
      </c>
      <c r="C1323" s="692" t="s">
        <v>3579</v>
      </c>
      <c r="D1323" s="1894" t="s">
        <v>959</v>
      </c>
      <c r="E1323" s="1895" t="s">
        <v>3580</v>
      </c>
      <c r="F1323" s="271">
        <f t="shared" si="229"/>
        <v>10.46</v>
      </c>
      <c r="G1323" s="1540" t="s">
        <v>1380</v>
      </c>
      <c r="H1323" s="1484">
        <f>VLOOKUP(G1323,'CP FACTORS'!$A$3:$B$38, 2, FALSE)</f>
        <v>4.6608050000000002E-4</v>
      </c>
      <c r="I1323" s="1473">
        <f t="shared" si="230"/>
        <v>4.875E-3</v>
      </c>
      <c r="J1323" s="1896">
        <f t="shared" si="231"/>
        <v>15</v>
      </c>
      <c r="K1323" s="1586">
        <f t="shared" si="232"/>
        <v>7.84</v>
      </c>
      <c r="L1323" s="719" t="s">
        <v>3482</v>
      </c>
      <c r="R1323" s="1606"/>
      <c r="V1323" s="676" t="s">
        <v>45</v>
      </c>
      <c r="W1323" s="1545"/>
      <c r="X1323" s="749"/>
      <c r="Y1323" s="272"/>
      <c r="Z1323" s="272"/>
      <c r="AA1323" s="272"/>
      <c r="AB1323" s="272"/>
      <c r="AC1323" s="272"/>
      <c r="AD1323" s="271"/>
      <c r="AE1323" s="271"/>
      <c r="AF1323" s="271">
        <f t="shared" si="233"/>
        <v>10.46</v>
      </c>
      <c r="AG1323" s="676"/>
      <c r="AK1323" s="1897"/>
      <c r="DG1323" s="1898">
        <f t="shared" si="234"/>
        <v>1.6919634445261194</v>
      </c>
      <c r="DH1323" s="870" t="str">
        <f t="shared" si="235"/>
        <v>Building Shell RES 15 Year EUL</v>
      </c>
      <c r="DI1323" s="871">
        <f>(INDEX('Avoided Cost Benefits'!$B$4:$B$865,MATCH(DH1323,'Avoided Cost Benefits'!$A$4:$A$865,0)))*F1323</f>
        <v>13.264993405084775</v>
      </c>
      <c r="DJ1323" s="1857">
        <f t="shared" si="222"/>
        <v>7.84</v>
      </c>
    </row>
    <row r="1324" spans="1:114" s="1458" customFormat="1">
      <c r="A1324" s="283"/>
      <c r="B1324" s="38">
        <f t="shared" si="228"/>
        <v>406815</v>
      </c>
      <c r="C1324" s="692" t="s">
        <v>3581</v>
      </c>
      <c r="D1324" s="1894" t="s">
        <v>959</v>
      </c>
      <c r="E1324" s="1895" t="s">
        <v>3582</v>
      </c>
      <c r="F1324" s="271">
        <f t="shared" si="229"/>
        <v>8.19</v>
      </c>
      <c r="G1324" s="1540" t="s">
        <v>1380</v>
      </c>
      <c r="H1324" s="1484">
        <f>VLOOKUP(G1324,'CP FACTORS'!$A$3:$B$38, 2, FALSE)</f>
        <v>4.6608050000000002E-4</v>
      </c>
      <c r="I1324" s="1473">
        <f t="shared" si="230"/>
        <v>3.8170000000000001E-3</v>
      </c>
      <c r="J1324" s="1896">
        <f t="shared" si="231"/>
        <v>15</v>
      </c>
      <c r="K1324" s="1586">
        <f t="shared" si="232"/>
        <v>7.84</v>
      </c>
      <c r="L1324" s="719" t="s">
        <v>3482</v>
      </c>
      <c r="R1324" s="1606"/>
      <c r="V1324" s="676" t="s">
        <v>45</v>
      </c>
      <c r="W1324" s="1545"/>
      <c r="X1324" s="749"/>
      <c r="Y1324" s="272"/>
      <c r="Z1324" s="272"/>
      <c r="AA1324" s="272"/>
      <c r="AB1324" s="272"/>
      <c r="AC1324" s="272"/>
      <c r="AD1324" s="271"/>
      <c r="AE1324" s="271"/>
      <c r="AF1324" s="271">
        <f t="shared" si="233"/>
        <v>8.19</v>
      </c>
      <c r="AG1324" s="676"/>
      <c r="AK1324" s="1897"/>
      <c r="DG1324" s="335">
        <f t="shared" si="234"/>
        <v>1.3247782610582135</v>
      </c>
      <c r="DH1324" s="2825" t="str">
        <f t="shared" si="235"/>
        <v>Building Shell RES 15 Year EUL</v>
      </c>
      <c r="DI1324" s="871">
        <f>(INDEX('Avoided Cost Benefits'!$B$4:$B$865,MATCH(DH1324,'Avoided Cost Benefits'!$A$4:$A$865,0)))*F1324</f>
        <v>10.386261566696394</v>
      </c>
      <c r="DJ1324" s="1857">
        <f t="shared" si="222"/>
        <v>7.84</v>
      </c>
    </row>
    <row r="1325" spans="1:114" s="1458" customFormat="1" hidden="1" outlineLevel="1">
      <c r="A1325" s="283"/>
      <c r="C1325" s="346"/>
      <c r="D1325" s="1590" t="s">
        <v>118</v>
      </c>
      <c r="E1325" s="1590" t="s">
        <v>3583</v>
      </c>
      <c r="F1325" s="1899"/>
      <c r="G1325" s="67"/>
      <c r="H1325" s="67"/>
      <c r="I1325" s="67"/>
      <c r="J1325" s="67"/>
      <c r="V1325" s="41"/>
      <c r="W1325" s="41"/>
      <c r="X1325" s="41"/>
      <c r="Y1325" s="691"/>
      <c r="Z1325" s="41"/>
      <c r="AA1325" s="41"/>
      <c r="AB1325" s="41"/>
      <c r="AC1325" s="41"/>
      <c r="AD1325" s="41"/>
      <c r="AE1325" s="41"/>
      <c r="AF1325" s="41"/>
      <c r="AG1325" s="41"/>
      <c r="AK1325" s="1897"/>
      <c r="DG1325" s="1729"/>
      <c r="DJ1325" s="1102"/>
    </row>
    <row r="1326" spans="1:114" s="1458" customFormat="1" hidden="1" outlineLevel="1">
      <c r="A1326" s="283"/>
      <c r="C1326" s="346"/>
      <c r="D1326" s="1590" t="s">
        <v>963</v>
      </c>
      <c r="E1326" s="1590" t="s">
        <v>3584</v>
      </c>
      <c r="F1326" s="1900"/>
      <c r="G1326" s="67"/>
      <c r="H1326" s="67"/>
      <c r="I1326" s="67"/>
      <c r="J1326" s="67"/>
      <c r="V1326" s="41"/>
      <c r="W1326" s="41"/>
      <c r="X1326" s="41"/>
      <c r="Y1326" s="691"/>
      <c r="Z1326" s="41"/>
      <c r="AA1326" s="41"/>
      <c r="AB1326" s="41"/>
      <c r="AC1326" s="41"/>
      <c r="AD1326" s="41"/>
      <c r="AE1326" s="41"/>
      <c r="AF1326" s="41"/>
      <c r="AG1326" s="41"/>
      <c r="AK1326" s="1897"/>
      <c r="DG1326" s="1729"/>
      <c r="DJ1326" s="1102"/>
    </row>
    <row r="1327" spans="1:114" s="1458" customFormat="1" hidden="1" outlineLevel="1">
      <c r="A1327" s="283"/>
      <c r="C1327" s="346"/>
      <c r="D1327" s="828"/>
      <c r="E1327" s="1593" t="s">
        <v>966</v>
      </c>
      <c r="F1327" s="1900"/>
      <c r="G1327" s="67"/>
      <c r="H1327" s="67"/>
      <c r="I1327" s="67"/>
      <c r="J1327" s="67"/>
      <c r="K1327" s="67"/>
      <c r="L1327" s="67"/>
      <c r="V1327" s="41"/>
      <c r="W1327" s="41"/>
      <c r="X1327" s="41"/>
      <c r="Y1327" s="691"/>
      <c r="Z1327" s="41"/>
      <c r="AA1327" s="41"/>
      <c r="AB1327" s="41"/>
      <c r="AC1327" s="41"/>
      <c r="AD1327" s="41"/>
      <c r="AE1327" s="41"/>
      <c r="AF1327" s="41"/>
      <c r="AG1327" s="41"/>
      <c r="AK1327" s="1897"/>
      <c r="DG1327" s="1729"/>
      <c r="DJ1327" s="1102"/>
    </row>
    <row r="1328" spans="1:114" s="1458" customFormat="1" ht="15" hidden="1" customHeight="1" outlineLevel="1">
      <c r="A1328" s="283"/>
      <c r="C1328" s="346"/>
      <c r="D1328" s="867"/>
      <c r="E1328" s="867"/>
      <c r="F1328" s="67"/>
      <c r="G1328" s="67"/>
      <c r="H1328" s="67"/>
      <c r="I1328" s="67"/>
      <c r="J1328" s="67"/>
      <c r="K1328" s="67"/>
      <c r="L1328" s="67"/>
      <c r="Y1328" s="1562"/>
      <c r="AK1328" s="1897"/>
      <c r="DG1328" s="1729"/>
      <c r="DJ1328" s="1102"/>
    </row>
    <row r="1329" spans="1:114" s="1458" customFormat="1" ht="15" hidden="1" customHeight="1" outlineLevel="1">
      <c r="A1329" s="283"/>
      <c r="C1329" s="346"/>
      <c r="D1329" s="1594" t="s">
        <v>1078</v>
      </c>
      <c r="E1329" s="1594" t="s">
        <v>967</v>
      </c>
      <c r="F1329" s="1594" t="s">
        <v>968</v>
      </c>
      <c r="G1329" s="1587" t="s">
        <v>969</v>
      </c>
      <c r="H1329" s="4661" t="s">
        <v>970</v>
      </c>
      <c r="I1329" s="4661"/>
      <c r="J1329" s="4661"/>
      <c r="K1329" s="4661" t="s">
        <v>755</v>
      </c>
      <c r="L1329" s="4661"/>
      <c r="M1329" s="4661"/>
      <c r="N1329" s="4661"/>
      <c r="V1329" s="1008" t="s">
        <v>52</v>
      </c>
      <c r="W1329" s="1002">
        <f>W$6</f>
        <v>43252</v>
      </c>
      <c r="X1329" s="1002">
        <f t="shared" ref="X1329:AG1329" si="236">X$6</f>
        <v>43465</v>
      </c>
      <c r="Y1329" s="1197">
        <f t="shared" si="236"/>
        <v>43800</v>
      </c>
      <c r="Z1329" s="1002">
        <f t="shared" si="236"/>
        <v>43862</v>
      </c>
      <c r="AA1329" s="1002">
        <f t="shared" si="236"/>
        <v>44013</v>
      </c>
      <c r="AB1329" s="1002">
        <f t="shared" si="236"/>
        <v>44166</v>
      </c>
      <c r="AC1329" s="1002">
        <f t="shared" si="236"/>
        <v>44531</v>
      </c>
      <c r="AD1329" s="1002">
        <f t="shared" si="236"/>
        <v>44774</v>
      </c>
      <c r="AE1329" s="1002">
        <f t="shared" si="236"/>
        <v>45139</v>
      </c>
      <c r="AF1329" s="1002">
        <f t="shared" si="236"/>
        <v>45672</v>
      </c>
      <c r="AG1329" s="1002" t="str">
        <f t="shared" si="236"/>
        <v>-</v>
      </c>
      <c r="AK1329" s="1897"/>
      <c r="DG1329" s="1729"/>
      <c r="DJ1329" s="1102"/>
    </row>
    <row r="1330" spans="1:114" s="1458" customFormat="1" ht="18" hidden="1" customHeight="1" outlineLevel="1">
      <c r="A1330" s="283"/>
      <c r="C1330" s="346"/>
      <c r="D1330" s="4090" t="s">
        <v>3585</v>
      </c>
      <c r="E1330" s="4090" t="s">
        <v>3586</v>
      </c>
      <c r="F1330" s="2826" t="s">
        <v>3587</v>
      </c>
      <c r="G1330" s="2827">
        <v>136</v>
      </c>
      <c r="H1330" s="4198" t="s">
        <v>3588</v>
      </c>
      <c r="I1330" s="4198"/>
      <c r="J1330" s="4198"/>
      <c r="K1330" s="4426"/>
      <c r="L1330" s="4426"/>
      <c r="M1330" s="4426"/>
      <c r="N1330" s="4426"/>
      <c r="V1330" s="4384" t="str">
        <f>D1330</f>
        <v>SavingsFactor</v>
      </c>
      <c r="W1330" s="353"/>
      <c r="X1330" s="353"/>
      <c r="Y1330" s="353"/>
      <c r="Z1330" s="353"/>
      <c r="AA1330" s="353"/>
      <c r="AB1330" s="353"/>
      <c r="AC1330" s="984"/>
      <c r="AD1330" s="984"/>
      <c r="AE1330" s="984"/>
      <c r="AF1330" s="2236">
        <f t="shared" ref="AF1330" si="237">IF(G1330&lt;&gt;"",G1330,"")</f>
        <v>136</v>
      </c>
      <c r="AG1330" s="326"/>
      <c r="AK1330" s="1897"/>
      <c r="DG1330" s="1729"/>
      <c r="DJ1330" s="1102"/>
    </row>
    <row r="1331" spans="1:114" s="1458" customFormat="1" ht="18" hidden="1" customHeight="1" outlineLevel="1">
      <c r="A1331" s="283"/>
      <c r="C1331" s="346"/>
      <c r="D1331" s="4090"/>
      <c r="E1331" s="4090"/>
      <c r="F1331" s="2785" t="s">
        <v>3589</v>
      </c>
      <c r="G1331" s="2828">
        <v>73.900000000000006</v>
      </c>
      <c r="H1331" s="4198"/>
      <c r="I1331" s="4198"/>
      <c r="J1331" s="4198"/>
      <c r="K1331" s="4426"/>
      <c r="L1331" s="4426"/>
      <c r="M1331" s="4426"/>
      <c r="N1331" s="4426"/>
      <c r="V1331" s="4662"/>
      <c r="W1331" s="353"/>
      <c r="X1331" s="353"/>
      <c r="Y1331" s="353"/>
      <c r="Z1331" s="353"/>
      <c r="AA1331" s="353"/>
      <c r="AB1331" s="353"/>
      <c r="AC1331" s="984"/>
      <c r="AD1331" s="984"/>
      <c r="AE1331" s="984"/>
      <c r="AF1331" s="2236">
        <f t="shared" ref="AF1331:AF1342" si="238">IF(G1331&lt;&gt;"",G1331,"")</f>
        <v>73.900000000000006</v>
      </c>
      <c r="AG1331" s="326"/>
      <c r="AK1331" s="1897"/>
      <c r="DG1331" s="1729"/>
      <c r="DJ1331" s="1102"/>
    </row>
    <row r="1332" spans="1:114" s="1458" customFormat="1" ht="15" hidden="1" customHeight="1" outlineLevel="1">
      <c r="A1332" s="283"/>
      <c r="C1332" s="346"/>
      <c r="D1332" s="4090"/>
      <c r="E1332" s="4090"/>
      <c r="F1332" s="2826" t="s">
        <v>3590</v>
      </c>
      <c r="G1332" s="2829">
        <v>33.299999999999997</v>
      </c>
      <c r="H1332" s="4198"/>
      <c r="I1332" s="4198"/>
      <c r="J1332" s="4198"/>
      <c r="K1332" s="4439"/>
      <c r="L1332" s="4439"/>
      <c r="M1332" s="4439"/>
      <c r="N1332" s="4439"/>
      <c r="V1332" s="4662"/>
      <c r="W1332" s="353"/>
      <c r="X1332" s="353"/>
      <c r="Y1332" s="353"/>
      <c r="Z1332" s="353"/>
      <c r="AA1332" s="353"/>
      <c r="AB1332" s="353"/>
      <c r="AC1332" s="984"/>
      <c r="AD1332" s="984"/>
      <c r="AE1332" s="984"/>
      <c r="AF1332" s="2236">
        <f t="shared" si="238"/>
        <v>33.299999999999997</v>
      </c>
      <c r="AG1332" s="326"/>
      <c r="AK1332" s="1897"/>
      <c r="DG1332" s="1729"/>
      <c r="DJ1332" s="1102"/>
    </row>
    <row r="1333" spans="1:114" s="1458" customFormat="1" ht="15" hidden="1" customHeight="1" outlineLevel="1">
      <c r="A1333" s="283"/>
      <c r="C1333" s="346"/>
      <c r="D1333" s="4090"/>
      <c r="E1333" s="4090"/>
      <c r="F1333" s="2826" t="s">
        <v>3591</v>
      </c>
      <c r="G1333" s="2828">
        <v>23.9</v>
      </c>
      <c r="H1333" s="4198"/>
      <c r="I1333" s="4198"/>
      <c r="J1333" s="4198"/>
      <c r="K1333" s="4426"/>
      <c r="L1333" s="4426"/>
      <c r="M1333" s="4426"/>
      <c r="N1333" s="4426"/>
      <c r="V1333" s="4662"/>
      <c r="W1333" s="353"/>
      <c r="X1333" s="353"/>
      <c r="Y1333" s="353"/>
      <c r="Z1333" s="353"/>
      <c r="AA1333" s="353"/>
      <c r="AB1333" s="353"/>
      <c r="AC1333" s="984"/>
      <c r="AD1333" s="984"/>
      <c r="AE1333" s="984"/>
      <c r="AF1333" s="2236">
        <f t="shared" si="238"/>
        <v>23.9</v>
      </c>
      <c r="AG1333" s="326"/>
      <c r="AK1333" s="1897"/>
      <c r="DG1333" s="1729"/>
      <c r="DJ1333" s="1102"/>
    </row>
    <row r="1334" spans="1:114" s="1458" customFormat="1" ht="15" hidden="1" customHeight="1" outlineLevel="1">
      <c r="A1334" s="283"/>
      <c r="C1334" s="346"/>
      <c r="D1334" s="4090"/>
      <c r="E1334" s="4090"/>
      <c r="F1334" s="1901" t="s">
        <v>3592</v>
      </c>
      <c r="G1334" s="1735">
        <v>114</v>
      </c>
      <c r="H1334" s="4198"/>
      <c r="I1334" s="4198"/>
      <c r="J1334" s="4198"/>
      <c r="K1334" s="4090"/>
      <c r="L1334" s="4090"/>
      <c r="M1334" s="4090"/>
      <c r="N1334" s="4090"/>
      <c r="V1334" s="4662"/>
      <c r="W1334" s="1459"/>
      <c r="X1334" s="1459"/>
      <c r="Y1334" s="1459"/>
      <c r="Z1334" s="1459"/>
      <c r="AA1334" s="1459"/>
      <c r="AB1334" s="1459"/>
      <c r="AC1334" s="984"/>
      <c r="AD1334" s="984"/>
      <c r="AE1334" s="984"/>
      <c r="AF1334" s="271">
        <f t="shared" si="238"/>
        <v>114</v>
      </c>
      <c r="AG1334" s="81"/>
      <c r="AK1334" s="1897"/>
      <c r="DG1334" s="1729"/>
      <c r="DJ1334" s="1102"/>
    </row>
    <row r="1335" spans="1:114" s="1458" customFormat="1" hidden="1" outlineLevel="1">
      <c r="A1335" s="283"/>
      <c r="C1335" s="346"/>
      <c r="D1335" s="4090"/>
      <c r="E1335" s="4090"/>
      <c r="F1335" s="1901" t="s">
        <v>3593</v>
      </c>
      <c r="G1335" s="1735">
        <v>58.1</v>
      </c>
      <c r="H1335" s="4198"/>
      <c r="I1335" s="4198"/>
      <c r="J1335" s="4198"/>
      <c r="K1335" s="4090"/>
      <c r="L1335" s="4090"/>
      <c r="M1335" s="4090"/>
      <c r="N1335" s="4090"/>
      <c r="V1335" s="4662"/>
      <c r="W1335" s="1459"/>
      <c r="X1335" s="1459"/>
      <c r="Y1335" s="1459"/>
      <c r="Z1335" s="1459"/>
      <c r="AA1335" s="1459"/>
      <c r="AB1335" s="1459"/>
      <c r="AC1335" s="1459"/>
      <c r="AD1335" s="1459"/>
      <c r="AE1335" s="1459"/>
      <c r="AF1335" s="271">
        <f t="shared" si="238"/>
        <v>58.1</v>
      </c>
      <c r="AG1335" s="81"/>
      <c r="AK1335" s="1897"/>
      <c r="DG1335" s="1729"/>
      <c r="DJ1335" s="1102"/>
    </row>
    <row r="1336" spans="1:114" s="1458" customFormat="1" ht="15" hidden="1" customHeight="1" outlineLevel="1">
      <c r="A1336" s="283"/>
      <c r="C1336" s="346"/>
      <c r="D1336" s="4090"/>
      <c r="E1336" s="4090"/>
      <c r="F1336" s="1901" t="s">
        <v>3594</v>
      </c>
      <c r="G1336" s="1735">
        <v>24.9</v>
      </c>
      <c r="H1336" s="4198"/>
      <c r="I1336" s="4198"/>
      <c r="J1336" s="4198"/>
      <c r="K1336" s="4090"/>
      <c r="L1336" s="4090"/>
      <c r="M1336" s="4090"/>
      <c r="N1336" s="4090"/>
      <c r="V1336" s="4662"/>
      <c r="W1336" s="1459"/>
      <c r="X1336" s="1459"/>
      <c r="Y1336" s="1459"/>
      <c r="Z1336" s="1459"/>
      <c r="AA1336" s="1459"/>
      <c r="AB1336" s="1459"/>
      <c r="AC1336" s="1459"/>
      <c r="AD1336" s="1459"/>
      <c r="AE1336" s="1459"/>
      <c r="AF1336" s="271">
        <f t="shared" si="238"/>
        <v>24.9</v>
      </c>
      <c r="AG1336" s="81"/>
      <c r="AK1336" s="1897"/>
      <c r="DG1336" s="1729"/>
      <c r="DJ1336" s="1102"/>
    </row>
    <row r="1337" spans="1:114" s="1458" customFormat="1" ht="15" hidden="1" customHeight="1" outlineLevel="1">
      <c r="A1337" s="283"/>
      <c r="C1337" s="346"/>
      <c r="D1337" s="4090"/>
      <c r="E1337" s="4090"/>
      <c r="F1337" s="1901" t="s">
        <v>3595</v>
      </c>
      <c r="G1337" s="1735">
        <v>19.5</v>
      </c>
      <c r="H1337" s="4198"/>
      <c r="I1337" s="4198"/>
      <c r="J1337" s="4198"/>
      <c r="K1337" s="4090"/>
      <c r="L1337" s="4090"/>
      <c r="M1337" s="4090"/>
      <c r="N1337" s="4090"/>
      <c r="V1337" s="4385"/>
      <c r="W1337" s="1545"/>
      <c r="X1337" s="749"/>
      <c r="Y1337" s="272"/>
      <c r="Z1337" s="272"/>
      <c r="AA1337" s="272"/>
      <c r="AB1337" s="272"/>
      <c r="AC1337" s="1459"/>
      <c r="AD1337" s="1459"/>
      <c r="AE1337" s="1459"/>
      <c r="AF1337" s="271">
        <f t="shared" si="238"/>
        <v>19.5</v>
      </c>
      <c r="AG1337" s="81"/>
      <c r="AK1337" s="1897"/>
      <c r="DG1337" s="1729"/>
      <c r="DJ1337" s="1102"/>
    </row>
    <row r="1338" spans="1:114" s="1458" customFormat="1" ht="15" hidden="1" customHeight="1" outlineLevel="1">
      <c r="A1338" s="283"/>
      <c r="C1338" s="346"/>
      <c r="D1338" s="4384" t="s">
        <v>3596</v>
      </c>
      <c r="E1338" s="4384" t="s">
        <v>3597</v>
      </c>
      <c r="F1338" s="1901" t="s">
        <v>3598</v>
      </c>
      <c r="G1338" s="1735">
        <v>0.42</v>
      </c>
      <c r="H1338" s="4663" t="s">
        <v>3599</v>
      </c>
      <c r="I1338" s="4664"/>
      <c r="J1338" s="4665"/>
      <c r="K1338" s="1156"/>
      <c r="L1338" s="1156"/>
      <c r="M1338" s="1156"/>
      <c r="N1338" s="1156"/>
      <c r="V1338" s="4384" t="str">
        <f>D1338</f>
        <v>HeatingFactor</v>
      </c>
      <c r="W1338" s="1902"/>
      <c r="X1338" s="1903"/>
      <c r="Y1338" s="1904"/>
      <c r="Z1338" s="1904"/>
      <c r="AA1338" s="1904"/>
      <c r="AB1338" s="1904"/>
      <c r="AC1338" s="1459"/>
      <c r="AD1338" s="1459"/>
      <c r="AE1338" s="1459"/>
      <c r="AF1338" s="271">
        <f t="shared" si="238"/>
        <v>0.42</v>
      </c>
      <c r="AG1338" s="81"/>
      <c r="AK1338" s="1897"/>
      <c r="DG1338" s="1729"/>
      <c r="DJ1338" s="1102"/>
    </row>
    <row r="1339" spans="1:114" s="1458" customFormat="1" hidden="1" outlineLevel="1">
      <c r="A1339" s="283"/>
      <c r="C1339" s="346"/>
      <c r="D1339" s="4385"/>
      <c r="E1339" s="4385"/>
      <c r="F1339" s="1901" t="s">
        <v>3600</v>
      </c>
      <c r="G1339" s="1735">
        <v>1</v>
      </c>
      <c r="H1339" s="1470"/>
      <c r="I1339" s="1470"/>
      <c r="J1339" s="1470"/>
      <c r="K1339" s="1156"/>
      <c r="L1339" s="1156"/>
      <c r="M1339" s="1156"/>
      <c r="N1339" s="1156"/>
      <c r="V1339" s="4385"/>
      <c r="W1339" s="1902"/>
      <c r="X1339" s="1903"/>
      <c r="Y1339" s="1904"/>
      <c r="Z1339" s="1904"/>
      <c r="AA1339" s="1904"/>
      <c r="AB1339" s="1904"/>
      <c r="AC1339" s="1459"/>
      <c r="AD1339" s="1459"/>
      <c r="AE1339" s="1459"/>
      <c r="AF1339" s="271">
        <f t="shared" si="238"/>
        <v>1</v>
      </c>
      <c r="AG1339" s="81"/>
      <c r="AK1339" s="1897"/>
      <c r="DG1339" s="1729"/>
      <c r="DJ1339" s="1102"/>
    </row>
    <row r="1340" spans="1:114" s="1458" customFormat="1" ht="15" hidden="1" customHeight="1" outlineLevel="1">
      <c r="A1340" s="283"/>
      <c r="C1340" s="346"/>
      <c r="D1340" s="1905" t="s">
        <v>170</v>
      </c>
      <c r="E1340" s="1601" t="s">
        <v>3601</v>
      </c>
      <c r="F1340" s="1601" t="s">
        <v>1102</v>
      </c>
      <c r="G1340" s="1888">
        <v>1</v>
      </c>
      <c r="H1340" s="4670"/>
      <c r="I1340" s="4670"/>
      <c r="J1340" s="4670"/>
      <c r="K1340" s="4426"/>
      <c r="L1340" s="4426"/>
      <c r="M1340" s="4426"/>
      <c r="N1340" s="4426"/>
      <c r="V1340" s="1905" t="str">
        <f>D1340</f>
        <v>SF</v>
      </c>
      <c r="W1340" s="353"/>
      <c r="X1340" s="353"/>
      <c r="Y1340" s="353"/>
      <c r="Z1340" s="353"/>
      <c r="AA1340" s="353"/>
      <c r="AB1340" s="353"/>
      <c r="AC1340" s="353"/>
      <c r="AD1340" s="353"/>
      <c r="AE1340" s="353"/>
      <c r="AF1340" s="271">
        <f t="shared" si="238"/>
        <v>1</v>
      </c>
      <c r="AG1340" s="326"/>
      <c r="AK1340" s="1897"/>
      <c r="DG1340" s="1729"/>
      <c r="DJ1340" s="1102"/>
    </row>
    <row r="1341" spans="1:114" s="41" customFormat="1" hidden="1" outlineLevel="1">
      <c r="A1341" s="283"/>
      <c r="C1341" s="691"/>
      <c r="D1341" s="1156" t="str">
        <f>J1308</f>
        <v>EUL</v>
      </c>
      <c r="E1341" s="1156" t="s">
        <v>1198</v>
      </c>
      <c r="F1341" s="1906" t="s">
        <v>1102</v>
      </c>
      <c r="G1341" s="1734">
        <v>15</v>
      </c>
      <c r="H1341" s="4650" t="s">
        <v>3602</v>
      </c>
      <c r="I1341" s="4198"/>
      <c r="J1341" s="4198"/>
      <c r="K1341" s="4426"/>
      <c r="L1341" s="4426"/>
      <c r="M1341" s="4426"/>
      <c r="N1341" s="4426"/>
      <c r="V1341" s="1156" t="str">
        <f>D1341</f>
        <v>EUL</v>
      </c>
      <c r="W1341" s="353"/>
      <c r="X1341" s="353"/>
      <c r="Y1341" s="353"/>
      <c r="Z1341" s="353"/>
      <c r="AA1341" s="353"/>
      <c r="AB1341" s="353"/>
      <c r="AC1341" s="353"/>
      <c r="AD1341" s="353"/>
      <c r="AE1341" s="353"/>
      <c r="AF1341" s="271">
        <f t="shared" si="238"/>
        <v>15</v>
      </c>
      <c r="AG1341" s="326"/>
      <c r="AK1341" s="1897"/>
      <c r="DG1341" s="738"/>
      <c r="DJ1341" s="1102"/>
    </row>
    <row r="1342" spans="1:114" s="41" customFormat="1" hidden="1" outlineLevel="1">
      <c r="A1342" s="283"/>
      <c r="C1342" s="691"/>
      <c r="D1342" s="1156" t="str">
        <f>K1308</f>
        <v>Inc. Cost</v>
      </c>
      <c r="E1342" s="1156" t="s">
        <v>1135</v>
      </c>
      <c r="F1342" s="1906" t="s">
        <v>3603</v>
      </c>
      <c r="G1342" s="1670">
        <v>7.84</v>
      </c>
      <c r="H1342" s="4650" t="s">
        <v>3604</v>
      </c>
      <c r="I1342" s="4198"/>
      <c r="J1342" s="4198"/>
      <c r="K1342" s="4426"/>
      <c r="L1342" s="4426"/>
      <c r="M1342" s="4426"/>
      <c r="N1342" s="4426"/>
      <c r="V1342" s="1907" t="s">
        <v>50</v>
      </c>
      <c r="W1342" s="1586"/>
      <c r="X1342" s="1586"/>
      <c r="Y1342" s="1586"/>
      <c r="Z1342" s="1586"/>
      <c r="AA1342" s="1586"/>
      <c r="AB1342" s="1586"/>
      <c r="AC1342" s="1586"/>
      <c r="AD1342" s="1586"/>
      <c r="AE1342" s="1586"/>
      <c r="AF1342" s="271">
        <f t="shared" si="238"/>
        <v>7.84</v>
      </c>
      <c r="AG1342" s="326"/>
      <c r="AK1342" s="1897"/>
      <c r="DG1342" s="738"/>
      <c r="DJ1342" s="1102"/>
    </row>
    <row r="1343" spans="1:114" hidden="1" outlineLevel="1">
      <c r="C1343" s="281"/>
      <c r="D1343" s="104"/>
      <c r="E1343" s="104"/>
      <c r="F1343" s="52"/>
      <c r="G1343" s="52"/>
      <c r="H1343" s="51"/>
      <c r="I1343" s="51"/>
      <c r="J1343" s="51"/>
      <c r="K1343" s="51"/>
      <c r="L1343" s="51"/>
      <c r="M1343" s="51"/>
      <c r="N1343" s="52"/>
      <c r="V1343" s="76"/>
      <c r="W1343" s="76"/>
      <c r="X1343" s="76"/>
      <c r="Y1343" s="76"/>
      <c r="Z1343" s="76"/>
      <c r="AA1343" s="76"/>
      <c r="AB1343" s="76"/>
      <c r="AC1343" s="76"/>
      <c r="AD1343" s="76"/>
      <c r="AE1343" s="76"/>
      <c r="AF1343" s="76"/>
      <c r="AG1343" s="76"/>
    </row>
    <row r="1344" spans="1:114" hidden="1" outlineLevel="1">
      <c r="C1344" s="281"/>
      <c r="D1344" s="104"/>
      <c r="E1344" s="104"/>
      <c r="F1344" s="52"/>
      <c r="G1344" s="52"/>
      <c r="H1344" s="51"/>
      <c r="I1344" s="51"/>
      <c r="J1344" s="51"/>
      <c r="K1344" s="51"/>
      <c r="L1344" s="51"/>
      <c r="M1344" s="51"/>
      <c r="N1344" s="52"/>
      <c r="V1344" s="76"/>
      <c r="W1344" s="76"/>
      <c r="X1344" s="76"/>
      <c r="Y1344" s="76"/>
      <c r="Z1344" s="76"/>
      <c r="AA1344" s="76"/>
      <c r="AB1344" s="76"/>
      <c r="AC1344" s="76"/>
      <c r="AD1344" s="76"/>
      <c r="AE1344" s="76"/>
      <c r="AF1344" s="76"/>
      <c r="AG1344" s="76"/>
    </row>
    <row r="1345" collapsed="1"/>
  </sheetData>
  <autoFilter ref="A5:A4991" xr:uid="{00000000-0001-0000-0600-000000000000}"/>
  <mergeCells count="770">
    <mergeCell ref="V973:V984"/>
    <mergeCell ref="D985:D996"/>
    <mergeCell ref="V985:V996"/>
    <mergeCell ref="D1016:D1027"/>
    <mergeCell ref="V1016:V1027"/>
    <mergeCell ref="H1340:J1340"/>
    <mergeCell ref="K1340:N1340"/>
    <mergeCell ref="D1272:D1279"/>
    <mergeCell ref="G1272:H1279"/>
    <mergeCell ref="B1215:O1215"/>
    <mergeCell ref="H1210:I1210"/>
    <mergeCell ref="J1210:L1210"/>
    <mergeCell ref="D1294:D1301"/>
    <mergeCell ref="D1290:D1291"/>
    <mergeCell ref="D1281:D1288"/>
    <mergeCell ref="D1267:D1270"/>
    <mergeCell ref="D1251:D1258"/>
    <mergeCell ref="G1251:H1258"/>
    <mergeCell ref="I1251:I1258"/>
    <mergeCell ref="D1259:D1266"/>
    <mergeCell ref="G1303:H1303"/>
    <mergeCell ref="G1259:H1266"/>
    <mergeCell ref="E1206:E1208"/>
    <mergeCell ref="J1206:L1206"/>
    <mergeCell ref="H1341:J1341"/>
    <mergeCell ref="K1341:N1341"/>
    <mergeCell ref="B1306:R1306"/>
    <mergeCell ref="V1306:AI1306"/>
    <mergeCell ref="H1329:J1329"/>
    <mergeCell ref="K1329:N1329"/>
    <mergeCell ref="K1330:N1330"/>
    <mergeCell ref="K1331:N1331"/>
    <mergeCell ref="E1330:E1337"/>
    <mergeCell ref="D1330:D1337"/>
    <mergeCell ref="V1330:V1337"/>
    <mergeCell ref="K1333:N1333"/>
    <mergeCell ref="H1338:J1338"/>
    <mergeCell ref="H1342:J1342"/>
    <mergeCell ref="K1342:N1342"/>
    <mergeCell ref="K1332:N1332"/>
    <mergeCell ref="H1330:J1337"/>
    <mergeCell ref="H692:I696"/>
    <mergeCell ref="H1196:I1196"/>
    <mergeCell ref="B1123:R1123"/>
    <mergeCell ref="B1174:R1174"/>
    <mergeCell ref="D1118:D1119"/>
    <mergeCell ref="H1060:J1063"/>
    <mergeCell ref="H1067:J1067"/>
    <mergeCell ref="G1118:G1119"/>
    <mergeCell ref="H1054:J1054"/>
    <mergeCell ref="H1055:J1055"/>
    <mergeCell ref="D1054:D1055"/>
    <mergeCell ref="E1054:E1055"/>
    <mergeCell ref="D1056:D1059"/>
    <mergeCell ref="E1056:E1059"/>
    <mergeCell ref="D1060:D1063"/>
    <mergeCell ref="E1060:E1063"/>
    <mergeCell ref="K1334:N1334"/>
    <mergeCell ref="K1335:N1335"/>
    <mergeCell ref="K1336:N1336"/>
    <mergeCell ref="K1337:N1337"/>
    <mergeCell ref="V1215:AI1215"/>
    <mergeCell ref="D1243:D1250"/>
    <mergeCell ref="G1243:H1243"/>
    <mergeCell ref="V1243:V1250"/>
    <mergeCell ref="G1244:H1244"/>
    <mergeCell ref="G1245:H1245"/>
    <mergeCell ref="G1246:H1246"/>
    <mergeCell ref="G1247:H1247"/>
    <mergeCell ref="G1248:H1248"/>
    <mergeCell ref="G1249:H1250"/>
    <mergeCell ref="H1206:I1206"/>
    <mergeCell ref="H1209:I1209"/>
    <mergeCell ref="H1207:I1207"/>
    <mergeCell ref="J1207:L1207"/>
    <mergeCell ref="H1208:I1208"/>
    <mergeCell ref="J1208:L1208"/>
    <mergeCell ref="J1209:L1209"/>
    <mergeCell ref="H1211:I1211"/>
    <mergeCell ref="J1211:L1211"/>
    <mergeCell ref="V1118:V1119"/>
    <mergeCell ref="D1156:D1161"/>
    <mergeCell ref="V1156:V1161"/>
    <mergeCell ref="V1197:V1200"/>
    <mergeCell ref="J1199:L1199"/>
    <mergeCell ref="V1206:V1208"/>
    <mergeCell ref="D1202:D1205"/>
    <mergeCell ref="E1202:E1205"/>
    <mergeCell ref="J1202:L1202"/>
    <mergeCell ref="V1202:V1205"/>
    <mergeCell ref="J1203:L1203"/>
    <mergeCell ref="J1204:L1204"/>
    <mergeCell ref="J1196:L1196"/>
    <mergeCell ref="J1197:L1197"/>
    <mergeCell ref="H1195:I1195"/>
    <mergeCell ref="J1195:L1195"/>
    <mergeCell ref="J1200:L1200"/>
    <mergeCell ref="J1205:L1205"/>
    <mergeCell ref="H1197:I1200"/>
    <mergeCell ref="H1202:I1205"/>
    <mergeCell ref="D1197:D1200"/>
    <mergeCell ref="E1197:E1200"/>
    <mergeCell ref="J1198:L1198"/>
    <mergeCell ref="D1206:D1208"/>
    <mergeCell ref="V1101:V1102"/>
    <mergeCell ref="V1064:V1065"/>
    <mergeCell ref="V1067:V1070"/>
    <mergeCell ref="D1067:D1070"/>
    <mergeCell ref="E1067:E1070"/>
    <mergeCell ref="D1064:D1065"/>
    <mergeCell ref="E1064:E1065"/>
    <mergeCell ref="H1064:J1064"/>
    <mergeCell ref="H1065:J1065"/>
    <mergeCell ref="H1066:J1066"/>
    <mergeCell ref="H1068:J1068"/>
    <mergeCell ref="D1101:D1102"/>
    <mergeCell ref="H1069:J1069"/>
    <mergeCell ref="H1070:J1070"/>
    <mergeCell ref="I1101:R1102"/>
    <mergeCell ref="B1087:R1087"/>
    <mergeCell ref="H1057:J1057"/>
    <mergeCell ref="H1056:J1056"/>
    <mergeCell ref="H1058:J1058"/>
    <mergeCell ref="H1059:J1059"/>
    <mergeCell ref="V1054:V1055"/>
    <mergeCell ref="V1056:V1059"/>
    <mergeCell ref="V1060:V1063"/>
    <mergeCell ref="D1011:D1013"/>
    <mergeCell ref="H1011:I1011"/>
    <mergeCell ref="V1011:V1013"/>
    <mergeCell ref="H1013:I1013"/>
    <mergeCell ref="D1014:D1015"/>
    <mergeCell ref="E1014:E1015"/>
    <mergeCell ref="F1014:F1015"/>
    <mergeCell ref="G1014:G1015"/>
    <mergeCell ref="H1014:I1015"/>
    <mergeCell ref="H1012:I1012"/>
    <mergeCell ref="H1016:I1016"/>
    <mergeCell ref="H1017:I1017"/>
    <mergeCell ref="H1018:I1018"/>
    <mergeCell ref="H1019:I1019"/>
    <mergeCell ref="V785:V786"/>
    <mergeCell ref="H786:I786"/>
    <mergeCell ref="J786:L786"/>
    <mergeCell ref="D782:D783"/>
    <mergeCell ref="E782:E783"/>
    <mergeCell ref="H1021:I1021"/>
    <mergeCell ref="H1022:I1022"/>
    <mergeCell ref="H1023:I1023"/>
    <mergeCell ref="H1025:I1025"/>
    <mergeCell ref="V782:V783"/>
    <mergeCell ref="H783:I783"/>
    <mergeCell ref="J783:L783"/>
    <mergeCell ref="H784:I784"/>
    <mergeCell ref="J784:L784"/>
    <mergeCell ref="V952:AI952"/>
    <mergeCell ref="L954:L955"/>
    <mergeCell ref="M954:M955"/>
    <mergeCell ref="N954:N955"/>
    <mergeCell ref="D925:D932"/>
    <mergeCell ref="V925:V932"/>
    <mergeCell ref="D933:D940"/>
    <mergeCell ref="V933:V940"/>
    <mergeCell ref="D946:D947"/>
    <mergeCell ref="V946:V947"/>
    <mergeCell ref="H779:I779"/>
    <mergeCell ref="J779:L779"/>
    <mergeCell ref="H780:I780"/>
    <mergeCell ref="J780:L780"/>
    <mergeCell ref="H781:I781"/>
    <mergeCell ref="J781:L781"/>
    <mergeCell ref="H782:I782"/>
    <mergeCell ref="J782:L782"/>
    <mergeCell ref="B952:R952"/>
    <mergeCell ref="D785:D786"/>
    <mergeCell ref="E785:E786"/>
    <mergeCell ref="H785:I785"/>
    <mergeCell ref="J785:L785"/>
    <mergeCell ref="G935:G936"/>
    <mergeCell ref="G939:G940"/>
    <mergeCell ref="G933:G934"/>
    <mergeCell ref="D903:D910"/>
    <mergeCell ref="G858:H858"/>
    <mergeCell ref="I858:K858"/>
    <mergeCell ref="G859:H859"/>
    <mergeCell ref="I859:K859"/>
    <mergeCell ref="G855:H855"/>
    <mergeCell ref="I855:K855"/>
    <mergeCell ref="G856:H856"/>
    <mergeCell ref="F972:G972"/>
    <mergeCell ref="H972:I972"/>
    <mergeCell ref="H973:I973"/>
    <mergeCell ref="H974:I974"/>
    <mergeCell ref="K954:K955"/>
    <mergeCell ref="J769:L769"/>
    <mergeCell ref="H770:I770"/>
    <mergeCell ref="J770:L770"/>
    <mergeCell ref="H771:I771"/>
    <mergeCell ref="J771:L771"/>
    <mergeCell ref="H772:I772"/>
    <mergeCell ref="J772:L772"/>
    <mergeCell ref="H773:I773"/>
    <mergeCell ref="J773:L773"/>
    <mergeCell ref="H774:I774"/>
    <mergeCell ref="J774:L774"/>
    <mergeCell ref="H775:I775"/>
    <mergeCell ref="J775:L775"/>
    <mergeCell ref="H776:I776"/>
    <mergeCell ref="J776:L776"/>
    <mergeCell ref="H777:I777"/>
    <mergeCell ref="J777:L777"/>
    <mergeCell ref="H778:I778"/>
    <mergeCell ref="J778:L778"/>
    <mergeCell ref="H1006:I1006"/>
    <mergeCell ref="H1007:I1007"/>
    <mergeCell ref="B1030:R1030"/>
    <mergeCell ref="H987:I987"/>
    <mergeCell ref="H988:I988"/>
    <mergeCell ref="H990:I990"/>
    <mergeCell ref="H991:I991"/>
    <mergeCell ref="H985:I985"/>
    <mergeCell ref="D1003:D1004"/>
    <mergeCell ref="H1004:I1004"/>
    <mergeCell ref="H1027:I1027"/>
    <mergeCell ref="H1024:I1024"/>
    <mergeCell ref="H1002:I1002"/>
    <mergeCell ref="H1003:I1003"/>
    <mergeCell ref="H1005:I1005"/>
    <mergeCell ref="H1009:I1009"/>
    <mergeCell ref="H1026:I1026"/>
    <mergeCell ref="H1020:I1020"/>
    <mergeCell ref="H1010:I1010"/>
    <mergeCell ref="H994:I994"/>
    <mergeCell ref="H1008:I1008"/>
    <mergeCell ref="H993:I993"/>
    <mergeCell ref="C954:C955"/>
    <mergeCell ref="D954:D955"/>
    <mergeCell ref="E954:E955"/>
    <mergeCell ref="F954:F955"/>
    <mergeCell ref="G954:G955"/>
    <mergeCell ref="H954:H955"/>
    <mergeCell ref="I954:I955"/>
    <mergeCell ref="J954:J955"/>
    <mergeCell ref="R954:R955"/>
    <mergeCell ref="O954:O955"/>
    <mergeCell ref="P954:Q954"/>
    <mergeCell ref="V903:V910"/>
    <mergeCell ref="D915:D922"/>
    <mergeCell ref="V915:V922"/>
    <mergeCell ref="D923:D924"/>
    <mergeCell ref="V923:V924"/>
    <mergeCell ref="V860:V861"/>
    <mergeCell ref="G861:H861"/>
    <mergeCell ref="I861:K861"/>
    <mergeCell ref="B864:R864"/>
    <mergeCell ref="V864:AI864"/>
    <mergeCell ref="D901:D902"/>
    <mergeCell ref="V901:V902"/>
    <mergeCell ref="D860:D861"/>
    <mergeCell ref="G860:H860"/>
    <mergeCell ref="I860:K860"/>
    <mergeCell ref="G901:G902"/>
    <mergeCell ref="I856:K856"/>
    <mergeCell ref="G857:H857"/>
    <mergeCell ref="I857:K857"/>
    <mergeCell ref="G852:H852"/>
    <mergeCell ref="I852:K852"/>
    <mergeCell ref="G853:H853"/>
    <mergeCell ref="I853:K853"/>
    <mergeCell ref="G854:H854"/>
    <mergeCell ref="I854:K854"/>
    <mergeCell ref="G849:H849"/>
    <mergeCell ref="I849:K849"/>
    <mergeCell ref="G850:H850"/>
    <mergeCell ref="I850:K850"/>
    <mergeCell ref="G851:H851"/>
    <mergeCell ref="I851:K851"/>
    <mergeCell ref="G846:H846"/>
    <mergeCell ref="I846:K846"/>
    <mergeCell ref="G847:H847"/>
    <mergeCell ref="I847:K847"/>
    <mergeCell ref="G848:H848"/>
    <mergeCell ref="I848:K848"/>
    <mergeCell ref="B834:R834"/>
    <mergeCell ref="V834:AI834"/>
    <mergeCell ref="G844:H844"/>
    <mergeCell ref="I844:K844"/>
    <mergeCell ref="G845:H845"/>
    <mergeCell ref="I845:K845"/>
    <mergeCell ref="D828:D831"/>
    <mergeCell ref="E828:E831"/>
    <mergeCell ref="H828:I828"/>
    <mergeCell ref="J828:L828"/>
    <mergeCell ref="V828:V831"/>
    <mergeCell ref="H823:I823"/>
    <mergeCell ref="J823:L823"/>
    <mergeCell ref="H824:I824"/>
    <mergeCell ref="J824:L824"/>
    <mergeCell ref="H829:I829"/>
    <mergeCell ref="J829:L829"/>
    <mergeCell ref="H830:I830"/>
    <mergeCell ref="J830:L830"/>
    <mergeCell ref="H831:I831"/>
    <mergeCell ref="J831:L831"/>
    <mergeCell ref="V824:V825"/>
    <mergeCell ref="H825:I825"/>
    <mergeCell ref="J825:L825"/>
    <mergeCell ref="H827:I827"/>
    <mergeCell ref="J827:L827"/>
    <mergeCell ref="D824:D826"/>
    <mergeCell ref="E824:E826"/>
    <mergeCell ref="H826:I826"/>
    <mergeCell ref="J826:L826"/>
    <mergeCell ref="H820:I820"/>
    <mergeCell ref="J820:L820"/>
    <mergeCell ref="H821:I821"/>
    <mergeCell ref="J821:L821"/>
    <mergeCell ref="H822:I822"/>
    <mergeCell ref="J822:L822"/>
    <mergeCell ref="H817:I817"/>
    <mergeCell ref="J817:L817"/>
    <mergeCell ref="H818:I818"/>
    <mergeCell ref="J818:L818"/>
    <mergeCell ref="H819:I819"/>
    <mergeCell ref="J819:L819"/>
    <mergeCell ref="D815:D816"/>
    <mergeCell ref="E815:E816"/>
    <mergeCell ref="H815:I815"/>
    <mergeCell ref="J815:L815"/>
    <mergeCell ref="V815:V816"/>
    <mergeCell ref="H816:I816"/>
    <mergeCell ref="J816:L816"/>
    <mergeCell ref="V811:V812"/>
    <mergeCell ref="H812:I812"/>
    <mergeCell ref="J812:L812"/>
    <mergeCell ref="H813:I813"/>
    <mergeCell ref="J813:L813"/>
    <mergeCell ref="H814:I814"/>
    <mergeCell ref="J814:L814"/>
    <mergeCell ref="H809:I809"/>
    <mergeCell ref="J809:L809"/>
    <mergeCell ref="H810:I810"/>
    <mergeCell ref="J810:L810"/>
    <mergeCell ref="D811:D812"/>
    <mergeCell ref="E811:E812"/>
    <mergeCell ref="H811:I811"/>
    <mergeCell ref="J811:L811"/>
    <mergeCell ref="H806:I806"/>
    <mergeCell ref="J806:L806"/>
    <mergeCell ref="H807:I807"/>
    <mergeCell ref="J807:L807"/>
    <mergeCell ref="H808:I808"/>
    <mergeCell ref="J808:L808"/>
    <mergeCell ref="V746:V747"/>
    <mergeCell ref="H747:I747"/>
    <mergeCell ref="J747:L747"/>
    <mergeCell ref="B789:R789"/>
    <mergeCell ref="V789:AI789"/>
    <mergeCell ref="H805:I805"/>
    <mergeCell ref="J805:L805"/>
    <mergeCell ref="H745:I745"/>
    <mergeCell ref="J745:L745"/>
    <mergeCell ref="D746:D747"/>
    <mergeCell ref="E746:E747"/>
    <mergeCell ref="H746:I746"/>
    <mergeCell ref="J746:L746"/>
    <mergeCell ref="B750:R750"/>
    <mergeCell ref="V750:AI750"/>
    <mergeCell ref="H765:I765"/>
    <mergeCell ref="J765:L765"/>
    <mergeCell ref="H766:I766"/>
    <mergeCell ref="J766:L766"/>
    <mergeCell ref="H767:I767"/>
    <mergeCell ref="J767:L767"/>
    <mergeCell ref="H768:I768"/>
    <mergeCell ref="J768:L768"/>
    <mergeCell ref="H769:I769"/>
    <mergeCell ref="D743:D744"/>
    <mergeCell ref="E743:E744"/>
    <mergeCell ref="H743:I743"/>
    <mergeCell ref="J743:L743"/>
    <mergeCell ref="V743:V744"/>
    <mergeCell ref="H744:I744"/>
    <mergeCell ref="J744:L744"/>
    <mergeCell ref="H740:I740"/>
    <mergeCell ref="J740:L740"/>
    <mergeCell ref="H741:I741"/>
    <mergeCell ref="J741:L741"/>
    <mergeCell ref="H742:I742"/>
    <mergeCell ref="J742:L742"/>
    <mergeCell ref="H737:I737"/>
    <mergeCell ref="J737:L737"/>
    <mergeCell ref="H738:I738"/>
    <mergeCell ref="J738:L738"/>
    <mergeCell ref="H739:I739"/>
    <mergeCell ref="J739:L739"/>
    <mergeCell ref="H734:I734"/>
    <mergeCell ref="J734:L734"/>
    <mergeCell ref="H735:I735"/>
    <mergeCell ref="J735:L735"/>
    <mergeCell ref="H736:I736"/>
    <mergeCell ref="J736:L736"/>
    <mergeCell ref="H731:I731"/>
    <mergeCell ref="J731:L731"/>
    <mergeCell ref="H732:I732"/>
    <mergeCell ref="J732:L732"/>
    <mergeCell ref="H733:I733"/>
    <mergeCell ref="J733:L733"/>
    <mergeCell ref="H728:I728"/>
    <mergeCell ref="J728:L728"/>
    <mergeCell ref="H729:I729"/>
    <mergeCell ref="J729:L729"/>
    <mergeCell ref="H730:I730"/>
    <mergeCell ref="J730:L730"/>
    <mergeCell ref="V710:AI710"/>
    <mergeCell ref="H726:I726"/>
    <mergeCell ref="J726:L726"/>
    <mergeCell ref="H727:I727"/>
    <mergeCell ref="J727:L727"/>
    <mergeCell ref="H704:I704"/>
    <mergeCell ref="H705:I705"/>
    <mergeCell ref="H706:I706"/>
    <mergeCell ref="D703:D707"/>
    <mergeCell ref="E703:E707"/>
    <mergeCell ref="H707:I707"/>
    <mergeCell ref="J707:M707"/>
    <mergeCell ref="V703:V707"/>
    <mergeCell ref="J703:M706"/>
    <mergeCell ref="B710:R710"/>
    <mergeCell ref="V677:V681"/>
    <mergeCell ref="V682:V686"/>
    <mergeCell ref="H683:I685"/>
    <mergeCell ref="H682:I682"/>
    <mergeCell ref="J682:M682"/>
    <mergeCell ref="H686:I686"/>
    <mergeCell ref="J702:M702"/>
    <mergeCell ref="H703:I703"/>
    <mergeCell ref="J695:M695"/>
    <mergeCell ref="H697:I700"/>
    <mergeCell ref="J697:M700"/>
    <mergeCell ref="H701:I701"/>
    <mergeCell ref="J701:M701"/>
    <mergeCell ref="J696:M696"/>
    <mergeCell ref="J692:M692"/>
    <mergeCell ref="J693:M693"/>
    <mergeCell ref="J694:M694"/>
    <mergeCell ref="J685:M685"/>
    <mergeCell ref="V697:V701"/>
    <mergeCell ref="V692:V696"/>
    <mergeCell ref="V688:V689"/>
    <mergeCell ref="H689:I689"/>
    <mergeCell ref="H702:I702"/>
    <mergeCell ref="J687:M687"/>
    <mergeCell ref="D690:D691"/>
    <mergeCell ref="E690:E691"/>
    <mergeCell ref="H690:I690"/>
    <mergeCell ref="J690:M690"/>
    <mergeCell ref="V690:V691"/>
    <mergeCell ref="H691:I691"/>
    <mergeCell ref="J691:M691"/>
    <mergeCell ref="J689:M689"/>
    <mergeCell ref="H688:I688"/>
    <mergeCell ref="J688:M688"/>
    <mergeCell ref="D688:D689"/>
    <mergeCell ref="E688:E689"/>
    <mergeCell ref="D692:D696"/>
    <mergeCell ref="E692:E696"/>
    <mergeCell ref="E697:E701"/>
    <mergeCell ref="D697:D701"/>
    <mergeCell ref="H676:I676"/>
    <mergeCell ref="J676:M676"/>
    <mergeCell ref="J680:M680"/>
    <mergeCell ref="D677:D681"/>
    <mergeCell ref="E677:E681"/>
    <mergeCell ref="J681:M681"/>
    <mergeCell ref="J677:M677"/>
    <mergeCell ref="J678:M678"/>
    <mergeCell ref="J679:M679"/>
    <mergeCell ref="J686:M686"/>
    <mergeCell ref="E682:E686"/>
    <mergeCell ref="D682:D686"/>
    <mergeCell ref="J683:M683"/>
    <mergeCell ref="J684:M684"/>
    <mergeCell ref="H677:I681"/>
    <mergeCell ref="D675:D676"/>
    <mergeCell ref="E675:E676"/>
    <mergeCell ref="H675:I675"/>
    <mergeCell ref="J675:M675"/>
    <mergeCell ref="H687:I687"/>
    <mergeCell ref="V636:AI636"/>
    <mergeCell ref="B636:R636"/>
    <mergeCell ref="D630:D633"/>
    <mergeCell ref="E630:E633"/>
    <mergeCell ref="V630:V633"/>
    <mergeCell ref="H672:I672"/>
    <mergeCell ref="J672:K672"/>
    <mergeCell ref="L672:M672"/>
    <mergeCell ref="D673:D674"/>
    <mergeCell ref="E673:E674"/>
    <mergeCell ref="H673:I674"/>
    <mergeCell ref="J673:M674"/>
    <mergeCell ref="V673:V674"/>
    <mergeCell ref="V675:V676"/>
    <mergeCell ref="B581:R581"/>
    <mergeCell ref="V581:AI581"/>
    <mergeCell ref="V602:V605"/>
    <mergeCell ref="H576:I576"/>
    <mergeCell ref="J576:L576"/>
    <mergeCell ref="H577:I577"/>
    <mergeCell ref="J577:L577"/>
    <mergeCell ref="H578:I578"/>
    <mergeCell ref="J578:L578"/>
    <mergeCell ref="C592:L593"/>
    <mergeCell ref="D602:D605"/>
    <mergeCell ref="E602:E605"/>
    <mergeCell ref="H602:H605"/>
    <mergeCell ref="V609:V612"/>
    <mergeCell ref="D621:D624"/>
    <mergeCell ref="E621:E624"/>
    <mergeCell ref="H621:H624"/>
    <mergeCell ref="D609:D612"/>
    <mergeCell ref="E609:E612"/>
    <mergeCell ref="H609:H612"/>
    <mergeCell ref="D626:D629"/>
    <mergeCell ref="H626:H629"/>
    <mergeCell ref="E626:E629"/>
    <mergeCell ref="J572:L572"/>
    <mergeCell ref="H573:I573"/>
    <mergeCell ref="J573:L573"/>
    <mergeCell ref="H574:I574"/>
    <mergeCell ref="J574:L574"/>
    <mergeCell ref="H575:I575"/>
    <mergeCell ref="J575:L575"/>
    <mergeCell ref="H572:I572"/>
    <mergeCell ref="H566:I568"/>
    <mergeCell ref="H569:I571"/>
    <mergeCell ref="V562:V564"/>
    <mergeCell ref="V566:V571"/>
    <mergeCell ref="H561:I561"/>
    <mergeCell ref="J561:L561"/>
    <mergeCell ref="J562:L564"/>
    <mergeCell ref="H542:I542"/>
    <mergeCell ref="J542:L542"/>
    <mergeCell ref="H543:I543"/>
    <mergeCell ref="J543:L543"/>
    <mergeCell ref="B546:R546"/>
    <mergeCell ref="V546:AI546"/>
    <mergeCell ref="H565:I565"/>
    <mergeCell ref="J565:L565"/>
    <mergeCell ref="E562:E564"/>
    <mergeCell ref="D562:D564"/>
    <mergeCell ref="H562:I564"/>
    <mergeCell ref="D566:D568"/>
    <mergeCell ref="E566:E568"/>
    <mergeCell ref="D569:D571"/>
    <mergeCell ref="E569:E571"/>
    <mergeCell ref="J566:L568"/>
    <mergeCell ref="J569:L571"/>
    <mergeCell ref="H539:I539"/>
    <mergeCell ref="J539:L539"/>
    <mergeCell ref="H540:I540"/>
    <mergeCell ref="J540:L540"/>
    <mergeCell ref="H541:I541"/>
    <mergeCell ref="J541:L541"/>
    <mergeCell ref="H536:I536"/>
    <mergeCell ref="J536:L536"/>
    <mergeCell ref="H537:I537"/>
    <mergeCell ref="J537:L537"/>
    <mergeCell ref="H538:I538"/>
    <mergeCell ref="J538:L538"/>
    <mergeCell ref="H533:I533"/>
    <mergeCell ref="J533:L533"/>
    <mergeCell ref="H534:I534"/>
    <mergeCell ref="J534:L534"/>
    <mergeCell ref="H535:I535"/>
    <mergeCell ref="J535:L535"/>
    <mergeCell ref="H530:I530"/>
    <mergeCell ref="J530:L530"/>
    <mergeCell ref="H531:I531"/>
    <mergeCell ref="J531:L531"/>
    <mergeCell ref="H532:I532"/>
    <mergeCell ref="J532:L532"/>
    <mergeCell ref="J522:L522"/>
    <mergeCell ref="H523:I523"/>
    <mergeCell ref="J523:L523"/>
    <mergeCell ref="B481:R481"/>
    <mergeCell ref="V481:AI481"/>
    <mergeCell ref="D498:D499"/>
    <mergeCell ref="V498:V499"/>
    <mergeCell ref="D504:D505"/>
    <mergeCell ref="V504:V505"/>
    <mergeCell ref="B511:R511"/>
    <mergeCell ref="D472:D474"/>
    <mergeCell ref="G472:G474"/>
    <mergeCell ref="H472:H474"/>
    <mergeCell ref="V472:V474"/>
    <mergeCell ref="B443:R443"/>
    <mergeCell ref="V443:AI443"/>
    <mergeCell ref="D464:D466"/>
    <mergeCell ref="G464:G465"/>
    <mergeCell ref="H464:H465"/>
    <mergeCell ref="V464:V466"/>
    <mergeCell ref="D459:D460"/>
    <mergeCell ref="V459:V460"/>
    <mergeCell ref="D469:D471"/>
    <mergeCell ref="H469:H471"/>
    <mergeCell ref="D163:D192"/>
    <mergeCell ref="V350:V379"/>
    <mergeCell ref="D380:D409"/>
    <mergeCell ref="V380:V409"/>
    <mergeCell ref="H381:H409"/>
    <mergeCell ref="D411:D440"/>
    <mergeCell ref="G411:G440"/>
    <mergeCell ref="V411:V440"/>
    <mergeCell ref="D253:D282"/>
    <mergeCell ref="V253:V282"/>
    <mergeCell ref="D287:D316"/>
    <mergeCell ref="H287:H316"/>
    <mergeCell ref="V287:V316"/>
    <mergeCell ref="D317:D346"/>
    <mergeCell ref="V317:V346"/>
    <mergeCell ref="G287:G316"/>
    <mergeCell ref="G350:G379"/>
    <mergeCell ref="D350:D379"/>
    <mergeCell ref="V163:V192"/>
    <mergeCell ref="D193:D222"/>
    <mergeCell ref="V193:V222"/>
    <mergeCell ref="D223:D252"/>
    <mergeCell ref="V223:V252"/>
    <mergeCell ref="D113:D121"/>
    <mergeCell ref="H113:H121"/>
    <mergeCell ref="V113:V121"/>
    <mergeCell ref="B124:R124"/>
    <mergeCell ref="V124:AI124"/>
    <mergeCell ref="V92:V100"/>
    <mergeCell ref="D101:D109"/>
    <mergeCell ref="V101:V109"/>
    <mergeCell ref="B56:R56"/>
    <mergeCell ref="V56:AI56"/>
    <mergeCell ref="D74:D82"/>
    <mergeCell ref="V74:V82"/>
    <mergeCell ref="G101:G109"/>
    <mergeCell ref="D92:D100"/>
    <mergeCell ref="D44:D53"/>
    <mergeCell ref="E44:E53"/>
    <mergeCell ref="H52:J52"/>
    <mergeCell ref="K52:N52"/>
    <mergeCell ref="H53:J53"/>
    <mergeCell ref="K53:N53"/>
    <mergeCell ref="V44:V53"/>
    <mergeCell ref="D83:D91"/>
    <mergeCell ref="G74:G82"/>
    <mergeCell ref="D30:D31"/>
    <mergeCell ref="E30:E31"/>
    <mergeCell ref="H30:J30"/>
    <mergeCell ref="K30:N30"/>
    <mergeCell ref="V30:V31"/>
    <mergeCell ref="H31:J31"/>
    <mergeCell ref="K31:N31"/>
    <mergeCell ref="D28:D29"/>
    <mergeCell ref="E28:E29"/>
    <mergeCell ref="K28:N28"/>
    <mergeCell ref="V28:V29"/>
    <mergeCell ref="K29:N29"/>
    <mergeCell ref="H28:J28"/>
    <mergeCell ref="H29:J29"/>
    <mergeCell ref="E525:E526"/>
    <mergeCell ref="H525:I525"/>
    <mergeCell ref="J525:L525"/>
    <mergeCell ref="H526:I526"/>
    <mergeCell ref="J526:L526"/>
    <mergeCell ref="H529:I529"/>
    <mergeCell ref="J529:L529"/>
    <mergeCell ref="V4:AI4"/>
    <mergeCell ref="H27:J27"/>
    <mergeCell ref="K27:N27"/>
    <mergeCell ref="V37:V41"/>
    <mergeCell ref="V83:V91"/>
    <mergeCell ref="K38:N40"/>
    <mergeCell ref="K44:N51"/>
    <mergeCell ref="H38:J40"/>
    <mergeCell ref="V32:V36"/>
    <mergeCell ref="H42:J42"/>
    <mergeCell ref="K42:N42"/>
    <mergeCell ref="H43:J43"/>
    <mergeCell ref="K43:N43"/>
    <mergeCell ref="H44:J51"/>
    <mergeCell ref="V469:V471"/>
    <mergeCell ref="V511:AI511"/>
    <mergeCell ref="H522:I522"/>
    <mergeCell ref="V997:V998"/>
    <mergeCell ref="A1:O1"/>
    <mergeCell ref="P1:R1"/>
    <mergeCell ref="D2:J2"/>
    <mergeCell ref="B4:R4"/>
    <mergeCell ref="K35:N35"/>
    <mergeCell ref="D32:D36"/>
    <mergeCell ref="E32:E36"/>
    <mergeCell ref="K36:N36"/>
    <mergeCell ref="D37:D41"/>
    <mergeCell ref="E37:E41"/>
    <mergeCell ref="H41:J41"/>
    <mergeCell ref="H37:J37"/>
    <mergeCell ref="K32:N32"/>
    <mergeCell ref="K33:N33"/>
    <mergeCell ref="K34:N34"/>
    <mergeCell ref="H32:J36"/>
    <mergeCell ref="H527:I527"/>
    <mergeCell ref="J527:L527"/>
    <mergeCell ref="H528:I528"/>
    <mergeCell ref="J528:L528"/>
    <mergeCell ref="H524:I524"/>
    <mergeCell ref="J524:L524"/>
    <mergeCell ref="D525:D526"/>
    <mergeCell ref="V1251:V1258"/>
    <mergeCell ref="V1259:V1266"/>
    <mergeCell ref="G1267:H1270"/>
    <mergeCell ref="G1304:H1304"/>
    <mergeCell ref="G1289:H1289"/>
    <mergeCell ref="G1290:H1290"/>
    <mergeCell ref="G1291:H1291"/>
    <mergeCell ref="G1292:H1292"/>
    <mergeCell ref="G1293:H1293"/>
    <mergeCell ref="V1272:V1279"/>
    <mergeCell ref="V1267:V1270"/>
    <mergeCell ref="G1271:H1271"/>
    <mergeCell ref="V1294:V1301"/>
    <mergeCell ref="G1280:H1280"/>
    <mergeCell ref="V1281:V1288"/>
    <mergeCell ref="G1281:H1288"/>
    <mergeCell ref="G1294:H1299"/>
    <mergeCell ref="G1300:H1301"/>
    <mergeCell ref="G1302:H1302"/>
    <mergeCell ref="H984:I984"/>
    <mergeCell ref="H996:I996"/>
    <mergeCell ref="D1000:D1001"/>
    <mergeCell ref="H1001:I1001"/>
    <mergeCell ref="H975:I975"/>
    <mergeCell ref="H976:I976"/>
    <mergeCell ref="H997:I997"/>
    <mergeCell ref="H999:I999"/>
    <mergeCell ref="H1000:I1000"/>
    <mergeCell ref="H983:I983"/>
    <mergeCell ref="H989:I989"/>
    <mergeCell ref="H995:I995"/>
    <mergeCell ref="D973:D984"/>
    <mergeCell ref="V626:V629"/>
    <mergeCell ref="D618:D619"/>
    <mergeCell ref="E618:E619"/>
    <mergeCell ref="V618:V619"/>
    <mergeCell ref="H618:H619"/>
    <mergeCell ref="D1338:D1339"/>
    <mergeCell ref="E1338:E1339"/>
    <mergeCell ref="V1338:V1339"/>
    <mergeCell ref="K1103:M1103"/>
    <mergeCell ref="N1103:R1103"/>
    <mergeCell ref="V1000:V1001"/>
    <mergeCell ref="V1003:V1004"/>
    <mergeCell ref="D997:D998"/>
    <mergeCell ref="H998:I998"/>
    <mergeCell ref="H977:I977"/>
    <mergeCell ref="H982:I982"/>
    <mergeCell ref="H979:I979"/>
    <mergeCell ref="H980:I980"/>
    <mergeCell ref="H981:I981"/>
    <mergeCell ref="H986:I986"/>
    <mergeCell ref="H978:I978"/>
    <mergeCell ref="H1201:I1201"/>
    <mergeCell ref="J1201:L1201"/>
    <mergeCell ref="H992:I992"/>
  </mergeCells>
  <phoneticPr fontId="73" type="noConversion"/>
  <conditionalFormatting sqref="B1:B6 B22:B58 B122:B126 B486:B513 B555:B583 B592:B638 B667:B712 B717:B752 B757:B791 B797:B836 B840:B861 B863:B866 B891:B955 B968:B1032 B1049:B1089 B1121:B1125 B1150:B1176 C1234:C1249">
    <cfRule type="cellIs" dxfId="235" priority="235" operator="equal">
      <formula>"x"</formula>
    </cfRule>
  </conditionalFormatting>
  <conditionalFormatting sqref="B157:B445 B452:B483 B517:B548 C1292:E1292 C1293:F1293 C1294:E1301 B1325:B1342">
    <cfRule type="cellIs" dxfId="234" priority="193" operator="equal">
      <formula>"x"</formula>
    </cfRule>
  </conditionalFormatting>
  <conditionalFormatting sqref="B1189:B1212">
    <cfRule type="cellIs" dxfId="233" priority="234" operator="equal">
      <formula>"x"</formula>
    </cfRule>
  </conditionalFormatting>
  <conditionalFormatting sqref="B1306:B1308">
    <cfRule type="cellIs" dxfId="232" priority="159" operator="equal">
      <formula>"x"</formula>
    </cfRule>
  </conditionalFormatting>
  <conditionalFormatting sqref="B1214:P1215 C1216 F1216:P1216 C1217:P1233 F1234:P1234 D1235:P1241 D1242:H1242 D1243:E1249 G1243:G1249 C1250:E1254 G1251 C1259:G1259 C1260:D1267 C1268:C1270 C1291 C1305:P1305">
    <cfRule type="cellIs" dxfId="231" priority="221" operator="equal">
      <formula>"x"</formula>
    </cfRule>
  </conditionalFormatting>
  <conditionalFormatting sqref="C1273:F1289 C1290:E1290">
    <cfRule type="cellIs" dxfId="230" priority="196" operator="equal">
      <formula>"x"</formula>
    </cfRule>
  </conditionalFormatting>
  <conditionalFormatting sqref="C1271:G1272">
    <cfRule type="cellIs" dxfId="229" priority="212" operator="equal">
      <formula>"x"</formula>
    </cfRule>
  </conditionalFormatting>
  <conditionalFormatting sqref="C1302:G1304">
    <cfRule type="cellIs" dxfId="228" priority="120" operator="equal">
      <formula>"x"</formula>
    </cfRule>
  </conditionalFormatting>
  <conditionalFormatting sqref="D594">
    <cfRule type="cellIs" dxfId="227" priority="138" operator="equal">
      <formula>"x"</formula>
    </cfRule>
  </conditionalFormatting>
  <conditionalFormatting sqref="D1049:D1050 D1051:E1051">
    <cfRule type="cellIs" dxfId="226" priority="165" operator="equal">
      <formula>"x"</formula>
    </cfRule>
  </conditionalFormatting>
  <conditionalFormatting sqref="D1073:D1074">
    <cfRule type="cellIs" dxfId="225" priority="7" operator="equal">
      <formula>"x"</formula>
    </cfRule>
  </conditionalFormatting>
  <conditionalFormatting sqref="D1094:D1095 D1096:E1096">
    <cfRule type="cellIs" dxfId="224" priority="153" operator="equal">
      <formula>"x"</formula>
    </cfRule>
  </conditionalFormatting>
  <conditionalFormatting sqref="D1150:D1151 D1152:E1152">
    <cfRule type="cellIs" dxfId="223" priority="151" operator="equal">
      <formula>"x"</formula>
    </cfRule>
  </conditionalFormatting>
  <conditionalFormatting sqref="D1325:D1326 D1327:E1327">
    <cfRule type="cellIs" dxfId="222" priority="155" operator="equal">
      <formula>"x"</formula>
    </cfRule>
  </conditionalFormatting>
  <conditionalFormatting sqref="D555:E555">
    <cfRule type="cellIs" dxfId="221" priority="148" operator="equal">
      <formula>"x"</formula>
    </cfRule>
  </conditionalFormatting>
  <conditionalFormatting sqref="D1075:E1075">
    <cfRule type="cellIs" dxfId="220" priority="6" operator="equal">
      <formula>"x"</formula>
    </cfRule>
  </conditionalFormatting>
  <conditionalFormatting sqref="D1079:F1079 D1082:E1082 D1083:F1083">
    <cfRule type="cellIs" dxfId="219" priority="9" operator="equal">
      <formula>"x"</formula>
    </cfRule>
  </conditionalFormatting>
  <conditionalFormatting sqref="D1078:I1078">
    <cfRule type="cellIs" dxfId="218" priority="8" operator="equal">
      <formula>"x"</formula>
    </cfRule>
  </conditionalFormatting>
  <conditionalFormatting sqref="E9">
    <cfRule type="cellIs" dxfId="217" priority="274" operator="equal">
      <formula>"x"</formula>
    </cfRule>
  </conditionalFormatting>
  <conditionalFormatting sqref="E12">
    <cfRule type="cellIs" dxfId="216" priority="273" operator="equal">
      <formula>"x"</formula>
    </cfRule>
  </conditionalFormatting>
  <conditionalFormatting sqref="E15">
    <cfRule type="cellIs" dxfId="215" priority="272" operator="equal">
      <formula>"x"</formula>
    </cfRule>
  </conditionalFormatting>
  <conditionalFormatting sqref="E18:E21">
    <cfRule type="cellIs" dxfId="214" priority="271" operator="equal">
      <formula>"x"</formula>
    </cfRule>
  </conditionalFormatting>
  <conditionalFormatting sqref="E485">
    <cfRule type="cellIs" dxfId="213" priority="267" operator="equal">
      <formula>"x"</formula>
    </cfRule>
  </conditionalFormatting>
  <conditionalFormatting sqref="E647:E648">
    <cfRule type="cellIs" dxfId="212" priority="263" operator="equal">
      <formula>"x"</formula>
    </cfRule>
  </conditionalFormatting>
  <conditionalFormatting sqref="E653:E654">
    <cfRule type="cellIs" dxfId="211" priority="262" operator="equal">
      <formula>"x"</formula>
    </cfRule>
  </conditionalFormatting>
  <conditionalFormatting sqref="E659:E666">
    <cfRule type="cellIs" dxfId="210" priority="261" operator="equal">
      <formula>"x"</formula>
    </cfRule>
  </conditionalFormatting>
  <conditionalFormatting sqref="E869:E870">
    <cfRule type="cellIs" dxfId="209" priority="260" operator="equal">
      <formula>"x"</formula>
    </cfRule>
  </conditionalFormatting>
  <conditionalFormatting sqref="E875:E876">
    <cfRule type="cellIs" dxfId="208" priority="259" operator="equal">
      <formula>"x"</formula>
    </cfRule>
  </conditionalFormatting>
  <conditionalFormatting sqref="E881:E882">
    <cfRule type="cellIs" dxfId="207" priority="258" operator="equal">
      <formula>"x"</formula>
    </cfRule>
  </conditionalFormatting>
  <conditionalFormatting sqref="E887:E888">
    <cfRule type="cellIs" dxfId="206" priority="257" operator="equal">
      <formula>"x"</formula>
    </cfRule>
  </conditionalFormatting>
  <conditionalFormatting sqref="E1049:E1051">
    <cfRule type="cellIs" dxfId="205" priority="164" operator="equal">
      <formula>"x"</formula>
    </cfRule>
  </conditionalFormatting>
  <conditionalFormatting sqref="E1073:E1075">
    <cfRule type="cellIs" dxfId="204" priority="5" operator="equal">
      <formula>"x"</formula>
    </cfRule>
  </conditionalFormatting>
  <conditionalFormatting sqref="E1094:E1096">
    <cfRule type="cellIs" dxfId="203" priority="152" operator="equal">
      <formula>"x"</formula>
    </cfRule>
  </conditionalFormatting>
  <conditionalFormatting sqref="E1150:E1152">
    <cfRule type="cellIs" dxfId="202" priority="150" operator="equal">
      <formula>"x"</formula>
    </cfRule>
  </conditionalFormatting>
  <conditionalFormatting sqref="E1291">
    <cfRule type="cellIs" dxfId="201" priority="211" operator="equal">
      <formula>"x"</formula>
    </cfRule>
  </conditionalFormatting>
  <conditionalFormatting sqref="E1311">
    <cfRule type="cellIs" dxfId="200" priority="163" operator="equal">
      <formula>"x"</formula>
    </cfRule>
  </conditionalFormatting>
  <conditionalFormatting sqref="E1314">
    <cfRule type="cellIs" dxfId="199" priority="162" operator="equal">
      <formula>"x"</formula>
    </cfRule>
  </conditionalFormatting>
  <conditionalFormatting sqref="E1319">
    <cfRule type="cellIs" dxfId="198" priority="13" operator="equal">
      <formula>"x"</formula>
    </cfRule>
  </conditionalFormatting>
  <conditionalFormatting sqref="E1322">
    <cfRule type="cellIs" dxfId="197" priority="12" operator="equal">
      <formula>"x"</formula>
    </cfRule>
  </conditionalFormatting>
  <conditionalFormatting sqref="E1325:E1327">
    <cfRule type="cellIs" dxfId="196" priority="154" operator="equal">
      <formula>"x"</formula>
    </cfRule>
  </conditionalFormatting>
  <conditionalFormatting sqref="E1260:F1270">
    <cfRule type="cellIs" dxfId="195" priority="213" operator="equal">
      <formula>"x"</formula>
    </cfRule>
  </conditionalFormatting>
  <conditionalFormatting sqref="F52:F53">
    <cfRule type="cellIs" dxfId="194" priority="232" operator="equal">
      <formula>"x"</formula>
    </cfRule>
  </conditionalFormatting>
  <conditionalFormatting sqref="G1080">
    <cfRule type="cellIs" dxfId="193" priority="10" operator="equal">
      <formula>"x"</formula>
    </cfRule>
  </conditionalFormatting>
  <conditionalFormatting sqref="G1267">
    <cfRule type="cellIs" dxfId="192" priority="129" operator="equal">
      <formula>"x"</formula>
    </cfRule>
  </conditionalFormatting>
  <conditionalFormatting sqref="G1280:G1281">
    <cfRule type="cellIs" dxfId="191" priority="127" operator="equal">
      <formula>"x"</formula>
    </cfRule>
  </conditionalFormatting>
  <conditionalFormatting sqref="G1289:G1294">
    <cfRule type="cellIs" dxfId="190" priority="123" operator="equal">
      <formula>"x"</formula>
    </cfRule>
  </conditionalFormatting>
  <conditionalFormatting sqref="G1300">
    <cfRule type="cellIs" dxfId="189" priority="122" operator="equal">
      <formula>"x"</formula>
    </cfRule>
  </conditionalFormatting>
  <conditionalFormatting sqref="G739:I739">
    <cfRule type="cellIs" dxfId="188" priority="119" operator="equal">
      <formula>"x"</formula>
    </cfRule>
  </conditionalFormatting>
  <conditionalFormatting sqref="G778:I778">
    <cfRule type="cellIs" dxfId="187" priority="118" operator="equal">
      <formula>"x"</formula>
    </cfRule>
  </conditionalFormatting>
  <conditionalFormatting sqref="G820:I820">
    <cfRule type="cellIs" dxfId="186" priority="133" operator="equal">
      <formula>"x"</formula>
    </cfRule>
  </conditionalFormatting>
  <conditionalFormatting sqref="I1078:I1083 H1079:H1083 D1080:D1081 F1080:F1082">
    <cfRule type="cellIs" dxfId="185" priority="11" operator="equal">
      <formula>"x"</formula>
    </cfRule>
  </conditionalFormatting>
  <conditionalFormatting sqref="I1242:P1304">
    <cfRule type="cellIs" dxfId="184" priority="210" operator="equal">
      <formula>"x"</formula>
    </cfRule>
  </conditionalFormatting>
  <conditionalFormatting sqref="V1079 V1081:V1083">
    <cfRule type="cellIs" dxfId="183" priority="3" operator="equal">
      <formula>"x"</formula>
    </cfRule>
  </conditionalFormatting>
  <conditionalFormatting sqref="V1243:V1267 C1255:F1256 C1257:E1258 V1271:V1304">
    <cfRule type="cellIs" dxfId="182" priority="276" operator="equal">
      <formula>"x"</formula>
    </cfRule>
  </conditionalFormatting>
  <conditionalFormatting sqref="W1079:AE1083">
    <cfRule type="cellIs" dxfId="181" priority="4" operator="equal">
      <formula>"x"</formula>
    </cfRule>
  </conditionalFormatting>
  <conditionalFormatting sqref="AA1177:AA1188">
    <cfRule type="cellIs" dxfId="180" priority="233" operator="notEqual">
      <formula>Z1177</formula>
    </cfRule>
  </conditionalFormatting>
  <conditionalFormatting sqref="AB1243:AE1304">
    <cfRule type="cellIs" dxfId="179" priority="140" operator="equal">
      <formula>"x"</formula>
    </cfRule>
  </conditionalFormatting>
  <conditionalFormatting sqref="AC7:AC21 AC1309:AC1324 AC1330:AE1334">
    <cfRule type="cellIs" dxfId="178" priority="231" operator="notEqual">
      <formula>AB7</formula>
    </cfRule>
  </conditionalFormatting>
  <conditionalFormatting sqref="AC673:AC702">
    <cfRule type="cellIs" dxfId="177" priority="227" operator="notEqual">
      <formula>AB673</formula>
    </cfRule>
  </conditionalFormatting>
  <conditionalFormatting sqref="AC28:AE33">
    <cfRule type="cellIs" dxfId="176" priority="169" operator="notEqual">
      <formula>AB28</formula>
    </cfRule>
  </conditionalFormatting>
  <conditionalFormatting sqref="AC639:AE666">
    <cfRule type="cellIs" dxfId="175" priority="147" operator="notEqual">
      <formula>AB639</formula>
    </cfRule>
  </conditionalFormatting>
  <conditionalFormatting sqref="AC1218:AE1233">
    <cfRule type="cellIs" dxfId="174" priority="139" operator="equal">
      <formula>"x"</formula>
    </cfRule>
  </conditionalFormatting>
  <conditionalFormatting sqref="AF7:AF21 AF584:AF591 AF602:AF633 AF956:AF967 AF973:AF1013 AF1016:AF1027 AF1330:AF1342">
    <cfRule type="expression" dxfId="173" priority="117">
      <formula>AF7&lt;&gt;AE7</formula>
    </cfRule>
    <cfRule type="expression" dxfId="172" priority="116">
      <formula>AND(AF7=AE7,AE7&lt;&gt;"")</formula>
    </cfRule>
  </conditionalFormatting>
  <conditionalFormatting sqref="AF28:AF53">
    <cfRule type="expression" dxfId="171" priority="67">
      <formula>AF28&lt;&gt;AE28</formula>
    </cfRule>
    <cfRule type="expression" dxfId="170" priority="66">
      <formula>AND(AF28=AE28,AE28&lt;&gt;"")</formula>
    </cfRule>
  </conditionalFormatting>
  <conditionalFormatting sqref="AF59:AF67">
    <cfRule type="expression" dxfId="169" priority="115">
      <formula>AF59&lt;&gt;AE59</formula>
    </cfRule>
    <cfRule type="expression" dxfId="168" priority="114">
      <formula>AND(AF59=AE59,AE59&lt;&gt;"")</formula>
    </cfRule>
  </conditionalFormatting>
  <conditionalFormatting sqref="AF74:AF121">
    <cfRule type="expression" dxfId="167" priority="65">
      <formula>AF74&lt;&gt;AE74</formula>
    </cfRule>
    <cfRule type="expression" dxfId="166" priority="64">
      <formula>AND(AF74=AE74,AE74&lt;&gt;"")</formula>
    </cfRule>
  </conditionalFormatting>
  <conditionalFormatting sqref="AF127:AF156">
    <cfRule type="expression" dxfId="165" priority="112">
      <formula>AND(AF127=AE127,AE127&lt;&gt;"")</formula>
    </cfRule>
    <cfRule type="expression" dxfId="164" priority="113">
      <formula>AF127&lt;&gt;AE127</formula>
    </cfRule>
  </conditionalFormatting>
  <conditionalFormatting sqref="AF163:AF440">
    <cfRule type="expression" dxfId="163" priority="63">
      <formula>AF163&lt;&gt;AE163</formula>
    </cfRule>
    <cfRule type="expression" dxfId="162" priority="62">
      <formula>AND(AF163=AE163,AE163&lt;&gt;"")</formula>
    </cfRule>
  </conditionalFormatting>
  <conditionalFormatting sqref="AF446:AF451">
    <cfRule type="expression" dxfId="161" priority="111">
      <formula>AF446&lt;&gt;AE446</formula>
    </cfRule>
    <cfRule type="expression" dxfId="160" priority="110">
      <formula>AND(AF446=AE446,AE446&lt;&gt;"")</formula>
    </cfRule>
  </conditionalFormatting>
  <conditionalFormatting sqref="AF459:AF478">
    <cfRule type="expression" dxfId="159" priority="61">
      <formula>AF459&lt;&gt;AE459</formula>
    </cfRule>
    <cfRule type="expression" dxfId="158" priority="60">
      <formula>AND(AF459=AE459,AE459&lt;&gt;"")</formula>
    </cfRule>
  </conditionalFormatting>
  <conditionalFormatting sqref="AF484:AF485">
    <cfRule type="expression" dxfId="157" priority="108">
      <formula>AND(AF484=AE484,AE484&lt;&gt;"")</formula>
    </cfRule>
    <cfRule type="expression" dxfId="156" priority="109">
      <formula>AF484&lt;&gt;AE484</formula>
    </cfRule>
  </conditionalFormatting>
  <conditionalFormatting sqref="AF496:AF508">
    <cfRule type="expression" dxfId="155" priority="58">
      <formula>AND(AF496=AE496,AE496&lt;&gt;"")</formula>
    </cfRule>
    <cfRule type="expression" dxfId="154" priority="59">
      <formula>AF496&lt;&gt;AE496</formula>
    </cfRule>
  </conditionalFormatting>
  <conditionalFormatting sqref="AF514:AF516">
    <cfRule type="expression" dxfId="153" priority="107">
      <formula>AF514&lt;&gt;AE514</formula>
    </cfRule>
    <cfRule type="expression" dxfId="152" priority="106">
      <formula>AND(AF514=AE514,AE514&lt;&gt;"")</formula>
    </cfRule>
  </conditionalFormatting>
  <conditionalFormatting sqref="AF523:AF543">
    <cfRule type="expression" dxfId="151" priority="57">
      <formula>AF523&lt;&gt;AE523</formula>
    </cfRule>
    <cfRule type="expression" dxfId="150" priority="56">
      <formula>AND(AF523=AE523,AE523&lt;&gt;"")</formula>
    </cfRule>
  </conditionalFormatting>
  <conditionalFormatting sqref="AF549:AF554">
    <cfRule type="expression" dxfId="149" priority="104">
      <formula>AND(AF549=AE549,AE549&lt;&gt;"")</formula>
    </cfRule>
    <cfRule type="expression" dxfId="148" priority="105">
      <formula>AF549&lt;&gt;AE549</formula>
    </cfRule>
  </conditionalFormatting>
  <conditionalFormatting sqref="AF562:AF578">
    <cfRule type="expression" dxfId="147" priority="55">
      <formula>AF562&lt;&gt;AE562</formula>
    </cfRule>
    <cfRule type="expression" dxfId="146" priority="54">
      <formula>AND(AF562=AE562,AE562&lt;&gt;"")</formula>
    </cfRule>
  </conditionalFormatting>
  <conditionalFormatting sqref="AF639:AF666">
    <cfRule type="expression" dxfId="145" priority="100">
      <formula>AND(AF639=AE639,AE639&lt;&gt;"")</formula>
    </cfRule>
    <cfRule type="expression" dxfId="144" priority="101">
      <formula>AF639&lt;&gt;AE639</formula>
    </cfRule>
  </conditionalFormatting>
  <conditionalFormatting sqref="AF673:AF707">
    <cfRule type="expression" dxfId="143" priority="51">
      <formula>AF673&lt;&gt;AE673</formula>
    </cfRule>
    <cfRule type="expression" dxfId="142" priority="50">
      <formula>AND(AF673=AE673,AE673&lt;&gt;"")</formula>
    </cfRule>
  </conditionalFormatting>
  <conditionalFormatting sqref="AF713:AF716">
    <cfRule type="expression" dxfId="141" priority="98">
      <formula>AND(AF713=AE713,AE713&lt;&gt;"")</formula>
    </cfRule>
    <cfRule type="expression" dxfId="140" priority="99">
      <formula>AF713&lt;&gt;AE713</formula>
    </cfRule>
  </conditionalFormatting>
  <conditionalFormatting sqref="AF727:AF747">
    <cfRule type="expression" dxfId="139" priority="48">
      <formula>AND(AF727=AE727,AE727&lt;&gt;"")</formula>
    </cfRule>
    <cfRule type="expression" dxfId="138" priority="49">
      <formula>AF727&lt;&gt;AE727</formula>
    </cfRule>
  </conditionalFormatting>
  <conditionalFormatting sqref="AF753:AF756">
    <cfRule type="expression" dxfId="137" priority="97">
      <formula>AF753&lt;&gt;AE753</formula>
    </cfRule>
    <cfRule type="expression" dxfId="136" priority="96">
      <formula>AND(AF753=AE753,AE753&lt;&gt;"")</formula>
    </cfRule>
  </conditionalFormatting>
  <conditionalFormatting sqref="AF766:AF786">
    <cfRule type="expression" dxfId="135" priority="47">
      <formula>AF766&lt;&gt;AE766</formula>
    </cfRule>
    <cfRule type="expression" dxfId="134" priority="46">
      <formula>AND(AF766=AE766,AE766&lt;&gt;"")</formula>
    </cfRule>
  </conditionalFormatting>
  <conditionalFormatting sqref="AF792:AF796">
    <cfRule type="expression" dxfId="133" priority="95">
      <formula>AF792&lt;&gt;AE792</formula>
    </cfRule>
    <cfRule type="expression" dxfId="132" priority="94">
      <formula>AND(AF792=AE792,AE792&lt;&gt;"")</formula>
    </cfRule>
  </conditionalFormatting>
  <conditionalFormatting sqref="AF806:AF831">
    <cfRule type="expression" dxfId="131" priority="45">
      <formula>AF806&lt;&gt;AE806</formula>
    </cfRule>
    <cfRule type="expression" dxfId="130" priority="44">
      <formula>AND(AF806=AE806,AE806&lt;&gt;"")</formula>
    </cfRule>
  </conditionalFormatting>
  <conditionalFormatting sqref="AF837:AF839">
    <cfRule type="expression" dxfId="129" priority="93">
      <formula>AF837&lt;&gt;AE837</formula>
    </cfRule>
    <cfRule type="expression" dxfId="128" priority="92">
      <formula>AND(AF837=AE837,AE837&lt;&gt;"")</formula>
    </cfRule>
  </conditionalFormatting>
  <conditionalFormatting sqref="AF845:AF861">
    <cfRule type="expression" dxfId="127" priority="43">
      <formula>AF845&lt;&gt;AE845</formula>
    </cfRule>
    <cfRule type="expression" dxfId="126" priority="42">
      <formula>AND(AF845=AE845,AE845&lt;&gt;"")</formula>
    </cfRule>
  </conditionalFormatting>
  <conditionalFormatting sqref="AF867:AF890">
    <cfRule type="expression" dxfId="125" priority="91">
      <formula>AF867&lt;&gt;AE867</formula>
    </cfRule>
    <cfRule type="expression" dxfId="124" priority="90">
      <formula>AND(AF867=AE867,AE867&lt;&gt;"")</formula>
    </cfRule>
  </conditionalFormatting>
  <conditionalFormatting sqref="AF901:AF947">
    <cfRule type="expression" dxfId="123" priority="40">
      <formula>AND(AF901=AE901,AE901&lt;&gt;"")</formula>
    </cfRule>
    <cfRule type="expression" dxfId="122" priority="41">
      <formula>AF901&lt;&gt;AE901</formula>
    </cfRule>
  </conditionalFormatting>
  <conditionalFormatting sqref="AF1033:AF1045">
    <cfRule type="expression" dxfId="121" priority="79">
      <formula>AF1033&lt;&gt;AE1033</formula>
    </cfRule>
    <cfRule type="expression" dxfId="120" priority="78">
      <formula>AND(AF1033=AE1033,AE1033&lt;&gt;"")</formula>
    </cfRule>
  </conditionalFormatting>
  <conditionalFormatting sqref="AF1054:AF1077">
    <cfRule type="expression" dxfId="119" priority="26">
      <formula>AND(AF1054=AE1054,AE1054&lt;&gt;"")</formula>
    </cfRule>
    <cfRule type="expression" dxfId="118" priority="27">
      <formula>AF1054&lt;&gt;AE1054</formula>
    </cfRule>
  </conditionalFormatting>
  <conditionalFormatting sqref="AF1079:AF1083">
    <cfRule type="expression" dxfId="117" priority="1">
      <formula>AND(AF1079=AE1079,AE1079&lt;&gt;"")</formula>
    </cfRule>
    <cfRule type="expression" dxfId="116" priority="2">
      <formula>AF1079&lt;&gt;AE1079</formula>
    </cfRule>
  </conditionalFormatting>
  <conditionalFormatting sqref="AF1090:AF1093">
    <cfRule type="expression" dxfId="115" priority="77">
      <formula>AF1090&lt;&gt;AE1090</formula>
    </cfRule>
    <cfRule type="expression" dxfId="114" priority="76">
      <formula>AND(AF1090=AE1090,AE1090&lt;&gt;"")</formula>
    </cfRule>
  </conditionalFormatting>
  <conditionalFormatting sqref="AF1101:AF1120">
    <cfRule type="expression" dxfId="113" priority="24">
      <formula>AND(AF1101=AE1101,AE1101&lt;&gt;"")</formula>
    </cfRule>
    <cfRule type="expression" dxfId="112" priority="25">
      <formula>AF1101&lt;&gt;AE1101</formula>
    </cfRule>
  </conditionalFormatting>
  <conditionalFormatting sqref="AF1126:AF1149">
    <cfRule type="expression" dxfId="111" priority="75">
      <formula>AF1126&lt;&gt;AE1126</formula>
    </cfRule>
    <cfRule type="expression" dxfId="110" priority="74">
      <formula>AND(AF1126=AE1126,AE1126&lt;&gt;"")</formula>
    </cfRule>
  </conditionalFormatting>
  <conditionalFormatting sqref="AF1156:AF1170">
    <cfRule type="expression" dxfId="109" priority="22">
      <formula>AND(AF1156=AE1156,AE1156&lt;&gt;"")</formula>
    </cfRule>
    <cfRule type="expression" dxfId="108" priority="23">
      <formula>AF1156&lt;&gt;AE1156</formula>
    </cfRule>
  </conditionalFormatting>
  <conditionalFormatting sqref="AF1177:AF1188">
    <cfRule type="expression" dxfId="107" priority="73">
      <formula>AF1177&lt;&gt;AE1177</formula>
    </cfRule>
    <cfRule type="expression" dxfId="106" priority="72">
      <formula>AND(AF1177=AE1177,AE1177&lt;&gt;"")</formula>
    </cfRule>
  </conditionalFormatting>
  <conditionalFormatting sqref="AF1196:AF1211">
    <cfRule type="expression" dxfId="105" priority="19">
      <formula>AF1196&lt;&gt;AE1196</formula>
    </cfRule>
    <cfRule type="expression" dxfId="104" priority="18">
      <formula>AND(AF1196=AE1196,AE1196&lt;&gt;"")</formula>
    </cfRule>
  </conditionalFormatting>
  <conditionalFormatting sqref="AF1218:AF1233">
    <cfRule type="expression" dxfId="103" priority="70">
      <formula>AND(AF1218=AE1218,AE1218&lt;&gt;"")</formula>
    </cfRule>
    <cfRule type="expression" dxfId="102" priority="71">
      <formula>AF1218&lt;&gt;AE1218</formula>
    </cfRule>
  </conditionalFormatting>
  <conditionalFormatting sqref="AF1243:AF1304">
    <cfRule type="expression" dxfId="101" priority="16">
      <formula>AND(AF1243=AE1243,AE1243&lt;&gt;"")</formula>
    </cfRule>
    <cfRule type="expression" dxfId="100" priority="17">
      <formula>AF1243&lt;&gt;AE1243</formula>
    </cfRule>
  </conditionalFormatting>
  <conditionalFormatting sqref="AF1309:AF1324">
    <cfRule type="expression" dxfId="99" priority="68">
      <formula>AND(AF1309=AE1309,AE1309&lt;&gt;"")</formula>
    </cfRule>
    <cfRule type="expression" dxfId="98" priority="69">
      <formula>AF1309&lt;&gt;AE1309</formula>
    </cfRule>
  </conditionalFormatting>
  <conditionalFormatting sqref="AH484:AH485 AH956:AH967">
    <cfRule type="cellIs" dxfId="97" priority="269" operator="lessThan">
      <formula>-0.1</formula>
    </cfRule>
    <cfRule type="cellIs" dxfId="96" priority="270" operator="greaterThan">
      <formula>0.1</formula>
    </cfRule>
  </conditionalFormatting>
  <conditionalFormatting sqref="AH639:AH668">
    <cfRule type="cellIs" dxfId="95" priority="265" operator="lessThan">
      <formula>-0.1</formula>
    </cfRule>
    <cfRule type="cellIs" dxfId="94" priority="266" operator="greaterThan">
      <formula>0.1</formula>
    </cfRule>
  </conditionalFormatting>
  <conditionalFormatting sqref="AH713:AH717">
    <cfRule type="cellIs" dxfId="93" priority="285" operator="lessThan">
      <formula>-0.1</formula>
    </cfRule>
    <cfRule type="cellIs" dxfId="92" priority="286" operator="greaterThan">
      <formula>0.1</formula>
    </cfRule>
  </conditionalFormatting>
  <conditionalFormatting sqref="AH753:AH757">
    <cfRule type="cellIs" dxfId="91" priority="246" operator="lessThan">
      <formula>-0.1</formula>
    </cfRule>
    <cfRule type="cellIs" dxfId="90" priority="247" operator="greaterThan">
      <formula>0.1</formula>
    </cfRule>
  </conditionalFormatting>
  <conditionalFormatting sqref="AH792:AH796">
    <cfRule type="cellIs" dxfId="89" priority="253" operator="lessThan">
      <formula>-0.1</formula>
    </cfRule>
    <cfRule type="cellIs" dxfId="88" priority="254" operator="greaterThan">
      <formula>0.1</formula>
    </cfRule>
  </conditionalFormatting>
  <conditionalFormatting sqref="AH867:AH890">
    <cfRule type="cellIs" dxfId="87" priority="279" operator="lessThan">
      <formula>-0.1</formula>
    </cfRule>
    <cfRule type="cellIs" dxfId="86" priority="280" operator="greaterThan">
      <formula>0.1</formula>
    </cfRule>
  </conditionalFormatting>
  <conditionalFormatting sqref="AH1218:AH1233">
    <cfRule type="cellIs" dxfId="85" priority="291" operator="lessThan">
      <formula>-0.1</formula>
    </cfRule>
    <cfRule type="cellIs" dxfId="84" priority="292" operator="greaterThan">
      <formula>0.1</formula>
    </cfRule>
  </conditionalFormatting>
  <conditionalFormatting sqref="AR1156:AR1170">
    <cfRule type="expression" dxfId="83" priority="21">
      <formula>AR1156&lt;&gt;AQ1156</formula>
    </cfRule>
    <cfRule type="expression" dxfId="82" priority="20">
      <formula>AND(AR1156=AQ1156,AQ1156&lt;&gt;"")</formula>
    </cfRule>
  </conditionalFormatting>
  <hyperlinks>
    <hyperlink ref="O686" location="_ftn1" display="_ftn1" xr:uid="{00000000-0004-0000-0600-000007000000}"/>
    <hyperlink ref="O701" location="_ftn1" display="_ftn1" xr:uid="{00000000-0004-0000-0600-000008000000}"/>
  </hyperlinks>
  <pageMargins left="0.7" right="0.7" top="0.75" bottom="0.75" header="0.3" footer="0.3"/>
  <pageSetup scale="36" fitToHeight="0" orientation="landscape" r:id="rId1"/>
  <rowBreaks count="3" manualBreakCount="3">
    <brk id="479" max="18" man="1"/>
    <brk id="667" max="18" man="1"/>
    <brk id="1121" max="18"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59633-AAC4-4F6E-842F-616C6FF0139E}">
  <sheetPr codeName="Sheet15">
    <tabColor rgb="FFFF9999"/>
  </sheetPr>
  <dimension ref="A1:DJ5415"/>
  <sheetViews>
    <sheetView topLeftCell="F1" zoomScaleNormal="100" workbookViewId="0">
      <selection activeCell="G7" sqref="G7"/>
    </sheetView>
  </sheetViews>
  <sheetFormatPr defaultColWidth="8.7109375" defaultRowHeight="15" outlineLevelRow="1"/>
  <cols>
    <col min="1" max="1" width="8.7109375" style="1117"/>
    <col min="2" max="2" width="8.7109375" style="543"/>
    <col min="3" max="3" width="17.7109375" style="1194" customWidth="1"/>
    <col min="4" max="4" width="20.28515625" style="543" customWidth="1"/>
    <col min="5" max="5" width="64.28515625" style="543" customWidth="1"/>
    <col min="6" max="6" width="14.5703125" style="543" customWidth="1"/>
    <col min="7" max="7" width="19.42578125" style="543" customWidth="1"/>
    <col min="8" max="8" width="14.42578125" style="543" customWidth="1"/>
    <col min="9" max="9" width="14.28515625" style="543" customWidth="1"/>
    <col min="10" max="10" width="13.7109375" style="543" customWidth="1"/>
    <col min="11" max="11" width="15.7109375" style="543" customWidth="1"/>
    <col min="12" max="12" width="12.5703125" style="543" customWidth="1"/>
    <col min="13" max="13" width="11.7109375" style="543" customWidth="1"/>
    <col min="14" max="14" width="7.7109375" style="543" customWidth="1"/>
    <col min="15" max="15" width="8" style="543" customWidth="1"/>
    <col min="16" max="16" width="7.42578125" style="543" customWidth="1"/>
    <col min="17" max="17" width="7.7109375" style="543" customWidth="1"/>
    <col min="18" max="18" width="9.28515625" style="543" customWidth="1"/>
    <col min="19" max="19" width="9.7109375" style="543" customWidth="1"/>
    <col min="20" max="21" width="8.7109375" style="1117"/>
    <col min="22" max="22" width="18.42578125" style="543" customWidth="1"/>
    <col min="23" max="23" width="10.7109375" style="1117" bestFit="1" customWidth="1"/>
    <col min="24" max="25" width="16.7109375" style="1117" bestFit="1" customWidth="1"/>
    <col min="26" max="26" width="15.42578125" style="1117" bestFit="1" customWidth="1"/>
    <col min="27" max="27" width="10" style="1117" bestFit="1" customWidth="1"/>
    <col min="28" max="29" width="16.7109375" style="1117" bestFit="1" customWidth="1"/>
    <col min="30" max="31" width="13.42578125" style="1117" bestFit="1" customWidth="1"/>
    <col min="32" max="32" width="20.5703125" style="1117" customWidth="1"/>
    <col min="33" max="110" width="8.7109375" style="1117"/>
    <col min="111" max="111" width="10.28515625" style="1117" bestFit="1" customWidth="1"/>
    <col min="112" max="112" width="31.28515625" style="1117" customWidth="1"/>
    <col min="113" max="113" width="9" style="1117" bestFit="1" customWidth="1"/>
    <col min="114" max="114" width="10.28515625" style="1194" customWidth="1"/>
    <col min="115" max="16384" width="8.7109375" style="1117"/>
  </cols>
  <sheetData>
    <row r="1" spans="1:114" s="1144" customFormat="1" ht="17.649999999999999" customHeight="1">
      <c r="A1" s="4078" t="s">
        <v>3605</v>
      </c>
      <c r="B1" s="4079"/>
      <c r="C1" s="4080"/>
      <c r="D1" s="4079"/>
      <c r="E1" s="4079"/>
      <c r="F1" s="4079"/>
      <c r="G1" s="4079"/>
      <c r="H1" s="4079"/>
      <c r="I1" s="4079"/>
      <c r="J1" s="4079"/>
      <c r="K1" s="4079"/>
      <c r="L1" s="4079"/>
      <c r="M1" s="4079"/>
      <c r="N1" s="4079"/>
      <c r="O1" s="4079"/>
      <c r="P1" s="4079"/>
      <c r="Q1" s="4679"/>
      <c r="R1" s="4349"/>
      <c r="S1" s="4349"/>
      <c r="T1" s="1145"/>
      <c r="U1" s="1145"/>
      <c r="V1" s="1152"/>
      <c r="W1" s="1147"/>
      <c r="X1" s="1147"/>
      <c r="Y1" s="1146"/>
      <c r="Z1" s="1146"/>
      <c r="AA1" s="1146"/>
      <c r="AB1" s="1146"/>
      <c r="AC1" s="1146"/>
      <c r="AD1" s="1146"/>
      <c r="AE1" s="1146"/>
      <c r="AF1" s="1146"/>
      <c r="AG1" s="1146"/>
      <c r="AH1" s="1146"/>
      <c r="DJ1" s="1192"/>
    </row>
    <row r="2" spans="1:114" s="1144" customFormat="1" hidden="1" outlineLevel="1">
      <c r="A2" s="1145"/>
      <c r="B2" s="1266"/>
      <c r="C2" s="1267"/>
      <c r="D2" s="4680" t="s">
        <v>3606</v>
      </c>
      <c r="E2" s="4082"/>
      <c r="F2" s="4082"/>
      <c r="G2" s="4082"/>
      <c r="H2" s="4082"/>
      <c r="I2" s="4082"/>
      <c r="J2" s="4082"/>
      <c r="K2" s="264"/>
      <c r="L2" s="264"/>
      <c r="M2" s="1145"/>
      <c r="N2" s="1145"/>
      <c r="O2" s="1145"/>
      <c r="P2" s="1145"/>
      <c r="Q2" s="1145"/>
      <c r="R2" s="1145"/>
      <c r="S2" s="1145"/>
      <c r="T2" s="1145"/>
      <c r="U2" s="1145"/>
      <c r="V2" s="1145"/>
      <c r="DJ2" s="1192"/>
    </row>
    <row r="3" spans="1:114" s="1144" customFormat="1" collapsed="1">
      <c r="A3" s="1145"/>
      <c r="B3" s="1145"/>
      <c r="C3" s="1268"/>
      <c r="D3" s="1268"/>
      <c r="E3" s="1268"/>
      <c r="F3" s="1268"/>
      <c r="G3" s="1268"/>
      <c r="H3" s="1268"/>
      <c r="I3" s="1268"/>
      <c r="J3" s="1268"/>
      <c r="K3" s="1145"/>
      <c r="L3" s="1145"/>
      <c r="M3" s="1145"/>
      <c r="N3" s="1145"/>
      <c r="O3" s="1145"/>
      <c r="P3" s="1145"/>
      <c r="Q3" s="1145"/>
      <c r="R3" s="1145"/>
      <c r="S3" s="1145"/>
      <c r="T3" s="1145"/>
      <c r="U3" s="1145"/>
      <c r="V3" s="1145"/>
      <c r="DJ3" s="1192"/>
    </row>
    <row r="4" spans="1:114" s="3926" customFormat="1">
      <c r="A4" s="543"/>
      <c r="B4" s="4681" t="s">
        <v>3607</v>
      </c>
      <c r="C4" s="4682"/>
      <c r="D4" s="4682"/>
      <c r="E4" s="4682"/>
      <c r="F4" s="4682"/>
      <c r="G4" s="4682"/>
      <c r="H4" s="4682"/>
      <c r="I4" s="4683"/>
      <c r="J4" s="4683"/>
      <c r="K4" s="4683"/>
      <c r="L4" s="4683"/>
      <c r="M4" s="4683"/>
      <c r="N4" s="4683"/>
      <c r="O4" s="4683"/>
      <c r="P4" s="4683"/>
      <c r="Q4" s="4683"/>
      <c r="R4" s="4683"/>
      <c r="S4" s="4684"/>
      <c r="T4" s="543"/>
      <c r="U4" s="543"/>
      <c r="V4" s="4681" t="str">
        <f>B4</f>
        <v>LED Lamp</v>
      </c>
      <c r="W4" s="4682"/>
      <c r="X4" s="4682"/>
      <c r="Y4" s="4682"/>
      <c r="Z4" s="4682"/>
      <c r="AA4" s="4682"/>
      <c r="AB4" s="4682"/>
      <c r="AC4" s="4694"/>
      <c r="AD4" s="4694"/>
      <c r="AE4" s="4694"/>
      <c r="AF4" s="4694"/>
      <c r="AG4" s="4694"/>
      <c r="AH4" s="4694"/>
      <c r="AI4" s="4695"/>
      <c r="DI4" s="3927"/>
      <c r="DJ4" s="1192"/>
    </row>
    <row r="5" spans="1:114">
      <c r="A5" s="543"/>
      <c r="B5" s="2241"/>
      <c r="C5" s="2221"/>
      <c r="D5" s="2241"/>
      <c r="E5" s="2242"/>
      <c r="F5" s="2241"/>
      <c r="G5" s="2241"/>
      <c r="H5" s="2241"/>
      <c r="I5" s="2241"/>
      <c r="J5" s="2241"/>
      <c r="K5" s="2241"/>
      <c r="L5" s="2241"/>
      <c r="M5" s="2241"/>
      <c r="N5" s="2241"/>
      <c r="O5" s="2241"/>
      <c r="P5" s="2241"/>
      <c r="Q5" s="2241"/>
      <c r="R5" s="2241"/>
      <c r="S5" s="2241"/>
      <c r="T5" s="543"/>
      <c r="U5" s="543"/>
      <c r="V5" s="2241"/>
      <c r="W5" s="2255"/>
      <c r="X5" s="2255"/>
      <c r="Y5" s="2255"/>
      <c r="Z5" s="2255"/>
      <c r="AA5" s="2255"/>
      <c r="AB5" s="2255"/>
      <c r="AC5" s="2255"/>
      <c r="AD5" s="2255"/>
      <c r="AE5" s="2255"/>
      <c r="AF5" s="2255"/>
      <c r="AG5" s="2255"/>
      <c r="AH5" s="2255"/>
      <c r="AI5" s="2255"/>
      <c r="DI5" s="1144"/>
      <c r="DJ5" s="1192"/>
    </row>
    <row r="6" spans="1:114" s="3926" customFormat="1" ht="60">
      <c r="A6" s="543"/>
      <c r="B6" s="543"/>
      <c r="C6" s="1371" t="s">
        <v>42</v>
      </c>
      <c r="D6" s="1371" t="s">
        <v>43</v>
      </c>
      <c r="E6" s="1371" t="s">
        <v>3608</v>
      </c>
      <c r="F6" s="1371" t="s">
        <v>45</v>
      </c>
      <c r="G6" s="1371" t="s">
        <v>48</v>
      </c>
      <c r="H6" s="1371" t="s">
        <v>3212</v>
      </c>
      <c r="I6" s="1371" t="s">
        <v>3213</v>
      </c>
      <c r="J6" s="1371" t="s">
        <v>3214</v>
      </c>
      <c r="K6" s="1371" t="s">
        <v>3215</v>
      </c>
      <c r="L6" s="1371" t="s">
        <v>3216</v>
      </c>
      <c r="M6" s="1371" t="s">
        <v>3217</v>
      </c>
      <c r="N6" s="1371" t="s">
        <v>3609</v>
      </c>
      <c r="O6" s="1371" t="s">
        <v>3610</v>
      </c>
      <c r="P6" s="1371" t="s">
        <v>3218</v>
      </c>
      <c r="Q6" s="1371" t="s">
        <v>3219</v>
      </c>
      <c r="R6" s="1371" t="s">
        <v>50</v>
      </c>
      <c r="S6" s="1371" t="s">
        <v>51</v>
      </c>
      <c r="T6" s="543"/>
      <c r="U6" s="543"/>
      <c r="V6" s="1139" t="s">
        <v>52</v>
      </c>
      <c r="W6" s="1127">
        <v>43252</v>
      </c>
      <c r="X6" s="1127">
        <v>43435</v>
      </c>
      <c r="Y6" s="1127">
        <v>43800</v>
      </c>
      <c r="Z6" s="1127">
        <v>43862</v>
      </c>
      <c r="AA6" s="1127">
        <v>44013</v>
      </c>
      <c r="AB6" s="1127">
        <v>44166</v>
      </c>
      <c r="AC6" s="1127">
        <v>44531</v>
      </c>
      <c r="AD6" s="1127">
        <v>44774</v>
      </c>
      <c r="AE6" s="1127">
        <v>45139</v>
      </c>
      <c r="AF6" s="1127">
        <f>'Deemed Savings Tbl Revision Log'!C17</f>
        <v>45672</v>
      </c>
      <c r="AG6" s="1127" t="s">
        <v>53</v>
      </c>
      <c r="DG6" s="3958" t="s">
        <v>54</v>
      </c>
      <c r="DH6" s="3959" t="s">
        <v>55</v>
      </c>
      <c r="DI6" s="3960" t="s">
        <v>56</v>
      </c>
      <c r="DJ6" s="1193" t="s">
        <v>57</v>
      </c>
    </row>
    <row r="7" spans="1:114" s="3926" customFormat="1">
      <c r="A7" s="543"/>
      <c r="B7" s="1454">
        <f t="shared" ref="B7:B11" si="0">VALUE(LEFT(C7,6))</f>
        <v>450100</v>
      </c>
      <c r="C7" s="119" t="s">
        <v>3611</v>
      </c>
      <c r="D7" s="1445" t="s">
        <v>1800</v>
      </c>
      <c r="E7" s="1470" t="s">
        <v>3612</v>
      </c>
      <c r="F7" s="161">
        <f>ROUND(L7+M7,2)</f>
        <v>29.57</v>
      </c>
      <c r="G7" s="1474">
        <f>ROUND(((L7/F7)*I7+(M7/F7)*K7)*F7,6)</f>
        <v>4.4140000000000004E-3</v>
      </c>
      <c r="H7" s="1377" t="s">
        <v>1414</v>
      </c>
      <c r="I7" s="3945">
        <f>VLOOKUP(H7,'CP FACTORS'!$A$3:$B$38, 2, FALSE)</f>
        <v>1.4925290000000001E-4</v>
      </c>
      <c r="J7" s="1377" t="s">
        <v>61</v>
      </c>
      <c r="K7" s="3945">
        <f>VLOOKUP(J7,'CP FACTORS'!$A$3:$B$38, 2, FALSE)</f>
        <v>1.899635E-4</v>
      </c>
      <c r="L7" s="3946">
        <f>((G23-G28)*$G$41*$G$33*(1-$G$34)*($G$35*$G$36)/1000)</f>
        <v>29.571618480029997</v>
      </c>
      <c r="M7" s="3947">
        <f>((G23-G28)*(1-$G$41)*$G$33*(1-$G$34)*($G$38*$G$39)/1000)</f>
        <v>0</v>
      </c>
      <c r="N7" s="3948">
        <f>L7*I7</f>
        <v>4.4136498158380694E-3</v>
      </c>
      <c r="O7" s="3949">
        <f>M7*K7</f>
        <v>0</v>
      </c>
      <c r="P7" s="50">
        <f>$G$42</f>
        <v>2</v>
      </c>
      <c r="Q7" s="50">
        <f>$G$43</f>
        <v>0</v>
      </c>
      <c r="R7" s="3950">
        <f>$G$44</f>
        <v>1.45</v>
      </c>
      <c r="S7" s="1366" t="s">
        <v>3613</v>
      </c>
      <c r="T7" s="543"/>
      <c r="U7" s="543"/>
      <c r="V7" s="778" t="s">
        <v>45</v>
      </c>
      <c r="W7" s="1150"/>
      <c r="X7" s="1150"/>
      <c r="Y7" s="1150"/>
      <c r="Z7" s="1150"/>
      <c r="AA7" s="1150"/>
      <c r="AB7" s="1150"/>
      <c r="AC7" s="1151"/>
      <c r="AD7" s="1151"/>
      <c r="AE7" s="3951">
        <v>8.9</v>
      </c>
      <c r="AF7" s="271">
        <f>IF(F7&lt;&gt;"",F7,"")</f>
        <v>29.57</v>
      </c>
      <c r="AG7" s="3952"/>
      <c r="AH7" s="3953"/>
      <c r="DG7" s="3954">
        <f>(DI7)/(DJ7)</f>
        <v>2.4846833571625995</v>
      </c>
      <c r="DH7" s="3955" t="str">
        <f>CONCATENATE(H7," ",P7," Year EUL")</f>
        <v>Lighting RES 2 Year EUL</v>
      </c>
      <c r="DI7" s="3956">
        <f>(INDEX('Avoided Cost Benefits'!$B$4:$B$865,MATCH(DH7,'Avoided Cost Benefits'!$A$4:$A$865,0)))*F7</f>
        <v>3.6027908678857692</v>
      </c>
      <c r="DJ7" s="3957">
        <f>R7</f>
        <v>1.45</v>
      </c>
    </row>
    <row r="8" spans="1:114">
      <c r="A8" s="543"/>
      <c r="B8" s="2208">
        <f t="shared" si="0"/>
        <v>450110</v>
      </c>
      <c r="C8" s="2243" t="s">
        <v>3614</v>
      </c>
      <c r="D8" s="2244" t="s">
        <v>1800</v>
      </c>
      <c r="E8" s="1622" t="s">
        <v>3615</v>
      </c>
      <c r="F8" s="2245">
        <f>ROUND(L8+M8,2)</f>
        <v>55.71</v>
      </c>
      <c r="G8" s="2246">
        <f>ROUND(((L8/F8)*I8+(M8/F8)*K8)*F8,6)</f>
        <v>8.3160000000000005E-3</v>
      </c>
      <c r="H8" s="1444" t="s">
        <v>1414</v>
      </c>
      <c r="I8" s="2247">
        <f>VLOOKUP(H8,'CP FACTORS'!$A$3:$B$38, 2, FALSE)</f>
        <v>1.4925290000000001E-4</v>
      </c>
      <c r="J8" s="1444" t="s">
        <v>61</v>
      </c>
      <c r="K8" s="2247">
        <f>VLOOKUP(J8,'CP FACTORS'!$A$3:$B$38, 2, FALSE)</f>
        <v>1.899635E-4</v>
      </c>
      <c r="L8" s="2248">
        <f>((G24-G29)*$G$41*$G$33*(1-$G$34)*($G$35*$G$36)/1000)</f>
        <v>55.714643513099986</v>
      </c>
      <c r="M8" s="2249">
        <f>((G24-G29)*(1-$G$41)*$G$33*(1-$G$34)*($G$38*$G$39)/1000)</f>
        <v>0</v>
      </c>
      <c r="N8" s="2250">
        <f>L8*I8</f>
        <v>8.315572116796361E-3</v>
      </c>
      <c r="O8" s="2251">
        <f>M8*K8</f>
        <v>0</v>
      </c>
      <c r="P8" s="2252">
        <f>$G$42</f>
        <v>2</v>
      </c>
      <c r="Q8" s="2252">
        <f>$G$43</f>
        <v>0</v>
      </c>
      <c r="R8" s="2253">
        <f>$G$45</f>
        <v>1.66</v>
      </c>
      <c r="S8" s="2254" t="s">
        <v>3613</v>
      </c>
      <c r="T8" s="543"/>
      <c r="U8" s="543"/>
      <c r="V8" s="1841" t="s">
        <v>45</v>
      </c>
      <c r="W8" s="2258"/>
      <c r="X8" s="2258"/>
      <c r="Y8" s="2258"/>
      <c r="Z8" s="2258"/>
      <c r="AA8" s="2258"/>
      <c r="AB8" s="2258"/>
      <c r="AC8" s="2259"/>
      <c r="AD8" s="2259"/>
      <c r="AE8" s="2260">
        <v>6.67</v>
      </c>
      <c r="AF8" s="2236">
        <f>IF(F8&lt;&gt;"",F8,"")</f>
        <v>55.71</v>
      </c>
      <c r="AG8" s="2261"/>
      <c r="AH8" s="2262"/>
      <c r="AI8" s="2255"/>
      <c r="DG8" s="2264">
        <f>(DI8)/(DJ8)</f>
        <v>4.0889594071229025</v>
      </c>
      <c r="DH8" s="2265" t="str">
        <f>CONCATENATE(H8," ",P8," Year EUL")</f>
        <v>Lighting RES 2 Year EUL</v>
      </c>
      <c r="DI8" s="2266">
        <f>(INDEX('Avoided Cost Benefits'!$B$4:$B$865,MATCH(DH8,'Avoided Cost Benefits'!$A$4:$A$865,0)))*F8</f>
        <v>6.7876726158240173</v>
      </c>
      <c r="DJ8" s="2267">
        <f>R8</f>
        <v>1.66</v>
      </c>
    </row>
    <row r="9" spans="1:114">
      <c r="A9" s="543"/>
      <c r="B9" s="2208">
        <f t="shared" si="0"/>
        <v>450120</v>
      </c>
      <c r="C9" s="2243" t="s">
        <v>3616</v>
      </c>
      <c r="D9" s="2244" t="s">
        <v>1800</v>
      </c>
      <c r="E9" s="1622" t="s">
        <v>3617</v>
      </c>
      <c r="F9" s="2245">
        <f>ROUND(L9+M9,2)</f>
        <v>49.78</v>
      </c>
      <c r="G9" s="2246">
        <f>ROUND(((L9/F9)*I9+(M9/F9)*K9)*F9,6)</f>
        <v>7.43E-3</v>
      </c>
      <c r="H9" s="1444" t="s">
        <v>1414</v>
      </c>
      <c r="I9" s="2247">
        <f>VLOOKUP(H9,'CP FACTORS'!$A$3:$B$38, 2, FALSE)</f>
        <v>1.4925290000000001E-4</v>
      </c>
      <c r="J9" s="1444" t="s">
        <v>61</v>
      </c>
      <c r="K9" s="2247">
        <f>VLOOKUP(J9,'CP FACTORS'!$A$3:$B$38, 2, FALSE)</f>
        <v>1.899635E-4</v>
      </c>
      <c r="L9" s="2248">
        <f>((G25-G30)*$G$41*$G$33*(1-$G$34)*($G$35*$G$37)/1000)</f>
        <v>49.78386949499999</v>
      </c>
      <c r="M9" s="2249">
        <f>((G25-G30)*(1-$G$41)*$G$33*(1-$G$34)*($G$38*$G$40)/1000)</f>
        <v>0</v>
      </c>
      <c r="N9" s="2250">
        <f>L9*I9</f>
        <v>7.4303868953502841E-3</v>
      </c>
      <c r="O9" s="2251">
        <f>M9*K9</f>
        <v>0</v>
      </c>
      <c r="P9" s="2252">
        <f>$G$42</f>
        <v>2</v>
      </c>
      <c r="Q9" s="2252">
        <f>$G$43</f>
        <v>0</v>
      </c>
      <c r="R9" s="2253">
        <f>$G$45</f>
        <v>1.66</v>
      </c>
      <c r="S9" s="2254" t="s">
        <v>3613</v>
      </c>
      <c r="T9" s="543"/>
      <c r="U9" s="543"/>
      <c r="V9" s="1841" t="s">
        <v>45</v>
      </c>
      <c r="W9" s="2258"/>
      <c r="X9" s="2258"/>
      <c r="Y9" s="2258"/>
      <c r="Z9" s="2258"/>
      <c r="AA9" s="2258"/>
      <c r="AB9" s="2258"/>
      <c r="AC9" s="2259"/>
      <c r="AD9" s="2259"/>
      <c r="AE9" s="2260">
        <v>16.59</v>
      </c>
      <c r="AF9" s="2236">
        <f>IF(F9&lt;&gt;"",F9,"")</f>
        <v>49.78</v>
      </c>
      <c r="AG9" s="2261"/>
      <c r="AH9" s="2262"/>
      <c r="AI9" s="2255"/>
      <c r="DG9" s="2264">
        <f>(DI9)/(DJ9)</f>
        <v>3.6537138626203207</v>
      </c>
      <c r="DH9" s="2265" t="str">
        <f>CONCATENATE(H9," ",P9," Year EUL")</f>
        <v>Lighting RES 2 Year EUL</v>
      </c>
      <c r="DI9" s="2266">
        <f>(INDEX('Avoided Cost Benefits'!$B$4:$B$865,MATCH(DH9,'Avoided Cost Benefits'!$A$4:$A$865,0)))*F9</f>
        <v>6.0651650119497322</v>
      </c>
      <c r="DJ9" s="2267">
        <f>R9</f>
        <v>1.66</v>
      </c>
    </row>
    <row r="10" spans="1:114">
      <c r="A10" s="543"/>
      <c r="B10" s="2208">
        <f t="shared" si="0"/>
        <v>450130</v>
      </c>
      <c r="C10" s="2243" t="s">
        <v>3618</v>
      </c>
      <c r="D10" s="2244" t="s">
        <v>1800</v>
      </c>
      <c r="E10" s="1622" t="s">
        <v>3619</v>
      </c>
      <c r="F10" s="2245">
        <f>ROUND(L10+M10,2)</f>
        <v>30.86</v>
      </c>
      <c r="G10" s="2246">
        <f>ROUND(((L10/F10)*I10+(M10/F10)*K10)*F10,6)</f>
        <v>4.6059999999999999E-3</v>
      </c>
      <c r="H10" s="1444" t="s">
        <v>1414</v>
      </c>
      <c r="I10" s="2247">
        <f>VLOOKUP(H10,'CP FACTORS'!$A$3:$B$38, 2, FALSE)</f>
        <v>1.4925290000000001E-4</v>
      </c>
      <c r="J10" s="1444" t="s">
        <v>61</v>
      </c>
      <c r="K10" s="2247">
        <f>VLOOKUP(J10,'CP FACTORS'!$A$3:$B$38, 2, FALSE)</f>
        <v>1.899635E-4</v>
      </c>
      <c r="L10" s="2248">
        <f>((G26-G31)*$G$41*$G$33*(1-$G$34)*($G$35*$G$36)/1000)</f>
        <v>30.857341022639993</v>
      </c>
      <c r="M10" s="2249">
        <f>((G26-G31)*(1-$G$41)*$G$33*(1-$G$34)*($G$38*$G$39)/1000)</f>
        <v>0</v>
      </c>
      <c r="N10" s="2250">
        <f>L10*I10</f>
        <v>4.6055476339179847E-3</v>
      </c>
      <c r="O10" s="2251">
        <f>M10*K10</f>
        <v>0</v>
      </c>
      <c r="P10" s="2252">
        <f>$G$42</f>
        <v>2</v>
      </c>
      <c r="Q10" s="2252">
        <f>$G$43</f>
        <v>0</v>
      </c>
      <c r="R10" s="2253">
        <f>$G$45</f>
        <v>1.66</v>
      </c>
      <c r="S10" s="2254" t="s">
        <v>3613</v>
      </c>
      <c r="T10" s="543"/>
      <c r="U10" s="543"/>
      <c r="V10" s="1841" t="s">
        <v>45</v>
      </c>
      <c r="W10" s="2258"/>
      <c r="X10" s="2258"/>
      <c r="Y10" s="2258"/>
      <c r="Z10" s="2258"/>
      <c r="AA10" s="2258"/>
      <c r="AB10" s="2258"/>
      <c r="AC10" s="2259"/>
      <c r="AD10" s="2259"/>
      <c r="AE10" s="2260">
        <v>2.76</v>
      </c>
      <c r="AF10" s="2236">
        <f>IF(F10&lt;&gt;"",F10,"")</f>
        <v>30.86</v>
      </c>
      <c r="AG10" s="2261"/>
      <c r="AH10" s="2262"/>
      <c r="AI10" s="2255"/>
      <c r="DG10" s="2264">
        <f>(DI10)/(DJ10)</f>
        <v>2.2650383648144454</v>
      </c>
      <c r="DH10" s="2265" t="str">
        <f>CONCATENATE(H10," ",P10," Year EUL")</f>
        <v>Lighting RES 2 Year EUL</v>
      </c>
      <c r="DI10" s="2266">
        <f>(INDEX('Avoided Cost Benefits'!$B$4:$B$865,MATCH(DH10,'Avoided Cost Benefits'!$A$4:$A$865,0)))*F10</f>
        <v>3.7599636855919796</v>
      </c>
      <c r="DJ10" s="2267">
        <f>R10</f>
        <v>1.66</v>
      </c>
    </row>
    <row r="11" spans="1:114">
      <c r="A11" s="543"/>
      <c r="B11" s="2208">
        <f t="shared" si="0"/>
        <v>450140</v>
      </c>
      <c r="C11" s="2243" t="s">
        <v>3620</v>
      </c>
      <c r="D11" s="2244" t="s">
        <v>1800</v>
      </c>
      <c r="E11" s="1622" t="s">
        <v>3621</v>
      </c>
      <c r="F11" s="2245">
        <f>ROUND(L11+M11,2)</f>
        <v>30</v>
      </c>
      <c r="G11" s="2246">
        <f>ROUND(((L11/F11)*I11+(M11/F11)*K11)*F11,6)</f>
        <v>4.4780000000000002E-3</v>
      </c>
      <c r="H11" s="1444" t="s">
        <v>1414</v>
      </c>
      <c r="I11" s="2247">
        <f>VLOOKUP(H11,'CP FACTORS'!$A$3:$B$38, 2, FALSE)</f>
        <v>1.4925290000000001E-4</v>
      </c>
      <c r="J11" s="1444" t="s">
        <v>61</v>
      </c>
      <c r="K11" s="2247">
        <f>VLOOKUP(J11,'CP FACTORS'!$A$3:$B$38, 2, FALSE)</f>
        <v>1.899635E-4</v>
      </c>
      <c r="L11" s="2248">
        <f>((G27-G32)*$G$41*$G$33*(1-$G$34)*($G$35*$G$36)/1000)</f>
        <v>30.000192660899994</v>
      </c>
      <c r="M11" s="2249">
        <f>((G27-G32)*(1-$G$41)*$G$33*(1-$G$34)*($G$38*$G$39)/1000)</f>
        <v>0</v>
      </c>
      <c r="N11" s="2250">
        <f>L11*I11</f>
        <v>4.4776157551980411E-3</v>
      </c>
      <c r="O11" s="2251">
        <f>M11*K11</f>
        <v>0</v>
      </c>
      <c r="P11" s="2252">
        <f>$G$42</f>
        <v>2</v>
      </c>
      <c r="Q11" s="2252">
        <f>$G$43</f>
        <v>0</v>
      </c>
      <c r="R11" s="2253">
        <f>$G$45</f>
        <v>1.66</v>
      </c>
      <c r="S11" s="2254" t="s">
        <v>3613</v>
      </c>
      <c r="T11" s="543"/>
      <c r="U11" s="543"/>
      <c r="V11" s="1841" t="s">
        <v>45</v>
      </c>
      <c r="W11" s="2258"/>
      <c r="X11" s="2258"/>
      <c r="Y11" s="2258"/>
      <c r="Z11" s="2258"/>
      <c r="AA11" s="2258"/>
      <c r="AB11" s="2258"/>
      <c r="AC11" s="2259"/>
      <c r="AD11" s="2259"/>
      <c r="AE11" s="2260">
        <v>4.29</v>
      </c>
      <c r="AF11" s="2236">
        <f>IF(F11&lt;&gt;"",F11,"")</f>
        <v>30</v>
      </c>
      <c r="AG11" s="2261"/>
      <c r="AH11" s="2262"/>
      <c r="AI11" s="2255"/>
      <c r="DG11" s="2264">
        <f>(DI11)/(DJ11)</f>
        <v>2.2019167512778148</v>
      </c>
      <c r="DH11" s="2265" t="str">
        <f>CONCATENATE(H11," ",P11," Year EUL")</f>
        <v>Lighting RES 2 Year EUL</v>
      </c>
      <c r="DI11" s="2266">
        <f>(INDEX('Avoided Cost Benefits'!$B$4:$B$865,MATCH(DH11,'Avoided Cost Benefits'!$A$4:$A$865,0)))*F11</f>
        <v>3.6551818071211724</v>
      </c>
      <c r="DJ11" s="2267">
        <f>R11</f>
        <v>1.66</v>
      </c>
    </row>
    <row r="12" spans="1:114" s="3926" customFormat="1" hidden="1" outlineLevel="1">
      <c r="A12" s="543"/>
      <c r="B12" s="543"/>
      <c r="C12" s="571"/>
      <c r="D12" s="74" t="s">
        <v>118</v>
      </c>
      <c r="E12" s="1458" t="s">
        <v>3622</v>
      </c>
      <c r="F12" s="543"/>
      <c r="G12" s="543"/>
      <c r="H12" s="407"/>
      <c r="I12" s="407"/>
      <c r="J12" s="407"/>
      <c r="K12" s="407"/>
      <c r="L12" s="407"/>
      <c r="M12" s="407"/>
      <c r="N12" s="407"/>
      <c r="O12" s="407"/>
      <c r="P12" s="407"/>
      <c r="Q12" s="543"/>
      <c r="R12" s="407"/>
      <c r="S12" s="148"/>
      <c r="T12" s="543"/>
      <c r="U12" s="1143"/>
      <c r="V12" s="1143"/>
      <c r="DJ12" s="1192"/>
    </row>
    <row r="13" spans="1:114" s="3926" customFormat="1" hidden="1" outlineLevel="1">
      <c r="A13" s="543"/>
      <c r="B13" s="543"/>
      <c r="C13" s="571"/>
      <c r="D13" s="3961" t="s">
        <v>963</v>
      </c>
      <c r="E13" s="52" t="s">
        <v>1416</v>
      </c>
      <c r="F13" s="1264"/>
      <c r="G13" s="543"/>
      <c r="H13" s="543"/>
      <c r="I13" s="543"/>
      <c r="J13" s="543"/>
      <c r="K13" s="543"/>
      <c r="L13" s="543"/>
      <c r="M13" s="543"/>
      <c r="N13" s="543"/>
      <c r="O13" s="543"/>
      <c r="P13" s="543"/>
      <c r="Q13" s="543"/>
      <c r="R13" s="543"/>
      <c r="S13" s="543"/>
      <c r="T13" s="543"/>
      <c r="U13" s="543"/>
      <c r="V13" s="543"/>
      <c r="DJ13" s="1192"/>
    </row>
    <row r="14" spans="1:114" s="3926" customFormat="1" hidden="1" outlineLevel="1">
      <c r="A14" s="543"/>
      <c r="B14" s="543"/>
      <c r="C14" s="571"/>
      <c r="D14" s="3961"/>
      <c r="E14" s="52" t="s">
        <v>966</v>
      </c>
      <c r="F14" s="543"/>
      <c r="G14" s="543"/>
      <c r="H14" s="1362"/>
      <c r="I14" s="1362"/>
      <c r="J14" s="1362"/>
      <c r="K14" s="1362"/>
      <c r="L14" s="1362"/>
      <c r="M14" s="543"/>
      <c r="N14" s="543"/>
      <c r="O14" s="543"/>
      <c r="P14" s="543"/>
      <c r="Q14" s="543"/>
      <c r="R14" s="543"/>
      <c r="S14" s="543"/>
      <c r="T14" s="543"/>
      <c r="U14" s="543"/>
      <c r="V14" s="543"/>
      <c r="DJ14" s="1192"/>
    </row>
    <row r="15" spans="1:114" hidden="1" outlineLevel="1">
      <c r="A15" s="543"/>
      <c r="C15" s="571"/>
      <c r="T15" s="543"/>
      <c r="U15" s="543"/>
      <c r="DJ15" s="1192"/>
    </row>
    <row r="16" spans="1:114" hidden="1" outlineLevel="1">
      <c r="A16" s="543"/>
      <c r="C16" s="571"/>
      <c r="T16" s="543"/>
      <c r="U16" s="543"/>
      <c r="DJ16" s="1192"/>
    </row>
    <row r="17" spans="1:114" hidden="1" outlineLevel="1">
      <c r="A17" s="543"/>
      <c r="C17" s="571"/>
      <c r="T17" s="543"/>
      <c r="U17" s="543"/>
      <c r="DJ17" s="1192"/>
    </row>
    <row r="18" spans="1:114" hidden="1" outlineLevel="1">
      <c r="A18" s="543"/>
      <c r="C18" s="571"/>
      <c r="T18" s="543"/>
      <c r="U18" s="543"/>
      <c r="DJ18" s="1192"/>
    </row>
    <row r="19" spans="1:114" hidden="1" outlineLevel="1">
      <c r="A19" s="543"/>
      <c r="C19" s="571"/>
      <c r="T19" s="543"/>
      <c r="U19" s="543"/>
      <c r="DJ19" s="1192"/>
    </row>
    <row r="20" spans="1:114" hidden="1" outlineLevel="1">
      <c r="A20" s="543"/>
      <c r="C20" s="571"/>
      <c r="T20" s="543"/>
      <c r="U20" s="543"/>
      <c r="DJ20" s="1192"/>
    </row>
    <row r="21" spans="1:114" hidden="1" outlineLevel="1">
      <c r="A21" s="543"/>
      <c r="C21" s="571"/>
      <c r="T21" s="543"/>
      <c r="U21" s="543"/>
      <c r="DJ21" s="1192"/>
    </row>
    <row r="22" spans="1:114" s="3926" customFormat="1" ht="30" hidden="1" outlineLevel="1">
      <c r="A22" s="543"/>
      <c r="B22" s="543"/>
      <c r="C22" s="571"/>
      <c r="D22" s="1432" t="s">
        <v>1078</v>
      </c>
      <c r="E22" s="1432" t="s">
        <v>967</v>
      </c>
      <c r="F22" s="1432" t="s">
        <v>122</v>
      </c>
      <c r="G22" s="1432" t="s">
        <v>969</v>
      </c>
      <c r="H22" s="1432" t="str">
        <f t="shared" ref="H22:H27" si="1">C6</f>
        <v>Measure Reference No.</v>
      </c>
      <c r="I22" s="4602" t="s">
        <v>755</v>
      </c>
      <c r="J22" s="4602"/>
      <c r="K22" s="4602"/>
      <c r="L22" s="4602"/>
      <c r="M22" s="543"/>
      <c r="N22" s="543"/>
      <c r="O22" s="543"/>
      <c r="P22" s="543"/>
      <c r="Q22" s="543"/>
      <c r="R22" s="543"/>
      <c r="S22" s="543"/>
      <c r="T22" s="543"/>
      <c r="U22" s="543"/>
      <c r="V22" s="3928" t="s">
        <v>52</v>
      </c>
      <c r="W22" s="3929">
        <v>43252</v>
      </c>
      <c r="X22" s="3929">
        <f>$Y$6</f>
        <v>43800</v>
      </c>
      <c r="Y22" s="3929">
        <f>$Y$6</f>
        <v>43800</v>
      </c>
      <c r="Z22" s="3929">
        <f>$Z$6</f>
        <v>43862</v>
      </c>
      <c r="AA22" s="3929">
        <f>$AA$6</f>
        <v>44013</v>
      </c>
      <c r="AB22" s="3929">
        <f>$AB$6</f>
        <v>44166</v>
      </c>
      <c r="AC22" s="3929">
        <f>$AC$6</f>
        <v>44531</v>
      </c>
      <c r="AD22" s="3929">
        <f>$AD$6</f>
        <v>44774</v>
      </c>
      <c r="AE22" s="3929">
        <f>$AE$6</f>
        <v>45139</v>
      </c>
      <c r="AF22" s="3929">
        <f>$AF$6</f>
        <v>45672</v>
      </c>
      <c r="AG22" s="3929" t="str">
        <f>$AG$6</f>
        <v>-</v>
      </c>
      <c r="DJ22" s="1192"/>
    </row>
    <row r="23" spans="1:114" s="3926" customFormat="1" ht="15" hidden="1" customHeight="1" outlineLevel="1">
      <c r="A23" s="543"/>
      <c r="B23" s="543"/>
      <c r="C23" s="571"/>
      <c r="D23" s="4199" t="s">
        <v>3623</v>
      </c>
      <c r="E23" s="4199" t="s">
        <v>3624</v>
      </c>
      <c r="F23" s="1384" t="str">
        <f>E7</f>
        <v>LED - 10W (750-899 lumens) DI</v>
      </c>
      <c r="G23" s="1838">
        <v>43</v>
      </c>
      <c r="H23" s="3930" t="str">
        <f t="shared" si="1"/>
        <v>450100_2024_12_</v>
      </c>
      <c r="I23" s="4391" t="s">
        <v>1419</v>
      </c>
      <c r="J23" s="4391"/>
      <c r="K23" s="4391"/>
      <c r="L23" s="4391"/>
      <c r="M23" s="543"/>
      <c r="N23" s="543"/>
      <c r="O23" s="543"/>
      <c r="P23" s="543"/>
      <c r="Q23" s="543"/>
      <c r="R23" s="543"/>
      <c r="S23" s="543"/>
      <c r="T23" s="543"/>
      <c r="U23" s="543"/>
      <c r="V23" s="4448" t="s">
        <v>3623</v>
      </c>
      <c r="W23" s="1150"/>
      <c r="X23" s="1150"/>
      <c r="Y23" s="1150"/>
      <c r="Z23" s="1150"/>
      <c r="AA23" s="1150"/>
      <c r="AB23" s="1150"/>
      <c r="AC23" s="1151"/>
      <c r="AD23" s="1151"/>
      <c r="AE23" s="140">
        <v>18.888888888888889</v>
      </c>
      <c r="AF23" s="271">
        <f t="shared" ref="AF23:AF45" si="2">IF(G23&lt;&gt;"",G23,"")</f>
        <v>43</v>
      </c>
      <c r="AG23" s="3931"/>
      <c r="DJ23" s="1192"/>
    </row>
    <row r="24" spans="1:114" s="3926" customFormat="1" ht="15" hidden="1" customHeight="1" outlineLevel="1">
      <c r="A24" s="543"/>
      <c r="B24" s="543"/>
      <c r="C24" s="571"/>
      <c r="D24" s="4199"/>
      <c r="E24" s="4199"/>
      <c r="F24" s="1840" t="str">
        <f>E8</f>
        <v>LED - 10.5W Downlight E26 DI</v>
      </c>
      <c r="G24" s="2283">
        <v>75</v>
      </c>
      <c r="H24" s="2282" t="str">
        <f t="shared" si="1"/>
        <v>450110_2024_12_</v>
      </c>
      <c r="I24" s="4690" t="s">
        <v>3246</v>
      </c>
      <c r="J24" s="4691"/>
      <c r="K24" s="4691"/>
      <c r="L24" s="4692"/>
      <c r="M24" s="543"/>
      <c r="N24" s="543"/>
      <c r="O24" s="543"/>
      <c r="P24" s="543"/>
      <c r="Q24" s="543"/>
      <c r="R24" s="543"/>
      <c r="S24" s="543"/>
      <c r="T24" s="543"/>
      <c r="U24" s="543"/>
      <c r="V24" s="4448"/>
      <c r="W24" s="1150"/>
      <c r="X24" s="1150"/>
      <c r="Y24" s="1150"/>
      <c r="Z24" s="1150"/>
      <c r="AA24" s="1150"/>
      <c r="AB24" s="1150"/>
      <c r="AC24" s="1151"/>
      <c r="AD24" s="1151"/>
      <c r="AE24" s="2447">
        <v>17.777777777777779</v>
      </c>
      <c r="AF24" s="2236">
        <f t="shared" si="2"/>
        <v>75</v>
      </c>
      <c r="AG24" s="3931"/>
      <c r="DJ24" s="1192"/>
    </row>
    <row r="25" spans="1:114" s="3926" customFormat="1" ht="15" hidden="1" customHeight="1" outlineLevel="1">
      <c r="A25" s="543"/>
      <c r="B25" s="543"/>
      <c r="C25" s="571"/>
      <c r="D25" s="4199"/>
      <c r="E25" s="4199"/>
      <c r="F25" s="1840" t="str">
        <f>E9</f>
        <v>LED - 15W Flood Light PAR30 Bulb DI</v>
      </c>
      <c r="G25" s="2283">
        <v>75</v>
      </c>
      <c r="H25" s="2282" t="str">
        <f t="shared" si="1"/>
        <v>450120_2024_12_</v>
      </c>
      <c r="I25" s="4693" t="s">
        <v>3248</v>
      </c>
      <c r="J25" s="4693"/>
      <c r="K25" s="4693"/>
      <c r="L25" s="4693"/>
      <c r="M25" s="543"/>
      <c r="N25" s="543"/>
      <c r="O25" s="543"/>
      <c r="P25" s="543"/>
      <c r="Q25" s="543"/>
      <c r="R25" s="543"/>
      <c r="S25" s="543"/>
      <c r="T25" s="543"/>
      <c r="U25" s="543"/>
      <c r="V25" s="4448"/>
      <c r="W25" s="1150"/>
      <c r="X25" s="1150"/>
      <c r="Y25" s="1150"/>
      <c r="Z25" s="1150"/>
      <c r="AA25" s="1150"/>
      <c r="AB25" s="1150"/>
      <c r="AC25" s="1151"/>
      <c r="AD25" s="1151"/>
      <c r="AE25" s="2447">
        <v>36.666666666666664</v>
      </c>
      <c r="AF25" s="2236">
        <f t="shared" si="2"/>
        <v>75</v>
      </c>
      <c r="AG25" s="3931"/>
      <c r="DJ25" s="1192"/>
    </row>
    <row r="26" spans="1:114" s="3926" customFormat="1" ht="15" hidden="1" customHeight="1" outlineLevel="1">
      <c r="A26" s="543"/>
      <c r="B26" s="543"/>
      <c r="C26" s="571"/>
      <c r="D26" s="4199"/>
      <c r="E26" s="4199"/>
      <c r="F26" s="1840" t="str">
        <f>E10</f>
        <v>LED - 4W Candelabra Specialty DI</v>
      </c>
      <c r="G26" s="2283">
        <v>40</v>
      </c>
      <c r="H26" s="2282" t="str">
        <f t="shared" si="1"/>
        <v>450130_2024_12_</v>
      </c>
      <c r="I26" s="4693" t="s">
        <v>3251</v>
      </c>
      <c r="J26" s="4693"/>
      <c r="K26" s="4693"/>
      <c r="L26" s="4693"/>
      <c r="M26" s="543"/>
      <c r="N26" s="543"/>
      <c r="O26" s="543"/>
      <c r="P26" s="543"/>
      <c r="Q26" s="543"/>
      <c r="R26" s="543"/>
      <c r="S26" s="543"/>
      <c r="T26" s="543"/>
      <c r="U26" s="543"/>
      <c r="V26" s="4448"/>
      <c r="W26" s="1150"/>
      <c r="X26" s="1150"/>
      <c r="Y26" s="1150"/>
      <c r="Z26" s="1150"/>
      <c r="AA26" s="1150"/>
      <c r="AB26" s="1150"/>
      <c r="AC26" s="1151"/>
      <c r="AD26" s="1151"/>
      <c r="AE26" s="2447">
        <v>7.2222222222222223</v>
      </c>
      <c r="AF26" s="2236">
        <f t="shared" si="2"/>
        <v>40</v>
      </c>
      <c r="AG26" s="3931"/>
      <c r="DJ26" s="1192"/>
    </row>
    <row r="27" spans="1:114" s="3926" customFormat="1" ht="15" hidden="1" customHeight="1" outlineLevel="1">
      <c r="A27" s="543"/>
      <c r="B27" s="543"/>
      <c r="C27" s="571"/>
      <c r="D27" s="4199"/>
      <c r="E27" s="4199"/>
      <c r="F27" s="1840" t="str">
        <f>E11</f>
        <v>LED - 4.5-5.5W Globe G25 Bulb (400-500 lumens) DI</v>
      </c>
      <c r="G27" s="2284">
        <v>40</v>
      </c>
      <c r="H27" s="2282" t="str">
        <f t="shared" si="1"/>
        <v>450140_2024_12_</v>
      </c>
      <c r="I27" s="4693" t="s">
        <v>3625</v>
      </c>
      <c r="J27" s="4693"/>
      <c r="K27" s="4693"/>
      <c r="L27" s="4693"/>
      <c r="M27" s="543"/>
      <c r="N27" s="543"/>
      <c r="O27" s="543"/>
      <c r="P27" s="543"/>
      <c r="Q27" s="543"/>
      <c r="R27" s="543"/>
      <c r="S27" s="543"/>
      <c r="T27" s="543"/>
      <c r="U27" s="543"/>
      <c r="V27" s="4448"/>
      <c r="W27" s="1150"/>
      <c r="X27" s="1150"/>
      <c r="Y27" s="1150"/>
      <c r="Z27" s="1150"/>
      <c r="AA27" s="1150"/>
      <c r="AB27" s="1150"/>
      <c r="AC27" s="1151"/>
      <c r="AD27" s="1151"/>
      <c r="AE27" s="2447">
        <v>10</v>
      </c>
      <c r="AF27" s="2236">
        <f t="shared" si="2"/>
        <v>40</v>
      </c>
      <c r="AG27" s="3931"/>
      <c r="DJ27" s="1192"/>
    </row>
    <row r="28" spans="1:114" s="3926" customFormat="1" ht="15" hidden="1" customHeight="1" outlineLevel="1">
      <c r="A28" s="543"/>
      <c r="B28" s="543"/>
      <c r="C28" s="571"/>
      <c r="D28" s="4199" t="s">
        <v>3626</v>
      </c>
      <c r="E28" s="4199" t="s">
        <v>3627</v>
      </c>
      <c r="F28" s="1384" t="str">
        <f>E7</f>
        <v>LED - 10W (750-899 lumens) DI</v>
      </c>
      <c r="G28" s="3932">
        <v>8.5</v>
      </c>
      <c r="H28" s="3930" t="str">
        <f>C7</f>
        <v>450100_2024_12_</v>
      </c>
      <c r="I28" s="4689" t="s">
        <v>3628</v>
      </c>
      <c r="J28" s="4689"/>
      <c r="K28" s="4689"/>
      <c r="L28" s="4689"/>
      <c r="M28" s="543"/>
      <c r="N28" s="543"/>
      <c r="O28" s="543"/>
      <c r="P28" s="543"/>
      <c r="Q28" s="543"/>
      <c r="R28" s="543"/>
      <c r="S28" s="543"/>
      <c r="T28" s="543"/>
      <c r="U28" s="543"/>
      <c r="V28" s="4448" t="s">
        <v>3626</v>
      </c>
      <c r="W28" s="1150"/>
      <c r="X28" s="1150"/>
      <c r="Y28" s="1150"/>
      <c r="Z28" s="1150"/>
      <c r="AA28" s="1150"/>
      <c r="AB28" s="1150"/>
      <c r="AC28" s="1151"/>
      <c r="AD28" s="1151"/>
      <c r="AE28" s="140">
        <v>8.5</v>
      </c>
      <c r="AF28" s="271">
        <f t="shared" si="2"/>
        <v>8.5</v>
      </c>
      <c r="AG28" s="3933"/>
      <c r="DJ28" s="1192"/>
    </row>
    <row r="29" spans="1:114" s="3926" customFormat="1" ht="15" hidden="1" customHeight="1" outlineLevel="1">
      <c r="A29" s="543"/>
      <c r="B29" s="543"/>
      <c r="C29" s="571"/>
      <c r="D29" s="4199"/>
      <c r="E29" s="4199"/>
      <c r="F29" s="1840" t="str">
        <f>E8</f>
        <v>LED - 10.5W Downlight E26 DI</v>
      </c>
      <c r="G29" s="2285">
        <v>10</v>
      </c>
      <c r="H29" s="2282" t="str">
        <f>C8</f>
        <v>450110_2024_12_</v>
      </c>
      <c r="I29" s="4689"/>
      <c r="J29" s="4689"/>
      <c r="K29" s="4689"/>
      <c r="L29" s="4689"/>
      <c r="M29" s="543"/>
      <c r="N29" s="543"/>
      <c r="O29" s="543"/>
      <c r="P29" s="543"/>
      <c r="Q29" s="543"/>
      <c r="R29" s="543"/>
      <c r="S29" s="543"/>
      <c r="T29" s="543"/>
      <c r="U29" s="543"/>
      <c r="V29" s="4448"/>
      <c r="W29" s="1150"/>
      <c r="X29" s="1150"/>
      <c r="Y29" s="1150"/>
      <c r="Z29" s="1150"/>
      <c r="AA29" s="1150"/>
      <c r="AB29" s="1150"/>
      <c r="AC29" s="1151"/>
      <c r="AD29" s="1151"/>
      <c r="AE29" s="2447">
        <v>10</v>
      </c>
      <c r="AF29" s="2236">
        <f t="shared" si="2"/>
        <v>10</v>
      </c>
      <c r="AG29" s="3933"/>
      <c r="DJ29" s="1192"/>
    </row>
    <row r="30" spans="1:114" s="3926" customFormat="1" ht="15" hidden="1" customHeight="1" outlineLevel="1">
      <c r="A30" s="543"/>
      <c r="B30" s="543"/>
      <c r="C30" s="571"/>
      <c r="D30" s="4199"/>
      <c r="E30" s="4199"/>
      <c r="F30" s="1840" t="str">
        <f>E9</f>
        <v>LED - 15W Flood Light PAR30 Bulb DI</v>
      </c>
      <c r="G30" s="2285">
        <v>17.5</v>
      </c>
      <c r="H30" s="2282" t="str">
        <f>C9</f>
        <v>450120_2024_12_</v>
      </c>
      <c r="I30" s="4689"/>
      <c r="J30" s="4689"/>
      <c r="K30" s="4689"/>
      <c r="L30" s="4689"/>
      <c r="M30" s="543"/>
      <c r="N30" s="543"/>
      <c r="O30" s="543"/>
      <c r="P30" s="543"/>
      <c r="Q30" s="543"/>
      <c r="R30" s="543"/>
      <c r="S30" s="543"/>
      <c r="T30" s="543"/>
      <c r="U30" s="543"/>
      <c r="V30" s="4448"/>
      <c r="W30" s="1150"/>
      <c r="X30" s="1150"/>
      <c r="Y30" s="1150"/>
      <c r="Z30" s="1150"/>
      <c r="AA30" s="1150"/>
      <c r="AB30" s="1150"/>
      <c r="AC30" s="1151"/>
      <c r="AD30" s="1151"/>
      <c r="AE30" s="2447">
        <v>17.5</v>
      </c>
      <c r="AF30" s="2236">
        <f t="shared" si="2"/>
        <v>17.5</v>
      </c>
      <c r="AG30" s="3933"/>
      <c r="DJ30" s="1192"/>
    </row>
    <row r="31" spans="1:114" s="3926" customFormat="1" hidden="1" outlineLevel="1">
      <c r="A31" s="543"/>
      <c r="B31" s="543"/>
      <c r="C31" s="571"/>
      <c r="D31" s="4199"/>
      <c r="E31" s="4199"/>
      <c r="F31" s="1840" t="str">
        <f>E10</f>
        <v>LED - 4W Candelabra Specialty DI</v>
      </c>
      <c r="G31" s="2285">
        <v>4</v>
      </c>
      <c r="H31" s="2282" t="str">
        <f>C10</f>
        <v>450130_2024_12_</v>
      </c>
      <c r="I31" s="4685" t="s">
        <v>3629</v>
      </c>
      <c r="J31" s="4685"/>
      <c r="K31" s="4685"/>
      <c r="L31" s="4685"/>
      <c r="M31" s="543"/>
      <c r="N31" s="543"/>
      <c r="O31" s="543"/>
      <c r="P31" s="543"/>
      <c r="Q31" s="543"/>
      <c r="R31" s="543"/>
      <c r="S31" s="543"/>
      <c r="T31" s="543"/>
      <c r="U31" s="543"/>
      <c r="V31" s="4448"/>
      <c r="W31" s="1150"/>
      <c r="X31" s="1150"/>
      <c r="Y31" s="1150"/>
      <c r="Z31" s="1150"/>
      <c r="AA31" s="1150"/>
      <c r="AB31" s="1150"/>
      <c r="AC31" s="1151"/>
      <c r="AD31" s="1151"/>
      <c r="AE31" s="2447">
        <v>4</v>
      </c>
      <c r="AF31" s="2236">
        <f t="shared" si="2"/>
        <v>4</v>
      </c>
      <c r="AG31" s="3933"/>
      <c r="DJ31" s="1192"/>
    </row>
    <row r="32" spans="1:114" s="3926" customFormat="1" hidden="1" outlineLevel="1">
      <c r="A32" s="543"/>
      <c r="B32" s="543"/>
      <c r="C32" s="571"/>
      <c r="D32" s="4199"/>
      <c r="E32" s="4199"/>
      <c r="F32" s="1840" t="str">
        <f>E11</f>
        <v>LED - 4.5-5.5W Globe G25 Bulb (400-500 lumens) DI</v>
      </c>
      <c r="G32" s="2285">
        <v>5</v>
      </c>
      <c r="H32" s="2282" t="str">
        <f>C11</f>
        <v>450140_2024_12_</v>
      </c>
      <c r="I32" s="4685" t="s">
        <v>3628</v>
      </c>
      <c r="J32" s="4685"/>
      <c r="K32" s="4685"/>
      <c r="L32" s="4685"/>
      <c r="M32" s="543"/>
      <c r="N32" s="543"/>
      <c r="O32" s="543"/>
      <c r="P32" s="543"/>
      <c r="Q32" s="543"/>
      <c r="R32" s="543"/>
      <c r="S32" s="543"/>
      <c r="T32" s="543"/>
      <c r="U32" s="543"/>
      <c r="V32" s="4448"/>
      <c r="W32" s="1150"/>
      <c r="X32" s="1150"/>
      <c r="Y32" s="1150"/>
      <c r="Z32" s="1150"/>
      <c r="AA32" s="1150"/>
      <c r="AB32" s="1150"/>
      <c r="AC32" s="1151"/>
      <c r="AD32" s="1151"/>
      <c r="AE32" s="2447">
        <v>5</v>
      </c>
      <c r="AF32" s="2236">
        <f t="shared" si="2"/>
        <v>5</v>
      </c>
      <c r="AG32" s="3933"/>
      <c r="DJ32" s="1192"/>
    </row>
    <row r="33" spans="1:114" s="3926" customFormat="1" ht="14.65" hidden="1" customHeight="1" outlineLevel="1">
      <c r="A33" s="543"/>
      <c r="B33" s="543"/>
      <c r="C33" s="571"/>
      <c r="D33" s="494" t="s">
        <v>128</v>
      </c>
      <c r="E33" s="778" t="s">
        <v>3630</v>
      </c>
      <c r="F33" s="3934" t="s">
        <v>1102</v>
      </c>
      <c r="G33" s="1837">
        <v>0.87</v>
      </c>
      <c r="H33" s="1826"/>
      <c r="I33" s="4391" t="s">
        <v>3631</v>
      </c>
      <c r="J33" s="4391"/>
      <c r="K33" s="4391"/>
      <c r="L33" s="4391"/>
      <c r="M33" s="543"/>
      <c r="N33" s="543"/>
      <c r="O33" s="543"/>
      <c r="P33" s="543"/>
      <c r="Q33" s="543"/>
      <c r="R33" s="543"/>
      <c r="S33" s="543"/>
      <c r="T33" s="543"/>
      <c r="U33" s="543"/>
      <c r="V33" s="3935" t="s">
        <v>128</v>
      </c>
      <c r="W33" s="1150"/>
      <c r="X33" s="1150"/>
      <c r="Y33" s="1150"/>
      <c r="Z33" s="1150"/>
      <c r="AA33" s="1150"/>
      <c r="AB33" s="1150"/>
      <c r="AC33" s="1151"/>
      <c r="AD33" s="1151"/>
      <c r="AE33" s="1839">
        <v>0.87</v>
      </c>
      <c r="AF33" s="271">
        <f t="shared" si="2"/>
        <v>0.87</v>
      </c>
      <c r="AG33" s="1826"/>
      <c r="DJ33" s="1192"/>
    </row>
    <row r="34" spans="1:114" s="3926" customFormat="1" hidden="1" outlineLevel="1">
      <c r="A34" s="543"/>
      <c r="B34" s="543"/>
      <c r="C34" s="571"/>
      <c r="D34" s="494" t="s">
        <v>1433</v>
      </c>
      <c r="E34" s="778" t="s">
        <v>3632</v>
      </c>
      <c r="F34" s="3934" t="s">
        <v>1102</v>
      </c>
      <c r="G34" s="1837">
        <v>0</v>
      </c>
      <c r="H34" s="1826"/>
      <c r="I34" s="4689" t="s">
        <v>3633</v>
      </c>
      <c r="J34" s="4689"/>
      <c r="K34" s="4689"/>
      <c r="L34" s="4689"/>
      <c r="M34" s="543"/>
      <c r="N34" s="543"/>
      <c r="O34" s="543"/>
      <c r="P34" s="543"/>
      <c r="Q34" s="543"/>
      <c r="R34" s="543"/>
      <c r="S34" s="543"/>
      <c r="T34" s="543"/>
      <c r="U34" s="543"/>
      <c r="V34" s="3935" t="s">
        <v>1433</v>
      </c>
      <c r="W34" s="1150"/>
      <c r="X34" s="1150"/>
      <c r="Y34" s="1150"/>
      <c r="Z34" s="1150"/>
      <c r="AA34" s="1150"/>
      <c r="AB34" s="1150"/>
      <c r="AC34" s="1151"/>
      <c r="AD34" s="1151"/>
      <c r="AE34" s="1839">
        <v>0</v>
      </c>
      <c r="AF34" s="271">
        <f t="shared" si="2"/>
        <v>0</v>
      </c>
      <c r="AG34" s="1142"/>
      <c r="DJ34" s="1192"/>
    </row>
    <row r="35" spans="1:114" s="3926" customFormat="1" ht="15" hidden="1" customHeight="1" outlineLevel="1">
      <c r="A35" s="543"/>
      <c r="B35" s="543"/>
      <c r="C35" s="571"/>
      <c r="D35" s="494" t="s">
        <v>3262</v>
      </c>
      <c r="E35" s="778" t="s">
        <v>3634</v>
      </c>
      <c r="F35" s="3934" t="s">
        <v>1102</v>
      </c>
      <c r="G35" s="3936">
        <f>2.72652*365</f>
        <v>995.17979999999989</v>
      </c>
      <c r="H35" s="3937"/>
      <c r="I35" s="4391" t="s">
        <v>3635</v>
      </c>
      <c r="J35" s="4391"/>
      <c r="K35" s="4391"/>
      <c r="L35" s="4391"/>
      <c r="M35" s="543"/>
      <c r="N35" s="543"/>
      <c r="O35" s="543"/>
      <c r="P35" s="543"/>
      <c r="Q35" s="543"/>
      <c r="R35" s="543"/>
      <c r="S35" s="543"/>
      <c r="T35" s="543"/>
      <c r="U35" s="543"/>
      <c r="V35" s="3935" t="s">
        <v>3262</v>
      </c>
      <c r="W35" s="1150"/>
      <c r="X35" s="1150"/>
      <c r="Y35" s="1150"/>
      <c r="Z35" s="1150"/>
      <c r="AA35" s="1150"/>
      <c r="AB35" s="1150"/>
      <c r="AC35" s="1151"/>
      <c r="AD35" s="1151"/>
      <c r="AE35" s="3938">
        <v>995.17979999999989</v>
      </c>
      <c r="AF35" s="271">
        <f t="shared" si="2"/>
        <v>995.17979999999989</v>
      </c>
      <c r="AG35" s="3939"/>
      <c r="DJ35" s="1192"/>
    </row>
    <row r="36" spans="1:114" s="3926" customFormat="1" ht="43.15" hidden="1" customHeight="1" outlineLevel="1">
      <c r="A36" s="543"/>
      <c r="B36" s="543"/>
      <c r="C36" s="571"/>
      <c r="D36" s="4688" t="s">
        <v>3266</v>
      </c>
      <c r="E36" s="4199" t="s">
        <v>3636</v>
      </c>
      <c r="F36" s="3934" t="s">
        <v>3637</v>
      </c>
      <c r="G36" s="3936">
        <v>0.99</v>
      </c>
      <c r="H36" s="3937"/>
      <c r="I36" s="4700" t="s">
        <v>3638</v>
      </c>
      <c r="J36" s="4700"/>
      <c r="K36" s="4700"/>
      <c r="L36" s="4700"/>
      <c r="M36" s="543"/>
      <c r="N36" s="543"/>
      <c r="O36" s="543"/>
      <c r="P36" s="543"/>
      <c r="Q36" s="543"/>
      <c r="R36" s="543"/>
      <c r="S36" s="543"/>
      <c r="T36" s="543"/>
      <c r="U36" s="543"/>
      <c r="V36" s="4697" t="s">
        <v>3266</v>
      </c>
      <c r="W36" s="1150"/>
      <c r="X36" s="1150"/>
      <c r="Y36" s="1150"/>
      <c r="Z36" s="1150"/>
      <c r="AA36" s="1150"/>
      <c r="AB36" s="1150"/>
      <c r="AC36" s="1151"/>
      <c r="AD36" s="1151"/>
      <c r="AE36" s="3938">
        <v>0.99</v>
      </c>
      <c r="AF36" s="271">
        <f t="shared" si="2"/>
        <v>0.99</v>
      </c>
      <c r="AG36" s="3939"/>
      <c r="DJ36" s="1192"/>
    </row>
    <row r="37" spans="1:114" s="3926" customFormat="1" ht="60.75" hidden="1" customHeight="1" outlineLevel="1">
      <c r="A37" s="543"/>
      <c r="B37" s="543"/>
      <c r="C37" s="571"/>
      <c r="D37" s="4688"/>
      <c r="E37" s="4199"/>
      <c r="F37" s="2286" t="s">
        <v>3639</v>
      </c>
      <c r="G37" s="2287">
        <v>1</v>
      </c>
      <c r="H37" s="2288"/>
      <c r="I37" s="4701" t="s">
        <v>3640</v>
      </c>
      <c r="J37" s="4701"/>
      <c r="K37" s="4701"/>
      <c r="L37" s="4701"/>
      <c r="M37" s="543"/>
      <c r="N37" s="543"/>
      <c r="O37" s="543"/>
      <c r="P37" s="543"/>
      <c r="Q37" s="543"/>
      <c r="R37" s="543"/>
      <c r="S37" s="543"/>
      <c r="T37" s="543"/>
      <c r="U37" s="543"/>
      <c r="V37" s="4697"/>
      <c r="W37" s="1150"/>
      <c r="X37" s="1150"/>
      <c r="Y37" s="1150"/>
      <c r="Z37" s="1150"/>
      <c r="AA37" s="1150"/>
      <c r="AB37" s="1150"/>
      <c r="AC37" s="1151"/>
      <c r="AD37" s="1151"/>
      <c r="AE37" s="2448">
        <v>1</v>
      </c>
      <c r="AF37" s="2236">
        <f t="shared" si="2"/>
        <v>1</v>
      </c>
      <c r="AG37" s="3939"/>
      <c r="DJ37" s="1192"/>
    </row>
    <row r="38" spans="1:114" s="3926" customFormat="1" ht="48" hidden="1" customHeight="1" outlineLevel="1">
      <c r="A38" s="543"/>
      <c r="B38" s="543"/>
      <c r="C38" s="571"/>
      <c r="D38" s="494" t="s">
        <v>3269</v>
      </c>
      <c r="E38" s="778" t="s">
        <v>3641</v>
      </c>
      <c r="F38" s="3934" t="s">
        <v>1102</v>
      </c>
      <c r="G38" s="1830">
        <v>3612</v>
      </c>
      <c r="H38" s="3937"/>
      <c r="I38" s="4689" t="s">
        <v>3642</v>
      </c>
      <c r="J38" s="4689"/>
      <c r="K38" s="4689"/>
      <c r="L38" s="4689"/>
      <c r="M38" s="543"/>
      <c r="N38" s="543"/>
      <c r="O38" s="543"/>
      <c r="P38" s="543"/>
      <c r="Q38" s="543"/>
      <c r="R38" s="543"/>
      <c r="S38" s="543"/>
      <c r="T38" s="543"/>
      <c r="U38" s="543"/>
      <c r="V38" s="3935" t="s">
        <v>3269</v>
      </c>
      <c r="W38" s="1150"/>
      <c r="X38" s="1150"/>
      <c r="Y38" s="1150"/>
      <c r="Z38" s="1150"/>
      <c r="AA38" s="1150"/>
      <c r="AB38" s="1150"/>
      <c r="AC38" s="1151"/>
      <c r="AD38" s="1151"/>
      <c r="AE38" s="3938">
        <v>3612</v>
      </c>
      <c r="AF38" s="271">
        <f t="shared" si="2"/>
        <v>3612</v>
      </c>
      <c r="AG38" s="3939"/>
      <c r="DJ38" s="1192"/>
    </row>
    <row r="39" spans="1:114" s="3926" customFormat="1" ht="43.15" hidden="1" customHeight="1" outlineLevel="1">
      <c r="A39" s="543"/>
      <c r="B39" s="543"/>
      <c r="C39" s="571"/>
      <c r="D39" s="4688" t="s">
        <v>3270</v>
      </c>
      <c r="E39" s="4199" t="s">
        <v>3636</v>
      </c>
      <c r="F39" s="3934" t="s">
        <v>3643</v>
      </c>
      <c r="G39" s="1830">
        <v>1.1000000000000001</v>
      </c>
      <c r="H39" s="3937"/>
      <c r="I39" s="4689" t="s">
        <v>3644</v>
      </c>
      <c r="J39" s="4689"/>
      <c r="K39" s="4689"/>
      <c r="L39" s="4689"/>
      <c r="M39" s="543"/>
      <c r="N39" s="543"/>
      <c r="O39" s="543"/>
      <c r="P39" s="543"/>
      <c r="Q39" s="543"/>
      <c r="R39" s="543"/>
      <c r="S39" s="543"/>
      <c r="T39" s="543"/>
      <c r="U39" s="543"/>
      <c r="V39" s="4697" t="s">
        <v>3270</v>
      </c>
      <c r="W39" s="1150"/>
      <c r="X39" s="1150"/>
      <c r="Y39" s="1150"/>
      <c r="Z39" s="1150"/>
      <c r="AA39" s="1150"/>
      <c r="AB39" s="1150"/>
      <c r="AC39" s="1151"/>
      <c r="AD39" s="1151"/>
      <c r="AE39" s="3938">
        <v>1.1000000000000001</v>
      </c>
      <c r="AF39" s="271">
        <f t="shared" si="2"/>
        <v>1.1000000000000001</v>
      </c>
      <c r="AG39" s="3939"/>
      <c r="DJ39" s="1192"/>
    </row>
    <row r="40" spans="1:114" s="3926" customFormat="1" ht="45" hidden="1" outlineLevel="1">
      <c r="A40" s="543"/>
      <c r="B40" s="543"/>
      <c r="C40" s="571"/>
      <c r="D40" s="4688"/>
      <c r="E40" s="4199"/>
      <c r="F40" s="3934" t="s">
        <v>3645</v>
      </c>
      <c r="G40" s="1830">
        <v>1</v>
      </c>
      <c r="H40" s="3937"/>
      <c r="I40" s="4689"/>
      <c r="J40" s="4689"/>
      <c r="K40" s="4689"/>
      <c r="L40" s="4689"/>
      <c r="M40" s="543"/>
      <c r="N40" s="543"/>
      <c r="O40" s="543"/>
      <c r="P40" s="543"/>
      <c r="Q40" s="543"/>
      <c r="R40" s="543"/>
      <c r="S40" s="543"/>
      <c r="T40" s="543"/>
      <c r="U40" s="543"/>
      <c r="V40" s="4697"/>
      <c r="W40" s="1150"/>
      <c r="X40" s="1150"/>
      <c r="Y40" s="1150"/>
      <c r="Z40" s="1150"/>
      <c r="AA40" s="1150"/>
      <c r="AB40" s="1150"/>
      <c r="AC40" s="1151"/>
      <c r="AD40" s="1151"/>
      <c r="AE40" s="3938">
        <v>1</v>
      </c>
      <c r="AF40" s="271">
        <f t="shared" si="2"/>
        <v>1</v>
      </c>
      <c r="AG40" s="3939"/>
      <c r="DJ40" s="1192"/>
    </row>
    <row r="41" spans="1:114" s="3926" customFormat="1" hidden="1" outlineLevel="1">
      <c r="A41" s="543"/>
      <c r="B41" s="543"/>
      <c r="C41" s="571"/>
      <c r="D41" s="494" t="s">
        <v>3272</v>
      </c>
      <c r="E41" s="778" t="s">
        <v>3646</v>
      </c>
      <c r="F41" s="3934" t="s">
        <v>1102</v>
      </c>
      <c r="G41" s="1837">
        <v>1</v>
      </c>
      <c r="H41" s="419"/>
      <c r="I41" s="4689" t="s">
        <v>3633</v>
      </c>
      <c r="J41" s="4689"/>
      <c r="K41" s="4689"/>
      <c r="L41" s="4689"/>
      <c r="M41" s="543"/>
      <c r="N41" s="543"/>
      <c r="O41" s="543"/>
      <c r="P41" s="543"/>
      <c r="Q41" s="543"/>
      <c r="R41" s="543"/>
      <c r="S41" s="543"/>
      <c r="T41" s="543"/>
      <c r="U41" s="543"/>
      <c r="V41" s="3935" t="s">
        <v>3272</v>
      </c>
      <c r="W41" s="1150"/>
      <c r="X41" s="1150"/>
      <c r="Y41" s="1150"/>
      <c r="Z41" s="1150"/>
      <c r="AA41" s="1150"/>
      <c r="AB41" s="1150"/>
      <c r="AC41" s="1151"/>
      <c r="AD41" s="1151"/>
      <c r="AE41" s="1839">
        <v>1</v>
      </c>
      <c r="AF41" s="271">
        <f t="shared" si="2"/>
        <v>1</v>
      </c>
      <c r="AG41" s="419"/>
      <c r="DJ41" s="1192"/>
    </row>
    <row r="42" spans="1:114" s="3926" customFormat="1" ht="70.5" hidden="1" customHeight="1" outlineLevel="1">
      <c r="A42" s="543"/>
      <c r="B42" s="543"/>
      <c r="C42" s="571"/>
      <c r="D42" s="597" t="s">
        <v>3647</v>
      </c>
      <c r="E42" s="1439" t="s">
        <v>1198</v>
      </c>
      <c r="F42" s="3934" t="s">
        <v>1102</v>
      </c>
      <c r="G42" s="1653">
        <v>2</v>
      </c>
      <c r="H42" s="419"/>
      <c r="I42" s="4698" t="s">
        <v>3648</v>
      </c>
      <c r="J42" s="4699"/>
      <c r="K42" s="4699"/>
      <c r="L42" s="4699"/>
      <c r="M42" s="543"/>
      <c r="N42" s="543"/>
      <c r="O42" s="543"/>
      <c r="P42" s="543"/>
      <c r="Q42" s="543"/>
      <c r="R42" s="543"/>
      <c r="S42" s="543"/>
      <c r="T42" s="543"/>
      <c r="U42" s="543"/>
      <c r="V42" s="1439" t="s">
        <v>3647</v>
      </c>
      <c r="W42" s="1150"/>
      <c r="X42" s="1150"/>
      <c r="Y42" s="1150"/>
      <c r="Z42" s="1150"/>
      <c r="AA42" s="1150"/>
      <c r="AB42" s="1150"/>
      <c r="AC42" s="1151"/>
      <c r="AD42" s="1151"/>
      <c r="AE42" s="50">
        <v>19</v>
      </c>
      <c r="AF42" s="271">
        <f t="shared" si="2"/>
        <v>2</v>
      </c>
      <c r="AG42" s="59"/>
      <c r="DJ42" s="1192"/>
    </row>
    <row r="43" spans="1:114" s="3926" customFormat="1" ht="73.5" hidden="1" customHeight="1" outlineLevel="1">
      <c r="A43" s="543"/>
      <c r="B43" s="543"/>
      <c r="C43" s="571"/>
      <c r="D43" s="3940" t="s">
        <v>3649</v>
      </c>
      <c r="E43" s="1440" t="s">
        <v>1198</v>
      </c>
      <c r="F43" s="3934" t="s">
        <v>1102</v>
      </c>
      <c r="G43" s="1827"/>
      <c r="H43" s="419"/>
      <c r="I43" s="4696"/>
      <c r="J43" s="4696"/>
      <c r="K43" s="4696"/>
      <c r="L43" s="4696"/>
      <c r="M43" s="543"/>
      <c r="N43" s="543"/>
      <c r="O43" s="543"/>
      <c r="P43" s="543"/>
      <c r="Q43" s="543"/>
      <c r="R43" s="543"/>
      <c r="S43" s="543"/>
      <c r="T43" s="543"/>
      <c r="U43" s="543"/>
      <c r="V43" s="1440" t="s">
        <v>3649</v>
      </c>
      <c r="W43" s="1150"/>
      <c r="X43" s="1150"/>
      <c r="Y43" s="1150"/>
      <c r="Z43" s="1150"/>
      <c r="AA43" s="1150"/>
      <c r="AB43" s="1150"/>
      <c r="AC43" s="1151"/>
      <c r="AD43" s="1151"/>
      <c r="AE43" s="50">
        <v>6</v>
      </c>
      <c r="AF43" s="271" t="str">
        <f t="shared" si="2"/>
        <v/>
      </c>
      <c r="AG43" s="59"/>
      <c r="DJ43" s="1192"/>
    </row>
    <row r="44" spans="1:114" s="3926" customFormat="1" ht="15" hidden="1" customHeight="1" outlineLevel="1">
      <c r="A44" s="543"/>
      <c r="B44" s="543"/>
      <c r="C44" s="571"/>
      <c r="D44" s="4687" t="s">
        <v>50</v>
      </c>
      <c r="E44" s="4686" t="s">
        <v>1135</v>
      </c>
      <c r="F44" s="3934" t="s">
        <v>135</v>
      </c>
      <c r="G44" s="3941">
        <v>1.45</v>
      </c>
      <c r="H44" s="419"/>
      <c r="I44" s="4751" t="s">
        <v>3650</v>
      </c>
      <c r="J44" s="4752"/>
      <c r="K44" s="4752"/>
      <c r="L44" s="4753"/>
      <c r="M44" s="543"/>
      <c r="N44" s="543"/>
      <c r="O44" s="543"/>
      <c r="P44" s="543"/>
      <c r="Q44" s="543"/>
      <c r="R44" s="543"/>
      <c r="S44" s="543"/>
      <c r="T44" s="543"/>
      <c r="U44" s="543"/>
      <c r="V44" s="4678" t="s">
        <v>50</v>
      </c>
      <c r="W44" s="1150"/>
      <c r="X44" s="1150"/>
      <c r="Y44" s="1150"/>
      <c r="Z44" s="1150"/>
      <c r="AA44" s="1150"/>
      <c r="AB44" s="1150"/>
      <c r="AC44" s="1151"/>
      <c r="AD44" s="1151"/>
      <c r="AE44" s="3942">
        <v>1.45</v>
      </c>
      <c r="AF44" s="271">
        <f t="shared" si="2"/>
        <v>1.45</v>
      </c>
      <c r="AG44" s="59"/>
      <c r="DJ44" s="1192"/>
    </row>
    <row r="45" spans="1:114" s="3926" customFormat="1" ht="15" hidden="1" customHeight="1" outlineLevel="1">
      <c r="A45" s="543"/>
      <c r="B45" s="543"/>
      <c r="C45" s="571"/>
      <c r="D45" s="4687"/>
      <c r="E45" s="4686"/>
      <c r="F45" s="2293" t="s">
        <v>3651</v>
      </c>
      <c r="G45" s="2292">
        <v>1.66</v>
      </c>
      <c r="H45" s="3943"/>
      <c r="I45" s="4754"/>
      <c r="J45" s="4755"/>
      <c r="K45" s="4755"/>
      <c r="L45" s="4756"/>
      <c r="M45" s="543"/>
      <c r="N45" s="543"/>
      <c r="O45" s="543"/>
      <c r="P45" s="543"/>
      <c r="Q45" s="543"/>
      <c r="R45" s="543"/>
      <c r="S45" s="543"/>
      <c r="T45" s="543"/>
      <c r="U45" s="543"/>
      <c r="V45" s="4678"/>
      <c r="W45" s="1150"/>
      <c r="X45" s="1150"/>
      <c r="Y45" s="1150"/>
      <c r="Z45" s="1150"/>
      <c r="AA45" s="1150"/>
      <c r="AB45" s="1150"/>
      <c r="AC45" s="1151"/>
      <c r="AD45" s="1151"/>
      <c r="AE45" s="2450">
        <v>1.66</v>
      </c>
      <c r="AF45" s="2236">
        <f t="shared" si="2"/>
        <v>1.66</v>
      </c>
      <c r="AG45" s="3944"/>
      <c r="DJ45" s="1192"/>
    </row>
    <row r="46" spans="1:114" hidden="1" outlineLevel="1">
      <c r="A46" s="543"/>
      <c r="C46" s="543"/>
      <c r="E46" s="1264"/>
      <c r="V46" s="1153"/>
      <c r="W46" s="1153"/>
      <c r="X46" s="1153"/>
      <c r="Y46" s="1153"/>
      <c r="Z46" s="1153"/>
      <c r="AA46" s="1153"/>
      <c r="AB46" s="1153"/>
      <c r="AC46" s="1153"/>
      <c r="AD46" s="1153"/>
      <c r="AE46" s="1153"/>
    </row>
    <row r="47" spans="1:114" collapsed="1">
      <c r="A47" s="543"/>
      <c r="C47" s="543"/>
      <c r="V47" s="1119"/>
      <c r="W47" s="1119"/>
      <c r="X47" s="1119"/>
      <c r="Y47" s="1119"/>
      <c r="Z47" s="1119"/>
      <c r="AA47" s="1119"/>
      <c r="AB47" s="1119"/>
      <c r="AC47" s="1119"/>
      <c r="AD47" s="1119"/>
      <c r="AE47" s="1119"/>
    </row>
    <row r="48" spans="1:114">
      <c r="A48" s="543"/>
      <c r="C48" s="543"/>
    </row>
    <row r="49" spans="1:114" s="1118" customFormat="1">
      <c r="A49" s="543"/>
      <c r="B49" s="4702" t="s">
        <v>1612</v>
      </c>
      <c r="C49" s="4703"/>
      <c r="D49" s="4703"/>
      <c r="E49" s="4703"/>
      <c r="F49" s="4703"/>
      <c r="G49" s="4703"/>
      <c r="H49" s="4703"/>
      <c r="I49" s="4704"/>
      <c r="J49" s="4704"/>
      <c r="K49" s="4704"/>
      <c r="L49" s="4704"/>
      <c r="M49" s="4704"/>
      <c r="N49" s="4704"/>
      <c r="O49" s="4704"/>
      <c r="P49" s="4704"/>
      <c r="Q49" s="4704"/>
      <c r="R49" s="4705"/>
      <c r="S49" s="1119"/>
      <c r="T49" s="1119"/>
      <c r="U49" s="1119"/>
      <c r="V49" s="4702" t="str">
        <f>B49</f>
        <v>Pipe Insulation</v>
      </c>
      <c r="W49" s="4703"/>
      <c r="X49" s="4703"/>
      <c r="Y49" s="4703"/>
      <c r="Z49" s="4703"/>
      <c r="AA49" s="4703"/>
      <c r="AB49" s="4703"/>
      <c r="AC49" s="4706"/>
      <c r="AD49" s="4706"/>
      <c r="AE49" s="4706"/>
      <c r="AF49" s="4706"/>
      <c r="AG49" s="4706"/>
      <c r="AH49" s="4706"/>
      <c r="AI49" s="4707"/>
      <c r="AK49" s="1121"/>
      <c r="DG49" s="1120"/>
      <c r="DH49" s="1119"/>
      <c r="DI49" s="1119"/>
      <c r="DJ49" s="1192"/>
    </row>
    <row r="50" spans="1:114" s="1118" customFormat="1">
      <c r="A50" s="543"/>
      <c r="B50" s="2268"/>
      <c r="C50" s="2269"/>
      <c r="D50" s="2270"/>
      <c r="E50" s="2270"/>
      <c r="F50" s="2271"/>
      <c r="G50" s="2271"/>
      <c r="H50" s="2271"/>
      <c r="I50" s="2271"/>
      <c r="J50" s="2271"/>
      <c r="K50" s="2271"/>
      <c r="L50" s="2272"/>
      <c r="M50" s="2273"/>
      <c r="N50" s="2273"/>
      <c r="O50" s="2273"/>
      <c r="P50" s="2273"/>
      <c r="Q50" s="2273"/>
      <c r="R50" s="2273"/>
      <c r="S50" s="1119"/>
      <c r="T50" s="1119"/>
      <c r="U50" s="1119"/>
      <c r="V50" s="2273"/>
      <c r="W50" s="2325"/>
      <c r="X50" s="2325"/>
      <c r="Y50" s="2326"/>
      <c r="Z50" s="2325"/>
      <c r="AA50" s="2325"/>
      <c r="AB50" s="2325"/>
      <c r="AC50" s="2325"/>
      <c r="AD50" s="2325"/>
      <c r="AE50" s="2325"/>
      <c r="AF50" s="2325"/>
      <c r="AG50" s="2325"/>
      <c r="AH50" s="2325"/>
      <c r="AI50" s="2325"/>
      <c r="AK50" s="1121"/>
      <c r="DG50" s="1120"/>
      <c r="DH50" s="1119"/>
      <c r="DI50" s="1119"/>
      <c r="DJ50" s="1192"/>
    </row>
    <row r="51" spans="1:114" s="1118" customFormat="1" ht="60">
      <c r="A51" s="543"/>
      <c r="B51" s="2268"/>
      <c r="C51" s="2207" t="s">
        <v>42</v>
      </c>
      <c r="D51" s="2207" t="s">
        <v>953</v>
      </c>
      <c r="E51" s="2207" t="s">
        <v>44</v>
      </c>
      <c r="F51" s="2207" t="s">
        <v>1315</v>
      </c>
      <c r="G51" s="2207" t="s">
        <v>46</v>
      </c>
      <c r="H51" s="2207" t="s">
        <v>47</v>
      </c>
      <c r="I51" s="2207" t="s">
        <v>48</v>
      </c>
      <c r="J51" s="2207" t="s">
        <v>49</v>
      </c>
      <c r="K51" s="2207" t="s">
        <v>50</v>
      </c>
      <c r="L51" s="2207" t="s">
        <v>51</v>
      </c>
      <c r="M51" s="2273"/>
      <c r="N51" s="2273"/>
      <c r="O51" s="2273"/>
      <c r="P51" s="2273"/>
      <c r="Q51" s="2273"/>
      <c r="R51" s="2273"/>
      <c r="S51" s="1119"/>
      <c r="T51" s="1119"/>
      <c r="U51" s="1119"/>
      <c r="V51" s="2256" t="s">
        <v>52</v>
      </c>
      <c r="W51" s="2257">
        <f t="shared" ref="W51:AG51" si="3">W$6</f>
        <v>43252</v>
      </c>
      <c r="X51" s="2257">
        <f t="shared" si="3"/>
        <v>43435</v>
      </c>
      <c r="Y51" s="2327">
        <f t="shared" si="3"/>
        <v>43800</v>
      </c>
      <c r="Z51" s="2257">
        <f t="shared" si="3"/>
        <v>43862</v>
      </c>
      <c r="AA51" s="2257">
        <f t="shared" si="3"/>
        <v>44013</v>
      </c>
      <c r="AB51" s="2257">
        <f t="shared" si="3"/>
        <v>44166</v>
      </c>
      <c r="AC51" s="2257">
        <f t="shared" si="3"/>
        <v>44531</v>
      </c>
      <c r="AD51" s="2257">
        <f t="shared" si="3"/>
        <v>44774</v>
      </c>
      <c r="AE51" s="2257">
        <f t="shared" si="3"/>
        <v>45139</v>
      </c>
      <c r="AF51" s="2257">
        <f t="shared" si="3"/>
        <v>45672</v>
      </c>
      <c r="AG51" s="2257" t="str">
        <f t="shared" si="3"/>
        <v>-</v>
      </c>
      <c r="AH51" s="2325"/>
      <c r="AI51" s="2325"/>
      <c r="AK51" s="1121"/>
      <c r="DG51" s="2329" t="str">
        <f>$DG$6</f>
        <v>TRC (2025)</v>
      </c>
      <c r="DH51" s="2330" t="str">
        <f>$DH$6</f>
        <v>Benefit Lookup</v>
      </c>
      <c r="DI51" s="2331" t="str">
        <f>$DI$6</f>
        <v>Benefits (2025 $)</v>
      </c>
      <c r="DJ51" s="2263" t="str">
        <f>$DJ$6</f>
        <v>Incremental Cost (2025 $)</v>
      </c>
    </row>
    <row r="52" spans="1:114" s="1118" customFormat="1">
      <c r="A52" s="543"/>
      <c r="B52" s="2208">
        <f t="shared" ref="B52" si="4">VALUE(LEFT(C52,6))</f>
        <v>450300</v>
      </c>
      <c r="C52" s="2243" t="s">
        <v>3652</v>
      </c>
      <c r="D52" s="2244" t="s">
        <v>1800</v>
      </c>
      <c r="E52" s="2274" t="s">
        <v>3653</v>
      </c>
      <c r="F52" s="2245">
        <f>ROUND(((((F58/F59)-(F60/F61))*F62*F63*F64)/(F65*F66))*F67*F68*F69,2)</f>
        <v>4.92</v>
      </c>
      <c r="G52" s="2275" t="s">
        <v>1319</v>
      </c>
      <c r="H52" s="2247">
        <f>VLOOKUP(G52,'CP FACTORS'!$A$3:$B$38, 2, FALSE)</f>
        <v>8.8731800000000003E-5</v>
      </c>
      <c r="I52" s="2276">
        <f>ROUND(F52*H52,6)</f>
        <v>4.37E-4</v>
      </c>
      <c r="J52" s="2277">
        <f>F72</f>
        <v>12</v>
      </c>
      <c r="K52" s="2278">
        <f>F73</f>
        <v>7.1</v>
      </c>
      <c r="L52" s="2275" t="s">
        <v>1614</v>
      </c>
      <c r="M52" s="2273"/>
      <c r="N52" s="2273"/>
      <c r="O52" s="2273"/>
      <c r="P52" s="2273"/>
      <c r="Q52" s="2273"/>
      <c r="R52" s="2279"/>
      <c r="S52" s="1119"/>
      <c r="T52" s="1119"/>
      <c r="U52" s="1119"/>
      <c r="V52" s="1841" t="str">
        <f>F51</f>
        <v>kWh
Annual Savings</v>
      </c>
      <c r="W52" s="2258"/>
      <c r="X52" s="2258"/>
      <c r="Y52" s="2258"/>
      <c r="Z52" s="2258"/>
      <c r="AA52" s="2258"/>
      <c r="AB52" s="2258"/>
      <c r="AC52" s="2259"/>
      <c r="AD52" s="2259"/>
      <c r="AE52" s="2328">
        <v>4.83</v>
      </c>
      <c r="AF52" s="2236">
        <f>IF(F52&lt;&gt;"",F52,"")</f>
        <v>4.92</v>
      </c>
      <c r="AG52" s="2261"/>
      <c r="AH52" s="2325"/>
      <c r="AI52" s="2325"/>
      <c r="AK52" s="1121"/>
      <c r="DG52" s="2332">
        <f>(DI52)/(DJ52)</f>
        <v>0.3890634031598742</v>
      </c>
      <c r="DH52" s="2291" t="str">
        <f>CONCATENATE(G52," ",J52," Year EUL")</f>
        <v>Water heating RES 12 Year EUL</v>
      </c>
      <c r="DI52" s="2333">
        <f>(INDEX('Avoided Cost Benefits'!$B$4:$B$865,MATCH(DH52,'Avoided Cost Benefits'!$A$4:$A$865,0)))*F52</f>
        <v>2.7623501624351068</v>
      </c>
      <c r="DJ52" s="2334">
        <f>K52/(1.0686^(2025-2025))</f>
        <v>7.1</v>
      </c>
    </row>
    <row r="53" spans="1:114" s="1118" customFormat="1" hidden="1" outlineLevel="1">
      <c r="A53" s="543"/>
      <c r="B53" s="1271"/>
      <c r="C53" s="1404"/>
      <c r="D53" s="2294" t="s">
        <v>118</v>
      </c>
      <c r="E53" s="2220" t="s">
        <v>1618</v>
      </c>
      <c r="F53" s="2295"/>
      <c r="G53" s="2295"/>
      <c r="H53" s="2295"/>
      <c r="I53" s="2295"/>
      <c r="J53" s="2295"/>
      <c r="K53" s="2273"/>
      <c r="L53" s="1119"/>
      <c r="M53" s="1119"/>
      <c r="N53" s="1119"/>
      <c r="O53" s="1119"/>
      <c r="P53" s="1119"/>
      <c r="Q53" s="1119"/>
      <c r="R53" s="1119"/>
      <c r="S53" s="1119"/>
      <c r="T53" s="1119"/>
      <c r="U53" s="1119"/>
      <c r="V53" s="1153"/>
      <c r="W53" s="1153"/>
      <c r="X53" s="1153"/>
      <c r="Y53" s="1153"/>
      <c r="Z53" s="1153"/>
      <c r="AA53" s="1153"/>
      <c r="AB53" s="1153"/>
      <c r="AC53" s="1153"/>
      <c r="AD53" s="1153"/>
      <c r="AE53" s="1153"/>
      <c r="AF53" s="1117"/>
      <c r="AG53" s="1117"/>
      <c r="AK53" s="1121"/>
      <c r="DG53" s="1120"/>
      <c r="DH53" s="1119"/>
      <c r="DI53" s="1119"/>
      <c r="DJ53" s="1192"/>
    </row>
    <row r="54" spans="1:114" s="1118" customFormat="1" hidden="1" outlineLevel="1">
      <c r="A54" s="543"/>
      <c r="B54" s="1271"/>
      <c r="C54" s="1404"/>
      <c r="D54" s="2296" t="s">
        <v>963</v>
      </c>
      <c r="E54" s="635" t="s">
        <v>1619</v>
      </c>
      <c r="F54" s="2297"/>
      <c r="G54" s="2297"/>
      <c r="H54" s="2295"/>
      <c r="I54" s="2295"/>
      <c r="J54" s="2295"/>
      <c r="K54" s="2273"/>
      <c r="L54" s="1119"/>
      <c r="M54" s="1119"/>
      <c r="N54" s="1119"/>
      <c r="O54" s="1119"/>
      <c r="P54" s="1119"/>
      <c r="Q54" s="1119"/>
      <c r="R54" s="1119"/>
      <c r="S54" s="1119"/>
      <c r="T54" s="1119"/>
      <c r="U54" s="1119"/>
      <c r="V54" s="1119"/>
      <c r="W54" s="1119"/>
      <c r="X54" s="1119"/>
      <c r="Y54" s="1119"/>
      <c r="Z54" s="1119"/>
      <c r="AA54" s="1119"/>
      <c r="AB54" s="1119"/>
      <c r="AC54" s="1119"/>
      <c r="AD54" s="1119"/>
      <c r="AE54" s="1119"/>
      <c r="AF54" s="1117"/>
      <c r="AG54" s="1117"/>
      <c r="AK54" s="1121"/>
      <c r="DG54" s="1120"/>
      <c r="DH54" s="1119"/>
      <c r="DI54" s="1119"/>
      <c r="DJ54" s="1192"/>
    </row>
    <row r="55" spans="1:114" s="1118" customFormat="1" hidden="1" outlineLevel="1">
      <c r="A55" s="543"/>
      <c r="B55" s="1271"/>
      <c r="C55" s="1404"/>
      <c r="D55" s="2298"/>
      <c r="E55" s="635" t="s">
        <v>966</v>
      </c>
      <c r="F55" s="2299"/>
      <c r="G55" s="2299"/>
      <c r="H55" s="2299"/>
      <c r="I55" s="2299"/>
      <c r="J55" s="2299"/>
      <c r="K55" s="2273"/>
      <c r="L55" s="1119"/>
      <c r="M55" s="1119"/>
      <c r="N55" s="1119"/>
      <c r="O55" s="1119"/>
      <c r="P55" s="1119"/>
      <c r="Q55" s="1119"/>
      <c r="R55" s="1119"/>
      <c r="S55" s="1119"/>
      <c r="T55" s="1119"/>
      <c r="U55" s="1119"/>
      <c r="V55" s="543"/>
      <c r="W55" s="1117"/>
      <c r="X55" s="1117"/>
      <c r="Y55" s="1140"/>
      <c r="Z55" s="1117"/>
      <c r="AA55" s="1117"/>
      <c r="AB55" s="1117"/>
      <c r="AC55" s="1117"/>
      <c r="AD55" s="1117"/>
      <c r="AE55" s="1117"/>
      <c r="AF55" s="1117"/>
      <c r="AG55" s="1117"/>
      <c r="AK55" s="1121"/>
      <c r="DG55" s="1120"/>
      <c r="DH55" s="1119"/>
      <c r="DI55" s="1119"/>
      <c r="DJ55" s="1192"/>
    </row>
    <row r="56" spans="1:114" s="1118" customFormat="1" hidden="1" outlineLevel="1">
      <c r="A56" s="543"/>
      <c r="B56" s="1271"/>
      <c r="C56" s="1404"/>
      <c r="D56" s="2300"/>
      <c r="E56" s="635" t="s">
        <v>1620</v>
      </c>
      <c r="F56" s="2301"/>
      <c r="G56" s="2302"/>
      <c r="H56" s="2302"/>
      <c r="I56" s="2302"/>
      <c r="J56" s="2302"/>
      <c r="K56" s="2273"/>
      <c r="L56" s="1119"/>
      <c r="M56" s="1119"/>
      <c r="N56" s="1119"/>
      <c r="O56" s="1119"/>
      <c r="P56" s="1119"/>
      <c r="Q56" s="1119"/>
      <c r="R56" s="1119"/>
      <c r="S56" s="1119"/>
      <c r="T56" s="1119"/>
      <c r="U56" s="1119"/>
      <c r="V56" s="543"/>
      <c r="W56" s="1117"/>
      <c r="X56" s="1117"/>
      <c r="Y56" s="1140"/>
      <c r="Z56" s="1117"/>
      <c r="AA56" s="1117"/>
      <c r="AB56" s="1117"/>
      <c r="AC56" s="1117"/>
      <c r="AD56" s="1117"/>
      <c r="AE56" s="1117"/>
      <c r="AF56" s="1117"/>
      <c r="AG56" s="1117"/>
      <c r="AK56" s="1121"/>
      <c r="DG56" s="1120"/>
      <c r="DH56" s="1119"/>
      <c r="DI56" s="1119"/>
      <c r="DJ56" s="1192"/>
    </row>
    <row r="57" spans="1:114" s="1118" customFormat="1" hidden="1" outlineLevel="1">
      <c r="A57" s="543"/>
      <c r="B57" s="1271"/>
      <c r="C57" s="1404"/>
      <c r="D57" s="2303" t="s">
        <v>1078</v>
      </c>
      <c r="E57" s="2303" t="s">
        <v>967</v>
      </c>
      <c r="F57" s="2304" t="s">
        <v>969</v>
      </c>
      <c r="G57" s="4172" t="s">
        <v>970</v>
      </c>
      <c r="H57" s="4173"/>
      <c r="I57" s="4172" t="s">
        <v>755</v>
      </c>
      <c r="J57" s="4708"/>
      <c r="K57" s="4173"/>
      <c r="L57" s="1119"/>
      <c r="M57" s="1119"/>
      <c r="N57" s="1119"/>
      <c r="O57" s="1119"/>
      <c r="P57" s="1119"/>
      <c r="Q57" s="1119"/>
      <c r="R57" s="1119"/>
      <c r="S57" s="1119"/>
      <c r="T57" s="1119"/>
      <c r="U57" s="1119"/>
      <c r="V57" s="2256" t="s">
        <v>52</v>
      </c>
      <c r="W57" s="2257">
        <f t="shared" ref="W57:AG57" si="5">W$6</f>
        <v>43252</v>
      </c>
      <c r="X57" s="2257">
        <f t="shared" si="5"/>
        <v>43435</v>
      </c>
      <c r="Y57" s="2327">
        <f t="shared" si="5"/>
        <v>43800</v>
      </c>
      <c r="Z57" s="2257">
        <f t="shared" si="5"/>
        <v>43862</v>
      </c>
      <c r="AA57" s="2257">
        <f t="shared" si="5"/>
        <v>44013</v>
      </c>
      <c r="AB57" s="2257">
        <f t="shared" si="5"/>
        <v>44166</v>
      </c>
      <c r="AC57" s="2257">
        <f t="shared" si="5"/>
        <v>44531</v>
      </c>
      <c r="AD57" s="2257">
        <f t="shared" si="5"/>
        <v>44774</v>
      </c>
      <c r="AE57" s="2257">
        <f t="shared" si="5"/>
        <v>45139</v>
      </c>
      <c r="AF57" s="2257">
        <f t="shared" si="5"/>
        <v>45672</v>
      </c>
      <c r="AG57" s="2257" t="str">
        <f t="shared" si="5"/>
        <v>-</v>
      </c>
      <c r="AK57" s="1121"/>
      <c r="DG57" s="1120"/>
      <c r="DH57" s="1119"/>
      <c r="DI57" s="1119"/>
      <c r="DJ57" s="1192"/>
    </row>
    <row r="58" spans="1:114" s="1118" customFormat="1" ht="18" hidden="1" outlineLevel="1">
      <c r="A58" s="543"/>
      <c r="B58" s="1271"/>
      <c r="C58" s="1404"/>
      <c r="D58" s="1840" t="s">
        <v>1621</v>
      </c>
      <c r="E58" s="2306" t="s">
        <v>3144</v>
      </c>
      <c r="F58" s="2307">
        <f>(PI()*F70)/12</f>
        <v>0.14398966328953219</v>
      </c>
      <c r="G58" s="4671" t="s">
        <v>1108</v>
      </c>
      <c r="H58" s="4671"/>
      <c r="I58" s="4216"/>
      <c r="J58" s="4216"/>
      <c r="K58" s="4216"/>
      <c r="L58" s="1119"/>
      <c r="M58" s="1119"/>
      <c r="N58" s="1119"/>
      <c r="O58" s="1119"/>
      <c r="P58" s="1276"/>
      <c r="Q58" s="1119"/>
      <c r="R58" s="1119"/>
      <c r="S58" s="1119"/>
      <c r="T58" s="1119"/>
      <c r="U58" s="1119"/>
      <c r="V58" s="1840" t="str">
        <f t="shared" ref="V58:V73" si="6">D58</f>
        <v>CBase</v>
      </c>
      <c r="W58" s="2258"/>
      <c r="X58" s="2258"/>
      <c r="Y58" s="2258"/>
      <c r="Z58" s="2258"/>
      <c r="AA58" s="2258"/>
      <c r="AB58" s="2258"/>
      <c r="AC58" s="2259"/>
      <c r="AD58" s="2259"/>
      <c r="AE58" s="2451">
        <v>0.14398966328953219</v>
      </c>
      <c r="AF58" s="2236">
        <f t="shared" ref="AF58:AF73" si="7">IF(F58&lt;&gt;"",F58,"")</f>
        <v>0.14398966328953219</v>
      </c>
      <c r="AG58" s="2452"/>
      <c r="AK58" s="1121"/>
      <c r="DG58" s="1120"/>
      <c r="DH58" s="1119"/>
      <c r="DI58" s="1119"/>
      <c r="DJ58" s="1192"/>
    </row>
    <row r="59" spans="1:114" s="1118" customFormat="1" ht="65.25" hidden="1" customHeight="1" outlineLevel="1">
      <c r="A59" s="543"/>
      <c r="B59" s="1271"/>
      <c r="C59" s="1404"/>
      <c r="D59" s="1840" t="s">
        <v>1625</v>
      </c>
      <c r="E59" s="2291" t="s">
        <v>3146</v>
      </c>
      <c r="F59" s="2289">
        <v>1</v>
      </c>
      <c r="G59" s="4215" t="s">
        <v>1627</v>
      </c>
      <c r="H59" s="4215"/>
      <c r="I59" s="4709" t="s">
        <v>2938</v>
      </c>
      <c r="J59" s="4709"/>
      <c r="K59" s="4709"/>
      <c r="L59" s="1119"/>
      <c r="M59" s="1119"/>
      <c r="N59" s="1119"/>
      <c r="O59" s="1119"/>
      <c r="P59" s="1276"/>
      <c r="Q59" s="1119"/>
      <c r="R59" s="1119"/>
      <c r="S59" s="1119"/>
      <c r="T59" s="1119"/>
      <c r="U59" s="1119"/>
      <c r="V59" s="1840" t="str">
        <f t="shared" si="6"/>
        <v>RBase</v>
      </c>
      <c r="W59" s="2258"/>
      <c r="X59" s="2258"/>
      <c r="Y59" s="2258"/>
      <c r="Z59" s="2258"/>
      <c r="AA59" s="2258"/>
      <c r="AB59" s="2258"/>
      <c r="AC59" s="2259"/>
      <c r="AD59" s="2259"/>
      <c r="AE59" s="2453">
        <v>1</v>
      </c>
      <c r="AF59" s="2236">
        <f t="shared" si="7"/>
        <v>1</v>
      </c>
      <c r="AG59" s="2454"/>
      <c r="AK59" s="1121"/>
      <c r="DG59" s="1120"/>
      <c r="DH59" s="1119"/>
      <c r="DI59" s="1119"/>
      <c r="DJ59" s="1192"/>
    </row>
    <row r="60" spans="1:114" s="1118" customFormat="1" ht="18" hidden="1" outlineLevel="1">
      <c r="A60" s="543"/>
      <c r="B60" s="1271"/>
      <c r="C60" s="1404"/>
      <c r="D60" s="1840" t="s">
        <v>1628</v>
      </c>
      <c r="E60" s="2291" t="s">
        <v>1629</v>
      </c>
      <c r="F60" s="2307">
        <f>(PI()*(F70+(2*F71))/12)</f>
        <v>0.40578905108868163</v>
      </c>
      <c r="G60" s="4045" t="s">
        <v>1108</v>
      </c>
      <c r="H60" s="4045"/>
      <c r="I60" s="4216"/>
      <c r="J60" s="4216"/>
      <c r="K60" s="4216"/>
      <c r="L60" s="1119"/>
      <c r="M60" s="1119"/>
      <c r="N60" s="1119"/>
      <c r="O60" s="1119"/>
      <c r="P60" s="1276"/>
      <c r="Q60" s="1119"/>
      <c r="R60" s="1119"/>
      <c r="S60" s="1119"/>
      <c r="T60" s="1119"/>
      <c r="U60" s="1119"/>
      <c r="V60" s="1840" t="str">
        <f t="shared" si="6"/>
        <v>CEE</v>
      </c>
      <c r="W60" s="2258"/>
      <c r="X60" s="2258"/>
      <c r="Y60" s="2258"/>
      <c r="Z60" s="2258"/>
      <c r="AA60" s="2258"/>
      <c r="AB60" s="2258"/>
      <c r="AC60" s="2259"/>
      <c r="AD60" s="2259"/>
      <c r="AE60" s="2451">
        <v>0.40578905108868163</v>
      </c>
      <c r="AF60" s="2236">
        <f t="shared" si="7"/>
        <v>0.40578905108868163</v>
      </c>
      <c r="AG60" s="2455"/>
      <c r="AK60" s="1121"/>
      <c r="DG60" s="1120"/>
      <c r="DH60" s="1119"/>
      <c r="DI60" s="1119"/>
      <c r="DJ60" s="1192"/>
    </row>
    <row r="61" spans="1:114" s="1118" customFormat="1" ht="29.25" hidden="1" customHeight="1" outlineLevel="1">
      <c r="A61" s="543"/>
      <c r="B61" s="1271"/>
      <c r="C61" s="1404"/>
      <c r="D61" s="1840" t="s">
        <v>1632</v>
      </c>
      <c r="E61" s="2291" t="s">
        <v>1633</v>
      </c>
      <c r="F61" s="2311">
        <v>3.6</v>
      </c>
      <c r="G61" s="4710" t="s">
        <v>3149</v>
      </c>
      <c r="H61" s="4711"/>
      <c r="I61" s="4709" t="s">
        <v>2938</v>
      </c>
      <c r="J61" s="4709"/>
      <c r="K61" s="4709"/>
      <c r="L61" s="1119"/>
      <c r="M61" s="1119"/>
      <c r="N61" s="1119"/>
      <c r="O61" s="1119"/>
      <c r="P61" s="1276"/>
      <c r="Q61" s="1119"/>
      <c r="R61" s="1119"/>
      <c r="S61" s="1119"/>
      <c r="T61" s="1119"/>
      <c r="U61" s="1119"/>
      <c r="V61" s="1840" t="str">
        <f t="shared" si="6"/>
        <v>REE</v>
      </c>
      <c r="W61" s="2258"/>
      <c r="X61" s="2258"/>
      <c r="Y61" s="2258"/>
      <c r="Z61" s="2258"/>
      <c r="AA61" s="2258"/>
      <c r="AB61" s="2258"/>
      <c r="AC61" s="2259"/>
      <c r="AD61" s="2259"/>
      <c r="AE61" s="2235">
        <v>3.6</v>
      </c>
      <c r="AF61" s="2236">
        <f t="shared" si="7"/>
        <v>3.6</v>
      </c>
      <c r="AG61" s="2456"/>
      <c r="AK61" s="1121"/>
      <c r="DG61" s="1120"/>
      <c r="DH61" s="1119"/>
      <c r="DI61" s="1119"/>
      <c r="DJ61" s="1192"/>
    </row>
    <row r="62" spans="1:114" s="1118" customFormat="1" hidden="1" outlineLevel="1">
      <c r="A62" s="543"/>
      <c r="B62" s="1271"/>
      <c r="C62" s="1404"/>
      <c r="D62" s="2312" t="s">
        <v>1636</v>
      </c>
      <c r="E62" s="2291" t="s">
        <v>3150</v>
      </c>
      <c r="F62" s="2313">
        <v>1</v>
      </c>
      <c r="G62" s="4045" t="s">
        <v>1638</v>
      </c>
      <c r="H62" s="4045"/>
      <c r="I62" s="4709" t="s">
        <v>2938</v>
      </c>
      <c r="J62" s="4709"/>
      <c r="K62" s="4709"/>
      <c r="L62" s="1119"/>
      <c r="M62" s="1119"/>
      <c r="N62" s="1119"/>
      <c r="O62" s="1119"/>
      <c r="P62" s="1276"/>
      <c r="Q62" s="1119"/>
      <c r="R62" s="1119"/>
      <c r="S62" s="1119"/>
      <c r="T62" s="1119"/>
      <c r="U62" s="1119"/>
      <c r="V62" s="1840" t="str">
        <f t="shared" si="6"/>
        <v>L</v>
      </c>
      <c r="W62" s="2258"/>
      <c r="X62" s="2258"/>
      <c r="Y62" s="2258"/>
      <c r="Z62" s="2258"/>
      <c r="AA62" s="2258"/>
      <c r="AB62" s="2258"/>
      <c r="AC62" s="2259"/>
      <c r="AD62" s="2259"/>
      <c r="AE62" s="2453">
        <v>1</v>
      </c>
      <c r="AF62" s="2236">
        <f t="shared" si="7"/>
        <v>1</v>
      </c>
      <c r="AG62" s="2454"/>
      <c r="AK62" s="1121"/>
      <c r="DG62" s="1120"/>
      <c r="DH62" s="1119"/>
      <c r="DI62" s="1119"/>
      <c r="DJ62" s="1192"/>
    </row>
    <row r="63" spans="1:114" s="1118" customFormat="1" ht="27.75" hidden="1" customHeight="1" outlineLevel="1">
      <c r="A63" s="543"/>
      <c r="B63" s="1271"/>
      <c r="C63" s="1404"/>
      <c r="D63" s="1840" t="s">
        <v>1639</v>
      </c>
      <c r="E63" s="2274" t="s">
        <v>1640</v>
      </c>
      <c r="F63" s="2314">
        <v>60</v>
      </c>
      <c r="G63" s="4020" t="s">
        <v>1641</v>
      </c>
      <c r="H63" s="4020"/>
      <c r="I63" s="4457" t="s">
        <v>2938</v>
      </c>
      <c r="J63" s="4457"/>
      <c r="K63" s="4457"/>
      <c r="L63" s="1119"/>
      <c r="M63" s="1119"/>
      <c r="N63" s="1119"/>
      <c r="O63" s="1119"/>
      <c r="P63" s="1276"/>
      <c r="Q63" s="1119"/>
      <c r="R63" s="1119"/>
      <c r="S63" s="1119"/>
      <c r="T63" s="1119"/>
      <c r="U63" s="1119"/>
      <c r="V63" s="1840" t="str">
        <f t="shared" si="6"/>
        <v>DT</v>
      </c>
      <c r="W63" s="2258"/>
      <c r="X63" s="2258"/>
      <c r="Y63" s="2258"/>
      <c r="Z63" s="2258"/>
      <c r="AA63" s="2258"/>
      <c r="AB63" s="2258"/>
      <c r="AC63" s="2259"/>
      <c r="AD63" s="2259"/>
      <c r="AE63" s="2457">
        <v>58.9</v>
      </c>
      <c r="AF63" s="2236">
        <f t="shared" si="7"/>
        <v>60</v>
      </c>
      <c r="AG63" s="2458"/>
      <c r="AK63" s="1121"/>
      <c r="DG63" s="1120"/>
      <c r="DH63" s="1119"/>
      <c r="DI63" s="1119"/>
      <c r="DJ63" s="1192"/>
    </row>
    <row r="64" spans="1:114" s="1118" customFormat="1" hidden="1" outlineLevel="1">
      <c r="A64" s="543"/>
      <c r="B64" s="1271"/>
      <c r="C64" s="1404"/>
      <c r="D64" s="1840" t="s">
        <v>173</v>
      </c>
      <c r="E64" s="2274" t="s">
        <v>1644</v>
      </c>
      <c r="F64" s="2315">
        <v>8766</v>
      </c>
      <c r="G64" s="4020" t="s">
        <v>1645</v>
      </c>
      <c r="H64" s="4020"/>
      <c r="I64" s="4457" t="s">
        <v>2938</v>
      </c>
      <c r="J64" s="4457"/>
      <c r="K64" s="4457"/>
      <c r="L64" s="1119"/>
      <c r="M64" s="1119"/>
      <c r="N64" s="1119"/>
      <c r="O64" s="1119"/>
      <c r="P64" s="1276"/>
      <c r="Q64" s="1119"/>
      <c r="R64" s="1119"/>
      <c r="S64" s="1119"/>
      <c r="T64" s="1119"/>
      <c r="U64" s="1119"/>
      <c r="V64" s="1840" t="str">
        <f t="shared" si="6"/>
        <v>Hours</v>
      </c>
      <c r="W64" s="2258"/>
      <c r="X64" s="2258"/>
      <c r="Y64" s="2258"/>
      <c r="Z64" s="2258"/>
      <c r="AA64" s="2258"/>
      <c r="AB64" s="2258"/>
      <c r="AC64" s="2259"/>
      <c r="AD64" s="2259"/>
      <c r="AE64" s="2459">
        <v>8766</v>
      </c>
      <c r="AF64" s="2236">
        <f t="shared" si="7"/>
        <v>8766</v>
      </c>
      <c r="AG64" s="2460"/>
      <c r="AK64" s="1121"/>
      <c r="DG64" s="1120"/>
      <c r="DH64" s="1119"/>
      <c r="DI64" s="1119"/>
      <c r="DJ64" s="1192"/>
    </row>
    <row r="65" spans="1:114" s="1118" customFormat="1" ht="44.25" hidden="1" customHeight="1" outlineLevel="1">
      <c r="A65" s="543"/>
      <c r="B65" s="1271"/>
      <c r="C65" s="1404"/>
      <c r="D65" s="1840" t="s">
        <v>1646</v>
      </c>
      <c r="E65" s="2274" t="s">
        <v>1647</v>
      </c>
      <c r="F65" s="2316">
        <v>0.98</v>
      </c>
      <c r="G65" s="4712" t="s">
        <v>3152</v>
      </c>
      <c r="H65" s="4712"/>
      <c r="I65" s="4457" t="s">
        <v>2938</v>
      </c>
      <c r="J65" s="4457"/>
      <c r="K65" s="4457"/>
      <c r="L65" s="1119"/>
      <c r="M65" s="1119"/>
      <c r="N65" s="1119"/>
      <c r="O65" s="1119"/>
      <c r="P65" s="1276"/>
      <c r="Q65" s="1119"/>
      <c r="R65" s="1119"/>
      <c r="S65" s="1119"/>
      <c r="T65" s="1119"/>
      <c r="U65" s="1119"/>
      <c r="V65" s="1840" t="str">
        <f t="shared" si="6"/>
        <v>ȠDHWElec</v>
      </c>
      <c r="W65" s="2258"/>
      <c r="X65" s="2258"/>
      <c r="Y65" s="2258"/>
      <c r="Z65" s="2258"/>
      <c r="AA65" s="2258"/>
      <c r="AB65" s="2258"/>
      <c r="AC65" s="2259"/>
      <c r="AD65" s="2259"/>
      <c r="AE65" s="2453">
        <v>0.98</v>
      </c>
      <c r="AF65" s="2236">
        <f t="shared" si="7"/>
        <v>0.98</v>
      </c>
      <c r="AG65" s="2454"/>
      <c r="AK65" s="1121"/>
      <c r="DG65" s="1120"/>
      <c r="DH65" s="1119"/>
      <c r="DI65" s="1119"/>
      <c r="DJ65" s="1192"/>
    </row>
    <row r="66" spans="1:114" s="1118" customFormat="1" hidden="1" outlineLevel="1">
      <c r="A66" s="543"/>
      <c r="B66" s="1271"/>
      <c r="C66" s="1404"/>
      <c r="D66" s="1840">
        <v>3412</v>
      </c>
      <c r="E66" s="2317" t="s">
        <v>1649</v>
      </c>
      <c r="F66" s="2315">
        <v>3412</v>
      </c>
      <c r="G66" s="4020" t="s">
        <v>1645</v>
      </c>
      <c r="H66" s="4020"/>
      <c r="I66" s="4457" t="s">
        <v>2938</v>
      </c>
      <c r="J66" s="4457"/>
      <c r="K66" s="4457"/>
      <c r="L66" s="1119"/>
      <c r="M66" s="1119"/>
      <c r="N66" s="1119"/>
      <c r="O66" s="1119"/>
      <c r="P66" s="1276"/>
      <c r="Q66" s="1119"/>
      <c r="R66" s="1119"/>
      <c r="S66" s="1119"/>
      <c r="T66" s="1119"/>
      <c r="U66" s="1119"/>
      <c r="V66" s="1840">
        <f t="shared" si="6"/>
        <v>3412</v>
      </c>
      <c r="W66" s="2258"/>
      <c r="X66" s="2258"/>
      <c r="Y66" s="2258"/>
      <c r="Z66" s="2258"/>
      <c r="AA66" s="2258"/>
      <c r="AB66" s="2258"/>
      <c r="AC66" s="2259"/>
      <c r="AD66" s="2259"/>
      <c r="AE66" s="2461">
        <v>3412</v>
      </c>
      <c r="AF66" s="2236">
        <f t="shared" si="7"/>
        <v>3412</v>
      </c>
      <c r="AG66" s="2462"/>
      <c r="AK66" s="1121"/>
      <c r="DG66" s="1120"/>
      <c r="DH66" s="1119"/>
      <c r="DI66" s="1119"/>
      <c r="DJ66" s="1192"/>
    </row>
    <row r="67" spans="1:114" s="1118" customFormat="1" hidden="1" outlineLevel="1">
      <c r="A67" s="543"/>
      <c r="B67" s="1271"/>
      <c r="C67" s="1404"/>
      <c r="D67" s="1444" t="s">
        <v>1650</v>
      </c>
      <c r="E67" s="1444" t="s">
        <v>1326</v>
      </c>
      <c r="F67" s="2318">
        <v>1</v>
      </c>
      <c r="G67" s="4214" t="s">
        <v>1370</v>
      </c>
      <c r="H67" s="4214"/>
      <c r="I67" s="4607" t="s">
        <v>2953</v>
      </c>
      <c r="J67" s="4607"/>
      <c r="K67" s="4607"/>
      <c r="L67" s="1119"/>
      <c r="M67" s="1119"/>
      <c r="N67" s="1119"/>
      <c r="O67" s="1119"/>
      <c r="P67" s="1276"/>
      <c r="Q67" s="1119"/>
      <c r="R67" s="1119"/>
      <c r="S67" s="1119"/>
      <c r="T67" s="1119"/>
      <c r="U67" s="1119"/>
      <c r="V67" s="1840" t="str">
        <f t="shared" si="6"/>
        <v>*Electric Saturation</v>
      </c>
      <c r="W67" s="2258"/>
      <c r="X67" s="2258"/>
      <c r="Y67" s="2258"/>
      <c r="Z67" s="2258"/>
      <c r="AA67" s="2258"/>
      <c r="AB67" s="2258"/>
      <c r="AC67" s="2259"/>
      <c r="AD67" s="2259"/>
      <c r="AE67" s="2382">
        <v>1</v>
      </c>
      <c r="AF67" s="2236">
        <f t="shared" si="7"/>
        <v>1</v>
      </c>
      <c r="AG67" s="2463"/>
      <c r="AK67" s="1121"/>
      <c r="DG67" s="1120"/>
      <c r="DH67" s="1119"/>
      <c r="DI67" s="1119"/>
      <c r="DJ67" s="1192"/>
    </row>
    <row r="68" spans="1:114" s="1118" customFormat="1" hidden="1" outlineLevel="1">
      <c r="A68" s="543"/>
      <c r="B68" s="1271"/>
      <c r="C68" s="1404"/>
      <c r="D68" s="1444" t="s">
        <v>1368</v>
      </c>
      <c r="E68" s="1444" t="s">
        <v>1369</v>
      </c>
      <c r="F68" s="2319">
        <v>1</v>
      </c>
      <c r="G68" s="4214" t="s">
        <v>1370</v>
      </c>
      <c r="H68" s="4214"/>
      <c r="I68" s="4607" t="s">
        <v>2953</v>
      </c>
      <c r="J68" s="4607"/>
      <c r="K68" s="4607"/>
      <c r="L68" s="1119"/>
      <c r="M68" s="1119"/>
      <c r="N68" s="1119"/>
      <c r="O68" s="1119"/>
      <c r="P68" s="1276"/>
      <c r="Q68" s="1119"/>
      <c r="R68" s="1119"/>
      <c r="S68" s="1119"/>
      <c r="T68" s="1119"/>
      <c r="U68" s="1119"/>
      <c r="V68" s="1840" t="str">
        <f t="shared" si="6"/>
        <v>Utility Adjustment</v>
      </c>
      <c r="W68" s="2258"/>
      <c r="X68" s="2258"/>
      <c r="Y68" s="2258"/>
      <c r="Z68" s="2258"/>
      <c r="AA68" s="2258"/>
      <c r="AB68" s="2258"/>
      <c r="AC68" s="2259"/>
      <c r="AD68" s="2259"/>
      <c r="AE68" s="2382">
        <v>1</v>
      </c>
      <c r="AF68" s="2236">
        <f t="shared" si="7"/>
        <v>1</v>
      </c>
      <c r="AG68" s="2463"/>
      <c r="AK68" s="1121"/>
      <c r="DG68" s="1120"/>
      <c r="DH68" s="1119"/>
      <c r="DI68" s="1119"/>
      <c r="DJ68" s="1192"/>
    </row>
    <row r="69" spans="1:114" s="1118" customFormat="1" ht="27.75" hidden="1" customHeight="1" outlineLevel="1">
      <c r="A69" s="543"/>
      <c r="B69" s="1271"/>
      <c r="C69" s="1404"/>
      <c r="D69" s="2317" t="s">
        <v>128</v>
      </c>
      <c r="E69" s="2317" t="s">
        <v>1371</v>
      </c>
      <c r="F69" s="2320">
        <v>1</v>
      </c>
      <c r="G69" s="4713" t="s">
        <v>3631</v>
      </c>
      <c r="H69" s="4713"/>
      <c r="I69" s="4149"/>
      <c r="J69" s="4149"/>
      <c r="K69" s="4149"/>
      <c r="L69" s="1119"/>
      <c r="M69" s="1119"/>
      <c r="N69" s="1119"/>
      <c r="O69" s="1119"/>
      <c r="P69" s="1276"/>
      <c r="Q69" s="1119"/>
      <c r="R69" s="1119"/>
      <c r="S69" s="1119"/>
      <c r="T69" s="1119"/>
      <c r="U69" s="1119"/>
      <c r="V69" s="1840" t="str">
        <f t="shared" si="6"/>
        <v>ISR</v>
      </c>
      <c r="W69" s="2258"/>
      <c r="X69" s="2258"/>
      <c r="Y69" s="2258"/>
      <c r="Z69" s="2258"/>
      <c r="AA69" s="2258"/>
      <c r="AB69" s="2258"/>
      <c r="AC69" s="2259"/>
      <c r="AD69" s="2259"/>
      <c r="AE69" s="2382">
        <v>1</v>
      </c>
      <c r="AF69" s="2236">
        <f t="shared" si="7"/>
        <v>1</v>
      </c>
      <c r="AG69" s="2464"/>
      <c r="AK69" s="1121"/>
      <c r="DG69" s="1120"/>
      <c r="DH69" s="1119"/>
      <c r="DI69" s="1119"/>
      <c r="DJ69" s="1192"/>
    </row>
    <row r="70" spans="1:114" s="1118" customFormat="1" hidden="1" outlineLevel="1">
      <c r="A70" s="543"/>
      <c r="B70" s="1271"/>
      <c r="C70" s="1404"/>
      <c r="D70" s="2317" t="s">
        <v>3154</v>
      </c>
      <c r="E70" s="2290" t="s">
        <v>1657</v>
      </c>
      <c r="F70" s="2322">
        <v>0.55000000000000004</v>
      </c>
      <c r="G70" s="4712"/>
      <c r="H70" s="4712"/>
      <c r="I70" s="4149"/>
      <c r="J70" s="4149"/>
      <c r="K70" s="4149"/>
      <c r="L70" s="1119"/>
      <c r="M70" s="1119"/>
      <c r="N70" s="1119"/>
      <c r="O70" s="1119"/>
      <c r="P70" s="1276"/>
      <c r="Q70" s="1119"/>
      <c r="R70" s="1119"/>
      <c r="S70" s="1119"/>
      <c r="T70" s="1119"/>
      <c r="U70" s="1119"/>
      <c r="V70" s="1840" t="str">
        <f t="shared" si="6"/>
        <v>Pipe Diameter</v>
      </c>
      <c r="W70" s="2258"/>
      <c r="X70" s="2258"/>
      <c r="Y70" s="2258"/>
      <c r="Z70" s="2258"/>
      <c r="AA70" s="2258"/>
      <c r="AB70" s="2258"/>
      <c r="AC70" s="2259"/>
      <c r="AD70" s="2259"/>
      <c r="AE70" s="2342">
        <v>0.55000000000000004</v>
      </c>
      <c r="AF70" s="2236">
        <f t="shared" si="7"/>
        <v>0.55000000000000004</v>
      </c>
      <c r="AG70" s="2464"/>
      <c r="AK70" s="1121"/>
      <c r="DG70" s="1120"/>
      <c r="DH70" s="1119"/>
      <c r="DI70" s="1119"/>
      <c r="DJ70" s="1192"/>
    </row>
    <row r="71" spans="1:114" s="1118" customFormat="1" hidden="1" outlineLevel="1">
      <c r="A71" s="543"/>
      <c r="B71" s="1271"/>
      <c r="C71" s="1404"/>
      <c r="D71" s="1444" t="s">
        <v>1659</v>
      </c>
      <c r="E71" s="1444" t="s">
        <v>1659</v>
      </c>
      <c r="F71" s="2322">
        <v>0.5</v>
      </c>
      <c r="G71" s="4712"/>
      <c r="H71" s="4712"/>
      <c r="I71" s="4149"/>
      <c r="J71" s="4149"/>
      <c r="K71" s="4149"/>
      <c r="L71" s="1119"/>
      <c r="M71" s="1119"/>
      <c r="N71" s="1119"/>
      <c r="O71" s="1119"/>
      <c r="P71" s="1276"/>
      <c r="Q71" s="1119"/>
      <c r="R71" s="1119"/>
      <c r="S71" s="1119"/>
      <c r="T71" s="1119"/>
      <c r="U71" s="1119"/>
      <c r="V71" s="1840" t="str">
        <f t="shared" si="6"/>
        <v>Pipe wrap width</v>
      </c>
      <c r="W71" s="2258"/>
      <c r="X71" s="2258"/>
      <c r="Y71" s="2258"/>
      <c r="Z71" s="2258"/>
      <c r="AA71" s="2258"/>
      <c r="AB71" s="2258"/>
      <c r="AC71" s="2259"/>
      <c r="AD71" s="2259"/>
      <c r="AE71" s="2453">
        <v>0.5</v>
      </c>
      <c r="AF71" s="2236">
        <f t="shared" si="7"/>
        <v>0.5</v>
      </c>
      <c r="AG71" s="2464"/>
      <c r="AK71" s="1121"/>
      <c r="DG71" s="1120"/>
      <c r="DH71" s="1119"/>
      <c r="DI71" s="1119"/>
      <c r="DJ71" s="1192"/>
    </row>
    <row r="72" spans="1:114" s="1118" customFormat="1" ht="27.75" hidden="1" customHeight="1" outlineLevel="1">
      <c r="A72" s="543"/>
      <c r="B72" s="1271"/>
      <c r="C72" s="1404"/>
      <c r="D72" s="2323" t="s">
        <v>49</v>
      </c>
      <c r="E72" s="2323" t="s">
        <v>3156</v>
      </c>
      <c r="F72" s="2315">
        <v>12</v>
      </c>
      <c r="G72" s="4231" t="s">
        <v>1661</v>
      </c>
      <c r="H72" s="4231"/>
      <c r="I72" s="4149"/>
      <c r="J72" s="4149"/>
      <c r="K72" s="4149"/>
      <c r="L72" s="1119"/>
      <c r="M72" s="1119"/>
      <c r="N72" s="1119"/>
      <c r="O72" s="1119"/>
      <c r="P72" s="1276"/>
      <c r="Q72" s="1119"/>
      <c r="R72" s="1119"/>
      <c r="S72" s="1119"/>
      <c r="T72" s="1119"/>
      <c r="U72" s="1119"/>
      <c r="V72" s="1840" t="str">
        <f t="shared" si="6"/>
        <v>EUL</v>
      </c>
      <c r="W72" s="2258"/>
      <c r="X72" s="2258"/>
      <c r="Y72" s="2258"/>
      <c r="Z72" s="2258"/>
      <c r="AA72" s="2258"/>
      <c r="AB72" s="2258"/>
      <c r="AC72" s="2259"/>
      <c r="AD72" s="2259"/>
      <c r="AE72" s="2465">
        <v>12</v>
      </c>
      <c r="AF72" s="2236">
        <f t="shared" si="7"/>
        <v>12</v>
      </c>
      <c r="AG72" s="2466"/>
      <c r="AK72" s="1121"/>
      <c r="DG72" s="1120"/>
      <c r="DH72" s="1119"/>
      <c r="DI72" s="1119"/>
      <c r="DJ72" s="1192"/>
    </row>
    <row r="73" spans="1:114" s="1118" customFormat="1" ht="42" hidden="1" customHeight="1" outlineLevel="1">
      <c r="A73" s="543"/>
      <c r="B73" s="1271"/>
      <c r="C73" s="1404"/>
      <c r="D73" s="2323" t="s">
        <v>50</v>
      </c>
      <c r="E73" s="1444" t="s">
        <v>3157</v>
      </c>
      <c r="F73" s="2324">
        <v>7.1</v>
      </c>
      <c r="G73" s="4568" t="s">
        <v>3158</v>
      </c>
      <c r="H73" s="4569"/>
      <c r="I73" s="4149"/>
      <c r="J73" s="4149"/>
      <c r="K73" s="4149"/>
      <c r="L73" s="1119"/>
      <c r="M73" s="1119"/>
      <c r="N73" s="1119"/>
      <c r="O73" s="1119"/>
      <c r="P73" s="1276"/>
      <c r="Q73" s="1119"/>
      <c r="R73" s="1119"/>
      <c r="S73" s="1119"/>
      <c r="T73" s="1119"/>
      <c r="U73" s="1119"/>
      <c r="V73" s="2323" t="str">
        <f t="shared" si="6"/>
        <v>Inc. Cost</v>
      </c>
      <c r="W73" s="2258"/>
      <c r="X73" s="2258"/>
      <c r="Y73" s="2258"/>
      <c r="Z73" s="2258"/>
      <c r="AA73" s="2258"/>
      <c r="AB73" s="2258"/>
      <c r="AC73" s="2259"/>
      <c r="AD73" s="2259"/>
      <c r="AE73" s="2467">
        <v>7.1</v>
      </c>
      <c r="AF73" s="2236">
        <f t="shared" si="7"/>
        <v>7.1</v>
      </c>
      <c r="AG73" s="2468"/>
      <c r="AK73" s="1121"/>
      <c r="DG73" s="1120"/>
      <c r="DH73" s="1119"/>
      <c r="DI73" s="1119"/>
      <c r="DJ73" s="1192"/>
    </row>
    <row r="74" spans="1:114" s="1118" customFormat="1" collapsed="1">
      <c r="A74" s="543"/>
      <c r="B74" s="1271"/>
      <c r="C74" s="1270"/>
      <c r="D74" s="834"/>
      <c r="E74" s="1138"/>
      <c r="F74" s="1119"/>
      <c r="G74" s="1119"/>
      <c r="H74" s="1119"/>
      <c r="I74" s="1119"/>
      <c r="J74" s="1119"/>
      <c r="K74" s="1119"/>
      <c r="L74" s="1119"/>
      <c r="M74" s="1119"/>
      <c r="N74" s="1119"/>
      <c r="O74" s="1119"/>
      <c r="P74" s="1119"/>
      <c r="Q74" s="1119"/>
      <c r="R74" s="1119"/>
      <c r="S74" s="1119"/>
      <c r="T74" s="1119"/>
      <c r="U74" s="1119"/>
      <c r="V74" s="1153"/>
      <c r="W74" s="1153"/>
      <c r="X74" s="1153"/>
      <c r="Y74" s="1153"/>
      <c r="Z74" s="1153"/>
      <c r="AA74" s="1153"/>
      <c r="AB74" s="1153"/>
      <c r="AC74" s="1153"/>
      <c r="AD74" s="1153"/>
      <c r="AE74" s="1153"/>
      <c r="AK74" s="1121"/>
      <c r="DG74" s="1120"/>
      <c r="DH74" s="1119"/>
      <c r="DI74" s="1119"/>
      <c r="DJ74" s="1192"/>
    </row>
    <row r="75" spans="1:114">
      <c r="A75" s="543"/>
      <c r="C75" s="543"/>
      <c r="V75" s="1119"/>
      <c r="W75" s="1119"/>
      <c r="X75" s="1119"/>
      <c r="Y75" s="1119"/>
      <c r="Z75" s="1119"/>
      <c r="AA75" s="1119"/>
      <c r="AB75" s="1119"/>
      <c r="AC75" s="1119"/>
      <c r="AD75" s="1119"/>
      <c r="AE75" s="1119"/>
    </row>
    <row r="76" spans="1:114" s="1118" customFormat="1">
      <c r="A76" s="543"/>
      <c r="B76" s="4702" t="s">
        <v>1585</v>
      </c>
      <c r="C76" s="4703"/>
      <c r="D76" s="4703"/>
      <c r="E76" s="4703"/>
      <c r="F76" s="4703"/>
      <c r="G76" s="4703"/>
      <c r="H76" s="4703"/>
      <c r="I76" s="4704"/>
      <c r="J76" s="4704"/>
      <c r="K76" s="4704"/>
      <c r="L76" s="4704"/>
      <c r="M76" s="4704"/>
      <c r="N76" s="4704"/>
      <c r="O76" s="4704"/>
      <c r="P76" s="4704"/>
      <c r="Q76" s="4704"/>
      <c r="R76" s="4705"/>
      <c r="S76" s="1119"/>
      <c r="T76" s="1119"/>
      <c r="U76" s="1119"/>
      <c r="V76" s="4702" t="str">
        <f>B76</f>
        <v xml:space="preserve">Low Flow Showerheads </v>
      </c>
      <c r="W76" s="4703"/>
      <c r="X76" s="4703"/>
      <c r="Y76" s="4703"/>
      <c r="Z76" s="4703"/>
      <c r="AA76" s="4703"/>
      <c r="AB76" s="4703"/>
      <c r="AC76" s="4706"/>
      <c r="AD76" s="4706"/>
      <c r="AE76" s="4706"/>
      <c r="AF76" s="4706"/>
      <c r="AG76" s="4706"/>
      <c r="AH76" s="4706"/>
      <c r="AI76" s="4707"/>
      <c r="AK76" s="1121"/>
      <c r="DG76" s="1120"/>
      <c r="DH76" s="1119"/>
      <c r="DI76" s="1119"/>
      <c r="DJ76" s="1192"/>
    </row>
    <row r="77" spans="1:114" s="1118" customFormat="1">
      <c r="A77" s="543"/>
      <c r="B77" s="2340"/>
      <c r="C77" s="2341"/>
      <c r="D77" s="2270"/>
      <c r="E77" s="2270"/>
      <c r="F77" s="2271"/>
      <c r="G77" s="2271"/>
      <c r="H77" s="2271"/>
      <c r="I77" s="2271"/>
      <c r="J77" s="2271"/>
      <c r="K77" s="2271"/>
      <c r="L77" s="2272"/>
      <c r="M77" s="2273"/>
      <c r="N77" s="2273"/>
      <c r="O77" s="2273"/>
      <c r="P77" s="2273"/>
      <c r="Q77" s="2273"/>
      <c r="R77" s="2273"/>
      <c r="S77" s="1119"/>
      <c r="T77" s="1119"/>
      <c r="U77" s="1119"/>
      <c r="V77" s="2273"/>
      <c r="W77" s="2325"/>
      <c r="X77" s="2325"/>
      <c r="Y77" s="2326"/>
      <c r="Z77" s="2325"/>
      <c r="AA77" s="2325"/>
      <c r="AB77" s="2325"/>
      <c r="AC77" s="2325"/>
      <c r="AD77" s="2325"/>
      <c r="AE77" s="2325"/>
      <c r="AF77" s="2325"/>
      <c r="AG77" s="2325"/>
      <c r="AH77" s="2325"/>
      <c r="AI77" s="2325"/>
      <c r="AK77" s="1121"/>
      <c r="DG77" s="1120"/>
      <c r="DH77" s="1119"/>
      <c r="DI77" s="1119"/>
      <c r="DJ77" s="1192"/>
    </row>
    <row r="78" spans="1:114" s="1118" customFormat="1" ht="60">
      <c r="A78" s="543"/>
      <c r="B78" s="2268"/>
      <c r="C78" s="2207" t="s">
        <v>42</v>
      </c>
      <c r="D78" s="2207" t="s">
        <v>953</v>
      </c>
      <c r="E78" s="2207" t="s">
        <v>44</v>
      </c>
      <c r="F78" s="2207" t="s">
        <v>1315</v>
      </c>
      <c r="G78" s="2207" t="s">
        <v>46</v>
      </c>
      <c r="H78" s="2207" t="s">
        <v>47</v>
      </c>
      <c r="I78" s="2207" t="s">
        <v>1316</v>
      </c>
      <c r="J78" s="2207" t="s">
        <v>48</v>
      </c>
      <c r="K78" s="2207" t="s">
        <v>49</v>
      </c>
      <c r="L78" s="2207" t="s">
        <v>50</v>
      </c>
      <c r="M78" s="2207" t="s">
        <v>51</v>
      </c>
      <c r="N78" s="2273"/>
      <c r="O78" s="2273"/>
      <c r="P78" s="2273"/>
      <c r="Q78" s="2273"/>
      <c r="R78" s="2273"/>
      <c r="S78" s="1119"/>
      <c r="T78" s="1119"/>
      <c r="U78" s="1119"/>
      <c r="V78" s="2256" t="s">
        <v>52</v>
      </c>
      <c r="W78" s="2257">
        <f t="shared" ref="W78:AG78" si="8">W$6</f>
        <v>43252</v>
      </c>
      <c r="X78" s="2257">
        <f t="shared" si="8"/>
        <v>43435</v>
      </c>
      <c r="Y78" s="2327">
        <f t="shared" si="8"/>
        <v>43800</v>
      </c>
      <c r="Z78" s="2257">
        <f t="shared" si="8"/>
        <v>43862</v>
      </c>
      <c r="AA78" s="2257">
        <f t="shared" si="8"/>
        <v>44013</v>
      </c>
      <c r="AB78" s="2257">
        <f t="shared" si="8"/>
        <v>44166</v>
      </c>
      <c r="AC78" s="2257">
        <f t="shared" si="8"/>
        <v>44531</v>
      </c>
      <c r="AD78" s="2257">
        <f t="shared" si="8"/>
        <v>44774</v>
      </c>
      <c r="AE78" s="2257">
        <f t="shared" si="8"/>
        <v>45139</v>
      </c>
      <c r="AF78" s="2257">
        <f t="shared" si="8"/>
        <v>45672</v>
      </c>
      <c r="AG78" s="2257" t="str">
        <f t="shared" si="8"/>
        <v>-</v>
      </c>
      <c r="AH78" s="2325"/>
      <c r="AI78" s="2325"/>
      <c r="AK78" s="1121"/>
      <c r="DG78" s="2329" t="str">
        <f>$DG$6</f>
        <v>TRC (2025)</v>
      </c>
      <c r="DH78" s="2330" t="str">
        <f>$DH$6</f>
        <v>Benefit Lookup</v>
      </c>
      <c r="DI78" s="2331" t="str">
        <f>$DI$6</f>
        <v>Benefits (2025 $)</v>
      </c>
      <c r="DJ78" s="2263" t="str">
        <f>$DJ$6</f>
        <v>Incremental Cost (2025 $)</v>
      </c>
    </row>
    <row r="79" spans="1:114" s="1118" customFormat="1">
      <c r="A79" s="543"/>
      <c r="B79" s="2208">
        <f t="shared" ref="B79:B80" si="9">VALUE(LEFT(C79,6))</f>
        <v>450400</v>
      </c>
      <c r="C79" s="2243" t="s">
        <v>3654</v>
      </c>
      <c r="D79" s="2244" t="s">
        <v>1800</v>
      </c>
      <c r="E79" s="2274" t="s">
        <v>3655</v>
      </c>
      <c r="F79" s="2342">
        <f>ROUND(G90*(G91*G92-G93*G94)*G95*G97*G98/G99*I79*G108*G107,2)</f>
        <v>143.62</v>
      </c>
      <c r="G79" s="2275" t="s">
        <v>1319</v>
      </c>
      <c r="H79" s="2247">
        <f>VLOOKUP(G79,'CP FACTORS'!$A$3:$B$38, 2, FALSE)</f>
        <v>8.8731800000000003E-5</v>
      </c>
      <c r="I79" s="2343">
        <f>G101*G102*(G103-G104)/(G105*G106)</f>
        <v>0.1160902696365768</v>
      </c>
      <c r="J79" s="2344">
        <f>ROUND(F79*H79,6)</f>
        <v>1.2744E-2</v>
      </c>
      <c r="K79" s="2345">
        <f>G109</f>
        <v>10</v>
      </c>
      <c r="L79" s="2278">
        <f>G110</f>
        <v>15.33</v>
      </c>
      <c r="M79" s="2275" t="s">
        <v>62</v>
      </c>
      <c r="N79" s="2273"/>
      <c r="O79" s="2273"/>
      <c r="P79" s="2273"/>
      <c r="Q79" s="2273"/>
      <c r="R79" s="2346"/>
      <c r="S79" s="1119"/>
      <c r="T79" s="1119"/>
      <c r="U79" s="1119"/>
      <c r="V79" s="1841" t="s">
        <v>45</v>
      </c>
      <c r="W79" s="2258"/>
      <c r="X79" s="2258"/>
      <c r="Y79" s="2258"/>
      <c r="Z79" s="2258"/>
      <c r="AA79" s="2258"/>
      <c r="AB79" s="2258"/>
      <c r="AC79" s="2259"/>
      <c r="AD79" s="2259"/>
      <c r="AE79" s="2338">
        <v>134.68</v>
      </c>
      <c r="AF79" s="2236">
        <f>IF(F79&lt;&gt;"",F79,"")</f>
        <v>143.62</v>
      </c>
      <c r="AG79" s="2261"/>
      <c r="AH79" s="2339"/>
      <c r="AI79" s="2325"/>
      <c r="AK79" s="1121"/>
      <c r="DG79" s="2335">
        <f>(DI79)/(DJ79)</f>
        <v>4.6027248331229966</v>
      </c>
      <c r="DH79" s="2265" t="str">
        <f>CONCATENATE(G79," ",K79," Year EUL")</f>
        <v>Water heating RES 10 Year EUL</v>
      </c>
      <c r="DI79" s="2336">
        <f>(INDEX('Avoided Cost Benefits'!$B$4:$B$865,MATCH(DH79,'Avoided Cost Benefits'!$A$4:$A$865,0)))*F79</f>
        <v>70.559771691775538</v>
      </c>
      <c r="DJ79" s="2337">
        <f>L79/(1.0686^(2025-2025))</f>
        <v>15.33</v>
      </c>
    </row>
    <row r="80" spans="1:114" s="1118" customFormat="1">
      <c r="A80" s="543"/>
      <c r="B80" s="2208">
        <f t="shared" si="9"/>
        <v>450401</v>
      </c>
      <c r="C80" s="2243" t="s">
        <v>3656</v>
      </c>
      <c r="D80" s="2244" t="s">
        <v>1800</v>
      </c>
      <c r="E80" s="2274" t="s">
        <v>3657</v>
      </c>
      <c r="F80" s="2342">
        <f>ROUND(G90*(G91*G92-G93*G94)*G96*G97*G98/G100*I80*G108*G107,2)</f>
        <v>167.23</v>
      </c>
      <c r="G80" s="2275" t="s">
        <v>1319</v>
      </c>
      <c r="H80" s="2247">
        <f>VLOOKUP(G80,'CP FACTORS'!$A$3:$B$38, 2, FALSE)</f>
        <v>8.8731800000000003E-5</v>
      </c>
      <c r="I80" s="2343">
        <f>G101*G102*(G103-G104)/(G105*G106)</f>
        <v>0.1160902696365768</v>
      </c>
      <c r="J80" s="2344">
        <f>ROUND(F80*H80,6)</f>
        <v>1.4839E-2</v>
      </c>
      <c r="K80" s="2345">
        <f>G109</f>
        <v>10</v>
      </c>
      <c r="L80" s="2278">
        <f>G110</f>
        <v>15.33</v>
      </c>
      <c r="M80" s="2275" t="s">
        <v>62</v>
      </c>
      <c r="N80" s="2273"/>
      <c r="O80" s="2273"/>
      <c r="P80" s="2273"/>
      <c r="Q80" s="2273"/>
      <c r="R80" s="2346"/>
      <c r="S80" s="1119"/>
      <c r="T80" s="1119"/>
      <c r="U80" s="1119"/>
      <c r="V80" s="1841" t="s">
        <v>45</v>
      </c>
      <c r="W80" s="2258"/>
      <c r="X80" s="2258"/>
      <c r="Y80" s="2258"/>
      <c r="Z80" s="2258"/>
      <c r="AA80" s="2258"/>
      <c r="AB80" s="2258"/>
      <c r="AC80" s="2259"/>
      <c r="AD80" s="2259"/>
      <c r="AE80" s="2338">
        <v>156.82</v>
      </c>
      <c r="AF80" s="2236">
        <f>IF(F80&lt;&gt;"",F80,"")</f>
        <v>167.23</v>
      </c>
      <c r="AG80" s="2261"/>
      <c r="AH80" s="2339"/>
      <c r="AI80" s="2325"/>
      <c r="AK80" s="1121"/>
      <c r="DG80" s="2335">
        <f>(DI80)/(DJ80)</f>
        <v>5.3593766456145291</v>
      </c>
      <c r="DH80" s="2265" t="str">
        <f>CONCATENATE(G80," ",K80," Year EUL")</f>
        <v>Water heating RES 10 Year EUL</v>
      </c>
      <c r="DI80" s="2336">
        <f>(INDEX('Avoided Cost Benefits'!$B$4:$B$865,MATCH(DH80,'Avoided Cost Benefits'!$A$4:$A$865,0)))*F80</f>
        <v>82.159243977270734</v>
      </c>
      <c r="DJ80" s="2337">
        <f>L80/(1.0686^(2025-2025))</f>
        <v>15.33</v>
      </c>
    </row>
    <row r="81" spans="1:114" s="1118" customFormat="1" hidden="1" outlineLevel="1">
      <c r="A81" s="543"/>
      <c r="B81" s="1271"/>
      <c r="C81" s="1270"/>
      <c r="D81" s="2294" t="s">
        <v>118</v>
      </c>
      <c r="E81" s="2206" t="s">
        <v>1322</v>
      </c>
      <c r="F81" s="2359"/>
      <c r="G81" s="2269"/>
      <c r="H81" s="1277"/>
      <c r="I81" s="1276"/>
      <c r="J81" s="1276"/>
      <c r="K81" s="1276"/>
      <c r="L81" s="1119"/>
      <c r="M81" s="1119"/>
      <c r="N81" s="1119"/>
      <c r="O81" s="1119"/>
      <c r="P81" s="1119"/>
      <c r="Q81" s="1119"/>
      <c r="R81" s="1119"/>
      <c r="S81" s="1119"/>
      <c r="T81" s="1119"/>
      <c r="U81" s="1119"/>
      <c r="V81" s="1153"/>
      <c r="W81" s="1153"/>
      <c r="X81" s="1153"/>
      <c r="Y81" s="1153"/>
      <c r="Z81" s="1153"/>
      <c r="AA81" s="1153"/>
      <c r="AB81" s="1153"/>
      <c r="AC81" s="1153"/>
      <c r="AD81" s="1153"/>
      <c r="AE81" s="1153"/>
      <c r="AF81" s="1117"/>
      <c r="AG81" s="1117"/>
      <c r="AK81" s="1121"/>
      <c r="DG81" s="1120"/>
      <c r="DH81" s="1119"/>
      <c r="DI81" s="1119"/>
      <c r="DJ81" s="1192"/>
    </row>
    <row r="82" spans="1:114" s="1118" customFormat="1" hidden="1" outlineLevel="1">
      <c r="A82" s="543"/>
      <c r="B82" s="1271"/>
      <c r="C82" s="1270"/>
      <c r="D82" s="2360" t="s">
        <v>963</v>
      </c>
      <c r="E82" s="635" t="s">
        <v>1323</v>
      </c>
      <c r="F82" s="2359"/>
      <c r="G82" s="2269"/>
      <c r="H82" s="1277"/>
      <c r="I82" s="1276"/>
      <c r="J82" s="1276"/>
      <c r="K82" s="1276"/>
      <c r="L82" s="1119"/>
      <c r="M82" s="1119"/>
      <c r="N82" s="1119"/>
      <c r="O82" s="1119"/>
      <c r="P82" s="1119"/>
      <c r="Q82" s="1119"/>
      <c r="R82" s="1119"/>
      <c r="S82" s="1119"/>
      <c r="T82" s="1119"/>
      <c r="U82" s="1119"/>
      <c r="V82" s="1119"/>
      <c r="W82" s="1119"/>
      <c r="X82" s="1119"/>
      <c r="Y82" s="1119"/>
      <c r="Z82" s="1119"/>
      <c r="AA82" s="1119"/>
      <c r="AB82" s="1119"/>
      <c r="AC82" s="1119"/>
      <c r="AD82" s="1119"/>
      <c r="AE82" s="1119"/>
      <c r="AF82" s="1117"/>
      <c r="AG82" s="1117"/>
      <c r="AK82" s="1121"/>
      <c r="DG82" s="1120"/>
      <c r="DH82" s="1119"/>
      <c r="DI82" s="1119"/>
      <c r="DJ82" s="1192"/>
    </row>
    <row r="83" spans="1:114" s="1118" customFormat="1" hidden="1" outlineLevel="1">
      <c r="A83" s="543"/>
      <c r="B83" s="1271"/>
      <c r="C83" s="1270"/>
      <c r="D83" s="2273"/>
      <c r="E83" s="635" t="s">
        <v>1591</v>
      </c>
      <c r="F83" s="2273"/>
      <c r="G83" s="2273"/>
      <c r="H83" s="1119"/>
      <c r="I83" s="1119"/>
      <c r="J83" s="1119"/>
      <c r="K83" s="1119"/>
      <c r="L83" s="1119"/>
      <c r="M83" s="1119"/>
      <c r="N83" s="1119"/>
      <c r="O83" s="1119"/>
      <c r="P83" s="1119"/>
      <c r="Q83" s="1119"/>
      <c r="R83" s="1119"/>
      <c r="S83" s="1119"/>
      <c r="T83" s="1119"/>
      <c r="U83" s="1119"/>
      <c r="V83" s="543"/>
      <c r="W83" s="1117"/>
      <c r="X83" s="1117"/>
      <c r="Y83" s="1140"/>
      <c r="Z83" s="1117"/>
      <c r="AA83" s="1117"/>
      <c r="AB83" s="1117"/>
      <c r="AC83" s="1117"/>
      <c r="AD83" s="1117"/>
      <c r="AE83" s="1117"/>
      <c r="AF83" s="1117"/>
      <c r="AG83" s="1117"/>
      <c r="AK83" s="1121"/>
      <c r="DG83" s="1120"/>
      <c r="DH83" s="1119"/>
      <c r="DI83" s="1119"/>
      <c r="DJ83" s="1192"/>
    </row>
    <row r="84" spans="1:114" s="1118" customFormat="1" hidden="1" outlineLevel="1">
      <c r="A84" s="543"/>
      <c r="B84" s="1271"/>
      <c r="C84" s="1270"/>
      <c r="D84" s="2361"/>
      <c r="E84" s="635" t="s">
        <v>966</v>
      </c>
      <c r="F84" s="2273"/>
      <c r="G84" s="2273"/>
      <c r="H84" s="1119"/>
      <c r="I84" s="1119"/>
      <c r="J84" s="1119"/>
      <c r="K84" s="1119"/>
      <c r="L84" s="1119"/>
      <c r="M84" s="1119"/>
      <c r="N84" s="1119"/>
      <c r="O84" s="1119"/>
      <c r="P84" s="1119"/>
      <c r="Q84" s="1119"/>
      <c r="R84" s="1119"/>
      <c r="S84" s="1119"/>
      <c r="T84" s="1119"/>
      <c r="U84" s="1119"/>
      <c r="V84" s="543"/>
      <c r="W84" s="1117"/>
      <c r="X84" s="1117"/>
      <c r="Y84" s="1140"/>
      <c r="Z84" s="1117"/>
      <c r="AA84" s="1117"/>
      <c r="AB84" s="1117"/>
      <c r="AC84" s="1117"/>
      <c r="AD84" s="1117"/>
      <c r="AE84" s="1117"/>
      <c r="AF84" s="1117"/>
      <c r="AG84" s="1117"/>
      <c r="AK84" s="1121"/>
      <c r="DG84" s="1120"/>
      <c r="DH84" s="1119"/>
      <c r="DI84" s="1119"/>
      <c r="DJ84" s="1192"/>
    </row>
    <row r="85" spans="1:114" s="1118" customFormat="1" hidden="1" outlineLevel="1">
      <c r="A85" s="543"/>
      <c r="B85" s="1271"/>
      <c r="C85" s="1270"/>
      <c r="D85" s="2361"/>
      <c r="E85" s="635" t="s">
        <v>1324</v>
      </c>
      <c r="F85" s="2273"/>
      <c r="G85" s="2273"/>
      <c r="H85" s="1119"/>
      <c r="I85" s="1119"/>
      <c r="J85" s="1119"/>
      <c r="K85" s="1119"/>
      <c r="L85" s="1119"/>
      <c r="M85" s="1119"/>
      <c r="N85" s="1119"/>
      <c r="O85" s="1119"/>
      <c r="P85" s="1119"/>
      <c r="Q85" s="1119"/>
      <c r="R85" s="1119"/>
      <c r="S85" s="1119"/>
      <c r="T85" s="1119"/>
      <c r="U85" s="1119"/>
      <c r="V85" s="543"/>
      <c r="W85" s="1117"/>
      <c r="X85" s="1117"/>
      <c r="Y85" s="1140"/>
      <c r="Z85" s="1117"/>
      <c r="AA85" s="1117"/>
      <c r="AB85" s="1117"/>
      <c r="AC85" s="1117"/>
      <c r="AD85" s="1117"/>
      <c r="AE85" s="1117"/>
      <c r="AF85" s="1117"/>
      <c r="AG85" s="1117"/>
      <c r="AK85" s="1121"/>
      <c r="DG85" s="1120"/>
      <c r="DH85" s="1119"/>
      <c r="DI85" s="1119"/>
      <c r="DJ85" s="1192"/>
    </row>
    <row r="86" spans="1:114" s="1118" customFormat="1" hidden="1" outlineLevel="1">
      <c r="A86" s="543"/>
      <c r="B86" s="1271"/>
      <c r="C86" s="1270"/>
      <c r="D86" s="1138"/>
      <c r="E86" s="1138"/>
      <c r="F86" s="1119"/>
      <c r="G86" s="1119"/>
      <c r="H86" s="1119"/>
      <c r="I86" s="1119"/>
      <c r="J86" s="1119"/>
      <c r="K86" s="1119"/>
      <c r="L86" s="1119"/>
      <c r="M86" s="1119"/>
      <c r="N86" s="1119"/>
      <c r="O86" s="1119"/>
      <c r="P86" s="1119"/>
      <c r="Q86" s="1119"/>
      <c r="R86" s="1119"/>
      <c r="S86" s="1119"/>
      <c r="T86" s="1119"/>
      <c r="U86" s="1119"/>
      <c r="V86" s="543"/>
      <c r="W86" s="1117"/>
      <c r="X86" s="1117"/>
      <c r="Y86" s="1140"/>
      <c r="Z86" s="1117"/>
      <c r="AA86" s="1117"/>
      <c r="AB86" s="1117"/>
      <c r="AC86" s="1117"/>
      <c r="AD86" s="1117"/>
      <c r="AE86" s="1117"/>
      <c r="AF86" s="1117"/>
      <c r="AG86" s="1117"/>
      <c r="AK86" s="1121"/>
      <c r="DG86" s="1120"/>
      <c r="DH86" s="1119"/>
      <c r="DI86" s="1119"/>
      <c r="DJ86" s="1192"/>
    </row>
    <row r="87" spans="1:114" s="1118" customFormat="1" hidden="1" outlineLevel="1">
      <c r="A87" s="543"/>
      <c r="B87" s="1271"/>
      <c r="C87" s="1270"/>
      <c r="D87" s="407"/>
      <c r="E87" s="1138"/>
      <c r="F87" s="1119"/>
      <c r="G87" s="1119"/>
      <c r="H87" s="1119"/>
      <c r="I87" s="1119"/>
      <c r="J87" s="1119"/>
      <c r="K87" s="1119"/>
      <c r="L87" s="1119"/>
      <c r="M87" s="1119"/>
      <c r="N87" s="1119"/>
      <c r="O87" s="1119"/>
      <c r="P87" s="1119"/>
      <c r="Q87" s="1119"/>
      <c r="R87" s="1119"/>
      <c r="S87" s="1119"/>
      <c r="T87" s="1119"/>
      <c r="U87" s="1119"/>
      <c r="V87" s="543"/>
      <c r="W87" s="1117"/>
      <c r="X87" s="1117"/>
      <c r="Y87" s="1140"/>
      <c r="Z87" s="1117"/>
      <c r="AA87" s="1117"/>
      <c r="AB87" s="1117"/>
      <c r="AC87" s="1117"/>
      <c r="AD87" s="1117"/>
      <c r="AE87" s="1117"/>
      <c r="AF87" s="1117"/>
      <c r="AG87" s="1117"/>
      <c r="AK87" s="1121"/>
      <c r="DG87" s="1120"/>
      <c r="DH87" s="1119"/>
      <c r="DI87" s="1119"/>
      <c r="DJ87" s="1192"/>
    </row>
    <row r="88" spans="1:114" s="1118" customFormat="1" hidden="1" outlineLevel="1">
      <c r="A88" s="543"/>
      <c r="B88" s="1119"/>
      <c r="C88" s="1270"/>
      <c r="D88" s="1138"/>
      <c r="E88" s="1138"/>
      <c r="F88" s="1119"/>
      <c r="G88" s="1119"/>
      <c r="H88" s="1119"/>
      <c r="I88" s="1119"/>
      <c r="J88" s="1119"/>
      <c r="K88" s="1119"/>
      <c r="L88" s="1119"/>
      <c r="M88" s="1119"/>
      <c r="N88" s="1119"/>
      <c r="O88" s="1119"/>
      <c r="P88" s="1119"/>
      <c r="Q88" s="1119"/>
      <c r="R88" s="1119"/>
      <c r="S88" s="1119"/>
      <c r="T88" s="1119"/>
      <c r="U88" s="1119"/>
      <c r="V88" s="543"/>
      <c r="W88" s="1117"/>
      <c r="X88" s="1117"/>
      <c r="Y88" s="1140"/>
      <c r="Z88" s="1117"/>
      <c r="AA88" s="1117"/>
      <c r="AB88" s="1117"/>
      <c r="AC88" s="1117"/>
      <c r="AD88" s="1117"/>
      <c r="AE88" s="1117"/>
      <c r="AF88" s="1117"/>
      <c r="AG88" s="1117"/>
      <c r="AK88" s="1121"/>
      <c r="DG88" s="1120"/>
      <c r="DH88" s="1119"/>
      <c r="DI88" s="1119"/>
      <c r="DJ88" s="1192"/>
    </row>
    <row r="89" spans="1:114" s="1118" customFormat="1" hidden="1" outlineLevel="1">
      <c r="A89" s="543"/>
      <c r="B89" s="1119"/>
      <c r="C89" s="1270"/>
      <c r="D89" s="2303" t="s">
        <v>1078</v>
      </c>
      <c r="E89" s="2303" t="s">
        <v>967</v>
      </c>
      <c r="F89" s="2207" t="s">
        <v>1215</v>
      </c>
      <c r="G89" s="2207" t="s">
        <v>969</v>
      </c>
      <c r="H89" s="4052" t="s">
        <v>970</v>
      </c>
      <c r="I89" s="4052"/>
      <c r="J89" s="4052" t="s">
        <v>755</v>
      </c>
      <c r="K89" s="4052"/>
      <c r="L89" s="4052"/>
      <c r="M89" s="1119"/>
      <c r="N89" s="1119"/>
      <c r="O89" s="1119"/>
      <c r="P89" s="1119"/>
      <c r="Q89" s="1119"/>
      <c r="R89" s="1119"/>
      <c r="S89" s="1119"/>
      <c r="T89" s="1119"/>
      <c r="U89" s="1119"/>
      <c r="V89" s="2256" t="s">
        <v>52</v>
      </c>
      <c r="W89" s="2257">
        <f t="shared" ref="W89:AG89" si="10">W$6</f>
        <v>43252</v>
      </c>
      <c r="X89" s="2257">
        <f t="shared" si="10"/>
        <v>43435</v>
      </c>
      <c r="Y89" s="2327">
        <f t="shared" si="10"/>
        <v>43800</v>
      </c>
      <c r="Z89" s="2257">
        <f t="shared" si="10"/>
        <v>43862</v>
      </c>
      <c r="AA89" s="2257">
        <f t="shared" si="10"/>
        <v>44013</v>
      </c>
      <c r="AB89" s="2257">
        <f t="shared" si="10"/>
        <v>44166</v>
      </c>
      <c r="AC89" s="2257">
        <f t="shared" si="10"/>
        <v>44531</v>
      </c>
      <c r="AD89" s="2257">
        <f t="shared" si="10"/>
        <v>44774</v>
      </c>
      <c r="AE89" s="2257">
        <f t="shared" si="10"/>
        <v>45139</v>
      </c>
      <c r="AF89" s="2257">
        <f t="shared" si="10"/>
        <v>45672</v>
      </c>
      <c r="AG89" s="2257" t="str">
        <f t="shared" si="10"/>
        <v>-</v>
      </c>
      <c r="AK89" s="1121"/>
      <c r="DG89" s="1120"/>
      <c r="DH89" s="1119"/>
      <c r="DI89" s="1119"/>
      <c r="DJ89" s="1192"/>
    </row>
    <row r="90" spans="1:114" s="1118" customFormat="1" ht="32.25" hidden="1" customHeight="1" outlineLevel="1">
      <c r="A90" s="543"/>
      <c r="B90" s="1119"/>
      <c r="C90" s="1270"/>
      <c r="D90" s="2244" t="s">
        <v>1325</v>
      </c>
      <c r="E90" s="1444" t="s">
        <v>1326</v>
      </c>
      <c r="F90" s="1444"/>
      <c r="G90" s="2347">
        <v>1</v>
      </c>
      <c r="H90" s="4214" t="s">
        <v>1370</v>
      </c>
      <c r="I90" s="4214"/>
      <c r="J90" s="4718" t="s">
        <v>2953</v>
      </c>
      <c r="K90" s="4719"/>
      <c r="L90" s="4720"/>
      <c r="M90" s="1119"/>
      <c r="N90" s="1119"/>
      <c r="O90" s="1119"/>
      <c r="P90" s="1119"/>
      <c r="Q90" s="1119"/>
      <c r="R90" s="1119"/>
      <c r="S90" s="366"/>
      <c r="T90" s="1119"/>
      <c r="U90" s="1119"/>
      <c r="V90" s="1444" t="s">
        <v>1325</v>
      </c>
      <c r="W90" s="2258"/>
      <c r="X90" s="2258"/>
      <c r="Y90" s="2258"/>
      <c r="Z90" s="2258"/>
      <c r="AA90" s="2258"/>
      <c r="AB90" s="2258"/>
      <c r="AC90" s="2259"/>
      <c r="AD90" s="2259"/>
      <c r="AE90" s="2382">
        <v>1</v>
      </c>
      <c r="AF90" s="2236">
        <f t="shared" ref="AF90:AF110" si="11">IF(G90&lt;&gt;"",G90,"")</f>
        <v>1</v>
      </c>
      <c r="AG90" s="2469"/>
      <c r="AK90" s="1121"/>
      <c r="DG90" s="1120"/>
      <c r="DH90" s="1119"/>
      <c r="DI90" s="1119"/>
      <c r="DJ90" s="1192"/>
    </row>
    <row r="91" spans="1:114" s="1118" customFormat="1" ht="27.75" hidden="1" customHeight="1" outlineLevel="1">
      <c r="A91" s="543"/>
      <c r="B91" s="1119"/>
      <c r="C91" s="1270"/>
      <c r="D91" s="2244" t="s">
        <v>1329</v>
      </c>
      <c r="E91" s="1444" t="s">
        <v>1330</v>
      </c>
      <c r="F91" s="1444"/>
      <c r="G91" s="2348">
        <v>2.2000000000000002</v>
      </c>
      <c r="H91" s="4170" t="s">
        <v>1595</v>
      </c>
      <c r="I91" s="4170"/>
      <c r="J91" s="4408" t="s">
        <v>1575</v>
      </c>
      <c r="K91" s="4408"/>
      <c r="L91" s="4408"/>
      <c r="M91" s="1119"/>
      <c r="N91" s="1119"/>
      <c r="O91" s="1119"/>
      <c r="P91" s="1119"/>
      <c r="Q91" s="1119"/>
      <c r="R91" s="1119"/>
      <c r="S91" s="1404"/>
      <c r="T91" s="1119"/>
      <c r="U91" s="1119"/>
      <c r="V91" s="1444" t="str">
        <f>D91</f>
        <v>GPM_base</v>
      </c>
      <c r="W91" s="2258"/>
      <c r="X91" s="2258"/>
      <c r="Y91" s="2258"/>
      <c r="Z91" s="2258"/>
      <c r="AA91" s="2258"/>
      <c r="AB91" s="2258"/>
      <c r="AC91" s="2259"/>
      <c r="AD91" s="2259"/>
      <c r="AE91" s="2470">
        <v>2.2000000000000002</v>
      </c>
      <c r="AF91" s="2236">
        <f t="shared" si="11"/>
        <v>2.2000000000000002</v>
      </c>
      <c r="AG91" s="2244"/>
      <c r="AK91" s="1121"/>
      <c r="DG91" s="1120"/>
      <c r="DH91" s="1119"/>
      <c r="DI91" s="1119"/>
      <c r="DJ91" s="1192"/>
    </row>
    <row r="92" spans="1:114" s="1118" customFormat="1" ht="89.25" hidden="1" customHeight="1" outlineLevel="1">
      <c r="A92" s="543"/>
      <c r="B92" s="1119"/>
      <c r="C92" s="1270"/>
      <c r="D92" s="2244" t="s">
        <v>1333</v>
      </c>
      <c r="E92" s="2317" t="s">
        <v>1334</v>
      </c>
      <c r="F92" s="1444"/>
      <c r="G92" s="2348">
        <v>8.66</v>
      </c>
      <c r="H92" s="4712" t="s">
        <v>1348</v>
      </c>
      <c r="I92" s="4712"/>
      <c r="J92" s="4408" t="s">
        <v>1575</v>
      </c>
      <c r="K92" s="4408"/>
      <c r="L92" s="4408"/>
      <c r="M92" s="1119"/>
      <c r="N92" s="1119"/>
      <c r="O92" s="1119"/>
      <c r="P92" s="1119"/>
      <c r="Q92" s="1119"/>
      <c r="R92" s="1119"/>
      <c r="S92" s="1278"/>
      <c r="T92" s="1119"/>
      <c r="U92" s="1119"/>
      <c r="V92" s="1444" t="str">
        <f>D92</f>
        <v>L_base</v>
      </c>
      <c r="W92" s="2258"/>
      <c r="X92" s="2258"/>
      <c r="Y92" s="2258"/>
      <c r="Z92" s="2258"/>
      <c r="AA92" s="2258"/>
      <c r="AB92" s="2258"/>
      <c r="AC92" s="2259"/>
      <c r="AD92" s="2259"/>
      <c r="AE92" s="2386">
        <v>8.66</v>
      </c>
      <c r="AF92" s="2236">
        <f t="shared" si="11"/>
        <v>8.66</v>
      </c>
      <c r="AG92" s="2471"/>
      <c r="AK92" s="1121"/>
      <c r="DG92" s="1120"/>
      <c r="DH92" s="1119"/>
      <c r="DI92" s="1119"/>
      <c r="DJ92" s="1192"/>
    </row>
    <row r="93" spans="1:114" s="1118" customFormat="1" ht="30.75" hidden="1" customHeight="1" outlineLevel="1">
      <c r="A93" s="543"/>
      <c r="B93" s="1119"/>
      <c r="C93" s="1270"/>
      <c r="D93" s="2244" t="s">
        <v>1337</v>
      </c>
      <c r="E93" s="1444" t="s">
        <v>1338</v>
      </c>
      <c r="F93" s="1444"/>
      <c r="G93" s="2311">
        <v>1.5</v>
      </c>
      <c r="H93" s="4170" t="s">
        <v>1595</v>
      </c>
      <c r="I93" s="4170"/>
      <c r="J93" s="4408" t="s">
        <v>1575</v>
      </c>
      <c r="K93" s="4408"/>
      <c r="L93" s="4408"/>
      <c r="M93" s="1119"/>
      <c r="N93" s="1119"/>
      <c r="O93" s="1119"/>
      <c r="P93" s="1119"/>
      <c r="Q93" s="1119"/>
      <c r="R93" s="1119"/>
      <c r="S93" s="1404"/>
      <c r="T93" s="1119"/>
      <c r="U93" s="1119"/>
      <c r="V93" s="1444" t="str">
        <f>D93</f>
        <v>GPM_low</v>
      </c>
      <c r="W93" s="2258"/>
      <c r="X93" s="2258"/>
      <c r="Y93" s="2258"/>
      <c r="Z93" s="2258"/>
      <c r="AA93" s="2258"/>
      <c r="AB93" s="2258"/>
      <c r="AC93" s="2259"/>
      <c r="AD93" s="2259"/>
      <c r="AE93" s="2409">
        <v>1.5</v>
      </c>
      <c r="AF93" s="2236">
        <f t="shared" si="11"/>
        <v>1.5</v>
      </c>
      <c r="AG93" s="2244"/>
      <c r="AK93" s="1121"/>
      <c r="DG93" s="1120"/>
      <c r="DH93" s="1119"/>
      <c r="DI93" s="1119"/>
      <c r="DJ93" s="1192"/>
    </row>
    <row r="94" spans="1:114" s="1118" customFormat="1" ht="85.5" hidden="1" customHeight="1" outlineLevel="1">
      <c r="A94" s="543"/>
      <c r="B94" s="1119"/>
      <c r="C94" s="1270"/>
      <c r="D94" s="2244" t="s">
        <v>1340</v>
      </c>
      <c r="E94" s="2317" t="s">
        <v>1334</v>
      </c>
      <c r="F94" s="1444"/>
      <c r="G94" s="2349">
        <v>8.66</v>
      </c>
      <c r="H94" s="4712" t="s">
        <v>3122</v>
      </c>
      <c r="I94" s="4712"/>
      <c r="J94" s="4408" t="s">
        <v>1575</v>
      </c>
      <c r="K94" s="4408"/>
      <c r="L94" s="4408"/>
      <c r="M94" s="1119"/>
      <c r="N94" s="1119"/>
      <c r="O94" s="1119"/>
      <c r="P94" s="1119"/>
      <c r="Q94" s="1119"/>
      <c r="R94" s="1119"/>
      <c r="S94" s="1278"/>
      <c r="T94" s="1119"/>
      <c r="U94" s="1119"/>
      <c r="V94" s="1444" t="str">
        <f>D94</f>
        <v>L_low</v>
      </c>
      <c r="W94" s="2258"/>
      <c r="X94" s="2258"/>
      <c r="Y94" s="2258"/>
      <c r="Z94" s="2258"/>
      <c r="AA94" s="2258"/>
      <c r="AB94" s="2258"/>
      <c r="AC94" s="2259"/>
      <c r="AD94" s="2259"/>
      <c r="AE94" s="2386">
        <v>8.66</v>
      </c>
      <c r="AF94" s="2236">
        <f t="shared" si="11"/>
        <v>8.66</v>
      </c>
      <c r="AG94" s="2471"/>
      <c r="AK94" s="1121"/>
      <c r="DG94" s="1120"/>
      <c r="DH94" s="1119"/>
      <c r="DI94" s="1119"/>
      <c r="DJ94" s="1192"/>
    </row>
    <row r="95" spans="1:114" s="1118" customFormat="1" ht="42" hidden="1" customHeight="1" outlineLevel="1">
      <c r="A95" s="543"/>
      <c r="B95" s="1119"/>
      <c r="C95" s="1270"/>
      <c r="D95" s="4714" t="s">
        <v>982</v>
      </c>
      <c r="E95" s="4716" t="s">
        <v>1341</v>
      </c>
      <c r="F95" s="1444" t="s">
        <v>170</v>
      </c>
      <c r="G95" s="2316">
        <v>2.67</v>
      </c>
      <c r="H95" s="4582" t="s">
        <v>1353</v>
      </c>
      <c r="I95" s="4582"/>
      <c r="J95" s="4408" t="s">
        <v>3123</v>
      </c>
      <c r="K95" s="4408"/>
      <c r="L95" s="4408"/>
      <c r="M95" s="1119"/>
      <c r="N95" s="1119"/>
      <c r="O95" s="1119"/>
      <c r="P95" s="1119"/>
      <c r="Q95" s="1119"/>
      <c r="R95" s="1119"/>
      <c r="S95" s="1278"/>
      <c r="T95" s="1119"/>
      <c r="U95" s="1119"/>
      <c r="V95" s="4144" t="str">
        <f>D95</f>
        <v>Household</v>
      </c>
      <c r="W95" s="2258"/>
      <c r="X95" s="2258"/>
      <c r="Y95" s="2258"/>
      <c r="Z95" s="2258"/>
      <c r="AA95" s="2258"/>
      <c r="AB95" s="2258"/>
      <c r="AC95" s="2259"/>
      <c r="AD95" s="2259"/>
      <c r="AE95" s="2386">
        <v>2.67</v>
      </c>
      <c r="AF95" s="2236">
        <f t="shared" si="11"/>
        <v>2.67</v>
      </c>
      <c r="AG95" s="2471"/>
      <c r="AK95" s="1121"/>
      <c r="DG95" s="1120"/>
      <c r="DH95" s="1119"/>
      <c r="DI95" s="1119"/>
      <c r="DJ95" s="1192"/>
    </row>
    <row r="96" spans="1:114" s="1118" customFormat="1" ht="45" hidden="1" customHeight="1" outlineLevel="1">
      <c r="A96" s="543"/>
      <c r="B96" s="1119"/>
      <c r="C96" s="1270"/>
      <c r="D96" s="4715"/>
      <c r="E96" s="4717"/>
      <c r="F96" s="1444" t="s">
        <v>1122</v>
      </c>
      <c r="G96" s="2316">
        <v>1.5165094339622642</v>
      </c>
      <c r="H96" s="4558" t="s">
        <v>3658</v>
      </c>
      <c r="I96" s="4559"/>
      <c r="J96" s="4264" t="s">
        <v>3123</v>
      </c>
      <c r="K96" s="4723"/>
      <c r="L96" s="4265"/>
      <c r="M96" s="1119"/>
      <c r="N96" s="1119"/>
      <c r="O96" s="1119"/>
      <c r="P96" s="1119"/>
      <c r="Q96" s="1119"/>
      <c r="R96" s="1119"/>
      <c r="S96" s="1278"/>
      <c r="T96" s="1119"/>
      <c r="U96" s="1119"/>
      <c r="V96" s="4145"/>
      <c r="W96" s="2258"/>
      <c r="X96" s="2258"/>
      <c r="Y96" s="2258"/>
      <c r="Z96" s="2258"/>
      <c r="AA96" s="2258"/>
      <c r="AB96" s="2258"/>
      <c r="AC96" s="2259"/>
      <c r="AD96" s="2259"/>
      <c r="AE96" s="2386">
        <v>1.5165094339622642</v>
      </c>
      <c r="AF96" s="2236">
        <f t="shared" si="11"/>
        <v>1.5165094339622642</v>
      </c>
      <c r="AG96" s="2471"/>
      <c r="AK96" s="1121"/>
      <c r="DG96" s="1120"/>
      <c r="DH96" s="1119"/>
      <c r="DI96" s="1119"/>
      <c r="DJ96" s="1192"/>
    </row>
    <row r="97" spans="1:114" s="1118" customFormat="1" ht="85.5" hidden="1" customHeight="1" outlineLevel="1">
      <c r="A97" s="543"/>
      <c r="B97" s="1119"/>
      <c r="C97" s="1270"/>
      <c r="D97" s="2244" t="s">
        <v>1346</v>
      </c>
      <c r="E97" s="2317" t="s">
        <v>1347</v>
      </c>
      <c r="F97" s="1444"/>
      <c r="G97" s="2349">
        <v>0.66</v>
      </c>
      <c r="H97" s="4712" t="s">
        <v>1348</v>
      </c>
      <c r="I97" s="4712"/>
      <c r="J97" s="4408" t="s">
        <v>3125</v>
      </c>
      <c r="K97" s="4408"/>
      <c r="L97" s="4408"/>
      <c r="M97" s="1119"/>
      <c r="N97" s="1119"/>
      <c r="O97" s="1119"/>
      <c r="P97" s="1119"/>
      <c r="Q97" s="1119"/>
      <c r="R97" s="1119"/>
      <c r="S97" s="1278"/>
      <c r="T97" s="1119"/>
      <c r="U97" s="1119"/>
      <c r="V97" s="1444" t="str">
        <f>D97</f>
        <v>SPDC</v>
      </c>
      <c r="W97" s="2258"/>
      <c r="X97" s="2258"/>
      <c r="Y97" s="2258"/>
      <c r="Z97" s="2258"/>
      <c r="AA97" s="2258"/>
      <c r="AB97" s="2258"/>
      <c r="AC97" s="2259"/>
      <c r="AD97" s="2259"/>
      <c r="AE97" s="2386">
        <v>0.66</v>
      </c>
      <c r="AF97" s="2236">
        <f t="shared" si="11"/>
        <v>0.66</v>
      </c>
      <c r="AG97" s="2471"/>
      <c r="AK97" s="1121"/>
      <c r="DG97" s="1120"/>
      <c r="DH97" s="1119"/>
      <c r="DI97" s="1119"/>
      <c r="DJ97" s="1192"/>
    </row>
    <row r="98" spans="1:114" s="1118" customFormat="1" hidden="1" outlineLevel="1">
      <c r="A98" s="543"/>
      <c r="B98" s="1119"/>
      <c r="C98" s="1270"/>
      <c r="D98" s="2244">
        <v>365.25</v>
      </c>
      <c r="E98" s="2317" t="s">
        <v>1349</v>
      </c>
      <c r="F98" s="1444"/>
      <c r="G98" s="2349">
        <v>365.25</v>
      </c>
      <c r="H98" s="4170" t="s">
        <v>1350</v>
      </c>
      <c r="I98" s="4170"/>
      <c r="J98" s="4408" t="s">
        <v>3125</v>
      </c>
      <c r="K98" s="4408"/>
      <c r="L98" s="4408"/>
      <c r="M98" s="1119"/>
      <c r="N98" s="1119"/>
      <c r="O98" s="1119"/>
      <c r="P98" s="1119"/>
      <c r="Q98" s="1119"/>
      <c r="R98" s="1119"/>
      <c r="S98" s="1278"/>
      <c r="T98" s="1119"/>
      <c r="U98" s="1119"/>
      <c r="V98" s="1444">
        <f>D98</f>
        <v>365.25</v>
      </c>
      <c r="W98" s="2258"/>
      <c r="X98" s="2258"/>
      <c r="Y98" s="2258"/>
      <c r="Z98" s="2258"/>
      <c r="AA98" s="2258"/>
      <c r="AB98" s="2258"/>
      <c r="AC98" s="2259"/>
      <c r="AD98" s="2259"/>
      <c r="AE98" s="2386">
        <v>365.25</v>
      </c>
      <c r="AF98" s="2236">
        <f t="shared" si="11"/>
        <v>365.25</v>
      </c>
      <c r="AG98" s="2471"/>
      <c r="AK98" s="1121"/>
      <c r="DG98" s="1120"/>
      <c r="DH98" s="1119"/>
      <c r="DI98" s="1119"/>
      <c r="DJ98" s="1192"/>
    </row>
    <row r="99" spans="1:114" s="1118" customFormat="1" ht="60" hidden="1" customHeight="1" outlineLevel="1">
      <c r="A99" s="543"/>
      <c r="B99" s="1119"/>
      <c r="C99" s="1270"/>
      <c r="D99" s="4714" t="s">
        <v>1351</v>
      </c>
      <c r="E99" s="4716" t="s">
        <v>1352</v>
      </c>
      <c r="F99" s="1444" t="s">
        <v>170</v>
      </c>
      <c r="G99" s="2349">
        <v>2.0499999999999998</v>
      </c>
      <c r="H99" s="4582" t="s">
        <v>1353</v>
      </c>
      <c r="I99" s="4582"/>
      <c r="J99" s="4408" t="s">
        <v>3123</v>
      </c>
      <c r="K99" s="4408"/>
      <c r="L99" s="4408"/>
      <c r="M99" s="1119"/>
      <c r="N99" s="1119"/>
      <c r="O99" s="1119"/>
      <c r="P99" s="1119"/>
      <c r="Q99" s="1119"/>
      <c r="R99" s="1119"/>
      <c r="S99" s="1278"/>
      <c r="T99" s="1119"/>
      <c r="U99" s="1119"/>
      <c r="V99" s="4144" t="str">
        <f>D99</f>
        <v>SPH</v>
      </c>
      <c r="W99" s="2258"/>
      <c r="X99" s="2258"/>
      <c r="Y99" s="2258"/>
      <c r="Z99" s="2258"/>
      <c r="AA99" s="2258"/>
      <c r="AB99" s="2258"/>
      <c r="AC99" s="2259"/>
      <c r="AD99" s="2259"/>
      <c r="AE99" s="2386">
        <v>2.0499999999999998</v>
      </c>
      <c r="AF99" s="2236">
        <f t="shared" si="11"/>
        <v>2.0499999999999998</v>
      </c>
      <c r="AG99" s="2471"/>
      <c r="AK99" s="1121"/>
      <c r="DG99" s="1120"/>
      <c r="DH99" s="1119"/>
      <c r="DI99" s="1119"/>
      <c r="DJ99" s="1192"/>
    </row>
    <row r="100" spans="1:114" s="1118" customFormat="1" ht="43.5" hidden="1" customHeight="1" outlineLevel="1">
      <c r="A100" s="543"/>
      <c r="B100" s="1119"/>
      <c r="C100" s="1270"/>
      <c r="D100" s="4715"/>
      <c r="E100" s="4717"/>
      <c r="F100" s="1444" t="s">
        <v>1122</v>
      </c>
      <c r="G100" s="2349">
        <v>1</v>
      </c>
      <c r="H100" s="4582" t="s">
        <v>3126</v>
      </c>
      <c r="I100" s="4582"/>
      <c r="J100" s="4408" t="s">
        <v>3123</v>
      </c>
      <c r="K100" s="4408"/>
      <c r="L100" s="4408"/>
      <c r="M100" s="1119"/>
      <c r="N100" s="1119"/>
      <c r="O100" s="1119"/>
      <c r="P100" s="1119"/>
      <c r="Q100" s="1119"/>
      <c r="R100" s="1119"/>
      <c r="S100" s="1278"/>
      <c r="T100" s="1119"/>
      <c r="U100" s="1119"/>
      <c r="V100" s="4145"/>
      <c r="W100" s="2258"/>
      <c r="X100" s="2258"/>
      <c r="Y100" s="2258"/>
      <c r="Z100" s="2258"/>
      <c r="AA100" s="2258"/>
      <c r="AB100" s="2258"/>
      <c r="AC100" s="2259"/>
      <c r="AD100" s="2259"/>
      <c r="AE100" s="2386">
        <v>1</v>
      </c>
      <c r="AF100" s="2236">
        <f t="shared" si="11"/>
        <v>1</v>
      </c>
      <c r="AG100" s="2471"/>
      <c r="AK100" s="1121"/>
      <c r="DG100" s="1120"/>
      <c r="DH100" s="1119"/>
      <c r="DI100" s="1119"/>
      <c r="DJ100" s="1192"/>
    </row>
    <row r="101" spans="1:114" s="1118" customFormat="1" hidden="1" outlineLevel="1">
      <c r="A101" s="543"/>
      <c r="B101" s="1119"/>
      <c r="C101" s="1270"/>
      <c r="D101" s="2244">
        <v>8.33</v>
      </c>
      <c r="E101" s="2317" t="s">
        <v>1355</v>
      </c>
      <c r="F101" s="1444"/>
      <c r="G101" s="2349">
        <v>8.33</v>
      </c>
      <c r="H101" s="4214" t="s">
        <v>1356</v>
      </c>
      <c r="I101" s="4214"/>
      <c r="J101" s="4408" t="s">
        <v>3125</v>
      </c>
      <c r="K101" s="4408"/>
      <c r="L101" s="4408"/>
      <c r="M101" s="1119"/>
      <c r="N101" s="1119"/>
      <c r="O101" s="1119"/>
      <c r="P101" s="1119"/>
      <c r="Q101" s="1119"/>
      <c r="R101" s="1119"/>
      <c r="S101" s="1278"/>
      <c r="T101" s="1119"/>
      <c r="U101" s="1119"/>
      <c r="V101" s="1444">
        <f t="shared" ref="V101:V110" si="12">D101</f>
        <v>8.33</v>
      </c>
      <c r="W101" s="2258"/>
      <c r="X101" s="2258"/>
      <c r="Y101" s="2258"/>
      <c r="Z101" s="2258"/>
      <c r="AA101" s="2258"/>
      <c r="AB101" s="2258"/>
      <c r="AC101" s="2259"/>
      <c r="AD101" s="2259"/>
      <c r="AE101" s="2386">
        <v>8.33</v>
      </c>
      <c r="AF101" s="2236">
        <f t="shared" si="11"/>
        <v>8.33</v>
      </c>
      <c r="AG101" s="2471"/>
      <c r="AK101" s="1121"/>
      <c r="DG101" s="1120"/>
      <c r="DH101" s="1119"/>
      <c r="DI101" s="1119"/>
      <c r="DJ101" s="1192"/>
    </row>
    <row r="102" spans="1:114" s="1118" customFormat="1" ht="28.5" hidden="1" customHeight="1" outlineLevel="1">
      <c r="A102" s="543"/>
      <c r="B102" s="1119"/>
      <c r="C102" s="1270"/>
      <c r="D102" s="2244">
        <v>1</v>
      </c>
      <c r="E102" s="2317" t="s">
        <v>1357</v>
      </c>
      <c r="F102" s="1444"/>
      <c r="G102" s="2349">
        <v>1</v>
      </c>
      <c r="H102" s="4170" t="s">
        <v>1358</v>
      </c>
      <c r="I102" s="4170"/>
      <c r="J102" s="4408" t="s">
        <v>3125</v>
      </c>
      <c r="K102" s="4408"/>
      <c r="L102" s="4408"/>
      <c r="M102" s="1119"/>
      <c r="N102" s="1119"/>
      <c r="O102" s="1119"/>
      <c r="P102" s="1119"/>
      <c r="Q102" s="1119"/>
      <c r="R102" s="1119"/>
      <c r="S102" s="1278"/>
      <c r="T102" s="1119"/>
      <c r="U102" s="1119"/>
      <c r="V102" s="1444">
        <f t="shared" si="12"/>
        <v>1</v>
      </c>
      <c r="W102" s="2258"/>
      <c r="X102" s="2258"/>
      <c r="Y102" s="2258"/>
      <c r="Z102" s="2258"/>
      <c r="AA102" s="2258"/>
      <c r="AB102" s="2258"/>
      <c r="AC102" s="2259"/>
      <c r="AD102" s="2259"/>
      <c r="AE102" s="2386">
        <v>1</v>
      </c>
      <c r="AF102" s="2236">
        <f t="shared" si="11"/>
        <v>1</v>
      </c>
      <c r="AG102" s="2471"/>
      <c r="AK102" s="1121"/>
      <c r="DG102" s="1120"/>
      <c r="DH102" s="1119"/>
      <c r="DI102" s="1119"/>
      <c r="DJ102" s="1192"/>
    </row>
    <row r="103" spans="1:114" s="1118" customFormat="1" ht="30" hidden="1" customHeight="1" outlineLevel="1">
      <c r="A103" s="543"/>
      <c r="B103" s="1119"/>
      <c r="C103" s="1270"/>
      <c r="D103" s="2244" t="s">
        <v>1359</v>
      </c>
      <c r="E103" s="2317" t="s">
        <v>1360</v>
      </c>
      <c r="F103" s="1444"/>
      <c r="G103" s="2349">
        <v>105</v>
      </c>
      <c r="H103" s="4020" t="s">
        <v>1361</v>
      </c>
      <c r="I103" s="4020"/>
      <c r="J103" s="4408" t="s">
        <v>3125</v>
      </c>
      <c r="K103" s="4408"/>
      <c r="L103" s="4408"/>
      <c r="M103" s="1119"/>
      <c r="N103" s="1119"/>
      <c r="O103" s="1119"/>
      <c r="P103" s="1119"/>
      <c r="Q103" s="1119"/>
      <c r="R103" s="1119"/>
      <c r="S103" s="1278"/>
      <c r="T103" s="1119"/>
      <c r="U103" s="1119"/>
      <c r="V103" s="1444" t="str">
        <f t="shared" si="12"/>
        <v>ShowerTemp</v>
      </c>
      <c r="W103" s="2258"/>
      <c r="X103" s="2258"/>
      <c r="Y103" s="2258"/>
      <c r="Z103" s="2258"/>
      <c r="AA103" s="2258"/>
      <c r="AB103" s="2258"/>
      <c r="AC103" s="2259"/>
      <c r="AD103" s="2259"/>
      <c r="AE103" s="2386">
        <v>105</v>
      </c>
      <c r="AF103" s="2236">
        <f t="shared" si="11"/>
        <v>105</v>
      </c>
      <c r="AG103" s="2471"/>
      <c r="AK103" s="1121"/>
      <c r="DG103" s="1120"/>
      <c r="DH103" s="1119"/>
      <c r="DI103" s="1119"/>
      <c r="DJ103" s="1192"/>
    </row>
    <row r="104" spans="1:114" s="1118" customFormat="1" ht="75" hidden="1" customHeight="1" outlineLevel="1">
      <c r="A104" s="543"/>
      <c r="B104" s="1271"/>
      <c r="C104" s="1270"/>
      <c r="D104" s="2244" t="s">
        <v>1362</v>
      </c>
      <c r="E104" s="2317" t="s">
        <v>1363</v>
      </c>
      <c r="F104" s="1444"/>
      <c r="G104" s="2353">
        <v>58.4</v>
      </c>
      <c r="H104" s="4022" t="s">
        <v>996</v>
      </c>
      <c r="I104" s="4022"/>
      <c r="J104" s="4408" t="s">
        <v>3125</v>
      </c>
      <c r="K104" s="4408"/>
      <c r="L104" s="4408"/>
      <c r="M104" s="1119"/>
      <c r="N104" s="1119"/>
      <c r="O104" s="1119"/>
      <c r="P104" s="1119"/>
      <c r="Q104" s="1119"/>
      <c r="R104" s="1119"/>
      <c r="S104" s="1278"/>
      <c r="T104" s="1119"/>
      <c r="U104" s="1119"/>
      <c r="V104" s="1444" t="str">
        <f t="shared" si="12"/>
        <v>SupplyTemp</v>
      </c>
      <c r="W104" s="2258"/>
      <c r="X104" s="2258"/>
      <c r="Y104" s="2258"/>
      <c r="Z104" s="2258"/>
      <c r="AA104" s="2258"/>
      <c r="AB104" s="2258"/>
      <c r="AC104" s="2259"/>
      <c r="AD104" s="2259"/>
      <c r="AE104" s="2386">
        <v>61.3</v>
      </c>
      <c r="AF104" s="2236">
        <f t="shared" si="11"/>
        <v>58.4</v>
      </c>
      <c r="AG104" s="2471"/>
      <c r="AK104" s="1121"/>
      <c r="DG104" s="1120"/>
      <c r="DH104" s="1119"/>
      <c r="DI104" s="1119"/>
      <c r="DJ104" s="1192"/>
    </row>
    <row r="105" spans="1:114" s="1118" customFormat="1" ht="57" hidden="1" customHeight="1" outlineLevel="1">
      <c r="A105" s="543"/>
      <c r="B105" s="1271"/>
      <c r="C105" s="1270"/>
      <c r="D105" s="2244" t="s">
        <v>1365</v>
      </c>
      <c r="E105" s="2317" t="s">
        <v>1366</v>
      </c>
      <c r="F105" s="1444"/>
      <c r="G105" s="2349">
        <v>0.98</v>
      </c>
      <c r="H105" s="4712" t="s">
        <v>3094</v>
      </c>
      <c r="I105" s="4712"/>
      <c r="J105" s="4408" t="s">
        <v>3125</v>
      </c>
      <c r="K105" s="4408"/>
      <c r="L105" s="4408"/>
      <c r="M105" s="1119"/>
      <c r="N105" s="1119"/>
      <c r="O105" s="1119"/>
      <c r="P105" s="1119"/>
      <c r="Q105" s="1119"/>
      <c r="R105" s="1119"/>
      <c r="S105" s="1278"/>
      <c r="T105" s="1119"/>
      <c r="U105" s="1119"/>
      <c r="V105" s="1444" t="str">
        <f t="shared" si="12"/>
        <v>RE_electric</v>
      </c>
      <c r="W105" s="2258"/>
      <c r="X105" s="2258"/>
      <c r="Y105" s="2258"/>
      <c r="Z105" s="2258"/>
      <c r="AA105" s="2258"/>
      <c r="AB105" s="2258"/>
      <c r="AC105" s="2259"/>
      <c r="AD105" s="2259"/>
      <c r="AE105" s="2386">
        <v>0.98</v>
      </c>
      <c r="AF105" s="2236">
        <f t="shared" si="11"/>
        <v>0.98</v>
      </c>
      <c r="AG105" s="2471"/>
      <c r="AK105" s="1121"/>
      <c r="DG105" s="1120"/>
      <c r="DH105" s="1119"/>
      <c r="DI105" s="1119"/>
      <c r="DJ105" s="1192"/>
    </row>
    <row r="106" spans="1:114" s="1118" customFormat="1" hidden="1" outlineLevel="1">
      <c r="A106" s="543"/>
      <c r="B106" s="1271"/>
      <c r="C106" s="1270"/>
      <c r="D106" s="2244">
        <v>3412</v>
      </c>
      <c r="E106" s="2317">
        <v>3412</v>
      </c>
      <c r="F106" s="1444"/>
      <c r="G106" s="2315">
        <v>3412</v>
      </c>
      <c r="H106" s="4214" t="s">
        <v>1000</v>
      </c>
      <c r="I106" s="4214"/>
      <c r="J106" s="4408" t="s">
        <v>3125</v>
      </c>
      <c r="K106" s="4408"/>
      <c r="L106" s="4408"/>
      <c r="M106" s="1119"/>
      <c r="N106" s="1119"/>
      <c r="O106" s="1119"/>
      <c r="P106" s="1119"/>
      <c r="Q106" s="1119"/>
      <c r="R106" s="1119"/>
      <c r="S106" s="1279"/>
      <c r="T106" s="1119"/>
      <c r="U106" s="1119"/>
      <c r="V106" s="1444">
        <f t="shared" si="12"/>
        <v>3412</v>
      </c>
      <c r="W106" s="2258"/>
      <c r="X106" s="2258"/>
      <c r="Y106" s="2258"/>
      <c r="Z106" s="2258"/>
      <c r="AA106" s="2258"/>
      <c r="AB106" s="2258"/>
      <c r="AC106" s="2259"/>
      <c r="AD106" s="2259"/>
      <c r="AE106" s="2473">
        <v>3412</v>
      </c>
      <c r="AF106" s="2236">
        <f t="shared" si="11"/>
        <v>3412</v>
      </c>
      <c r="AG106" s="2474"/>
      <c r="AK106" s="1121"/>
      <c r="DG106" s="1120"/>
      <c r="DH106" s="1119"/>
      <c r="DI106" s="1119"/>
      <c r="DJ106" s="1192"/>
    </row>
    <row r="107" spans="1:114" s="1118" customFormat="1" ht="30.75" hidden="1" customHeight="1" outlineLevel="1">
      <c r="A107" s="543"/>
      <c r="B107" s="1271"/>
      <c r="C107" s="1404"/>
      <c r="D107" s="2244" t="s">
        <v>1368</v>
      </c>
      <c r="E107" s="1444" t="s">
        <v>1369</v>
      </c>
      <c r="F107" s="1444"/>
      <c r="G107" s="2354">
        <v>1</v>
      </c>
      <c r="H107" s="4214" t="s">
        <v>1370</v>
      </c>
      <c r="I107" s="4214"/>
      <c r="J107" s="4721" t="s">
        <v>2953</v>
      </c>
      <c r="K107" s="4722"/>
      <c r="L107" s="4722"/>
      <c r="M107" s="1119"/>
      <c r="N107" s="1119"/>
      <c r="O107" s="1119"/>
      <c r="P107" s="1119"/>
      <c r="Q107" s="1119"/>
      <c r="R107" s="1119"/>
      <c r="S107" s="366"/>
      <c r="T107" s="1119"/>
      <c r="U107" s="1119"/>
      <c r="V107" s="1444" t="str">
        <f t="shared" si="12"/>
        <v>Utility Adjustment</v>
      </c>
      <c r="W107" s="2258"/>
      <c r="X107" s="2258"/>
      <c r="Y107" s="2258"/>
      <c r="Z107" s="2258"/>
      <c r="AA107" s="2258"/>
      <c r="AB107" s="2258"/>
      <c r="AC107" s="2259"/>
      <c r="AD107" s="2259"/>
      <c r="AE107" s="2382">
        <v>1</v>
      </c>
      <c r="AF107" s="2236">
        <f t="shared" si="11"/>
        <v>1</v>
      </c>
      <c r="AG107" s="2469"/>
      <c r="AK107" s="1121"/>
      <c r="DG107" s="1120"/>
      <c r="DH107" s="1119"/>
      <c r="DI107" s="1119"/>
      <c r="DJ107" s="1192"/>
    </row>
    <row r="108" spans="1:114" s="1118" customFormat="1" ht="44.25" hidden="1" customHeight="1" outlineLevel="1">
      <c r="A108" s="543"/>
      <c r="B108" s="1271"/>
      <c r="C108" s="1404"/>
      <c r="D108" s="2350" t="s">
        <v>128</v>
      </c>
      <c r="E108" s="2351" t="s">
        <v>1371</v>
      </c>
      <c r="F108" s="1444" t="s">
        <v>3659</v>
      </c>
      <c r="G108" s="2355">
        <v>0.65</v>
      </c>
      <c r="H108" s="4713" t="s">
        <v>3631</v>
      </c>
      <c r="I108" s="4713"/>
      <c r="J108" s="4408" t="s">
        <v>3125</v>
      </c>
      <c r="K108" s="4408"/>
      <c r="L108" s="4408"/>
      <c r="M108" s="1119"/>
      <c r="N108" s="1119"/>
      <c r="O108" s="1119"/>
      <c r="P108" s="1119"/>
      <c r="Q108" s="1119"/>
      <c r="R108" s="1119"/>
      <c r="S108" s="1280"/>
      <c r="T108" s="1119"/>
      <c r="U108" s="1119"/>
      <c r="V108" s="2472" t="str">
        <f t="shared" si="12"/>
        <v>ISR</v>
      </c>
      <c r="W108" s="2258"/>
      <c r="X108" s="2258"/>
      <c r="Y108" s="2258"/>
      <c r="Z108" s="2258"/>
      <c r="AA108" s="2258"/>
      <c r="AB108" s="2258"/>
      <c r="AC108" s="2259"/>
      <c r="AD108" s="2259"/>
      <c r="AE108" s="2475">
        <v>0.65</v>
      </c>
      <c r="AF108" s="2236">
        <f t="shared" si="11"/>
        <v>0.65</v>
      </c>
      <c r="AG108" s="2471"/>
      <c r="AK108" s="1121"/>
      <c r="DG108" s="1120"/>
      <c r="DH108" s="1119"/>
      <c r="DI108" s="1119"/>
      <c r="DJ108" s="1192"/>
    </row>
    <row r="109" spans="1:114" s="1118" customFormat="1" ht="75" hidden="1" customHeight="1" outlineLevel="1">
      <c r="A109" s="543"/>
      <c r="B109" s="1271"/>
      <c r="C109" s="1404"/>
      <c r="D109" s="2345" t="s">
        <v>49</v>
      </c>
      <c r="E109" s="2323" t="s">
        <v>1198</v>
      </c>
      <c r="F109" s="1444" t="s">
        <v>1102</v>
      </c>
      <c r="G109" s="2356">
        <v>10</v>
      </c>
      <c r="H109" s="4168" t="s">
        <v>1374</v>
      </c>
      <c r="I109" s="4168"/>
      <c r="J109" s="4724"/>
      <c r="K109" s="4724"/>
      <c r="L109" s="4724"/>
      <c r="M109" s="1119"/>
      <c r="N109" s="1119"/>
      <c r="O109" s="1119"/>
      <c r="P109" s="1119"/>
      <c r="Q109" s="1119"/>
      <c r="R109" s="1119"/>
      <c r="S109" s="366"/>
      <c r="T109" s="1119"/>
      <c r="U109" s="1119"/>
      <c r="V109" s="1444" t="str">
        <f t="shared" si="12"/>
        <v>EUL</v>
      </c>
      <c r="W109" s="2258"/>
      <c r="X109" s="2258"/>
      <c r="Y109" s="2258"/>
      <c r="Z109" s="2258"/>
      <c r="AA109" s="2258"/>
      <c r="AB109" s="2258"/>
      <c r="AC109" s="2259"/>
      <c r="AD109" s="2259"/>
      <c r="AE109" s="2476">
        <v>10</v>
      </c>
      <c r="AF109" s="2236">
        <f t="shared" si="11"/>
        <v>10</v>
      </c>
      <c r="AG109" s="2466"/>
      <c r="AK109" s="1121"/>
      <c r="DG109" s="1120"/>
      <c r="DH109" s="1119"/>
      <c r="DI109" s="1119"/>
      <c r="DJ109" s="1192"/>
    </row>
    <row r="110" spans="1:114" s="1118" customFormat="1" ht="32.25" hidden="1" customHeight="1" outlineLevel="1">
      <c r="A110" s="543"/>
      <c r="B110" s="1271"/>
      <c r="C110" s="1404"/>
      <c r="D110" s="2345" t="s">
        <v>50</v>
      </c>
      <c r="E110" s="2323" t="s">
        <v>1135</v>
      </c>
      <c r="F110" s="1444" t="s">
        <v>3659</v>
      </c>
      <c r="G110" s="2357">
        <v>15.33</v>
      </c>
      <c r="H110" s="4712" t="s">
        <v>3660</v>
      </c>
      <c r="I110" s="4712"/>
      <c r="J110" s="4212"/>
      <c r="K110" s="4212"/>
      <c r="L110" s="4212"/>
      <c r="M110" s="1119"/>
      <c r="N110" s="1119"/>
      <c r="O110" s="1119"/>
      <c r="P110" s="1119"/>
      <c r="Q110" s="1119"/>
      <c r="R110" s="1119"/>
      <c r="S110" s="1280"/>
      <c r="T110" s="1119"/>
      <c r="U110" s="1119"/>
      <c r="V110" s="1444" t="str">
        <f t="shared" si="12"/>
        <v>Inc. Cost</v>
      </c>
      <c r="W110" s="2258"/>
      <c r="X110" s="2258"/>
      <c r="Y110" s="2258"/>
      <c r="Z110" s="2258"/>
      <c r="AA110" s="2258"/>
      <c r="AB110" s="2258"/>
      <c r="AC110" s="2259"/>
      <c r="AD110" s="2259"/>
      <c r="AE110" s="2477">
        <v>15.33</v>
      </c>
      <c r="AF110" s="2236">
        <f t="shared" si="11"/>
        <v>15.33</v>
      </c>
      <c r="AG110" s="2468"/>
      <c r="AK110" s="1121"/>
      <c r="DG110" s="1120"/>
      <c r="DH110" s="1119"/>
      <c r="DI110" s="1119"/>
      <c r="DJ110" s="1192"/>
    </row>
    <row r="111" spans="1:114" s="1118" customFormat="1" collapsed="1">
      <c r="A111" s="543"/>
      <c r="B111" s="1271"/>
      <c r="C111" s="1270"/>
      <c r="D111" s="1138"/>
      <c r="E111" s="1138"/>
      <c r="F111" s="1119"/>
      <c r="G111" s="1119"/>
      <c r="H111" s="1119"/>
      <c r="I111" s="1119"/>
      <c r="J111" s="1119"/>
      <c r="K111" s="1119"/>
      <c r="L111" s="1119"/>
      <c r="M111" s="1119"/>
      <c r="N111" s="1119"/>
      <c r="O111" s="1119"/>
      <c r="P111" s="1119"/>
      <c r="Q111" s="1119"/>
      <c r="R111" s="1119"/>
      <c r="S111" s="1119"/>
      <c r="T111" s="1119"/>
      <c r="U111" s="1119"/>
      <c r="V111" s="1153"/>
      <c r="W111" s="1153"/>
      <c r="X111" s="1153"/>
      <c r="Y111" s="1153"/>
      <c r="Z111" s="1153"/>
      <c r="AA111" s="1153"/>
      <c r="AB111" s="1153"/>
      <c r="AC111" s="1153"/>
      <c r="AD111" s="1153"/>
      <c r="AE111" s="1153"/>
      <c r="AK111" s="1121"/>
      <c r="DG111" s="1120"/>
      <c r="DH111" s="1119"/>
      <c r="DI111" s="1119"/>
      <c r="DJ111" s="1192"/>
    </row>
    <row r="112" spans="1:114">
      <c r="A112" s="543"/>
      <c r="C112" s="543"/>
      <c r="V112" s="1119"/>
      <c r="W112" s="1119"/>
      <c r="X112" s="1119"/>
      <c r="Y112" s="1119"/>
      <c r="Z112" s="1119"/>
      <c r="AA112" s="1119"/>
      <c r="AB112" s="1119"/>
      <c r="AC112" s="1119"/>
      <c r="AD112" s="1119"/>
      <c r="AE112" s="1119"/>
    </row>
    <row r="113" spans="1:114" s="1118" customFormat="1">
      <c r="A113" s="543"/>
      <c r="B113" s="4702" t="s">
        <v>3074</v>
      </c>
      <c r="C113" s="4703"/>
      <c r="D113" s="4703"/>
      <c r="E113" s="4703"/>
      <c r="F113" s="4703"/>
      <c r="G113" s="4703"/>
      <c r="H113" s="4703"/>
      <c r="I113" s="4704"/>
      <c r="J113" s="4704"/>
      <c r="K113" s="4704"/>
      <c r="L113" s="4704"/>
      <c r="M113" s="4704"/>
      <c r="N113" s="4704"/>
      <c r="O113" s="4704"/>
      <c r="P113" s="4704"/>
      <c r="Q113" s="4704"/>
      <c r="R113" s="4705"/>
      <c r="S113" s="1119"/>
      <c r="T113" s="1119"/>
      <c r="U113" s="1119"/>
      <c r="V113" s="4702" t="str">
        <f>B113</f>
        <v>Low Flow Faucet Aerators (Bathroom)</v>
      </c>
      <c r="W113" s="4703"/>
      <c r="X113" s="4703"/>
      <c r="Y113" s="4703"/>
      <c r="Z113" s="4703"/>
      <c r="AA113" s="4703"/>
      <c r="AB113" s="4703"/>
      <c r="AC113" s="4704"/>
      <c r="AD113" s="4704"/>
      <c r="AE113" s="4704"/>
      <c r="AF113" s="4704"/>
      <c r="AG113" s="4704"/>
      <c r="AH113" s="4704"/>
      <c r="AI113" s="4705"/>
      <c r="AK113" s="1121"/>
      <c r="DG113" s="1120"/>
      <c r="DH113" s="1119"/>
      <c r="DI113" s="1119"/>
      <c r="DJ113" s="1192"/>
    </row>
    <row r="114" spans="1:114" s="1118" customFormat="1">
      <c r="A114" s="543"/>
      <c r="B114" s="2268"/>
      <c r="C114" s="2269"/>
      <c r="D114" s="2270"/>
      <c r="E114" s="2270"/>
      <c r="F114" s="2271"/>
      <c r="G114" s="2271"/>
      <c r="H114" s="2271"/>
      <c r="I114" s="2271"/>
      <c r="J114" s="2271"/>
      <c r="K114" s="2271"/>
      <c r="L114" s="2272"/>
      <c r="M114" s="2273"/>
      <c r="N114" s="2273"/>
      <c r="O114" s="2273"/>
      <c r="P114" s="2273"/>
      <c r="Q114" s="2273"/>
      <c r="R114" s="2273"/>
      <c r="S114" s="1119"/>
      <c r="T114" s="1119"/>
      <c r="U114" s="1119"/>
      <c r="V114" s="2273"/>
      <c r="W114" s="2325"/>
      <c r="X114" s="2325"/>
      <c r="Y114" s="2326"/>
      <c r="Z114" s="2325"/>
      <c r="AA114" s="2325"/>
      <c r="AB114" s="2325"/>
      <c r="AC114" s="2325"/>
      <c r="AD114" s="2325"/>
      <c r="AE114" s="2325"/>
      <c r="AF114" s="2325"/>
      <c r="AG114" s="2325"/>
      <c r="AH114" s="2325"/>
      <c r="AI114" s="2325"/>
      <c r="AK114" s="1121"/>
      <c r="DG114" s="1120"/>
      <c r="DH114" s="1119"/>
      <c r="DI114" s="1119"/>
      <c r="DJ114" s="1192"/>
    </row>
    <row r="115" spans="1:114" s="1118" customFormat="1" ht="60">
      <c r="A115" s="543"/>
      <c r="B115" s="2268"/>
      <c r="C115" s="2207" t="s">
        <v>42</v>
      </c>
      <c r="D115" s="2207" t="s">
        <v>953</v>
      </c>
      <c r="E115" s="2207" t="s">
        <v>44</v>
      </c>
      <c r="F115" s="2207" t="s">
        <v>1315</v>
      </c>
      <c r="G115" s="2207" t="s">
        <v>46</v>
      </c>
      <c r="H115" s="2207" t="s">
        <v>47</v>
      </c>
      <c r="I115" s="2207" t="s">
        <v>1316</v>
      </c>
      <c r="J115" s="2207" t="s">
        <v>48</v>
      </c>
      <c r="K115" s="2207" t="s">
        <v>49</v>
      </c>
      <c r="L115" s="2207" t="s">
        <v>50</v>
      </c>
      <c r="M115" s="2207" t="s">
        <v>51</v>
      </c>
      <c r="N115" s="2273"/>
      <c r="O115" s="2273"/>
      <c r="P115" s="2273"/>
      <c r="Q115" s="2273"/>
      <c r="R115" s="2273"/>
      <c r="S115" s="1119"/>
      <c r="T115" s="1119"/>
      <c r="U115" s="1119"/>
      <c r="V115" s="2256" t="s">
        <v>52</v>
      </c>
      <c r="W115" s="2257">
        <f t="shared" ref="W115:AG115" si="13">W$6</f>
        <v>43252</v>
      </c>
      <c r="X115" s="2257">
        <f t="shared" si="13"/>
        <v>43435</v>
      </c>
      <c r="Y115" s="2327">
        <f t="shared" si="13"/>
        <v>43800</v>
      </c>
      <c r="Z115" s="2257">
        <f t="shared" si="13"/>
        <v>43862</v>
      </c>
      <c r="AA115" s="2257">
        <f t="shared" si="13"/>
        <v>44013</v>
      </c>
      <c r="AB115" s="2257">
        <f t="shared" si="13"/>
        <v>44166</v>
      </c>
      <c r="AC115" s="2257">
        <f t="shared" si="13"/>
        <v>44531</v>
      </c>
      <c r="AD115" s="2257">
        <f t="shared" si="13"/>
        <v>44774</v>
      </c>
      <c r="AE115" s="2257">
        <f t="shared" si="13"/>
        <v>45139</v>
      </c>
      <c r="AF115" s="2257">
        <f t="shared" si="13"/>
        <v>45672</v>
      </c>
      <c r="AG115" s="2257" t="str">
        <f t="shared" si="13"/>
        <v>-</v>
      </c>
      <c r="AH115" s="2325"/>
      <c r="AI115" s="2325"/>
      <c r="AK115" s="1121"/>
      <c r="DG115" s="2329" t="str">
        <f>$DG$6</f>
        <v>TRC (2025)</v>
      </c>
      <c r="DH115" s="2330" t="str">
        <f>$DH$6</f>
        <v>Benefit Lookup</v>
      </c>
      <c r="DI115" s="2331" t="str">
        <f>$DI$6</f>
        <v>Benefits (2025 $)</v>
      </c>
      <c r="DJ115" s="2263" t="str">
        <f>$DJ$6</f>
        <v>Incremental Cost (2025 $)</v>
      </c>
    </row>
    <row r="116" spans="1:114" s="1118" customFormat="1">
      <c r="A116" s="543"/>
      <c r="B116" s="2208">
        <f t="shared" ref="B116:B117" si="14">VALUE(LEFT(C116,6))</f>
        <v>450500</v>
      </c>
      <c r="C116" s="2243" t="s">
        <v>3661</v>
      </c>
      <c r="D116" s="2244" t="s">
        <v>1800</v>
      </c>
      <c r="E116" s="2291" t="s">
        <v>3662</v>
      </c>
      <c r="F116" s="2362">
        <f>ROUND(G128*(G129*G130-G131*G132)*G133*G134*G135/G136*I116*G144*G143,2)</f>
        <v>34.590000000000003</v>
      </c>
      <c r="G116" s="2275" t="s">
        <v>1319</v>
      </c>
      <c r="H116" s="2247">
        <f>VLOOKUP(G116,'CP FACTORS'!$A$3:$B$38, 2, FALSE)</f>
        <v>8.8731800000000003E-5</v>
      </c>
      <c r="I116" s="2363">
        <f>G137*G138*(G139-G140)/(G141*G142)</f>
        <v>5.3810082063305988E-2</v>
      </c>
      <c r="J116" s="2344">
        <f>ROUND(F116*H116,6)</f>
        <v>3.0690000000000001E-3</v>
      </c>
      <c r="K116" s="2364">
        <f>G145</f>
        <v>10</v>
      </c>
      <c r="L116" s="2278">
        <f>G146</f>
        <v>11.33</v>
      </c>
      <c r="M116" s="2275" t="s">
        <v>62</v>
      </c>
      <c r="N116" s="2273"/>
      <c r="O116" s="2273"/>
      <c r="P116" s="2273"/>
      <c r="Q116" s="2273"/>
      <c r="R116" s="2279"/>
      <c r="S116" s="1119"/>
      <c r="T116" s="1119"/>
      <c r="U116" s="1119"/>
      <c r="V116" s="1841" t="s">
        <v>45</v>
      </c>
      <c r="W116" s="2258"/>
      <c r="X116" s="2258"/>
      <c r="Y116" s="2258"/>
      <c r="Z116" s="2258"/>
      <c r="AA116" s="2258"/>
      <c r="AB116" s="2258"/>
      <c r="AC116" s="2259"/>
      <c r="AD116" s="2259"/>
      <c r="AE116" s="2260">
        <v>29.95</v>
      </c>
      <c r="AF116" s="2236">
        <f>IF(F116&lt;&gt;"",F116,"")</f>
        <v>34.590000000000003</v>
      </c>
      <c r="AG116" s="2261"/>
      <c r="AH116" s="2339"/>
      <c r="AI116" s="2325"/>
      <c r="AK116" s="1121"/>
      <c r="DG116" s="2335">
        <f>(DI116)/(DJ116)</f>
        <v>1.4999020429256942</v>
      </c>
      <c r="DH116" s="2265" t="str">
        <f>CONCATENATE(G116," ",K116," Year EUL")</f>
        <v>Water heating RES 10 Year EUL</v>
      </c>
      <c r="DI116" s="2393">
        <f>(INDEX('Avoided Cost Benefits'!$B$4:$B$865,MATCH(DH116,'Avoided Cost Benefits'!$A$4:$A$865,0)))*F116</f>
        <v>16.993890146348114</v>
      </c>
      <c r="DJ116" s="2337">
        <f>L116/(1.0686^(2025-2025))</f>
        <v>11.33</v>
      </c>
    </row>
    <row r="117" spans="1:114" s="1118" customFormat="1">
      <c r="A117" s="543"/>
      <c r="B117" s="2208">
        <f t="shared" si="14"/>
        <v>450501</v>
      </c>
      <c r="C117" s="2243" t="s">
        <v>3663</v>
      </c>
      <c r="D117" s="2244" t="s">
        <v>1800</v>
      </c>
      <c r="E117" s="2291" t="s">
        <v>3664</v>
      </c>
      <c r="F117" s="2245">
        <f>ROUND(G128*(G129*G130-G131*G132)*G133*G134*G135/G136*I117*G144*G143,2)</f>
        <v>34.590000000000003</v>
      </c>
      <c r="G117" s="2275" t="s">
        <v>1319</v>
      </c>
      <c r="H117" s="2247">
        <f>VLOOKUP(G117,'CP FACTORS'!$A$3:$B$38, 2, FALSE)</f>
        <v>8.8731800000000003E-5</v>
      </c>
      <c r="I117" s="2363">
        <f>G137*G138*(G139-G140)/(G141*G142)</f>
        <v>5.3810082063305988E-2</v>
      </c>
      <c r="J117" s="2344">
        <f>ROUND(F117*H117,6)</f>
        <v>3.0690000000000001E-3</v>
      </c>
      <c r="K117" s="2364">
        <f>G145</f>
        <v>10</v>
      </c>
      <c r="L117" s="2278">
        <f>G146</f>
        <v>11.33</v>
      </c>
      <c r="M117" s="2275" t="s">
        <v>62</v>
      </c>
      <c r="N117" s="2273"/>
      <c r="O117" s="2273"/>
      <c r="P117" s="2273"/>
      <c r="Q117" s="2273"/>
      <c r="R117" s="2279"/>
      <c r="S117" s="1119"/>
      <c r="T117" s="1119"/>
      <c r="U117" s="1119"/>
      <c r="V117" s="1841" t="s">
        <v>45</v>
      </c>
      <c r="W117" s="2258"/>
      <c r="X117" s="2258"/>
      <c r="Y117" s="2258"/>
      <c r="Z117" s="2258"/>
      <c r="AA117" s="2258"/>
      <c r="AB117" s="2258"/>
      <c r="AC117" s="2259"/>
      <c r="AD117" s="2259"/>
      <c r="AE117" s="2260">
        <v>29.95</v>
      </c>
      <c r="AF117" s="2236">
        <f>IF(F117&lt;&gt;"",F117,"")</f>
        <v>34.590000000000003</v>
      </c>
      <c r="AG117" s="2261"/>
      <c r="AH117" s="2339"/>
      <c r="AI117" s="2325"/>
      <c r="AK117" s="1121"/>
      <c r="DG117" s="2394">
        <f>(DI117)/(DJ117)</f>
        <v>1.4999020429256942</v>
      </c>
      <c r="DH117" s="2265" t="str">
        <f>CONCATENATE(G117," ",K117," Year EUL")</f>
        <v>Water heating RES 10 Year EUL</v>
      </c>
      <c r="DI117" s="2395">
        <f>(INDEX('Avoided Cost Benefits'!$B$4:$B$865,MATCH(DH117,'Avoided Cost Benefits'!$A$4:$A$865,0)))*F117</f>
        <v>16.993890146348114</v>
      </c>
      <c r="DJ117" s="2396">
        <f>L117/(1.0686^(2025-2025))</f>
        <v>11.33</v>
      </c>
    </row>
    <row r="118" spans="1:114" s="1118" customFormat="1" hidden="1" outlineLevel="1">
      <c r="A118" s="543"/>
      <c r="B118" s="1271"/>
      <c r="C118" s="1270"/>
      <c r="D118" s="2294" t="s">
        <v>118</v>
      </c>
      <c r="E118" s="2206" t="s">
        <v>1523</v>
      </c>
      <c r="F118" s="1281"/>
      <c r="G118" s="1270"/>
      <c r="H118" s="1277"/>
      <c r="I118" s="1276"/>
      <c r="J118" s="1276"/>
      <c r="K118" s="1276"/>
      <c r="L118" s="1119"/>
      <c r="M118" s="1119"/>
      <c r="N118" s="1119"/>
      <c r="O118" s="1119"/>
      <c r="P118" s="1119"/>
      <c r="Q118" s="1119"/>
      <c r="R118" s="1119"/>
      <c r="S118" s="1119"/>
      <c r="T118" s="1119"/>
      <c r="U118" s="1119"/>
      <c r="V118" s="2380"/>
      <c r="W118" s="2380"/>
      <c r="X118" s="2380"/>
      <c r="Y118" s="2380"/>
      <c r="Z118" s="2380"/>
      <c r="AA118" s="2380"/>
      <c r="AB118" s="2380"/>
      <c r="AC118" s="2380"/>
      <c r="AD118" s="2380"/>
      <c r="AE118" s="2380"/>
      <c r="AF118" s="2255"/>
      <c r="AG118" s="2255"/>
      <c r="AH118" s="2339"/>
      <c r="AI118" s="2325"/>
      <c r="AK118" s="1121"/>
      <c r="DG118" s="2397"/>
      <c r="DH118" s="2273"/>
      <c r="DI118" s="2273"/>
      <c r="DJ118" s="2398"/>
    </row>
    <row r="119" spans="1:114" s="1118" customFormat="1" hidden="1" outlineLevel="1">
      <c r="A119" s="543"/>
      <c r="B119" s="1271"/>
      <c r="C119" s="1270"/>
      <c r="D119" s="2360" t="s">
        <v>963</v>
      </c>
      <c r="E119" s="635" t="s">
        <v>1524</v>
      </c>
      <c r="F119" s="1281"/>
      <c r="G119" s="1270"/>
      <c r="H119" s="1277"/>
      <c r="I119" s="1119"/>
      <c r="J119" s="1119"/>
      <c r="K119" s="1119"/>
      <c r="L119" s="1119"/>
      <c r="M119" s="1119"/>
      <c r="N119" s="1119"/>
      <c r="O119" s="1119"/>
      <c r="P119" s="1119"/>
      <c r="Q119" s="1119"/>
      <c r="R119" s="1119"/>
      <c r="S119" s="1119"/>
      <c r="T119" s="1119"/>
      <c r="U119" s="1119"/>
      <c r="V119" s="2273"/>
      <c r="W119" s="2273"/>
      <c r="X119" s="2273"/>
      <c r="Y119" s="2273"/>
      <c r="Z119" s="2273"/>
      <c r="AA119" s="2273"/>
      <c r="AB119" s="2273"/>
      <c r="AC119" s="2273"/>
      <c r="AD119" s="2273"/>
      <c r="AE119" s="2273"/>
      <c r="AF119" s="2255"/>
      <c r="AG119" s="2255"/>
      <c r="AH119" s="2325"/>
      <c r="AI119" s="2325"/>
      <c r="AK119" s="1121"/>
      <c r="DG119" s="2397"/>
      <c r="DH119" s="2273"/>
      <c r="DI119" s="2273"/>
      <c r="DJ119" s="2398"/>
    </row>
    <row r="120" spans="1:114" s="1118" customFormat="1" hidden="1" outlineLevel="1">
      <c r="A120" s="543"/>
      <c r="B120" s="1271"/>
      <c r="C120" s="1270"/>
      <c r="D120" s="2273"/>
      <c r="E120" s="635" t="s">
        <v>1525</v>
      </c>
      <c r="F120" s="1281"/>
      <c r="G120" s="1119"/>
      <c r="H120" s="1270"/>
      <c r="I120" s="1119"/>
      <c r="J120" s="1119"/>
      <c r="K120" s="1119"/>
      <c r="L120" s="1119"/>
      <c r="M120" s="1119"/>
      <c r="N120" s="1119"/>
      <c r="O120" s="1119"/>
      <c r="P120" s="1119"/>
      <c r="Q120" s="1119"/>
      <c r="R120" s="1119"/>
      <c r="S120" s="1119"/>
      <c r="T120" s="1119"/>
      <c r="U120" s="1119"/>
      <c r="V120" s="2241"/>
      <c r="W120" s="2255"/>
      <c r="X120" s="2255"/>
      <c r="Y120" s="2381"/>
      <c r="Z120" s="2255"/>
      <c r="AA120" s="2255"/>
      <c r="AB120" s="2255"/>
      <c r="AC120" s="2255"/>
      <c r="AD120" s="2255"/>
      <c r="AE120" s="2255"/>
      <c r="AF120" s="2255"/>
      <c r="AG120" s="2255"/>
      <c r="AH120" s="2325"/>
      <c r="AI120" s="2325"/>
      <c r="AK120" s="1121"/>
      <c r="DG120" s="2397"/>
      <c r="DH120" s="2273"/>
      <c r="DI120" s="2273"/>
      <c r="DJ120" s="2398"/>
    </row>
    <row r="121" spans="1:114" s="1118" customFormat="1" hidden="1" outlineLevel="1">
      <c r="A121" s="543"/>
      <c r="B121" s="1271"/>
      <c r="C121" s="1270"/>
      <c r="D121" s="2360"/>
      <c r="E121" s="635" t="s">
        <v>966</v>
      </c>
      <c r="F121" s="1281"/>
      <c r="G121" s="1119"/>
      <c r="H121" s="1270"/>
      <c r="I121" s="1119"/>
      <c r="J121" s="1119"/>
      <c r="K121" s="1119"/>
      <c r="L121" s="1119"/>
      <c r="M121" s="1119"/>
      <c r="N121" s="1119"/>
      <c r="O121" s="1119"/>
      <c r="P121" s="1119"/>
      <c r="Q121" s="1119"/>
      <c r="R121" s="1119"/>
      <c r="S121" s="1119"/>
      <c r="T121" s="1119"/>
      <c r="U121" s="1119"/>
      <c r="V121" s="2241"/>
      <c r="W121" s="2255"/>
      <c r="X121" s="2255"/>
      <c r="Y121" s="2381"/>
      <c r="Z121" s="2255"/>
      <c r="AA121" s="2255"/>
      <c r="AB121" s="2255"/>
      <c r="AC121" s="2255"/>
      <c r="AD121" s="2255"/>
      <c r="AE121" s="2255"/>
      <c r="AF121" s="2255"/>
      <c r="AG121" s="2255"/>
      <c r="AH121" s="2325"/>
      <c r="AI121" s="2325"/>
      <c r="AK121" s="1121"/>
      <c r="DG121" s="2397"/>
      <c r="DH121" s="2273"/>
      <c r="DI121" s="2273"/>
      <c r="DJ121" s="2398"/>
    </row>
    <row r="122" spans="1:114" s="1118" customFormat="1" hidden="1" outlineLevel="1">
      <c r="A122" s="543"/>
      <c r="B122" s="1271"/>
      <c r="C122" s="1270"/>
      <c r="D122" s="2360"/>
      <c r="E122" s="635" t="s">
        <v>1526</v>
      </c>
      <c r="F122" s="1281"/>
      <c r="G122" s="1119"/>
      <c r="H122" s="1270"/>
      <c r="I122" s="1119"/>
      <c r="J122" s="1119"/>
      <c r="K122" s="1119"/>
      <c r="L122" s="1119"/>
      <c r="M122" s="1119"/>
      <c r="N122" s="1119"/>
      <c r="O122" s="1119"/>
      <c r="P122" s="1119"/>
      <c r="Q122" s="1119"/>
      <c r="R122" s="1119"/>
      <c r="S122" s="1119"/>
      <c r="T122" s="1119"/>
      <c r="U122" s="1119"/>
      <c r="V122" s="2241"/>
      <c r="W122" s="2255"/>
      <c r="X122" s="2255"/>
      <c r="Y122" s="2381"/>
      <c r="Z122" s="2255"/>
      <c r="AA122" s="2255"/>
      <c r="AB122" s="2255"/>
      <c r="AC122" s="2255"/>
      <c r="AD122" s="2255"/>
      <c r="AE122" s="2255"/>
      <c r="AF122" s="2255"/>
      <c r="AG122" s="2255"/>
      <c r="AH122" s="2325"/>
      <c r="AI122" s="2325"/>
      <c r="AK122" s="1121"/>
      <c r="DG122" s="2397"/>
      <c r="DH122" s="2273"/>
      <c r="DI122" s="2273"/>
      <c r="DJ122" s="2398"/>
    </row>
    <row r="123" spans="1:114" s="1118" customFormat="1" hidden="1" outlineLevel="1">
      <c r="A123" s="543"/>
      <c r="B123" s="1271"/>
      <c r="C123" s="1270"/>
      <c r="D123" s="113"/>
      <c r="E123" s="1282"/>
      <c r="F123" s="1273"/>
      <c r="G123" s="1273"/>
      <c r="H123" s="1119"/>
      <c r="I123" s="1119"/>
      <c r="J123" s="1119"/>
      <c r="K123" s="1119"/>
      <c r="L123" s="1119"/>
      <c r="M123" s="1119"/>
      <c r="N123" s="1119"/>
      <c r="O123" s="1119"/>
      <c r="P123" s="1119"/>
      <c r="Q123" s="1119"/>
      <c r="R123" s="1119"/>
      <c r="S123" s="1119"/>
      <c r="T123" s="1119"/>
      <c r="U123" s="1119"/>
      <c r="V123" s="2241"/>
      <c r="W123" s="2255"/>
      <c r="X123" s="2255"/>
      <c r="Y123" s="2381"/>
      <c r="Z123" s="2255"/>
      <c r="AA123" s="2255"/>
      <c r="AB123" s="2255"/>
      <c r="AC123" s="2255"/>
      <c r="AD123" s="2255"/>
      <c r="AE123" s="2255"/>
      <c r="AF123" s="2255"/>
      <c r="AG123" s="2255"/>
      <c r="AH123" s="2325"/>
      <c r="AI123" s="2325"/>
      <c r="AK123" s="1121"/>
      <c r="DG123" s="2397"/>
      <c r="DH123" s="2273"/>
      <c r="DI123" s="2273"/>
      <c r="DJ123" s="2398"/>
    </row>
    <row r="124" spans="1:114" s="1118" customFormat="1" hidden="1" outlineLevel="1">
      <c r="A124" s="543"/>
      <c r="B124" s="1271"/>
      <c r="C124" s="1270"/>
      <c r="D124" s="113"/>
      <c r="E124" s="1275"/>
      <c r="F124" s="1274"/>
      <c r="G124" s="1274"/>
      <c r="H124" s="1119"/>
      <c r="I124" s="1119"/>
      <c r="J124" s="1119"/>
      <c r="K124" s="1119"/>
      <c r="L124" s="1119"/>
      <c r="M124" s="1119"/>
      <c r="N124" s="1119"/>
      <c r="O124" s="1119"/>
      <c r="P124" s="1119"/>
      <c r="Q124" s="1119"/>
      <c r="R124" s="1119"/>
      <c r="S124" s="1119"/>
      <c r="T124" s="1119"/>
      <c r="U124" s="1119"/>
      <c r="V124" s="2241"/>
      <c r="W124" s="2255"/>
      <c r="X124" s="2255"/>
      <c r="Y124" s="2381"/>
      <c r="Z124" s="2255"/>
      <c r="AA124" s="2255"/>
      <c r="AB124" s="2255"/>
      <c r="AC124" s="2255"/>
      <c r="AD124" s="2255"/>
      <c r="AE124" s="2255"/>
      <c r="AF124" s="2255"/>
      <c r="AG124" s="2255"/>
      <c r="AH124" s="2325"/>
      <c r="AI124" s="2325"/>
      <c r="AK124" s="1121"/>
      <c r="DG124" s="2397"/>
      <c r="DH124" s="2273"/>
      <c r="DI124" s="2273"/>
      <c r="DJ124" s="2398"/>
    </row>
    <row r="125" spans="1:114" s="1118" customFormat="1" hidden="1" outlineLevel="1">
      <c r="A125" s="543"/>
      <c r="B125" s="1271"/>
      <c r="C125" s="1270"/>
      <c r="D125" s="407"/>
      <c r="E125" s="1275"/>
      <c r="F125" s="1274"/>
      <c r="G125" s="1274"/>
      <c r="H125" s="1119"/>
      <c r="I125" s="1119"/>
      <c r="J125" s="1119"/>
      <c r="K125" s="1119"/>
      <c r="L125" s="1119"/>
      <c r="M125" s="1119"/>
      <c r="N125" s="1119"/>
      <c r="O125" s="1119"/>
      <c r="P125" s="1119"/>
      <c r="Q125" s="1119"/>
      <c r="R125" s="1119"/>
      <c r="S125" s="1119"/>
      <c r="T125" s="1119"/>
      <c r="U125" s="1119"/>
      <c r="V125" s="2241"/>
      <c r="W125" s="2255"/>
      <c r="X125" s="2255"/>
      <c r="Y125" s="2381"/>
      <c r="Z125" s="2255"/>
      <c r="AA125" s="2255"/>
      <c r="AB125" s="2255"/>
      <c r="AC125" s="2255"/>
      <c r="AD125" s="2255"/>
      <c r="AE125" s="2255"/>
      <c r="AF125" s="2255"/>
      <c r="AG125" s="2255"/>
      <c r="AH125" s="2325"/>
      <c r="AI125" s="2325"/>
      <c r="AK125" s="1121"/>
      <c r="DG125" s="2397"/>
      <c r="DH125" s="2273"/>
      <c r="DI125" s="2273"/>
      <c r="DJ125" s="2398"/>
    </row>
    <row r="126" spans="1:114" s="1118" customFormat="1" hidden="1" outlineLevel="1">
      <c r="A126" s="543"/>
      <c r="B126" s="1271"/>
      <c r="C126" s="1270"/>
      <c r="D126" s="113"/>
      <c r="E126" s="1138"/>
      <c r="F126" s="1119"/>
      <c r="G126" s="1119"/>
      <c r="H126" s="1119"/>
      <c r="I126" s="1119"/>
      <c r="J126" s="1119"/>
      <c r="K126" s="1119"/>
      <c r="L126" s="1119"/>
      <c r="M126" s="1119"/>
      <c r="N126" s="1119"/>
      <c r="O126" s="1119"/>
      <c r="P126" s="1119"/>
      <c r="Q126" s="1119"/>
      <c r="R126" s="1119"/>
      <c r="S126" s="1119"/>
      <c r="T126" s="1119"/>
      <c r="U126" s="1119"/>
      <c r="V126" s="2241"/>
      <c r="W126" s="2255"/>
      <c r="X126" s="2255"/>
      <c r="Y126" s="2381"/>
      <c r="Z126" s="2255"/>
      <c r="AA126" s="2255"/>
      <c r="AB126" s="2255"/>
      <c r="AC126" s="2255"/>
      <c r="AD126" s="2255"/>
      <c r="AE126" s="2255"/>
      <c r="AF126" s="2255"/>
      <c r="AG126" s="2255"/>
      <c r="AH126" s="2325"/>
      <c r="AI126" s="2325"/>
      <c r="AK126" s="1121"/>
      <c r="DG126" s="2397"/>
      <c r="DH126" s="2273"/>
      <c r="DI126" s="2273"/>
      <c r="DJ126" s="2398"/>
    </row>
    <row r="127" spans="1:114" s="1118" customFormat="1" hidden="1" outlineLevel="1">
      <c r="A127" s="543"/>
      <c r="B127" s="1271"/>
      <c r="C127" s="1270"/>
      <c r="D127" s="2303" t="s">
        <v>1078</v>
      </c>
      <c r="E127" s="2303" t="s">
        <v>967</v>
      </c>
      <c r="F127" s="2207" t="s">
        <v>1215</v>
      </c>
      <c r="G127" s="2304" t="s">
        <v>969</v>
      </c>
      <c r="H127" s="4052" t="s">
        <v>970</v>
      </c>
      <c r="I127" s="4052"/>
      <c r="J127" s="4634" t="s">
        <v>755</v>
      </c>
      <c r="K127" s="4730"/>
      <c r="L127" s="4731"/>
      <c r="M127" s="1119"/>
      <c r="N127" s="1119"/>
      <c r="O127" s="1119"/>
      <c r="P127" s="1119"/>
      <c r="Q127" s="1119"/>
      <c r="R127" s="1119"/>
      <c r="S127" s="1119"/>
      <c r="T127" s="1119"/>
      <c r="U127" s="1119"/>
      <c r="V127" s="2256" t="s">
        <v>52</v>
      </c>
      <c r="W127" s="2257">
        <f t="shared" ref="W127:AG127" si="15">W$6</f>
        <v>43252</v>
      </c>
      <c r="X127" s="2257">
        <f t="shared" si="15"/>
        <v>43435</v>
      </c>
      <c r="Y127" s="2327">
        <f t="shared" si="15"/>
        <v>43800</v>
      </c>
      <c r="Z127" s="2257">
        <f t="shared" si="15"/>
        <v>43862</v>
      </c>
      <c r="AA127" s="2257">
        <f t="shared" si="15"/>
        <v>44013</v>
      </c>
      <c r="AB127" s="2257">
        <f t="shared" si="15"/>
        <v>44166</v>
      </c>
      <c r="AC127" s="2257">
        <f t="shared" si="15"/>
        <v>44531</v>
      </c>
      <c r="AD127" s="2257">
        <f t="shared" si="15"/>
        <v>44774</v>
      </c>
      <c r="AE127" s="2257">
        <f t="shared" si="15"/>
        <v>45139</v>
      </c>
      <c r="AF127" s="2257">
        <f t="shared" si="15"/>
        <v>45672</v>
      </c>
      <c r="AG127" s="2257" t="str">
        <f t="shared" si="15"/>
        <v>-</v>
      </c>
      <c r="AH127" s="2325"/>
      <c r="AI127" s="2325"/>
      <c r="AK127" s="1121"/>
      <c r="DG127" s="2397"/>
      <c r="DH127" s="2273"/>
      <c r="DI127" s="2273"/>
      <c r="DJ127" s="2398"/>
    </row>
    <row r="128" spans="1:114" s="1118" customFormat="1" ht="30" hidden="1" customHeight="1" outlineLevel="1">
      <c r="A128" s="543"/>
      <c r="B128" s="1271"/>
      <c r="C128" s="1270"/>
      <c r="D128" s="1444" t="s">
        <v>1325</v>
      </c>
      <c r="E128" s="1444" t="s">
        <v>1326</v>
      </c>
      <c r="F128" s="1444"/>
      <c r="G128" s="2347">
        <v>1</v>
      </c>
      <c r="H128" s="4166" t="s">
        <v>1370</v>
      </c>
      <c r="I128" s="4167"/>
      <c r="J128" s="4542" t="s">
        <v>2953</v>
      </c>
      <c r="K128" s="4543"/>
      <c r="L128" s="4543"/>
      <c r="M128" s="1119"/>
      <c r="N128" s="1119"/>
      <c r="O128" s="1119"/>
      <c r="P128" s="1119"/>
      <c r="Q128" s="1119"/>
      <c r="R128" s="1119"/>
      <c r="S128" s="1119"/>
      <c r="T128" s="1119"/>
      <c r="U128" s="1119"/>
      <c r="V128" s="1444" t="s">
        <v>1325</v>
      </c>
      <c r="W128" s="2258"/>
      <c r="X128" s="2258"/>
      <c r="Y128" s="2258"/>
      <c r="Z128" s="2258"/>
      <c r="AA128" s="2258"/>
      <c r="AB128" s="2258"/>
      <c r="AC128" s="2259"/>
      <c r="AD128" s="2259"/>
      <c r="AE128" s="2382">
        <v>1</v>
      </c>
      <c r="AF128" s="2236">
        <f t="shared" ref="AF128:AF146" si="16">IF(G128&lt;&gt;"",G128,"")</f>
        <v>1</v>
      </c>
      <c r="AG128" s="2261"/>
      <c r="AH128" s="2325"/>
      <c r="AI128" s="2325"/>
      <c r="AK128" s="1121"/>
      <c r="DG128" s="2397"/>
      <c r="DH128" s="2273"/>
      <c r="DI128" s="2273"/>
      <c r="DJ128" s="2398"/>
    </row>
    <row r="129" spans="1:114" s="1118" customFormat="1" ht="45.75" hidden="1" customHeight="1" outlineLevel="1">
      <c r="A129" s="543"/>
      <c r="B129" s="1271"/>
      <c r="C129" s="1270"/>
      <c r="D129" s="1444" t="s">
        <v>1329</v>
      </c>
      <c r="E129" s="1444" t="s">
        <v>3083</v>
      </c>
      <c r="F129" s="1444"/>
      <c r="G129" s="2289">
        <v>2.2000000000000002</v>
      </c>
      <c r="H129" s="4156" t="s">
        <v>1533</v>
      </c>
      <c r="I129" s="4157"/>
      <c r="J129" s="4547" t="s">
        <v>1575</v>
      </c>
      <c r="K129" s="4548"/>
      <c r="L129" s="4549"/>
      <c r="M129" s="1119"/>
      <c r="N129" s="1119"/>
      <c r="O129" s="1119"/>
      <c r="P129" s="1119"/>
      <c r="Q129" s="1119"/>
      <c r="R129" s="1119"/>
      <c r="S129" s="1119"/>
      <c r="T129" s="1119"/>
      <c r="U129" s="1119"/>
      <c r="V129" s="1444" t="s">
        <v>1329</v>
      </c>
      <c r="W129" s="2258"/>
      <c r="X129" s="2258"/>
      <c r="Y129" s="2258"/>
      <c r="Z129" s="2258"/>
      <c r="AA129" s="2258"/>
      <c r="AB129" s="2258"/>
      <c r="AC129" s="2259"/>
      <c r="AD129" s="2259"/>
      <c r="AE129" s="2252">
        <v>2.2000000000000002</v>
      </c>
      <c r="AF129" s="2236">
        <f t="shared" si="16"/>
        <v>2.2000000000000002</v>
      </c>
      <c r="AG129" s="2261"/>
      <c r="AH129" s="2325"/>
      <c r="AI129" s="2325"/>
      <c r="AK129" s="1121"/>
      <c r="DG129" s="2397"/>
      <c r="DH129" s="2273"/>
      <c r="DI129" s="2273"/>
      <c r="DJ129" s="2398"/>
    </row>
    <row r="130" spans="1:114" s="1118" customFormat="1" ht="59.25" hidden="1" customHeight="1" outlineLevel="1">
      <c r="A130" s="543"/>
      <c r="B130" s="1271"/>
      <c r="C130" s="1270"/>
      <c r="D130" s="1444" t="s">
        <v>1333</v>
      </c>
      <c r="E130" s="2317" t="s">
        <v>3084</v>
      </c>
      <c r="F130" s="1444"/>
      <c r="G130" s="2370">
        <v>3.7</v>
      </c>
      <c r="H130" s="4725" t="s">
        <v>1537</v>
      </c>
      <c r="I130" s="4726"/>
      <c r="J130" s="4547" t="s">
        <v>1575</v>
      </c>
      <c r="K130" s="4548"/>
      <c r="L130" s="4549"/>
      <c r="M130" s="1119"/>
      <c r="N130" s="1119"/>
      <c r="O130" s="1119"/>
      <c r="P130" s="1119"/>
      <c r="Q130" s="1119"/>
      <c r="R130" s="1119"/>
      <c r="S130" s="1119"/>
      <c r="T130" s="1119"/>
      <c r="U130" s="1119"/>
      <c r="V130" s="1444" t="s">
        <v>1333</v>
      </c>
      <c r="W130" s="2258"/>
      <c r="X130" s="2258"/>
      <c r="Y130" s="2258"/>
      <c r="Z130" s="2258"/>
      <c r="AA130" s="2258"/>
      <c r="AB130" s="2258"/>
      <c r="AC130" s="2259"/>
      <c r="AD130" s="2259"/>
      <c r="AE130" s="2383">
        <v>3.7</v>
      </c>
      <c r="AF130" s="2236">
        <f t="shared" si="16"/>
        <v>3.7</v>
      </c>
      <c r="AG130" s="2261"/>
      <c r="AH130" s="2325"/>
      <c r="AI130" s="2325"/>
      <c r="AK130" s="1121"/>
      <c r="DG130" s="2397"/>
      <c r="DH130" s="2273"/>
      <c r="DI130" s="2273"/>
      <c r="DJ130" s="2398"/>
    </row>
    <row r="131" spans="1:114" s="1118" customFormat="1" ht="42.75" hidden="1" customHeight="1" outlineLevel="1">
      <c r="A131" s="543"/>
      <c r="B131" s="1271"/>
      <c r="C131" s="1270"/>
      <c r="D131" s="1444" t="s">
        <v>1337</v>
      </c>
      <c r="E131" s="1444" t="s">
        <v>3085</v>
      </c>
      <c r="F131" s="1444"/>
      <c r="G131" s="2322">
        <v>1.5</v>
      </c>
      <c r="H131" s="4158" t="s">
        <v>3665</v>
      </c>
      <c r="I131" s="4130"/>
      <c r="J131" s="4547" t="s">
        <v>1575</v>
      </c>
      <c r="K131" s="4548"/>
      <c r="L131" s="4549"/>
      <c r="M131" s="1119"/>
      <c r="N131" s="1119"/>
      <c r="O131" s="1119"/>
      <c r="P131" s="1119"/>
      <c r="Q131" s="1119"/>
      <c r="R131" s="1119"/>
      <c r="S131" s="1119"/>
      <c r="T131" s="1119"/>
      <c r="U131" s="1119"/>
      <c r="V131" s="1444" t="s">
        <v>1337</v>
      </c>
      <c r="W131" s="2258"/>
      <c r="X131" s="2258"/>
      <c r="Y131" s="2258"/>
      <c r="Z131" s="2258"/>
      <c r="AA131" s="2258"/>
      <c r="AB131" s="2258"/>
      <c r="AC131" s="2259"/>
      <c r="AD131" s="2259"/>
      <c r="AE131" s="2252">
        <v>1.5</v>
      </c>
      <c r="AF131" s="2236">
        <f t="shared" si="16"/>
        <v>1.5</v>
      </c>
      <c r="AG131" s="2384"/>
      <c r="AH131" s="2325"/>
      <c r="AI131" s="2325"/>
      <c r="AK131" s="1121"/>
      <c r="DG131" s="2397"/>
      <c r="DH131" s="2273"/>
      <c r="DI131" s="2273"/>
      <c r="DJ131" s="2398"/>
    </row>
    <row r="132" spans="1:114" s="1118" customFormat="1" ht="57" hidden="1" customHeight="1" outlineLevel="1">
      <c r="A132" s="543"/>
      <c r="B132" s="1271"/>
      <c r="C132" s="1270"/>
      <c r="D132" s="1444" t="s">
        <v>1340</v>
      </c>
      <c r="E132" s="2317" t="s">
        <v>3084</v>
      </c>
      <c r="F132" s="1444"/>
      <c r="G132" s="2372">
        <v>3.7</v>
      </c>
      <c r="H132" s="4725" t="s">
        <v>1537</v>
      </c>
      <c r="I132" s="4726"/>
      <c r="J132" s="4547" t="s">
        <v>1575</v>
      </c>
      <c r="K132" s="4548"/>
      <c r="L132" s="4549"/>
      <c r="M132" s="1119"/>
      <c r="N132" s="1119"/>
      <c r="O132" s="1119"/>
      <c r="P132" s="1119"/>
      <c r="Q132" s="1119"/>
      <c r="R132" s="1119"/>
      <c r="S132" s="1119"/>
      <c r="T132" s="1119"/>
      <c r="U132" s="1119"/>
      <c r="V132" s="1444" t="s">
        <v>1340</v>
      </c>
      <c r="W132" s="2258"/>
      <c r="X132" s="2258"/>
      <c r="Y132" s="2258"/>
      <c r="Z132" s="2258"/>
      <c r="AA132" s="2258"/>
      <c r="AB132" s="2258"/>
      <c r="AC132" s="2259"/>
      <c r="AD132" s="2259"/>
      <c r="AE132" s="2364">
        <v>3.7</v>
      </c>
      <c r="AF132" s="2236">
        <f t="shared" si="16"/>
        <v>3.7</v>
      </c>
      <c r="AG132" s="2384"/>
      <c r="AH132" s="2325"/>
      <c r="AI132" s="2325"/>
      <c r="AK132" s="1121"/>
      <c r="DG132" s="2397"/>
      <c r="DH132" s="2273"/>
      <c r="DI132" s="2273"/>
      <c r="DJ132" s="2398"/>
    </row>
    <row r="133" spans="1:114" s="1118" customFormat="1" ht="75.75" hidden="1" customHeight="1" outlineLevel="1">
      <c r="A133" s="543"/>
      <c r="B133" s="1271"/>
      <c r="C133" s="1270"/>
      <c r="D133" s="1444" t="s">
        <v>982</v>
      </c>
      <c r="E133" s="2317" t="s">
        <v>3087</v>
      </c>
      <c r="F133" s="1444"/>
      <c r="G133" s="2373">
        <v>1.5644946808510638</v>
      </c>
      <c r="H133" s="4725" t="s">
        <v>1542</v>
      </c>
      <c r="I133" s="4726"/>
      <c r="J133" s="4547" t="s">
        <v>1575</v>
      </c>
      <c r="K133" s="4548"/>
      <c r="L133" s="4549"/>
      <c r="M133" s="1119"/>
      <c r="N133" s="1119"/>
      <c r="O133" s="1119"/>
      <c r="P133" s="1119"/>
      <c r="Q133" s="1119"/>
      <c r="R133" s="1119"/>
      <c r="S133" s="1119"/>
      <c r="T133" s="1119"/>
      <c r="U133" s="1119"/>
      <c r="V133" s="1444" t="s">
        <v>982</v>
      </c>
      <c r="W133" s="2258"/>
      <c r="X133" s="2258"/>
      <c r="Y133" s="2258"/>
      <c r="Z133" s="2258"/>
      <c r="AA133" s="2258"/>
      <c r="AB133" s="2258"/>
      <c r="AC133" s="2259"/>
      <c r="AD133" s="2259"/>
      <c r="AE133" s="2385">
        <v>1.5644946808510638</v>
      </c>
      <c r="AF133" s="2236">
        <f t="shared" si="16"/>
        <v>1.5644946808510638</v>
      </c>
      <c r="AG133" s="2384"/>
      <c r="AH133" s="2325"/>
      <c r="AI133" s="2325"/>
      <c r="AK133" s="1121"/>
      <c r="DG133" s="2397"/>
      <c r="DH133" s="2273"/>
      <c r="DI133" s="2273"/>
      <c r="DJ133" s="2398"/>
    </row>
    <row r="134" spans="1:114" s="1118" customFormat="1" ht="29.25" hidden="1" customHeight="1" outlineLevel="1">
      <c r="A134" s="543"/>
      <c r="B134" s="1271"/>
      <c r="C134" s="1270"/>
      <c r="D134" s="1840" t="s">
        <v>1543</v>
      </c>
      <c r="E134" s="1444" t="s">
        <v>1544</v>
      </c>
      <c r="F134" s="1444"/>
      <c r="G134" s="2349">
        <v>1</v>
      </c>
      <c r="H134" s="4158" t="s">
        <v>1547</v>
      </c>
      <c r="I134" s="4130"/>
      <c r="J134" s="4727" t="s">
        <v>1578</v>
      </c>
      <c r="K134" s="4728"/>
      <c r="L134" s="4729"/>
      <c r="M134" s="1119"/>
      <c r="N134" s="1119"/>
      <c r="O134" s="1119"/>
      <c r="P134" s="1119"/>
      <c r="Q134" s="1119"/>
      <c r="R134" s="1119"/>
      <c r="S134" s="1119"/>
      <c r="T134" s="1119"/>
      <c r="U134" s="1119"/>
      <c r="V134" s="1840" t="s">
        <v>1543</v>
      </c>
      <c r="W134" s="2258"/>
      <c r="X134" s="2258"/>
      <c r="Y134" s="2258"/>
      <c r="Z134" s="2258"/>
      <c r="AA134" s="2258"/>
      <c r="AB134" s="2258"/>
      <c r="AC134" s="2259"/>
      <c r="AD134" s="2259"/>
      <c r="AE134" s="2386">
        <v>1</v>
      </c>
      <c r="AF134" s="2236">
        <f t="shared" si="16"/>
        <v>1</v>
      </c>
      <c r="AG134" s="2384"/>
      <c r="AH134" s="2325"/>
      <c r="AI134" s="2325"/>
      <c r="AK134" s="1121"/>
      <c r="DG134" s="2397"/>
      <c r="DH134" s="2273"/>
      <c r="DI134" s="2273"/>
      <c r="DJ134" s="2398"/>
    </row>
    <row r="135" spans="1:114" s="1118" customFormat="1" hidden="1" outlineLevel="1">
      <c r="A135" s="543"/>
      <c r="B135" s="1271"/>
      <c r="C135" s="1270"/>
      <c r="D135" s="1840">
        <v>365.25</v>
      </c>
      <c r="E135" s="2317" t="s">
        <v>3088</v>
      </c>
      <c r="F135" s="1444"/>
      <c r="G135" s="2374">
        <v>365.25</v>
      </c>
      <c r="H135" s="4158" t="s">
        <v>1350</v>
      </c>
      <c r="I135" s="4130"/>
      <c r="J135" s="4547" t="s">
        <v>1575</v>
      </c>
      <c r="K135" s="4548"/>
      <c r="L135" s="4549"/>
      <c r="M135" s="1119"/>
      <c r="N135" s="1119"/>
      <c r="O135" s="1119"/>
      <c r="P135" s="1119"/>
      <c r="Q135" s="1119"/>
      <c r="R135" s="1119"/>
      <c r="S135" s="1119"/>
      <c r="T135" s="1119"/>
      <c r="U135" s="1119"/>
      <c r="V135" s="1840">
        <v>365.25</v>
      </c>
      <c r="W135" s="2258"/>
      <c r="X135" s="2258"/>
      <c r="Y135" s="2258"/>
      <c r="Z135" s="2258"/>
      <c r="AA135" s="2258"/>
      <c r="AB135" s="2258"/>
      <c r="AC135" s="2259"/>
      <c r="AD135" s="2259"/>
      <c r="AE135" s="2387">
        <v>365.25</v>
      </c>
      <c r="AF135" s="2236">
        <f t="shared" si="16"/>
        <v>365.25</v>
      </c>
      <c r="AG135" s="2384"/>
      <c r="AH135" s="2325"/>
      <c r="AI135" s="2325"/>
      <c r="AK135" s="1121"/>
      <c r="DG135" s="2397"/>
      <c r="DH135" s="2273"/>
      <c r="DI135" s="2273"/>
      <c r="DJ135" s="2398"/>
    </row>
    <row r="136" spans="1:114" s="1118" customFormat="1" ht="45.75" hidden="1" customHeight="1" outlineLevel="1">
      <c r="A136" s="543"/>
      <c r="B136" s="1271"/>
      <c r="C136" s="1270"/>
      <c r="D136" s="1840" t="s">
        <v>1548</v>
      </c>
      <c r="E136" s="2317" t="s">
        <v>3089</v>
      </c>
      <c r="F136" s="1444"/>
      <c r="G136" s="2373">
        <v>1.8624708624708626</v>
      </c>
      <c r="H136" s="4158" t="s">
        <v>3666</v>
      </c>
      <c r="I136" s="4130"/>
      <c r="J136" s="4547" t="s">
        <v>3091</v>
      </c>
      <c r="K136" s="4548"/>
      <c r="L136" s="4549"/>
      <c r="M136" s="1119"/>
      <c r="N136" s="1119"/>
      <c r="O136" s="1119"/>
      <c r="P136" s="1119"/>
      <c r="Q136" s="1119"/>
      <c r="R136" s="1119"/>
      <c r="S136" s="1119"/>
      <c r="T136" s="1119"/>
      <c r="U136" s="1119"/>
      <c r="V136" s="1840" t="s">
        <v>1548</v>
      </c>
      <c r="W136" s="2258"/>
      <c r="X136" s="2258"/>
      <c r="Y136" s="2258"/>
      <c r="Z136" s="2258"/>
      <c r="AA136" s="2258"/>
      <c r="AB136" s="2258"/>
      <c r="AC136" s="2259"/>
      <c r="AD136" s="2259"/>
      <c r="AE136" s="2385">
        <v>1.8624708624708626</v>
      </c>
      <c r="AF136" s="2236">
        <f t="shared" si="16"/>
        <v>1.8624708624708626</v>
      </c>
      <c r="AG136" s="2384"/>
      <c r="AH136" s="2325"/>
      <c r="AI136" s="2325"/>
      <c r="AK136" s="1121"/>
      <c r="DG136" s="2397"/>
      <c r="DH136" s="2273"/>
      <c r="DI136" s="2273"/>
      <c r="DJ136" s="2398"/>
    </row>
    <row r="137" spans="1:114" s="1118" customFormat="1" hidden="1" outlineLevel="1">
      <c r="A137" s="543"/>
      <c r="B137" s="1271"/>
      <c r="C137" s="1270"/>
      <c r="D137" s="1840">
        <v>8.33</v>
      </c>
      <c r="E137" s="2317" t="s">
        <v>1355</v>
      </c>
      <c r="F137" s="1444"/>
      <c r="G137" s="2349">
        <v>8.33</v>
      </c>
      <c r="H137" s="4166" t="s">
        <v>1356</v>
      </c>
      <c r="I137" s="4167"/>
      <c r="J137" s="4547" t="s">
        <v>1575</v>
      </c>
      <c r="K137" s="4548"/>
      <c r="L137" s="4549"/>
      <c r="M137" s="1119"/>
      <c r="N137" s="1119"/>
      <c r="O137" s="1119"/>
      <c r="P137" s="1119"/>
      <c r="Q137" s="1119"/>
      <c r="R137" s="1119"/>
      <c r="S137" s="1119"/>
      <c r="T137" s="1119"/>
      <c r="U137" s="1119"/>
      <c r="V137" s="1840">
        <v>8.33</v>
      </c>
      <c r="W137" s="2258"/>
      <c r="X137" s="2258"/>
      <c r="Y137" s="2258"/>
      <c r="Z137" s="2258"/>
      <c r="AA137" s="2258"/>
      <c r="AB137" s="2258"/>
      <c r="AC137" s="2259"/>
      <c r="AD137" s="2259"/>
      <c r="AE137" s="2386">
        <v>8.33</v>
      </c>
      <c r="AF137" s="2236">
        <f t="shared" si="16"/>
        <v>8.33</v>
      </c>
      <c r="AG137" s="2384"/>
      <c r="AH137" s="2325"/>
      <c r="AI137" s="2325"/>
      <c r="AK137" s="1121"/>
      <c r="DG137" s="2397"/>
      <c r="DH137" s="2273"/>
      <c r="DI137" s="2273"/>
      <c r="DJ137" s="2398"/>
    </row>
    <row r="138" spans="1:114" s="1118" customFormat="1" ht="30.75" hidden="1" customHeight="1" outlineLevel="1">
      <c r="A138" s="543"/>
      <c r="B138" s="1271"/>
      <c r="C138" s="1270"/>
      <c r="D138" s="1840">
        <v>1</v>
      </c>
      <c r="E138" s="2274" t="s">
        <v>3092</v>
      </c>
      <c r="F138" s="1444"/>
      <c r="G138" s="2349">
        <v>1</v>
      </c>
      <c r="H138" s="4158" t="s">
        <v>1358</v>
      </c>
      <c r="I138" s="4130"/>
      <c r="J138" s="4547" t="s">
        <v>1575</v>
      </c>
      <c r="K138" s="4548"/>
      <c r="L138" s="4549"/>
      <c r="M138" s="1119"/>
      <c r="N138" s="1119"/>
      <c r="O138" s="1119"/>
      <c r="P138" s="1119"/>
      <c r="Q138" s="1119"/>
      <c r="R138" s="1119"/>
      <c r="S138" s="1119"/>
      <c r="T138" s="1119"/>
      <c r="U138" s="1119"/>
      <c r="V138" s="1840">
        <v>1</v>
      </c>
      <c r="W138" s="2258"/>
      <c r="X138" s="2258"/>
      <c r="Y138" s="2258"/>
      <c r="Z138" s="2258"/>
      <c r="AA138" s="2258"/>
      <c r="AB138" s="2258"/>
      <c r="AC138" s="2259"/>
      <c r="AD138" s="2259"/>
      <c r="AE138" s="2386">
        <v>1</v>
      </c>
      <c r="AF138" s="2236">
        <f t="shared" si="16"/>
        <v>1</v>
      </c>
      <c r="AG138" s="2384"/>
      <c r="AH138" s="2325"/>
      <c r="AI138" s="2325"/>
      <c r="AK138" s="1121"/>
      <c r="DG138" s="2397"/>
      <c r="DH138" s="2273"/>
      <c r="DI138" s="2273"/>
      <c r="DJ138" s="2398"/>
    </row>
    <row r="139" spans="1:114" s="1118" customFormat="1" ht="91.5" hidden="1" customHeight="1" outlineLevel="1">
      <c r="A139" s="543"/>
      <c r="B139" s="1271"/>
      <c r="C139" s="1270"/>
      <c r="D139" s="1444" t="s">
        <v>1553</v>
      </c>
      <c r="E139" s="2317" t="s">
        <v>3093</v>
      </c>
      <c r="F139" s="1444"/>
      <c r="G139" s="2349">
        <v>80</v>
      </c>
      <c r="H139" s="4568" t="s">
        <v>1555</v>
      </c>
      <c r="I139" s="4569"/>
      <c r="J139" s="4547" t="s">
        <v>1575</v>
      </c>
      <c r="K139" s="4548"/>
      <c r="L139" s="4549"/>
      <c r="M139" s="1119"/>
      <c r="N139" s="1119"/>
      <c r="O139" s="1119"/>
      <c r="P139" s="1119"/>
      <c r="Q139" s="1119"/>
      <c r="R139" s="1119"/>
      <c r="S139" s="1119"/>
      <c r="T139" s="1119"/>
      <c r="U139" s="1119"/>
      <c r="V139" s="1444" t="s">
        <v>1553</v>
      </c>
      <c r="W139" s="2258"/>
      <c r="X139" s="2258"/>
      <c r="Y139" s="2258"/>
      <c r="Z139" s="2258"/>
      <c r="AA139" s="2258"/>
      <c r="AB139" s="2258"/>
      <c r="AC139" s="2259"/>
      <c r="AD139" s="2259"/>
      <c r="AE139" s="2386">
        <v>80</v>
      </c>
      <c r="AF139" s="2236">
        <f t="shared" si="16"/>
        <v>80</v>
      </c>
      <c r="AG139" s="2384"/>
      <c r="AH139" s="2325"/>
      <c r="AI139" s="2325"/>
      <c r="AK139" s="1121"/>
      <c r="DG139" s="2397"/>
      <c r="DH139" s="2273"/>
      <c r="DI139" s="2273"/>
      <c r="DJ139" s="2398"/>
    </row>
    <row r="140" spans="1:114" s="1118" customFormat="1" ht="74.25" hidden="1" customHeight="1" outlineLevel="1">
      <c r="A140" s="543"/>
      <c r="B140" s="1271"/>
      <c r="C140" s="1270"/>
      <c r="D140" s="1444" t="s">
        <v>1362</v>
      </c>
      <c r="E140" s="2317" t="s">
        <v>1363</v>
      </c>
      <c r="F140" s="1444"/>
      <c r="G140" s="2353">
        <v>58.4</v>
      </c>
      <c r="H140" s="4022" t="s">
        <v>996</v>
      </c>
      <c r="I140" s="4022"/>
      <c r="J140" s="4547" t="s">
        <v>1575</v>
      </c>
      <c r="K140" s="4548"/>
      <c r="L140" s="4549"/>
      <c r="M140" s="1119"/>
      <c r="N140" s="1119"/>
      <c r="O140" s="1119"/>
      <c r="P140" s="1119"/>
      <c r="Q140" s="1119"/>
      <c r="R140" s="1119"/>
      <c r="S140" s="1119"/>
      <c r="T140" s="1119"/>
      <c r="U140" s="1119"/>
      <c r="V140" s="1444" t="s">
        <v>1362</v>
      </c>
      <c r="W140" s="2258"/>
      <c r="X140" s="2258"/>
      <c r="Y140" s="2258"/>
      <c r="Z140" s="2258"/>
      <c r="AA140" s="2258"/>
      <c r="AB140" s="2258"/>
      <c r="AC140" s="2259"/>
      <c r="AD140" s="2259"/>
      <c r="AE140" s="2386">
        <v>61.3</v>
      </c>
      <c r="AF140" s="2236">
        <f t="shared" si="16"/>
        <v>58.4</v>
      </c>
      <c r="AG140" s="2384"/>
      <c r="AH140" s="2325"/>
      <c r="AI140" s="2325"/>
      <c r="AK140" s="1121"/>
      <c r="DG140" s="2397"/>
      <c r="DH140" s="2273"/>
      <c r="DI140" s="2273"/>
      <c r="DJ140" s="2398"/>
    </row>
    <row r="141" spans="1:114" s="1118" customFormat="1" ht="60.75" hidden="1" customHeight="1" outlineLevel="1">
      <c r="A141" s="543"/>
      <c r="B141" s="1271"/>
      <c r="C141" s="1270"/>
      <c r="D141" s="1444" t="s">
        <v>1365</v>
      </c>
      <c r="E141" s="2317" t="s">
        <v>1366</v>
      </c>
      <c r="F141" s="1444"/>
      <c r="G141" s="2349">
        <v>0.98</v>
      </c>
      <c r="H141" s="4725" t="s">
        <v>3094</v>
      </c>
      <c r="I141" s="4726"/>
      <c r="J141" s="4547" t="s">
        <v>1575</v>
      </c>
      <c r="K141" s="4548"/>
      <c r="L141" s="4549"/>
      <c r="M141" s="1119"/>
      <c r="N141" s="1119"/>
      <c r="O141" s="1119"/>
      <c r="P141" s="1119"/>
      <c r="Q141" s="1119"/>
      <c r="R141" s="1119"/>
      <c r="S141" s="1119"/>
      <c r="T141" s="1119"/>
      <c r="U141" s="1119"/>
      <c r="V141" s="1444" t="s">
        <v>1365</v>
      </c>
      <c r="W141" s="2258"/>
      <c r="X141" s="2258"/>
      <c r="Y141" s="2258"/>
      <c r="Z141" s="2258"/>
      <c r="AA141" s="2258"/>
      <c r="AB141" s="2258"/>
      <c r="AC141" s="2259"/>
      <c r="AD141" s="2259"/>
      <c r="AE141" s="2386">
        <v>0.98</v>
      </c>
      <c r="AF141" s="2236">
        <f t="shared" si="16"/>
        <v>0.98</v>
      </c>
      <c r="AG141" s="2384"/>
      <c r="AH141" s="2325"/>
      <c r="AI141" s="2325"/>
      <c r="AK141" s="1121"/>
      <c r="DG141" s="2397"/>
      <c r="DH141" s="2273"/>
      <c r="DI141" s="2273"/>
      <c r="DJ141" s="2398"/>
    </row>
    <row r="142" spans="1:114" s="1118" customFormat="1" hidden="1" outlineLevel="1">
      <c r="A142" s="543"/>
      <c r="B142" s="1271"/>
      <c r="C142" s="1270"/>
      <c r="D142" s="1444">
        <v>3412</v>
      </c>
      <c r="E142" s="2317">
        <v>3412</v>
      </c>
      <c r="F142" s="1444"/>
      <c r="G142" s="2349">
        <v>3412</v>
      </c>
      <c r="H142" s="4166" t="s">
        <v>1000</v>
      </c>
      <c r="I142" s="4167"/>
      <c r="J142" s="4547" t="s">
        <v>1575</v>
      </c>
      <c r="K142" s="4548"/>
      <c r="L142" s="4549"/>
      <c r="M142" s="1119"/>
      <c r="N142" s="1119"/>
      <c r="O142" s="1119"/>
      <c r="P142" s="1119"/>
      <c r="Q142" s="1119"/>
      <c r="R142" s="1119"/>
      <c r="S142" s="1119"/>
      <c r="T142" s="1119"/>
      <c r="U142" s="1119"/>
      <c r="V142" s="1444">
        <v>3412</v>
      </c>
      <c r="W142" s="2258"/>
      <c r="X142" s="2258"/>
      <c r="Y142" s="2258"/>
      <c r="Z142" s="2258"/>
      <c r="AA142" s="2258"/>
      <c r="AB142" s="2258"/>
      <c r="AC142" s="2259"/>
      <c r="AD142" s="2259"/>
      <c r="AE142" s="2386">
        <v>3412</v>
      </c>
      <c r="AF142" s="2236">
        <f t="shared" si="16"/>
        <v>3412</v>
      </c>
      <c r="AG142" s="2384"/>
      <c r="AH142" s="2325"/>
      <c r="AI142" s="2325"/>
      <c r="AK142" s="1121"/>
      <c r="DG142" s="2397"/>
      <c r="DH142" s="2273"/>
      <c r="DI142" s="2273"/>
      <c r="DJ142" s="2398"/>
    </row>
    <row r="143" spans="1:114" s="1118" customFormat="1" ht="28.5" hidden="1" customHeight="1" outlineLevel="1">
      <c r="A143" s="543"/>
      <c r="B143" s="1271"/>
      <c r="C143" s="1270"/>
      <c r="D143" s="1444" t="s">
        <v>1368</v>
      </c>
      <c r="E143" s="1444" t="s">
        <v>1369</v>
      </c>
      <c r="F143" s="1444"/>
      <c r="G143" s="2319">
        <v>1</v>
      </c>
      <c r="H143" s="4166" t="s">
        <v>1370</v>
      </c>
      <c r="I143" s="4167"/>
      <c r="J143" s="4547" t="s">
        <v>2953</v>
      </c>
      <c r="K143" s="4548"/>
      <c r="L143" s="4548"/>
      <c r="M143" s="1119"/>
      <c r="N143" s="1119"/>
      <c r="O143" s="1119"/>
      <c r="P143" s="1119"/>
      <c r="Q143" s="1119"/>
      <c r="R143" s="1119"/>
      <c r="S143" s="1119"/>
      <c r="T143" s="1119"/>
      <c r="U143" s="1119"/>
      <c r="V143" s="1444" t="s">
        <v>1368</v>
      </c>
      <c r="W143" s="2258"/>
      <c r="X143" s="2258"/>
      <c r="Y143" s="2258"/>
      <c r="Z143" s="2258"/>
      <c r="AA143" s="2258"/>
      <c r="AB143" s="2258"/>
      <c r="AC143" s="2259"/>
      <c r="AD143" s="2259"/>
      <c r="AE143" s="2388">
        <v>1</v>
      </c>
      <c r="AF143" s="2236">
        <f t="shared" si="16"/>
        <v>1</v>
      </c>
      <c r="AG143" s="2384"/>
      <c r="AH143" s="2325"/>
      <c r="AI143" s="2325"/>
      <c r="AK143" s="1121"/>
      <c r="DG143" s="2397"/>
      <c r="DH143" s="2273"/>
      <c r="DI143" s="2273"/>
      <c r="DJ143" s="2398"/>
    </row>
    <row r="144" spans="1:114" s="1118" customFormat="1" ht="48" hidden="1" customHeight="1" outlineLevel="1">
      <c r="A144" s="543"/>
      <c r="B144" s="1271"/>
      <c r="C144" s="1270"/>
      <c r="D144" s="2375" t="s">
        <v>128</v>
      </c>
      <c r="E144" s="2352" t="s">
        <v>1371</v>
      </c>
      <c r="F144" s="1444" t="s">
        <v>1196</v>
      </c>
      <c r="G144" s="2376">
        <v>0.80900000000000005</v>
      </c>
      <c r="H144" s="4713" t="s">
        <v>3631</v>
      </c>
      <c r="I144" s="4713"/>
      <c r="J144" s="4129"/>
      <c r="K144" s="4732"/>
      <c r="L144" s="4733"/>
      <c r="M144" s="1119"/>
      <c r="N144" s="1119"/>
      <c r="O144" s="1119"/>
      <c r="P144" s="1119"/>
      <c r="Q144" s="1119"/>
      <c r="R144" s="1119"/>
      <c r="S144" s="1119"/>
      <c r="T144" s="1119"/>
      <c r="U144" s="1119"/>
      <c r="V144" s="2375"/>
      <c r="W144" s="2258"/>
      <c r="X144" s="2258"/>
      <c r="Y144" s="2258"/>
      <c r="Z144" s="2258"/>
      <c r="AA144" s="2258"/>
      <c r="AB144" s="2258"/>
      <c r="AC144" s="2259"/>
      <c r="AD144" s="2259"/>
      <c r="AE144" s="2389">
        <v>0.80900000000000005</v>
      </c>
      <c r="AF144" s="2236">
        <f t="shared" si="16"/>
        <v>0.80900000000000005</v>
      </c>
      <c r="AG144" s="2384"/>
      <c r="AH144" s="2325"/>
      <c r="AI144" s="2325"/>
      <c r="AK144" s="1121"/>
      <c r="DG144" s="2397"/>
      <c r="DH144" s="2273"/>
      <c r="DI144" s="2273"/>
      <c r="DJ144" s="2398"/>
    </row>
    <row r="145" spans="1:114" s="1118" customFormat="1" ht="29.25" hidden="1" customHeight="1" outlineLevel="1">
      <c r="A145" s="543"/>
      <c r="B145" s="1271"/>
      <c r="C145" s="1270"/>
      <c r="D145" s="2377" t="s">
        <v>49</v>
      </c>
      <c r="E145" s="2377" t="s">
        <v>1198</v>
      </c>
      <c r="F145" s="1444" t="s">
        <v>1102</v>
      </c>
      <c r="G145" s="2378">
        <v>10</v>
      </c>
      <c r="H145" s="4568" t="s">
        <v>1563</v>
      </c>
      <c r="I145" s="4569"/>
      <c r="J145" s="4129"/>
      <c r="K145" s="4732"/>
      <c r="L145" s="4733"/>
      <c r="M145" s="1119"/>
      <c r="N145" s="1119"/>
      <c r="O145" s="1119"/>
      <c r="P145" s="1119"/>
      <c r="Q145" s="1119"/>
      <c r="R145" s="1119"/>
      <c r="S145" s="1119"/>
      <c r="T145" s="1119"/>
      <c r="U145" s="1119"/>
      <c r="V145" s="2323" t="str">
        <f>D145</f>
        <v>EUL</v>
      </c>
      <c r="W145" s="2258"/>
      <c r="X145" s="2258"/>
      <c r="Y145" s="2258"/>
      <c r="Z145" s="2258"/>
      <c r="AA145" s="2258"/>
      <c r="AB145" s="2258"/>
      <c r="AC145" s="2259"/>
      <c r="AD145" s="2259"/>
      <c r="AE145" s="2386">
        <v>11</v>
      </c>
      <c r="AF145" s="2236">
        <f t="shared" si="16"/>
        <v>10</v>
      </c>
      <c r="AG145" s="2384"/>
      <c r="AH145" s="2325"/>
      <c r="AI145" s="2325"/>
      <c r="AK145" s="1121"/>
      <c r="DG145" s="2397"/>
      <c r="DH145" s="2273"/>
      <c r="DI145" s="2273"/>
      <c r="DJ145" s="2398"/>
    </row>
    <row r="146" spans="1:114" s="1118" customFormat="1" hidden="1" outlineLevel="1">
      <c r="A146" s="543"/>
      <c r="B146" s="1271"/>
      <c r="C146" s="1270"/>
      <c r="D146" s="2323" t="s">
        <v>50</v>
      </c>
      <c r="E146" s="2323" t="s">
        <v>1135</v>
      </c>
      <c r="F146" s="1444" t="s">
        <v>1196</v>
      </c>
      <c r="G146" s="2379">
        <v>11.33</v>
      </c>
      <c r="H146" s="4568" t="s">
        <v>3111</v>
      </c>
      <c r="I146" s="4569"/>
      <c r="J146" s="4129"/>
      <c r="K146" s="4732"/>
      <c r="L146" s="4733"/>
      <c r="M146" s="1119"/>
      <c r="N146" s="1119"/>
      <c r="O146" s="1119"/>
      <c r="P146" s="1119"/>
      <c r="Q146" s="1119"/>
      <c r="R146" s="1119"/>
      <c r="S146" s="1119"/>
      <c r="T146" s="1119"/>
      <c r="U146" s="1119"/>
      <c r="V146" s="1444"/>
      <c r="W146" s="2258"/>
      <c r="X146" s="2258"/>
      <c r="Y146" s="2258"/>
      <c r="Z146" s="2258"/>
      <c r="AA146" s="2258"/>
      <c r="AB146" s="2258"/>
      <c r="AC146" s="2259"/>
      <c r="AD146" s="2259"/>
      <c r="AE146" s="2390">
        <v>11.33</v>
      </c>
      <c r="AF146" s="2236">
        <f t="shared" si="16"/>
        <v>11.33</v>
      </c>
      <c r="AG146" s="2384"/>
      <c r="AH146" s="2325"/>
      <c r="AI146" s="2325"/>
      <c r="AK146" s="1121"/>
      <c r="DG146" s="2397"/>
      <c r="DH146" s="2273"/>
      <c r="DI146" s="2273"/>
      <c r="DJ146" s="2398"/>
    </row>
    <row r="147" spans="1:114" s="1118" customFormat="1" collapsed="1">
      <c r="A147" s="543"/>
      <c r="B147" s="1271"/>
      <c r="C147" s="1404"/>
      <c r="D147" s="1138"/>
      <c r="E147" s="1138"/>
      <c r="F147" s="1119"/>
      <c r="G147" s="1119"/>
      <c r="H147" s="1119"/>
      <c r="I147" s="1119"/>
      <c r="J147" s="1119"/>
      <c r="K147" s="1119"/>
      <c r="L147" s="1119"/>
      <c r="M147" s="1119"/>
      <c r="N147" s="1119"/>
      <c r="O147" s="1119"/>
      <c r="P147" s="1119"/>
      <c r="Q147" s="1119"/>
      <c r="R147" s="1119"/>
      <c r="S147" s="1119"/>
      <c r="T147" s="1119"/>
      <c r="U147" s="1119"/>
      <c r="V147" s="2380"/>
      <c r="W147" s="2380"/>
      <c r="X147" s="2380"/>
      <c r="Y147" s="2380"/>
      <c r="Z147" s="2380"/>
      <c r="AA147" s="2380"/>
      <c r="AB147" s="2380"/>
      <c r="AC147" s="2380"/>
      <c r="AD147" s="2380"/>
      <c r="AE147" s="2380"/>
      <c r="AF147" s="2325"/>
      <c r="AG147" s="2325"/>
      <c r="AH147" s="2325"/>
      <c r="AI147" s="2325"/>
      <c r="AK147" s="1121"/>
      <c r="DG147" s="2397"/>
      <c r="DH147" s="2273"/>
      <c r="DI147" s="2273"/>
      <c r="DJ147" s="2398"/>
    </row>
    <row r="148" spans="1:114" s="1118" customFormat="1">
      <c r="A148" s="543"/>
      <c r="B148" s="1271"/>
      <c r="C148" s="1270"/>
      <c r="D148" s="1138"/>
      <c r="E148" s="1138"/>
      <c r="F148" s="1119"/>
      <c r="G148" s="1119"/>
      <c r="H148" s="1119"/>
      <c r="I148" s="1119"/>
      <c r="J148" s="1119"/>
      <c r="K148" s="1119"/>
      <c r="L148" s="1119"/>
      <c r="M148" s="1119"/>
      <c r="N148" s="1119"/>
      <c r="O148" s="1119"/>
      <c r="P148" s="1119"/>
      <c r="Q148" s="1119"/>
      <c r="R148" s="1119"/>
      <c r="S148" s="1119"/>
      <c r="T148" s="1119"/>
      <c r="U148" s="1119"/>
      <c r="V148" s="2273"/>
      <c r="W148" s="2273"/>
      <c r="X148" s="2273"/>
      <c r="Y148" s="2273"/>
      <c r="Z148" s="2273"/>
      <c r="AA148" s="2273"/>
      <c r="AB148" s="2273"/>
      <c r="AC148" s="2273"/>
      <c r="AD148" s="2273"/>
      <c r="AE148" s="2273"/>
      <c r="AF148" s="2325"/>
      <c r="AG148" s="2325"/>
      <c r="AH148" s="2325"/>
      <c r="AI148" s="2325"/>
      <c r="AK148" s="1121"/>
      <c r="DG148" s="2397"/>
      <c r="DH148" s="2273"/>
      <c r="DI148" s="2273"/>
      <c r="DJ148" s="2398"/>
    </row>
    <row r="149" spans="1:114" s="1118" customFormat="1">
      <c r="A149" s="543"/>
      <c r="B149" s="4702" t="s">
        <v>3099</v>
      </c>
      <c r="C149" s="4703"/>
      <c r="D149" s="4703"/>
      <c r="E149" s="4703"/>
      <c r="F149" s="4703"/>
      <c r="G149" s="4703"/>
      <c r="H149" s="4703"/>
      <c r="I149" s="4704"/>
      <c r="J149" s="4704"/>
      <c r="K149" s="4704"/>
      <c r="L149" s="4704"/>
      <c r="M149" s="4704"/>
      <c r="N149" s="4704"/>
      <c r="O149" s="4704"/>
      <c r="P149" s="4704"/>
      <c r="Q149" s="4704"/>
      <c r="R149" s="4705"/>
      <c r="S149" s="1119"/>
      <c r="T149" s="1119"/>
      <c r="U149" s="1119"/>
      <c r="V149" s="4702" t="str">
        <f>B149</f>
        <v>Low Flow Faucet Aerators (Kitchen)</v>
      </c>
      <c r="W149" s="4703"/>
      <c r="X149" s="4703"/>
      <c r="Y149" s="4703"/>
      <c r="Z149" s="4703"/>
      <c r="AA149" s="4703"/>
      <c r="AB149" s="4703"/>
      <c r="AC149" s="4704"/>
      <c r="AD149" s="4704"/>
      <c r="AE149" s="4704"/>
      <c r="AF149" s="4704"/>
      <c r="AG149" s="4704"/>
      <c r="AH149" s="4704"/>
      <c r="AI149" s="4705"/>
      <c r="AK149" s="1121"/>
      <c r="DG149" s="2397"/>
      <c r="DH149" s="2273"/>
      <c r="DI149" s="2273"/>
      <c r="DJ149" s="2398"/>
    </row>
    <row r="150" spans="1:114" s="1118" customFormat="1">
      <c r="A150" s="543"/>
      <c r="B150" s="2268"/>
      <c r="C150" s="2269"/>
      <c r="D150" s="2270"/>
      <c r="E150" s="2270"/>
      <c r="F150" s="2271"/>
      <c r="G150" s="2271"/>
      <c r="H150" s="2271"/>
      <c r="I150" s="2271"/>
      <c r="J150" s="2271"/>
      <c r="K150" s="2271"/>
      <c r="L150" s="2272"/>
      <c r="M150" s="2273"/>
      <c r="N150" s="2273"/>
      <c r="O150" s="2273"/>
      <c r="P150" s="2273"/>
      <c r="Q150" s="2273"/>
      <c r="R150" s="2273"/>
      <c r="S150" s="1119"/>
      <c r="T150" s="1119"/>
      <c r="U150" s="1119"/>
      <c r="V150" s="2273"/>
      <c r="W150" s="2325"/>
      <c r="X150" s="2325"/>
      <c r="Y150" s="2326"/>
      <c r="Z150" s="2325"/>
      <c r="AA150" s="2325"/>
      <c r="AB150" s="2325"/>
      <c r="AC150" s="2325"/>
      <c r="AD150" s="2325"/>
      <c r="AE150" s="2325"/>
      <c r="AF150" s="2325"/>
      <c r="AG150" s="2325"/>
      <c r="AH150" s="2325"/>
      <c r="AI150" s="2325"/>
      <c r="AK150" s="1121"/>
      <c r="DG150" s="2397"/>
      <c r="DH150" s="2273"/>
      <c r="DI150" s="2273"/>
      <c r="DJ150" s="2398"/>
    </row>
    <row r="151" spans="1:114" s="1118" customFormat="1" ht="60">
      <c r="A151" s="543"/>
      <c r="B151" s="2268"/>
      <c r="C151" s="2207" t="s">
        <v>42</v>
      </c>
      <c r="D151" s="2207" t="s">
        <v>953</v>
      </c>
      <c r="E151" s="2207" t="s">
        <v>44</v>
      </c>
      <c r="F151" s="2207" t="s">
        <v>1315</v>
      </c>
      <c r="G151" s="2207" t="s">
        <v>46</v>
      </c>
      <c r="H151" s="2207" t="s">
        <v>47</v>
      </c>
      <c r="I151" s="2207" t="s">
        <v>1316</v>
      </c>
      <c r="J151" s="2207" t="s">
        <v>48</v>
      </c>
      <c r="K151" s="2207" t="s">
        <v>49</v>
      </c>
      <c r="L151" s="2207" t="s">
        <v>50</v>
      </c>
      <c r="M151" s="2207" t="s">
        <v>51</v>
      </c>
      <c r="N151" s="2273"/>
      <c r="O151" s="2273"/>
      <c r="P151" s="2273"/>
      <c r="Q151" s="2273"/>
      <c r="R151" s="2273"/>
      <c r="S151" s="1119"/>
      <c r="T151" s="1119"/>
      <c r="U151" s="1119"/>
      <c r="V151" s="2256" t="s">
        <v>52</v>
      </c>
      <c r="W151" s="2391">
        <f t="shared" ref="W151:AG151" si="17">W$6</f>
        <v>43252</v>
      </c>
      <c r="X151" s="2391">
        <f t="shared" si="17"/>
        <v>43435</v>
      </c>
      <c r="Y151" s="2392">
        <f t="shared" si="17"/>
        <v>43800</v>
      </c>
      <c r="Z151" s="2391">
        <f t="shared" si="17"/>
        <v>43862</v>
      </c>
      <c r="AA151" s="2391">
        <f t="shared" si="17"/>
        <v>44013</v>
      </c>
      <c r="AB151" s="2391">
        <f t="shared" si="17"/>
        <v>44166</v>
      </c>
      <c r="AC151" s="2257">
        <f t="shared" si="17"/>
        <v>44531</v>
      </c>
      <c r="AD151" s="2257">
        <f t="shared" si="17"/>
        <v>44774</v>
      </c>
      <c r="AE151" s="2257">
        <f t="shared" si="17"/>
        <v>45139</v>
      </c>
      <c r="AF151" s="2257">
        <f t="shared" si="17"/>
        <v>45672</v>
      </c>
      <c r="AG151" s="2257" t="str">
        <f t="shared" si="17"/>
        <v>-</v>
      </c>
      <c r="AH151" s="2325"/>
      <c r="AI151" s="2325"/>
      <c r="AK151" s="1121"/>
      <c r="DG151" s="2329" t="str">
        <f>$DG$6</f>
        <v>TRC (2025)</v>
      </c>
      <c r="DH151" s="2330" t="str">
        <f>$DH$6</f>
        <v>Benefit Lookup</v>
      </c>
      <c r="DI151" s="2331" t="str">
        <f>$DI$6</f>
        <v>Benefits (2025 $)</v>
      </c>
      <c r="DJ151" s="2263" t="str">
        <f>$DJ$6</f>
        <v>Incremental Cost (2025 $)</v>
      </c>
    </row>
    <row r="152" spans="1:114" s="1118" customFormat="1">
      <c r="A152" s="543"/>
      <c r="B152" s="2208">
        <f t="shared" ref="B152:B153" si="18">VALUE(LEFT(C152,6))</f>
        <v>450600</v>
      </c>
      <c r="C152" s="2243" t="s">
        <v>3667</v>
      </c>
      <c r="D152" s="2244" t="s">
        <v>1800</v>
      </c>
      <c r="E152" s="2365" t="s">
        <v>3668</v>
      </c>
      <c r="F152" s="2245">
        <f>ROUND(G163*(G164*G165-G166*G167)*G168*G169*G170/G171*I152*G179*G178,2)</f>
        <v>103.2</v>
      </c>
      <c r="G152" s="2244" t="s">
        <v>961</v>
      </c>
      <c r="H152" s="2366">
        <f>VLOOKUP(G152,'CP FACTORS'!$A$3:$B$38, 2, FALSE)</f>
        <v>8.8731800000000003E-5</v>
      </c>
      <c r="I152" s="2363">
        <f>G172*G173*(G174-G175)/(G176*G177)</f>
        <v>8.6195779601406813E-2</v>
      </c>
      <c r="J152" s="2246">
        <f>ROUND(F152*H152,6)</f>
        <v>9.1570000000000002E-3</v>
      </c>
      <c r="K152" s="2252">
        <f>G180</f>
        <v>10</v>
      </c>
      <c r="L152" s="2367">
        <f>G181</f>
        <v>11.33</v>
      </c>
      <c r="M152" s="2368" t="s">
        <v>62</v>
      </c>
      <c r="N152" s="2273"/>
      <c r="O152" s="2273"/>
      <c r="P152" s="2273"/>
      <c r="Q152" s="2273"/>
      <c r="R152" s="2279"/>
      <c r="S152" s="1119"/>
      <c r="T152" s="1119"/>
      <c r="U152" s="1119"/>
      <c r="V152" s="1841" t="s">
        <v>45</v>
      </c>
      <c r="W152" s="2258"/>
      <c r="X152" s="2258"/>
      <c r="Y152" s="2258"/>
      <c r="Z152" s="2258"/>
      <c r="AA152" s="2258"/>
      <c r="AB152" s="2258"/>
      <c r="AC152" s="2259"/>
      <c r="AD152" s="2259"/>
      <c r="AE152" s="2260">
        <v>94.55</v>
      </c>
      <c r="AF152" s="2236">
        <f>IF(F152&lt;&gt;"",F152,"")</f>
        <v>103.2</v>
      </c>
      <c r="AG152" s="2261"/>
      <c r="AH152" s="2339"/>
      <c r="AI152" s="2325"/>
      <c r="AK152" s="1121"/>
      <c r="DG152" s="2335">
        <f>(DI152)/(DJ152)</f>
        <v>4.4749896163611336</v>
      </c>
      <c r="DH152" s="2265" t="str">
        <f>CONCATENATE(G152," ",K152," Year EUL")</f>
        <v>Water Heating RES 10 Year EUL</v>
      </c>
      <c r="DI152" s="2393">
        <f>(INDEX('Avoided Cost Benefits'!$B$4:$B$865,MATCH(DH152,'Avoided Cost Benefits'!$A$4:$A$865,0)))*F152</f>
        <v>50.701632353371643</v>
      </c>
      <c r="DJ152" s="2399">
        <f>L152/(1.0686^(2025-2025))</f>
        <v>11.33</v>
      </c>
    </row>
    <row r="153" spans="1:114" s="1118" customFormat="1">
      <c r="A153" s="543"/>
      <c r="B153" s="2208">
        <f t="shared" si="18"/>
        <v>450601</v>
      </c>
      <c r="C153" s="2243" t="s">
        <v>3669</v>
      </c>
      <c r="D153" s="2244" t="s">
        <v>1800</v>
      </c>
      <c r="E153" s="2365" t="s">
        <v>3670</v>
      </c>
      <c r="F153" s="2245">
        <f>ROUND(G163*(G164*G165-G166*G167)*G168*G169*G170/G171*I153*G179*G178,2)</f>
        <v>103.2</v>
      </c>
      <c r="G153" s="2244" t="s">
        <v>961</v>
      </c>
      <c r="H153" s="2366">
        <f>VLOOKUP(G153,'CP FACTORS'!$A$3:$B$38, 2, FALSE)</f>
        <v>8.8731800000000003E-5</v>
      </c>
      <c r="I153" s="2363">
        <f>G172*G173*(G174-G175)/(G176*G177)</f>
        <v>8.6195779601406813E-2</v>
      </c>
      <c r="J153" s="2246">
        <f>ROUND(F153*H153,6)</f>
        <v>9.1570000000000002E-3</v>
      </c>
      <c r="K153" s="2252">
        <f>G180</f>
        <v>10</v>
      </c>
      <c r="L153" s="2367">
        <f>G181</f>
        <v>11.33</v>
      </c>
      <c r="M153" s="2368" t="s">
        <v>62</v>
      </c>
      <c r="N153" s="2273"/>
      <c r="O153" s="2273"/>
      <c r="P153" s="2273"/>
      <c r="Q153" s="2273"/>
      <c r="R153" s="2279"/>
      <c r="S153" s="1119"/>
      <c r="T153" s="1119"/>
      <c r="U153" s="1119"/>
      <c r="V153" s="1841" t="s">
        <v>45</v>
      </c>
      <c r="W153" s="2258"/>
      <c r="X153" s="2258"/>
      <c r="Y153" s="2258"/>
      <c r="Z153" s="2258"/>
      <c r="AA153" s="2258"/>
      <c r="AB153" s="2258"/>
      <c r="AC153" s="2259"/>
      <c r="AD153" s="2259"/>
      <c r="AE153" s="2260">
        <v>94.55</v>
      </c>
      <c r="AF153" s="2236">
        <f>IF(F153&lt;&gt;"",F153,"")</f>
        <v>103.2</v>
      </c>
      <c r="AG153" s="2261"/>
      <c r="AH153" s="2339"/>
      <c r="AI153" s="2325"/>
      <c r="AK153" s="1121"/>
      <c r="DG153" s="2394">
        <f>(DI153)/(DJ153)</f>
        <v>4.4749896163611336</v>
      </c>
      <c r="DH153" s="2265" t="str">
        <f>CONCATENATE(G153," ",K153," Year EUL")</f>
        <v>Water Heating RES 10 Year EUL</v>
      </c>
      <c r="DI153" s="2395">
        <f>(INDEX('Avoided Cost Benefits'!$B$4:$B$865,MATCH(DH153,'Avoided Cost Benefits'!$A$4:$A$865,0)))*F153</f>
        <v>50.701632353371643</v>
      </c>
      <c r="DJ153" s="2400">
        <f>L153/(1.0686^(2025-2025))</f>
        <v>11.33</v>
      </c>
    </row>
    <row r="154" spans="1:114" s="1118" customFormat="1" hidden="1" outlineLevel="1">
      <c r="A154" s="543"/>
      <c r="B154" s="1271"/>
      <c r="C154" s="1270"/>
      <c r="D154" s="2294" t="s">
        <v>118</v>
      </c>
      <c r="E154" s="2206" t="s">
        <v>1523</v>
      </c>
      <c r="F154" s="1281"/>
      <c r="G154" s="1270"/>
      <c r="H154" s="1277"/>
      <c r="I154" s="1276"/>
      <c r="J154" s="1276"/>
      <c r="K154" s="1276"/>
      <c r="L154" s="1119"/>
      <c r="M154" s="1119"/>
      <c r="N154" s="1119"/>
      <c r="O154" s="1119"/>
      <c r="P154" s="1119"/>
      <c r="Q154" s="1119"/>
      <c r="R154" s="1119"/>
      <c r="S154" s="1119"/>
      <c r="T154" s="1119"/>
      <c r="U154" s="1119"/>
      <c r="V154" s="1153"/>
      <c r="W154" s="1153"/>
      <c r="X154" s="1153"/>
      <c r="Y154" s="1153"/>
      <c r="Z154" s="1153"/>
      <c r="AA154" s="1153"/>
      <c r="AB154" s="1153"/>
      <c r="AC154" s="1153"/>
      <c r="AD154" s="1153"/>
      <c r="AE154" s="1153"/>
      <c r="AF154" s="1117"/>
      <c r="AG154" s="1117"/>
      <c r="AH154" s="1141"/>
      <c r="AK154" s="1121"/>
      <c r="DG154" s="1120"/>
      <c r="DH154" s="1119"/>
      <c r="DI154" s="1119"/>
      <c r="DJ154" s="1192"/>
    </row>
    <row r="155" spans="1:114" s="1118" customFormat="1" hidden="1" outlineLevel="1">
      <c r="A155" s="543"/>
      <c r="B155" s="1271"/>
      <c r="C155" s="1270"/>
      <c r="D155" s="2360" t="s">
        <v>963</v>
      </c>
      <c r="E155" s="635" t="s">
        <v>1524</v>
      </c>
      <c r="F155" s="1281"/>
      <c r="G155" s="1270"/>
      <c r="H155" s="1277"/>
      <c r="I155" s="1119"/>
      <c r="J155" s="1119"/>
      <c r="K155" s="1119"/>
      <c r="L155" s="1119"/>
      <c r="M155" s="1119"/>
      <c r="N155" s="1119"/>
      <c r="O155" s="1119"/>
      <c r="P155" s="1119"/>
      <c r="Q155" s="1119"/>
      <c r="R155" s="1119"/>
      <c r="S155" s="1119"/>
      <c r="T155" s="1119"/>
      <c r="U155" s="1119"/>
      <c r="V155" s="1119"/>
      <c r="W155" s="1119"/>
      <c r="X155" s="1119"/>
      <c r="Y155" s="1119"/>
      <c r="Z155" s="1119"/>
      <c r="AA155" s="1119"/>
      <c r="AB155" s="1119"/>
      <c r="AC155" s="1119"/>
      <c r="AD155" s="1119"/>
      <c r="AE155" s="1119"/>
      <c r="AF155" s="1117"/>
      <c r="AG155" s="1117"/>
      <c r="AK155" s="1121"/>
      <c r="DG155" s="1120"/>
      <c r="DH155" s="1119"/>
      <c r="DI155" s="1119"/>
      <c r="DJ155" s="1192"/>
    </row>
    <row r="156" spans="1:114" s="1118" customFormat="1" hidden="1" outlineLevel="1">
      <c r="A156" s="543"/>
      <c r="B156" s="1271"/>
      <c r="C156" s="1270"/>
      <c r="D156" s="2273"/>
      <c r="E156" s="635" t="s">
        <v>1525</v>
      </c>
      <c r="F156" s="1281"/>
      <c r="G156" s="1119"/>
      <c r="H156" s="1270"/>
      <c r="I156" s="1119"/>
      <c r="J156" s="1119"/>
      <c r="K156" s="1119"/>
      <c r="L156" s="1119"/>
      <c r="M156" s="1119"/>
      <c r="N156" s="1119"/>
      <c r="O156" s="1119"/>
      <c r="P156" s="1119"/>
      <c r="Q156" s="1119"/>
      <c r="R156" s="1119"/>
      <c r="S156" s="1119"/>
      <c r="T156" s="1119"/>
      <c r="U156" s="1119"/>
      <c r="V156" s="543"/>
      <c r="W156" s="1117"/>
      <c r="X156" s="1117"/>
      <c r="Y156" s="1140"/>
      <c r="Z156" s="1117"/>
      <c r="AA156" s="1117"/>
      <c r="AB156" s="1117"/>
      <c r="AC156" s="1117"/>
      <c r="AD156" s="1117"/>
      <c r="AE156" s="1117"/>
      <c r="AF156" s="1117"/>
      <c r="AG156" s="1117"/>
      <c r="AK156" s="1121"/>
      <c r="DG156" s="1120"/>
      <c r="DH156" s="1119"/>
      <c r="DI156" s="1119"/>
      <c r="DJ156" s="1192"/>
    </row>
    <row r="157" spans="1:114" s="1118" customFormat="1" hidden="1" outlineLevel="1">
      <c r="A157" s="543"/>
      <c r="B157" s="1271"/>
      <c r="C157" s="1270"/>
      <c r="D157" s="2361"/>
      <c r="E157" s="635" t="s">
        <v>966</v>
      </c>
      <c r="F157" s="1273"/>
      <c r="G157" s="1273"/>
      <c r="H157" s="1119"/>
      <c r="I157" s="1119"/>
      <c r="J157" s="1119"/>
      <c r="K157" s="1119"/>
      <c r="L157" s="1119"/>
      <c r="M157" s="1119"/>
      <c r="N157" s="1119"/>
      <c r="O157" s="1119"/>
      <c r="P157" s="1119"/>
      <c r="Q157" s="1119"/>
      <c r="R157" s="1119"/>
      <c r="S157" s="1119"/>
      <c r="T157" s="1119"/>
      <c r="U157" s="1119"/>
      <c r="V157" s="543"/>
      <c r="W157" s="1117"/>
      <c r="X157" s="1117"/>
      <c r="Y157" s="1140"/>
      <c r="Z157" s="1117"/>
      <c r="AA157" s="1117"/>
      <c r="AB157" s="1117"/>
      <c r="AC157" s="1117"/>
      <c r="AD157" s="1117"/>
      <c r="AE157" s="1117"/>
      <c r="AF157" s="1117"/>
      <c r="AG157" s="1117"/>
      <c r="AK157" s="1121"/>
      <c r="DG157" s="1120"/>
      <c r="DH157" s="1119"/>
      <c r="DI157" s="1119"/>
      <c r="DJ157" s="1192"/>
    </row>
    <row r="158" spans="1:114" s="1118" customFormat="1" hidden="1" outlineLevel="1">
      <c r="A158" s="543"/>
      <c r="B158" s="1271"/>
      <c r="C158" s="1270"/>
      <c r="D158" s="2361"/>
      <c r="E158" s="635" t="s">
        <v>1526</v>
      </c>
      <c r="F158" s="1274"/>
      <c r="G158" s="1274"/>
      <c r="H158" s="1119"/>
      <c r="I158" s="1119"/>
      <c r="J158" s="1119"/>
      <c r="K158" s="1119"/>
      <c r="L158" s="1119"/>
      <c r="M158" s="1119"/>
      <c r="N158" s="1119"/>
      <c r="O158" s="1119"/>
      <c r="P158" s="1119"/>
      <c r="Q158" s="1119"/>
      <c r="R158" s="1119"/>
      <c r="S158" s="1119"/>
      <c r="T158" s="1119"/>
      <c r="U158" s="1119"/>
      <c r="V158" s="543"/>
      <c r="W158" s="1117"/>
      <c r="X158" s="1117"/>
      <c r="Y158" s="1140"/>
      <c r="Z158" s="1117"/>
      <c r="AA158" s="1117"/>
      <c r="AB158" s="1117"/>
      <c r="AC158" s="1117"/>
      <c r="AD158" s="1117"/>
      <c r="AE158" s="1117"/>
      <c r="AF158" s="1117"/>
      <c r="AG158" s="1117"/>
      <c r="AK158" s="1121"/>
      <c r="DG158" s="1120"/>
      <c r="DH158" s="1119"/>
      <c r="DI158" s="1119"/>
      <c r="DJ158" s="1192"/>
    </row>
    <row r="159" spans="1:114" s="1118" customFormat="1" hidden="1" outlineLevel="1">
      <c r="A159" s="543"/>
      <c r="B159" s="1271"/>
      <c r="C159" s="1270"/>
      <c r="D159" s="1138"/>
      <c r="E159" s="1275"/>
      <c r="F159" s="1274"/>
      <c r="G159" s="1274"/>
      <c r="H159" s="1119"/>
      <c r="I159" s="1119"/>
      <c r="J159" s="1119"/>
      <c r="K159" s="1119"/>
      <c r="L159" s="1119"/>
      <c r="M159" s="1119"/>
      <c r="N159" s="1119"/>
      <c r="O159" s="1119"/>
      <c r="P159" s="1119"/>
      <c r="Q159" s="1119"/>
      <c r="R159" s="1119"/>
      <c r="S159" s="1119"/>
      <c r="T159" s="1119"/>
      <c r="U159" s="1119"/>
      <c r="V159" s="543"/>
      <c r="W159" s="1117"/>
      <c r="X159" s="1117"/>
      <c r="Y159" s="1140"/>
      <c r="Z159" s="1117"/>
      <c r="AA159" s="1117"/>
      <c r="AB159" s="1117"/>
      <c r="AC159" s="1117"/>
      <c r="AD159" s="1117"/>
      <c r="AE159" s="1117"/>
      <c r="AF159" s="1117"/>
      <c r="AG159" s="1117"/>
      <c r="AK159" s="1121"/>
      <c r="DG159" s="1120"/>
      <c r="DH159" s="1119"/>
      <c r="DI159" s="1119"/>
      <c r="DJ159" s="1192"/>
    </row>
    <row r="160" spans="1:114" s="1118" customFormat="1" hidden="1" outlineLevel="1">
      <c r="A160" s="543"/>
      <c r="B160" s="1271"/>
      <c r="C160" s="1270"/>
      <c r="D160" s="407"/>
      <c r="E160" s="1275"/>
      <c r="F160" s="1274"/>
      <c r="G160" s="1274"/>
      <c r="H160" s="1119"/>
      <c r="I160" s="1119"/>
      <c r="J160" s="1119"/>
      <c r="K160" s="1119"/>
      <c r="L160" s="1119"/>
      <c r="M160" s="1119"/>
      <c r="N160" s="1119"/>
      <c r="O160" s="1119"/>
      <c r="P160" s="1119"/>
      <c r="Q160" s="1119"/>
      <c r="R160" s="1119"/>
      <c r="S160" s="1119"/>
      <c r="T160" s="1119"/>
      <c r="U160" s="1119"/>
      <c r="V160" s="543"/>
      <c r="W160" s="1117"/>
      <c r="X160" s="1117"/>
      <c r="Y160" s="1140"/>
      <c r="Z160" s="1117"/>
      <c r="AA160" s="1117"/>
      <c r="AB160" s="1117"/>
      <c r="AC160" s="1117"/>
      <c r="AD160" s="1117"/>
      <c r="AE160" s="1117"/>
      <c r="AF160" s="1117"/>
      <c r="AG160" s="1117"/>
      <c r="AK160" s="1121"/>
      <c r="DG160" s="1120"/>
      <c r="DH160" s="1119"/>
      <c r="DI160" s="1119"/>
      <c r="DJ160" s="1192"/>
    </row>
    <row r="161" spans="1:114" s="1118" customFormat="1" hidden="1" outlineLevel="1">
      <c r="A161" s="543"/>
      <c r="B161" s="1271"/>
      <c r="C161" s="1270"/>
      <c r="D161" s="1138"/>
      <c r="E161" s="1138"/>
      <c r="F161" s="1119"/>
      <c r="G161" s="1119"/>
      <c r="H161" s="1119"/>
      <c r="I161" s="1119"/>
      <c r="J161" s="1119"/>
      <c r="K161" s="1119"/>
      <c r="L161" s="1119"/>
      <c r="M161" s="1119"/>
      <c r="N161" s="1119"/>
      <c r="O161" s="1119"/>
      <c r="P161" s="1119"/>
      <c r="Q161" s="1119"/>
      <c r="R161" s="1119"/>
      <c r="S161" s="1119"/>
      <c r="T161" s="1119"/>
      <c r="U161" s="1119"/>
      <c r="V161" s="543"/>
      <c r="W161" s="1117"/>
      <c r="X161" s="1117"/>
      <c r="Y161" s="1140"/>
      <c r="Z161" s="1117"/>
      <c r="AA161" s="1117"/>
      <c r="AB161" s="1117"/>
      <c r="AC161" s="1117"/>
      <c r="AD161" s="1117"/>
      <c r="AE161" s="1117"/>
      <c r="AF161" s="1117"/>
      <c r="AG161" s="1117"/>
      <c r="AK161" s="1121"/>
      <c r="DG161" s="1120"/>
      <c r="DH161" s="1119"/>
      <c r="DI161" s="1119"/>
      <c r="DJ161" s="1192"/>
    </row>
    <row r="162" spans="1:114" s="1118" customFormat="1" hidden="1" outlineLevel="1">
      <c r="A162" s="543"/>
      <c r="B162" s="1271"/>
      <c r="C162" s="1270"/>
      <c r="D162" s="2303" t="s">
        <v>1078</v>
      </c>
      <c r="E162" s="2303" t="s">
        <v>967</v>
      </c>
      <c r="F162" s="2207" t="s">
        <v>1215</v>
      </c>
      <c r="G162" s="2304" t="s">
        <v>969</v>
      </c>
      <c r="H162" s="4052" t="s">
        <v>970</v>
      </c>
      <c r="I162" s="4052"/>
      <c r="J162" s="4634" t="s">
        <v>755</v>
      </c>
      <c r="K162" s="4730"/>
      <c r="L162" s="4731"/>
      <c r="M162" s="1119"/>
      <c r="N162" s="1119"/>
      <c r="O162" s="1119"/>
      <c r="P162" s="1119"/>
      <c r="Q162" s="1119"/>
      <c r="R162" s="1119"/>
      <c r="S162" s="1119"/>
      <c r="T162" s="1119"/>
      <c r="U162" s="1119"/>
      <c r="V162" s="3901" t="s">
        <v>52</v>
      </c>
      <c r="W162" s="3902">
        <f t="shared" ref="W162:AG162" si="19">W$6</f>
        <v>43252</v>
      </c>
      <c r="X162" s="3902">
        <f t="shared" si="19"/>
        <v>43435</v>
      </c>
      <c r="Y162" s="3903">
        <f t="shared" si="19"/>
        <v>43800</v>
      </c>
      <c r="Z162" s="3902">
        <f t="shared" si="19"/>
        <v>43862</v>
      </c>
      <c r="AA162" s="3902">
        <f t="shared" si="19"/>
        <v>44013</v>
      </c>
      <c r="AB162" s="3902">
        <f t="shared" si="19"/>
        <v>44166</v>
      </c>
      <c r="AC162" s="3902">
        <f t="shared" si="19"/>
        <v>44531</v>
      </c>
      <c r="AD162" s="3902">
        <f t="shared" si="19"/>
        <v>44774</v>
      </c>
      <c r="AE162" s="3902">
        <f t="shared" si="19"/>
        <v>45139</v>
      </c>
      <c r="AF162" s="3902">
        <f t="shared" si="19"/>
        <v>45672</v>
      </c>
      <c r="AG162" s="3902" t="str">
        <f t="shared" si="19"/>
        <v>-</v>
      </c>
      <c r="AK162" s="1121"/>
      <c r="DG162" s="1120"/>
      <c r="DH162" s="1119"/>
      <c r="DI162" s="1119"/>
      <c r="DJ162" s="1192"/>
    </row>
    <row r="163" spans="1:114" s="1118" customFormat="1" ht="32.25" hidden="1" customHeight="1" outlineLevel="1">
      <c r="A163" s="543"/>
      <c r="B163" s="1271"/>
      <c r="C163" s="1270"/>
      <c r="D163" s="1444" t="s">
        <v>1325</v>
      </c>
      <c r="E163" s="1444" t="s">
        <v>1326</v>
      </c>
      <c r="F163" s="1444"/>
      <c r="G163" s="2347">
        <v>1</v>
      </c>
      <c r="H163" s="4166" t="s">
        <v>1370</v>
      </c>
      <c r="I163" s="4167"/>
      <c r="J163" s="4542" t="s">
        <v>2953</v>
      </c>
      <c r="K163" s="4543"/>
      <c r="L163" s="4543"/>
      <c r="M163" s="1119"/>
      <c r="N163" s="1119"/>
      <c r="O163" s="1119"/>
      <c r="P163" s="1119"/>
      <c r="Q163" s="1119"/>
      <c r="R163" s="1119"/>
      <c r="S163" s="1119"/>
      <c r="T163" s="1119"/>
      <c r="U163" s="1119"/>
      <c r="V163" s="3904" t="s">
        <v>1325</v>
      </c>
      <c r="W163" s="3905"/>
      <c r="X163" s="3905"/>
      <c r="Y163" s="3905"/>
      <c r="Z163" s="3905"/>
      <c r="AA163" s="3905"/>
      <c r="AB163" s="3905"/>
      <c r="AC163" s="3906"/>
      <c r="AD163" s="3906"/>
      <c r="AE163" s="3907">
        <v>1</v>
      </c>
      <c r="AF163" s="3908">
        <f t="shared" ref="AF163:AF181" si="20">IF(G163&lt;&gt;"",G163,"")</f>
        <v>1</v>
      </c>
      <c r="AG163" s="3909"/>
      <c r="AK163" s="1121"/>
      <c r="DG163" s="1120"/>
      <c r="DH163" s="1119"/>
      <c r="DI163" s="1119"/>
      <c r="DJ163" s="1192"/>
    </row>
    <row r="164" spans="1:114" s="1118" customFormat="1" ht="44.25" hidden="1" customHeight="1" outlineLevel="1">
      <c r="A164" s="543"/>
      <c r="B164" s="1271"/>
      <c r="C164" s="1270"/>
      <c r="D164" s="1444" t="s">
        <v>1329</v>
      </c>
      <c r="E164" s="1444" t="s">
        <v>3083</v>
      </c>
      <c r="F164" s="1444"/>
      <c r="G164" s="2289">
        <v>2.2000000000000002</v>
      </c>
      <c r="H164" s="4156" t="s">
        <v>1533</v>
      </c>
      <c r="I164" s="4157"/>
      <c r="J164" s="4547" t="s">
        <v>1575</v>
      </c>
      <c r="K164" s="4548"/>
      <c r="L164" s="4549"/>
      <c r="M164" s="1119"/>
      <c r="N164" s="1119"/>
      <c r="O164" s="1119"/>
      <c r="P164" s="1119"/>
      <c r="Q164" s="1119"/>
      <c r="R164" s="1119"/>
      <c r="S164" s="1119"/>
      <c r="T164" s="1119"/>
      <c r="U164" s="1119"/>
      <c r="V164" s="3904" t="s">
        <v>1329</v>
      </c>
      <c r="W164" s="3905"/>
      <c r="X164" s="3905"/>
      <c r="Y164" s="3905"/>
      <c r="Z164" s="3905"/>
      <c r="AA164" s="3905"/>
      <c r="AB164" s="3905"/>
      <c r="AC164" s="3906"/>
      <c r="AD164" s="3906"/>
      <c r="AE164" s="3910">
        <v>2.2000000000000002</v>
      </c>
      <c r="AF164" s="3908">
        <f t="shared" si="20"/>
        <v>2.2000000000000002</v>
      </c>
      <c r="AG164" s="3909"/>
      <c r="AK164" s="1121"/>
      <c r="DG164" s="1120"/>
      <c r="DH164" s="1119"/>
      <c r="DI164" s="1119"/>
      <c r="DJ164" s="1192"/>
    </row>
    <row r="165" spans="1:114" s="1118" customFormat="1" ht="63.75" hidden="1" customHeight="1" outlineLevel="1">
      <c r="A165" s="543"/>
      <c r="B165" s="1271"/>
      <c r="C165" s="1270"/>
      <c r="D165" s="1444" t="s">
        <v>1333</v>
      </c>
      <c r="E165" s="2317" t="s">
        <v>3084</v>
      </c>
      <c r="F165" s="1444"/>
      <c r="G165" s="2370">
        <v>3.7</v>
      </c>
      <c r="H165" s="4725" t="s">
        <v>1537</v>
      </c>
      <c r="I165" s="4726"/>
      <c r="J165" s="4547" t="s">
        <v>1575</v>
      </c>
      <c r="K165" s="4548"/>
      <c r="L165" s="4549"/>
      <c r="M165" s="1119"/>
      <c r="N165" s="1119"/>
      <c r="O165" s="1119"/>
      <c r="P165" s="1119"/>
      <c r="Q165" s="1119"/>
      <c r="R165" s="1119"/>
      <c r="S165" s="1119"/>
      <c r="T165" s="1119"/>
      <c r="U165" s="1119"/>
      <c r="V165" s="3904" t="s">
        <v>1333</v>
      </c>
      <c r="W165" s="3905"/>
      <c r="X165" s="3905"/>
      <c r="Y165" s="3905"/>
      <c r="Z165" s="3905"/>
      <c r="AA165" s="3905"/>
      <c r="AB165" s="3905"/>
      <c r="AC165" s="3906"/>
      <c r="AD165" s="3906"/>
      <c r="AE165" s="3911">
        <v>3.7</v>
      </c>
      <c r="AF165" s="3908">
        <f t="shared" si="20"/>
        <v>3.7</v>
      </c>
      <c r="AG165" s="3909"/>
      <c r="AK165" s="1121"/>
      <c r="DG165" s="1120"/>
      <c r="DH165" s="1119"/>
      <c r="DI165" s="1119"/>
      <c r="DJ165" s="1192"/>
    </row>
    <row r="166" spans="1:114" s="1118" customFormat="1" ht="45.75" hidden="1" customHeight="1" outlineLevel="1">
      <c r="A166" s="543"/>
      <c r="B166" s="1271"/>
      <c r="C166" s="1270"/>
      <c r="D166" s="1444" t="s">
        <v>1337</v>
      </c>
      <c r="E166" s="1444" t="s">
        <v>3085</v>
      </c>
      <c r="F166" s="1444"/>
      <c r="G166" s="2322">
        <v>1.5</v>
      </c>
      <c r="H166" s="4158" t="s">
        <v>3665</v>
      </c>
      <c r="I166" s="4130"/>
      <c r="J166" s="4547" t="s">
        <v>1575</v>
      </c>
      <c r="K166" s="4548"/>
      <c r="L166" s="4549"/>
      <c r="M166" s="1119"/>
      <c r="N166" s="1119"/>
      <c r="O166" s="1119"/>
      <c r="P166" s="1119"/>
      <c r="Q166" s="1119"/>
      <c r="R166" s="1119"/>
      <c r="S166" s="1119"/>
      <c r="T166" s="1119"/>
      <c r="U166" s="1119"/>
      <c r="V166" s="3904" t="s">
        <v>1337</v>
      </c>
      <c r="W166" s="3905"/>
      <c r="X166" s="3905"/>
      <c r="Y166" s="3905"/>
      <c r="Z166" s="3905"/>
      <c r="AA166" s="3905"/>
      <c r="AB166" s="3905"/>
      <c r="AC166" s="3906"/>
      <c r="AD166" s="3906"/>
      <c r="AE166" s="3910">
        <v>1.5</v>
      </c>
      <c r="AF166" s="3908">
        <f t="shared" si="20"/>
        <v>1.5</v>
      </c>
      <c r="AG166" s="3912"/>
      <c r="AK166" s="1121"/>
      <c r="DG166" s="1120"/>
      <c r="DH166" s="1119"/>
      <c r="DI166" s="1119"/>
      <c r="DJ166" s="1192"/>
    </row>
    <row r="167" spans="1:114" s="1118" customFormat="1" ht="68.25" hidden="1" customHeight="1" outlineLevel="1">
      <c r="A167" s="543"/>
      <c r="B167" s="1271"/>
      <c r="C167" s="1270"/>
      <c r="D167" s="1444" t="s">
        <v>1340</v>
      </c>
      <c r="E167" s="2317" t="s">
        <v>3084</v>
      </c>
      <c r="F167" s="1444"/>
      <c r="G167" s="2372">
        <v>3.7</v>
      </c>
      <c r="H167" s="4725" t="s">
        <v>1537</v>
      </c>
      <c r="I167" s="4726"/>
      <c r="J167" s="4547" t="s">
        <v>1575</v>
      </c>
      <c r="K167" s="4548"/>
      <c r="L167" s="4549"/>
      <c r="M167" s="1119"/>
      <c r="N167" s="1119"/>
      <c r="O167" s="1119"/>
      <c r="P167" s="1119"/>
      <c r="Q167" s="1119"/>
      <c r="R167" s="1119"/>
      <c r="S167" s="1119"/>
      <c r="T167" s="1119"/>
      <c r="U167" s="1119"/>
      <c r="V167" s="3904" t="s">
        <v>1340</v>
      </c>
      <c r="W167" s="3905"/>
      <c r="X167" s="3905"/>
      <c r="Y167" s="3905"/>
      <c r="Z167" s="3905"/>
      <c r="AA167" s="3905"/>
      <c r="AB167" s="3905"/>
      <c r="AC167" s="3906"/>
      <c r="AD167" s="3906"/>
      <c r="AE167" s="3913">
        <v>3.7</v>
      </c>
      <c r="AF167" s="3908">
        <f t="shared" si="20"/>
        <v>3.7</v>
      </c>
      <c r="AG167" s="3912"/>
      <c r="AK167" s="1121"/>
      <c r="DG167" s="1120"/>
      <c r="DH167" s="1119"/>
      <c r="DI167" s="1119"/>
      <c r="DJ167" s="1192"/>
    </row>
    <row r="168" spans="1:114" s="1118" customFormat="1" ht="78" hidden="1" customHeight="1" outlineLevel="1">
      <c r="A168" s="543"/>
      <c r="B168" s="1271"/>
      <c r="C168" s="1270"/>
      <c r="D168" s="1444" t="s">
        <v>982</v>
      </c>
      <c r="E168" s="2317" t="s">
        <v>3087</v>
      </c>
      <c r="F168" s="1444"/>
      <c r="G168" s="2373">
        <v>1.5644946808510638</v>
      </c>
      <c r="H168" s="4725" t="s">
        <v>1542</v>
      </c>
      <c r="I168" s="4726"/>
      <c r="J168" s="4547" t="s">
        <v>1575</v>
      </c>
      <c r="K168" s="4548"/>
      <c r="L168" s="4549"/>
      <c r="M168" s="1119"/>
      <c r="N168" s="1119"/>
      <c r="O168" s="1119"/>
      <c r="P168" s="1119"/>
      <c r="Q168" s="1119"/>
      <c r="R168" s="1119"/>
      <c r="S168" s="1119"/>
      <c r="T168" s="1119"/>
      <c r="U168" s="1119"/>
      <c r="V168" s="3904" t="s">
        <v>982</v>
      </c>
      <c r="W168" s="3905"/>
      <c r="X168" s="3905"/>
      <c r="Y168" s="3905"/>
      <c r="Z168" s="3905"/>
      <c r="AA168" s="3905"/>
      <c r="AB168" s="3905"/>
      <c r="AC168" s="3906"/>
      <c r="AD168" s="3906"/>
      <c r="AE168" s="3914">
        <v>1.5644946808510638</v>
      </c>
      <c r="AF168" s="3908">
        <f t="shared" si="20"/>
        <v>1.5644946808510638</v>
      </c>
      <c r="AG168" s="3912"/>
      <c r="AK168" s="1121"/>
      <c r="DG168" s="1120"/>
      <c r="DH168" s="1119"/>
      <c r="DI168" s="1119"/>
      <c r="DJ168" s="1192"/>
    </row>
    <row r="169" spans="1:114" s="1118" customFormat="1" ht="45.75" hidden="1" customHeight="1" outlineLevel="1">
      <c r="A169" s="543"/>
      <c r="B169" s="1271"/>
      <c r="C169" s="1270"/>
      <c r="D169" s="1840" t="s">
        <v>1543</v>
      </c>
      <c r="E169" s="1444" t="s">
        <v>1544</v>
      </c>
      <c r="F169" s="1444"/>
      <c r="G169" s="2349">
        <v>1</v>
      </c>
      <c r="H169" s="4158" t="s">
        <v>1547</v>
      </c>
      <c r="I169" s="4130"/>
      <c r="J169" s="4727" t="s">
        <v>1578</v>
      </c>
      <c r="K169" s="4728"/>
      <c r="L169" s="4729"/>
      <c r="M169" s="1119"/>
      <c r="N169" s="1119"/>
      <c r="O169" s="1119"/>
      <c r="P169" s="1119"/>
      <c r="Q169" s="1119"/>
      <c r="R169" s="1119"/>
      <c r="S169" s="1119"/>
      <c r="T169" s="1119"/>
      <c r="U169" s="1119"/>
      <c r="V169" s="3915" t="s">
        <v>1543</v>
      </c>
      <c r="W169" s="3905"/>
      <c r="X169" s="3905"/>
      <c r="Y169" s="3905"/>
      <c r="Z169" s="3905"/>
      <c r="AA169" s="3905"/>
      <c r="AB169" s="3905"/>
      <c r="AC169" s="3906"/>
      <c r="AD169" s="3906"/>
      <c r="AE169" s="3916">
        <v>1</v>
      </c>
      <c r="AF169" s="3908">
        <f t="shared" si="20"/>
        <v>1</v>
      </c>
      <c r="AG169" s="3912"/>
      <c r="AK169" s="1121"/>
      <c r="DG169" s="1120"/>
      <c r="DH169" s="1119"/>
      <c r="DI169" s="1119"/>
      <c r="DJ169" s="1192"/>
    </row>
    <row r="170" spans="1:114" s="1118" customFormat="1" hidden="1" outlineLevel="1">
      <c r="A170" s="543"/>
      <c r="B170" s="1271"/>
      <c r="C170" s="1270"/>
      <c r="D170" s="1840">
        <v>365.25</v>
      </c>
      <c r="E170" s="2317" t="s">
        <v>3088</v>
      </c>
      <c r="F170" s="1444"/>
      <c r="G170" s="2374">
        <v>365.25</v>
      </c>
      <c r="H170" s="4158" t="s">
        <v>1350</v>
      </c>
      <c r="I170" s="4130"/>
      <c r="J170" s="4547" t="s">
        <v>1575</v>
      </c>
      <c r="K170" s="4548"/>
      <c r="L170" s="4549"/>
      <c r="M170" s="1119"/>
      <c r="N170" s="1119"/>
      <c r="O170" s="1119"/>
      <c r="P170" s="1119"/>
      <c r="Q170" s="1119"/>
      <c r="R170" s="1119"/>
      <c r="S170" s="1119"/>
      <c r="T170" s="1119"/>
      <c r="U170" s="1119"/>
      <c r="V170" s="3915">
        <v>365.25</v>
      </c>
      <c r="W170" s="3905"/>
      <c r="X170" s="3905"/>
      <c r="Y170" s="3905"/>
      <c r="Z170" s="3905"/>
      <c r="AA170" s="3905"/>
      <c r="AB170" s="3905"/>
      <c r="AC170" s="3906"/>
      <c r="AD170" s="3906"/>
      <c r="AE170" s="3917">
        <v>365.25</v>
      </c>
      <c r="AF170" s="3908">
        <f t="shared" si="20"/>
        <v>365.25</v>
      </c>
      <c r="AG170" s="3912"/>
      <c r="AK170" s="1121"/>
      <c r="DG170" s="1120"/>
      <c r="DH170" s="1119"/>
      <c r="DI170" s="1119"/>
      <c r="DJ170" s="1192"/>
    </row>
    <row r="171" spans="1:114" s="1118" customFormat="1" ht="27.75" hidden="1" customHeight="1" outlineLevel="1">
      <c r="A171" s="543"/>
      <c r="B171" s="1271"/>
      <c r="C171" s="1270"/>
      <c r="D171" s="1840" t="s">
        <v>1548</v>
      </c>
      <c r="E171" s="2317" t="s">
        <v>3089</v>
      </c>
      <c r="F171" s="1444"/>
      <c r="G171" s="2373">
        <v>1</v>
      </c>
      <c r="H171" s="4020" t="s">
        <v>3108</v>
      </c>
      <c r="I171" s="4020"/>
      <c r="J171" s="4547" t="s">
        <v>3091</v>
      </c>
      <c r="K171" s="4548"/>
      <c r="L171" s="4549"/>
      <c r="M171" s="1119"/>
      <c r="N171" s="1119"/>
      <c r="O171" s="1119"/>
      <c r="P171" s="1119"/>
      <c r="Q171" s="1119"/>
      <c r="R171" s="1119"/>
      <c r="S171" s="1119"/>
      <c r="T171" s="1119"/>
      <c r="U171" s="1119"/>
      <c r="V171" s="3915" t="s">
        <v>1548</v>
      </c>
      <c r="W171" s="3905"/>
      <c r="X171" s="3905"/>
      <c r="Y171" s="3905"/>
      <c r="Z171" s="3905"/>
      <c r="AA171" s="3905"/>
      <c r="AB171" s="3905"/>
      <c r="AC171" s="3906"/>
      <c r="AD171" s="3906"/>
      <c r="AE171" s="3913">
        <v>1</v>
      </c>
      <c r="AF171" s="3908">
        <f t="shared" si="20"/>
        <v>1</v>
      </c>
      <c r="AG171" s="3912"/>
      <c r="AK171" s="1121"/>
      <c r="DG171" s="1120"/>
      <c r="DH171" s="1119"/>
      <c r="DI171" s="1119"/>
      <c r="DJ171" s="1192"/>
    </row>
    <row r="172" spans="1:114" s="1118" customFormat="1" hidden="1" outlineLevel="1">
      <c r="A172" s="543"/>
      <c r="B172" s="1271"/>
      <c r="C172" s="1270"/>
      <c r="D172" s="1840">
        <v>8.33</v>
      </c>
      <c r="E172" s="2317" t="s">
        <v>1355</v>
      </c>
      <c r="F172" s="1444"/>
      <c r="G172" s="2349">
        <v>8.33</v>
      </c>
      <c r="H172" s="4166" t="s">
        <v>1356</v>
      </c>
      <c r="I172" s="4167"/>
      <c r="J172" s="4547" t="s">
        <v>1575</v>
      </c>
      <c r="K172" s="4548"/>
      <c r="L172" s="4549"/>
      <c r="M172" s="1119"/>
      <c r="N172" s="1119"/>
      <c r="O172" s="1119"/>
      <c r="P172" s="1119"/>
      <c r="Q172" s="1119"/>
      <c r="R172" s="1119"/>
      <c r="S172" s="1119"/>
      <c r="T172" s="1119"/>
      <c r="U172" s="1119"/>
      <c r="V172" s="3915">
        <v>8.33</v>
      </c>
      <c r="W172" s="3905"/>
      <c r="X172" s="3905"/>
      <c r="Y172" s="3905"/>
      <c r="Z172" s="3905"/>
      <c r="AA172" s="3905"/>
      <c r="AB172" s="3905"/>
      <c r="AC172" s="3906"/>
      <c r="AD172" s="3906"/>
      <c r="AE172" s="3916">
        <v>8.33</v>
      </c>
      <c r="AF172" s="3908">
        <f t="shared" si="20"/>
        <v>8.33</v>
      </c>
      <c r="AG172" s="3912"/>
      <c r="AK172" s="1121"/>
      <c r="DG172" s="1120"/>
      <c r="DH172" s="1119"/>
      <c r="DI172" s="1119"/>
      <c r="DJ172" s="1192"/>
    </row>
    <row r="173" spans="1:114" s="1118" customFormat="1" ht="31.5" hidden="1" customHeight="1" outlineLevel="1">
      <c r="A173" s="543"/>
      <c r="B173" s="1271"/>
      <c r="C173" s="1270"/>
      <c r="D173" s="1840">
        <v>1</v>
      </c>
      <c r="E173" s="2274" t="s">
        <v>3092</v>
      </c>
      <c r="F173" s="1444"/>
      <c r="G173" s="2349">
        <v>1</v>
      </c>
      <c r="H173" s="4158" t="s">
        <v>1358</v>
      </c>
      <c r="I173" s="4130"/>
      <c r="J173" s="4547" t="s">
        <v>1575</v>
      </c>
      <c r="K173" s="4548"/>
      <c r="L173" s="4549"/>
      <c r="M173" s="1119"/>
      <c r="N173" s="1119"/>
      <c r="O173" s="1119"/>
      <c r="P173" s="1119"/>
      <c r="Q173" s="1119"/>
      <c r="R173" s="1119"/>
      <c r="S173" s="1119"/>
      <c r="T173" s="1119"/>
      <c r="U173" s="1119"/>
      <c r="V173" s="3915">
        <v>1</v>
      </c>
      <c r="W173" s="3905"/>
      <c r="X173" s="3905"/>
      <c r="Y173" s="3905"/>
      <c r="Z173" s="3905"/>
      <c r="AA173" s="3905"/>
      <c r="AB173" s="3905"/>
      <c r="AC173" s="3906"/>
      <c r="AD173" s="3906"/>
      <c r="AE173" s="3916">
        <v>1</v>
      </c>
      <c r="AF173" s="3908">
        <f t="shared" si="20"/>
        <v>1</v>
      </c>
      <c r="AG173" s="3912"/>
      <c r="AK173" s="1121"/>
      <c r="DG173" s="1120"/>
      <c r="DH173" s="1119"/>
      <c r="DI173" s="1119"/>
      <c r="DJ173" s="1192"/>
    </row>
    <row r="174" spans="1:114" s="1118" customFormat="1" ht="80.25" hidden="1" customHeight="1" outlineLevel="1">
      <c r="A174" s="543"/>
      <c r="B174" s="1271"/>
      <c r="C174" s="1270"/>
      <c r="D174" s="1444" t="s">
        <v>1553</v>
      </c>
      <c r="E174" s="2317" t="s">
        <v>3093</v>
      </c>
      <c r="F174" s="1444"/>
      <c r="G174" s="2349">
        <v>93</v>
      </c>
      <c r="H174" s="4582" t="s">
        <v>3109</v>
      </c>
      <c r="I174" s="4582"/>
      <c r="J174" s="4547" t="s">
        <v>1575</v>
      </c>
      <c r="K174" s="4548"/>
      <c r="L174" s="4549"/>
      <c r="M174" s="1119"/>
      <c r="N174" s="1119"/>
      <c r="O174" s="1119"/>
      <c r="P174" s="1119"/>
      <c r="Q174" s="1119"/>
      <c r="R174" s="1119"/>
      <c r="S174" s="1119"/>
      <c r="T174" s="1119"/>
      <c r="U174" s="1119"/>
      <c r="V174" s="3904" t="s">
        <v>1553</v>
      </c>
      <c r="W174" s="3905"/>
      <c r="X174" s="3905"/>
      <c r="Y174" s="3905"/>
      <c r="Z174" s="3905"/>
      <c r="AA174" s="3905"/>
      <c r="AB174" s="3905"/>
      <c r="AC174" s="3906"/>
      <c r="AD174" s="3906"/>
      <c r="AE174" s="3916">
        <v>93</v>
      </c>
      <c r="AF174" s="3908">
        <f t="shared" si="20"/>
        <v>93</v>
      </c>
      <c r="AG174" s="3912"/>
      <c r="AK174" s="1121"/>
      <c r="DG174" s="1120"/>
      <c r="DH174" s="1119"/>
      <c r="DI174" s="1119"/>
      <c r="DJ174" s="1192"/>
    </row>
    <row r="175" spans="1:114" s="1118" customFormat="1" ht="79.5" hidden="1" customHeight="1" outlineLevel="1">
      <c r="A175" s="543"/>
      <c r="B175" s="1271"/>
      <c r="C175" s="1270"/>
      <c r="D175" s="1444" t="s">
        <v>1362</v>
      </c>
      <c r="E175" s="2317" t="s">
        <v>1363</v>
      </c>
      <c r="F175" s="1444"/>
      <c r="G175" s="2353">
        <v>58.4</v>
      </c>
      <c r="H175" s="4022" t="s">
        <v>996</v>
      </c>
      <c r="I175" s="4022"/>
      <c r="J175" s="4547" t="s">
        <v>1575</v>
      </c>
      <c r="K175" s="4548"/>
      <c r="L175" s="4549"/>
      <c r="M175" s="1119"/>
      <c r="N175" s="1119"/>
      <c r="O175" s="1119"/>
      <c r="P175" s="1119"/>
      <c r="Q175" s="1119"/>
      <c r="R175" s="1119"/>
      <c r="S175" s="1119"/>
      <c r="T175" s="1119"/>
      <c r="U175" s="1119"/>
      <c r="V175" s="3904" t="s">
        <v>1362</v>
      </c>
      <c r="W175" s="3905"/>
      <c r="X175" s="3905"/>
      <c r="Y175" s="3905"/>
      <c r="Z175" s="3905"/>
      <c r="AA175" s="3905"/>
      <c r="AB175" s="3905"/>
      <c r="AC175" s="3906"/>
      <c r="AD175" s="3906"/>
      <c r="AE175" s="3916">
        <v>61.3</v>
      </c>
      <c r="AF175" s="3908">
        <f t="shared" si="20"/>
        <v>58.4</v>
      </c>
      <c r="AG175" s="3912"/>
      <c r="AK175" s="1121"/>
      <c r="DG175" s="1120"/>
      <c r="DH175" s="1119"/>
      <c r="DI175" s="1119"/>
      <c r="DJ175" s="1192"/>
    </row>
    <row r="176" spans="1:114" s="1118" customFormat="1" ht="60" hidden="1" customHeight="1" outlineLevel="1">
      <c r="A176" s="543"/>
      <c r="B176" s="1271"/>
      <c r="C176" s="1270"/>
      <c r="D176" s="1444" t="s">
        <v>1365</v>
      </c>
      <c r="E176" s="2317" t="s">
        <v>1366</v>
      </c>
      <c r="F176" s="1444"/>
      <c r="G176" s="2349">
        <v>0.98</v>
      </c>
      <c r="H176" s="4725" t="s">
        <v>3094</v>
      </c>
      <c r="I176" s="4726"/>
      <c r="J176" s="4547" t="s">
        <v>1575</v>
      </c>
      <c r="K176" s="4548"/>
      <c r="L176" s="4549"/>
      <c r="M176" s="1119"/>
      <c r="N176" s="1119"/>
      <c r="O176" s="1119"/>
      <c r="P176" s="1119"/>
      <c r="Q176" s="1119"/>
      <c r="R176" s="1119"/>
      <c r="S176" s="1119"/>
      <c r="T176" s="1119"/>
      <c r="U176" s="1119"/>
      <c r="V176" s="3904" t="s">
        <v>1365</v>
      </c>
      <c r="W176" s="3905"/>
      <c r="X176" s="3905"/>
      <c r="Y176" s="3905"/>
      <c r="Z176" s="3905"/>
      <c r="AA176" s="3905"/>
      <c r="AB176" s="3905"/>
      <c r="AC176" s="3906"/>
      <c r="AD176" s="3906"/>
      <c r="AE176" s="3916">
        <v>0.98</v>
      </c>
      <c r="AF176" s="3908">
        <f t="shared" si="20"/>
        <v>0.98</v>
      </c>
      <c r="AG176" s="3912"/>
      <c r="AK176" s="1121"/>
      <c r="DG176" s="1120"/>
      <c r="DH176" s="1119"/>
      <c r="DI176" s="1119"/>
      <c r="DJ176" s="1192"/>
    </row>
    <row r="177" spans="1:114" s="1118" customFormat="1" hidden="1" outlineLevel="1">
      <c r="A177" s="543"/>
      <c r="B177" s="1271"/>
      <c r="C177" s="1270"/>
      <c r="D177" s="1444">
        <v>3412</v>
      </c>
      <c r="E177" s="2317">
        <v>3412</v>
      </c>
      <c r="F177" s="1444"/>
      <c r="G177" s="2349">
        <v>3412</v>
      </c>
      <c r="H177" s="4166" t="s">
        <v>1000</v>
      </c>
      <c r="I177" s="4167"/>
      <c r="J177" s="4547" t="s">
        <v>1575</v>
      </c>
      <c r="K177" s="4548"/>
      <c r="L177" s="4549"/>
      <c r="M177" s="1119"/>
      <c r="N177" s="1119"/>
      <c r="O177" s="1119"/>
      <c r="P177" s="1119"/>
      <c r="Q177" s="1119"/>
      <c r="R177" s="1119"/>
      <c r="S177" s="1119"/>
      <c r="T177" s="1119"/>
      <c r="U177" s="1119"/>
      <c r="V177" s="3904">
        <v>3412</v>
      </c>
      <c r="W177" s="3905"/>
      <c r="X177" s="3905"/>
      <c r="Y177" s="3905"/>
      <c r="Z177" s="3905"/>
      <c r="AA177" s="3905"/>
      <c r="AB177" s="3905"/>
      <c r="AC177" s="3906"/>
      <c r="AD177" s="3906"/>
      <c r="AE177" s="3916">
        <v>3412</v>
      </c>
      <c r="AF177" s="3908">
        <f t="shared" si="20"/>
        <v>3412</v>
      </c>
      <c r="AG177" s="3912"/>
      <c r="AK177" s="1121"/>
      <c r="DG177" s="1120"/>
      <c r="DH177" s="1119"/>
      <c r="DI177" s="1119"/>
      <c r="DJ177" s="1192"/>
    </row>
    <row r="178" spans="1:114" s="1118" customFormat="1" ht="27.75" hidden="1" customHeight="1" outlineLevel="1">
      <c r="A178" s="543"/>
      <c r="B178" s="1271"/>
      <c r="C178" s="1270"/>
      <c r="D178" s="1444" t="s">
        <v>1368</v>
      </c>
      <c r="E178" s="1444" t="s">
        <v>1369</v>
      </c>
      <c r="F178" s="1444"/>
      <c r="G178" s="2319">
        <v>1</v>
      </c>
      <c r="H178" s="4166" t="s">
        <v>1370</v>
      </c>
      <c r="I178" s="4167"/>
      <c r="J178" s="4547" t="s">
        <v>2953</v>
      </c>
      <c r="K178" s="4548"/>
      <c r="L178" s="4548"/>
      <c r="M178" s="1119"/>
      <c r="N178" s="1119"/>
      <c r="O178" s="1119"/>
      <c r="P178" s="1119"/>
      <c r="Q178" s="1119"/>
      <c r="R178" s="1119"/>
      <c r="S178" s="1119"/>
      <c r="T178" s="1119"/>
      <c r="U178" s="1119"/>
      <c r="V178" s="3904" t="s">
        <v>1368</v>
      </c>
      <c r="W178" s="3905"/>
      <c r="X178" s="3905"/>
      <c r="Y178" s="3905"/>
      <c r="Z178" s="3905"/>
      <c r="AA178" s="3905"/>
      <c r="AB178" s="3905"/>
      <c r="AC178" s="3906"/>
      <c r="AD178" s="3906"/>
      <c r="AE178" s="3918">
        <v>1</v>
      </c>
      <c r="AF178" s="3908">
        <f t="shared" si="20"/>
        <v>1</v>
      </c>
      <c r="AG178" s="3912"/>
      <c r="AK178" s="1121"/>
      <c r="DG178" s="1120"/>
      <c r="DH178" s="1119"/>
      <c r="DI178" s="1119"/>
      <c r="DJ178" s="1192"/>
    </row>
    <row r="179" spans="1:114" s="1118" customFormat="1" ht="43.5" hidden="1" customHeight="1" outlineLevel="1">
      <c r="A179" s="543"/>
      <c r="B179" s="1271"/>
      <c r="C179" s="1270"/>
      <c r="D179" s="2375" t="s">
        <v>128</v>
      </c>
      <c r="E179" s="2352" t="s">
        <v>1371</v>
      </c>
      <c r="F179" s="1444" t="s">
        <v>1196</v>
      </c>
      <c r="G179" s="2376">
        <v>0.80900000000000005</v>
      </c>
      <c r="H179" s="4713" t="s">
        <v>3631</v>
      </c>
      <c r="I179" s="4713"/>
      <c r="J179" s="4560"/>
      <c r="K179" s="4561"/>
      <c r="L179" s="4562"/>
      <c r="M179" s="1119"/>
      <c r="N179" s="1119"/>
      <c r="O179" s="1119"/>
      <c r="P179" s="1119"/>
      <c r="Q179" s="1119"/>
      <c r="R179" s="1119"/>
      <c r="S179" s="1119"/>
      <c r="T179" s="1119"/>
      <c r="U179" s="1119"/>
      <c r="V179" s="3904"/>
      <c r="W179" s="3905"/>
      <c r="X179" s="3905"/>
      <c r="Y179" s="3905"/>
      <c r="Z179" s="3905"/>
      <c r="AA179" s="3905"/>
      <c r="AB179" s="3905"/>
      <c r="AC179" s="3906"/>
      <c r="AD179" s="3906"/>
      <c r="AE179" s="3919">
        <v>0.80900000000000005</v>
      </c>
      <c r="AF179" s="3908">
        <f t="shared" si="20"/>
        <v>0.80900000000000005</v>
      </c>
      <c r="AG179" s="3912"/>
      <c r="AK179" s="1121"/>
      <c r="DG179" s="1120"/>
      <c r="DH179" s="1119"/>
      <c r="DI179" s="1119"/>
      <c r="DJ179" s="1192"/>
    </row>
    <row r="180" spans="1:114" s="1118" customFormat="1" ht="48" hidden="1" customHeight="1" outlineLevel="1">
      <c r="A180" s="543"/>
      <c r="B180" s="1271"/>
      <c r="C180" s="1270"/>
      <c r="D180" s="2377" t="s">
        <v>49</v>
      </c>
      <c r="E180" s="2377" t="s">
        <v>1198</v>
      </c>
      <c r="F180" s="1444" t="s">
        <v>1102</v>
      </c>
      <c r="G180" s="2378">
        <v>10</v>
      </c>
      <c r="H180" s="4568" t="s">
        <v>1563</v>
      </c>
      <c r="I180" s="4569"/>
      <c r="J180" s="4560"/>
      <c r="K180" s="4561"/>
      <c r="L180" s="4562"/>
      <c r="M180" s="1119"/>
      <c r="N180" s="1119"/>
      <c r="O180" s="1119"/>
      <c r="P180" s="1119"/>
      <c r="Q180" s="1119"/>
      <c r="R180" s="1119"/>
      <c r="S180" s="1119"/>
      <c r="T180" s="1119"/>
      <c r="U180" s="1119"/>
      <c r="V180" s="3920" t="str">
        <f>D180</f>
        <v>EUL</v>
      </c>
      <c r="W180" s="3905"/>
      <c r="X180" s="3905"/>
      <c r="Y180" s="3905"/>
      <c r="Z180" s="3905"/>
      <c r="AA180" s="3905"/>
      <c r="AB180" s="3905"/>
      <c r="AC180" s="3906"/>
      <c r="AD180" s="3906"/>
      <c r="AE180" s="3916">
        <v>11</v>
      </c>
      <c r="AF180" s="3908">
        <f t="shared" si="20"/>
        <v>10</v>
      </c>
      <c r="AG180" s="3912"/>
      <c r="AK180" s="1121"/>
      <c r="DG180" s="1120"/>
      <c r="DH180" s="1119"/>
      <c r="DI180" s="1119"/>
      <c r="DJ180" s="1192"/>
    </row>
    <row r="181" spans="1:114" s="1118" customFormat="1" ht="18" hidden="1" customHeight="1" outlineLevel="1">
      <c r="A181" s="543"/>
      <c r="B181" s="1271"/>
      <c r="C181" s="1270"/>
      <c r="D181" s="2323" t="s">
        <v>50</v>
      </c>
      <c r="E181" s="2323" t="s">
        <v>1135</v>
      </c>
      <c r="F181" s="1444" t="s">
        <v>1196</v>
      </c>
      <c r="G181" s="2379">
        <v>11.33</v>
      </c>
      <c r="H181" s="4568" t="s">
        <v>3111</v>
      </c>
      <c r="I181" s="4569"/>
      <c r="J181" s="4560"/>
      <c r="K181" s="4561"/>
      <c r="L181" s="4562"/>
      <c r="M181" s="1119"/>
      <c r="N181" s="1119"/>
      <c r="O181" s="1119"/>
      <c r="P181" s="1119"/>
      <c r="Q181" s="1119"/>
      <c r="R181" s="1119"/>
      <c r="S181" s="1119"/>
      <c r="T181" s="1119"/>
      <c r="U181" s="1119"/>
      <c r="V181" s="3904"/>
      <c r="W181" s="3905"/>
      <c r="X181" s="3905"/>
      <c r="Y181" s="3905"/>
      <c r="Z181" s="3905"/>
      <c r="AA181" s="3905"/>
      <c r="AB181" s="3905"/>
      <c r="AC181" s="3906"/>
      <c r="AD181" s="3906"/>
      <c r="AE181" s="3921">
        <v>11.33</v>
      </c>
      <c r="AF181" s="3908">
        <f t="shared" si="20"/>
        <v>11.33</v>
      </c>
      <c r="AG181" s="3912"/>
      <c r="AK181" s="1121"/>
      <c r="DG181" s="1120"/>
      <c r="DH181" s="1119"/>
      <c r="DI181" s="1119"/>
      <c r="DJ181" s="1192"/>
    </row>
    <row r="182" spans="1:114" s="1118" customFormat="1" collapsed="1">
      <c r="A182" s="543"/>
      <c r="B182" s="1271"/>
      <c r="C182" s="1404"/>
      <c r="D182" s="1138"/>
      <c r="E182" s="1138"/>
      <c r="F182" s="1119"/>
      <c r="G182" s="1119"/>
      <c r="H182" s="1119"/>
      <c r="I182" s="1119"/>
      <c r="J182" s="1119"/>
      <c r="K182" s="1119"/>
      <c r="L182" s="1119"/>
      <c r="M182" s="1119"/>
      <c r="N182" s="1119"/>
      <c r="O182" s="1119"/>
      <c r="P182" s="1119"/>
      <c r="Q182" s="1119"/>
      <c r="R182" s="1119"/>
      <c r="S182" s="1119"/>
      <c r="T182" s="1119"/>
      <c r="U182" s="1119"/>
      <c r="V182" s="1153"/>
      <c r="W182" s="1153"/>
      <c r="X182" s="1153"/>
      <c r="Y182" s="1153"/>
      <c r="Z182" s="1153"/>
      <c r="AA182" s="1153"/>
      <c r="AB182" s="1153"/>
      <c r="AC182" s="1153"/>
      <c r="AD182" s="1153"/>
      <c r="AE182" s="1153"/>
      <c r="AK182" s="1121"/>
      <c r="DG182" s="1120"/>
      <c r="DH182" s="1119"/>
      <c r="DI182" s="1119"/>
      <c r="DJ182" s="1192"/>
    </row>
    <row r="183" spans="1:114" s="1118" customFormat="1">
      <c r="A183" s="543"/>
      <c r="B183" s="1271"/>
      <c r="C183" s="1270"/>
      <c r="D183" s="1138"/>
      <c r="E183" s="1138"/>
      <c r="F183" s="1119"/>
      <c r="G183" s="1119"/>
      <c r="H183" s="1119"/>
      <c r="I183" s="1119"/>
      <c r="J183" s="1119"/>
      <c r="K183" s="1119"/>
      <c r="L183" s="1119"/>
      <c r="M183" s="1119"/>
      <c r="N183" s="1119"/>
      <c r="O183" s="1119"/>
      <c r="P183" s="1119"/>
      <c r="Q183" s="1119"/>
      <c r="R183" s="1119"/>
      <c r="S183" s="1119"/>
      <c r="T183" s="1119"/>
      <c r="U183" s="1119"/>
      <c r="V183" s="1119"/>
      <c r="W183" s="1119"/>
      <c r="X183" s="1119"/>
      <c r="Y183" s="1119"/>
      <c r="Z183" s="1119"/>
      <c r="AA183" s="1119"/>
      <c r="AB183" s="1119"/>
      <c r="AC183" s="1119"/>
      <c r="AD183" s="1119"/>
      <c r="AE183" s="1119"/>
      <c r="AK183" s="1121"/>
      <c r="DG183" s="1120"/>
      <c r="DH183" s="1119"/>
      <c r="DI183" s="1119"/>
      <c r="DJ183" s="1192"/>
    </row>
    <row r="184" spans="1:114" s="1118" customFormat="1">
      <c r="A184" s="543"/>
      <c r="B184" s="1437" t="s">
        <v>1663</v>
      </c>
      <c r="C184" s="1438"/>
      <c r="D184" s="1438"/>
      <c r="E184" s="1438"/>
      <c r="F184" s="1438"/>
      <c r="G184" s="1438"/>
      <c r="H184" s="1438"/>
      <c r="I184" s="1438"/>
      <c r="J184" s="1438"/>
      <c r="K184" s="1438"/>
      <c r="L184" s="1438"/>
      <c r="M184" s="1438"/>
      <c r="N184" s="1438"/>
      <c r="O184" s="1438"/>
      <c r="P184" s="1438"/>
      <c r="Q184" s="1438"/>
      <c r="R184" s="1137"/>
      <c r="S184" s="1119"/>
      <c r="T184" s="1119"/>
      <c r="U184" s="1119"/>
      <c r="V184" s="1437" t="str">
        <f>B184</f>
        <v>Advanced Power Strips Tier 1  / Load Sensing</v>
      </c>
      <c r="W184" s="1438"/>
      <c r="X184" s="1438"/>
      <c r="Y184" s="1438"/>
      <c r="Z184" s="1438"/>
      <c r="AA184" s="1438"/>
      <c r="AB184" s="1438"/>
      <c r="AC184" s="1438"/>
      <c r="AD184" s="1438"/>
      <c r="AE184" s="1438"/>
      <c r="AF184" s="1438"/>
      <c r="AG184" s="1438"/>
      <c r="AH184" s="1438"/>
      <c r="AI184" s="1137"/>
      <c r="AK184" s="1121"/>
      <c r="DG184" s="1120"/>
      <c r="DH184" s="1119"/>
      <c r="DI184" s="1119"/>
      <c r="DJ184" s="1192"/>
    </row>
    <row r="185" spans="1:114" s="1118" customFormat="1">
      <c r="A185" s="543"/>
      <c r="B185" s="543"/>
      <c r="C185" s="571"/>
      <c r="D185" s="148"/>
      <c r="E185" s="148"/>
      <c r="F185" s="543"/>
      <c r="G185" s="543"/>
      <c r="H185" s="543"/>
      <c r="I185" s="543"/>
      <c r="J185" s="543"/>
      <c r="K185" s="543"/>
      <c r="L185" s="543"/>
      <c r="M185" s="543"/>
      <c r="N185" s="543"/>
      <c r="O185" s="1119"/>
      <c r="P185" s="1119"/>
      <c r="Q185" s="1119"/>
      <c r="R185" s="1119"/>
      <c r="S185" s="1119"/>
      <c r="T185" s="1119"/>
      <c r="U185" s="1119"/>
      <c r="V185" s="1119"/>
      <c r="Y185" s="1122"/>
      <c r="AK185" s="1121"/>
      <c r="DG185" s="1120"/>
      <c r="DH185" s="1119"/>
      <c r="DI185" s="1119"/>
      <c r="DJ185" s="1192"/>
    </row>
    <row r="186" spans="1:114" s="1118" customFormat="1" ht="60">
      <c r="A186" s="543"/>
      <c r="B186" s="543"/>
      <c r="C186" s="1371" t="s">
        <v>42</v>
      </c>
      <c r="D186" s="1371" t="s">
        <v>953</v>
      </c>
      <c r="E186" s="1371" t="s">
        <v>44</v>
      </c>
      <c r="F186" s="1371" t="s">
        <v>45</v>
      </c>
      <c r="G186" s="1371" t="s">
        <v>46</v>
      </c>
      <c r="H186" s="1371" t="s">
        <v>47</v>
      </c>
      <c r="I186" s="1371" t="s">
        <v>48</v>
      </c>
      <c r="J186" s="1371" t="s">
        <v>49</v>
      </c>
      <c r="K186" s="1371" t="s">
        <v>50</v>
      </c>
      <c r="L186" s="1371" t="s">
        <v>51</v>
      </c>
      <c r="M186" s="543"/>
      <c r="N186" s="543"/>
      <c r="O186" s="1119"/>
      <c r="P186" s="1119"/>
      <c r="Q186" s="1119"/>
      <c r="R186" s="1119"/>
      <c r="S186" s="1119"/>
      <c r="T186" s="1119"/>
      <c r="U186" s="1119"/>
      <c r="V186" s="1139" t="s">
        <v>52</v>
      </c>
      <c r="W186" s="1127">
        <v>43252</v>
      </c>
      <c r="X186" s="1127">
        <f>$X$6</f>
        <v>43435</v>
      </c>
      <c r="Y186" s="1128">
        <f>$Y$6</f>
        <v>43800</v>
      </c>
      <c r="Z186" s="1127">
        <f>$Z$6</f>
        <v>43862</v>
      </c>
      <c r="AA186" s="1127">
        <f>$AA$6</f>
        <v>44013</v>
      </c>
      <c r="AB186" s="1127">
        <f>$AB$6</f>
        <v>44166</v>
      </c>
      <c r="AC186" s="1127">
        <f>$AC$6</f>
        <v>44531</v>
      </c>
      <c r="AD186" s="1127">
        <f>$AD$6</f>
        <v>44774</v>
      </c>
      <c r="AE186" s="1127">
        <f>$AE$6</f>
        <v>45139</v>
      </c>
      <c r="AF186" s="1127">
        <f>$AF$6</f>
        <v>45672</v>
      </c>
      <c r="AG186" s="1127" t="str">
        <f>$AG$6</f>
        <v>-</v>
      </c>
      <c r="AK186" s="1121"/>
      <c r="DG186" s="1136" t="str">
        <f>$DG$6</f>
        <v>TRC (2025)</v>
      </c>
      <c r="DH186" s="1135" t="str">
        <f>$DH$6</f>
        <v>Benefit Lookup</v>
      </c>
      <c r="DI186" s="1134" t="str">
        <f>$DI$6</f>
        <v>Benefits (2025 $)</v>
      </c>
      <c r="DJ186" s="1193" t="str">
        <f>$DJ$6</f>
        <v>Incremental Cost (2025 $)</v>
      </c>
    </row>
    <row r="187" spans="1:114" s="1118" customFormat="1">
      <c r="A187" s="543"/>
      <c r="B187" s="1454">
        <f t="shared" ref="B187" si="21">VALUE(LEFT(C187,6))</f>
        <v>450700</v>
      </c>
      <c r="C187" s="119" t="s">
        <v>3671</v>
      </c>
      <c r="D187" s="1445" t="s">
        <v>1800</v>
      </c>
      <c r="E187" s="1368" t="s">
        <v>3672</v>
      </c>
      <c r="F187" s="423">
        <f>ROUND((G195*G200)*G203,2)</f>
        <v>23.03</v>
      </c>
      <c r="G187" s="796" t="s">
        <v>1172</v>
      </c>
      <c r="H187" s="106">
        <f>VLOOKUP(G187,'CP FACTORS'!$A$3:$B$38, 2, FALSE)</f>
        <v>1.148238E-4</v>
      </c>
      <c r="I187" s="1272">
        <f>ROUND(F187*H187,6)</f>
        <v>2.6440000000000001E-3</v>
      </c>
      <c r="J187" s="59">
        <v>10</v>
      </c>
      <c r="K187" s="174">
        <f>G205</f>
        <v>30</v>
      </c>
      <c r="L187" s="1366" t="s">
        <v>62</v>
      </c>
      <c r="M187" s="543"/>
      <c r="N187" s="543"/>
      <c r="O187" s="1119"/>
      <c r="P187" s="1119"/>
      <c r="Q187" s="1119"/>
      <c r="R187" s="1119"/>
      <c r="S187" s="1119"/>
      <c r="T187" s="1119"/>
      <c r="U187" s="1119"/>
      <c r="V187" s="1130" t="str">
        <f>$F$186</f>
        <v>kWh Annual Savings</v>
      </c>
      <c r="W187" s="1150"/>
      <c r="X187" s="1150"/>
      <c r="Y187" s="1150"/>
      <c r="Z187" s="1150"/>
      <c r="AA187" s="1150"/>
      <c r="AB187" s="1150"/>
      <c r="AC187" s="1151"/>
      <c r="AD187" s="1151"/>
      <c r="AE187" s="1129">
        <v>23.03</v>
      </c>
      <c r="AF187" s="271">
        <f>IF(F187&lt;&gt;"",F187,"")</f>
        <v>23.03</v>
      </c>
      <c r="AG187" s="1133"/>
      <c r="AK187" s="1121"/>
      <c r="DG187" s="1132">
        <f>(DI187)/(DJ187)</f>
        <v>0.38464720958253451</v>
      </c>
      <c r="DH187" s="1399" t="str">
        <f>CONCATENATE(G187," ",J187," Year EUL")</f>
        <v>Miscellaneous RES 10 Year EUL</v>
      </c>
      <c r="DI187" s="1131">
        <f>(INDEX('Avoided Cost Benefits'!$B$4:$B$865,MATCH(DH187,'Avoided Cost Benefits'!$A$4:$A$865,0)))*F187</f>
        <v>11.539416287476035</v>
      </c>
      <c r="DJ187" s="1195">
        <f>K187/(1.0686^(2025-2025))</f>
        <v>30</v>
      </c>
    </row>
    <row r="188" spans="1:114" s="1118" customFormat="1" hidden="1" outlineLevel="1">
      <c r="A188" s="543"/>
      <c r="B188" s="543"/>
      <c r="C188" s="571"/>
      <c r="D188" s="77" t="s">
        <v>118</v>
      </c>
      <c r="E188" s="283" t="s">
        <v>1682</v>
      </c>
      <c r="F188" s="408"/>
      <c r="G188" s="1726"/>
      <c r="H188" s="1727"/>
      <c r="I188" s="410"/>
      <c r="J188" s="627"/>
      <c r="K188" s="410"/>
      <c r="L188" s="543"/>
      <c r="M188" s="543"/>
      <c r="N188" s="543"/>
      <c r="O188" s="1119"/>
      <c r="P188" s="1119"/>
      <c r="Q188" s="1119"/>
      <c r="R188" s="1119"/>
      <c r="S188" s="1119"/>
      <c r="T188" s="1119"/>
      <c r="U188" s="1119"/>
      <c r="V188" s="1153"/>
      <c r="W188" s="1153"/>
      <c r="X188" s="1153"/>
      <c r="Y188" s="1153"/>
      <c r="Z188" s="1153"/>
      <c r="AA188" s="1153"/>
      <c r="AB188" s="1153"/>
      <c r="AC188" s="1153"/>
      <c r="AD188" s="1153"/>
      <c r="AE188" s="1153"/>
      <c r="AK188" s="1121"/>
      <c r="DG188" s="1120"/>
      <c r="DH188" s="1119"/>
      <c r="DI188" s="1119"/>
      <c r="DJ188" s="1192"/>
    </row>
    <row r="189" spans="1:114" s="1118" customFormat="1" hidden="1" outlineLevel="1">
      <c r="A189" s="543"/>
      <c r="B189" s="543"/>
      <c r="C189" s="571"/>
      <c r="D189" s="113" t="s">
        <v>963</v>
      </c>
      <c r="E189" s="52" t="s">
        <v>1683</v>
      </c>
      <c r="F189" s="543"/>
      <c r="G189" s="543"/>
      <c r="H189" s="543"/>
      <c r="I189" s="543"/>
      <c r="J189" s="543"/>
      <c r="K189" s="543"/>
      <c r="L189" s="543"/>
      <c r="M189" s="543"/>
      <c r="N189" s="543"/>
      <c r="O189" s="1119"/>
      <c r="P189" s="1119"/>
      <c r="Q189" s="1119"/>
      <c r="R189" s="1119"/>
      <c r="S189" s="1119"/>
      <c r="T189" s="1119"/>
      <c r="U189" s="1119"/>
      <c r="V189" s="1119"/>
      <c r="W189" s="1119"/>
      <c r="X189" s="1119"/>
      <c r="Y189" s="1119"/>
      <c r="Z189" s="1119"/>
      <c r="AA189" s="1119"/>
      <c r="AB189" s="1119"/>
      <c r="AC189" s="1119"/>
      <c r="AD189" s="1119"/>
      <c r="AE189" s="1119"/>
      <c r="AK189" s="1121"/>
      <c r="DG189" s="1120"/>
      <c r="DH189" s="1119"/>
      <c r="DI189" s="1119"/>
      <c r="DJ189" s="1192"/>
    </row>
    <row r="190" spans="1:114" s="1118" customFormat="1" hidden="1" outlineLevel="1">
      <c r="A190" s="543"/>
      <c r="B190" s="543"/>
      <c r="C190" s="571"/>
      <c r="D190" s="148"/>
      <c r="E190" s="52" t="s">
        <v>966</v>
      </c>
      <c r="F190" s="543"/>
      <c r="G190" s="543"/>
      <c r="H190" s="543"/>
      <c r="I190" s="543"/>
      <c r="J190" s="543"/>
      <c r="K190" s="543"/>
      <c r="L190" s="543"/>
      <c r="M190" s="543"/>
      <c r="N190" s="543"/>
      <c r="O190" s="1119"/>
      <c r="P190" s="1119"/>
      <c r="Q190" s="1119"/>
      <c r="R190" s="1119"/>
      <c r="S190" s="1119"/>
      <c r="T190" s="1119"/>
      <c r="U190" s="1119"/>
      <c r="V190" s="1119"/>
      <c r="Y190" s="1122"/>
      <c r="AK190" s="1121"/>
      <c r="DG190" s="1120"/>
      <c r="DH190" s="1119"/>
      <c r="DI190" s="1119"/>
      <c r="DJ190" s="1192"/>
    </row>
    <row r="191" spans="1:114" s="1118" customFormat="1" hidden="1" outlineLevel="1">
      <c r="A191" s="543"/>
      <c r="B191" s="543"/>
      <c r="C191" s="571"/>
      <c r="D191" s="148"/>
      <c r="E191" s="148"/>
      <c r="F191" s="543"/>
      <c r="G191" s="543"/>
      <c r="H191" s="543"/>
      <c r="I191" s="543"/>
      <c r="J191" s="543"/>
      <c r="K191" s="543"/>
      <c r="L191" s="543"/>
      <c r="M191" s="543"/>
      <c r="N191" s="543"/>
      <c r="O191" s="1119"/>
      <c r="P191" s="1119"/>
      <c r="Q191" s="1119"/>
      <c r="R191" s="1119"/>
      <c r="S191" s="1119"/>
      <c r="T191" s="1119"/>
      <c r="U191" s="1119"/>
      <c r="V191" s="1119"/>
      <c r="Y191" s="1122"/>
      <c r="AK191" s="1121"/>
      <c r="DG191" s="1120"/>
      <c r="DH191" s="1119"/>
      <c r="DI191" s="1119"/>
      <c r="DJ191" s="1192"/>
    </row>
    <row r="192" spans="1:114" s="1118" customFormat="1" hidden="1" outlineLevel="1">
      <c r="A192" s="543"/>
      <c r="B192" s="543"/>
      <c r="C192" s="571"/>
      <c r="D192" s="148"/>
      <c r="E192" s="148"/>
      <c r="F192" s="543"/>
      <c r="G192" s="543"/>
      <c r="H192" s="543"/>
      <c r="I192" s="543"/>
      <c r="J192" s="543"/>
      <c r="K192" s="543"/>
      <c r="L192" s="543"/>
      <c r="M192" s="543"/>
      <c r="N192" s="543"/>
      <c r="O192" s="1119"/>
      <c r="P192" s="1119"/>
      <c r="Q192" s="1119"/>
      <c r="R192" s="1119"/>
      <c r="S192" s="1119"/>
      <c r="T192" s="1119"/>
      <c r="U192" s="1119"/>
      <c r="V192" s="1119"/>
      <c r="Y192" s="1122"/>
      <c r="AK192" s="1121"/>
      <c r="DG192" s="1120"/>
      <c r="DH192" s="1119"/>
      <c r="DI192" s="1119"/>
      <c r="DJ192" s="1192"/>
    </row>
    <row r="193" spans="1:114" s="1118" customFormat="1" hidden="1" outlineLevel="1">
      <c r="A193" s="543"/>
      <c r="B193" s="543"/>
      <c r="C193" s="571"/>
      <c r="D193" s="120" t="s">
        <v>1078</v>
      </c>
      <c r="E193" s="120" t="s">
        <v>967</v>
      </c>
      <c r="F193" s="1398" t="s">
        <v>968</v>
      </c>
      <c r="G193" s="1398" t="s">
        <v>969</v>
      </c>
      <c r="H193" s="1415" t="s">
        <v>3317</v>
      </c>
      <c r="I193" s="1434"/>
      <c r="J193" s="1435"/>
      <c r="K193" s="1269"/>
      <c r="L193" s="543"/>
      <c r="M193" s="543"/>
      <c r="N193" s="543"/>
      <c r="O193" s="1119"/>
      <c r="P193" s="1119"/>
      <c r="Q193" s="1119"/>
      <c r="R193" s="1119"/>
      <c r="S193" s="1119"/>
      <c r="T193" s="1119"/>
      <c r="U193" s="1119"/>
      <c r="V193" s="1139" t="s">
        <v>52</v>
      </c>
      <c r="W193" s="1127"/>
      <c r="X193" s="1127"/>
      <c r="Y193" s="1128"/>
      <c r="Z193" s="1127"/>
      <c r="AA193" s="1127"/>
      <c r="AB193" s="1127"/>
      <c r="AC193" s="1127"/>
      <c r="AD193" s="1127"/>
      <c r="AE193" s="1127">
        <f>$AE$6</f>
        <v>45139</v>
      </c>
      <c r="AF193" s="1127">
        <f>$AF$6</f>
        <v>45672</v>
      </c>
      <c r="AG193" s="1127" t="str">
        <f>$AG$6</f>
        <v>-</v>
      </c>
      <c r="AK193" s="1121"/>
      <c r="DG193" s="1120"/>
      <c r="DH193" s="1119"/>
      <c r="DI193" s="1119"/>
      <c r="DJ193" s="1192"/>
    </row>
    <row r="194" spans="1:114" s="1118" customFormat="1" hidden="1" outlineLevel="1">
      <c r="A194" s="543"/>
      <c r="B194" s="543"/>
      <c r="C194" s="571"/>
      <c r="D194" s="1055"/>
      <c r="E194" s="1055"/>
      <c r="F194" s="1056"/>
      <c r="G194" s="1056"/>
      <c r="H194" s="1447"/>
      <c r="I194" s="1448"/>
      <c r="J194" s="424"/>
      <c r="K194" s="1269"/>
      <c r="L194" s="543"/>
      <c r="M194" s="543"/>
      <c r="N194" s="543"/>
      <c r="O194" s="1119"/>
      <c r="P194" s="1119"/>
      <c r="Q194" s="1119"/>
      <c r="R194" s="1119"/>
      <c r="S194" s="1119"/>
      <c r="T194" s="1119"/>
      <c r="U194" s="1119"/>
      <c r="V194" s="1139"/>
      <c r="W194" s="1126"/>
      <c r="X194" s="1126"/>
      <c r="Y194" s="1126"/>
      <c r="Z194" s="1126"/>
      <c r="AA194" s="1126"/>
      <c r="AB194" s="1126"/>
      <c r="AC194" s="1126"/>
      <c r="AD194" s="1126"/>
      <c r="AE194" s="1126"/>
      <c r="AF194" s="1126"/>
      <c r="AG194" s="1126"/>
      <c r="AK194" s="1121"/>
      <c r="DG194" s="1120"/>
      <c r="DH194" s="1119"/>
      <c r="DI194" s="1119"/>
      <c r="DJ194" s="1192"/>
    </row>
    <row r="195" spans="1:114" s="1118" customFormat="1" ht="15" hidden="1" customHeight="1" outlineLevel="1">
      <c r="A195" s="543"/>
      <c r="B195" s="543"/>
      <c r="C195" s="571"/>
      <c r="D195" s="4201" t="s">
        <v>1684</v>
      </c>
      <c r="E195" s="4201" t="s">
        <v>1685</v>
      </c>
      <c r="F195" s="1377" t="s">
        <v>1686</v>
      </c>
      <c r="G195" s="1653">
        <v>31</v>
      </c>
      <c r="H195" s="4738" t="s">
        <v>3318</v>
      </c>
      <c r="I195" s="4739"/>
      <c r="J195" s="4740"/>
      <c r="K195" s="1269"/>
      <c r="L195" s="543"/>
      <c r="M195" s="543"/>
      <c r="N195" s="543"/>
      <c r="O195" s="1119"/>
      <c r="P195" s="1119"/>
      <c r="Q195" s="1119"/>
      <c r="R195" s="1119"/>
      <c r="S195" s="1119"/>
      <c r="T195" s="1119"/>
      <c r="U195" s="1119"/>
      <c r="V195" s="4201" t="s">
        <v>1684</v>
      </c>
      <c r="W195" s="1150"/>
      <c r="X195" s="1150"/>
      <c r="Y195" s="1150"/>
      <c r="Z195" s="1150"/>
      <c r="AA195" s="1150"/>
      <c r="AB195" s="1150"/>
      <c r="AC195" s="1151"/>
      <c r="AD195" s="1151"/>
      <c r="AE195" s="105">
        <v>31</v>
      </c>
      <c r="AF195" s="271">
        <f t="shared" ref="AF195:AF205" si="22">IF(G195&lt;&gt;"",G195,"")</f>
        <v>31</v>
      </c>
      <c r="AG195" s="1125"/>
      <c r="AK195" s="1121"/>
      <c r="DG195" s="1120"/>
      <c r="DH195" s="1119"/>
      <c r="DI195" s="1119"/>
      <c r="DJ195" s="1192"/>
    </row>
    <row r="196" spans="1:114" s="1118" customFormat="1" ht="95.25" hidden="1" customHeight="1" outlineLevel="1">
      <c r="A196" s="543"/>
      <c r="B196" s="543"/>
      <c r="C196" s="571"/>
      <c r="D196" s="4202"/>
      <c r="E196" s="4202"/>
      <c r="F196" s="1444" t="s">
        <v>1688</v>
      </c>
      <c r="G196" s="2289">
        <v>75.099999999999994</v>
      </c>
      <c r="H196" s="4501"/>
      <c r="I196" s="4741"/>
      <c r="J196" s="4502"/>
      <c r="K196" s="1269"/>
      <c r="L196" s="543"/>
      <c r="M196" s="543"/>
      <c r="N196" s="543"/>
      <c r="O196" s="1119"/>
      <c r="P196" s="1119"/>
      <c r="Q196" s="1119"/>
      <c r="R196" s="1119"/>
      <c r="S196" s="1119"/>
      <c r="T196" s="1119"/>
      <c r="U196" s="1119"/>
      <c r="V196" s="4202"/>
      <c r="W196" s="1150"/>
      <c r="X196" s="1150"/>
      <c r="Y196" s="1150"/>
      <c r="Z196" s="1150"/>
      <c r="AA196" s="1150"/>
      <c r="AB196" s="1150"/>
      <c r="AC196" s="1151"/>
      <c r="AD196" s="1151"/>
      <c r="AE196" s="2409">
        <v>75.099999999999994</v>
      </c>
      <c r="AF196" s="2236">
        <f t="shared" si="22"/>
        <v>75.099999999999994</v>
      </c>
      <c r="AG196" s="1125"/>
      <c r="AK196" s="1121"/>
      <c r="DG196" s="1120"/>
      <c r="DH196" s="1119"/>
      <c r="DI196" s="1119"/>
      <c r="DJ196" s="1192"/>
    </row>
    <row r="197" spans="1:114" s="1118" customFormat="1" hidden="1" outlineLevel="1">
      <c r="A197" s="543"/>
      <c r="B197" s="543"/>
      <c r="C197" s="571"/>
      <c r="D197" s="4144" t="s">
        <v>1690</v>
      </c>
      <c r="E197" s="4144" t="s">
        <v>1691</v>
      </c>
      <c r="F197" s="1444" t="s">
        <v>1686</v>
      </c>
      <c r="G197" s="2320">
        <v>0</v>
      </c>
      <c r="H197" s="4158" t="s">
        <v>3320</v>
      </c>
      <c r="I197" s="4213"/>
      <c r="J197" s="4130"/>
      <c r="K197" s="1269"/>
      <c r="L197" s="543"/>
      <c r="M197" s="543"/>
      <c r="N197" s="543"/>
      <c r="O197" s="1119"/>
      <c r="P197" s="1119"/>
      <c r="Q197" s="1119"/>
      <c r="R197" s="1119"/>
      <c r="S197" s="1119"/>
      <c r="T197" s="1119"/>
      <c r="U197" s="1119"/>
      <c r="V197" s="4144" t="s">
        <v>1690</v>
      </c>
      <c r="W197" s="1150"/>
      <c r="X197" s="1150"/>
      <c r="Y197" s="1150"/>
      <c r="Z197" s="1150"/>
      <c r="AA197" s="1150"/>
      <c r="AB197" s="1150"/>
      <c r="AC197" s="1151"/>
      <c r="AD197" s="1151"/>
      <c r="AE197" s="3922">
        <v>0</v>
      </c>
      <c r="AF197" s="2236">
        <f t="shared" si="22"/>
        <v>0</v>
      </c>
      <c r="AG197" s="1125"/>
      <c r="AK197" s="1121"/>
      <c r="DG197" s="1120"/>
      <c r="DH197" s="1119"/>
      <c r="DI197" s="1119"/>
      <c r="DJ197" s="1192"/>
    </row>
    <row r="198" spans="1:114" s="1118" customFormat="1" ht="30" hidden="1" outlineLevel="1">
      <c r="A198" s="543"/>
      <c r="B198" s="543"/>
      <c r="C198" s="571"/>
      <c r="D198" s="4152"/>
      <c r="E198" s="4152"/>
      <c r="F198" s="1444" t="s">
        <v>1688</v>
      </c>
      <c r="G198" s="2320">
        <v>1</v>
      </c>
      <c r="H198" s="4158" t="s">
        <v>3320</v>
      </c>
      <c r="I198" s="4213"/>
      <c r="J198" s="4130"/>
      <c r="K198" s="1269"/>
      <c r="L198" s="543"/>
      <c r="M198" s="543"/>
      <c r="N198" s="543"/>
      <c r="O198" s="1119"/>
      <c r="P198" s="1119"/>
      <c r="Q198" s="1119"/>
      <c r="R198" s="1119"/>
      <c r="S198" s="1119"/>
      <c r="T198" s="1119"/>
      <c r="U198" s="1119"/>
      <c r="V198" s="4152"/>
      <c r="W198" s="1150"/>
      <c r="X198" s="1150"/>
      <c r="Y198" s="1150"/>
      <c r="Z198" s="1150"/>
      <c r="AA198" s="1150"/>
      <c r="AB198" s="1150"/>
      <c r="AC198" s="1151"/>
      <c r="AD198" s="1151"/>
      <c r="AE198" s="2645">
        <v>1</v>
      </c>
      <c r="AF198" s="2236">
        <f t="shared" si="22"/>
        <v>1</v>
      </c>
      <c r="AG198" s="1125"/>
      <c r="AK198" s="1121"/>
      <c r="DG198" s="1120"/>
      <c r="DH198" s="1119"/>
      <c r="DI198" s="1119"/>
      <c r="DJ198" s="1192"/>
    </row>
    <row r="199" spans="1:114" s="1118" customFormat="1" ht="43.15" hidden="1" customHeight="1" outlineLevel="1">
      <c r="A199" s="543"/>
      <c r="B199" s="543"/>
      <c r="C199" s="571"/>
      <c r="D199" s="4152"/>
      <c r="E199" s="4152"/>
      <c r="F199" s="1444" t="s">
        <v>1692</v>
      </c>
      <c r="G199" s="2320">
        <f>1-G202</f>
        <v>0.64</v>
      </c>
      <c r="H199" s="4736" t="s">
        <v>1693</v>
      </c>
      <c r="I199" s="4017"/>
      <c r="J199" s="4737"/>
      <c r="K199" s="1269"/>
      <c r="L199" s="543"/>
      <c r="M199" s="543"/>
      <c r="N199" s="543"/>
      <c r="O199" s="1119"/>
      <c r="P199" s="1119"/>
      <c r="Q199" s="1119"/>
      <c r="R199" s="1119"/>
      <c r="S199" s="1119"/>
      <c r="T199" s="1119"/>
      <c r="U199" s="1119"/>
      <c r="V199" s="4152"/>
      <c r="W199" s="1150"/>
      <c r="X199" s="1150"/>
      <c r="Y199" s="1150"/>
      <c r="Z199" s="1150"/>
      <c r="AA199" s="1150"/>
      <c r="AB199" s="1150"/>
      <c r="AC199" s="1151"/>
      <c r="AD199" s="1151"/>
      <c r="AE199" s="2645">
        <v>0.64</v>
      </c>
      <c r="AF199" s="2236">
        <f t="shared" si="22"/>
        <v>0.64</v>
      </c>
      <c r="AG199" s="1125"/>
      <c r="AK199" s="1121"/>
      <c r="DG199" s="1120"/>
      <c r="DH199" s="1119"/>
      <c r="DI199" s="1119"/>
      <c r="DJ199" s="1192"/>
    </row>
    <row r="200" spans="1:114" s="1118" customFormat="1" ht="15" hidden="1" customHeight="1" outlineLevel="1">
      <c r="A200" s="543"/>
      <c r="B200" s="543"/>
      <c r="C200" s="571"/>
      <c r="D200" s="4201" t="s">
        <v>1695</v>
      </c>
      <c r="E200" s="4201" t="s">
        <v>1696</v>
      </c>
      <c r="F200" s="1377" t="s">
        <v>1686</v>
      </c>
      <c r="G200" s="1662">
        <v>1</v>
      </c>
      <c r="H200" s="4742" t="s">
        <v>1697</v>
      </c>
      <c r="I200" s="4743"/>
      <c r="J200" s="4744"/>
      <c r="K200" s="1269"/>
      <c r="L200" s="543"/>
      <c r="M200" s="543"/>
      <c r="N200" s="543"/>
      <c r="O200" s="1119"/>
      <c r="P200" s="1119"/>
      <c r="Q200" s="1119"/>
      <c r="R200" s="1119"/>
      <c r="S200" s="1119"/>
      <c r="T200" s="1119"/>
      <c r="U200" s="1119"/>
      <c r="V200" s="4201" t="s">
        <v>1695</v>
      </c>
      <c r="W200" s="1150"/>
      <c r="X200" s="1150"/>
      <c r="Y200" s="1150"/>
      <c r="Z200" s="1150"/>
      <c r="AA200" s="1150"/>
      <c r="AB200" s="1150"/>
      <c r="AC200" s="1151"/>
      <c r="AD200" s="1151"/>
      <c r="AE200" s="228">
        <v>1</v>
      </c>
      <c r="AF200" s="271">
        <f t="shared" si="22"/>
        <v>1</v>
      </c>
      <c r="AG200" s="1125"/>
      <c r="AK200" s="1121"/>
      <c r="DG200" s="1120"/>
      <c r="DH200" s="1119"/>
      <c r="DI200" s="1119"/>
      <c r="DJ200" s="1192"/>
    </row>
    <row r="201" spans="1:114" s="1118" customFormat="1" ht="28.9" hidden="1" customHeight="1" outlineLevel="1">
      <c r="A201" s="543"/>
      <c r="B201" s="543"/>
      <c r="C201" s="571"/>
      <c r="D201" s="4202"/>
      <c r="E201" s="4202"/>
      <c r="F201" s="1444" t="s">
        <v>1688</v>
      </c>
      <c r="G201" s="2320">
        <v>0</v>
      </c>
      <c r="H201" s="4745"/>
      <c r="I201" s="4746"/>
      <c r="J201" s="4747"/>
      <c r="K201" s="1269"/>
      <c r="L201" s="543"/>
      <c r="M201" s="543"/>
      <c r="N201" s="543"/>
      <c r="O201" s="1119"/>
      <c r="P201" s="1119"/>
      <c r="Q201" s="1119"/>
      <c r="R201" s="1119"/>
      <c r="S201" s="1119"/>
      <c r="T201" s="1119"/>
      <c r="U201" s="1119"/>
      <c r="V201" s="4202"/>
      <c r="W201" s="1150"/>
      <c r="X201" s="1150"/>
      <c r="Y201" s="1150"/>
      <c r="Z201" s="1150"/>
      <c r="AA201" s="1150"/>
      <c r="AB201" s="1150"/>
      <c r="AC201" s="1151"/>
      <c r="AD201" s="1151"/>
      <c r="AE201" s="2645">
        <v>0</v>
      </c>
      <c r="AF201" s="2236">
        <f t="shared" si="22"/>
        <v>0</v>
      </c>
      <c r="AG201" s="1125"/>
      <c r="AK201" s="1121"/>
      <c r="DG201" s="1120"/>
      <c r="DH201" s="1119"/>
      <c r="DI201" s="1119"/>
      <c r="DJ201" s="1192"/>
    </row>
    <row r="202" spans="1:114" s="1118" customFormat="1" ht="43.15" hidden="1" customHeight="1" outlineLevel="1">
      <c r="A202" s="543"/>
      <c r="B202" s="543"/>
      <c r="C202" s="571"/>
      <c r="D202" s="4202"/>
      <c r="E202" s="4202"/>
      <c r="F202" s="1444" t="s">
        <v>1692</v>
      </c>
      <c r="G202" s="2320">
        <v>0.36</v>
      </c>
      <c r="H202" s="4745"/>
      <c r="I202" s="4746"/>
      <c r="J202" s="4747"/>
      <c r="K202" s="1269"/>
      <c r="L202" s="543"/>
      <c r="M202" s="543"/>
      <c r="N202" s="543"/>
      <c r="O202" s="1119"/>
      <c r="P202" s="1119"/>
      <c r="Q202" s="1119"/>
      <c r="R202" s="1119"/>
      <c r="S202" s="1119"/>
      <c r="T202" s="1119"/>
      <c r="U202" s="1119"/>
      <c r="V202" s="4202"/>
      <c r="W202" s="1150"/>
      <c r="X202" s="1150"/>
      <c r="Y202" s="1150"/>
      <c r="Z202" s="1150"/>
      <c r="AA202" s="1150"/>
      <c r="AB202" s="1150"/>
      <c r="AC202" s="1151"/>
      <c r="AD202" s="1151"/>
      <c r="AE202" s="2645">
        <v>0.36</v>
      </c>
      <c r="AF202" s="2236">
        <f t="shared" si="22"/>
        <v>0.36</v>
      </c>
      <c r="AG202" s="1125"/>
      <c r="AK202" s="1121"/>
      <c r="DG202" s="1120"/>
      <c r="DH202" s="1119"/>
      <c r="DI202" s="1119"/>
      <c r="DJ202" s="1192"/>
    </row>
    <row r="203" spans="1:114" s="1118" customFormat="1" ht="33" hidden="1" customHeight="1" outlineLevel="1">
      <c r="A203" s="543"/>
      <c r="B203" s="543"/>
      <c r="C203" s="571"/>
      <c r="D203" s="1380" t="s">
        <v>128</v>
      </c>
      <c r="E203" s="1380" t="s">
        <v>3673</v>
      </c>
      <c r="F203" s="1377" t="s">
        <v>1698</v>
      </c>
      <c r="G203" s="1669">
        <v>0.74299999999999999</v>
      </c>
      <c r="H203" s="4748" t="s">
        <v>3631</v>
      </c>
      <c r="I203" s="4749"/>
      <c r="J203" s="4750"/>
      <c r="K203" s="1269"/>
      <c r="L203" s="543"/>
      <c r="M203" s="543"/>
      <c r="N203" s="543"/>
      <c r="O203" s="1119"/>
      <c r="P203" s="1119"/>
      <c r="Q203" s="1119"/>
      <c r="R203" s="1119"/>
      <c r="S203" s="1119"/>
      <c r="T203" s="1119"/>
      <c r="U203" s="1119"/>
      <c r="V203" s="1380" t="s">
        <v>128</v>
      </c>
      <c r="W203" s="1150"/>
      <c r="X203" s="1150"/>
      <c r="Y203" s="1150"/>
      <c r="Z203" s="1150"/>
      <c r="AA203" s="1150"/>
      <c r="AB203" s="1150"/>
      <c r="AC203" s="1151"/>
      <c r="AD203" s="1151"/>
      <c r="AE203" s="160">
        <v>0.74299999999999999</v>
      </c>
      <c r="AF203" s="271">
        <f t="shared" si="22"/>
        <v>0.74299999999999999</v>
      </c>
      <c r="AG203" s="1125"/>
      <c r="AK203" s="1121"/>
      <c r="DG203" s="1120"/>
      <c r="DH203" s="1119"/>
      <c r="DI203" s="1119"/>
      <c r="DJ203" s="1192"/>
    </row>
    <row r="204" spans="1:114" s="1118" customFormat="1" ht="31.5" hidden="1" customHeight="1" outlineLevel="1">
      <c r="A204" s="543"/>
      <c r="B204" s="1271"/>
      <c r="C204" s="1404"/>
      <c r="D204" s="1409" t="s">
        <v>49</v>
      </c>
      <c r="E204" s="1409" t="s">
        <v>1198</v>
      </c>
      <c r="F204" s="808" t="s">
        <v>1102</v>
      </c>
      <c r="G204" s="1658">
        <v>10</v>
      </c>
      <c r="H204" s="4734" t="s">
        <v>1702</v>
      </c>
      <c r="I204" s="4735"/>
      <c r="J204" s="4555"/>
      <c r="K204" s="1269"/>
      <c r="L204" s="543"/>
      <c r="M204" s="1119"/>
      <c r="N204" s="1119"/>
      <c r="O204" s="1119"/>
      <c r="P204" s="1119"/>
      <c r="Q204" s="1119"/>
      <c r="R204" s="1119"/>
      <c r="S204" s="1119"/>
      <c r="T204" s="1119"/>
      <c r="U204" s="1119"/>
      <c r="V204" s="1409" t="str">
        <f>V60</f>
        <v>CEE</v>
      </c>
      <c r="W204" s="1150"/>
      <c r="X204" s="1150"/>
      <c r="Y204" s="1150"/>
      <c r="Z204" s="1150"/>
      <c r="AA204" s="1150"/>
      <c r="AB204" s="1150"/>
      <c r="AC204" s="1151"/>
      <c r="AD204" s="1151"/>
      <c r="AE204" s="1154">
        <v>10</v>
      </c>
      <c r="AF204" s="271">
        <f t="shared" si="22"/>
        <v>10</v>
      </c>
      <c r="AG204" s="379"/>
      <c r="AK204" s="1121"/>
      <c r="DG204" s="1120"/>
      <c r="DH204" s="1119"/>
      <c r="DI204" s="1119"/>
      <c r="DJ204" s="1192"/>
    </row>
    <row r="205" spans="1:114" s="1118" customFormat="1" ht="31.5" hidden="1" customHeight="1" outlineLevel="1">
      <c r="A205" s="543"/>
      <c r="B205" s="1271"/>
      <c r="C205" s="1404"/>
      <c r="D205" s="1431" t="s">
        <v>50</v>
      </c>
      <c r="E205" s="1431" t="s">
        <v>1135</v>
      </c>
      <c r="F205" s="1283" t="s">
        <v>3674</v>
      </c>
      <c r="G205" s="1659">
        <v>30</v>
      </c>
      <c r="H205" s="4734" t="s">
        <v>1702</v>
      </c>
      <c r="I205" s="4735"/>
      <c r="J205" s="4555"/>
      <c r="K205" s="1269"/>
      <c r="L205" s="543"/>
      <c r="M205" s="1119"/>
      <c r="N205" s="1119"/>
      <c r="O205" s="1119"/>
      <c r="P205" s="1119"/>
      <c r="Q205" s="1119"/>
      <c r="R205" s="1119"/>
      <c r="S205" s="1119"/>
      <c r="T205" s="1119"/>
      <c r="U205" s="1119"/>
      <c r="V205" s="1431" t="s">
        <v>50</v>
      </c>
      <c r="W205" s="1150"/>
      <c r="X205" s="1150"/>
      <c r="Y205" s="1150"/>
      <c r="Z205" s="1150"/>
      <c r="AA205" s="1150"/>
      <c r="AB205" s="1150"/>
      <c r="AC205" s="1151"/>
      <c r="AD205" s="1151"/>
      <c r="AE205" s="1155">
        <v>30</v>
      </c>
      <c r="AF205" s="271">
        <f t="shared" si="22"/>
        <v>30</v>
      </c>
      <c r="AG205" s="1124"/>
      <c r="AK205" s="1121"/>
      <c r="DG205" s="1120"/>
      <c r="DH205" s="1119"/>
      <c r="DI205" s="1119"/>
      <c r="DJ205" s="1192"/>
    </row>
    <row r="206" spans="1:114" s="1118" customFormat="1" hidden="1" outlineLevel="1">
      <c r="A206" s="543"/>
      <c r="B206" s="1119"/>
      <c r="C206" s="1404"/>
      <c r="D206" s="628"/>
      <c r="E206" s="934"/>
      <c r="F206" s="1284"/>
      <c r="G206" s="1284"/>
      <c r="H206" s="1416"/>
      <c r="I206" s="1416"/>
      <c r="J206" s="1416"/>
      <c r="K206" s="1269"/>
      <c r="L206" s="543"/>
      <c r="M206" s="1119"/>
      <c r="N206" s="1119"/>
      <c r="O206" s="1119"/>
      <c r="P206" s="1119"/>
      <c r="Q206" s="1119"/>
      <c r="R206" s="1119"/>
      <c r="S206" s="1119"/>
      <c r="T206" s="1119"/>
      <c r="U206" s="1119"/>
      <c r="V206" s="1153"/>
      <c r="W206" s="1153"/>
      <c r="X206" s="1153"/>
      <c r="Y206" s="1153"/>
      <c r="Z206" s="1153"/>
      <c r="AA206" s="1153"/>
      <c r="AB206" s="1153"/>
      <c r="AC206" s="1153"/>
      <c r="AD206" s="1153"/>
      <c r="AE206" s="1153"/>
      <c r="AF206" s="1123"/>
      <c r="AG206" s="1123"/>
      <c r="AK206" s="1121"/>
      <c r="DG206" s="1120"/>
      <c r="DH206" s="1119"/>
      <c r="DI206" s="1119"/>
      <c r="DJ206" s="1192"/>
    </row>
    <row r="207" spans="1:114" s="1118" customFormat="1" collapsed="1">
      <c r="A207" s="543"/>
      <c r="B207" s="543"/>
      <c r="C207" s="571"/>
      <c r="D207" s="148"/>
      <c r="E207" s="1362"/>
      <c r="F207" s="1362"/>
      <c r="G207" s="1362"/>
      <c r="H207" s="1362"/>
      <c r="I207" s="1362"/>
      <c r="J207" s="1119"/>
      <c r="K207" s="1119"/>
      <c r="L207" s="1119"/>
      <c r="M207" s="543"/>
      <c r="N207" s="543"/>
      <c r="O207" s="1119"/>
      <c r="P207" s="1119"/>
      <c r="Q207" s="1119"/>
      <c r="R207" s="1119"/>
      <c r="S207" s="1119"/>
      <c r="T207" s="1119"/>
      <c r="U207" s="1119"/>
      <c r="V207" s="1119"/>
      <c r="W207" s="1119"/>
      <c r="X207" s="1119"/>
      <c r="Y207" s="1119"/>
      <c r="Z207" s="1119"/>
      <c r="AA207" s="1119"/>
      <c r="AB207" s="1119"/>
      <c r="AC207" s="1119"/>
      <c r="AD207" s="1119"/>
      <c r="AE207" s="1119"/>
      <c r="AK207" s="1121"/>
      <c r="DG207" s="1120"/>
      <c r="DH207" s="1119"/>
      <c r="DI207" s="1119"/>
      <c r="DJ207" s="1192"/>
    </row>
    <row r="208" spans="1:114" s="1118" customFormat="1">
      <c r="A208" s="543"/>
      <c r="B208" s="543"/>
      <c r="C208" s="571"/>
      <c r="D208" s="148"/>
      <c r="E208" s="148"/>
      <c r="F208" s="543"/>
      <c r="G208" s="543"/>
      <c r="H208" s="543"/>
      <c r="I208" s="543"/>
      <c r="J208" s="543"/>
      <c r="K208" s="543"/>
      <c r="L208" s="543"/>
      <c r="M208" s="543"/>
      <c r="N208" s="543"/>
      <c r="O208" s="1119"/>
      <c r="P208" s="1119"/>
      <c r="Q208" s="1119"/>
      <c r="R208" s="1119"/>
      <c r="S208" s="1119"/>
      <c r="T208" s="1119"/>
      <c r="U208" s="1119"/>
      <c r="V208" s="1119"/>
      <c r="Y208" s="1122"/>
      <c r="AK208" s="1121"/>
      <c r="DG208" s="1120"/>
      <c r="DH208" s="1119"/>
      <c r="DI208" s="1119"/>
      <c r="DJ208" s="1192"/>
    </row>
    <row r="209" spans="1:3">
      <c r="A209" s="543"/>
      <c r="C209" s="543"/>
    </row>
    <row r="210" spans="1:3">
      <c r="A210" s="543"/>
      <c r="C210" s="543"/>
    </row>
    <row r="211" spans="1:3">
      <c r="A211" s="543"/>
      <c r="C211" s="543"/>
    </row>
    <row r="212" spans="1:3">
      <c r="A212" s="543"/>
      <c r="C212" s="543"/>
    </row>
    <row r="213" spans="1:3">
      <c r="A213" s="543"/>
      <c r="C213" s="543"/>
    </row>
    <row r="214" spans="1:3">
      <c r="A214" s="543"/>
      <c r="C214" s="543"/>
    </row>
    <row r="215" spans="1:3">
      <c r="A215" s="543"/>
      <c r="C215" s="543"/>
    </row>
    <row r="216" spans="1:3">
      <c r="A216" s="543"/>
      <c r="C216" s="543"/>
    </row>
    <row r="217" spans="1:3">
      <c r="A217" s="543"/>
      <c r="C217" s="543"/>
    </row>
    <row r="218" spans="1:3">
      <c r="A218" s="543"/>
      <c r="C218" s="543"/>
    </row>
    <row r="219" spans="1:3">
      <c r="A219" s="543"/>
      <c r="C219" s="543"/>
    </row>
    <row r="220" spans="1:3">
      <c r="A220" s="543"/>
      <c r="C220" s="543"/>
    </row>
    <row r="221" spans="1:3">
      <c r="A221" s="543"/>
      <c r="C221" s="543"/>
    </row>
    <row r="222" spans="1:3">
      <c r="A222" s="543"/>
      <c r="C222" s="543"/>
    </row>
    <row r="223" spans="1:3">
      <c r="A223" s="543"/>
      <c r="C223" s="543"/>
    </row>
    <row r="224" spans="1:3">
      <c r="A224" s="543"/>
      <c r="C224" s="543"/>
    </row>
    <row r="225" spans="1:3">
      <c r="A225" s="543"/>
      <c r="C225" s="543"/>
    </row>
    <row r="226" spans="1:3">
      <c r="A226" s="543"/>
      <c r="C226" s="543"/>
    </row>
    <row r="227" spans="1:3">
      <c r="A227" s="543"/>
      <c r="C227" s="543"/>
    </row>
    <row r="228" spans="1:3">
      <c r="A228" s="543"/>
      <c r="C228" s="543"/>
    </row>
    <row r="229" spans="1:3">
      <c r="A229" s="543"/>
      <c r="C229" s="543"/>
    </row>
    <row r="230" spans="1:3">
      <c r="A230" s="543"/>
      <c r="C230" s="543"/>
    </row>
    <row r="231" spans="1:3">
      <c r="A231" s="543"/>
      <c r="C231" s="543"/>
    </row>
    <row r="232" spans="1:3">
      <c r="A232" s="543"/>
      <c r="C232" s="543"/>
    </row>
    <row r="233" spans="1:3">
      <c r="A233" s="543"/>
      <c r="C233" s="543"/>
    </row>
    <row r="234" spans="1:3">
      <c r="A234" s="543"/>
      <c r="C234" s="543"/>
    </row>
    <row r="235" spans="1:3">
      <c r="A235" s="543"/>
      <c r="C235" s="543"/>
    </row>
    <row r="236" spans="1:3">
      <c r="A236" s="543"/>
      <c r="C236" s="543"/>
    </row>
    <row r="237" spans="1:3">
      <c r="A237" s="543"/>
      <c r="C237" s="543"/>
    </row>
    <row r="238" spans="1:3">
      <c r="A238" s="543"/>
      <c r="C238" s="543"/>
    </row>
    <row r="239" spans="1:3">
      <c r="A239" s="543"/>
      <c r="C239" s="543"/>
    </row>
    <row r="240" spans="1:3">
      <c r="A240" s="543"/>
      <c r="C240" s="543"/>
    </row>
    <row r="241" spans="1:3">
      <c r="A241" s="543"/>
      <c r="C241" s="543"/>
    </row>
    <row r="242" spans="1:3">
      <c r="A242" s="543"/>
      <c r="C242" s="543"/>
    </row>
    <row r="243" spans="1:3">
      <c r="A243" s="543"/>
      <c r="C243" s="543"/>
    </row>
    <row r="244" spans="1:3">
      <c r="A244" s="543"/>
      <c r="C244" s="543"/>
    </row>
    <row r="245" spans="1:3">
      <c r="A245" s="543"/>
      <c r="C245" s="543"/>
    </row>
    <row r="246" spans="1:3">
      <c r="A246" s="543"/>
      <c r="C246" s="543"/>
    </row>
    <row r="247" spans="1:3">
      <c r="A247" s="543"/>
      <c r="C247" s="543"/>
    </row>
    <row r="248" spans="1:3">
      <c r="A248" s="543"/>
      <c r="C248" s="543"/>
    </row>
    <row r="249" spans="1:3">
      <c r="A249" s="543"/>
      <c r="C249" s="543"/>
    </row>
    <row r="250" spans="1:3">
      <c r="A250" s="543"/>
      <c r="C250" s="543"/>
    </row>
    <row r="251" spans="1:3">
      <c r="A251" s="543"/>
      <c r="C251" s="543"/>
    </row>
    <row r="252" spans="1:3">
      <c r="A252" s="543"/>
      <c r="C252" s="543"/>
    </row>
    <row r="253" spans="1:3">
      <c r="A253" s="543"/>
      <c r="C253" s="543"/>
    </row>
    <row r="254" spans="1:3">
      <c r="A254" s="543"/>
      <c r="C254" s="543"/>
    </row>
    <row r="255" spans="1:3">
      <c r="A255" s="543"/>
      <c r="C255" s="543"/>
    </row>
    <row r="256" spans="1:3">
      <c r="A256" s="543"/>
      <c r="C256" s="543"/>
    </row>
    <row r="257" spans="1:3">
      <c r="A257" s="543"/>
      <c r="C257" s="543"/>
    </row>
    <row r="258" spans="1:3">
      <c r="A258" s="543"/>
      <c r="C258" s="543"/>
    </row>
    <row r="259" spans="1:3">
      <c r="A259" s="543"/>
      <c r="C259" s="543"/>
    </row>
    <row r="260" spans="1:3">
      <c r="A260" s="543"/>
      <c r="C260" s="543"/>
    </row>
    <row r="261" spans="1:3">
      <c r="A261" s="543"/>
      <c r="C261" s="543"/>
    </row>
    <row r="262" spans="1:3">
      <c r="A262" s="543"/>
      <c r="C262" s="543"/>
    </row>
    <row r="263" spans="1:3">
      <c r="A263" s="543"/>
      <c r="C263" s="543"/>
    </row>
    <row r="264" spans="1:3">
      <c r="A264" s="543"/>
      <c r="C264" s="543"/>
    </row>
    <row r="265" spans="1:3">
      <c r="A265" s="543"/>
      <c r="C265" s="543"/>
    </row>
    <row r="266" spans="1:3">
      <c r="A266" s="543"/>
      <c r="C266" s="543"/>
    </row>
    <row r="267" spans="1:3">
      <c r="A267" s="543"/>
      <c r="C267" s="543"/>
    </row>
    <row r="268" spans="1:3">
      <c r="A268" s="543"/>
      <c r="C268" s="543"/>
    </row>
    <row r="269" spans="1:3">
      <c r="A269" s="543"/>
      <c r="C269" s="543"/>
    </row>
    <row r="270" spans="1:3">
      <c r="A270" s="543"/>
      <c r="C270" s="543"/>
    </row>
    <row r="271" spans="1:3">
      <c r="A271" s="543"/>
      <c r="C271" s="543"/>
    </row>
    <row r="272" spans="1:3">
      <c r="A272" s="543"/>
      <c r="C272" s="543"/>
    </row>
    <row r="273" spans="1:3">
      <c r="A273" s="543"/>
      <c r="C273" s="543"/>
    </row>
    <row r="274" spans="1:3">
      <c r="A274" s="543"/>
      <c r="C274" s="543"/>
    </row>
    <row r="275" spans="1:3">
      <c r="A275" s="543"/>
      <c r="C275" s="543"/>
    </row>
    <row r="276" spans="1:3">
      <c r="A276" s="543"/>
      <c r="C276" s="543"/>
    </row>
    <row r="277" spans="1:3">
      <c r="A277" s="543"/>
      <c r="C277" s="543"/>
    </row>
    <row r="278" spans="1:3">
      <c r="A278" s="543"/>
      <c r="C278" s="543"/>
    </row>
    <row r="279" spans="1:3">
      <c r="A279" s="543"/>
      <c r="C279" s="543"/>
    </row>
    <row r="280" spans="1:3">
      <c r="A280" s="543"/>
      <c r="C280" s="543"/>
    </row>
    <row r="281" spans="1:3">
      <c r="A281" s="543"/>
      <c r="C281" s="543"/>
    </row>
    <row r="282" spans="1:3">
      <c r="A282" s="543"/>
      <c r="C282" s="543"/>
    </row>
    <row r="283" spans="1:3">
      <c r="A283" s="543"/>
      <c r="C283" s="543"/>
    </row>
    <row r="284" spans="1:3">
      <c r="A284" s="543"/>
      <c r="C284" s="543"/>
    </row>
    <row r="285" spans="1:3">
      <c r="A285" s="543"/>
      <c r="C285" s="543"/>
    </row>
    <row r="286" spans="1:3">
      <c r="A286" s="543"/>
      <c r="C286" s="543"/>
    </row>
    <row r="287" spans="1:3">
      <c r="A287" s="543"/>
      <c r="C287" s="543"/>
    </row>
    <row r="288" spans="1:3">
      <c r="A288" s="543"/>
      <c r="C288" s="543"/>
    </row>
    <row r="289" spans="1:3">
      <c r="A289" s="543"/>
      <c r="C289" s="543"/>
    </row>
    <row r="290" spans="1:3">
      <c r="A290" s="543"/>
      <c r="C290" s="543"/>
    </row>
    <row r="291" spans="1:3">
      <c r="A291" s="543"/>
      <c r="C291" s="543"/>
    </row>
    <row r="292" spans="1:3">
      <c r="A292" s="543"/>
      <c r="C292" s="543"/>
    </row>
    <row r="293" spans="1:3">
      <c r="A293" s="543"/>
      <c r="C293" s="543"/>
    </row>
    <row r="294" spans="1:3">
      <c r="A294" s="543"/>
      <c r="C294" s="543"/>
    </row>
    <row r="295" spans="1:3">
      <c r="A295" s="543"/>
      <c r="C295" s="543"/>
    </row>
    <row r="296" spans="1:3">
      <c r="A296" s="543"/>
      <c r="C296" s="543"/>
    </row>
    <row r="297" spans="1:3">
      <c r="A297" s="543"/>
      <c r="C297" s="543"/>
    </row>
    <row r="298" spans="1:3">
      <c r="A298" s="543"/>
      <c r="C298" s="543"/>
    </row>
    <row r="299" spans="1:3">
      <c r="A299" s="543"/>
      <c r="C299" s="543"/>
    </row>
    <row r="300" spans="1:3">
      <c r="A300" s="543"/>
      <c r="C300" s="543"/>
    </row>
    <row r="301" spans="1:3">
      <c r="A301" s="543"/>
      <c r="C301" s="543"/>
    </row>
    <row r="302" spans="1:3">
      <c r="A302" s="543"/>
      <c r="C302" s="543"/>
    </row>
    <row r="303" spans="1:3">
      <c r="A303" s="543"/>
      <c r="C303" s="543"/>
    </row>
    <row r="304" spans="1:3">
      <c r="A304" s="543"/>
      <c r="C304" s="543"/>
    </row>
    <row r="305" spans="1:3">
      <c r="A305" s="543"/>
      <c r="C305" s="543"/>
    </row>
    <row r="306" spans="1:3">
      <c r="A306" s="543"/>
      <c r="C306" s="543"/>
    </row>
    <row r="307" spans="1:3">
      <c r="A307" s="543"/>
      <c r="C307" s="543"/>
    </row>
    <row r="308" spans="1:3">
      <c r="A308" s="543"/>
      <c r="C308" s="543"/>
    </row>
    <row r="309" spans="1:3">
      <c r="A309" s="543"/>
      <c r="C309" s="543"/>
    </row>
    <row r="310" spans="1:3">
      <c r="A310" s="543"/>
      <c r="C310" s="543"/>
    </row>
    <row r="311" spans="1:3">
      <c r="A311" s="543"/>
      <c r="C311" s="543"/>
    </row>
    <row r="312" spans="1:3">
      <c r="A312" s="543"/>
      <c r="C312" s="543"/>
    </row>
    <row r="313" spans="1:3">
      <c r="A313" s="543"/>
      <c r="C313" s="543"/>
    </row>
    <row r="314" spans="1:3">
      <c r="A314" s="543"/>
      <c r="C314" s="543"/>
    </row>
    <row r="315" spans="1:3">
      <c r="A315" s="543"/>
      <c r="C315" s="543"/>
    </row>
    <row r="316" spans="1:3">
      <c r="A316" s="543"/>
      <c r="C316" s="543"/>
    </row>
    <row r="317" spans="1:3">
      <c r="A317" s="543"/>
      <c r="C317" s="543"/>
    </row>
    <row r="318" spans="1:3">
      <c r="A318" s="543"/>
      <c r="C318" s="543"/>
    </row>
    <row r="319" spans="1:3">
      <c r="A319" s="543"/>
      <c r="C319" s="543"/>
    </row>
    <row r="320" spans="1:3">
      <c r="A320" s="543"/>
      <c r="C320" s="543"/>
    </row>
    <row r="321" spans="1:3">
      <c r="A321" s="543"/>
      <c r="C321" s="543"/>
    </row>
    <row r="322" spans="1:3">
      <c r="A322" s="543"/>
      <c r="C322" s="543"/>
    </row>
    <row r="323" spans="1:3">
      <c r="A323" s="543"/>
      <c r="C323" s="543"/>
    </row>
    <row r="324" spans="1:3">
      <c r="A324" s="543"/>
      <c r="C324" s="543"/>
    </row>
    <row r="325" spans="1:3">
      <c r="A325" s="543"/>
      <c r="C325" s="543"/>
    </row>
    <row r="326" spans="1:3">
      <c r="A326" s="543"/>
      <c r="C326" s="543"/>
    </row>
    <row r="327" spans="1:3">
      <c r="A327" s="543"/>
      <c r="C327" s="543"/>
    </row>
    <row r="328" spans="1:3">
      <c r="A328" s="543"/>
      <c r="C328" s="543"/>
    </row>
    <row r="329" spans="1:3">
      <c r="A329" s="543"/>
      <c r="C329" s="543"/>
    </row>
    <row r="330" spans="1:3">
      <c r="A330" s="543"/>
      <c r="C330" s="543"/>
    </row>
    <row r="331" spans="1:3">
      <c r="A331" s="543"/>
      <c r="C331" s="543"/>
    </row>
    <row r="332" spans="1:3">
      <c r="A332" s="543"/>
      <c r="C332" s="543"/>
    </row>
    <row r="333" spans="1:3">
      <c r="A333" s="543"/>
      <c r="C333" s="543"/>
    </row>
    <row r="334" spans="1:3">
      <c r="A334" s="543"/>
      <c r="C334" s="543"/>
    </row>
    <row r="335" spans="1:3">
      <c r="A335" s="543"/>
      <c r="C335" s="543"/>
    </row>
    <row r="336" spans="1:3">
      <c r="A336" s="543"/>
      <c r="C336" s="543"/>
    </row>
    <row r="337" spans="1:3">
      <c r="A337" s="543"/>
      <c r="C337" s="543"/>
    </row>
    <row r="338" spans="1:3">
      <c r="A338" s="543"/>
      <c r="C338" s="543"/>
    </row>
    <row r="339" spans="1:3">
      <c r="A339" s="543"/>
      <c r="C339" s="543"/>
    </row>
    <row r="340" spans="1:3">
      <c r="A340" s="543"/>
      <c r="C340" s="543"/>
    </row>
    <row r="341" spans="1:3">
      <c r="A341" s="543"/>
      <c r="C341" s="543"/>
    </row>
    <row r="342" spans="1:3">
      <c r="A342" s="543"/>
      <c r="C342" s="543"/>
    </row>
    <row r="343" spans="1:3">
      <c r="A343" s="543"/>
      <c r="C343" s="543"/>
    </row>
    <row r="344" spans="1:3">
      <c r="A344" s="543"/>
      <c r="C344" s="543"/>
    </row>
    <row r="345" spans="1:3">
      <c r="A345" s="543"/>
      <c r="C345" s="543"/>
    </row>
    <row r="346" spans="1:3">
      <c r="A346" s="543"/>
      <c r="C346" s="543"/>
    </row>
    <row r="347" spans="1:3">
      <c r="A347" s="543"/>
      <c r="C347" s="543"/>
    </row>
    <row r="348" spans="1:3">
      <c r="A348" s="543"/>
      <c r="C348" s="543"/>
    </row>
    <row r="349" spans="1:3">
      <c r="A349" s="543"/>
      <c r="C349" s="543"/>
    </row>
    <row r="350" spans="1:3">
      <c r="A350" s="543"/>
      <c r="C350" s="543"/>
    </row>
    <row r="351" spans="1:3">
      <c r="A351" s="543"/>
      <c r="C351" s="543"/>
    </row>
    <row r="352" spans="1:3">
      <c r="A352" s="543"/>
      <c r="C352" s="543"/>
    </row>
    <row r="353" spans="1:3">
      <c r="A353" s="543"/>
      <c r="C353" s="543"/>
    </row>
    <row r="354" spans="1:3">
      <c r="A354" s="543"/>
      <c r="C354" s="543"/>
    </row>
    <row r="355" spans="1:3">
      <c r="A355" s="543"/>
      <c r="C355" s="543"/>
    </row>
    <row r="356" spans="1:3">
      <c r="A356" s="543"/>
      <c r="C356" s="543"/>
    </row>
    <row r="357" spans="1:3">
      <c r="A357" s="543"/>
      <c r="C357" s="543"/>
    </row>
    <row r="358" spans="1:3">
      <c r="A358" s="543"/>
      <c r="C358" s="543"/>
    </row>
    <row r="359" spans="1:3">
      <c r="A359" s="543"/>
      <c r="C359" s="543"/>
    </row>
    <row r="360" spans="1:3">
      <c r="A360" s="543"/>
      <c r="C360" s="543"/>
    </row>
    <row r="361" spans="1:3">
      <c r="A361" s="543"/>
      <c r="C361" s="543"/>
    </row>
    <row r="362" spans="1:3">
      <c r="A362" s="543"/>
      <c r="C362" s="543"/>
    </row>
    <row r="363" spans="1:3">
      <c r="A363" s="543"/>
      <c r="C363" s="543"/>
    </row>
    <row r="364" spans="1:3">
      <c r="A364" s="543"/>
      <c r="C364" s="543"/>
    </row>
    <row r="365" spans="1:3">
      <c r="A365" s="543"/>
      <c r="C365" s="543"/>
    </row>
    <row r="366" spans="1:3">
      <c r="A366" s="543"/>
      <c r="C366" s="543"/>
    </row>
    <row r="367" spans="1:3">
      <c r="A367" s="543"/>
      <c r="C367" s="543"/>
    </row>
    <row r="368" spans="1:3">
      <c r="A368" s="543"/>
      <c r="C368" s="543"/>
    </row>
    <row r="369" spans="1:3">
      <c r="A369" s="543"/>
      <c r="C369" s="543"/>
    </row>
    <row r="370" spans="1:3">
      <c r="A370" s="543"/>
      <c r="C370" s="543"/>
    </row>
    <row r="371" spans="1:3">
      <c r="A371" s="543"/>
      <c r="C371" s="543"/>
    </row>
    <row r="372" spans="1:3">
      <c r="A372" s="543"/>
      <c r="C372" s="543"/>
    </row>
    <row r="373" spans="1:3">
      <c r="A373" s="543"/>
      <c r="C373" s="543"/>
    </row>
    <row r="374" spans="1:3">
      <c r="A374" s="543"/>
      <c r="C374" s="543"/>
    </row>
    <row r="375" spans="1:3">
      <c r="A375" s="543"/>
      <c r="C375" s="543"/>
    </row>
    <row r="376" spans="1:3">
      <c r="A376" s="543"/>
      <c r="C376" s="543"/>
    </row>
    <row r="377" spans="1:3">
      <c r="A377" s="543"/>
      <c r="C377" s="543"/>
    </row>
    <row r="378" spans="1:3">
      <c r="A378" s="543"/>
      <c r="C378" s="543"/>
    </row>
    <row r="379" spans="1:3">
      <c r="A379" s="543"/>
      <c r="C379" s="543"/>
    </row>
    <row r="380" spans="1:3">
      <c r="A380" s="543"/>
      <c r="C380" s="543"/>
    </row>
    <row r="381" spans="1:3">
      <c r="A381" s="543"/>
      <c r="C381" s="543"/>
    </row>
    <row r="382" spans="1:3">
      <c r="A382" s="543"/>
      <c r="C382" s="543"/>
    </row>
    <row r="383" spans="1:3">
      <c r="A383" s="543"/>
      <c r="C383" s="543"/>
    </row>
    <row r="384" spans="1:3">
      <c r="A384" s="543"/>
      <c r="C384" s="543"/>
    </row>
    <row r="385" spans="1:3">
      <c r="A385" s="543"/>
      <c r="C385" s="543"/>
    </row>
    <row r="386" spans="1:3">
      <c r="A386" s="543"/>
      <c r="C386" s="543"/>
    </row>
    <row r="387" spans="1:3">
      <c r="A387" s="543"/>
      <c r="C387" s="543"/>
    </row>
    <row r="388" spans="1:3">
      <c r="A388" s="543"/>
      <c r="C388" s="543"/>
    </row>
    <row r="389" spans="1:3">
      <c r="A389" s="543"/>
      <c r="C389" s="543"/>
    </row>
    <row r="390" spans="1:3">
      <c r="A390" s="543"/>
      <c r="C390" s="543"/>
    </row>
    <row r="391" spans="1:3">
      <c r="A391" s="543"/>
      <c r="C391" s="543"/>
    </row>
    <row r="392" spans="1:3">
      <c r="A392" s="543"/>
      <c r="C392" s="543"/>
    </row>
    <row r="393" spans="1:3">
      <c r="A393" s="543"/>
      <c r="C393" s="543"/>
    </row>
    <row r="394" spans="1:3">
      <c r="A394" s="543"/>
      <c r="C394" s="543"/>
    </row>
    <row r="395" spans="1:3">
      <c r="A395" s="543"/>
      <c r="C395" s="543"/>
    </row>
    <row r="396" spans="1:3">
      <c r="A396" s="543"/>
      <c r="C396" s="543"/>
    </row>
    <row r="397" spans="1:3">
      <c r="A397" s="543"/>
      <c r="C397" s="543"/>
    </row>
    <row r="398" spans="1:3">
      <c r="A398" s="543"/>
      <c r="C398" s="543"/>
    </row>
    <row r="399" spans="1:3">
      <c r="A399" s="543"/>
      <c r="C399" s="543"/>
    </row>
    <row r="400" spans="1:3">
      <c r="A400" s="543"/>
      <c r="C400" s="543"/>
    </row>
    <row r="401" spans="1:3">
      <c r="A401" s="543"/>
      <c r="C401" s="543"/>
    </row>
    <row r="402" spans="1:3">
      <c r="A402" s="543"/>
      <c r="C402" s="543"/>
    </row>
    <row r="403" spans="1:3">
      <c r="A403" s="543"/>
      <c r="C403" s="543"/>
    </row>
    <row r="404" spans="1:3">
      <c r="A404" s="543"/>
      <c r="C404" s="543"/>
    </row>
    <row r="405" spans="1:3">
      <c r="A405" s="543"/>
      <c r="C405" s="543"/>
    </row>
    <row r="406" spans="1:3">
      <c r="A406" s="543"/>
      <c r="C406" s="543"/>
    </row>
    <row r="407" spans="1:3">
      <c r="A407" s="543"/>
      <c r="C407" s="543"/>
    </row>
    <row r="408" spans="1:3">
      <c r="A408" s="543"/>
      <c r="C408" s="543"/>
    </row>
    <row r="409" spans="1:3">
      <c r="A409" s="543"/>
      <c r="C409" s="543"/>
    </row>
    <row r="410" spans="1:3">
      <c r="A410" s="543"/>
      <c r="C410" s="543"/>
    </row>
    <row r="411" spans="1:3">
      <c r="A411" s="543"/>
      <c r="C411" s="543"/>
    </row>
    <row r="412" spans="1:3">
      <c r="A412" s="543"/>
      <c r="C412" s="543"/>
    </row>
    <row r="413" spans="1:3">
      <c r="A413" s="543"/>
      <c r="C413" s="543"/>
    </row>
    <row r="414" spans="1:3">
      <c r="A414" s="543"/>
      <c r="C414" s="543"/>
    </row>
    <row r="415" spans="1:3">
      <c r="A415" s="543"/>
      <c r="C415" s="543"/>
    </row>
    <row r="416" spans="1:3">
      <c r="A416" s="543"/>
      <c r="C416" s="543"/>
    </row>
    <row r="417" spans="1:3">
      <c r="A417" s="543"/>
      <c r="C417" s="543"/>
    </row>
    <row r="418" spans="1:3">
      <c r="A418" s="543"/>
      <c r="C418" s="543"/>
    </row>
    <row r="419" spans="1:3">
      <c r="A419" s="543"/>
      <c r="C419" s="543"/>
    </row>
    <row r="420" spans="1:3">
      <c r="A420" s="543"/>
      <c r="C420" s="543"/>
    </row>
    <row r="421" spans="1:3">
      <c r="A421" s="543"/>
      <c r="C421" s="543"/>
    </row>
    <row r="422" spans="1:3">
      <c r="A422" s="543"/>
      <c r="C422" s="543"/>
    </row>
    <row r="423" spans="1:3">
      <c r="A423" s="543"/>
      <c r="C423" s="543"/>
    </row>
    <row r="424" spans="1:3">
      <c r="A424" s="543"/>
      <c r="C424" s="543"/>
    </row>
    <row r="425" spans="1:3">
      <c r="A425" s="543"/>
      <c r="C425" s="543"/>
    </row>
    <row r="426" spans="1:3">
      <c r="A426" s="543"/>
      <c r="C426" s="543"/>
    </row>
    <row r="427" spans="1:3">
      <c r="A427" s="543"/>
      <c r="C427" s="543"/>
    </row>
    <row r="428" spans="1:3">
      <c r="A428" s="543"/>
      <c r="C428" s="543"/>
    </row>
    <row r="429" spans="1:3">
      <c r="A429" s="543"/>
      <c r="C429" s="543"/>
    </row>
    <row r="430" spans="1:3">
      <c r="A430" s="543"/>
      <c r="C430" s="543"/>
    </row>
    <row r="431" spans="1:3">
      <c r="A431" s="543"/>
      <c r="C431" s="543"/>
    </row>
    <row r="432" spans="1:3">
      <c r="A432" s="543"/>
      <c r="C432" s="543"/>
    </row>
    <row r="433" spans="1:3">
      <c r="A433" s="543"/>
      <c r="C433" s="543"/>
    </row>
    <row r="434" spans="1:3">
      <c r="A434" s="543"/>
      <c r="C434" s="543"/>
    </row>
    <row r="435" spans="1:3">
      <c r="A435" s="543"/>
      <c r="C435" s="543"/>
    </row>
    <row r="436" spans="1:3">
      <c r="A436" s="543"/>
      <c r="C436" s="543"/>
    </row>
    <row r="437" spans="1:3">
      <c r="A437" s="543"/>
      <c r="C437" s="543"/>
    </row>
    <row r="438" spans="1:3">
      <c r="A438" s="543"/>
      <c r="C438" s="543"/>
    </row>
    <row r="439" spans="1:3">
      <c r="A439" s="543"/>
      <c r="C439" s="543"/>
    </row>
    <row r="440" spans="1:3">
      <c r="A440" s="543"/>
      <c r="C440" s="543"/>
    </row>
    <row r="441" spans="1:3">
      <c r="A441" s="543"/>
      <c r="C441" s="543"/>
    </row>
    <row r="442" spans="1:3">
      <c r="A442" s="543"/>
      <c r="C442" s="543"/>
    </row>
    <row r="443" spans="1:3">
      <c r="A443" s="543"/>
      <c r="C443" s="543"/>
    </row>
    <row r="444" spans="1:3">
      <c r="A444" s="543"/>
      <c r="C444" s="543"/>
    </row>
    <row r="445" spans="1:3">
      <c r="A445" s="543"/>
      <c r="C445" s="543"/>
    </row>
    <row r="446" spans="1:3">
      <c r="A446" s="543"/>
      <c r="C446" s="543"/>
    </row>
    <row r="447" spans="1:3">
      <c r="A447" s="543"/>
      <c r="C447" s="543"/>
    </row>
    <row r="448" spans="1:3">
      <c r="A448" s="543"/>
      <c r="C448" s="543"/>
    </row>
    <row r="449" spans="1:3">
      <c r="A449" s="543"/>
      <c r="C449" s="543"/>
    </row>
    <row r="450" spans="1:3">
      <c r="A450" s="543"/>
      <c r="C450" s="543"/>
    </row>
    <row r="451" spans="1:3">
      <c r="A451" s="543"/>
      <c r="C451" s="543"/>
    </row>
    <row r="452" spans="1:3">
      <c r="A452" s="543"/>
      <c r="C452" s="543"/>
    </row>
    <row r="453" spans="1:3">
      <c r="A453" s="543"/>
      <c r="C453" s="543"/>
    </row>
    <row r="454" spans="1:3">
      <c r="A454" s="543"/>
      <c r="C454" s="543"/>
    </row>
    <row r="455" spans="1:3">
      <c r="A455" s="543"/>
      <c r="C455" s="543"/>
    </row>
    <row r="456" spans="1:3">
      <c r="A456" s="543"/>
      <c r="C456" s="543"/>
    </row>
    <row r="457" spans="1:3">
      <c r="A457" s="543"/>
      <c r="C457" s="543"/>
    </row>
    <row r="458" spans="1:3">
      <c r="A458" s="543"/>
      <c r="C458" s="543"/>
    </row>
    <row r="459" spans="1:3">
      <c r="A459" s="543"/>
      <c r="C459" s="543"/>
    </row>
    <row r="460" spans="1:3">
      <c r="A460" s="543"/>
      <c r="C460" s="543"/>
    </row>
    <row r="461" spans="1:3">
      <c r="A461" s="543"/>
      <c r="C461" s="543"/>
    </row>
    <row r="462" spans="1:3">
      <c r="A462" s="543"/>
      <c r="C462" s="543"/>
    </row>
    <row r="463" spans="1:3">
      <c r="A463" s="543"/>
      <c r="C463" s="543"/>
    </row>
    <row r="464" spans="1:3">
      <c r="A464" s="543"/>
      <c r="C464" s="543"/>
    </row>
    <row r="465" spans="1:3">
      <c r="A465" s="543"/>
      <c r="C465" s="543"/>
    </row>
    <row r="466" spans="1:3">
      <c r="A466" s="543"/>
      <c r="C466" s="543"/>
    </row>
    <row r="467" spans="1:3">
      <c r="A467" s="543"/>
      <c r="C467" s="543"/>
    </row>
    <row r="468" spans="1:3">
      <c r="A468" s="543"/>
      <c r="C468" s="543"/>
    </row>
    <row r="469" spans="1:3">
      <c r="A469" s="543"/>
      <c r="C469" s="543"/>
    </row>
    <row r="470" spans="1:3">
      <c r="A470" s="543"/>
      <c r="C470" s="543"/>
    </row>
    <row r="471" spans="1:3">
      <c r="A471" s="543"/>
      <c r="C471" s="543"/>
    </row>
    <row r="472" spans="1:3">
      <c r="A472" s="543"/>
      <c r="C472" s="543"/>
    </row>
    <row r="473" spans="1:3">
      <c r="A473" s="543"/>
      <c r="C473" s="543"/>
    </row>
    <row r="474" spans="1:3">
      <c r="A474" s="543"/>
      <c r="C474" s="543"/>
    </row>
    <row r="475" spans="1:3">
      <c r="A475" s="543"/>
      <c r="C475" s="543"/>
    </row>
    <row r="476" spans="1:3">
      <c r="A476" s="543"/>
      <c r="C476" s="543"/>
    </row>
    <row r="477" spans="1:3">
      <c r="A477" s="543"/>
      <c r="C477" s="543"/>
    </row>
    <row r="478" spans="1:3">
      <c r="A478" s="543"/>
      <c r="C478" s="543"/>
    </row>
    <row r="479" spans="1:3">
      <c r="A479" s="543"/>
      <c r="C479" s="543"/>
    </row>
    <row r="480" spans="1:3">
      <c r="A480" s="543"/>
      <c r="C480" s="543"/>
    </row>
    <row r="481" spans="1:3">
      <c r="A481" s="543"/>
      <c r="C481" s="543"/>
    </row>
    <row r="482" spans="1:3">
      <c r="A482" s="543"/>
      <c r="C482" s="543"/>
    </row>
    <row r="483" spans="1:3">
      <c r="A483" s="543"/>
      <c r="C483" s="543"/>
    </row>
    <row r="484" spans="1:3">
      <c r="A484" s="543"/>
      <c r="C484" s="543"/>
    </row>
    <row r="485" spans="1:3">
      <c r="A485" s="543"/>
      <c r="C485" s="543"/>
    </row>
    <row r="486" spans="1:3">
      <c r="A486" s="543"/>
      <c r="C486" s="543"/>
    </row>
    <row r="487" spans="1:3">
      <c r="A487" s="543"/>
      <c r="C487" s="543"/>
    </row>
    <row r="488" spans="1:3">
      <c r="A488" s="543"/>
      <c r="C488" s="543"/>
    </row>
    <row r="489" spans="1:3">
      <c r="A489" s="543"/>
      <c r="C489" s="543"/>
    </row>
    <row r="490" spans="1:3">
      <c r="A490" s="543"/>
      <c r="C490" s="543"/>
    </row>
    <row r="491" spans="1:3">
      <c r="A491" s="543"/>
      <c r="C491" s="543"/>
    </row>
    <row r="492" spans="1:3">
      <c r="A492" s="543"/>
      <c r="C492" s="543"/>
    </row>
    <row r="493" spans="1:3">
      <c r="A493" s="543"/>
      <c r="C493" s="543"/>
    </row>
    <row r="494" spans="1:3">
      <c r="A494" s="543"/>
      <c r="C494" s="543"/>
    </row>
    <row r="495" spans="1:3">
      <c r="A495" s="543"/>
      <c r="C495" s="543"/>
    </row>
    <row r="496" spans="1:3">
      <c r="A496" s="543"/>
      <c r="C496" s="543"/>
    </row>
    <row r="497" spans="1:3">
      <c r="A497" s="543"/>
      <c r="C497" s="543"/>
    </row>
    <row r="498" spans="1:3">
      <c r="A498" s="543"/>
      <c r="C498" s="543"/>
    </row>
    <row r="499" spans="1:3">
      <c r="A499" s="543"/>
      <c r="C499" s="543"/>
    </row>
    <row r="500" spans="1:3">
      <c r="A500" s="543"/>
      <c r="C500" s="543"/>
    </row>
    <row r="501" spans="1:3">
      <c r="A501" s="543"/>
      <c r="C501" s="543"/>
    </row>
    <row r="502" spans="1:3">
      <c r="A502" s="543"/>
      <c r="C502" s="543"/>
    </row>
    <row r="503" spans="1:3">
      <c r="A503" s="543"/>
      <c r="C503" s="543"/>
    </row>
    <row r="504" spans="1:3">
      <c r="A504" s="543"/>
      <c r="C504" s="543"/>
    </row>
    <row r="505" spans="1:3">
      <c r="A505" s="543"/>
      <c r="C505" s="543"/>
    </row>
    <row r="506" spans="1:3">
      <c r="A506" s="543"/>
      <c r="C506" s="543"/>
    </row>
    <row r="507" spans="1:3">
      <c r="A507" s="543"/>
      <c r="C507" s="543"/>
    </row>
    <row r="508" spans="1:3">
      <c r="A508" s="543"/>
      <c r="C508" s="543"/>
    </row>
    <row r="509" spans="1:3">
      <c r="A509" s="543"/>
      <c r="C509" s="543"/>
    </row>
    <row r="510" spans="1:3">
      <c r="A510" s="543"/>
      <c r="C510" s="543"/>
    </row>
    <row r="511" spans="1:3">
      <c r="A511" s="543"/>
      <c r="C511" s="543"/>
    </row>
    <row r="512" spans="1:3">
      <c r="A512" s="543"/>
      <c r="C512" s="543"/>
    </row>
    <row r="513" spans="1:3">
      <c r="A513" s="543"/>
      <c r="C513" s="543"/>
    </row>
    <row r="514" spans="1:3">
      <c r="A514" s="543"/>
      <c r="C514" s="543"/>
    </row>
    <row r="515" spans="1:3">
      <c r="A515" s="543"/>
      <c r="C515" s="543"/>
    </row>
    <row r="516" spans="1:3">
      <c r="A516" s="543"/>
      <c r="C516" s="543"/>
    </row>
    <row r="517" spans="1:3">
      <c r="A517" s="543"/>
      <c r="C517" s="543"/>
    </row>
    <row r="518" spans="1:3">
      <c r="A518" s="543"/>
      <c r="C518" s="543"/>
    </row>
    <row r="519" spans="1:3">
      <c r="A519" s="543"/>
      <c r="C519" s="543"/>
    </row>
    <row r="520" spans="1:3">
      <c r="A520" s="543"/>
      <c r="C520" s="543"/>
    </row>
    <row r="521" spans="1:3">
      <c r="A521" s="543"/>
      <c r="C521" s="543"/>
    </row>
    <row r="522" spans="1:3">
      <c r="A522" s="543"/>
      <c r="C522" s="543"/>
    </row>
    <row r="523" spans="1:3">
      <c r="A523" s="543"/>
      <c r="C523" s="543"/>
    </row>
    <row r="524" spans="1:3">
      <c r="A524" s="543"/>
      <c r="C524" s="543"/>
    </row>
    <row r="525" spans="1:3">
      <c r="A525" s="543"/>
      <c r="C525" s="543"/>
    </row>
    <row r="526" spans="1:3">
      <c r="A526" s="543"/>
      <c r="C526" s="543"/>
    </row>
    <row r="527" spans="1:3">
      <c r="A527" s="543"/>
      <c r="C527" s="543"/>
    </row>
    <row r="528" spans="1:3">
      <c r="A528" s="543"/>
      <c r="C528" s="543"/>
    </row>
    <row r="529" spans="1:3">
      <c r="A529" s="543"/>
      <c r="C529" s="543"/>
    </row>
    <row r="530" spans="1:3">
      <c r="A530" s="543"/>
      <c r="C530" s="543"/>
    </row>
    <row r="531" spans="1:3">
      <c r="A531" s="543"/>
      <c r="C531" s="543"/>
    </row>
    <row r="532" spans="1:3">
      <c r="A532" s="543"/>
      <c r="C532" s="543"/>
    </row>
    <row r="533" spans="1:3">
      <c r="A533" s="543"/>
      <c r="C533" s="543"/>
    </row>
    <row r="534" spans="1:3">
      <c r="A534" s="543"/>
      <c r="C534" s="543"/>
    </row>
    <row r="535" spans="1:3">
      <c r="A535" s="543"/>
      <c r="C535" s="543"/>
    </row>
    <row r="536" spans="1:3">
      <c r="A536" s="543"/>
      <c r="C536" s="543"/>
    </row>
    <row r="537" spans="1:3">
      <c r="A537" s="543"/>
      <c r="C537" s="543"/>
    </row>
    <row r="538" spans="1:3">
      <c r="A538" s="543"/>
      <c r="C538" s="543"/>
    </row>
    <row r="539" spans="1:3">
      <c r="A539" s="543"/>
      <c r="C539" s="543"/>
    </row>
    <row r="540" spans="1:3">
      <c r="A540" s="543"/>
      <c r="C540" s="543"/>
    </row>
    <row r="541" spans="1:3">
      <c r="A541" s="543"/>
      <c r="C541" s="543"/>
    </row>
    <row r="542" spans="1:3">
      <c r="A542" s="543"/>
      <c r="C542" s="543"/>
    </row>
    <row r="543" spans="1:3">
      <c r="A543" s="543"/>
      <c r="C543" s="543"/>
    </row>
    <row r="544" spans="1:3">
      <c r="A544" s="543"/>
      <c r="C544" s="543"/>
    </row>
    <row r="545" spans="1:3">
      <c r="A545" s="543"/>
      <c r="C545" s="543"/>
    </row>
    <row r="546" spans="1:3">
      <c r="A546" s="543"/>
      <c r="C546" s="543"/>
    </row>
    <row r="547" spans="1:3">
      <c r="A547" s="543"/>
      <c r="C547" s="543"/>
    </row>
    <row r="548" spans="1:3">
      <c r="A548" s="543"/>
      <c r="C548" s="543"/>
    </row>
    <row r="549" spans="1:3">
      <c r="A549" s="543"/>
      <c r="C549" s="543"/>
    </row>
    <row r="550" spans="1:3">
      <c r="A550" s="543"/>
      <c r="C550" s="543"/>
    </row>
    <row r="551" spans="1:3">
      <c r="A551" s="543"/>
      <c r="C551" s="543"/>
    </row>
    <row r="552" spans="1:3">
      <c r="A552" s="543"/>
      <c r="C552" s="543"/>
    </row>
    <row r="553" spans="1:3">
      <c r="A553" s="543"/>
      <c r="C553" s="543"/>
    </row>
    <row r="554" spans="1:3">
      <c r="A554" s="543"/>
      <c r="C554" s="543"/>
    </row>
    <row r="555" spans="1:3">
      <c r="A555" s="543"/>
      <c r="C555" s="543"/>
    </row>
    <row r="556" spans="1:3">
      <c r="A556" s="543"/>
      <c r="C556" s="543"/>
    </row>
    <row r="557" spans="1:3">
      <c r="A557" s="543"/>
      <c r="C557" s="543"/>
    </row>
    <row r="558" spans="1:3">
      <c r="A558" s="543"/>
      <c r="C558" s="543"/>
    </row>
    <row r="559" spans="1:3">
      <c r="A559" s="543"/>
      <c r="C559" s="543"/>
    </row>
    <row r="560" spans="1:3">
      <c r="A560" s="543"/>
      <c r="C560" s="543"/>
    </row>
    <row r="561" spans="1:3">
      <c r="A561" s="543"/>
      <c r="C561" s="543"/>
    </row>
    <row r="562" spans="1:3">
      <c r="A562" s="543"/>
      <c r="C562" s="543"/>
    </row>
    <row r="563" spans="1:3">
      <c r="A563" s="543"/>
      <c r="C563" s="543"/>
    </row>
    <row r="564" spans="1:3">
      <c r="A564" s="543"/>
      <c r="C564" s="543"/>
    </row>
    <row r="565" spans="1:3">
      <c r="A565" s="543"/>
      <c r="C565" s="543"/>
    </row>
    <row r="566" spans="1:3">
      <c r="A566" s="543"/>
      <c r="C566" s="543"/>
    </row>
    <row r="567" spans="1:3">
      <c r="A567" s="543"/>
      <c r="C567" s="543"/>
    </row>
    <row r="568" spans="1:3">
      <c r="A568" s="543"/>
      <c r="C568" s="543"/>
    </row>
    <row r="569" spans="1:3">
      <c r="A569" s="543"/>
      <c r="C569" s="543"/>
    </row>
    <row r="570" spans="1:3">
      <c r="A570" s="543"/>
      <c r="C570" s="543"/>
    </row>
    <row r="571" spans="1:3">
      <c r="A571" s="543"/>
      <c r="C571" s="543"/>
    </row>
    <row r="572" spans="1:3">
      <c r="A572" s="543"/>
      <c r="C572" s="543"/>
    </row>
    <row r="573" spans="1:3">
      <c r="A573" s="543"/>
      <c r="C573" s="543"/>
    </row>
    <row r="574" spans="1:3">
      <c r="A574" s="543"/>
      <c r="C574" s="543"/>
    </row>
    <row r="575" spans="1:3">
      <c r="A575" s="543"/>
      <c r="C575" s="543"/>
    </row>
    <row r="576" spans="1:3">
      <c r="A576" s="543"/>
      <c r="C576" s="543"/>
    </row>
    <row r="577" spans="1:3">
      <c r="A577" s="543"/>
      <c r="C577" s="543"/>
    </row>
    <row r="578" spans="1:3">
      <c r="A578" s="543"/>
      <c r="C578" s="543"/>
    </row>
    <row r="579" spans="1:3">
      <c r="A579" s="543"/>
      <c r="C579" s="543"/>
    </row>
    <row r="580" spans="1:3">
      <c r="A580" s="543"/>
      <c r="C580" s="543"/>
    </row>
    <row r="581" spans="1:3">
      <c r="A581" s="543"/>
      <c r="C581" s="543"/>
    </row>
    <row r="582" spans="1:3">
      <c r="A582" s="543"/>
      <c r="C582" s="543"/>
    </row>
    <row r="583" spans="1:3">
      <c r="A583" s="543"/>
      <c r="C583" s="543"/>
    </row>
    <row r="584" spans="1:3">
      <c r="A584" s="543"/>
      <c r="C584" s="543"/>
    </row>
    <row r="585" spans="1:3">
      <c r="A585" s="543"/>
      <c r="C585" s="543"/>
    </row>
    <row r="586" spans="1:3">
      <c r="A586" s="543"/>
      <c r="C586" s="543"/>
    </row>
    <row r="587" spans="1:3">
      <c r="A587" s="543"/>
      <c r="C587" s="543"/>
    </row>
    <row r="588" spans="1:3">
      <c r="A588" s="543"/>
      <c r="C588" s="543"/>
    </row>
    <row r="589" spans="1:3">
      <c r="A589" s="543"/>
      <c r="C589" s="543"/>
    </row>
    <row r="590" spans="1:3">
      <c r="A590" s="543"/>
      <c r="C590" s="543"/>
    </row>
    <row r="591" spans="1:3">
      <c r="A591" s="543"/>
      <c r="C591" s="543"/>
    </row>
    <row r="592" spans="1:3">
      <c r="A592" s="543"/>
      <c r="C592" s="543"/>
    </row>
    <row r="593" spans="1:3">
      <c r="A593" s="543"/>
      <c r="C593" s="543"/>
    </row>
    <row r="594" spans="1:3">
      <c r="A594" s="543"/>
      <c r="C594" s="543"/>
    </row>
    <row r="595" spans="1:3">
      <c r="A595" s="543"/>
      <c r="C595" s="543"/>
    </row>
    <row r="596" spans="1:3">
      <c r="A596" s="543"/>
      <c r="C596" s="543"/>
    </row>
    <row r="597" spans="1:3">
      <c r="A597" s="543"/>
      <c r="C597" s="543"/>
    </row>
    <row r="598" spans="1:3">
      <c r="A598" s="543"/>
      <c r="C598" s="543"/>
    </row>
    <row r="599" spans="1:3">
      <c r="A599" s="543"/>
      <c r="C599" s="543"/>
    </row>
    <row r="600" spans="1:3">
      <c r="A600" s="543"/>
      <c r="C600" s="543"/>
    </row>
    <row r="601" spans="1:3">
      <c r="A601" s="543"/>
      <c r="C601" s="543"/>
    </row>
    <row r="602" spans="1:3">
      <c r="A602" s="543"/>
      <c r="C602" s="543"/>
    </row>
    <row r="603" spans="1:3">
      <c r="A603" s="543"/>
      <c r="C603" s="543"/>
    </row>
    <row r="604" spans="1:3">
      <c r="A604" s="543"/>
      <c r="C604" s="543"/>
    </row>
    <row r="605" spans="1:3">
      <c r="A605" s="543"/>
      <c r="C605" s="543"/>
    </row>
    <row r="606" spans="1:3">
      <c r="A606" s="543"/>
      <c r="C606" s="543"/>
    </row>
    <row r="607" spans="1:3">
      <c r="A607" s="543"/>
      <c r="C607" s="543"/>
    </row>
    <row r="608" spans="1:3">
      <c r="A608" s="543"/>
      <c r="C608" s="543"/>
    </row>
    <row r="609" spans="1:3">
      <c r="A609" s="543"/>
      <c r="C609" s="543"/>
    </row>
    <row r="610" spans="1:3">
      <c r="A610" s="543"/>
      <c r="C610" s="543"/>
    </row>
    <row r="611" spans="1:3">
      <c r="A611" s="543"/>
      <c r="C611" s="543"/>
    </row>
    <row r="612" spans="1:3">
      <c r="A612" s="543"/>
      <c r="C612" s="543"/>
    </row>
    <row r="613" spans="1:3">
      <c r="A613" s="543"/>
      <c r="C613" s="543"/>
    </row>
    <row r="614" spans="1:3">
      <c r="A614" s="543"/>
      <c r="C614" s="543"/>
    </row>
    <row r="615" spans="1:3">
      <c r="A615" s="543"/>
      <c r="C615" s="543"/>
    </row>
    <row r="616" spans="1:3">
      <c r="A616" s="543"/>
      <c r="C616" s="543"/>
    </row>
    <row r="617" spans="1:3">
      <c r="A617" s="543"/>
      <c r="C617" s="543"/>
    </row>
    <row r="618" spans="1:3">
      <c r="A618" s="543"/>
      <c r="C618" s="543"/>
    </row>
    <row r="619" spans="1:3">
      <c r="A619" s="543"/>
      <c r="C619" s="543"/>
    </row>
    <row r="620" spans="1:3">
      <c r="A620" s="543"/>
      <c r="C620" s="543"/>
    </row>
    <row r="621" spans="1:3">
      <c r="A621" s="543"/>
      <c r="C621" s="543"/>
    </row>
    <row r="622" spans="1:3">
      <c r="A622" s="543"/>
      <c r="C622" s="543"/>
    </row>
    <row r="623" spans="1:3">
      <c r="A623" s="543"/>
      <c r="C623" s="543"/>
    </row>
    <row r="624" spans="1:3">
      <c r="A624" s="543"/>
      <c r="C624" s="543"/>
    </row>
    <row r="625" spans="1:3">
      <c r="A625" s="543"/>
      <c r="C625" s="543"/>
    </row>
    <row r="626" spans="1:3">
      <c r="A626" s="543"/>
      <c r="C626" s="543"/>
    </row>
    <row r="627" spans="1:3">
      <c r="A627" s="543"/>
      <c r="C627" s="543"/>
    </row>
    <row r="628" spans="1:3">
      <c r="A628" s="543"/>
      <c r="C628" s="543"/>
    </row>
    <row r="629" spans="1:3">
      <c r="A629" s="543"/>
      <c r="C629" s="543"/>
    </row>
    <row r="630" spans="1:3">
      <c r="A630" s="543"/>
      <c r="C630" s="543"/>
    </row>
    <row r="631" spans="1:3">
      <c r="A631" s="543"/>
      <c r="C631" s="543"/>
    </row>
    <row r="632" spans="1:3">
      <c r="A632" s="543"/>
      <c r="C632" s="543"/>
    </row>
    <row r="633" spans="1:3">
      <c r="A633" s="543"/>
      <c r="C633" s="543"/>
    </row>
    <row r="634" spans="1:3">
      <c r="A634" s="543"/>
      <c r="C634" s="543"/>
    </row>
    <row r="635" spans="1:3">
      <c r="A635" s="543"/>
      <c r="C635" s="543"/>
    </row>
    <row r="636" spans="1:3">
      <c r="A636" s="543"/>
      <c r="C636" s="543"/>
    </row>
    <row r="637" spans="1:3">
      <c r="A637" s="543"/>
      <c r="C637" s="543"/>
    </row>
    <row r="638" spans="1:3">
      <c r="A638" s="543"/>
      <c r="C638" s="543"/>
    </row>
    <row r="639" spans="1:3">
      <c r="A639" s="543"/>
      <c r="C639" s="543"/>
    </row>
    <row r="640" spans="1:3">
      <c r="A640" s="543"/>
      <c r="C640" s="543"/>
    </row>
    <row r="641" spans="1:3">
      <c r="A641" s="543"/>
      <c r="C641" s="543"/>
    </row>
    <row r="642" spans="1:3">
      <c r="A642" s="543"/>
      <c r="C642" s="543"/>
    </row>
    <row r="643" spans="1:3">
      <c r="A643" s="543"/>
      <c r="C643" s="543"/>
    </row>
    <row r="644" spans="1:3">
      <c r="A644" s="543"/>
      <c r="C644" s="543"/>
    </row>
    <row r="645" spans="1:3">
      <c r="A645" s="543"/>
      <c r="C645" s="543"/>
    </row>
    <row r="646" spans="1:3">
      <c r="A646" s="543"/>
      <c r="C646" s="543"/>
    </row>
    <row r="647" spans="1:3">
      <c r="A647" s="543"/>
      <c r="C647" s="543"/>
    </row>
    <row r="648" spans="1:3">
      <c r="A648" s="543"/>
      <c r="C648" s="543"/>
    </row>
    <row r="649" spans="1:3">
      <c r="A649" s="543"/>
      <c r="C649" s="543"/>
    </row>
    <row r="650" spans="1:3">
      <c r="A650" s="543"/>
      <c r="C650" s="543"/>
    </row>
    <row r="651" spans="1:3">
      <c r="A651" s="543"/>
      <c r="C651" s="543"/>
    </row>
    <row r="652" spans="1:3">
      <c r="A652" s="543"/>
      <c r="C652" s="543"/>
    </row>
    <row r="653" spans="1:3">
      <c r="A653" s="543"/>
      <c r="C653" s="543"/>
    </row>
    <row r="654" spans="1:3">
      <c r="A654" s="543"/>
      <c r="C654" s="543"/>
    </row>
    <row r="655" spans="1:3">
      <c r="A655" s="543"/>
      <c r="C655" s="543"/>
    </row>
    <row r="656" spans="1:3">
      <c r="A656" s="543"/>
      <c r="C656" s="543"/>
    </row>
    <row r="657" spans="1:3">
      <c r="A657" s="543"/>
      <c r="C657" s="543"/>
    </row>
    <row r="658" spans="1:3">
      <c r="A658" s="543"/>
      <c r="C658" s="543"/>
    </row>
    <row r="659" spans="1:3">
      <c r="A659" s="543"/>
      <c r="C659" s="543"/>
    </row>
    <row r="660" spans="1:3">
      <c r="A660" s="543"/>
      <c r="C660" s="543"/>
    </row>
    <row r="661" spans="1:3">
      <c r="A661" s="543"/>
      <c r="C661" s="543"/>
    </row>
    <row r="662" spans="1:3">
      <c r="A662" s="543"/>
      <c r="C662" s="543"/>
    </row>
    <row r="663" spans="1:3">
      <c r="A663" s="543"/>
      <c r="C663" s="543"/>
    </row>
    <row r="664" spans="1:3">
      <c r="A664" s="543"/>
      <c r="C664" s="543"/>
    </row>
    <row r="665" spans="1:3">
      <c r="A665" s="543"/>
      <c r="C665" s="543"/>
    </row>
    <row r="666" spans="1:3">
      <c r="A666" s="543"/>
      <c r="C666" s="543"/>
    </row>
    <row r="667" spans="1:3">
      <c r="A667" s="543"/>
      <c r="C667" s="543"/>
    </row>
    <row r="668" spans="1:3">
      <c r="A668" s="543"/>
      <c r="C668" s="543"/>
    </row>
    <row r="669" spans="1:3">
      <c r="A669" s="543"/>
      <c r="C669" s="543"/>
    </row>
    <row r="670" spans="1:3">
      <c r="A670" s="543"/>
      <c r="C670" s="543"/>
    </row>
    <row r="671" spans="1:3">
      <c r="A671" s="543"/>
      <c r="C671" s="543"/>
    </row>
    <row r="672" spans="1:3">
      <c r="A672" s="543"/>
      <c r="C672" s="543"/>
    </row>
    <row r="673" spans="1:3">
      <c r="A673" s="543"/>
      <c r="C673" s="543"/>
    </row>
    <row r="674" spans="1:3">
      <c r="A674" s="543"/>
      <c r="C674" s="543"/>
    </row>
    <row r="675" spans="1:3">
      <c r="A675" s="543"/>
      <c r="C675" s="543"/>
    </row>
    <row r="676" spans="1:3">
      <c r="A676" s="543"/>
      <c r="C676" s="543"/>
    </row>
    <row r="677" spans="1:3">
      <c r="A677" s="543"/>
      <c r="C677" s="543"/>
    </row>
    <row r="678" spans="1:3">
      <c r="A678" s="543"/>
      <c r="C678" s="543"/>
    </row>
    <row r="679" spans="1:3">
      <c r="A679" s="543"/>
      <c r="C679" s="543"/>
    </row>
    <row r="680" spans="1:3">
      <c r="A680" s="543"/>
      <c r="C680" s="543"/>
    </row>
    <row r="681" spans="1:3">
      <c r="A681" s="543"/>
      <c r="C681" s="543"/>
    </row>
    <row r="682" spans="1:3">
      <c r="A682" s="543"/>
      <c r="C682" s="543"/>
    </row>
    <row r="683" spans="1:3">
      <c r="A683" s="543"/>
      <c r="C683" s="543"/>
    </row>
    <row r="684" spans="1:3">
      <c r="A684" s="543"/>
      <c r="C684" s="543"/>
    </row>
    <row r="685" spans="1:3">
      <c r="A685" s="543"/>
      <c r="C685" s="543"/>
    </row>
    <row r="686" spans="1:3">
      <c r="A686" s="543"/>
      <c r="C686" s="543"/>
    </row>
    <row r="687" spans="1:3">
      <c r="A687" s="543"/>
      <c r="C687" s="543"/>
    </row>
    <row r="688" spans="1:3">
      <c r="A688" s="543"/>
      <c r="C688" s="543"/>
    </row>
    <row r="689" spans="1:3">
      <c r="A689" s="543"/>
      <c r="C689" s="543"/>
    </row>
    <row r="690" spans="1:3">
      <c r="A690" s="543"/>
      <c r="C690" s="543"/>
    </row>
    <row r="691" spans="1:3">
      <c r="A691" s="543"/>
      <c r="C691" s="543"/>
    </row>
    <row r="692" spans="1:3">
      <c r="A692" s="543"/>
      <c r="C692" s="543"/>
    </row>
    <row r="693" spans="1:3">
      <c r="A693" s="543"/>
      <c r="C693" s="543"/>
    </row>
    <row r="694" spans="1:3">
      <c r="A694" s="543"/>
      <c r="C694" s="543"/>
    </row>
    <row r="695" spans="1:3">
      <c r="A695" s="543"/>
      <c r="C695" s="543"/>
    </row>
    <row r="696" spans="1:3">
      <c r="A696" s="543"/>
      <c r="C696" s="543"/>
    </row>
    <row r="697" spans="1:3">
      <c r="A697" s="543"/>
      <c r="C697" s="543"/>
    </row>
    <row r="698" spans="1:3">
      <c r="A698" s="543"/>
      <c r="C698" s="543"/>
    </row>
    <row r="699" spans="1:3">
      <c r="A699" s="543"/>
      <c r="C699" s="543"/>
    </row>
    <row r="700" spans="1:3">
      <c r="A700" s="543"/>
      <c r="C700" s="543"/>
    </row>
    <row r="701" spans="1:3">
      <c r="A701" s="543"/>
      <c r="C701" s="543"/>
    </row>
    <row r="702" spans="1:3">
      <c r="A702" s="543"/>
      <c r="C702" s="543"/>
    </row>
    <row r="703" spans="1:3">
      <c r="A703" s="543"/>
      <c r="C703" s="543"/>
    </row>
    <row r="704" spans="1:3">
      <c r="A704" s="543"/>
      <c r="C704" s="543"/>
    </row>
    <row r="705" spans="1:3">
      <c r="A705" s="543"/>
      <c r="C705" s="543"/>
    </row>
    <row r="706" spans="1:3">
      <c r="A706" s="543"/>
      <c r="C706" s="543"/>
    </row>
    <row r="707" spans="1:3">
      <c r="A707" s="543"/>
      <c r="C707" s="543"/>
    </row>
    <row r="708" spans="1:3">
      <c r="A708" s="543"/>
      <c r="C708" s="543"/>
    </row>
    <row r="709" spans="1:3">
      <c r="A709" s="543"/>
      <c r="C709" s="543"/>
    </row>
    <row r="710" spans="1:3">
      <c r="A710" s="543"/>
      <c r="C710" s="543"/>
    </row>
    <row r="711" spans="1:3">
      <c r="A711" s="543"/>
      <c r="C711" s="543"/>
    </row>
    <row r="712" spans="1:3">
      <c r="A712" s="543"/>
      <c r="C712" s="543"/>
    </row>
    <row r="713" spans="1:3">
      <c r="A713" s="543"/>
      <c r="C713" s="543"/>
    </row>
    <row r="714" spans="1:3">
      <c r="A714" s="543"/>
      <c r="C714" s="543"/>
    </row>
    <row r="715" spans="1:3">
      <c r="A715" s="543"/>
      <c r="C715" s="543"/>
    </row>
    <row r="716" spans="1:3">
      <c r="A716" s="543"/>
      <c r="C716" s="543"/>
    </row>
    <row r="717" spans="1:3">
      <c r="A717" s="543"/>
      <c r="C717" s="543"/>
    </row>
    <row r="718" spans="1:3">
      <c r="A718" s="543"/>
      <c r="C718" s="543"/>
    </row>
    <row r="719" spans="1:3">
      <c r="A719" s="543"/>
      <c r="C719" s="543"/>
    </row>
    <row r="720" spans="1:3">
      <c r="A720" s="543"/>
      <c r="C720" s="543"/>
    </row>
    <row r="721" spans="1:3">
      <c r="A721" s="543"/>
      <c r="C721" s="543"/>
    </row>
    <row r="722" spans="1:3">
      <c r="A722" s="543"/>
      <c r="C722" s="543"/>
    </row>
    <row r="723" spans="1:3">
      <c r="A723" s="543"/>
      <c r="C723" s="543"/>
    </row>
    <row r="724" spans="1:3">
      <c r="A724" s="543"/>
      <c r="C724" s="543"/>
    </row>
    <row r="725" spans="1:3">
      <c r="A725" s="543"/>
      <c r="C725" s="543"/>
    </row>
    <row r="726" spans="1:3">
      <c r="A726" s="543"/>
      <c r="C726" s="543"/>
    </row>
    <row r="727" spans="1:3">
      <c r="A727" s="543"/>
      <c r="C727" s="543"/>
    </row>
    <row r="728" spans="1:3">
      <c r="A728" s="543"/>
      <c r="C728" s="543"/>
    </row>
    <row r="729" spans="1:3">
      <c r="A729" s="543"/>
      <c r="C729" s="543"/>
    </row>
    <row r="730" spans="1:3">
      <c r="A730" s="543"/>
      <c r="C730" s="543"/>
    </row>
    <row r="731" spans="1:3">
      <c r="A731" s="543"/>
      <c r="C731" s="543"/>
    </row>
    <row r="732" spans="1:3">
      <c r="A732" s="543"/>
      <c r="C732" s="543"/>
    </row>
    <row r="733" spans="1:3">
      <c r="A733" s="543"/>
      <c r="C733" s="543"/>
    </row>
    <row r="734" spans="1:3">
      <c r="A734" s="543"/>
      <c r="C734" s="543"/>
    </row>
    <row r="735" spans="1:3">
      <c r="A735" s="543"/>
      <c r="C735" s="543"/>
    </row>
    <row r="736" spans="1:3">
      <c r="A736" s="543"/>
      <c r="C736" s="543"/>
    </row>
    <row r="737" spans="1:3">
      <c r="A737" s="543"/>
      <c r="C737" s="543"/>
    </row>
    <row r="738" spans="1:3">
      <c r="A738" s="543"/>
      <c r="C738" s="543"/>
    </row>
    <row r="739" spans="1:3">
      <c r="A739" s="543"/>
      <c r="C739" s="543"/>
    </row>
    <row r="740" spans="1:3">
      <c r="A740" s="543"/>
      <c r="C740" s="543"/>
    </row>
    <row r="741" spans="1:3">
      <c r="A741" s="543"/>
      <c r="C741" s="543"/>
    </row>
    <row r="742" spans="1:3">
      <c r="A742" s="543"/>
      <c r="C742" s="543"/>
    </row>
    <row r="743" spans="1:3">
      <c r="A743" s="543"/>
      <c r="C743" s="543"/>
    </row>
    <row r="744" spans="1:3">
      <c r="A744" s="543"/>
      <c r="C744" s="543"/>
    </row>
    <row r="745" spans="1:3">
      <c r="A745" s="543"/>
      <c r="C745" s="543"/>
    </row>
    <row r="746" spans="1:3">
      <c r="A746" s="543"/>
      <c r="C746" s="543"/>
    </row>
    <row r="747" spans="1:3">
      <c r="A747" s="543"/>
      <c r="C747" s="543"/>
    </row>
    <row r="748" spans="1:3">
      <c r="A748" s="543"/>
      <c r="C748" s="543"/>
    </row>
    <row r="749" spans="1:3">
      <c r="A749" s="543"/>
      <c r="C749" s="543"/>
    </row>
    <row r="750" spans="1:3">
      <c r="A750" s="543"/>
      <c r="C750" s="543"/>
    </row>
    <row r="751" spans="1:3">
      <c r="A751" s="543"/>
      <c r="C751" s="543"/>
    </row>
    <row r="752" spans="1:3">
      <c r="A752" s="543"/>
      <c r="C752" s="543"/>
    </row>
    <row r="753" spans="1:3">
      <c r="A753" s="543"/>
      <c r="C753" s="543"/>
    </row>
    <row r="754" spans="1:3">
      <c r="A754" s="543"/>
      <c r="C754" s="543"/>
    </row>
    <row r="755" spans="1:3">
      <c r="A755" s="543"/>
      <c r="C755" s="543"/>
    </row>
    <row r="756" spans="1:3">
      <c r="A756" s="543"/>
      <c r="C756" s="543"/>
    </row>
    <row r="757" spans="1:3">
      <c r="A757" s="543"/>
      <c r="C757" s="543"/>
    </row>
    <row r="758" spans="1:3">
      <c r="A758" s="543"/>
      <c r="C758" s="543"/>
    </row>
    <row r="759" spans="1:3">
      <c r="A759" s="543"/>
      <c r="C759" s="543"/>
    </row>
    <row r="760" spans="1:3">
      <c r="A760" s="543"/>
      <c r="C760" s="543"/>
    </row>
    <row r="761" spans="1:3">
      <c r="A761" s="543"/>
      <c r="C761" s="543"/>
    </row>
    <row r="762" spans="1:3">
      <c r="A762" s="543"/>
      <c r="C762" s="543"/>
    </row>
    <row r="763" spans="1:3">
      <c r="A763" s="543"/>
      <c r="C763" s="543"/>
    </row>
    <row r="764" spans="1:3">
      <c r="A764" s="543"/>
      <c r="C764" s="543"/>
    </row>
    <row r="765" spans="1:3">
      <c r="A765" s="543"/>
      <c r="C765" s="543"/>
    </row>
    <row r="766" spans="1:3">
      <c r="A766" s="543"/>
      <c r="C766" s="543"/>
    </row>
    <row r="767" spans="1:3">
      <c r="A767" s="543"/>
      <c r="C767" s="543"/>
    </row>
    <row r="768" spans="1:3">
      <c r="A768" s="543"/>
      <c r="C768" s="543"/>
    </row>
    <row r="769" spans="1:3">
      <c r="A769" s="543"/>
      <c r="C769" s="543"/>
    </row>
    <row r="770" spans="1:3">
      <c r="A770" s="543"/>
      <c r="C770" s="543"/>
    </row>
    <row r="771" spans="1:3">
      <c r="A771" s="543"/>
      <c r="C771" s="543"/>
    </row>
    <row r="772" spans="1:3">
      <c r="A772" s="543"/>
      <c r="C772" s="543"/>
    </row>
    <row r="773" spans="1:3">
      <c r="A773" s="543"/>
      <c r="C773" s="543"/>
    </row>
    <row r="774" spans="1:3">
      <c r="A774" s="543"/>
      <c r="C774" s="543"/>
    </row>
    <row r="775" spans="1:3">
      <c r="A775" s="543"/>
      <c r="C775" s="543"/>
    </row>
    <row r="776" spans="1:3">
      <c r="A776" s="543"/>
      <c r="C776" s="543"/>
    </row>
    <row r="777" spans="1:3">
      <c r="A777" s="543"/>
      <c r="C777" s="543"/>
    </row>
    <row r="778" spans="1:3">
      <c r="A778" s="543"/>
      <c r="C778" s="543"/>
    </row>
    <row r="779" spans="1:3">
      <c r="A779" s="543"/>
      <c r="C779" s="543"/>
    </row>
    <row r="780" spans="1:3">
      <c r="A780" s="543"/>
      <c r="C780" s="543"/>
    </row>
    <row r="781" spans="1:3">
      <c r="A781" s="543"/>
      <c r="C781" s="543"/>
    </row>
    <row r="782" spans="1:3">
      <c r="A782" s="543"/>
      <c r="C782" s="543"/>
    </row>
    <row r="783" spans="1:3">
      <c r="A783" s="543"/>
      <c r="C783" s="543"/>
    </row>
    <row r="784" spans="1:3">
      <c r="A784" s="543"/>
      <c r="C784" s="543"/>
    </row>
    <row r="785" spans="1:3">
      <c r="A785" s="543"/>
      <c r="C785" s="543"/>
    </row>
    <row r="786" spans="1:3">
      <c r="A786" s="543"/>
      <c r="C786" s="543"/>
    </row>
    <row r="787" spans="1:3">
      <c r="A787" s="543"/>
      <c r="C787" s="543"/>
    </row>
    <row r="788" spans="1:3">
      <c r="A788" s="543"/>
      <c r="C788" s="543"/>
    </row>
    <row r="789" spans="1:3">
      <c r="A789" s="543"/>
      <c r="C789" s="543"/>
    </row>
    <row r="790" spans="1:3">
      <c r="A790" s="543"/>
      <c r="C790" s="543"/>
    </row>
    <row r="791" spans="1:3">
      <c r="A791" s="543"/>
      <c r="C791" s="543"/>
    </row>
    <row r="792" spans="1:3">
      <c r="A792" s="543"/>
      <c r="C792" s="543"/>
    </row>
    <row r="793" spans="1:3">
      <c r="A793" s="543"/>
      <c r="C793" s="543"/>
    </row>
    <row r="794" spans="1:3">
      <c r="A794" s="543"/>
      <c r="C794" s="543"/>
    </row>
    <row r="795" spans="1:3">
      <c r="A795" s="543"/>
      <c r="C795" s="543"/>
    </row>
    <row r="796" spans="1:3">
      <c r="A796" s="543"/>
      <c r="C796" s="543"/>
    </row>
    <row r="797" spans="1:3">
      <c r="A797" s="543"/>
      <c r="C797" s="543"/>
    </row>
    <row r="798" spans="1:3">
      <c r="A798" s="543"/>
      <c r="C798" s="543"/>
    </row>
    <row r="799" spans="1:3">
      <c r="A799" s="543"/>
      <c r="C799" s="543"/>
    </row>
    <row r="800" spans="1:3">
      <c r="A800" s="543"/>
      <c r="C800" s="543"/>
    </row>
    <row r="801" spans="1:3">
      <c r="A801" s="543"/>
      <c r="C801" s="543"/>
    </row>
    <row r="802" spans="1:3">
      <c r="A802" s="543"/>
      <c r="C802" s="543"/>
    </row>
    <row r="803" spans="1:3">
      <c r="A803" s="543"/>
      <c r="C803" s="543"/>
    </row>
    <row r="804" spans="1:3">
      <c r="A804" s="543"/>
      <c r="C804" s="543"/>
    </row>
    <row r="805" spans="1:3">
      <c r="A805" s="543"/>
      <c r="C805" s="543"/>
    </row>
    <row r="806" spans="1:3">
      <c r="A806" s="543"/>
      <c r="C806" s="543"/>
    </row>
    <row r="807" spans="1:3">
      <c r="A807" s="543"/>
      <c r="C807" s="543"/>
    </row>
    <row r="808" spans="1:3">
      <c r="A808" s="543"/>
      <c r="C808" s="543"/>
    </row>
    <row r="809" spans="1:3">
      <c r="A809" s="543"/>
      <c r="C809" s="543"/>
    </row>
    <row r="810" spans="1:3">
      <c r="A810" s="543"/>
      <c r="C810" s="543"/>
    </row>
    <row r="811" spans="1:3">
      <c r="A811" s="543"/>
      <c r="C811" s="543"/>
    </row>
    <row r="812" spans="1:3">
      <c r="A812" s="543"/>
      <c r="C812" s="543"/>
    </row>
    <row r="813" spans="1:3">
      <c r="A813" s="543"/>
      <c r="C813" s="543"/>
    </row>
    <row r="814" spans="1:3">
      <c r="A814" s="543"/>
      <c r="C814" s="543"/>
    </row>
    <row r="815" spans="1:3">
      <c r="A815" s="543"/>
      <c r="C815" s="543"/>
    </row>
    <row r="816" spans="1:3">
      <c r="A816" s="543"/>
      <c r="C816" s="543"/>
    </row>
    <row r="817" spans="1:3">
      <c r="A817" s="543"/>
      <c r="C817" s="543"/>
    </row>
    <row r="818" spans="1:3">
      <c r="A818" s="543"/>
      <c r="C818" s="543"/>
    </row>
    <row r="819" spans="1:3">
      <c r="A819" s="543"/>
      <c r="C819" s="543"/>
    </row>
    <row r="820" spans="1:3">
      <c r="A820" s="543"/>
      <c r="C820" s="543"/>
    </row>
    <row r="821" spans="1:3">
      <c r="A821" s="543"/>
      <c r="C821" s="543"/>
    </row>
    <row r="822" spans="1:3">
      <c r="A822" s="543"/>
      <c r="C822" s="543"/>
    </row>
    <row r="823" spans="1:3">
      <c r="A823" s="543"/>
      <c r="C823" s="543"/>
    </row>
    <row r="824" spans="1:3">
      <c r="A824" s="543"/>
      <c r="C824" s="543"/>
    </row>
    <row r="825" spans="1:3">
      <c r="A825" s="543"/>
      <c r="C825" s="543"/>
    </row>
    <row r="826" spans="1:3">
      <c r="A826" s="543"/>
      <c r="C826" s="543"/>
    </row>
    <row r="827" spans="1:3">
      <c r="A827" s="543"/>
      <c r="C827" s="543"/>
    </row>
    <row r="828" spans="1:3">
      <c r="A828" s="543"/>
      <c r="C828" s="543"/>
    </row>
    <row r="829" spans="1:3">
      <c r="A829" s="543"/>
      <c r="C829" s="543"/>
    </row>
    <row r="830" spans="1:3">
      <c r="A830" s="543"/>
      <c r="C830" s="543"/>
    </row>
    <row r="831" spans="1:3">
      <c r="A831" s="543"/>
      <c r="C831" s="543"/>
    </row>
    <row r="832" spans="1:3">
      <c r="A832" s="543"/>
      <c r="C832" s="543"/>
    </row>
    <row r="833" spans="1:3">
      <c r="A833" s="543"/>
      <c r="C833" s="543"/>
    </row>
    <row r="834" spans="1:3">
      <c r="A834" s="543"/>
      <c r="C834" s="543"/>
    </row>
    <row r="835" spans="1:3">
      <c r="A835" s="543"/>
      <c r="C835" s="543"/>
    </row>
    <row r="836" spans="1:3">
      <c r="A836" s="543"/>
      <c r="C836" s="543"/>
    </row>
    <row r="837" spans="1:3">
      <c r="A837" s="543"/>
      <c r="C837" s="543"/>
    </row>
    <row r="838" spans="1:3">
      <c r="A838" s="543"/>
      <c r="C838" s="543"/>
    </row>
    <row r="839" spans="1:3">
      <c r="A839" s="543"/>
      <c r="C839" s="543"/>
    </row>
    <row r="840" spans="1:3">
      <c r="A840" s="543"/>
      <c r="C840" s="543"/>
    </row>
    <row r="841" spans="1:3">
      <c r="A841" s="543"/>
      <c r="C841" s="543"/>
    </row>
    <row r="842" spans="1:3">
      <c r="A842" s="543"/>
      <c r="C842" s="543"/>
    </row>
    <row r="843" spans="1:3">
      <c r="A843" s="543"/>
      <c r="C843" s="543"/>
    </row>
    <row r="844" spans="1:3">
      <c r="A844" s="543"/>
      <c r="C844" s="543"/>
    </row>
    <row r="845" spans="1:3">
      <c r="A845" s="543"/>
      <c r="C845" s="543"/>
    </row>
    <row r="846" spans="1:3">
      <c r="A846" s="543"/>
      <c r="C846" s="543"/>
    </row>
    <row r="847" spans="1:3">
      <c r="A847" s="543"/>
      <c r="C847" s="543"/>
    </row>
    <row r="848" spans="1:3">
      <c r="A848" s="543"/>
      <c r="C848" s="543"/>
    </row>
    <row r="849" spans="1:3">
      <c r="A849" s="543"/>
      <c r="C849" s="543"/>
    </row>
    <row r="850" spans="1:3">
      <c r="A850" s="543"/>
      <c r="C850" s="543"/>
    </row>
    <row r="851" spans="1:3">
      <c r="A851" s="543"/>
      <c r="C851" s="543"/>
    </row>
    <row r="852" spans="1:3">
      <c r="A852" s="543"/>
      <c r="C852" s="543"/>
    </row>
    <row r="853" spans="1:3">
      <c r="A853" s="543"/>
      <c r="C853" s="543"/>
    </row>
    <row r="854" spans="1:3">
      <c r="A854" s="543"/>
      <c r="C854" s="543"/>
    </row>
    <row r="855" spans="1:3">
      <c r="A855" s="543"/>
      <c r="C855" s="543"/>
    </row>
    <row r="856" spans="1:3">
      <c r="A856" s="543"/>
      <c r="C856" s="543"/>
    </row>
    <row r="857" spans="1:3">
      <c r="A857" s="543"/>
      <c r="C857" s="543"/>
    </row>
    <row r="858" spans="1:3">
      <c r="A858" s="543"/>
      <c r="C858" s="543"/>
    </row>
    <row r="859" spans="1:3">
      <c r="A859" s="543"/>
      <c r="C859" s="543"/>
    </row>
    <row r="860" spans="1:3">
      <c r="A860" s="543"/>
      <c r="C860" s="543"/>
    </row>
    <row r="861" spans="1:3">
      <c r="A861" s="543"/>
      <c r="C861" s="543"/>
    </row>
    <row r="862" spans="1:3">
      <c r="A862" s="543"/>
      <c r="C862" s="543"/>
    </row>
    <row r="863" spans="1:3">
      <c r="A863" s="543"/>
      <c r="C863" s="543"/>
    </row>
    <row r="864" spans="1:3">
      <c r="A864" s="543"/>
      <c r="C864" s="543"/>
    </row>
    <row r="865" spans="1:3">
      <c r="A865" s="543"/>
      <c r="C865" s="543"/>
    </row>
    <row r="866" spans="1:3">
      <c r="A866" s="543"/>
      <c r="C866" s="543"/>
    </row>
    <row r="867" spans="1:3">
      <c r="A867" s="543"/>
      <c r="C867" s="543"/>
    </row>
    <row r="868" spans="1:3">
      <c r="A868" s="543"/>
      <c r="C868" s="543"/>
    </row>
    <row r="869" spans="1:3">
      <c r="A869" s="543"/>
      <c r="C869" s="543"/>
    </row>
    <row r="870" spans="1:3">
      <c r="A870" s="543"/>
      <c r="C870" s="543"/>
    </row>
    <row r="871" spans="1:3">
      <c r="A871" s="543"/>
      <c r="C871" s="543"/>
    </row>
    <row r="872" spans="1:3">
      <c r="A872" s="543"/>
      <c r="C872" s="543"/>
    </row>
    <row r="873" spans="1:3">
      <c r="A873" s="543"/>
      <c r="C873" s="543"/>
    </row>
    <row r="874" spans="1:3">
      <c r="A874" s="543"/>
      <c r="C874" s="543"/>
    </row>
    <row r="875" spans="1:3">
      <c r="A875" s="543"/>
      <c r="C875" s="543"/>
    </row>
    <row r="876" spans="1:3">
      <c r="A876" s="543"/>
      <c r="C876" s="543"/>
    </row>
    <row r="877" spans="1:3">
      <c r="A877" s="543"/>
      <c r="C877" s="543"/>
    </row>
    <row r="878" spans="1:3">
      <c r="A878" s="543"/>
      <c r="C878" s="543"/>
    </row>
    <row r="879" spans="1:3">
      <c r="A879" s="543"/>
      <c r="C879" s="543"/>
    </row>
    <row r="880" spans="1:3">
      <c r="A880" s="543"/>
      <c r="C880" s="543"/>
    </row>
    <row r="881" spans="1:3">
      <c r="A881" s="543"/>
      <c r="C881" s="543"/>
    </row>
    <row r="882" spans="1:3">
      <c r="A882" s="543"/>
      <c r="C882" s="543"/>
    </row>
    <row r="883" spans="1:3">
      <c r="A883" s="543"/>
      <c r="C883" s="543"/>
    </row>
    <row r="884" spans="1:3">
      <c r="A884" s="543"/>
      <c r="C884" s="543"/>
    </row>
    <row r="885" spans="1:3">
      <c r="A885" s="543"/>
      <c r="C885" s="543"/>
    </row>
    <row r="886" spans="1:3">
      <c r="A886" s="543"/>
      <c r="C886" s="543"/>
    </row>
    <row r="887" spans="1:3">
      <c r="A887" s="543"/>
      <c r="C887" s="543"/>
    </row>
    <row r="888" spans="1:3">
      <c r="A888" s="543"/>
      <c r="C888" s="543"/>
    </row>
    <row r="889" spans="1:3">
      <c r="A889" s="543"/>
      <c r="C889" s="543"/>
    </row>
    <row r="890" spans="1:3">
      <c r="A890" s="543"/>
      <c r="C890" s="543"/>
    </row>
    <row r="891" spans="1:3">
      <c r="A891" s="543"/>
      <c r="C891" s="543"/>
    </row>
    <row r="892" spans="1:3">
      <c r="A892" s="543"/>
      <c r="C892" s="543"/>
    </row>
    <row r="893" spans="1:3">
      <c r="A893" s="543"/>
      <c r="C893" s="543"/>
    </row>
    <row r="894" spans="1:3">
      <c r="A894" s="543"/>
      <c r="C894" s="543"/>
    </row>
    <row r="895" spans="1:3">
      <c r="A895" s="543"/>
      <c r="C895" s="543"/>
    </row>
    <row r="896" spans="1:3">
      <c r="A896" s="543"/>
      <c r="C896" s="543"/>
    </row>
    <row r="897" spans="1:3">
      <c r="A897" s="543"/>
      <c r="C897" s="543"/>
    </row>
    <row r="898" spans="1:3">
      <c r="A898" s="543"/>
      <c r="C898" s="543"/>
    </row>
    <row r="899" spans="1:3">
      <c r="A899" s="543"/>
      <c r="C899" s="543"/>
    </row>
    <row r="900" spans="1:3">
      <c r="A900" s="543"/>
      <c r="C900" s="543"/>
    </row>
    <row r="901" spans="1:3">
      <c r="A901" s="543"/>
      <c r="C901" s="543"/>
    </row>
    <row r="902" spans="1:3">
      <c r="A902" s="543"/>
      <c r="C902" s="543"/>
    </row>
    <row r="903" spans="1:3">
      <c r="A903" s="543"/>
      <c r="C903" s="543"/>
    </row>
    <row r="904" spans="1:3">
      <c r="A904" s="543"/>
      <c r="C904" s="543"/>
    </row>
    <row r="905" spans="1:3">
      <c r="A905" s="543"/>
      <c r="C905" s="543"/>
    </row>
    <row r="906" spans="1:3">
      <c r="A906" s="543"/>
      <c r="C906" s="543"/>
    </row>
    <row r="907" spans="1:3">
      <c r="A907" s="543"/>
      <c r="C907" s="543"/>
    </row>
    <row r="908" spans="1:3">
      <c r="A908" s="543"/>
      <c r="C908" s="543"/>
    </row>
    <row r="909" spans="1:3">
      <c r="A909" s="543"/>
      <c r="C909" s="543"/>
    </row>
    <row r="910" spans="1:3">
      <c r="A910" s="543"/>
      <c r="C910" s="543"/>
    </row>
    <row r="911" spans="1:3">
      <c r="A911" s="543"/>
      <c r="C911" s="543"/>
    </row>
    <row r="912" spans="1:3">
      <c r="A912" s="543"/>
      <c r="C912" s="543"/>
    </row>
    <row r="913" spans="1:3">
      <c r="A913" s="543"/>
      <c r="C913" s="543"/>
    </row>
    <row r="914" spans="1:3">
      <c r="A914" s="543"/>
      <c r="C914" s="543"/>
    </row>
    <row r="915" spans="1:3">
      <c r="A915" s="543"/>
      <c r="C915" s="543"/>
    </row>
    <row r="916" spans="1:3">
      <c r="A916" s="543"/>
      <c r="C916" s="543"/>
    </row>
    <row r="917" spans="1:3">
      <c r="A917" s="543"/>
      <c r="C917" s="543"/>
    </row>
    <row r="918" spans="1:3">
      <c r="A918" s="543"/>
      <c r="C918" s="543"/>
    </row>
    <row r="919" spans="1:3">
      <c r="A919" s="543"/>
      <c r="C919" s="543"/>
    </row>
    <row r="920" spans="1:3">
      <c r="A920" s="543"/>
      <c r="C920" s="543"/>
    </row>
    <row r="921" spans="1:3">
      <c r="A921" s="543"/>
      <c r="C921" s="543"/>
    </row>
    <row r="922" spans="1:3">
      <c r="A922" s="543"/>
      <c r="C922" s="543"/>
    </row>
    <row r="923" spans="1:3">
      <c r="A923" s="543"/>
      <c r="C923" s="543"/>
    </row>
    <row r="924" spans="1:3">
      <c r="A924" s="543"/>
      <c r="C924" s="543"/>
    </row>
    <row r="925" spans="1:3">
      <c r="A925" s="543"/>
      <c r="C925" s="543"/>
    </row>
    <row r="926" spans="1:3">
      <c r="A926" s="543"/>
      <c r="C926" s="543"/>
    </row>
    <row r="927" spans="1:3">
      <c r="A927" s="543"/>
      <c r="C927" s="543"/>
    </row>
    <row r="928" spans="1:3">
      <c r="A928" s="543"/>
      <c r="C928" s="543"/>
    </row>
    <row r="929" spans="1:3">
      <c r="A929" s="543"/>
      <c r="C929" s="543"/>
    </row>
    <row r="930" spans="1:3">
      <c r="A930" s="543"/>
      <c r="C930" s="543"/>
    </row>
    <row r="931" spans="1:3">
      <c r="A931" s="543"/>
      <c r="C931" s="543"/>
    </row>
    <row r="932" spans="1:3">
      <c r="A932" s="543"/>
      <c r="C932" s="543"/>
    </row>
    <row r="933" spans="1:3">
      <c r="A933" s="543"/>
      <c r="C933" s="543"/>
    </row>
    <row r="934" spans="1:3">
      <c r="A934" s="543"/>
      <c r="C934" s="543"/>
    </row>
    <row r="935" spans="1:3">
      <c r="A935" s="543"/>
      <c r="C935" s="543"/>
    </row>
    <row r="936" spans="1:3">
      <c r="A936" s="543"/>
      <c r="C936" s="543"/>
    </row>
    <row r="937" spans="1:3">
      <c r="A937" s="543"/>
      <c r="C937" s="543"/>
    </row>
    <row r="938" spans="1:3">
      <c r="A938" s="543"/>
      <c r="C938" s="543"/>
    </row>
    <row r="939" spans="1:3">
      <c r="A939" s="543"/>
      <c r="C939" s="543"/>
    </row>
    <row r="940" spans="1:3">
      <c r="A940" s="543"/>
      <c r="C940" s="543"/>
    </row>
    <row r="941" spans="1:3">
      <c r="A941" s="543"/>
      <c r="C941" s="543"/>
    </row>
    <row r="942" spans="1:3">
      <c r="A942" s="543"/>
      <c r="C942" s="543"/>
    </row>
    <row r="943" spans="1:3">
      <c r="A943" s="543"/>
      <c r="C943" s="543"/>
    </row>
    <row r="944" spans="1:3">
      <c r="A944" s="543"/>
      <c r="C944" s="543"/>
    </row>
    <row r="945" spans="1:3">
      <c r="A945" s="543"/>
      <c r="C945" s="543"/>
    </row>
    <row r="946" spans="1:3">
      <c r="A946" s="543"/>
      <c r="C946" s="543"/>
    </row>
    <row r="947" spans="1:3">
      <c r="A947" s="543"/>
      <c r="C947" s="543"/>
    </row>
    <row r="948" spans="1:3">
      <c r="A948" s="543"/>
      <c r="C948" s="543"/>
    </row>
    <row r="949" spans="1:3">
      <c r="A949" s="543"/>
      <c r="C949" s="543"/>
    </row>
    <row r="950" spans="1:3">
      <c r="A950" s="543"/>
      <c r="C950" s="543"/>
    </row>
    <row r="951" spans="1:3">
      <c r="A951" s="543"/>
      <c r="C951" s="543"/>
    </row>
    <row r="952" spans="1:3">
      <c r="A952" s="543"/>
      <c r="C952" s="543"/>
    </row>
    <row r="953" spans="1:3">
      <c r="A953" s="543"/>
      <c r="C953" s="543"/>
    </row>
    <row r="954" spans="1:3">
      <c r="A954" s="543"/>
      <c r="C954" s="543"/>
    </row>
    <row r="955" spans="1:3">
      <c r="A955" s="543"/>
      <c r="C955" s="543"/>
    </row>
    <row r="956" spans="1:3">
      <c r="A956" s="543"/>
      <c r="C956" s="543"/>
    </row>
    <row r="957" spans="1:3">
      <c r="A957" s="543"/>
      <c r="C957" s="543"/>
    </row>
    <row r="958" spans="1:3">
      <c r="A958" s="543"/>
      <c r="C958" s="543"/>
    </row>
    <row r="959" spans="1:3">
      <c r="A959" s="543"/>
      <c r="C959" s="543"/>
    </row>
    <row r="960" spans="1:3">
      <c r="A960" s="543"/>
      <c r="C960" s="543"/>
    </row>
    <row r="961" spans="1:3">
      <c r="A961" s="543"/>
      <c r="C961" s="543"/>
    </row>
    <row r="962" spans="1:3">
      <c r="A962" s="543"/>
      <c r="C962" s="543"/>
    </row>
    <row r="963" spans="1:3">
      <c r="A963" s="543"/>
      <c r="C963" s="543"/>
    </row>
    <row r="964" spans="1:3">
      <c r="A964" s="543"/>
      <c r="C964" s="543"/>
    </row>
    <row r="965" spans="1:3">
      <c r="A965" s="543"/>
      <c r="C965" s="543"/>
    </row>
    <row r="966" spans="1:3">
      <c r="A966" s="543"/>
      <c r="C966" s="543"/>
    </row>
    <row r="967" spans="1:3">
      <c r="A967" s="543"/>
      <c r="C967" s="543"/>
    </row>
    <row r="968" spans="1:3">
      <c r="A968" s="543"/>
      <c r="C968" s="543"/>
    </row>
    <row r="969" spans="1:3">
      <c r="A969" s="543"/>
      <c r="C969" s="543"/>
    </row>
    <row r="970" spans="1:3">
      <c r="A970" s="543"/>
      <c r="C970" s="543"/>
    </row>
    <row r="971" spans="1:3">
      <c r="A971" s="543"/>
      <c r="C971" s="543"/>
    </row>
    <row r="972" spans="1:3">
      <c r="A972" s="543"/>
      <c r="C972" s="543"/>
    </row>
    <row r="973" spans="1:3">
      <c r="A973" s="543"/>
      <c r="C973" s="543"/>
    </row>
    <row r="974" spans="1:3">
      <c r="A974" s="543"/>
      <c r="C974" s="543"/>
    </row>
    <row r="975" spans="1:3">
      <c r="A975" s="543"/>
      <c r="C975" s="543"/>
    </row>
    <row r="976" spans="1:3">
      <c r="A976" s="543"/>
      <c r="C976" s="543"/>
    </row>
    <row r="977" spans="1:3">
      <c r="A977" s="543"/>
      <c r="C977" s="543"/>
    </row>
    <row r="978" spans="1:3">
      <c r="A978" s="543"/>
      <c r="C978" s="543"/>
    </row>
    <row r="979" spans="1:3">
      <c r="A979" s="543"/>
      <c r="C979" s="543"/>
    </row>
    <row r="980" spans="1:3">
      <c r="A980" s="543"/>
      <c r="C980" s="543"/>
    </row>
    <row r="981" spans="1:3">
      <c r="A981" s="543"/>
      <c r="C981" s="543"/>
    </row>
    <row r="982" spans="1:3">
      <c r="A982" s="543"/>
      <c r="C982" s="543"/>
    </row>
    <row r="983" spans="1:3">
      <c r="A983" s="543"/>
      <c r="C983" s="543"/>
    </row>
    <row r="984" spans="1:3">
      <c r="A984" s="543"/>
      <c r="C984" s="543"/>
    </row>
    <row r="985" spans="1:3">
      <c r="A985" s="543"/>
      <c r="C985" s="543"/>
    </row>
    <row r="986" spans="1:3">
      <c r="A986" s="543"/>
      <c r="C986" s="543"/>
    </row>
    <row r="987" spans="1:3">
      <c r="A987" s="543"/>
      <c r="C987" s="543"/>
    </row>
    <row r="988" spans="1:3">
      <c r="A988" s="543"/>
      <c r="C988" s="543"/>
    </row>
    <row r="989" spans="1:3">
      <c r="A989" s="543"/>
      <c r="C989" s="543"/>
    </row>
    <row r="990" spans="1:3">
      <c r="A990" s="543"/>
      <c r="C990" s="543"/>
    </row>
    <row r="991" spans="1:3">
      <c r="A991" s="543"/>
      <c r="C991" s="543"/>
    </row>
    <row r="992" spans="1:3">
      <c r="A992" s="543"/>
      <c r="C992" s="543"/>
    </row>
    <row r="993" spans="1:3">
      <c r="A993" s="543"/>
      <c r="C993" s="543"/>
    </row>
    <row r="994" spans="1:3">
      <c r="A994" s="543"/>
      <c r="C994" s="543"/>
    </row>
    <row r="995" spans="1:3">
      <c r="A995" s="543"/>
      <c r="C995" s="543"/>
    </row>
    <row r="996" spans="1:3">
      <c r="A996" s="543"/>
      <c r="C996" s="543"/>
    </row>
    <row r="997" spans="1:3">
      <c r="A997" s="543"/>
      <c r="C997" s="543"/>
    </row>
    <row r="998" spans="1:3">
      <c r="A998" s="543"/>
      <c r="C998" s="543"/>
    </row>
    <row r="999" spans="1:3">
      <c r="A999" s="543"/>
      <c r="C999" s="543"/>
    </row>
    <row r="1000" spans="1:3">
      <c r="A1000" s="543"/>
      <c r="C1000" s="543"/>
    </row>
    <row r="1001" spans="1:3">
      <c r="A1001" s="543"/>
      <c r="C1001" s="543"/>
    </row>
    <row r="1002" spans="1:3">
      <c r="A1002" s="543"/>
      <c r="C1002" s="543"/>
    </row>
    <row r="1003" spans="1:3">
      <c r="A1003" s="543"/>
      <c r="C1003" s="543"/>
    </row>
    <row r="1004" spans="1:3">
      <c r="A1004" s="543"/>
      <c r="C1004" s="543"/>
    </row>
    <row r="1005" spans="1:3">
      <c r="A1005" s="543"/>
      <c r="C1005" s="543"/>
    </row>
    <row r="1006" spans="1:3">
      <c r="A1006" s="543"/>
      <c r="C1006" s="543"/>
    </row>
    <row r="1007" spans="1:3">
      <c r="A1007" s="543"/>
      <c r="C1007" s="543"/>
    </row>
    <row r="1008" spans="1:3">
      <c r="A1008" s="543"/>
      <c r="C1008" s="543"/>
    </row>
    <row r="1009" spans="1:3">
      <c r="A1009" s="543"/>
      <c r="C1009" s="543"/>
    </row>
    <row r="1010" spans="1:3">
      <c r="A1010" s="543"/>
      <c r="C1010" s="543"/>
    </row>
    <row r="1011" spans="1:3">
      <c r="A1011" s="543"/>
      <c r="C1011" s="543"/>
    </row>
    <row r="1012" spans="1:3">
      <c r="A1012" s="543"/>
      <c r="C1012" s="543"/>
    </row>
    <row r="1013" spans="1:3">
      <c r="A1013" s="543"/>
      <c r="C1013" s="543"/>
    </row>
    <row r="1014" spans="1:3">
      <c r="A1014" s="543"/>
      <c r="C1014" s="543"/>
    </row>
    <row r="1015" spans="1:3">
      <c r="A1015" s="543"/>
      <c r="C1015" s="543"/>
    </row>
    <row r="1016" spans="1:3">
      <c r="A1016" s="543"/>
      <c r="C1016" s="543"/>
    </row>
    <row r="1017" spans="1:3">
      <c r="A1017" s="543"/>
      <c r="C1017" s="543"/>
    </row>
    <row r="1018" spans="1:3">
      <c r="A1018" s="543"/>
      <c r="C1018" s="543"/>
    </row>
    <row r="1019" spans="1:3">
      <c r="A1019" s="543"/>
      <c r="C1019" s="543"/>
    </row>
    <row r="1020" spans="1:3">
      <c r="A1020" s="543"/>
      <c r="C1020" s="543"/>
    </row>
    <row r="1021" spans="1:3">
      <c r="A1021" s="543"/>
      <c r="C1021" s="543"/>
    </row>
    <row r="1022" spans="1:3">
      <c r="A1022" s="543"/>
      <c r="C1022" s="543"/>
    </row>
    <row r="1023" spans="1:3">
      <c r="A1023" s="543"/>
      <c r="C1023" s="543"/>
    </row>
    <row r="1024" spans="1:3">
      <c r="A1024" s="543"/>
      <c r="C1024" s="543"/>
    </row>
    <row r="1025" spans="1:3">
      <c r="A1025" s="543"/>
      <c r="C1025" s="543"/>
    </row>
    <row r="1026" spans="1:3">
      <c r="A1026" s="543"/>
      <c r="C1026" s="543"/>
    </row>
    <row r="1027" spans="1:3">
      <c r="A1027" s="543"/>
      <c r="C1027" s="543"/>
    </row>
    <row r="1028" spans="1:3">
      <c r="A1028" s="543"/>
      <c r="C1028" s="543"/>
    </row>
    <row r="1029" spans="1:3">
      <c r="A1029" s="543"/>
      <c r="C1029" s="543"/>
    </row>
    <row r="1030" spans="1:3">
      <c r="A1030" s="543"/>
      <c r="C1030" s="543"/>
    </row>
    <row r="1031" spans="1:3">
      <c r="A1031" s="543"/>
      <c r="C1031" s="543"/>
    </row>
    <row r="1032" spans="1:3">
      <c r="A1032" s="543"/>
      <c r="C1032" s="543"/>
    </row>
    <row r="1033" spans="1:3">
      <c r="A1033" s="543"/>
      <c r="C1033" s="543"/>
    </row>
    <row r="1034" spans="1:3">
      <c r="A1034" s="543"/>
      <c r="C1034" s="543"/>
    </row>
    <row r="1035" spans="1:3">
      <c r="A1035" s="543"/>
      <c r="C1035" s="543"/>
    </row>
    <row r="1036" spans="1:3">
      <c r="A1036" s="543"/>
      <c r="C1036" s="543"/>
    </row>
    <row r="1037" spans="1:3">
      <c r="A1037" s="543"/>
      <c r="C1037" s="543"/>
    </row>
    <row r="1038" spans="1:3">
      <c r="A1038" s="543"/>
      <c r="C1038" s="543"/>
    </row>
    <row r="1039" spans="1:3">
      <c r="A1039" s="543"/>
      <c r="C1039" s="543"/>
    </row>
    <row r="1040" spans="1:3">
      <c r="A1040" s="543"/>
      <c r="C1040" s="543"/>
    </row>
    <row r="1041" spans="1:3">
      <c r="A1041" s="543"/>
      <c r="C1041" s="543"/>
    </row>
    <row r="1042" spans="1:3">
      <c r="A1042" s="543"/>
      <c r="C1042" s="543"/>
    </row>
    <row r="1043" spans="1:3">
      <c r="A1043" s="543"/>
      <c r="C1043" s="543"/>
    </row>
    <row r="1044" spans="1:3">
      <c r="A1044" s="543"/>
      <c r="C1044" s="543"/>
    </row>
    <row r="1045" spans="1:3">
      <c r="A1045" s="543"/>
      <c r="C1045" s="543"/>
    </row>
    <row r="1046" spans="1:3">
      <c r="A1046" s="543"/>
      <c r="C1046" s="543"/>
    </row>
    <row r="1047" spans="1:3">
      <c r="A1047" s="543"/>
      <c r="C1047" s="543"/>
    </row>
    <row r="1048" spans="1:3">
      <c r="A1048" s="543"/>
      <c r="C1048" s="543"/>
    </row>
    <row r="1049" spans="1:3">
      <c r="A1049" s="543"/>
      <c r="C1049" s="543"/>
    </row>
    <row r="1050" spans="1:3">
      <c r="A1050" s="543"/>
      <c r="C1050" s="543"/>
    </row>
    <row r="1051" spans="1:3">
      <c r="A1051" s="543"/>
      <c r="C1051" s="543"/>
    </row>
    <row r="1052" spans="1:3">
      <c r="A1052" s="543"/>
      <c r="C1052" s="543"/>
    </row>
    <row r="1053" spans="1:3">
      <c r="A1053" s="543"/>
      <c r="C1053" s="543"/>
    </row>
    <row r="1054" spans="1:3">
      <c r="A1054" s="543"/>
      <c r="C1054" s="543"/>
    </row>
    <row r="1055" spans="1:3">
      <c r="A1055" s="543"/>
      <c r="C1055" s="543"/>
    </row>
    <row r="1056" spans="1:3">
      <c r="A1056" s="543"/>
      <c r="C1056" s="543"/>
    </row>
    <row r="1057" spans="1:3">
      <c r="A1057" s="543"/>
      <c r="C1057" s="543"/>
    </row>
    <row r="1058" spans="1:3">
      <c r="A1058" s="543"/>
      <c r="C1058" s="543"/>
    </row>
    <row r="1059" spans="1:3">
      <c r="A1059" s="543"/>
      <c r="C1059" s="543"/>
    </row>
    <row r="1060" spans="1:3">
      <c r="A1060" s="543"/>
      <c r="C1060" s="543"/>
    </row>
    <row r="1061" spans="1:3">
      <c r="A1061" s="543"/>
      <c r="C1061" s="543"/>
    </row>
    <row r="1062" spans="1:3">
      <c r="A1062" s="543"/>
      <c r="C1062" s="543"/>
    </row>
    <row r="1063" spans="1:3">
      <c r="A1063" s="543"/>
      <c r="C1063" s="543"/>
    </row>
    <row r="1064" spans="1:3">
      <c r="A1064" s="543"/>
      <c r="C1064" s="543"/>
    </row>
    <row r="1065" spans="1:3">
      <c r="A1065" s="543"/>
      <c r="C1065" s="543"/>
    </row>
    <row r="1066" spans="1:3">
      <c r="A1066" s="543"/>
      <c r="C1066" s="543"/>
    </row>
    <row r="1067" spans="1:3">
      <c r="A1067" s="543"/>
      <c r="C1067" s="543"/>
    </row>
    <row r="1068" spans="1:3">
      <c r="A1068" s="543"/>
      <c r="C1068" s="543"/>
    </row>
    <row r="1069" spans="1:3">
      <c r="A1069" s="543"/>
      <c r="C1069" s="543"/>
    </row>
    <row r="1070" spans="1:3">
      <c r="A1070" s="543"/>
      <c r="C1070" s="543"/>
    </row>
    <row r="1071" spans="1:3">
      <c r="A1071" s="543"/>
      <c r="C1071" s="543"/>
    </row>
    <row r="1072" spans="1:3">
      <c r="A1072" s="543"/>
      <c r="C1072" s="543"/>
    </row>
    <row r="1073" spans="1:3">
      <c r="A1073" s="543"/>
      <c r="C1073" s="543"/>
    </row>
    <row r="1074" spans="1:3">
      <c r="A1074" s="543"/>
      <c r="C1074" s="543"/>
    </row>
    <row r="1075" spans="1:3">
      <c r="A1075" s="543"/>
      <c r="C1075" s="543"/>
    </row>
    <row r="1076" spans="1:3">
      <c r="A1076" s="543"/>
      <c r="C1076" s="543"/>
    </row>
    <row r="1077" spans="1:3">
      <c r="A1077" s="543"/>
      <c r="C1077" s="543"/>
    </row>
    <row r="1078" spans="1:3">
      <c r="A1078" s="543"/>
      <c r="C1078" s="543"/>
    </row>
    <row r="1079" spans="1:3">
      <c r="A1079" s="543"/>
      <c r="C1079" s="543"/>
    </row>
    <row r="1080" spans="1:3">
      <c r="A1080" s="543"/>
      <c r="C1080" s="543"/>
    </row>
    <row r="1081" spans="1:3">
      <c r="A1081" s="543"/>
      <c r="C1081" s="543"/>
    </row>
    <row r="1082" spans="1:3">
      <c r="A1082" s="543"/>
      <c r="C1082" s="543"/>
    </row>
    <row r="1083" spans="1:3">
      <c r="A1083" s="543"/>
      <c r="C1083" s="543"/>
    </row>
    <row r="1084" spans="1:3">
      <c r="A1084" s="543"/>
      <c r="C1084" s="543"/>
    </row>
    <row r="1085" spans="1:3">
      <c r="A1085" s="543"/>
      <c r="C1085" s="543"/>
    </row>
    <row r="1086" spans="1:3">
      <c r="A1086" s="543"/>
      <c r="C1086" s="543"/>
    </row>
    <row r="1087" spans="1:3">
      <c r="A1087" s="543"/>
      <c r="C1087" s="543"/>
    </row>
    <row r="1088" spans="1:3">
      <c r="A1088" s="543"/>
      <c r="C1088" s="543"/>
    </row>
    <row r="1089" spans="1:3">
      <c r="A1089" s="543"/>
      <c r="C1089" s="543"/>
    </row>
    <row r="1090" spans="1:3">
      <c r="A1090" s="543"/>
      <c r="C1090" s="543"/>
    </row>
    <row r="1091" spans="1:3">
      <c r="A1091" s="543"/>
      <c r="C1091" s="543"/>
    </row>
    <row r="1092" spans="1:3">
      <c r="A1092" s="543"/>
      <c r="C1092" s="543"/>
    </row>
    <row r="1093" spans="1:3">
      <c r="A1093" s="543"/>
      <c r="C1093" s="543"/>
    </row>
    <row r="1094" spans="1:3">
      <c r="A1094" s="543"/>
      <c r="C1094" s="543"/>
    </row>
    <row r="1095" spans="1:3">
      <c r="A1095" s="543"/>
      <c r="C1095" s="543"/>
    </row>
    <row r="1096" spans="1:3">
      <c r="A1096" s="543"/>
      <c r="C1096" s="543"/>
    </row>
    <row r="1097" spans="1:3">
      <c r="A1097" s="543"/>
      <c r="C1097" s="543"/>
    </row>
    <row r="1098" spans="1:3">
      <c r="A1098" s="543"/>
      <c r="C1098" s="543"/>
    </row>
    <row r="1099" spans="1:3">
      <c r="A1099" s="543"/>
      <c r="C1099" s="543"/>
    </row>
    <row r="1100" spans="1:3">
      <c r="A1100" s="543"/>
      <c r="C1100" s="543"/>
    </row>
    <row r="1101" spans="1:3">
      <c r="A1101" s="543"/>
      <c r="C1101" s="543"/>
    </row>
    <row r="1102" spans="1:3">
      <c r="A1102" s="543"/>
      <c r="C1102" s="543"/>
    </row>
    <row r="1103" spans="1:3">
      <c r="A1103" s="543"/>
      <c r="C1103" s="543"/>
    </row>
    <row r="1104" spans="1:3">
      <c r="A1104" s="543"/>
      <c r="C1104" s="543"/>
    </row>
    <row r="1105" spans="1:3">
      <c r="A1105" s="543"/>
      <c r="C1105" s="543"/>
    </row>
    <row r="1106" spans="1:3">
      <c r="A1106" s="543"/>
      <c r="C1106" s="543"/>
    </row>
    <row r="1107" spans="1:3">
      <c r="A1107" s="543"/>
      <c r="C1107" s="543"/>
    </row>
    <row r="1108" spans="1:3">
      <c r="A1108" s="543"/>
      <c r="C1108" s="543"/>
    </row>
    <row r="1109" spans="1:3">
      <c r="A1109" s="543"/>
      <c r="C1109" s="543"/>
    </row>
    <row r="1110" spans="1:3">
      <c r="A1110" s="543"/>
      <c r="C1110" s="543"/>
    </row>
    <row r="1111" spans="1:3">
      <c r="A1111" s="543"/>
      <c r="C1111" s="543"/>
    </row>
    <row r="1112" spans="1:3">
      <c r="A1112" s="543"/>
      <c r="C1112" s="543"/>
    </row>
    <row r="1113" spans="1:3">
      <c r="A1113" s="543"/>
      <c r="C1113" s="543"/>
    </row>
    <row r="1114" spans="1:3">
      <c r="A1114" s="543"/>
      <c r="C1114" s="543"/>
    </row>
    <row r="1115" spans="1:3">
      <c r="A1115" s="543"/>
      <c r="C1115" s="543"/>
    </row>
    <row r="1116" spans="1:3">
      <c r="A1116" s="543"/>
      <c r="C1116" s="543"/>
    </row>
    <row r="1117" spans="1:3">
      <c r="A1117" s="543"/>
      <c r="C1117" s="543"/>
    </row>
    <row r="1118" spans="1:3">
      <c r="A1118" s="543"/>
      <c r="C1118" s="543"/>
    </row>
    <row r="1119" spans="1:3">
      <c r="A1119" s="543"/>
      <c r="C1119" s="543"/>
    </row>
    <row r="1120" spans="1:3">
      <c r="A1120" s="543"/>
      <c r="C1120" s="543"/>
    </row>
    <row r="1121" spans="1:3">
      <c r="A1121" s="543"/>
      <c r="C1121" s="543"/>
    </row>
    <row r="1122" spans="1:3">
      <c r="A1122" s="543"/>
      <c r="C1122" s="543"/>
    </row>
    <row r="1123" spans="1:3">
      <c r="A1123" s="543"/>
      <c r="C1123" s="543"/>
    </row>
    <row r="1124" spans="1:3">
      <c r="A1124" s="543"/>
      <c r="C1124" s="543"/>
    </row>
    <row r="1125" spans="1:3">
      <c r="A1125" s="543"/>
      <c r="C1125" s="543"/>
    </row>
    <row r="1126" spans="1:3">
      <c r="A1126" s="543"/>
      <c r="C1126" s="543"/>
    </row>
    <row r="1127" spans="1:3">
      <c r="A1127" s="543"/>
      <c r="C1127" s="543"/>
    </row>
    <row r="1128" spans="1:3">
      <c r="A1128" s="543"/>
      <c r="C1128" s="543"/>
    </row>
    <row r="1129" spans="1:3">
      <c r="A1129" s="543"/>
      <c r="C1129" s="543"/>
    </row>
    <row r="1130" spans="1:3">
      <c r="A1130" s="543"/>
      <c r="C1130" s="543"/>
    </row>
    <row r="1131" spans="1:3">
      <c r="A1131" s="543"/>
      <c r="C1131" s="543"/>
    </row>
    <row r="1132" spans="1:3">
      <c r="A1132" s="543"/>
      <c r="C1132" s="543"/>
    </row>
    <row r="1133" spans="1:3">
      <c r="A1133" s="543"/>
      <c r="C1133" s="543"/>
    </row>
    <row r="1134" spans="1:3">
      <c r="A1134" s="543"/>
      <c r="C1134" s="543"/>
    </row>
    <row r="1135" spans="1:3">
      <c r="A1135" s="543"/>
      <c r="C1135" s="543"/>
    </row>
    <row r="1136" spans="1:3">
      <c r="A1136" s="543"/>
      <c r="C1136" s="543"/>
    </row>
    <row r="1137" spans="1:3">
      <c r="A1137" s="543"/>
      <c r="C1137" s="543"/>
    </row>
    <row r="1138" spans="1:3">
      <c r="A1138" s="543"/>
      <c r="C1138" s="543"/>
    </row>
    <row r="1139" spans="1:3">
      <c r="A1139" s="543"/>
      <c r="C1139" s="543"/>
    </row>
    <row r="1140" spans="1:3">
      <c r="A1140" s="543"/>
      <c r="C1140" s="543"/>
    </row>
    <row r="1141" spans="1:3">
      <c r="A1141" s="543"/>
      <c r="C1141" s="543"/>
    </row>
    <row r="1142" spans="1:3">
      <c r="A1142" s="543"/>
      <c r="C1142" s="543"/>
    </row>
    <row r="1143" spans="1:3">
      <c r="A1143" s="543"/>
      <c r="C1143" s="543"/>
    </row>
    <row r="1144" spans="1:3">
      <c r="A1144" s="543"/>
      <c r="C1144" s="543"/>
    </row>
    <row r="1145" spans="1:3">
      <c r="A1145" s="543"/>
      <c r="C1145" s="543"/>
    </row>
    <row r="1146" spans="1:3">
      <c r="A1146" s="543"/>
      <c r="C1146" s="543"/>
    </row>
    <row r="1147" spans="1:3">
      <c r="A1147" s="543"/>
      <c r="C1147" s="543"/>
    </row>
    <row r="1148" spans="1:3">
      <c r="A1148" s="543"/>
      <c r="C1148" s="543"/>
    </row>
    <row r="1149" spans="1:3">
      <c r="A1149" s="543"/>
      <c r="C1149" s="543"/>
    </row>
    <row r="1150" spans="1:3">
      <c r="A1150" s="543"/>
      <c r="C1150" s="543"/>
    </row>
    <row r="1151" spans="1:3">
      <c r="A1151" s="543"/>
      <c r="C1151" s="543"/>
    </row>
    <row r="1152" spans="1:3">
      <c r="A1152" s="543"/>
      <c r="C1152" s="543"/>
    </row>
    <row r="1153" spans="1:3">
      <c r="A1153" s="543"/>
      <c r="C1153" s="543"/>
    </row>
    <row r="1154" spans="1:3">
      <c r="A1154" s="543"/>
      <c r="C1154" s="543"/>
    </row>
    <row r="1155" spans="1:3">
      <c r="A1155" s="543"/>
      <c r="C1155" s="543"/>
    </row>
    <row r="1156" spans="1:3">
      <c r="A1156" s="543"/>
      <c r="C1156" s="543"/>
    </row>
    <row r="1157" spans="1:3">
      <c r="A1157" s="543"/>
      <c r="C1157" s="543"/>
    </row>
    <row r="1158" spans="1:3">
      <c r="A1158" s="543"/>
      <c r="C1158" s="543"/>
    </row>
    <row r="1159" spans="1:3">
      <c r="A1159" s="543"/>
      <c r="C1159" s="543"/>
    </row>
    <row r="1160" spans="1:3">
      <c r="A1160" s="543"/>
      <c r="C1160" s="543"/>
    </row>
    <row r="1161" spans="1:3">
      <c r="A1161" s="543"/>
      <c r="C1161" s="543"/>
    </row>
    <row r="1162" spans="1:3">
      <c r="A1162" s="543"/>
      <c r="C1162" s="543"/>
    </row>
    <row r="1163" spans="1:3">
      <c r="A1163" s="543"/>
      <c r="C1163" s="543"/>
    </row>
    <row r="1164" spans="1:3">
      <c r="A1164" s="543"/>
      <c r="C1164" s="543"/>
    </row>
    <row r="1165" spans="1:3">
      <c r="A1165" s="543"/>
      <c r="C1165" s="543"/>
    </row>
    <row r="1166" spans="1:3">
      <c r="A1166" s="543"/>
      <c r="C1166" s="543"/>
    </row>
    <row r="1167" spans="1:3">
      <c r="A1167" s="543"/>
      <c r="C1167" s="543"/>
    </row>
    <row r="1168" spans="1:3">
      <c r="A1168" s="543"/>
      <c r="C1168" s="543"/>
    </row>
    <row r="1169" spans="1:3">
      <c r="A1169" s="543"/>
      <c r="C1169" s="543"/>
    </row>
    <row r="1170" spans="1:3">
      <c r="A1170" s="543"/>
      <c r="C1170" s="543"/>
    </row>
    <row r="1171" spans="1:3">
      <c r="A1171" s="543"/>
      <c r="C1171" s="543"/>
    </row>
    <row r="1172" spans="1:3">
      <c r="A1172" s="543"/>
      <c r="C1172" s="543"/>
    </row>
    <row r="1173" spans="1:3">
      <c r="A1173" s="543"/>
      <c r="C1173" s="543"/>
    </row>
    <row r="1174" spans="1:3">
      <c r="A1174" s="543"/>
      <c r="C1174" s="543"/>
    </row>
    <row r="1175" spans="1:3">
      <c r="A1175" s="543"/>
      <c r="C1175" s="543"/>
    </row>
    <row r="1176" spans="1:3">
      <c r="A1176" s="543"/>
      <c r="C1176" s="543"/>
    </row>
    <row r="1177" spans="1:3">
      <c r="A1177" s="543"/>
      <c r="C1177" s="543"/>
    </row>
    <row r="1178" spans="1:3">
      <c r="A1178" s="543"/>
      <c r="C1178" s="543"/>
    </row>
    <row r="1179" spans="1:3">
      <c r="A1179" s="543"/>
      <c r="C1179" s="543"/>
    </row>
    <row r="1180" spans="1:3">
      <c r="A1180" s="543"/>
      <c r="C1180" s="543"/>
    </row>
    <row r="1181" spans="1:3">
      <c r="A1181" s="543"/>
      <c r="C1181" s="543"/>
    </row>
    <row r="1182" spans="1:3">
      <c r="A1182" s="543"/>
      <c r="C1182" s="543"/>
    </row>
    <row r="1183" spans="1:3">
      <c r="A1183" s="543"/>
      <c r="C1183" s="543"/>
    </row>
    <row r="1184" spans="1:3">
      <c r="A1184" s="543"/>
      <c r="C1184" s="543"/>
    </row>
    <row r="1185" spans="1:3">
      <c r="A1185" s="543"/>
      <c r="C1185" s="543"/>
    </row>
    <row r="1186" spans="1:3">
      <c r="A1186" s="543"/>
      <c r="C1186" s="543"/>
    </row>
    <row r="1187" spans="1:3">
      <c r="A1187" s="543"/>
      <c r="C1187" s="543"/>
    </row>
    <row r="1188" spans="1:3">
      <c r="A1188" s="543"/>
      <c r="C1188" s="543"/>
    </row>
    <row r="1189" spans="1:3">
      <c r="A1189" s="543"/>
      <c r="C1189" s="543"/>
    </row>
    <row r="1190" spans="1:3">
      <c r="A1190" s="543"/>
      <c r="C1190" s="543"/>
    </row>
    <row r="1191" spans="1:3">
      <c r="A1191" s="543"/>
      <c r="C1191" s="543"/>
    </row>
    <row r="1192" spans="1:3">
      <c r="A1192" s="543"/>
      <c r="C1192" s="543"/>
    </row>
    <row r="1193" spans="1:3">
      <c r="A1193" s="543"/>
      <c r="C1193" s="543"/>
    </row>
    <row r="1194" spans="1:3">
      <c r="A1194" s="543"/>
      <c r="C1194" s="543"/>
    </row>
    <row r="1195" spans="1:3">
      <c r="A1195" s="543"/>
      <c r="C1195" s="543"/>
    </row>
    <row r="1196" spans="1:3">
      <c r="A1196" s="543"/>
      <c r="C1196" s="543"/>
    </row>
    <row r="1197" spans="1:3">
      <c r="A1197" s="543"/>
      <c r="C1197" s="543"/>
    </row>
    <row r="1198" spans="1:3">
      <c r="A1198" s="543"/>
      <c r="C1198" s="543"/>
    </row>
    <row r="1199" spans="1:3">
      <c r="A1199" s="543"/>
      <c r="C1199" s="543"/>
    </row>
    <row r="1200" spans="1:3">
      <c r="A1200" s="543"/>
      <c r="C1200" s="543"/>
    </row>
    <row r="1201" spans="1:3">
      <c r="A1201" s="543"/>
      <c r="C1201" s="543"/>
    </row>
    <row r="1202" spans="1:3">
      <c r="A1202" s="543"/>
      <c r="C1202" s="543"/>
    </row>
    <row r="1203" spans="1:3">
      <c r="A1203" s="543"/>
      <c r="C1203" s="543"/>
    </row>
    <row r="1204" spans="1:3">
      <c r="A1204" s="543"/>
      <c r="C1204" s="543"/>
    </row>
    <row r="1205" spans="1:3">
      <c r="A1205" s="543"/>
      <c r="C1205" s="543"/>
    </row>
    <row r="1206" spans="1:3">
      <c r="A1206" s="543"/>
      <c r="C1206" s="543"/>
    </row>
    <row r="1207" spans="1:3">
      <c r="A1207" s="543"/>
      <c r="C1207" s="543"/>
    </row>
    <row r="1208" spans="1:3">
      <c r="A1208" s="543"/>
      <c r="C1208" s="543"/>
    </row>
    <row r="1209" spans="1:3">
      <c r="A1209" s="543"/>
      <c r="C1209" s="543"/>
    </row>
    <row r="1210" spans="1:3">
      <c r="A1210" s="543"/>
      <c r="C1210" s="543"/>
    </row>
    <row r="1211" spans="1:3">
      <c r="A1211" s="543"/>
      <c r="C1211" s="543"/>
    </row>
    <row r="1212" spans="1:3">
      <c r="A1212" s="543"/>
      <c r="C1212" s="543"/>
    </row>
    <row r="1213" spans="1:3">
      <c r="A1213" s="543"/>
      <c r="C1213" s="543"/>
    </row>
    <row r="1214" spans="1:3">
      <c r="A1214" s="543"/>
      <c r="C1214" s="543"/>
    </row>
    <row r="1215" spans="1:3">
      <c r="A1215" s="543"/>
      <c r="C1215" s="543"/>
    </row>
    <row r="1216" spans="1:3">
      <c r="A1216" s="543"/>
      <c r="C1216" s="543"/>
    </row>
    <row r="1217" spans="1:3">
      <c r="A1217" s="543"/>
      <c r="C1217" s="543"/>
    </row>
    <row r="1218" spans="1:3">
      <c r="A1218" s="543"/>
      <c r="C1218" s="543"/>
    </row>
    <row r="1219" spans="1:3">
      <c r="A1219" s="543"/>
      <c r="C1219" s="543"/>
    </row>
    <row r="1220" spans="1:3">
      <c r="A1220" s="543"/>
      <c r="C1220" s="543"/>
    </row>
    <row r="1221" spans="1:3">
      <c r="A1221" s="543"/>
      <c r="C1221" s="543"/>
    </row>
    <row r="1222" spans="1:3">
      <c r="A1222" s="543"/>
      <c r="C1222" s="543"/>
    </row>
    <row r="1223" spans="1:3">
      <c r="A1223" s="543"/>
      <c r="C1223" s="543"/>
    </row>
    <row r="1224" spans="1:3">
      <c r="A1224" s="543"/>
      <c r="C1224" s="543"/>
    </row>
    <row r="1225" spans="1:3">
      <c r="A1225" s="543"/>
      <c r="C1225" s="543"/>
    </row>
    <row r="1226" spans="1:3">
      <c r="A1226" s="543"/>
      <c r="C1226" s="543"/>
    </row>
    <row r="1227" spans="1:3">
      <c r="A1227" s="543"/>
      <c r="C1227" s="543"/>
    </row>
    <row r="1228" spans="1:3">
      <c r="A1228" s="543"/>
      <c r="C1228" s="543"/>
    </row>
    <row r="1229" spans="1:3">
      <c r="A1229" s="543"/>
      <c r="C1229" s="543"/>
    </row>
    <row r="1230" spans="1:3">
      <c r="A1230" s="543"/>
      <c r="C1230" s="543"/>
    </row>
    <row r="1231" spans="1:3">
      <c r="A1231" s="543"/>
      <c r="C1231" s="543"/>
    </row>
    <row r="1232" spans="1:3">
      <c r="A1232" s="543"/>
      <c r="C1232" s="543"/>
    </row>
    <row r="1233" spans="1:3">
      <c r="A1233" s="543"/>
      <c r="C1233" s="543"/>
    </row>
    <row r="1234" spans="1:3">
      <c r="A1234" s="543"/>
      <c r="C1234" s="543"/>
    </row>
    <row r="1235" spans="1:3">
      <c r="A1235" s="543"/>
      <c r="C1235" s="543"/>
    </row>
    <row r="1236" spans="1:3">
      <c r="A1236" s="543"/>
      <c r="C1236" s="543"/>
    </row>
    <row r="1237" spans="1:3">
      <c r="A1237" s="543"/>
      <c r="C1237" s="543"/>
    </row>
    <row r="1238" spans="1:3">
      <c r="A1238" s="543"/>
      <c r="C1238" s="543"/>
    </row>
    <row r="1239" spans="1:3">
      <c r="A1239" s="543"/>
      <c r="C1239" s="543"/>
    </row>
    <row r="1240" spans="1:3">
      <c r="A1240" s="543"/>
      <c r="C1240" s="543"/>
    </row>
    <row r="1241" spans="1:3">
      <c r="A1241" s="543"/>
      <c r="C1241" s="543"/>
    </row>
    <row r="1242" spans="1:3">
      <c r="A1242" s="543"/>
      <c r="C1242" s="543"/>
    </row>
    <row r="1243" spans="1:3">
      <c r="A1243" s="543"/>
      <c r="C1243" s="543"/>
    </row>
    <row r="1244" spans="1:3">
      <c r="A1244" s="543"/>
      <c r="C1244" s="543"/>
    </row>
    <row r="1245" spans="1:3">
      <c r="A1245" s="543"/>
      <c r="C1245" s="543"/>
    </row>
    <row r="1246" spans="1:3">
      <c r="A1246" s="543"/>
      <c r="C1246" s="543"/>
    </row>
    <row r="1247" spans="1:3">
      <c r="A1247" s="543"/>
      <c r="C1247" s="543"/>
    </row>
    <row r="1248" spans="1:3">
      <c r="A1248" s="543"/>
      <c r="C1248" s="543"/>
    </row>
    <row r="1249" spans="1:3">
      <c r="A1249" s="543"/>
      <c r="C1249" s="543"/>
    </row>
    <row r="1250" spans="1:3">
      <c r="A1250" s="543"/>
      <c r="C1250" s="543"/>
    </row>
    <row r="1251" spans="1:3">
      <c r="A1251" s="543"/>
      <c r="C1251" s="543"/>
    </row>
    <row r="1252" spans="1:3">
      <c r="A1252" s="543"/>
      <c r="C1252" s="543"/>
    </row>
    <row r="1253" spans="1:3">
      <c r="A1253" s="543"/>
      <c r="C1253" s="543"/>
    </row>
    <row r="1254" spans="1:3">
      <c r="A1254" s="543"/>
      <c r="C1254" s="543"/>
    </row>
    <row r="1255" spans="1:3">
      <c r="A1255" s="543"/>
      <c r="C1255" s="543"/>
    </row>
    <row r="1256" spans="1:3">
      <c r="A1256" s="543"/>
      <c r="C1256" s="543"/>
    </row>
    <row r="1257" spans="1:3">
      <c r="A1257" s="543"/>
      <c r="C1257" s="543"/>
    </row>
    <row r="1258" spans="1:3">
      <c r="A1258" s="543"/>
      <c r="C1258" s="543"/>
    </row>
    <row r="1259" spans="1:3">
      <c r="A1259" s="543"/>
      <c r="C1259" s="543"/>
    </row>
    <row r="1260" spans="1:3">
      <c r="A1260" s="543"/>
      <c r="C1260" s="543"/>
    </row>
    <row r="1261" spans="1:3">
      <c r="A1261" s="543"/>
      <c r="C1261" s="543"/>
    </row>
    <row r="1262" spans="1:3">
      <c r="A1262" s="543"/>
      <c r="C1262" s="543"/>
    </row>
    <row r="1263" spans="1:3">
      <c r="A1263" s="543"/>
      <c r="C1263" s="543"/>
    </row>
    <row r="1264" spans="1:3">
      <c r="A1264" s="543"/>
      <c r="C1264" s="543"/>
    </row>
    <row r="1265" spans="1:3">
      <c r="A1265" s="543"/>
      <c r="C1265" s="543"/>
    </row>
    <row r="1266" spans="1:3">
      <c r="A1266" s="543"/>
      <c r="C1266" s="543"/>
    </row>
    <row r="1267" spans="1:3">
      <c r="A1267" s="543"/>
      <c r="C1267" s="543"/>
    </row>
    <row r="1268" spans="1:3">
      <c r="A1268" s="543"/>
      <c r="C1268" s="543"/>
    </row>
    <row r="1269" spans="1:3">
      <c r="A1269" s="543"/>
      <c r="C1269" s="543"/>
    </row>
    <row r="1270" spans="1:3">
      <c r="A1270" s="543"/>
      <c r="C1270" s="543"/>
    </row>
    <row r="1271" spans="1:3">
      <c r="A1271" s="543"/>
      <c r="C1271" s="543"/>
    </row>
    <row r="1272" spans="1:3">
      <c r="A1272" s="543"/>
      <c r="C1272" s="543"/>
    </row>
    <row r="1273" spans="1:3">
      <c r="A1273" s="543"/>
      <c r="C1273" s="543"/>
    </row>
    <row r="1274" spans="1:3">
      <c r="A1274" s="543"/>
      <c r="C1274" s="543"/>
    </row>
    <row r="1275" spans="1:3">
      <c r="A1275" s="543"/>
      <c r="C1275" s="543"/>
    </row>
    <row r="1276" spans="1:3">
      <c r="A1276" s="543"/>
      <c r="C1276" s="543"/>
    </row>
    <row r="1277" spans="1:3">
      <c r="A1277" s="543"/>
      <c r="C1277" s="543"/>
    </row>
    <row r="1278" spans="1:3">
      <c r="A1278" s="543"/>
      <c r="C1278" s="543"/>
    </row>
    <row r="1279" spans="1:3">
      <c r="A1279" s="543"/>
      <c r="C1279" s="543"/>
    </row>
    <row r="1280" spans="1:3">
      <c r="A1280" s="543"/>
      <c r="C1280" s="543"/>
    </row>
    <row r="1281" spans="1:3">
      <c r="A1281" s="543"/>
      <c r="C1281" s="543"/>
    </row>
    <row r="1282" spans="1:3">
      <c r="A1282" s="543"/>
      <c r="C1282" s="543"/>
    </row>
    <row r="1283" spans="1:3">
      <c r="A1283" s="543"/>
      <c r="C1283" s="543"/>
    </row>
    <row r="1284" spans="1:3">
      <c r="A1284" s="543"/>
      <c r="C1284" s="543"/>
    </row>
    <row r="1285" spans="1:3">
      <c r="A1285" s="543"/>
      <c r="C1285" s="543"/>
    </row>
    <row r="1286" spans="1:3">
      <c r="A1286" s="543"/>
      <c r="C1286" s="543"/>
    </row>
    <row r="1287" spans="1:3">
      <c r="A1287" s="543"/>
      <c r="C1287" s="543"/>
    </row>
    <row r="1288" spans="1:3">
      <c r="A1288" s="543"/>
      <c r="C1288" s="543"/>
    </row>
    <row r="1289" spans="1:3">
      <c r="A1289" s="543"/>
      <c r="C1289" s="543"/>
    </row>
    <row r="1290" spans="1:3">
      <c r="A1290" s="543"/>
      <c r="C1290" s="543"/>
    </row>
    <row r="1291" spans="1:3">
      <c r="A1291" s="543"/>
      <c r="C1291" s="543"/>
    </row>
    <row r="1292" spans="1:3">
      <c r="A1292" s="543"/>
      <c r="C1292" s="543"/>
    </row>
    <row r="1293" spans="1:3">
      <c r="A1293" s="543"/>
      <c r="C1293" s="543"/>
    </row>
    <row r="1294" spans="1:3">
      <c r="A1294" s="543"/>
      <c r="C1294" s="543"/>
    </row>
    <row r="1295" spans="1:3">
      <c r="A1295" s="543"/>
      <c r="C1295" s="543"/>
    </row>
    <row r="1296" spans="1:3">
      <c r="A1296" s="543"/>
      <c r="C1296" s="543"/>
    </row>
    <row r="1297" spans="1:3">
      <c r="A1297" s="543"/>
      <c r="C1297" s="543"/>
    </row>
    <row r="1298" spans="1:3">
      <c r="A1298" s="543"/>
      <c r="C1298" s="543"/>
    </row>
    <row r="1299" spans="1:3">
      <c r="A1299" s="543"/>
      <c r="C1299" s="543"/>
    </row>
    <row r="1300" spans="1:3">
      <c r="A1300" s="543"/>
      <c r="C1300" s="543"/>
    </row>
    <row r="1301" spans="1:3">
      <c r="A1301" s="543"/>
      <c r="C1301" s="543"/>
    </row>
    <row r="1302" spans="1:3">
      <c r="A1302" s="543"/>
      <c r="C1302" s="543"/>
    </row>
    <row r="1303" spans="1:3">
      <c r="A1303" s="543"/>
      <c r="C1303" s="543"/>
    </row>
    <row r="1304" spans="1:3">
      <c r="A1304" s="543"/>
      <c r="C1304" s="543"/>
    </row>
    <row r="1305" spans="1:3">
      <c r="A1305" s="543"/>
      <c r="C1305" s="543"/>
    </row>
    <row r="1306" spans="1:3">
      <c r="A1306" s="543"/>
      <c r="C1306" s="543"/>
    </row>
    <row r="1307" spans="1:3">
      <c r="A1307" s="543"/>
      <c r="C1307" s="543"/>
    </row>
    <row r="1308" spans="1:3">
      <c r="A1308" s="543"/>
      <c r="C1308" s="543"/>
    </row>
    <row r="1309" spans="1:3">
      <c r="A1309" s="543"/>
      <c r="C1309" s="543"/>
    </row>
    <row r="1310" spans="1:3">
      <c r="A1310" s="543"/>
      <c r="C1310" s="543"/>
    </row>
    <row r="1311" spans="1:3">
      <c r="A1311" s="543"/>
      <c r="C1311" s="543"/>
    </row>
    <row r="1312" spans="1:3">
      <c r="A1312" s="543"/>
      <c r="C1312" s="543"/>
    </row>
    <row r="1313" spans="1:3">
      <c r="A1313" s="543"/>
      <c r="C1313" s="543"/>
    </row>
    <row r="1314" spans="1:3">
      <c r="A1314" s="543"/>
      <c r="C1314" s="543"/>
    </row>
    <row r="1315" spans="1:3">
      <c r="A1315" s="543"/>
      <c r="C1315" s="543"/>
    </row>
    <row r="1316" spans="1:3">
      <c r="A1316" s="543"/>
      <c r="C1316" s="543"/>
    </row>
    <row r="1317" spans="1:3">
      <c r="A1317" s="543"/>
      <c r="C1317" s="543"/>
    </row>
    <row r="1318" spans="1:3">
      <c r="A1318" s="543"/>
      <c r="C1318" s="543"/>
    </row>
    <row r="1319" spans="1:3">
      <c r="A1319" s="543"/>
      <c r="C1319" s="543"/>
    </row>
    <row r="1320" spans="1:3">
      <c r="A1320" s="543"/>
      <c r="C1320" s="543"/>
    </row>
    <row r="1321" spans="1:3">
      <c r="A1321" s="543"/>
      <c r="C1321" s="543"/>
    </row>
    <row r="1322" spans="1:3">
      <c r="A1322" s="543"/>
      <c r="C1322" s="543"/>
    </row>
    <row r="1323" spans="1:3">
      <c r="A1323" s="543"/>
      <c r="C1323" s="543"/>
    </row>
    <row r="1324" spans="1:3">
      <c r="A1324" s="543"/>
      <c r="C1324" s="543"/>
    </row>
    <row r="1325" spans="1:3">
      <c r="A1325" s="543"/>
      <c r="C1325" s="543"/>
    </row>
    <row r="1326" spans="1:3">
      <c r="A1326" s="543"/>
      <c r="C1326" s="543"/>
    </row>
    <row r="1327" spans="1:3">
      <c r="A1327" s="543"/>
      <c r="C1327" s="543"/>
    </row>
    <row r="1328" spans="1:3">
      <c r="A1328" s="543"/>
      <c r="C1328" s="543"/>
    </row>
    <row r="1329" spans="1:3">
      <c r="A1329" s="543"/>
      <c r="C1329" s="543"/>
    </row>
    <row r="1330" spans="1:3">
      <c r="A1330" s="543"/>
      <c r="C1330" s="543"/>
    </row>
    <row r="1331" spans="1:3">
      <c r="A1331" s="543"/>
      <c r="C1331" s="543"/>
    </row>
    <row r="1332" spans="1:3">
      <c r="A1332" s="543"/>
      <c r="C1332" s="543"/>
    </row>
    <row r="1333" spans="1:3">
      <c r="A1333" s="543"/>
      <c r="C1333" s="543"/>
    </row>
    <row r="1334" spans="1:3">
      <c r="A1334" s="543"/>
      <c r="C1334" s="543"/>
    </row>
    <row r="1335" spans="1:3">
      <c r="A1335" s="543"/>
      <c r="C1335" s="543"/>
    </row>
    <row r="1336" spans="1:3">
      <c r="A1336" s="543"/>
      <c r="C1336" s="543"/>
    </row>
    <row r="1337" spans="1:3">
      <c r="A1337" s="543"/>
      <c r="C1337" s="543"/>
    </row>
    <row r="1338" spans="1:3">
      <c r="A1338" s="543"/>
      <c r="C1338" s="543"/>
    </row>
    <row r="1339" spans="1:3">
      <c r="A1339" s="543"/>
      <c r="C1339" s="543"/>
    </row>
    <row r="1340" spans="1:3">
      <c r="A1340" s="543"/>
      <c r="C1340" s="543"/>
    </row>
    <row r="1341" spans="1:3">
      <c r="A1341" s="543"/>
      <c r="C1341" s="543"/>
    </row>
    <row r="1342" spans="1:3">
      <c r="A1342" s="543"/>
      <c r="C1342" s="543"/>
    </row>
    <row r="1343" spans="1:3">
      <c r="A1343" s="543"/>
      <c r="C1343" s="543"/>
    </row>
    <row r="1344" spans="1:3">
      <c r="A1344" s="543"/>
      <c r="C1344" s="543"/>
    </row>
    <row r="1345" spans="1:3">
      <c r="A1345" s="543"/>
      <c r="C1345" s="543"/>
    </row>
    <row r="1346" spans="1:3">
      <c r="A1346" s="543"/>
      <c r="C1346" s="543"/>
    </row>
    <row r="1347" spans="1:3">
      <c r="A1347" s="543"/>
      <c r="C1347" s="543"/>
    </row>
    <row r="1348" spans="1:3">
      <c r="A1348" s="543"/>
      <c r="C1348" s="543"/>
    </row>
    <row r="1349" spans="1:3">
      <c r="A1349" s="543"/>
      <c r="C1349" s="543"/>
    </row>
    <row r="1350" spans="1:3">
      <c r="A1350" s="543"/>
      <c r="C1350" s="543"/>
    </row>
    <row r="1351" spans="1:3">
      <c r="A1351" s="543"/>
      <c r="C1351" s="543"/>
    </row>
    <row r="1352" spans="1:3">
      <c r="A1352" s="543"/>
      <c r="C1352" s="543"/>
    </row>
    <row r="1353" spans="1:3">
      <c r="A1353" s="543"/>
      <c r="C1353" s="543"/>
    </row>
    <row r="1354" spans="1:3">
      <c r="A1354" s="543"/>
      <c r="C1354" s="543"/>
    </row>
    <row r="1355" spans="1:3">
      <c r="A1355" s="543"/>
      <c r="C1355" s="543"/>
    </row>
    <row r="1356" spans="1:3">
      <c r="A1356" s="543"/>
      <c r="C1356" s="543"/>
    </row>
    <row r="1357" spans="1:3">
      <c r="A1357" s="543"/>
      <c r="C1357" s="543"/>
    </row>
    <row r="1358" spans="1:3">
      <c r="A1358" s="543"/>
      <c r="C1358" s="543"/>
    </row>
    <row r="1359" spans="1:3">
      <c r="A1359" s="543"/>
      <c r="C1359" s="543"/>
    </row>
    <row r="1360" spans="1:3">
      <c r="A1360" s="543"/>
      <c r="C1360" s="543"/>
    </row>
    <row r="1361" spans="1:3">
      <c r="A1361" s="543"/>
      <c r="C1361" s="543"/>
    </row>
    <row r="1362" spans="1:3">
      <c r="A1362" s="543"/>
      <c r="C1362" s="543"/>
    </row>
    <row r="1363" spans="1:3">
      <c r="A1363" s="543"/>
      <c r="C1363" s="543"/>
    </row>
    <row r="1364" spans="1:3">
      <c r="A1364" s="543"/>
      <c r="C1364" s="543"/>
    </row>
    <row r="1365" spans="1:3">
      <c r="A1365" s="543"/>
      <c r="C1365" s="543"/>
    </row>
    <row r="1366" spans="1:3">
      <c r="A1366" s="543"/>
      <c r="C1366" s="543"/>
    </row>
    <row r="1367" spans="1:3">
      <c r="A1367" s="543"/>
      <c r="C1367" s="543"/>
    </row>
    <row r="1368" spans="1:3">
      <c r="A1368" s="543"/>
      <c r="C1368" s="543"/>
    </row>
    <row r="1369" spans="1:3">
      <c r="A1369" s="543"/>
      <c r="C1369" s="543"/>
    </row>
    <row r="1370" spans="1:3">
      <c r="A1370" s="543"/>
      <c r="C1370" s="543"/>
    </row>
    <row r="1371" spans="1:3">
      <c r="A1371" s="543"/>
      <c r="C1371" s="543"/>
    </row>
    <row r="1372" spans="1:3">
      <c r="A1372" s="543"/>
      <c r="C1372" s="543"/>
    </row>
    <row r="1373" spans="1:3">
      <c r="A1373" s="543"/>
      <c r="C1373" s="543"/>
    </row>
    <row r="1374" spans="1:3">
      <c r="A1374" s="543"/>
      <c r="C1374" s="543"/>
    </row>
    <row r="1375" spans="1:3">
      <c r="A1375" s="543"/>
      <c r="C1375" s="543"/>
    </row>
    <row r="1376" spans="1:3">
      <c r="A1376" s="543"/>
      <c r="C1376" s="543"/>
    </row>
    <row r="1377" spans="1:3">
      <c r="A1377" s="543"/>
      <c r="C1377" s="543"/>
    </row>
    <row r="1378" spans="1:3">
      <c r="A1378" s="543"/>
      <c r="C1378" s="543"/>
    </row>
    <row r="1379" spans="1:3">
      <c r="A1379" s="543"/>
      <c r="C1379" s="543"/>
    </row>
    <row r="1380" spans="1:3">
      <c r="A1380" s="543"/>
      <c r="C1380" s="543"/>
    </row>
    <row r="1381" spans="1:3">
      <c r="A1381" s="543"/>
      <c r="C1381" s="543"/>
    </row>
    <row r="1382" spans="1:3">
      <c r="A1382" s="543"/>
      <c r="C1382" s="543"/>
    </row>
    <row r="1383" spans="1:3">
      <c r="A1383" s="543"/>
      <c r="C1383" s="543"/>
    </row>
    <row r="1384" spans="1:3">
      <c r="A1384" s="543"/>
      <c r="C1384" s="543"/>
    </row>
    <row r="1385" spans="1:3">
      <c r="A1385" s="543"/>
      <c r="C1385" s="543"/>
    </row>
    <row r="1386" spans="1:3">
      <c r="A1386" s="543"/>
      <c r="C1386" s="543"/>
    </row>
    <row r="1387" spans="1:3">
      <c r="A1387" s="543"/>
      <c r="C1387" s="543"/>
    </row>
    <row r="1388" spans="1:3">
      <c r="A1388" s="543"/>
      <c r="C1388" s="543"/>
    </row>
    <row r="1389" spans="1:3">
      <c r="A1389" s="543"/>
      <c r="C1389" s="543"/>
    </row>
    <row r="1390" spans="1:3">
      <c r="A1390" s="543"/>
      <c r="C1390" s="543"/>
    </row>
    <row r="1391" spans="1:3">
      <c r="A1391" s="543"/>
      <c r="C1391" s="543"/>
    </row>
    <row r="1392" spans="1:3">
      <c r="A1392" s="543"/>
      <c r="C1392" s="543"/>
    </row>
    <row r="1393" spans="1:3">
      <c r="A1393" s="543"/>
      <c r="C1393" s="543"/>
    </row>
    <row r="1394" spans="1:3">
      <c r="A1394" s="543"/>
      <c r="C1394" s="543"/>
    </row>
    <row r="1395" spans="1:3">
      <c r="A1395" s="543"/>
      <c r="C1395" s="543"/>
    </row>
    <row r="1396" spans="1:3">
      <c r="A1396" s="543"/>
      <c r="C1396" s="543"/>
    </row>
    <row r="1397" spans="1:3">
      <c r="A1397" s="543"/>
      <c r="C1397" s="543"/>
    </row>
    <row r="1398" spans="1:3">
      <c r="A1398" s="543"/>
      <c r="C1398" s="543"/>
    </row>
    <row r="1399" spans="1:3">
      <c r="A1399" s="543"/>
      <c r="C1399" s="543"/>
    </row>
    <row r="1400" spans="1:3">
      <c r="A1400" s="543"/>
      <c r="C1400" s="543"/>
    </row>
    <row r="1401" spans="1:3">
      <c r="A1401" s="543"/>
      <c r="C1401" s="543"/>
    </row>
    <row r="1402" spans="1:3">
      <c r="A1402" s="543"/>
      <c r="C1402" s="543"/>
    </row>
    <row r="1403" spans="1:3">
      <c r="A1403" s="543"/>
      <c r="C1403" s="543"/>
    </row>
    <row r="1404" spans="1:3">
      <c r="A1404" s="543"/>
      <c r="C1404" s="543"/>
    </row>
    <row r="1405" spans="1:3">
      <c r="A1405" s="543"/>
      <c r="C1405" s="543"/>
    </row>
    <row r="1406" spans="1:3">
      <c r="A1406" s="543"/>
      <c r="C1406" s="543"/>
    </row>
    <row r="1407" spans="1:3">
      <c r="A1407" s="543"/>
      <c r="C1407" s="543"/>
    </row>
    <row r="1408" spans="1:3">
      <c r="A1408" s="543"/>
      <c r="C1408" s="543"/>
    </row>
    <row r="1409" spans="1:3">
      <c r="A1409" s="543"/>
      <c r="C1409" s="543"/>
    </row>
    <row r="1410" spans="1:3">
      <c r="A1410" s="543"/>
      <c r="C1410" s="543"/>
    </row>
    <row r="1411" spans="1:3">
      <c r="A1411" s="543"/>
      <c r="C1411" s="543"/>
    </row>
    <row r="1412" spans="1:3">
      <c r="A1412" s="543"/>
      <c r="C1412" s="543"/>
    </row>
    <row r="1413" spans="1:3">
      <c r="A1413" s="543"/>
      <c r="C1413" s="543"/>
    </row>
    <row r="1414" spans="1:3">
      <c r="A1414" s="543"/>
      <c r="C1414" s="543"/>
    </row>
    <row r="1415" spans="1:3">
      <c r="A1415" s="543"/>
      <c r="C1415" s="543"/>
    </row>
    <row r="1416" spans="1:3">
      <c r="A1416" s="543"/>
      <c r="C1416" s="543"/>
    </row>
    <row r="1417" spans="1:3">
      <c r="A1417" s="543"/>
      <c r="C1417" s="543"/>
    </row>
    <row r="1418" spans="1:3">
      <c r="A1418" s="543"/>
      <c r="C1418" s="543"/>
    </row>
    <row r="1419" spans="1:3">
      <c r="A1419" s="543"/>
      <c r="C1419" s="543"/>
    </row>
    <row r="1420" spans="1:3">
      <c r="A1420" s="543"/>
      <c r="C1420" s="543"/>
    </row>
    <row r="1421" spans="1:3">
      <c r="A1421" s="543"/>
      <c r="C1421" s="543"/>
    </row>
    <row r="1422" spans="1:3">
      <c r="A1422" s="543"/>
      <c r="C1422" s="543"/>
    </row>
    <row r="1423" spans="1:3">
      <c r="A1423" s="543"/>
      <c r="C1423" s="543"/>
    </row>
    <row r="1424" spans="1:3">
      <c r="A1424" s="543"/>
      <c r="C1424" s="543"/>
    </row>
    <row r="1425" spans="1:3">
      <c r="A1425" s="543"/>
      <c r="C1425" s="543"/>
    </row>
    <row r="1426" spans="1:3">
      <c r="A1426" s="543"/>
      <c r="C1426" s="543"/>
    </row>
    <row r="1427" spans="1:3">
      <c r="A1427" s="543"/>
      <c r="C1427" s="543"/>
    </row>
    <row r="1428" spans="1:3">
      <c r="A1428" s="543"/>
      <c r="C1428" s="543"/>
    </row>
    <row r="1429" spans="1:3">
      <c r="A1429" s="543"/>
      <c r="C1429" s="543"/>
    </row>
    <row r="1430" spans="1:3">
      <c r="A1430" s="543"/>
      <c r="C1430" s="543"/>
    </row>
    <row r="1431" spans="1:3">
      <c r="A1431" s="543"/>
      <c r="C1431" s="543"/>
    </row>
    <row r="1432" spans="1:3">
      <c r="A1432" s="543"/>
      <c r="C1432" s="543"/>
    </row>
    <row r="1433" spans="1:3">
      <c r="A1433" s="543"/>
      <c r="C1433" s="543"/>
    </row>
    <row r="1434" spans="1:3">
      <c r="A1434" s="543"/>
      <c r="C1434" s="543"/>
    </row>
    <row r="1435" spans="1:3">
      <c r="A1435" s="543"/>
      <c r="C1435" s="543"/>
    </row>
    <row r="1436" spans="1:3">
      <c r="A1436" s="543"/>
      <c r="C1436" s="543"/>
    </row>
    <row r="1437" spans="1:3">
      <c r="A1437" s="543"/>
      <c r="C1437" s="543"/>
    </row>
    <row r="1438" spans="1:3">
      <c r="A1438" s="543"/>
      <c r="C1438" s="543"/>
    </row>
    <row r="1439" spans="1:3">
      <c r="A1439" s="543"/>
      <c r="C1439" s="543"/>
    </row>
    <row r="1440" spans="1:3">
      <c r="A1440" s="543"/>
      <c r="C1440" s="543"/>
    </row>
    <row r="1441" spans="1:3">
      <c r="A1441" s="543"/>
      <c r="C1441" s="543"/>
    </row>
    <row r="1442" spans="1:3">
      <c r="A1442" s="543"/>
      <c r="C1442" s="543"/>
    </row>
    <row r="1443" spans="1:3">
      <c r="A1443" s="543"/>
      <c r="C1443" s="543"/>
    </row>
    <row r="1444" spans="1:3">
      <c r="A1444" s="543"/>
      <c r="C1444" s="543"/>
    </row>
    <row r="1445" spans="1:3">
      <c r="A1445" s="543"/>
      <c r="C1445" s="543"/>
    </row>
    <row r="1446" spans="1:3">
      <c r="A1446" s="543"/>
      <c r="C1446" s="543"/>
    </row>
    <row r="1447" spans="1:3">
      <c r="A1447" s="543"/>
      <c r="C1447" s="543"/>
    </row>
    <row r="1448" spans="1:3">
      <c r="A1448" s="543"/>
      <c r="C1448" s="543"/>
    </row>
    <row r="1449" spans="1:3">
      <c r="A1449" s="543"/>
      <c r="C1449" s="543"/>
    </row>
    <row r="1450" spans="1:3">
      <c r="A1450" s="543"/>
      <c r="C1450" s="543"/>
    </row>
    <row r="1451" spans="1:3">
      <c r="A1451" s="543"/>
      <c r="C1451" s="543"/>
    </row>
    <row r="1452" spans="1:3">
      <c r="A1452" s="543"/>
      <c r="C1452" s="543"/>
    </row>
    <row r="1453" spans="1:3">
      <c r="A1453" s="543"/>
      <c r="C1453" s="543"/>
    </row>
    <row r="1454" spans="1:3">
      <c r="A1454" s="543"/>
      <c r="C1454" s="543"/>
    </row>
    <row r="1455" spans="1:3">
      <c r="A1455" s="543"/>
      <c r="C1455" s="543"/>
    </row>
    <row r="1456" spans="1:3">
      <c r="A1456" s="543"/>
      <c r="C1456" s="543"/>
    </row>
    <row r="1457" spans="1:3">
      <c r="A1457" s="543"/>
      <c r="C1457" s="543"/>
    </row>
    <row r="1458" spans="1:3">
      <c r="A1458" s="543"/>
      <c r="C1458" s="543"/>
    </row>
    <row r="1459" spans="1:3">
      <c r="A1459" s="543"/>
      <c r="C1459" s="543"/>
    </row>
    <row r="1460" spans="1:3">
      <c r="A1460" s="543"/>
      <c r="C1460" s="543"/>
    </row>
    <row r="1461" spans="1:3">
      <c r="A1461" s="543"/>
      <c r="C1461" s="543"/>
    </row>
    <row r="1462" spans="1:3">
      <c r="A1462" s="543"/>
      <c r="C1462" s="543"/>
    </row>
    <row r="1463" spans="1:3">
      <c r="A1463" s="543"/>
      <c r="C1463" s="543"/>
    </row>
    <row r="1464" spans="1:3">
      <c r="A1464" s="543"/>
      <c r="C1464" s="543"/>
    </row>
    <row r="1465" spans="1:3">
      <c r="A1465" s="543"/>
      <c r="C1465" s="543"/>
    </row>
    <row r="1466" spans="1:3">
      <c r="A1466" s="543"/>
      <c r="C1466" s="543"/>
    </row>
    <row r="1467" spans="1:3">
      <c r="A1467" s="543"/>
      <c r="C1467" s="543"/>
    </row>
    <row r="1468" spans="1:3">
      <c r="A1468" s="543"/>
      <c r="C1468" s="543"/>
    </row>
    <row r="1469" spans="1:3">
      <c r="A1469" s="543"/>
      <c r="C1469" s="543"/>
    </row>
    <row r="1470" spans="1:3">
      <c r="A1470" s="543"/>
      <c r="C1470" s="543"/>
    </row>
    <row r="1471" spans="1:3">
      <c r="A1471" s="543"/>
      <c r="C1471" s="543"/>
    </row>
    <row r="1472" spans="1:3">
      <c r="A1472" s="543"/>
      <c r="C1472" s="543"/>
    </row>
    <row r="1473" spans="1:3">
      <c r="A1473" s="543"/>
      <c r="C1473" s="543"/>
    </row>
    <row r="1474" spans="1:3">
      <c r="A1474" s="543"/>
      <c r="C1474" s="543"/>
    </row>
    <row r="1475" spans="1:3">
      <c r="A1475" s="543"/>
      <c r="C1475" s="543"/>
    </row>
    <row r="1476" spans="1:3">
      <c r="A1476" s="543"/>
      <c r="C1476" s="543"/>
    </row>
    <row r="1477" spans="1:3">
      <c r="A1477" s="543"/>
      <c r="C1477" s="543"/>
    </row>
    <row r="1478" spans="1:3">
      <c r="A1478" s="543"/>
      <c r="C1478" s="543"/>
    </row>
    <row r="1479" spans="1:3">
      <c r="A1479" s="543"/>
      <c r="C1479" s="543"/>
    </row>
    <row r="1480" spans="1:3">
      <c r="A1480" s="543"/>
      <c r="C1480" s="543"/>
    </row>
    <row r="1481" spans="1:3">
      <c r="A1481" s="543"/>
      <c r="C1481" s="543"/>
    </row>
    <row r="1482" spans="1:3">
      <c r="A1482" s="543"/>
      <c r="C1482" s="543"/>
    </row>
    <row r="1483" spans="1:3">
      <c r="A1483" s="543"/>
      <c r="C1483" s="543"/>
    </row>
    <row r="1484" spans="1:3">
      <c r="A1484" s="543"/>
      <c r="C1484" s="543"/>
    </row>
    <row r="1485" spans="1:3">
      <c r="A1485" s="543"/>
      <c r="C1485" s="543"/>
    </row>
    <row r="1486" spans="1:3">
      <c r="A1486" s="543"/>
      <c r="C1486" s="543"/>
    </row>
    <row r="1487" spans="1:3">
      <c r="A1487" s="543"/>
      <c r="C1487" s="543"/>
    </row>
    <row r="1488" spans="1:3">
      <c r="A1488" s="543"/>
      <c r="C1488" s="543"/>
    </row>
    <row r="1489" spans="1:3">
      <c r="A1489" s="543"/>
      <c r="C1489" s="543"/>
    </row>
    <row r="1490" spans="1:3">
      <c r="A1490" s="543"/>
      <c r="C1490" s="543"/>
    </row>
    <row r="1491" spans="1:3">
      <c r="A1491" s="543"/>
      <c r="C1491" s="543"/>
    </row>
    <row r="1492" spans="1:3">
      <c r="A1492" s="543"/>
      <c r="C1492" s="543"/>
    </row>
    <row r="1493" spans="1:3">
      <c r="A1493" s="543"/>
      <c r="C1493" s="543"/>
    </row>
    <row r="1494" spans="1:3">
      <c r="A1494" s="543"/>
      <c r="C1494" s="543"/>
    </row>
    <row r="1495" spans="1:3">
      <c r="A1495" s="543"/>
      <c r="C1495" s="543"/>
    </row>
    <row r="1496" spans="1:3">
      <c r="A1496" s="543"/>
      <c r="C1496" s="543"/>
    </row>
    <row r="1497" spans="1:3">
      <c r="A1497" s="543"/>
      <c r="C1497" s="543"/>
    </row>
    <row r="1498" spans="1:3">
      <c r="A1498" s="543"/>
      <c r="C1498" s="543"/>
    </row>
    <row r="1499" spans="1:3">
      <c r="A1499" s="543"/>
      <c r="C1499" s="543"/>
    </row>
    <row r="1500" spans="1:3">
      <c r="A1500" s="543"/>
      <c r="C1500" s="543"/>
    </row>
    <row r="1501" spans="1:3">
      <c r="A1501" s="543"/>
      <c r="C1501" s="543"/>
    </row>
    <row r="1502" spans="1:3">
      <c r="A1502" s="543"/>
      <c r="C1502" s="543"/>
    </row>
    <row r="1503" spans="1:3">
      <c r="A1503" s="543"/>
      <c r="C1503" s="543"/>
    </row>
    <row r="1504" spans="1:3">
      <c r="A1504" s="543"/>
      <c r="C1504" s="543"/>
    </row>
    <row r="1505" spans="1:3">
      <c r="A1505" s="543"/>
      <c r="C1505" s="543"/>
    </row>
    <row r="1506" spans="1:3">
      <c r="A1506" s="543"/>
      <c r="C1506" s="543"/>
    </row>
    <row r="1507" spans="1:3">
      <c r="A1507" s="543"/>
      <c r="C1507" s="543"/>
    </row>
    <row r="1508" spans="1:3">
      <c r="A1508" s="543"/>
      <c r="C1508" s="543"/>
    </row>
    <row r="1509" spans="1:3">
      <c r="A1509" s="543"/>
      <c r="C1509" s="543"/>
    </row>
    <row r="1510" spans="1:3">
      <c r="A1510" s="543"/>
      <c r="C1510" s="543"/>
    </row>
    <row r="1511" spans="1:3">
      <c r="A1511" s="543"/>
      <c r="C1511" s="543"/>
    </row>
    <row r="1512" spans="1:3">
      <c r="A1512" s="543"/>
      <c r="C1512" s="543"/>
    </row>
    <row r="1513" spans="1:3">
      <c r="A1513" s="543"/>
      <c r="C1513" s="543"/>
    </row>
    <row r="1514" spans="1:3">
      <c r="A1514" s="543"/>
      <c r="C1514" s="543"/>
    </row>
    <row r="1515" spans="1:3">
      <c r="A1515" s="543"/>
      <c r="C1515" s="543"/>
    </row>
    <row r="1516" spans="1:3">
      <c r="A1516" s="543"/>
      <c r="C1516" s="543"/>
    </row>
    <row r="1517" spans="1:3">
      <c r="A1517" s="543"/>
      <c r="C1517" s="543"/>
    </row>
    <row r="1518" spans="1:3">
      <c r="A1518" s="543"/>
      <c r="C1518" s="543"/>
    </row>
    <row r="1519" spans="1:3">
      <c r="A1519" s="543"/>
      <c r="C1519" s="543"/>
    </row>
    <row r="1520" spans="1:3">
      <c r="A1520" s="543"/>
      <c r="C1520" s="543"/>
    </row>
    <row r="1521" spans="1:3">
      <c r="A1521" s="543"/>
      <c r="C1521" s="543"/>
    </row>
    <row r="1522" spans="1:3">
      <c r="A1522" s="543"/>
      <c r="C1522" s="543"/>
    </row>
    <row r="1523" spans="1:3">
      <c r="A1523" s="543"/>
      <c r="C1523" s="543"/>
    </row>
    <row r="1524" spans="1:3">
      <c r="A1524" s="543"/>
      <c r="C1524" s="543"/>
    </row>
    <row r="1525" spans="1:3">
      <c r="A1525" s="543"/>
      <c r="C1525" s="543"/>
    </row>
    <row r="1526" spans="1:3">
      <c r="A1526" s="543"/>
      <c r="C1526" s="543"/>
    </row>
    <row r="1527" spans="1:3">
      <c r="A1527" s="543"/>
      <c r="C1527" s="543"/>
    </row>
    <row r="1528" spans="1:3">
      <c r="A1528" s="543"/>
      <c r="C1528" s="543"/>
    </row>
    <row r="1529" spans="1:3">
      <c r="A1529" s="543"/>
      <c r="C1529" s="543"/>
    </row>
    <row r="1530" spans="1:3">
      <c r="A1530" s="543"/>
      <c r="C1530" s="543"/>
    </row>
    <row r="1531" spans="1:3">
      <c r="A1531" s="543"/>
      <c r="C1531" s="543"/>
    </row>
    <row r="1532" spans="1:3">
      <c r="A1532" s="543"/>
      <c r="C1532" s="543"/>
    </row>
    <row r="1533" spans="1:3">
      <c r="A1533" s="543"/>
      <c r="C1533" s="543"/>
    </row>
    <row r="1534" spans="1:3">
      <c r="A1534" s="543"/>
      <c r="C1534" s="543"/>
    </row>
    <row r="1535" spans="1:3">
      <c r="A1535" s="543"/>
      <c r="C1535" s="543"/>
    </row>
    <row r="1536" spans="1:3">
      <c r="A1536" s="543"/>
      <c r="C1536" s="543"/>
    </row>
    <row r="1537" spans="1:3">
      <c r="A1537" s="543"/>
      <c r="C1537" s="543"/>
    </row>
    <row r="1538" spans="1:3">
      <c r="A1538" s="543"/>
      <c r="C1538" s="543"/>
    </row>
    <row r="1539" spans="1:3">
      <c r="A1539" s="543"/>
      <c r="C1539" s="543"/>
    </row>
    <row r="1540" spans="1:3">
      <c r="A1540" s="543"/>
      <c r="C1540" s="543"/>
    </row>
    <row r="1541" spans="1:3">
      <c r="A1541" s="543"/>
      <c r="C1541" s="543"/>
    </row>
    <row r="1542" spans="1:3">
      <c r="A1542" s="543"/>
      <c r="C1542" s="543"/>
    </row>
    <row r="1543" spans="1:3">
      <c r="A1543" s="543"/>
      <c r="C1543" s="543"/>
    </row>
    <row r="1544" spans="1:3">
      <c r="A1544" s="543"/>
      <c r="C1544" s="543"/>
    </row>
    <row r="1545" spans="1:3">
      <c r="A1545" s="543"/>
      <c r="C1545" s="543"/>
    </row>
    <row r="1546" spans="1:3">
      <c r="A1546" s="543"/>
      <c r="C1546" s="543"/>
    </row>
    <row r="1547" spans="1:3">
      <c r="A1547" s="543"/>
      <c r="C1547" s="543"/>
    </row>
    <row r="1548" spans="1:3">
      <c r="A1548" s="543"/>
      <c r="C1548" s="543"/>
    </row>
    <row r="1549" spans="1:3">
      <c r="A1549" s="543"/>
      <c r="C1549" s="543"/>
    </row>
    <row r="1550" spans="1:3">
      <c r="A1550" s="543"/>
      <c r="C1550" s="543"/>
    </row>
    <row r="1551" spans="1:3">
      <c r="A1551" s="543"/>
      <c r="C1551" s="543"/>
    </row>
    <row r="1552" spans="1:3">
      <c r="A1552" s="543"/>
      <c r="C1552" s="543"/>
    </row>
    <row r="1553" spans="1:3">
      <c r="A1553" s="543"/>
      <c r="C1553" s="543"/>
    </row>
    <row r="1554" spans="1:3">
      <c r="A1554" s="543"/>
      <c r="C1554" s="543"/>
    </row>
    <row r="1555" spans="1:3">
      <c r="A1555" s="543"/>
      <c r="C1555" s="543"/>
    </row>
    <row r="1556" spans="1:3">
      <c r="A1556" s="543"/>
      <c r="C1556" s="543"/>
    </row>
    <row r="1557" spans="1:3">
      <c r="A1557" s="543"/>
      <c r="C1557" s="543"/>
    </row>
    <row r="1558" spans="1:3">
      <c r="A1558" s="543"/>
      <c r="C1558" s="543"/>
    </row>
    <row r="1559" spans="1:3">
      <c r="A1559" s="543"/>
      <c r="C1559" s="543"/>
    </row>
    <row r="1560" spans="1:3">
      <c r="A1560" s="543"/>
      <c r="C1560" s="543"/>
    </row>
    <row r="1561" spans="1:3">
      <c r="A1561" s="543"/>
      <c r="C1561" s="543"/>
    </row>
    <row r="1562" spans="1:3">
      <c r="A1562" s="543"/>
      <c r="C1562" s="543"/>
    </row>
    <row r="1563" spans="1:3">
      <c r="A1563" s="543"/>
      <c r="C1563" s="543"/>
    </row>
    <row r="1564" spans="1:3">
      <c r="A1564" s="543"/>
      <c r="C1564" s="543"/>
    </row>
    <row r="1565" spans="1:3">
      <c r="A1565" s="543"/>
      <c r="C1565" s="543"/>
    </row>
    <row r="1566" spans="1:3">
      <c r="A1566" s="543"/>
      <c r="C1566" s="543"/>
    </row>
    <row r="1567" spans="1:3">
      <c r="A1567" s="543"/>
      <c r="C1567" s="543"/>
    </row>
    <row r="1568" spans="1:3">
      <c r="A1568" s="543"/>
      <c r="C1568" s="543"/>
    </row>
    <row r="1569" spans="1:3">
      <c r="A1569" s="543"/>
      <c r="C1569" s="543"/>
    </row>
    <row r="1570" spans="1:3">
      <c r="A1570" s="543"/>
      <c r="C1570" s="543"/>
    </row>
    <row r="1571" spans="1:3">
      <c r="A1571" s="543"/>
      <c r="C1571" s="543"/>
    </row>
    <row r="1572" spans="1:3">
      <c r="A1572" s="543"/>
      <c r="C1572" s="543"/>
    </row>
    <row r="1573" spans="1:3">
      <c r="A1573" s="543"/>
      <c r="C1573" s="543"/>
    </row>
    <row r="1574" spans="1:3">
      <c r="A1574" s="543"/>
      <c r="C1574" s="543"/>
    </row>
    <row r="1575" spans="1:3">
      <c r="A1575" s="543"/>
      <c r="C1575" s="543"/>
    </row>
    <row r="1576" spans="1:3">
      <c r="A1576" s="543"/>
      <c r="C1576" s="543"/>
    </row>
    <row r="1577" spans="1:3">
      <c r="A1577" s="543"/>
      <c r="C1577" s="543"/>
    </row>
    <row r="1578" spans="1:3">
      <c r="A1578" s="543"/>
      <c r="C1578" s="543"/>
    </row>
    <row r="1579" spans="1:3">
      <c r="A1579" s="543"/>
      <c r="C1579" s="543"/>
    </row>
    <row r="1580" spans="1:3">
      <c r="A1580" s="543"/>
      <c r="C1580" s="543"/>
    </row>
    <row r="1581" spans="1:3">
      <c r="A1581" s="543"/>
      <c r="C1581" s="543"/>
    </row>
    <row r="1582" spans="1:3">
      <c r="A1582" s="543"/>
      <c r="C1582" s="543"/>
    </row>
    <row r="1583" spans="1:3">
      <c r="A1583" s="543"/>
      <c r="C1583" s="543"/>
    </row>
    <row r="1584" spans="1:3">
      <c r="A1584" s="543"/>
      <c r="C1584" s="543"/>
    </row>
    <row r="1585" spans="1:3">
      <c r="A1585" s="543"/>
      <c r="C1585" s="543"/>
    </row>
    <row r="1586" spans="1:3">
      <c r="A1586" s="543"/>
      <c r="C1586" s="543"/>
    </row>
    <row r="1587" spans="1:3">
      <c r="A1587" s="543"/>
      <c r="C1587" s="543"/>
    </row>
    <row r="1588" spans="1:3">
      <c r="A1588" s="543"/>
      <c r="C1588" s="543"/>
    </row>
    <row r="1589" spans="1:3">
      <c r="A1589" s="543"/>
      <c r="C1589" s="543"/>
    </row>
    <row r="1590" spans="1:3">
      <c r="A1590" s="543"/>
      <c r="C1590" s="543"/>
    </row>
    <row r="1591" spans="1:3">
      <c r="A1591" s="543"/>
      <c r="C1591" s="543"/>
    </row>
    <row r="1592" spans="1:3">
      <c r="A1592" s="543"/>
      <c r="C1592" s="543"/>
    </row>
    <row r="1593" spans="1:3">
      <c r="A1593" s="543"/>
      <c r="C1593" s="543"/>
    </row>
    <row r="1594" spans="1:3">
      <c r="A1594" s="543"/>
      <c r="C1594" s="543"/>
    </row>
    <row r="1595" spans="1:3">
      <c r="A1595" s="543"/>
      <c r="C1595" s="543"/>
    </row>
    <row r="1596" spans="1:3">
      <c r="A1596" s="543"/>
      <c r="C1596" s="543"/>
    </row>
    <row r="1597" spans="1:3">
      <c r="A1597" s="543"/>
      <c r="C1597" s="543"/>
    </row>
    <row r="1598" spans="1:3">
      <c r="A1598" s="543"/>
      <c r="C1598" s="543"/>
    </row>
    <row r="1599" spans="1:3">
      <c r="A1599" s="543"/>
      <c r="C1599" s="543"/>
    </row>
    <row r="1600" spans="1:3">
      <c r="A1600" s="543"/>
      <c r="C1600" s="543"/>
    </row>
    <row r="1601" spans="1:3">
      <c r="A1601" s="543"/>
      <c r="C1601" s="543"/>
    </row>
    <row r="1602" spans="1:3">
      <c r="A1602" s="543"/>
      <c r="C1602" s="543"/>
    </row>
    <row r="1603" spans="1:3">
      <c r="A1603" s="543"/>
      <c r="C1603" s="543"/>
    </row>
    <row r="1604" spans="1:3">
      <c r="A1604" s="543"/>
      <c r="C1604" s="543"/>
    </row>
    <row r="1605" spans="1:3">
      <c r="A1605" s="543"/>
      <c r="C1605" s="543"/>
    </row>
    <row r="1606" spans="1:3">
      <c r="A1606" s="543"/>
      <c r="C1606" s="543"/>
    </row>
    <row r="1607" spans="1:3">
      <c r="A1607" s="543"/>
      <c r="C1607" s="543"/>
    </row>
    <row r="1608" spans="1:3">
      <c r="A1608" s="543"/>
      <c r="C1608" s="543"/>
    </row>
    <row r="1609" spans="1:3">
      <c r="A1609" s="543"/>
      <c r="C1609" s="543"/>
    </row>
    <row r="1610" spans="1:3">
      <c r="A1610" s="543"/>
      <c r="C1610" s="543"/>
    </row>
    <row r="1611" spans="1:3">
      <c r="A1611" s="543"/>
      <c r="C1611" s="543"/>
    </row>
    <row r="1612" spans="1:3">
      <c r="A1612" s="543"/>
      <c r="C1612" s="543"/>
    </row>
    <row r="1613" spans="1:3">
      <c r="A1613" s="543"/>
      <c r="C1613" s="543"/>
    </row>
    <row r="1614" spans="1:3">
      <c r="A1614" s="543"/>
      <c r="C1614" s="543"/>
    </row>
    <row r="1615" spans="1:3">
      <c r="A1615" s="543"/>
      <c r="C1615" s="543"/>
    </row>
    <row r="1616" spans="1:3">
      <c r="A1616" s="543"/>
      <c r="C1616" s="543"/>
    </row>
    <row r="1617" spans="1:3">
      <c r="A1617" s="543"/>
      <c r="C1617" s="543"/>
    </row>
    <row r="1618" spans="1:3">
      <c r="A1618" s="543"/>
      <c r="C1618" s="543"/>
    </row>
    <row r="1619" spans="1:3">
      <c r="A1619" s="543"/>
      <c r="C1619" s="543"/>
    </row>
    <row r="1620" spans="1:3">
      <c r="A1620" s="543"/>
      <c r="C1620" s="543"/>
    </row>
    <row r="1621" spans="1:3">
      <c r="A1621" s="543"/>
      <c r="C1621" s="543"/>
    </row>
    <row r="1622" spans="1:3">
      <c r="A1622" s="543"/>
      <c r="C1622" s="543"/>
    </row>
    <row r="1623" spans="1:3">
      <c r="A1623" s="543"/>
      <c r="C1623" s="543"/>
    </row>
    <row r="1624" spans="1:3">
      <c r="A1624" s="543"/>
      <c r="C1624" s="543"/>
    </row>
    <row r="1625" spans="1:3">
      <c r="A1625" s="543"/>
      <c r="C1625" s="543"/>
    </row>
    <row r="1626" spans="1:3">
      <c r="A1626" s="543"/>
      <c r="C1626" s="543"/>
    </row>
    <row r="1627" spans="1:3">
      <c r="A1627" s="543"/>
      <c r="C1627" s="543"/>
    </row>
    <row r="1628" spans="1:3">
      <c r="A1628" s="543"/>
      <c r="C1628" s="543"/>
    </row>
    <row r="1629" spans="1:3">
      <c r="A1629" s="543"/>
      <c r="C1629" s="543"/>
    </row>
    <row r="1630" spans="1:3">
      <c r="A1630" s="543"/>
      <c r="C1630" s="543"/>
    </row>
    <row r="1631" spans="1:3">
      <c r="A1631" s="543"/>
      <c r="C1631" s="543"/>
    </row>
    <row r="1632" spans="1:3">
      <c r="A1632" s="543"/>
      <c r="C1632" s="543"/>
    </row>
    <row r="1633" spans="1:3">
      <c r="A1633" s="543"/>
      <c r="C1633" s="543"/>
    </row>
    <row r="1634" spans="1:3">
      <c r="A1634" s="543"/>
      <c r="C1634" s="543"/>
    </row>
    <row r="1635" spans="1:3">
      <c r="A1635" s="543"/>
      <c r="C1635" s="543"/>
    </row>
    <row r="1636" spans="1:3">
      <c r="A1636" s="543"/>
      <c r="C1636" s="543"/>
    </row>
    <row r="1637" spans="1:3">
      <c r="A1637" s="543"/>
      <c r="C1637" s="543"/>
    </row>
    <row r="1638" spans="1:3">
      <c r="A1638" s="543"/>
      <c r="C1638" s="543"/>
    </row>
    <row r="1639" spans="1:3">
      <c r="A1639" s="543"/>
      <c r="C1639" s="543"/>
    </row>
    <row r="1640" spans="1:3">
      <c r="A1640" s="543"/>
      <c r="C1640" s="543"/>
    </row>
    <row r="1641" spans="1:3">
      <c r="A1641" s="543"/>
      <c r="C1641" s="543"/>
    </row>
    <row r="1642" spans="1:3">
      <c r="A1642" s="543"/>
      <c r="C1642" s="543"/>
    </row>
    <row r="1643" spans="1:3">
      <c r="A1643" s="543"/>
      <c r="C1643" s="543"/>
    </row>
    <row r="1644" spans="1:3">
      <c r="A1644" s="543"/>
      <c r="C1644" s="543"/>
    </row>
    <row r="1645" spans="1:3">
      <c r="A1645" s="543"/>
      <c r="C1645" s="543"/>
    </row>
    <row r="1646" spans="1:3">
      <c r="A1646" s="543"/>
      <c r="C1646" s="543"/>
    </row>
    <row r="1647" spans="1:3">
      <c r="A1647" s="543"/>
      <c r="C1647" s="543"/>
    </row>
    <row r="1648" spans="1:3">
      <c r="A1648" s="543"/>
      <c r="C1648" s="543"/>
    </row>
    <row r="1649" spans="1:3">
      <c r="A1649" s="543"/>
      <c r="C1649" s="543"/>
    </row>
    <row r="1650" spans="1:3">
      <c r="A1650" s="543"/>
      <c r="C1650" s="543"/>
    </row>
    <row r="1651" spans="1:3">
      <c r="A1651" s="543"/>
      <c r="C1651" s="543"/>
    </row>
    <row r="1652" spans="1:3">
      <c r="A1652" s="543"/>
      <c r="C1652" s="543"/>
    </row>
    <row r="1653" spans="1:3">
      <c r="A1653" s="543"/>
      <c r="C1653" s="543"/>
    </row>
    <row r="1654" spans="1:3">
      <c r="A1654" s="543"/>
      <c r="C1654" s="543"/>
    </row>
    <row r="1655" spans="1:3">
      <c r="A1655" s="543"/>
      <c r="C1655" s="543"/>
    </row>
    <row r="1656" spans="1:3">
      <c r="A1656" s="543"/>
      <c r="C1656" s="543"/>
    </row>
    <row r="1657" spans="1:3">
      <c r="A1657" s="543"/>
      <c r="C1657" s="543"/>
    </row>
    <row r="1658" spans="1:3">
      <c r="A1658" s="543"/>
      <c r="C1658" s="543"/>
    </row>
    <row r="1659" spans="1:3">
      <c r="A1659" s="543"/>
      <c r="C1659" s="543"/>
    </row>
    <row r="1660" spans="1:3">
      <c r="A1660" s="543"/>
      <c r="C1660" s="543"/>
    </row>
    <row r="1661" spans="1:3">
      <c r="A1661" s="543"/>
      <c r="C1661" s="543"/>
    </row>
    <row r="1662" spans="1:3">
      <c r="A1662" s="543"/>
      <c r="C1662" s="543"/>
    </row>
    <row r="1663" spans="1:3">
      <c r="A1663" s="543"/>
      <c r="C1663" s="543"/>
    </row>
    <row r="1664" spans="1:3">
      <c r="A1664" s="543"/>
      <c r="C1664" s="543"/>
    </row>
    <row r="1665" spans="1:3">
      <c r="A1665" s="543"/>
      <c r="C1665" s="543"/>
    </row>
    <row r="1666" spans="1:3">
      <c r="A1666" s="543"/>
      <c r="C1666" s="543"/>
    </row>
    <row r="1667" spans="1:3">
      <c r="A1667" s="543"/>
      <c r="C1667" s="543"/>
    </row>
    <row r="1668" spans="1:3">
      <c r="A1668" s="543"/>
      <c r="C1668" s="543"/>
    </row>
    <row r="1669" spans="1:3">
      <c r="A1669" s="543"/>
      <c r="C1669" s="543"/>
    </row>
    <row r="1670" spans="1:3">
      <c r="A1670" s="543"/>
      <c r="C1670" s="543"/>
    </row>
    <row r="1671" spans="1:3">
      <c r="A1671" s="543"/>
      <c r="C1671" s="543"/>
    </row>
    <row r="1672" spans="1:3">
      <c r="A1672" s="543"/>
      <c r="C1672" s="543"/>
    </row>
    <row r="1673" spans="1:3">
      <c r="A1673" s="543"/>
      <c r="C1673" s="543"/>
    </row>
    <row r="1674" spans="1:3">
      <c r="A1674" s="543"/>
      <c r="C1674" s="543"/>
    </row>
    <row r="1675" spans="1:3">
      <c r="A1675" s="543"/>
      <c r="C1675" s="543"/>
    </row>
    <row r="1676" spans="1:3">
      <c r="A1676" s="543"/>
      <c r="C1676" s="543"/>
    </row>
    <row r="1677" spans="1:3">
      <c r="A1677" s="543"/>
      <c r="C1677" s="543"/>
    </row>
    <row r="1678" spans="1:3">
      <c r="A1678" s="543"/>
      <c r="C1678" s="543"/>
    </row>
    <row r="1679" spans="1:3">
      <c r="A1679" s="543"/>
      <c r="C1679" s="543"/>
    </row>
    <row r="1680" spans="1:3">
      <c r="A1680" s="543"/>
      <c r="C1680" s="543"/>
    </row>
    <row r="1681" spans="1:3">
      <c r="A1681" s="543"/>
      <c r="C1681" s="543"/>
    </row>
    <row r="1682" spans="1:3">
      <c r="A1682" s="543"/>
      <c r="C1682" s="543"/>
    </row>
    <row r="1683" spans="1:3">
      <c r="A1683" s="543"/>
      <c r="C1683" s="543"/>
    </row>
    <row r="1684" spans="1:3">
      <c r="A1684" s="543"/>
      <c r="C1684" s="543"/>
    </row>
    <row r="1685" spans="1:3">
      <c r="A1685" s="543"/>
      <c r="C1685" s="543"/>
    </row>
    <row r="1686" spans="1:3">
      <c r="A1686" s="543"/>
      <c r="C1686" s="543"/>
    </row>
    <row r="1687" spans="1:3">
      <c r="A1687" s="543"/>
      <c r="C1687" s="543"/>
    </row>
    <row r="1688" spans="1:3">
      <c r="A1688" s="543"/>
      <c r="C1688" s="543"/>
    </row>
    <row r="1689" spans="1:3">
      <c r="A1689" s="543"/>
      <c r="C1689" s="543"/>
    </row>
    <row r="1690" spans="1:3">
      <c r="A1690" s="543"/>
      <c r="C1690" s="543"/>
    </row>
    <row r="1691" spans="1:3">
      <c r="A1691" s="543"/>
      <c r="C1691" s="543"/>
    </row>
    <row r="1692" spans="1:3">
      <c r="A1692" s="543"/>
      <c r="C1692" s="543"/>
    </row>
    <row r="1693" spans="1:3">
      <c r="A1693" s="543"/>
      <c r="C1693" s="543"/>
    </row>
    <row r="1694" spans="1:3">
      <c r="A1694" s="543"/>
      <c r="C1694" s="543"/>
    </row>
    <row r="1695" spans="1:3">
      <c r="A1695" s="543"/>
      <c r="C1695" s="543"/>
    </row>
    <row r="1696" spans="1:3">
      <c r="A1696" s="543"/>
      <c r="C1696" s="543"/>
    </row>
    <row r="1697" spans="1:3">
      <c r="A1697" s="543"/>
      <c r="C1697" s="543"/>
    </row>
    <row r="1698" spans="1:3">
      <c r="A1698" s="543"/>
      <c r="C1698" s="543"/>
    </row>
    <row r="1699" spans="1:3">
      <c r="A1699" s="543"/>
      <c r="C1699" s="543"/>
    </row>
    <row r="1700" spans="1:3">
      <c r="A1700" s="543"/>
      <c r="C1700" s="543"/>
    </row>
    <row r="1701" spans="1:3">
      <c r="A1701" s="543"/>
      <c r="C1701" s="543"/>
    </row>
    <row r="1702" spans="1:3">
      <c r="A1702" s="543"/>
      <c r="C1702" s="543"/>
    </row>
    <row r="1703" spans="1:3">
      <c r="A1703" s="543"/>
      <c r="C1703" s="543"/>
    </row>
    <row r="1704" spans="1:3">
      <c r="A1704" s="543"/>
      <c r="C1704" s="543"/>
    </row>
    <row r="1705" spans="1:3">
      <c r="A1705" s="543"/>
      <c r="C1705" s="543"/>
    </row>
    <row r="1706" spans="1:3">
      <c r="A1706" s="543"/>
      <c r="C1706" s="543"/>
    </row>
    <row r="1707" spans="1:3">
      <c r="A1707" s="543"/>
      <c r="C1707" s="543"/>
    </row>
    <row r="1708" spans="1:3">
      <c r="A1708" s="543"/>
      <c r="C1708" s="543"/>
    </row>
    <row r="1709" spans="1:3">
      <c r="A1709" s="543"/>
      <c r="C1709" s="543"/>
    </row>
    <row r="1710" spans="1:3">
      <c r="A1710" s="543"/>
      <c r="C1710" s="543"/>
    </row>
    <row r="1711" spans="1:3">
      <c r="A1711" s="543"/>
      <c r="C1711" s="543"/>
    </row>
    <row r="1712" spans="1:3">
      <c r="A1712" s="543"/>
      <c r="C1712" s="543"/>
    </row>
    <row r="1713" spans="1:3">
      <c r="A1713" s="543"/>
      <c r="C1713" s="543"/>
    </row>
    <row r="1714" spans="1:3">
      <c r="A1714" s="543"/>
      <c r="C1714" s="543"/>
    </row>
    <row r="1715" spans="1:3">
      <c r="A1715" s="543"/>
      <c r="C1715" s="543"/>
    </row>
    <row r="1716" spans="1:3">
      <c r="A1716" s="543"/>
      <c r="C1716" s="543"/>
    </row>
    <row r="1717" spans="1:3">
      <c r="A1717" s="543"/>
      <c r="C1717" s="543"/>
    </row>
    <row r="1718" spans="1:3">
      <c r="A1718" s="543"/>
      <c r="C1718" s="543"/>
    </row>
    <row r="1719" spans="1:3">
      <c r="A1719" s="543"/>
      <c r="C1719" s="543"/>
    </row>
    <row r="1720" spans="1:3">
      <c r="A1720" s="543"/>
      <c r="C1720" s="543"/>
    </row>
    <row r="1721" spans="1:3">
      <c r="A1721" s="543"/>
      <c r="C1721" s="543"/>
    </row>
    <row r="1722" spans="1:3">
      <c r="A1722" s="543"/>
      <c r="C1722" s="543"/>
    </row>
    <row r="1723" spans="1:3">
      <c r="A1723" s="543"/>
      <c r="C1723" s="543"/>
    </row>
    <row r="1724" spans="1:3">
      <c r="A1724" s="543"/>
      <c r="C1724" s="543"/>
    </row>
    <row r="1725" spans="1:3">
      <c r="A1725" s="543"/>
      <c r="C1725" s="543"/>
    </row>
    <row r="1726" spans="1:3">
      <c r="A1726" s="543"/>
      <c r="C1726" s="543"/>
    </row>
    <row r="1727" spans="1:3">
      <c r="A1727" s="543"/>
      <c r="C1727" s="543"/>
    </row>
    <row r="1728" spans="1:3">
      <c r="A1728" s="543"/>
      <c r="C1728" s="543"/>
    </row>
    <row r="1729" spans="1:3">
      <c r="A1729" s="543"/>
      <c r="C1729" s="543"/>
    </row>
    <row r="1730" spans="1:3">
      <c r="A1730" s="543"/>
      <c r="C1730" s="543"/>
    </row>
    <row r="1731" spans="1:3">
      <c r="A1731" s="543"/>
      <c r="C1731" s="543"/>
    </row>
    <row r="1732" spans="1:3">
      <c r="A1732" s="543"/>
      <c r="C1732" s="543"/>
    </row>
    <row r="1733" spans="1:3">
      <c r="A1733" s="543"/>
      <c r="C1733" s="543"/>
    </row>
    <row r="1734" spans="1:3">
      <c r="A1734" s="543"/>
      <c r="C1734" s="543"/>
    </row>
    <row r="1735" spans="1:3">
      <c r="A1735" s="543"/>
      <c r="C1735" s="543"/>
    </row>
    <row r="1736" spans="1:3">
      <c r="A1736" s="543"/>
      <c r="C1736" s="543"/>
    </row>
    <row r="1737" spans="1:3">
      <c r="A1737" s="543"/>
      <c r="C1737" s="543"/>
    </row>
    <row r="1738" spans="1:3">
      <c r="A1738" s="543"/>
      <c r="C1738" s="543"/>
    </row>
    <row r="1739" spans="1:3">
      <c r="A1739" s="543"/>
      <c r="C1739" s="543"/>
    </row>
    <row r="1740" spans="1:3">
      <c r="A1740" s="543"/>
      <c r="C1740" s="543"/>
    </row>
    <row r="1741" spans="1:3">
      <c r="A1741" s="543"/>
      <c r="C1741" s="543"/>
    </row>
    <row r="1742" spans="1:3">
      <c r="A1742" s="543"/>
      <c r="C1742" s="543"/>
    </row>
    <row r="1743" spans="1:3">
      <c r="A1743" s="543"/>
      <c r="C1743" s="543"/>
    </row>
    <row r="1744" spans="1:3">
      <c r="A1744" s="543"/>
      <c r="C1744" s="543"/>
    </row>
    <row r="1745" spans="1:3">
      <c r="A1745" s="543"/>
      <c r="C1745" s="543"/>
    </row>
    <row r="1746" spans="1:3">
      <c r="A1746" s="543"/>
      <c r="C1746" s="543"/>
    </row>
    <row r="1747" spans="1:3">
      <c r="A1747" s="543"/>
      <c r="C1747" s="543"/>
    </row>
    <row r="1748" spans="1:3">
      <c r="A1748" s="543"/>
      <c r="C1748" s="543"/>
    </row>
    <row r="1749" spans="1:3">
      <c r="A1749" s="543"/>
      <c r="C1749" s="543"/>
    </row>
    <row r="1750" spans="1:3">
      <c r="A1750" s="543"/>
      <c r="C1750" s="543"/>
    </row>
    <row r="1751" spans="1:3">
      <c r="A1751" s="543"/>
      <c r="C1751" s="543"/>
    </row>
    <row r="1752" spans="1:3">
      <c r="A1752" s="543"/>
      <c r="C1752" s="543"/>
    </row>
    <row r="1753" spans="1:3">
      <c r="A1753" s="543"/>
      <c r="C1753" s="543"/>
    </row>
    <row r="1754" spans="1:3">
      <c r="A1754" s="543"/>
      <c r="C1754" s="543"/>
    </row>
    <row r="1755" spans="1:3">
      <c r="A1755" s="543"/>
      <c r="C1755" s="543"/>
    </row>
    <row r="1756" spans="1:3">
      <c r="A1756" s="543"/>
      <c r="C1756" s="543"/>
    </row>
    <row r="1757" spans="1:3">
      <c r="A1757" s="543"/>
      <c r="C1757" s="543"/>
    </row>
    <row r="1758" spans="1:3">
      <c r="A1758" s="543"/>
      <c r="C1758" s="543"/>
    </row>
    <row r="1759" spans="1:3">
      <c r="A1759" s="543"/>
      <c r="C1759" s="543"/>
    </row>
    <row r="1760" spans="1:3">
      <c r="A1760" s="543"/>
      <c r="C1760" s="543"/>
    </row>
    <row r="1761" spans="1:3">
      <c r="A1761" s="543"/>
      <c r="C1761" s="543"/>
    </row>
    <row r="1762" spans="1:3">
      <c r="A1762" s="543"/>
      <c r="C1762" s="543"/>
    </row>
    <row r="1763" spans="1:3">
      <c r="A1763" s="543"/>
      <c r="C1763" s="543"/>
    </row>
    <row r="1764" spans="1:3">
      <c r="A1764" s="543"/>
      <c r="C1764" s="543"/>
    </row>
    <row r="1765" spans="1:3">
      <c r="A1765" s="543"/>
      <c r="C1765" s="543"/>
    </row>
    <row r="1766" spans="1:3">
      <c r="A1766" s="543"/>
      <c r="C1766" s="543"/>
    </row>
    <row r="1767" spans="1:3">
      <c r="A1767" s="543"/>
      <c r="C1767" s="543"/>
    </row>
    <row r="1768" spans="1:3">
      <c r="A1768" s="543"/>
      <c r="C1768" s="543"/>
    </row>
    <row r="1769" spans="1:3">
      <c r="A1769" s="543"/>
      <c r="C1769" s="543"/>
    </row>
    <row r="1770" spans="1:3">
      <c r="A1770" s="543"/>
      <c r="C1770" s="543"/>
    </row>
    <row r="1771" spans="1:3">
      <c r="A1771" s="543"/>
      <c r="C1771" s="543"/>
    </row>
    <row r="1772" spans="1:3">
      <c r="A1772" s="543"/>
      <c r="C1772" s="543"/>
    </row>
    <row r="1773" spans="1:3">
      <c r="A1773" s="543"/>
      <c r="C1773" s="543"/>
    </row>
    <row r="1774" spans="1:3">
      <c r="A1774" s="543"/>
      <c r="C1774" s="543"/>
    </row>
    <row r="1775" spans="1:3">
      <c r="A1775" s="543"/>
      <c r="C1775" s="543"/>
    </row>
    <row r="1776" spans="1:3">
      <c r="A1776" s="543"/>
      <c r="C1776" s="543"/>
    </row>
    <row r="1777" spans="1:3">
      <c r="A1777" s="543"/>
      <c r="C1777" s="543"/>
    </row>
    <row r="1778" spans="1:3">
      <c r="A1778" s="543"/>
      <c r="C1778" s="543"/>
    </row>
    <row r="1779" spans="1:3">
      <c r="A1779" s="543"/>
      <c r="C1779" s="543"/>
    </row>
    <row r="1780" spans="1:3">
      <c r="A1780" s="543"/>
      <c r="C1780" s="543"/>
    </row>
    <row r="1781" spans="1:3">
      <c r="A1781" s="543"/>
      <c r="C1781" s="543"/>
    </row>
    <row r="1782" spans="1:3">
      <c r="A1782" s="543"/>
      <c r="C1782" s="543"/>
    </row>
    <row r="1783" spans="1:3">
      <c r="A1783" s="543"/>
      <c r="C1783" s="543"/>
    </row>
    <row r="1784" spans="1:3">
      <c r="A1784" s="543"/>
      <c r="C1784" s="543"/>
    </row>
    <row r="1785" spans="1:3">
      <c r="A1785" s="543"/>
      <c r="C1785" s="543"/>
    </row>
    <row r="1786" spans="1:3">
      <c r="A1786" s="543"/>
      <c r="C1786" s="543"/>
    </row>
    <row r="1787" spans="1:3">
      <c r="A1787" s="543"/>
      <c r="C1787" s="543"/>
    </row>
    <row r="1788" spans="1:3">
      <c r="A1788" s="543"/>
      <c r="C1788" s="543"/>
    </row>
    <row r="1789" spans="1:3">
      <c r="A1789" s="543"/>
      <c r="C1789" s="543"/>
    </row>
    <row r="1790" spans="1:3">
      <c r="A1790" s="543"/>
      <c r="C1790" s="543"/>
    </row>
    <row r="1791" spans="1:3">
      <c r="A1791" s="543"/>
      <c r="C1791" s="543"/>
    </row>
    <row r="1792" spans="1:3">
      <c r="A1792" s="543"/>
      <c r="C1792" s="543"/>
    </row>
    <row r="1793" spans="1:3">
      <c r="A1793" s="543"/>
      <c r="C1793" s="543"/>
    </row>
    <row r="1794" spans="1:3">
      <c r="A1794" s="543"/>
      <c r="C1794" s="543"/>
    </row>
    <row r="1795" spans="1:3">
      <c r="A1795" s="543"/>
      <c r="C1795" s="543"/>
    </row>
    <row r="1796" spans="1:3">
      <c r="A1796" s="543"/>
      <c r="C1796" s="543"/>
    </row>
    <row r="1797" spans="1:3">
      <c r="A1797" s="543"/>
      <c r="C1797" s="543"/>
    </row>
    <row r="1798" spans="1:3">
      <c r="A1798" s="543"/>
      <c r="C1798" s="543"/>
    </row>
    <row r="1799" spans="1:3">
      <c r="A1799" s="543"/>
      <c r="C1799" s="543"/>
    </row>
    <row r="1800" spans="1:3">
      <c r="A1800" s="543"/>
      <c r="C1800" s="543"/>
    </row>
    <row r="1801" spans="1:3">
      <c r="A1801" s="543"/>
      <c r="C1801" s="543"/>
    </row>
    <row r="1802" spans="1:3">
      <c r="A1802" s="543"/>
      <c r="C1802" s="543"/>
    </row>
    <row r="1803" spans="1:3">
      <c r="A1803" s="543"/>
      <c r="C1803" s="543"/>
    </row>
    <row r="1804" spans="1:3">
      <c r="A1804" s="543"/>
      <c r="C1804" s="543"/>
    </row>
    <row r="1805" spans="1:3">
      <c r="A1805" s="543"/>
      <c r="C1805" s="543"/>
    </row>
    <row r="1806" spans="1:3">
      <c r="A1806" s="543"/>
      <c r="C1806" s="543"/>
    </row>
    <row r="1807" spans="1:3">
      <c r="A1807" s="543"/>
      <c r="C1807" s="543"/>
    </row>
    <row r="1808" spans="1:3">
      <c r="A1808" s="543"/>
      <c r="C1808" s="543"/>
    </row>
    <row r="1809" spans="1:3">
      <c r="A1809" s="543"/>
      <c r="C1809" s="543"/>
    </row>
    <row r="1810" spans="1:3">
      <c r="A1810" s="543"/>
      <c r="C1810" s="543"/>
    </row>
    <row r="1811" spans="1:3">
      <c r="A1811" s="543"/>
      <c r="C1811" s="543"/>
    </row>
    <row r="1812" spans="1:3">
      <c r="A1812" s="543"/>
      <c r="C1812" s="543"/>
    </row>
    <row r="1813" spans="1:3">
      <c r="A1813" s="543"/>
      <c r="C1813" s="543"/>
    </row>
    <row r="1814" spans="1:3">
      <c r="A1814" s="543"/>
      <c r="C1814" s="543"/>
    </row>
    <row r="1815" spans="1:3">
      <c r="A1815" s="543"/>
      <c r="C1815" s="543"/>
    </row>
    <row r="1816" spans="1:3">
      <c r="A1816" s="543"/>
      <c r="C1816" s="543"/>
    </row>
    <row r="1817" spans="1:3">
      <c r="A1817" s="543"/>
      <c r="C1817" s="543"/>
    </row>
    <row r="1818" spans="1:3">
      <c r="A1818" s="543"/>
      <c r="C1818" s="543"/>
    </row>
    <row r="1819" spans="1:3">
      <c r="A1819" s="543"/>
      <c r="C1819" s="543"/>
    </row>
    <row r="1820" spans="1:3">
      <c r="A1820" s="543"/>
      <c r="C1820" s="543"/>
    </row>
    <row r="1821" spans="1:3">
      <c r="A1821" s="543"/>
      <c r="C1821" s="543"/>
    </row>
    <row r="1822" spans="1:3">
      <c r="A1822" s="543"/>
      <c r="C1822" s="543"/>
    </row>
    <row r="1823" spans="1:3">
      <c r="A1823" s="543"/>
      <c r="C1823" s="543"/>
    </row>
    <row r="1824" spans="1:3">
      <c r="A1824" s="543"/>
      <c r="C1824" s="543"/>
    </row>
    <row r="1825" spans="1:3">
      <c r="A1825" s="543"/>
      <c r="C1825" s="543"/>
    </row>
    <row r="1826" spans="1:3">
      <c r="A1826" s="543"/>
      <c r="C1826" s="543"/>
    </row>
    <row r="1827" spans="1:3">
      <c r="A1827" s="543"/>
      <c r="C1827" s="543"/>
    </row>
    <row r="1828" spans="1:3">
      <c r="A1828" s="543"/>
      <c r="C1828" s="543"/>
    </row>
    <row r="1829" spans="1:3">
      <c r="A1829" s="543"/>
      <c r="C1829" s="543"/>
    </row>
    <row r="1830" spans="1:3">
      <c r="A1830" s="543"/>
      <c r="C1830" s="543"/>
    </row>
    <row r="1831" spans="1:3">
      <c r="A1831" s="543"/>
      <c r="C1831" s="543"/>
    </row>
    <row r="1832" spans="1:3">
      <c r="A1832" s="543"/>
      <c r="C1832" s="543"/>
    </row>
    <row r="1833" spans="1:3">
      <c r="A1833" s="543"/>
      <c r="C1833" s="543"/>
    </row>
    <row r="1834" spans="1:3">
      <c r="A1834" s="543"/>
      <c r="C1834" s="543"/>
    </row>
    <row r="1835" spans="1:3">
      <c r="A1835" s="543"/>
      <c r="C1835" s="543"/>
    </row>
    <row r="1836" spans="1:3">
      <c r="A1836" s="543"/>
      <c r="C1836" s="543"/>
    </row>
    <row r="1837" spans="1:3">
      <c r="A1837" s="543"/>
      <c r="C1837" s="543"/>
    </row>
    <row r="1838" spans="1:3">
      <c r="A1838" s="543"/>
      <c r="C1838" s="543"/>
    </row>
    <row r="1839" spans="1:3">
      <c r="A1839" s="543"/>
      <c r="C1839" s="543"/>
    </row>
    <row r="1840" spans="1:3">
      <c r="A1840" s="543"/>
      <c r="C1840" s="543"/>
    </row>
    <row r="1841" spans="1:3">
      <c r="A1841" s="543"/>
      <c r="C1841" s="543"/>
    </row>
    <row r="1842" spans="1:3">
      <c r="A1842" s="543"/>
      <c r="C1842" s="543"/>
    </row>
    <row r="1843" spans="1:3">
      <c r="A1843" s="543"/>
      <c r="C1843" s="543"/>
    </row>
    <row r="1844" spans="1:3">
      <c r="A1844" s="543"/>
      <c r="C1844" s="543"/>
    </row>
    <row r="1845" spans="1:3">
      <c r="A1845" s="543"/>
      <c r="C1845" s="543"/>
    </row>
    <row r="1846" spans="1:3">
      <c r="A1846" s="543"/>
      <c r="C1846" s="543"/>
    </row>
    <row r="1847" spans="1:3">
      <c r="A1847" s="543"/>
      <c r="C1847" s="543"/>
    </row>
    <row r="1848" spans="1:3">
      <c r="A1848" s="543"/>
      <c r="C1848" s="543"/>
    </row>
    <row r="1849" spans="1:3">
      <c r="A1849" s="543"/>
      <c r="C1849" s="543"/>
    </row>
    <row r="1850" spans="1:3">
      <c r="A1850" s="543"/>
      <c r="C1850" s="543"/>
    </row>
    <row r="1851" spans="1:3">
      <c r="A1851" s="543"/>
      <c r="C1851" s="543"/>
    </row>
    <row r="1852" spans="1:3">
      <c r="A1852" s="543"/>
      <c r="C1852" s="543"/>
    </row>
    <row r="1853" spans="1:3">
      <c r="A1853" s="543"/>
      <c r="C1853" s="543"/>
    </row>
    <row r="1854" spans="1:3">
      <c r="A1854" s="543"/>
      <c r="C1854" s="543"/>
    </row>
    <row r="1855" spans="1:3">
      <c r="A1855" s="543"/>
      <c r="C1855" s="543"/>
    </row>
    <row r="1856" spans="1:3">
      <c r="A1856" s="543"/>
      <c r="C1856" s="543"/>
    </row>
    <row r="1857" spans="1:3">
      <c r="A1857" s="543"/>
      <c r="C1857" s="543"/>
    </row>
    <row r="1858" spans="1:3">
      <c r="A1858" s="543"/>
      <c r="C1858" s="543"/>
    </row>
    <row r="1859" spans="1:3">
      <c r="A1859" s="543"/>
      <c r="C1859" s="543"/>
    </row>
    <row r="1860" spans="1:3">
      <c r="A1860" s="543"/>
      <c r="C1860" s="543"/>
    </row>
    <row r="1861" spans="1:3">
      <c r="A1861" s="543"/>
      <c r="C1861" s="543"/>
    </row>
    <row r="1862" spans="1:3">
      <c r="A1862" s="543"/>
      <c r="C1862" s="543"/>
    </row>
    <row r="1863" spans="1:3">
      <c r="A1863" s="543"/>
      <c r="C1863" s="543"/>
    </row>
    <row r="1864" spans="1:3">
      <c r="A1864" s="543"/>
      <c r="C1864" s="543"/>
    </row>
    <row r="1865" spans="1:3">
      <c r="A1865" s="543"/>
      <c r="C1865" s="543"/>
    </row>
    <row r="1866" spans="1:3">
      <c r="A1866" s="543"/>
      <c r="C1866" s="543"/>
    </row>
    <row r="1867" spans="1:3">
      <c r="A1867" s="543"/>
      <c r="C1867" s="543"/>
    </row>
    <row r="1868" spans="1:3">
      <c r="A1868" s="543"/>
      <c r="C1868" s="543"/>
    </row>
    <row r="1869" spans="1:3">
      <c r="A1869" s="543"/>
      <c r="C1869" s="543"/>
    </row>
    <row r="1870" spans="1:3">
      <c r="A1870" s="543"/>
      <c r="C1870" s="543"/>
    </row>
    <row r="1871" spans="1:3">
      <c r="A1871" s="543"/>
      <c r="C1871" s="543"/>
    </row>
    <row r="1872" spans="1:3">
      <c r="A1872" s="543"/>
      <c r="C1872" s="543"/>
    </row>
    <row r="1873" spans="1:3">
      <c r="A1873" s="543"/>
      <c r="C1873" s="543"/>
    </row>
    <row r="1874" spans="1:3">
      <c r="A1874" s="543"/>
      <c r="C1874" s="543"/>
    </row>
    <row r="1875" spans="1:3">
      <c r="A1875" s="543"/>
      <c r="C1875" s="543"/>
    </row>
    <row r="1876" spans="1:3">
      <c r="A1876" s="543"/>
      <c r="C1876" s="543"/>
    </row>
    <row r="1877" spans="1:3">
      <c r="A1877" s="543"/>
      <c r="C1877" s="543"/>
    </row>
    <row r="1878" spans="1:3">
      <c r="A1878" s="543"/>
      <c r="C1878" s="543"/>
    </row>
    <row r="1879" spans="1:3">
      <c r="A1879" s="543"/>
      <c r="C1879" s="543"/>
    </row>
    <row r="1880" spans="1:3">
      <c r="A1880" s="543"/>
      <c r="C1880" s="543"/>
    </row>
    <row r="1881" spans="1:3">
      <c r="A1881" s="543"/>
      <c r="C1881" s="543"/>
    </row>
    <row r="1882" spans="1:3">
      <c r="A1882" s="543"/>
      <c r="C1882" s="543"/>
    </row>
    <row r="1883" spans="1:3">
      <c r="A1883" s="543"/>
      <c r="C1883" s="543"/>
    </row>
    <row r="1884" spans="1:3">
      <c r="A1884" s="543"/>
      <c r="C1884" s="543"/>
    </row>
    <row r="1885" spans="1:3">
      <c r="A1885" s="543"/>
      <c r="C1885" s="543"/>
    </row>
    <row r="1886" spans="1:3">
      <c r="A1886" s="543"/>
      <c r="C1886" s="543"/>
    </row>
    <row r="1887" spans="1:3">
      <c r="A1887" s="543"/>
      <c r="C1887" s="543"/>
    </row>
    <row r="1888" spans="1:3">
      <c r="A1888" s="543"/>
      <c r="C1888" s="543"/>
    </row>
    <row r="1889" spans="1:3">
      <c r="A1889" s="543"/>
      <c r="C1889" s="543"/>
    </row>
    <row r="1890" spans="1:3">
      <c r="A1890" s="543"/>
      <c r="C1890" s="543"/>
    </row>
    <row r="1891" spans="1:3">
      <c r="A1891" s="543"/>
      <c r="C1891" s="543"/>
    </row>
    <row r="1892" spans="1:3">
      <c r="A1892" s="543"/>
      <c r="C1892" s="543"/>
    </row>
    <row r="1893" spans="1:3">
      <c r="A1893" s="543"/>
      <c r="C1893" s="543"/>
    </row>
    <row r="1894" spans="1:3">
      <c r="A1894" s="543"/>
      <c r="C1894" s="543"/>
    </row>
    <row r="1895" spans="1:3">
      <c r="A1895" s="543"/>
      <c r="C1895" s="543"/>
    </row>
    <row r="1896" spans="1:3">
      <c r="A1896" s="543"/>
      <c r="C1896" s="543"/>
    </row>
    <row r="1897" spans="1:3">
      <c r="A1897" s="543"/>
      <c r="C1897" s="543"/>
    </row>
    <row r="1898" spans="1:3">
      <c r="A1898" s="543"/>
      <c r="C1898" s="543"/>
    </row>
    <row r="1899" spans="1:3">
      <c r="A1899" s="543"/>
      <c r="C1899" s="543"/>
    </row>
    <row r="1900" spans="1:3">
      <c r="A1900" s="543"/>
      <c r="C1900" s="543"/>
    </row>
    <row r="1901" spans="1:3">
      <c r="A1901" s="543"/>
      <c r="C1901" s="543"/>
    </row>
    <row r="1902" spans="1:3">
      <c r="A1902" s="543"/>
      <c r="C1902" s="543"/>
    </row>
    <row r="1903" spans="1:3">
      <c r="A1903" s="543"/>
      <c r="C1903" s="543"/>
    </row>
    <row r="1904" spans="1:3">
      <c r="A1904" s="543"/>
      <c r="C1904" s="543"/>
    </row>
    <row r="1905" spans="1:3">
      <c r="A1905" s="543"/>
      <c r="C1905" s="543"/>
    </row>
    <row r="1906" spans="1:3">
      <c r="A1906" s="543"/>
      <c r="C1906" s="543"/>
    </row>
    <row r="1907" spans="1:3">
      <c r="A1907" s="543"/>
      <c r="C1907" s="543"/>
    </row>
    <row r="1908" spans="1:3">
      <c r="A1908" s="543"/>
      <c r="C1908" s="543"/>
    </row>
    <row r="1909" spans="1:3">
      <c r="A1909" s="543"/>
      <c r="C1909" s="543"/>
    </row>
    <row r="1910" spans="1:3">
      <c r="A1910" s="543"/>
      <c r="C1910" s="543"/>
    </row>
    <row r="1911" spans="1:3">
      <c r="A1911" s="543"/>
      <c r="C1911" s="543"/>
    </row>
    <row r="1912" spans="1:3">
      <c r="A1912" s="543"/>
      <c r="C1912" s="543"/>
    </row>
    <row r="1913" spans="1:3">
      <c r="A1913" s="543"/>
      <c r="C1913" s="543"/>
    </row>
    <row r="1914" spans="1:3">
      <c r="A1914" s="543"/>
      <c r="C1914" s="543"/>
    </row>
    <row r="1915" spans="1:3">
      <c r="A1915" s="543"/>
      <c r="C1915" s="543"/>
    </row>
    <row r="1916" spans="1:3">
      <c r="A1916" s="543"/>
      <c r="C1916" s="543"/>
    </row>
    <row r="1917" spans="1:3">
      <c r="A1917" s="543"/>
      <c r="C1917" s="543"/>
    </row>
    <row r="1918" spans="1:3">
      <c r="A1918" s="543"/>
      <c r="C1918" s="543"/>
    </row>
    <row r="1919" spans="1:3">
      <c r="A1919" s="543"/>
      <c r="C1919" s="543"/>
    </row>
    <row r="1920" spans="1:3">
      <c r="A1920" s="543"/>
      <c r="C1920" s="543"/>
    </row>
    <row r="1921" spans="1:3">
      <c r="A1921" s="543"/>
      <c r="C1921" s="543"/>
    </row>
    <row r="1922" spans="1:3">
      <c r="A1922" s="543"/>
      <c r="C1922" s="543"/>
    </row>
    <row r="1923" spans="1:3">
      <c r="A1923" s="543"/>
      <c r="C1923" s="543"/>
    </row>
    <row r="1924" spans="1:3">
      <c r="A1924" s="543"/>
      <c r="C1924" s="543"/>
    </row>
    <row r="1925" spans="1:3">
      <c r="A1925" s="543"/>
      <c r="C1925" s="543"/>
    </row>
    <row r="1926" spans="1:3">
      <c r="A1926" s="543"/>
      <c r="C1926" s="543"/>
    </row>
    <row r="1927" spans="1:3">
      <c r="A1927" s="543"/>
      <c r="C1927" s="543"/>
    </row>
    <row r="1928" spans="1:3">
      <c r="A1928" s="543"/>
      <c r="C1928" s="543"/>
    </row>
    <row r="1929" spans="1:3">
      <c r="A1929" s="543"/>
      <c r="C1929" s="543"/>
    </row>
    <row r="1930" spans="1:3">
      <c r="A1930" s="543"/>
      <c r="C1930" s="543"/>
    </row>
    <row r="1931" spans="1:3">
      <c r="A1931" s="543"/>
      <c r="C1931" s="543"/>
    </row>
    <row r="1932" spans="1:3">
      <c r="A1932" s="543"/>
      <c r="C1932" s="543"/>
    </row>
    <row r="1933" spans="1:3">
      <c r="A1933" s="543"/>
      <c r="C1933" s="543"/>
    </row>
    <row r="1934" spans="1:3">
      <c r="A1934" s="543"/>
      <c r="C1934" s="543"/>
    </row>
    <row r="1935" spans="1:3">
      <c r="A1935" s="543"/>
      <c r="C1935" s="543"/>
    </row>
    <row r="1936" spans="1:3">
      <c r="A1936" s="543"/>
      <c r="C1936" s="543"/>
    </row>
    <row r="1937" spans="1:3">
      <c r="A1937" s="543"/>
      <c r="C1937" s="543"/>
    </row>
    <row r="1938" spans="1:3">
      <c r="A1938" s="543"/>
      <c r="C1938" s="543"/>
    </row>
    <row r="1939" spans="1:3">
      <c r="A1939" s="543"/>
      <c r="C1939" s="543"/>
    </row>
    <row r="1940" spans="1:3">
      <c r="A1940" s="543"/>
      <c r="C1940" s="543"/>
    </row>
    <row r="1941" spans="1:3">
      <c r="A1941" s="543"/>
      <c r="C1941" s="543"/>
    </row>
    <row r="1942" spans="1:3">
      <c r="A1942" s="543"/>
      <c r="C1942" s="543"/>
    </row>
    <row r="1943" spans="1:3">
      <c r="A1943" s="543"/>
      <c r="C1943" s="543"/>
    </row>
    <row r="1944" spans="1:3">
      <c r="A1944" s="543"/>
      <c r="C1944" s="543"/>
    </row>
    <row r="1945" spans="1:3">
      <c r="A1945" s="543"/>
      <c r="C1945" s="543"/>
    </row>
    <row r="1946" spans="1:3">
      <c r="A1946" s="543"/>
      <c r="C1946" s="543"/>
    </row>
    <row r="1947" spans="1:3">
      <c r="A1947" s="543"/>
      <c r="C1947" s="543"/>
    </row>
    <row r="1948" spans="1:3">
      <c r="A1948" s="543"/>
      <c r="C1948" s="543"/>
    </row>
    <row r="1949" spans="1:3">
      <c r="A1949" s="543"/>
      <c r="C1949" s="543"/>
    </row>
    <row r="1950" spans="1:3">
      <c r="A1950" s="543"/>
      <c r="C1950" s="543"/>
    </row>
    <row r="1951" spans="1:3">
      <c r="A1951" s="543"/>
      <c r="C1951" s="543"/>
    </row>
    <row r="1952" spans="1:3">
      <c r="A1952" s="543"/>
      <c r="C1952" s="543"/>
    </row>
    <row r="1953" spans="1:3">
      <c r="A1953" s="543"/>
      <c r="C1953" s="543"/>
    </row>
    <row r="1954" spans="1:3">
      <c r="A1954" s="543"/>
      <c r="C1954" s="543"/>
    </row>
    <row r="1955" spans="1:3">
      <c r="A1955" s="543"/>
      <c r="C1955" s="543"/>
    </row>
    <row r="1956" spans="1:3">
      <c r="A1956" s="543"/>
      <c r="C1956" s="543"/>
    </row>
    <row r="1957" spans="1:3">
      <c r="A1957" s="543"/>
      <c r="C1957" s="543"/>
    </row>
    <row r="1958" spans="1:3">
      <c r="A1958" s="543"/>
      <c r="C1958" s="543"/>
    </row>
    <row r="1959" spans="1:3">
      <c r="A1959" s="543"/>
      <c r="C1959" s="543"/>
    </row>
    <row r="1960" spans="1:3">
      <c r="A1960" s="543"/>
      <c r="C1960" s="543"/>
    </row>
    <row r="1961" spans="1:3">
      <c r="A1961" s="543"/>
      <c r="C1961" s="543"/>
    </row>
    <row r="1962" spans="1:3">
      <c r="A1962" s="543"/>
      <c r="C1962" s="543"/>
    </row>
    <row r="1963" spans="1:3">
      <c r="A1963" s="543"/>
      <c r="C1963" s="543"/>
    </row>
    <row r="1964" spans="1:3">
      <c r="A1964" s="543"/>
      <c r="C1964" s="543"/>
    </row>
    <row r="1965" spans="1:3">
      <c r="A1965" s="543"/>
      <c r="C1965" s="543"/>
    </row>
    <row r="1966" spans="1:3">
      <c r="A1966" s="543"/>
      <c r="C1966" s="543"/>
    </row>
    <row r="1967" spans="1:3">
      <c r="A1967" s="543"/>
      <c r="C1967" s="543"/>
    </row>
    <row r="1968" spans="1:3">
      <c r="A1968" s="543"/>
      <c r="C1968" s="543"/>
    </row>
    <row r="1969" spans="1:3">
      <c r="A1969" s="543"/>
      <c r="C1969" s="543"/>
    </row>
    <row r="1970" spans="1:3">
      <c r="A1970" s="543"/>
      <c r="C1970" s="543"/>
    </row>
    <row r="1971" spans="1:3">
      <c r="A1971" s="543"/>
      <c r="C1971" s="543"/>
    </row>
    <row r="1972" spans="1:3">
      <c r="A1972" s="543"/>
      <c r="C1972" s="543"/>
    </row>
    <row r="1973" spans="1:3">
      <c r="A1973" s="543"/>
      <c r="C1973" s="543"/>
    </row>
    <row r="1974" spans="1:3">
      <c r="A1974" s="543"/>
      <c r="C1974" s="543"/>
    </row>
    <row r="1975" spans="1:3">
      <c r="A1975" s="543"/>
      <c r="C1975" s="543"/>
    </row>
    <row r="1976" spans="1:3">
      <c r="A1976" s="543"/>
      <c r="C1976" s="543"/>
    </row>
    <row r="1977" spans="1:3">
      <c r="A1977" s="543"/>
      <c r="C1977" s="543"/>
    </row>
    <row r="1978" spans="1:3">
      <c r="A1978" s="543"/>
      <c r="C1978" s="543"/>
    </row>
    <row r="1979" spans="1:3">
      <c r="A1979" s="543"/>
      <c r="C1979" s="543"/>
    </row>
    <row r="1980" spans="1:3">
      <c r="A1980" s="543"/>
      <c r="C1980" s="543"/>
    </row>
    <row r="1981" spans="1:3">
      <c r="A1981" s="543"/>
      <c r="C1981" s="543"/>
    </row>
    <row r="1982" spans="1:3">
      <c r="A1982" s="543"/>
      <c r="C1982" s="543"/>
    </row>
    <row r="1983" spans="1:3">
      <c r="A1983" s="543"/>
      <c r="C1983" s="543"/>
    </row>
    <row r="1984" spans="1:3">
      <c r="A1984" s="543"/>
      <c r="C1984" s="543"/>
    </row>
    <row r="1985" spans="1:3">
      <c r="A1985" s="543"/>
      <c r="C1985" s="543"/>
    </row>
    <row r="1986" spans="1:3">
      <c r="A1986" s="543"/>
      <c r="C1986" s="543"/>
    </row>
    <row r="1987" spans="1:3">
      <c r="A1987" s="543"/>
      <c r="C1987" s="543"/>
    </row>
    <row r="1988" spans="1:3">
      <c r="A1988" s="543"/>
      <c r="C1988" s="543"/>
    </row>
    <row r="1989" spans="1:3">
      <c r="A1989" s="543"/>
      <c r="C1989" s="543"/>
    </row>
    <row r="1990" spans="1:3">
      <c r="A1990" s="543"/>
      <c r="C1990" s="543"/>
    </row>
    <row r="1991" spans="1:3">
      <c r="A1991" s="543"/>
      <c r="C1991" s="543"/>
    </row>
    <row r="1992" spans="1:3">
      <c r="A1992" s="543"/>
      <c r="C1992" s="543"/>
    </row>
    <row r="1993" spans="1:3">
      <c r="A1993" s="543"/>
      <c r="C1993" s="543"/>
    </row>
    <row r="1994" spans="1:3">
      <c r="A1994" s="543"/>
      <c r="C1994" s="543"/>
    </row>
    <row r="1995" spans="1:3">
      <c r="A1995" s="543"/>
      <c r="C1995" s="543"/>
    </row>
    <row r="1996" spans="1:3">
      <c r="A1996" s="543"/>
      <c r="C1996" s="543"/>
    </row>
    <row r="1997" spans="1:3">
      <c r="A1997" s="543"/>
      <c r="C1997" s="543"/>
    </row>
    <row r="1998" spans="1:3">
      <c r="A1998" s="543"/>
      <c r="C1998" s="543"/>
    </row>
    <row r="1999" spans="1:3">
      <c r="A1999" s="543"/>
      <c r="C1999" s="543"/>
    </row>
    <row r="2000" spans="1:3">
      <c r="A2000" s="543"/>
      <c r="C2000" s="543"/>
    </row>
    <row r="2001" spans="1:3">
      <c r="A2001" s="543"/>
      <c r="C2001" s="543"/>
    </row>
    <row r="2002" spans="1:3">
      <c r="A2002" s="543"/>
      <c r="C2002" s="543"/>
    </row>
    <row r="2003" spans="1:3">
      <c r="A2003" s="543"/>
      <c r="C2003" s="543"/>
    </row>
    <row r="2004" spans="1:3">
      <c r="A2004" s="543"/>
      <c r="C2004" s="543"/>
    </row>
    <row r="2005" spans="1:3">
      <c r="A2005" s="543"/>
      <c r="C2005" s="543"/>
    </row>
    <row r="2006" spans="1:3">
      <c r="A2006" s="543"/>
      <c r="C2006" s="543"/>
    </row>
    <row r="2007" spans="1:3">
      <c r="A2007" s="543"/>
      <c r="C2007" s="543"/>
    </row>
    <row r="2008" spans="1:3">
      <c r="A2008" s="543"/>
      <c r="C2008" s="543"/>
    </row>
    <row r="2009" spans="1:3">
      <c r="A2009" s="543"/>
      <c r="C2009" s="543"/>
    </row>
    <row r="2010" spans="1:3">
      <c r="A2010" s="543"/>
      <c r="C2010" s="543"/>
    </row>
    <row r="2011" spans="1:3">
      <c r="A2011" s="543"/>
      <c r="C2011" s="543"/>
    </row>
    <row r="2012" spans="1:3">
      <c r="A2012" s="543"/>
      <c r="C2012" s="543"/>
    </row>
    <row r="2013" spans="1:3">
      <c r="A2013" s="543"/>
      <c r="C2013" s="543"/>
    </row>
    <row r="2014" spans="1:3">
      <c r="A2014" s="543"/>
      <c r="C2014" s="543"/>
    </row>
    <row r="2015" spans="1:3">
      <c r="A2015" s="543"/>
      <c r="C2015" s="543"/>
    </row>
    <row r="2016" spans="1:3">
      <c r="A2016" s="543"/>
      <c r="C2016" s="543"/>
    </row>
    <row r="2017" spans="1:3">
      <c r="A2017" s="543"/>
      <c r="C2017" s="543"/>
    </row>
    <row r="2018" spans="1:3">
      <c r="A2018" s="543"/>
      <c r="C2018" s="543"/>
    </row>
    <row r="2019" spans="1:3">
      <c r="A2019" s="543"/>
      <c r="C2019" s="543"/>
    </row>
    <row r="2020" spans="1:3">
      <c r="A2020" s="543"/>
      <c r="C2020" s="543"/>
    </row>
    <row r="2021" spans="1:3">
      <c r="A2021" s="543"/>
      <c r="C2021" s="543"/>
    </row>
    <row r="2022" spans="1:3">
      <c r="A2022" s="543"/>
      <c r="C2022" s="543"/>
    </row>
    <row r="2023" spans="1:3">
      <c r="A2023" s="543"/>
      <c r="C2023" s="543"/>
    </row>
    <row r="2024" spans="1:3">
      <c r="A2024" s="543"/>
      <c r="C2024" s="543"/>
    </row>
    <row r="2025" spans="1:3">
      <c r="A2025" s="543"/>
      <c r="C2025" s="543"/>
    </row>
    <row r="2026" spans="1:3">
      <c r="A2026" s="543"/>
      <c r="C2026" s="543"/>
    </row>
    <row r="2027" spans="1:3">
      <c r="A2027" s="543"/>
      <c r="C2027" s="543"/>
    </row>
    <row r="2028" spans="1:3">
      <c r="A2028" s="543"/>
      <c r="C2028" s="543"/>
    </row>
    <row r="2029" spans="1:3">
      <c r="A2029" s="543"/>
      <c r="C2029" s="543"/>
    </row>
    <row r="2030" spans="1:3">
      <c r="A2030" s="543"/>
      <c r="C2030" s="543"/>
    </row>
    <row r="2031" spans="1:3">
      <c r="A2031" s="543"/>
      <c r="C2031" s="543"/>
    </row>
    <row r="2032" spans="1:3">
      <c r="A2032" s="543"/>
      <c r="C2032" s="543"/>
    </row>
    <row r="2033" spans="1:3">
      <c r="A2033" s="543"/>
      <c r="C2033" s="543"/>
    </row>
    <row r="2034" spans="1:3">
      <c r="A2034" s="543"/>
      <c r="C2034" s="543"/>
    </row>
    <row r="2035" spans="1:3">
      <c r="A2035" s="543"/>
      <c r="C2035" s="543"/>
    </row>
    <row r="2036" spans="1:3">
      <c r="A2036" s="543"/>
      <c r="C2036" s="543"/>
    </row>
    <row r="2037" spans="1:3">
      <c r="A2037" s="543"/>
      <c r="C2037" s="543"/>
    </row>
    <row r="2038" spans="1:3">
      <c r="A2038" s="543"/>
      <c r="C2038" s="543"/>
    </row>
    <row r="2039" spans="1:3">
      <c r="A2039" s="543"/>
      <c r="C2039" s="543"/>
    </row>
    <row r="2040" spans="1:3">
      <c r="A2040" s="543"/>
      <c r="C2040" s="543"/>
    </row>
    <row r="2041" spans="1:3">
      <c r="A2041" s="543"/>
      <c r="C2041" s="543"/>
    </row>
    <row r="2042" spans="1:3">
      <c r="A2042" s="543"/>
      <c r="C2042" s="543"/>
    </row>
    <row r="2043" spans="1:3">
      <c r="A2043" s="543"/>
      <c r="C2043" s="543"/>
    </row>
    <row r="2044" spans="1:3">
      <c r="A2044" s="543"/>
      <c r="C2044" s="543"/>
    </row>
    <row r="2045" spans="1:3">
      <c r="A2045" s="543"/>
      <c r="C2045" s="543"/>
    </row>
    <row r="2046" spans="1:3">
      <c r="A2046" s="543"/>
      <c r="C2046" s="543"/>
    </row>
    <row r="2047" spans="1:3">
      <c r="A2047" s="543"/>
      <c r="C2047" s="543"/>
    </row>
    <row r="2048" spans="1:3">
      <c r="A2048" s="543"/>
      <c r="C2048" s="543"/>
    </row>
    <row r="2049" spans="1:3">
      <c r="A2049" s="543"/>
      <c r="C2049" s="543"/>
    </row>
    <row r="2050" spans="1:3">
      <c r="A2050" s="543"/>
      <c r="C2050" s="543"/>
    </row>
    <row r="2051" spans="1:3">
      <c r="A2051" s="543"/>
      <c r="C2051" s="543"/>
    </row>
    <row r="2052" spans="1:3">
      <c r="A2052" s="543"/>
      <c r="C2052" s="543"/>
    </row>
    <row r="2053" spans="1:3">
      <c r="A2053" s="543"/>
      <c r="C2053" s="543"/>
    </row>
    <row r="2054" spans="1:3">
      <c r="A2054" s="543"/>
      <c r="C2054" s="543"/>
    </row>
    <row r="2055" spans="1:3">
      <c r="A2055" s="543"/>
      <c r="C2055" s="543"/>
    </row>
    <row r="2056" spans="1:3">
      <c r="A2056" s="543"/>
      <c r="C2056" s="543"/>
    </row>
    <row r="2057" spans="1:3">
      <c r="A2057" s="543"/>
      <c r="C2057" s="543"/>
    </row>
    <row r="2058" spans="1:3">
      <c r="A2058" s="543"/>
      <c r="C2058" s="543"/>
    </row>
    <row r="2059" spans="1:3">
      <c r="A2059" s="543"/>
      <c r="C2059" s="543"/>
    </row>
    <row r="2060" spans="1:3">
      <c r="A2060" s="543"/>
      <c r="C2060" s="543"/>
    </row>
    <row r="2061" spans="1:3">
      <c r="A2061" s="543"/>
      <c r="C2061" s="543"/>
    </row>
    <row r="2062" spans="1:3">
      <c r="A2062" s="543"/>
      <c r="C2062" s="543"/>
    </row>
    <row r="2063" spans="1:3">
      <c r="A2063" s="543"/>
      <c r="C2063" s="543"/>
    </row>
    <row r="2064" spans="1:3">
      <c r="A2064" s="543"/>
      <c r="C2064" s="543"/>
    </row>
    <row r="2065" spans="1:3">
      <c r="A2065" s="543"/>
      <c r="C2065" s="543"/>
    </row>
    <row r="2066" spans="1:3">
      <c r="A2066" s="543"/>
      <c r="C2066" s="543"/>
    </row>
    <row r="2067" spans="1:3">
      <c r="A2067" s="543"/>
      <c r="C2067" s="543"/>
    </row>
    <row r="2068" spans="1:3">
      <c r="A2068" s="543"/>
      <c r="C2068" s="543"/>
    </row>
    <row r="2069" spans="1:3">
      <c r="A2069" s="543"/>
      <c r="C2069" s="543"/>
    </row>
    <row r="2070" spans="1:3">
      <c r="A2070" s="543"/>
      <c r="C2070" s="543"/>
    </row>
    <row r="2071" spans="1:3">
      <c r="A2071" s="543"/>
      <c r="C2071" s="543"/>
    </row>
    <row r="2072" spans="1:3">
      <c r="A2072" s="543"/>
      <c r="C2072" s="543"/>
    </row>
    <row r="2073" spans="1:3">
      <c r="A2073" s="543"/>
      <c r="C2073" s="543"/>
    </row>
    <row r="2074" spans="1:3">
      <c r="A2074" s="543"/>
      <c r="C2074" s="543"/>
    </row>
    <row r="2075" spans="1:3">
      <c r="A2075" s="543"/>
      <c r="C2075" s="543"/>
    </row>
    <row r="2076" spans="1:3">
      <c r="A2076" s="543"/>
      <c r="C2076" s="543"/>
    </row>
    <row r="2077" spans="1:3">
      <c r="A2077" s="543"/>
      <c r="C2077" s="543"/>
    </row>
    <row r="2078" spans="1:3">
      <c r="A2078" s="543"/>
      <c r="C2078" s="543"/>
    </row>
    <row r="2079" spans="1:3">
      <c r="A2079" s="543"/>
      <c r="C2079" s="543"/>
    </row>
    <row r="2080" spans="1:3">
      <c r="A2080" s="543"/>
      <c r="C2080" s="543"/>
    </row>
    <row r="2081" spans="1:3">
      <c r="A2081" s="543"/>
      <c r="C2081" s="543"/>
    </row>
    <row r="2082" spans="1:3">
      <c r="A2082" s="543"/>
      <c r="C2082" s="543"/>
    </row>
    <row r="2083" spans="1:3">
      <c r="A2083" s="543"/>
      <c r="C2083" s="543"/>
    </row>
    <row r="2084" spans="1:3">
      <c r="A2084" s="543"/>
      <c r="C2084" s="543"/>
    </row>
    <row r="2085" spans="1:3">
      <c r="A2085" s="543"/>
      <c r="C2085" s="543"/>
    </row>
    <row r="2086" spans="1:3">
      <c r="A2086" s="543"/>
      <c r="C2086" s="543"/>
    </row>
    <row r="2087" spans="1:3">
      <c r="A2087" s="543"/>
      <c r="C2087" s="543"/>
    </row>
    <row r="2088" spans="1:3">
      <c r="A2088" s="543"/>
      <c r="C2088" s="543"/>
    </row>
    <row r="2089" spans="1:3">
      <c r="A2089" s="543"/>
      <c r="C2089" s="543"/>
    </row>
    <row r="2090" spans="1:3">
      <c r="A2090" s="543"/>
      <c r="C2090" s="543"/>
    </row>
    <row r="2091" spans="1:3">
      <c r="A2091" s="543"/>
      <c r="C2091" s="543"/>
    </row>
    <row r="2092" spans="1:3">
      <c r="A2092" s="543"/>
      <c r="C2092" s="543"/>
    </row>
    <row r="2093" spans="1:3">
      <c r="A2093" s="543"/>
      <c r="C2093" s="543"/>
    </row>
    <row r="2094" spans="1:3">
      <c r="A2094" s="543"/>
      <c r="C2094" s="543"/>
    </row>
    <row r="2095" spans="1:3">
      <c r="A2095" s="543"/>
      <c r="C2095" s="543"/>
    </row>
    <row r="2096" spans="1:3">
      <c r="A2096" s="543"/>
      <c r="C2096" s="543"/>
    </row>
    <row r="2097" spans="1:3">
      <c r="A2097" s="543"/>
      <c r="C2097" s="543"/>
    </row>
    <row r="2098" spans="1:3">
      <c r="A2098" s="543"/>
      <c r="C2098" s="543"/>
    </row>
    <row r="2099" spans="1:3">
      <c r="A2099" s="543"/>
      <c r="C2099" s="543"/>
    </row>
    <row r="2100" spans="1:3">
      <c r="A2100" s="543"/>
      <c r="C2100" s="543"/>
    </row>
    <row r="2101" spans="1:3">
      <c r="A2101" s="543"/>
      <c r="C2101" s="543"/>
    </row>
    <row r="2102" spans="1:3">
      <c r="A2102" s="543"/>
      <c r="C2102" s="543"/>
    </row>
    <row r="2103" spans="1:3">
      <c r="A2103" s="543"/>
      <c r="C2103" s="543"/>
    </row>
    <row r="2104" spans="1:3">
      <c r="A2104" s="543"/>
      <c r="C2104" s="543"/>
    </row>
    <row r="2105" spans="1:3">
      <c r="A2105" s="543"/>
      <c r="C2105" s="543"/>
    </row>
    <row r="2106" spans="1:3">
      <c r="A2106" s="543"/>
      <c r="C2106" s="543"/>
    </row>
    <row r="2107" spans="1:3">
      <c r="A2107" s="543"/>
      <c r="C2107" s="543"/>
    </row>
    <row r="2108" spans="1:3">
      <c r="A2108" s="543"/>
      <c r="C2108" s="543"/>
    </row>
    <row r="2109" spans="1:3">
      <c r="A2109" s="543"/>
      <c r="C2109" s="543"/>
    </row>
    <row r="2110" spans="1:3">
      <c r="A2110" s="543"/>
      <c r="C2110" s="543"/>
    </row>
    <row r="2111" spans="1:3">
      <c r="A2111" s="543"/>
      <c r="C2111" s="543"/>
    </row>
    <row r="2112" spans="1:3">
      <c r="A2112" s="543"/>
      <c r="C2112" s="543"/>
    </row>
    <row r="2113" spans="1:3">
      <c r="A2113" s="543"/>
      <c r="C2113" s="543"/>
    </row>
    <row r="2114" spans="1:3">
      <c r="A2114" s="543"/>
      <c r="C2114" s="543"/>
    </row>
    <row r="2115" spans="1:3">
      <c r="A2115" s="543"/>
      <c r="C2115" s="543"/>
    </row>
    <row r="2116" spans="1:3">
      <c r="A2116" s="543"/>
      <c r="C2116" s="543"/>
    </row>
    <row r="2117" spans="1:3">
      <c r="A2117" s="543"/>
      <c r="C2117" s="543"/>
    </row>
    <row r="2118" spans="1:3">
      <c r="A2118" s="543"/>
      <c r="C2118" s="543"/>
    </row>
    <row r="2119" spans="1:3">
      <c r="A2119" s="543"/>
      <c r="C2119" s="543"/>
    </row>
    <row r="2120" spans="1:3">
      <c r="A2120" s="543"/>
      <c r="C2120" s="543"/>
    </row>
    <row r="2121" spans="1:3">
      <c r="A2121" s="543"/>
      <c r="C2121" s="543"/>
    </row>
    <row r="2122" spans="1:3">
      <c r="A2122" s="543"/>
      <c r="C2122" s="543"/>
    </row>
    <row r="2123" spans="1:3">
      <c r="A2123" s="543"/>
      <c r="C2123" s="543"/>
    </row>
    <row r="2124" spans="1:3">
      <c r="A2124" s="543"/>
      <c r="C2124" s="543"/>
    </row>
    <row r="2125" spans="1:3">
      <c r="A2125" s="543"/>
      <c r="C2125" s="543"/>
    </row>
    <row r="2126" spans="1:3">
      <c r="A2126" s="543"/>
      <c r="C2126" s="543"/>
    </row>
    <row r="2127" spans="1:3">
      <c r="A2127" s="543"/>
      <c r="C2127" s="543"/>
    </row>
    <row r="2128" spans="1:3">
      <c r="A2128" s="543"/>
      <c r="C2128" s="543"/>
    </row>
    <row r="2129" spans="1:3">
      <c r="A2129" s="543"/>
      <c r="C2129" s="543"/>
    </row>
    <row r="2130" spans="1:3">
      <c r="A2130" s="543"/>
      <c r="C2130" s="543"/>
    </row>
    <row r="2131" spans="1:3">
      <c r="A2131" s="543"/>
      <c r="C2131" s="543"/>
    </row>
    <row r="2132" spans="1:3">
      <c r="A2132" s="543"/>
      <c r="C2132" s="543"/>
    </row>
    <row r="2133" spans="1:3">
      <c r="A2133" s="543"/>
      <c r="C2133" s="543"/>
    </row>
    <row r="2134" spans="1:3">
      <c r="A2134" s="543"/>
      <c r="C2134" s="543"/>
    </row>
    <row r="2135" spans="1:3">
      <c r="A2135" s="543"/>
      <c r="C2135" s="543"/>
    </row>
    <row r="2136" spans="1:3">
      <c r="A2136" s="543"/>
      <c r="C2136" s="543"/>
    </row>
    <row r="2137" spans="1:3">
      <c r="A2137" s="543"/>
      <c r="C2137" s="543"/>
    </row>
    <row r="2138" spans="1:3">
      <c r="A2138" s="543"/>
      <c r="C2138" s="543"/>
    </row>
    <row r="2139" spans="1:3">
      <c r="A2139" s="543"/>
      <c r="C2139" s="543"/>
    </row>
    <row r="2140" spans="1:3">
      <c r="A2140" s="543"/>
      <c r="C2140" s="543"/>
    </row>
    <row r="2141" spans="1:3">
      <c r="A2141" s="543"/>
      <c r="C2141" s="543"/>
    </row>
    <row r="2142" spans="1:3">
      <c r="A2142" s="543"/>
      <c r="C2142" s="543"/>
    </row>
    <row r="2143" spans="1:3">
      <c r="A2143" s="543"/>
      <c r="C2143" s="543"/>
    </row>
    <row r="2144" spans="1:3">
      <c r="A2144" s="543"/>
      <c r="C2144" s="543"/>
    </row>
    <row r="2145" spans="1:3">
      <c r="A2145" s="543"/>
      <c r="C2145" s="543"/>
    </row>
    <row r="2146" spans="1:3">
      <c r="A2146" s="543"/>
      <c r="C2146" s="543"/>
    </row>
    <row r="2147" spans="1:3">
      <c r="A2147" s="543"/>
      <c r="C2147" s="543"/>
    </row>
    <row r="2148" spans="1:3">
      <c r="A2148" s="543"/>
      <c r="C2148" s="543"/>
    </row>
    <row r="2149" spans="1:3">
      <c r="A2149" s="543"/>
      <c r="C2149" s="543"/>
    </row>
    <row r="2150" spans="1:3">
      <c r="A2150" s="543"/>
      <c r="C2150" s="543"/>
    </row>
    <row r="2151" spans="1:3">
      <c r="A2151" s="543"/>
      <c r="C2151" s="543"/>
    </row>
    <row r="2152" spans="1:3">
      <c r="A2152" s="543"/>
      <c r="C2152" s="543"/>
    </row>
    <row r="2153" spans="1:3">
      <c r="A2153" s="543"/>
      <c r="C2153" s="543"/>
    </row>
    <row r="2154" spans="1:3">
      <c r="A2154" s="543"/>
      <c r="C2154" s="543"/>
    </row>
    <row r="2155" spans="1:3">
      <c r="A2155" s="543"/>
      <c r="C2155" s="543"/>
    </row>
    <row r="2156" spans="1:3">
      <c r="A2156" s="543"/>
      <c r="C2156" s="543"/>
    </row>
    <row r="2157" spans="1:3">
      <c r="A2157" s="543"/>
      <c r="C2157" s="543"/>
    </row>
    <row r="2158" spans="1:3">
      <c r="A2158" s="543"/>
      <c r="C2158" s="543"/>
    </row>
    <row r="2159" spans="1:3">
      <c r="A2159" s="543"/>
      <c r="C2159" s="543"/>
    </row>
    <row r="2160" spans="1:3">
      <c r="A2160" s="543"/>
      <c r="C2160" s="543"/>
    </row>
    <row r="2161" spans="1:3">
      <c r="A2161" s="543"/>
      <c r="C2161" s="543"/>
    </row>
    <row r="2162" spans="1:3">
      <c r="A2162" s="543"/>
      <c r="C2162" s="543"/>
    </row>
    <row r="2163" spans="1:3">
      <c r="A2163" s="543"/>
      <c r="C2163" s="543"/>
    </row>
    <row r="2164" spans="1:3">
      <c r="A2164" s="543"/>
      <c r="C2164" s="543"/>
    </row>
    <row r="2165" spans="1:3">
      <c r="A2165" s="543"/>
      <c r="C2165" s="543"/>
    </row>
    <row r="2166" spans="1:3">
      <c r="A2166" s="543"/>
      <c r="C2166" s="543"/>
    </row>
    <row r="2167" spans="1:3">
      <c r="A2167" s="543"/>
      <c r="C2167" s="543"/>
    </row>
    <row r="2168" spans="1:3">
      <c r="A2168" s="543"/>
      <c r="C2168" s="543"/>
    </row>
    <row r="2169" spans="1:3">
      <c r="A2169" s="543"/>
      <c r="C2169" s="543"/>
    </row>
    <row r="2170" spans="1:3">
      <c r="A2170" s="543"/>
      <c r="C2170" s="543"/>
    </row>
    <row r="2171" spans="1:3">
      <c r="A2171" s="543"/>
      <c r="C2171" s="543"/>
    </row>
    <row r="2172" spans="1:3">
      <c r="A2172" s="543"/>
      <c r="C2172" s="543"/>
    </row>
    <row r="2173" spans="1:3">
      <c r="A2173" s="543"/>
      <c r="C2173" s="543"/>
    </row>
    <row r="2174" spans="1:3">
      <c r="A2174" s="543"/>
      <c r="C2174" s="543"/>
    </row>
    <row r="2175" spans="1:3">
      <c r="A2175" s="543"/>
      <c r="C2175" s="543"/>
    </row>
    <row r="2176" spans="1:3">
      <c r="A2176" s="543"/>
      <c r="C2176" s="543"/>
    </row>
    <row r="2177" spans="1:3">
      <c r="A2177" s="543"/>
      <c r="C2177" s="543"/>
    </row>
    <row r="2178" spans="1:3">
      <c r="A2178" s="543"/>
      <c r="C2178" s="543"/>
    </row>
    <row r="2179" spans="1:3">
      <c r="A2179" s="543"/>
      <c r="C2179" s="543"/>
    </row>
    <row r="2180" spans="1:3">
      <c r="A2180" s="543"/>
      <c r="C2180" s="543"/>
    </row>
    <row r="2181" spans="1:3">
      <c r="A2181" s="543"/>
      <c r="C2181" s="543"/>
    </row>
    <row r="2182" spans="1:3">
      <c r="A2182" s="543"/>
      <c r="C2182" s="543"/>
    </row>
    <row r="2183" spans="1:3">
      <c r="A2183" s="543"/>
      <c r="C2183" s="543"/>
    </row>
    <row r="2184" spans="1:3">
      <c r="A2184" s="543"/>
      <c r="C2184" s="543"/>
    </row>
    <row r="2185" spans="1:3">
      <c r="A2185" s="543"/>
      <c r="C2185" s="543"/>
    </row>
    <row r="2186" spans="1:3">
      <c r="A2186" s="543"/>
      <c r="C2186" s="543"/>
    </row>
    <row r="2187" spans="1:3">
      <c r="A2187" s="543"/>
      <c r="C2187" s="543"/>
    </row>
    <row r="2188" spans="1:3">
      <c r="A2188" s="543"/>
      <c r="C2188" s="543"/>
    </row>
    <row r="2189" spans="1:3">
      <c r="A2189" s="543"/>
      <c r="C2189" s="543"/>
    </row>
    <row r="2190" spans="1:3">
      <c r="A2190" s="543"/>
      <c r="C2190" s="543"/>
    </row>
    <row r="2191" spans="1:3">
      <c r="A2191" s="543"/>
      <c r="C2191" s="543"/>
    </row>
    <row r="2192" spans="1:3">
      <c r="A2192" s="543"/>
      <c r="C2192" s="543"/>
    </row>
    <row r="2193" spans="1:3">
      <c r="A2193" s="543"/>
      <c r="C2193" s="543"/>
    </row>
    <row r="2194" spans="1:3">
      <c r="A2194" s="543"/>
      <c r="C2194" s="543"/>
    </row>
    <row r="2195" spans="1:3">
      <c r="A2195" s="543"/>
      <c r="C2195" s="543"/>
    </row>
    <row r="2196" spans="1:3">
      <c r="A2196" s="543"/>
      <c r="C2196" s="543"/>
    </row>
    <row r="2197" spans="1:3">
      <c r="A2197" s="543"/>
      <c r="C2197" s="543"/>
    </row>
    <row r="2198" spans="1:3">
      <c r="A2198" s="543"/>
      <c r="C2198" s="543"/>
    </row>
    <row r="2199" spans="1:3">
      <c r="A2199" s="543"/>
      <c r="C2199" s="543"/>
    </row>
    <row r="2200" spans="1:3">
      <c r="A2200" s="543"/>
      <c r="C2200" s="543"/>
    </row>
    <row r="2201" spans="1:3">
      <c r="A2201" s="543"/>
      <c r="C2201" s="543"/>
    </row>
    <row r="2202" spans="1:3">
      <c r="A2202" s="543"/>
      <c r="C2202" s="543"/>
    </row>
    <row r="2203" spans="1:3">
      <c r="A2203" s="543"/>
      <c r="C2203" s="543"/>
    </row>
    <row r="2204" spans="1:3">
      <c r="A2204" s="543"/>
      <c r="C2204" s="543"/>
    </row>
    <row r="2205" spans="1:3">
      <c r="A2205" s="543"/>
      <c r="C2205" s="543"/>
    </row>
    <row r="2206" spans="1:3">
      <c r="A2206" s="543"/>
      <c r="C2206" s="543"/>
    </row>
    <row r="2207" spans="1:3">
      <c r="A2207" s="543"/>
      <c r="C2207" s="543"/>
    </row>
    <row r="2208" spans="1:3">
      <c r="A2208" s="543"/>
      <c r="C2208" s="543"/>
    </row>
    <row r="2209" spans="1:3">
      <c r="A2209" s="543"/>
      <c r="C2209" s="543"/>
    </row>
    <row r="2210" spans="1:3">
      <c r="A2210" s="543"/>
      <c r="C2210" s="543"/>
    </row>
    <row r="2211" spans="1:3">
      <c r="A2211" s="543"/>
      <c r="C2211" s="543"/>
    </row>
    <row r="2212" spans="1:3">
      <c r="A2212" s="543"/>
      <c r="C2212" s="543"/>
    </row>
    <row r="2213" spans="1:3">
      <c r="A2213" s="543"/>
      <c r="C2213" s="543"/>
    </row>
    <row r="2214" spans="1:3">
      <c r="A2214" s="543"/>
      <c r="C2214" s="543"/>
    </row>
    <row r="2215" spans="1:3">
      <c r="A2215" s="543"/>
      <c r="C2215" s="543"/>
    </row>
    <row r="2216" spans="1:3">
      <c r="A2216" s="543"/>
      <c r="C2216" s="543"/>
    </row>
    <row r="2217" spans="1:3">
      <c r="A2217" s="543"/>
      <c r="C2217" s="543"/>
    </row>
    <row r="2218" spans="1:3">
      <c r="A2218" s="543"/>
      <c r="C2218" s="543"/>
    </row>
    <row r="2219" spans="1:3">
      <c r="A2219" s="543"/>
      <c r="C2219" s="543"/>
    </row>
    <row r="2220" spans="1:3">
      <c r="A2220" s="543"/>
      <c r="C2220" s="543"/>
    </row>
    <row r="2221" spans="1:3">
      <c r="A2221" s="543"/>
      <c r="C2221" s="543"/>
    </row>
    <row r="2222" spans="1:3">
      <c r="A2222" s="543"/>
      <c r="C2222" s="543"/>
    </row>
    <row r="2223" spans="1:3">
      <c r="A2223" s="543"/>
      <c r="C2223" s="543"/>
    </row>
    <row r="2224" spans="1:3">
      <c r="A2224" s="543"/>
      <c r="C2224" s="543"/>
    </row>
    <row r="2225" spans="1:3">
      <c r="A2225" s="543"/>
      <c r="C2225" s="543"/>
    </row>
    <row r="2226" spans="1:3">
      <c r="A2226" s="543"/>
      <c r="C2226" s="543"/>
    </row>
    <row r="2227" spans="1:3">
      <c r="A2227" s="543"/>
      <c r="C2227" s="543"/>
    </row>
    <row r="2228" spans="1:3">
      <c r="A2228" s="543"/>
      <c r="C2228" s="543"/>
    </row>
    <row r="2229" spans="1:3">
      <c r="A2229" s="543"/>
      <c r="C2229" s="543"/>
    </row>
    <row r="2230" spans="1:3">
      <c r="A2230" s="543"/>
      <c r="C2230" s="543"/>
    </row>
    <row r="2231" spans="1:3">
      <c r="A2231" s="543"/>
      <c r="C2231" s="543"/>
    </row>
    <row r="2232" spans="1:3">
      <c r="A2232" s="543"/>
      <c r="C2232" s="543"/>
    </row>
    <row r="2233" spans="1:3">
      <c r="A2233" s="543"/>
      <c r="C2233" s="543"/>
    </row>
    <row r="2234" spans="1:3">
      <c r="A2234" s="543"/>
      <c r="C2234" s="543"/>
    </row>
    <row r="2235" spans="1:3">
      <c r="A2235" s="543"/>
      <c r="C2235" s="543"/>
    </row>
    <row r="2236" spans="1:3">
      <c r="A2236" s="543"/>
      <c r="C2236" s="543"/>
    </row>
    <row r="2237" spans="1:3">
      <c r="A2237" s="543"/>
      <c r="C2237" s="543"/>
    </row>
    <row r="2238" spans="1:3">
      <c r="A2238" s="543"/>
      <c r="C2238" s="543"/>
    </row>
    <row r="2239" spans="1:3">
      <c r="A2239" s="543"/>
      <c r="C2239" s="543"/>
    </row>
    <row r="2240" spans="1:3">
      <c r="A2240" s="543"/>
      <c r="C2240" s="543"/>
    </row>
    <row r="2241" spans="1:3">
      <c r="A2241" s="543"/>
      <c r="C2241" s="543"/>
    </row>
    <row r="2242" spans="1:3">
      <c r="A2242" s="543"/>
      <c r="C2242" s="543"/>
    </row>
    <row r="2243" spans="1:3">
      <c r="A2243" s="543"/>
      <c r="C2243" s="543"/>
    </row>
    <row r="2244" spans="1:3">
      <c r="A2244" s="543"/>
      <c r="C2244" s="543"/>
    </row>
    <row r="2245" spans="1:3">
      <c r="A2245" s="543"/>
      <c r="C2245" s="543"/>
    </row>
    <row r="2246" spans="1:3">
      <c r="A2246" s="543"/>
      <c r="C2246" s="543"/>
    </row>
    <row r="2247" spans="1:3">
      <c r="A2247" s="543"/>
      <c r="C2247" s="543"/>
    </row>
    <row r="2248" spans="1:3">
      <c r="A2248" s="543"/>
      <c r="C2248" s="543"/>
    </row>
    <row r="2249" spans="1:3">
      <c r="A2249" s="543"/>
      <c r="C2249" s="543"/>
    </row>
    <row r="2250" spans="1:3">
      <c r="A2250" s="543"/>
      <c r="C2250" s="543"/>
    </row>
    <row r="2251" spans="1:3">
      <c r="A2251" s="543"/>
      <c r="C2251" s="543"/>
    </row>
    <row r="2252" spans="1:3">
      <c r="A2252" s="543"/>
      <c r="C2252" s="543"/>
    </row>
    <row r="2253" spans="1:3">
      <c r="A2253" s="543"/>
      <c r="C2253" s="543"/>
    </row>
    <row r="2254" spans="1:3">
      <c r="A2254" s="543"/>
      <c r="C2254" s="543"/>
    </row>
    <row r="2255" spans="1:3">
      <c r="A2255" s="543"/>
      <c r="C2255" s="543"/>
    </row>
    <row r="2256" spans="1:3">
      <c r="A2256" s="543"/>
      <c r="C2256" s="543"/>
    </row>
    <row r="2257" spans="1:3">
      <c r="A2257" s="543"/>
      <c r="C2257" s="543"/>
    </row>
    <row r="2258" spans="1:3">
      <c r="A2258" s="543"/>
      <c r="C2258" s="543"/>
    </row>
    <row r="2259" spans="1:3">
      <c r="A2259" s="543"/>
      <c r="C2259" s="543"/>
    </row>
    <row r="2260" spans="1:3">
      <c r="A2260" s="543"/>
      <c r="C2260" s="543"/>
    </row>
    <row r="2261" spans="1:3">
      <c r="A2261" s="543"/>
      <c r="C2261" s="543"/>
    </row>
    <row r="2262" spans="1:3">
      <c r="A2262" s="543"/>
      <c r="C2262" s="543"/>
    </row>
    <row r="2263" spans="1:3">
      <c r="A2263" s="543"/>
      <c r="C2263" s="543"/>
    </row>
    <row r="2264" spans="1:3">
      <c r="A2264" s="543"/>
      <c r="C2264" s="543"/>
    </row>
    <row r="2265" spans="1:3">
      <c r="A2265" s="543"/>
      <c r="C2265" s="543"/>
    </row>
    <row r="2266" spans="1:3">
      <c r="A2266" s="543"/>
      <c r="C2266" s="543"/>
    </row>
    <row r="2267" spans="1:3">
      <c r="A2267" s="543"/>
      <c r="C2267" s="543"/>
    </row>
    <row r="2268" spans="1:3">
      <c r="A2268" s="543"/>
      <c r="C2268" s="543"/>
    </row>
    <row r="2269" spans="1:3">
      <c r="A2269" s="543"/>
      <c r="C2269" s="543"/>
    </row>
    <row r="2270" spans="1:3">
      <c r="A2270" s="543"/>
      <c r="C2270" s="543"/>
    </row>
    <row r="2271" spans="1:3">
      <c r="A2271" s="543"/>
      <c r="C2271" s="543"/>
    </row>
    <row r="2272" spans="1:3">
      <c r="A2272" s="543"/>
      <c r="C2272" s="543"/>
    </row>
    <row r="2273" spans="1:3">
      <c r="A2273" s="543"/>
      <c r="C2273" s="543"/>
    </row>
    <row r="2274" spans="1:3">
      <c r="A2274" s="543"/>
      <c r="C2274" s="543"/>
    </row>
    <row r="2275" spans="1:3">
      <c r="A2275" s="543"/>
      <c r="C2275" s="543"/>
    </row>
    <row r="2276" spans="1:3">
      <c r="A2276" s="543"/>
      <c r="C2276" s="543"/>
    </row>
    <row r="2277" spans="1:3">
      <c r="A2277" s="543"/>
      <c r="C2277" s="543"/>
    </row>
    <row r="2278" spans="1:3">
      <c r="A2278" s="543"/>
      <c r="C2278" s="543"/>
    </row>
    <row r="2279" spans="1:3">
      <c r="A2279" s="543"/>
      <c r="C2279" s="543"/>
    </row>
    <row r="2280" spans="1:3">
      <c r="A2280" s="543"/>
      <c r="C2280" s="543"/>
    </row>
    <row r="2281" spans="1:3">
      <c r="A2281" s="543"/>
      <c r="C2281" s="543"/>
    </row>
    <row r="2282" spans="1:3">
      <c r="A2282" s="543"/>
      <c r="C2282" s="543"/>
    </row>
    <row r="2283" spans="1:3">
      <c r="A2283" s="543"/>
      <c r="C2283" s="543"/>
    </row>
    <row r="2284" spans="1:3">
      <c r="A2284" s="543"/>
      <c r="C2284" s="543"/>
    </row>
    <row r="2285" spans="1:3">
      <c r="A2285" s="543"/>
      <c r="C2285" s="543"/>
    </row>
    <row r="2286" spans="1:3">
      <c r="A2286" s="543"/>
      <c r="C2286" s="543"/>
    </row>
    <row r="2287" spans="1:3">
      <c r="A2287" s="543"/>
      <c r="C2287" s="543"/>
    </row>
    <row r="2288" spans="1:3">
      <c r="A2288" s="543"/>
      <c r="C2288" s="543"/>
    </row>
    <row r="2289" spans="1:3">
      <c r="A2289" s="543"/>
      <c r="C2289" s="543"/>
    </row>
    <row r="2290" spans="1:3">
      <c r="A2290" s="543"/>
      <c r="C2290" s="543"/>
    </row>
    <row r="2291" spans="1:3">
      <c r="A2291" s="543"/>
      <c r="C2291" s="543"/>
    </row>
    <row r="2292" spans="1:3">
      <c r="A2292" s="543"/>
      <c r="C2292" s="543"/>
    </row>
    <row r="2293" spans="1:3">
      <c r="A2293" s="543"/>
      <c r="C2293" s="543"/>
    </row>
    <row r="2294" spans="1:3">
      <c r="A2294" s="543"/>
      <c r="C2294" s="543"/>
    </row>
    <row r="2295" spans="1:3">
      <c r="A2295" s="543"/>
      <c r="C2295" s="543"/>
    </row>
    <row r="2296" spans="1:3">
      <c r="A2296" s="543"/>
      <c r="C2296" s="543"/>
    </row>
    <row r="2297" spans="1:3">
      <c r="A2297" s="543"/>
      <c r="C2297" s="543"/>
    </row>
    <row r="2298" spans="1:3">
      <c r="A2298" s="543"/>
      <c r="C2298" s="543"/>
    </row>
    <row r="2299" spans="1:3">
      <c r="A2299" s="543"/>
      <c r="C2299" s="543"/>
    </row>
    <row r="2300" spans="1:3">
      <c r="A2300" s="543"/>
      <c r="C2300" s="543"/>
    </row>
    <row r="2301" spans="1:3">
      <c r="A2301" s="543"/>
      <c r="C2301" s="543"/>
    </row>
    <row r="2302" spans="1:3">
      <c r="A2302" s="543"/>
      <c r="C2302" s="543"/>
    </row>
    <row r="2303" spans="1:3">
      <c r="A2303" s="543"/>
      <c r="C2303" s="543"/>
    </row>
    <row r="2304" spans="1:3">
      <c r="A2304" s="543"/>
      <c r="C2304" s="543"/>
    </row>
    <row r="2305" spans="1:3">
      <c r="A2305" s="543"/>
      <c r="C2305" s="543"/>
    </row>
    <row r="2306" spans="1:3">
      <c r="A2306" s="543"/>
      <c r="C2306" s="543"/>
    </row>
    <row r="2307" spans="1:3">
      <c r="A2307" s="543"/>
      <c r="C2307" s="543"/>
    </row>
    <row r="2308" spans="1:3">
      <c r="A2308" s="543"/>
      <c r="C2308" s="543"/>
    </row>
    <row r="2309" spans="1:3">
      <c r="A2309" s="543"/>
      <c r="C2309" s="543"/>
    </row>
    <row r="2310" spans="1:3">
      <c r="A2310" s="543"/>
      <c r="C2310" s="543"/>
    </row>
    <row r="2311" spans="1:3">
      <c r="A2311" s="543"/>
      <c r="C2311" s="543"/>
    </row>
    <row r="2312" spans="1:3">
      <c r="A2312" s="543"/>
      <c r="C2312" s="543"/>
    </row>
    <row r="2313" spans="1:3">
      <c r="A2313" s="543"/>
      <c r="C2313" s="543"/>
    </row>
    <row r="2314" spans="1:3">
      <c r="A2314" s="543"/>
      <c r="C2314" s="543"/>
    </row>
    <row r="2315" spans="1:3">
      <c r="A2315" s="543"/>
      <c r="C2315" s="543"/>
    </row>
    <row r="2316" spans="1:3">
      <c r="A2316" s="543"/>
      <c r="C2316" s="543"/>
    </row>
    <row r="2317" spans="1:3">
      <c r="A2317" s="543"/>
      <c r="C2317" s="543"/>
    </row>
    <row r="2318" spans="1:3">
      <c r="A2318" s="543"/>
      <c r="C2318" s="543"/>
    </row>
    <row r="2319" spans="1:3">
      <c r="A2319" s="543"/>
      <c r="C2319" s="543"/>
    </row>
    <row r="2320" spans="1:3">
      <c r="A2320" s="543"/>
      <c r="C2320" s="543"/>
    </row>
    <row r="2321" spans="1:3">
      <c r="A2321" s="543"/>
      <c r="C2321" s="543"/>
    </row>
    <row r="2322" spans="1:3">
      <c r="A2322" s="543"/>
      <c r="C2322" s="543"/>
    </row>
    <row r="2323" spans="1:3">
      <c r="A2323" s="543"/>
      <c r="C2323" s="543"/>
    </row>
    <row r="2324" spans="1:3">
      <c r="A2324" s="543"/>
      <c r="C2324" s="543"/>
    </row>
    <row r="2325" spans="1:3">
      <c r="A2325" s="543"/>
      <c r="C2325" s="543"/>
    </row>
    <row r="2326" spans="1:3">
      <c r="A2326" s="543"/>
      <c r="C2326" s="543"/>
    </row>
    <row r="2327" spans="1:3">
      <c r="A2327" s="543"/>
      <c r="C2327" s="543"/>
    </row>
    <row r="2328" spans="1:3">
      <c r="A2328" s="543"/>
      <c r="C2328" s="543"/>
    </row>
    <row r="2329" spans="1:3">
      <c r="A2329" s="543"/>
      <c r="C2329" s="543"/>
    </row>
    <row r="2330" spans="1:3">
      <c r="A2330" s="543"/>
      <c r="C2330" s="543"/>
    </row>
    <row r="2331" spans="1:3">
      <c r="A2331" s="543"/>
      <c r="C2331" s="543"/>
    </row>
    <row r="2332" spans="1:3">
      <c r="A2332" s="543"/>
      <c r="C2332" s="543"/>
    </row>
    <row r="2333" spans="1:3">
      <c r="A2333" s="543"/>
      <c r="C2333" s="543"/>
    </row>
    <row r="2334" spans="1:3">
      <c r="A2334" s="543"/>
      <c r="C2334" s="543"/>
    </row>
    <row r="2335" spans="1:3">
      <c r="A2335" s="543"/>
      <c r="C2335" s="543"/>
    </row>
    <row r="2336" spans="1:3">
      <c r="A2336" s="543"/>
      <c r="C2336" s="543"/>
    </row>
    <row r="2337" spans="1:3">
      <c r="A2337" s="543"/>
      <c r="C2337" s="543"/>
    </row>
    <row r="2338" spans="1:3">
      <c r="A2338" s="543"/>
      <c r="C2338" s="543"/>
    </row>
    <row r="2339" spans="1:3">
      <c r="A2339" s="543"/>
      <c r="C2339" s="543"/>
    </row>
    <row r="2340" spans="1:3">
      <c r="A2340" s="543"/>
      <c r="C2340" s="543"/>
    </row>
    <row r="2341" spans="1:3">
      <c r="A2341" s="543"/>
      <c r="C2341" s="543"/>
    </row>
    <row r="2342" spans="1:3">
      <c r="A2342" s="543"/>
      <c r="C2342" s="543"/>
    </row>
    <row r="2343" spans="1:3">
      <c r="A2343" s="543"/>
      <c r="C2343" s="543"/>
    </row>
    <row r="2344" spans="1:3">
      <c r="A2344" s="543"/>
      <c r="C2344" s="543"/>
    </row>
    <row r="2345" spans="1:3">
      <c r="A2345" s="543"/>
      <c r="C2345" s="543"/>
    </row>
    <row r="2346" spans="1:3">
      <c r="A2346" s="543"/>
      <c r="C2346" s="543"/>
    </row>
    <row r="2347" spans="1:3">
      <c r="A2347" s="543"/>
      <c r="C2347" s="543"/>
    </row>
    <row r="2348" spans="1:3">
      <c r="A2348" s="543"/>
      <c r="C2348" s="543"/>
    </row>
    <row r="2349" spans="1:3">
      <c r="A2349" s="543"/>
      <c r="C2349" s="543"/>
    </row>
    <row r="2350" spans="1:3">
      <c r="A2350" s="543"/>
      <c r="C2350" s="543"/>
    </row>
    <row r="2351" spans="1:3">
      <c r="A2351" s="543"/>
      <c r="C2351" s="543"/>
    </row>
    <row r="2352" spans="1:3">
      <c r="A2352" s="543"/>
      <c r="C2352" s="543"/>
    </row>
    <row r="2353" spans="1:3">
      <c r="A2353" s="543"/>
      <c r="C2353" s="543"/>
    </row>
    <row r="2354" spans="1:3">
      <c r="A2354" s="543"/>
      <c r="C2354" s="543"/>
    </row>
    <row r="2355" spans="1:3">
      <c r="A2355" s="543"/>
      <c r="C2355" s="543"/>
    </row>
    <row r="2356" spans="1:3">
      <c r="A2356" s="543"/>
      <c r="C2356" s="543"/>
    </row>
    <row r="2357" spans="1:3">
      <c r="A2357" s="543"/>
      <c r="C2357" s="543"/>
    </row>
    <row r="2358" spans="1:3">
      <c r="A2358" s="543"/>
      <c r="C2358" s="543"/>
    </row>
    <row r="2359" spans="1:3">
      <c r="A2359" s="543"/>
      <c r="C2359" s="543"/>
    </row>
    <row r="2360" spans="1:3">
      <c r="A2360" s="543"/>
      <c r="C2360" s="543"/>
    </row>
    <row r="2361" spans="1:3">
      <c r="A2361" s="543"/>
      <c r="C2361" s="543"/>
    </row>
    <row r="2362" spans="1:3">
      <c r="A2362" s="543"/>
      <c r="C2362" s="543"/>
    </row>
    <row r="2363" spans="1:3">
      <c r="A2363" s="543"/>
      <c r="C2363" s="543"/>
    </row>
    <row r="2364" spans="1:3">
      <c r="A2364" s="543"/>
      <c r="C2364" s="543"/>
    </row>
    <row r="2365" spans="1:3">
      <c r="A2365" s="543"/>
      <c r="C2365" s="543"/>
    </row>
    <row r="2366" spans="1:3">
      <c r="A2366" s="543"/>
      <c r="C2366" s="543"/>
    </row>
    <row r="2367" spans="1:3">
      <c r="A2367" s="543"/>
      <c r="C2367" s="543"/>
    </row>
    <row r="2368" spans="1:3">
      <c r="A2368" s="543"/>
      <c r="C2368" s="543"/>
    </row>
    <row r="2369" spans="1:3">
      <c r="A2369" s="543"/>
      <c r="C2369" s="543"/>
    </row>
    <row r="2370" spans="1:3">
      <c r="A2370" s="543"/>
      <c r="C2370" s="543"/>
    </row>
    <row r="2371" spans="1:3">
      <c r="A2371" s="543"/>
      <c r="C2371" s="543"/>
    </row>
    <row r="2372" spans="1:3">
      <c r="A2372" s="543"/>
      <c r="C2372" s="543"/>
    </row>
    <row r="2373" spans="1:3">
      <c r="A2373" s="543"/>
      <c r="C2373" s="543"/>
    </row>
    <row r="2374" spans="1:3">
      <c r="A2374" s="543"/>
      <c r="C2374" s="543"/>
    </row>
    <row r="2375" spans="1:3">
      <c r="A2375" s="543"/>
      <c r="C2375" s="543"/>
    </row>
    <row r="2376" spans="1:3">
      <c r="A2376" s="543"/>
      <c r="C2376" s="543"/>
    </row>
    <row r="2377" spans="1:3">
      <c r="A2377" s="543"/>
      <c r="C2377" s="543"/>
    </row>
    <row r="2378" spans="1:3">
      <c r="A2378" s="543"/>
      <c r="C2378" s="543"/>
    </row>
    <row r="2379" spans="1:3">
      <c r="A2379" s="543"/>
      <c r="C2379" s="543"/>
    </row>
    <row r="2380" spans="1:3">
      <c r="A2380" s="543"/>
      <c r="C2380" s="543"/>
    </row>
    <row r="2381" spans="1:3">
      <c r="A2381" s="543"/>
      <c r="C2381" s="543"/>
    </row>
    <row r="2382" spans="1:3">
      <c r="A2382" s="543"/>
      <c r="C2382" s="543"/>
    </row>
    <row r="2383" spans="1:3">
      <c r="A2383" s="543"/>
      <c r="C2383" s="543"/>
    </row>
    <row r="2384" spans="1:3">
      <c r="A2384" s="543"/>
      <c r="C2384" s="543"/>
    </row>
    <row r="2385" spans="1:3">
      <c r="A2385" s="543"/>
      <c r="C2385" s="543"/>
    </row>
    <row r="2386" spans="1:3">
      <c r="A2386" s="543"/>
      <c r="C2386" s="543"/>
    </row>
    <row r="2387" spans="1:3">
      <c r="A2387" s="543"/>
      <c r="C2387" s="543"/>
    </row>
    <row r="2388" spans="1:3">
      <c r="A2388" s="543"/>
      <c r="C2388" s="543"/>
    </row>
    <row r="2389" spans="1:3">
      <c r="A2389" s="543"/>
      <c r="C2389" s="543"/>
    </row>
    <row r="2390" spans="1:3">
      <c r="A2390" s="543"/>
      <c r="C2390" s="543"/>
    </row>
    <row r="2391" spans="1:3">
      <c r="A2391" s="543"/>
      <c r="C2391" s="543"/>
    </row>
    <row r="2392" spans="1:3">
      <c r="A2392" s="543"/>
      <c r="C2392" s="543"/>
    </row>
    <row r="2393" spans="1:3">
      <c r="A2393" s="543"/>
      <c r="C2393" s="543"/>
    </row>
    <row r="2394" spans="1:3">
      <c r="A2394" s="543"/>
      <c r="C2394" s="543"/>
    </row>
    <row r="2395" spans="1:3">
      <c r="A2395" s="543"/>
      <c r="C2395" s="543"/>
    </row>
    <row r="2396" spans="1:3">
      <c r="A2396" s="543"/>
      <c r="C2396" s="543"/>
    </row>
    <row r="2397" spans="1:3">
      <c r="A2397" s="543"/>
      <c r="C2397" s="543"/>
    </row>
    <row r="2398" spans="1:3">
      <c r="A2398" s="543"/>
      <c r="C2398" s="543"/>
    </row>
    <row r="2399" spans="1:3">
      <c r="A2399" s="543"/>
      <c r="C2399" s="543"/>
    </row>
    <row r="2400" spans="1:3">
      <c r="A2400" s="543"/>
      <c r="C2400" s="543"/>
    </row>
    <row r="2401" spans="1:3">
      <c r="A2401" s="543"/>
      <c r="C2401" s="543"/>
    </row>
    <row r="2402" spans="1:3">
      <c r="A2402" s="543"/>
      <c r="C2402" s="543"/>
    </row>
    <row r="2403" spans="1:3">
      <c r="A2403" s="543"/>
      <c r="C2403" s="543"/>
    </row>
    <row r="2404" spans="1:3">
      <c r="A2404" s="543"/>
      <c r="C2404" s="543"/>
    </row>
    <row r="2405" spans="1:3">
      <c r="A2405" s="543"/>
      <c r="C2405" s="543"/>
    </row>
    <row r="2406" spans="1:3">
      <c r="A2406" s="543"/>
      <c r="C2406" s="543"/>
    </row>
    <row r="2407" spans="1:3">
      <c r="A2407" s="543"/>
      <c r="C2407" s="543"/>
    </row>
    <row r="2408" spans="1:3">
      <c r="A2408" s="543"/>
      <c r="C2408" s="543"/>
    </row>
    <row r="2409" spans="1:3">
      <c r="A2409" s="543"/>
      <c r="C2409" s="543"/>
    </row>
    <row r="2410" spans="1:3">
      <c r="A2410" s="543"/>
      <c r="C2410" s="543"/>
    </row>
    <row r="2411" spans="1:3">
      <c r="A2411" s="543"/>
      <c r="C2411" s="543"/>
    </row>
    <row r="2412" spans="1:3">
      <c r="A2412" s="543"/>
      <c r="C2412" s="543"/>
    </row>
    <row r="2413" spans="1:3">
      <c r="A2413" s="543"/>
      <c r="C2413" s="543"/>
    </row>
    <row r="2414" spans="1:3">
      <c r="A2414" s="543"/>
      <c r="C2414" s="543"/>
    </row>
    <row r="2415" spans="1:3">
      <c r="A2415" s="543"/>
      <c r="C2415" s="543"/>
    </row>
    <row r="2416" spans="1:3">
      <c r="A2416" s="543"/>
      <c r="C2416" s="543"/>
    </row>
    <row r="2417" spans="1:3">
      <c r="A2417" s="543"/>
      <c r="C2417" s="543"/>
    </row>
    <row r="2418" spans="1:3">
      <c r="A2418" s="543"/>
      <c r="C2418" s="543"/>
    </row>
    <row r="2419" spans="1:3">
      <c r="A2419" s="543"/>
      <c r="C2419" s="543"/>
    </row>
    <row r="2420" spans="1:3">
      <c r="A2420" s="543"/>
      <c r="C2420" s="543"/>
    </row>
    <row r="2421" spans="1:3">
      <c r="A2421" s="543"/>
      <c r="C2421" s="543"/>
    </row>
    <row r="2422" spans="1:3">
      <c r="A2422" s="543"/>
      <c r="C2422" s="543"/>
    </row>
    <row r="2423" spans="1:3">
      <c r="A2423" s="543"/>
      <c r="C2423" s="543"/>
    </row>
    <row r="2424" spans="1:3">
      <c r="A2424" s="543"/>
      <c r="C2424" s="543"/>
    </row>
    <row r="2425" spans="1:3">
      <c r="A2425" s="543"/>
      <c r="C2425" s="543"/>
    </row>
    <row r="2426" spans="1:3">
      <c r="A2426" s="543"/>
      <c r="C2426" s="543"/>
    </row>
    <row r="2427" spans="1:3">
      <c r="A2427" s="543"/>
      <c r="C2427" s="543"/>
    </row>
    <row r="2428" spans="1:3">
      <c r="A2428" s="543"/>
      <c r="C2428" s="543"/>
    </row>
    <row r="2429" spans="1:3">
      <c r="A2429" s="543"/>
      <c r="C2429" s="543"/>
    </row>
    <row r="2430" spans="1:3">
      <c r="A2430" s="543"/>
      <c r="C2430" s="543"/>
    </row>
    <row r="2431" spans="1:3">
      <c r="A2431" s="543"/>
      <c r="C2431" s="543"/>
    </row>
    <row r="2432" spans="1:3">
      <c r="A2432" s="543"/>
      <c r="C2432" s="543"/>
    </row>
    <row r="2433" spans="1:3">
      <c r="A2433" s="543"/>
      <c r="C2433" s="543"/>
    </row>
    <row r="2434" spans="1:3">
      <c r="A2434" s="543"/>
      <c r="C2434" s="543"/>
    </row>
    <row r="2435" spans="1:3">
      <c r="A2435" s="543"/>
      <c r="C2435" s="543"/>
    </row>
    <row r="2436" spans="1:3">
      <c r="A2436" s="543"/>
      <c r="C2436" s="543"/>
    </row>
    <row r="2437" spans="1:3">
      <c r="A2437" s="543"/>
      <c r="C2437" s="543"/>
    </row>
    <row r="2438" spans="1:3">
      <c r="A2438" s="543"/>
      <c r="C2438" s="543"/>
    </row>
    <row r="2439" spans="1:3">
      <c r="A2439" s="543"/>
      <c r="C2439" s="543"/>
    </row>
    <row r="2440" spans="1:3">
      <c r="A2440" s="543"/>
      <c r="C2440" s="543"/>
    </row>
    <row r="2441" spans="1:3">
      <c r="A2441" s="543"/>
      <c r="C2441" s="543"/>
    </row>
    <row r="2442" spans="1:3">
      <c r="A2442" s="543"/>
      <c r="C2442" s="543"/>
    </row>
    <row r="2443" spans="1:3">
      <c r="A2443" s="543"/>
      <c r="C2443" s="543"/>
    </row>
    <row r="2444" spans="1:3">
      <c r="A2444" s="543"/>
      <c r="C2444" s="543"/>
    </row>
    <row r="2445" spans="1:3">
      <c r="A2445" s="543"/>
      <c r="C2445" s="543"/>
    </row>
    <row r="2446" spans="1:3">
      <c r="A2446" s="543"/>
      <c r="C2446" s="543"/>
    </row>
    <row r="2447" spans="1:3">
      <c r="A2447" s="543"/>
      <c r="C2447" s="543"/>
    </row>
    <row r="2448" spans="1:3">
      <c r="A2448" s="543"/>
      <c r="C2448" s="543"/>
    </row>
    <row r="2449" spans="1:3">
      <c r="A2449" s="543"/>
      <c r="C2449" s="543"/>
    </row>
    <row r="2450" spans="1:3">
      <c r="A2450" s="543"/>
      <c r="C2450" s="543"/>
    </row>
    <row r="2451" spans="1:3">
      <c r="A2451" s="543"/>
      <c r="C2451" s="543"/>
    </row>
    <row r="2452" spans="1:3">
      <c r="A2452" s="543"/>
      <c r="C2452" s="543"/>
    </row>
    <row r="2453" spans="1:3">
      <c r="A2453" s="543"/>
      <c r="C2453" s="543"/>
    </row>
    <row r="2454" spans="1:3">
      <c r="A2454" s="543"/>
      <c r="C2454" s="543"/>
    </row>
    <row r="2455" spans="1:3">
      <c r="A2455" s="543"/>
      <c r="C2455" s="543"/>
    </row>
    <row r="2456" spans="1:3">
      <c r="A2456" s="543"/>
      <c r="C2456" s="543"/>
    </row>
    <row r="2457" spans="1:3">
      <c r="A2457" s="543"/>
      <c r="C2457" s="543"/>
    </row>
    <row r="2458" spans="1:3">
      <c r="A2458" s="543"/>
      <c r="C2458" s="543"/>
    </row>
    <row r="2459" spans="1:3">
      <c r="A2459" s="543"/>
      <c r="C2459" s="543"/>
    </row>
    <row r="2460" spans="1:3">
      <c r="A2460" s="543"/>
      <c r="C2460" s="543"/>
    </row>
    <row r="2461" spans="1:3">
      <c r="A2461" s="543"/>
      <c r="C2461" s="543"/>
    </row>
    <row r="2462" spans="1:3">
      <c r="A2462" s="543"/>
      <c r="C2462" s="543"/>
    </row>
    <row r="2463" spans="1:3">
      <c r="A2463" s="543"/>
      <c r="C2463" s="543"/>
    </row>
    <row r="2464" spans="1:3">
      <c r="A2464" s="543"/>
      <c r="C2464" s="543"/>
    </row>
    <row r="2465" spans="1:3">
      <c r="A2465" s="543"/>
      <c r="C2465" s="543"/>
    </row>
    <row r="2466" spans="1:3">
      <c r="A2466" s="543"/>
      <c r="C2466" s="543"/>
    </row>
    <row r="2467" spans="1:3">
      <c r="A2467" s="543"/>
      <c r="C2467" s="543"/>
    </row>
    <row r="2468" spans="1:3">
      <c r="A2468" s="543"/>
      <c r="C2468" s="543"/>
    </row>
    <row r="2469" spans="1:3">
      <c r="A2469" s="543"/>
      <c r="C2469" s="543"/>
    </row>
    <row r="2470" spans="1:3">
      <c r="A2470" s="543"/>
      <c r="C2470" s="543"/>
    </row>
    <row r="2471" spans="1:3">
      <c r="A2471" s="543"/>
      <c r="C2471" s="543"/>
    </row>
    <row r="2472" spans="1:3">
      <c r="A2472" s="543"/>
      <c r="C2472" s="543"/>
    </row>
    <row r="2473" spans="1:3">
      <c r="A2473" s="543"/>
      <c r="C2473" s="543"/>
    </row>
    <row r="2474" spans="1:3">
      <c r="A2474" s="543"/>
      <c r="C2474" s="543"/>
    </row>
    <row r="2475" spans="1:3">
      <c r="A2475" s="543"/>
      <c r="C2475" s="543"/>
    </row>
    <row r="2476" spans="1:3">
      <c r="A2476" s="543"/>
      <c r="C2476" s="543"/>
    </row>
    <row r="2477" spans="1:3">
      <c r="A2477" s="543"/>
      <c r="C2477" s="543"/>
    </row>
    <row r="2478" spans="1:3">
      <c r="A2478" s="543"/>
      <c r="C2478" s="543"/>
    </row>
    <row r="2479" spans="1:3">
      <c r="A2479" s="543"/>
      <c r="C2479" s="543"/>
    </row>
    <row r="2480" spans="1:3">
      <c r="A2480" s="543"/>
      <c r="C2480" s="543"/>
    </row>
    <row r="2481" spans="1:3">
      <c r="A2481" s="543"/>
      <c r="C2481" s="543"/>
    </row>
    <row r="2482" spans="1:3">
      <c r="A2482" s="543"/>
      <c r="C2482" s="543"/>
    </row>
    <row r="2483" spans="1:3">
      <c r="A2483" s="543"/>
      <c r="C2483" s="543"/>
    </row>
    <row r="2484" spans="1:3">
      <c r="A2484" s="543"/>
      <c r="C2484" s="543"/>
    </row>
    <row r="2485" spans="1:3">
      <c r="A2485" s="543"/>
      <c r="C2485" s="543"/>
    </row>
    <row r="2486" spans="1:3">
      <c r="A2486" s="543"/>
      <c r="C2486" s="543"/>
    </row>
    <row r="2487" spans="1:3">
      <c r="A2487" s="543"/>
      <c r="C2487" s="543"/>
    </row>
    <row r="2488" spans="1:3">
      <c r="A2488" s="543"/>
      <c r="C2488" s="543"/>
    </row>
    <row r="2489" spans="1:3">
      <c r="A2489" s="543"/>
      <c r="C2489" s="543"/>
    </row>
    <row r="2490" spans="1:3">
      <c r="A2490" s="543"/>
      <c r="C2490" s="543"/>
    </row>
    <row r="2491" spans="1:3">
      <c r="A2491" s="543"/>
      <c r="C2491" s="543"/>
    </row>
    <row r="2492" spans="1:3">
      <c r="A2492" s="543"/>
      <c r="C2492" s="543"/>
    </row>
    <row r="2493" spans="1:3">
      <c r="A2493" s="543"/>
      <c r="C2493" s="543"/>
    </row>
    <row r="2494" spans="1:3">
      <c r="A2494" s="543"/>
      <c r="C2494" s="543"/>
    </row>
    <row r="2495" spans="1:3">
      <c r="A2495" s="543"/>
      <c r="C2495" s="543"/>
    </row>
    <row r="2496" spans="1:3">
      <c r="A2496" s="543"/>
      <c r="C2496" s="543"/>
    </row>
    <row r="2497" spans="1:3">
      <c r="A2497" s="543"/>
      <c r="C2497" s="543"/>
    </row>
    <row r="2498" spans="1:3">
      <c r="A2498" s="543"/>
      <c r="C2498" s="543"/>
    </row>
    <row r="2499" spans="1:3">
      <c r="A2499" s="543"/>
      <c r="C2499" s="543"/>
    </row>
    <row r="2500" spans="1:3">
      <c r="A2500" s="543"/>
      <c r="C2500" s="543"/>
    </row>
    <row r="2501" spans="1:3">
      <c r="A2501" s="543"/>
      <c r="C2501" s="543"/>
    </row>
    <row r="2502" spans="1:3">
      <c r="A2502" s="543"/>
      <c r="C2502" s="543"/>
    </row>
    <row r="2503" spans="1:3">
      <c r="A2503" s="543"/>
      <c r="C2503" s="543"/>
    </row>
    <row r="2504" spans="1:3">
      <c r="A2504" s="543"/>
      <c r="C2504" s="543"/>
    </row>
    <row r="2505" spans="1:3">
      <c r="A2505" s="543"/>
      <c r="C2505" s="543"/>
    </row>
    <row r="2506" spans="1:3">
      <c r="A2506" s="543"/>
      <c r="C2506" s="543"/>
    </row>
    <row r="2507" spans="1:3">
      <c r="A2507" s="543"/>
      <c r="C2507" s="543"/>
    </row>
    <row r="2508" spans="1:3">
      <c r="A2508" s="543"/>
      <c r="C2508" s="543"/>
    </row>
    <row r="2509" spans="1:3">
      <c r="A2509" s="543"/>
      <c r="C2509" s="543"/>
    </row>
    <row r="2510" spans="1:3">
      <c r="A2510" s="543"/>
      <c r="C2510" s="543"/>
    </row>
    <row r="2511" spans="1:3">
      <c r="A2511" s="543"/>
      <c r="C2511" s="543"/>
    </row>
    <row r="2512" spans="1:3">
      <c r="A2512" s="543"/>
      <c r="C2512" s="543"/>
    </row>
    <row r="2513" spans="1:3">
      <c r="A2513" s="543"/>
      <c r="C2513" s="543"/>
    </row>
    <row r="2514" spans="1:3">
      <c r="A2514" s="543"/>
      <c r="C2514" s="543"/>
    </row>
    <row r="2515" spans="1:3">
      <c r="A2515" s="543"/>
      <c r="C2515" s="543"/>
    </row>
    <row r="2516" spans="1:3">
      <c r="A2516" s="543"/>
      <c r="C2516" s="543"/>
    </row>
    <row r="2517" spans="1:3">
      <c r="A2517" s="543"/>
      <c r="C2517" s="543"/>
    </row>
    <row r="2518" spans="1:3">
      <c r="A2518" s="543"/>
      <c r="C2518" s="543"/>
    </row>
    <row r="2519" spans="1:3">
      <c r="A2519" s="543"/>
      <c r="C2519" s="543"/>
    </row>
    <row r="2520" spans="1:3">
      <c r="A2520" s="543"/>
      <c r="C2520" s="543"/>
    </row>
    <row r="2521" spans="1:3">
      <c r="A2521" s="543"/>
      <c r="C2521" s="543"/>
    </row>
    <row r="2522" spans="1:3">
      <c r="A2522" s="543"/>
      <c r="C2522" s="543"/>
    </row>
    <row r="2523" spans="1:3">
      <c r="A2523" s="543"/>
      <c r="C2523" s="543"/>
    </row>
    <row r="2524" spans="1:3">
      <c r="A2524" s="543"/>
      <c r="C2524" s="543"/>
    </row>
    <row r="2525" spans="1:3">
      <c r="A2525" s="543"/>
      <c r="C2525" s="543"/>
    </row>
    <row r="2526" spans="1:3">
      <c r="A2526" s="543"/>
      <c r="C2526" s="543"/>
    </row>
    <row r="2527" spans="1:3">
      <c r="A2527" s="543"/>
      <c r="C2527" s="543"/>
    </row>
    <row r="2528" spans="1:3">
      <c r="A2528" s="543"/>
      <c r="C2528" s="543"/>
    </row>
    <row r="2529" spans="1:3">
      <c r="A2529" s="543"/>
      <c r="C2529" s="543"/>
    </row>
    <row r="2530" spans="1:3">
      <c r="A2530" s="543"/>
      <c r="C2530" s="543"/>
    </row>
    <row r="2531" spans="1:3">
      <c r="A2531" s="543"/>
      <c r="C2531" s="543"/>
    </row>
    <row r="2532" spans="1:3">
      <c r="A2532" s="543"/>
      <c r="C2532" s="543"/>
    </row>
    <row r="2533" spans="1:3">
      <c r="A2533" s="543"/>
      <c r="C2533" s="543"/>
    </row>
    <row r="2534" spans="1:3">
      <c r="A2534" s="543"/>
      <c r="C2534" s="543"/>
    </row>
    <row r="2535" spans="1:3">
      <c r="A2535" s="543"/>
      <c r="C2535" s="543"/>
    </row>
    <row r="2536" spans="1:3">
      <c r="A2536" s="543"/>
      <c r="C2536" s="543"/>
    </row>
    <row r="2537" spans="1:3">
      <c r="A2537" s="543"/>
      <c r="C2537" s="543"/>
    </row>
    <row r="2538" spans="1:3">
      <c r="A2538" s="543"/>
      <c r="C2538" s="543"/>
    </row>
    <row r="2539" spans="1:3">
      <c r="A2539" s="543"/>
      <c r="C2539" s="543"/>
    </row>
    <row r="2540" spans="1:3">
      <c r="A2540" s="543"/>
      <c r="C2540" s="543"/>
    </row>
    <row r="2541" spans="1:3">
      <c r="A2541" s="543"/>
      <c r="C2541" s="543"/>
    </row>
    <row r="2542" spans="1:3">
      <c r="A2542" s="543"/>
      <c r="C2542" s="543"/>
    </row>
    <row r="2543" spans="1:3">
      <c r="A2543" s="543"/>
      <c r="C2543" s="543"/>
    </row>
    <row r="2544" spans="1:3">
      <c r="A2544" s="543"/>
      <c r="C2544" s="543"/>
    </row>
    <row r="2545" spans="1:3">
      <c r="A2545" s="543"/>
      <c r="C2545" s="543"/>
    </row>
    <row r="2546" spans="1:3">
      <c r="A2546" s="543"/>
      <c r="C2546" s="543"/>
    </row>
    <row r="2547" spans="1:3">
      <c r="A2547" s="543"/>
      <c r="C2547" s="543"/>
    </row>
    <row r="2548" spans="1:3">
      <c r="A2548" s="543"/>
      <c r="C2548" s="543"/>
    </row>
    <row r="2549" spans="1:3">
      <c r="A2549" s="543"/>
      <c r="C2549" s="543"/>
    </row>
    <row r="2550" spans="1:3">
      <c r="A2550" s="543"/>
      <c r="C2550" s="543"/>
    </row>
    <row r="2551" spans="1:3">
      <c r="A2551" s="543"/>
      <c r="C2551" s="543"/>
    </row>
    <row r="2552" spans="1:3">
      <c r="A2552" s="543"/>
      <c r="C2552" s="543"/>
    </row>
    <row r="2553" spans="1:3">
      <c r="A2553" s="543"/>
      <c r="C2553" s="543"/>
    </row>
    <row r="2554" spans="1:3">
      <c r="A2554" s="543"/>
      <c r="C2554" s="543"/>
    </row>
    <row r="2555" spans="1:3">
      <c r="A2555" s="543"/>
      <c r="C2555" s="543"/>
    </row>
    <row r="2556" spans="1:3">
      <c r="A2556" s="543"/>
      <c r="C2556" s="543"/>
    </row>
    <row r="2557" spans="1:3">
      <c r="A2557" s="543"/>
      <c r="C2557" s="543"/>
    </row>
    <row r="2558" spans="1:3">
      <c r="A2558" s="543"/>
      <c r="C2558" s="543"/>
    </row>
    <row r="2559" spans="1:3">
      <c r="A2559" s="543"/>
      <c r="C2559" s="543"/>
    </row>
    <row r="2560" spans="1:3">
      <c r="A2560" s="543"/>
      <c r="C2560" s="543"/>
    </row>
    <row r="2561" spans="1:3">
      <c r="A2561" s="543"/>
      <c r="C2561" s="543"/>
    </row>
    <row r="2562" spans="1:3">
      <c r="A2562" s="543"/>
      <c r="C2562" s="543"/>
    </row>
    <row r="2563" spans="1:3">
      <c r="A2563" s="543"/>
      <c r="C2563" s="543"/>
    </row>
    <row r="2564" spans="1:3">
      <c r="A2564" s="543"/>
      <c r="C2564" s="543"/>
    </row>
    <row r="2565" spans="1:3">
      <c r="A2565" s="543"/>
      <c r="C2565" s="543"/>
    </row>
    <row r="2566" spans="1:3">
      <c r="A2566" s="543"/>
      <c r="C2566" s="543"/>
    </row>
    <row r="2567" spans="1:3">
      <c r="A2567" s="543"/>
      <c r="C2567" s="543"/>
    </row>
    <row r="2568" spans="1:3">
      <c r="A2568" s="543"/>
      <c r="C2568" s="543"/>
    </row>
    <row r="2569" spans="1:3">
      <c r="A2569" s="543"/>
      <c r="C2569" s="543"/>
    </row>
    <row r="2570" spans="1:3">
      <c r="A2570" s="543"/>
      <c r="C2570" s="543"/>
    </row>
    <row r="2571" spans="1:3">
      <c r="A2571" s="543"/>
      <c r="C2571" s="543"/>
    </row>
    <row r="2572" spans="1:3">
      <c r="A2572" s="543"/>
      <c r="C2572" s="543"/>
    </row>
    <row r="2573" spans="1:3">
      <c r="A2573" s="543"/>
      <c r="C2573" s="543"/>
    </row>
    <row r="2574" spans="1:3">
      <c r="A2574" s="543"/>
      <c r="C2574" s="543"/>
    </row>
    <row r="2575" spans="1:3">
      <c r="A2575" s="543"/>
      <c r="C2575" s="543"/>
    </row>
    <row r="2576" spans="1:3">
      <c r="A2576" s="543"/>
      <c r="C2576" s="543"/>
    </row>
    <row r="2577" spans="1:3">
      <c r="A2577" s="543"/>
      <c r="C2577" s="543"/>
    </row>
    <row r="2578" spans="1:3">
      <c r="A2578" s="543"/>
      <c r="C2578" s="543"/>
    </row>
    <row r="2579" spans="1:3">
      <c r="A2579" s="543"/>
      <c r="C2579" s="543"/>
    </row>
    <row r="2580" spans="1:3">
      <c r="A2580" s="543"/>
      <c r="C2580" s="543"/>
    </row>
    <row r="2581" spans="1:3">
      <c r="A2581" s="543"/>
      <c r="C2581" s="543"/>
    </row>
    <row r="2582" spans="1:3">
      <c r="A2582" s="543"/>
      <c r="C2582" s="543"/>
    </row>
    <row r="2583" spans="1:3">
      <c r="A2583" s="543"/>
      <c r="C2583" s="543"/>
    </row>
    <row r="2584" spans="1:3">
      <c r="A2584" s="543"/>
      <c r="C2584" s="543"/>
    </row>
    <row r="2585" spans="1:3">
      <c r="A2585" s="543"/>
      <c r="C2585" s="543"/>
    </row>
    <row r="2586" spans="1:3">
      <c r="A2586" s="543"/>
      <c r="C2586" s="543"/>
    </row>
    <row r="2587" spans="1:3">
      <c r="A2587" s="543"/>
      <c r="C2587" s="543"/>
    </row>
    <row r="2588" spans="1:3">
      <c r="A2588" s="543"/>
      <c r="C2588" s="543"/>
    </row>
    <row r="2589" spans="1:3">
      <c r="A2589" s="543"/>
      <c r="C2589" s="543"/>
    </row>
    <row r="2590" spans="1:3">
      <c r="A2590" s="543"/>
      <c r="C2590" s="543"/>
    </row>
    <row r="2591" spans="1:3">
      <c r="A2591" s="543"/>
      <c r="C2591" s="543"/>
    </row>
    <row r="2592" spans="1:3">
      <c r="A2592" s="543"/>
      <c r="C2592" s="543"/>
    </row>
    <row r="2593" spans="1:3">
      <c r="A2593" s="543"/>
      <c r="C2593" s="543"/>
    </row>
    <row r="2594" spans="1:3">
      <c r="A2594" s="543"/>
      <c r="C2594" s="543"/>
    </row>
    <row r="2595" spans="1:3">
      <c r="A2595" s="543"/>
      <c r="C2595" s="543"/>
    </row>
    <row r="2596" spans="1:3">
      <c r="A2596" s="543"/>
      <c r="C2596" s="543"/>
    </row>
    <row r="2597" spans="1:3">
      <c r="A2597" s="543"/>
      <c r="C2597" s="543"/>
    </row>
    <row r="2598" spans="1:3">
      <c r="A2598" s="543"/>
      <c r="C2598" s="543"/>
    </row>
    <row r="2599" spans="1:3">
      <c r="A2599" s="543"/>
      <c r="C2599" s="543"/>
    </row>
    <row r="2600" spans="1:3">
      <c r="A2600" s="543"/>
      <c r="C2600" s="543"/>
    </row>
    <row r="2601" spans="1:3">
      <c r="A2601" s="543"/>
      <c r="C2601" s="543"/>
    </row>
    <row r="2602" spans="1:3">
      <c r="A2602" s="543"/>
      <c r="C2602" s="543"/>
    </row>
    <row r="2603" spans="1:3">
      <c r="A2603" s="543"/>
      <c r="C2603" s="543"/>
    </row>
    <row r="2604" spans="1:3">
      <c r="A2604" s="543"/>
      <c r="C2604" s="543"/>
    </row>
    <row r="2605" spans="1:3">
      <c r="A2605" s="543"/>
      <c r="C2605" s="543"/>
    </row>
    <row r="2606" spans="1:3">
      <c r="A2606" s="543"/>
      <c r="C2606" s="543"/>
    </row>
    <row r="2607" spans="1:3">
      <c r="A2607" s="543"/>
      <c r="C2607" s="543"/>
    </row>
    <row r="2608" spans="1:3">
      <c r="A2608" s="543"/>
      <c r="C2608" s="543"/>
    </row>
    <row r="2609" spans="1:3">
      <c r="A2609" s="543"/>
      <c r="C2609" s="543"/>
    </row>
    <row r="2610" spans="1:3">
      <c r="A2610" s="543"/>
      <c r="C2610" s="543"/>
    </row>
    <row r="2611" spans="1:3">
      <c r="A2611" s="543"/>
      <c r="C2611" s="543"/>
    </row>
    <row r="2612" spans="1:3">
      <c r="A2612" s="543"/>
      <c r="C2612" s="543"/>
    </row>
    <row r="2613" spans="1:3">
      <c r="A2613" s="543"/>
      <c r="C2613" s="543"/>
    </row>
    <row r="2614" spans="1:3">
      <c r="A2614" s="543"/>
      <c r="C2614" s="543"/>
    </row>
    <row r="2615" spans="1:3">
      <c r="A2615" s="543"/>
      <c r="C2615" s="543"/>
    </row>
    <row r="2616" spans="1:3">
      <c r="A2616" s="543"/>
      <c r="C2616" s="543"/>
    </row>
    <row r="2617" spans="1:3">
      <c r="A2617" s="543"/>
      <c r="C2617" s="543"/>
    </row>
    <row r="2618" spans="1:3">
      <c r="A2618" s="543"/>
      <c r="C2618" s="543"/>
    </row>
    <row r="2619" spans="1:3">
      <c r="A2619" s="543"/>
      <c r="C2619" s="543"/>
    </row>
    <row r="2620" spans="1:3">
      <c r="A2620" s="543"/>
      <c r="C2620" s="543"/>
    </row>
    <row r="2621" spans="1:3">
      <c r="A2621" s="543"/>
      <c r="C2621" s="543"/>
    </row>
    <row r="2622" spans="1:3">
      <c r="A2622" s="543"/>
      <c r="C2622" s="543"/>
    </row>
    <row r="2623" spans="1:3">
      <c r="A2623" s="543"/>
      <c r="C2623" s="543"/>
    </row>
    <row r="2624" spans="1:3">
      <c r="A2624" s="543"/>
      <c r="C2624" s="543"/>
    </row>
    <row r="2625" spans="1:3">
      <c r="A2625" s="543"/>
      <c r="C2625" s="543"/>
    </row>
    <row r="2626" spans="1:3">
      <c r="A2626" s="543"/>
      <c r="C2626" s="543"/>
    </row>
    <row r="2627" spans="1:3">
      <c r="A2627" s="543"/>
      <c r="C2627" s="543"/>
    </row>
    <row r="2628" spans="1:3">
      <c r="A2628" s="543"/>
      <c r="C2628" s="543"/>
    </row>
    <row r="2629" spans="1:3">
      <c r="A2629" s="543"/>
      <c r="C2629" s="543"/>
    </row>
    <row r="2630" spans="1:3">
      <c r="A2630" s="543"/>
      <c r="C2630" s="543"/>
    </row>
    <row r="2631" spans="1:3">
      <c r="A2631" s="543"/>
      <c r="C2631" s="543"/>
    </row>
    <row r="2632" spans="1:3">
      <c r="A2632" s="543"/>
      <c r="C2632" s="543"/>
    </row>
    <row r="2633" spans="1:3">
      <c r="A2633" s="543"/>
      <c r="C2633" s="543"/>
    </row>
    <row r="2634" spans="1:3">
      <c r="A2634" s="543"/>
      <c r="C2634" s="543"/>
    </row>
    <row r="2635" spans="1:3">
      <c r="A2635" s="543"/>
      <c r="C2635" s="543"/>
    </row>
    <row r="2636" spans="1:3">
      <c r="A2636" s="543"/>
      <c r="C2636" s="543"/>
    </row>
    <row r="2637" spans="1:3">
      <c r="A2637" s="543"/>
      <c r="C2637" s="543"/>
    </row>
    <row r="2638" spans="1:3">
      <c r="A2638" s="543"/>
      <c r="C2638" s="543"/>
    </row>
    <row r="2639" spans="1:3">
      <c r="A2639" s="543"/>
      <c r="C2639" s="543"/>
    </row>
    <row r="2640" spans="1:3">
      <c r="A2640" s="543"/>
      <c r="C2640" s="543"/>
    </row>
    <row r="2641" spans="1:3">
      <c r="A2641" s="543"/>
      <c r="C2641" s="543"/>
    </row>
    <row r="2642" spans="1:3">
      <c r="A2642" s="543"/>
      <c r="C2642" s="543"/>
    </row>
    <row r="2643" spans="1:3">
      <c r="A2643" s="543"/>
      <c r="C2643" s="543"/>
    </row>
    <row r="2644" spans="1:3">
      <c r="A2644" s="543"/>
      <c r="C2644" s="543"/>
    </row>
    <row r="2645" spans="1:3">
      <c r="A2645" s="543"/>
      <c r="C2645" s="543"/>
    </row>
    <row r="2646" spans="1:3">
      <c r="A2646" s="543"/>
      <c r="C2646" s="543"/>
    </row>
    <row r="2647" spans="1:3">
      <c r="A2647" s="543"/>
      <c r="C2647" s="543"/>
    </row>
    <row r="2648" spans="1:3">
      <c r="A2648" s="543"/>
      <c r="C2648" s="543"/>
    </row>
    <row r="2649" spans="1:3">
      <c r="A2649" s="543"/>
      <c r="C2649" s="543"/>
    </row>
    <row r="2650" spans="1:3">
      <c r="A2650" s="543"/>
      <c r="C2650" s="543"/>
    </row>
    <row r="2651" spans="1:3">
      <c r="A2651" s="543"/>
      <c r="C2651" s="543"/>
    </row>
    <row r="2652" spans="1:3">
      <c r="A2652" s="543"/>
      <c r="C2652" s="543"/>
    </row>
    <row r="2653" spans="1:3">
      <c r="A2653" s="543"/>
      <c r="C2653" s="543"/>
    </row>
    <row r="2654" spans="1:3">
      <c r="A2654" s="543"/>
      <c r="C2654" s="543"/>
    </row>
    <row r="2655" spans="1:3">
      <c r="A2655" s="543"/>
      <c r="C2655" s="543"/>
    </row>
    <row r="2656" spans="1:3">
      <c r="A2656" s="543"/>
      <c r="C2656" s="543"/>
    </row>
    <row r="2657" spans="1:3">
      <c r="A2657" s="543"/>
      <c r="C2657" s="543"/>
    </row>
    <row r="2658" spans="1:3">
      <c r="A2658" s="543"/>
      <c r="C2658" s="543"/>
    </row>
    <row r="2659" spans="1:3">
      <c r="A2659" s="543"/>
      <c r="C2659" s="543"/>
    </row>
    <row r="2660" spans="1:3">
      <c r="A2660" s="543"/>
      <c r="C2660" s="543"/>
    </row>
    <row r="2661" spans="1:3">
      <c r="A2661" s="543"/>
      <c r="C2661" s="543"/>
    </row>
    <row r="2662" spans="1:3">
      <c r="A2662" s="543"/>
      <c r="C2662" s="543"/>
    </row>
    <row r="2663" spans="1:3">
      <c r="A2663" s="543"/>
      <c r="C2663" s="543"/>
    </row>
    <row r="2664" spans="1:3">
      <c r="A2664" s="543"/>
      <c r="C2664" s="543"/>
    </row>
    <row r="2665" spans="1:3">
      <c r="A2665" s="543"/>
      <c r="C2665" s="543"/>
    </row>
    <row r="2666" spans="1:3">
      <c r="A2666" s="543"/>
      <c r="C2666" s="543"/>
    </row>
    <row r="2667" spans="1:3">
      <c r="A2667" s="543"/>
      <c r="C2667" s="543"/>
    </row>
    <row r="2668" spans="1:3">
      <c r="A2668" s="543"/>
      <c r="C2668" s="543"/>
    </row>
    <row r="2669" spans="1:3">
      <c r="A2669" s="543"/>
      <c r="C2669" s="543"/>
    </row>
    <row r="2670" spans="1:3">
      <c r="A2670" s="543"/>
      <c r="C2670" s="543"/>
    </row>
    <row r="2671" spans="1:3">
      <c r="A2671" s="543"/>
      <c r="C2671" s="543"/>
    </row>
    <row r="2672" spans="1:3">
      <c r="A2672" s="543"/>
      <c r="C2672" s="543"/>
    </row>
    <row r="2673" spans="1:3">
      <c r="A2673" s="543"/>
      <c r="C2673" s="543"/>
    </row>
    <row r="2674" spans="1:3">
      <c r="A2674" s="543"/>
      <c r="C2674" s="543"/>
    </row>
    <row r="2675" spans="1:3">
      <c r="A2675" s="543"/>
      <c r="C2675" s="543"/>
    </row>
    <row r="2676" spans="1:3">
      <c r="A2676" s="543"/>
      <c r="C2676" s="543"/>
    </row>
    <row r="2677" spans="1:3">
      <c r="A2677" s="543"/>
      <c r="C2677" s="543"/>
    </row>
    <row r="2678" spans="1:3">
      <c r="A2678" s="543"/>
      <c r="C2678" s="543"/>
    </row>
    <row r="2679" spans="1:3">
      <c r="A2679" s="543"/>
      <c r="C2679" s="543"/>
    </row>
    <row r="2680" spans="1:3">
      <c r="A2680" s="543"/>
      <c r="C2680" s="543"/>
    </row>
    <row r="2681" spans="1:3">
      <c r="A2681" s="543"/>
      <c r="C2681" s="543"/>
    </row>
    <row r="2682" spans="1:3">
      <c r="A2682" s="543"/>
      <c r="C2682" s="543"/>
    </row>
    <row r="2683" spans="1:3">
      <c r="A2683" s="543"/>
      <c r="C2683" s="543"/>
    </row>
    <row r="2684" spans="1:3">
      <c r="A2684" s="543"/>
      <c r="C2684" s="543"/>
    </row>
    <row r="2685" spans="1:3">
      <c r="A2685" s="543"/>
      <c r="C2685" s="543"/>
    </row>
    <row r="2686" spans="1:3">
      <c r="A2686" s="543"/>
      <c r="C2686" s="543"/>
    </row>
    <row r="2687" spans="1:3">
      <c r="A2687" s="543"/>
      <c r="C2687" s="543"/>
    </row>
    <row r="2688" spans="1:3">
      <c r="A2688" s="543"/>
      <c r="C2688" s="543"/>
    </row>
    <row r="2689" spans="1:3">
      <c r="A2689" s="543"/>
      <c r="C2689" s="543"/>
    </row>
    <row r="2690" spans="1:3">
      <c r="A2690" s="543"/>
      <c r="C2690" s="543"/>
    </row>
    <row r="2691" spans="1:3">
      <c r="A2691" s="543"/>
      <c r="C2691" s="543"/>
    </row>
    <row r="2692" spans="1:3">
      <c r="A2692" s="543"/>
      <c r="C2692" s="543"/>
    </row>
    <row r="2693" spans="1:3">
      <c r="A2693" s="543"/>
      <c r="C2693" s="543"/>
    </row>
    <row r="2694" spans="1:3">
      <c r="A2694" s="543"/>
      <c r="C2694" s="543"/>
    </row>
    <row r="2695" spans="1:3">
      <c r="A2695" s="543"/>
      <c r="C2695" s="543"/>
    </row>
    <row r="2696" spans="1:3">
      <c r="A2696" s="543"/>
      <c r="C2696" s="543"/>
    </row>
    <row r="2697" spans="1:3">
      <c r="A2697" s="543"/>
      <c r="C2697" s="543"/>
    </row>
    <row r="2698" spans="1:3">
      <c r="A2698" s="543"/>
      <c r="C2698" s="543"/>
    </row>
    <row r="2699" spans="1:3">
      <c r="A2699" s="543"/>
      <c r="C2699" s="543"/>
    </row>
    <row r="2700" spans="1:3">
      <c r="A2700" s="543"/>
      <c r="C2700" s="543"/>
    </row>
    <row r="2701" spans="1:3">
      <c r="A2701" s="543"/>
      <c r="C2701" s="543"/>
    </row>
    <row r="2702" spans="1:3">
      <c r="A2702" s="543"/>
      <c r="C2702" s="543"/>
    </row>
    <row r="2703" spans="1:3">
      <c r="A2703" s="543"/>
      <c r="C2703" s="543"/>
    </row>
    <row r="2704" spans="1:3">
      <c r="A2704" s="543"/>
      <c r="C2704" s="543"/>
    </row>
    <row r="2705" spans="1:3">
      <c r="A2705" s="543"/>
      <c r="C2705" s="543"/>
    </row>
    <row r="2706" spans="1:3">
      <c r="A2706" s="543"/>
      <c r="C2706" s="543"/>
    </row>
    <row r="2707" spans="1:3">
      <c r="A2707" s="543"/>
      <c r="C2707" s="543"/>
    </row>
    <row r="2708" spans="1:3">
      <c r="A2708" s="543"/>
      <c r="C2708" s="543"/>
    </row>
    <row r="2709" spans="1:3">
      <c r="A2709" s="543"/>
      <c r="C2709" s="543"/>
    </row>
    <row r="2710" spans="1:3">
      <c r="A2710" s="543"/>
      <c r="C2710" s="543"/>
    </row>
    <row r="2711" spans="1:3">
      <c r="A2711" s="543"/>
      <c r="C2711" s="543"/>
    </row>
    <row r="2712" spans="1:3">
      <c r="A2712" s="543"/>
      <c r="C2712" s="543"/>
    </row>
    <row r="2713" spans="1:3">
      <c r="A2713" s="543"/>
      <c r="C2713" s="543"/>
    </row>
    <row r="2714" spans="1:3">
      <c r="A2714" s="543"/>
      <c r="C2714" s="543"/>
    </row>
    <row r="2715" spans="1:3">
      <c r="A2715" s="543"/>
      <c r="C2715" s="543"/>
    </row>
    <row r="2716" spans="1:3">
      <c r="A2716" s="543"/>
      <c r="C2716" s="543"/>
    </row>
    <row r="2717" spans="1:3">
      <c r="A2717" s="543"/>
      <c r="C2717" s="543"/>
    </row>
    <row r="2718" spans="1:3">
      <c r="A2718" s="543"/>
      <c r="C2718" s="543"/>
    </row>
    <row r="2719" spans="1:3">
      <c r="A2719" s="543"/>
      <c r="C2719" s="543"/>
    </row>
    <row r="2720" spans="1:3">
      <c r="A2720" s="543"/>
      <c r="C2720" s="543"/>
    </row>
    <row r="2721" spans="1:3">
      <c r="A2721" s="543"/>
      <c r="C2721" s="543"/>
    </row>
    <row r="2722" spans="1:3">
      <c r="A2722" s="543"/>
      <c r="C2722" s="543"/>
    </row>
    <row r="2723" spans="1:3">
      <c r="A2723" s="543"/>
      <c r="C2723" s="543"/>
    </row>
    <row r="2724" spans="1:3">
      <c r="A2724" s="543"/>
      <c r="C2724" s="543"/>
    </row>
    <row r="2725" spans="1:3">
      <c r="A2725" s="543"/>
      <c r="C2725" s="543"/>
    </row>
    <row r="2726" spans="1:3">
      <c r="A2726" s="543"/>
      <c r="C2726" s="543"/>
    </row>
    <row r="2727" spans="1:3">
      <c r="A2727" s="543"/>
      <c r="C2727" s="543"/>
    </row>
    <row r="2728" spans="1:3">
      <c r="A2728" s="543"/>
      <c r="C2728" s="543"/>
    </row>
    <row r="2729" spans="1:3">
      <c r="A2729" s="543"/>
      <c r="C2729" s="543"/>
    </row>
    <row r="2730" spans="1:3">
      <c r="A2730" s="543"/>
      <c r="C2730" s="543"/>
    </row>
    <row r="2731" spans="1:3">
      <c r="A2731" s="543"/>
      <c r="C2731" s="543"/>
    </row>
    <row r="2732" spans="1:3">
      <c r="A2732" s="543"/>
      <c r="C2732" s="543"/>
    </row>
    <row r="2733" spans="1:3">
      <c r="A2733" s="543"/>
      <c r="C2733" s="543"/>
    </row>
    <row r="2734" spans="1:3">
      <c r="A2734" s="543"/>
      <c r="C2734" s="543"/>
    </row>
    <row r="2735" spans="1:3">
      <c r="A2735" s="543"/>
      <c r="C2735" s="543"/>
    </row>
    <row r="2736" spans="1:3">
      <c r="A2736" s="543"/>
      <c r="C2736" s="543"/>
    </row>
    <row r="2737" spans="1:3">
      <c r="A2737" s="543"/>
      <c r="C2737" s="543"/>
    </row>
    <row r="2738" spans="1:3">
      <c r="A2738" s="543"/>
      <c r="C2738" s="543"/>
    </row>
    <row r="2739" spans="1:3">
      <c r="A2739" s="543"/>
      <c r="C2739" s="543"/>
    </row>
    <row r="2740" spans="1:3">
      <c r="A2740" s="543"/>
      <c r="C2740" s="543"/>
    </row>
    <row r="2741" spans="1:3">
      <c r="A2741" s="543"/>
      <c r="C2741" s="543"/>
    </row>
    <row r="2742" spans="1:3">
      <c r="A2742" s="543"/>
      <c r="C2742" s="543"/>
    </row>
    <row r="2743" spans="1:3">
      <c r="A2743" s="543"/>
      <c r="C2743" s="543"/>
    </row>
    <row r="2744" spans="1:3">
      <c r="A2744" s="543"/>
      <c r="C2744" s="543"/>
    </row>
    <row r="2745" spans="1:3">
      <c r="A2745" s="543"/>
      <c r="C2745" s="543"/>
    </row>
    <row r="2746" spans="1:3">
      <c r="A2746" s="543"/>
      <c r="C2746" s="543"/>
    </row>
    <row r="2747" spans="1:3">
      <c r="A2747" s="543"/>
      <c r="C2747" s="543"/>
    </row>
    <row r="2748" spans="1:3">
      <c r="A2748" s="543"/>
      <c r="C2748" s="543"/>
    </row>
    <row r="2749" spans="1:3">
      <c r="A2749" s="543"/>
      <c r="C2749" s="543"/>
    </row>
    <row r="2750" spans="1:3">
      <c r="A2750" s="543"/>
      <c r="C2750" s="543"/>
    </row>
    <row r="2751" spans="1:3">
      <c r="A2751" s="543"/>
      <c r="C2751" s="543"/>
    </row>
    <row r="2752" spans="1:3">
      <c r="A2752" s="543"/>
      <c r="C2752" s="543"/>
    </row>
    <row r="2753" spans="1:3">
      <c r="A2753" s="543"/>
      <c r="C2753" s="543"/>
    </row>
    <row r="2754" spans="1:3">
      <c r="A2754" s="543"/>
      <c r="C2754" s="543"/>
    </row>
    <row r="2755" spans="1:3">
      <c r="A2755" s="543"/>
      <c r="C2755" s="543"/>
    </row>
    <row r="2756" spans="1:3">
      <c r="A2756" s="543"/>
      <c r="C2756" s="543"/>
    </row>
    <row r="2757" spans="1:3">
      <c r="A2757" s="543"/>
      <c r="C2757" s="543"/>
    </row>
    <row r="2758" spans="1:3">
      <c r="A2758" s="543"/>
      <c r="C2758" s="543"/>
    </row>
    <row r="2759" spans="1:3">
      <c r="A2759" s="543"/>
      <c r="C2759" s="543"/>
    </row>
    <row r="2760" spans="1:3">
      <c r="A2760" s="543"/>
      <c r="C2760" s="543"/>
    </row>
    <row r="2761" spans="1:3">
      <c r="A2761" s="543"/>
      <c r="C2761" s="543"/>
    </row>
    <row r="2762" spans="1:3">
      <c r="A2762" s="543"/>
      <c r="C2762" s="543"/>
    </row>
    <row r="2763" spans="1:3">
      <c r="A2763" s="543"/>
      <c r="C2763" s="543"/>
    </row>
    <row r="2764" spans="1:3">
      <c r="A2764" s="543"/>
      <c r="C2764" s="543"/>
    </row>
    <row r="2765" spans="1:3">
      <c r="A2765" s="543"/>
      <c r="C2765" s="543"/>
    </row>
    <row r="2766" spans="1:3">
      <c r="A2766" s="543"/>
      <c r="C2766" s="543"/>
    </row>
    <row r="2767" spans="1:3">
      <c r="A2767" s="543"/>
      <c r="C2767" s="543"/>
    </row>
    <row r="2768" spans="1:3">
      <c r="A2768" s="543"/>
      <c r="C2768" s="543"/>
    </row>
    <row r="2769" spans="1:3">
      <c r="A2769" s="543"/>
      <c r="C2769" s="543"/>
    </row>
    <row r="2770" spans="1:3">
      <c r="A2770" s="543"/>
      <c r="C2770" s="543"/>
    </row>
    <row r="2771" spans="1:3">
      <c r="A2771" s="543"/>
      <c r="C2771" s="543"/>
    </row>
    <row r="2772" spans="1:3">
      <c r="A2772" s="543"/>
      <c r="C2772" s="543"/>
    </row>
    <row r="2773" spans="1:3">
      <c r="A2773" s="543"/>
      <c r="C2773" s="543"/>
    </row>
    <row r="2774" spans="1:3">
      <c r="A2774" s="543"/>
      <c r="C2774" s="543"/>
    </row>
    <row r="2775" spans="1:3">
      <c r="A2775" s="543"/>
      <c r="C2775" s="543"/>
    </row>
    <row r="2776" spans="1:3">
      <c r="A2776" s="543"/>
      <c r="C2776" s="543"/>
    </row>
    <row r="2777" spans="1:3">
      <c r="A2777" s="543"/>
      <c r="C2777" s="543"/>
    </row>
    <row r="2778" spans="1:3">
      <c r="A2778" s="543"/>
      <c r="C2778" s="543"/>
    </row>
    <row r="2779" spans="1:3">
      <c r="A2779" s="543"/>
      <c r="C2779" s="543"/>
    </row>
    <row r="2780" spans="1:3">
      <c r="A2780" s="543"/>
      <c r="C2780" s="543"/>
    </row>
    <row r="2781" spans="1:3">
      <c r="A2781" s="543"/>
      <c r="C2781" s="543"/>
    </row>
    <row r="2782" spans="1:3">
      <c r="A2782" s="543"/>
      <c r="C2782" s="543"/>
    </row>
    <row r="2783" spans="1:3">
      <c r="A2783" s="543"/>
      <c r="C2783" s="543"/>
    </row>
    <row r="2784" spans="1:3">
      <c r="A2784" s="543"/>
      <c r="C2784" s="543"/>
    </row>
    <row r="2785" spans="1:3">
      <c r="A2785" s="543"/>
      <c r="C2785" s="543"/>
    </row>
    <row r="2786" spans="1:3">
      <c r="A2786" s="543"/>
      <c r="C2786" s="543"/>
    </row>
    <row r="2787" spans="1:3">
      <c r="A2787" s="543"/>
      <c r="C2787" s="543"/>
    </row>
    <row r="2788" spans="1:3">
      <c r="A2788" s="543"/>
      <c r="C2788" s="543"/>
    </row>
    <row r="2789" spans="1:3">
      <c r="A2789" s="543"/>
      <c r="C2789" s="543"/>
    </row>
    <row r="2790" spans="1:3">
      <c r="A2790" s="543"/>
      <c r="C2790" s="543"/>
    </row>
    <row r="2791" spans="1:3">
      <c r="A2791" s="543"/>
      <c r="C2791" s="543"/>
    </row>
    <row r="2792" spans="1:3">
      <c r="A2792" s="543"/>
      <c r="C2792" s="543"/>
    </row>
    <row r="2793" spans="1:3">
      <c r="A2793" s="543"/>
      <c r="C2793" s="543"/>
    </row>
    <row r="2794" spans="1:3">
      <c r="A2794" s="543"/>
      <c r="C2794" s="543"/>
    </row>
    <row r="2795" spans="1:3">
      <c r="A2795" s="543"/>
      <c r="C2795" s="543"/>
    </row>
    <row r="2796" spans="1:3">
      <c r="A2796" s="543"/>
      <c r="C2796" s="543"/>
    </row>
    <row r="2797" spans="1:3">
      <c r="A2797" s="543"/>
      <c r="C2797" s="543"/>
    </row>
    <row r="2798" spans="1:3">
      <c r="A2798" s="543"/>
      <c r="C2798" s="543"/>
    </row>
    <row r="2799" spans="1:3">
      <c r="A2799" s="543"/>
      <c r="C2799" s="543"/>
    </row>
    <row r="2800" spans="1:3">
      <c r="A2800" s="543"/>
      <c r="C2800" s="543"/>
    </row>
    <row r="2801" spans="1:3">
      <c r="A2801" s="543"/>
      <c r="C2801" s="543"/>
    </row>
    <row r="2802" spans="1:3">
      <c r="A2802" s="543"/>
      <c r="C2802" s="543"/>
    </row>
    <row r="2803" spans="1:3">
      <c r="A2803" s="543"/>
      <c r="C2803" s="543"/>
    </row>
    <row r="2804" spans="1:3">
      <c r="A2804" s="543"/>
      <c r="C2804" s="543"/>
    </row>
    <row r="2805" spans="1:3">
      <c r="A2805" s="543"/>
      <c r="C2805" s="543"/>
    </row>
    <row r="2806" spans="1:3">
      <c r="A2806" s="543"/>
      <c r="C2806" s="543"/>
    </row>
    <row r="2807" spans="1:3">
      <c r="A2807" s="543"/>
      <c r="C2807" s="543"/>
    </row>
    <row r="2808" spans="1:3">
      <c r="A2808" s="543"/>
      <c r="C2808" s="543"/>
    </row>
    <row r="2809" spans="1:3">
      <c r="A2809" s="543"/>
      <c r="C2809" s="543"/>
    </row>
    <row r="2810" spans="1:3">
      <c r="A2810" s="543"/>
      <c r="C2810" s="543"/>
    </row>
    <row r="2811" spans="1:3">
      <c r="A2811" s="543"/>
      <c r="C2811" s="543"/>
    </row>
    <row r="2812" spans="1:3">
      <c r="A2812" s="543"/>
      <c r="C2812" s="543"/>
    </row>
    <row r="2813" spans="1:3">
      <c r="A2813" s="543"/>
      <c r="C2813" s="543"/>
    </row>
    <row r="2814" spans="1:3">
      <c r="A2814" s="543"/>
      <c r="C2814" s="543"/>
    </row>
    <row r="2815" spans="1:3">
      <c r="A2815" s="543"/>
      <c r="C2815" s="543"/>
    </row>
    <row r="2816" spans="1:3">
      <c r="A2816" s="543"/>
      <c r="C2816" s="543"/>
    </row>
    <row r="2817" spans="1:3">
      <c r="A2817" s="543"/>
      <c r="C2817" s="543"/>
    </row>
    <row r="2818" spans="1:3">
      <c r="A2818" s="543"/>
      <c r="C2818" s="543"/>
    </row>
    <row r="2819" spans="1:3">
      <c r="A2819" s="543"/>
      <c r="C2819" s="543"/>
    </row>
    <row r="2820" spans="1:3">
      <c r="A2820" s="543"/>
      <c r="C2820" s="543"/>
    </row>
    <row r="2821" spans="1:3">
      <c r="A2821" s="543"/>
      <c r="C2821" s="543"/>
    </row>
    <row r="2822" spans="1:3">
      <c r="A2822" s="543"/>
      <c r="C2822" s="543"/>
    </row>
    <row r="2823" spans="1:3">
      <c r="A2823" s="543"/>
      <c r="C2823" s="543"/>
    </row>
    <row r="2824" spans="1:3">
      <c r="A2824" s="543"/>
      <c r="C2824" s="543"/>
    </row>
    <row r="2825" spans="1:3">
      <c r="A2825" s="543"/>
      <c r="C2825" s="543"/>
    </row>
    <row r="2826" spans="1:3">
      <c r="A2826" s="543"/>
      <c r="C2826" s="543"/>
    </row>
    <row r="2827" spans="1:3">
      <c r="A2827" s="543"/>
      <c r="C2827" s="543"/>
    </row>
    <row r="2828" spans="1:3">
      <c r="A2828" s="543"/>
      <c r="C2828" s="543"/>
    </row>
    <row r="2829" spans="1:3">
      <c r="A2829" s="543"/>
      <c r="C2829" s="543"/>
    </row>
    <row r="2830" spans="1:3">
      <c r="A2830" s="543"/>
      <c r="C2830" s="543"/>
    </row>
    <row r="2831" spans="1:3">
      <c r="A2831" s="543"/>
      <c r="C2831" s="543"/>
    </row>
    <row r="2832" spans="1:3">
      <c r="A2832" s="543"/>
      <c r="C2832" s="543"/>
    </row>
    <row r="2833" spans="1:3">
      <c r="A2833" s="543"/>
      <c r="C2833" s="543"/>
    </row>
    <row r="2834" spans="1:3">
      <c r="A2834" s="543"/>
      <c r="C2834" s="543"/>
    </row>
    <row r="2835" spans="1:3">
      <c r="A2835" s="543"/>
      <c r="C2835" s="543"/>
    </row>
    <row r="2836" spans="1:3">
      <c r="A2836" s="543"/>
      <c r="C2836" s="543"/>
    </row>
    <row r="2837" spans="1:3">
      <c r="A2837" s="543"/>
      <c r="C2837" s="543"/>
    </row>
    <row r="2838" spans="1:3">
      <c r="A2838" s="543"/>
      <c r="C2838" s="543"/>
    </row>
    <row r="2839" spans="1:3">
      <c r="A2839" s="543"/>
      <c r="C2839" s="543"/>
    </row>
    <row r="2840" spans="1:3">
      <c r="A2840" s="543"/>
      <c r="C2840" s="543"/>
    </row>
    <row r="2841" spans="1:3">
      <c r="A2841" s="543"/>
      <c r="C2841" s="543"/>
    </row>
    <row r="2842" spans="1:3">
      <c r="A2842" s="543"/>
      <c r="C2842" s="543"/>
    </row>
    <row r="2843" spans="1:3">
      <c r="A2843" s="543"/>
      <c r="C2843" s="543"/>
    </row>
    <row r="2844" spans="1:3">
      <c r="A2844" s="543"/>
      <c r="C2844" s="543"/>
    </row>
    <row r="2845" spans="1:3">
      <c r="A2845" s="543"/>
      <c r="C2845" s="543"/>
    </row>
    <row r="2846" spans="1:3">
      <c r="A2846" s="543"/>
      <c r="C2846" s="543"/>
    </row>
    <row r="2847" spans="1:3">
      <c r="A2847" s="543"/>
      <c r="C2847" s="543"/>
    </row>
    <row r="2848" spans="1:3">
      <c r="A2848" s="543"/>
      <c r="C2848" s="543"/>
    </row>
    <row r="2849" spans="1:3">
      <c r="A2849" s="543"/>
      <c r="C2849" s="543"/>
    </row>
    <row r="2850" spans="1:3">
      <c r="A2850" s="543"/>
      <c r="C2850" s="543"/>
    </row>
    <row r="2851" spans="1:3">
      <c r="A2851" s="543"/>
      <c r="C2851" s="543"/>
    </row>
    <row r="2852" spans="1:3">
      <c r="A2852" s="543"/>
      <c r="C2852" s="543"/>
    </row>
    <row r="2853" spans="1:3">
      <c r="A2853" s="543"/>
      <c r="C2853" s="543"/>
    </row>
    <row r="2854" spans="1:3">
      <c r="A2854" s="543"/>
      <c r="C2854" s="543"/>
    </row>
    <row r="2855" spans="1:3">
      <c r="A2855" s="543"/>
      <c r="C2855" s="543"/>
    </row>
    <row r="2856" spans="1:3">
      <c r="A2856" s="543"/>
      <c r="C2856" s="543"/>
    </row>
    <row r="2857" spans="1:3">
      <c r="A2857" s="543"/>
      <c r="C2857" s="543"/>
    </row>
    <row r="2858" spans="1:3">
      <c r="A2858" s="543"/>
      <c r="C2858" s="543"/>
    </row>
    <row r="2859" spans="1:3">
      <c r="A2859" s="543"/>
      <c r="C2859" s="543"/>
    </row>
    <row r="2860" spans="1:3">
      <c r="A2860" s="543"/>
      <c r="C2860" s="543"/>
    </row>
    <row r="2861" spans="1:3">
      <c r="A2861" s="543"/>
      <c r="C2861" s="543"/>
    </row>
    <row r="2862" spans="1:3">
      <c r="A2862" s="543"/>
      <c r="C2862" s="543"/>
    </row>
    <row r="2863" spans="1:3">
      <c r="A2863" s="543"/>
      <c r="C2863" s="543"/>
    </row>
    <row r="2864" spans="1:3">
      <c r="A2864" s="543"/>
      <c r="C2864" s="543"/>
    </row>
    <row r="2865" spans="1:3">
      <c r="A2865" s="543"/>
      <c r="C2865" s="543"/>
    </row>
    <row r="2866" spans="1:3">
      <c r="A2866" s="543"/>
      <c r="C2866" s="543"/>
    </row>
    <row r="2867" spans="1:3">
      <c r="A2867" s="543"/>
      <c r="C2867" s="543"/>
    </row>
    <row r="2868" spans="1:3">
      <c r="A2868" s="543"/>
      <c r="C2868" s="543"/>
    </row>
    <row r="2869" spans="1:3">
      <c r="A2869" s="543"/>
      <c r="C2869" s="543"/>
    </row>
    <row r="2870" spans="1:3">
      <c r="A2870" s="543"/>
      <c r="C2870" s="543"/>
    </row>
    <row r="2871" spans="1:3">
      <c r="A2871" s="543"/>
      <c r="C2871" s="543"/>
    </row>
    <row r="2872" spans="1:3">
      <c r="A2872" s="543"/>
      <c r="C2872" s="543"/>
    </row>
    <row r="2873" spans="1:3">
      <c r="A2873" s="543"/>
      <c r="C2873" s="543"/>
    </row>
    <row r="2874" spans="1:3">
      <c r="A2874" s="543"/>
      <c r="C2874" s="543"/>
    </row>
    <row r="2875" spans="1:3">
      <c r="A2875" s="543"/>
      <c r="C2875" s="543"/>
    </row>
    <row r="2876" spans="1:3">
      <c r="A2876" s="543"/>
      <c r="C2876" s="543"/>
    </row>
    <row r="2877" spans="1:3">
      <c r="A2877" s="543"/>
      <c r="C2877" s="543"/>
    </row>
    <row r="2878" spans="1:3">
      <c r="A2878" s="543"/>
      <c r="C2878" s="543"/>
    </row>
    <row r="2879" spans="1:3">
      <c r="A2879" s="543"/>
      <c r="C2879" s="543"/>
    </row>
    <row r="2880" spans="1:3">
      <c r="A2880" s="543"/>
      <c r="C2880" s="543"/>
    </row>
    <row r="2881" spans="1:3">
      <c r="A2881" s="543"/>
      <c r="C2881" s="543"/>
    </row>
    <row r="2882" spans="1:3">
      <c r="A2882" s="543"/>
      <c r="C2882" s="543"/>
    </row>
    <row r="2883" spans="1:3">
      <c r="A2883" s="543"/>
      <c r="C2883" s="543"/>
    </row>
    <row r="2884" spans="1:3">
      <c r="A2884" s="543"/>
      <c r="C2884" s="543"/>
    </row>
    <row r="2885" spans="1:3">
      <c r="A2885" s="543"/>
      <c r="C2885" s="543"/>
    </row>
    <row r="2886" spans="1:3">
      <c r="A2886" s="543"/>
      <c r="C2886" s="543"/>
    </row>
    <row r="2887" spans="1:3">
      <c r="A2887" s="543"/>
      <c r="C2887" s="543"/>
    </row>
    <row r="2888" spans="1:3">
      <c r="A2888" s="543"/>
      <c r="C2888" s="543"/>
    </row>
    <row r="2889" spans="1:3">
      <c r="A2889" s="543"/>
      <c r="C2889" s="543"/>
    </row>
    <row r="2890" spans="1:3">
      <c r="A2890" s="543"/>
      <c r="C2890" s="543"/>
    </row>
    <row r="2891" spans="1:3">
      <c r="A2891" s="543"/>
      <c r="C2891" s="543"/>
    </row>
    <row r="2892" spans="1:3">
      <c r="A2892" s="543"/>
      <c r="C2892" s="543"/>
    </row>
    <row r="2893" spans="1:3">
      <c r="A2893" s="543"/>
      <c r="C2893" s="543"/>
    </row>
    <row r="2894" spans="1:3">
      <c r="A2894" s="543"/>
      <c r="C2894" s="543"/>
    </row>
    <row r="2895" spans="1:3">
      <c r="A2895" s="543"/>
      <c r="C2895" s="543"/>
    </row>
    <row r="2896" spans="1:3">
      <c r="A2896" s="543"/>
      <c r="C2896" s="543"/>
    </row>
    <row r="2897" spans="1:3">
      <c r="A2897" s="543"/>
      <c r="C2897" s="543"/>
    </row>
    <row r="2898" spans="1:3">
      <c r="A2898" s="543"/>
      <c r="C2898" s="543"/>
    </row>
    <row r="2899" spans="1:3">
      <c r="A2899" s="543"/>
      <c r="C2899" s="543"/>
    </row>
    <row r="2900" spans="1:3">
      <c r="A2900" s="543"/>
      <c r="C2900" s="543"/>
    </row>
    <row r="2901" spans="1:3">
      <c r="A2901" s="543"/>
      <c r="C2901" s="543"/>
    </row>
    <row r="2902" spans="1:3">
      <c r="A2902" s="543"/>
      <c r="C2902" s="543"/>
    </row>
    <row r="2903" spans="1:3">
      <c r="A2903" s="543"/>
      <c r="C2903" s="543"/>
    </row>
    <row r="2904" spans="1:3">
      <c r="A2904" s="543"/>
      <c r="C2904" s="543"/>
    </row>
    <row r="2905" spans="1:3">
      <c r="A2905" s="543"/>
      <c r="C2905" s="543"/>
    </row>
    <row r="2906" spans="1:3">
      <c r="A2906" s="543"/>
      <c r="C2906" s="543"/>
    </row>
    <row r="2907" spans="1:3">
      <c r="A2907" s="543"/>
      <c r="C2907" s="543"/>
    </row>
    <row r="2908" spans="1:3">
      <c r="A2908" s="543"/>
      <c r="C2908" s="543"/>
    </row>
    <row r="2909" spans="1:3">
      <c r="A2909" s="543"/>
      <c r="C2909" s="543"/>
    </row>
    <row r="2910" spans="1:3">
      <c r="A2910" s="543"/>
      <c r="C2910" s="543"/>
    </row>
    <row r="2911" spans="1:3">
      <c r="A2911" s="543"/>
      <c r="C2911" s="543"/>
    </row>
    <row r="2912" spans="1:3">
      <c r="A2912" s="543"/>
      <c r="C2912" s="543"/>
    </row>
    <row r="2913" spans="1:3">
      <c r="A2913" s="543"/>
      <c r="C2913" s="543"/>
    </row>
    <row r="2914" spans="1:3">
      <c r="A2914" s="543"/>
      <c r="C2914" s="543"/>
    </row>
    <row r="2915" spans="1:3">
      <c r="A2915" s="543"/>
      <c r="C2915" s="543"/>
    </row>
    <row r="2916" spans="1:3">
      <c r="A2916" s="543"/>
      <c r="C2916" s="543"/>
    </row>
    <row r="2917" spans="1:3">
      <c r="A2917" s="543"/>
      <c r="C2917" s="543"/>
    </row>
    <row r="2918" spans="1:3">
      <c r="A2918" s="543"/>
      <c r="C2918" s="543"/>
    </row>
    <row r="2919" spans="1:3">
      <c r="A2919" s="543"/>
      <c r="C2919" s="543"/>
    </row>
    <row r="2920" spans="1:3">
      <c r="A2920" s="543"/>
      <c r="C2920" s="543"/>
    </row>
    <row r="2921" spans="1:3">
      <c r="A2921" s="543"/>
      <c r="C2921" s="543"/>
    </row>
    <row r="2922" spans="1:3">
      <c r="A2922" s="543"/>
      <c r="C2922" s="543"/>
    </row>
    <row r="2923" spans="1:3">
      <c r="A2923" s="543"/>
      <c r="C2923" s="543"/>
    </row>
    <row r="2924" spans="1:3">
      <c r="A2924" s="543"/>
      <c r="C2924" s="543"/>
    </row>
    <row r="2925" spans="1:3">
      <c r="A2925" s="543"/>
      <c r="C2925" s="543"/>
    </row>
    <row r="2926" spans="1:3">
      <c r="A2926" s="543"/>
      <c r="C2926" s="543"/>
    </row>
    <row r="2927" spans="1:3">
      <c r="A2927" s="543"/>
      <c r="C2927" s="543"/>
    </row>
    <row r="2928" spans="1:3">
      <c r="A2928" s="543"/>
      <c r="C2928" s="543"/>
    </row>
    <row r="2929" spans="1:3">
      <c r="A2929" s="543"/>
      <c r="C2929" s="543"/>
    </row>
    <row r="2930" spans="1:3">
      <c r="A2930" s="543"/>
      <c r="C2930" s="543"/>
    </row>
    <row r="2931" spans="1:3">
      <c r="A2931" s="543"/>
      <c r="C2931" s="543"/>
    </row>
    <row r="2932" spans="1:3">
      <c r="A2932" s="543"/>
      <c r="C2932" s="543"/>
    </row>
    <row r="2933" spans="1:3">
      <c r="A2933" s="543"/>
      <c r="C2933" s="543"/>
    </row>
    <row r="2934" spans="1:3">
      <c r="A2934" s="543"/>
      <c r="C2934" s="543"/>
    </row>
    <row r="2935" spans="1:3">
      <c r="A2935" s="543"/>
      <c r="C2935" s="543"/>
    </row>
    <row r="2936" spans="1:3">
      <c r="A2936" s="543"/>
      <c r="C2936" s="543"/>
    </row>
    <row r="2937" spans="1:3">
      <c r="A2937" s="543"/>
      <c r="C2937" s="543"/>
    </row>
    <row r="2938" spans="1:3">
      <c r="A2938" s="543"/>
      <c r="C2938" s="543"/>
    </row>
    <row r="2939" spans="1:3">
      <c r="A2939" s="543"/>
      <c r="C2939" s="543"/>
    </row>
    <row r="2940" spans="1:3">
      <c r="A2940" s="543"/>
      <c r="C2940" s="543"/>
    </row>
    <row r="2941" spans="1:3">
      <c r="A2941" s="543"/>
      <c r="C2941" s="543"/>
    </row>
    <row r="2942" spans="1:3">
      <c r="A2942" s="543"/>
      <c r="C2942" s="543"/>
    </row>
    <row r="2943" spans="1:3">
      <c r="A2943" s="543"/>
      <c r="C2943" s="543"/>
    </row>
    <row r="2944" spans="1:3">
      <c r="A2944" s="543"/>
      <c r="C2944" s="543"/>
    </row>
    <row r="2945" spans="1:3">
      <c r="A2945" s="543"/>
      <c r="C2945" s="543"/>
    </row>
    <row r="2946" spans="1:3">
      <c r="A2946" s="543"/>
      <c r="C2946" s="543"/>
    </row>
    <row r="2947" spans="1:3">
      <c r="A2947" s="543"/>
      <c r="C2947" s="543"/>
    </row>
    <row r="2948" spans="1:3">
      <c r="A2948" s="543"/>
      <c r="C2948" s="543"/>
    </row>
    <row r="2949" spans="1:3">
      <c r="A2949" s="543"/>
      <c r="C2949" s="543"/>
    </row>
    <row r="2950" spans="1:3">
      <c r="A2950" s="543"/>
      <c r="C2950" s="543"/>
    </row>
    <row r="2951" spans="1:3">
      <c r="A2951" s="543"/>
      <c r="C2951" s="543"/>
    </row>
    <row r="2952" spans="1:3">
      <c r="A2952" s="543"/>
      <c r="C2952" s="543"/>
    </row>
    <row r="2953" spans="1:3">
      <c r="A2953" s="543"/>
      <c r="C2953" s="543"/>
    </row>
    <row r="2954" spans="1:3">
      <c r="A2954" s="543"/>
      <c r="C2954" s="543"/>
    </row>
    <row r="2955" spans="1:3">
      <c r="A2955" s="543"/>
      <c r="C2955" s="543"/>
    </row>
    <row r="2956" spans="1:3">
      <c r="A2956" s="543"/>
      <c r="C2956" s="543"/>
    </row>
    <row r="2957" spans="1:3">
      <c r="A2957" s="543"/>
      <c r="C2957" s="543"/>
    </row>
    <row r="2958" spans="1:3">
      <c r="A2958" s="543"/>
      <c r="C2958" s="543"/>
    </row>
    <row r="2959" spans="1:3">
      <c r="A2959" s="543"/>
      <c r="C2959" s="543"/>
    </row>
    <row r="2960" spans="1:3">
      <c r="A2960" s="543"/>
      <c r="C2960" s="543"/>
    </row>
    <row r="2961" spans="1:3">
      <c r="A2961" s="543"/>
      <c r="C2961" s="543"/>
    </row>
    <row r="2962" spans="1:3">
      <c r="A2962" s="543"/>
      <c r="C2962" s="543"/>
    </row>
    <row r="2963" spans="1:3">
      <c r="A2963" s="543"/>
      <c r="C2963" s="543"/>
    </row>
    <row r="2964" spans="1:3">
      <c r="A2964" s="543"/>
      <c r="C2964" s="543"/>
    </row>
    <row r="2965" spans="1:3">
      <c r="A2965" s="543"/>
      <c r="C2965" s="543"/>
    </row>
    <row r="2966" spans="1:3">
      <c r="A2966" s="543"/>
      <c r="C2966" s="543"/>
    </row>
    <row r="2967" spans="1:3">
      <c r="A2967" s="543"/>
      <c r="C2967" s="543"/>
    </row>
    <row r="2968" spans="1:3">
      <c r="A2968" s="543"/>
      <c r="C2968" s="543"/>
    </row>
    <row r="2969" spans="1:3">
      <c r="A2969" s="543"/>
      <c r="C2969" s="543"/>
    </row>
    <row r="2970" spans="1:3">
      <c r="A2970" s="543"/>
      <c r="C2970" s="543"/>
    </row>
    <row r="2971" spans="1:3">
      <c r="A2971" s="543"/>
      <c r="C2971" s="543"/>
    </row>
    <row r="2972" spans="1:3">
      <c r="A2972" s="543"/>
      <c r="C2972" s="543"/>
    </row>
    <row r="2973" spans="1:3">
      <c r="A2973" s="543"/>
      <c r="C2973" s="543"/>
    </row>
    <row r="2974" spans="1:3">
      <c r="A2974" s="543"/>
      <c r="C2974" s="543"/>
    </row>
    <row r="2975" spans="1:3">
      <c r="A2975" s="543"/>
      <c r="C2975" s="543"/>
    </row>
    <row r="2976" spans="1:3">
      <c r="A2976" s="543"/>
      <c r="C2976" s="543"/>
    </row>
    <row r="2977" spans="1:3">
      <c r="A2977" s="543"/>
      <c r="C2977" s="543"/>
    </row>
    <row r="2978" spans="1:3">
      <c r="A2978" s="543"/>
      <c r="C2978" s="543"/>
    </row>
    <row r="2979" spans="1:3">
      <c r="A2979" s="543"/>
      <c r="C2979" s="543"/>
    </row>
    <row r="2980" spans="1:3">
      <c r="A2980" s="543"/>
      <c r="C2980" s="543"/>
    </row>
    <row r="2981" spans="1:3">
      <c r="A2981" s="543"/>
      <c r="C2981" s="543"/>
    </row>
    <row r="2982" spans="1:3">
      <c r="A2982" s="543"/>
      <c r="C2982" s="543"/>
    </row>
    <row r="2983" spans="1:3">
      <c r="A2983" s="543"/>
      <c r="C2983" s="543"/>
    </row>
    <row r="2984" spans="1:3">
      <c r="A2984" s="543"/>
      <c r="C2984" s="543"/>
    </row>
    <row r="2985" spans="1:3">
      <c r="A2985" s="543"/>
      <c r="C2985" s="543"/>
    </row>
    <row r="2986" spans="1:3">
      <c r="A2986" s="543"/>
      <c r="C2986" s="543"/>
    </row>
    <row r="2987" spans="1:3">
      <c r="A2987" s="543"/>
      <c r="C2987" s="543"/>
    </row>
    <row r="2988" spans="1:3">
      <c r="A2988" s="543"/>
      <c r="C2988" s="543"/>
    </row>
    <row r="2989" spans="1:3">
      <c r="A2989" s="543"/>
      <c r="C2989" s="543"/>
    </row>
    <row r="2990" spans="1:3">
      <c r="A2990" s="543"/>
      <c r="C2990" s="543"/>
    </row>
    <row r="2991" spans="1:3">
      <c r="A2991" s="543"/>
      <c r="C2991" s="543"/>
    </row>
    <row r="2992" spans="1:3">
      <c r="A2992" s="543"/>
      <c r="C2992" s="543"/>
    </row>
    <row r="2993" spans="1:3">
      <c r="A2993" s="543"/>
      <c r="C2993" s="543"/>
    </row>
    <row r="2994" spans="1:3">
      <c r="A2994" s="543"/>
      <c r="C2994" s="543"/>
    </row>
    <row r="2995" spans="1:3">
      <c r="A2995" s="543"/>
      <c r="C2995" s="543"/>
    </row>
    <row r="2996" spans="1:3">
      <c r="A2996" s="543"/>
      <c r="C2996" s="543"/>
    </row>
    <row r="2997" spans="1:3">
      <c r="A2997" s="543"/>
      <c r="C2997" s="543"/>
    </row>
    <row r="2998" spans="1:3">
      <c r="A2998" s="543"/>
      <c r="C2998" s="543"/>
    </row>
    <row r="2999" spans="1:3">
      <c r="A2999" s="543"/>
      <c r="C2999" s="543"/>
    </row>
    <row r="3000" spans="1:3">
      <c r="A3000" s="543"/>
      <c r="C3000" s="543"/>
    </row>
    <row r="3001" spans="1:3">
      <c r="A3001" s="543"/>
      <c r="C3001" s="543"/>
    </row>
    <row r="3002" spans="1:3">
      <c r="A3002" s="543"/>
      <c r="C3002" s="543"/>
    </row>
    <row r="3003" spans="1:3">
      <c r="A3003" s="543"/>
      <c r="C3003" s="543"/>
    </row>
    <row r="3004" spans="1:3">
      <c r="A3004" s="543"/>
      <c r="C3004" s="543"/>
    </row>
    <row r="3005" spans="1:3">
      <c r="A3005" s="543"/>
      <c r="C3005" s="543"/>
    </row>
    <row r="3006" spans="1:3">
      <c r="A3006" s="543"/>
      <c r="C3006" s="543"/>
    </row>
    <row r="3007" spans="1:3">
      <c r="A3007" s="543"/>
      <c r="C3007" s="543"/>
    </row>
    <row r="3008" spans="1:3">
      <c r="A3008" s="543"/>
      <c r="C3008" s="543"/>
    </row>
    <row r="3009" spans="1:3">
      <c r="A3009" s="543"/>
      <c r="C3009" s="543"/>
    </row>
    <row r="3010" spans="1:3">
      <c r="A3010" s="543"/>
      <c r="C3010" s="543"/>
    </row>
    <row r="3011" spans="1:3">
      <c r="A3011" s="543"/>
      <c r="C3011" s="543"/>
    </row>
    <row r="3012" spans="1:3">
      <c r="A3012" s="543"/>
      <c r="C3012" s="543"/>
    </row>
    <row r="3013" spans="1:3">
      <c r="A3013" s="543"/>
      <c r="C3013" s="543"/>
    </row>
    <row r="3014" spans="1:3">
      <c r="A3014" s="543"/>
      <c r="C3014" s="543"/>
    </row>
    <row r="3015" spans="1:3">
      <c r="A3015" s="543"/>
      <c r="C3015" s="543"/>
    </row>
    <row r="3016" spans="1:3">
      <c r="A3016" s="543"/>
      <c r="C3016" s="543"/>
    </row>
    <row r="3017" spans="1:3">
      <c r="A3017" s="543"/>
      <c r="C3017" s="543"/>
    </row>
    <row r="3018" spans="1:3">
      <c r="A3018" s="543"/>
      <c r="C3018" s="543"/>
    </row>
    <row r="3019" spans="1:3">
      <c r="A3019" s="543"/>
      <c r="C3019" s="543"/>
    </row>
    <row r="3020" spans="1:3">
      <c r="A3020" s="543"/>
      <c r="C3020" s="543"/>
    </row>
    <row r="3021" spans="1:3">
      <c r="A3021" s="543"/>
      <c r="C3021" s="543"/>
    </row>
    <row r="3022" spans="1:3">
      <c r="A3022" s="543"/>
      <c r="C3022" s="543"/>
    </row>
    <row r="3023" spans="1:3">
      <c r="A3023" s="543"/>
      <c r="C3023" s="543"/>
    </row>
    <row r="3024" spans="1:3">
      <c r="A3024" s="543"/>
      <c r="C3024" s="543"/>
    </row>
    <row r="3025" spans="1:3">
      <c r="A3025" s="543"/>
      <c r="C3025" s="543"/>
    </row>
    <row r="3026" spans="1:3">
      <c r="A3026" s="543"/>
      <c r="C3026" s="543"/>
    </row>
    <row r="3027" spans="1:3">
      <c r="A3027" s="543"/>
      <c r="C3027" s="543"/>
    </row>
    <row r="3028" spans="1:3">
      <c r="A3028" s="543"/>
      <c r="C3028" s="543"/>
    </row>
    <row r="3029" spans="1:3">
      <c r="A3029" s="543"/>
      <c r="C3029" s="543"/>
    </row>
    <row r="3030" spans="1:3">
      <c r="A3030" s="543"/>
      <c r="C3030" s="543"/>
    </row>
    <row r="3031" spans="1:3">
      <c r="A3031" s="543"/>
      <c r="C3031" s="543"/>
    </row>
    <row r="3032" spans="1:3">
      <c r="A3032" s="543"/>
      <c r="C3032" s="543"/>
    </row>
    <row r="3033" spans="1:3">
      <c r="A3033" s="543"/>
      <c r="C3033" s="543"/>
    </row>
    <row r="3034" spans="1:3">
      <c r="A3034" s="543"/>
      <c r="C3034" s="543"/>
    </row>
    <row r="3035" spans="1:3">
      <c r="A3035" s="543"/>
      <c r="C3035" s="543"/>
    </row>
    <row r="3036" spans="1:3">
      <c r="A3036" s="543"/>
      <c r="C3036" s="543"/>
    </row>
    <row r="3037" spans="1:3">
      <c r="A3037" s="543"/>
      <c r="C3037" s="543"/>
    </row>
    <row r="3038" spans="1:3">
      <c r="A3038" s="543"/>
      <c r="C3038" s="543"/>
    </row>
    <row r="3039" spans="1:3">
      <c r="A3039" s="543"/>
      <c r="C3039" s="543"/>
    </row>
    <row r="3040" spans="1:3">
      <c r="A3040" s="543"/>
      <c r="C3040" s="543"/>
    </row>
    <row r="3041" spans="1:3">
      <c r="A3041" s="543"/>
      <c r="C3041" s="543"/>
    </row>
    <row r="3042" spans="1:3">
      <c r="A3042" s="543"/>
      <c r="C3042" s="543"/>
    </row>
    <row r="3043" spans="1:3">
      <c r="A3043" s="543"/>
      <c r="C3043" s="543"/>
    </row>
    <row r="3044" spans="1:3">
      <c r="A3044" s="543"/>
      <c r="C3044" s="543"/>
    </row>
    <row r="3045" spans="1:3">
      <c r="A3045" s="543"/>
      <c r="C3045" s="543"/>
    </row>
    <row r="3046" spans="1:3">
      <c r="A3046" s="543"/>
      <c r="C3046" s="543"/>
    </row>
    <row r="3047" spans="1:3">
      <c r="A3047" s="543"/>
      <c r="C3047" s="543"/>
    </row>
    <row r="3048" spans="1:3">
      <c r="A3048" s="543"/>
      <c r="C3048" s="543"/>
    </row>
    <row r="3049" spans="1:3">
      <c r="A3049" s="543"/>
      <c r="C3049" s="543"/>
    </row>
    <row r="3050" spans="1:3">
      <c r="A3050" s="543"/>
      <c r="C3050" s="543"/>
    </row>
    <row r="3051" spans="1:3">
      <c r="A3051" s="543"/>
      <c r="C3051" s="543"/>
    </row>
    <row r="3052" spans="1:3">
      <c r="A3052" s="543"/>
      <c r="C3052" s="543"/>
    </row>
    <row r="3053" spans="1:3">
      <c r="A3053" s="543"/>
      <c r="C3053" s="543"/>
    </row>
    <row r="3054" spans="1:3">
      <c r="A3054" s="543"/>
      <c r="C3054" s="543"/>
    </row>
    <row r="3055" spans="1:3">
      <c r="A3055" s="543"/>
      <c r="C3055" s="543"/>
    </row>
    <row r="3056" spans="1:3">
      <c r="A3056" s="543"/>
      <c r="C3056" s="543"/>
    </row>
    <row r="3057" spans="1:3">
      <c r="A3057" s="543"/>
      <c r="C3057" s="543"/>
    </row>
    <row r="3058" spans="1:3">
      <c r="A3058" s="543"/>
      <c r="C3058" s="543"/>
    </row>
    <row r="3059" spans="1:3">
      <c r="A3059" s="543"/>
      <c r="C3059" s="543"/>
    </row>
    <row r="3060" spans="1:3">
      <c r="A3060" s="543"/>
      <c r="C3060" s="543"/>
    </row>
    <row r="3061" spans="1:3">
      <c r="A3061" s="543"/>
      <c r="C3061" s="543"/>
    </row>
    <row r="3062" spans="1:3">
      <c r="A3062" s="543"/>
      <c r="C3062" s="543"/>
    </row>
    <row r="3063" spans="1:3">
      <c r="A3063" s="543"/>
      <c r="C3063" s="543"/>
    </row>
    <row r="3064" spans="1:3">
      <c r="A3064" s="543"/>
      <c r="C3064" s="543"/>
    </row>
    <row r="3065" spans="1:3">
      <c r="A3065" s="543"/>
      <c r="C3065" s="543"/>
    </row>
    <row r="3066" spans="1:3">
      <c r="A3066" s="543"/>
      <c r="C3066" s="543"/>
    </row>
    <row r="3067" spans="1:3">
      <c r="A3067" s="543"/>
      <c r="C3067" s="543"/>
    </row>
    <row r="3068" spans="1:3">
      <c r="A3068" s="543"/>
      <c r="C3068" s="543"/>
    </row>
    <row r="3069" spans="1:3">
      <c r="A3069" s="543"/>
      <c r="C3069" s="543"/>
    </row>
    <row r="3070" spans="1:3">
      <c r="A3070" s="543"/>
      <c r="C3070" s="543"/>
    </row>
    <row r="3071" spans="1:3">
      <c r="A3071" s="543"/>
      <c r="C3071" s="543"/>
    </row>
    <row r="3072" spans="1:3">
      <c r="A3072" s="543"/>
      <c r="C3072" s="543"/>
    </row>
    <row r="3073" spans="1:3">
      <c r="A3073" s="543"/>
      <c r="C3073" s="543"/>
    </row>
    <row r="3074" spans="1:3">
      <c r="A3074" s="543"/>
      <c r="C3074" s="543"/>
    </row>
    <row r="3075" spans="1:3">
      <c r="A3075" s="543"/>
      <c r="C3075" s="543"/>
    </row>
    <row r="3076" spans="1:3">
      <c r="A3076" s="543"/>
      <c r="C3076" s="543"/>
    </row>
    <row r="3077" spans="1:3">
      <c r="A3077" s="543"/>
      <c r="C3077" s="543"/>
    </row>
    <row r="3078" spans="1:3">
      <c r="A3078" s="543"/>
      <c r="C3078" s="543"/>
    </row>
    <row r="3079" spans="1:3">
      <c r="A3079" s="543"/>
      <c r="C3079" s="543"/>
    </row>
    <row r="3080" spans="1:3">
      <c r="A3080" s="543"/>
      <c r="C3080" s="543"/>
    </row>
    <row r="3081" spans="1:3">
      <c r="A3081" s="543"/>
      <c r="C3081" s="543"/>
    </row>
    <row r="3082" spans="1:3">
      <c r="A3082" s="543"/>
      <c r="C3082" s="543"/>
    </row>
    <row r="3083" spans="1:3">
      <c r="A3083" s="543"/>
      <c r="C3083" s="543"/>
    </row>
    <row r="3084" spans="1:3">
      <c r="A3084" s="543"/>
      <c r="C3084" s="543"/>
    </row>
    <row r="3085" spans="1:3">
      <c r="A3085" s="543"/>
      <c r="C3085" s="543"/>
    </row>
    <row r="3086" spans="1:3">
      <c r="A3086" s="543"/>
      <c r="C3086" s="543"/>
    </row>
    <row r="3087" spans="1:3">
      <c r="A3087" s="543"/>
      <c r="C3087" s="543"/>
    </row>
    <row r="3088" spans="1:3">
      <c r="A3088" s="543"/>
      <c r="C3088" s="543"/>
    </row>
    <row r="3089" spans="1:3">
      <c r="A3089" s="543"/>
      <c r="C3089" s="543"/>
    </row>
    <row r="3090" spans="1:3">
      <c r="A3090" s="543"/>
      <c r="C3090" s="543"/>
    </row>
    <row r="3091" spans="1:3">
      <c r="A3091" s="543"/>
      <c r="C3091" s="543"/>
    </row>
    <row r="3092" spans="1:3">
      <c r="A3092" s="543"/>
      <c r="C3092" s="543"/>
    </row>
    <row r="3093" spans="1:3">
      <c r="A3093" s="543"/>
      <c r="C3093" s="543"/>
    </row>
    <row r="3094" spans="1:3">
      <c r="A3094" s="543"/>
      <c r="C3094" s="543"/>
    </row>
    <row r="3095" spans="1:3">
      <c r="A3095" s="543"/>
      <c r="C3095" s="543"/>
    </row>
    <row r="3096" spans="1:3">
      <c r="A3096" s="543"/>
      <c r="C3096" s="543"/>
    </row>
    <row r="3097" spans="1:3">
      <c r="A3097" s="543"/>
      <c r="C3097" s="543"/>
    </row>
    <row r="3098" spans="1:3">
      <c r="A3098" s="543"/>
      <c r="C3098" s="543"/>
    </row>
    <row r="3099" spans="1:3">
      <c r="A3099" s="543"/>
      <c r="C3099" s="543"/>
    </row>
    <row r="3100" spans="1:3">
      <c r="A3100" s="543"/>
      <c r="C3100" s="543"/>
    </row>
    <row r="3101" spans="1:3">
      <c r="A3101" s="543"/>
      <c r="C3101" s="543"/>
    </row>
    <row r="3102" spans="1:3">
      <c r="A3102" s="543"/>
      <c r="C3102" s="543"/>
    </row>
    <row r="3103" spans="1:3">
      <c r="A3103" s="543"/>
      <c r="C3103" s="543"/>
    </row>
    <row r="3104" spans="1:3">
      <c r="A3104" s="543"/>
      <c r="C3104" s="543"/>
    </row>
    <row r="3105" spans="1:3">
      <c r="A3105" s="543"/>
      <c r="C3105" s="543"/>
    </row>
    <row r="3106" spans="1:3">
      <c r="A3106" s="543"/>
      <c r="C3106" s="543"/>
    </row>
    <row r="3107" spans="1:3">
      <c r="A3107" s="543"/>
      <c r="C3107" s="543"/>
    </row>
    <row r="3108" spans="1:3">
      <c r="A3108" s="543"/>
      <c r="C3108" s="543"/>
    </row>
    <row r="3109" spans="1:3">
      <c r="A3109" s="543"/>
      <c r="C3109" s="543"/>
    </row>
    <row r="3110" spans="1:3">
      <c r="A3110" s="543"/>
      <c r="C3110" s="543"/>
    </row>
    <row r="3111" spans="1:3">
      <c r="A3111" s="543"/>
      <c r="C3111" s="543"/>
    </row>
    <row r="3112" spans="1:3">
      <c r="A3112" s="543"/>
      <c r="C3112" s="543"/>
    </row>
    <row r="3113" spans="1:3">
      <c r="A3113" s="543"/>
      <c r="C3113" s="543"/>
    </row>
    <row r="3114" spans="1:3">
      <c r="A3114" s="543"/>
      <c r="C3114" s="543"/>
    </row>
    <row r="3115" spans="1:3">
      <c r="A3115" s="543"/>
      <c r="C3115" s="543"/>
    </row>
    <row r="3116" spans="1:3">
      <c r="A3116" s="543"/>
      <c r="C3116" s="543"/>
    </row>
    <row r="3117" spans="1:3">
      <c r="A3117" s="543"/>
      <c r="C3117" s="543"/>
    </row>
    <row r="3118" spans="1:3">
      <c r="A3118" s="543"/>
      <c r="C3118" s="543"/>
    </row>
    <row r="3119" spans="1:3">
      <c r="A3119" s="543"/>
      <c r="C3119" s="543"/>
    </row>
    <row r="3120" spans="1:3">
      <c r="A3120" s="543"/>
      <c r="C3120" s="543"/>
    </row>
    <row r="3121" spans="1:3">
      <c r="A3121" s="543"/>
      <c r="C3121" s="543"/>
    </row>
    <row r="3122" spans="1:3">
      <c r="A3122" s="543"/>
      <c r="C3122" s="543"/>
    </row>
    <row r="3123" spans="1:3">
      <c r="A3123" s="543"/>
      <c r="C3123" s="543"/>
    </row>
    <row r="3124" spans="1:3">
      <c r="A3124" s="543"/>
      <c r="C3124" s="543"/>
    </row>
    <row r="3125" spans="1:3">
      <c r="A3125" s="543"/>
      <c r="C3125" s="543"/>
    </row>
    <row r="3126" spans="1:3">
      <c r="A3126" s="543"/>
      <c r="C3126" s="543"/>
    </row>
    <row r="3127" spans="1:3">
      <c r="A3127" s="543"/>
      <c r="C3127" s="543"/>
    </row>
    <row r="3128" spans="1:3">
      <c r="A3128" s="543"/>
      <c r="C3128" s="543"/>
    </row>
    <row r="3129" spans="1:3">
      <c r="A3129" s="543"/>
      <c r="C3129" s="543"/>
    </row>
    <row r="3130" spans="1:3">
      <c r="A3130" s="543"/>
      <c r="C3130" s="543"/>
    </row>
    <row r="3131" spans="1:3">
      <c r="A3131" s="543"/>
      <c r="C3131" s="543"/>
    </row>
    <row r="3132" spans="1:3">
      <c r="A3132" s="543"/>
      <c r="C3132" s="543"/>
    </row>
    <row r="3133" spans="1:3">
      <c r="A3133" s="543"/>
      <c r="C3133" s="543"/>
    </row>
    <row r="3134" spans="1:3">
      <c r="A3134" s="543"/>
      <c r="C3134" s="543"/>
    </row>
    <row r="3135" spans="1:3">
      <c r="A3135" s="543"/>
      <c r="C3135" s="543"/>
    </row>
    <row r="3136" spans="1:3">
      <c r="A3136" s="543"/>
      <c r="C3136" s="543"/>
    </row>
    <row r="3137" spans="1:3">
      <c r="A3137" s="543"/>
      <c r="C3137" s="543"/>
    </row>
    <row r="3138" spans="1:3">
      <c r="A3138" s="543"/>
      <c r="C3138" s="543"/>
    </row>
    <row r="3139" spans="1:3">
      <c r="A3139" s="543"/>
      <c r="C3139" s="543"/>
    </row>
    <row r="3140" spans="1:3">
      <c r="A3140" s="543"/>
      <c r="C3140" s="543"/>
    </row>
    <row r="3141" spans="1:3">
      <c r="A3141" s="543"/>
      <c r="C3141" s="543"/>
    </row>
    <row r="3142" spans="1:3">
      <c r="A3142" s="543"/>
      <c r="C3142" s="543"/>
    </row>
    <row r="3143" spans="1:3">
      <c r="A3143" s="543"/>
      <c r="C3143" s="543"/>
    </row>
    <row r="3144" spans="1:3">
      <c r="A3144" s="543"/>
      <c r="C3144" s="543"/>
    </row>
    <row r="3145" spans="1:3">
      <c r="A3145" s="543"/>
      <c r="C3145" s="543"/>
    </row>
    <row r="3146" spans="1:3">
      <c r="A3146" s="543"/>
      <c r="C3146" s="543"/>
    </row>
    <row r="3147" spans="1:3">
      <c r="A3147" s="543"/>
      <c r="C3147" s="543"/>
    </row>
    <row r="3148" spans="1:3">
      <c r="A3148" s="543"/>
      <c r="C3148" s="543"/>
    </row>
    <row r="3149" spans="1:3">
      <c r="A3149" s="543"/>
      <c r="C3149" s="543"/>
    </row>
    <row r="3150" spans="1:3">
      <c r="A3150" s="543"/>
      <c r="C3150" s="543"/>
    </row>
    <row r="3151" spans="1:3">
      <c r="A3151" s="543"/>
      <c r="C3151" s="543"/>
    </row>
    <row r="3152" spans="1:3">
      <c r="A3152" s="543"/>
      <c r="C3152" s="543"/>
    </row>
    <row r="3153" spans="1:3">
      <c r="A3153" s="543"/>
      <c r="C3153" s="543"/>
    </row>
    <row r="3154" spans="1:3">
      <c r="A3154" s="543"/>
      <c r="C3154" s="543"/>
    </row>
    <row r="3155" spans="1:3">
      <c r="A3155" s="543"/>
      <c r="C3155" s="543"/>
    </row>
    <row r="3156" spans="1:3">
      <c r="A3156" s="543"/>
      <c r="C3156" s="543"/>
    </row>
    <row r="3157" spans="1:3">
      <c r="A3157" s="543"/>
      <c r="C3157" s="543"/>
    </row>
    <row r="3158" spans="1:3">
      <c r="A3158" s="543"/>
      <c r="C3158" s="543"/>
    </row>
    <row r="3159" spans="1:3">
      <c r="A3159" s="543"/>
      <c r="C3159" s="543"/>
    </row>
    <row r="3160" spans="1:3">
      <c r="A3160" s="543"/>
      <c r="C3160" s="543"/>
    </row>
    <row r="3161" spans="1:3">
      <c r="A3161" s="543"/>
      <c r="C3161" s="543"/>
    </row>
    <row r="3162" spans="1:3">
      <c r="A3162" s="543"/>
      <c r="C3162" s="543"/>
    </row>
    <row r="3163" spans="1:3">
      <c r="A3163" s="543"/>
      <c r="C3163" s="543"/>
    </row>
    <row r="3164" spans="1:3">
      <c r="A3164" s="543"/>
      <c r="C3164" s="543"/>
    </row>
    <row r="3165" spans="1:3">
      <c r="A3165" s="543"/>
      <c r="C3165" s="543"/>
    </row>
    <row r="3166" spans="1:3">
      <c r="A3166" s="543"/>
      <c r="C3166" s="543"/>
    </row>
    <row r="3167" spans="1:3">
      <c r="A3167" s="543"/>
      <c r="C3167" s="543"/>
    </row>
    <row r="3168" spans="1:3">
      <c r="A3168" s="543"/>
      <c r="C3168" s="543"/>
    </row>
    <row r="3169" spans="1:3">
      <c r="A3169" s="543"/>
      <c r="C3169" s="543"/>
    </row>
    <row r="3170" spans="1:3">
      <c r="A3170" s="543"/>
      <c r="C3170" s="543"/>
    </row>
    <row r="3171" spans="1:3">
      <c r="A3171" s="543"/>
      <c r="C3171" s="543"/>
    </row>
    <row r="3172" spans="1:3">
      <c r="A3172" s="543"/>
      <c r="C3172" s="543"/>
    </row>
    <row r="3173" spans="1:3">
      <c r="A3173" s="543"/>
      <c r="C3173" s="543"/>
    </row>
    <row r="3174" spans="1:3">
      <c r="A3174" s="543"/>
      <c r="C3174" s="543"/>
    </row>
    <row r="3175" spans="1:3">
      <c r="A3175" s="543"/>
      <c r="C3175" s="543"/>
    </row>
    <row r="3176" spans="1:3">
      <c r="A3176" s="543"/>
      <c r="C3176" s="543"/>
    </row>
    <row r="3177" spans="1:3">
      <c r="A3177" s="543"/>
      <c r="C3177" s="543"/>
    </row>
    <row r="3178" spans="1:3">
      <c r="A3178" s="543"/>
      <c r="C3178" s="543"/>
    </row>
    <row r="3179" spans="1:3">
      <c r="A3179" s="543"/>
      <c r="C3179" s="543"/>
    </row>
    <row r="3180" spans="1:3">
      <c r="A3180" s="543"/>
      <c r="C3180" s="543"/>
    </row>
    <row r="3181" spans="1:3">
      <c r="A3181" s="543"/>
      <c r="C3181" s="543"/>
    </row>
    <row r="3182" spans="1:3">
      <c r="A3182" s="543"/>
      <c r="C3182" s="543"/>
    </row>
    <row r="3183" spans="1:3">
      <c r="A3183" s="543"/>
      <c r="C3183" s="543"/>
    </row>
    <row r="3184" spans="1:3">
      <c r="A3184" s="543"/>
      <c r="C3184" s="543"/>
    </row>
    <row r="3185" spans="1:3">
      <c r="A3185" s="543"/>
      <c r="C3185" s="543"/>
    </row>
    <row r="3186" spans="1:3">
      <c r="A3186" s="543"/>
      <c r="C3186" s="543"/>
    </row>
    <row r="3187" spans="1:3">
      <c r="A3187" s="543"/>
      <c r="C3187" s="543"/>
    </row>
    <row r="3188" spans="1:3">
      <c r="A3188" s="543"/>
      <c r="C3188" s="543"/>
    </row>
    <row r="3189" spans="1:3">
      <c r="A3189" s="543"/>
      <c r="C3189" s="543"/>
    </row>
    <row r="3190" spans="1:3">
      <c r="A3190" s="543"/>
      <c r="C3190" s="543"/>
    </row>
    <row r="3191" spans="1:3">
      <c r="A3191" s="543"/>
      <c r="C3191" s="543"/>
    </row>
    <row r="3192" spans="1:3">
      <c r="A3192" s="543"/>
      <c r="C3192" s="543"/>
    </row>
    <row r="3193" spans="1:3">
      <c r="A3193" s="543"/>
      <c r="C3193" s="543"/>
    </row>
    <row r="3194" spans="1:3">
      <c r="A3194" s="543"/>
      <c r="C3194" s="543"/>
    </row>
    <row r="3195" spans="1:3">
      <c r="A3195" s="543"/>
      <c r="C3195" s="543"/>
    </row>
    <row r="3196" spans="1:3">
      <c r="A3196" s="543"/>
      <c r="C3196" s="543"/>
    </row>
    <row r="3197" spans="1:3">
      <c r="A3197" s="543"/>
      <c r="C3197" s="543"/>
    </row>
    <row r="3198" spans="1:3">
      <c r="A3198" s="543"/>
      <c r="C3198" s="543"/>
    </row>
    <row r="3199" spans="1:3">
      <c r="A3199" s="543"/>
      <c r="C3199" s="543"/>
    </row>
    <row r="3200" spans="1:3">
      <c r="A3200" s="543"/>
      <c r="C3200" s="543"/>
    </row>
    <row r="3201" spans="1:3">
      <c r="A3201" s="543"/>
      <c r="C3201" s="543"/>
    </row>
    <row r="3202" spans="1:3">
      <c r="A3202" s="543"/>
      <c r="C3202" s="543"/>
    </row>
    <row r="3203" spans="1:3">
      <c r="A3203" s="543"/>
      <c r="C3203" s="543"/>
    </row>
    <row r="3204" spans="1:3">
      <c r="A3204" s="543"/>
      <c r="C3204" s="543"/>
    </row>
    <row r="3205" spans="1:3">
      <c r="A3205" s="543"/>
      <c r="C3205" s="543"/>
    </row>
    <row r="3206" spans="1:3">
      <c r="A3206" s="543"/>
      <c r="C3206" s="543"/>
    </row>
    <row r="3207" spans="1:3">
      <c r="A3207" s="543"/>
      <c r="C3207" s="543"/>
    </row>
    <row r="3208" spans="1:3">
      <c r="A3208" s="543"/>
      <c r="C3208" s="543"/>
    </row>
    <row r="3209" spans="1:3">
      <c r="A3209" s="543"/>
      <c r="C3209" s="543"/>
    </row>
    <row r="3210" spans="1:3">
      <c r="A3210" s="543"/>
      <c r="C3210" s="543"/>
    </row>
    <row r="3211" spans="1:3">
      <c r="A3211" s="543"/>
      <c r="C3211" s="543"/>
    </row>
    <row r="3212" spans="1:3">
      <c r="A3212" s="543"/>
      <c r="C3212" s="543"/>
    </row>
    <row r="3213" spans="1:3">
      <c r="A3213" s="543"/>
      <c r="C3213" s="543"/>
    </row>
    <row r="3214" spans="1:3">
      <c r="A3214" s="543"/>
      <c r="C3214" s="543"/>
    </row>
    <row r="3215" spans="1:3">
      <c r="A3215" s="543"/>
      <c r="C3215" s="543"/>
    </row>
    <row r="3216" spans="1:3">
      <c r="A3216" s="543"/>
      <c r="C3216" s="543"/>
    </row>
    <row r="3217" spans="1:3">
      <c r="A3217" s="543"/>
      <c r="C3217" s="543"/>
    </row>
    <row r="3218" spans="1:3">
      <c r="A3218" s="543"/>
      <c r="C3218" s="543"/>
    </row>
    <row r="3219" spans="1:3">
      <c r="A3219" s="543"/>
      <c r="C3219" s="543"/>
    </row>
    <row r="3220" spans="1:3">
      <c r="A3220" s="543"/>
      <c r="C3220" s="543"/>
    </row>
    <row r="3221" spans="1:3">
      <c r="A3221" s="543"/>
      <c r="C3221" s="543"/>
    </row>
    <row r="3222" spans="1:3">
      <c r="A3222" s="543"/>
      <c r="C3222" s="543"/>
    </row>
    <row r="3223" spans="1:3">
      <c r="A3223" s="543"/>
      <c r="C3223" s="543"/>
    </row>
    <row r="3224" spans="1:3">
      <c r="A3224" s="543"/>
      <c r="C3224" s="543"/>
    </row>
    <row r="3225" spans="1:3">
      <c r="A3225" s="543"/>
      <c r="C3225" s="543"/>
    </row>
    <row r="3226" spans="1:3">
      <c r="A3226" s="543"/>
      <c r="C3226" s="543"/>
    </row>
    <row r="3227" spans="1:3">
      <c r="A3227" s="543"/>
      <c r="C3227" s="543"/>
    </row>
    <row r="3228" spans="1:3">
      <c r="A3228" s="543"/>
      <c r="C3228" s="543"/>
    </row>
    <row r="3229" spans="1:3">
      <c r="A3229" s="543"/>
      <c r="C3229" s="543"/>
    </row>
    <row r="3230" spans="1:3">
      <c r="A3230" s="543"/>
      <c r="C3230" s="543"/>
    </row>
    <row r="3231" spans="1:3">
      <c r="A3231" s="543"/>
      <c r="C3231" s="543"/>
    </row>
    <row r="3232" spans="1:3">
      <c r="A3232" s="543"/>
      <c r="C3232" s="543"/>
    </row>
    <row r="3233" spans="1:3">
      <c r="A3233" s="543"/>
      <c r="C3233" s="543"/>
    </row>
    <row r="3234" spans="1:3">
      <c r="A3234" s="543"/>
      <c r="C3234" s="543"/>
    </row>
    <row r="3235" spans="1:3">
      <c r="A3235" s="543"/>
      <c r="C3235" s="543"/>
    </row>
    <row r="3236" spans="1:3">
      <c r="A3236" s="543"/>
      <c r="C3236" s="543"/>
    </row>
    <row r="3237" spans="1:3">
      <c r="A3237" s="543"/>
      <c r="C3237" s="543"/>
    </row>
    <row r="3238" spans="1:3">
      <c r="A3238" s="543"/>
      <c r="C3238" s="543"/>
    </row>
    <row r="3239" spans="1:3">
      <c r="A3239" s="543"/>
      <c r="C3239" s="543"/>
    </row>
    <row r="3240" spans="1:3">
      <c r="A3240" s="543"/>
      <c r="C3240" s="543"/>
    </row>
    <row r="3241" spans="1:3">
      <c r="A3241" s="543"/>
      <c r="C3241" s="543"/>
    </row>
    <row r="3242" spans="1:3">
      <c r="A3242" s="543"/>
      <c r="C3242" s="543"/>
    </row>
    <row r="3243" spans="1:3">
      <c r="A3243" s="543"/>
      <c r="C3243" s="543"/>
    </row>
    <row r="3244" spans="1:3">
      <c r="A3244" s="543"/>
      <c r="C3244" s="543"/>
    </row>
    <row r="3245" spans="1:3">
      <c r="A3245" s="543"/>
      <c r="C3245" s="543"/>
    </row>
    <row r="3246" spans="1:3">
      <c r="A3246" s="543"/>
      <c r="C3246" s="543"/>
    </row>
    <row r="3247" spans="1:3">
      <c r="A3247" s="543"/>
      <c r="C3247" s="543"/>
    </row>
    <row r="3248" spans="1:3">
      <c r="A3248" s="543"/>
      <c r="C3248" s="543"/>
    </row>
    <row r="3249" spans="1:3">
      <c r="A3249" s="543"/>
      <c r="C3249" s="543"/>
    </row>
    <row r="3250" spans="1:3">
      <c r="A3250" s="543"/>
      <c r="C3250" s="543"/>
    </row>
    <row r="3251" spans="1:3">
      <c r="A3251" s="543"/>
      <c r="C3251" s="543"/>
    </row>
    <row r="3252" spans="1:3">
      <c r="A3252" s="543"/>
      <c r="C3252" s="543"/>
    </row>
    <row r="3253" spans="1:3">
      <c r="A3253" s="543"/>
      <c r="C3253" s="543"/>
    </row>
    <row r="3254" spans="1:3">
      <c r="A3254" s="543"/>
      <c r="C3254" s="543"/>
    </row>
    <row r="3255" spans="1:3">
      <c r="A3255" s="543"/>
      <c r="C3255" s="543"/>
    </row>
    <row r="3256" spans="1:3">
      <c r="A3256" s="543"/>
      <c r="C3256" s="543"/>
    </row>
    <row r="3257" spans="1:3">
      <c r="A3257" s="543"/>
      <c r="C3257" s="543"/>
    </row>
    <row r="3258" spans="1:3">
      <c r="A3258" s="543"/>
      <c r="C3258" s="543"/>
    </row>
    <row r="3259" spans="1:3">
      <c r="A3259" s="543"/>
      <c r="C3259" s="543"/>
    </row>
    <row r="3260" spans="1:3">
      <c r="A3260" s="543"/>
      <c r="C3260" s="543"/>
    </row>
    <row r="3261" spans="1:3">
      <c r="A3261" s="543"/>
      <c r="C3261" s="543"/>
    </row>
    <row r="3262" spans="1:3">
      <c r="A3262" s="543"/>
      <c r="C3262" s="543"/>
    </row>
    <row r="3263" spans="1:3">
      <c r="A3263" s="543"/>
      <c r="C3263" s="543"/>
    </row>
    <row r="3264" spans="1:3">
      <c r="A3264" s="543"/>
      <c r="C3264" s="543"/>
    </row>
    <row r="3265" spans="1:3">
      <c r="A3265" s="543"/>
      <c r="C3265" s="543"/>
    </row>
    <row r="3266" spans="1:3">
      <c r="A3266" s="543"/>
      <c r="C3266" s="543"/>
    </row>
    <row r="3267" spans="1:3">
      <c r="A3267" s="543"/>
      <c r="C3267" s="543"/>
    </row>
    <row r="3268" spans="1:3">
      <c r="A3268" s="543"/>
      <c r="C3268" s="543"/>
    </row>
    <row r="3269" spans="1:3">
      <c r="A3269" s="543"/>
      <c r="C3269" s="543"/>
    </row>
    <row r="3270" spans="1:3">
      <c r="A3270" s="543"/>
      <c r="C3270" s="543"/>
    </row>
    <row r="3271" spans="1:3">
      <c r="A3271" s="543"/>
      <c r="C3271" s="543"/>
    </row>
    <row r="3272" spans="1:3">
      <c r="A3272" s="543"/>
      <c r="C3272" s="543"/>
    </row>
    <row r="3273" spans="1:3">
      <c r="A3273" s="543"/>
      <c r="C3273" s="543"/>
    </row>
    <row r="3274" spans="1:3">
      <c r="A3274" s="543"/>
      <c r="C3274" s="543"/>
    </row>
    <row r="3275" spans="1:3">
      <c r="A3275" s="543"/>
      <c r="C3275" s="543"/>
    </row>
    <row r="3276" spans="1:3">
      <c r="A3276" s="543"/>
      <c r="C3276" s="543"/>
    </row>
    <row r="3277" spans="1:3">
      <c r="A3277" s="543"/>
      <c r="C3277" s="543"/>
    </row>
    <row r="3278" spans="1:3">
      <c r="A3278" s="543"/>
      <c r="C3278" s="543"/>
    </row>
    <row r="3279" spans="1:3">
      <c r="A3279" s="543"/>
      <c r="C3279" s="543"/>
    </row>
    <row r="3280" spans="1:3">
      <c r="A3280" s="543"/>
      <c r="C3280" s="543"/>
    </row>
    <row r="3281" spans="1:3">
      <c r="A3281" s="543"/>
      <c r="C3281" s="543"/>
    </row>
    <row r="3282" spans="1:3">
      <c r="A3282" s="543"/>
      <c r="C3282" s="543"/>
    </row>
    <row r="3283" spans="1:3">
      <c r="A3283" s="543"/>
      <c r="C3283" s="543"/>
    </row>
    <row r="3284" spans="1:3">
      <c r="A3284" s="543"/>
      <c r="C3284" s="543"/>
    </row>
    <row r="3285" spans="1:3">
      <c r="A3285" s="543"/>
      <c r="C3285" s="543"/>
    </row>
    <row r="3286" spans="1:3">
      <c r="A3286" s="543"/>
      <c r="C3286" s="543"/>
    </row>
    <row r="3287" spans="1:3">
      <c r="A3287" s="543"/>
      <c r="C3287" s="543"/>
    </row>
    <row r="3288" spans="1:3">
      <c r="A3288" s="543"/>
      <c r="C3288" s="543"/>
    </row>
    <row r="3289" spans="1:3">
      <c r="A3289" s="543"/>
      <c r="C3289" s="543"/>
    </row>
    <row r="3290" spans="1:3">
      <c r="A3290" s="543"/>
      <c r="C3290" s="543"/>
    </row>
    <row r="3291" spans="1:3">
      <c r="A3291" s="543"/>
      <c r="C3291" s="543"/>
    </row>
    <row r="3292" spans="1:3">
      <c r="A3292" s="543"/>
      <c r="C3292" s="543"/>
    </row>
    <row r="3293" spans="1:3">
      <c r="A3293" s="543"/>
      <c r="C3293" s="543"/>
    </row>
    <row r="3294" spans="1:3">
      <c r="A3294" s="543"/>
      <c r="C3294" s="543"/>
    </row>
    <row r="3295" spans="1:3">
      <c r="A3295" s="543"/>
      <c r="C3295" s="543"/>
    </row>
    <row r="3296" spans="1:3">
      <c r="A3296" s="543"/>
      <c r="C3296" s="543"/>
    </row>
    <row r="3297" spans="1:3">
      <c r="A3297" s="543"/>
      <c r="C3297" s="543"/>
    </row>
    <row r="3298" spans="1:3">
      <c r="A3298" s="543"/>
      <c r="C3298" s="543"/>
    </row>
    <row r="3299" spans="1:3">
      <c r="A3299" s="543"/>
      <c r="C3299" s="543"/>
    </row>
    <row r="3300" spans="1:3">
      <c r="A3300" s="543"/>
      <c r="C3300" s="543"/>
    </row>
    <row r="3301" spans="1:3">
      <c r="A3301" s="543"/>
      <c r="C3301" s="543"/>
    </row>
    <row r="3302" spans="1:3">
      <c r="A3302" s="543"/>
      <c r="C3302" s="543"/>
    </row>
    <row r="3303" spans="1:3">
      <c r="A3303" s="543"/>
      <c r="C3303" s="543"/>
    </row>
    <row r="3304" spans="1:3">
      <c r="A3304" s="543"/>
      <c r="C3304" s="543"/>
    </row>
    <row r="3305" spans="1:3">
      <c r="A3305" s="543"/>
      <c r="C3305" s="543"/>
    </row>
    <row r="3306" spans="1:3">
      <c r="A3306" s="543"/>
      <c r="C3306" s="543"/>
    </row>
    <row r="3307" spans="1:3">
      <c r="A3307" s="543"/>
      <c r="C3307" s="543"/>
    </row>
    <row r="3308" spans="1:3">
      <c r="A3308" s="543"/>
      <c r="C3308" s="543"/>
    </row>
    <row r="3309" spans="1:3">
      <c r="A3309" s="543"/>
      <c r="C3309" s="543"/>
    </row>
    <row r="3310" spans="1:3">
      <c r="A3310" s="543"/>
      <c r="C3310" s="543"/>
    </row>
    <row r="3311" spans="1:3">
      <c r="A3311" s="543"/>
      <c r="C3311" s="543"/>
    </row>
    <row r="3312" spans="1:3">
      <c r="A3312" s="543"/>
      <c r="C3312" s="543"/>
    </row>
    <row r="3313" spans="1:3">
      <c r="A3313" s="543"/>
      <c r="C3313" s="543"/>
    </row>
    <row r="3314" spans="1:3">
      <c r="A3314" s="543"/>
      <c r="C3314" s="543"/>
    </row>
    <row r="3315" spans="1:3">
      <c r="A3315" s="543"/>
      <c r="C3315" s="543"/>
    </row>
    <row r="3316" spans="1:3">
      <c r="A3316" s="543"/>
      <c r="C3316" s="543"/>
    </row>
    <row r="3317" spans="1:3">
      <c r="A3317" s="543"/>
      <c r="C3317" s="543"/>
    </row>
    <row r="3318" spans="1:3">
      <c r="A3318" s="543"/>
      <c r="C3318" s="543"/>
    </row>
    <row r="3319" spans="1:3">
      <c r="A3319" s="543"/>
      <c r="C3319" s="543"/>
    </row>
    <row r="3320" spans="1:3">
      <c r="A3320" s="543"/>
      <c r="C3320" s="543"/>
    </row>
    <row r="3321" spans="1:3">
      <c r="A3321" s="543"/>
      <c r="C3321" s="543"/>
    </row>
    <row r="3322" spans="1:3">
      <c r="A3322" s="543"/>
      <c r="C3322" s="543"/>
    </row>
    <row r="3323" spans="1:3">
      <c r="A3323" s="543"/>
      <c r="C3323" s="543"/>
    </row>
    <row r="3324" spans="1:3">
      <c r="A3324" s="543"/>
      <c r="C3324" s="543"/>
    </row>
    <row r="3325" spans="1:3">
      <c r="A3325" s="543"/>
      <c r="C3325" s="543"/>
    </row>
    <row r="3326" spans="1:3">
      <c r="A3326" s="543"/>
      <c r="C3326" s="543"/>
    </row>
    <row r="3327" spans="1:3">
      <c r="A3327" s="543"/>
      <c r="C3327" s="543"/>
    </row>
    <row r="3328" spans="1:3">
      <c r="A3328" s="543"/>
      <c r="C3328" s="543"/>
    </row>
    <row r="3329" spans="1:3">
      <c r="A3329" s="543"/>
      <c r="C3329" s="543"/>
    </row>
    <row r="3330" spans="1:3">
      <c r="A3330" s="543"/>
      <c r="C3330" s="543"/>
    </row>
    <row r="3331" spans="1:3">
      <c r="A3331" s="543"/>
      <c r="C3331" s="543"/>
    </row>
    <row r="3332" spans="1:3">
      <c r="A3332" s="543"/>
      <c r="C3332" s="543"/>
    </row>
    <row r="3333" spans="1:3">
      <c r="A3333" s="543"/>
      <c r="C3333" s="543"/>
    </row>
    <row r="3334" spans="1:3">
      <c r="A3334" s="543"/>
      <c r="C3334" s="543"/>
    </row>
    <row r="3335" spans="1:3">
      <c r="A3335" s="543"/>
      <c r="C3335" s="543"/>
    </row>
    <row r="3336" spans="1:3">
      <c r="A3336" s="543"/>
      <c r="C3336" s="543"/>
    </row>
    <row r="3337" spans="1:3">
      <c r="A3337" s="543"/>
      <c r="C3337" s="543"/>
    </row>
    <row r="3338" spans="1:3">
      <c r="A3338" s="543"/>
      <c r="C3338" s="543"/>
    </row>
    <row r="3339" spans="1:3">
      <c r="A3339" s="543"/>
      <c r="C3339" s="543"/>
    </row>
    <row r="3340" spans="1:3">
      <c r="A3340" s="543"/>
      <c r="C3340" s="543"/>
    </row>
    <row r="3341" spans="1:3">
      <c r="A3341" s="543"/>
      <c r="C3341" s="543"/>
    </row>
    <row r="3342" spans="1:3">
      <c r="A3342" s="543"/>
      <c r="C3342" s="543"/>
    </row>
    <row r="3343" spans="1:3">
      <c r="A3343" s="543"/>
      <c r="C3343" s="543"/>
    </row>
    <row r="3344" spans="1:3">
      <c r="A3344" s="543"/>
      <c r="C3344" s="543"/>
    </row>
    <row r="3345" spans="1:3">
      <c r="A3345" s="543"/>
      <c r="C3345" s="543"/>
    </row>
    <row r="3346" spans="1:3">
      <c r="A3346" s="543"/>
      <c r="C3346" s="543"/>
    </row>
    <row r="3347" spans="1:3">
      <c r="A3347" s="543"/>
      <c r="C3347" s="543"/>
    </row>
    <row r="3348" spans="1:3">
      <c r="A3348" s="543"/>
      <c r="C3348" s="543"/>
    </row>
    <row r="3349" spans="1:3">
      <c r="A3349" s="543"/>
      <c r="C3349" s="543"/>
    </row>
    <row r="3350" spans="1:3">
      <c r="A3350" s="543"/>
      <c r="C3350" s="543"/>
    </row>
    <row r="3351" spans="1:3">
      <c r="A3351" s="543"/>
      <c r="C3351" s="543"/>
    </row>
    <row r="3352" spans="1:3">
      <c r="A3352" s="543"/>
      <c r="C3352" s="543"/>
    </row>
    <row r="3353" spans="1:3">
      <c r="A3353" s="543"/>
      <c r="C3353" s="543"/>
    </row>
    <row r="3354" spans="1:3">
      <c r="A3354" s="543"/>
      <c r="C3354" s="543"/>
    </row>
    <row r="3355" spans="1:3">
      <c r="A3355" s="543"/>
      <c r="C3355" s="543"/>
    </row>
    <row r="3356" spans="1:3">
      <c r="A3356" s="543"/>
      <c r="C3356" s="543"/>
    </row>
    <row r="3357" spans="1:3">
      <c r="A3357" s="543"/>
      <c r="C3357" s="543"/>
    </row>
    <row r="3358" spans="1:3">
      <c r="A3358" s="543"/>
      <c r="C3358" s="543"/>
    </row>
    <row r="3359" spans="1:3">
      <c r="A3359" s="543"/>
      <c r="C3359" s="543"/>
    </row>
    <row r="3360" spans="1:3">
      <c r="A3360" s="543"/>
      <c r="C3360" s="543"/>
    </row>
    <row r="3361" spans="1:3">
      <c r="A3361" s="543"/>
      <c r="C3361" s="543"/>
    </row>
    <row r="3362" spans="1:3">
      <c r="A3362" s="543"/>
      <c r="C3362" s="543"/>
    </row>
    <row r="3363" spans="1:3">
      <c r="A3363" s="543"/>
      <c r="C3363" s="543"/>
    </row>
    <row r="3364" spans="1:3">
      <c r="A3364" s="543"/>
      <c r="C3364" s="543"/>
    </row>
    <row r="3365" spans="1:3">
      <c r="A3365" s="543"/>
      <c r="C3365" s="543"/>
    </row>
    <row r="3366" spans="1:3">
      <c r="A3366" s="543"/>
      <c r="C3366" s="543"/>
    </row>
    <row r="3367" spans="1:3">
      <c r="A3367" s="543"/>
      <c r="C3367" s="543"/>
    </row>
    <row r="3368" spans="1:3">
      <c r="A3368" s="543"/>
      <c r="C3368" s="543"/>
    </row>
    <row r="3369" spans="1:3">
      <c r="A3369" s="543"/>
      <c r="C3369" s="543"/>
    </row>
    <row r="3370" spans="1:3">
      <c r="A3370" s="543"/>
      <c r="C3370" s="543"/>
    </row>
    <row r="3371" spans="1:3">
      <c r="A3371" s="543"/>
      <c r="C3371" s="543"/>
    </row>
    <row r="3372" spans="1:3">
      <c r="A3372" s="543"/>
      <c r="C3372" s="543"/>
    </row>
    <row r="3373" spans="1:3">
      <c r="A3373" s="543"/>
      <c r="C3373" s="543"/>
    </row>
    <row r="3374" spans="1:3">
      <c r="A3374" s="543"/>
      <c r="C3374" s="543"/>
    </row>
    <row r="3375" spans="1:3">
      <c r="A3375" s="543"/>
      <c r="C3375" s="543"/>
    </row>
    <row r="3376" spans="1:3">
      <c r="A3376" s="543"/>
      <c r="C3376" s="543"/>
    </row>
    <row r="3377" spans="1:3">
      <c r="A3377" s="543"/>
      <c r="C3377" s="543"/>
    </row>
    <row r="3378" spans="1:3">
      <c r="A3378" s="543"/>
      <c r="C3378" s="543"/>
    </row>
    <row r="3379" spans="1:3">
      <c r="A3379" s="543"/>
      <c r="C3379" s="543"/>
    </row>
    <row r="3380" spans="1:3">
      <c r="A3380" s="543"/>
      <c r="C3380" s="543"/>
    </row>
    <row r="3381" spans="1:3">
      <c r="A3381" s="543"/>
      <c r="C3381" s="543"/>
    </row>
    <row r="3382" spans="1:3">
      <c r="A3382" s="543"/>
      <c r="C3382" s="543"/>
    </row>
    <row r="3383" spans="1:3">
      <c r="A3383" s="543"/>
      <c r="C3383" s="543"/>
    </row>
    <row r="3384" spans="1:3">
      <c r="A3384" s="543"/>
      <c r="C3384" s="543"/>
    </row>
    <row r="3385" spans="1:3">
      <c r="A3385" s="543"/>
      <c r="C3385" s="543"/>
    </row>
    <row r="3386" spans="1:3">
      <c r="A3386" s="543"/>
      <c r="C3386" s="543"/>
    </row>
    <row r="3387" spans="1:3">
      <c r="A3387" s="543"/>
      <c r="C3387" s="543"/>
    </row>
    <row r="3388" spans="1:3">
      <c r="A3388" s="543"/>
      <c r="C3388" s="543"/>
    </row>
    <row r="3389" spans="1:3">
      <c r="A3389" s="543"/>
      <c r="C3389" s="543"/>
    </row>
    <row r="3390" spans="1:3">
      <c r="A3390" s="543"/>
      <c r="C3390" s="543"/>
    </row>
    <row r="3391" spans="1:3">
      <c r="A3391" s="543"/>
      <c r="C3391" s="543"/>
    </row>
    <row r="3392" spans="1:3">
      <c r="A3392" s="543"/>
      <c r="C3392" s="543"/>
    </row>
    <row r="3393" spans="1:3">
      <c r="A3393" s="543"/>
      <c r="C3393" s="543"/>
    </row>
    <row r="3394" spans="1:3">
      <c r="A3394" s="543"/>
      <c r="C3394" s="543"/>
    </row>
    <row r="3395" spans="1:3">
      <c r="A3395" s="543"/>
      <c r="C3395" s="543"/>
    </row>
    <row r="3396" spans="1:3">
      <c r="A3396" s="543"/>
      <c r="C3396" s="543"/>
    </row>
    <row r="3397" spans="1:3">
      <c r="A3397" s="543"/>
      <c r="C3397" s="543"/>
    </row>
    <row r="3398" spans="1:3">
      <c r="A3398" s="543"/>
      <c r="C3398" s="543"/>
    </row>
    <row r="3399" spans="1:3">
      <c r="A3399" s="543"/>
      <c r="C3399" s="543"/>
    </row>
    <row r="3400" spans="1:3">
      <c r="A3400" s="543"/>
      <c r="C3400" s="543"/>
    </row>
    <row r="3401" spans="1:3">
      <c r="A3401" s="543"/>
      <c r="C3401" s="543"/>
    </row>
    <row r="3402" spans="1:3">
      <c r="A3402" s="543"/>
      <c r="C3402" s="543"/>
    </row>
    <row r="3403" spans="1:3">
      <c r="A3403" s="543"/>
      <c r="C3403" s="543"/>
    </row>
    <row r="3404" spans="1:3">
      <c r="A3404" s="543"/>
      <c r="C3404" s="543"/>
    </row>
    <row r="3405" spans="1:3">
      <c r="A3405" s="543"/>
      <c r="C3405" s="543"/>
    </row>
    <row r="3406" spans="1:3">
      <c r="A3406" s="543"/>
      <c r="C3406" s="543"/>
    </row>
    <row r="3407" spans="1:3">
      <c r="A3407" s="543"/>
      <c r="C3407" s="543"/>
    </row>
    <row r="3408" spans="1:3">
      <c r="A3408" s="543"/>
      <c r="C3408" s="543"/>
    </row>
    <row r="3409" spans="1:3">
      <c r="A3409" s="543"/>
      <c r="C3409" s="543"/>
    </row>
    <row r="3410" spans="1:3">
      <c r="A3410" s="543"/>
      <c r="C3410" s="543"/>
    </row>
    <row r="3411" spans="1:3">
      <c r="A3411" s="543"/>
      <c r="C3411" s="543"/>
    </row>
    <row r="3412" spans="1:3">
      <c r="A3412" s="543"/>
      <c r="C3412" s="543"/>
    </row>
    <row r="3413" spans="1:3">
      <c r="A3413" s="543"/>
      <c r="C3413" s="543"/>
    </row>
    <row r="3414" spans="1:3">
      <c r="A3414" s="543"/>
      <c r="C3414" s="543"/>
    </row>
    <row r="3415" spans="1:3">
      <c r="A3415" s="543"/>
      <c r="C3415" s="543"/>
    </row>
    <row r="3416" spans="1:3">
      <c r="A3416" s="543"/>
      <c r="C3416" s="543"/>
    </row>
    <row r="3417" spans="1:3">
      <c r="A3417" s="543"/>
      <c r="C3417" s="543"/>
    </row>
    <row r="3418" spans="1:3">
      <c r="A3418" s="543"/>
      <c r="C3418" s="543"/>
    </row>
    <row r="3419" spans="1:3">
      <c r="A3419" s="543"/>
      <c r="C3419" s="543"/>
    </row>
    <row r="3420" spans="1:3">
      <c r="A3420" s="543"/>
      <c r="C3420" s="543"/>
    </row>
    <row r="3421" spans="1:3">
      <c r="A3421" s="543"/>
      <c r="C3421" s="543"/>
    </row>
    <row r="3422" spans="1:3">
      <c r="A3422" s="543"/>
      <c r="C3422" s="543"/>
    </row>
    <row r="3423" spans="1:3">
      <c r="A3423" s="543"/>
      <c r="C3423" s="543"/>
    </row>
    <row r="3424" spans="1:3">
      <c r="A3424" s="543"/>
      <c r="C3424" s="543"/>
    </row>
    <row r="3425" spans="1:3">
      <c r="A3425" s="543"/>
      <c r="C3425" s="543"/>
    </row>
    <row r="3426" spans="1:3">
      <c r="A3426" s="543"/>
      <c r="C3426" s="543"/>
    </row>
    <row r="3427" spans="1:3">
      <c r="A3427" s="543"/>
      <c r="C3427" s="543"/>
    </row>
    <row r="3428" spans="1:3">
      <c r="A3428" s="543"/>
      <c r="C3428" s="543"/>
    </row>
    <row r="3429" spans="1:3">
      <c r="A3429" s="543"/>
      <c r="C3429" s="543"/>
    </row>
    <row r="3430" spans="1:3">
      <c r="A3430" s="543"/>
      <c r="C3430" s="543"/>
    </row>
    <row r="3431" spans="1:3">
      <c r="A3431" s="543"/>
      <c r="C3431" s="543"/>
    </row>
    <row r="3432" spans="1:3">
      <c r="A3432" s="543"/>
      <c r="C3432" s="543"/>
    </row>
    <row r="3433" spans="1:3">
      <c r="A3433" s="543"/>
      <c r="C3433" s="543"/>
    </row>
    <row r="3434" spans="1:3">
      <c r="A3434" s="543"/>
      <c r="C3434" s="543"/>
    </row>
    <row r="3435" spans="1:3">
      <c r="A3435" s="543"/>
      <c r="C3435" s="543"/>
    </row>
    <row r="3436" spans="1:3">
      <c r="A3436" s="543"/>
      <c r="C3436" s="543"/>
    </row>
    <row r="3437" spans="1:3">
      <c r="A3437" s="543"/>
      <c r="C3437" s="543"/>
    </row>
    <row r="3438" spans="1:3">
      <c r="A3438" s="543"/>
      <c r="C3438" s="543"/>
    </row>
    <row r="3439" spans="1:3">
      <c r="A3439" s="543"/>
      <c r="C3439" s="543"/>
    </row>
    <row r="3440" spans="1:3">
      <c r="A3440" s="543"/>
      <c r="C3440" s="543"/>
    </row>
    <row r="3441" spans="1:3">
      <c r="A3441" s="543"/>
      <c r="C3441" s="543"/>
    </row>
    <row r="3442" spans="1:3">
      <c r="A3442" s="543"/>
      <c r="C3442" s="543"/>
    </row>
    <row r="3443" spans="1:3">
      <c r="A3443" s="543"/>
      <c r="C3443" s="543"/>
    </row>
    <row r="3444" spans="1:3">
      <c r="A3444" s="543"/>
      <c r="C3444" s="543"/>
    </row>
    <row r="3445" spans="1:3">
      <c r="A3445" s="543"/>
      <c r="C3445" s="543"/>
    </row>
    <row r="3446" spans="1:3">
      <c r="A3446" s="543"/>
      <c r="C3446" s="543"/>
    </row>
    <row r="3447" spans="1:3">
      <c r="A3447" s="543"/>
      <c r="C3447" s="543"/>
    </row>
    <row r="3448" spans="1:3">
      <c r="A3448" s="543"/>
      <c r="C3448" s="543"/>
    </row>
    <row r="3449" spans="1:3">
      <c r="A3449" s="543"/>
      <c r="C3449" s="543"/>
    </row>
    <row r="3450" spans="1:3">
      <c r="A3450" s="543"/>
      <c r="C3450" s="543"/>
    </row>
    <row r="3451" spans="1:3">
      <c r="A3451" s="543"/>
      <c r="C3451" s="543"/>
    </row>
    <row r="3452" spans="1:3">
      <c r="A3452" s="543"/>
      <c r="C3452" s="543"/>
    </row>
    <row r="3453" spans="1:3">
      <c r="A3453" s="543"/>
      <c r="C3453" s="543"/>
    </row>
    <row r="3454" spans="1:3">
      <c r="A3454" s="543"/>
      <c r="C3454" s="543"/>
    </row>
    <row r="3455" spans="1:3">
      <c r="A3455" s="543"/>
      <c r="C3455" s="543"/>
    </row>
    <row r="3456" spans="1:3">
      <c r="A3456" s="543"/>
      <c r="C3456" s="543"/>
    </row>
    <row r="3457" spans="1:3">
      <c r="A3457" s="543"/>
      <c r="C3457" s="543"/>
    </row>
    <row r="3458" spans="1:3">
      <c r="A3458" s="543"/>
      <c r="C3458" s="543"/>
    </row>
    <row r="3459" spans="1:3">
      <c r="A3459" s="543"/>
      <c r="C3459" s="543"/>
    </row>
    <row r="3460" spans="1:3">
      <c r="A3460" s="543"/>
      <c r="C3460" s="543"/>
    </row>
    <row r="3461" spans="1:3">
      <c r="A3461" s="543"/>
      <c r="C3461" s="543"/>
    </row>
    <row r="3462" spans="1:3">
      <c r="A3462" s="543"/>
      <c r="C3462" s="543"/>
    </row>
    <row r="3463" spans="1:3">
      <c r="A3463" s="543"/>
      <c r="C3463" s="543"/>
    </row>
    <row r="3464" spans="1:3">
      <c r="A3464" s="543"/>
      <c r="C3464" s="543"/>
    </row>
    <row r="3465" spans="1:3">
      <c r="A3465" s="543"/>
      <c r="C3465" s="543"/>
    </row>
    <row r="3466" spans="1:3">
      <c r="A3466" s="543"/>
      <c r="C3466" s="543"/>
    </row>
    <row r="3467" spans="1:3">
      <c r="A3467" s="543"/>
      <c r="C3467" s="543"/>
    </row>
    <row r="3468" spans="1:3">
      <c r="A3468" s="543"/>
      <c r="C3468" s="543"/>
    </row>
    <row r="3469" spans="1:3">
      <c r="A3469" s="543"/>
      <c r="C3469" s="543"/>
    </row>
    <row r="3470" spans="1:3">
      <c r="A3470" s="543"/>
      <c r="C3470" s="543"/>
    </row>
    <row r="3471" spans="1:3">
      <c r="A3471" s="543"/>
      <c r="C3471" s="543"/>
    </row>
    <row r="3472" spans="1:3">
      <c r="A3472" s="543"/>
      <c r="C3472" s="543"/>
    </row>
    <row r="3473" spans="1:3">
      <c r="A3473" s="543"/>
      <c r="C3473" s="543"/>
    </row>
    <row r="3474" spans="1:3">
      <c r="A3474" s="543"/>
      <c r="C3474" s="543"/>
    </row>
    <row r="3475" spans="1:3">
      <c r="A3475" s="543"/>
      <c r="C3475" s="543"/>
    </row>
    <row r="3476" spans="1:3">
      <c r="A3476" s="543"/>
      <c r="C3476" s="543"/>
    </row>
    <row r="3477" spans="1:3">
      <c r="A3477" s="543"/>
      <c r="C3477" s="543"/>
    </row>
    <row r="3478" spans="1:3">
      <c r="A3478" s="543"/>
      <c r="C3478" s="543"/>
    </row>
    <row r="3479" spans="1:3">
      <c r="A3479" s="543"/>
      <c r="C3479" s="543"/>
    </row>
    <row r="3480" spans="1:3">
      <c r="A3480" s="543"/>
      <c r="C3480" s="543"/>
    </row>
    <row r="3481" spans="1:3">
      <c r="A3481" s="543"/>
      <c r="C3481" s="543"/>
    </row>
    <row r="3482" spans="1:3">
      <c r="A3482" s="543"/>
      <c r="C3482" s="543"/>
    </row>
    <row r="3483" spans="1:3">
      <c r="A3483" s="543"/>
      <c r="C3483" s="543"/>
    </row>
    <row r="3484" spans="1:3">
      <c r="A3484" s="543"/>
      <c r="C3484" s="543"/>
    </row>
    <row r="3485" spans="1:3">
      <c r="A3485" s="543"/>
      <c r="C3485" s="543"/>
    </row>
    <row r="3486" spans="1:3">
      <c r="A3486" s="543"/>
      <c r="C3486" s="543"/>
    </row>
    <row r="3487" spans="1:3">
      <c r="A3487" s="543"/>
      <c r="C3487" s="543"/>
    </row>
    <row r="3488" spans="1:3">
      <c r="A3488" s="543"/>
      <c r="C3488" s="543"/>
    </row>
    <row r="3489" spans="1:3">
      <c r="A3489" s="543"/>
      <c r="C3489" s="543"/>
    </row>
    <row r="3490" spans="1:3">
      <c r="A3490" s="543"/>
      <c r="C3490" s="543"/>
    </row>
    <row r="3491" spans="1:3">
      <c r="A3491" s="543"/>
      <c r="C3491" s="543"/>
    </row>
    <row r="3492" spans="1:3">
      <c r="A3492" s="543"/>
      <c r="C3492" s="543"/>
    </row>
    <row r="3493" spans="1:3">
      <c r="A3493" s="543"/>
      <c r="C3493" s="543"/>
    </row>
    <row r="3494" spans="1:3">
      <c r="A3494" s="543"/>
      <c r="C3494" s="543"/>
    </row>
    <row r="3495" spans="1:3">
      <c r="A3495" s="543"/>
      <c r="C3495" s="543"/>
    </row>
    <row r="3496" spans="1:3">
      <c r="A3496" s="543"/>
      <c r="C3496" s="543"/>
    </row>
    <row r="3497" spans="1:3">
      <c r="A3497" s="543"/>
      <c r="C3497" s="543"/>
    </row>
    <row r="3498" spans="1:3">
      <c r="A3498" s="543"/>
      <c r="C3498" s="543"/>
    </row>
    <row r="3499" spans="1:3">
      <c r="A3499" s="543"/>
      <c r="C3499" s="543"/>
    </row>
    <row r="3500" spans="1:3">
      <c r="A3500" s="543"/>
      <c r="C3500" s="543"/>
    </row>
    <row r="3501" spans="1:3">
      <c r="A3501" s="543"/>
      <c r="C3501" s="543"/>
    </row>
    <row r="3502" spans="1:3">
      <c r="A3502" s="543"/>
      <c r="C3502" s="543"/>
    </row>
    <row r="3503" spans="1:3">
      <c r="A3503" s="543"/>
      <c r="C3503" s="543"/>
    </row>
    <row r="3504" spans="1:3">
      <c r="A3504" s="543"/>
      <c r="C3504" s="543"/>
    </row>
    <row r="3505" spans="1:3">
      <c r="A3505" s="543"/>
      <c r="C3505" s="543"/>
    </row>
    <row r="3506" spans="1:3">
      <c r="A3506" s="543"/>
      <c r="C3506" s="543"/>
    </row>
    <row r="3507" spans="1:3">
      <c r="A3507" s="543"/>
      <c r="C3507" s="543"/>
    </row>
    <row r="3508" spans="1:3">
      <c r="A3508" s="543"/>
      <c r="C3508" s="543"/>
    </row>
    <row r="3509" spans="1:3">
      <c r="A3509" s="543"/>
      <c r="C3509" s="543"/>
    </row>
    <row r="3510" spans="1:3">
      <c r="A3510" s="543"/>
      <c r="C3510" s="543"/>
    </row>
    <row r="3511" spans="1:3">
      <c r="A3511" s="543"/>
      <c r="C3511" s="543"/>
    </row>
    <row r="3512" spans="1:3">
      <c r="A3512" s="543"/>
      <c r="C3512" s="543"/>
    </row>
    <row r="3513" spans="1:3">
      <c r="A3513" s="543"/>
      <c r="C3513" s="543"/>
    </row>
    <row r="3514" spans="1:3">
      <c r="A3514" s="543"/>
      <c r="C3514" s="543"/>
    </row>
    <row r="3515" spans="1:3">
      <c r="A3515" s="543"/>
      <c r="C3515" s="543"/>
    </row>
    <row r="3516" spans="1:3">
      <c r="A3516" s="543"/>
      <c r="C3516" s="543"/>
    </row>
    <row r="3517" spans="1:3">
      <c r="A3517" s="543"/>
      <c r="C3517" s="543"/>
    </row>
    <row r="3518" spans="1:3">
      <c r="A3518" s="543"/>
      <c r="C3518" s="543"/>
    </row>
    <row r="3519" spans="1:3">
      <c r="A3519" s="543"/>
      <c r="C3519" s="543"/>
    </row>
    <row r="3520" spans="1:3">
      <c r="A3520" s="543"/>
      <c r="C3520" s="543"/>
    </row>
    <row r="3521" spans="1:3">
      <c r="A3521" s="543"/>
      <c r="C3521" s="543"/>
    </row>
    <row r="3522" spans="1:3">
      <c r="A3522" s="543"/>
      <c r="C3522" s="543"/>
    </row>
    <row r="3523" spans="1:3">
      <c r="A3523" s="543"/>
      <c r="C3523" s="543"/>
    </row>
    <row r="3524" spans="1:3">
      <c r="A3524" s="543"/>
      <c r="C3524" s="543"/>
    </row>
    <row r="3525" spans="1:3">
      <c r="A3525" s="543"/>
      <c r="C3525" s="543"/>
    </row>
    <row r="3526" spans="1:3">
      <c r="A3526" s="543"/>
      <c r="C3526" s="543"/>
    </row>
    <row r="3527" spans="1:3">
      <c r="A3527" s="543"/>
      <c r="C3527" s="543"/>
    </row>
    <row r="3528" spans="1:3">
      <c r="A3528" s="543"/>
      <c r="C3528" s="543"/>
    </row>
    <row r="3529" spans="1:3">
      <c r="A3529" s="543"/>
      <c r="C3529" s="543"/>
    </row>
    <row r="3530" spans="1:3">
      <c r="A3530" s="543"/>
      <c r="C3530" s="543"/>
    </row>
    <row r="3531" spans="1:3">
      <c r="A3531" s="543"/>
      <c r="C3531" s="543"/>
    </row>
    <row r="3532" spans="1:3">
      <c r="A3532" s="543"/>
      <c r="C3532" s="543"/>
    </row>
    <row r="3533" spans="1:3">
      <c r="A3533" s="543"/>
      <c r="C3533" s="543"/>
    </row>
    <row r="3534" spans="1:3">
      <c r="A3534" s="543"/>
      <c r="C3534" s="543"/>
    </row>
    <row r="3535" spans="1:3">
      <c r="A3535" s="543"/>
      <c r="C3535" s="543"/>
    </row>
    <row r="3536" spans="1:3">
      <c r="A3536" s="543"/>
      <c r="C3536" s="543"/>
    </row>
    <row r="3537" spans="1:3">
      <c r="A3537" s="543"/>
      <c r="C3537" s="543"/>
    </row>
    <row r="3538" spans="1:3">
      <c r="A3538" s="543"/>
      <c r="C3538" s="543"/>
    </row>
    <row r="3539" spans="1:3">
      <c r="A3539" s="543"/>
      <c r="C3539" s="543"/>
    </row>
    <row r="3540" spans="1:3">
      <c r="A3540" s="543"/>
      <c r="C3540" s="543"/>
    </row>
    <row r="3541" spans="1:3">
      <c r="A3541" s="543"/>
      <c r="C3541" s="543"/>
    </row>
    <row r="3542" spans="1:3">
      <c r="A3542" s="543"/>
      <c r="C3542" s="543"/>
    </row>
    <row r="3543" spans="1:3">
      <c r="A3543" s="543"/>
      <c r="C3543" s="543"/>
    </row>
    <row r="3544" spans="1:3">
      <c r="A3544" s="543"/>
      <c r="C3544" s="543"/>
    </row>
    <row r="3545" spans="1:3">
      <c r="A3545" s="543"/>
      <c r="C3545" s="543"/>
    </row>
    <row r="3546" spans="1:3">
      <c r="A3546" s="543"/>
      <c r="C3546" s="543"/>
    </row>
    <row r="3547" spans="1:3">
      <c r="A3547" s="543"/>
      <c r="C3547" s="543"/>
    </row>
    <row r="3548" spans="1:3">
      <c r="A3548" s="543"/>
      <c r="C3548" s="543"/>
    </row>
    <row r="3549" spans="1:3">
      <c r="A3549" s="543"/>
      <c r="C3549" s="543"/>
    </row>
    <row r="3550" spans="1:3">
      <c r="A3550" s="543"/>
      <c r="C3550" s="543"/>
    </row>
    <row r="3551" spans="1:3">
      <c r="A3551" s="543"/>
      <c r="C3551" s="543"/>
    </row>
    <row r="3552" spans="1:3">
      <c r="A3552" s="543"/>
      <c r="C3552" s="543"/>
    </row>
    <row r="3553" spans="1:3">
      <c r="A3553" s="543"/>
      <c r="C3553" s="543"/>
    </row>
    <row r="3554" spans="1:3">
      <c r="A3554" s="543"/>
      <c r="C3554" s="543"/>
    </row>
    <row r="3555" spans="1:3">
      <c r="A3555" s="543"/>
      <c r="C3555" s="543"/>
    </row>
    <row r="3556" spans="1:3">
      <c r="A3556" s="543"/>
      <c r="C3556" s="543"/>
    </row>
    <row r="3557" spans="1:3">
      <c r="A3557" s="543"/>
      <c r="C3557" s="543"/>
    </row>
    <row r="3558" spans="1:3">
      <c r="A3558" s="543"/>
      <c r="C3558" s="543"/>
    </row>
    <row r="3559" spans="1:3">
      <c r="A3559" s="543"/>
      <c r="C3559" s="543"/>
    </row>
    <row r="3560" spans="1:3">
      <c r="A3560" s="543"/>
      <c r="C3560" s="543"/>
    </row>
    <row r="3561" spans="1:3">
      <c r="A3561" s="543"/>
      <c r="C3561" s="543"/>
    </row>
    <row r="3562" spans="1:3">
      <c r="A3562" s="543"/>
      <c r="C3562" s="543"/>
    </row>
    <row r="3563" spans="1:3">
      <c r="A3563" s="543"/>
      <c r="C3563" s="543"/>
    </row>
    <row r="3564" spans="1:3">
      <c r="A3564" s="543"/>
      <c r="C3564" s="543"/>
    </row>
    <row r="3565" spans="1:3">
      <c r="A3565" s="543"/>
      <c r="C3565" s="543"/>
    </row>
    <row r="3566" spans="1:3">
      <c r="A3566" s="543"/>
      <c r="C3566" s="543"/>
    </row>
    <row r="3567" spans="1:3">
      <c r="A3567" s="543"/>
      <c r="C3567" s="543"/>
    </row>
    <row r="3568" spans="1:3">
      <c r="A3568" s="543"/>
      <c r="C3568" s="543"/>
    </row>
    <row r="3569" spans="1:3">
      <c r="A3569" s="543"/>
      <c r="C3569" s="543"/>
    </row>
    <row r="3570" spans="1:3">
      <c r="A3570" s="543"/>
      <c r="C3570" s="543"/>
    </row>
    <row r="3571" spans="1:3">
      <c r="A3571" s="543"/>
      <c r="C3571" s="543"/>
    </row>
    <row r="3572" spans="1:3">
      <c r="A3572" s="543"/>
      <c r="C3572" s="543"/>
    </row>
    <row r="3573" spans="1:3">
      <c r="A3573" s="543"/>
      <c r="C3573" s="543"/>
    </row>
    <row r="3574" spans="1:3">
      <c r="A3574" s="543"/>
      <c r="C3574" s="543"/>
    </row>
    <row r="3575" spans="1:3">
      <c r="A3575" s="543"/>
      <c r="C3575" s="543"/>
    </row>
    <row r="3576" spans="1:3">
      <c r="A3576" s="543"/>
      <c r="C3576" s="543"/>
    </row>
    <row r="3577" spans="1:3">
      <c r="A3577" s="543"/>
      <c r="C3577" s="543"/>
    </row>
    <row r="3578" spans="1:3">
      <c r="A3578" s="543"/>
      <c r="C3578" s="543"/>
    </row>
    <row r="3579" spans="1:3">
      <c r="A3579" s="543"/>
      <c r="C3579" s="543"/>
    </row>
    <row r="3580" spans="1:3">
      <c r="A3580" s="543"/>
      <c r="C3580" s="543"/>
    </row>
    <row r="3581" spans="1:3">
      <c r="A3581" s="543"/>
      <c r="C3581" s="543"/>
    </row>
    <row r="3582" spans="1:3">
      <c r="A3582" s="543"/>
      <c r="C3582" s="543"/>
    </row>
    <row r="3583" spans="1:3">
      <c r="A3583" s="543"/>
      <c r="C3583" s="543"/>
    </row>
    <row r="3584" spans="1:3">
      <c r="A3584" s="543"/>
      <c r="C3584" s="543"/>
    </row>
    <row r="3585" spans="1:3">
      <c r="A3585" s="543"/>
      <c r="C3585" s="543"/>
    </row>
    <row r="3586" spans="1:3">
      <c r="A3586" s="543"/>
      <c r="C3586" s="543"/>
    </row>
    <row r="3587" spans="1:3">
      <c r="A3587" s="543"/>
      <c r="C3587" s="543"/>
    </row>
    <row r="3588" spans="1:3">
      <c r="A3588" s="543"/>
      <c r="C3588" s="543"/>
    </row>
    <row r="3589" spans="1:3">
      <c r="A3589" s="543"/>
      <c r="C3589" s="543"/>
    </row>
    <row r="3590" spans="1:3">
      <c r="A3590" s="543"/>
      <c r="C3590" s="543"/>
    </row>
    <row r="3591" spans="1:3">
      <c r="A3591" s="543"/>
      <c r="C3591" s="543"/>
    </row>
    <row r="3592" spans="1:3">
      <c r="A3592" s="543"/>
      <c r="C3592" s="543"/>
    </row>
    <row r="3593" spans="1:3">
      <c r="A3593" s="543"/>
      <c r="C3593" s="543"/>
    </row>
    <row r="3594" spans="1:3">
      <c r="A3594" s="543"/>
      <c r="C3594" s="543"/>
    </row>
    <row r="3595" spans="1:3">
      <c r="A3595" s="543"/>
      <c r="C3595" s="543"/>
    </row>
    <row r="3596" spans="1:3">
      <c r="A3596" s="543"/>
      <c r="C3596" s="543"/>
    </row>
    <row r="3597" spans="1:3">
      <c r="A3597" s="543"/>
      <c r="C3597" s="543"/>
    </row>
    <row r="3598" spans="1:3">
      <c r="A3598" s="543"/>
      <c r="C3598" s="543"/>
    </row>
    <row r="3599" spans="1:3">
      <c r="A3599" s="543"/>
      <c r="C3599" s="543"/>
    </row>
    <row r="3600" spans="1:3">
      <c r="A3600" s="543"/>
      <c r="C3600" s="543"/>
    </row>
    <row r="3601" spans="1:3">
      <c r="A3601" s="543"/>
      <c r="C3601" s="543"/>
    </row>
    <row r="3602" spans="1:3">
      <c r="A3602" s="543"/>
      <c r="C3602" s="543"/>
    </row>
    <row r="3603" spans="1:3">
      <c r="A3603" s="543"/>
      <c r="C3603" s="543"/>
    </row>
    <row r="3604" spans="1:3">
      <c r="A3604" s="543"/>
      <c r="C3604" s="543"/>
    </row>
    <row r="3605" spans="1:3">
      <c r="A3605" s="543"/>
      <c r="C3605" s="543"/>
    </row>
    <row r="3606" spans="1:3">
      <c r="A3606" s="543"/>
      <c r="C3606" s="543"/>
    </row>
    <row r="3607" spans="1:3">
      <c r="A3607" s="543"/>
      <c r="C3607" s="543"/>
    </row>
    <row r="3608" spans="1:3">
      <c r="A3608" s="543"/>
      <c r="C3608" s="543"/>
    </row>
    <row r="3609" spans="1:3">
      <c r="A3609" s="543"/>
      <c r="C3609" s="543"/>
    </row>
    <row r="3610" spans="1:3">
      <c r="A3610" s="543"/>
      <c r="C3610" s="543"/>
    </row>
    <row r="3611" spans="1:3">
      <c r="A3611" s="543"/>
      <c r="C3611" s="543"/>
    </row>
    <row r="3612" spans="1:3">
      <c r="A3612" s="543"/>
      <c r="C3612" s="543"/>
    </row>
    <row r="3613" spans="1:3">
      <c r="A3613" s="543"/>
      <c r="C3613" s="543"/>
    </row>
    <row r="3614" spans="1:3">
      <c r="A3614" s="543"/>
      <c r="C3614" s="543"/>
    </row>
    <row r="3615" spans="1:3">
      <c r="A3615" s="543"/>
      <c r="C3615" s="543"/>
    </row>
    <row r="3616" spans="1:3">
      <c r="A3616" s="543"/>
      <c r="C3616" s="543"/>
    </row>
    <row r="3617" spans="1:3">
      <c r="A3617" s="543"/>
      <c r="C3617" s="543"/>
    </row>
    <row r="3618" spans="1:3">
      <c r="A3618" s="543"/>
      <c r="C3618" s="543"/>
    </row>
    <row r="3619" spans="1:3">
      <c r="A3619" s="543"/>
      <c r="C3619" s="543"/>
    </row>
    <row r="3620" spans="1:3">
      <c r="A3620" s="543"/>
      <c r="C3620" s="543"/>
    </row>
    <row r="3621" spans="1:3">
      <c r="A3621" s="543"/>
      <c r="C3621" s="543"/>
    </row>
    <row r="3622" spans="1:3">
      <c r="A3622" s="543"/>
      <c r="C3622" s="543"/>
    </row>
    <row r="3623" spans="1:3">
      <c r="A3623" s="543"/>
      <c r="C3623" s="543"/>
    </row>
    <row r="3624" spans="1:3">
      <c r="A3624" s="543"/>
      <c r="C3624" s="543"/>
    </row>
    <row r="3625" spans="1:3">
      <c r="A3625" s="543"/>
      <c r="C3625" s="543"/>
    </row>
    <row r="3626" spans="1:3">
      <c r="A3626" s="543"/>
      <c r="C3626" s="543"/>
    </row>
    <row r="3627" spans="1:3">
      <c r="A3627" s="543"/>
      <c r="C3627" s="543"/>
    </row>
    <row r="3628" spans="1:3">
      <c r="A3628" s="543"/>
      <c r="C3628" s="543"/>
    </row>
    <row r="3629" spans="1:3">
      <c r="A3629" s="543"/>
      <c r="C3629" s="543"/>
    </row>
    <row r="3630" spans="1:3">
      <c r="A3630" s="543"/>
      <c r="C3630" s="543"/>
    </row>
    <row r="3631" spans="1:3">
      <c r="A3631" s="543"/>
      <c r="C3631" s="543"/>
    </row>
    <row r="3632" spans="1:3">
      <c r="A3632" s="543"/>
      <c r="C3632" s="543"/>
    </row>
    <row r="3633" spans="1:3">
      <c r="A3633" s="543"/>
      <c r="C3633" s="543"/>
    </row>
    <row r="3634" spans="1:3">
      <c r="A3634" s="543"/>
      <c r="C3634" s="543"/>
    </row>
    <row r="3635" spans="1:3">
      <c r="A3635" s="543"/>
      <c r="C3635" s="543"/>
    </row>
    <row r="3636" spans="1:3">
      <c r="A3636" s="543"/>
      <c r="C3636" s="543"/>
    </row>
    <row r="3637" spans="1:3">
      <c r="A3637" s="543"/>
      <c r="C3637" s="543"/>
    </row>
    <row r="3638" spans="1:3">
      <c r="A3638" s="543"/>
      <c r="C3638" s="543"/>
    </row>
    <row r="3639" spans="1:3">
      <c r="A3639" s="543"/>
      <c r="C3639" s="543"/>
    </row>
    <row r="3640" spans="1:3">
      <c r="A3640" s="543"/>
      <c r="C3640" s="543"/>
    </row>
    <row r="3641" spans="1:3">
      <c r="A3641" s="543"/>
      <c r="C3641" s="543"/>
    </row>
    <row r="3642" spans="1:3">
      <c r="A3642" s="543"/>
      <c r="C3642" s="543"/>
    </row>
    <row r="3643" spans="1:3">
      <c r="A3643" s="543"/>
      <c r="C3643" s="543"/>
    </row>
    <row r="3644" spans="1:3">
      <c r="A3644" s="543"/>
      <c r="C3644" s="543"/>
    </row>
    <row r="3645" spans="1:3">
      <c r="A3645" s="543"/>
      <c r="C3645" s="543"/>
    </row>
    <row r="3646" spans="1:3">
      <c r="A3646" s="543"/>
      <c r="C3646" s="543"/>
    </row>
    <row r="3647" spans="1:3">
      <c r="A3647" s="543"/>
      <c r="C3647" s="543"/>
    </row>
    <row r="3648" spans="1:3">
      <c r="A3648" s="543"/>
      <c r="C3648" s="543"/>
    </row>
    <row r="3649" spans="1:3">
      <c r="A3649" s="543"/>
      <c r="C3649" s="543"/>
    </row>
    <row r="3650" spans="1:3">
      <c r="A3650" s="543"/>
      <c r="C3650" s="543"/>
    </row>
    <row r="3651" spans="1:3">
      <c r="A3651" s="543"/>
      <c r="C3651" s="543"/>
    </row>
    <row r="3652" spans="1:3">
      <c r="A3652" s="543"/>
      <c r="C3652" s="543"/>
    </row>
    <row r="3653" spans="1:3">
      <c r="A3653" s="543"/>
      <c r="C3653" s="543"/>
    </row>
    <row r="3654" spans="1:3">
      <c r="A3654" s="543"/>
      <c r="C3654" s="543"/>
    </row>
    <row r="3655" spans="1:3">
      <c r="A3655" s="543"/>
      <c r="C3655" s="543"/>
    </row>
    <row r="3656" spans="1:3">
      <c r="A3656" s="543"/>
      <c r="C3656" s="543"/>
    </row>
    <row r="3657" spans="1:3">
      <c r="A3657" s="543"/>
      <c r="C3657" s="543"/>
    </row>
    <row r="3658" spans="1:3">
      <c r="A3658" s="543"/>
      <c r="C3658" s="543"/>
    </row>
    <row r="3659" spans="1:3">
      <c r="A3659" s="543"/>
      <c r="C3659" s="543"/>
    </row>
    <row r="3660" spans="1:3">
      <c r="A3660" s="543"/>
      <c r="C3660" s="543"/>
    </row>
    <row r="3661" spans="1:3">
      <c r="A3661" s="543"/>
      <c r="C3661" s="543"/>
    </row>
    <row r="3662" spans="1:3">
      <c r="A3662" s="543"/>
      <c r="C3662" s="543"/>
    </row>
    <row r="3663" spans="1:3">
      <c r="A3663" s="543"/>
      <c r="C3663" s="543"/>
    </row>
    <row r="3664" spans="1:3">
      <c r="A3664" s="543"/>
      <c r="C3664" s="543"/>
    </row>
    <row r="3665" spans="1:3">
      <c r="A3665" s="543"/>
      <c r="C3665" s="543"/>
    </row>
    <row r="3666" spans="1:3">
      <c r="A3666" s="543"/>
      <c r="C3666" s="543"/>
    </row>
    <row r="3667" spans="1:3">
      <c r="A3667" s="543"/>
      <c r="C3667" s="543"/>
    </row>
    <row r="3668" spans="1:3">
      <c r="A3668" s="543"/>
      <c r="C3668" s="543"/>
    </row>
    <row r="3669" spans="1:3">
      <c r="A3669" s="543"/>
      <c r="C3669" s="543"/>
    </row>
    <row r="3670" spans="1:3">
      <c r="A3670" s="543"/>
      <c r="C3670" s="543"/>
    </row>
    <row r="3671" spans="1:3">
      <c r="A3671" s="543"/>
      <c r="C3671" s="543"/>
    </row>
    <row r="3672" spans="1:3">
      <c r="A3672" s="543"/>
      <c r="C3672" s="543"/>
    </row>
    <row r="3673" spans="1:3">
      <c r="A3673" s="543"/>
      <c r="C3673" s="543"/>
    </row>
    <row r="3674" spans="1:3">
      <c r="A3674" s="543"/>
      <c r="C3674" s="543"/>
    </row>
    <row r="3675" spans="1:3">
      <c r="A3675" s="543"/>
      <c r="C3675" s="543"/>
    </row>
    <row r="3676" spans="1:3">
      <c r="A3676" s="543"/>
      <c r="C3676" s="543"/>
    </row>
    <row r="3677" spans="1:3">
      <c r="A3677" s="543"/>
      <c r="C3677" s="543"/>
    </row>
    <row r="3678" spans="1:3">
      <c r="A3678" s="543"/>
      <c r="C3678" s="543"/>
    </row>
    <row r="3679" spans="1:3">
      <c r="A3679" s="543"/>
      <c r="C3679" s="543"/>
    </row>
    <row r="3680" spans="1:3">
      <c r="A3680" s="543"/>
      <c r="C3680" s="543"/>
    </row>
    <row r="3681" spans="1:3">
      <c r="A3681" s="543"/>
      <c r="C3681" s="543"/>
    </row>
    <row r="3682" spans="1:3">
      <c r="A3682" s="543"/>
      <c r="C3682" s="543"/>
    </row>
    <row r="3683" spans="1:3">
      <c r="A3683" s="543"/>
      <c r="C3683" s="543"/>
    </row>
    <row r="3684" spans="1:3">
      <c r="A3684" s="543"/>
      <c r="C3684" s="543"/>
    </row>
    <row r="3685" spans="1:3">
      <c r="A3685" s="543"/>
      <c r="C3685" s="543"/>
    </row>
    <row r="3686" spans="1:3">
      <c r="A3686" s="543"/>
      <c r="C3686" s="543"/>
    </row>
    <row r="3687" spans="1:3">
      <c r="A3687" s="543"/>
      <c r="C3687" s="543"/>
    </row>
    <row r="3688" spans="1:3">
      <c r="A3688" s="543"/>
      <c r="C3688" s="543"/>
    </row>
    <row r="3689" spans="1:3">
      <c r="A3689" s="543"/>
      <c r="C3689" s="543"/>
    </row>
    <row r="3690" spans="1:3">
      <c r="A3690" s="543"/>
      <c r="C3690" s="543"/>
    </row>
    <row r="3691" spans="1:3">
      <c r="A3691" s="543"/>
      <c r="C3691" s="543"/>
    </row>
    <row r="3692" spans="1:3">
      <c r="A3692" s="543"/>
      <c r="C3692" s="543"/>
    </row>
    <row r="3693" spans="1:3">
      <c r="A3693" s="543"/>
      <c r="C3693" s="543"/>
    </row>
    <row r="3694" spans="1:3">
      <c r="A3694" s="543"/>
      <c r="C3694" s="543"/>
    </row>
    <row r="3695" spans="1:3">
      <c r="A3695" s="543"/>
      <c r="C3695" s="543"/>
    </row>
    <row r="3696" spans="1:3">
      <c r="A3696" s="543"/>
      <c r="C3696" s="543"/>
    </row>
    <row r="3697" spans="1:3">
      <c r="A3697" s="543"/>
      <c r="C3697" s="543"/>
    </row>
    <row r="3698" spans="1:3">
      <c r="A3698" s="543"/>
      <c r="C3698" s="543"/>
    </row>
    <row r="3699" spans="1:3">
      <c r="A3699" s="543"/>
      <c r="C3699" s="543"/>
    </row>
    <row r="3700" spans="1:3">
      <c r="A3700" s="543"/>
      <c r="C3700" s="543"/>
    </row>
    <row r="3701" spans="1:3">
      <c r="A3701" s="543"/>
      <c r="C3701" s="543"/>
    </row>
    <row r="3702" spans="1:3">
      <c r="A3702" s="543"/>
      <c r="C3702" s="543"/>
    </row>
    <row r="3703" spans="1:3">
      <c r="A3703" s="543"/>
      <c r="C3703" s="543"/>
    </row>
    <row r="3704" spans="1:3">
      <c r="A3704" s="543"/>
      <c r="C3704" s="543"/>
    </row>
    <row r="3705" spans="1:3">
      <c r="A3705" s="543"/>
      <c r="C3705" s="543"/>
    </row>
    <row r="3706" spans="1:3">
      <c r="A3706" s="543"/>
      <c r="C3706" s="543"/>
    </row>
    <row r="3707" spans="1:3">
      <c r="A3707" s="543"/>
      <c r="C3707" s="543"/>
    </row>
    <row r="3708" spans="1:3">
      <c r="A3708" s="543"/>
      <c r="C3708" s="543"/>
    </row>
    <row r="3709" spans="1:3">
      <c r="A3709" s="543"/>
      <c r="C3709" s="543"/>
    </row>
    <row r="3710" spans="1:3">
      <c r="A3710" s="543"/>
      <c r="C3710" s="543"/>
    </row>
    <row r="3711" spans="1:3">
      <c r="A3711" s="543"/>
      <c r="C3711" s="543"/>
    </row>
    <row r="3712" spans="1:3">
      <c r="A3712" s="543"/>
      <c r="C3712" s="543"/>
    </row>
    <row r="3713" spans="1:3">
      <c r="A3713" s="543"/>
      <c r="C3713" s="543"/>
    </row>
    <row r="3714" spans="1:3">
      <c r="A3714" s="543"/>
      <c r="C3714" s="543"/>
    </row>
    <row r="3715" spans="1:3">
      <c r="A3715" s="543"/>
      <c r="C3715" s="543"/>
    </row>
    <row r="3716" spans="1:3">
      <c r="A3716" s="543"/>
      <c r="C3716" s="543"/>
    </row>
    <row r="3717" spans="1:3">
      <c r="A3717" s="543"/>
      <c r="C3717" s="543"/>
    </row>
    <row r="3718" spans="1:3">
      <c r="A3718" s="543"/>
      <c r="C3718" s="543"/>
    </row>
    <row r="3719" spans="1:3">
      <c r="A3719" s="543"/>
      <c r="C3719" s="543"/>
    </row>
    <row r="3720" spans="1:3">
      <c r="A3720" s="543"/>
      <c r="C3720" s="543"/>
    </row>
    <row r="3721" spans="1:3">
      <c r="A3721" s="543"/>
      <c r="C3721" s="543"/>
    </row>
    <row r="3722" spans="1:3">
      <c r="A3722" s="543"/>
      <c r="C3722" s="543"/>
    </row>
    <row r="3723" spans="1:3">
      <c r="A3723" s="543"/>
      <c r="C3723" s="543"/>
    </row>
    <row r="3724" spans="1:3">
      <c r="A3724" s="543"/>
      <c r="C3724" s="543"/>
    </row>
    <row r="3725" spans="1:3">
      <c r="A3725" s="543"/>
      <c r="C3725" s="543"/>
    </row>
    <row r="3726" spans="1:3">
      <c r="A3726" s="543"/>
      <c r="C3726" s="543"/>
    </row>
    <row r="3727" spans="1:3">
      <c r="A3727" s="543"/>
      <c r="C3727" s="543"/>
    </row>
    <row r="3728" spans="1:3">
      <c r="A3728" s="543"/>
      <c r="C3728" s="543"/>
    </row>
    <row r="3729" spans="1:3">
      <c r="A3729" s="543"/>
      <c r="C3729" s="543"/>
    </row>
    <row r="3730" spans="1:3">
      <c r="A3730" s="543"/>
      <c r="C3730" s="543"/>
    </row>
    <row r="3731" spans="1:3">
      <c r="A3731" s="543"/>
      <c r="C3731" s="543"/>
    </row>
    <row r="3732" spans="1:3">
      <c r="A3732" s="543"/>
      <c r="C3732" s="543"/>
    </row>
    <row r="3733" spans="1:3">
      <c r="A3733" s="543"/>
      <c r="C3733" s="543"/>
    </row>
    <row r="3734" spans="1:3">
      <c r="A3734" s="543"/>
      <c r="C3734" s="543"/>
    </row>
    <row r="3735" spans="1:3">
      <c r="A3735" s="543"/>
      <c r="C3735" s="543"/>
    </row>
    <row r="3736" spans="1:3">
      <c r="A3736" s="543"/>
      <c r="C3736" s="543"/>
    </row>
    <row r="3737" spans="1:3">
      <c r="A3737" s="543"/>
      <c r="C3737" s="543"/>
    </row>
    <row r="3738" spans="1:3">
      <c r="A3738" s="543"/>
      <c r="C3738" s="543"/>
    </row>
    <row r="3739" spans="1:3">
      <c r="A3739" s="543"/>
      <c r="C3739" s="543"/>
    </row>
    <row r="3740" spans="1:3">
      <c r="A3740" s="543"/>
      <c r="C3740" s="543"/>
    </row>
    <row r="3741" spans="1:3">
      <c r="A3741" s="543"/>
      <c r="C3741" s="543"/>
    </row>
    <row r="3742" spans="1:3">
      <c r="A3742" s="543"/>
      <c r="C3742" s="543"/>
    </row>
    <row r="3743" spans="1:3">
      <c r="A3743" s="543"/>
      <c r="C3743" s="543"/>
    </row>
    <row r="3744" spans="1:3">
      <c r="A3744" s="543"/>
      <c r="C3744" s="543"/>
    </row>
    <row r="3745" spans="1:3">
      <c r="A3745" s="543"/>
      <c r="C3745" s="543"/>
    </row>
    <row r="3746" spans="1:3">
      <c r="A3746" s="543"/>
      <c r="C3746" s="543"/>
    </row>
    <row r="3747" spans="1:3">
      <c r="A3747" s="543"/>
      <c r="C3747" s="543"/>
    </row>
    <row r="3748" spans="1:3">
      <c r="A3748" s="543"/>
      <c r="C3748" s="543"/>
    </row>
    <row r="3749" spans="1:3">
      <c r="A3749" s="543"/>
      <c r="C3749" s="543"/>
    </row>
    <row r="3750" spans="1:3">
      <c r="A3750" s="543"/>
      <c r="C3750" s="543"/>
    </row>
    <row r="3751" spans="1:3">
      <c r="A3751" s="543"/>
      <c r="C3751" s="543"/>
    </row>
    <row r="3752" spans="1:3">
      <c r="A3752" s="543"/>
      <c r="C3752" s="543"/>
    </row>
    <row r="3753" spans="1:3">
      <c r="A3753" s="543"/>
      <c r="C3753" s="543"/>
    </row>
    <row r="3754" spans="1:3">
      <c r="A3754" s="543"/>
      <c r="C3754" s="543"/>
    </row>
    <row r="3755" spans="1:3">
      <c r="A3755" s="543"/>
      <c r="C3755" s="543"/>
    </row>
    <row r="3756" spans="1:3">
      <c r="A3756" s="543"/>
      <c r="C3756" s="543"/>
    </row>
    <row r="3757" spans="1:3">
      <c r="A3757" s="543"/>
      <c r="C3757" s="543"/>
    </row>
    <row r="3758" spans="1:3">
      <c r="A3758" s="543"/>
      <c r="C3758" s="543"/>
    </row>
    <row r="3759" spans="1:3">
      <c r="A3759" s="543"/>
      <c r="C3759" s="543"/>
    </row>
    <row r="3760" spans="1:3">
      <c r="A3760" s="543"/>
      <c r="C3760" s="543"/>
    </row>
    <row r="3761" spans="1:3">
      <c r="A3761" s="543"/>
      <c r="C3761" s="543"/>
    </row>
    <row r="3762" spans="1:3">
      <c r="A3762" s="543"/>
      <c r="C3762" s="543"/>
    </row>
    <row r="3763" spans="1:3">
      <c r="A3763" s="543"/>
      <c r="C3763" s="543"/>
    </row>
    <row r="3764" spans="1:3">
      <c r="A3764" s="543"/>
      <c r="C3764" s="543"/>
    </row>
    <row r="3765" spans="1:3">
      <c r="A3765" s="543"/>
      <c r="C3765" s="543"/>
    </row>
    <row r="3766" spans="1:3">
      <c r="A3766" s="543"/>
      <c r="C3766" s="543"/>
    </row>
    <row r="3767" spans="1:3">
      <c r="A3767" s="543"/>
      <c r="C3767" s="543"/>
    </row>
    <row r="3768" spans="1:3">
      <c r="A3768" s="543"/>
      <c r="C3768" s="543"/>
    </row>
    <row r="3769" spans="1:3">
      <c r="A3769" s="543"/>
      <c r="C3769" s="543"/>
    </row>
    <row r="3770" spans="1:3">
      <c r="A3770" s="543"/>
      <c r="C3770" s="543"/>
    </row>
    <row r="3771" spans="1:3">
      <c r="A3771" s="543"/>
      <c r="C3771" s="543"/>
    </row>
    <row r="3772" spans="1:3">
      <c r="A3772" s="543"/>
      <c r="C3772" s="543"/>
    </row>
    <row r="3773" spans="1:3">
      <c r="A3773" s="543"/>
      <c r="C3773" s="543"/>
    </row>
    <row r="3774" spans="1:3">
      <c r="A3774" s="543"/>
      <c r="C3774" s="543"/>
    </row>
    <row r="3775" spans="1:3">
      <c r="A3775" s="543"/>
      <c r="C3775" s="543"/>
    </row>
    <row r="3776" spans="1:3">
      <c r="A3776" s="543"/>
      <c r="C3776" s="543"/>
    </row>
    <row r="3777" spans="1:3">
      <c r="A3777" s="543"/>
      <c r="C3777" s="543"/>
    </row>
    <row r="3778" spans="1:3">
      <c r="A3778" s="543"/>
      <c r="C3778" s="543"/>
    </row>
    <row r="3779" spans="1:3">
      <c r="A3779" s="543"/>
      <c r="C3779" s="543"/>
    </row>
    <row r="3780" spans="1:3">
      <c r="A3780" s="543"/>
      <c r="C3780" s="543"/>
    </row>
    <row r="3781" spans="1:3">
      <c r="A3781" s="543"/>
      <c r="C3781" s="543"/>
    </row>
    <row r="3782" spans="1:3">
      <c r="A3782" s="543"/>
      <c r="C3782" s="543"/>
    </row>
    <row r="3783" spans="1:3">
      <c r="A3783" s="543"/>
      <c r="C3783" s="543"/>
    </row>
    <row r="3784" spans="1:3">
      <c r="A3784" s="543"/>
      <c r="C3784" s="543"/>
    </row>
    <row r="3785" spans="1:3">
      <c r="A3785" s="543"/>
      <c r="C3785" s="543"/>
    </row>
    <row r="3786" spans="1:3">
      <c r="A3786" s="543"/>
      <c r="C3786" s="543"/>
    </row>
    <row r="3787" spans="1:3">
      <c r="A3787" s="543"/>
      <c r="C3787" s="543"/>
    </row>
    <row r="3788" spans="1:3">
      <c r="A3788" s="543"/>
      <c r="C3788" s="543"/>
    </row>
    <row r="3789" spans="1:3">
      <c r="A3789" s="543"/>
      <c r="C3789" s="543"/>
    </row>
    <row r="3790" spans="1:3">
      <c r="A3790" s="543"/>
      <c r="C3790" s="543"/>
    </row>
    <row r="3791" spans="1:3">
      <c r="A3791" s="543"/>
      <c r="C3791" s="543"/>
    </row>
    <row r="3792" spans="1:3">
      <c r="A3792" s="543"/>
      <c r="C3792" s="543"/>
    </row>
    <row r="3793" spans="1:3">
      <c r="A3793" s="543"/>
      <c r="C3793" s="543"/>
    </row>
    <row r="3794" spans="1:3">
      <c r="A3794" s="543"/>
      <c r="C3794" s="543"/>
    </row>
    <row r="3795" spans="1:3">
      <c r="A3795" s="543"/>
      <c r="C3795" s="543"/>
    </row>
    <row r="3796" spans="1:3">
      <c r="A3796" s="543"/>
      <c r="C3796" s="543"/>
    </row>
    <row r="3797" spans="1:3">
      <c r="A3797" s="543"/>
      <c r="C3797" s="543"/>
    </row>
    <row r="3798" spans="1:3">
      <c r="A3798" s="543"/>
      <c r="C3798" s="543"/>
    </row>
    <row r="3799" spans="1:3">
      <c r="A3799" s="543"/>
      <c r="C3799" s="543"/>
    </row>
    <row r="3800" spans="1:3">
      <c r="A3800" s="543"/>
      <c r="C3800" s="543"/>
    </row>
    <row r="3801" spans="1:3">
      <c r="A3801" s="543"/>
      <c r="C3801" s="543"/>
    </row>
    <row r="3802" spans="1:3">
      <c r="A3802" s="543"/>
      <c r="C3802" s="543"/>
    </row>
    <row r="3803" spans="1:3">
      <c r="A3803" s="543"/>
      <c r="C3803" s="543"/>
    </row>
    <row r="3804" spans="1:3">
      <c r="A3804" s="543"/>
      <c r="C3804" s="543"/>
    </row>
    <row r="3805" spans="1:3">
      <c r="A3805" s="543"/>
      <c r="C3805" s="543"/>
    </row>
    <row r="3806" spans="1:3">
      <c r="A3806" s="543"/>
      <c r="C3806" s="543"/>
    </row>
    <row r="3807" spans="1:3">
      <c r="A3807" s="543"/>
      <c r="C3807" s="543"/>
    </row>
    <row r="3808" spans="1:3">
      <c r="A3808" s="543"/>
      <c r="C3808" s="543"/>
    </row>
    <row r="3809" spans="1:3">
      <c r="A3809" s="543"/>
      <c r="C3809" s="543"/>
    </row>
    <row r="3810" spans="1:3">
      <c r="A3810" s="543"/>
      <c r="C3810" s="543"/>
    </row>
    <row r="3811" spans="1:3">
      <c r="A3811" s="543"/>
      <c r="C3811" s="543"/>
    </row>
    <row r="3812" spans="1:3">
      <c r="A3812" s="543"/>
      <c r="C3812" s="543"/>
    </row>
    <row r="3813" spans="1:3">
      <c r="A3813" s="543"/>
      <c r="C3813" s="543"/>
    </row>
    <row r="3814" spans="1:3">
      <c r="A3814" s="543"/>
      <c r="C3814" s="543"/>
    </row>
    <row r="3815" spans="1:3">
      <c r="A3815" s="543"/>
      <c r="C3815" s="543"/>
    </row>
    <row r="3816" spans="1:3">
      <c r="A3816" s="543"/>
      <c r="C3816" s="543"/>
    </row>
    <row r="3817" spans="1:3">
      <c r="A3817" s="543"/>
      <c r="C3817" s="543"/>
    </row>
    <row r="3818" spans="1:3">
      <c r="A3818" s="543"/>
      <c r="C3818" s="543"/>
    </row>
    <row r="3819" spans="1:3">
      <c r="A3819" s="543"/>
      <c r="C3819" s="543"/>
    </row>
    <row r="3820" spans="1:3">
      <c r="A3820" s="543"/>
      <c r="C3820" s="543"/>
    </row>
    <row r="3821" spans="1:3">
      <c r="A3821" s="543"/>
      <c r="C3821" s="543"/>
    </row>
    <row r="3822" spans="1:3">
      <c r="A3822" s="543"/>
      <c r="C3822" s="543"/>
    </row>
    <row r="3823" spans="1:3">
      <c r="A3823" s="543"/>
      <c r="C3823" s="543"/>
    </row>
    <row r="3824" spans="1:3">
      <c r="A3824" s="543"/>
      <c r="C3824" s="543"/>
    </row>
    <row r="3825" spans="1:3">
      <c r="A3825" s="543"/>
      <c r="C3825" s="543"/>
    </row>
    <row r="3826" spans="1:3">
      <c r="A3826" s="543"/>
      <c r="C3826" s="543"/>
    </row>
    <row r="3827" spans="1:3">
      <c r="A3827" s="543"/>
      <c r="C3827" s="543"/>
    </row>
    <row r="3828" spans="1:3">
      <c r="A3828" s="543"/>
      <c r="C3828" s="543"/>
    </row>
    <row r="3829" spans="1:3">
      <c r="A3829" s="543"/>
      <c r="C3829" s="543"/>
    </row>
    <row r="3830" spans="1:3">
      <c r="A3830" s="543"/>
      <c r="C3830" s="543"/>
    </row>
    <row r="3831" spans="1:3">
      <c r="A3831" s="543"/>
      <c r="C3831" s="543"/>
    </row>
    <row r="3832" spans="1:3">
      <c r="A3832" s="543"/>
      <c r="C3832" s="543"/>
    </row>
    <row r="3833" spans="1:3">
      <c r="A3833" s="543"/>
      <c r="C3833" s="543"/>
    </row>
    <row r="3834" spans="1:3">
      <c r="A3834" s="543"/>
      <c r="C3834" s="543"/>
    </row>
    <row r="3835" spans="1:3">
      <c r="A3835" s="543"/>
      <c r="C3835" s="543"/>
    </row>
    <row r="3836" spans="1:3">
      <c r="A3836" s="543"/>
      <c r="C3836" s="543"/>
    </row>
    <row r="3837" spans="1:3">
      <c r="A3837" s="543"/>
      <c r="C3837" s="543"/>
    </row>
    <row r="3838" spans="1:3">
      <c r="A3838" s="543"/>
      <c r="C3838" s="543"/>
    </row>
    <row r="3839" spans="1:3">
      <c r="A3839" s="543"/>
      <c r="C3839" s="543"/>
    </row>
    <row r="3840" spans="1:3">
      <c r="A3840" s="543"/>
      <c r="C3840" s="543"/>
    </row>
    <row r="3841" spans="1:3">
      <c r="A3841" s="543"/>
      <c r="C3841" s="543"/>
    </row>
    <row r="3842" spans="1:3">
      <c r="A3842" s="543"/>
      <c r="C3842" s="543"/>
    </row>
    <row r="3843" spans="1:3">
      <c r="A3843" s="543"/>
      <c r="C3843" s="543"/>
    </row>
    <row r="3844" spans="1:3">
      <c r="A3844" s="543"/>
      <c r="C3844" s="543"/>
    </row>
    <row r="3845" spans="1:3">
      <c r="A3845" s="543"/>
      <c r="C3845" s="543"/>
    </row>
    <row r="3846" spans="1:3">
      <c r="A3846" s="543"/>
      <c r="C3846" s="543"/>
    </row>
    <row r="3847" spans="1:3">
      <c r="A3847" s="543"/>
      <c r="C3847" s="543"/>
    </row>
    <row r="3848" spans="1:3">
      <c r="A3848" s="543"/>
      <c r="C3848" s="543"/>
    </row>
    <row r="3849" spans="1:3">
      <c r="A3849" s="543"/>
      <c r="C3849" s="543"/>
    </row>
    <row r="3850" spans="1:3">
      <c r="A3850" s="543"/>
      <c r="C3850" s="543"/>
    </row>
    <row r="3851" spans="1:3">
      <c r="A3851" s="543"/>
      <c r="C3851" s="543"/>
    </row>
    <row r="3852" spans="1:3">
      <c r="A3852" s="543"/>
      <c r="C3852" s="543"/>
    </row>
    <row r="3853" spans="1:3">
      <c r="A3853" s="543"/>
      <c r="C3853" s="543"/>
    </row>
    <row r="3854" spans="1:3">
      <c r="A3854" s="543"/>
      <c r="C3854" s="543"/>
    </row>
    <row r="3855" spans="1:3">
      <c r="A3855" s="543"/>
      <c r="C3855" s="543"/>
    </row>
    <row r="3856" spans="1:3">
      <c r="A3856" s="543"/>
      <c r="C3856" s="543"/>
    </row>
    <row r="3857" spans="1:3">
      <c r="A3857" s="543"/>
      <c r="C3857" s="543"/>
    </row>
    <row r="3858" spans="1:3">
      <c r="A3858" s="543"/>
      <c r="C3858" s="543"/>
    </row>
    <row r="3859" spans="1:3">
      <c r="A3859" s="543"/>
      <c r="C3859" s="543"/>
    </row>
    <row r="3860" spans="1:3">
      <c r="A3860" s="543"/>
      <c r="C3860" s="543"/>
    </row>
    <row r="3861" spans="1:3">
      <c r="A3861" s="543"/>
      <c r="C3861" s="543"/>
    </row>
    <row r="3862" spans="1:3">
      <c r="A3862" s="543"/>
      <c r="C3862" s="543"/>
    </row>
    <row r="3863" spans="1:3">
      <c r="A3863" s="543"/>
      <c r="C3863" s="543"/>
    </row>
    <row r="3864" spans="1:3">
      <c r="A3864" s="543"/>
      <c r="C3864" s="543"/>
    </row>
    <row r="3865" spans="1:3">
      <c r="A3865" s="543"/>
      <c r="C3865" s="543"/>
    </row>
    <row r="3866" spans="1:3">
      <c r="A3866" s="543"/>
      <c r="C3866" s="543"/>
    </row>
    <row r="3867" spans="1:3">
      <c r="A3867" s="543"/>
      <c r="C3867" s="543"/>
    </row>
    <row r="3868" spans="1:3">
      <c r="A3868" s="543"/>
      <c r="C3868" s="543"/>
    </row>
    <row r="3869" spans="1:3">
      <c r="A3869" s="543"/>
      <c r="C3869" s="543"/>
    </row>
    <row r="3870" spans="1:3">
      <c r="A3870" s="543"/>
      <c r="C3870" s="543"/>
    </row>
    <row r="3871" spans="1:3">
      <c r="A3871" s="543"/>
      <c r="C3871" s="543"/>
    </row>
    <row r="3872" spans="1:3">
      <c r="A3872" s="543"/>
      <c r="C3872" s="543"/>
    </row>
    <row r="3873" spans="1:3">
      <c r="A3873" s="543"/>
      <c r="C3873" s="543"/>
    </row>
    <row r="3874" spans="1:3">
      <c r="A3874" s="543"/>
      <c r="C3874" s="543"/>
    </row>
    <row r="3875" spans="1:3">
      <c r="A3875" s="543"/>
      <c r="C3875" s="543"/>
    </row>
    <row r="3876" spans="1:3">
      <c r="A3876" s="543"/>
      <c r="C3876" s="543"/>
    </row>
    <row r="3877" spans="1:3">
      <c r="A3877" s="543"/>
      <c r="C3877" s="543"/>
    </row>
    <row r="3878" spans="1:3">
      <c r="A3878" s="543"/>
      <c r="C3878" s="543"/>
    </row>
    <row r="3879" spans="1:3">
      <c r="A3879" s="543"/>
      <c r="C3879" s="543"/>
    </row>
    <row r="3880" spans="1:3">
      <c r="A3880" s="543"/>
      <c r="C3880" s="543"/>
    </row>
    <row r="3881" spans="1:3">
      <c r="A3881" s="543"/>
      <c r="C3881" s="543"/>
    </row>
    <row r="3882" spans="1:3">
      <c r="A3882" s="543"/>
      <c r="C3882" s="543"/>
    </row>
    <row r="3883" spans="1:3">
      <c r="A3883" s="543"/>
      <c r="C3883" s="543"/>
    </row>
    <row r="3884" spans="1:3">
      <c r="A3884" s="543"/>
      <c r="C3884" s="543"/>
    </row>
    <row r="3885" spans="1:3">
      <c r="A3885" s="543"/>
      <c r="C3885" s="543"/>
    </row>
    <row r="3886" spans="1:3">
      <c r="A3886" s="543"/>
      <c r="C3886" s="543"/>
    </row>
    <row r="3887" spans="1:3">
      <c r="A3887" s="543"/>
      <c r="C3887" s="543"/>
    </row>
    <row r="3888" spans="1:3">
      <c r="A3888" s="543"/>
      <c r="C3888" s="543"/>
    </row>
    <row r="3889" spans="1:3">
      <c r="A3889" s="543"/>
      <c r="C3889" s="543"/>
    </row>
    <row r="3890" spans="1:3">
      <c r="A3890" s="543"/>
      <c r="C3890" s="543"/>
    </row>
    <row r="3891" spans="1:3">
      <c r="A3891" s="543"/>
      <c r="C3891" s="543"/>
    </row>
    <row r="3892" spans="1:3">
      <c r="A3892" s="543"/>
      <c r="C3892" s="543"/>
    </row>
    <row r="3893" spans="1:3">
      <c r="A3893" s="543"/>
      <c r="C3893" s="543"/>
    </row>
    <row r="3894" spans="1:3">
      <c r="A3894" s="543"/>
      <c r="C3894" s="543"/>
    </row>
    <row r="3895" spans="1:3">
      <c r="A3895" s="543"/>
      <c r="C3895" s="543"/>
    </row>
    <row r="3896" spans="1:3">
      <c r="A3896" s="543"/>
      <c r="C3896" s="543"/>
    </row>
    <row r="3897" spans="1:3">
      <c r="A3897" s="543"/>
      <c r="C3897" s="543"/>
    </row>
    <row r="3898" spans="1:3">
      <c r="A3898" s="543"/>
      <c r="C3898" s="543"/>
    </row>
    <row r="3899" spans="1:3">
      <c r="A3899" s="543"/>
      <c r="C3899" s="543"/>
    </row>
    <row r="3900" spans="1:3">
      <c r="A3900" s="543"/>
      <c r="C3900" s="543"/>
    </row>
    <row r="3901" spans="1:3">
      <c r="A3901" s="543"/>
      <c r="C3901" s="543"/>
    </row>
    <row r="3902" spans="1:3">
      <c r="A3902" s="543"/>
      <c r="C3902" s="543"/>
    </row>
    <row r="3903" spans="1:3">
      <c r="A3903" s="543"/>
      <c r="C3903" s="543"/>
    </row>
    <row r="3904" spans="1:3">
      <c r="A3904" s="543"/>
      <c r="C3904" s="543"/>
    </row>
    <row r="3905" spans="1:3">
      <c r="A3905" s="543"/>
      <c r="C3905" s="543"/>
    </row>
    <row r="3906" spans="1:3">
      <c r="A3906" s="543"/>
      <c r="C3906" s="543"/>
    </row>
    <row r="3907" spans="1:3">
      <c r="A3907" s="543"/>
      <c r="C3907" s="543"/>
    </row>
    <row r="3908" spans="1:3">
      <c r="A3908" s="543"/>
      <c r="C3908" s="543"/>
    </row>
    <row r="3909" spans="1:3">
      <c r="A3909" s="543"/>
      <c r="C3909" s="543"/>
    </row>
    <row r="3910" spans="1:3">
      <c r="A3910" s="543"/>
      <c r="C3910" s="543"/>
    </row>
    <row r="3911" spans="1:3">
      <c r="A3911" s="543"/>
      <c r="C3911" s="543"/>
    </row>
    <row r="3912" spans="1:3">
      <c r="A3912" s="543"/>
      <c r="C3912" s="543"/>
    </row>
    <row r="3913" spans="1:3">
      <c r="A3913" s="543"/>
      <c r="C3913" s="543"/>
    </row>
    <row r="3914" spans="1:3">
      <c r="A3914" s="543"/>
      <c r="C3914" s="543"/>
    </row>
    <row r="3915" spans="1:3">
      <c r="A3915" s="543"/>
      <c r="C3915" s="543"/>
    </row>
    <row r="3916" spans="1:3">
      <c r="A3916" s="543"/>
      <c r="C3916" s="543"/>
    </row>
    <row r="3917" spans="1:3">
      <c r="A3917" s="543"/>
      <c r="C3917" s="543"/>
    </row>
    <row r="3918" spans="1:3">
      <c r="A3918" s="543"/>
      <c r="C3918" s="543"/>
    </row>
    <row r="3919" spans="1:3">
      <c r="A3919" s="543"/>
      <c r="C3919" s="543"/>
    </row>
    <row r="3920" spans="1:3">
      <c r="A3920" s="543"/>
      <c r="C3920" s="543"/>
    </row>
    <row r="3921" spans="1:3">
      <c r="A3921" s="543"/>
      <c r="C3921" s="543"/>
    </row>
    <row r="3922" spans="1:3">
      <c r="A3922" s="543"/>
      <c r="C3922" s="543"/>
    </row>
    <row r="3923" spans="1:3">
      <c r="A3923" s="543"/>
      <c r="C3923" s="543"/>
    </row>
    <row r="3924" spans="1:3">
      <c r="A3924" s="543"/>
      <c r="C3924" s="543"/>
    </row>
    <row r="3925" spans="1:3">
      <c r="A3925" s="543"/>
      <c r="C3925" s="543"/>
    </row>
    <row r="3926" spans="1:3">
      <c r="A3926" s="543"/>
      <c r="C3926" s="543"/>
    </row>
    <row r="3927" spans="1:3">
      <c r="A3927" s="543"/>
      <c r="C3927" s="543"/>
    </row>
    <row r="3928" spans="1:3">
      <c r="A3928" s="543"/>
      <c r="C3928" s="543"/>
    </row>
    <row r="3929" spans="1:3">
      <c r="A3929" s="543"/>
      <c r="C3929" s="543"/>
    </row>
    <row r="3930" spans="1:3">
      <c r="A3930" s="543"/>
      <c r="C3930" s="543"/>
    </row>
    <row r="3931" spans="1:3">
      <c r="A3931" s="543"/>
      <c r="C3931" s="543"/>
    </row>
    <row r="3932" spans="1:3">
      <c r="A3932" s="543"/>
      <c r="C3932" s="543"/>
    </row>
    <row r="3933" spans="1:3">
      <c r="A3933" s="543"/>
      <c r="C3933" s="543"/>
    </row>
    <row r="3934" spans="1:3">
      <c r="A3934" s="543"/>
      <c r="C3934" s="543"/>
    </row>
    <row r="3935" spans="1:3">
      <c r="A3935" s="543"/>
      <c r="C3935" s="543"/>
    </row>
    <row r="3936" spans="1:3">
      <c r="A3936" s="543"/>
      <c r="C3936" s="543"/>
    </row>
    <row r="3937" spans="1:3">
      <c r="A3937" s="543"/>
      <c r="C3937" s="543"/>
    </row>
    <row r="3938" spans="1:3">
      <c r="A3938" s="543"/>
      <c r="C3938" s="543"/>
    </row>
    <row r="3939" spans="1:3">
      <c r="A3939" s="543"/>
      <c r="C3939" s="543"/>
    </row>
    <row r="3940" spans="1:3">
      <c r="A3940" s="543"/>
      <c r="C3940" s="543"/>
    </row>
    <row r="3941" spans="1:3">
      <c r="A3941" s="543"/>
      <c r="C3941" s="543"/>
    </row>
    <row r="3942" spans="1:3">
      <c r="A3942" s="543"/>
      <c r="C3942" s="543"/>
    </row>
    <row r="3943" spans="1:3">
      <c r="A3943" s="543"/>
      <c r="C3943" s="543"/>
    </row>
    <row r="3944" spans="1:3">
      <c r="A3944" s="543"/>
      <c r="C3944" s="543"/>
    </row>
    <row r="3945" spans="1:3">
      <c r="A3945" s="543"/>
      <c r="C3945" s="543"/>
    </row>
    <row r="3946" spans="1:3">
      <c r="A3946" s="543"/>
      <c r="C3946" s="543"/>
    </row>
    <row r="3947" spans="1:3">
      <c r="A3947" s="543"/>
      <c r="C3947" s="543"/>
    </row>
    <row r="3948" spans="1:3">
      <c r="A3948" s="543"/>
      <c r="C3948" s="543"/>
    </row>
    <row r="3949" spans="1:3">
      <c r="A3949" s="543"/>
      <c r="C3949" s="543"/>
    </row>
    <row r="3950" spans="1:3">
      <c r="A3950" s="543"/>
      <c r="C3950" s="543"/>
    </row>
    <row r="3951" spans="1:3">
      <c r="A3951" s="543"/>
      <c r="C3951" s="543"/>
    </row>
    <row r="3952" spans="1:3">
      <c r="A3952" s="543"/>
      <c r="C3952" s="543"/>
    </row>
    <row r="3953" spans="1:3">
      <c r="A3953" s="543"/>
      <c r="C3953" s="543"/>
    </row>
    <row r="3954" spans="1:3">
      <c r="A3954" s="543"/>
      <c r="C3954" s="543"/>
    </row>
    <row r="3955" spans="1:3">
      <c r="A3955" s="543"/>
      <c r="C3955" s="543"/>
    </row>
    <row r="3956" spans="1:3">
      <c r="A3956" s="543"/>
      <c r="C3956" s="543"/>
    </row>
    <row r="3957" spans="1:3">
      <c r="A3957" s="543"/>
      <c r="C3957" s="543"/>
    </row>
    <row r="3958" spans="1:3">
      <c r="A3958" s="543"/>
      <c r="C3958" s="543"/>
    </row>
    <row r="3959" spans="1:3">
      <c r="A3959" s="543"/>
      <c r="C3959" s="543"/>
    </row>
    <row r="3960" spans="1:3">
      <c r="A3960" s="543"/>
      <c r="C3960" s="543"/>
    </row>
    <row r="3961" spans="1:3">
      <c r="A3961" s="543"/>
      <c r="C3961" s="543"/>
    </row>
    <row r="3962" spans="1:3">
      <c r="A3962" s="543"/>
      <c r="C3962" s="543"/>
    </row>
    <row r="3963" spans="1:3">
      <c r="A3963" s="543"/>
      <c r="C3963" s="543"/>
    </row>
    <row r="3964" spans="1:3">
      <c r="A3964" s="543"/>
      <c r="C3964" s="543"/>
    </row>
    <row r="3965" spans="1:3">
      <c r="A3965" s="543"/>
      <c r="C3965" s="543"/>
    </row>
    <row r="3966" spans="1:3">
      <c r="A3966" s="543"/>
      <c r="C3966" s="543"/>
    </row>
    <row r="3967" spans="1:3">
      <c r="A3967" s="543"/>
      <c r="C3967" s="543"/>
    </row>
    <row r="3968" spans="1:3">
      <c r="A3968" s="543"/>
      <c r="C3968" s="543"/>
    </row>
    <row r="3969" spans="1:3">
      <c r="A3969" s="543"/>
      <c r="C3969" s="543"/>
    </row>
    <row r="3970" spans="1:3">
      <c r="A3970" s="543"/>
      <c r="C3970" s="543"/>
    </row>
    <row r="3971" spans="1:3">
      <c r="A3971" s="543"/>
      <c r="C3971" s="543"/>
    </row>
    <row r="3972" spans="1:3">
      <c r="A3972" s="543"/>
      <c r="C3972" s="543"/>
    </row>
    <row r="3973" spans="1:3">
      <c r="A3973" s="543"/>
      <c r="C3973" s="543"/>
    </row>
    <row r="3974" spans="1:3">
      <c r="A3974" s="543"/>
      <c r="C3974" s="543"/>
    </row>
    <row r="3975" spans="1:3">
      <c r="A3975" s="543"/>
      <c r="C3975" s="543"/>
    </row>
    <row r="3976" spans="1:3">
      <c r="A3976" s="543"/>
      <c r="C3976" s="543"/>
    </row>
    <row r="3977" spans="1:3">
      <c r="A3977" s="543"/>
      <c r="C3977" s="543"/>
    </row>
    <row r="3978" spans="1:3">
      <c r="A3978" s="543"/>
      <c r="C3978" s="543"/>
    </row>
    <row r="3979" spans="1:3">
      <c r="A3979" s="543"/>
      <c r="C3979" s="543"/>
    </row>
    <row r="3980" spans="1:3">
      <c r="A3980" s="543"/>
      <c r="C3980" s="543"/>
    </row>
    <row r="3981" spans="1:3">
      <c r="A3981" s="543"/>
      <c r="C3981" s="543"/>
    </row>
    <row r="3982" spans="1:3">
      <c r="A3982" s="543"/>
      <c r="C3982" s="543"/>
    </row>
    <row r="3983" spans="1:3">
      <c r="A3983" s="543"/>
      <c r="C3983" s="543"/>
    </row>
    <row r="3984" spans="1:3">
      <c r="A3984" s="543"/>
      <c r="C3984" s="543"/>
    </row>
    <row r="3985" spans="1:3">
      <c r="A3985" s="543"/>
      <c r="C3985" s="543"/>
    </row>
    <row r="3986" spans="1:3">
      <c r="A3986" s="543"/>
      <c r="C3986" s="543"/>
    </row>
    <row r="3987" spans="1:3">
      <c r="A3987" s="543"/>
      <c r="C3987" s="543"/>
    </row>
    <row r="3988" spans="1:3">
      <c r="A3988" s="543"/>
      <c r="C3988" s="543"/>
    </row>
    <row r="3989" spans="1:3">
      <c r="A3989" s="543"/>
      <c r="C3989" s="543"/>
    </row>
    <row r="3990" spans="1:3">
      <c r="A3990" s="543"/>
      <c r="C3990" s="543"/>
    </row>
    <row r="3991" spans="1:3">
      <c r="A3991" s="543"/>
      <c r="C3991" s="543"/>
    </row>
    <row r="3992" spans="1:3">
      <c r="A3992" s="543"/>
      <c r="C3992" s="543"/>
    </row>
    <row r="3993" spans="1:3">
      <c r="A3993" s="543"/>
      <c r="C3993" s="543"/>
    </row>
    <row r="3994" spans="1:3">
      <c r="A3994" s="543"/>
      <c r="C3994" s="543"/>
    </row>
    <row r="3995" spans="1:3">
      <c r="A3995" s="543"/>
      <c r="C3995" s="543"/>
    </row>
    <row r="3996" spans="1:3">
      <c r="A3996" s="543"/>
      <c r="C3996" s="543"/>
    </row>
    <row r="3997" spans="1:3">
      <c r="A3997" s="543"/>
      <c r="C3997" s="543"/>
    </row>
    <row r="3998" spans="1:3">
      <c r="A3998" s="543"/>
      <c r="C3998" s="543"/>
    </row>
    <row r="3999" spans="1:3">
      <c r="A3999" s="543"/>
      <c r="C3999" s="543"/>
    </row>
    <row r="4000" spans="1:3">
      <c r="A4000" s="543"/>
      <c r="C4000" s="543"/>
    </row>
    <row r="4001" spans="1:3">
      <c r="A4001" s="543"/>
      <c r="C4001" s="543"/>
    </row>
    <row r="4002" spans="1:3">
      <c r="A4002" s="543"/>
      <c r="C4002" s="543"/>
    </row>
    <row r="4003" spans="1:3">
      <c r="A4003" s="543"/>
      <c r="C4003" s="543"/>
    </row>
    <row r="4004" spans="1:3">
      <c r="A4004" s="543"/>
      <c r="C4004" s="543"/>
    </row>
    <row r="4005" spans="1:3">
      <c r="A4005" s="543"/>
      <c r="C4005" s="543"/>
    </row>
    <row r="4006" spans="1:3">
      <c r="A4006" s="543"/>
      <c r="C4006" s="543"/>
    </row>
    <row r="4007" spans="1:3">
      <c r="A4007" s="543"/>
      <c r="C4007" s="543"/>
    </row>
    <row r="4008" spans="1:3">
      <c r="A4008" s="543"/>
      <c r="C4008" s="543"/>
    </row>
    <row r="4009" spans="1:3">
      <c r="A4009" s="543"/>
      <c r="C4009" s="543"/>
    </row>
    <row r="4010" spans="1:3">
      <c r="A4010" s="543"/>
      <c r="C4010" s="543"/>
    </row>
    <row r="4011" spans="1:3">
      <c r="A4011" s="543"/>
      <c r="C4011" s="543"/>
    </row>
    <row r="4012" spans="1:3">
      <c r="A4012" s="543"/>
      <c r="C4012" s="543"/>
    </row>
    <row r="4013" spans="1:3">
      <c r="A4013" s="543"/>
      <c r="C4013" s="543"/>
    </row>
    <row r="4014" spans="1:3">
      <c r="A4014" s="543"/>
      <c r="C4014" s="543"/>
    </row>
    <row r="4015" spans="1:3">
      <c r="A4015" s="543"/>
      <c r="C4015" s="543"/>
    </row>
    <row r="4016" spans="1:3">
      <c r="A4016" s="543"/>
      <c r="C4016" s="543"/>
    </row>
    <row r="4017" spans="1:3">
      <c r="A4017" s="543"/>
      <c r="C4017" s="543"/>
    </row>
    <row r="4018" spans="1:3">
      <c r="A4018" s="543"/>
      <c r="C4018" s="543"/>
    </row>
    <row r="4019" spans="1:3">
      <c r="A4019" s="543"/>
      <c r="C4019" s="543"/>
    </row>
    <row r="4020" spans="1:3">
      <c r="A4020" s="543"/>
      <c r="C4020" s="543"/>
    </row>
    <row r="4021" spans="1:3">
      <c r="A4021" s="543"/>
      <c r="C4021" s="543"/>
    </row>
    <row r="4022" spans="1:3">
      <c r="A4022" s="543"/>
      <c r="C4022" s="543"/>
    </row>
    <row r="4023" spans="1:3">
      <c r="A4023" s="543"/>
      <c r="C4023" s="543"/>
    </row>
    <row r="4024" spans="1:3">
      <c r="A4024" s="543"/>
      <c r="C4024" s="543"/>
    </row>
    <row r="4025" spans="1:3">
      <c r="A4025" s="543"/>
      <c r="C4025" s="543"/>
    </row>
    <row r="4026" spans="1:3">
      <c r="A4026" s="543"/>
      <c r="C4026" s="543"/>
    </row>
    <row r="4027" spans="1:3">
      <c r="A4027" s="543"/>
      <c r="C4027" s="543"/>
    </row>
    <row r="4028" spans="1:3">
      <c r="A4028" s="543"/>
      <c r="C4028" s="543"/>
    </row>
    <row r="4029" spans="1:3">
      <c r="A4029" s="543"/>
      <c r="C4029" s="543"/>
    </row>
    <row r="4030" spans="1:3">
      <c r="A4030" s="543"/>
      <c r="C4030" s="543"/>
    </row>
    <row r="4031" spans="1:3">
      <c r="A4031" s="543"/>
      <c r="C4031" s="543"/>
    </row>
    <row r="4032" spans="1:3">
      <c r="A4032" s="543"/>
      <c r="C4032" s="543"/>
    </row>
    <row r="4033" spans="1:3">
      <c r="A4033" s="543"/>
      <c r="C4033" s="543"/>
    </row>
    <row r="4034" spans="1:3">
      <c r="A4034" s="543"/>
      <c r="C4034" s="543"/>
    </row>
    <row r="4035" spans="1:3">
      <c r="A4035" s="543"/>
      <c r="C4035" s="543"/>
    </row>
    <row r="4036" spans="1:3">
      <c r="A4036" s="543"/>
      <c r="C4036" s="543"/>
    </row>
    <row r="4037" spans="1:3">
      <c r="A4037" s="543"/>
      <c r="C4037" s="543"/>
    </row>
    <row r="4038" spans="1:3">
      <c r="A4038" s="543"/>
      <c r="C4038" s="543"/>
    </row>
    <row r="4039" spans="1:3">
      <c r="A4039" s="543"/>
      <c r="C4039" s="543"/>
    </row>
    <row r="4040" spans="1:3">
      <c r="A4040" s="543"/>
      <c r="C4040" s="543"/>
    </row>
    <row r="4041" spans="1:3">
      <c r="A4041" s="543"/>
      <c r="C4041" s="543"/>
    </row>
    <row r="4042" spans="1:3">
      <c r="A4042" s="543"/>
      <c r="C4042" s="543"/>
    </row>
    <row r="4043" spans="1:3">
      <c r="A4043" s="543"/>
      <c r="C4043" s="543"/>
    </row>
    <row r="4044" spans="1:3">
      <c r="A4044" s="543"/>
      <c r="C4044" s="543"/>
    </row>
    <row r="4045" spans="1:3">
      <c r="A4045" s="543"/>
      <c r="C4045" s="543"/>
    </row>
    <row r="4046" spans="1:3">
      <c r="A4046" s="543"/>
      <c r="C4046" s="543"/>
    </row>
    <row r="4047" spans="1:3">
      <c r="A4047" s="543"/>
      <c r="C4047" s="543"/>
    </row>
    <row r="4048" spans="1:3">
      <c r="A4048" s="543"/>
      <c r="C4048" s="543"/>
    </row>
    <row r="4049" spans="1:3">
      <c r="A4049" s="543"/>
      <c r="C4049" s="543"/>
    </row>
    <row r="4050" spans="1:3">
      <c r="A4050" s="543"/>
      <c r="C4050" s="543"/>
    </row>
    <row r="4051" spans="1:3">
      <c r="A4051" s="543"/>
      <c r="C4051" s="543"/>
    </row>
    <row r="4052" spans="1:3">
      <c r="A4052" s="543"/>
      <c r="C4052" s="543"/>
    </row>
    <row r="4053" spans="1:3">
      <c r="A4053" s="543"/>
      <c r="C4053" s="543"/>
    </row>
    <row r="4054" spans="1:3">
      <c r="A4054" s="543"/>
      <c r="C4054" s="543"/>
    </row>
    <row r="4055" spans="1:3">
      <c r="A4055" s="543"/>
      <c r="C4055" s="543"/>
    </row>
    <row r="4056" spans="1:3">
      <c r="A4056" s="543"/>
      <c r="C4056" s="543"/>
    </row>
    <row r="4057" spans="1:3">
      <c r="A4057" s="543"/>
      <c r="C4057" s="543"/>
    </row>
    <row r="4058" spans="1:3">
      <c r="A4058" s="543"/>
      <c r="C4058" s="543"/>
    </row>
    <row r="4059" spans="1:3">
      <c r="A4059" s="543"/>
      <c r="C4059" s="543"/>
    </row>
    <row r="4060" spans="1:3">
      <c r="A4060" s="543"/>
      <c r="C4060" s="543"/>
    </row>
    <row r="4061" spans="1:3">
      <c r="A4061" s="543"/>
      <c r="C4061" s="543"/>
    </row>
    <row r="4062" spans="1:3">
      <c r="A4062" s="543"/>
      <c r="C4062" s="543"/>
    </row>
    <row r="4063" spans="1:3">
      <c r="A4063" s="543"/>
      <c r="C4063" s="543"/>
    </row>
    <row r="4064" spans="1:3">
      <c r="A4064" s="543"/>
      <c r="C4064" s="543"/>
    </row>
    <row r="4065" spans="1:3">
      <c r="A4065" s="543"/>
      <c r="C4065" s="543"/>
    </row>
    <row r="4066" spans="1:3">
      <c r="A4066" s="543"/>
      <c r="C4066" s="543"/>
    </row>
    <row r="4067" spans="1:3">
      <c r="A4067" s="543"/>
      <c r="C4067" s="543"/>
    </row>
    <row r="4068" spans="1:3">
      <c r="A4068" s="543"/>
      <c r="C4068" s="543"/>
    </row>
    <row r="4069" spans="1:3">
      <c r="A4069" s="543"/>
      <c r="C4069" s="543"/>
    </row>
    <row r="4070" spans="1:3">
      <c r="A4070" s="543"/>
      <c r="C4070" s="543"/>
    </row>
    <row r="4071" spans="1:3">
      <c r="A4071" s="543"/>
      <c r="C4071" s="543"/>
    </row>
    <row r="4072" spans="1:3">
      <c r="A4072" s="543"/>
      <c r="C4072" s="543"/>
    </row>
    <row r="4073" spans="1:3">
      <c r="A4073" s="543"/>
      <c r="C4073" s="543"/>
    </row>
    <row r="4074" spans="1:3">
      <c r="A4074" s="543"/>
      <c r="C4074" s="543"/>
    </row>
    <row r="4075" spans="1:3">
      <c r="A4075" s="543"/>
      <c r="C4075" s="543"/>
    </row>
    <row r="4076" spans="1:3">
      <c r="A4076" s="543"/>
      <c r="C4076" s="543"/>
    </row>
    <row r="4077" spans="1:3">
      <c r="A4077" s="543"/>
      <c r="C4077" s="543"/>
    </row>
    <row r="4078" spans="1:3">
      <c r="A4078" s="543"/>
      <c r="C4078" s="543"/>
    </row>
    <row r="4079" spans="1:3">
      <c r="A4079" s="543"/>
      <c r="C4079" s="543"/>
    </row>
    <row r="4080" spans="1:3">
      <c r="A4080" s="543"/>
      <c r="C4080" s="543"/>
    </row>
    <row r="4081" spans="1:3">
      <c r="A4081" s="543"/>
      <c r="C4081" s="543"/>
    </row>
    <row r="4082" spans="1:3">
      <c r="A4082" s="543"/>
      <c r="C4082" s="543"/>
    </row>
    <row r="4083" spans="1:3">
      <c r="A4083" s="543"/>
      <c r="C4083" s="543"/>
    </row>
    <row r="4084" spans="1:3">
      <c r="A4084" s="543"/>
      <c r="C4084" s="543"/>
    </row>
    <row r="4085" spans="1:3">
      <c r="A4085" s="543"/>
      <c r="C4085" s="543"/>
    </row>
    <row r="4086" spans="1:3">
      <c r="A4086" s="543"/>
      <c r="C4086" s="543"/>
    </row>
    <row r="4087" spans="1:3">
      <c r="A4087" s="543"/>
      <c r="C4087" s="543"/>
    </row>
    <row r="4088" spans="1:3">
      <c r="A4088" s="543"/>
      <c r="C4088" s="543"/>
    </row>
    <row r="4089" spans="1:3">
      <c r="A4089" s="543"/>
      <c r="C4089" s="543"/>
    </row>
    <row r="4090" spans="1:3">
      <c r="A4090" s="543"/>
      <c r="C4090" s="543"/>
    </row>
    <row r="4091" spans="1:3">
      <c r="A4091" s="543"/>
      <c r="C4091" s="543"/>
    </row>
    <row r="4092" spans="1:3">
      <c r="A4092" s="543"/>
      <c r="C4092" s="543"/>
    </row>
    <row r="4093" spans="1:3">
      <c r="A4093" s="543"/>
      <c r="C4093" s="543"/>
    </row>
    <row r="4094" spans="1:3">
      <c r="A4094" s="543"/>
      <c r="C4094" s="543"/>
    </row>
    <row r="4095" spans="1:3">
      <c r="A4095" s="543"/>
      <c r="C4095" s="543"/>
    </row>
    <row r="4096" spans="1:3">
      <c r="A4096" s="543"/>
      <c r="C4096" s="543"/>
    </row>
    <row r="4097" spans="1:3">
      <c r="A4097" s="543"/>
      <c r="C4097" s="543"/>
    </row>
    <row r="4098" spans="1:3">
      <c r="A4098" s="543"/>
      <c r="C4098" s="543"/>
    </row>
    <row r="4099" spans="1:3">
      <c r="A4099" s="543"/>
      <c r="C4099" s="543"/>
    </row>
    <row r="4100" spans="1:3">
      <c r="A4100" s="543"/>
      <c r="C4100" s="543"/>
    </row>
    <row r="4101" spans="1:3">
      <c r="A4101" s="543"/>
      <c r="C4101" s="543"/>
    </row>
    <row r="4102" spans="1:3">
      <c r="A4102" s="543"/>
      <c r="C4102" s="543"/>
    </row>
    <row r="4103" spans="1:3">
      <c r="A4103" s="543"/>
      <c r="C4103" s="543"/>
    </row>
    <row r="4104" spans="1:3">
      <c r="A4104" s="543"/>
      <c r="C4104" s="543"/>
    </row>
    <row r="4105" spans="1:3">
      <c r="A4105" s="543"/>
      <c r="C4105" s="543"/>
    </row>
    <row r="4106" spans="1:3">
      <c r="A4106" s="543"/>
      <c r="C4106" s="543"/>
    </row>
    <row r="4107" spans="1:3">
      <c r="A4107" s="543"/>
      <c r="C4107" s="543"/>
    </row>
    <row r="4108" spans="1:3">
      <c r="A4108" s="543"/>
      <c r="C4108" s="543"/>
    </row>
    <row r="4109" spans="1:3">
      <c r="A4109" s="543"/>
      <c r="C4109" s="543"/>
    </row>
    <row r="4110" spans="1:3">
      <c r="A4110" s="543"/>
      <c r="C4110" s="543"/>
    </row>
    <row r="4111" spans="1:3">
      <c r="A4111" s="543"/>
      <c r="C4111" s="543"/>
    </row>
    <row r="4112" spans="1:3">
      <c r="A4112" s="543"/>
      <c r="C4112" s="543"/>
    </row>
    <row r="4113" spans="1:3">
      <c r="A4113" s="543"/>
      <c r="C4113" s="543"/>
    </row>
    <row r="4114" spans="1:3">
      <c r="A4114" s="543"/>
      <c r="C4114" s="543"/>
    </row>
    <row r="4115" spans="1:3">
      <c r="A4115" s="543"/>
      <c r="C4115" s="543"/>
    </row>
    <row r="4116" spans="1:3">
      <c r="A4116" s="543"/>
      <c r="C4116" s="543"/>
    </row>
    <row r="4117" spans="1:3">
      <c r="A4117" s="543"/>
      <c r="C4117" s="543"/>
    </row>
    <row r="4118" spans="1:3">
      <c r="A4118" s="543"/>
      <c r="C4118" s="543"/>
    </row>
    <row r="4119" spans="1:3">
      <c r="A4119" s="543"/>
      <c r="C4119" s="543"/>
    </row>
    <row r="4120" spans="1:3">
      <c r="A4120" s="543"/>
      <c r="C4120" s="543"/>
    </row>
    <row r="4121" spans="1:3">
      <c r="A4121" s="543"/>
      <c r="C4121" s="543"/>
    </row>
    <row r="4122" spans="1:3">
      <c r="A4122" s="543"/>
      <c r="C4122" s="543"/>
    </row>
    <row r="4123" spans="1:3">
      <c r="A4123" s="543"/>
      <c r="C4123" s="543"/>
    </row>
    <row r="4124" spans="1:3">
      <c r="A4124" s="543"/>
      <c r="C4124" s="543"/>
    </row>
    <row r="4125" spans="1:3">
      <c r="A4125" s="543"/>
      <c r="C4125" s="543"/>
    </row>
    <row r="4126" spans="1:3">
      <c r="A4126" s="543"/>
      <c r="C4126" s="543"/>
    </row>
    <row r="4127" spans="1:3">
      <c r="A4127" s="543"/>
      <c r="C4127" s="543"/>
    </row>
    <row r="4128" spans="1:3">
      <c r="A4128" s="543"/>
      <c r="C4128" s="543"/>
    </row>
    <row r="4129" spans="1:3">
      <c r="A4129" s="543"/>
      <c r="C4129" s="543"/>
    </row>
    <row r="4130" spans="1:3">
      <c r="A4130" s="543"/>
      <c r="C4130" s="543"/>
    </row>
    <row r="4131" spans="1:3">
      <c r="A4131" s="543"/>
      <c r="C4131" s="543"/>
    </row>
    <row r="4132" spans="1:3">
      <c r="A4132" s="543"/>
      <c r="C4132" s="543"/>
    </row>
    <row r="4133" spans="1:3">
      <c r="A4133" s="543"/>
      <c r="C4133" s="543"/>
    </row>
    <row r="4134" spans="1:3">
      <c r="A4134" s="543"/>
      <c r="C4134" s="543"/>
    </row>
    <row r="4135" spans="1:3">
      <c r="A4135" s="543"/>
      <c r="C4135" s="543"/>
    </row>
    <row r="4136" spans="1:3">
      <c r="A4136" s="543"/>
      <c r="C4136" s="543"/>
    </row>
    <row r="4137" spans="1:3">
      <c r="A4137" s="543"/>
      <c r="C4137" s="543"/>
    </row>
    <row r="4138" spans="1:3">
      <c r="A4138" s="543"/>
      <c r="C4138" s="543"/>
    </row>
    <row r="4139" spans="1:3">
      <c r="A4139" s="543"/>
      <c r="C4139" s="543"/>
    </row>
    <row r="4140" spans="1:3">
      <c r="A4140" s="543"/>
      <c r="C4140" s="543"/>
    </row>
    <row r="4141" spans="1:3">
      <c r="A4141" s="543"/>
      <c r="C4141" s="543"/>
    </row>
    <row r="4142" spans="1:3">
      <c r="A4142" s="543"/>
      <c r="C4142" s="543"/>
    </row>
    <row r="4143" spans="1:3">
      <c r="A4143" s="543"/>
      <c r="C4143" s="543"/>
    </row>
    <row r="4144" spans="1:3">
      <c r="A4144" s="543"/>
      <c r="C4144" s="543"/>
    </row>
    <row r="4145" spans="1:3">
      <c r="A4145" s="543"/>
      <c r="C4145" s="543"/>
    </row>
    <row r="4146" spans="1:3">
      <c r="A4146" s="543"/>
      <c r="C4146" s="543"/>
    </row>
    <row r="4147" spans="1:3">
      <c r="A4147" s="543"/>
      <c r="C4147" s="543"/>
    </row>
    <row r="4148" spans="1:3">
      <c r="A4148" s="543"/>
      <c r="C4148" s="543"/>
    </row>
    <row r="4149" spans="1:3">
      <c r="A4149" s="543"/>
      <c r="C4149" s="543"/>
    </row>
    <row r="4150" spans="1:3">
      <c r="A4150" s="543"/>
      <c r="C4150" s="543"/>
    </row>
    <row r="4151" spans="1:3">
      <c r="A4151" s="543"/>
      <c r="C4151" s="543"/>
    </row>
    <row r="4152" spans="1:3">
      <c r="A4152" s="543"/>
      <c r="C4152" s="543"/>
    </row>
    <row r="4153" spans="1:3">
      <c r="A4153" s="543"/>
      <c r="C4153" s="543"/>
    </row>
    <row r="4154" spans="1:3">
      <c r="A4154" s="543"/>
      <c r="C4154" s="543"/>
    </row>
    <row r="4155" spans="1:3">
      <c r="A4155" s="543"/>
      <c r="C4155" s="543"/>
    </row>
    <row r="4156" spans="1:3">
      <c r="A4156" s="543"/>
      <c r="C4156" s="543"/>
    </row>
    <row r="4157" spans="1:3">
      <c r="A4157" s="543"/>
      <c r="C4157" s="543"/>
    </row>
    <row r="4158" spans="1:3">
      <c r="A4158" s="543"/>
      <c r="C4158" s="543"/>
    </row>
    <row r="4159" spans="1:3">
      <c r="A4159" s="543"/>
      <c r="C4159" s="543"/>
    </row>
    <row r="4160" spans="1:3">
      <c r="A4160" s="543"/>
      <c r="C4160" s="543"/>
    </row>
    <row r="4161" spans="1:3">
      <c r="A4161" s="543"/>
      <c r="C4161" s="543"/>
    </row>
    <row r="4162" spans="1:3">
      <c r="A4162" s="543"/>
      <c r="C4162" s="543"/>
    </row>
    <row r="4163" spans="1:3">
      <c r="A4163" s="543"/>
      <c r="C4163" s="543"/>
    </row>
    <row r="4164" spans="1:3">
      <c r="A4164" s="543"/>
      <c r="C4164" s="543"/>
    </row>
    <row r="4165" spans="1:3">
      <c r="A4165" s="543"/>
      <c r="C4165" s="543"/>
    </row>
    <row r="4166" spans="1:3">
      <c r="A4166" s="543"/>
      <c r="C4166" s="543"/>
    </row>
    <row r="4167" spans="1:3">
      <c r="A4167" s="543"/>
      <c r="C4167" s="543"/>
    </row>
    <row r="4168" spans="1:3">
      <c r="A4168" s="543"/>
      <c r="C4168" s="543"/>
    </row>
    <row r="4169" spans="1:3">
      <c r="A4169" s="543"/>
      <c r="C4169" s="543"/>
    </row>
    <row r="4170" spans="1:3">
      <c r="A4170" s="543"/>
      <c r="C4170" s="543"/>
    </row>
    <row r="4171" spans="1:3">
      <c r="A4171" s="543"/>
      <c r="C4171" s="543"/>
    </row>
    <row r="4172" spans="1:3">
      <c r="A4172" s="543"/>
      <c r="C4172" s="543"/>
    </row>
    <row r="4173" spans="1:3">
      <c r="A4173" s="543"/>
      <c r="C4173" s="543"/>
    </row>
    <row r="4174" spans="1:3">
      <c r="A4174" s="543"/>
      <c r="C4174" s="543"/>
    </row>
    <row r="4175" spans="1:3">
      <c r="A4175" s="543"/>
      <c r="C4175" s="543"/>
    </row>
    <row r="4176" spans="1:3">
      <c r="A4176" s="543"/>
      <c r="C4176" s="543"/>
    </row>
    <row r="4177" spans="1:3">
      <c r="A4177" s="543"/>
      <c r="C4177" s="543"/>
    </row>
    <row r="4178" spans="1:3">
      <c r="A4178" s="543"/>
      <c r="C4178" s="543"/>
    </row>
    <row r="4179" spans="1:3">
      <c r="A4179" s="543"/>
      <c r="C4179" s="543"/>
    </row>
    <row r="4180" spans="1:3">
      <c r="A4180" s="543"/>
      <c r="C4180" s="543"/>
    </row>
    <row r="4181" spans="1:3">
      <c r="A4181" s="543"/>
      <c r="C4181" s="543"/>
    </row>
    <row r="4182" spans="1:3">
      <c r="A4182" s="543"/>
      <c r="C4182" s="543"/>
    </row>
    <row r="4183" spans="1:3">
      <c r="A4183" s="543"/>
      <c r="C4183" s="543"/>
    </row>
    <row r="4184" spans="1:3">
      <c r="A4184" s="543"/>
      <c r="C4184" s="543"/>
    </row>
    <row r="4185" spans="1:3">
      <c r="A4185" s="543"/>
      <c r="C4185" s="543"/>
    </row>
    <row r="4186" spans="1:3">
      <c r="A4186" s="543"/>
      <c r="C4186" s="543"/>
    </row>
    <row r="4187" spans="1:3">
      <c r="A4187" s="543"/>
      <c r="C4187" s="543"/>
    </row>
    <row r="4188" spans="1:3">
      <c r="A4188" s="543"/>
      <c r="C4188" s="543"/>
    </row>
    <row r="4189" spans="1:3">
      <c r="A4189" s="543"/>
      <c r="C4189" s="543"/>
    </row>
    <row r="4190" spans="1:3">
      <c r="A4190" s="543"/>
      <c r="C4190" s="543"/>
    </row>
    <row r="4191" spans="1:3">
      <c r="A4191" s="543"/>
      <c r="C4191" s="543"/>
    </row>
    <row r="4192" spans="1:3">
      <c r="A4192" s="543"/>
      <c r="C4192" s="543"/>
    </row>
    <row r="4193" spans="1:3">
      <c r="A4193" s="543"/>
      <c r="C4193" s="543"/>
    </row>
    <row r="4194" spans="1:3">
      <c r="A4194" s="543"/>
      <c r="C4194" s="543"/>
    </row>
    <row r="4195" spans="1:3">
      <c r="A4195" s="543"/>
      <c r="C4195" s="543"/>
    </row>
    <row r="4196" spans="1:3">
      <c r="A4196" s="543"/>
      <c r="C4196" s="543"/>
    </row>
    <row r="4197" spans="1:3">
      <c r="A4197" s="543"/>
      <c r="C4197" s="543"/>
    </row>
    <row r="4198" spans="1:3">
      <c r="A4198" s="543"/>
      <c r="C4198" s="543"/>
    </row>
    <row r="4199" spans="1:3">
      <c r="A4199" s="543"/>
      <c r="C4199" s="543"/>
    </row>
    <row r="4200" spans="1:3">
      <c r="A4200" s="543"/>
      <c r="C4200" s="543"/>
    </row>
    <row r="4201" spans="1:3">
      <c r="A4201" s="543"/>
      <c r="C4201" s="543"/>
    </row>
    <row r="4202" spans="1:3">
      <c r="A4202" s="543"/>
      <c r="C4202" s="543"/>
    </row>
    <row r="4203" spans="1:3">
      <c r="A4203" s="543"/>
      <c r="C4203" s="543"/>
    </row>
    <row r="4204" spans="1:3">
      <c r="A4204" s="543"/>
      <c r="C4204" s="543"/>
    </row>
    <row r="4205" spans="1:3">
      <c r="A4205" s="543"/>
      <c r="C4205" s="543"/>
    </row>
    <row r="4206" spans="1:3">
      <c r="A4206" s="543"/>
      <c r="C4206" s="543"/>
    </row>
    <row r="4207" spans="1:3">
      <c r="A4207" s="543"/>
      <c r="C4207" s="543"/>
    </row>
    <row r="4208" spans="1:3">
      <c r="A4208" s="543"/>
      <c r="C4208" s="543"/>
    </row>
    <row r="4209" spans="1:3">
      <c r="A4209" s="543"/>
      <c r="C4209" s="543"/>
    </row>
    <row r="4210" spans="1:3">
      <c r="A4210" s="543"/>
      <c r="C4210" s="543"/>
    </row>
    <row r="4211" spans="1:3">
      <c r="A4211" s="543"/>
      <c r="C4211" s="543"/>
    </row>
    <row r="4212" spans="1:3">
      <c r="A4212" s="543"/>
      <c r="C4212" s="543"/>
    </row>
    <row r="4213" spans="1:3">
      <c r="A4213" s="543"/>
      <c r="C4213" s="543"/>
    </row>
    <row r="4214" spans="1:3">
      <c r="A4214" s="543"/>
      <c r="C4214" s="543"/>
    </row>
    <row r="4215" spans="1:3">
      <c r="A4215" s="543"/>
      <c r="C4215" s="543"/>
    </row>
    <row r="4216" spans="1:3">
      <c r="A4216" s="543"/>
      <c r="C4216" s="543"/>
    </row>
    <row r="4217" spans="1:3">
      <c r="A4217" s="543"/>
      <c r="C4217" s="543"/>
    </row>
    <row r="4218" spans="1:3">
      <c r="A4218" s="543"/>
      <c r="C4218" s="543"/>
    </row>
    <row r="4219" spans="1:3">
      <c r="A4219" s="543"/>
      <c r="C4219" s="543"/>
    </row>
    <row r="4220" spans="1:3">
      <c r="A4220" s="543"/>
      <c r="C4220" s="543"/>
    </row>
    <row r="4221" spans="1:3">
      <c r="A4221" s="543"/>
      <c r="C4221" s="543"/>
    </row>
    <row r="4222" spans="1:3">
      <c r="A4222" s="543"/>
      <c r="C4222" s="543"/>
    </row>
    <row r="4223" spans="1:3">
      <c r="A4223" s="543"/>
      <c r="C4223" s="543"/>
    </row>
    <row r="4224" spans="1:3">
      <c r="A4224" s="543"/>
      <c r="C4224" s="543"/>
    </row>
    <row r="4225" spans="1:3">
      <c r="A4225" s="543"/>
      <c r="C4225" s="543"/>
    </row>
    <row r="4226" spans="1:3">
      <c r="A4226" s="543"/>
      <c r="C4226" s="543"/>
    </row>
    <row r="4227" spans="1:3">
      <c r="A4227" s="543"/>
      <c r="C4227" s="543"/>
    </row>
    <row r="4228" spans="1:3">
      <c r="A4228" s="543"/>
      <c r="C4228" s="543"/>
    </row>
    <row r="4229" spans="1:3">
      <c r="A4229" s="543"/>
      <c r="C4229" s="543"/>
    </row>
    <row r="4230" spans="1:3">
      <c r="A4230" s="543"/>
      <c r="C4230" s="543"/>
    </row>
    <row r="4231" spans="1:3">
      <c r="A4231" s="543"/>
      <c r="C4231" s="543"/>
    </row>
    <row r="4232" spans="1:3">
      <c r="A4232" s="543"/>
      <c r="C4232" s="543"/>
    </row>
    <row r="4233" spans="1:3">
      <c r="A4233" s="543"/>
      <c r="C4233" s="543"/>
    </row>
    <row r="4234" spans="1:3">
      <c r="A4234" s="543"/>
      <c r="C4234" s="543"/>
    </row>
    <row r="4235" spans="1:3">
      <c r="A4235" s="543"/>
      <c r="C4235" s="543"/>
    </row>
    <row r="4236" spans="1:3">
      <c r="A4236" s="543"/>
      <c r="C4236" s="543"/>
    </row>
    <row r="4237" spans="1:3">
      <c r="A4237" s="543"/>
      <c r="C4237" s="543"/>
    </row>
    <row r="4238" spans="1:3">
      <c r="A4238" s="543"/>
      <c r="C4238" s="543"/>
    </row>
    <row r="4239" spans="1:3">
      <c r="A4239" s="543"/>
      <c r="C4239" s="543"/>
    </row>
    <row r="4240" spans="1:3">
      <c r="A4240" s="543"/>
      <c r="C4240" s="543"/>
    </row>
    <row r="4241" spans="1:3">
      <c r="A4241" s="543"/>
      <c r="C4241" s="543"/>
    </row>
    <row r="4242" spans="1:3">
      <c r="A4242" s="543"/>
      <c r="C4242" s="543"/>
    </row>
    <row r="4243" spans="1:3">
      <c r="A4243" s="543"/>
      <c r="C4243" s="543"/>
    </row>
    <row r="4244" spans="1:3">
      <c r="A4244" s="543"/>
      <c r="C4244" s="543"/>
    </row>
    <row r="4245" spans="1:3">
      <c r="A4245" s="543"/>
      <c r="C4245" s="543"/>
    </row>
    <row r="4246" spans="1:3">
      <c r="A4246" s="543"/>
      <c r="C4246" s="543"/>
    </row>
    <row r="4247" spans="1:3">
      <c r="A4247" s="543"/>
      <c r="C4247" s="543"/>
    </row>
    <row r="4248" spans="1:3">
      <c r="A4248" s="543"/>
      <c r="C4248" s="543"/>
    </row>
    <row r="4249" spans="1:3">
      <c r="A4249" s="543"/>
      <c r="C4249" s="543"/>
    </row>
    <row r="4250" spans="1:3">
      <c r="A4250" s="543"/>
      <c r="C4250" s="543"/>
    </row>
    <row r="4251" spans="1:3">
      <c r="A4251" s="543"/>
      <c r="C4251" s="543"/>
    </row>
    <row r="4252" spans="1:3">
      <c r="A4252" s="543"/>
      <c r="C4252" s="543"/>
    </row>
    <row r="4253" spans="1:3">
      <c r="A4253" s="543"/>
      <c r="C4253" s="543"/>
    </row>
    <row r="4254" spans="1:3">
      <c r="A4254" s="543"/>
      <c r="C4254" s="543"/>
    </row>
    <row r="4255" spans="1:3">
      <c r="A4255" s="543"/>
      <c r="C4255" s="543"/>
    </row>
    <row r="4256" spans="1:3">
      <c r="A4256" s="543"/>
      <c r="C4256" s="543"/>
    </row>
    <row r="4257" spans="1:3">
      <c r="A4257" s="543"/>
      <c r="C4257" s="543"/>
    </row>
    <row r="4258" spans="1:3">
      <c r="A4258" s="543"/>
      <c r="C4258" s="543"/>
    </row>
    <row r="4259" spans="1:3">
      <c r="A4259" s="543"/>
      <c r="C4259" s="543"/>
    </row>
    <row r="4260" spans="1:3">
      <c r="A4260" s="543"/>
      <c r="C4260" s="543"/>
    </row>
    <row r="4261" spans="1:3">
      <c r="A4261" s="543"/>
      <c r="C4261" s="543"/>
    </row>
    <row r="4262" spans="1:3">
      <c r="A4262" s="543"/>
      <c r="C4262" s="543"/>
    </row>
    <row r="4263" spans="1:3">
      <c r="A4263" s="543"/>
      <c r="C4263" s="543"/>
    </row>
    <row r="4264" spans="1:3">
      <c r="A4264" s="543"/>
      <c r="C4264" s="543"/>
    </row>
    <row r="4265" spans="1:3">
      <c r="A4265" s="543"/>
      <c r="C4265" s="543"/>
    </row>
    <row r="4266" spans="1:3">
      <c r="A4266" s="543"/>
      <c r="C4266" s="543"/>
    </row>
    <row r="4267" spans="1:3">
      <c r="A4267" s="543"/>
      <c r="C4267" s="543"/>
    </row>
    <row r="4268" spans="1:3">
      <c r="A4268" s="543"/>
      <c r="C4268" s="543"/>
    </row>
    <row r="4269" spans="1:3">
      <c r="A4269" s="543"/>
      <c r="C4269" s="543"/>
    </row>
    <row r="4270" spans="1:3">
      <c r="A4270" s="543"/>
      <c r="C4270" s="543"/>
    </row>
    <row r="4271" spans="1:3">
      <c r="A4271" s="543"/>
      <c r="C4271" s="543"/>
    </row>
    <row r="4272" spans="1:3">
      <c r="A4272" s="543"/>
      <c r="C4272" s="543"/>
    </row>
    <row r="4273" spans="1:3">
      <c r="A4273" s="543"/>
      <c r="C4273" s="543"/>
    </row>
    <row r="4274" spans="1:3">
      <c r="A4274" s="543"/>
      <c r="C4274" s="543"/>
    </row>
    <row r="4275" spans="1:3">
      <c r="A4275" s="543"/>
      <c r="C4275" s="543"/>
    </row>
    <row r="4276" spans="1:3">
      <c r="A4276" s="543"/>
      <c r="C4276" s="543"/>
    </row>
    <row r="4277" spans="1:3">
      <c r="A4277" s="543"/>
      <c r="C4277" s="543"/>
    </row>
    <row r="4278" spans="1:3">
      <c r="A4278" s="543"/>
      <c r="C4278" s="543"/>
    </row>
    <row r="4279" spans="1:3">
      <c r="A4279" s="543"/>
      <c r="C4279" s="543"/>
    </row>
    <row r="4280" spans="1:3">
      <c r="A4280" s="543"/>
      <c r="C4280" s="543"/>
    </row>
    <row r="4281" spans="1:3">
      <c r="A4281" s="543"/>
      <c r="C4281" s="543"/>
    </row>
    <row r="4282" spans="1:3">
      <c r="A4282" s="543"/>
      <c r="C4282" s="543"/>
    </row>
    <row r="4283" spans="1:3">
      <c r="A4283" s="543"/>
      <c r="C4283" s="543"/>
    </row>
    <row r="4284" spans="1:3">
      <c r="A4284" s="543"/>
      <c r="C4284" s="543"/>
    </row>
    <row r="4285" spans="1:3">
      <c r="A4285" s="543"/>
      <c r="C4285" s="543"/>
    </row>
    <row r="4286" spans="1:3">
      <c r="A4286" s="543"/>
      <c r="C4286" s="543"/>
    </row>
    <row r="4287" spans="1:3">
      <c r="A4287" s="543"/>
      <c r="C4287" s="543"/>
    </row>
    <row r="4288" spans="1:3">
      <c r="A4288" s="543"/>
      <c r="C4288" s="543"/>
    </row>
    <row r="4289" spans="1:3">
      <c r="A4289" s="543"/>
      <c r="C4289" s="543"/>
    </row>
    <row r="4290" spans="1:3">
      <c r="A4290" s="543"/>
      <c r="C4290" s="543"/>
    </row>
    <row r="4291" spans="1:3">
      <c r="A4291" s="543"/>
      <c r="C4291" s="543"/>
    </row>
    <row r="4292" spans="1:3">
      <c r="A4292" s="543"/>
      <c r="C4292" s="543"/>
    </row>
    <row r="4293" spans="1:3">
      <c r="A4293" s="543"/>
      <c r="C4293" s="543"/>
    </row>
    <row r="4294" spans="1:3">
      <c r="A4294" s="543"/>
      <c r="C4294" s="543"/>
    </row>
    <row r="4295" spans="1:3">
      <c r="A4295" s="543"/>
      <c r="C4295" s="543"/>
    </row>
    <row r="4296" spans="1:3">
      <c r="A4296" s="543"/>
      <c r="C4296" s="543"/>
    </row>
    <row r="4297" spans="1:3">
      <c r="A4297" s="543"/>
      <c r="C4297" s="543"/>
    </row>
    <row r="4298" spans="1:3">
      <c r="A4298" s="543"/>
      <c r="C4298" s="543"/>
    </row>
    <row r="4299" spans="1:3">
      <c r="A4299" s="543"/>
      <c r="C4299" s="543"/>
    </row>
    <row r="4300" spans="1:3">
      <c r="A4300" s="543"/>
      <c r="C4300" s="543"/>
    </row>
    <row r="4301" spans="1:3">
      <c r="A4301" s="543"/>
      <c r="C4301" s="543"/>
    </row>
    <row r="4302" spans="1:3">
      <c r="A4302" s="543"/>
      <c r="C4302" s="543"/>
    </row>
    <row r="4303" spans="1:3">
      <c r="A4303" s="543"/>
      <c r="C4303" s="543"/>
    </row>
    <row r="4304" spans="1:3">
      <c r="A4304" s="543"/>
      <c r="C4304" s="543"/>
    </row>
    <row r="4305" spans="1:3">
      <c r="A4305" s="543"/>
      <c r="C4305" s="543"/>
    </row>
    <row r="4306" spans="1:3">
      <c r="A4306" s="543"/>
      <c r="C4306" s="543"/>
    </row>
    <row r="4307" spans="1:3">
      <c r="A4307" s="543"/>
      <c r="C4307" s="543"/>
    </row>
    <row r="4308" spans="1:3">
      <c r="A4308" s="543"/>
      <c r="C4308" s="543"/>
    </row>
    <row r="4309" spans="1:3">
      <c r="A4309" s="543"/>
      <c r="C4309" s="543"/>
    </row>
    <row r="4310" spans="1:3">
      <c r="A4310" s="543"/>
      <c r="C4310" s="543"/>
    </row>
    <row r="4311" spans="1:3">
      <c r="A4311" s="543"/>
      <c r="C4311" s="543"/>
    </row>
    <row r="4312" spans="1:3">
      <c r="A4312" s="543"/>
      <c r="C4312" s="543"/>
    </row>
    <row r="4313" spans="1:3">
      <c r="A4313" s="543"/>
      <c r="C4313" s="543"/>
    </row>
    <row r="4314" spans="1:3">
      <c r="A4314" s="543"/>
      <c r="C4314" s="543"/>
    </row>
    <row r="4315" spans="1:3">
      <c r="A4315" s="543"/>
      <c r="C4315" s="543"/>
    </row>
    <row r="4316" spans="1:3">
      <c r="A4316" s="543"/>
      <c r="C4316" s="543"/>
    </row>
    <row r="4317" spans="1:3">
      <c r="A4317" s="543"/>
      <c r="C4317" s="543"/>
    </row>
    <row r="4318" spans="1:3">
      <c r="A4318" s="543"/>
      <c r="C4318" s="543"/>
    </row>
    <row r="4319" spans="1:3">
      <c r="A4319" s="543"/>
      <c r="C4319" s="543"/>
    </row>
    <row r="4320" spans="1:3">
      <c r="A4320" s="543"/>
      <c r="C4320" s="543"/>
    </row>
    <row r="4321" spans="1:3">
      <c r="A4321" s="543"/>
      <c r="C4321" s="543"/>
    </row>
    <row r="4322" spans="1:3">
      <c r="A4322" s="543"/>
      <c r="C4322" s="543"/>
    </row>
    <row r="4323" spans="1:3">
      <c r="A4323" s="543"/>
      <c r="C4323" s="543"/>
    </row>
    <row r="4324" spans="1:3">
      <c r="A4324" s="543"/>
      <c r="C4324" s="543"/>
    </row>
    <row r="4325" spans="1:3">
      <c r="A4325" s="543"/>
      <c r="C4325" s="543"/>
    </row>
    <row r="4326" spans="1:3">
      <c r="A4326" s="543"/>
      <c r="C4326" s="543"/>
    </row>
    <row r="4327" spans="1:3">
      <c r="A4327" s="543"/>
      <c r="C4327" s="543"/>
    </row>
    <row r="4328" spans="1:3">
      <c r="A4328" s="543"/>
      <c r="C4328" s="543"/>
    </row>
    <row r="4329" spans="1:3">
      <c r="A4329" s="543"/>
      <c r="C4329" s="543"/>
    </row>
    <row r="4330" spans="1:3">
      <c r="A4330" s="543"/>
      <c r="C4330" s="543"/>
    </row>
    <row r="4331" spans="1:3">
      <c r="A4331" s="543"/>
      <c r="C4331" s="543"/>
    </row>
    <row r="4332" spans="1:3">
      <c r="A4332" s="543"/>
      <c r="C4332" s="543"/>
    </row>
    <row r="4333" spans="1:3">
      <c r="A4333" s="543"/>
      <c r="C4333" s="543"/>
    </row>
    <row r="4334" spans="1:3">
      <c r="A4334" s="543"/>
      <c r="C4334" s="543"/>
    </row>
    <row r="4335" spans="1:3">
      <c r="A4335" s="543"/>
      <c r="C4335" s="543"/>
    </row>
    <row r="4336" spans="1:3">
      <c r="A4336" s="543"/>
      <c r="C4336" s="543"/>
    </row>
    <row r="4337" spans="1:3">
      <c r="A4337" s="543"/>
      <c r="C4337" s="543"/>
    </row>
    <row r="4338" spans="1:3">
      <c r="A4338" s="543"/>
      <c r="C4338" s="543"/>
    </row>
    <row r="4339" spans="1:3">
      <c r="A4339" s="543"/>
      <c r="C4339" s="543"/>
    </row>
    <row r="4340" spans="1:3">
      <c r="A4340" s="543"/>
      <c r="C4340" s="543"/>
    </row>
    <row r="4341" spans="1:3">
      <c r="A4341" s="543"/>
      <c r="C4341" s="543"/>
    </row>
    <row r="4342" spans="1:3">
      <c r="A4342" s="543"/>
      <c r="C4342" s="543"/>
    </row>
    <row r="4343" spans="1:3">
      <c r="A4343" s="543"/>
      <c r="C4343" s="543"/>
    </row>
    <row r="4344" spans="1:3">
      <c r="A4344" s="543"/>
      <c r="C4344" s="543"/>
    </row>
    <row r="4345" spans="1:3">
      <c r="A4345" s="543"/>
      <c r="C4345" s="543"/>
    </row>
    <row r="4346" spans="1:3">
      <c r="A4346" s="543"/>
      <c r="C4346" s="543"/>
    </row>
    <row r="4347" spans="1:3">
      <c r="A4347" s="543"/>
      <c r="C4347" s="543"/>
    </row>
    <row r="4348" spans="1:3">
      <c r="A4348" s="543"/>
      <c r="C4348" s="543"/>
    </row>
    <row r="4349" spans="1:3">
      <c r="A4349" s="543"/>
      <c r="C4349" s="543"/>
    </row>
    <row r="4350" spans="1:3">
      <c r="A4350" s="543"/>
      <c r="C4350" s="543"/>
    </row>
    <row r="4351" spans="1:3">
      <c r="A4351" s="543"/>
      <c r="C4351" s="543"/>
    </row>
    <row r="4352" spans="1:3">
      <c r="A4352" s="543"/>
      <c r="C4352" s="543"/>
    </row>
    <row r="4353" spans="1:3">
      <c r="A4353" s="543"/>
      <c r="C4353" s="543"/>
    </row>
    <row r="4354" spans="1:3">
      <c r="A4354" s="543"/>
      <c r="C4354" s="543"/>
    </row>
    <row r="4355" spans="1:3">
      <c r="A4355" s="543"/>
      <c r="C4355" s="543"/>
    </row>
    <row r="4356" spans="1:3">
      <c r="A4356" s="543"/>
      <c r="C4356" s="543"/>
    </row>
    <row r="4357" spans="1:3">
      <c r="A4357" s="543"/>
      <c r="C4357" s="543"/>
    </row>
    <row r="4358" spans="1:3">
      <c r="A4358" s="543"/>
      <c r="C4358" s="543"/>
    </row>
    <row r="4359" spans="1:3">
      <c r="A4359" s="543"/>
      <c r="C4359" s="543"/>
    </row>
    <row r="4360" spans="1:3">
      <c r="A4360" s="543"/>
      <c r="C4360" s="543"/>
    </row>
    <row r="4361" spans="1:3">
      <c r="A4361" s="543"/>
      <c r="C4361" s="543"/>
    </row>
    <row r="4362" spans="1:3">
      <c r="A4362" s="543"/>
      <c r="C4362" s="543"/>
    </row>
    <row r="4363" spans="1:3">
      <c r="A4363" s="543"/>
      <c r="C4363" s="543"/>
    </row>
    <row r="4364" spans="1:3">
      <c r="A4364" s="543"/>
      <c r="C4364" s="543"/>
    </row>
    <row r="4365" spans="1:3">
      <c r="A4365" s="543"/>
      <c r="C4365" s="543"/>
    </row>
    <row r="4366" spans="1:3">
      <c r="A4366" s="543"/>
      <c r="C4366" s="543"/>
    </row>
    <row r="4367" spans="1:3">
      <c r="A4367" s="543"/>
      <c r="C4367" s="543"/>
    </row>
    <row r="4368" spans="1:3">
      <c r="A4368" s="543"/>
      <c r="C4368" s="543"/>
    </row>
    <row r="4369" spans="1:3">
      <c r="A4369" s="543"/>
      <c r="C4369" s="543"/>
    </row>
    <row r="4370" spans="1:3">
      <c r="A4370" s="543"/>
      <c r="C4370" s="543"/>
    </row>
    <row r="4371" spans="1:3">
      <c r="A4371" s="543"/>
      <c r="C4371" s="543"/>
    </row>
    <row r="4372" spans="1:3">
      <c r="A4372" s="543"/>
      <c r="C4372" s="543"/>
    </row>
    <row r="4373" spans="1:3">
      <c r="A4373" s="543"/>
      <c r="C4373" s="543"/>
    </row>
    <row r="4374" spans="1:3">
      <c r="A4374" s="543"/>
      <c r="C4374" s="543"/>
    </row>
    <row r="4375" spans="1:3">
      <c r="A4375" s="543"/>
      <c r="C4375" s="543"/>
    </row>
    <row r="4376" spans="1:3">
      <c r="A4376" s="543"/>
      <c r="C4376" s="543"/>
    </row>
    <row r="4377" spans="1:3">
      <c r="A4377" s="543"/>
      <c r="C4377" s="543"/>
    </row>
    <row r="4378" spans="1:3">
      <c r="A4378" s="543"/>
      <c r="C4378" s="543"/>
    </row>
    <row r="4379" spans="1:3">
      <c r="A4379" s="543"/>
      <c r="C4379" s="543"/>
    </row>
    <row r="4380" spans="1:3">
      <c r="A4380" s="543"/>
      <c r="C4380" s="543"/>
    </row>
    <row r="4381" spans="1:3">
      <c r="A4381" s="543"/>
      <c r="C4381" s="543"/>
    </row>
    <row r="4382" spans="1:3">
      <c r="A4382" s="543"/>
      <c r="C4382" s="543"/>
    </row>
    <row r="4383" spans="1:3">
      <c r="A4383" s="543"/>
      <c r="C4383" s="543"/>
    </row>
    <row r="4384" spans="1:3">
      <c r="A4384" s="543"/>
      <c r="C4384" s="543"/>
    </row>
    <row r="4385" spans="1:3">
      <c r="A4385" s="543"/>
      <c r="C4385" s="543"/>
    </row>
    <row r="4386" spans="1:3">
      <c r="A4386" s="543"/>
      <c r="C4386" s="543"/>
    </row>
    <row r="4387" spans="1:3">
      <c r="A4387" s="543"/>
      <c r="C4387" s="543"/>
    </row>
    <row r="4388" spans="1:3">
      <c r="A4388" s="543"/>
      <c r="C4388" s="543"/>
    </row>
    <row r="4389" spans="1:3">
      <c r="A4389" s="543"/>
      <c r="C4389" s="543"/>
    </row>
    <row r="4390" spans="1:3">
      <c r="A4390" s="543"/>
      <c r="C4390" s="543"/>
    </row>
    <row r="4391" spans="1:3">
      <c r="A4391" s="543"/>
      <c r="C4391" s="543"/>
    </row>
    <row r="4392" spans="1:3">
      <c r="A4392" s="543"/>
      <c r="C4392" s="543"/>
    </row>
    <row r="4393" spans="1:3">
      <c r="A4393" s="543"/>
      <c r="C4393" s="543"/>
    </row>
    <row r="4394" spans="1:3">
      <c r="A4394" s="543"/>
      <c r="C4394" s="543"/>
    </row>
    <row r="4395" spans="1:3">
      <c r="A4395" s="543"/>
      <c r="C4395" s="543"/>
    </row>
    <row r="4396" spans="1:3">
      <c r="A4396" s="543"/>
      <c r="C4396" s="543"/>
    </row>
    <row r="4397" spans="1:3">
      <c r="A4397" s="543"/>
      <c r="C4397" s="543"/>
    </row>
    <row r="4398" spans="1:3">
      <c r="A4398" s="543"/>
      <c r="C4398" s="543"/>
    </row>
    <row r="4399" spans="1:3">
      <c r="A4399" s="543"/>
      <c r="C4399" s="543"/>
    </row>
    <row r="4400" spans="1:3">
      <c r="A4400" s="543"/>
      <c r="C4400" s="543"/>
    </row>
    <row r="4401" spans="1:3">
      <c r="A4401" s="543"/>
      <c r="C4401" s="543"/>
    </row>
    <row r="4402" spans="1:3">
      <c r="A4402" s="543"/>
      <c r="C4402" s="543"/>
    </row>
    <row r="4403" spans="1:3">
      <c r="A4403" s="543"/>
      <c r="C4403" s="543"/>
    </row>
    <row r="4404" spans="1:3">
      <c r="A4404" s="543"/>
      <c r="C4404" s="543"/>
    </row>
    <row r="4405" spans="1:3">
      <c r="A4405" s="543"/>
      <c r="C4405" s="543"/>
    </row>
    <row r="4406" spans="1:3">
      <c r="A4406" s="543"/>
      <c r="C4406" s="543"/>
    </row>
    <row r="4407" spans="1:3">
      <c r="A4407" s="543"/>
      <c r="C4407" s="543"/>
    </row>
    <row r="4408" spans="1:3">
      <c r="A4408" s="543"/>
      <c r="C4408" s="543"/>
    </row>
    <row r="4409" spans="1:3">
      <c r="A4409" s="543"/>
      <c r="C4409" s="543"/>
    </row>
    <row r="4410" spans="1:3">
      <c r="A4410" s="543"/>
      <c r="C4410" s="543"/>
    </row>
    <row r="4411" spans="1:3">
      <c r="A4411" s="543"/>
      <c r="C4411" s="543"/>
    </row>
    <row r="4412" spans="1:3">
      <c r="A4412" s="543"/>
      <c r="C4412" s="543"/>
    </row>
    <row r="4413" spans="1:3">
      <c r="A4413" s="543"/>
      <c r="C4413" s="543"/>
    </row>
    <row r="4414" spans="1:3">
      <c r="A4414" s="543"/>
      <c r="C4414" s="543"/>
    </row>
    <row r="4415" spans="1:3">
      <c r="A4415" s="543"/>
      <c r="C4415" s="543"/>
    </row>
    <row r="4416" spans="1:3">
      <c r="A4416" s="543"/>
      <c r="C4416" s="543"/>
    </row>
    <row r="4417" spans="1:3">
      <c r="A4417" s="543"/>
      <c r="C4417" s="543"/>
    </row>
    <row r="4418" spans="1:3">
      <c r="A4418" s="543"/>
      <c r="C4418" s="543"/>
    </row>
    <row r="4419" spans="1:3">
      <c r="A4419" s="543"/>
      <c r="C4419" s="543"/>
    </row>
    <row r="4420" spans="1:3">
      <c r="A4420" s="543"/>
      <c r="C4420" s="543"/>
    </row>
    <row r="4421" spans="1:3">
      <c r="A4421" s="543"/>
      <c r="C4421" s="543"/>
    </row>
    <row r="4422" spans="1:3">
      <c r="A4422" s="543"/>
      <c r="C4422" s="543"/>
    </row>
    <row r="4423" spans="1:3">
      <c r="A4423" s="543"/>
      <c r="C4423" s="543"/>
    </row>
    <row r="4424" spans="1:3">
      <c r="A4424" s="543"/>
      <c r="C4424" s="543"/>
    </row>
    <row r="4425" spans="1:3">
      <c r="A4425" s="543"/>
      <c r="C4425" s="543"/>
    </row>
    <row r="4426" spans="1:3">
      <c r="A4426" s="543"/>
      <c r="C4426" s="543"/>
    </row>
    <row r="4427" spans="1:3">
      <c r="A4427" s="543"/>
      <c r="C4427" s="543"/>
    </row>
    <row r="4428" spans="1:3">
      <c r="A4428" s="543"/>
      <c r="C4428" s="543"/>
    </row>
    <row r="4429" spans="1:3">
      <c r="A4429" s="543"/>
      <c r="C4429" s="543"/>
    </row>
    <row r="4430" spans="1:3">
      <c r="A4430" s="543"/>
      <c r="C4430" s="543"/>
    </row>
    <row r="4431" spans="1:3">
      <c r="A4431" s="543"/>
      <c r="C4431" s="543"/>
    </row>
    <row r="4432" spans="1:3">
      <c r="A4432" s="543"/>
      <c r="C4432" s="543"/>
    </row>
    <row r="4433" spans="1:3">
      <c r="A4433" s="543"/>
      <c r="C4433" s="543"/>
    </row>
    <row r="4434" spans="1:3">
      <c r="A4434" s="543"/>
      <c r="C4434" s="543"/>
    </row>
    <row r="4435" spans="1:3">
      <c r="A4435" s="543"/>
      <c r="C4435" s="543"/>
    </row>
    <row r="4436" spans="1:3">
      <c r="A4436" s="543"/>
      <c r="C4436" s="543"/>
    </row>
    <row r="4437" spans="1:3">
      <c r="A4437" s="543"/>
      <c r="C4437" s="543"/>
    </row>
    <row r="4438" spans="1:3">
      <c r="A4438" s="543"/>
      <c r="C4438" s="543"/>
    </row>
    <row r="4439" spans="1:3">
      <c r="A4439" s="543"/>
      <c r="C4439" s="543"/>
    </row>
    <row r="4440" spans="1:3">
      <c r="A4440" s="543"/>
      <c r="C4440" s="543"/>
    </row>
    <row r="4441" spans="1:3">
      <c r="A4441" s="543"/>
      <c r="C4441" s="543"/>
    </row>
    <row r="4442" spans="1:3">
      <c r="A4442" s="543"/>
      <c r="C4442" s="543"/>
    </row>
    <row r="4443" spans="1:3">
      <c r="A4443" s="543"/>
      <c r="C4443" s="543"/>
    </row>
    <row r="4444" spans="1:3">
      <c r="A4444" s="543"/>
      <c r="C4444" s="543"/>
    </row>
    <row r="4445" spans="1:3">
      <c r="A4445" s="543"/>
      <c r="C4445" s="543"/>
    </row>
    <row r="4446" spans="1:3">
      <c r="A4446" s="543"/>
      <c r="C4446" s="543"/>
    </row>
    <row r="4447" spans="1:3">
      <c r="A4447" s="543"/>
      <c r="C4447" s="543"/>
    </row>
    <row r="4448" spans="1:3">
      <c r="A4448" s="543"/>
      <c r="C4448" s="543"/>
    </row>
    <row r="4449" spans="1:3">
      <c r="A4449" s="543"/>
      <c r="C4449" s="543"/>
    </row>
    <row r="4450" spans="1:3">
      <c r="A4450" s="543"/>
      <c r="C4450" s="543"/>
    </row>
    <row r="4451" spans="1:3">
      <c r="A4451" s="543"/>
      <c r="C4451" s="543"/>
    </row>
    <row r="4452" spans="1:3">
      <c r="A4452" s="543"/>
      <c r="C4452" s="543"/>
    </row>
    <row r="4453" spans="1:3">
      <c r="A4453" s="543"/>
      <c r="C4453" s="543"/>
    </row>
    <row r="4454" spans="1:3">
      <c r="A4454" s="543"/>
      <c r="C4454" s="543"/>
    </row>
    <row r="4455" spans="1:3">
      <c r="A4455" s="543"/>
      <c r="C4455" s="543"/>
    </row>
    <row r="4456" spans="1:3">
      <c r="A4456" s="543"/>
      <c r="C4456" s="543"/>
    </row>
    <row r="4457" spans="1:3">
      <c r="A4457" s="543"/>
      <c r="C4457" s="543"/>
    </row>
    <row r="4458" spans="1:3">
      <c r="A4458" s="543"/>
      <c r="C4458" s="543"/>
    </row>
    <row r="4459" spans="1:3">
      <c r="A4459" s="543"/>
      <c r="C4459" s="543"/>
    </row>
    <row r="4460" spans="1:3">
      <c r="A4460" s="543"/>
      <c r="C4460" s="543"/>
    </row>
    <row r="4461" spans="1:3">
      <c r="A4461" s="543"/>
      <c r="C4461" s="543"/>
    </row>
    <row r="4462" spans="1:3">
      <c r="A4462" s="543"/>
      <c r="C4462" s="543"/>
    </row>
    <row r="4463" spans="1:3">
      <c r="A4463" s="543"/>
      <c r="C4463" s="543"/>
    </row>
    <row r="4464" spans="1:3">
      <c r="A4464" s="543"/>
      <c r="C4464" s="543"/>
    </row>
    <row r="4465" spans="1:3">
      <c r="A4465" s="543"/>
      <c r="C4465" s="543"/>
    </row>
    <row r="4466" spans="1:3">
      <c r="A4466" s="543"/>
      <c r="C4466" s="543"/>
    </row>
    <row r="4467" spans="1:3">
      <c r="A4467" s="543"/>
      <c r="C4467" s="543"/>
    </row>
    <row r="4468" spans="1:3">
      <c r="A4468" s="543"/>
      <c r="C4468" s="543"/>
    </row>
    <row r="4469" spans="1:3">
      <c r="A4469" s="543"/>
      <c r="C4469" s="543"/>
    </row>
    <row r="4470" spans="1:3">
      <c r="A4470" s="543"/>
      <c r="C4470" s="543"/>
    </row>
    <row r="4471" spans="1:3">
      <c r="A4471" s="543"/>
      <c r="C4471" s="543"/>
    </row>
    <row r="4472" spans="1:3">
      <c r="A4472" s="543"/>
      <c r="C4472" s="543"/>
    </row>
    <row r="4473" spans="1:3">
      <c r="A4473" s="543"/>
      <c r="C4473" s="543"/>
    </row>
    <row r="4474" spans="1:3">
      <c r="A4474" s="543"/>
      <c r="C4474" s="543"/>
    </row>
    <row r="4475" spans="1:3">
      <c r="A4475" s="543"/>
      <c r="C4475" s="543"/>
    </row>
    <row r="4476" spans="1:3">
      <c r="A4476" s="543"/>
      <c r="C4476" s="543"/>
    </row>
    <row r="4477" spans="1:3">
      <c r="A4477" s="543"/>
      <c r="C4477" s="543"/>
    </row>
    <row r="4478" spans="1:3">
      <c r="A4478" s="543"/>
      <c r="C4478" s="543"/>
    </row>
    <row r="4479" spans="1:3">
      <c r="A4479" s="543"/>
      <c r="C4479" s="543"/>
    </row>
    <row r="4480" spans="1:3">
      <c r="A4480" s="543"/>
      <c r="C4480" s="543"/>
    </row>
    <row r="4481" spans="1:3">
      <c r="A4481" s="543"/>
      <c r="C4481" s="543"/>
    </row>
    <row r="4482" spans="1:3">
      <c r="A4482" s="543"/>
      <c r="C4482" s="543"/>
    </row>
    <row r="4483" spans="1:3">
      <c r="A4483" s="543"/>
      <c r="C4483" s="543"/>
    </row>
    <row r="4484" spans="1:3">
      <c r="A4484" s="543"/>
      <c r="C4484" s="543"/>
    </row>
    <row r="4485" spans="1:3">
      <c r="A4485" s="543"/>
      <c r="C4485" s="543"/>
    </row>
    <row r="4486" spans="1:3">
      <c r="A4486" s="543"/>
      <c r="C4486" s="543"/>
    </row>
    <row r="4487" spans="1:3">
      <c r="A4487" s="543"/>
      <c r="C4487" s="543"/>
    </row>
    <row r="4488" spans="1:3">
      <c r="A4488" s="543"/>
      <c r="C4488" s="543"/>
    </row>
    <row r="4489" spans="1:3">
      <c r="A4489" s="543"/>
      <c r="C4489" s="543"/>
    </row>
    <row r="4490" spans="1:3">
      <c r="A4490" s="543"/>
      <c r="C4490" s="543"/>
    </row>
    <row r="4491" spans="1:3">
      <c r="A4491" s="543"/>
      <c r="C4491" s="543"/>
    </row>
    <row r="4492" spans="1:3">
      <c r="A4492" s="543"/>
      <c r="C4492" s="543"/>
    </row>
    <row r="4493" spans="1:3">
      <c r="A4493" s="543"/>
      <c r="C4493" s="543"/>
    </row>
    <row r="4494" spans="1:3">
      <c r="A4494" s="543"/>
      <c r="C4494" s="543"/>
    </row>
    <row r="4495" spans="1:3">
      <c r="A4495" s="543"/>
      <c r="C4495" s="543"/>
    </row>
    <row r="4496" spans="1:3">
      <c r="A4496" s="543"/>
      <c r="C4496" s="543"/>
    </row>
    <row r="4497" spans="1:3">
      <c r="A4497" s="543"/>
      <c r="C4497" s="543"/>
    </row>
    <row r="4498" spans="1:3">
      <c r="A4498" s="543"/>
      <c r="C4498" s="543"/>
    </row>
    <row r="4499" spans="1:3">
      <c r="A4499" s="543"/>
      <c r="C4499" s="543"/>
    </row>
    <row r="4500" spans="1:3">
      <c r="A4500" s="543"/>
      <c r="C4500" s="543"/>
    </row>
    <row r="4501" spans="1:3">
      <c r="A4501" s="543"/>
      <c r="C4501" s="543"/>
    </row>
    <row r="4502" spans="1:3">
      <c r="A4502" s="543"/>
      <c r="C4502" s="543"/>
    </row>
    <row r="4503" spans="1:3">
      <c r="A4503" s="543"/>
      <c r="C4503" s="543"/>
    </row>
    <row r="4504" spans="1:3">
      <c r="A4504" s="543"/>
      <c r="C4504" s="543"/>
    </row>
    <row r="4505" spans="1:3">
      <c r="A4505" s="543"/>
      <c r="C4505" s="543"/>
    </row>
    <row r="4506" spans="1:3">
      <c r="A4506" s="543"/>
      <c r="C4506" s="543"/>
    </row>
    <row r="4507" spans="1:3">
      <c r="A4507" s="543"/>
      <c r="C4507" s="543"/>
    </row>
    <row r="4508" spans="1:3">
      <c r="A4508" s="543"/>
      <c r="C4508" s="543"/>
    </row>
    <row r="4509" spans="1:3">
      <c r="A4509" s="543"/>
      <c r="C4509" s="543"/>
    </row>
    <row r="4510" spans="1:3">
      <c r="A4510" s="543"/>
      <c r="C4510" s="543"/>
    </row>
    <row r="4511" spans="1:3">
      <c r="A4511" s="543"/>
      <c r="C4511" s="543"/>
    </row>
    <row r="4512" spans="1:3">
      <c r="A4512" s="543"/>
      <c r="C4512" s="543"/>
    </row>
    <row r="4513" spans="1:3">
      <c r="A4513" s="543"/>
      <c r="C4513" s="543"/>
    </row>
    <row r="4514" spans="1:3">
      <c r="A4514" s="543"/>
      <c r="C4514" s="543"/>
    </row>
    <row r="4515" spans="1:3">
      <c r="A4515" s="543"/>
      <c r="C4515" s="543"/>
    </row>
    <row r="4516" spans="1:3">
      <c r="A4516" s="543"/>
      <c r="C4516" s="543"/>
    </row>
    <row r="4517" spans="1:3">
      <c r="A4517" s="543"/>
      <c r="C4517" s="543"/>
    </row>
    <row r="4518" spans="1:3">
      <c r="A4518" s="543"/>
      <c r="C4518" s="543"/>
    </row>
    <row r="4519" spans="1:3">
      <c r="A4519" s="543"/>
      <c r="C4519" s="543"/>
    </row>
    <row r="4520" spans="1:3">
      <c r="A4520" s="543"/>
      <c r="C4520" s="543"/>
    </row>
    <row r="4521" spans="1:3">
      <c r="A4521" s="543"/>
      <c r="C4521" s="543"/>
    </row>
    <row r="4522" spans="1:3">
      <c r="A4522" s="543"/>
      <c r="C4522" s="543"/>
    </row>
    <row r="4523" spans="1:3">
      <c r="A4523" s="543"/>
      <c r="C4523" s="543"/>
    </row>
    <row r="4524" spans="1:3">
      <c r="A4524" s="543"/>
      <c r="C4524" s="543"/>
    </row>
    <row r="4525" spans="1:3">
      <c r="A4525" s="543"/>
      <c r="C4525" s="543"/>
    </row>
    <row r="4526" spans="1:3">
      <c r="A4526" s="543"/>
      <c r="C4526" s="543"/>
    </row>
    <row r="4527" spans="1:3">
      <c r="A4527" s="543"/>
      <c r="C4527" s="543"/>
    </row>
    <row r="4528" spans="1:3">
      <c r="A4528" s="543"/>
      <c r="C4528" s="543"/>
    </row>
    <row r="4529" spans="1:3">
      <c r="A4529" s="543"/>
      <c r="C4529" s="543"/>
    </row>
    <row r="4530" spans="1:3">
      <c r="A4530" s="543"/>
      <c r="C4530" s="543"/>
    </row>
    <row r="4531" spans="1:3">
      <c r="A4531" s="543"/>
      <c r="C4531" s="543"/>
    </row>
    <row r="4532" spans="1:3">
      <c r="A4532" s="543"/>
      <c r="C4532" s="543"/>
    </row>
    <row r="4533" spans="1:3">
      <c r="A4533" s="543"/>
      <c r="C4533" s="543"/>
    </row>
    <row r="4534" spans="1:3">
      <c r="A4534" s="543"/>
      <c r="C4534" s="543"/>
    </row>
    <row r="4535" spans="1:3">
      <c r="A4535" s="543"/>
      <c r="C4535" s="543"/>
    </row>
    <row r="4536" spans="1:3">
      <c r="A4536" s="543"/>
      <c r="C4536" s="543"/>
    </row>
    <row r="4537" spans="1:3">
      <c r="A4537" s="543"/>
      <c r="C4537" s="543"/>
    </row>
    <row r="4538" spans="1:3">
      <c r="A4538" s="543"/>
      <c r="C4538" s="543"/>
    </row>
    <row r="4539" spans="1:3">
      <c r="A4539" s="543"/>
      <c r="C4539" s="543"/>
    </row>
    <row r="4540" spans="1:3">
      <c r="A4540" s="543"/>
      <c r="C4540" s="543"/>
    </row>
    <row r="4541" spans="1:3">
      <c r="A4541" s="543"/>
      <c r="C4541" s="543"/>
    </row>
    <row r="4542" spans="1:3">
      <c r="A4542" s="543"/>
      <c r="C4542" s="543"/>
    </row>
    <row r="4543" spans="1:3">
      <c r="A4543" s="543"/>
      <c r="C4543" s="543"/>
    </row>
    <row r="4544" spans="1:3">
      <c r="A4544" s="543"/>
      <c r="C4544" s="543"/>
    </row>
    <row r="4545" spans="1:3">
      <c r="A4545" s="543"/>
      <c r="C4545" s="543"/>
    </row>
    <row r="4546" spans="1:3">
      <c r="A4546" s="543"/>
      <c r="C4546" s="543"/>
    </row>
    <row r="4547" spans="1:3">
      <c r="A4547" s="543"/>
      <c r="C4547" s="543"/>
    </row>
    <row r="4548" spans="1:3">
      <c r="A4548" s="543"/>
      <c r="C4548" s="543"/>
    </row>
    <row r="4549" spans="1:3">
      <c r="A4549" s="543"/>
      <c r="C4549" s="543"/>
    </row>
    <row r="4550" spans="1:3">
      <c r="A4550" s="543"/>
      <c r="C4550" s="543"/>
    </row>
    <row r="4551" spans="1:3">
      <c r="A4551" s="543"/>
      <c r="C4551" s="543"/>
    </row>
    <row r="4552" spans="1:3">
      <c r="A4552" s="543"/>
      <c r="C4552" s="543"/>
    </row>
    <row r="4553" spans="1:3">
      <c r="A4553" s="543"/>
      <c r="C4553" s="543"/>
    </row>
    <row r="4554" spans="1:3">
      <c r="A4554" s="543"/>
      <c r="C4554" s="543"/>
    </row>
    <row r="4555" spans="1:3">
      <c r="A4555" s="543"/>
      <c r="C4555" s="543"/>
    </row>
    <row r="4556" spans="1:3">
      <c r="A4556" s="543"/>
      <c r="C4556" s="543"/>
    </row>
    <row r="4557" spans="1:3">
      <c r="A4557" s="543"/>
      <c r="C4557" s="543"/>
    </row>
    <row r="4558" spans="1:3">
      <c r="A4558" s="543"/>
      <c r="C4558" s="543"/>
    </row>
    <row r="4559" spans="1:3">
      <c r="A4559" s="543"/>
      <c r="C4559" s="543"/>
    </row>
    <row r="4560" spans="1:3">
      <c r="A4560" s="543"/>
      <c r="C4560" s="543"/>
    </row>
    <row r="4561" spans="1:3">
      <c r="A4561" s="543"/>
      <c r="C4561" s="543"/>
    </row>
    <row r="4562" spans="1:3">
      <c r="A4562" s="543"/>
      <c r="C4562" s="543"/>
    </row>
    <row r="4563" spans="1:3">
      <c r="A4563" s="543"/>
      <c r="C4563" s="543"/>
    </row>
    <row r="4564" spans="1:3">
      <c r="A4564" s="543"/>
      <c r="C4564" s="543"/>
    </row>
    <row r="4565" spans="1:3">
      <c r="A4565" s="543"/>
      <c r="C4565" s="543"/>
    </row>
    <row r="4566" spans="1:3">
      <c r="A4566" s="543"/>
      <c r="C4566" s="543"/>
    </row>
    <row r="4567" spans="1:3">
      <c r="A4567" s="543"/>
      <c r="C4567" s="543"/>
    </row>
    <row r="4568" spans="1:3">
      <c r="A4568" s="543"/>
      <c r="C4568" s="543"/>
    </row>
    <row r="4569" spans="1:3">
      <c r="A4569" s="543"/>
      <c r="C4569" s="543"/>
    </row>
    <row r="4570" spans="1:3">
      <c r="A4570" s="543"/>
      <c r="C4570" s="543"/>
    </row>
    <row r="4571" spans="1:3">
      <c r="A4571" s="543"/>
      <c r="C4571" s="543"/>
    </row>
    <row r="4572" spans="1:3">
      <c r="A4572" s="543"/>
      <c r="C4572" s="543"/>
    </row>
    <row r="4573" spans="1:3">
      <c r="A4573" s="543"/>
      <c r="C4573" s="543"/>
    </row>
    <row r="4574" spans="1:3">
      <c r="A4574" s="543"/>
      <c r="C4574" s="543"/>
    </row>
    <row r="4575" spans="1:3">
      <c r="A4575" s="543"/>
      <c r="C4575" s="543"/>
    </row>
    <row r="4576" spans="1:3">
      <c r="A4576" s="543"/>
      <c r="C4576" s="543"/>
    </row>
    <row r="4577" spans="1:3">
      <c r="A4577" s="543"/>
      <c r="C4577" s="543"/>
    </row>
    <row r="4578" spans="1:3">
      <c r="A4578" s="543"/>
      <c r="C4578" s="543"/>
    </row>
    <row r="4579" spans="1:3">
      <c r="A4579" s="543"/>
      <c r="C4579" s="543"/>
    </row>
    <row r="4580" spans="1:3">
      <c r="A4580" s="543"/>
      <c r="C4580" s="543"/>
    </row>
    <row r="4581" spans="1:3">
      <c r="A4581" s="543"/>
      <c r="C4581" s="543"/>
    </row>
    <row r="4582" spans="1:3">
      <c r="A4582" s="543"/>
      <c r="C4582" s="543"/>
    </row>
    <row r="4583" spans="1:3">
      <c r="A4583" s="543"/>
      <c r="C4583" s="543"/>
    </row>
    <row r="4584" spans="1:3">
      <c r="A4584" s="543"/>
      <c r="C4584" s="543"/>
    </row>
    <row r="4585" spans="1:3">
      <c r="A4585" s="543"/>
      <c r="C4585" s="543"/>
    </row>
    <row r="4586" spans="1:3">
      <c r="A4586" s="543"/>
      <c r="C4586" s="543"/>
    </row>
    <row r="4587" spans="1:3">
      <c r="A4587" s="543"/>
      <c r="C4587" s="543"/>
    </row>
    <row r="4588" spans="1:3">
      <c r="A4588" s="543"/>
      <c r="C4588" s="543"/>
    </row>
    <row r="4589" spans="1:3">
      <c r="A4589" s="543"/>
      <c r="C4589" s="543"/>
    </row>
    <row r="4590" spans="1:3">
      <c r="A4590" s="543"/>
      <c r="C4590" s="543"/>
    </row>
    <row r="4591" spans="1:3">
      <c r="A4591" s="543"/>
      <c r="C4591" s="543"/>
    </row>
    <row r="4592" spans="1:3">
      <c r="A4592" s="543"/>
      <c r="C4592" s="543"/>
    </row>
    <row r="4593" spans="1:3">
      <c r="A4593" s="543"/>
      <c r="C4593" s="543"/>
    </row>
    <row r="4594" spans="1:3">
      <c r="A4594" s="543"/>
      <c r="C4594" s="543"/>
    </row>
    <row r="4595" spans="1:3">
      <c r="A4595" s="543"/>
      <c r="C4595" s="543"/>
    </row>
    <row r="4596" spans="1:3">
      <c r="A4596" s="543"/>
      <c r="C4596" s="543"/>
    </row>
    <row r="4597" spans="1:3">
      <c r="A4597" s="543"/>
      <c r="C4597" s="543"/>
    </row>
    <row r="4598" spans="1:3">
      <c r="A4598" s="543"/>
      <c r="C4598" s="543"/>
    </row>
    <row r="4599" spans="1:3">
      <c r="A4599" s="543"/>
      <c r="C4599" s="543"/>
    </row>
    <row r="4600" spans="1:3">
      <c r="A4600" s="543"/>
      <c r="C4600" s="543"/>
    </row>
    <row r="4601" spans="1:3">
      <c r="A4601" s="543"/>
      <c r="C4601" s="543"/>
    </row>
    <row r="4602" spans="1:3">
      <c r="A4602" s="543"/>
      <c r="C4602" s="543"/>
    </row>
    <row r="4603" spans="1:3">
      <c r="A4603" s="543"/>
      <c r="C4603" s="543"/>
    </row>
    <row r="4604" spans="1:3">
      <c r="A4604" s="543"/>
      <c r="C4604" s="543"/>
    </row>
    <row r="4605" spans="1:3">
      <c r="A4605" s="543"/>
      <c r="C4605" s="543"/>
    </row>
    <row r="4606" spans="1:3">
      <c r="A4606" s="543"/>
      <c r="C4606" s="543"/>
    </row>
    <row r="4607" spans="1:3">
      <c r="A4607" s="543"/>
      <c r="C4607" s="543"/>
    </row>
    <row r="4608" spans="1:3">
      <c r="A4608" s="543"/>
      <c r="C4608" s="543"/>
    </row>
    <row r="4609" spans="1:3">
      <c r="A4609" s="543"/>
      <c r="C4609" s="543"/>
    </row>
    <row r="4610" spans="1:3">
      <c r="A4610" s="543"/>
      <c r="C4610" s="543"/>
    </row>
    <row r="4611" spans="1:3">
      <c r="A4611" s="543"/>
      <c r="C4611" s="543"/>
    </row>
    <row r="4612" spans="1:3">
      <c r="A4612" s="543"/>
      <c r="C4612" s="543"/>
    </row>
    <row r="4613" spans="1:3">
      <c r="A4613" s="543"/>
      <c r="C4613" s="543"/>
    </row>
    <row r="4614" spans="1:3">
      <c r="A4614" s="543"/>
      <c r="C4614" s="543"/>
    </row>
    <row r="4615" spans="1:3">
      <c r="A4615" s="543"/>
      <c r="C4615" s="543"/>
    </row>
    <row r="4616" spans="1:3">
      <c r="A4616" s="543"/>
      <c r="C4616" s="543"/>
    </row>
    <row r="4617" spans="1:3">
      <c r="A4617" s="543"/>
      <c r="C4617" s="543"/>
    </row>
    <row r="4618" spans="1:3">
      <c r="A4618" s="543"/>
      <c r="C4618" s="543"/>
    </row>
    <row r="4619" spans="1:3">
      <c r="A4619" s="543"/>
      <c r="C4619" s="543"/>
    </row>
    <row r="4620" spans="1:3">
      <c r="A4620" s="543"/>
      <c r="C4620" s="543"/>
    </row>
    <row r="4621" spans="1:3">
      <c r="A4621" s="543"/>
      <c r="C4621" s="543"/>
    </row>
    <row r="4622" spans="1:3">
      <c r="A4622" s="543"/>
      <c r="C4622" s="543"/>
    </row>
    <row r="4623" spans="1:3">
      <c r="A4623" s="543"/>
      <c r="C4623" s="543"/>
    </row>
    <row r="4624" spans="1:3">
      <c r="A4624" s="543"/>
      <c r="C4624" s="543"/>
    </row>
    <row r="4625" spans="1:3">
      <c r="A4625" s="543"/>
      <c r="C4625" s="543"/>
    </row>
    <row r="4626" spans="1:3">
      <c r="A4626" s="543"/>
      <c r="C4626" s="543"/>
    </row>
    <row r="4627" spans="1:3">
      <c r="A4627" s="543"/>
      <c r="C4627" s="543"/>
    </row>
    <row r="4628" spans="1:3">
      <c r="A4628" s="543"/>
      <c r="C4628" s="543"/>
    </row>
    <row r="4629" spans="1:3">
      <c r="A4629" s="543"/>
      <c r="C4629" s="543"/>
    </row>
    <row r="4630" spans="1:3">
      <c r="A4630" s="543"/>
      <c r="C4630" s="543"/>
    </row>
    <row r="4631" spans="1:3">
      <c r="A4631" s="543"/>
      <c r="C4631" s="543"/>
    </row>
    <row r="4632" spans="1:3">
      <c r="A4632" s="543"/>
      <c r="C4632" s="543"/>
    </row>
    <row r="4633" spans="1:3">
      <c r="A4633" s="543"/>
      <c r="C4633" s="543"/>
    </row>
    <row r="4634" spans="1:3">
      <c r="A4634" s="543"/>
      <c r="C4634" s="543"/>
    </row>
    <row r="4635" spans="1:3">
      <c r="A4635" s="543"/>
      <c r="C4635" s="543"/>
    </row>
    <row r="4636" spans="1:3">
      <c r="A4636" s="543"/>
      <c r="C4636" s="543"/>
    </row>
    <row r="4637" spans="1:3">
      <c r="A4637" s="543"/>
      <c r="C4637" s="543"/>
    </row>
    <row r="4638" spans="1:3">
      <c r="A4638" s="543"/>
      <c r="C4638" s="543"/>
    </row>
    <row r="4639" spans="1:3">
      <c r="A4639" s="543"/>
      <c r="C4639" s="543"/>
    </row>
    <row r="4640" spans="1:3">
      <c r="A4640" s="543"/>
      <c r="C4640" s="543"/>
    </row>
    <row r="4641" spans="1:3">
      <c r="A4641" s="543"/>
      <c r="C4641" s="543"/>
    </row>
    <row r="4642" spans="1:3">
      <c r="A4642" s="543"/>
      <c r="C4642" s="543"/>
    </row>
    <row r="4643" spans="1:3">
      <c r="A4643" s="543"/>
      <c r="C4643" s="543"/>
    </row>
    <row r="4644" spans="1:3">
      <c r="A4644" s="543"/>
      <c r="C4644" s="543"/>
    </row>
    <row r="4645" spans="1:3">
      <c r="A4645" s="543"/>
      <c r="C4645" s="543"/>
    </row>
    <row r="4646" spans="1:3">
      <c r="A4646" s="543"/>
      <c r="C4646" s="543"/>
    </row>
    <row r="4647" spans="1:3">
      <c r="A4647" s="543"/>
      <c r="C4647" s="543"/>
    </row>
    <row r="4648" spans="1:3">
      <c r="A4648" s="543"/>
      <c r="C4648" s="543"/>
    </row>
    <row r="4649" spans="1:3">
      <c r="A4649" s="543"/>
      <c r="C4649" s="543"/>
    </row>
    <row r="4650" spans="1:3">
      <c r="A4650" s="543"/>
      <c r="C4650" s="543"/>
    </row>
    <row r="4651" spans="1:3">
      <c r="A4651" s="543"/>
      <c r="C4651" s="543"/>
    </row>
    <row r="4652" spans="1:3">
      <c r="A4652" s="543"/>
      <c r="C4652" s="543"/>
    </row>
    <row r="4653" spans="1:3">
      <c r="A4653" s="543"/>
      <c r="C4653" s="543"/>
    </row>
    <row r="4654" spans="1:3">
      <c r="A4654" s="543"/>
      <c r="C4654" s="543"/>
    </row>
    <row r="4655" spans="1:3">
      <c r="A4655" s="543"/>
      <c r="C4655" s="543"/>
    </row>
    <row r="4656" spans="1:3">
      <c r="A4656" s="543"/>
      <c r="C4656" s="543"/>
    </row>
    <row r="4657" spans="1:3">
      <c r="A4657" s="543"/>
      <c r="C4657" s="543"/>
    </row>
    <row r="4658" spans="1:3">
      <c r="A4658" s="543"/>
      <c r="C4658" s="543"/>
    </row>
    <row r="4659" spans="1:3">
      <c r="A4659" s="543"/>
      <c r="C4659" s="543"/>
    </row>
    <row r="4660" spans="1:3">
      <c r="A4660" s="543"/>
      <c r="C4660" s="543"/>
    </row>
    <row r="4661" spans="1:3">
      <c r="A4661" s="543"/>
      <c r="C4661" s="543"/>
    </row>
    <row r="4662" spans="1:3">
      <c r="A4662" s="543"/>
      <c r="C4662" s="543"/>
    </row>
    <row r="4663" spans="1:3">
      <c r="A4663" s="543"/>
      <c r="C4663" s="543"/>
    </row>
    <row r="4664" spans="1:3">
      <c r="A4664" s="543"/>
      <c r="C4664" s="543"/>
    </row>
    <row r="4665" spans="1:3">
      <c r="A4665" s="543"/>
      <c r="C4665" s="543"/>
    </row>
    <row r="4666" spans="1:3">
      <c r="A4666" s="543"/>
      <c r="C4666" s="543"/>
    </row>
    <row r="4667" spans="1:3">
      <c r="A4667" s="543"/>
      <c r="C4667" s="543"/>
    </row>
    <row r="4668" spans="1:3">
      <c r="A4668" s="543"/>
      <c r="C4668" s="543"/>
    </row>
    <row r="4669" spans="1:3">
      <c r="A4669" s="543"/>
      <c r="C4669" s="543"/>
    </row>
    <row r="4670" spans="1:3">
      <c r="A4670" s="543"/>
      <c r="C4670" s="543"/>
    </row>
    <row r="4671" spans="1:3">
      <c r="A4671" s="543"/>
      <c r="C4671" s="543"/>
    </row>
    <row r="4672" spans="1:3">
      <c r="A4672" s="543"/>
      <c r="C4672" s="543"/>
    </row>
    <row r="4673" spans="1:3">
      <c r="A4673" s="543"/>
      <c r="C4673" s="543"/>
    </row>
    <row r="4674" spans="1:3">
      <c r="A4674" s="543"/>
      <c r="C4674" s="543"/>
    </row>
    <row r="4675" spans="1:3">
      <c r="A4675" s="543"/>
      <c r="C4675" s="543"/>
    </row>
    <row r="4676" spans="1:3">
      <c r="A4676" s="543"/>
      <c r="C4676" s="543"/>
    </row>
    <row r="4677" spans="1:3">
      <c r="A4677" s="543"/>
      <c r="C4677" s="543"/>
    </row>
    <row r="4678" spans="1:3">
      <c r="A4678" s="543"/>
      <c r="C4678" s="543"/>
    </row>
    <row r="4679" spans="1:3">
      <c r="A4679" s="543"/>
      <c r="C4679" s="543"/>
    </row>
    <row r="4680" spans="1:3">
      <c r="A4680" s="543"/>
      <c r="C4680" s="543"/>
    </row>
    <row r="4681" spans="1:3">
      <c r="A4681" s="543"/>
      <c r="C4681" s="543"/>
    </row>
    <row r="4682" spans="1:3">
      <c r="A4682" s="543"/>
      <c r="C4682" s="543"/>
    </row>
    <row r="4683" spans="1:3">
      <c r="A4683" s="543"/>
      <c r="C4683" s="543"/>
    </row>
    <row r="4684" spans="1:3">
      <c r="A4684" s="543"/>
      <c r="C4684" s="543"/>
    </row>
    <row r="4685" spans="1:3">
      <c r="A4685" s="543"/>
      <c r="C4685" s="543"/>
    </row>
    <row r="4686" spans="1:3">
      <c r="A4686" s="543"/>
      <c r="C4686" s="543"/>
    </row>
    <row r="4687" spans="1:3">
      <c r="A4687" s="543"/>
      <c r="C4687" s="543"/>
    </row>
    <row r="4688" spans="1:3">
      <c r="A4688" s="543"/>
      <c r="C4688" s="543"/>
    </row>
    <row r="4689" spans="1:3">
      <c r="A4689" s="543"/>
      <c r="C4689" s="543"/>
    </row>
    <row r="4690" spans="1:3">
      <c r="A4690" s="543"/>
      <c r="C4690" s="543"/>
    </row>
    <row r="4691" spans="1:3">
      <c r="A4691" s="543"/>
      <c r="C4691" s="543"/>
    </row>
    <row r="4692" spans="1:3">
      <c r="A4692" s="543"/>
      <c r="C4692" s="543"/>
    </row>
    <row r="4693" spans="1:3">
      <c r="A4693" s="543"/>
      <c r="C4693" s="543"/>
    </row>
    <row r="4694" spans="1:3">
      <c r="A4694" s="543"/>
      <c r="C4694" s="543"/>
    </row>
    <row r="4695" spans="1:3">
      <c r="A4695" s="543"/>
      <c r="C4695" s="543"/>
    </row>
    <row r="4696" spans="1:3">
      <c r="A4696" s="543"/>
      <c r="C4696" s="543"/>
    </row>
    <row r="4697" spans="1:3">
      <c r="A4697" s="543"/>
      <c r="C4697" s="543"/>
    </row>
    <row r="4698" spans="1:3">
      <c r="A4698" s="543"/>
      <c r="C4698" s="543"/>
    </row>
    <row r="4699" spans="1:3">
      <c r="A4699" s="543"/>
      <c r="C4699" s="543"/>
    </row>
    <row r="4700" spans="1:3">
      <c r="A4700" s="543"/>
      <c r="C4700" s="543"/>
    </row>
    <row r="4701" spans="1:3">
      <c r="A4701" s="543"/>
      <c r="C4701" s="543"/>
    </row>
    <row r="4702" spans="1:3">
      <c r="A4702" s="543"/>
      <c r="C4702" s="543"/>
    </row>
    <row r="4703" spans="1:3">
      <c r="A4703" s="543"/>
      <c r="C4703" s="543"/>
    </row>
    <row r="4704" spans="1:3">
      <c r="A4704" s="543"/>
      <c r="C4704" s="543"/>
    </row>
    <row r="4705" spans="1:3">
      <c r="A4705" s="543"/>
      <c r="C4705" s="543"/>
    </row>
    <row r="4706" spans="1:3">
      <c r="A4706" s="543"/>
      <c r="C4706" s="543"/>
    </row>
    <row r="4707" spans="1:3">
      <c r="A4707" s="543"/>
      <c r="C4707" s="543"/>
    </row>
    <row r="4708" spans="1:3">
      <c r="A4708" s="543"/>
      <c r="C4708" s="543"/>
    </row>
    <row r="4709" spans="1:3">
      <c r="A4709" s="543"/>
      <c r="C4709" s="543"/>
    </row>
    <row r="4710" spans="1:3">
      <c r="A4710" s="543"/>
      <c r="C4710" s="543"/>
    </row>
    <row r="4711" spans="1:3">
      <c r="A4711" s="543"/>
      <c r="C4711" s="543"/>
    </row>
    <row r="4712" spans="1:3">
      <c r="A4712" s="543"/>
      <c r="C4712" s="543"/>
    </row>
    <row r="4713" spans="1:3">
      <c r="A4713" s="543"/>
      <c r="C4713" s="543"/>
    </row>
    <row r="4714" spans="1:3">
      <c r="A4714" s="543"/>
      <c r="C4714" s="543"/>
    </row>
    <row r="4715" spans="1:3">
      <c r="A4715" s="543"/>
      <c r="C4715" s="543"/>
    </row>
    <row r="4716" spans="1:3">
      <c r="A4716" s="543"/>
      <c r="C4716" s="543"/>
    </row>
    <row r="4717" spans="1:3">
      <c r="A4717" s="543"/>
      <c r="C4717" s="543"/>
    </row>
    <row r="4718" spans="1:3">
      <c r="A4718" s="543"/>
      <c r="C4718" s="543"/>
    </row>
    <row r="4719" spans="1:3">
      <c r="A4719" s="543"/>
      <c r="C4719" s="543"/>
    </row>
    <row r="4720" spans="1:3">
      <c r="A4720" s="543"/>
      <c r="C4720" s="543"/>
    </row>
    <row r="4721" spans="1:3">
      <c r="A4721" s="543"/>
      <c r="C4721" s="543"/>
    </row>
    <row r="4722" spans="1:3">
      <c r="A4722" s="543"/>
      <c r="C4722" s="543"/>
    </row>
    <row r="4723" spans="1:3">
      <c r="A4723" s="543"/>
      <c r="C4723" s="543"/>
    </row>
    <row r="4724" spans="1:3">
      <c r="A4724" s="543"/>
      <c r="C4724" s="543"/>
    </row>
    <row r="4725" spans="1:3">
      <c r="A4725" s="543"/>
      <c r="C4725" s="543"/>
    </row>
    <row r="4726" spans="1:3">
      <c r="A4726" s="543"/>
      <c r="C4726" s="543"/>
    </row>
    <row r="4727" spans="1:3">
      <c r="A4727" s="543"/>
      <c r="C4727" s="543"/>
    </row>
    <row r="4728" spans="1:3">
      <c r="A4728" s="543"/>
      <c r="C4728" s="543"/>
    </row>
    <row r="4729" spans="1:3">
      <c r="A4729" s="543"/>
      <c r="C4729" s="543"/>
    </row>
    <row r="4730" spans="1:3">
      <c r="A4730" s="543"/>
      <c r="C4730" s="543"/>
    </row>
    <row r="4731" spans="1:3">
      <c r="A4731" s="543"/>
      <c r="C4731" s="543"/>
    </row>
    <row r="4732" spans="1:3">
      <c r="A4732" s="543"/>
      <c r="C4732" s="543"/>
    </row>
    <row r="4733" spans="1:3">
      <c r="A4733" s="543"/>
      <c r="C4733" s="543"/>
    </row>
    <row r="4734" spans="1:3">
      <c r="A4734" s="543"/>
      <c r="C4734" s="543"/>
    </row>
    <row r="4735" spans="1:3">
      <c r="A4735" s="543"/>
      <c r="C4735" s="543"/>
    </row>
    <row r="4736" spans="1:3">
      <c r="A4736" s="543"/>
      <c r="C4736" s="543"/>
    </row>
    <row r="4737" spans="1:3">
      <c r="A4737" s="543"/>
      <c r="C4737" s="543"/>
    </row>
    <row r="4738" spans="1:3">
      <c r="A4738" s="543"/>
      <c r="C4738" s="543"/>
    </row>
    <row r="4739" spans="1:3">
      <c r="A4739" s="543"/>
      <c r="C4739" s="543"/>
    </row>
    <row r="4740" spans="1:3">
      <c r="A4740" s="543"/>
      <c r="C4740" s="543"/>
    </row>
    <row r="4741" spans="1:3">
      <c r="A4741" s="543"/>
      <c r="C4741" s="543"/>
    </row>
    <row r="4742" spans="1:3">
      <c r="A4742" s="543"/>
      <c r="C4742" s="543"/>
    </row>
    <row r="4743" spans="1:3">
      <c r="A4743" s="543"/>
      <c r="C4743" s="543"/>
    </row>
    <row r="4744" spans="1:3">
      <c r="A4744" s="543"/>
      <c r="C4744" s="543"/>
    </row>
    <row r="4745" spans="1:3">
      <c r="A4745" s="543"/>
      <c r="C4745" s="543"/>
    </row>
    <row r="4746" spans="1:3">
      <c r="A4746" s="543"/>
      <c r="C4746" s="543"/>
    </row>
    <row r="4747" spans="1:3">
      <c r="A4747" s="543"/>
      <c r="C4747" s="543"/>
    </row>
    <row r="4748" spans="1:3">
      <c r="A4748" s="543"/>
      <c r="C4748" s="543"/>
    </row>
    <row r="4749" spans="1:3">
      <c r="A4749" s="543"/>
      <c r="C4749" s="543"/>
    </row>
    <row r="4750" spans="1:3">
      <c r="A4750" s="543"/>
      <c r="C4750" s="543"/>
    </row>
    <row r="4751" spans="1:3">
      <c r="A4751" s="543"/>
      <c r="C4751" s="543"/>
    </row>
    <row r="4752" spans="1:3">
      <c r="A4752" s="543"/>
      <c r="C4752" s="543"/>
    </row>
    <row r="4753" spans="1:3">
      <c r="A4753" s="543"/>
      <c r="C4753" s="543"/>
    </row>
    <row r="4754" spans="1:3">
      <c r="A4754" s="543"/>
      <c r="C4754" s="543"/>
    </row>
    <row r="4755" spans="1:3">
      <c r="A4755" s="543"/>
      <c r="C4755" s="543"/>
    </row>
    <row r="4756" spans="1:3">
      <c r="A4756" s="543"/>
      <c r="C4756" s="543"/>
    </row>
    <row r="4757" spans="1:3">
      <c r="A4757" s="543"/>
      <c r="C4757" s="543"/>
    </row>
    <row r="4758" spans="1:3">
      <c r="A4758" s="543"/>
      <c r="C4758" s="543"/>
    </row>
    <row r="4759" spans="1:3">
      <c r="A4759" s="543"/>
      <c r="C4759" s="543"/>
    </row>
    <row r="4760" spans="1:3">
      <c r="A4760" s="543"/>
      <c r="C4760" s="543"/>
    </row>
    <row r="4761" spans="1:3">
      <c r="A4761" s="543"/>
      <c r="C4761" s="543"/>
    </row>
    <row r="4762" spans="1:3">
      <c r="A4762" s="543"/>
      <c r="C4762" s="543"/>
    </row>
    <row r="4763" spans="1:3">
      <c r="A4763" s="543"/>
      <c r="C4763" s="543"/>
    </row>
    <row r="4764" spans="1:3">
      <c r="A4764" s="543"/>
      <c r="C4764" s="543"/>
    </row>
    <row r="4765" spans="1:3">
      <c r="A4765" s="543"/>
      <c r="C4765" s="543"/>
    </row>
    <row r="4766" spans="1:3">
      <c r="A4766" s="543"/>
      <c r="C4766" s="543"/>
    </row>
    <row r="4767" spans="1:3">
      <c r="A4767" s="543"/>
      <c r="C4767" s="543"/>
    </row>
    <row r="4768" spans="1:3">
      <c r="A4768" s="543"/>
      <c r="C4768" s="543"/>
    </row>
    <row r="4769" spans="1:3">
      <c r="A4769" s="543"/>
      <c r="C4769" s="543"/>
    </row>
    <row r="4770" spans="1:3">
      <c r="A4770" s="543"/>
      <c r="C4770" s="543"/>
    </row>
    <row r="4771" spans="1:3">
      <c r="A4771" s="543"/>
      <c r="C4771" s="543"/>
    </row>
    <row r="4772" spans="1:3">
      <c r="A4772" s="543"/>
      <c r="C4772" s="543"/>
    </row>
    <row r="4773" spans="1:3">
      <c r="A4773" s="543"/>
      <c r="C4773" s="543"/>
    </row>
    <row r="4774" spans="1:3">
      <c r="A4774" s="543"/>
      <c r="C4774" s="543"/>
    </row>
    <row r="4775" spans="1:3">
      <c r="A4775" s="543"/>
      <c r="C4775" s="543"/>
    </row>
    <row r="4776" spans="1:3">
      <c r="A4776" s="543"/>
      <c r="C4776" s="543"/>
    </row>
    <row r="4777" spans="1:3">
      <c r="A4777" s="543"/>
      <c r="C4777" s="543"/>
    </row>
    <row r="4778" spans="1:3">
      <c r="A4778" s="543"/>
      <c r="C4778" s="543"/>
    </row>
    <row r="4779" spans="1:3">
      <c r="A4779" s="543"/>
      <c r="C4779" s="543"/>
    </row>
    <row r="4780" spans="1:3">
      <c r="A4780" s="543"/>
      <c r="C4780" s="543"/>
    </row>
    <row r="4781" spans="1:3">
      <c r="A4781" s="543"/>
      <c r="C4781" s="543"/>
    </row>
    <row r="4782" spans="1:3">
      <c r="A4782" s="543"/>
      <c r="C4782" s="543"/>
    </row>
    <row r="4783" spans="1:3">
      <c r="A4783" s="543"/>
      <c r="C4783" s="543"/>
    </row>
    <row r="4784" spans="1:3">
      <c r="A4784" s="543"/>
      <c r="C4784" s="543"/>
    </row>
    <row r="4785" spans="1:3">
      <c r="A4785" s="543"/>
      <c r="C4785" s="543"/>
    </row>
    <row r="4786" spans="1:3">
      <c r="A4786" s="543"/>
      <c r="C4786" s="543"/>
    </row>
    <row r="4787" spans="1:3">
      <c r="A4787" s="543"/>
      <c r="C4787" s="543"/>
    </row>
    <row r="4788" spans="1:3">
      <c r="A4788" s="543"/>
      <c r="C4788" s="543"/>
    </row>
    <row r="4789" spans="1:3">
      <c r="A4789" s="543"/>
      <c r="C4789" s="543"/>
    </row>
    <row r="4790" spans="1:3">
      <c r="A4790" s="543"/>
      <c r="C4790" s="543"/>
    </row>
    <row r="4791" spans="1:3">
      <c r="A4791" s="543"/>
      <c r="C4791" s="543"/>
    </row>
    <row r="4792" spans="1:3">
      <c r="A4792" s="543"/>
      <c r="C4792" s="543"/>
    </row>
    <row r="4793" spans="1:3">
      <c r="A4793" s="543"/>
      <c r="C4793" s="543"/>
    </row>
    <row r="4794" spans="1:3">
      <c r="A4794" s="543"/>
      <c r="C4794" s="543"/>
    </row>
    <row r="4795" spans="1:3">
      <c r="A4795" s="543"/>
      <c r="C4795" s="543"/>
    </row>
    <row r="4796" spans="1:3">
      <c r="A4796" s="543"/>
      <c r="C4796" s="543"/>
    </row>
    <row r="4797" spans="1:3">
      <c r="A4797" s="543"/>
      <c r="C4797" s="543"/>
    </row>
    <row r="4798" spans="1:3">
      <c r="A4798" s="543"/>
      <c r="C4798" s="543"/>
    </row>
    <row r="4799" spans="1:3">
      <c r="A4799" s="543"/>
      <c r="C4799" s="543"/>
    </row>
    <row r="4800" spans="1:3">
      <c r="A4800" s="543"/>
      <c r="C4800" s="543"/>
    </row>
    <row r="4801" spans="1:3">
      <c r="A4801" s="543"/>
      <c r="C4801" s="543"/>
    </row>
    <row r="4802" spans="1:3">
      <c r="A4802" s="543"/>
      <c r="C4802" s="543"/>
    </row>
    <row r="4803" spans="1:3">
      <c r="A4803" s="543"/>
      <c r="C4803" s="543"/>
    </row>
    <row r="4804" spans="1:3">
      <c r="A4804" s="543"/>
      <c r="C4804" s="543"/>
    </row>
    <row r="4805" spans="1:3">
      <c r="A4805" s="543"/>
      <c r="C4805" s="543"/>
    </row>
    <row r="4806" spans="1:3">
      <c r="A4806" s="543"/>
      <c r="C4806" s="543"/>
    </row>
    <row r="4807" spans="1:3">
      <c r="A4807" s="543"/>
      <c r="C4807" s="543"/>
    </row>
    <row r="4808" spans="1:3">
      <c r="A4808" s="543"/>
      <c r="C4808" s="543"/>
    </row>
    <row r="4809" spans="1:3">
      <c r="A4809" s="543"/>
      <c r="C4809" s="543"/>
    </row>
    <row r="4810" spans="1:3">
      <c r="A4810" s="543"/>
      <c r="C4810" s="543"/>
    </row>
    <row r="4811" spans="1:3">
      <c r="A4811" s="543"/>
      <c r="C4811" s="543"/>
    </row>
    <row r="4812" spans="1:3">
      <c r="A4812" s="543"/>
      <c r="C4812" s="543"/>
    </row>
    <row r="4813" spans="1:3">
      <c r="A4813" s="543"/>
      <c r="C4813" s="543"/>
    </row>
    <row r="4814" spans="1:3">
      <c r="A4814" s="543"/>
      <c r="C4814" s="543"/>
    </row>
    <row r="4815" spans="1:3">
      <c r="A4815" s="543"/>
      <c r="C4815" s="543"/>
    </row>
    <row r="4816" spans="1:3">
      <c r="A4816" s="543"/>
      <c r="C4816" s="543"/>
    </row>
    <row r="4817" spans="1:3">
      <c r="A4817" s="543"/>
      <c r="C4817" s="543"/>
    </row>
    <row r="4818" spans="1:3">
      <c r="A4818" s="543"/>
      <c r="C4818" s="543"/>
    </row>
    <row r="4819" spans="1:3">
      <c r="A4819" s="543"/>
      <c r="C4819" s="543"/>
    </row>
    <row r="4820" spans="1:3">
      <c r="A4820" s="543"/>
      <c r="C4820" s="543"/>
    </row>
    <row r="4821" spans="1:3">
      <c r="A4821" s="543"/>
      <c r="C4821" s="543"/>
    </row>
    <row r="4822" spans="1:3">
      <c r="A4822" s="543"/>
      <c r="C4822" s="543"/>
    </row>
    <row r="4823" spans="1:3">
      <c r="A4823" s="543"/>
      <c r="C4823" s="543"/>
    </row>
    <row r="4824" spans="1:3">
      <c r="A4824" s="543"/>
      <c r="C4824" s="543"/>
    </row>
    <row r="4825" spans="1:3">
      <c r="A4825" s="543"/>
      <c r="C4825" s="543"/>
    </row>
    <row r="4826" spans="1:3">
      <c r="A4826" s="543"/>
      <c r="C4826" s="543"/>
    </row>
    <row r="4827" spans="1:3">
      <c r="A4827" s="543"/>
      <c r="C4827" s="543"/>
    </row>
    <row r="4828" spans="1:3">
      <c r="A4828" s="543"/>
      <c r="C4828" s="543"/>
    </row>
    <row r="4829" spans="1:3">
      <c r="A4829" s="543"/>
      <c r="C4829" s="543"/>
    </row>
    <row r="4830" spans="1:3">
      <c r="A4830" s="543"/>
      <c r="C4830" s="543"/>
    </row>
    <row r="4831" spans="1:3">
      <c r="A4831" s="543"/>
      <c r="C4831" s="543"/>
    </row>
    <row r="4832" spans="1:3">
      <c r="A4832" s="543"/>
      <c r="C4832" s="543"/>
    </row>
    <row r="4833" spans="1:3">
      <c r="A4833" s="543"/>
      <c r="C4833" s="543"/>
    </row>
    <row r="4834" spans="1:3">
      <c r="A4834" s="543"/>
      <c r="C4834" s="543"/>
    </row>
    <row r="4835" spans="1:3">
      <c r="A4835" s="543"/>
      <c r="C4835" s="543"/>
    </row>
    <row r="4836" spans="1:3">
      <c r="A4836" s="543"/>
      <c r="C4836" s="543"/>
    </row>
    <row r="4837" spans="1:3">
      <c r="A4837" s="543"/>
      <c r="C4837" s="543"/>
    </row>
    <row r="4838" spans="1:3">
      <c r="A4838" s="543"/>
      <c r="C4838" s="543"/>
    </row>
    <row r="4839" spans="1:3">
      <c r="A4839" s="543"/>
      <c r="C4839" s="543"/>
    </row>
    <row r="4840" spans="1:3">
      <c r="A4840" s="543"/>
      <c r="C4840" s="543"/>
    </row>
    <row r="4841" spans="1:3">
      <c r="A4841" s="543"/>
      <c r="C4841" s="543"/>
    </row>
    <row r="4842" spans="1:3">
      <c r="A4842" s="543"/>
      <c r="C4842" s="543"/>
    </row>
    <row r="4843" spans="1:3">
      <c r="A4843" s="543"/>
      <c r="C4843" s="543"/>
    </row>
    <row r="4844" spans="1:3">
      <c r="A4844" s="543"/>
      <c r="C4844" s="543"/>
    </row>
    <row r="4845" spans="1:3">
      <c r="A4845" s="543"/>
      <c r="C4845" s="543"/>
    </row>
    <row r="4846" spans="1:3">
      <c r="A4846" s="543"/>
      <c r="C4846" s="543"/>
    </row>
    <row r="4847" spans="1:3">
      <c r="A4847" s="543"/>
      <c r="C4847" s="543"/>
    </row>
    <row r="4848" spans="1:3">
      <c r="A4848" s="543"/>
      <c r="C4848" s="543"/>
    </row>
    <row r="4849" spans="1:3">
      <c r="A4849" s="543"/>
      <c r="C4849" s="543"/>
    </row>
    <row r="4850" spans="1:3">
      <c r="A4850" s="543"/>
      <c r="C4850" s="543"/>
    </row>
    <row r="4851" spans="1:3">
      <c r="A4851" s="543"/>
      <c r="C4851" s="543"/>
    </row>
    <row r="4852" spans="1:3">
      <c r="A4852" s="543"/>
      <c r="C4852" s="543"/>
    </row>
    <row r="4853" spans="1:3">
      <c r="A4853" s="543"/>
      <c r="C4853" s="543"/>
    </row>
    <row r="4854" spans="1:3">
      <c r="A4854" s="543"/>
      <c r="C4854" s="543"/>
    </row>
    <row r="4855" spans="1:3">
      <c r="A4855" s="543"/>
      <c r="C4855" s="543"/>
    </row>
    <row r="4856" spans="1:3">
      <c r="A4856" s="543"/>
      <c r="C4856" s="543"/>
    </row>
    <row r="4857" spans="1:3">
      <c r="A4857" s="543"/>
      <c r="C4857" s="543"/>
    </row>
    <row r="4858" spans="1:3">
      <c r="A4858" s="543"/>
      <c r="C4858" s="543"/>
    </row>
    <row r="4859" spans="1:3">
      <c r="A4859" s="543"/>
      <c r="C4859" s="543"/>
    </row>
    <row r="4860" spans="1:3">
      <c r="A4860" s="543"/>
      <c r="C4860" s="543"/>
    </row>
    <row r="4861" spans="1:3">
      <c r="A4861" s="543"/>
      <c r="C4861" s="543"/>
    </row>
    <row r="4862" spans="1:3">
      <c r="A4862" s="543"/>
      <c r="C4862" s="543"/>
    </row>
    <row r="4863" spans="1:3">
      <c r="A4863" s="543"/>
      <c r="C4863" s="543"/>
    </row>
    <row r="4864" spans="1:3">
      <c r="A4864" s="543"/>
      <c r="C4864" s="543"/>
    </row>
    <row r="4865" spans="1:3">
      <c r="A4865" s="543"/>
      <c r="C4865" s="543"/>
    </row>
    <row r="4866" spans="1:3">
      <c r="A4866" s="543"/>
      <c r="C4866" s="543"/>
    </row>
    <row r="4867" spans="1:3">
      <c r="A4867" s="543"/>
      <c r="C4867" s="543"/>
    </row>
    <row r="4868" spans="1:3">
      <c r="A4868" s="543"/>
      <c r="C4868" s="543"/>
    </row>
    <row r="4869" spans="1:3">
      <c r="A4869" s="543"/>
      <c r="C4869" s="543"/>
    </row>
    <row r="4870" spans="1:3">
      <c r="A4870" s="543"/>
      <c r="C4870" s="543"/>
    </row>
    <row r="4871" spans="1:3">
      <c r="A4871" s="543"/>
      <c r="C4871" s="543"/>
    </row>
    <row r="4872" spans="1:3">
      <c r="A4872" s="543"/>
      <c r="C4872" s="543"/>
    </row>
    <row r="4873" spans="1:3">
      <c r="A4873" s="543"/>
      <c r="C4873" s="543"/>
    </row>
    <row r="4874" spans="1:3">
      <c r="A4874" s="543"/>
      <c r="C4874" s="543"/>
    </row>
    <row r="4875" spans="1:3">
      <c r="A4875" s="543"/>
      <c r="C4875" s="543"/>
    </row>
    <row r="4876" spans="1:3">
      <c r="A4876" s="543"/>
      <c r="C4876" s="543"/>
    </row>
    <row r="4877" spans="1:3">
      <c r="A4877" s="543"/>
      <c r="C4877" s="543"/>
    </row>
    <row r="4878" spans="1:3">
      <c r="A4878" s="543"/>
      <c r="C4878" s="543"/>
    </row>
    <row r="4879" spans="1:3">
      <c r="A4879" s="543"/>
      <c r="C4879" s="543"/>
    </row>
    <row r="4880" spans="1:3">
      <c r="A4880" s="543"/>
      <c r="C4880" s="543"/>
    </row>
    <row r="4881" spans="1:3">
      <c r="A4881" s="543"/>
      <c r="C4881" s="543"/>
    </row>
    <row r="4882" spans="1:3">
      <c r="A4882" s="543"/>
      <c r="C4882" s="543"/>
    </row>
    <row r="4883" spans="1:3">
      <c r="A4883" s="543"/>
      <c r="C4883" s="543"/>
    </row>
    <row r="4884" spans="1:3">
      <c r="A4884" s="543"/>
      <c r="C4884" s="543"/>
    </row>
    <row r="4885" spans="1:3">
      <c r="A4885" s="543"/>
      <c r="C4885" s="543"/>
    </row>
    <row r="4886" spans="1:3">
      <c r="A4886" s="543"/>
      <c r="C4886" s="543"/>
    </row>
    <row r="4887" spans="1:3">
      <c r="A4887" s="543"/>
      <c r="C4887" s="543"/>
    </row>
    <row r="4888" spans="1:3">
      <c r="A4888" s="543"/>
      <c r="C4888" s="543"/>
    </row>
    <row r="4889" spans="1:3">
      <c r="A4889" s="543"/>
      <c r="C4889" s="543"/>
    </row>
    <row r="4890" spans="1:3">
      <c r="A4890" s="543"/>
      <c r="C4890" s="543"/>
    </row>
    <row r="4891" spans="1:3">
      <c r="A4891" s="543"/>
      <c r="C4891" s="543"/>
    </row>
    <row r="4892" spans="1:3">
      <c r="A4892" s="543"/>
      <c r="C4892" s="543"/>
    </row>
    <row r="4893" spans="1:3">
      <c r="A4893" s="543"/>
      <c r="C4893" s="543"/>
    </row>
    <row r="4894" spans="1:3">
      <c r="A4894" s="543"/>
      <c r="C4894" s="543"/>
    </row>
    <row r="4895" spans="1:3">
      <c r="A4895" s="543"/>
      <c r="C4895" s="543"/>
    </row>
    <row r="4896" spans="1:3">
      <c r="A4896" s="543"/>
      <c r="C4896" s="543"/>
    </row>
    <row r="4897" spans="1:3">
      <c r="A4897" s="543"/>
      <c r="C4897" s="543"/>
    </row>
    <row r="4898" spans="1:3">
      <c r="A4898" s="543"/>
      <c r="C4898" s="543"/>
    </row>
    <row r="4899" spans="1:3">
      <c r="A4899" s="543"/>
      <c r="C4899" s="543"/>
    </row>
    <row r="4900" spans="1:3">
      <c r="A4900" s="543"/>
      <c r="C4900" s="543"/>
    </row>
    <row r="4901" spans="1:3">
      <c r="A4901" s="543"/>
      <c r="C4901" s="543"/>
    </row>
    <row r="4902" spans="1:3">
      <c r="A4902" s="543"/>
      <c r="C4902" s="543"/>
    </row>
    <row r="4903" spans="1:3">
      <c r="A4903" s="543"/>
      <c r="C4903" s="543"/>
    </row>
    <row r="4904" spans="1:3">
      <c r="A4904" s="543"/>
      <c r="C4904" s="543"/>
    </row>
    <row r="4905" spans="1:3">
      <c r="A4905" s="543"/>
      <c r="C4905" s="543"/>
    </row>
    <row r="4906" spans="1:3">
      <c r="A4906" s="543"/>
      <c r="C4906" s="543"/>
    </row>
    <row r="4907" spans="1:3">
      <c r="A4907" s="543"/>
      <c r="C4907" s="543"/>
    </row>
    <row r="4908" spans="1:3">
      <c r="A4908" s="543"/>
      <c r="C4908" s="543"/>
    </row>
    <row r="4909" spans="1:3">
      <c r="A4909" s="543"/>
      <c r="C4909" s="543"/>
    </row>
    <row r="4910" spans="1:3">
      <c r="A4910" s="543"/>
      <c r="C4910" s="543"/>
    </row>
    <row r="4911" spans="1:3">
      <c r="A4911" s="543"/>
      <c r="C4911" s="543"/>
    </row>
    <row r="4912" spans="1:3">
      <c r="A4912" s="543"/>
      <c r="C4912" s="543"/>
    </row>
    <row r="4913" spans="1:3">
      <c r="A4913" s="543"/>
      <c r="C4913" s="543"/>
    </row>
    <row r="4914" spans="1:3">
      <c r="A4914" s="543"/>
      <c r="C4914" s="543"/>
    </row>
    <row r="4915" spans="1:3">
      <c r="A4915" s="543"/>
      <c r="C4915" s="543"/>
    </row>
    <row r="4916" spans="1:3">
      <c r="A4916" s="543"/>
      <c r="C4916" s="543"/>
    </row>
    <row r="4917" spans="1:3">
      <c r="A4917" s="543"/>
      <c r="C4917" s="543"/>
    </row>
    <row r="4918" spans="1:3">
      <c r="A4918" s="543"/>
      <c r="C4918" s="543"/>
    </row>
    <row r="4919" spans="1:3">
      <c r="A4919" s="543"/>
      <c r="C4919" s="543"/>
    </row>
    <row r="4920" spans="1:3">
      <c r="A4920" s="543"/>
      <c r="C4920" s="543"/>
    </row>
    <row r="4921" spans="1:3">
      <c r="A4921" s="543"/>
      <c r="C4921" s="543"/>
    </row>
    <row r="4922" spans="1:3">
      <c r="A4922" s="543"/>
      <c r="C4922" s="543"/>
    </row>
    <row r="4923" spans="1:3">
      <c r="A4923" s="543"/>
      <c r="C4923" s="543"/>
    </row>
    <row r="4924" spans="1:3">
      <c r="A4924" s="543"/>
      <c r="C4924" s="543"/>
    </row>
    <row r="4925" spans="1:3">
      <c r="A4925" s="543"/>
      <c r="C4925" s="543"/>
    </row>
    <row r="4926" spans="1:3">
      <c r="A4926" s="543"/>
      <c r="C4926" s="543"/>
    </row>
    <row r="4927" spans="1:3">
      <c r="A4927" s="543"/>
      <c r="C4927" s="543"/>
    </row>
    <row r="4928" spans="1:3">
      <c r="A4928" s="543"/>
      <c r="C4928" s="543"/>
    </row>
    <row r="4929" spans="1:3">
      <c r="A4929" s="543"/>
      <c r="C4929" s="543"/>
    </row>
    <row r="4930" spans="1:3">
      <c r="A4930" s="543"/>
      <c r="C4930" s="543"/>
    </row>
    <row r="4931" spans="1:3">
      <c r="A4931" s="543"/>
      <c r="C4931" s="543"/>
    </row>
    <row r="4932" spans="1:3">
      <c r="A4932" s="543"/>
      <c r="C4932" s="543"/>
    </row>
    <row r="4933" spans="1:3">
      <c r="A4933" s="543"/>
      <c r="C4933" s="543"/>
    </row>
    <row r="4934" spans="1:3">
      <c r="A4934" s="543"/>
      <c r="C4934" s="543"/>
    </row>
    <row r="4935" spans="1:3">
      <c r="A4935" s="543"/>
      <c r="C4935" s="543"/>
    </row>
    <row r="4936" spans="1:3">
      <c r="A4936" s="543"/>
      <c r="C4936" s="543"/>
    </row>
    <row r="4937" spans="1:3">
      <c r="A4937" s="543"/>
      <c r="C4937" s="543"/>
    </row>
    <row r="4938" spans="1:3">
      <c r="A4938" s="543"/>
      <c r="C4938" s="543"/>
    </row>
    <row r="4939" spans="1:3">
      <c r="A4939" s="543"/>
      <c r="C4939" s="543"/>
    </row>
    <row r="4940" spans="1:3">
      <c r="A4940" s="543"/>
      <c r="C4940" s="543"/>
    </row>
    <row r="4941" spans="1:3">
      <c r="A4941" s="543"/>
      <c r="C4941" s="543"/>
    </row>
    <row r="4942" spans="1:3">
      <c r="A4942" s="543"/>
      <c r="C4942" s="543"/>
    </row>
    <row r="4943" spans="1:3">
      <c r="A4943" s="543"/>
      <c r="C4943" s="543"/>
    </row>
    <row r="4944" spans="1:3">
      <c r="A4944" s="543"/>
      <c r="C4944" s="543"/>
    </row>
    <row r="4945" spans="1:3">
      <c r="A4945" s="543"/>
      <c r="C4945" s="543"/>
    </row>
    <row r="4946" spans="1:3">
      <c r="A4946" s="543"/>
      <c r="C4946" s="543"/>
    </row>
    <row r="4947" spans="1:3">
      <c r="A4947" s="543"/>
      <c r="C4947" s="543"/>
    </row>
    <row r="4948" spans="1:3">
      <c r="A4948" s="543"/>
      <c r="C4948" s="543"/>
    </row>
    <row r="4949" spans="1:3">
      <c r="A4949" s="543"/>
      <c r="C4949" s="543"/>
    </row>
    <row r="4950" spans="1:3">
      <c r="A4950" s="543"/>
      <c r="C4950" s="543"/>
    </row>
    <row r="4951" spans="1:3">
      <c r="A4951" s="543"/>
      <c r="C4951" s="543"/>
    </row>
    <row r="4952" spans="1:3">
      <c r="A4952" s="543"/>
      <c r="C4952" s="543"/>
    </row>
    <row r="4953" spans="1:3">
      <c r="A4953" s="543"/>
      <c r="C4953" s="543"/>
    </row>
    <row r="4954" spans="1:3">
      <c r="A4954" s="543"/>
      <c r="C4954" s="543"/>
    </row>
    <row r="4955" spans="1:3">
      <c r="A4955" s="543"/>
      <c r="C4955" s="543"/>
    </row>
    <row r="4956" spans="1:3">
      <c r="A4956" s="543"/>
      <c r="C4956" s="543"/>
    </row>
    <row r="4957" spans="1:3">
      <c r="A4957" s="543"/>
      <c r="C4957" s="543"/>
    </row>
    <row r="4958" spans="1:3">
      <c r="A4958" s="543"/>
      <c r="C4958" s="543"/>
    </row>
    <row r="4959" spans="1:3">
      <c r="A4959" s="543"/>
      <c r="C4959" s="543"/>
    </row>
    <row r="4960" spans="1:3">
      <c r="A4960" s="543"/>
      <c r="C4960" s="543"/>
    </row>
    <row r="4961" spans="1:3">
      <c r="A4961" s="543"/>
      <c r="C4961" s="543"/>
    </row>
    <row r="4962" spans="1:3">
      <c r="A4962" s="543"/>
      <c r="C4962" s="543"/>
    </row>
    <row r="4963" spans="1:3">
      <c r="A4963" s="543"/>
      <c r="C4963" s="543"/>
    </row>
    <row r="4964" spans="1:3">
      <c r="A4964" s="543"/>
      <c r="C4964" s="543"/>
    </row>
    <row r="4965" spans="1:3">
      <c r="A4965" s="543"/>
      <c r="C4965" s="543"/>
    </row>
    <row r="4966" spans="1:3">
      <c r="A4966" s="543"/>
      <c r="C4966" s="543"/>
    </row>
    <row r="4967" spans="1:3">
      <c r="A4967" s="543"/>
      <c r="C4967" s="543"/>
    </row>
    <row r="4968" spans="1:3">
      <c r="A4968" s="543"/>
      <c r="C4968" s="543"/>
    </row>
    <row r="4969" spans="1:3">
      <c r="A4969" s="543"/>
      <c r="C4969" s="543"/>
    </row>
    <row r="4970" spans="1:3">
      <c r="A4970" s="543"/>
      <c r="C4970" s="543"/>
    </row>
    <row r="4971" spans="1:3">
      <c r="A4971" s="543"/>
      <c r="C4971" s="543"/>
    </row>
    <row r="4972" spans="1:3">
      <c r="A4972" s="543"/>
      <c r="C4972" s="543"/>
    </row>
    <row r="4973" spans="1:3">
      <c r="A4973" s="543"/>
      <c r="C4973" s="543"/>
    </row>
    <row r="4974" spans="1:3">
      <c r="A4974" s="543"/>
      <c r="C4974" s="543"/>
    </row>
    <row r="4975" spans="1:3">
      <c r="A4975" s="543"/>
      <c r="C4975" s="543"/>
    </row>
    <row r="4976" spans="1:3">
      <c r="A4976" s="543"/>
      <c r="C4976" s="543"/>
    </row>
    <row r="4977" spans="1:3">
      <c r="A4977" s="543"/>
      <c r="C4977" s="543"/>
    </row>
    <row r="4978" spans="1:3">
      <c r="A4978" s="543"/>
      <c r="C4978" s="543"/>
    </row>
    <row r="4979" spans="1:3">
      <c r="A4979" s="543"/>
      <c r="C4979" s="543"/>
    </row>
    <row r="4980" spans="1:3">
      <c r="A4980" s="543"/>
      <c r="C4980" s="543"/>
    </row>
    <row r="4981" spans="1:3">
      <c r="A4981" s="543"/>
      <c r="C4981" s="543"/>
    </row>
    <row r="4982" spans="1:3">
      <c r="A4982" s="543"/>
      <c r="C4982" s="543"/>
    </row>
    <row r="4983" spans="1:3">
      <c r="A4983" s="543"/>
      <c r="C4983" s="543"/>
    </row>
    <row r="4984" spans="1:3">
      <c r="A4984" s="543"/>
      <c r="C4984" s="543"/>
    </row>
    <row r="4985" spans="1:3">
      <c r="A4985" s="543"/>
      <c r="C4985" s="543"/>
    </row>
    <row r="4986" spans="1:3">
      <c r="A4986" s="543"/>
      <c r="C4986" s="543"/>
    </row>
    <row r="4987" spans="1:3">
      <c r="A4987" s="543"/>
      <c r="C4987" s="543"/>
    </row>
    <row r="4988" spans="1:3">
      <c r="A4988" s="543"/>
      <c r="C4988" s="543"/>
    </row>
    <row r="4989" spans="1:3">
      <c r="A4989" s="543"/>
      <c r="C4989" s="543"/>
    </row>
    <row r="4990" spans="1:3">
      <c r="A4990" s="543"/>
      <c r="C4990" s="543"/>
    </row>
    <row r="4991" spans="1:3">
      <c r="A4991" s="543"/>
      <c r="C4991" s="543"/>
    </row>
    <row r="4992" spans="1:3">
      <c r="A4992" s="543"/>
      <c r="C4992" s="543"/>
    </row>
    <row r="4993" spans="1:3">
      <c r="A4993" s="543"/>
      <c r="C4993" s="543"/>
    </row>
    <row r="4994" spans="1:3">
      <c r="A4994" s="543"/>
      <c r="C4994" s="543"/>
    </row>
    <row r="4995" spans="1:3">
      <c r="A4995" s="543"/>
      <c r="C4995" s="543"/>
    </row>
    <row r="4996" spans="1:3">
      <c r="A4996" s="543"/>
      <c r="C4996" s="543"/>
    </row>
    <row r="4997" spans="1:3">
      <c r="A4997" s="543"/>
      <c r="C4997" s="543"/>
    </row>
    <row r="4998" spans="1:3">
      <c r="A4998" s="543"/>
      <c r="C4998" s="543"/>
    </row>
    <row r="4999" spans="1:3">
      <c r="A4999" s="543"/>
      <c r="C4999" s="543"/>
    </row>
    <row r="5000" spans="1:3">
      <c r="A5000" s="543"/>
      <c r="C5000" s="543"/>
    </row>
    <row r="5001" spans="1:3">
      <c r="A5001" s="543"/>
      <c r="C5001" s="543"/>
    </row>
    <row r="5002" spans="1:3">
      <c r="A5002" s="543"/>
      <c r="C5002" s="543"/>
    </row>
    <row r="5003" spans="1:3">
      <c r="A5003" s="543"/>
      <c r="C5003" s="543"/>
    </row>
    <row r="5004" spans="1:3">
      <c r="A5004" s="543"/>
      <c r="C5004" s="543"/>
    </row>
    <row r="5005" spans="1:3">
      <c r="A5005" s="543"/>
      <c r="C5005" s="543"/>
    </row>
    <row r="5006" spans="1:3">
      <c r="A5006" s="543"/>
      <c r="C5006" s="543"/>
    </row>
    <row r="5007" spans="1:3">
      <c r="A5007" s="543"/>
      <c r="C5007" s="543"/>
    </row>
    <row r="5008" spans="1:3">
      <c r="A5008" s="543"/>
      <c r="C5008" s="543"/>
    </row>
    <row r="5009" spans="1:3">
      <c r="A5009" s="543"/>
      <c r="C5009" s="543"/>
    </row>
    <row r="5010" spans="1:3">
      <c r="A5010" s="543"/>
      <c r="C5010" s="543"/>
    </row>
    <row r="5011" spans="1:3">
      <c r="A5011" s="543"/>
      <c r="C5011" s="543"/>
    </row>
    <row r="5012" spans="1:3">
      <c r="A5012" s="543"/>
      <c r="C5012" s="543"/>
    </row>
    <row r="5013" spans="1:3">
      <c r="A5013" s="543"/>
      <c r="C5013" s="543"/>
    </row>
    <row r="5014" spans="1:3">
      <c r="A5014" s="543"/>
      <c r="C5014" s="543"/>
    </row>
    <row r="5015" spans="1:3">
      <c r="A5015" s="543"/>
      <c r="C5015" s="543"/>
    </row>
    <row r="5016" spans="1:3">
      <c r="A5016" s="543"/>
      <c r="C5016" s="543"/>
    </row>
    <row r="5017" spans="1:3">
      <c r="A5017" s="543"/>
      <c r="C5017" s="543"/>
    </row>
    <row r="5018" spans="1:3">
      <c r="A5018" s="543"/>
      <c r="C5018" s="543"/>
    </row>
    <row r="5019" spans="1:3">
      <c r="A5019" s="543"/>
      <c r="C5019" s="543"/>
    </row>
    <row r="5020" spans="1:3">
      <c r="A5020" s="543"/>
      <c r="C5020" s="543"/>
    </row>
    <row r="5021" spans="1:3">
      <c r="A5021" s="543"/>
      <c r="C5021" s="543"/>
    </row>
    <row r="5022" spans="1:3">
      <c r="A5022" s="543"/>
      <c r="C5022" s="543"/>
    </row>
    <row r="5023" spans="1:3">
      <c r="A5023" s="543"/>
      <c r="C5023" s="543"/>
    </row>
    <row r="5024" spans="1:3">
      <c r="A5024" s="543"/>
      <c r="C5024" s="543"/>
    </row>
    <row r="5025" spans="1:3">
      <c r="A5025" s="543"/>
      <c r="C5025" s="543"/>
    </row>
    <row r="5026" spans="1:3">
      <c r="A5026" s="543"/>
      <c r="C5026" s="543"/>
    </row>
    <row r="5027" spans="1:3">
      <c r="A5027" s="543"/>
      <c r="C5027" s="543"/>
    </row>
    <row r="5028" spans="1:3">
      <c r="A5028" s="543"/>
      <c r="C5028" s="543"/>
    </row>
    <row r="5029" spans="1:3">
      <c r="A5029" s="543"/>
      <c r="C5029" s="543"/>
    </row>
    <row r="5030" spans="1:3">
      <c r="A5030" s="543"/>
      <c r="C5030" s="543"/>
    </row>
    <row r="5031" spans="1:3">
      <c r="A5031" s="543"/>
      <c r="C5031" s="543"/>
    </row>
    <row r="5032" spans="1:3">
      <c r="A5032" s="543"/>
      <c r="C5032" s="543"/>
    </row>
    <row r="5033" spans="1:3">
      <c r="A5033" s="543"/>
      <c r="C5033" s="543"/>
    </row>
    <row r="5034" spans="1:3">
      <c r="A5034" s="543"/>
      <c r="C5034" s="543"/>
    </row>
    <row r="5035" spans="1:3">
      <c r="A5035" s="543"/>
      <c r="C5035" s="543"/>
    </row>
    <row r="5036" spans="1:3">
      <c r="A5036" s="543"/>
      <c r="C5036" s="543"/>
    </row>
    <row r="5037" spans="1:3">
      <c r="A5037" s="543"/>
      <c r="C5037" s="543"/>
    </row>
    <row r="5038" spans="1:3">
      <c r="A5038" s="543"/>
      <c r="C5038" s="543"/>
    </row>
    <row r="5039" spans="1:3">
      <c r="A5039" s="543"/>
      <c r="C5039" s="543"/>
    </row>
    <row r="5040" spans="1:3">
      <c r="A5040" s="543"/>
      <c r="C5040" s="543"/>
    </row>
    <row r="5041" spans="1:3">
      <c r="A5041" s="543"/>
      <c r="C5041" s="543"/>
    </row>
    <row r="5042" spans="1:3">
      <c r="A5042" s="543"/>
      <c r="C5042" s="543"/>
    </row>
    <row r="5043" spans="1:3">
      <c r="A5043" s="543"/>
      <c r="C5043" s="543"/>
    </row>
    <row r="5044" spans="1:3">
      <c r="A5044" s="543"/>
      <c r="C5044" s="543"/>
    </row>
    <row r="5045" spans="1:3">
      <c r="A5045" s="543"/>
      <c r="C5045" s="543"/>
    </row>
    <row r="5046" spans="1:3">
      <c r="A5046" s="543"/>
      <c r="C5046" s="543"/>
    </row>
    <row r="5047" spans="1:3">
      <c r="A5047" s="543"/>
      <c r="C5047" s="543"/>
    </row>
    <row r="5048" spans="1:3">
      <c r="A5048" s="543"/>
      <c r="C5048" s="543"/>
    </row>
    <row r="5049" spans="1:3">
      <c r="A5049" s="543"/>
      <c r="C5049" s="543"/>
    </row>
    <row r="5050" spans="1:3">
      <c r="A5050" s="543"/>
      <c r="C5050" s="543"/>
    </row>
    <row r="5051" spans="1:3">
      <c r="A5051" s="543"/>
      <c r="C5051" s="543"/>
    </row>
    <row r="5052" spans="1:3">
      <c r="A5052" s="543"/>
      <c r="C5052" s="543"/>
    </row>
    <row r="5053" spans="1:3">
      <c r="A5053" s="543"/>
      <c r="C5053" s="543"/>
    </row>
    <row r="5054" spans="1:3">
      <c r="A5054" s="543"/>
      <c r="C5054" s="543"/>
    </row>
    <row r="5055" spans="1:3">
      <c r="A5055" s="543"/>
      <c r="C5055" s="543"/>
    </row>
    <row r="5056" spans="1:3">
      <c r="A5056" s="543"/>
      <c r="C5056" s="543"/>
    </row>
    <row r="5057" spans="1:3">
      <c r="A5057" s="543"/>
      <c r="C5057" s="543"/>
    </row>
    <row r="5058" spans="1:3">
      <c r="A5058" s="543"/>
      <c r="C5058" s="543"/>
    </row>
    <row r="5059" spans="1:3">
      <c r="A5059" s="543"/>
      <c r="C5059" s="543"/>
    </row>
    <row r="5060" spans="1:3">
      <c r="A5060" s="543"/>
      <c r="C5060" s="543"/>
    </row>
    <row r="5061" spans="1:3">
      <c r="A5061" s="543"/>
      <c r="C5061" s="543"/>
    </row>
    <row r="5062" spans="1:3">
      <c r="A5062" s="543"/>
      <c r="C5062" s="543"/>
    </row>
    <row r="5063" spans="1:3">
      <c r="A5063" s="543"/>
      <c r="C5063" s="543"/>
    </row>
    <row r="5064" spans="1:3">
      <c r="A5064" s="543"/>
      <c r="C5064" s="543"/>
    </row>
    <row r="5065" spans="1:3">
      <c r="A5065" s="543"/>
      <c r="C5065" s="543"/>
    </row>
    <row r="5066" spans="1:3">
      <c r="A5066" s="543"/>
      <c r="C5066" s="543"/>
    </row>
    <row r="5067" spans="1:3">
      <c r="A5067" s="543"/>
      <c r="C5067" s="543"/>
    </row>
    <row r="5068" spans="1:3">
      <c r="A5068" s="543"/>
      <c r="C5068" s="543"/>
    </row>
    <row r="5069" spans="1:3">
      <c r="A5069" s="543"/>
      <c r="C5069" s="543"/>
    </row>
    <row r="5070" spans="1:3">
      <c r="A5070" s="543"/>
      <c r="C5070" s="543"/>
    </row>
    <row r="5071" spans="1:3">
      <c r="A5071" s="543"/>
      <c r="C5071" s="543"/>
    </row>
    <row r="5072" spans="1:3">
      <c r="A5072" s="543"/>
      <c r="C5072" s="543"/>
    </row>
    <row r="5073" spans="1:3">
      <c r="A5073" s="543"/>
      <c r="C5073" s="543"/>
    </row>
    <row r="5074" spans="1:3">
      <c r="A5074" s="543"/>
      <c r="C5074" s="543"/>
    </row>
    <row r="5075" spans="1:3">
      <c r="A5075" s="543"/>
      <c r="C5075" s="543"/>
    </row>
    <row r="5076" spans="1:3">
      <c r="A5076" s="543"/>
      <c r="C5076" s="543"/>
    </row>
    <row r="5077" spans="1:3">
      <c r="A5077" s="543"/>
      <c r="C5077" s="543"/>
    </row>
    <row r="5078" spans="1:3">
      <c r="A5078" s="543"/>
      <c r="C5078" s="543"/>
    </row>
    <row r="5079" spans="1:3">
      <c r="A5079" s="543"/>
      <c r="C5079" s="543"/>
    </row>
    <row r="5080" spans="1:3">
      <c r="A5080" s="543"/>
      <c r="C5080" s="543"/>
    </row>
    <row r="5081" spans="1:3">
      <c r="A5081" s="543"/>
      <c r="C5081" s="543"/>
    </row>
    <row r="5082" spans="1:3">
      <c r="A5082" s="543"/>
      <c r="C5082" s="543"/>
    </row>
    <row r="5083" spans="1:3">
      <c r="A5083" s="543"/>
      <c r="C5083" s="543"/>
    </row>
    <row r="5084" spans="1:3">
      <c r="A5084" s="543"/>
      <c r="C5084" s="543"/>
    </row>
    <row r="5085" spans="1:3">
      <c r="A5085" s="543"/>
      <c r="C5085" s="543"/>
    </row>
    <row r="5086" spans="1:3">
      <c r="A5086" s="543"/>
      <c r="C5086" s="543"/>
    </row>
    <row r="5087" spans="1:3">
      <c r="A5087" s="543"/>
      <c r="C5087" s="543"/>
    </row>
    <row r="5088" spans="1:3">
      <c r="A5088" s="543"/>
      <c r="C5088" s="543"/>
    </row>
    <row r="5089" spans="1:3">
      <c r="A5089" s="543"/>
      <c r="C5089" s="543"/>
    </row>
    <row r="5090" spans="1:3">
      <c r="A5090" s="543"/>
      <c r="C5090" s="543"/>
    </row>
    <row r="5091" spans="1:3">
      <c r="A5091" s="543"/>
      <c r="C5091" s="543"/>
    </row>
    <row r="5092" spans="1:3">
      <c r="A5092" s="543"/>
      <c r="C5092" s="543"/>
    </row>
    <row r="5093" spans="1:3">
      <c r="A5093" s="543"/>
      <c r="C5093" s="543"/>
    </row>
    <row r="5094" spans="1:3">
      <c r="A5094" s="543"/>
      <c r="C5094" s="543"/>
    </row>
    <row r="5095" spans="1:3">
      <c r="A5095" s="543"/>
      <c r="C5095" s="543"/>
    </row>
    <row r="5096" spans="1:3">
      <c r="A5096" s="543"/>
      <c r="C5096" s="543"/>
    </row>
    <row r="5097" spans="1:3">
      <c r="A5097" s="543"/>
      <c r="C5097" s="543"/>
    </row>
    <row r="5098" spans="1:3">
      <c r="A5098" s="543"/>
      <c r="C5098" s="543"/>
    </row>
    <row r="5099" spans="1:3">
      <c r="A5099" s="543"/>
      <c r="C5099" s="543"/>
    </row>
    <row r="5100" spans="1:3">
      <c r="A5100" s="543"/>
      <c r="C5100" s="543"/>
    </row>
    <row r="5101" spans="1:3">
      <c r="A5101" s="543"/>
      <c r="C5101" s="543"/>
    </row>
    <row r="5102" spans="1:3">
      <c r="A5102" s="543"/>
      <c r="C5102" s="543"/>
    </row>
    <row r="5103" spans="1:3">
      <c r="A5103" s="543"/>
      <c r="C5103" s="543"/>
    </row>
    <row r="5104" spans="1:3">
      <c r="A5104" s="543"/>
      <c r="C5104" s="543"/>
    </row>
    <row r="5105" spans="1:3">
      <c r="A5105" s="543"/>
      <c r="C5105" s="543"/>
    </row>
    <row r="5106" spans="1:3">
      <c r="A5106" s="543"/>
      <c r="C5106" s="543"/>
    </row>
    <row r="5107" spans="1:3">
      <c r="A5107" s="543"/>
      <c r="C5107" s="543"/>
    </row>
    <row r="5108" spans="1:3">
      <c r="A5108" s="543"/>
      <c r="C5108" s="543"/>
    </row>
    <row r="5109" spans="1:3">
      <c r="A5109" s="543"/>
      <c r="C5109" s="543"/>
    </row>
    <row r="5110" spans="1:3">
      <c r="A5110" s="543"/>
      <c r="C5110" s="543"/>
    </row>
    <row r="5111" spans="1:3">
      <c r="A5111" s="543"/>
      <c r="C5111" s="543"/>
    </row>
    <row r="5112" spans="1:3">
      <c r="A5112" s="543"/>
      <c r="C5112" s="543"/>
    </row>
    <row r="5113" spans="1:3">
      <c r="A5113" s="543"/>
      <c r="C5113" s="543"/>
    </row>
    <row r="5114" spans="1:3">
      <c r="A5114" s="543"/>
      <c r="C5114" s="543"/>
    </row>
    <row r="5115" spans="1:3">
      <c r="A5115" s="543"/>
      <c r="C5115" s="543"/>
    </row>
    <row r="5116" spans="1:3">
      <c r="A5116" s="543"/>
      <c r="C5116" s="543"/>
    </row>
    <row r="5117" spans="1:3">
      <c r="A5117" s="543"/>
      <c r="C5117" s="543"/>
    </row>
    <row r="5118" spans="1:3">
      <c r="A5118" s="543"/>
      <c r="C5118" s="543"/>
    </row>
    <row r="5119" spans="1:3">
      <c r="A5119" s="543"/>
      <c r="C5119" s="543"/>
    </row>
    <row r="5120" spans="1:3">
      <c r="A5120" s="543"/>
      <c r="C5120" s="543"/>
    </row>
    <row r="5121" spans="1:3">
      <c r="A5121" s="543"/>
      <c r="C5121" s="543"/>
    </row>
    <row r="5122" spans="1:3">
      <c r="A5122" s="543"/>
      <c r="C5122" s="543"/>
    </row>
    <row r="5123" spans="1:3">
      <c r="A5123" s="543"/>
      <c r="C5123" s="543"/>
    </row>
    <row r="5124" spans="1:3">
      <c r="A5124" s="543"/>
      <c r="C5124" s="543"/>
    </row>
    <row r="5125" spans="1:3">
      <c r="A5125" s="543"/>
      <c r="C5125" s="543"/>
    </row>
    <row r="5126" spans="1:3">
      <c r="A5126" s="543"/>
      <c r="C5126" s="543"/>
    </row>
    <row r="5127" spans="1:3">
      <c r="A5127" s="543"/>
      <c r="C5127" s="543"/>
    </row>
    <row r="5128" spans="1:3">
      <c r="A5128" s="543"/>
      <c r="C5128" s="543"/>
    </row>
    <row r="5129" spans="1:3">
      <c r="A5129" s="543"/>
      <c r="C5129" s="543"/>
    </row>
    <row r="5130" spans="1:3">
      <c r="A5130" s="543"/>
      <c r="C5130" s="543"/>
    </row>
    <row r="5131" spans="1:3">
      <c r="A5131" s="543"/>
      <c r="C5131" s="543"/>
    </row>
    <row r="5132" spans="1:3">
      <c r="A5132" s="543"/>
      <c r="C5132" s="543"/>
    </row>
    <row r="5133" spans="1:3">
      <c r="A5133" s="543"/>
      <c r="C5133" s="543"/>
    </row>
    <row r="5134" spans="1:3">
      <c r="A5134" s="543"/>
      <c r="C5134" s="543"/>
    </row>
    <row r="5135" spans="1:3">
      <c r="A5135" s="543"/>
      <c r="C5135" s="543"/>
    </row>
    <row r="5136" spans="1:3">
      <c r="A5136" s="543"/>
      <c r="C5136" s="543"/>
    </row>
    <row r="5137" spans="1:3">
      <c r="A5137" s="543"/>
      <c r="C5137" s="543"/>
    </row>
    <row r="5138" spans="1:3">
      <c r="A5138" s="543"/>
      <c r="C5138" s="543"/>
    </row>
    <row r="5139" spans="1:3">
      <c r="A5139" s="543"/>
      <c r="C5139" s="543"/>
    </row>
    <row r="5140" spans="1:3">
      <c r="A5140" s="543"/>
      <c r="C5140" s="543"/>
    </row>
    <row r="5141" spans="1:3">
      <c r="A5141" s="543"/>
      <c r="C5141" s="543"/>
    </row>
    <row r="5142" spans="1:3">
      <c r="A5142" s="543"/>
      <c r="C5142" s="543"/>
    </row>
    <row r="5143" spans="1:3">
      <c r="A5143" s="543"/>
      <c r="C5143" s="543"/>
    </row>
    <row r="5144" spans="1:3">
      <c r="A5144" s="543"/>
      <c r="C5144" s="543"/>
    </row>
    <row r="5145" spans="1:3">
      <c r="A5145" s="543"/>
      <c r="C5145" s="543"/>
    </row>
    <row r="5146" spans="1:3">
      <c r="A5146" s="543"/>
      <c r="C5146" s="543"/>
    </row>
    <row r="5147" spans="1:3">
      <c r="A5147" s="543"/>
      <c r="C5147" s="543"/>
    </row>
    <row r="5148" spans="1:3">
      <c r="A5148" s="543"/>
      <c r="C5148" s="543"/>
    </row>
    <row r="5149" spans="1:3">
      <c r="A5149" s="543"/>
      <c r="C5149" s="543"/>
    </row>
    <row r="5150" spans="1:3">
      <c r="A5150" s="543"/>
      <c r="C5150" s="543"/>
    </row>
    <row r="5151" spans="1:3">
      <c r="A5151" s="543"/>
      <c r="C5151" s="543"/>
    </row>
    <row r="5152" spans="1:3">
      <c r="A5152" s="543"/>
      <c r="C5152" s="543"/>
    </row>
    <row r="5153" spans="1:3">
      <c r="A5153" s="543"/>
      <c r="C5153" s="543"/>
    </row>
    <row r="5154" spans="1:3">
      <c r="A5154" s="543"/>
      <c r="C5154" s="543"/>
    </row>
    <row r="5155" spans="1:3">
      <c r="A5155" s="543"/>
      <c r="C5155" s="543"/>
    </row>
    <row r="5156" spans="1:3">
      <c r="A5156" s="543"/>
      <c r="C5156" s="543"/>
    </row>
    <row r="5157" spans="1:3">
      <c r="A5157" s="543"/>
      <c r="C5157" s="543"/>
    </row>
    <row r="5158" spans="1:3">
      <c r="A5158" s="543"/>
      <c r="C5158" s="543"/>
    </row>
    <row r="5159" spans="1:3">
      <c r="A5159" s="543"/>
      <c r="C5159" s="543"/>
    </row>
    <row r="5160" spans="1:3">
      <c r="A5160" s="543"/>
      <c r="C5160" s="543"/>
    </row>
    <row r="5161" spans="1:3">
      <c r="A5161" s="543"/>
      <c r="C5161" s="543"/>
    </row>
    <row r="5162" spans="1:3">
      <c r="A5162" s="543"/>
      <c r="C5162" s="543"/>
    </row>
    <row r="5163" spans="1:3">
      <c r="A5163" s="543"/>
      <c r="C5163" s="543"/>
    </row>
    <row r="5164" spans="1:3">
      <c r="A5164" s="543"/>
      <c r="C5164" s="543"/>
    </row>
    <row r="5165" spans="1:3">
      <c r="A5165" s="543"/>
      <c r="C5165" s="543"/>
    </row>
    <row r="5166" spans="1:3">
      <c r="A5166" s="543"/>
      <c r="C5166" s="543"/>
    </row>
    <row r="5167" spans="1:3">
      <c r="A5167" s="543"/>
      <c r="C5167" s="543"/>
    </row>
    <row r="5168" spans="1:3">
      <c r="A5168" s="543"/>
      <c r="C5168" s="543"/>
    </row>
    <row r="5169" spans="1:3">
      <c r="A5169" s="543"/>
      <c r="C5169" s="543"/>
    </row>
    <row r="5170" spans="1:3">
      <c r="A5170" s="543"/>
      <c r="C5170" s="543"/>
    </row>
    <row r="5171" spans="1:3">
      <c r="A5171" s="543"/>
      <c r="C5171" s="543"/>
    </row>
    <row r="5172" spans="1:3">
      <c r="A5172" s="543"/>
      <c r="C5172" s="543"/>
    </row>
    <row r="5173" spans="1:3">
      <c r="A5173" s="543"/>
      <c r="C5173" s="543"/>
    </row>
    <row r="5174" spans="1:3">
      <c r="A5174" s="543"/>
      <c r="C5174" s="543"/>
    </row>
    <row r="5175" spans="1:3">
      <c r="A5175" s="543"/>
      <c r="C5175" s="543"/>
    </row>
    <row r="5176" spans="1:3">
      <c r="A5176" s="543"/>
      <c r="C5176" s="543"/>
    </row>
    <row r="5177" spans="1:3">
      <c r="A5177" s="543"/>
      <c r="C5177" s="543"/>
    </row>
    <row r="5178" spans="1:3">
      <c r="A5178" s="543"/>
      <c r="C5178" s="543"/>
    </row>
    <row r="5179" spans="1:3">
      <c r="A5179" s="543"/>
      <c r="C5179" s="543"/>
    </row>
    <row r="5180" spans="1:3">
      <c r="A5180" s="543"/>
      <c r="C5180" s="543"/>
    </row>
    <row r="5181" spans="1:3">
      <c r="A5181" s="543"/>
      <c r="C5181" s="543"/>
    </row>
    <row r="5182" spans="1:3">
      <c r="A5182" s="543"/>
      <c r="C5182" s="543"/>
    </row>
    <row r="5183" spans="1:3">
      <c r="A5183" s="543"/>
      <c r="C5183" s="543"/>
    </row>
    <row r="5184" spans="1:3">
      <c r="A5184" s="543"/>
      <c r="C5184" s="543"/>
    </row>
    <row r="5185" spans="1:3">
      <c r="A5185" s="543"/>
      <c r="C5185" s="543"/>
    </row>
    <row r="5186" spans="1:3">
      <c r="A5186" s="543"/>
      <c r="C5186" s="543"/>
    </row>
    <row r="5187" spans="1:3">
      <c r="A5187" s="543"/>
      <c r="C5187" s="543"/>
    </row>
    <row r="5188" spans="1:3">
      <c r="A5188" s="543"/>
      <c r="C5188" s="543"/>
    </row>
    <row r="5189" spans="1:3">
      <c r="A5189" s="543"/>
      <c r="C5189" s="543"/>
    </row>
    <row r="5190" spans="1:3">
      <c r="A5190" s="543"/>
      <c r="C5190" s="543"/>
    </row>
    <row r="5191" spans="1:3">
      <c r="A5191" s="543"/>
      <c r="C5191" s="543"/>
    </row>
    <row r="5192" spans="1:3">
      <c r="A5192" s="543"/>
      <c r="C5192" s="543"/>
    </row>
    <row r="5193" spans="1:3">
      <c r="A5193" s="543"/>
      <c r="C5193" s="543"/>
    </row>
    <row r="5194" spans="1:3">
      <c r="A5194" s="543"/>
      <c r="C5194" s="543"/>
    </row>
    <row r="5195" spans="1:3">
      <c r="A5195" s="543"/>
      <c r="C5195" s="543"/>
    </row>
    <row r="5196" spans="1:3">
      <c r="A5196" s="543"/>
      <c r="C5196" s="543"/>
    </row>
    <row r="5197" spans="1:3">
      <c r="A5197" s="543"/>
      <c r="C5197" s="543"/>
    </row>
    <row r="5198" spans="1:3">
      <c r="A5198" s="543"/>
      <c r="C5198" s="543"/>
    </row>
    <row r="5199" spans="1:3">
      <c r="A5199" s="543"/>
      <c r="C5199" s="543"/>
    </row>
    <row r="5200" spans="1:3">
      <c r="A5200" s="543"/>
      <c r="C5200" s="543"/>
    </row>
    <row r="5201" spans="1:3">
      <c r="A5201" s="543"/>
      <c r="C5201" s="543"/>
    </row>
    <row r="5202" spans="1:3">
      <c r="A5202" s="543"/>
      <c r="C5202" s="543"/>
    </row>
    <row r="5203" spans="1:3">
      <c r="A5203" s="543"/>
      <c r="C5203" s="543"/>
    </row>
    <row r="5204" spans="1:3">
      <c r="A5204" s="543"/>
      <c r="C5204" s="543"/>
    </row>
    <row r="5205" spans="1:3">
      <c r="A5205" s="543"/>
      <c r="C5205" s="543"/>
    </row>
    <row r="5206" spans="1:3">
      <c r="A5206" s="543"/>
      <c r="C5206" s="543"/>
    </row>
    <row r="5207" spans="1:3">
      <c r="A5207" s="543"/>
      <c r="C5207" s="543"/>
    </row>
    <row r="5208" spans="1:3">
      <c r="A5208" s="543"/>
      <c r="C5208" s="543"/>
    </row>
    <row r="5209" spans="1:3">
      <c r="A5209" s="543"/>
      <c r="C5209" s="543"/>
    </row>
    <row r="5210" spans="1:3">
      <c r="A5210" s="543"/>
      <c r="C5210" s="543"/>
    </row>
    <row r="5211" spans="1:3">
      <c r="A5211" s="543"/>
      <c r="C5211" s="543"/>
    </row>
    <row r="5212" spans="1:3">
      <c r="A5212" s="543"/>
      <c r="C5212" s="543"/>
    </row>
    <row r="5213" spans="1:3">
      <c r="A5213" s="543"/>
      <c r="C5213" s="543"/>
    </row>
    <row r="5214" spans="1:3">
      <c r="A5214" s="543"/>
      <c r="C5214" s="543"/>
    </row>
    <row r="5215" spans="1:3">
      <c r="A5215" s="543"/>
      <c r="C5215" s="543"/>
    </row>
    <row r="5216" spans="1:3">
      <c r="A5216" s="543"/>
      <c r="C5216" s="543"/>
    </row>
    <row r="5217" spans="1:3">
      <c r="A5217" s="543"/>
      <c r="C5217" s="543"/>
    </row>
    <row r="5218" spans="1:3">
      <c r="A5218" s="543"/>
      <c r="C5218" s="543"/>
    </row>
    <row r="5219" spans="1:3">
      <c r="A5219" s="543"/>
      <c r="C5219" s="543"/>
    </row>
    <row r="5220" spans="1:3">
      <c r="A5220" s="543"/>
      <c r="C5220" s="543"/>
    </row>
    <row r="5221" spans="1:3">
      <c r="A5221" s="543"/>
      <c r="C5221" s="543"/>
    </row>
    <row r="5222" spans="1:3">
      <c r="A5222" s="543"/>
      <c r="C5222" s="543"/>
    </row>
    <row r="5223" spans="1:3">
      <c r="A5223" s="543"/>
      <c r="C5223" s="543"/>
    </row>
    <row r="5224" spans="1:3">
      <c r="A5224" s="543"/>
      <c r="C5224" s="543"/>
    </row>
    <row r="5225" spans="1:3">
      <c r="A5225" s="543"/>
      <c r="C5225" s="543"/>
    </row>
    <row r="5226" spans="1:3">
      <c r="A5226" s="543"/>
      <c r="C5226" s="543"/>
    </row>
    <row r="5227" spans="1:3">
      <c r="A5227" s="543"/>
      <c r="C5227" s="543"/>
    </row>
    <row r="5228" spans="1:3">
      <c r="A5228" s="543"/>
      <c r="C5228" s="543"/>
    </row>
    <row r="5229" spans="1:3">
      <c r="A5229" s="543"/>
      <c r="C5229" s="543"/>
    </row>
    <row r="5230" spans="1:3">
      <c r="A5230" s="543"/>
      <c r="C5230" s="543"/>
    </row>
    <row r="5231" spans="1:3">
      <c r="A5231" s="543"/>
      <c r="C5231" s="543"/>
    </row>
    <row r="5232" spans="1:3">
      <c r="A5232" s="543"/>
      <c r="C5232" s="543"/>
    </row>
    <row r="5233" spans="1:3">
      <c r="A5233" s="543"/>
      <c r="C5233" s="543"/>
    </row>
    <row r="5234" spans="1:3">
      <c r="A5234" s="543"/>
      <c r="C5234" s="543"/>
    </row>
    <row r="5235" spans="1:3">
      <c r="A5235" s="543"/>
      <c r="C5235" s="543"/>
    </row>
    <row r="5236" spans="1:3">
      <c r="A5236" s="543"/>
      <c r="C5236" s="543"/>
    </row>
    <row r="5237" spans="1:3">
      <c r="A5237" s="543"/>
      <c r="C5237" s="543"/>
    </row>
    <row r="5238" spans="1:3">
      <c r="A5238" s="543"/>
      <c r="C5238" s="543"/>
    </row>
    <row r="5239" spans="1:3">
      <c r="A5239" s="543"/>
      <c r="C5239" s="543"/>
    </row>
    <row r="5240" spans="1:3">
      <c r="A5240" s="543"/>
      <c r="C5240" s="543"/>
    </row>
    <row r="5241" spans="1:3">
      <c r="A5241" s="543"/>
      <c r="C5241" s="543"/>
    </row>
    <row r="5242" spans="1:3">
      <c r="A5242" s="543"/>
      <c r="C5242" s="543"/>
    </row>
    <row r="5243" spans="1:3">
      <c r="A5243" s="543"/>
      <c r="C5243" s="543"/>
    </row>
    <row r="5244" spans="1:3">
      <c r="A5244" s="543"/>
      <c r="C5244" s="543"/>
    </row>
    <row r="5245" spans="1:3">
      <c r="A5245" s="543"/>
      <c r="C5245" s="543"/>
    </row>
    <row r="5246" spans="1:3">
      <c r="A5246" s="543"/>
      <c r="C5246" s="543"/>
    </row>
    <row r="5247" spans="1:3">
      <c r="A5247" s="543"/>
      <c r="C5247" s="543"/>
    </row>
    <row r="5248" spans="1:3">
      <c r="A5248" s="543"/>
      <c r="C5248" s="543"/>
    </row>
    <row r="5249" spans="1:3">
      <c r="A5249" s="543"/>
      <c r="C5249" s="543"/>
    </row>
    <row r="5250" spans="1:3">
      <c r="A5250" s="543"/>
      <c r="C5250" s="543"/>
    </row>
    <row r="5251" spans="1:3">
      <c r="A5251" s="543"/>
      <c r="C5251" s="543"/>
    </row>
    <row r="5252" spans="1:3">
      <c r="A5252" s="543"/>
      <c r="C5252" s="543"/>
    </row>
    <row r="5253" spans="1:3">
      <c r="A5253" s="543"/>
      <c r="C5253" s="543"/>
    </row>
    <row r="5254" spans="1:3">
      <c r="A5254" s="543"/>
      <c r="C5254" s="543"/>
    </row>
    <row r="5255" spans="1:3">
      <c r="A5255" s="543"/>
      <c r="C5255" s="543"/>
    </row>
    <row r="5256" spans="1:3">
      <c r="A5256" s="543"/>
      <c r="C5256" s="543"/>
    </row>
    <row r="5257" spans="1:3">
      <c r="A5257" s="543"/>
      <c r="C5257" s="543"/>
    </row>
    <row r="5258" spans="1:3">
      <c r="A5258" s="543"/>
      <c r="C5258" s="543"/>
    </row>
    <row r="5259" spans="1:3">
      <c r="A5259" s="543"/>
      <c r="C5259" s="543"/>
    </row>
    <row r="5260" spans="1:3">
      <c r="A5260" s="543"/>
      <c r="C5260" s="543"/>
    </row>
    <row r="5261" spans="1:3">
      <c r="A5261" s="543"/>
      <c r="C5261" s="543"/>
    </row>
    <row r="5262" spans="1:3">
      <c r="A5262" s="543"/>
      <c r="C5262" s="543"/>
    </row>
    <row r="5263" spans="1:3">
      <c r="A5263" s="543"/>
      <c r="C5263" s="543"/>
    </row>
    <row r="5264" spans="1:3">
      <c r="A5264" s="543"/>
      <c r="C5264" s="543"/>
    </row>
    <row r="5265" spans="1:3">
      <c r="A5265" s="543"/>
      <c r="C5265" s="543"/>
    </row>
    <row r="5266" spans="1:3">
      <c r="A5266" s="543"/>
      <c r="C5266" s="543"/>
    </row>
    <row r="5267" spans="1:3">
      <c r="A5267" s="543"/>
      <c r="C5267" s="543"/>
    </row>
    <row r="5268" spans="1:3">
      <c r="A5268" s="543"/>
      <c r="C5268" s="543"/>
    </row>
    <row r="5269" spans="1:3">
      <c r="A5269" s="543"/>
      <c r="C5269" s="543"/>
    </row>
    <row r="5270" spans="1:3">
      <c r="A5270" s="543"/>
      <c r="C5270" s="543"/>
    </row>
    <row r="5271" spans="1:3">
      <c r="A5271" s="543"/>
      <c r="C5271" s="543"/>
    </row>
    <row r="5272" spans="1:3">
      <c r="A5272" s="543"/>
      <c r="C5272" s="543"/>
    </row>
    <row r="5273" spans="1:3">
      <c r="A5273" s="543"/>
      <c r="C5273" s="543"/>
    </row>
    <row r="5274" spans="1:3">
      <c r="A5274" s="543"/>
      <c r="C5274" s="543"/>
    </row>
    <row r="5275" spans="1:3">
      <c r="A5275" s="543"/>
      <c r="C5275" s="543"/>
    </row>
    <row r="5276" spans="1:3">
      <c r="A5276" s="543"/>
      <c r="C5276" s="543"/>
    </row>
    <row r="5277" spans="1:3">
      <c r="A5277" s="543"/>
      <c r="C5277" s="543"/>
    </row>
    <row r="5278" spans="1:3">
      <c r="A5278" s="543"/>
      <c r="C5278" s="543"/>
    </row>
    <row r="5279" spans="1:3">
      <c r="A5279" s="543"/>
      <c r="C5279" s="543"/>
    </row>
    <row r="5280" spans="1:3">
      <c r="A5280" s="543"/>
      <c r="C5280" s="543"/>
    </row>
    <row r="5281" spans="1:3">
      <c r="A5281" s="543"/>
      <c r="C5281" s="543"/>
    </row>
    <row r="5282" spans="1:3">
      <c r="A5282" s="543"/>
      <c r="C5282" s="543"/>
    </row>
    <row r="5283" spans="1:3">
      <c r="A5283" s="543"/>
      <c r="C5283" s="543"/>
    </row>
    <row r="5284" spans="1:3">
      <c r="A5284" s="543"/>
      <c r="C5284" s="543"/>
    </row>
    <row r="5285" spans="1:3">
      <c r="A5285" s="543"/>
      <c r="C5285" s="543"/>
    </row>
    <row r="5286" spans="1:3">
      <c r="A5286" s="543"/>
      <c r="C5286" s="543"/>
    </row>
    <row r="5287" spans="1:3">
      <c r="A5287" s="543"/>
      <c r="C5287" s="543"/>
    </row>
    <row r="5288" spans="1:3">
      <c r="A5288" s="543"/>
      <c r="C5288" s="543"/>
    </row>
    <row r="5289" spans="1:3">
      <c r="A5289" s="543"/>
      <c r="C5289" s="543"/>
    </row>
    <row r="5290" spans="1:3">
      <c r="A5290" s="543"/>
      <c r="C5290" s="543"/>
    </row>
    <row r="5291" spans="1:3">
      <c r="A5291" s="543"/>
      <c r="C5291" s="543"/>
    </row>
    <row r="5292" spans="1:3">
      <c r="A5292" s="543"/>
      <c r="C5292" s="543"/>
    </row>
    <row r="5293" spans="1:3">
      <c r="A5293" s="543"/>
      <c r="C5293" s="543"/>
    </row>
    <row r="5294" spans="1:3">
      <c r="A5294" s="543"/>
      <c r="C5294" s="543"/>
    </row>
    <row r="5295" spans="1:3">
      <c r="A5295" s="543"/>
      <c r="C5295" s="543"/>
    </row>
    <row r="5296" spans="1:3">
      <c r="A5296" s="543"/>
      <c r="C5296" s="543"/>
    </row>
    <row r="5297" spans="1:3">
      <c r="A5297" s="543"/>
      <c r="C5297" s="543"/>
    </row>
    <row r="5298" spans="1:3">
      <c r="A5298" s="543"/>
      <c r="C5298" s="543"/>
    </row>
    <row r="5299" spans="1:3">
      <c r="A5299" s="543"/>
      <c r="C5299" s="543"/>
    </row>
    <row r="5300" spans="1:3">
      <c r="A5300" s="543"/>
      <c r="C5300" s="543"/>
    </row>
    <row r="5301" spans="1:3">
      <c r="A5301" s="543"/>
      <c r="C5301" s="543"/>
    </row>
    <row r="5302" spans="1:3">
      <c r="A5302" s="543"/>
      <c r="C5302" s="543"/>
    </row>
    <row r="5303" spans="1:3">
      <c r="A5303" s="543"/>
      <c r="C5303" s="543"/>
    </row>
    <row r="5304" spans="1:3">
      <c r="A5304" s="543"/>
      <c r="C5304" s="543"/>
    </row>
    <row r="5305" spans="1:3">
      <c r="A5305" s="543"/>
      <c r="C5305" s="543"/>
    </row>
    <row r="5306" spans="1:3">
      <c r="A5306" s="543"/>
      <c r="C5306" s="543"/>
    </row>
    <row r="5307" spans="1:3">
      <c r="A5307" s="543"/>
      <c r="C5307" s="543"/>
    </row>
    <row r="5308" spans="1:3">
      <c r="A5308" s="543"/>
      <c r="C5308" s="543"/>
    </row>
    <row r="5309" spans="1:3">
      <c r="A5309" s="543"/>
      <c r="C5309" s="543"/>
    </row>
    <row r="5310" spans="1:3">
      <c r="A5310" s="543"/>
      <c r="C5310" s="543"/>
    </row>
    <row r="5311" spans="1:3">
      <c r="A5311" s="543"/>
      <c r="C5311" s="543"/>
    </row>
    <row r="5312" spans="1:3">
      <c r="A5312" s="543"/>
      <c r="C5312" s="543"/>
    </row>
    <row r="5313" spans="1:3">
      <c r="A5313" s="543"/>
      <c r="C5313" s="543"/>
    </row>
    <row r="5314" spans="1:3">
      <c r="A5314" s="543"/>
      <c r="C5314" s="543"/>
    </row>
    <row r="5315" spans="1:3">
      <c r="A5315" s="543"/>
      <c r="C5315" s="543"/>
    </row>
    <row r="5316" spans="1:3">
      <c r="A5316" s="543"/>
      <c r="C5316" s="543"/>
    </row>
    <row r="5317" spans="1:3">
      <c r="A5317" s="543"/>
      <c r="C5317" s="543"/>
    </row>
    <row r="5318" spans="1:3">
      <c r="A5318" s="543"/>
      <c r="C5318" s="543"/>
    </row>
    <row r="5319" spans="1:3">
      <c r="A5319" s="543"/>
      <c r="C5319" s="543"/>
    </row>
    <row r="5320" spans="1:3">
      <c r="A5320" s="543"/>
      <c r="C5320" s="543"/>
    </row>
    <row r="5321" spans="1:3">
      <c r="A5321" s="543"/>
      <c r="C5321" s="543"/>
    </row>
    <row r="5322" spans="1:3">
      <c r="A5322" s="543"/>
      <c r="C5322" s="543"/>
    </row>
    <row r="5323" spans="1:3">
      <c r="A5323" s="543"/>
      <c r="C5323" s="543"/>
    </row>
    <row r="5324" spans="1:3">
      <c r="A5324" s="543"/>
      <c r="C5324" s="543"/>
    </row>
    <row r="5325" spans="1:3">
      <c r="A5325" s="543"/>
      <c r="C5325" s="543"/>
    </row>
    <row r="5326" spans="1:3">
      <c r="A5326" s="543"/>
      <c r="C5326" s="543"/>
    </row>
    <row r="5327" spans="1:3">
      <c r="A5327" s="543"/>
      <c r="C5327" s="543"/>
    </row>
    <row r="5328" spans="1:3">
      <c r="A5328" s="543"/>
      <c r="C5328" s="543"/>
    </row>
    <row r="5329" spans="1:3">
      <c r="A5329" s="543"/>
      <c r="C5329" s="543"/>
    </row>
    <row r="5330" spans="1:3">
      <c r="A5330" s="543"/>
      <c r="C5330" s="543"/>
    </row>
    <row r="5331" spans="1:3">
      <c r="A5331" s="543"/>
      <c r="C5331" s="543"/>
    </row>
    <row r="5332" spans="1:3">
      <c r="A5332" s="543"/>
      <c r="C5332" s="543"/>
    </row>
    <row r="5333" spans="1:3">
      <c r="A5333" s="543"/>
      <c r="C5333" s="543"/>
    </row>
    <row r="5334" spans="1:3">
      <c r="A5334" s="543"/>
      <c r="C5334" s="543"/>
    </row>
    <row r="5335" spans="1:3">
      <c r="A5335" s="543"/>
      <c r="C5335" s="543"/>
    </row>
    <row r="5336" spans="1:3">
      <c r="A5336" s="543"/>
      <c r="C5336" s="543"/>
    </row>
    <row r="5337" spans="1:3">
      <c r="A5337" s="543"/>
      <c r="C5337" s="543"/>
    </row>
    <row r="5338" spans="1:3">
      <c r="A5338" s="543"/>
      <c r="C5338" s="543"/>
    </row>
    <row r="5339" spans="1:3">
      <c r="A5339" s="543"/>
      <c r="C5339" s="543"/>
    </row>
    <row r="5340" spans="1:3">
      <c r="A5340" s="543"/>
      <c r="C5340" s="543"/>
    </row>
    <row r="5341" spans="1:3">
      <c r="A5341" s="543"/>
      <c r="C5341" s="543"/>
    </row>
    <row r="5342" spans="1:3">
      <c r="A5342" s="543"/>
      <c r="C5342" s="543"/>
    </row>
    <row r="5343" spans="1:3">
      <c r="A5343" s="543"/>
      <c r="C5343" s="543"/>
    </row>
    <row r="5344" spans="1:3">
      <c r="A5344" s="543"/>
      <c r="C5344" s="543"/>
    </row>
    <row r="5345" spans="1:3">
      <c r="A5345" s="543"/>
      <c r="C5345" s="543"/>
    </row>
    <row r="5346" spans="1:3">
      <c r="A5346" s="543"/>
      <c r="C5346" s="543"/>
    </row>
    <row r="5347" spans="1:3">
      <c r="A5347" s="543"/>
      <c r="C5347" s="543"/>
    </row>
    <row r="5348" spans="1:3">
      <c r="A5348" s="543"/>
      <c r="C5348" s="543"/>
    </row>
    <row r="5349" spans="1:3">
      <c r="A5349" s="543"/>
      <c r="C5349" s="543"/>
    </row>
    <row r="5350" spans="1:3">
      <c r="A5350" s="543"/>
      <c r="C5350" s="543"/>
    </row>
    <row r="5351" spans="1:3">
      <c r="A5351" s="543"/>
      <c r="C5351" s="543"/>
    </row>
    <row r="5352" spans="1:3">
      <c r="A5352" s="543"/>
      <c r="C5352" s="543"/>
    </row>
    <row r="5353" spans="1:3">
      <c r="A5353" s="543"/>
      <c r="C5353" s="543"/>
    </row>
    <row r="5354" spans="1:3">
      <c r="A5354" s="543"/>
      <c r="C5354" s="543"/>
    </row>
    <row r="5355" spans="1:3">
      <c r="A5355" s="543"/>
      <c r="C5355" s="543"/>
    </row>
    <row r="5356" spans="1:3">
      <c r="A5356" s="543"/>
      <c r="C5356" s="543"/>
    </row>
    <row r="5357" spans="1:3">
      <c r="A5357" s="543"/>
      <c r="C5357" s="543"/>
    </row>
    <row r="5358" spans="1:3">
      <c r="A5358" s="543"/>
      <c r="C5358" s="543"/>
    </row>
    <row r="5359" spans="1:3">
      <c r="A5359" s="543"/>
      <c r="C5359" s="543"/>
    </row>
    <row r="5360" spans="1:3">
      <c r="A5360" s="543"/>
      <c r="C5360" s="543"/>
    </row>
    <row r="5361" spans="1:3">
      <c r="A5361" s="543"/>
      <c r="C5361" s="543"/>
    </row>
    <row r="5362" spans="1:3">
      <c r="A5362" s="543"/>
      <c r="C5362" s="543"/>
    </row>
    <row r="5363" spans="1:3">
      <c r="A5363" s="543"/>
      <c r="C5363" s="543"/>
    </row>
    <row r="5364" spans="1:3">
      <c r="A5364" s="543"/>
      <c r="C5364" s="543"/>
    </row>
    <row r="5365" spans="1:3">
      <c r="A5365" s="543"/>
      <c r="C5365" s="543"/>
    </row>
    <row r="5366" spans="1:3">
      <c r="A5366" s="543"/>
      <c r="C5366" s="543"/>
    </row>
    <row r="5367" spans="1:3">
      <c r="A5367" s="543"/>
      <c r="C5367" s="543"/>
    </row>
    <row r="5368" spans="1:3">
      <c r="A5368" s="543"/>
      <c r="C5368" s="543"/>
    </row>
    <row r="5369" spans="1:3">
      <c r="A5369" s="543"/>
      <c r="C5369" s="543"/>
    </row>
    <row r="5370" spans="1:3">
      <c r="A5370" s="543"/>
      <c r="C5370" s="543"/>
    </row>
    <row r="5371" spans="1:3">
      <c r="A5371" s="543"/>
      <c r="C5371" s="543"/>
    </row>
    <row r="5372" spans="1:3">
      <c r="A5372" s="543"/>
      <c r="C5372" s="543"/>
    </row>
    <row r="5373" spans="1:3">
      <c r="A5373" s="543"/>
      <c r="C5373" s="543"/>
    </row>
    <row r="5374" spans="1:3">
      <c r="A5374" s="543"/>
      <c r="C5374" s="543"/>
    </row>
    <row r="5375" spans="1:3">
      <c r="A5375" s="543"/>
      <c r="C5375" s="543"/>
    </row>
    <row r="5376" spans="1:3">
      <c r="A5376" s="543"/>
      <c r="C5376" s="543"/>
    </row>
    <row r="5377" spans="1:3">
      <c r="A5377" s="543"/>
      <c r="C5377" s="543"/>
    </row>
    <row r="5378" spans="1:3">
      <c r="A5378" s="543"/>
      <c r="C5378" s="543"/>
    </row>
    <row r="5379" spans="1:3">
      <c r="A5379" s="543"/>
      <c r="C5379" s="543"/>
    </row>
    <row r="5380" spans="1:3">
      <c r="A5380" s="543"/>
      <c r="C5380" s="543"/>
    </row>
    <row r="5381" spans="1:3">
      <c r="A5381" s="543"/>
      <c r="C5381" s="543"/>
    </row>
    <row r="5382" spans="1:3">
      <c r="A5382" s="543"/>
      <c r="C5382" s="543"/>
    </row>
    <row r="5383" spans="1:3">
      <c r="A5383" s="543"/>
      <c r="C5383" s="543"/>
    </row>
    <row r="5384" spans="1:3">
      <c r="A5384" s="543"/>
      <c r="C5384" s="543"/>
    </row>
    <row r="5385" spans="1:3">
      <c r="A5385" s="543"/>
      <c r="C5385" s="543"/>
    </row>
    <row r="5386" spans="1:3">
      <c r="A5386" s="543"/>
      <c r="C5386" s="543"/>
    </row>
    <row r="5387" spans="1:3">
      <c r="A5387" s="543"/>
      <c r="C5387" s="543"/>
    </row>
    <row r="5388" spans="1:3">
      <c r="A5388" s="543"/>
      <c r="C5388" s="543"/>
    </row>
    <row r="5389" spans="1:3">
      <c r="A5389" s="543"/>
      <c r="C5389" s="543"/>
    </row>
    <row r="5390" spans="1:3">
      <c r="A5390" s="543"/>
      <c r="C5390" s="543"/>
    </row>
    <row r="5391" spans="1:3">
      <c r="A5391" s="543"/>
      <c r="C5391" s="543"/>
    </row>
    <row r="5392" spans="1:3">
      <c r="A5392" s="543"/>
      <c r="C5392" s="543"/>
    </row>
    <row r="5393" spans="1:3">
      <c r="A5393" s="543"/>
      <c r="C5393" s="543"/>
    </row>
    <row r="5394" spans="1:3">
      <c r="A5394" s="543"/>
      <c r="C5394" s="543"/>
    </row>
    <row r="5395" spans="1:3">
      <c r="A5395" s="543"/>
      <c r="C5395" s="543"/>
    </row>
    <row r="5396" spans="1:3">
      <c r="A5396" s="543"/>
      <c r="C5396" s="543"/>
    </row>
    <row r="5397" spans="1:3">
      <c r="A5397" s="543"/>
      <c r="C5397" s="543"/>
    </row>
    <row r="5398" spans="1:3">
      <c r="A5398" s="543"/>
      <c r="C5398" s="543"/>
    </row>
    <row r="5399" spans="1:3">
      <c r="A5399" s="543"/>
      <c r="C5399" s="543"/>
    </row>
    <row r="5400" spans="1:3">
      <c r="A5400" s="543"/>
      <c r="C5400" s="543"/>
    </row>
    <row r="5401" spans="1:3">
      <c r="A5401" s="543"/>
      <c r="C5401" s="543"/>
    </row>
    <row r="5402" spans="1:3">
      <c r="A5402" s="543"/>
      <c r="C5402" s="543"/>
    </row>
    <row r="5403" spans="1:3">
      <c r="A5403" s="543"/>
      <c r="C5403" s="543"/>
    </row>
    <row r="5404" spans="1:3">
      <c r="A5404" s="543"/>
      <c r="C5404" s="543"/>
    </row>
    <row r="5405" spans="1:3">
      <c r="A5405" s="543"/>
      <c r="C5405" s="543"/>
    </row>
    <row r="5406" spans="1:3">
      <c r="A5406" s="543"/>
      <c r="C5406" s="543"/>
    </row>
    <row r="5407" spans="1:3">
      <c r="A5407" s="543"/>
      <c r="C5407" s="543"/>
    </row>
    <row r="5408" spans="1:3">
      <c r="A5408" s="543"/>
      <c r="C5408" s="543"/>
    </row>
    <row r="5409" spans="1:3">
      <c r="A5409" s="543"/>
      <c r="C5409" s="543"/>
    </row>
    <row r="5410" spans="1:3">
      <c r="A5410" s="543"/>
      <c r="C5410" s="543"/>
    </row>
    <row r="5411" spans="1:3">
      <c r="A5411" s="543"/>
      <c r="C5411" s="543"/>
    </row>
    <row r="5412" spans="1:3">
      <c r="A5412" s="543"/>
      <c r="C5412" s="543"/>
    </row>
    <row r="5413" spans="1:3">
      <c r="A5413" s="543"/>
      <c r="C5413" s="543"/>
    </row>
    <row r="5414" spans="1:3">
      <c r="A5414" s="543"/>
      <c r="C5414" s="543"/>
    </row>
    <row r="5415" spans="1:3">
      <c r="A5415" s="543"/>
      <c r="C5415" s="543"/>
    </row>
  </sheetData>
  <autoFilter ref="A4:A5137" xr:uid="{D6759633-AAC4-4F6E-842F-616C6FF0139E}"/>
  <mergeCells count="229">
    <mergeCell ref="I44:L45"/>
    <mergeCell ref="H173:I173"/>
    <mergeCell ref="J173:L173"/>
    <mergeCell ref="H168:I168"/>
    <mergeCell ref="J168:L168"/>
    <mergeCell ref="H169:I169"/>
    <mergeCell ref="J169:L169"/>
    <mergeCell ref="H170:I170"/>
    <mergeCell ref="J170:L170"/>
    <mergeCell ref="J163:L163"/>
    <mergeCell ref="H164:I164"/>
    <mergeCell ref="J164:L164"/>
    <mergeCell ref="H171:I171"/>
    <mergeCell ref="J171:L171"/>
    <mergeCell ref="H172:I172"/>
    <mergeCell ref="J172:L172"/>
    <mergeCell ref="H165:I165"/>
    <mergeCell ref="J165:L165"/>
    <mergeCell ref="H166:I166"/>
    <mergeCell ref="J166:L166"/>
    <mergeCell ref="H167:I167"/>
    <mergeCell ref="J167:L167"/>
    <mergeCell ref="H162:I162"/>
    <mergeCell ref="J162:L162"/>
    <mergeCell ref="H204:J204"/>
    <mergeCell ref="H205:J205"/>
    <mergeCell ref="E197:E199"/>
    <mergeCell ref="H197:J197"/>
    <mergeCell ref="V197:V199"/>
    <mergeCell ref="H198:J198"/>
    <mergeCell ref="H199:J199"/>
    <mergeCell ref="H181:I181"/>
    <mergeCell ref="J181:L181"/>
    <mergeCell ref="H195:J196"/>
    <mergeCell ref="H200:J202"/>
    <mergeCell ref="H203:J203"/>
    <mergeCell ref="D200:D202"/>
    <mergeCell ref="E200:E202"/>
    <mergeCell ref="V200:V202"/>
    <mergeCell ref="D197:D199"/>
    <mergeCell ref="D195:D196"/>
    <mergeCell ref="E195:E196"/>
    <mergeCell ref="V195:V196"/>
    <mergeCell ref="H174:I174"/>
    <mergeCell ref="J174:L174"/>
    <mergeCell ref="H175:I175"/>
    <mergeCell ref="J175:L175"/>
    <mergeCell ref="H176:I176"/>
    <mergeCell ref="J176:L176"/>
    <mergeCell ref="H179:I179"/>
    <mergeCell ref="J179:L179"/>
    <mergeCell ref="H180:I180"/>
    <mergeCell ref="J180:L180"/>
    <mergeCell ref="H177:I177"/>
    <mergeCell ref="J177:L177"/>
    <mergeCell ref="H178:I178"/>
    <mergeCell ref="J178:L178"/>
    <mergeCell ref="H163:I163"/>
    <mergeCell ref="H139:I139"/>
    <mergeCell ref="J139:L139"/>
    <mergeCell ref="H146:I146"/>
    <mergeCell ref="J146:L146"/>
    <mergeCell ref="B149:R149"/>
    <mergeCell ref="H140:I140"/>
    <mergeCell ref="J140:L140"/>
    <mergeCell ref="V149:AI149"/>
    <mergeCell ref="H145:I145"/>
    <mergeCell ref="J145:L145"/>
    <mergeCell ref="H141:I141"/>
    <mergeCell ref="J141:L141"/>
    <mergeCell ref="H142:I142"/>
    <mergeCell ref="J142:L142"/>
    <mergeCell ref="H143:I143"/>
    <mergeCell ref="J143:L143"/>
    <mergeCell ref="H144:I144"/>
    <mergeCell ref="J144:L144"/>
    <mergeCell ref="V113:AI113"/>
    <mergeCell ref="H127:I127"/>
    <mergeCell ref="J127:L127"/>
    <mergeCell ref="H128:I128"/>
    <mergeCell ref="J128:L128"/>
    <mergeCell ref="H131:I131"/>
    <mergeCell ref="J131:L131"/>
    <mergeCell ref="H132:I132"/>
    <mergeCell ref="J132:L132"/>
    <mergeCell ref="H135:I135"/>
    <mergeCell ref="J135:L135"/>
    <mergeCell ref="H136:I136"/>
    <mergeCell ref="J136:L136"/>
    <mergeCell ref="H137:I137"/>
    <mergeCell ref="J137:L137"/>
    <mergeCell ref="H138:I138"/>
    <mergeCell ref="J138:L138"/>
    <mergeCell ref="H108:I108"/>
    <mergeCell ref="J108:L108"/>
    <mergeCell ref="H110:I110"/>
    <mergeCell ref="H109:I109"/>
    <mergeCell ref="J109:L109"/>
    <mergeCell ref="J110:L110"/>
    <mergeCell ref="H129:I129"/>
    <mergeCell ref="J129:L129"/>
    <mergeCell ref="H130:I130"/>
    <mergeCell ref="J130:L130"/>
    <mergeCell ref="H134:I134"/>
    <mergeCell ref="J134:L134"/>
    <mergeCell ref="B113:R113"/>
    <mergeCell ref="H133:I133"/>
    <mergeCell ref="J133:L133"/>
    <mergeCell ref="H107:I107"/>
    <mergeCell ref="J107:L107"/>
    <mergeCell ref="H101:I101"/>
    <mergeCell ref="J101:L101"/>
    <mergeCell ref="H97:I97"/>
    <mergeCell ref="J97:L97"/>
    <mergeCell ref="H98:I98"/>
    <mergeCell ref="J98:L98"/>
    <mergeCell ref="V95:V96"/>
    <mergeCell ref="H96:I96"/>
    <mergeCell ref="J96:L96"/>
    <mergeCell ref="V99:V100"/>
    <mergeCell ref="H100:I100"/>
    <mergeCell ref="J100:L100"/>
    <mergeCell ref="H102:I102"/>
    <mergeCell ref="J102:L102"/>
    <mergeCell ref="H103:I103"/>
    <mergeCell ref="J103:L103"/>
    <mergeCell ref="H104:I104"/>
    <mergeCell ref="J104:L104"/>
    <mergeCell ref="H105:I105"/>
    <mergeCell ref="J105:L105"/>
    <mergeCell ref="H106:I106"/>
    <mergeCell ref="J106:L106"/>
    <mergeCell ref="H91:I91"/>
    <mergeCell ref="J91:L91"/>
    <mergeCell ref="G73:H73"/>
    <mergeCell ref="I73:K73"/>
    <mergeCell ref="H92:I92"/>
    <mergeCell ref="J92:L92"/>
    <mergeCell ref="D99:D100"/>
    <mergeCell ref="E99:E100"/>
    <mergeCell ref="H99:I99"/>
    <mergeCell ref="J99:L99"/>
    <mergeCell ref="D95:D96"/>
    <mergeCell ref="E95:E96"/>
    <mergeCell ref="H95:I95"/>
    <mergeCell ref="J95:L95"/>
    <mergeCell ref="H94:I94"/>
    <mergeCell ref="J94:L94"/>
    <mergeCell ref="H93:I93"/>
    <mergeCell ref="J93:L93"/>
    <mergeCell ref="B76:R76"/>
    <mergeCell ref="H89:I89"/>
    <mergeCell ref="J89:L89"/>
    <mergeCell ref="H90:I90"/>
    <mergeCell ref="J90:L90"/>
    <mergeCell ref="V76:AI76"/>
    <mergeCell ref="G71:H71"/>
    <mergeCell ref="I71:K71"/>
    <mergeCell ref="G72:H72"/>
    <mergeCell ref="I72:K72"/>
    <mergeCell ref="G65:H65"/>
    <mergeCell ref="I65:K65"/>
    <mergeCell ref="G66:H66"/>
    <mergeCell ref="I66:K66"/>
    <mergeCell ref="G67:H67"/>
    <mergeCell ref="I67:K67"/>
    <mergeCell ref="G68:H68"/>
    <mergeCell ref="I68:K68"/>
    <mergeCell ref="G69:H69"/>
    <mergeCell ref="I69:K69"/>
    <mergeCell ref="G70:H70"/>
    <mergeCell ref="I70:K70"/>
    <mergeCell ref="G64:H64"/>
    <mergeCell ref="I64:K64"/>
    <mergeCell ref="B49:R49"/>
    <mergeCell ref="V49:AI49"/>
    <mergeCell ref="G57:H57"/>
    <mergeCell ref="I57:K57"/>
    <mergeCell ref="G58:H58"/>
    <mergeCell ref="I58:K58"/>
    <mergeCell ref="G59:H59"/>
    <mergeCell ref="I59:K59"/>
    <mergeCell ref="G60:H60"/>
    <mergeCell ref="I60:K60"/>
    <mergeCell ref="G61:H61"/>
    <mergeCell ref="I61:K61"/>
    <mergeCell ref="G62:H62"/>
    <mergeCell ref="I62:K62"/>
    <mergeCell ref="G63:H63"/>
    <mergeCell ref="I63:K63"/>
    <mergeCell ref="I34:L34"/>
    <mergeCell ref="I43:L43"/>
    <mergeCell ref="I38:L38"/>
    <mergeCell ref="I35:L35"/>
    <mergeCell ref="E28:E32"/>
    <mergeCell ref="E23:E27"/>
    <mergeCell ref="V23:V27"/>
    <mergeCell ref="V36:V37"/>
    <mergeCell ref="V39:V40"/>
    <mergeCell ref="I27:L27"/>
    <mergeCell ref="I33:L33"/>
    <mergeCell ref="I42:L42"/>
    <mergeCell ref="I28:L30"/>
    <mergeCell ref="I36:L36"/>
    <mergeCell ref="I37:L37"/>
    <mergeCell ref="V44:V45"/>
    <mergeCell ref="V28:V32"/>
    <mergeCell ref="A1:P1"/>
    <mergeCell ref="Q1:S1"/>
    <mergeCell ref="D2:J2"/>
    <mergeCell ref="B4:S4"/>
    <mergeCell ref="D28:D32"/>
    <mergeCell ref="D23:D27"/>
    <mergeCell ref="I31:L31"/>
    <mergeCell ref="I32:L32"/>
    <mergeCell ref="E44:E45"/>
    <mergeCell ref="D44:D45"/>
    <mergeCell ref="E36:E37"/>
    <mergeCell ref="E39:E40"/>
    <mergeCell ref="D39:D40"/>
    <mergeCell ref="D36:D37"/>
    <mergeCell ref="I39:L40"/>
    <mergeCell ref="I23:L23"/>
    <mergeCell ref="I24:L24"/>
    <mergeCell ref="I25:L25"/>
    <mergeCell ref="I26:L26"/>
    <mergeCell ref="V4:AI4"/>
    <mergeCell ref="I22:L22"/>
    <mergeCell ref="I41:L41"/>
  </mergeCells>
  <conditionalFormatting sqref="B1:B45">
    <cfRule type="containsText" dxfId="81" priority="59" operator="containsText" text="x">
      <formula>NOT(ISERROR(SEARCH("x",B1)))</formula>
    </cfRule>
  </conditionalFormatting>
  <conditionalFormatting sqref="B49:B51 B53:B74 B76:B78 B81:B111 B113:B115 B118:B151 B154:B186 B188:B208">
    <cfRule type="cellIs" dxfId="80" priority="56" operator="equal">
      <formula>"x"</formula>
    </cfRule>
  </conditionalFormatting>
  <conditionalFormatting sqref="B52">
    <cfRule type="containsText" dxfId="79" priority="45" operator="containsText" text="x">
      <formula>NOT(ISERROR(SEARCH("x",B52)))</formula>
    </cfRule>
  </conditionalFormatting>
  <conditionalFormatting sqref="B79:B80">
    <cfRule type="containsText" dxfId="78" priority="43" operator="containsText" text="x">
      <formula>NOT(ISERROR(SEARCH("x",B79)))</formula>
    </cfRule>
  </conditionalFormatting>
  <conditionalFormatting sqref="B116:B117">
    <cfRule type="containsText" dxfId="77" priority="41" operator="containsText" text="x">
      <formula>NOT(ISERROR(SEARCH("x",B116)))</formula>
    </cfRule>
  </conditionalFormatting>
  <conditionalFormatting sqref="B152:B153">
    <cfRule type="containsText" dxfId="76" priority="39" operator="containsText" text="x">
      <formula>NOT(ISERROR(SEARCH("x",B152)))</formula>
    </cfRule>
  </conditionalFormatting>
  <conditionalFormatting sqref="B187">
    <cfRule type="containsText" dxfId="75" priority="38" operator="containsText" text="x">
      <formula>NOT(ISERROR(SEARCH("x",B187)))</formula>
    </cfRule>
  </conditionalFormatting>
  <conditionalFormatting sqref="G104:I104">
    <cfRule type="cellIs" dxfId="74" priority="37" operator="equal">
      <formula>"x"</formula>
    </cfRule>
  </conditionalFormatting>
  <conditionalFormatting sqref="G140:I140">
    <cfRule type="cellIs" dxfId="73" priority="35" operator="equal">
      <formula>"x"</formula>
    </cfRule>
  </conditionalFormatting>
  <conditionalFormatting sqref="G175:I175">
    <cfRule type="cellIs" dxfId="72" priority="31" operator="equal">
      <formula>"x"</formula>
    </cfRule>
  </conditionalFormatting>
  <conditionalFormatting sqref="AF7:AF11">
    <cfRule type="expression" dxfId="71" priority="30">
      <formula>AF7&lt;&gt;AE7</formula>
    </cfRule>
    <cfRule type="expression" dxfId="70" priority="29">
      <formula>AND(AF7=AE7,AE7&lt;&gt;"")</formula>
    </cfRule>
  </conditionalFormatting>
  <conditionalFormatting sqref="AF23:AF45">
    <cfRule type="expression" dxfId="69" priority="15">
      <formula>AND(AF23=AE23,AE23&lt;&gt;"")</formula>
    </cfRule>
    <cfRule type="expression" dxfId="68" priority="16">
      <formula>AF23&lt;&gt;AE23</formula>
    </cfRule>
  </conditionalFormatting>
  <conditionalFormatting sqref="AF52">
    <cfRule type="expression" dxfId="67" priority="26">
      <formula>AF52&lt;&gt;AE52</formula>
    </cfRule>
    <cfRule type="expression" dxfId="66" priority="25">
      <formula>AND(AF52=AE52,AE52&lt;&gt;"")</formula>
    </cfRule>
  </conditionalFormatting>
  <conditionalFormatting sqref="AF58:AF73">
    <cfRule type="expression" dxfId="65" priority="9">
      <formula>AND(AF58=AE58,AE58&lt;&gt;"")</formula>
    </cfRule>
    <cfRule type="expression" dxfId="64" priority="10">
      <formula>AF58&lt;&gt;AE58</formula>
    </cfRule>
  </conditionalFormatting>
  <conditionalFormatting sqref="AF79:AF80">
    <cfRule type="expression" dxfId="63" priority="23">
      <formula>AND(AF79=AE79,AE79&lt;&gt;"")</formula>
    </cfRule>
    <cfRule type="expression" dxfId="62" priority="24">
      <formula>AF79&lt;&gt;AE79</formula>
    </cfRule>
  </conditionalFormatting>
  <conditionalFormatting sqref="AF90:AF110">
    <cfRule type="expression" dxfId="61" priority="8">
      <formula>AF90&lt;&gt;AE90</formula>
    </cfRule>
    <cfRule type="expression" dxfId="60" priority="7">
      <formula>AND(AF90=AE90,AE90&lt;&gt;"")</formula>
    </cfRule>
  </conditionalFormatting>
  <conditionalFormatting sqref="AF116:AF117">
    <cfRule type="expression" dxfId="59" priority="22">
      <formula>AF116&lt;&gt;AE116</formula>
    </cfRule>
    <cfRule type="expression" dxfId="58" priority="21">
      <formula>AND(AF116=AE116,AE116&lt;&gt;"")</formula>
    </cfRule>
  </conditionalFormatting>
  <conditionalFormatting sqref="AF128:AF146">
    <cfRule type="expression" dxfId="57" priority="6">
      <formula>AF128&lt;&gt;AE128</formula>
    </cfRule>
    <cfRule type="expression" dxfId="56" priority="5">
      <formula>AND(AF128=AE128,AE128&lt;&gt;"")</formula>
    </cfRule>
  </conditionalFormatting>
  <conditionalFormatting sqref="AF152:AF153">
    <cfRule type="expression" dxfId="55" priority="20">
      <formula>AF152&lt;&gt;AE152</formula>
    </cfRule>
    <cfRule type="expression" dxfId="54" priority="19">
      <formula>AND(AF152=AE152,AE152&lt;&gt;"")</formula>
    </cfRule>
  </conditionalFormatting>
  <conditionalFormatting sqref="AF163:AF181">
    <cfRule type="expression" dxfId="53" priority="4">
      <formula>AF163&lt;&gt;AE163</formula>
    </cfRule>
    <cfRule type="expression" dxfId="52" priority="3">
      <formula>AND(AF163=AE163,AE163&lt;&gt;"")</formula>
    </cfRule>
  </conditionalFormatting>
  <conditionalFormatting sqref="AF187">
    <cfRule type="expression" dxfId="51" priority="18">
      <formula>AF187&lt;&gt;AE187</formula>
    </cfRule>
    <cfRule type="expression" dxfId="50" priority="17">
      <formula>AND(AF187=AE187,AE187&lt;&gt;"")</formula>
    </cfRule>
  </conditionalFormatting>
  <conditionalFormatting sqref="AF195:AF205">
    <cfRule type="expression" dxfId="49" priority="2">
      <formula>AF195&lt;&gt;AE195</formula>
    </cfRule>
    <cfRule type="expression" dxfId="48" priority="1">
      <formula>AND(AF195=AE195,AE195&lt;&gt;"")</formula>
    </cfRule>
  </conditionalFormatting>
  <conditionalFormatting sqref="AH7:AH11 AH79:AH80 AH116:AH118 AH152:AH154">
    <cfRule type="cellIs" dxfId="47" priority="57" operator="lessThan">
      <formula>-0.1</formula>
    </cfRule>
    <cfRule type="cellIs" dxfId="46" priority="58" operator="greaterThan">
      <formula>0.1</formula>
    </cfRule>
  </conditionalFormatting>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tabColor rgb="FFFF9999"/>
    <pageSetUpPr fitToPage="1"/>
  </sheetPr>
  <dimension ref="A1:DJ53"/>
  <sheetViews>
    <sheetView zoomScaleNormal="100" workbookViewId="0">
      <selection activeCell="E12" sqref="E12:M12"/>
    </sheetView>
  </sheetViews>
  <sheetFormatPr defaultColWidth="9.28515625" defaultRowHeight="15" outlineLevelRow="1"/>
  <cols>
    <col min="1" max="1" width="9.28515625" style="76"/>
    <col min="2" max="2" width="8.7109375" style="52"/>
    <col min="3" max="3" width="29.7109375" style="51" customWidth="1"/>
    <col min="4" max="4" width="18.7109375" style="104" bestFit="1" customWidth="1"/>
    <col min="5" max="5" width="53.28515625" style="104" customWidth="1"/>
    <col min="6" max="6" width="19.7109375" style="52" customWidth="1"/>
    <col min="7" max="7" width="18.7109375" style="52" bestFit="1" customWidth="1"/>
    <col min="8" max="8" width="16.7109375" style="52" customWidth="1"/>
    <col min="9" max="10" width="14.7109375" style="52" customWidth="1"/>
    <col min="11" max="12" width="12.5703125" style="52" customWidth="1"/>
    <col min="13" max="13" width="16.7109375" style="52" customWidth="1"/>
    <col min="14" max="14" width="8.7109375" style="52"/>
    <col min="15" max="15" width="9.28515625" style="52" customWidth="1"/>
    <col min="16" max="16" width="4.28515625" style="52" customWidth="1"/>
    <col min="17" max="17" width="3.5703125" style="52" customWidth="1"/>
    <col min="18" max="18" width="8.42578125" style="52" customWidth="1"/>
    <col min="19" max="19" width="2.42578125" style="52" customWidth="1"/>
    <col min="20" max="21" width="9.28515625" style="76" customWidth="1"/>
    <col min="22" max="22" width="31" style="76" customWidth="1"/>
    <col min="23" max="23" width="14.7109375" style="384" customWidth="1"/>
    <col min="24" max="28" width="18.28515625" style="384" customWidth="1"/>
    <col min="29" max="29" width="18.28515625" style="76" customWidth="1"/>
    <col min="30" max="30" width="14.7109375" style="76" customWidth="1"/>
    <col min="31" max="31" width="13.42578125" style="76" bestFit="1" customWidth="1"/>
    <col min="32" max="32" width="13.7109375" style="76" bestFit="1" customWidth="1"/>
    <col min="33" max="53" width="9.28515625" style="76" customWidth="1"/>
    <col min="54" max="110" width="9.28515625" style="76"/>
    <col min="111" max="111" width="12" style="76" bestFit="1" customWidth="1"/>
    <col min="112" max="112" width="23.28515625" style="76" bestFit="1" customWidth="1"/>
    <col min="113" max="113" width="12.5703125" style="76" customWidth="1"/>
    <col min="114" max="114" width="16.28515625" style="1102" customWidth="1"/>
    <col min="115" max="16384" width="9.28515625" style="76"/>
  </cols>
  <sheetData>
    <row r="1" spans="1:114" s="2" customFormat="1" ht="18.75">
      <c r="A1" s="4764" t="s">
        <v>3675</v>
      </c>
      <c r="B1" s="4765"/>
      <c r="C1" s="4765"/>
      <c r="D1" s="4765"/>
      <c r="E1" s="4765"/>
      <c r="F1" s="4765"/>
      <c r="G1" s="4765"/>
      <c r="H1" s="4765"/>
      <c r="I1" s="4765"/>
      <c r="J1" s="4765"/>
      <c r="K1" s="4765"/>
      <c r="L1" s="4765"/>
      <c r="M1" s="4765"/>
      <c r="N1" s="4765"/>
      <c r="O1" s="4765"/>
      <c r="P1" s="4766"/>
      <c r="Q1" s="4348"/>
      <c r="R1" s="4349"/>
      <c r="S1" s="1361"/>
      <c r="V1" s="4"/>
      <c r="W1" s="774"/>
      <c r="X1" s="774"/>
      <c r="Y1" s="1490"/>
      <c r="Z1" s="1490"/>
      <c r="AA1" s="1490"/>
      <c r="AB1" s="1490"/>
      <c r="AC1" s="6"/>
      <c r="AD1" s="6"/>
      <c r="AE1" s="6"/>
      <c r="AF1" s="6"/>
      <c r="AG1" s="6"/>
      <c r="AH1" s="6"/>
      <c r="DJ1" s="1168"/>
    </row>
    <row r="2" spans="1:114" s="2" customFormat="1" ht="30" customHeight="1" outlineLevel="1">
      <c r="B2" s="457"/>
      <c r="C2" s="60"/>
      <c r="D2" s="4003" t="s">
        <v>39</v>
      </c>
      <c r="E2" s="4081"/>
      <c r="F2" s="4082"/>
      <c r="G2" s="4082"/>
      <c r="H2" s="4082"/>
      <c r="I2" s="4082"/>
      <c r="J2" s="4082"/>
      <c r="K2" s="4082"/>
      <c r="L2" s="264"/>
      <c r="M2" s="264"/>
      <c r="N2" s="265"/>
      <c r="O2" s="265"/>
      <c r="P2" s="265"/>
      <c r="Q2" s="265"/>
      <c r="R2" s="265"/>
      <c r="S2" s="265"/>
      <c r="W2" s="22"/>
      <c r="X2" s="22"/>
      <c r="Y2" s="22"/>
      <c r="Z2" s="22"/>
      <c r="AA2" s="22"/>
      <c r="AB2" s="22"/>
      <c r="DJ2" s="1168"/>
    </row>
    <row r="3" spans="1:114" s="2" customFormat="1" ht="24" customHeight="1">
      <c r="A3" s="265"/>
      <c r="B3" s="457"/>
      <c r="C3" s="60"/>
      <c r="D3" s="441"/>
      <c r="E3" s="633"/>
      <c r="F3" s="1362"/>
      <c r="G3" s="1362"/>
      <c r="H3" s="1362"/>
      <c r="I3" s="1362"/>
      <c r="J3" s="1362"/>
      <c r="K3" s="1362"/>
      <c r="L3" s="264"/>
      <c r="M3" s="264"/>
      <c r="N3" s="265"/>
      <c r="O3" s="265"/>
      <c r="P3" s="265"/>
      <c r="Q3" s="265"/>
      <c r="R3" s="265"/>
      <c r="S3" s="265"/>
      <c r="W3" s="22"/>
      <c r="X3" s="22"/>
      <c r="Y3" s="22"/>
      <c r="Z3" s="22"/>
      <c r="AA3" s="22"/>
      <c r="AB3" s="22"/>
      <c r="DJ3" s="1168"/>
    </row>
    <row r="4" spans="1:114">
      <c r="A4" s="52"/>
      <c r="B4" s="4066" t="s">
        <v>3676</v>
      </c>
      <c r="C4" s="4067"/>
      <c r="D4" s="4067"/>
      <c r="E4" s="4067"/>
      <c r="F4" s="4067"/>
      <c r="G4" s="4067"/>
      <c r="H4" s="4067"/>
      <c r="I4" s="4067"/>
      <c r="J4" s="4067"/>
      <c r="K4" s="4067"/>
      <c r="L4" s="4067"/>
      <c r="M4" s="4360"/>
      <c r="V4" s="4066" t="str">
        <f>B4</f>
        <v>Demand Response Advanced Thermostat</v>
      </c>
      <c r="W4" s="4067"/>
      <c r="X4" s="4067"/>
      <c r="Y4" s="4067"/>
      <c r="Z4" s="4067"/>
      <c r="AA4" s="4067"/>
      <c r="AB4" s="4067"/>
      <c r="AC4" s="4837"/>
      <c r="AD4" s="4837"/>
      <c r="AE4" s="4837"/>
      <c r="AF4" s="4837"/>
      <c r="AG4" s="4837"/>
      <c r="AH4" s="4837"/>
      <c r="AI4" s="4838"/>
    </row>
    <row r="5" spans="1:114">
      <c r="A5" s="52"/>
      <c r="V5" s="273"/>
      <c r="W5" s="284"/>
      <c r="X5" s="284"/>
      <c r="Y5" s="284"/>
      <c r="Z5" s="284"/>
      <c r="AA5" s="284"/>
      <c r="AB5" s="284"/>
      <c r="AC5" s="273"/>
      <c r="AD5" s="273"/>
      <c r="AE5" s="273"/>
      <c r="AF5" s="273"/>
      <c r="AG5" s="273"/>
      <c r="AH5" s="273"/>
      <c r="AI5" s="273"/>
    </row>
    <row r="6" spans="1:114" ht="30">
      <c r="A6" s="52"/>
      <c r="C6" s="1371" t="s">
        <v>42</v>
      </c>
      <c r="D6" s="1371" t="s">
        <v>953</v>
      </c>
      <c r="E6" s="1371" t="s">
        <v>3677</v>
      </c>
      <c r="F6" s="1371" t="s">
        <v>3678</v>
      </c>
      <c r="G6" s="1371" t="s">
        <v>3679</v>
      </c>
      <c r="H6" s="1371" t="s">
        <v>3680</v>
      </c>
      <c r="I6" s="1371" t="s">
        <v>3681</v>
      </c>
      <c r="J6" s="1371" t="s">
        <v>3682</v>
      </c>
      <c r="K6" s="1371" t="s">
        <v>49</v>
      </c>
      <c r="L6" s="1371" t="s">
        <v>50</v>
      </c>
      <c r="M6" s="1371" t="s">
        <v>51</v>
      </c>
      <c r="V6" s="668" t="s">
        <v>52</v>
      </c>
      <c r="W6" s="115">
        <v>43252</v>
      </c>
      <c r="X6" s="115">
        <v>43465</v>
      </c>
      <c r="Y6" s="115">
        <v>43800</v>
      </c>
      <c r="Z6" s="115">
        <v>43862</v>
      </c>
      <c r="AA6" s="115">
        <v>44013</v>
      </c>
      <c r="AB6" s="115">
        <v>44166</v>
      </c>
      <c r="AC6" s="669">
        <v>44531</v>
      </c>
      <c r="AD6" s="669">
        <v>44774</v>
      </c>
      <c r="AE6" s="669">
        <v>45139</v>
      </c>
      <c r="AF6" s="669">
        <f>'Deemed Savings Tbl Revision Log'!C17</f>
        <v>45672</v>
      </c>
      <c r="AG6" s="669" t="s">
        <v>53</v>
      </c>
      <c r="AH6" s="273"/>
      <c r="AI6" s="273"/>
      <c r="DG6" s="1491" t="s">
        <v>54</v>
      </c>
      <c r="DH6" s="1492" t="s">
        <v>55</v>
      </c>
      <c r="DI6" s="1493" t="s">
        <v>56</v>
      </c>
      <c r="DJ6" s="1103" t="s">
        <v>57</v>
      </c>
    </row>
    <row r="7" spans="1:114" ht="30">
      <c r="A7" s="52"/>
      <c r="B7" s="1454">
        <f t="shared" ref="B7:B10" si="0">VALUE(LEFT(C7,6))</f>
        <v>600050</v>
      </c>
      <c r="C7" s="19" t="s">
        <v>3683</v>
      </c>
      <c r="D7" s="108" t="s">
        <v>3684</v>
      </c>
      <c r="E7" s="1392" t="s">
        <v>3685</v>
      </c>
      <c r="F7" s="779">
        <f>61.74*0</f>
        <v>0</v>
      </c>
      <c r="G7" s="138" t="s">
        <v>53</v>
      </c>
      <c r="H7" s="138" t="s">
        <v>950</v>
      </c>
      <c r="I7" s="1200" t="s">
        <v>53</v>
      </c>
      <c r="J7" s="1200" t="s">
        <v>53</v>
      </c>
      <c r="K7" s="1285">
        <v>1</v>
      </c>
      <c r="L7" s="1201">
        <v>0</v>
      </c>
      <c r="M7" s="19" t="s">
        <v>3686</v>
      </c>
      <c r="V7" s="1498" t="str">
        <f>$F$6</f>
        <v>Gross kWh Annual Savings [2]</v>
      </c>
      <c r="W7" s="1499">
        <v>177</v>
      </c>
      <c r="X7" s="1499">
        <v>177</v>
      </c>
      <c r="Y7" s="1499">
        <v>177</v>
      </c>
      <c r="Z7" s="1499">
        <v>177</v>
      </c>
      <c r="AA7" s="1499">
        <v>177</v>
      </c>
      <c r="AB7" s="49">
        <v>55.97</v>
      </c>
      <c r="AC7" s="44">
        <v>55.97</v>
      </c>
      <c r="AD7" s="49">
        <v>47.86</v>
      </c>
      <c r="AE7" s="165">
        <v>97.49</v>
      </c>
      <c r="AF7" s="271">
        <f>IF(F7&lt;&gt;"",F7,"")</f>
        <v>0</v>
      </c>
      <c r="AG7" s="1499"/>
      <c r="DG7" s="1495" t="str">
        <f>IFERROR((DI7)/(DJ7),"")</f>
        <v/>
      </c>
      <c r="DH7" s="1400"/>
      <c r="DI7" s="1496"/>
      <c r="DJ7" s="1178">
        <f>L7/(1.0686^(2025-2025))</f>
        <v>0</v>
      </c>
    </row>
    <row r="8" spans="1:114" s="41" customFormat="1" ht="30">
      <c r="B8" s="1454">
        <f t="shared" si="0"/>
        <v>600060</v>
      </c>
      <c r="C8" s="19" t="s">
        <v>3687</v>
      </c>
      <c r="D8" s="108" t="s">
        <v>3684</v>
      </c>
      <c r="E8" s="1392" t="s">
        <v>3688</v>
      </c>
      <c r="F8" s="780">
        <v>0</v>
      </c>
      <c r="G8" s="138" t="s">
        <v>53</v>
      </c>
      <c r="H8" s="138" t="s">
        <v>950</v>
      </c>
      <c r="I8" s="1200" t="s">
        <v>53</v>
      </c>
      <c r="J8" s="1200" t="s">
        <v>53</v>
      </c>
      <c r="K8" s="1285">
        <v>1</v>
      </c>
      <c r="L8" s="1201">
        <v>0</v>
      </c>
      <c r="M8" s="19" t="s">
        <v>3686</v>
      </c>
      <c r="N8" s="52"/>
      <c r="O8" s="52"/>
      <c r="P8" s="52"/>
      <c r="Q8" s="52"/>
      <c r="R8" s="52"/>
      <c r="S8" s="52"/>
      <c r="V8" s="677" t="str">
        <f>$F$6</f>
        <v>Gross kWh Annual Savings [2]</v>
      </c>
      <c r="W8" s="1158"/>
      <c r="X8" s="1158"/>
      <c r="Y8" s="1158"/>
      <c r="Z8" s="1158"/>
      <c r="AA8" s="1158"/>
      <c r="AB8" s="1158"/>
      <c r="AC8" s="1158"/>
      <c r="AD8" s="1158"/>
      <c r="AE8" s="165">
        <v>0</v>
      </c>
      <c r="AF8" s="271">
        <f>IF(F8&lt;&gt;"",F8,"")</f>
        <v>0</v>
      </c>
      <c r="AG8" s="165"/>
      <c r="DG8" s="1495" t="str">
        <f>IFERROR((DI8)/(DJ8),"")</f>
        <v/>
      </c>
      <c r="DH8" s="1400"/>
      <c r="DI8" s="1496"/>
      <c r="DJ8" s="1178">
        <f>L8/(1.0686^(2025-2025))</f>
        <v>0</v>
      </c>
    </row>
    <row r="9" spans="1:114" ht="30">
      <c r="A9" s="52"/>
      <c r="B9" s="1454">
        <f t="shared" si="0"/>
        <v>600100</v>
      </c>
      <c r="C9" s="19" t="s">
        <v>3689</v>
      </c>
      <c r="D9" s="108" t="s">
        <v>3684</v>
      </c>
      <c r="E9" s="1392" t="s">
        <v>3690</v>
      </c>
      <c r="F9" s="780">
        <v>0</v>
      </c>
      <c r="G9" s="138" t="s">
        <v>53</v>
      </c>
      <c r="H9" s="138" t="s">
        <v>950</v>
      </c>
      <c r="I9" s="1200" t="s">
        <v>53</v>
      </c>
      <c r="J9" s="1200" t="s">
        <v>53</v>
      </c>
      <c r="K9" s="1285">
        <v>1</v>
      </c>
      <c r="L9" s="1201">
        <v>0</v>
      </c>
      <c r="M9" s="19" t="s">
        <v>3686</v>
      </c>
      <c r="V9" s="1442" t="str">
        <f>$F$6</f>
        <v>Gross kWh Annual Savings [2]</v>
      </c>
      <c r="W9" s="1500"/>
      <c r="X9" s="1500"/>
      <c r="Y9" s="1500"/>
      <c r="Z9" s="1500"/>
      <c r="AA9" s="1500"/>
      <c r="AB9" s="1158"/>
      <c r="AC9" s="49">
        <v>0</v>
      </c>
      <c r="AD9" s="44">
        <v>0</v>
      </c>
      <c r="AE9" s="44">
        <v>0</v>
      </c>
      <c r="AF9" s="271">
        <f>IF(F9&lt;&gt;"",F9,"")</f>
        <v>0</v>
      </c>
      <c r="AG9" s="1499"/>
      <c r="DG9" s="1495" t="str">
        <f>IFERROR((DI9)/(DJ9),"")</f>
        <v/>
      </c>
      <c r="DH9" s="1400"/>
      <c r="DI9" s="1496"/>
      <c r="DJ9" s="1178">
        <f>L9/(1.0686^(2025-2025))</f>
        <v>0</v>
      </c>
    </row>
    <row r="10" spans="1:114" s="41" customFormat="1" ht="30">
      <c r="B10" s="1454">
        <f t="shared" si="0"/>
        <v>600110</v>
      </c>
      <c r="C10" s="19" t="s">
        <v>3691</v>
      </c>
      <c r="D10" s="108" t="s">
        <v>3684</v>
      </c>
      <c r="E10" s="1392" t="s">
        <v>3692</v>
      </c>
      <c r="F10" s="780">
        <v>0</v>
      </c>
      <c r="G10" s="138" t="s">
        <v>53</v>
      </c>
      <c r="H10" s="138" t="s">
        <v>950</v>
      </c>
      <c r="I10" s="1200" t="s">
        <v>53</v>
      </c>
      <c r="J10" s="1200" t="s">
        <v>53</v>
      </c>
      <c r="K10" s="1285">
        <v>1</v>
      </c>
      <c r="L10" s="1201">
        <v>0</v>
      </c>
      <c r="M10" s="19" t="s">
        <v>3686</v>
      </c>
      <c r="N10" s="52"/>
      <c r="O10" s="52"/>
      <c r="P10" s="52"/>
      <c r="Q10" s="52"/>
      <c r="R10" s="52"/>
      <c r="S10" s="52"/>
      <c r="V10" s="677" t="str">
        <f>$F$6</f>
        <v>Gross kWh Annual Savings [2]</v>
      </c>
      <c r="W10" s="1158"/>
      <c r="X10" s="1158"/>
      <c r="Y10" s="1158"/>
      <c r="Z10" s="1158"/>
      <c r="AA10" s="1158"/>
      <c r="AB10" s="1158"/>
      <c r="AC10" s="1158"/>
      <c r="AD10" s="1158"/>
      <c r="AE10" s="165">
        <v>0</v>
      </c>
      <c r="AF10" s="271">
        <f>IF(F10&lt;&gt;"",F10,"")</f>
        <v>0</v>
      </c>
      <c r="AG10" s="165"/>
      <c r="DG10" s="1495" t="str">
        <f>IFERROR((DI10)/(DJ10),"")</f>
        <v/>
      </c>
      <c r="DH10" s="1400"/>
      <c r="DI10" s="1496"/>
      <c r="DJ10" s="1178">
        <f>L10/(1.0686^(2025-2025))</f>
        <v>0</v>
      </c>
    </row>
    <row r="11" spans="1:114">
      <c r="A11" s="52"/>
      <c r="D11" s="1590" t="s">
        <v>118</v>
      </c>
      <c r="E11" s="1458" t="s">
        <v>3693</v>
      </c>
      <c r="F11" s="64"/>
      <c r="G11" s="64"/>
      <c r="H11" s="64"/>
      <c r="I11" s="64"/>
      <c r="J11" s="64"/>
      <c r="K11" s="64"/>
      <c r="L11" s="64"/>
      <c r="M11" s="64"/>
      <c r="N11" s="64"/>
      <c r="W11" s="1501"/>
      <c r="X11" s="1501"/>
      <c r="Y11" s="1501"/>
      <c r="Z11" s="1501"/>
      <c r="AA11" s="1501"/>
      <c r="AB11" s="821"/>
      <c r="AC11" s="1501"/>
      <c r="AD11" s="1501"/>
      <c r="AE11" s="1501"/>
      <c r="AF11" s="1501"/>
      <c r="AG11" s="1501"/>
      <c r="DG11" s="1502"/>
      <c r="DH11" s="595"/>
      <c r="DI11" s="1503"/>
      <c r="DJ11" s="1188"/>
    </row>
    <row r="12" spans="1:114" ht="51" customHeight="1">
      <c r="A12" s="52"/>
      <c r="D12" s="571" t="s">
        <v>3694</v>
      </c>
      <c r="E12" s="4762" t="s">
        <v>3695</v>
      </c>
      <c r="F12" s="4762"/>
      <c r="G12" s="4762"/>
      <c r="H12" s="4762"/>
      <c r="I12" s="4762"/>
      <c r="J12" s="4762"/>
      <c r="K12" s="4762"/>
      <c r="L12" s="4762"/>
      <c r="M12" s="4762"/>
      <c r="N12" s="64"/>
      <c r="T12" s="52"/>
      <c r="U12" s="52"/>
      <c r="W12" s="1501"/>
      <c r="X12" s="1501"/>
      <c r="Y12" s="1501"/>
      <c r="Z12" s="1501"/>
      <c r="AA12" s="1501"/>
      <c r="AB12" s="821"/>
      <c r="AC12" s="1501"/>
      <c r="AD12" s="1501"/>
      <c r="AE12" s="1501"/>
      <c r="AF12" s="1501"/>
      <c r="AG12" s="1501"/>
      <c r="DG12" s="1502"/>
      <c r="DH12" s="595"/>
      <c r="DI12" s="1503"/>
      <c r="DJ12" s="1188"/>
    </row>
    <row r="13" spans="1:114" ht="86.65" customHeight="1">
      <c r="A13" s="52"/>
      <c r="D13" s="571" t="s">
        <v>3696</v>
      </c>
      <c r="E13" s="4762" t="s">
        <v>3697</v>
      </c>
      <c r="F13" s="4762"/>
      <c r="G13" s="4762"/>
      <c r="H13" s="4762"/>
      <c r="I13" s="4762"/>
      <c r="J13" s="4762"/>
      <c r="K13" s="4762"/>
      <c r="L13" s="4762"/>
      <c r="M13" s="4762"/>
      <c r="N13" s="64"/>
      <c r="T13" s="52"/>
      <c r="U13" s="52"/>
      <c r="W13" s="1501"/>
      <c r="X13" s="1501"/>
      <c r="Y13" s="1501"/>
      <c r="Z13" s="1501"/>
      <c r="AA13" s="1501"/>
      <c r="AB13" s="821"/>
      <c r="AC13" s="1501"/>
      <c r="AD13" s="1501"/>
      <c r="AE13" s="1501"/>
      <c r="AF13" s="1501"/>
      <c r="AG13" s="1501"/>
      <c r="DG13" s="1502"/>
      <c r="DH13" s="595"/>
      <c r="DI13" s="1503"/>
      <c r="DJ13" s="1188"/>
    </row>
    <row r="14" spans="1:114" ht="34.9" customHeight="1">
      <c r="A14" s="52"/>
      <c r="D14" s="571" t="s">
        <v>3698</v>
      </c>
      <c r="E14" s="4762" t="s">
        <v>3699</v>
      </c>
      <c r="F14" s="4762"/>
      <c r="G14" s="4762"/>
      <c r="H14" s="4762"/>
      <c r="I14" s="4762"/>
      <c r="J14" s="4762"/>
      <c r="K14" s="4762"/>
      <c r="L14" s="4762"/>
      <c r="M14" s="4762"/>
      <c r="N14" s="64"/>
      <c r="T14" s="52"/>
      <c r="U14" s="52"/>
      <c r="W14" s="1501"/>
      <c r="X14" s="1501"/>
      <c r="Y14" s="1501"/>
      <c r="Z14" s="1501"/>
      <c r="AA14" s="1501"/>
      <c r="AB14" s="821"/>
      <c r="AC14" s="1501"/>
      <c r="AD14" s="1501"/>
      <c r="AE14" s="1501"/>
      <c r="AF14" s="1501"/>
      <c r="AG14" s="1501"/>
      <c r="DG14" s="1502"/>
      <c r="DH14" s="595"/>
      <c r="DI14" s="1503"/>
      <c r="DJ14" s="1188"/>
    </row>
    <row r="15" spans="1:114" ht="15" customHeight="1">
      <c r="A15" s="52"/>
      <c r="D15" s="571" t="s">
        <v>3700</v>
      </c>
      <c r="E15" s="4762" t="s">
        <v>3701</v>
      </c>
      <c r="F15" s="4762"/>
      <c r="G15" s="4762"/>
      <c r="H15" s="4762"/>
      <c r="I15" s="4762"/>
      <c r="J15" s="4762"/>
      <c r="K15" s="4762"/>
      <c r="L15" s="4762"/>
      <c r="M15" s="4762"/>
      <c r="N15" s="64"/>
      <c r="T15" s="52"/>
      <c r="U15" s="52"/>
      <c r="W15" s="1501"/>
      <c r="X15" s="1501"/>
      <c r="Y15" s="1501"/>
      <c r="Z15" s="1501"/>
      <c r="AA15" s="1501"/>
      <c r="AB15" s="821"/>
      <c r="AC15" s="1501"/>
      <c r="AD15" s="1501"/>
      <c r="AE15" s="1501"/>
      <c r="AF15" s="1501"/>
      <c r="AG15" s="1501"/>
      <c r="DG15" s="1502"/>
      <c r="DH15" s="595"/>
      <c r="DI15" s="1503"/>
      <c r="DJ15" s="1188"/>
    </row>
    <row r="16" spans="1:114" ht="75" customHeight="1">
      <c r="A16" s="52"/>
      <c r="D16" s="571" t="s">
        <v>3702</v>
      </c>
      <c r="E16" s="4762" t="s">
        <v>3703</v>
      </c>
      <c r="F16" s="4762"/>
      <c r="G16" s="4762"/>
      <c r="H16" s="4762"/>
      <c r="I16" s="4762"/>
      <c r="J16" s="4762"/>
      <c r="K16" s="4762"/>
      <c r="L16" s="4762"/>
      <c r="M16" s="4762"/>
      <c r="T16" s="52"/>
      <c r="U16" s="52"/>
    </row>
    <row r="17" spans="1:114" ht="45" customHeight="1">
      <c r="A17" s="52"/>
      <c r="D17" s="571" t="s">
        <v>3704</v>
      </c>
      <c r="E17" s="4762" t="s">
        <v>3705</v>
      </c>
      <c r="F17" s="4762"/>
      <c r="G17" s="4762"/>
      <c r="H17" s="4762"/>
      <c r="I17" s="4762"/>
      <c r="J17" s="4762"/>
      <c r="K17" s="4762"/>
      <c r="L17" s="4762"/>
      <c r="M17" s="4762"/>
      <c r="T17" s="52"/>
      <c r="U17" s="52"/>
    </row>
    <row r="18" spans="1:114" ht="14.65" customHeight="1">
      <c r="A18" s="52"/>
      <c r="E18" s="4767"/>
      <c r="F18" s="4767"/>
      <c r="G18" s="4767"/>
      <c r="H18" s="4767"/>
      <c r="I18" s="4767"/>
      <c r="J18" s="4767"/>
      <c r="K18" s="4767"/>
      <c r="L18" s="4767"/>
      <c r="M18" s="4767"/>
      <c r="T18" s="52"/>
      <c r="U18" s="52"/>
    </row>
    <row r="19" spans="1:114" ht="14.65" customHeight="1">
      <c r="A19" s="52"/>
      <c r="E19" s="4767"/>
      <c r="F19" s="4767"/>
      <c r="G19" s="4767"/>
      <c r="H19" s="4767"/>
      <c r="I19" s="4767"/>
      <c r="J19" s="4767"/>
      <c r="K19" s="4767"/>
      <c r="L19" s="4767"/>
      <c r="M19" s="4767"/>
      <c r="T19" s="52"/>
      <c r="U19" s="52"/>
    </row>
    <row r="20" spans="1:114" ht="89.65" customHeight="1">
      <c r="A20" s="52"/>
      <c r="E20" s="4763" t="s">
        <v>3706</v>
      </c>
      <c r="F20" s="4468"/>
      <c r="G20" s="4468"/>
      <c r="H20" s="4468"/>
      <c r="I20" s="4468"/>
      <c r="J20" s="4468"/>
      <c r="K20" s="4468"/>
      <c r="L20" s="4468"/>
      <c r="M20" s="4468"/>
      <c r="T20" s="52"/>
      <c r="U20" s="52"/>
    </row>
    <row r="21" spans="1:114">
      <c r="A21" s="52"/>
      <c r="T21" s="52"/>
      <c r="U21" s="52"/>
    </row>
    <row r="22" spans="1:114" ht="60" customHeight="1">
      <c r="A22" s="52"/>
      <c r="E22" s="4763" t="s">
        <v>3707</v>
      </c>
      <c r="F22" s="4468"/>
      <c r="G22" s="4468"/>
      <c r="H22" s="4468"/>
      <c r="I22" s="4468"/>
      <c r="J22" s="4468"/>
      <c r="K22" s="4468"/>
      <c r="L22" s="4468"/>
      <c r="M22" s="4468"/>
      <c r="T22" s="52"/>
      <c r="U22" s="52"/>
    </row>
    <row r="23" spans="1:114">
      <c r="A23" s="52"/>
    </row>
    <row r="24" spans="1:114">
      <c r="A24" s="52"/>
      <c r="E24" s="989"/>
      <c r="F24" s="635"/>
    </row>
    <row r="25" spans="1:114">
      <c r="A25" s="52"/>
      <c r="B25" s="4066" t="s">
        <v>3708</v>
      </c>
      <c r="C25" s="4067"/>
      <c r="D25" s="4067"/>
      <c r="E25" s="4067"/>
      <c r="F25" s="4067"/>
      <c r="G25" s="4067"/>
      <c r="H25" s="4067"/>
      <c r="I25" s="4067"/>
      <c r="J25" s="4067"/>
      <c r="K25" s="4067"/>
      <c r="L25" s="4067"/>
      <c r="M25" s="4360"/>
      <c r="V25" s="4659" t="str">
        <f>B25</f>
        <v>Demand Response Water Heater</v>
      </c>
      <c r="W25" s="4660"/>
      <c r="X25" s="4660"/>
      <c r="Y25" s="4660"/>
      <c r="Z25" s="4660"/>
      <c r="AA25" s="4660"/>
      <c r="AB25" s="4660"/>
      <c r="AC25" s="4855"/>
      <c r="AD25" s="4855"/>
      <c r="AE25" s="4855"/>
      <c r="AF25" s="4855"/>
      <c r="AG25" s="4855"/>
      <c r="AH25" s="4855"/>
      <c r="AI25" s="4856"/>
    </row>
    <row r="26" spans="1:114">
      <c r="A26" s="52"/>
      <c r="V26" s="273"/>
      <c r="W26" s="284"/>
      <c r="X26" s="284"/>
      <c r="Y26" s="284"/>
      <c r="Z26" s="284"/>
      <c r="AA26" s="284"/>
      <c r="AB26" s="284"/>
      <c r="AC26" s="273"/>
      <c r="AD26" s="273"/>
      <c r="AE26" s="273"/>
      <c r="AF26" s="273"/>
      <c r="AG26" s="273"/>
      <c r="AH26" s="273"/>
      <c r="AI26" s="273"/>
    </row>
    <row r="27" spans="1:114" ht="30">
      <c r="A27" s="52"/>
      <c r="C27" s="1371" t="s">
        <v>42</v>
      </c>
      <c r="D27" s="1371" t="s">
        <v>953</v>
      </c>
      <c r="E27" s="1371" t="s">
        <v>44</v>
      </c>
      <c r="F27" s="1371" t="s">
        <v>45</v>
      </c>
      <c r="G27" s="1371" t="s">
        <v>46</v>
      </c>
      <c r="H27" s="1371" t="s">
        <v>3709</v>
      </c>
      <c r="I27" s="1371" t="s">
        <v>3710</v>
      </c>
      <c r="J27" s="1371" t="s">
        <v>3711</v>
      </c>
      <c r="K27" s="1371" t="s">
        <v>49</v>
      </c>
      <c r="L27" s="1371" t="s">
        <v>50</v>
      </c>
      <c r="M27" s="1371" t="s">
        <v>51</v>
      </c>
      <c r="V27" s="1008" t="s">
        <v>52</v>
      </c>
      <c r="W27" s="1197">
        <f t="shared" ref="W27:AE27" si="1">W$6</f>
        <v>43252</v>
      </c>
      <c r="X27" s="1197">
        <f t="shared" si="1"/>
        <v>43465</v>
      </c>
      <c r="Y27" s="1197">
        <f t="shared" si="1"/>
        <v>43800</v>
      </c>
      <c r="Z27" s="1197">
        <f t="shared" si="1"/>
        <v>43862</v>
      </c>
      <c r="AA27" s="1197">
        <f t="shared" si="1"/>
        <v>44013</v>
      </c>
      <c r="AB27" s="1197">
        <f t="shared" si="1"/>
        <v>44166</v>
      </c>
      <c r="AC27" s="1197">
        <f t="shared" si="1"/>
        <v>44531</v>
      </c>
      <c r="AD27" s="1197">
        <f t="shared" si="1"/>
        <v>44774</v>
      </c>
      <c r="AE27" s="1197">
        <f t="shared" si="1"/>
        <v>45139</v>
      </c>
      <c r="AF27" s="1002">
        <f>AF6</f>
        <v>45672</v>
      </c>
      <c r="AG27" s="1002" t="s">
        <v>53</v>
      </c>
      <c r="AH27" s="273"/>
      <c r="AI27" s="273"/>
      <c r="DG27" s="868" t="s">
        <v>54</v>
      </c>
      <c r="DH27" s="1198" t="s">
        <v>55</v>
      </c>
      <c r="DI27" s="1199" t="s">
        <v>56</v>
      </c>
      <c r="DJ27" s="1103" t="s">
        <v>57</v>
      </c>
    </row>
    <row r="28" spans="1:114">
      <c r="A28" s="52"/>
      <c r="B28" s="1454">
        <f t="shared" ref="B28:B29" si="2">VALUE(LEFT(C28,6))</f>
        <v>600401</v>
      </c>
      <c r="C28" s="1608" t="s">
        <v>3712</v>
      </c>
      <c r="D28" s="437" t="s">
        <v>3684</v>
      </c>
      <c r="E28" s="1862" t="s">
        <v>3713</v>
      </c>
      <c r="F28" s="1863">
        <v>0</v>
      </c>
      <c r="G28" s="1484" t="s">
        <v>53</v>
      </c>
      <c r="H28" s="1484" t="s">
        <v>950</v>
      </c>
      <c r="I28" s="1864">
        <v>0.27</v>
      </c>
      <c r="J28" s="1864" t="s">
        <v>53</v>
      </c>
      <c r="K28" s="1865">
        <v>1</v>
      </c>
      <c r="L28" s="1866">
        <v>149</v>
      </c>
      <c r="M28" s="1608" t="s">
        <v>3714</v>
      </c>
      <c r="V28" s="677" t="str">
        <f>$F$27</f>
        <v>kWh Annual Savings</v>
      </c>
      <c r="W28" s="165"/>
      <c r="X28" s="165"/>
      <c r="Y28" s="165"/>
      <c r="Z28" s="165"/>
      <c r="AA28" s="165"/>
      <c r="AB28" s="49"/>
      <c r="AC28" s="49"/>
      <c r="AD28" s="49"/>
      <c r="AE28" s="49">
        <v>0</v>
      </c>
      <c r="AF28" s="271">
        <f>IF(F28&lt;&gt;"",F28,"")</f>
        <v>0</v>
      </c>
      <c r="AG28" s="165"/>
      <c r="DG28" s="1495">
        <f>IFERROR((DI28)/(DJ28),"")</f>
        <v>0</v>
      </c>
      <c r="DH28" s="1400"/>
      <c r="DI28" s="1496"/>
      <c r="DJ28" s="1178">
        <f>L28/(1.0686^(2025-2025))</f>
        <v>149</v>
      </c>
    </row>
    <row r="29" spans="1:114" ht="30">
      <c r="A29" s="52"/>
      <c r="B29" s="1454">
        <f t="shared" si="2"/>
        <v>600402</v>
      </c>
      <c r="C29" s="1608" t="s">
        <v>3715</v>
      </c>
      <c r="D29" s="437" t="s">
        <v>3684</v>
      </c>
      <c r="E29" s="1862" t="s">
        <v>3716</v>
      </c>
      <c r="F29" s="1863">
        <v>0</v>
      </c>
      <c r="G29" s="1484" t="s">
        <v>53</v>
      </c>
      <c r="H29" s="1484" t="s">
        <v>950</v>
      </c>
      <c r="I29" s="1864">
        <v>0.22</v>
      </c>
      <c r="J29" s="1864" t="s">
        <v>53</v>
      </c>
      <c r="K29" s="1865">
        <v>1</v>
      </c>
      <c r="L29" s="1866">
        <v>149</v>
      </c>
      <c r="M29" s="1608" t="s">
        <v>3714</v>
      </c>
      <c r="V29" s="677" t="str">
        <f>$F$27</f>
        <v>kWh Annual Savings</v>
      </c>
      <c r="W29" s="165"/>
      <c r="X29" s="165"/>
      <c r="Y29" s="165"/>
      <c r="Z29" s="165"/>
      <c r="AA29" s="165"/>
      <c r="AB29" s="49"/>
      <c r="AC29" s="49"/>
      <c r="AD29" s="49"/>
      <c r="AE29" s="49">
        <v>0</v>
      </c>
      <c r="AF29" s="271">
        <f>IF(F29&lt;&gt;"",F29,"")</f>
        <v>0</v>
      </c>
      <c r="AG29" s="165"/>
      <c r="DG29" s="1495">
        <f>IFERROR((DI29)/(DJ29),"")</f>
        <v>0</v>
      </c>
      <c r="DH29" s="1400"/>
      <c r="DI29" s="1496"/>
      <c r="DJ29" s="1178">
        <f>L29/(1.0686^(2025-2025))</f>
        <v>149</v>
      </c>
    </row>
    <row r="30" spans="1:114">
      <c r="A30" s="52"/>
      <c r="D30" s="1590" t="s">
        <v>118</v>
      </c>
      <c r="E30" s="1458" t="s">
        <v>3717</v>
      </c>
    </row>
    <row r="31" spans="1:114">
      <c r="A31" s="52"/>
      <c r="D31" s="1611" t="s">
        <v>3694</v>
      </c>
      <c r="E31" s="4760" t="s">
        <v>3701</v>
      </c>
      <c r="F31" s="4760"/>
      <c r="G31" s="4760"/>
      <c r="H31" s="4760"/>
      <c r="I31" s="4760"/>
      <c r="J31" s="4760"/>
      <c r="K31" s="4760"/>
      <c r="L31" s="4760"/>
      <c r="M31" s="4760"/>
      <c r="N31" s="64"/>
      <c r="W31" s="1501"/>
      <c r="X31" s="1501"/>
      <c r="Y31" s="1501"/>
      <c r="Z31" s="1501"/>
      <c r="AA31" s="1501"/>
      <c r="AB31" s="821"/>
      <c r="AC31" s="1501"/>
      <c r="AD31" s="1501"/>
      <c r="AE31" s="1501"/>
      <c r="AF31" s="1501"/>
      <c r="AG31" s="1501"/>
      <c r="DG31" s="1502"/>
      <c r="DH31" s="595"/>
      <c r="DI31" s="1503"/>
      <c r="DJ31" s="1188"/>
    </row>
    <row r="32" spans="1:114" ht="147" customHeight="1">
      <c r="A32" s="52"/>
      <c r="D32" s="1611" t="s">
        <v>3696</v>
      </c>
      <c r="E32" s="4760" t="s">
        <v>3718</v>
      </c>
      <c r="F32" s="4760"/>
      <c r="G32" s="4760"/>
      <c r="H32" s="4760"/>
      <c r="I32" s="4760"/>
      <c r="J32" s="4760"/>
      <c r="K32" s="4760"/>
      <c r="L32" s="4760"/>
      <c r="M32" s="4760"/>
      <c r="N32" s="64"/>
      <c r="W32" s="1501"/>
      <c r="X32" s="1501"/>
      <c r="Y32" s="1501"/>
      <c r="Z32" s="1501"/>
      <c r="AA32" s="1501"/>
      <c r="AB32" s="821"/>
      <c r="AC32" s="1501"/>
      <c r="AD32" s="1501"/>
      <c r="AE32" s="1501"/>
      <c r="AF32" s="1501"/>
      <c r="AG32" s="1501"/>
      <c r="DG32" s="1502"/>
      <c r="DH32" s="595"/>
      <c r="DI32" s="1503"/>
      <c r="DJ32" s="1188"/>
    </row>
    <row r="33" spans="1:114" ht="28.9" customHeight="1">
      <c r="A33" s="52"/>
      <c r="D33" s="1611" t="s">
        <v>3719</v>
      </c>
      <c r="E33" s="4760" t="s">
        <v>3720</v>
      </c>
      <c r="F33" s="4760"/>
      <c r="G33" s="4760"/>
      <c r="H33" s="4760"/>
      <c r="I33" s="4760"/>
      <c r="J33" s="4760"/>
      <c r="K33" s="4760"/>
      <c r="L33" s="4760"/>
      <c r="M33" s="4760"/>
    </row>
    <row r="34" spans="1:114">
      <c r="A34" s="52"/>
      <c r="E34" s="989"/>
      <c r="F34" s="635"/>
    </row>
    <row r="35" spans="1:114">
      <c r="A35" s="52"/>
      <c r="B35" s="4040" t="s">
        <v>3721</v>
      </c>
      <c r="C35" s="4041"/>
      <c r="D35" s="4041"/>
      <c r="E35" s="4041"/>
      <c r="F35" s="4041"/>
      <c r="G35" s="4041"/>
      <c r="H35" s="4041"/>
      <c r="I35" s="4041"/>
      <c r="J35" s="4041"/>
      <c r="K35" s="4041"/>
      <c r="L35" s="4041"/>
      <c r="M35" s="4350"/>
      <c r="V35" s="4757" t="str">
        <f>B35</f>
        <v>Demand Response Electric Vehicle Charger</v>
      </c>
      <c r="W35" s="4758"/>
      <c r="X35" s="4758"/>
      <c r="Y35" s="4758"/>
      <c r="Z35" s="4758"/>
      <c r="AA35" s="4758"/>
      <c r="AB35" s="4758"/>
      <c r="AC35" s="4857"/>
      <c r="AD35" s="4857"/>
      <c r="AE35" s="4857"/>
      <c r="AF35" s="4857"/>
      <c r="AG35" s="4857"/>
      <c r="AH35" s="4857"/>
      <c r="AI35" s="4858"/>
    </row>
    <row r="36" spans="1:114">
      <c r="A36" s="52"/>
      <c r="B36" s="635"/>
      <c r="C36" s="2205"/>
      <c r="D36" s="2206"/>
      <c r="E36" s="2206"/>
      <c r="F36" s="635"/>
      <c r="G36" s="635"/>
      <c r="H36" s="635"/>
      <c r="I36" s="635"/>
      <c r="J36" s="635"/>
      <c r="K36" s="635"/>
      <c r="L36" s="635"/>
      <c r="M36" s="635"/>
      <c r="V36" s="2229"/>
      <c r="W36" s="2230"/>
      <c r="X36" s="2230"/>
      <c r="Y36" s="2230"/>
      <c r="Z36" s="2230"/>
      <c r="AA36" s="2230"/>
      <c r="AB36" s="2230"/>
      <c r="AC36" s="2229"/>
      <c r="AD36" s="2229"/>
      <c r="AE36" s="2229"/>
      <c r="AF36" s="2229"/>
      <c r="AG36" s="2229"/>
      <c r="AH36" s="2229"/>
      <c r="AI36" s="2229"/>
    </row>
    <row r="37" spans="1:114" ht="30">
      <c r="A37" s="52"/>
      <c r="B37" s="635"/>
      <c r="C37" s="2207" t="s">
        <v>42</v>
      </c>
      <c r="D37" s="2207" t="s">
        <v>953</v>
      </c>
      <c r="E37" s="2207" t="s">
        <v>44</v>
      </c>
      <c r="F37" s="2207" t="s">
        <v>45</v>
      </c>
      <c r="G37" s="2207" t="s">
        <v>46</v>
      </c>
      <c r="H37" s="2207" t="s">
        <v>3709</v>
      </c>
      <c r="I37" s="2207" t="s">
        <v>3710</v>
      </c>
      <c r="J37" s="2207" t="s">
        <v>3711</v>
      </c>
      <c r="K37" s="2207" t="s">
        <v>49</v>
      </c>
      <c r="L37" s="2207" t="s">
        <v>50</v>
      </c>
      <c r="M37" s="2207" t="s">
        <v>51</v>
      </c>
      <c r="V37" s="2231" t="s">
        <v>52</v>
      </c>
      <c r="W37" s="760">
        <f t="shared" ref="W37:AE37" si="3">W$6</f>
        <v>43252</v>
      </c>
      <c r="X37" s="760">
        <f t="shared" si="3"/>
        <v>43465</v>
      </c>
      <c r="Y37" s="760">
        <f t="shared" si="3"/>
        <v>43800</v>
      </c>
      <c r="Z37" s="760">
        <f t="shared" si="3"/>
        <v>43862</v>
      </c>
      <c r="AA37" s="760">
        <f t="shared" si="3"/>
        <v>44013</v>
      </c>
      <c r="AB37" s="760">
        <f t="shared" si="3"/>
        <v>44166</v>
      </c>
      <c r="AC37" s="760">
        <f t="shared" si="3"/>
        <v>44531</v>
      </c>
      <c r="AD37" s="760">
        <f t="shared" si="3"/>
        <v>44774</v>
      </c>
      <c r="AE37" s="760">
        <f t="shared" si="3"/>
        <v>45139</v>
      </c>
      <c r="AF37" s="2232">
        <f>AF6</f>
        <v>45672</v>
      </c>
      <c r="AG37" s="2232" t="s">
        <v>53</v>
      </c>
      <c r="AH37" s="2229"/>
      <c r="AI37" s="2229"/>
      <c r="DG37" s="868" t="s">
        <v>54</v>
      </c>
      <c r="DH37" s="1198" t="s">
        <v>55</v>
      </c>
      <c r="DI37" s="1199" t="s">
        <v>56</v>
      </c>
      <c r="DJ37" s="1103" t="s">
        <v>57</v>
      </c>
    </row>
    <row r="38" spans="1:114">
      <c r="A38" s="52"/>
      <c r="B38" s="2208">
        <f t="shared" ref="B38" si="4">VALUE(LEFT(C38,6))</f>
        <v>600500</v>
      </c>
      <c r="C38" s="2209" t="s">
        <v>3722</v>
      </c>
      <c r="D38" s="2210" t="s">
        <v>3684</v>
      </c>
      <c r="E38" s="2211" t="s">
        <v>3721</v>
      </c>
      <c r="F38" s="2212">
        <v>0</v>
      </c>
      <c r="G38" s="2213" t="s">
        <v>53</v>
      </c>
      <c r="H38" s="2213" t="s">
        <v>950</v>
      </c>
      <c r="I38" s="2214">
        <v>0.16</v>
      </c>
      <c r="J38" s="2215" t="s">
        <v>53</v>
      </c>
      <c r="K38" s="2216">
        <v>1</v>
      </c>
      <c r="L38" s="2217">
        <v>0</v>
      </c>
      <c r="M38" s="2218" t="s">
        <v>3714</v>
      </c>
      <c r="V38" s="2233" t="str">
        <f>$F$27</f>
        <v>kWh Annual Savings</v>
      </c>
      <c r="W38" s="2234"/>
      <c r="X38" s="2234"/>
      <c r="Y38" s="2234"/>
      <c r="Z38" s="2234"/>
      <c r="AA38" s="2234"/>
      <c r="AB38" s="2235"/>
      <c r="AC38" s="2235"/>
      <c r="AD38" s="2235"/>
      <c r="AE38" s="2235">
        <v>0</v>
      </c>
      <c r="AF38" s="2236">
        <f>IF(F38&lt;&gt;"",F38,"")</f>
        <v>0</v>
      </c>
      <c r="AG38" s="2234"/>
      <c r="AH38" s="2237"/>
      <c r="AI38" s="2237"/>
      <c r="DG38" s="1495" t="str">
        <f>IFERROR((DI38)/(DJ38),"")</f>
        <v/>
      </c>
      <c r="DH38" s="1400"/>
      <c r="DI38" s="1496"/>
      <c r="DJ38" s="1178">
        <f>L38/(1.0686^(2025-2025))</f>
        <v>0</v>
      </c>
    </row>
    <row r="39" spans="1:114">
      <c r="A39" s="52"/>
      <c r="B39" s="635"/>
      <c r="C39" s="2205"/>
      <c r="D39" s="2219" t="s">
        <v>118</v>
      </c>
      <c r="E39" s="2220" t="s">
        <v>3723</v>
      </c>
      <c r="F39" s="635"/>
      <c r="G39" s="635"/>
      <c r="H39" s="635"/>
      <c r="I39" s="635"/>
      <c r="J39" s="635"/>
      <c r="K39" s="635"/>
      <c r="L39" s="635"/>
      <c r="M39" s="635"/>
      <c r="V39" s="2237"/>
      <c r="W39" s="2238"/>
      <c r="X39" s="2238"/>
      <c r="Y39" s="2238"/>
      <c r="Z39" s="2238"/>
      <c r="AA39" s="2238"/>
      <c r="AB39" s="2238"/>
      <c r="AC39" s="2237"/>
      <c r="AD39" s="2237"/>
      <c r="AE39" s="2237"/>
      <c r="AF39" s="2237"/>
      <c r="AG39" s="2237"/>
      <c r="AH39" s="2237"/>
      <c r="AI39" s="2237"/>
    </row>
    <row r="40" spans="1:114">
      <c r="A40" s="52"/>
      <c r="B40" s="635"/>
      <c r="C40" s="2205"/>
      <c r="D40" s="2221" t="s">
        <v>3694</v>
      </c>
      <c r="E40" s="4761" t="s">
        <v>3701</v>
      </c>
      <c r="F40" s="4761"/>
      <c r="G40" s="4761"/>
      <c r="H40" s="4761"/>
      <c r="I40" s="4761"/>
      <c r="J40" s="4761"/>
      <c r="K40" s="4761"/>
      <c r="L40" s="4761"/>
      <c r="M40" s="4761"/>
      <c r="N40" s="64"/>
      <c r="V40" s="2237"/>
      <c r="W40" s="2239"/>
      <c r="X40" s="2239"/>
      <c r="Y40" s="2239"/>
      <c r="Z40" s="2239"/>
      <c r="AA40" s="2239"/>
      <c r="AB40" s="2240"/>
      <c r="AC40" s="2239"/>
      <c r="AD40" s="2239"/>
      <c r="AE40" s="2239"/>
      <c r="AF40" s="2239"/>
      <c r="AG40" s="2239"/>
      <c r="AH40" s="2237"/>
      <c r="AI40" s="2237"/>
      <c r="DG40" s="1502"/>
      <c r="DH40" s="595"/>
      <c r="DI40" s="1503"/>
      <c r="DJ40" s="1188"/>
    </row>
    <row r="41" spans="1:114" ht="135.75" customHeight="1">
      <c r="A41" s="52"/>
      <c r="B41" s="635"/>
      <c r="C41" s="2205"/>
      <c r="D41" s="2221" t="s">
        <v>3696</v>
      </c>
      <c r="E41" s="4759" t="s">
        <v>3724</v>
      </c>
      <c r="F41" s="4759"/>
      <c r="G41" s="4759"/>
      <c r="H41" s="4759"/>
      <c r="I41" s="4759"/>
      <c r="J41" s="4759"/>
      <c r="K41" s="4759"/>
      <c r="L41" s="4759"/>
      <c r="M41" s="4759"/>
      <c r="V41" s="2237"/>
      <c r="W41" s="2238"/>
      <c r="X41" s="2238"/>
      <c r="Y41" s="2238"/>
      <c r="Z41" s="2238"/>
      <c r="AA41" s="2238"/>
      <c r="AB41" s="2238"/>
      <c r="AC41" s="2237"/>
      <c r="AD41" s="2237"/>
      <c r="AE41" s="2237"/>
      <c r="AF41" s="2237"/>
      <c r="AG41" s="2237"/>
      <c r="AH41" s="2237"/>
      <c r="AI41" s="2237"/>
    </row>
    <row r="42" spans="1:114" ht="28.9" customHeight="1">
      <c r="A42" s="52"/>
      <c r="B42" s="635"/>
      <c r="C42" s="2205"/>
      <c r="D42" s="2221" t="s">
        <v>3719</v>
      </c>
      <c r="E42" s="4761" t="s">
        <v>3720</v>
      </c>
      <c r="F42" s="4761"/>
      <c r="G42" s="4761"/>
      <c r="H42" s="4761"/>
      <c r="I42" s="4761"/>
      <c r="J42" s="4761"/>
      <c r="K42" s="4761"/>
      <c r="L42" s="4761"/>
      <c r="M42" s="4761"/>
      <c r="V42" s="2237"/>
      <c r="W42" s="2238"/>
      <c r="X42" s="2238"/>
      <c r="Y42" s="2238"/>
      <c r="Z42" s="2238"/>
      <c r="AA42" s="2238"/>
      <c r="AB42" s="2238"/>
      <c r="AC42" s="2237"/>
      <c r="AD42" s="2237"/>
      <c r="AE42" s="2237"/>
      <c r="AF42" s="2237"/>
      <c r="AG42" s="2237"/>
      <c r="AH42" s="2237"/>
      <c r="AI42" s="2237"/>
    </row>
    <row r="43" spans="1:114">
      <c r="A43" s="52"/>
      <c r="B43" s="635"/>
      <c r="C43" s="2205"/>
      <c r="D43" s="2206"/>
      <c r="E43" s="2206"/>
      <c r="F43" s="2206"/>
      <c r="G43" s="2206"/>
      <c r="H43" s="2206"/>
      <c r="I43" s="635"/>
      <c r="J43" s="635"/>
      <c r="K43" s="635"/>
      <c r="L43" s="635"/>
      <c r="M43" s="635"/>
      <c r="V43" s="2237"/>
      <c r="W43" s="2238"/>
      <c r="X43" s="2238"/>
      <c r="Y43" s="2238"/>
      <c r="Z43" s="2238"/>
      <c r="AA43" s="2238"/>
      <c r="AB43" s="2238"/>
      <c r="AC43" s="2237"/>
      <c r="AD43" s="2237"/>
      <c r="AE43" s="2237"/>
      <c r="AF43" s="2237"/>
      <c r="AG43" s="2237"/>
      <c r="AH43" s="2237"/>
      <c r="AI43" s="2237"/>
    </row>
    <row r="44" spans="1:114">
      <c r="B44" s="635"/>
      <c r="C44" s="2205"/>
      <c r="D44" s="2206"/>
      <c r="E44" s="2206"/>
      <c r="F44" s="2206"/>
      <c r="G44" s="2206"/>
      <c r="H44" s="2206"/>
      <c r="I44" s="635"/>
      <c r="J44" s="635"/>
      <c r="K44" s="635"/>
      <c r="L44" s="635"/>
      <c r="M44" s="635"/>
      <c r="V44" s="2237"/>
      <c r="W44" s="2238"/>
      <c r="X44" s="2238"/>
      <c r="Y44" s="2238"/>
      <c r="Z44" s="2238"/>
      <c r="AA44" s="2238"/>
      <c r="AB44" s="2238"/>
      <c r="AC44" s="2237"/>
      <c r="AD44" s="2237"/>
      <c r="AE44" s="2237"/>
      <c r="AF44" s="2237"/>
      <c r="AG44" s="2237"/>
      <c r="AH44" s="2237"/>
      <c r="AI44" s="2237"/>
    </row>
    <row r="45" spans="1:114">
      <c r="A45" s="52"/>
      <c r="B45" s="4040" t="s">
        <v>3725</v>
      </c>
      <c r="C45" s="4041"/>
      <c r="D45" s="4041"/>
      <c r="E45" s="4041"/>
      <c r="F45" s="4041"/>
      <c r="G45" s="4041"/>
      <c r="H45" s="4041"/>
      <c r="I45" s="4041"/>
      <c r="J45" s="4041"/>
      <c r="K45" s="4041"/>
      <c r="L45" s="4041"/>
      <c r="M45" s="4350"/>
      <c r="V45" s="4757" t="str">
        <f>B45</f>
        <v>Behavioral Demand Response</v>
      </c>
      <c r="W45" s="4758"/>
      <c r="X45" s="4758"/>
      <c r="Y45" s="4758"/>
      <c r="Z45" s="4758"/>
      <c r="AA45" s="4758"/>
      <c r="AB45" s="4758"/>
      <c r="AC45" s="4857"/>
      <c r="AD45" s="4857"/>
      <c r="AE45" s="4857"/>
      <c r="AF45" s="4857"/>
      <c r="AG45" s="4857"/>
      <c r="AH45" s="4857"/>
      <c r="AI45" s="4858"/>
    </row>
    <row r="46" spans="1:114">
      <c r="A46" s="52"/>
      <c r="B46" s="635"/>
      <c r="C46" s="2205"/>
      <c r="D46" s="2206"/>
      <c r="E46" s="2206"/>
      <c r="F46" s="635"/>
      <c r="G46" s="635"/>
      <c r="H46" s="635"/>
      <c r="I46" s="635"/>
      <c r="J46" s="635"/>
      <c r="K46" s="635"/>
      <c r="L46" s="635"/>
      <c r="M46" s="635"/>
      <c r="V46" s="2229"/>
      <c r="W46" s="2230"/>
      <c r="X46" s="2230"/>
      <c r="Y46" s="2230"/>
      <c r="Z46" s="2230"/>
      <c r="AA46" s="2230"/>
      <c r="AB46" s="2230"/>
      <c r="AC46" s="2229"/>
      <c r="AD46" s="2229"/>
      <c r="AE46" s="2229"/>
      <c r="AF46" s="2229"/>
      <c r="AG46" s="2229"/>
      <c r="AH46" s="2229"/>
      <c r="AI46" s="2229"/>
    </row>
    <row r="47" spans="1:114" ht="30">
      <c r="A47" s="52"/>
      <c r="B47" s="635"/>
      <c r="C47" s="2207" t="s">
        <v>42</v>
      </c>
      <c r="D47" s="2207" t="s">
        <v>953</v>
      </c>
      <c r="E47" s="2207" t="s">
        <v>44</v>
      </c>
      <c r="F47" s="2207" t="s">
        <v>45</v>
      </c>
      <c r="G47" s="2207" t="s">
        <v>46</v>
      </c>
      <c r="H47" s="2207" t="s">
        <v>3709</v>
      </c>
      <c r="I47" s="2207" t="s">
        <v>3710</v>
      </c>
      <c r="J47" s="2207" t="s">
        <v>3711</v>
      </c>
      <c r="K47" s="2207" t="s">
        <v>49</v>
      </c>
      <c r="L47" s="2207" t="s">
        <v>50</v>
      </c>
      <c r="M47" s="2207" t="s">
        <v>51</v>
      </c>
      <c r="V47" s="2231" t="s">
        <v>52</v>
      </c>
      <c r="W47" s="760">
        <f t="shared" ref="W47:AE47" si="5">W$6</f>
        <v>43252</v>
      </c>
      <c r="X47" s="760">
        <f t="shared" si="5"/>
        <v>43465</v>
      </c>
      <c r="Y47" s="760">
        <f t="shared" si="5"/>
        <v>43800</v>
      </c>
      <c r="Z47" s="760">
        <f t="shared" si="5"/>
        <v>43862</v>
      </c>
      <c r="AA47" s="760">
        <f t="shared" si="5"/>
        <v>44013</v>
      </c>
      <c r="AB47" s="760">
        <f t="shared" si="5"/>
        <v>44166</v>
      </c>
      <c r="AC47" s="760">
        <f t="shared" si="5"/>
        <v>44531</v>
      </c>
      <c r="AD47" s="760">
        <f t="shared" si="5"/>
        <v>44774</v>
      </c>
      <c r="AE47" s="760">
        <f t="shared" si="5"/>
        <v>45139</v>
      </c>
      <c r="AF47" s="2232">
        <f>AF26</f>
        <v>0</v>
      </c>
      <c r="AG47" s="2232" t="s">
        <v>53</v>
      </c>
      <c r="AH47" s="2229"/>
      <c r="AI47" s="2229"/>
      <c r="DG47" s="868" t="s">
        <v>54</v>
      </c>
      <c r="DH47" s="1198" t="s">
        <v>55</v>
      </c>
      <c r="DI47" s="1199" t="s">
        <v>56</v>
      </c>
      <c r="DJ47" s="1103" t="s">
        <v>57</v>
      </c>
    </row>
    <row r="48" spans="1:114">
      <c r="A48" s="52"/>
      <c r="B48" s="2208">
        <f t="shared" ref="B48" si="6">VALUE(LEFT(C48,6))</f>
        <v>600600</v>
      </c>
      <c r="C48" s="2209" t="s">
        <v>3726</v>
      </c>
      <c r="D48" s="2222" t="s">
        <v>3684</v>
      </c>
      <c r="E48" s="2223" t="s">
        <v>3725</v>
      </c>
      <c r="F48" s="2224">
        <v>0</v>
      </c>
      <c r="G48" s="2225" t="s">
        <v>53</v>
      </c>
      <c r="H48" s="2225" t="s">
        <v>950</v>
      </c>
      <c r="I48" s="2214" t="s">
        <v>53</v>
      </c>
      <c r="J48" s="2214" t="s">
        <v>53</v>
      </c>
      <c r="K48" s="2226">
        <v>1</v>
      </c>
      <c r="L48" s="2227">
        <v>0</v>
      </c>
      <c r="M48" s="2209" t="s">
        <v>3714</v>
      </c>
      <c r="V48" s="2233" t="str">
        <f>$F$27</f>
        <v>kWh Annual Savings</v>
      </c>
      <c r="W48" s="2234"/>
      <c r="X48" s="2234"/>
      <c r="Y48" s="2234"/>
      <c r="Z48" s="2234"/>
      <c r="AA48" s="2234"/>
      <c r="AB48" s="2235"/>
      <c r="AC48" s="2235"/>
      <c r="AD48" s="2235"/>
      <c r="AE48" s="2235"/>
      <c r="AF48" s="2236">
        <f>IF(F48&lt;&gt;"",F48,"")</f>
        <v>0</v>
      </c>
      <c r="AG48" s="2234"/>
      <c r="AH48" s="2237"/>
      <c r="AI48" s="2237"/>
      <c r="DG48" s="1495" t="str">
        <f>IFERROR((DI48)/(DJ48),"")</f>
        <v/>
      </c>
      <c r="DH48" s="1400"/>
      <c r="DI48" s="1496"/>
      <c r="DJ48" s="1178">
        <f>L48/(1.0686^(2025-2025))</f>
        <v>0</v>
      </c>
    </row>
    <row r="49" spans="2:13">
      <c r="B49" s="635"/>
      <c r="C49" s="2205"/>
      <c r="D49" s="2219" t="s">
        <v>118</v>
      </c>
      <c r="E49" s="2220" t="s">
        <v>3727</v>
      </c>
      <c r="F49" s="696"/>
      <c r="G49" s="696"/>
      <c r="H49" s="696"/>
      <c r="I49" s="696"/>
      <c r="J49" s="696"/>
      <c r="K49" s="696"/>
      <c r="L49" s="696"/>
      <c r="M49" s="696"/>
    </row>
    <row r="50" spans="2:13">
      <c r="B50" s="635"/>
      <c r="C50" s="2205"/>
      <c r="D50" s="2228" t="s">
        <v>3694</v>
      </c>
      <c r="E50" s="4759" t="s">
        <v>3701</v>
      </c>
      <c r="F50" s="4759"/>
      <c r="G50" s="4759"/>
      <c r="H50" s="4759"/>
      <c r="I50" s="4759"/>
      <c r="J50" s="4759"/>
      <c r="K50" s="4759"/>
      <c r="L50" s="4759"/>
      <c r="M50" s="4759"/>
    </row>
    <row r="51" spans="2:13" ht="135.75" customHeight="1">
      <c r="B51" s="635"/>
      <c r="C51" s="2205"/>
      <c r="D51" s="2228" t="s">
        <v>3696</v>
      </c>
      <c r="E51" s="4759" t="s">
        <v>3728</v>
      </c>
      <c r="F51" s="4759"/>
      <c r="G51" s="4759"/>
      <c r="H51" s="4759"/>
      <c r="I51" s="4759"/>
      <c r="J51" s="4759"/>
      <c r="K51" s="4759"/>
      <c r="L51" s="4759"/>
      <c r="M51" s="4759"/>
    </row>
    <row r="52" spans="2:13">
      <c r="B52" s="635"/>
      <c r="C52" s="2205"/>
      <c r="D52" s="2228" t="s">
        <v>3719</v>
      </c>
      <c r="E52" s="4759" t="s">
        <v>3720</v>
      </c>
      <c r="F52" s="4759"/>
      <c r="G52" s="4759"/>
      <c r="H52" s="4759"/>
      <c r="I52" s="4759"/>
      <c r="J52" s="4759"/>
      <c r="K52" s="4759"/>
      <c r="L52" s="4759"/>
      <c r="M52" s="4759"/>
    </row>
    <row r="53" spans="2:13">
      <c r="D53" s="828"/>
      <c r="E53" s="828"/>
      <c r="F53" s="41"/>
      <c r="G53" s="41"/>
      <c r="H53" s="41"/>
      <c r="I53" s="41"/>
      <c r="J53" s="41"/>
      <c r="K53" s="41"/>
      <c r="L53" s="41"/>
      <c r="M53" s="41"/>
    </row>
  </sheetData>
  <mergeCells count="30">
    <mergeCell ref="V4:AI4"/>
    <mergeCell ref="E20:M20"/>
    <mergeCell ref="E22:M22"/>
    <mergeCell ref="A1:P1"/>
    <mergeCell ref="Q1:R1"/>
    <mergeCell ref="D2:K2"/>
    <mergeCell ref="B4:M4"/>
    <mergeCell ref="E12:M12"/>
    <mergeCell ref="E13:M13"/>
    <mergeCell ref="E14:M14"/>
    <mergeCell ref="E15:M15"/>
    <mergeCell ref="E16:M16"/>
    <mergeCell ref="E18:M18"/>
    <mergeCell ref="E19:M19"/>
    <mergeCell ref="V25:AI25"/>
    <mergeCell ref="B35:M35"/>
    <mergeCell ref="V35:AI35"/>
    <mergeCell ref="E40:M40"/>
    <mergeCell ref="E31:M31"/>
    <mergeCell ref="E41:M41"/>
    <mergeCell ref="E32:M32"/>
    <mergeCell ref="E42:M42"/>
    <mergeCell ref="E33:M33"/>
    <mergeCell ref="E17:M17"/>
    <mergeCell ref="B25:M25"/>
    <mergeCell ref="B45:M45"/>
    <mergeCell ref="V45:AI45"/>
    <mergeCell ref="E50:M50"/>
    <mergeCell ref="E51:M51"/>
    <mergeCell ref="E52:M52"/>
  </mergeCells>
  <conditionalFormatting sqref="B7:B10 B28:B29">
    <cfRule type="containsText" dxfId="45" priority="12" operator="containsText" text="x">
      <formula>NOT(ISERROR(SEARCH("x",B7)))</formula>
    </cfRule>
  </conditionalFormatting>
  <conditionalFormatting sqref="B38">
    <cfRule type="containsText" dxfId="44" priority="10" operator="containsText" text="x">
      <formula>NOT(ISERROR(SEARCH("x",B38)))</formula>
    </cfRule>
  </conditionalFormatting>
  <conditionalFormatting sqref="B48">
    <cfRule type="containsText" dxfId="43" priority="3" operator="containsText" text="x">
      <formula>NOT(ISERROR(SEARCH("x",B48)))</formula>
    </cfRule>
  </conditionalFormatting>
  <conditionalFormatting sqref="AF7:AF10 AF28:AF29 AF38">
    <cfRule type="expression" dxfId="42" priority="8">
      <formula>AND(AF7=AE7,AE7&lt;&gt;"")</formula>
    </cfRule>
    <cfRule type="expression" dxfId="41" priority="9">
      <formula>AF7&lt;&gt;AE7</formula>
    </cfRule>
  </conditionalFormatting>
  <conditionalFormatting sqref="AF48">
    <cfRule type="expression" dxfId="40" priority="1">
      <formula>AND(AF48=AE48,AE48&lt;&gt;"")</formula>
    </cfRule>
    <cfRule type="expression" dxfId="39" priority="2">
      <formula>AF48&lt;&gt;AE48</formula>
    </cfRule>
  </conditionalFormatting>
  <pageMargins left="0.7" right="0.7" top="0.75" bottom="0.75" header="0.3" footer="0.3"/>
  <pageSetup scale="43"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merenCompany xmlns="f0fabfd0-c808-4021-b0dc-76a068fda820">Ameren Missouri</AmerenCompany>
    <SecurityClassification xmlns="f0fabfd0-c808-4021-b0dc-76a068fda820">Protected</SecurityClassificatio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7955207C1BD647A3438075FDACC685" ma:contentTypeVersion="4" ma:contentTypeDescription="Create a new document." ma:contentTypeScope="" ma:versionID="ba9b986f3bd86b38294039b121bab003">
  <xsd:schema xmlns:xsd="http://www.w3.org/2001/XMLSchema" xmlns:xs="http://www.w3.org/2001/XMLSchema" xmlns:p="http://schemas.microsoft.com/office/2006/metadata/properties" xmlns:ns2="f0fabfd0-c808-4021-b0dc-76a068fda820" xmlns:ns3="5667d2bd-f237-477b-b3ab-376dd50347f7" targetNamespace="http://schemas.microsoft.com/office/2006/metadata/properties" ma:root="true" ma:fieldsID="954da7ebe6a5fbe18a7fbeb152663df0" ns2:_="" ns3:_="">
    <xsd:import namespace="f0fabfd0-c808-4021-b0dc-76a068fda820"/>
    <xsd:import namespace="5667d2bd-f237-477b-b3ab-376dd50347f7"/>
    <xsd:element name="properties">
      <xsd:complexType>
        <xsd:sequence>
          <xsd:element name="documentManagement">
            <xsd:complexType>
              <xsd:all>
                <xsd:element ref="ns2:AmerenCompany"/>
                <xsd:element ref="ns2:SecurityClassification"/>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fabfd0-c808-4021-b0dc-76a068fda820" elementFormDefault="qualified">
    <xsd:import namespace="http://schemas.microsoft.com/office/2006/documentManagement/types"/>
    <xsd:import namespace="http://schemas.microsoft.com/office/infopath/2007/PartnerControls"/>
    <xsd:element name="AmerenCompany" ma:index="8" ma:displayName="Ameren Company" ma:default="Ameren Missouri" ma:format="Dropdown" ma:internalName="AmerenCompany">
      <xsd:simpleType>
        <xsd:restriction base="dms:Choice">
          <xsd:enumeration value="Ameren Illinois"/>
          <xsd:enumeration value="Ameren Missouri"/>
          <xsd:enumeration value="Ameren Services"/>
          <xsd:enumeration value="Ameren Transmission"/>
        </xsd:restriction>
      </xsd:simpleType>
    </xsd:element>
    <xsd:element name="SecurityClassification" ma:index="9" ma:displayName="Security Classification" ma:default="Protected" ma:format="Dropdown" ma:internalName="SecurityClassification">
      <xsd:simpleType>
        <xsd:restriction base="dms:Choice">
          <xsd:enumeration value="Restricted"/>
          <xsd:enumeration value="Protected"/>
          <xsd:enumeration value="Internal"/>
          <xsd:enumeration value="External"/>
        </xsd:restriction>
      </xsd:simpleType>
    </xsd:element>
  </xsd:schema>
  <xsd:schema xmlns:xsd="http://www.w3.org/2001/XMLSchema" xmlns:xs="http://www.w3.org/2001/XMLSchema" xmlns:dms="http://schemas.microsoft.com/office/2006/documentManagement/types" xmlns:pc="http://schemas.microsoft.com/office/infopath/2007/PartnerControls" targetNamespace="5667d2bd-f237-477b-b3ab-376dd50347f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6925E0-0D2B-4E0F-94FA-9D981491E926}"/>
</file>

<file path=customXml/itemProps2.xml><?xml version="1.0" encoding="utf-8"?>
<ds:datastoreItem xmlns:ds="http://schemas.openxmlformats.org/officeDocument/2006/customXml" ds:itemID="{1B999B6C-7B57-4524-BF0D-2FEAF026F7ED}"/>
</file>

<file path=customXml/itemProps3.xml><?xml version="1.0" encoding="utf-8"?>
<ds:datastoreItem xmlns:ds="http://schemas.openxmlformats.org/officeDocument/2006/customXml" ds:itemID="{EFAC1351-6385-42E3-AD4B-A57299F4C7EE}"/>
</file>

<file path=docMetadata/LabelInfo.xml><?xml version="1.0" encoding="utf-8"?>
<clbl:labelList xmlns:clbl="http://schemas.microsoft.com/office/2020/mipLabelMetadata">
  <clbl:label id="{fa91b29d-ba21-402f-b47a-c225ae57ffe9}" enabled="0" method="" siteId="{fa91b29d-ba21-402f-b47a-c225ae57ffe9}"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Brueggemann, Jeff R</cp:lastModifiedBy>
  <cp:revision>1</cp:revision>
  <dcterms:created xsi:type="dcterms:W3CDTF">2024-11-15T13:22:54Z</dcterms:created>
  <dcterms:modified xsi:type="dcterms:W3CDTF">2025-01-27T20:05:13Z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0x0101008C7955207C1BD647A3438075FDACC685</vt:lpwstr>
  </property>
  <property fmtid="{D5CDD505-2E9C-101B-9397-08002B2CF9AE}" pid="4" name="Order">
    <vt:r8>129100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SharedWithUsers">
    <vt:lpwstr/>
  </property>
</Properties>
</file>